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jbb/Downloads/"/>
    </mc:Choice>
  </mc:AlternateContent>
  <xr:revisionPtr revIDLastSave="0" documentId="8_{BF6D0FE7-A6DB-C641-A640-B350A41C48A3}" xr6:coauthVersionLast="47" xr6:coauthVersionMax="47" xr10:uidLastSave="{00000000-0000-0000-0000-000000000000}"/>
  <bookViews>
    <workbookView xWindow="-20" yWindow="640" windowWidth="41120" windowHeight="25080" xr2:uid="{5E71242F-B59A-468D-8D8C-00C7128C8960}"/>
  </bookViews>
  <sheets>
    <sheet name="TB &amp; MCC Cost Audit 2020-Curren" sheetId="3" r:id="rId1"/>
    <sheet name="MCC Margin Analysis" sheetId="7" r:id="rId2"/>
    <sheet name="TB Type Margin Analysis" sheetId="10" r:id="rId3"/>
    <sheet name="TB All Check" sheetId="20" r:id="rId4"/>
    <sheet name="2022 Partial Rev - NS" sheetId="19" r:id="rId5"/>
    <sheet name="2023 Rev - NS" sheetId="18" r:id="rId6"/>
    <sheet name="2024 Rev - NS" sheetId="17" r:id="rId7"/>
    <sheet name="Build MCC" sheetId="16" r:id="rId8"/>
    <sheet name="Customer Conversion" sheetId="21" r:id="rId9"/>
    <sheet name="TB Cost Audit 2019" sheetId="5" state="hidden" r:id="rId10"/>
    <sheet name="TB &amp; MCC Cost Audit 2020-21 " sheetId="2" state="hidden" r:id="rId11"/>
  </sheets>
  <externalReferences>
    <externalReference r:id="rId12"/>
  </externalReferences>
  <definedNames>
    <definedName name="_xlnm._FilterDatabase" localSheetId="4" hidden="1">'2022 Partial Rev - NS'!$A$1:$P$882</definedName>
    <definedName name="_xlnm._FilterDatabase" localSheetId="5" hidden="1">'2023 Rev - NS'!$A$1:$P$1569</definedName>
    <definedName name="_xlnm._FilterDatabase" localSheetId="6" hidden="1">'2024 Rev - NS'!$A$2:$P$3165</definedName>
    <definedName name="_xlnm._FilterDatabase" localSheetId="7" hidden="1">'Build MCC'!$A$4:$N$4</definedName>
    <definedName name="_xlnm._FilterDatabase" localSheetId="8" hidden="1">'Customer Conversion'!$J$1:$J$22</definedName>
    <definedName name="_xlnm._FilterDatabase" localSheetId="1" hidden="1">'MCC Margin Analysis'!$A$3:$U$3</definedName>
    <definedName name="_xlnm._FilterDatabase" localSheetId="0" hidden="1">'TB &amp; MCC Cost Audit 2020-Curren'!$A$4:$XFB$3030</definedName>
    <definedName name="_xlnm._FilterDatabase" localSheetId="2" hidden="1">'TB Type Margin Analysis'!$A$3:$X$3</definedName>
    <definedName name="OO">#REF!</definedName>
    <definedName name="_xlnm.Print_Area" localSheetId="10">'TB &amp; MCC Cost Audit 2020-21 '!$A$1:$U$21</definedName>
    <definedName name="_xlnm.Print_Area" localSheetId="0">'TB &amp; MCC Cost Audit 2020-Curren'!$A$4:$AB$20</definedName>
    <definedName name="_xlnm.Print_Titles" localSheetId="10">'TB &amp; MCC Cost Audit 2020-21 '!$1:$5</definedName>
    <definedName name="_xlnm.Print_Titles" localSheetId="0">'TB &amp; MCC Cost Audit 2020-Curren'!$4:$4</definedName>
    <definedName name="ProbThreshold">#REF!</definedName>
    <definedName name="Ru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239" i="3" l="1"/>
  <c r="S2248" i="3"/>
  <c r="T2248" i="3"/>
  <c r="U2248" i="3"/>
  <c r="R2248" i="3"/>
  <c r="S2263" i="3"/>
  <c r="T2263" i="3"/>
  <c r="U2263" i="3"/>
  <c r="V2263" i="3"/>
  <c r="R2263" i="3"/>
  <c r="S2259" i="3"/>
  <c r="T2259" i="3"/>
  <c r="U2259" i="3"/>
  <c r="V2259" i="3"/>
  <c r="R2259" i="3"/>
  <c r="S2255" i="3"/>
  <c r="T2255" i="3"/>
  <c r="U2255" i="3"/>
  <c r="V2255" i="3"/>
  <c r="R2255" i="3"/>
  <c r="S2252" i="3"/>
  <c r="T2252" i="3"/>
  <c r="U2252" i="3"/>
  <c r="V2252" i="3"/>
  <c r="R2252" i="3"/>
  <c r="V2248" i="3"/>
  <c r="V2240" i="3"/>
  <c r="T2224" i="3"/>
  <c r="S2271" i="3"/>
  <c r="T2271" i="3"/>
  <c r="U2271" i="3"/>
  <c r="V2271" i="3"/>
  <c r="R2271" i="3"/>
  <c r="P2271" i="3"/>
  <c r="M2271" i="3"/>
  <c r="N2270" i="3"/>
  <c r="O2270" i="3" s="1"/>
  <c r="N2269" i="3"/>
  <c r="O2269" i="3" s="1"/>
  <c r="N2268" i="3"/>
  <c r="O2268" i="3" s="1"/>
  <c r="N2267" i="3"/>
  <c r="O2267" i="3" s="1"/>
  <c r="N2266" i="3"/>
  <c r="O2266" i="3" s="1"/>
  <c r="N2265" i="3"/>
  <c r="O2265" i="3" s="1"/>
  <c r="J37" i="20"/>
  <c r="D37" i="20"/>
  <c r="C37" i="20"/>
  <c r="O37" i="20"/>
  <c r="P37" i="20"/>
  <c r="I37" i="20"/>
  <c r="N2271" i="3" l="1"/>
  <c r="Q37" i="20"/>
  <c r="E37" i="20"/>
  <c r="K37" i="20"/>
  <c r="Y2271" i="3" l="1"/>
  <c r="X2271" i="3"/>
  <c r="W2271" i="3"/>
  <c r="AB2271" i="3" s="1"/>
  <c r="Y2270" i="3"/>
  <c r="X2270" i="3"/>
  <c r="W2270" i="3"/>
  <c r="AB2270" i="3" s="1"/>
  <c r="Y2269" i="3"/>
  <c r="X2269" i="3"/>
  <c r="W2269" i="3"/>
  <c r="Z2269" i="3" s="1"/>
  <c r="AA2269" i="3" s="1"/>
  <c r="AC2269" i="3" s="1"/>
  <c r="Y2268" i="3"/>
  <c r="X2268" i="3"/>
  <c r="W2268" i="3"/>
  <c r="Z2268" i="3" s="1"/>
  <c r="AA2268" i="3" s="1"/>
  <c r="AC2268" i="3" s="1"/>
  <c r="Y2267" i="3"/>
  <c r="X2267" i="3"/>
  <c r="W2267" i="3"/>
  <c r="Z2267" i="3" s="1"/>
  <c r="AA2267" i="3" s="1"/>
  <c r="AC2267" i="3" s="1"/>
  <c r="Y2266" i="3"/>
  <c r="X2266" i="3"/>
  <c r="W2266" i="3"/>
  <c r="Z2266" i="3" s="1"/>
  <c r="AA2266" i="3" s="1"/>
  <c r="AC2266" i="3" s="1"/>
  <c r="Y2265" i="3"/>
  <c r="X2265" i="3"/>
  <c r="W2265" i="3"/>
  <c r="AB2265" i="3" s="1"/>
  <c r="X2255" i="3"/>
  <c r="W2255" i="3"/>
  <c r="Y2254" i="3"/>
  <c r="X2254" i="3"/>
  <c r="W2254" i="3"/>
  <c r="X2263" i="3"/>
  <c r="W2263" i="3"/>
  <c r="Y2262" i="3"/>
  <c r="X2262" i="3"/>
  <c r="W2262" i="3"/>
  <c r="Y2261" i="3"/>
  <c r="X2261" i="3"/>
  <c r="W2261" i="3"/>
  <c r="Z2261" i="3" s="1"/>
  <c r="AA2261" i="3" s="1"/>
  <c r="X2259" i="3"/>
  <c r="W2259" i="3"/>
  <c r="Y2258" i="3"/>
  <c r="X2258" i="3"/>
  <c r="W2258" i="3"/>
  <c r="Y2257" i="3"/>
  <c r="X2257" i="3"/>
  <c r="W2257" i="3"/>
  <c r="X2252" i="3"/>
  <c r="W2252" i="3"/>
  <c r="Y2251" i="3"/>
  <c r="X2251" i="3"/>
  <c r="W2251" i="3"/>
  <c r="Y2250" i="3"/>
  <c r="X2250" i="3"/>
  <c r="W2250" i="3"/>
  <c r="Z2250" i="3" s="1"/>
  <c r="AA2250" i="3" s="1"/>
  <c r="X2248" i="3"/>
  <c r="W2248" i="3"/>
  <c r="Y2247" i="3"/>
  <c r="X2247" i="3"/>
  <c r="W2247" i="3"/>
  <c r="Y2246" i="3"/>
  <c r="X2246" i="3"/>
  <c r="W2246" i="3"/>
  <c r="W2236" i="3"/>
  <c r="W2237" i="3"/>
  <c r="W2238" i="3"/>
  <c r="W2239" i="3"/>
  <c r="AB2267" i="3" l="1"/>
  <c r="Z2265" i="3"/>
  <c r="AA2265" i="3" s="1"/>
  <c r="AC2265" i="3" s="1"/>
  <c r="AB2266" i="3"/>
  <c r="AB2268" i="3"/>
  <c r="Z2247" i="3"/>
  <c r="AA2247" i="3" s="1"/>
  <c r="Z2246" i="3"/>
  <c r="AA2246" i="3" s="1"/>
  <c r="AB2269" i="3"/>
  <c r="Z2271" i="3"/>
  <c r="AA2271" i="3" s="1"/>
  <c r="Z2270" i="3"/>
  <c r="AA2270" i="3" s="1"/>
  <c r="AC2270" i="3" s="1"/>
  <c r="Z2254" i="3"/>
  <c r="AA2254" i="3" s="1"/>
  <c r="Z2262" i="3"/>
  <c r="AA2262" i="3" s="1"/>
  <c r="Z2257" i="3"/>
  <c r="AA2257" i="3" s="1"/>
  <c r="Z2258" i="3"/>
  <c r="AA2258" i="3" s="1"/>
  <c r="Z2251" i="3"/>
  <c r="AA2251" i="3" s="1"/>
  <c r="N2231" i="3"/>
  <c r="O2231" i="3" s="1"/>
  <c r="M2241" i="3"/>
  <c r="N2240" i="3"/>
  <c r="O2240" i="3" s="1"/>
  <c r="N2239" i="3"/>
  <c r="O2239" i="3" s="1"/>
  <c r="N2238" i="3"/>
  <c r="O2238" i="3" s="1"/>
  <c r="N2237" i="3"/>
  <c r="O2237" i="3" s="1"/>
  <c r="N2236" i="3"/>
  <c r="O2236" i="3" s="1"/>
  <c r="N2235" i="3"/>
  <c r="O2235" i="3" s="1"/>
  <c r="N2234" i="3"/>
  <c r="O2234" i="3" s="1"/>
  <c r="N2233" i="3"/>
  <c r="O2233" i="3" s="1"/>
  <c r="N2232" i="3"/>
  <c r="O2232" i="3" s="1"/>
  <c r="M2234" i="3"/>
  <c r="N2241" i="3" l="1"/>
  <c r="S2241" i="3"/>
  <c r="T2241" i="3"/>
  <c r="U2241" i="3"/>
  <c r="V2241" i="3"/>
  <c r="R2241" i="3"/>
  <c r="P2241" i="3"/>
  <c r="L2241" i="3"/>
  <c r="O2241" i="3" l="1"/>
  <c r="M2254" i="3"/>
  <c r="M2262" i="3"/>
  <c r="M2261" i="3"/>
  <c r="M2258" i="3"/>
  <c r="M2257" i="3"/>
  <c r="AB2257" i="3" s="1"/>
  <c r="M2251" i="3"/>
  <c r="M2250" i="3"/>
  <c r="AB2250" i="3" s="1"/>
  <c r="M2247" i="3"/>
  <c r="M2246" i="3"/>
  <c r="P2255" i="3"/>
  <c r="P2252" i="3"/>
  <c r="L2255" i="3"/>
  <c r="L2252" i="3"/>
  <c r="P2248" i="3"/>
  <c r="L2248" i="3"/>
  <c r="P2259" i="3"/>
  <c r="L2259" i="3"/>
  <c r="P2263" i="3"/>
  <c r="L2263" i="3"/>
  <c r="I2262" i="3"/>
  <c r="J2262" i="3" s="1"/>
  <c r="I2261" i="3"/>
  <c r="J2261" i="3" s="1"/>
  <c r="I2258" i="3"/>
  <c r="J2258" i="3" s="1"/>
  <c r="I2257" i="3"/>
  <c r="J2257" i="3" s="1"/>
  <c r="I2254" i="3"/>
  <c r="J2254" i="3" s="1"/>
  <c r="I2251" i="3"/>
  <c r="J2251" i="3" s="1"/>
  <c r="I2250" i="3"/>
  <c r="J2250" i="3" s="1"/>
  <c r="I2247" i="3"/>
  <c r="J2247" i="3" s="1"/>
  <c r="I2246" i="3"/>
  <c r="J2246" i="3" s="1"/>
  <c r="S2244" i="3"/>
  <c r="T2244" i="3"/>
  <c r="U2244" i="3"/>
  <c r="V2244" i="3"/>
  <c r="R2244" i="3"/>
  <c r="S2229" i="3"/>
  <c r="T2229" i="3"/>
  <c r="U2229" i="3"/>
  <c r="V2229" i="3"/>
  <c r="R2229" i="3"/>
  <c r="Y2228" i="3"/>
  <c r="X2228" i="3"/>
  <c r="W2228" i="3"/>
  <c r="Z2228" i="3" s="1"/>
  <c r="AA2228" i="3" s="1"/>
  <c r="Y2227" i="3"/>
  <c r="X2227" i="3"/>
  <c r="W2227" i="3"/>
  <c r="Z2227" i="3" s="1"/>
  <c r="AA2227" i="3" s="1"/>
  <c r="Y2243" i="3"/>
  <c r="X2243" i="3"/>
  <c r="W2243" i="3"/>
  <c r="Z2243" i="3" s="1"/>
  <c r="AA2243" i="3" s="1"/>
  <c r="W2231" i="3"/>
  <c r="AB2231" i="3" s="1"/>
  <c r="X2231" i="3"/>
  <c r="Y2231" i="3"/>
  <c r="Y2241" i="3"/>
  <c r="X2241" i="3"/>
  <c r="W2241" i="3"/>
  <c r="AB2241" i="3" s="1"/>
  <c r="Y2240" i="3"/>
  <c r="X2240" i="3"/>
  <c r="W2240" i="3"/>
  <c r="AB2240" i="3" s="1"/>
  <c r="Y2239" i="3"/>
  <c r="X2239" i="3"/>
  <c r="Z2239" i="3"/>
  <c r="AA2239" i="3" s="1"/>
  <c r="AC2239" i="3" s="1"/>
  <c r="Y2238" i="3"/>
  <c r="X2238" i="3"/>
  <c r="Z2238" i="3"/>
  <c r="AA2238" i="3" s="1"/>
  <c r="AC2238" i="3" s="1"/>
  <c r="Y2237" i="3"/>
  <c r="X2237" i="3"/>
  <c r="Z2237" i="3"/>
  <c r="AA2237" i="3" s="1"/>
  <c r="AC2237" i="3" s="1"/>
  <c r="Y2236" i="3"/>
  <c r="X2236" i="3"/>
  <c r="AB2236" i="3"/>
  <c r="Y2235" i="3"/>
  <c r="X2235" i="3"/>
  <c r="W2235" i="3"/>
  <c r="Z2235" i="3" s="1"/>
  <c r="AA2235" i="3" s="1"/>
  <c r="AC2235" i="3" s="1"/>
  <c r="Y2234" i="3"/>
  <c r="X2234" i="3"/>
  <c r="W2234" i="3"/>
  <c r="AB2234" i="3" s="1"/>
  <c r="Y2233" i="3"/>
  <c r="X2233" i="3"/>
  <c r="W2233" i="3"/>
  <c r="AB2233" i="3" s="1"/>
  <c r="Y2232" i="3"/>
  <c r="X2232" i="3"/>
  <c r="W2232" i="3"/>
  <c r="AB2232" i="3" s="1"/>
  <c r="P2244" i="3"/>
  <c r="P2229" i="3"/>
  <c r="M2228" i="3"/>
  <c r="N2228" i="3" s="1"/>
  <c r="O2228" i="3" s="1"/>
  <c r="M2227" i="3"/>
  <c r="N2227" i="3" s="1"/>
  <c r="L2229" i="3"/>
  <c r="M2243" i="3"/>
  <c r="M2244" i="3" s="1"/>
  <c r="L2244" i="3"/>
  <c r="I2243" i="3"/>
  <c r="J2243" i="3" s="1"/>
  <c r="I2228" i="3"/>
  <c r="J2228" i="3" s="1"/>
  <c r="I2227" i="3"/>
  <c r="J2227" i="3" s="1"/>
  <c r="Y2252" i="3" l="1"/>
  <c r="Z2252" i="3"/>
  <c r="AA2252" i="3" s="1"/>
  <c r="Y2255" i="3"/>
  <c r="Z2255" i="3"/>
  <c r="AA2255" i="3" s="1"/>
  <c r="M2248" i="3"/>
  <c r="AB2248" i="3" s="1"/>
  <c r="AB2246" i="3"/>
  <c r="N2250" i="3"/>
  <c r="O2250" i="3" s="1"/>
  <c r="AC2250" i="3" s="1"/>
  <c r="M2263" i="3"/>
  <c r="AB2263" i="3" s="1"/>
  <c r="AB2261" i="3"/>
  <c r="N2258" i="3"/>
  <c r="O2258" i="3" s="1"/>
  <c r="AC2258" i="3" s="1"/>
  <c r="AB2258" i="3"/>
  <c r="Y2259" i="3"/>
  <c r="Z2259" i="3"/>
  <c r="AA2259" i="3" s="1"/>
  <c r="N2262" i="3"/>
  <c r="O2262" i="3" s="1"/>
  <c r="AC2262" i="3" s="1"/>
  <c r="AB2262" i="3"/>
  <c r="N2247" i="3"/>
  <c r="O2247" i="3" s="1"/>
  <c r="AC2247" i="3" s="1"/>
  <c r="AB2247" i="3"/>
  <c r="N2251" i="3"/>
  <c r="O2251" i="3" s="1"/>
  <c r="AC2251" i="3" s="1"/>
  <c r="AB2251" i="3"/>
  <c r="N2257" i="3"/>
  <c r="O2257" i="3" s="1"/>
  <c r="AC2257" i="3" s="1"/>
  <c r="M2255" i="3"/>
  <c r="AB2255" i="3" s="1"/>
  <c r="AB2254" i="3"/>
  <c r="Y2263" i="3"/>
  <c r="Z2263" i="3"/>
  <c r="AA2263" i="3" s="1"/>
  <c r="Y2248" i="3"/>
  <c r="Z2248" i="3"/>
  <c r="AA2248" i="3" s="1"/>
  <c r="M2259" i="3"/>
  <c r="AB2259" i="3" s="1"/>
  <c r="M2252" i="3"/>
  <c r="AB2252" i="3" s="1"/>
  <c r="N2254" i="3"/>
  <c r="N2261" i="3"/>
  <c r="N2246" i="3"/>
  <c r="Z2231" i="3"/>
  <c r="AA2231" i="3" s="1"/>
  <c r="AC2231" i="3" s="1"/>
  <c r="Y2229" i="3"/>
  <c r="Y2244" i="3"/>
  <c r="AB2235" i="3"/>
  <c r="AB2237" i="3"/>
  <c r="AB2239" i="3"/>
  <c r="M2229" i="3"/>
  <c r="AC2228" i="3"/>
  <c r="AB2238" i="3"/>
  <c r="W2244" i="3"/>
  <c r="AB2244" i="3" s="1"/>
  <c r="AB2227" i="3"/>
  <c r="W2229" i="3"/>
  <c r="X2244" i="3"/>
  <c r="AB2243" i="3"/>
  <c r="Z2236" i="3"/>
  <c r="AA2236" i="3" s="1"/>
  <c r="AC2236" i="3" s="1"/>
  <c r="AB2228" i="3"/>
  <c r="X2229" i="3"/>
  <c r="Z2234" i="3"/>
  <c r="AA2234" i="3" s="1"/>
  <c r="AC2234" i="3" s="1"/>
  <c r="Z2233" i="3"/>
  <c r="AA2233" i="3" s="1"/>
  <c r="AC2233" i="3" s="1"/>
  <c r="Z2241" i="3"/>
  <c r="AA2241" i="3" s="1"/>
  <c r="AC2241" i="3" s="1"/>
  <c r="Z2232" i="3"/>
  <c r="AA2232" i="3" s="1"/>
  <c r="AC2232" i="3" s="1"/>
  <c r="Z2240" i="3"/>
  <c r="AA2240" i="3" s="1"/>
  <c r="AC2240" i="3" s="1"/>
  <c r="N2229" i="3"/>
  <c r="O2229" i="3" s="1"/>
  <c r="O2227" i="3"/>
  <c r="AC2227" i="3" s="1"/>
  <c r="N2243" i="3"/>
  <c r="N2244" i="3" s="1"/>
  <c r="O2244" i="3" s="1"/>
  <c r="N2252" i="3" l="1"/>
  <c r="O2252" i="3" s="1"/>
  <c r="AC2252" i="3" s="1"/>
  <c r="N2259" i="3"/>
  <c r="O2259" i="3" s="1"/>
  <c r="AC2259" i="3" s="1"/>
  <c r="N2255" i="3"/>
  <c r="O2255" i="3" s="1"/>
  <c r="AC2255" i="3" s="1"/>
  <c r="O2254" i="3"/>
  <c r="AC2254" i="3" s="1"/>
  <c r="N2263" i="3"/>
  <c r="O2263" i="3" s="1"/>
  <c r="AC2263" i="3" s="1"/>
  <c r="O2261" i="3"/>
  <c r="AC2261" i="3" s="1"/>
  <c r="N2248" i="3"/>
  <c r="O2248" i="3" s="1"/>
  <c r="AC2248" i="3" s="1"/>
  <c r="O2246" i="3"/>
  <c r="AC2246" i="3" s="1"/>
  <c r="AB2229" i="3"/>
  <c r="O2243" i="3"/>
  <c r="AC2243" i="3" s="1"/>
  <c r="Z2244" i="3"/>
  <c r="AA2244" i="3" s="1"/>
  <c r="AC2244" i="3" s="1"/>
  <c r="Z2229" i="3"/>
  <c r="AA2229" i="3" s="1"/>
  <c r="AC2229" i="3" s="1"/>
  <c r="Y2224" i="3"/>
  <c r="X2224" i="3"/>
  <c r="W2224" i="3"/>
  <c r="AB2224" i="3" s="1"/>
  <c r="Y2223" i="3"/>
  <c r="X2223" i="3"/>
  <c r="W2223" i="3"/>
  <c r="Z2223" i="3" s="1"/>
  <c r="AA2223" i="3" s="1"/>
  <c r="Y2222" i="3"/>
  <c r="X2222" i="3"/>
  <c r="W2222" i="3"/>
  <c r="Z2222" i="3" s="1"/>
  <c r="AA2222" i="3" s="1"/>
  <c r="Y2221" i="3"/>
  <c r="X2221" i="3"/>
  <c r="W2221" i="3"/>
  <c r="AB2221" i="3" s="1"/>
  <c r="Y2220" i="3"/>
  <c r="X2220" i="3"/>
  <c r="W2220" i="3"/>
  <c r="AB2220" i="3" s="1"/>
  <c r="Y2219" i="3"/>
  <c r="X2219" i="3"/>
  <c r="W2219" i="3"/>
  <c r="AB2219" i="3" s="1"/>
  <c r="Y2218" i="3"/>
  <c r="X2218" i="3"/>
  <c r="W2218" i="3"/>
  <c r="Z2218" i="3" s="1"/>
  <c r="AA2218" i="3" s="1"/>
  <c r="Y2217" i="3"/>
  <c r="X2217" i="3"/>
  <c r="W2217" i="3"/>
  <c r="AB2217" i="3" s="1"/>
  <c r="Y2216" i="3"/>
  <c r="X2216" i="3"/>
  <c r="W2216" i="3"/>
  <c r="AB2216" i="3" s="1"/>
  <c r="S2225" i="3"/>
  <c r="T2225" i="3"/>
  <c r="U2225" i="3"/>
  <c r="V2225" i="3"/>
  <c r="R2225" i="3"/>
  <c r="P2225" i="3"/>
  <c r="M2225" i="3"/>
  <c r="L2225" i="3"/>
  <c r="N2224" i="3"/>
  <c r="O2224" i="3" s="1"/>
  <c r="N2223" i="3"/>
  <c r="O2223" i="3" s="1"/>
  <c r="N2222" i="3"/>
  <c r="O2222" i="3" s="1"/>
  <c r="N2221" i="3"/>
  <c r="O2221" i="3" s="1"/>
  <c r="N2220" i="3"/>
  <c r="O2220" i="3" s="1"/>
  <c r="N2219" i="3"/>
  <c r="O2219" i="3" s="1"/>
  <c r="N2218" i="3"/>
  <c r="O2218" i="3" s="1"/>
  <c r="N2217" i="3"/>
  <c r="O2217" i="3" s="1"/>
  <c r="N2216" i="3"/>
  <c r="AC2222" i="3" l="1"/>
  <c r="Y2225" i="3"/>
  <c r="AC2223" i="3"/>
  <c r="AC2218" i="3"/>
  <c r="AB2223" i="3"/>
  <c r="AB2222" i="3"/>
  <c r="Z2221" i="3"/>
  <c r="AA2221" i="3" s="1"/>
  <c r="AC2221" i="3" s="1"/>
  <c r="X2225" i="3"/>
  <c r="Z2220" i="3"/>
  <c r="AA2220" i="3" s="1"/>
  <c r="AC2220" i="3" s="1"/>
  <c r="Z2219" i="3"/>
  <c r="AA2219" i="3" s="1"/>
  <c r="AC2219" i="3" s="1"/>
  <c r="W2225" i="3"/>
  <c r="AB2225" i="3" s="1"/>
  <c r="Z2217" i="3"/>
  <c r="AA2217" i="3" s="1"/>
  <c r="AC2217" i="3" s="1"/>
  <c r="Z2216" i="3"/>
  <c r="AA2216" i="3" s="1"/>
  <c r="AB2218" i="3"/>
  <c r="Z2224" i="3"/>
  <c r="AA2224" i="3" s="1"/>
  <c r="AC2224" i="3" s="1"/>
  <c r="N2225" i="3"/>
  <c r="O2225" i="3" s="1"/>
  <c r="O2216" i="3"/>
  <c r="AC2216" i="3" l="1"/>
  <c r="Z2225" i="3"/>
  <c r="AA2225" i="3" s="1"/>
  <c r="AC2225" i="3" s="1"/>
  <c r="Y2213" i="3"/>
  <c r="X2213" i="3"/>
  <c r="W2213" i="3"/>
  <c r="Y2212" i="3"/>
  <c r="X2212" i="3"/>
  <c r="W2212" i="3"/>
  <c r="Z2212" i="3" s="1"/>
  <c r="AA2212" i="3" s="1"/>
  <c r="W2208" i="3"/>
  <c r="Z2208" i="3" s="1"/>
  <c r="AA2208" i="3" s="1"/>
  <c r="X2208" i="3"/>
  <c r="Y2208" i="3"/>
  <c r="W2209" i="3"/>
  <c r="Z2209" i="3" s="1"/>
  <c r="AA2209" i="3" s="1"/>
  <c r="X2209" i="3"/>
  <c r="Y2209" i="3"/>
  <c r="Y2207" i="3"/>
  <c r="X2207" i="3"/>
  <c r="W2207" i="3"/>
  <c r="AB2207" i="3" s="1"/>
  <c r="Y2206" i="3"/>
  <c r="X2206" i="3"/>
  <c r="W2206" i="3"/>
  <c r="AB2206" i="3" s="1"/>
  <c r="Y2205" i="3"/>
  <c r="X2205" i="3"/>
  <c r="W2205" i="3"/>
  <c r="AB2205" i="3" s="1"/>
  <c r="Y2204" i="3"/>
  <c r="X2204" i="3"/>
  <c r="W2204" i="3"/>
  <c r="AB2204" i="3" s="1"/>
  <c r="Y2203" i="3"/>
  <c r="X2203" i="3"/>
  <c r="W2203" i="3"/>
  <c r="AB2203" i="3" s="1"/>
  <c r="Y2202" i="3"/>
  <c r="X2202" i="3"/>
  <c r="W2202" i="3"/>
  <c r="AB2202" i="3" s="1"/>
  <c r="Y2201" i="3"/>
  <c r="X2201" i="3"/>
  <c r="W2201" i="3"/>
  <c r="Z2201" i="3" s="1"/>
  <c r="AA2201" i="3" s="1"/>
  <c r="Y2200" i="3"/>
  <c r="X2200" i="3"/>
  <c r="W2200" i="3"/>
  <c r="AB2200" i="3" s="1"/>
  <c r="S2214" i="3"/>
  <c r="T2214" i="3"/>
  <c r="U2214" i="3"/>
  <c r="V2214" i="3"/>
  <c r="R2214" i="3"/>
  <c r="S2210" i="3"/>
  <c r="T2210" i="3"/>
  <c r="U2210" i="3"/>
  <c r="V2210" i="3"/>
  <c r="R2210" i="3"/>
  <c r="M2213" i="3"/>
  <c r="N2213" i="3" s="1"/>
  <c r="O2213" i="3" s="1"/>
  <c r="M2212" i="3"/>
  <c r="N2212" i="3" s="1"/>
  <c r="P2214" i="3"/>
  <c r="P2210" i="3"/>
  <c r="M2210" i="3"/>
  <c r="L2210" i="3"/>
  <c r="N2208" i="3"/>
  <c r="O2208" i="3" s="1"/>
  <c r="N2209" i="3"/>
  <c r="O2209" i="3" s="1"/>
  <c r="N2207" i="3"/>
  <c r="O2207" i="3" s="1"/>
  <c r="N2206" i="3"/>
  <c r="O2206" i="3" s="1"/>
  <c r="N2205" i="3"/>
  <c r="O2205" i="3" s="1"/>
  <c r="N2204" i="3"/>
  <c r="O2204" i="3" s="1"/>
  <c r="N2203" i="3"/>
  <c r="O2203" i="3" s="1"/>
  <c r="N2202" i="3"/>
  <c r="O2202" i="3" s="1"/>
  <c r="N2201" i="3"/>
  <c r="O2201" i="3" s="1"/>
  <c r="N2200" i="3"/>
  <c r="O2200" i="3" s="1"/>
  <c r="W2210" i="3" l="1"/>
  <c r="Z2210" i="3" s="1"/>
  <c r="AA2210" i="3" s="1"/>
  <c r="X2214" i="3"/>
  <c r="Y2214" i="3"/>
  <c r="M2214" i="3"/>
  <c r="W2214" i="3"/>
  <c r="Z2214" i="3" s="1"/>
  <c r="AA2214" i="3" s="1"/>
  <c r="Y2210" i="3"/>
  <c r="Z2207" i="3"/>
  <c r="AA2207" i="3" s="1"/>
  <c r="AC2207" i="3" s="1"/>
  <c r="AB2213" i="3"/>
  <c r="AC2208" i="3"/>
  <c r="AC2201" i="3"/>
  <c r="AC2209" i="3"/>
  <c r="Z2206" i="3"/>
  <c r="AA2206" i="3" s="1"/>
  <c r="AC2206" i="3" s="1"/>
  <c r="Z2205" i="3"/>
  <c r="AA2205" i="3" s="1"/>
  <c r="AC2205" i="3" s="1"/>
  <c r="X2210" i="3"/>
  <c r="Z2200" i="3"/>
  <c r="AA2200" i="3" s="1"/>
  <c r="AC2200" i="3" s="1"/>
  <c r="AB2212" i="3"/>
  <c r="Z2213" i="3"/>
  <c r="AA2213" i="3" s="1"/>
  <c r="AC2213" i="3" s="1"/>
  <c r="AB2208" i="3"/>
  <c r="AB2209" i="3"/>
  <c r="AB2201" i="3"/>
  <c r="Z2204" i="3"/>
  <c r="AA2204" i="3" s="1"/>
  <c r="AC2204" i="3" s="1"/>
  <c r="Z2203" i="3"/>
  <c r="AA2203" i="3" s="1"/>
  <c r="AC2203" i="3" s="1"/>
  <c r="Z2202" i="3"/>
  <c r="AA2202" i="3" s="1"/>
  <c r="AC2202" i="3" s="1"/>
  <c r="N2214" i="3"/>
  <c r="O2212" i="3"/>
  <c r="AC2212" i="3" s="1"/>
  <c r="N2210" i="3"/>
  <c r="O2210" i="3" s="1"/>
  <c r="AB2214" i="3" l="1"/>
  <c r="AC2210" i="3"/>
  <c r="AB2210" i="3"/>
  <c r="L2214" i="3"/>
  <c r="O2214" i="3" s="1"/>
  <c r="AC2214" i="3" s="1"/>
  <c r="I2213" i="3"/>
  <c r="J2213" i="3" s="1"/>
  <c r="I2212" i="3"/>
  <c r="J2212" i="3" s="1"/>
  <c r="P2195" i="3" l="1"/>
  <c r="M2194" i="3"/>
  <c r="N2194" i="3" s="1"/>
  <c r="O2194" i="3" s="1"/>
  <c r="M2193" i="3"/>
  <c r="L2195" i="3"/>
  <c r="M2197" i="3"/>
  <c r="M2198" i="3" s="1"/>
  <c r="L2198" i="3"/>
  <c r="S2198" i="3"/>
  <c r="T2198" i="3"/>
  <c r="U2198" i="3"/>
  <c r="V2198" i="3"/>
  <c r="R2198" i="3"/>
  <c r="P2198" i="3"/>
  <c r="S2195" i="3"/>
  <c r="T2195" i="3"/>
  <c r="U2195" i="3"/>
  <c r="V2195" i="3"/>
  <c r="R2195" i="3"/>
  <c r="Y2194" i="3"/>
  <c r="X2194" i="3"/>
  <c r="W2194" i="3"/>
  <c r="Y2193" i="3"/>
  <c r="X2193" i="3"/>
  <c r="W2193" i="3"/>
  <c r="Z2193" i="3" s="1"/>
  <c r="AA2193" i="3" s="1"/>
  <c r="Y2197" i="3"/>
  <c r="X2197" i="3"/>
  <c r="W2197" i="3"/>
  <c r="AB2194" i="3" l="1"/>
  <c r="N2197" i="3"/>
  <c r="N2198" i="3" s="1"/>
  <c r="O2198" i="3" s="1"/>
  <c r="M2195" i="3"/>
  <c r="Y2195" i="3"/>
  <c r="N2193" i="3"/>
  <c r="N2195" i="3" s="1"/>
  <c r="AB2197" i="3"/>
  <c r="Y2198" i="3"/>
  <c r="W2198" i="3"/>
  <c r="AB2198" i="3" s="1"/>
  <c r="X2198" i="3"/>
  <c r="X2195" i="3"/>
  <c r="W2195" i="3"/>
  <c r="Z2195" i="3" s="1"/>
  <c r="AA2195" i="3" s="1"/>
  <c r="AB2193" i="3"/>
  <c r="Z2194" i="3"/>
  <c r="AA2194" i="3" s="1"/>
  <c r="AC2194" i="3" s="1"/>
  <c r="Z2197" i="3"/>
  <c r="AA2197" i="3" s="1"/>
  <c r="O2197" i="3" l="1"/>
  <c r="AC2197" i="3" s="1"/>
  <c r="O2193" i="3"/>
  <c r="AC2193" i="3" s="1"/>
  <c r="O2195" i="3"/>
  <c r="AC2195" i="3" s="1"/>
  <c r="Z2198" i="3"/>
  <c r="AA2198" i="3" s="1"/>
  <c r="AC2198" i="3" s="1"/>
  <c r="AB2195" i="3"/>
  <c r="I2197" i="3" l="1"/>
  <c r="J2197" i="3" s="1"/>
  <c r="I2194" i="3"/>
  <c r="J2194" i="3" s="1"/>
  <c r="I2193" i="3"/>
  <c r="J2193" i="3" s="1"/>
  <c r="W1927" i="3"/>
  <c r="W1928" i="3"/>
  <c r="W1929" i="3"/>
  <c r="V1994" i="3"/>
  <c r="S1994" i="3"/>
  <c r="R1994" i="3"/>
  <c r="U1992" i="3"/>
  <c r="T1992" i="3"/>
  <c r="S1992" i="3"/>
  <c r="R1992" i="3"/>
  <c r="U1991" i="3"/>
  <c r="Y2185" i="3" l="1"/>
  <c r="X2185" i="3"/>
  <c r="S2191" i="3"/>
  <c r="T2191" i="3"/>
  <c r="U2191" i="3"/>
  <c r="V2191" i="3"/>
  <c r="R2191" i="3"/>
  <c r="Y2190" i="3"/>
  <c r="X2190" i="3"/>
  <c r="W2190" i="3"/>
  <c r="Z2190" i="3" s="1"/>
  <c r="AA2190" i="3" s="1"/>
  <c r="Y2189" i="3"/>
  <c r="X2189" i="3"/>
  <c r="W2189" i="3"/>
  <c r="AB2189" i="3" s="1"/>
  <c r="Y2188" i="3"/>
  <c r="X2188" i="3"/>
  <c r="W2188" i="3"/>
  <c r="Z2188" i="3" s="1"/>
  <c r="AA2188" i="3" s="1"/>
  <c r="Y2187" i="3"/>
  <c r="X2187" i="3"/>
  <c r="W2187" i="3"/>
  <c r="AB2187" i="3" s="1"/>
  <c r="Y2186" i="3"/>
  <c r="X2186" i="3"/>
  <c r="W2186" i="3"/>
  <c r="AB2186" i="3" s="1"/>
  <c r="W2185" i="3"/>
  <c r="Z2185" i="3" s="1"/>
  <c r="AA2185" i="3" s="1"/>
  <c r="Y2184" i="3"/>
  <c r="X2184" i="3"/>
  <c r="W2184" i="3"/>
  <c r="AB2184" i="3" s="1"/>
  <c r="Y2183" i="3"/>
  <c r="X2183" i="3"/>
  <c r="W2183" i="3"/>
  <c r="AB2183" i="3" s="1"/>
  <c r="P2191" i="3"/>
  <c r="N2190" i="3"/>
  <c r="N2183" i="3"/>
  <c r="M2191" i="3"/>
  <c r="Y2191" i="3" l="1"/>
  <c r="Z2186" i="3"/>
  <c r="AA2186" i="3" s="1"/>
  <c r="Z2184" i="3"/>
  <c r="AA2184" i="3" s="1"/>
  <c r="AB2188" i="3"/>
  <c r="AB2185" i="3"/>
  <c r="Z2189" i="3"/>
  <c r="AA2189" i="3" s="1"/>
  <c r="AB2190" i="3"/>
  <c r="X2191" i="3"/>
  <c r="W2191" i="3"/>
  <c r="AB2191" i="3" s="1"/>
  <c r="Z2187" i="3"/>
  <c r="AA2187" i="3" s="1"/>
  <c r="Z2183" i="3"/>
  <c r="AA2183" i="3" s="1"/>
  <c r="Z2191" i="3" l="1"/>
  <c r="AA2191" i="3" s="1"/>
  <c r="L2191" i="3"/>
  <c r="O2190" i="3"/>
  <c r="AC2190" i="3" s="1"/>
  <c r="N2189" i="3"/>
  <c r="O2189" i="3" s="1"/>
  <c r="AC2189" i="3" s="1"/>
  <c r="N2188" i="3"/>
  <c r="O2188" i="3" s="1"/>
  <c r="AC2188" i="3" s="1"/>
  <c r="N2187" i="3"/>
  <c r="O2187" i="3" s="1"/>
  <c r="AC2187" i="3" s="1"/>
  <c r="N2186" i="3"/>
  <c r="O2186" i="3" s="1"/>
  <c r="AC2186" i="3" s="1"/>
  <c r="N2185" i="3"/>
  <c r="O2185" i="3" s="1"/>
  <c r="AC2185" i="3" s="1"/>
  <c r="N2184" i="3"/>
  <c r="O2184" i="3" s="1"/>
  <c r="AC2184" i="3" s="1"/>
  <c r="W2174" i="3"/>
  <c r="AB2174" i="3" s="1"/>
  <c r="W2175" i="3"/>
  <c r="AB2175" i="3" s="1"/>
  <c r="W2176" i="3"/>
  <c r="Z2176" i="3" s="1"/>
  <c r="AA2176" i="3" s="1"/>
  <c r="W2177" i="3"/>
  <c r="AB2177" i="3" s="1"/>
  <c r="W2178" i="3"/>
  <c r="Z2178" i="3" s="1"/>
  <c r="AA2178" i="3" s="1"/>
  <c r="W2179" i="3"/>
  <c r="Z2179" i="3" s="1"/>
  <c r="AA2179" i="3" s="1"/>
  <c r="W2180" i="3"/>
  <c r="AB2180" i="3" s="1"/>
  <c r="S2181" i="3"/>
  <c r="T2181" i="3"/>
  <c r="U2181" i="3"/>
  <c r="V2181" i="3"/>
  <c r="R2181" i="3"/>
  <c r="Y2180" i="3"/>
  <c r="X2180" i="3"/>
  <c r="Y2179" i="3"/>
  <c r="X2179" i="3"/>
  <c r="Y2178" i="3"/>
  <c r="X2178" i="3"/>
  <c r="Y2177" i="3"/>
  <c r="X2177" i="3"/>
  <c r="Y2176" i="3"/>
  <c r="X2176" i="3"/>
  <c r="Y2175" i="3"/>
  <c r="X2175" i="3"/>
  <c r="Y2174" i="3"/>
  <c r="X2174" i="3"/>
  <c r="Y2173" i="3"/>
  <c r="X2173" i="3"/>
  <c r="W2173" i="3"/>
  <c r="AB2173" i="3" s="1"/>
  <c r="P2181" i="3"/>
  <c r="M2181" i="3"/>
  <c r="L2181" i="3"/>
  <c r="N2180" i="3"/>
  <c r="O2180" i="3" s="1"/>
  <c r="N2179" i="3"/>
  <c r="O2179" i="3" s="1"/>
  <c r="N2178" i="3"/>
  <c r="O2178" i="3" s="1"/>
  <c r="N2177" i="3"/>
  <c r="O2177" i="3" s="1"/>
  <c r="N2176" i="3"/>
  <c r="O2176" i="3" s="1"/>
  <c r="N2175" i="3"/>
  <c r="O2175" i="3" s="1"/>
  <c r="N2174" i="3"/>
  <c r="O2174" i="3" s="1"/>
  <c r="N2173" i="3"/>
  <c r="AC2176" i="3" l="1"/>
  <c r="AB2178" i="3"/>
  <c r="AC2179" i="3"/>
  <c r="Y2181" i="3"/>
  <c r="AB2176" i="3"/>
  <c r="AC2178" i="3"/>
  <c r="N2191" i="3"/>
  <c r="O2191" i="3" s="1"/>
  <c r="AC2191" i="3" s="1"/>
  <c r="O2183" i="3"/>
  <c r="AC2183" i="3" s="1"/>
  <c r="Z2177" i="3"/>
  <c r="AA2177" i="3" s="1"/>
  <c r="AC2177" i="3" s="1"/>
  <c r="Z2180" i="3"/>
  <c r="AA2180" i="3" s="1"/>
  <c r="AC2180" i="3" s="1"/>
  <c r="AB2179" i="3"/>
  <c r="W2181" i="3"/>
  <c r="AB2181" i="3" s="1"/>
  <c r="X2181" i="3"/>
  <c r="Z2174" i="3"/>
  <c r="AA2174" i="3" s="1"/>
  <c r="AC2174" i="3" s="1"/>
  <c r="Z2175" i="3"/>
  <c r="AA2175" i="3" s="1"/>
  <c r="AC2175" i="3" s="1"/>
  <c r="Z2173" i="3"/>
  <c r="AA2173" i="3" s="1"/>
  <c r="N2181" i="3"/>
  <c r="O2181" i="3" s="1"/>
  <c r="O2173" i="3"/>
  <c r="AC2173" i="3" l="1"/>
  <c r="Z2181" i="3"/>
  <c r="AA2181" i="3" s="1"/>
  <c r="AC2181" i="3" s="1"/>
  <c r="I2180" i="3"/>
  <c r="J2180" i="3" s="1"/>
  <c r="W2167" i="3"/>
  <c r="Z2167" i="3" s="1"/>
  <c r="X2167" i="3"/>
  <c r="Y2167" i="3"/>
  <c r="W2168" i="3"/>
  <c r="Z2168" i="3" s="1"/>
  <c r="AA2168" i="3" s="1"/>
  <c r="X2168" i="3"/>
  <c r="Y2168" i="3"/>
  <c r="W2169" i="3"/>
  <c r="Z2169" i="3" s="1"/>
  <c r="AA2169" i="3" s="1"/>
  <c r="X2169" i="3"/>
  <c r="Y2169" i="3"/>
  <c r="Y2170" i="3"/>
  <c r="X2170" i="3"/>
  <c r="W2170" i="3"/>
  <c r="S2171" i="3"/>
  <c r="T2171" i="3"/>
  <c r="U2171" i="3"/>
  <c r="V2171" i="3"/>
  <c r="R2171" i="3"/>
  <c r="P2171" i="3"/>
  <c r="M2167" i="3"/>
  <c r="N2167" i="3" s="1"/>
  <c r="O2167" i="3" s="1"/>
  <c r="M2168" i="3"/>
  <c r="N2168" i="3" s="1"/>
  <c r="O2168" i="3" s="1"/>
  <c r="M2169" i="3"/>
  <c r="N2169" i="3" s="1"/>
  <c r="O2169" i="3" s="1"/>
  <c r="M2170" i="3"/>
  <c r="L2171" i="3"/>
  <c r="I2170" i="3"/>
  <c r="J2170" i="3" s="1"/>
  <c r="I2169" i="3"/>
  <c r="J2169" i="3" s="1"/>
  <c r="I2168" i="3"/>
  <c r="J2168" i="3" s="1"/>
  <c r="I2167" i="3"/>
  <c r="J2167" i="3" s="1"/>
  <c r="Y2164" i="3"/>
  <c r="X2164" i="3"/>
  <c r="W2164" i="3"/>
  <c r="Z2164" i="3" s="1"/>
  <c r="AA2164" i="3" s="1"/>
  <c r="S2165" i="3"/>
  <c r="T2165" i="3"/>
  <c r="U2165" i="3"/>
  <c r="V2165" i="3"/>
  <c r="R2165" i="3"/>
  <c r="P2165" i="3"/>
  <c r="M2164" i="3"/>
  <c r="N2164" i="3" s="1"/>
  <c r="L2165" i="3"/>
  <c r="I2164" i="3"/>
  <c r="J2164" i="3" s="1"/>
  <c r="Y2161" i="3"/>
  <c r="X2161" i="3"/>
  <c r="W2161" i="3"/>
  <c r="AB2161" i="3" s="1"/>
  <c r="Y2160" i="3"/>
  <c r="X2160" i="3"/>
  <c r="W2160" i="3"/>
  <c r="Z2160" i="3" s="1"/>
  <c r="AA2160" i="3" s="1"/>
  <c r="Y2159" i="3"/>
  <c r="X2159" i="3"/>
  <c r="W2159" i="3"/>
  <c r="Z2159" i="3" s="1"/>
  <c r="AA2159" i="3" s="1"/>
  <c r="Y2158" i="3"/>
  <c r="X2158" i="3"/>
  <c r="W2158" i="3"/>
  <c r="AB2158" i="3" s="1"/>
  <c r="Y2157" i="3"/>
  <c r="X2157" i="3"/>
  <c r="W2157" i="3"/>
  <c r="AB2157" i="3" s="1"/>
  <c r="Y2156" i="3"/>
  <c r="X2156" i="3"/>
  <c r="W2156" i="3"/>
  <c r="AB2156" i="3" s="1"/>
  <c r="Y2155" i="3"/>
  <c r="X2155" i="3"/>
  <c r="W2155" i="3"/>
  <c r="AB2155" i="3" s="1"/>
  <c r="Y2154" i="3"/>
  <c r="X2154" i="3"/>
  <c r="W2154" i="3"/>
  <c r="AB2154" i="3" s="1"/>
  <c r="Y2153" i="3"/>
  <c r="X2153" i="3"/>
  <c r="W2153" i="3"/>
  <c r="AB2153" i="3" s="1"/>
  <c r="X2152" i="3"/>
  <c r="W2152" i="3"/>
  <c r="S2162" i="3"/>
  <c r="T2162" i="3"/>
  <c r="U2162" i="3"/>
  <c r="V2162" i="3"/>
  <c r="R2162" i="3"/>
  <c r="P2152" i="3"/>
  <c r="P2162" i="3" s="1"/>
  <c r="N2161" i="3"/>
  <c r="O2161" i="3" s="1"/>
  <c r="N2160" i="3"/>
  <c r="O2160" i="3" s="1"/>
  <c r="N2159" i="3"/>
  <c r="O2159" i="3" s="1"/>
  <c r="N2158" i="3"/>
  <c r="O2158" i="3" s="1"/>
  <c r="N2157" i="3"/>
  <c r="O2157" i="3" s="1"/>
  <c r="N2156" i="3"/>
  <c r="O2156" i="3" s="1"/>
  <c r="N2155" i="3"/>
  <c r="O2155" i="3" s="1"/>
  <c r="N2154" i="3"/>
  <c r="O2154" i="3" s="1"/>
  <c r="N2153" i="3"/>
  <c r="O2153" i="3" s="1"/>
  <c r="M2152" i="3"/>
  <c r="M2162" i="3" s="1"/>
  <c r="L2152" i="3"/>
  <c r="Z2152" i="3" l="1"/>
  <c r="AA2152" i="3" s="1"/>
  <c r="Y2152" i="3"/>
  <c r="N2152" i="3"/>
  <c r="N2162" i="3" s="1"/>
  <c r="L2162" i="3"/>
  <c r="AC2169" i="3"/>
  <c r="AC2168" i="3"/>
  <c r="AC2167" i="3"/>
  <c r="Y2171" i="3"/>
  <c r="AB2169" i="3"/>
  <c r="AB2170" i="3"/>
  <c r="M2171" i="3"/>
  <c r="W2171" i="3"/>
  <c r="AB2167" i="3"/>
  <c r="X2171" i="3"/>
  <c r="AB2168" i="3"/>
  <c r="Z2170" i="3"/>
  <c r="AA2170" i="3" s="1"/>
  <c r="N2170" i="3"/>
  <c r="N2171" i="3" s="1"/>
  <c r="Y2165" i="3"/>
  <c r="W2165" i="3"/>
  <c r="AB2164" i="3"/>
  <c r="X2165" i="3"/>
  <c r="O2164" i="3"/>
  <c r="AC2164" i="3" s="1"/>
  <c r="N2165" i="3"/>
  <c r="O2165" i="3" s="1"/>
  <c r="M2165" i="3"/>
  <c r="AC2160" i="3"/>
  <c r="Y2162" i="3"/>
  <c r="AC2159" i="3"/>
  <c r="AB2160" i="3"/>
  <c r="AB2159" i="3"/>
  <c r="Z2158" i="3"/>
  <c r="AA2158" i="3" s="1"/>
  <c r="AC2158" i="3" s="1"/>
  <c r="Z2157" i="3"/>
  <c r="AA2157" i="3" s="1"/>
  <c r="AC2157" i="3" s="1"/>
  <c r="Z2156" i="3"/>
  <c r="AA2156" i="3" s="1"/>
  <c r="AC2156" i="3" s="1"/>
  <c r="W2162" i="3"/>
  <c r="AB2162" i="3" s="1"/>
  <c r="AB2152" i="3"/>
  <c r="X2162" i="3"/>
  <c r="Z2155" i="3"/>
  <c r="AA2155" i="3" s="1"/>
  <c r="AC2155" i="3" s="1"/>
  <c r="Z2154" i="3"/>
  <c r="AA2154" i="3" s="1"/>
  <c r="AC2154" i="3" s="1"/>
  <c r="Z2153" i="3"/>
  <c r="AA2153" i="3" s="1"/>
  <c r="AC2153" i="3" s="1"/>
  <c r="Z2161" i="3"/>
  <c r="AA2161" i="3" s="1"/>
  <c r="AC2161" i="3" s="1"/>
  <c r="W2140" i="3"/>
  <c r="Z2140" i="3" s="1"/>
  <c r="AA2140" i="3" s="1"/>
  <c r="X2140" i="3"/>
  <c r="Y2140" i="3"/>
  <c r="W2141" i="3"/>
  <c r="Z2141" i="3" s="1"/>
  <c r="AA2141" i="3" s="1"/>
  <c r="X2141" i="3"/>
  <c r="Y2141" i="3"/>
  <c r="W2142" i="3"/>
  <c r="Z2142" i="3" s="1"/>
  <c r="AA2142" i="3" s="1"/>
  <c r="X2142" i="3"/>
  <c r="Y2142" i="3"/>
  <c r="W2143" i="3"/>
  <c r="Z2143" i="3" s="1"/>
  <c r="AA2143" i="3" s="1"/>
  <c r="X2143" i="3"/>
  <c r="Y2143" i="3"/>
  <c r="Y2149" i="3"/>
  <c r="X2149" i="3"/>
  <c r="W2149" i="3"/>
  <c r="Z2149" i="3" s="1"/>
  <c r="AA2149" i="3" s="1"/>
  <c r="Y2148" i="3"/>
  <c r="X2148" i="3"/>
  <c r="W2148" i="3"/>
  <c r="Z2148" i="3" s="1"/>
  <c r="AA2148" i="3" s="1"/>
  <c r="Y2147" i="3"/>
  <c r="X2147" i="3"/>
  <c r="W2147" i="3"/>
  <c r="AB2147" i="3" s="1"/>
  <c r="Y2146" i="3"/>
  <c r="X2146" i="3"/>
  <c r="W2146" i="3"/>
  <c r="AB2146" i="3" s="1"/>
  <c r="Y2145" i="3"/>
  <c r="X2145" i="3"/>
  <c r="W2145" i="3"/>
  <c r="AB2145" i="3" s="1"/>
  <c r="Y2144" i="3"/>
  <c r="X2144" i="3"/>
  <c r="W2144" i="3"/>
  <c r="AB2144" i="3" s="1"/>
  <c r="S2150" i="3"/>
  <c r="T2150" i="3"/>
  <c r="U2150" i="3"/>
  <c r="V2150" i="3"/>
  <c r="R2150" i="3"/>
  <c r="N2146" i="3"/>
  <c r="O2146" i="3" s="1"/>
  <c r="N2147" i="3"/>
  <c r="O2147" i="3" s="1"/>
  <c r="N2148" i="3"/>
  <c r="O2148" i="3" s="1"/>
  <c r="N2149" i="3"/>
  <c r="O2149" i="3" s="1"/>
  <c r="N2145" i="3"/>
  <c r="O2145" i="3" s="1"/>
  <c r="N2144" i="3"/>
  <c r="O2144" i="3" s="1"/>
  <c r="N2143" i="3"/>
  <c r="O2143" i="3" s="1"/>
  <c r="N2142" i="3"/>
  <c r="N2141" i="3"/>
  <c r="O2141" i="3" s="1"/>
  <c r="N2140" i="3"/>
  <c r="O2140" i="3" s="1"/>
  <c r="M2150" i="3"/>
  <c r="P2150" i="3"/>
  <c r="L2150" i="3"/>
  <c r="O2152" i="3" l="1"/>
  <c r="AC2152" i="3" s="1"/>
  <c r="O2162" i="3"/>
  <c r="AB2171" i="3"/>
  <c r="Z2171" i="3"/>
  <c r="AA2171" i="3" s="1"/>
  <c r="O2170" i="3"/>
  <c r="AC2170" i="3" s="1"/>
  <c r="O2171" i="3"/>
  <c r="AC2149" i="3"/>
  <c r="AB2165" i="3"/>
  <c r="Z2165" i="3"/>
  <c r="AA2165" i="3" s="1"/>
  <c r="AC2165" i="3" s="1"/>
  <c r="AC2148" i="3"/>
  <c r="AB2149" i="3"/>
  <c r="Y2150" i="3"/>
  <c r="AC2143" i="3"/>
  <c r="AC2141" i="3"/>
  <c r="AB2148" i="3"/>
  <c r="AC2140" i="3"/>
  <c r="Z2162" i="3"/>
  <c r="AA2162" i="3" s="1"/>
  <c r="Z2147" i="3"/>
  <c r="AA2147" i="3" s="1"/>
  <c r="AC2147" i="3" s="1"/>
  <c r="Z2146" i="3"/>
  <c r="AA2146" i="3" s="1"/>
  <c r="AC2146" i="3" s="1"/>
  <c r="Z2145" i="3"/>
  <c r="AA2145" i="3" s="1"/>
  <c r="AC2145" i="3" s="1"/>
  <c r="X2150" i="3"/>
  <c r="W2150" i="3"/>
  <c r="AB2150" i="3" s="1"/>
  <c r="AB2141" i="3"/>
  <c r="AB2140" i="3"/>
  <c r="AB2142" i="3"/>
  <c r="AB2143" i="3"/>
  <c r="Z2144" i="3"/>
  <c r="AA2144" i="3" s="1"/>
  <c r="AC2144" i="3" s="1"/>
  <c r="N2150" i="3"/>
  <c r="O2150" i="3" s="1"/>
  <c r="O2142" i="3"/>
  <c r="AC2142" i="3" s="1"/>
  <c r="AC2162" i="3" l="1"/>
  <c r="AC2171" i="3"/>
  <c r="Z2150" i="3"/>
  <c r="AA2150" i="3" s="1"/>
  <c r="AC2150" i="3" s="1"/>
  <c r="W2137" i="3"/>
  <c r="Y2137" i="3"/>
  <c r="X2137" i="3"/>
  <c r="S2138" i="3"/>
  <c r="T2138" i="3"/>
  <c r="U2138" i="3"/>
  <c r="V2138" i="3"/>
  <c r="R2138" i="3"/>
  <c r="P2138" i="3"/>
  <c r="M2137" i="3"/>
  <c r="N2137" i="3" s="1"/>
  <c r="L2138" i="3"/>
  <c r="I2137" i="3"/>
  <c r="J2137" i="3" s="1"/>
  <c r="U2129" i="3"/>
  <c r="C88" i="7"/>
  <c r="D88" i="7"/>
  <c r="E88" i="7"/>
  <c r="F88" i="7"/>
  <c r="G88" i="7"/>
  <c r="J88" i="7"/>
  <c r="K88" i="7"/>
  <c r="L88" i="7"/>
  <c r="M88" i="7"/>
  <c r="C87" i="7"/>
  <c r="D87" i="7"/>
  <c r="E87" i="7"/>
  <c r="F87" i="7"/>
  <c r="G87" i="7"/>
  <c r="S2135" i="3"/>
  <c r="T2135" i="3"/>
  <c r="U2135" i="3"/>
  <c r="V2135" i="3"/>
  <c r="Y2134" i="3"/>
  <c r="X2134" i="3"/>
  <c r="W2134" i="3"/>
  <c r="N87" i="7" s="1"/>
  <c r="R2135" i="3"/>
  <c r="P2135" i="3"/>
  <c r="I2134" i="3"/>
  <c r="J2134" i="3" s="1"/>
  <c r="M2134" i="3"/>
  <c r="N2134" i="3" s="1"/>
  <c r="L2135" i="3"/>
  <c r="S2121" i="3"/>
  <c r="T2121" i="3"/>
  <c r="U2121" i="3"/>
  <c r="V2121" i="3"/>
  <c r="R2121" i="3"/>
  <c r="P2121" i="3"/>
  <c r="L2121" i="3"/>
  <c r="S2132" i="3"/>
  <c r="T2132" i="3"/>
  <c r="U2132" i="3"/>
  <c r="V2132" i="3"/>
  <c r="R2132" i="3"/>
  <c r="P2132" i="3"/>
  <c r="L2132" i="3"/>
  <c r="X2123" i="3"/>
  <c r="Y2123" i="3"/>
  <c r="X2124" i="3"/>
  <c r="Y2124" i="3"/>
  <c r="X2125" i="3"/>
  <c r="Y2125" i="3"/>
  <c r="X2126" i="3"/>
  <c r="Y2126" i="3"/>
  <c r="X2127" i="3"/>
  <c r="Y2127" i="3"/>
  <c r="W2123" i="3"/>
  <c r="W2124" i="3"/>
  <c r="Z2124" i="3" s="1"/>
  <c r="AA2124" i="3" s="1"/>
  <c r="W2125" i="3"/>
  <c r="Z2125" i="3" s="1"/>
  <c r="AA2125" i="3" s="1"/>
  <c r="W2126" i="3"/>
  <c r="W2127" i="3"/>
  <c r="Z2127" i="3" s="1"/>
  <c r="AA2127" i="3" s="1"/>
  <c r="S2129" i="3"/>
  <c r="T2129" i="3"/>
  <c r="V2129" i="3"/>
  <c r="R2129" i="3"/>
  <c r="Y2135" i="3" l="1"/>
  <c r="X2138" i="3"/>
  <c r="Y2138" i="3"/>
  <c r="AB2134" i="3"/>
  <c r="M2138" i="3"/>
  <c r="AB2137" i="3"/>
  <c r="W2138" i="3"/>
  <c r="O2137" i="3"/>
  <c r="N2138" i="3"/>
  <c r="O2138" i="3" s="1"/>
  <c r="Q88" i="7"/>
  <c r="S88" i="7"/>
  <c r="T88" i="7"/>
  <c r="M2135" i="3"/>
  <c r="U87" i="7"/>
  <c r="X2135" i="3"/>
  <c r="W2135" i="3"/>
  <c r="R88" i="7"/>
  <c r="Z2134" i="3"/>
  <c r="AA2134" i="3" s="1"/>
  <c r="O2134" i="3"/>
  <c r="N2135" i="3"/>
  <c r="O2135" i="3" s="1"/>
  <c r="Z2126" i="3"/>
  <c r="AA2126" i="3" s="1"/>
  <c r="Z2123" i="3"/>
  <c r="AA2123" i="3" s="1"/>
  <c r="P2129" i="3"/>
  <c r="M2124" i="3"/>
  <c r="N2124" i="3" s="1"/>
  <c r="O2124" i="3" s="1"/>
  <c r="AC2124" i="3" s="1"/>
  <c r="M2125" i="3"/>
  <c r="M2126" i="3"/>
  <c r="AB2126" i="3" s="1"/>
  <c r="M2127" i="3"/>
  <c r="N2127" i="3" s="1"/>
  <c r="O2127" i="3" s="1"/>
  <c r="AC2127" i="3" s="1"/>
  <c r="M2123" i="3"/>
  <c r="N2123" i="3" s="1"/>
  <c r="AB2135" i="3" l="1"/>
  <c r="AB2138" i="3"/>
  <c r="Z2138" i="3"/>
  <c r="AA2138" i="3" s="1"/>
  <c r="AC2138" i="3" s="1"/>
  <c r="Z2137" i="3"/>
  <c r="AA2137" i="3" s="1"/>
  <c r="AC2137" i="3" s="1"/>
  <c r="Z2135" i="3"/>
  <c r="AA2135" i="3" s="1"/>
  <c r="AC2135" i="3" s="1"/>
  <c r="AC2134" i="3"/>
  <c r="O2123" i="3"/>
  <c r="AC2123" i="3" s="1"/>
  <c r="N2125" i="3"/>
  <c r="O2125" i="3" s="1"/>
  <c r="AC2125" i="3" s="1"/>
  <c r="AB2125" i="3"/>
  <c r="AB2127" i="3"/>
  <c r="AB2123" i="3"/>
  <c r="AB2124" i="3"/>
  <c r="N2126" i="3"/>
  <c r="O2126" i="3" s="1"/>
  <c r="AC2126" i="3" s="1"/>
  <c r="L2129" i="3"/>
  <c r="S2118" i="3"/>
  <c r="T2118" i="3"/>
  <c r="U2118" i="3"/>
  <c r="V2118" i="3"/>
  <c r="R2118" i="3"/>
  <c r="P2118" i="3"/>
  <c r="L2118" i="3"/>
  <c r="S2115" i="3"/>
  <c r="T2115" i="3"/>
  <c r="U2115" i="3"/>
  <c r="V2115" i="3"/>
  <c r="R2115" i="3"/>
  <c r="P2115" i="3"/>
  <c r="L2115" i="3"/>
  <c r="S2112" i="3"/>
  <c r="T2112" i="3"/>
  <c r="U2112" i="3"/>
  <c r="V2112" i="3"/>
  <c r="R2112" i="3"/>
  <c r="P2112" i="3"/>
  <c r="L2112" i="3"/>
  <c r="L2109" i="3"/>
  <c r="M2128" i="3"/>
  <c r="M2129" i="3" s="1"/>
  <c r="M2131" i="3"/>
  <c r="M2132" i="3" s="1"/>
  <c r="M2120" i="3"/>
  <c r="N2120" i="3" s="1"/>
  <c r="M2117" i="3"/>
  <c r="M2118" i="3" s="1"/>
  <c r="M2114" i="3"/>
  <c r="M2115" i="3" s="1"/>
  <c r="M2111" i="3"/>
  <c r="N2111" i="3" s="1"/>
  <c r="M2106" i="3"/>
  <c r="N2106" i="3" s="1"/>
  <c r="O2106" i="3" s="1"/>
  <c r="M2108" i="3"/>
  <c r="N2108" i="3" s="1"/>
  <c r="O2108" i="3" s="1"/>
  <c r="M2107" i="3"/>
  <c r="M2109" i="3" l="1"/>
  <c r="N2131" i="3"/>
  <c r="N2128" i="3"/>
  <c r="N2129" i="3" s="1"/>
  <c r="O2129" i="3" s="1"/>
  <c r="O2120" i="3"/>
  <c r="N2121" i="3"/>
  <c r="O2121" i="3" s="1"/>
  <c r="M2121" i="3"/>
  <c r="N2117" i="3"/>
  <c r="N2114" i="3"/>
  <c r="O2111" i="3"/>
  <c r="N2112" i="3"/>
  <c r="O2112" i="3" s="1"/>
  <c r="M2112" i="3"/>
  <c r="N2107" i="3"/>
  <c r="N2109" i="3" s="1"/>
  <c r="O2109" i="3" s="1"/>
  <c r="Y2132" i="3"/>
  <c r="X2132" i="3"/>
  <c r="W2132" i="3"/>
  <c r="AB2132" i="3" s="1"/>
  <c r="Y2131" i="3"/>
  <c r="X2131" i="3"/>
  <c r="W2131" i="3"/>
  <c r="Y2129" i="3"/>
  <c r="X2129" i="3"/>
  <c r="W2129" i="3"/>
  <c r="Z2129" i="3" s="1"/>
  <c r="AA2129" i="3" s="1"/>
  <c r="Y2128" i="3"/>
  <c r="X2128" i="3"/>
  <c r="W2128" i="3"/>
  <c r="AB2128" i="3" s="1"/>
  <c r="Y2121" i="3"/>
  <c r="X2121" i="3"/>
  <c r="W2121" i="3"/>
  <c r="Z2121" i="3" s="1"/>
  <c r="AA2121" i="3" s="1"/>
  <c r="Y2120" i="3"/>
  <c r="X2120" i="3"/>
  <c r="W2120" i="3"/>
  <c r="AB2120" i="3" s="1"/>
  <c r="Y2118" i="3"/>
  <c r="X2118" i="3"/>
  <c r="W2118" i="3"/>
  <c r="AB2118" i="3" s="1"/>
  <c r="Y2117" i="3"/>
  <c r="X2117" i="3"/>
  <c r="W2117" i="3"/>
  <c r="AB2117" i="3" s="1"/>
  <c r="Y2115" i="3"/>
  <c r="X2115" i="3"/>
  <c r="W2115" i="3"/>
  <c r="AB2115" i="3" s="1"/>
  <c r="Y2114" i="3"/>
  <c r="X2114" i="3"/>
  <c r="W2114" i="3"/>
  <c r="AB2114" i="3" s="1"/>
  <c r="Y2112" i="3"/>
  <c r="X2112" i="3"/>
  <c r="W2112" i="3"/>
  <c r="Y2111" i="3"/>
  <c r="X2111" i="3"/>
  <c r="W2111" i="3"/>
  <c r="Z2111" i="3" s="1"/>
  <c r="AA2111" i="3" s="1"/>
  <c r="W2106" i="3"/>
  <c r="AB2106" i="3" s="1"/>
  <c r="X2106" i="3"/>
  <c r="Y2106" i="3"/>
  <c r="Y2108" i="3"/>
  <c r="X2108" i="3"/>
  <c r="W2108" i="3"/>
  <c r="AB2108" i="3" s="1"/>
  <c r="Y2107" i="3"/>
  <c r="X2107" i="3"/>
  <c r="W2107" i="3"/>
  <c r="Z2107" i="3" s="1"/>
  <c r="AA2107" i="3" s="1"/>
  <c r="S2109" i="3"/>
  <c r="T2109" i="3"/>
  <c r="U2109" i="3"/>
  <c r="V2109" i="3"/>
  <c r="R2109" i="3"/>
  <c r="P2109" i="3"/>
  <c r="I2111" i="3"/>
  <c r="J2111" i="3" s="1"/>
  <c r="I2117" i="3"/>
  <c r="J2117" i="3" s="1"/>
  <c r="I2108" i="3"/>
  <c r="J2108" i="3" s="1"/>
  <c r="I2107" i="3"/>
  <c r="J2107" i="3" s="1"/>
  <c r="I2106" i="3"/>
  <c r="J2106" i="3" s="1"/>
  <c r="I2131" i="3"/>
  <c r="J2131" i="3" s="1"/>
  <c r="I2114" i="3"/>
  <c r="J2114" i="3" s="1"/>
  <c r="AB2131" i="3" l="1"/>
  <c r="N88" i="7"/>
  <c r="U88" i="7" s="1"/>
  <c r="AC2121" i="3"/>
  <c r="AB2121" i="3"/>
  <c r="AC2111" i="3"/>
  <c r="AB2112" i="3"/>
  <c r="Y2109" i="3"/>
  <c r="O2131" i="3"/>
  <c r="N2132" i="3"/>
  <c r="O2132" i="3" s="1"/>
  <c r="AC2129" i="3"/>
  <c r="O2128" i="3"/>
  <c r="N2118" i="3"/>
  <c r="O2118" i="3" s="1"/>
  <c r="O2117" i="3"/>
  <c r="N2115" i="3"/>
  <c r="O2115" i="3" s="1"/>
  <c r="O2114" i="3"/>
  <c r="O2107" i="3"/>
  <c r="AC2107" i="3" s="1"/>
  <c r="Z2106" i="3"/>
  <c r="AA2106" i="3" s="1"/>
  <c r="AC2106" i="3" s="1"/>
  <c r="W2109" i="3"/>
  <c r="AB2109" i="3" s="1"/>
  <c r="X2109" i="3"/>
  <c r="Z2132" i="3"/>
  <c r="AA2132" i="3" s="1"/>
  <c r="Z2131" i="3"/>
  <c r="AA2131" i="3" s="1"/>
  <c r="Z2128" i="3"/>
  <c r="AA2128" i="3" s="1"/>
  <c r="AB2129" i="3"/>
  <c r="Z2120" i="3"/>
  <c r="AA2120" i="3" s="1"/>
  <c r="AC2120" i="3" s="1"/>
  <c r="Z2118" i="3"/>
  <c r="AA2118" i="3" s="1"/>
  <c r="Z2117" i="3"/>
  <c r="AA2117" i="3" s="1"/>
  <c r="Z2115" i="3"/>
  <c r="AA2115" i="3" s="1"/>
  <c r="Z2114" i="3"/>
  <c r="AA2114" i="3" s="1"/>
  <c r="AB2111" i="3"/>
  <c r="Z2112" i="3"/>
  <c r="AA2112" i="3" s="1"/>
  <c r="AC2112" i="3" s="1"/>
  <c r="AB2107" i="3"/>
  <c r="Z2108" i="3"/>
  <c r="AA2108" i="3" s="1"/>
  <c r="AC2108" i="3" s="1"/>
  <c r="AC2114" i="3" l="1"/>
  <c r="AC2117" i="3"/>
  <c r="AC2115" i="3"/>
  <c r="AC2131" i="3"/>
  <c r="AC2132" i="3"/>
  <c r="AC2128" i="3"/>
  <c r="AC2118" i="3"/>
  <c r="Z2109" i="3"/>
  <c r="AA2109" i="3" s="1"/>
  <c r="AC2109" i="3" s="1"/>
  <c r="Y2103" i="3" l="1"/>
  <c r="X2103" i="3"/>
  <c r="W2103" i="3"/>
  <c r="Z2103" i="3" s="1"/>
  <c r="AA2103" i="3" s="1"/>
  <c r="Y2102" i="3"/>
  <c r="X2102" i="3"/>
  <c r="W2102" i="3"/>
  <c r="S2104" i="3"/>
  <c r="T2104" i="3"/>
  <c r="U2104" i="3"/>
  <c r="V2104" i="3"/>
  <c r="R2104" i="3"/>
  <c r="P2104" i="3"/>
  <c r="M2103" i="3"/>
  <c r="N2103" i="3" s="1"/>
  <c r="O2103" i="3" s="1"/>
  <c r="M2102" i="3"/>
  <c r="N2102" i="3" s="1"/>
  <c r="L2104" i="3"/>
  <c r="I2103" i="3"/>
  <c r="J2103" i="3" s="1"/>
  <c r="I2102" i="3"/>
  <c r="J2102" i="3" s="1"/>
  <c r="W992" i="3"/>
  <c r="Y991" i="3"/>
  <c r="X991" i="3"/>
  <c r="Z991" i="3"/>
  <c r="AA991" i="3" s="1"/>
  <c r="S992" i="3"/>
  <c r="T992" i="3"/>
  <c r="U992" i="3"/>
  <c r="V992" i="3"/>
  <c r="R992" i="3"/>
  <c r="P992" i="3"/>
  <c r="M991" i="3"/>
  <c r="M992" i="3" s="1"/>
  <c r="L992" i="3"/>
  <c r="I991" i="3"/>
  <c r="Y2099" i="3"/>
  <c r="X2099" i="3"/>
  <c r="W2099" i="3"/>
  <c r="Y2098" i="3"/>
  <c r="X2098" i="3"/>
  <c r="W2098" i="3"/>
  <c r="Z2098" i="3" s="1"/>
  <c r="AA2098" i="3" s="1"/>
  <c r="S2100" i="3"/>
  <c r="T2100" i="3"/>
  <c r="U2100" i="3"/>
  <c r="V2100" i="3"/>
  <c r="R2100" i="3"/>
  <c r="P2100" i="3"/>
  <c r="M2099" i="3"/>
  <c r="N2099" i="3" s="1"/>
  <c r="O2099" i="3" s="1"/>
  <c r="M2098" i="3"/>
  <c r="N2098" i="3" s="1"/>
  <c r="L2100" i="3"/>
  <c r="I2099" i="3"/>
  <c r="J2099" i="3" s="1"/>
  <c r="I2098" i="3"/>
  <c r="J2098" i="3" s="1"/>
  <c r="X2094" i="3"/>
  <c r="X2090" i="3"/>
  <c r="Y2095" i="3"/>
  <c r="X2095" i="3"/>
  <c r="W2095" i="3"/>
  <c r="Z2095" i="3" s="1"/>
  <c r="AA2095" i="3" s="1"/>
  <c r="Y2094" i="3"/>
  <c r="W2094" i="3"/>
  <c r="Y2091" i="3"/>
  <c r="X2091" i="3"/>
  <c r="W2091" i="3"/>
  <c r="Y2090" i="3"/>
  <c r="W2090" i="3"/>
  <c r="Z2090" i="3" s="1"/>
  <c r="AA2090" i="3" s="1"/>
  <c r="S2096" i="3"/>
  <c r="T2096" i="3"/>
  <c r="U2096" i="3"/>
  <c r="V2096" i="3"/>
  <c r="R2096" i="3"/>
  <c r="S2092" i="3"/>
  <c r="T2092" i="3"/>
  <c r="U2092" i="3"/>
  <c r="V2092" i="3"/>
  <c r="R2092" i="3"/>
  <c r="M2095" i="3"/>
  <c r="M2094" i="3"/>
  <c r="N2094" i="3" s="1"/>
  <c r="M2091" i="3"/>
  <c r="N2091" i="3" s="1"/>
  <c r="O2091" i="3" s="1"/>
  <c r="M2090" i="3"/>
  <c r="N2090" i="3" s="1"/>
  <c r="P2096" i="3"/>
  <c r="L2096" i="3"/>
  <c r="P2092" i="3"/>
  <c r="L2092" i="3"/>
  <c r="I2087" i="3"/>
  <c r="J2087" i="3" s="1"/>
  <c r="I2086" i="3"/>
  <c r="J2086" i="3" s="1"/>
  <c r="I2095" i="3"/>
  <c r="J2095" i="3" s="1"/>
  <c r="I2094" i="3"/>
  <c r="J2094" i="3" s="1"/>
  <c r="I2091" i="3"/>
  <c r="J2091" i="3" s="1"/>
  <c r="I2090" i="3"/>
  <c r="J2090" i="3" s="1"/>
  <c r="S2088" i="3"/>
  <c r="T2088" i="3"/>
  <c r="U2088" i="3"/>
  <c r="Y2088" i="3" s="1"/>
  <c r="V2088" i="3"/>
  <c r="R2088" i="3"/>
  <c r="M2086" i="3"/>
  <c r="N2086" i="3" s="1"/>
  <c r="O2086" i="3" s="1"/>
  <c r="M2087" i="3"/>
  <c r="N2087" i="3" s="1"/>
  <c r="Y2087" i="3"/>
  <c r="X2087" i="3"/>
  <c r="W2087" i="3"/>
  <c r="Y2086" i="3"/>
  <c r="X2086" i="3"/>
  <c r="W2086" i="3"/>
  <c r="Z2086" i="3" s="1"/>
  <c r="AA2086" i="3" s="1"/>
  <c r="Y2083" i="3"/>
  <c r="X2083" i="3"/>
  <c r="W2083" i="3"/>
  <c r="S2084" i="3"/>
  <c r="T2084" i="3"/>
  <c r="U2084" i="3"/>
  <c r="V2084" i="3"/>
  <c r="R2084" i="3"/>
  <c r="M2083" i="3"/>
  <c r="N2083" i="3" s="1"/>
  <c r="P2084" i="3"/>
  <c r="L2084" i="3"/>
  <c r="I2083" i="3"/>
  <c r="J2083" i="3" s="1"/>
  <c r="Y2080" i="3"/>
  <c r="X2080" i="3"/>
  <c r="W2080" i="3"/>
  <c r="S2081" i="3"/>
  <c r="T2081" i="3"/>
  <c r="U2081" i="3"/>
  <c r="V2081" i="3"/>
  <c r="R2081" i="3"/>
  <c r="P2081" i="3"/>
  <c r="M2080" i="3"/>
  <c r="N2080" i="3" s="1"/>
  <c r="N2081" i="3" s="1"/>
  <c r="L2081" i="3"/>
  <c r="I2080" i="3"/>
  <c r="J2080" i="3" s="1"/>
  <c r="M2077" i="3"/>
  <c r="N2077" i="3" s="1"/>
  <c r="M2076" i="3"/>
  <c r="N2076" i="3" s="1"/>
  <c r="O2076" i="3" s="1"/>
  <c r="M2075" i="3"/>
  <c r="N2075" i="3" s="1"/>
  <c r="O2075" i="3" s="1"/>
  <c r="M2074" i="3"/>
  <c r="N2074" i="3" s="1"/>
  <c r="W2075" i="3"/>
  <c r="Z2075" i="3" s="1"/>
  <c r="AA2075" i="3" s="1"/>
  <c r="X2075" i="3"/>
  <c r="Y2075" i="3"/>
  <c r="W2076" i="3"/>
  <c r="X2076" i="3"/>
  <c r="Y2076" i="3"/>
  <c r="W2077" i="3"/>
  <c r="Z2077" i="3" s="1"/>
  <c r="AA2077" i="3" s="1"/>
  <c r="X2077" i="3"/>
  <c r="Y2077" i="3"/>
  <c r="Y2074" i="3"/>
  <c r="X2074" i="3"/>
  <c r="W2074" i="3"/>
  <c r="S2078" i="3"/>
  <c r="T2078" i="3"/>
  <c r="U2078" i="3"/>
  <c r="V2078" i="3"/>
  <c r="R2078" i="3"/>
  <c r="P2078" i="3"/>
  <c r="L2078" i="3"/>
  <c r="I2077" i="3"/>
  <c r="I2076" i="3"/>
  <c r="J2076" i="3" s="1"/>
  <c r="I2075" i="3"/>
  <c r="J2075" i="3" s="1"/>
  <c r="I2074" i="3"/>
  <c r="J2074" i="3" s="1"/>
  <c r="W2046" i="3"/>
  <c r="Y2096" i="3" l="1"/>
  <c r="X992" i="3"/>
  <c r="Y2104" i="3"/>
  <c r="Y992" i="3"/>
  <c r="AB991" i="3"/>
  <c r="AC2103" i="3"/>
  <c r="AB992" i="3"/>
  <c r="AB2102" i="3"/>
  <c r="AB2103" i="3"/>
  <c r="X2104" i="3"/>
  <c r="W2104" i="3"/>
  <c r="Z2102" i="3"/>
  <c r="AA2102" i="3" s="1"/>
  <c r="M2104" i="3"/>
  <c r="O2102" i="3"/>
  <c r="N2104" i="3"/>
  <c r="O2104" i="3" s="1"/>
  <c r="Z992" i="3"/>
  <c r="AA992" i="3" s="1"/>
  <c r="N991" i="3"/>
  <c r="Y2100" i="3"/>
  <c r="M2100" i="3"/>
  <c r="N2100" i="3"/>
  <c r="O2100" i="3" s="1"/>
  <c r="AB2099" i="3"/>
  <c r="W2100" i="3"/>
  <c r="AB2098" i="3"/>
  <c r="X2100" i="3"/>
  <c r="Z2099" i="3"/>
  <c r="AA2099" i="3" s="1"/>
  <c r="AC2099" i="3" s="1"/>
  <c r="O2098" i="3"/>
  <c r="AC2098" i="3" s="1"/>
  <c r="M2092" i="3"/>
  <c r="Y2092" i="3"/>
  <c r="N2092" i="3"/>
  <c r="O2092" i="3" s="1"/>
  <c r="AB2091" i="3"/>
  <c r="X2096" i="3"/>
  <c r="AB2090" i="3"/>
  <c r="X2092" i="3"/>
  <c r="M2096" i="3"/>
  <c r="W2092" i="3"/>
  <c r="W2096" i="3"/>
  <c r="Z2096" i="3" s="1"/>
  <c r="AA2096" i="3" s="1"/>
  <c r="AB2094" i="3"/>
  <c r="Z2094" i="3"/>
  <c r="AA2094" i="3" s="1"/>
  <c r="AB2095" i="3"/>
  <c r="Z2091" i="3"/>
  <c r="AA2091" i="3" s="1"/>
  <c r="AC2091" i="3" s="1"/>
  <c r="O2094" i="3"/>
  <c r="N2095" i="3"/>
  <c r="O2095" i="3" s="1"/>
  <c r="AC2095" i="3" s="1"/>
  <c r="O2090" i="3"/>
  <c r="AC2090" i="3" s="1"/>
  <c r="Y2084" i="3"/>
  <c r="AB2087" i="3"/>
  <c r="M2088" i="3"/>
  <c r="N2088" i="3"/>
  <c r="O2088" i="3" s="1"/>
  <c r="O2081" i="3"/>
  <c r="X2088" i="3"/>
  <c r="W2088" i="3"/>
  <c r="Z2088" i="3" s="1"/>
  <c r="AA2088" i="3" s="1"/>
  <c r="AC2086" i="3"/>
  <c r="O2087" i="3"/>
  <c r="W2084" i="3"/>
  <c r="Z2084" i="3" s="1"/>
  <c r="AA2084" i="3" s="1"/>
  <c r="AB2086" i="3"/>
  <c r="X2084" i="3"/>
  <c r="O2080" i="3"/>
  <c r="AB2080" i="3"/>
  <c r="AB2083" i="3"/>
  <c r="Z2087" i="3"/>
  <c r="AA2087" i="3" s="1"/>
  <c r="Z2083" i="3"/>
  <c r="AA2083" i="3" s="1"/>
  <c r="N2084" i="3"/>
  <c r="O2084" i="3" s="1"/>
  <c r="O2083" i="3"/>
  <c r="M2084" i="3"/>
  <c r="M2078" i="3"/>
  <c r="Y2081" i="3"/>
  <c r="W2081" i="3"/>
  <c r="Z2081" i="3" s="1"/>
  <c r="AA2081" i="3" s="1"/>
  <c r="X2081" i="3"/>
  <c r="Z2080" i="3"/>
  <c r="AA2080" i="3" s="1"/>
  <c r="M2081" i="3"/>
  <c r="O2074" i="3"/>
  <c r="N2078" i="3"/>
  <c r="O2078" i="3" s="1"/>
  <c r="Y2078" i="3"/>
  <c r="AB2074" i="3"/>
  <c r="AC2075" i="3"/>
  <c r="AB2076" i="3"/>
  <c r="O2077" i="3"/>
  <c r="AC2077" i="3" s="1"/>
  <c r="AB2075" i="3"/>
  <c r="W2078" i="3"/>
  <c r="Z2078" i="3" s="1"/>
  <c r="AA2078" i="3" s="1"/>
  <c r="X2078" i="3"/>
  <c r="Z2076" i="3"/>
  <c r="AA2076" i="3" s="1"/>
  <c r="AC2076" i="3" s="1"/>
  <c r="AB2077" i="3"/>
  <c r="Z2074" i="3"/>
  <c r="AA2074" i="3" s="1"/>
  <c r="N2037" i="3"/>
  <c r="O2037" i="3" s="1"/>
  <c r="T2051" i="3"/>
  <c r="T2067" i="3" s="1"/>
  <c r="V2051" i="3"/>
  <c r="V2067" i="3" s="1"/>
  <c r="L2051" i="3"/>
  <c r="L2067" i="3" s="1"/>
  <c r="X2050" i="3"/>
  <c r="W2050" i="3"/>
  <c r="AB2050" i="3" s="1"/>
  <c r="P2050" i="3"/>
  <c r="N2050" i="3"/>
  <c r="O2050" i="3" s="1"/>
  <c r="AB2092" i="3" l="1"/>
  <c r="AC2102" i="3"/>
  <c r="AB2104" i="3"/>
  <c r="Z2104" i="3"/>
  <c r="AA2104" i="3" s="1"/>
  <c r="AC2104" i="3" s="1"/>
  <c r="N992" i="3"/>
  <c r="O992" i="3" s="1"/>
  <c r="O991" i="3"/>
  <c r="AC2094" i="3"/>
  <c r="AB2100" i="3"/>
  <c r="Z2100" i="3"/>
  <c r="AA2100" i="3" s="1"/>
  <c r="AC2100" i="3" s="1"/>
  <c r="AB2096" i="3"/>
  <c r="Z2092" i="3"/>
  <c r="AA2092" i="3" s="1"/>
  <c r="AC2092" i="3" s="1"/>
  <c r="N2096" i="3"/>
  <c r="O2096" i="3" s="1"/>
  <c r="AC2096" i="3" s="1"/>
  <c r="AC2087" i="3"/>
  <c r="AB2088" i="3"/>
  <c r="AC2088" i="3"/>
  <c r="AB2084" i="3"/>
  <c r="AC2074" i="3"/>
  <c r="AB2081" i="3"/>
  <c r="AC2078" i="3"/>
  <c r="AB2078" i="3"/>
  <c r="Z2050" i="3"/>
  <c r="AA2050" i="3" s="1"/>
  <c r="AC2050" i="3" s="1"/>
  <c r="Y2050" i="3"/>
  <c r="P2038" i="3" l="1"/>
  <c r="P2039" i="3"/>
  <c r="P2040" i="3"/>
  <c r="P2041" i="3"/>
  <c r="P2042" i="3"/>
  <c r="P2043" i="3"/>
  <c r="P2044" i="3"/>
  <c r="P2045" i="3"/>
  <c r="P2046" i="3"/>
  <c r="P2047" i="3"/>
  <c r="P2048" i="3"/>
  <c r="P2049" i="3"/>
  <c r="P2052" i="3"/>
  <c r="P2053" i="3"/>
  <c r="P2054" i="3"/>
  <c r="P2055" i="3"/>
  <c r="P2056" i="3"/>
  <c r="P2057" i="3"/>
  <c r="P2058" i="3"/>
  <c r="P2059" i="3"/>
  <c r="P2060" i="3"/>
  <c r="P2061" i="3"/>
  <c r="P2062" i="3"/>
  <c r="P2063" i="3"/>
  <c r="P2064" i="3"/>
  <c r="P2065" i="3"/>
  <c r="P2066" i="3"/>
  <c r="P2037" i="3"/>
  <c r="P2051" i="3" l="1"/>
  <c r="M2054" i="3"/>
  <c r="M2053" i="3"/>
  <c r="M2056" i="3"/>
  <c r="M2057" i="3"/>
  <c r="M2058" i="3"/>
  <c r="M2059" i="3"/>
  <c r="M2060" i="3"/>
  <c r="M2061" i="3"/>
  <c r="M2062" i="3"/>
  <c r="M2063" i="3"/>
  <c r="M2064" i="3"/>
  <c r="M2065" i="3"/>
  <c r="M2066" i="3"/>
  <c r="M2055" i="3"/>
  <c r="M2041" i="3"/>
  <c r="M2051" i="3" s="1"/>
  <c r="P2067" i="3" l="1"/>
  <c r="M2052" i="3"/>
  <c r="M2067" i="3" s="1"/>
  <c r="W2039" i="3" l="1"/>
  <c r="U2037" i="3"/>
  <c r="S2037" i="3"/>
  <c r="R2037" i="3"/>
  <c r="R2051" i="3" s="1"/>
  <c r="R2067" i="3" s="1"/>
  <c r="W2037" i="3" l="1"/>
  <c r="Z2037" i="3" s="1"/>
  <c r="AA2037" i="3" s="1"/>
  <c r="S2051" i="3"/>
  <c r="U2051" i="3"/>
  <c r="Y2037" i="3"/>
  <c r="N2048" i="3"/>
  <c r="O2048" i="3" s="1"/>
  <c r="N2049" i="3"/>
  <c r="O2049" i="3" s="1"/>
  <c r="N2052" i="3"/>
  <c r="O2052" i="3" s="1"/>
  <c r="N2053" i="3"/>
  <c r="O2053" i="3" s="1"/>
  <c r="N2054" i="3"/>
  <c r="O2054" i="3" s="1"/>
  <c r="N2055" i="3"/>
  <c r="O2055" i="3" s="1"/>
  <c r="N2056" i="3"/>
  <c r="O2056" i="3" s="1"/>
  <c r="N2057" i="3"/>
  <c r="O2057" i="3" s="1"/>
  <c r="N2058" i="3"/>
  <c r="O2058" i="3" s="1"/>
  <c r="N2059" i="3"/>
  <c r="O2059" i="3" s="1"/>
  <c r="N2060" i="3"/>
  <c r="O2060" i="3" s="1"/>
  <c r="N2061" i="3"/>
  <c r="O2061" i="3" s="1"/>
  <c r="N2062" i="3"/>
  <c r="O2062" i="3" s="1"/>
  <c r="N2063" i="3"/>
  <c r="O2063" i="3" s="1"/>
  <c r="N2064" i="3"/>
  <c r="O2064" i="3" s="1"/>
  <c r="N2065" i="3"/>
  <c r="O2065" i="3" s="1"/>
  <c r="N2066" i="3"/>
  <c r="O2066" i="3" s="1"/>
  <c r="N2047" i="3"/>
  <c r="O2047" i="3" s="1"/>
  <c r="N2046" i="3"/>
  <c r="O2046" i="3" s="1"/>
  <c r="N2045" i="3"/>
  <c r="O2045" i="3" s="1"/>
  <c r="N2044" i="3"/>
  <c r="O2044" i="3" s="1"/>
  <c r="N2043" i="3"/>
  <c r="O2043" i="3" s="1"/>
  <c r="N2042" i="3"/>
  <c r="O2042" i="3" s="1"/>
  <c r="N2041" i="3"/>
  <c r="O2041" i="3" s="1"/>
  <c r="N2040" i="3"/>
  <c r="O2040" i="3" s="1"/>
  <c r="N2039" i="3"/>
  <c r="O2039" i="3" s="1"/>
  <c r="N2038" i="3"/>
  <c r="S2072" i="3"/>
  <c r="T2072" i="3"/>
  <c r="U2072" i="3"/>
  <c r="V2072" i="3"/>
  <c r="R2072" i="3"/>
  <c r="Y2071" i="3"/>
  <c r="X2071" i="3"/>
  <c r="W2071" i="3"/>
  <c r="Z2071" i="3" s="1"/>
  <c r="AA2071" i="3" s="1"/>
  <c r="Y2070" i="3"/>
  <c r="X2070" i="3"/>
  <c r="W2070" i="3"/>
  <c r="Z2070" i="3" s="1"/>
  <c r="AA2070" i="3" s="1"/>
  <c r="Y2069" i="3"/>
  <c r="X2069" i="3"/>
  <c r="W2069" i="3"/>
  <c r="AB2069" i="3" s="1"/>
  <c r="W2048" i="3"/>
  <c r="AB2048" i="3" s="1"/>
  <c r="X2048" i="3"/>
  <c r="Y2048" i="3"/>
  <c r="W2049" i="3"/>
  <c r="Z2049" i="3" s="1"/>
  <c r="AA2049" i="3" s="1"/>
  <c r="X2049" i="3"/>
  <c r="Y2049" i="3"/>
  <c r="W2052" i="3"/>
  <c r="AB2052" i="3" s="1"/>
  <c r="X2052" i="3"/>
  <c r="Y2052" i="3"/>
  <c r="W2053" i="3"/>
  <c r="Z2053" i="3" s="1"/>
  <c r="AA2053" i="3" s="1"/>
  <c r="X2053" i="3"/>
  <c r="Y2053" i="3"/>
  <c r="W2054" i="3"/>
  <c r="AB2054" i="3" s="1"/>
  <c r="X2054" i="3"/>
  <c r="Y2054" i="3"/>
  <c r="W2055" i="3"/>
  <c r="Z2055" i="3" s="1"/>
  <c r="AA2055" i="3" s="1"/>
  <c r="X2055" i="3"/>
  <c r="Y2055" i="3"/>
  <c r="W2056" i="3"/>
  <c r="Z2056" i="3" s="1"/>
  <c r="AA2056" i="3" s="1"/>
  <c r="X2056" i="3"/>
  <c r="Y2056" i="3"/>
  <c r="W2057" i="3"/>
  <c r="AB2057" i="3" s="1"/>
  <c r="X2057" i="3"/>
  <c r="Y2057" i="3"/>
  <c r="W2058" i="3"/>
  <c r="Z2058" i="3" s="1"/>
  <c r="AA2058" i="3" s="1"/>
  <c r="X2058" i="3"/>
  <c r="Y2058" i="3"/>
  <c r="W2059" i="3"/>
  <c r="Z2059" i="3" s="1"/>
  <c r="AA2059" i="3" s="1"/>
  <c r="X2059" i="3"/>
  <c r="Y2059" i="3"/>
  <c r="W2060" i="3"/>
  <c r="Z2060" i="3" s="1"/>
  <c r="AA2060" i="3" s="1"/>
  <c r="X2060" i="3"/>
  <c r="Y2060" i="3"/>
  <c r="W2061" i="3"/>
  <c r="AB2061" i="3" s="1"/>
  <c r="X2061" i="3"/>
  <c r="Y2061" i="3"/>
  <c r="W2062" i="3"/>
  <c r="AB2062" i="3" s="1"/>
  <c r="X2062" i="3"/>
  <c r="Y2062" i="3"/>
  <c r="W2063" i="3"/>
  <c r="Z2063" i="3" s="1"/>
  <c r="AA2063" i="3" s="1"/>
  <c r="X2063" i="3"/>
  <c r="Y2063" i="3"/>
  <c r="W2064" i="3"/>
  <c r="Z2064" i="3" s="1"/>
  <c r="AA2064" i="3" s="1"/>
  <c r="X2064" i="3"/>
  <c r="Y2064" i="3"/>
  <c r="W2065" i="3"/>
  <c r="AB2065" i="3" s="1"/>
  <c r="X2065" i="3"/>
  <c r="Y2065" i="3"/>
  <c r="W2066" i="3"/>
  <c r="Z2066" i="3" s="1"/>
  <c r="AA2066" i="3" s="1"/>
  <c r="X2066" i="3"/>
  <c r="Y2066" i="3"/>
  <c r="Y2047" i="3"/>
  <c r="X2047" i="3"/>
  <c r="W2047" i="3"/>
  <c r="AB2047" i="3" s="1"/>
  <c r="Y2046" i="3"/>
  <c r="X2046" i="3"/>
  <c r="AB2046" i="3"/>
  <c r="Y2045" i="3"/>
  <c r="X2045" i="3"/>
  <c r="W2045" i="3"/>
  <c r="Z2045" i="3" s="1"/>
  <c r="AA2045" i="3" s="1"/>
  <c r="Y2044" i="3"/>
  <c r="X2044" i="3"/>
  <c r="W2044" i="3"/>
  <c r="Z2044" i="3" s="1"/>
  <c r="AA2044" i="3" s="1"/>
  <c r="Y2043" i="3"/>
  <c r="X2043" i="3"/>
  <c r="W2043" i="3"/>
  <c r="Y2042" i="3"/>
  <c r="X2042" i="3"/>
  <c r="W2042" i="3"/>
  <c r="Z2042" i="3" s="1"/>
  <c r="AA2042" i="3" s="1"/>
  <c r="Y2041" i="3"/>
  <c r="X2041" i="3"/>
  <c r="W2041" i="3"/>
  <c r="AB2041" i="3" s="1"/>
  <c r="Y2040" i="3"/>
  <c r="X2040" i="3"/>
  <c r="W2040" i="3"/>
  <c r="Z2040" i="3" s="1"/>
  <c r="AA2040" i="3" s="1"/>
  <c r="Y2039" i="3"/>
  <c r="X2039" i="3"/>
  <c r="AB2039" i="3"/>
  <c r="Y2038" i="3"/>
  <c r="X2038" i="3"/>
  <c r="W2038" i="3"/>
  <c r="AB2038" i="3" s="1"/>
  <c r="X2037" i="3"/>
  <c r="AB2055" i="3" l="1"/>
  <c r="U2067" i="3"/>
  <c r="Y2067" i="3" s="1"/>
  <c r="Y2051" i="3"/>
  <c r="S2067" i="3"/>
  <c r="X2067" i="3" s="1"/>
  <c r="X2051" i="3"/>
  <c r="Z2065" i="3"/>
  <c r="AA2065" i="3" s="1"/>
  <c r="AC2065" i="3" s="1"/>
  <c r="Z2052" i="3"/>
  <c r="AA2052" i="3" s="1"/>
  <c r="AC2052" i="3" s="1"/>
  <c r="O2038" i="3"/>
  <c r="N2051" i="3"/>
  <c r="AB2043" i="3"/>
  <c r="W2051" i="3"/>
  <c r="AB2059" i="3"/>
  <c r="Z2054" i="3"/>
  <c r="AA2054" i="3" s="1"/>
  <c r="AC2054" i="3" s="1"/>
  <c r="Z2061" i="3"/>
  <c r="AA2061" i="3" s="1"/>
  <c r="AC2061" i="3" s="1"/>
  <c r="Z2057" i="3"/>
  <c r="AA2057" i="3" s="1"/>
  <c r="AC2057" i="3" s="1"/>
  <c r="AB2063" i="3"/>
  <c r="AB2060" i="3"/>
  <c r="AB2053" i="3"/>
  <c r="AB2071" i="3"/>
  <c r="W2072" i="3"/>
  <c r="X2072" i="3"/>
  <c r="AB2070" i="3"/>
  <c r="Z2069" i="3"/>
  <c r="AA2069" i="3" s="1"/>
  <c r="Z2048" i="3"/>
  <c r="AA2048" i="3" s="1"/>
  <c r="AC2048" i="3" s="1"/>
  <c r="AB2045" i="3"/>
  <c r="AB2044" i="3"/>
  <c r="Z2043" i="3"/>
  <c r="AA2043" i="3" s="1"/>
  <c r="AC2043" i="3" s="1"/>
  <c r="AB2042" i="3"/>
  <c r="Z2041" i="3"/>
  <c r="AA2041" i="3" s="1"/>
  <c r="AC2041" i="3" s="1"/>
  <c r="AB2037" i="3"/>
  <c r="AC2058" i="3"/>
  <c r="AC2064" i="3"/>
  <c r="AC2066" i="3"/>
  <c r="AC2056" i="3"/>
  <c r="AC2049" i="3"/>
  <c r="AC2055" i="3"/>
  <c r="AC2063" i="3"/>
  <c r="AC2060" i="3"/>
  <c r="AC2059" i="3"/>
  <c r="AC2053" i="3"/>
  <c r="AC2037" i="3"/>
  <c r="AC2045" i="3"/>
  <c r="AC2040" i="3"/>
  <c r="AC2044" i="3"/>
  <c r="AC2042" i="3"/>
  <c r="AB2064" i="3"/>
  <c r="Z2062" i="3"/>
  <c r="AA2062" i="3" s="1"/>
  <c r="AC2062" i="3" s="1"/>
  <c r="AB2056" i="3"/>
  <c r="AB2066" i="3"/>
  <c r="AB2058" i="3"/>
  <c r="AB2049" i="3"/>
  <c r="Z2047" i="3"/>
  <c r="AA2047" i="3" s="1"/>
  <c r="AC2047" i="3" s="1"/>
  <c r="Z2038" i="3"/>
  <c r="AA2038" i="3" s="1"/>
  <c r="AB2040" i="3"/>
  <c r="Z2046" i="3"/>
  <c r="AA2046" i="3" s="1"/>
  <c r="AC2046" i="3" s="1"/>
  <c r="Z2039" i="3"/>
  <c r="AA2039" i="3" s="1"/>
  <c r="AC2039" i="3" s="1"/>
  <c r="N2071" i="3"/>
  <c r="O2071" i="3" s="1"/>
  <c r="AC2071" i="3" s="1"/>
  <c r="N2070" i="3"/>
  <c r="O2070" i="3" s="1"/>
  <c r="AC2070" i="3" s="1"/>
  <c r="N2069" i="3"/>
  <c r="M2072" i="3"/>
  <c r="P2072" i="3"/>
  <c r="Y2072" i="3" s="1"/>
  <c r="L2072" i="3"/>
  <c r="W2067" i="3" l="1"/>
  <c r="Z2067" i="3" s="1"/>
  <c r="AA2067" i="3" s="1"/>
  <c r="AC2038" i="3"/>
  <c r="O2051" i="3"/>
  <c r="N2067" i="3"/>
  <c r="O2067" i="3" s="1"/>
  <c r="Z2051" i="3"/>
  <c r="AA2051" i="3" s="1"/>
  <c r="AB2051" i="3"/>
  <c r="Z2072" i="3"/>
  <c r="AA2072" i="3" s="1"/>
  <c r="AB2072" i="3"/>
  <c r="N2072" i="3"/>
  <c r="O2072" i="3" s="1"/>
  <c r="O2069" i="3"/>
  <c r="AC2069" i="3" s="1"/>
  <c r="AB2067" i="3" l="1"/>
  <c r="AC2067" i="3"/>
  <c r="AC2051" i="3"/>
  <c r="AC2072" i="3"/>
  <c r="I2056" i="3"/>
  <c r="I2057" i="3"/>
  <c r="J2057" i="3" s="1"/>
  <c r="I2058" i="3"/>
  <c r="J2058" i="3" s="1"/>
  <c r="I2059" i="3"/>
  <c r="I2060" i="3"/>
  <c r="J2060" i="3" s="1"/>
  <c r="I2061" i="3"/>
  <c r="J2061" i="3" s="1"/>
  <c r="I2062" i="3"/>
  <c r="I2063" i="3"/>
  <c r="J2063" i="3" s="1"/>
  <c r="I2064" i="3"/>
  <c r="J2064" i="3" s="1"/>
  <c r="I2065" i="3"/>
  <c r="I2066" i="3"/>
  <c r="J2066" i="3" s="1"/>
  <c r="I2055" i="3"/>
  <c r="J2055" i="3" s="1"/>
  <c r="S2035" i="3"/>
  <c r="T2035" i="3"/>
  <c r="U2035" i="3"/>
  <c r="V2035" i="3"/>
  <c r="R2035" i="3"/>
  <c r="Y2034" i="3"/>
  <c r="X2034" i="3"/>
  <c r="W2034" i="3"/>
  <c r="AB2034" i="3" s="1"/>
  <c r="P2035" i="3"/>
  <c r="M2035" i="3"/>
  <c r="N2035" i="3"/>
  <c r="L2035" i="3"/>
  <c r="Y2029" i="3"/>
  <c r="Y2030" i="3"/>
  <c r="Y2031" i="3"/>
  <c r="Y2028" i="3"/>
  <c r="X2031" i="3"/>
  <c r="W2031" i="3"/>
  <c r="Z2031" i="3" s="1"/>
  <c r="AA2031" i="3" s="1"/>
  <c r="X2030" i="3"/>
  <c r="W2030" i="3"/>
  <c r="Z2030" i="3" s="1"/>
  <c r="AA2030" i="3" s="1"/>
  <c r="X2029" i="3"/>
  <c r="W2029" i="3"/>
  <c r="X2028" i="3"/>
  <c r="W2028" i="3"/>
  <c r="Z2028" i="3" s="1"/>
  <c r="AA2028" i="3" s="1"/>
  <c r="S2032" i="3"/>
  <c r="T2032" i="3"/>
  <c r="U2032" i="3"/>
  <c r="V2032" i="3"/>
  <c r="R2032" i="3"/>
  <c r="P2032" i="3"/>
  <c r="N2031" i="3"/>
  <c r="O2031" i="3" s="1"/>
  <c r="N2030" i="3"/>
  <c r="O2030" i="3" s="1"/>
  <c r="N2028" i="3"/>
  <c r="O2028" i="3" s="1"/>
  <c r="M2029" i="3"/>
  <c r="N2029" i="3" s="1"/>
  <c r="O2029" i="3" s="1"/>
  <c r="L2032" i="3"/>
  <c r="S2026" i="3"/>
  <c r="T2026" i="3"/>
  <c r="U2026" i="3"/>
  <c r="V2026" i="3"/>
  <c r="R2026" i="3"/>
  <c r="W2015" i="3"/>
  <c r="Z2015" i="3" s="1"/>
  <c r="AA2015" i="3" s="1"/>
  <c r="X2015" i="3"/>
  <c r="Y2015" i="3"/>
  <c r="W2016" i="3"/>
  <c r="AB2016" i="3" s="1"/>
  <c r="X2016" i="3"/>
  <c r="Y2016" i="3"/>
  <c r="W2017" i="3"/>
  <c r="Z2017" i="3" s="1"/>
  <c r="AA2017" i="3" s="1"/>
  <c r="X2017" i="3"/>
  <c r="Y2017" i="3"/>
  <c r="W2018" i="3"/>
  <c r="Z2018" i="3" s="1"/>
  <c r="AA2018" i="3" s="1"/>
  <c r="X2018" i="3"/>
  <c r="Y2018" i="3"/>
  <c r="W2019" i="3"/>
  <c r="AB2019" i="3" s="1"/>
  <c r="X2019" i="3"/>
  <c r="Y2019" i="3"/>
  <c r="Y2025" i="3"/>
  <c r="X2025" i="3"/>
  <c r="W2025" i="3"/>
  <c r="Z2025" i="3" s="1"/>
  <c r="AA2025" i="3" s="1"/>
  <c r="Y2024" i="3"/>
  <c r="X2024" i="3"/>
  <c r="W2024" i="3"/>
  <c r="Z2024" i="3" s="1"/>
  <c r="AA2024" i="3" s="1"/>
  <c r="Y2023" i="3"/>
  <c r="X2023" i="3"/>
  <c r="W2023" i="3"/>
  <c r="Z2023" i="3" s="1"/>
  <c r="AA2023" i="3" s="1"/>
  <c r="Y2022" i="3"/>
  <c r="X2022" i="3"/>
  <c r="W2022" i="3"/>
  <c r="AB2022" i="3" s="1"/>
  <c r="Y2021" i="3"/>
  <c r="X2021" i="3"/>
  <c r="W2021" i="3"/>
  <c r="AB2021" i="3" s="1"/>
  <c r="Y2020" i="3"/>
  <c r="X2020" i="3"/>
  <c r="W2020" i="3"/>
  <c r="Z2020" i="3" s="1"/>
  <c r="AA2020" i="3" s="1"/>
  <c r="P2026" i="3"/>
  <c r="N2016" i="3"/>
  <c r="O2016" i="3" s="1"/>
  <c r="N2017" i="3"/>
  <c r="O2017" i="3" s="1"/>
  <c r="N2018" i="3"/>
  <c r="O2018" i="3" s="1"/>
  <c r="N2019" i="3"/>
  <c r="O2019" i="3" s="1"/>
  <c r="N2020" i="3"/>
  <c r="O2020" i="3" s="1"/>
  <c r="N2021" i="3"/>
  <c r="O2021" i="3" s="1"/>
  <c r="N2022" i="3"/>
  <c r="O2022" i="3" s="1"/>
  <c r="N2023" i="3"/>
  <c r="O2023" i="3" s="1"/>
  <c r="N2024" i="3"/>
  <c r="O2024" i="3" s="1"/>
  <c r="N2025" i="3"/>
  <c r="O2025" i="3" s="1"/>
  <c r="N2015" i="3"/>
  <c r="O2015" i="3" s="1"/>
  <c r="M2026" i="3"/>
  <c r="L2026" i="3"/>
  <c r="M2032" i="3" l="1"/>
  <c r="AB2029" i="3"/>
  <c r="Y2026" i="3"/>
  <c r="AC2030" i="3"/>
  <c r="AC2031" i="3"/>
  <c r="N2032" i="3"/>
  <c r="O2032" i="3" s="1"/>
  <c r="AC2028" i="3"/>
  <c r="AC2018" i="3"/>
  <c r="X2032" i="3"/>
  <c r="Y2032" i="3"/>
  <c r="Y2035" i="3"/>
  <c r="AC2015" i="3"/>
  <c r="AC2023" i="3"/>
  <c r="AB2028" i="3"/>
  <c r="AC2017" i="3"/>
  <c r="AC2024" i="3"/>
  <c r="AC2025" i="3"/>
  <c r="AC2020" i="3"/>
  <c r="X2035" i="3"/>
  <c r="W2035" i="3"/>
  <c r="Z2034" i="3"/>
  <c r="AA2034" i="3" s="1"/>
  <c r="AC2034" i="3" s="1"/>
  <c r="W2026" i="3"/>
  <c r="AB2026" i="3" s="1"/>
  <c r="X2026" i="3"/>
  <c r="AB2030" i="3"/>
  <c r="Z2029" i="3"/>
  <c r="AA2029" i="3" s="1"/>
  <c r="AC2029" i="3" s="1"/>
  <c r="W2032" i="3"/>
  <c r="AB2031" i="3"/>
  <c r="AB2025" i="3"/>
  <c r="AB2024" i="3"/>
  <c r="AB2015" i="3"/>
  <c r="AB2020" i="3"/>
  <c r="Z2019" i="3"/>
  <c r="AA2019" i="3" s="1"/>
  <c r="AC2019" i="3" s="1"/>
  <c r="AB2017" i="3"/>
  <c r="AB2018" i="3"/>
  <c r="Z2016" i="3"/>
  <c r="AA2016" i="3" s="1"/>
  <c r="AC2016" i="3" s="1"/>
  <c r="Z2022" i="3"/>
  <c r="AA2022" i="3" s="1"/>
  <c r="AC2022" i="3" s="1"/>
  <c r="Z2021" i="3"/>
  <c r="AA2021" i="3" s="1"/>
  <c r="AC2021" i="3" s="1"/>
  <c r="AB2023" i="3"/>
  <c r="N2026" i="3"/>
  <c r="O2026" i="3" s="1"/>
  <c r="AB2035" i="3" l="1"/>
  <c r="Z2035" i="3"/>
  <c r="AA2035" i="3" s="1"/>
  <c r="AC2035" i="3" s="1"/>
  <c r="Z2032" i="3"/>
  <c r="AA2032" i="3" s="1"/>
  <c r="AC2032" i="3" s="1"/>
  <c r="AB2032" i="3"/>
  <c r="Z2026" i="3"/>
  <c r="AA2026" i="3" s="1"/>
  <c r="AC2026" i="3" s="1"/>
  <c r="I2012" i="3"/>
  <c r="I2011" i="3"/>
  <c r="J2011" i="3" s="1"/>
  <c r="Y2012" i="3"/>
  <c r="X2012" i="3"/>
  <c r="W2012" i="3"/>
  <c r="Y2011" i="3"/>
  <c r="X2011" i="3"/>
  <c r="W2011" i="3"/>
  <c r="Z2011" i="3" s="1"/>
  <c r="AA2011" i="3" s="1"/>
  <c r="S2013" i="3"/>
  <c r="T2013" i="3"/>
  <c r="U2013" i="3"/>
  <c r="V2013" i="3"/>
  <c r="R2013" i="3"/>
  <c r="P2013" i="3"/>
  <c r="M2011" i="3"/>
  <c r="N2011" i="3" s="1"/>
  <c r="O2011" i="3" s="1"/>
  <c r="M2012" i="3"/>
  <c r="L2013" i="3"/>
  <c r="Y2013" i="3" l="1"/>
  <c r="M2013" i="3"/>
  <c r="AB2012" i="3"/>
  <c r="AC2011" i="3"/>
  <c r="X2013" i="3"/>
  <c r="W2013" i="3"/>
  <c r="AB2011" i="3"/>
  <c r="Z2012" i="3"/>
  <c r="AA2012" i="3" s="1"/>
  <c r="N2012" i="3"/>
  <c r="N2013" i="3" s="1"/>
  <c r="O2013" i="3" s="1"/>
  <c r="AB2013" i="3" l="1"/>
  <c r="Z2013" i="3"/>
  <c r="AA2013" i="3" s="1"/>
  <c r="AC2013" i="3" s="1"/>
  <c r="O2012" i="3"/>
  <c r="AC2012" i="3" s="1"/>
  <c r="S2009" i="3" l="1"/>
  <c r="T2009" i="3"/>
  <c r="U2009" i="3"/>
  <c r="V2009" i="3"/>
  <c r="R2009" i="3"/>
  <c r="P2009" i="3"/>
  <c r="M2009" i="3"/>
  <c r="N2008" i="3"/>
  <c r="O2008" i="3" s="1"/>
  <c r="N2007" i="3"/>
  <c r="O2007" i="3" s="1"/>
  <c r="N2006" i="3"/>
  <c r="O2006" i="3" s="1"/>
  <c r="N2005" i="3"/>
  <c r="O2005" i="3" s="1"/>
  <c r="N2004" i="3"/>
  <c r="O2004" i="3" s="1"/>
  <c r="N2003" i="3"/>
  <c r="L2009" i="3"/>
  <c r="N2009" i="3" l="1"/>
  <c r="O2009" i="3" s="1"/>
  <c r="O2003" i="3"/>
  <c r="Y2009" i="3" l="1"/>
  <c r="X2009" i="3"/>
  <c r="W2009" i="3"/>
  <c r="AB2009" i="3" s="1"/>
  <c r="Y2008" i="3"/>
  <c r="X2008" i="3"/>
  <c r="W2008" i="3"/>
  <c r="AB2008" i="3" s="1"/>
  <c r="Y2007" i="3"/>
  <c r="X2007" i="3"/>
  <c r="W2007" i="3"/>
  <c r="Z2007" i="3" s="1"/>
  <c r="AA2007" i="3" s="1"/>
  <c r="AC2007" i="3" s="1"/>
  <c r="Y2006" i="3"/>
  <c r="X2006" i="3"/>
  <c r="W2006" i="3"/>
  <c r="Z2006" i="3" s="1"/>
  <c r="AA2006" i="3" s="1"/>
  <c r="AC2006" i="3" s="1"/>
  <c r="Y2005" i="3"/>
  <c r="X2005" i="3"/>
  <c r="W2005" i="3"/>
  <c r="Z2005" i="3" s="1"/>
  <c r="AA2005" i="3" s="1"/>
  <c r="AC2005" i="3" s="1"/>
  <c r="Y2004" i="3"/>
  <c r="X2004" i="3"/>
  <c r="W2004" i="3"/>
  <c r="AB2004" i="3" s="1"/>
  <c r="Y2003" i="3"/>
  <c r="X2003" i="3"/>
  <c r="W2003" i="3"/>
  <c r="AB2003" i="3" s="1"/>
  <c r="Y2000" i="3"/>
  <c r="X2000" i="3"/>
  <c r="W2000" i="3"/>
  <c r="Z2000" i="3" s="1"/>
  <c r="AA2000" i="3" s="1"/>
  <c r="S2001" i="3"/>
  <c r="T2001" i="3"/>
  <c r="U2001" i="3"/>
  <c r="V2001" i="3"/>
  <c r="R2001" i="3"/>
  <c r="P2001" i="3"/>
  <c r="M2000" i="3"/>
  <c r="M2001" i="3" s="1"/>
  <c r="L2001" i="3"/>
  <c r="I2000" i="3"/>
  <c r="J2000" i="3" s="1"/>
  <c r="Y2001" i="3" l="1"/>
  <c r="Z2003" i="3"/>
  <c r="AA2003" i="3" s="1"/>
  <c r="AC2003" i="3" s="1"/>
  <c r="AB2006" i="3"/>
  <c r="AB2005" i="3"/>
  <c r="Z2004" i="3"/>
  <c r="AA2004" i="3" s="1"/>
  <c r="AC2004" i="3" s="1"/>
  <c r="AB2007" i="3"/>
  <c r="Z2009" i="3"/>
  <c r="AA2009" i="3" s="1"/>
  <c r="AC2009" i="3" s="1"/>
  <c r="Z2008" i="3"/>
  <c r="AA2008" i="3" s="1"/>
  <c r="AC2008" i="3" s="1"/>
  <c r="X2001" i="3"/>
  <c r="AB2000" i="3"/>
  <c r="W2001" i="3"/>
  <c r="N2000" i="3"/>
  <c r="S1983" i="3"/>
  <c r="T1983" i="3"/>
  <c r="U1983" i="3"/>
  <c r="V1983" i="3"/>
  <c r="R1983" i="3"/>
  <c r="Y1982" i="3"/>
  <c r="X1982" i="3"/>
  <c r="W1982" i="3"/>
  <c r="Z1982" i="3" s="1"/>
  <c r="AA1982" i="3" s="1"/>
  <c r="P1983" i="3"/>
  <c r="N1982" i="3"/>
  <c r="L1983" i="3"/>
  <c r="Y1979" i="3"/>
  <c r="X1979" i="3"/>
  <c r="W1979" i="3"/>
  <c r="S1980" i="3"/>
  <c r="T1980" i="3"/>
  <c r="U1980" i="3"/>
  <c r="V1980" i="3"/>
  <c r="R1980" i="3"/>
  <c r="S1977" i="3"/>
  <c r="T1977" i="3"/>
  <c r="U1977" i="3"/>
  <c r="V1977" i="3"/>
  <c r="R1977" i="3"/>
  <c r="P1977" i="3"/>
  <c r="M1974" i="3"/>
  <c r="N1974" i="3" s="1"/>
  <c r="O1974" i="3" s="1"/>
  <c r="M1976" i="3"/>
  <c r="N1976" i="3" s="1"/>
  <c r="M1975" i="3"/>
  <c r="N1975" i="3" s="1"/>
  <c r="O1975" i="3" s="1"/>
  <c r="L1977" i="3"/>
  <c r="I1976" i="3"/>
  <c r="J1976" i="3" s="1"/>
  <c r="I1975" i="3"/>
  <c r="J1975" i="3" s="1"/>
  <c r="I1974" i="3"/>
  <c r="J1974" i="3" s="1"/>
  <c r="P1980" i="3"/>
  <c r="M1979" i="3"/>
  <c r="N1979" i="3" s="1"/>
  <c r="O1979" i="3" s="1"/>
  <c r="L1980" i="3"/>
  <c r="S1972" i="3"/>
  <c r="T1972" i="3"/>
  <c r="U1972" i="3"/>
  <c r="V1972" i="3"/>
  <c r="R1972" i="3"/>
  <c r="S1966" i="3"/>
  <c r="T1966" i="3"/>
  <c r="U1966" i="3"/>
  <c r="V1966" i="3"/>
  <c r="R1966" i="3"/>
  <c r="S1969" i="3"/>
  <c r="T1969" i="3"/>
  <c r="U1969" i="3"/>
  <c r="V1969" i="3"/>
  <c r="R1969" i="3"/>
  <c r="I1965" i="3"/>
  <c r="J1965" i="3" s="1"/>
  <c r="P1965" i="3"/>
  <c r="P1966" i="3" s="1"/>
  <c r="L1965" i="3"/>
  <c r="L1966" i="3" s="1"/>
  <c r="Y1983" i="3" l="1"/>
  <c r="Z2001" i="3"/>
  <c r="AA2001" i="3" s="1"/>
  <c r="AB2001" i="3"/>
  <c r="O2000" i="3"/>
  <c r="AC2000" i="3" s="1"/>
  <c r="N2001" i="3"/>
  <c r="O2001" i="3" s="1"/>
  <c r="X1983" i="3"/>
  <c r="AB1982" i="3"/>
  <c r="W1983" i="3"/>
  <c r="N1983" i="3"/>
  <c r="O1983" i="3" s="1"/>
  <c r="O1982" i="3"/>
  <c r="AC1982" i="3" s="1"/>
  <c r="M1983" i="3"/>
  <c r="M1980" i="3"/>
  <c r="Y1980" i="3"/>
  <c r="M1977" i="3"/>
  <c r="N1977" i="3"/>
  <c r="O1977" i="3" s="1"/>
  <c r="AB1979" i="3"/>
  <c r="X1980" i="3"/>
  <c r="W1980" i="3"/>
  <c r="Z1979" i="3"/>
  <c r="AA1979" i="3" s="1"/>
  <c r="AC1979" i="3" s="1"/>
  <c r="O1976" i="3"/>
  <c r="N1980" i="3"/>
  <c r="O1980" i="3" s="1"/>
  <c r="M1965" i="3"/>
  <c r="P1972" i="3"/>
  <c r="M1971" i="3"/>
  <c r="M1972" i="3" s="1"/>
  <c r="L1972" i="3"/>
  <c r="I1971" i="3"/>
  <c r="J1971" i="3" s="1"/>
  <c r="P1969" i="3"/>
  <c r="L1969" i="3"/>
  <c r="M1968" i="3"/>
  <c r="N1968" i="3" s="1"/>
  <c r="O1968" i="3" s="1"/>
  <c r="I1968" i="3"/>
  <c r="J1968" i="3" s="1"/>
  <c r="S1963" i="3"/>
  <c r="T1963" i="3"/>
  <c r="U1963" i="3"/>
  <c r="V1963" i="3"/>
  <c r="R1963" i="3"/>
  <c r="P1963" i="3"/>
  <c r="M1962" i="3"/>
  <c r="N1962" i="3" s="1"/>
  <c r="L1963" i="3"/>
  <c r="I1962" i="3"/>
  <c r="J1962" i="3" s="1"/>
  <c r="S1960" i="3"/>
  <c r="T1960" i="3"/>
  <c r="U1960" i="3"/>
  <c r="V1960" i="3"/>
  <c r="R1960" i="3"/>
  <c r="P1960" i="3"/>
  <c r="M1959" i="3"/>
  <c r="N1959" i="3" s="1"/>
  <c r="L1960" i="3"/>
  <c r="S1957" i="3"/>
  <c r="T1957" i="3"/>
  <c r="U1957" i="3"/>
  <c r="V1957" i="3"/>
  <c r="R1957" i="3"/>
  <c r="P1957" i="3"/>
  <c r="M1956" i="3"/>
  <c r="N1956" i="3" s="1"/>
  <c r="O1956" i="3" s="1"/>
  <c r="L1957" i="3"/>
  <c r="W1994" i="3"/>
  <c r="AC2001" i="3" l="1"/>
  <c r="AB1983" i="3"/>
  <c r="Z1983" i="3"/>
  <c r="AA1983" i="3" s="1"/>
  <c r="AC1983" i="3" s="1"/>
  <c r="M1957" i="3"/>
  <c r="AB1980" i="3"/>
  <c r="Z1980" i="3"/>
  <c r="AA1980" i="3" s="1"/>
  <c r="AC1980" i="3" s="1"/>
  <c r="X1957" i="3"/>
  <c r="N1971" i="3"/>
  <c r="O1971" i="3" s="1"/>
  <c r="M1960" i="3"/>
  <c r="M1969" i="3"/>
  <c r="N1965" i="3"/>
  <c r="M1966" i="3"/>
  <c r="N1969" i="3"/>
  <c r="O1969" i="3" s="1"/>
  <c r="O1962" i="3"/>
  <c r="N1963" i="3"/>
  <c r="O1963" i="3" s="1"/>
  <c r="M1963" i="3"/>
  <c r="O1959" i="3"/>
  <c r="N1960" i="3"/>
  <c r="O1960" i="3" s="1"/>
  <c r="N1957" i="3"/>
  <c r="O1957" i="3" s="1"/>
  <c r="H4" i="10"/>
  <c r="N1972" i="3" l="1"/>
  <c r="O1972" i="3" s="1"/>
  <c r="O1965" i="3"/>
  <c r="N1966" i="3"/>
  <c r="O1966" i="3" s="1"/>
  <c r="P1989" i="3"/>
  <c r="P1985" i="3"/>
  <c r="N1995" i="3"/>
  <c r="O1995" i="3" s="1"/>
  <c r="N1996" i="3"/>
  <c r="O1996" i="3" s="1"/>
  <c r="N1997" i="3"/>
  <c r="O1997" i="3" s="1"/>
  <c r="N1994" i="3"/>
  <c r="O1994" i="3" s="1"/>
  <c r="N1993" i="3"/>
  <c r="O1993" i="3" s="1"/>
  <c r="N1992" i="3"/>
  <c r="O1992" i="3" s="1"/>
  <c r="N1991" i="3"/>
  <c r="O1991" i="3" s="1"/>
  <c r="N1990" i="3"/>
  <c r="O1990" i="3" s="1"/>
  <c r="N1988" i="3"/>
  <c r="O1988" i="3" s="1"/>
  <c r="N1987" i="3"/>
  <c r="O1987" i="3" s="1"/>
  <c r="N1986" i="3"/>
  <c r="O1986" i="3" s="1"/>
  <c r="M1989" i="3"/>
  <c r="L1989" i="3"/>
  <c r="L1985" i="3"/>
  <c r="N1985" i="3" s="1"/>
  <c r="O1985" i="3" s="1"/>
  <c r="N1989" i="3" l="1"/>
  <c r="O1989" i="3" s="1"/>
  <c r="S1998" i="3"/>
  <c r="T1998" i="3"/>
  <c r="U1998" i="3"/>
  <c r="V1998" i="3"/>
  <c r="R1998" i="3"/>
  <c r="P1998" i="3"/>
  <c r="M1998" i="3"/>
  <c r="L1998" i="3"/>
  <c r="Y1953" i="3"/>
  <c r="X1986" i="3"/>
  <c r="Y1986" i="3"/>
  <c r="X1987" i="3"/>
  <c r="Y1987" i="3"/>
  <c r="X1988" i="3"/>
  <c r="Y1988" i="3"/>
  <c r="X1989" i="3"/>
  <c r="Y1989" i="3"/>
  <c r="X1990" i="3"/>
  <c r="Y1990" i="3"/>
  <c r="X1991" i="3"/>
  <c r="Y1991" i="3"/>
  <c r="X1992" i="3"/>
  <c r="Y1992" i="3"/>
  <c r="X1993" i="3"/>
  <c r="Y1993" i="3"/>
  <c r="X1994" i="3"/>
  <c r="Y1994" i="3"/>
  <c r="X1995" i="3"/>
  <c r="Y1995" i="3"/>
  <c r="X1996" i="3"/>
  <c r="Y1996" i="3"/>
  <c r="X1997" i="3"/>
  <c r="Y1997" i="3"/>
  <c r="Y1985" i="3"/>
  <c r="X1985" i="3"/>
  <c r="Y1974" i="3"/>
  <c r="Y1977" i="3"/>
  <c r="X1975" i="3"/>
  <c r="Y1975" i="3"/>
  <c r="X1976" i="3"/>
  <c r="Y1976" i="3"/>
  <c r="X1977" i="3"/>
  <c r="X1974" i="3"/>
  <c r="Y1972" i="3"/>
  <c r="X1972" i="3"/>
  <c r="Y1971" i="3"/>
  <c r="X1971" i="3"/>
  <c r="Y1969" i="3"/>
  <c r="X1969" i="3"/>
  <c r="Y1968" i="3"/>
  <c r="X1968" i="3"/>
  <c r="Y1966" i="3"/>
  <c r="X1966" i="3"/>
  <c r="Y1965" i="3"/>
  <c r="X1965" i="3"/>
  <c r="Y1963" i="3"/>
  <c r="X1963" i="3"/>
  <c r="Y1962" i="3"/>
  <c r="X1962" i="3"/>
  <c r="Y1960" i="3"/>
  <c r="X1960" i="3"/>
  <c r="Y1959" i="3"/>
  <c r="X1959" i="3"/>
  <c r="Y1957" i="3"/>
  <c r="Y1956" i="3"/>
  <c r="X1956" i="3"/>
  <c r="X1953" i="3"/>
  <c r="Y1950" i="3"/>
  <c r="X1950" i="3"/>
  <c r="Y1913" i="3"/>
  <c r="W1995" i="3"/>
  <c r="Z1995" i="3" s="1"/>
  <c r="AA1995" i="3" s="1"/>
  <c r="AC1995" i="3" s="1"/>
  <c r="W1996" i="3"/>
  <c r="AB1996" i="3" s="1"/>
  <c r="W1997" i="3"/>
  <c r="AB1997" i="3" s="1"/>
  <c r="Y1910" i="3"/>
  <c r="X1910" i="3"/>
  <c r="Y1907" i="3"/>
  <c r="X1907" i="3"/>
  <c r="Y1904" i="3"/>
  <c r="X1904" i="3"/>
  <c r="Y1897" i="3"/>
  <c r="X1897" i="3"/>
  <c r="Y1896" i="3"/>
  <c r="X1896" i="3"/>
  <c r="Y1893" i="3"/>
  <c r="X1893" i="3"/>
  <c r="Y1890" i="3"/>
  <c r="X1890" i="3"/>
  <c r="Y1887" i="3"/>
  <c r="X1887" i="3"/>
  <c r="Y1871" i="3"/>
  <c r="X1871" i="3"/>
  <c r="AB1994" i="3"/>
  <c r="W1993" i="3"/>
  <c r="Z1993" i="3" s="1"/>
  <c r="AA1993" i="3" s="1"/>
  <c r="AC1993" i="3" s="1"/>
  <c r="W1992" i="3"/>
  <c r="AB1992" i="3" s="1"/>
  <c r="W1991" i="3"/>
  <c r="Z1991" i="3" s="1"/>
  <c r="AA1991" i="3" s="1"/>
  <c r="AC1991" i="3" s="1"/>
  <c r="W1990" i="3"/>
  <c r="Z1990" i="3" s="1"/>
  <c r="AA1990" i="3" s="1"/>
  <c r="AC1990" i="3" s="1"/>
  <c r="W1989" i="3"/>
  <c r="AB1989" i="3" s="1"/>
  <c r="W1988" i="3"/>
  <c r="Z1988" i="3" s="1"/>
  <c r="AA1988" i="3" s="1"/>
  <c r="AC1988" i="3" s="1"/>
  <c r="W1987" i="3"/>
  <c r="Z1987" i="3" s="1"/>
  <c r="AA1987" i="3" s="1"/>
  <c r="AC1987" i="3" s="1"/>
  <c r="W1986" i="3"/>
  <c r="Z1986" i="3" s="1"/>
  <c r="AA1986" i="3" s="1"/>
  <c r="AC1986" i="3" s="1"/>
  <c r="W1985" i="3"/>
  <c r="AB1985" i="3" s="1"/>
  <c r="W1975" i="3"/>
  <c r="Z1975" i="3" s="1"/>
  <c r="AA1975" i="3" s="1"/>
  <c r="AC1975" i="3" s="1"/>
  <c r="W1976" i="3"/>
  <c r="AB1976" i="3" s="1"/>
  <c r="W1977" i="3"/>
  <c r="AB1977" i="3" s="1"/>
  <c r="W1974" i="3"/>
  <c r="AB1974" i="3" s="1"/>
  <c r="W1971" i="3"/>
  <c r="AB1971" i="3" s="1"/>
  <c r="W1968" i="3"/>
  <c r="AB1968" i="3" s="1"/>
  <c r="W1965" i="3"/>
  <c r="AB1965" i="3" s="1"/>
  <c r="W1962" i="3"/>
  <c r="AB1962" i="3" s="1"/>
  <c r="W1959" i="3"/>
  <c r="AB1959" i="3" s="1"/>
  <c r="W1956" i="3"/>
  <c r="AB1956" i="3" s="1"/>
  <c r="N1998" i="3" l="1"/>
  <c r="O1998" i="3" s="1"/>
  <c r="W1998" i="3"/>
  <c r="AB1998" i="3" s="1"/>
  <c r="Y1998" i="3"/>
  <c r="X1998" i="3"/>
  <c r="W1957" i="3"/>
  <c r="AB1957" i="3" s="1"/>
  <c r="Z1976" i="3"/>
  <c r="AA1976" i="3" s="1"/>
  <c r="AC1976" i="3" s="1"/>
  <c r="AB1987" i="3"/>
  <c r="Z1959" i="3"/>
  <c r="AA1959" i="3" s="1"/>
  <c r="AC1959" i="3" s="1"/>
  <c r="Z1994" i="3"/>
  <c r="AA1994" i="3" s="1"/>
  <c r="AC1994" i="3" s="1"/>
  <c r="Z1989" i="3"/>
  <c r="AA1989" i="3" s="1"/>
  <c r="AC1989" i="3" s="1"/>
  <c r="Z1956" i="3"/>
  <c r="AA1956" i="3" s="1"/>
  <c r="AC1956" i="3" s="1"/>
  <c r="W1963" i="3"/>
  <c r="Z1963" i="3" s="1"/>
  <c r="AA1963" i="3" s="1"/>
  <c r="AC1963" i="3" s="1"/>
  <c r="Z1996" i="3"/>
  <c r="AA1996" i="3" s="1"/>
  <c r="AC1996" i="3" s="1"/>
  <c r="W1969" i="3"/>
  <c r="AB1990" i="3"/>
  <c r="Z1962" i="3"/>
  <c r="AA1962" i="3" s="1"/>
  <c r="AC1962" i="3" s="1"/>
  <c r="Z1965" i="3"/>
  <c r="AA1965" i="3" s="1"/>
  <c r="AC1965" i="3" s="1"/>
  <c r="Z1968" i="3"/>
  <c r="AA1968" i="3" s="1"/>
  <c r="AC1968" i="3" s="1"/>
  <c r="Z1974" i="3"/>
  <c r="AA1974" i="3" s="1"/>
  <c r="AC1974" i="3" s="1"/>
  <c r="Z1997" i="3"/>
  <c r="AA1997" i="3" s="1"/>
  <c r="AC1997" i="3" s="1"/>
  <c r="AB1995" i="3"/>
  <c r="Z1992" i="3"/>
  <c r="AA1992" i="3" s="1"/>
  <c r="AC1992" i="3" s="1"/>
  <c r="Z1971" i="3"/>
  <c r="AA1971" i="3" s="1"/>
  <c r="AC1971" i="3" s="1"/>
  <c r="AB1975" i="3"/>
  <c r="AB1993" i="3"/>
  <c r="AB1988" i="3"/>
  <c r="Z1985" i="3"/>
  <c r="AA1985" i="3" s="1"/>
  <c r="AC1985" i="3" s="1"/>
  <c r="AB1986" i="3"/>
  <c r="AB1991" i="3"/>
  <c r="Z1977" i="3"/>
  <c r="AA1977" i="3" s="1"/>
  <c r="AC1977" i="3" s="1"/>
  <c r="W1972" i="3"/>
  <c r="W1966" i="3"/>
  <c r="W1960" i="3"/>
  <c r="S1954" i="3"/>
  <c r="T1954" i="3"/>
  <c r="U1954" i="3"/>
  <c r="V1954" i="3"/>
  <c r="R1954" i="3"/>
  <c r="S1951" i="3"/>
  <c r="T1951" i="3"/>
  <c r="U1951" i="3"/>
  <c r="V1951" i="3"/>
  <c r="R1951" i="3"/>
  <c r="W1953" i="3"/>
  <c r="W1950" i="3"/>
  <c r="Z1950" i="3" s="1"/>
  <c r="AA1950" i="3" s="1"/>
  <c r="P1954" i="3"/>
  <c r="P1951" i="3"/>
  <c r="M1953" i="3"/>
  <c r="N1953" i="3" s="1"/>
  <c r="M1950" i="3"/>
  <c r="L1954" i="3"/>
  <c r="L1951" i="3"/>
  <c r="I1953" i="3"/>
  <c r="J1953" i="3" s="1"/>
  <c r="I1950" i="3"/>
  <c r="J1950" i="3" s="1"/>
  <c r="Y1939" i="3"/>
  <c r="Y1940" i="3"/>
  <c r="Y1941" i="3"/>
  <c r="Y1942" i="3"/>
  <c r="Y1943" i="3"/>
  <c r="Y1944" i="3"/>
  <c r="Y1945" i="3"/>
  <c r="Y1946" i="3"/>
  <c r="Y1947" i="3"/>
  <c r="S1948" i="3"/>
  <c r="T1948" i="3"/>
  <c r="U1948" i="3"/>
  <c r="V1948" i="3"/>
  <c r="X1947" i="3"/>
  <c r="W1947" i="3"/>
  <c r="Z1947" i="3" s="1"/>
  <c r="AA1947" i="3" s="1"/>
  <c r="X1946" i="3"/>
  <c r="W1946" i="3"/>
  <c r="Z1946" i="3" s="1"/>
  <c r="AA1946" i="3" s="1"/>
  <c r="X1945" i="3"/>
  <c r="W1945" i="3"/>
  <c r="Z1945" i="3" s="1"/>
  <c r="AA1945" i="3" s="1"/>
  <c r="X1944" i="3"/>
  <c r="W1944" i="3"/>
  <c r="Z1944" i="3" s="1"/>
  <c r="AA1944" i="3" s="1"/>
  <c r="X1943" i="3"/>
  <c r="W1943" i="3"/>
  <c r="AB1943" i="3" s="1"/>
  <c r="X1942" i="3"/>
  <c r="W1942" i="3"/>
  <c r="Z1942" i="3" s="1"/>
  <c r="AA1942" i="3" s="1"/>
  <c r="X1941" i="3"/>
  <c r="W1941" i="3"/>
  <c r="Z1941" i="3" s="1"/>
  <c r="AA1941" i="3" s="1"/>
  <c r="X1940" i="3"/>
  <c r="W1940" i="3"/>
  <c r="Z1940" i="3" s="1"/>
  <c r="AA1940" i="3" s="1"/>
  <c r="X1939" i="3"/>
  <c r="W1939" i="3"/>
  <c r="AB1939" i="3" s="1"/>
  <c r="X1938" i="3"/>
  <c r="W1938" i="3"/>
  <c r="R1948" i="3"/>
  <c r="N1939" i="3"/>
  <c r="O1939" i="3" s="1"/>
  <c r="N1940" i="3"/>
  <c r="O1940" i="3" s="1"/>
  <c r="N1941" i="3"/>
  <c r="O1941" i="3" s="1"/>
  <c r="N1942" i="3"/>
  <c r="O1942" i="3" s="1"/>
  <c r="N1943" i="3"/>
  <c r="O1943" i="3" s="1"/>
  <c r="N1944" i="3"/>
  <c r="O1944" i="3" s="1"/>
  <c r="N1945" i="3"/>
  <c r="O1945" i="3" s="1"/>
  <c r="N1946" i="3"/>
  <c r="O1946" i="3" s="1"/>
  <c r="N1947" i="3"/>
  <c r="O1947" i="3" s="1"/>
  <c r="M1938" i="3"/>
  <c r="M1948" i="3" s="1"/>
  <c r="L1938" i="3"/>
  <c r="L1948" i="3" s="1"/>
  <c r="P1938" i="3"/>
  <c r="Y1938" i="3" s="1"/>
  <c r="Z1998" i="3" l="1"/>
  <c r="AA1998" i="3" s="1"/>
  <c r="AC1998" i="3" s="1"/>
  <c r="Z1957" i="3"/>
  <c r="AA1957" i="3" s="1"/>
  <c r="AC1957" i="3" s="1"/>
  <c r="X1954" i="3"/>
  <c r="Y1951" i="3"/>
  <c r="X1951" i="3"/>
  <c r="AB1963" i="3"/>
  <c r="Z1969" i="3"/>
  <c r="AA1969" i="3" s="1"/>
  <c r="AC1969" i="3" s="1"/>
  <c r="AB1969" i="3"/>
  <c r="M1951" i="3"/>
  <c r="N1950" i="3"/>
  <c r="AB1950" i="3"/>
  <c r="N1954" i="3"/>
  <c r="O1954" i="3" s="1"/>
  <c r="O1953" i="3"/>
  <c r="Z1939" i="3"/>
  <c r="AA1939" i="3" s="1"/>
  <c r="AC1939" i="3" s="1"/>
  <c r="Z1972" i="3"/>
  <c r="AA1972" i="3" s="1"/>
  <c r="AC1972" i="3" s="1"/>
  <c r="AB1972" i="3"/>
  <c r="Y1954" i="3"/>
  <c r="Z1960" i="3"/>
  <c r="AA1960" i="3" s="1"/>
  <c r="AC1960" i="3" s="1"/>
  <c r="AB1960" i="3"/>
  <c r="Z1966" i="3"/>
  <c r="AA1966" i="3" s="1"/>
  <c r="AC1966" i="3" s="1"/>
  <c r="AB1966" i="3"/>
  <c r="AC1940" i="3"/>
  <c r="AB1953" i="3"/>
  <c r="Z1953" i="3"/>
  <c r="AA1953" i="3" s="1"/>
  <c r="AC1945" i="3"/>
  <c r="AB1941" i="3"/>
  <c r="Z1938" i="3"/>
  <c r="AA1938" i="3" s="1"/>
  <c r="AC1942" i="3"/>
  <c r="AC1941" i="3"/>
  <c r="P1948" i="3"/>
  <c r="AC1946" i="3"/>
  <c r="AB1940" i="3"/>
  <c r="AC1944" i="3"/>
  <c r="AB1942" i="3"/>
  <c r="AB1944" i="3"/>
  <c r="AC1947" i="3"/>
  <c r="AB1938" i="3"/>
  <c r="N1938" i="3"/>
  <c r="N1948" i="3" s="1"/>
  <c r="O1948" i="3" s="1"/>
  <c r="M1954" i="3"/>
  <c r="W1954" i="3"/>
  <c r="W1951" i="3"/>
  <c r="Z1951" i="3" s="1"/>
  <c r="AA1951" i="3" s="1"/>
  <c r="AB1947" i="3"/>
  <c r="AB1946" i="3"/>
  <c r="AB1945" i="3"/>
  <c r="Z1943" i="3"/>
  <c r="AA1943" i="3" s="1"/>
  <c r="AC1943" i="3" s="1"/>
  <c r="X1948" i="3"/>
  <c r="W1948" i="3"/>
  <c r="AB1948" i="3" s="1"/>
  <c r="AC1953" i="3" l="1"/>
  <c r="N1951" i="3"/>
  <c r="O1951" i="3" s="1"/>
  <c r="AC1951" i="3" s="1"/>
  <c r="O1950" i="3"/>
  <c r="AC1950" i="3" s="1"/>
  <c r="Y1948" i="3"/>
  <c r="Z1948" i="3"/>
  <c r="AA1948" i="3" s="1"/>
  <c r="AC1948" i="3" s="1"/>
  <c r="AB1951" i="3"/>
  <c r="Z1954" i="3"/>
  <c r="AA1954" i="3" s="1"/>
  <c r="AC1954" i="3" s="1"/>
  <c r="AB1954" i="3"/>
  <c r="O1938" i="3"/>
  <c r="AC1938" i="3" s="1"/>
  <c r="W1930" i="3"/>
  <c r="Z1930" i="3" s="1"/>
  <c r="AA1930" i="3" s="1"/>
  <c r="X1930" i="3"/>
  <c r="Y1930" i="3"/>
  <c r="W1931" i="3"/>
  <c r="AB1931" i="3" s="1"/>
  <c r="X1931" i="3"/>
  <c r="Y1931" i="3"/>
  <c r="W1932" i="3"/>
  <c r="Z1932" i="3" s="1"/>
  <c r="AA1932" i="3" s="1"/>
  <c r="X1932" i="3"/>
  <c r="Y1932" i="3"/>
  <c r="L1932" i="3"/>
  <c r="N1932" i="3" s="1"/>
  <c r="O1932" i="3" s="1"/>
  <c r="L1931" i="3"/>
  <c r="N1931" i="3" s="1"/>
  <c r="O1931" i="3" s="1"/>
  <c r="L1930" i="3"/>
  <c r="N1930" i="3" s="1"/>
  <c r="O1930" i="3" s="1"/>
  <c r="L1929" i="3"/>
  <c r="N1929" i="3" s="1"/>
  <c r="O1929" i="3" s="1"/>
  <c r="L1928" i="3"/>
  <c r="N1928" i="3" s="1"/>
  <c r="O1928" i="3" s="1"/>
  <c r="L1927" i="3"/>
  <c r="N1927" i="3" s="1"/>
  <c r="O1927" i="3" s="1"/>
  <c r="Z1929" i="3"/>
  <c r="AA1929" i="3" s="1"/>
  <c r="W1918" i="3"/>
  <c r="Z1918" i="3" s="1"/>
  <c r="AA1918" i="3" s="1"/>
  <c r="W1919" i="3"/>
  <c r="Z1919" i="3" s="1"/>
  <c r="AA1919" i="3" s="1"/>
  <c r="W1920" i="3"/>
  <c r="Z1920" i="3" s="1"/>
  <c r="AA1920" i="3" s="1"/>
  <c r="W1921" i="3"/>
  <c r="AB1921" i="3" s="1"/>
  <c r="W1922" i="3"/>
  <c r="AB1922" i="3" s="1"/>
  <c r="W1923" i="3"/>
  <c r="AB1923" i="3" s="1"/>
  <c r="W1924" i="3"/>
  <c r="AB1924" i="3" s="1"/>
  <c r="W1925" i="3"/>
  <c r="Z1925" i="3" s="1"/>
  <c r="AA1925" i="3" s="1"/>
  <c r="W1926" i="3"/>
  <c r="AB1926" i="3" s="1"/>
  <c r="Z1928" i="3"/>
  <c r="AA1928" i="3" s="1"/>
  <c r="W1933" i="3"/>
  <c r="Z1933" i="3" s="1"/>
  <c r="AA1933" i="3" s="1"/>
  <c r="W1934" i="3"/>
  <c r="Z1934" i="3" s="1"/>
  <c r="AA1934" i="3" s="1"/>
  <c r="W1935" i="3"/>
  <c r="Z1935" i="3" s="1"/>
  <c r="AA1935" i="3" s="1"/>
  <c r="W1917" i="3"/>
  <c r="AB1917" i="3" s="1"/>
  <c r="C66" i="7"/>
  <c r="J66" i="7"/>
  <c r="X1928" i="3"/>
  <c r="Y1928" i="3"/>
  <c r="X1929" i="3"/>
  <c r="Y1929" i="3"/>
  <c r="X1933" i="3"/>
  <c r="Y1933" i="3"/>
  <c r="X1934" i="3"/>
  <c r="Y1934" i="3"/>
  <c r="X1935" i="3"/>
  <c r="Y1935" i="3"/>
  <c r="Y1927" i="3"/>
  <c r="X1927" i="3"/>
  <c r="Y1926" i="3"/>
  <c r="X1926" i="3"/>
  <c r="Y1925" i="3"/>
  <c r="X1925" i="3"/>
  <c r="Y1924" i="3"/>
  <c r="X1924" i="3"/>
  <c r="Y1923" i="3"/>
  <c r="X1923" i="3"/>
  <c r="Y1922" i="3"/>
  <c r="X1922" i="3"/>
  <c r="Y1921" i="3"/>
  <c r="X1921" i="3"/>
  <c r="Y1920" i="3"/>
  <c r="X1920" i="3"/>
  <c r="Y1919" i="3"/>
  <c r="X1919" i="3"/>
  <c r="Y1918" i="3"/>
  <c r="X1918" i="3"/>
  <c r="Y1917" i="3"/>
  <c r="X1917" i="3"/>
  <c r="S1936" i="3"/>
  <c r="T1936" i="3"/>
  <c r="U1936" i="3"/>
  <c r="V1936" i="3"/>
  <c r="R1936" i="3"/>
  <c r="P1936" i="3"/>
  <c r="M1934" i="3"/>
  <c r="N1934" i="3" s="1"/>
  <c r="O1934" i="3" s="1"/>
  <c r="M1935" i="3"/>
  <c r="N1935" i="3" s="1"/>
  <c r="O1935" i="3" s="1"/>
  <c r="M1933" i="3"/>
  <c r="N1933" i="3" s="1"/>
  <c r="O1933" i="3" s="1"/>
  <c r="N1918" i="3"/>
  <c r="O1918" i="3" s="1"/>
  <c r="N1919" i="3"/>
  <c r="O1919" i="3" s="1"/>
  <c r="N1920" i="3"/>
  <c r="O1920" i="3" s="1"/>
  <c r="N1921" i="3"/>
  <c r="O1921" i="3" s="1"/>
  <c r="N1922" i="3"/>
  <c r="O1922" i="3" s="1"/>
  <c r="N1923" i="3"/>
  <c r="O1923" i="3" s="1"/>
  <c r="N1924" i="3"/>
  <c r="O1924" i="3" s="1"/>
  <c r="N1925" i="3"/>
  <c r="O1925" i="3" s="1"/>
  <c r="N1926" i="3"/>
  <c r="O1926" i="3" s="1"/>
  <c r="N1917" i="3"/>
  <c r="O1917" i="3" s="1"/>
  <c r="Z1927" i="3" l="1"/>
  <c r="AA1927" i="3" s="1"/>
  <c r="AC1927" i="3" s="1"/>
  <c r="AB1918" i="3"/>
  <c r="AC1930" i="3"/>
  <c r="AB1930" i="3"/>
  <c r="AC1932" i="3"/>
  <c r="AB1932" i="3"/>
  <c r="Z1931" i="3"/>
  <c r="AA1931" i="3" s="1"/>
  <c r="AC1931" i="3" s="1"/>
  <c r="Q66" i="7"/>
  <c r="AB1934" i="3"/>
  <c r="AC1920" i="3"/>
  <c r="AB1933" i="3"/>
  <c r="AC1935" i="3"/>
  <c r="AC1934" i="3"/>
  <c r="AC1928" i="3"/>
  <c r="M1936" i="3"/>
  <c r="AB1935" i="3"/>
  <c r="AC1933" i="3"/>
  <c r="AC1919" i="3"/>
  <c r="AC1918" i="3"/>
  <c r="AC1925" i="3"/>
  <c r="AC1929" i="3"/>
  <c r="W1936" i="3"/>
  <c r="Z1936" i="3" s="1"/>
  <c r="AA1936" i="3" s="1"/>
  <c r="Z1917" i="3"/>
  <c r="AA1917" i="3" s="1"/>
  <c r="AC1917" i="3" s="1"/>
  <c r="AB1919" i="3"/>
  <c r="AB1928" i="3"/>
  <c r="AB1927" i="3"/>
  <c r="Z1926" i="3"/>
  <c r="AA1926" i="3" s="1"/>
  <c r="AC1926" i="3" s="1"/>
  <c r="X1936" i="3"/>
  <c r="AB1925" i="3"/>
  <c r="Z1924" i="3"/>
  <c r="AA1924" i="3" s="1"/>
  <c r="AC1924" i="3" s="1"/>
  <c r="AB1920" i="3"/>
  <c r="Y1936" i="3"/>
  <c r="AB1929" i="3"/>
  <c r="Z1923" i="3"/>
  <c r="AA1923" i="3" s="1"/>
  <c r="AC1923" i="3" s="1"/>
  <c r="Z1922" i="3"/>
  <c r="AA1922" i="3" s="1"/>
  <c r="AC1922" i="3" s="1"/>
  <c r="Z1921" i="3"/>
  <c r="AA1921" i="3" s="1"/>
  <c r="AC1921" i="3" s="1"/>
  <c r="N1936" i="3"/>
  <c r="L1936" i="3"/>
  <c r="I1928" i="3"/>
  <c r="J1928" i="3" s="1"/>
  <c r="I1929" i="3"/>
  <c r="J1929" i="3" s="1"/>
  <c r="I1927" i="3"/>
  <c r="J1927" i="3" s="1"/>
  <c r="O1936" i="3" l="1"/>
  <c r="AC1936" i="3" s="1"/>
  <c r="AB1936" i="3"/>
  <c r="W1910" i="3"/>
  <c r="Z1910" i="3" s="1"/>
  <c r="AA1910" i="3" s="1"/>
  <c r="W1907" i="3"/>
  <c r="Z1907" i="3" s="1"/>
  <c r="AA1907" i="3" s="1"/>
  <c r="Y1914" i="3"/>
  <c r="X1914" i="3"/>
  <c r="W1914" i="3"/>
  <c r="X1913" i="3"/>
  <c r="W1913" i="3"/>
  <c r="Z1913" i="3" s="1"/>
  <c r="AA1913" i="3" s="1"/>
  <c r="S1908" i="3"/>
  <c r="T1908" i="3"/>
  <c r="U1908" i="3"/>
  <c r="V1908" i="3"/>
  <c r="S1911" i="3"/>
  <c r="T1911" i="3"/>
  <c r="U1911" i="3"/>
  <c r="V1911" i="3"/>
  <c r="S1915" i="3"/>
  <c r="T1915" i="3"/>
  <c r="U1915" i="3"/>
  <c r="V1915" i="3"/>
  <c r="R1915" i="3"/>
  <c r="R1911" i="3"/>
  <c r="R1908" i="3"/>
  <c r="P1915" i="3"/>
  <c r="P1911" i="3"/>
  <c r="P1908" i="3"/>
  <c r="L1908" i="3"/>
  <c r="L1911" i="3"/>
  <c r="M1914" i="3"/>
  <c r="N1914" i="3" s="1"/>
  <c r="O1914" i="3" s="1"/>
  <c r="M1913" i="3"/>
  <c r="N1913" i="3" s="1"/>
  <c r="O1913" i="3" s="1"/>
  <c r="M1910" i="3"/>
  <c r="M1907" i="3"/>
  <c r="L1915" i="3"/>
  <c r="I1910" i="3"/>
  <c r="J1910" i="3" s="1"/>
  <c r="I1907" i="3"/>
  <c r="J1907" i="3" s="1"/>
  <c r="I1914" i="3"/>
  <c r="J1914" i="3" s="1"/>
  <c r="I1913" i="3"/>
  <c r="J1913" i="3" s="1"/>
  <c r="Y1911" i="3" l="1"/>
  <c r="M1911" i="3"/>
  <c r="AB1910" i="3"/>
  <c r="X1911" i="3"/>
  <c r="Y1908" i="3"/>
  <c r="X1908" i="3"/>
  <c r="M1908" i="3"/>
  <c r="AB1907" i="3"/>
  <c r="X1915" i="3"/>
  <c r="N1907" i="3"/>
  <c r="N1908" i="3" s="1"/>
  <c r="O1908" i="3" s="1"/>
  <c r="AC1913" i="3"/>
  <c r="M1915" i="3"/>
  <c r="AB1913" i="3"/>
  <c r="Y1915" i="3"/>
  <c r="AB1914" i="3"/>
  <c r="W1915" i="3"/>
  <c r="Z1915" i="3" s="1"/>
  <c r="AA1915" i="3" s="1"/>
  <c r="Z1914" i="3"/>
  <c r="AA1914" i="3" s="1"/>
  <c r="AC1914" i="3" s="1"/>
  <c r="W1911" i="3"/>
  <c r="Z1911" i="3" s="1"/>
  <c r="AA1911" i="3" s="1"/>
  <c r="W1908" i="3"/>
  <c r="Z1908" i="3" s="1"/>
  <c r="AA1908" i="3" s="1"/>
  <c r="N1915" i="3"/>
  <c r="O1915" i="3" s="1"/>
  <c r="N1910" i="3"/>
  <c r="AC1908" i="3" l="1"/>
  <c r="AB1908" i="3"/>
  <c r="AB1911" i="3"/>
  <c r="O1907" i="3"/>
  <c r="AC1907" i="3" s="1"/>
  <c r="AC1915" i="3"/>
  <c r="AB1915" i="3"/>
  <c r="O1910" i="3"/>
  <c r="AC1910" i="3" s="1"/>
  <c r="N1911" i="3"/>
  <c r="O1911" i="3" s="1"/>
  <c r="AC1911" i="3" s="1"/>
  <c r="P1901" i="3" l="1"/>
  <c r="Y1901" i="3" s="1"/>
  <c r="P1900" i="3"/>
  <c r="L1900" i="3"/>
  <c r="L1901" i="3"/>
  <c r="M1901" i="3" s="1"/>
  <c r="N1901" i="3" s="1"/>
  <c r="O1901" i="3" s="1"/>
  <c r="S1905" i="3"/>
  <c r="T1905" i="3"/>
  <c r="U1905" i="3"/>
  <c r="V1905" i="3"/>
  <c r="S1902" i="3"/>
  <c r="T1902" i="3"/>
  <c r="U1902" i="3"/>
  <c r="V1902" i="3"/>
  <c r="R1905" i="3"/>
  <c r="R1902" i="3"/>
  <c r="W1904" i="3"/>
  <c r="Z1904" i="3" s="1"/>
  <c r="AA1904" i="3" s="1"/>
  <c r="X1901" i="3"/>
  <c r="W1901" i="3"/>
  <c r="X1900" i="3"/>
  <c r="W1900" i="3"/>
  <c r="P1905" i="3"/>
  <c r="L1905" i="3"/>
  <c r="M1904" i="3"/>
  <c r="I1901" i="3"/>
  <c r="J1901" i="3" s="1"/>
  <c r="I1900" i="3"/>
  <c r="J1900" i="3" s="1"/>
  <c r="I1904" i="3"/>
  <c r="J1904" i="3" s="1"/>
  <c r="Y1905" i="3" l="1"/>
  <c r="M1905" i="3"/>
  <c r="AB1904" i="3"/>
  <c r="X1905" i="3"/>
  <c r="L1902" i="3"/>
  <c r="P1902" i="3"/>
  <c r="Y1902" i="3" s="1"/>
  <c r="Y1900" i="3"/>
  <c r="M1900" i="3"/>
  <c r="N1900" i="3" s="1"/>
  <c r="N1902" i="3" s="1"/>
  <c r="AB1901" i="3"/>
  <c r="W1902" i="3"/>
  <c r="X1902" i="3"/>
  <c r="W1905" i="3"/>
  <c r="Z1905" i="3" s="1"/>
  <c r="AA1905" i="3" s="1"/>
  <c r="Z1901" i="3"/>
  <c r="AA1901" i="3" s="1"/>
  <c r="AC1901" i="3" s="1"/>
  <c r="Z1900" i="3"/>
  <c r="AA1900" i="3" s="1"/>
  <c r="N1904" i="3"/>
  <c r="W1883" i="3"/>
  <c r="S1898" i="3"/>
  <c r="T1898" i="3"/>
  <c r="U1898" i="3"/>
  <c r="V1898" i="3"/>
  <c r="R1898" i="3"/>
  <c r="W1897" i="3"/>
  <c r="Z1897" i="3" s="1"/>
  <c r="AA1897" i="3" s="1"/>
  <c r="W1896" i="3"/>
  <c r="Z1896" i="3" s="1"/>
  <c r="AA1896" i="3" s="1"/>
  <c r="W1893" i="3"/>
  <c r="Z1893" i="3" s="1"/>
  <c r="AA1893" i="3" s="1"/>
  <c r="V1894" i="3"/>
  <c r="U1894" i="3"/>
  <c r="T1894" i="3"/>
  <c r="S1894" i="3"/>
  <c r="R1894" i="3"/>
  <c r="P1898" i="3"/>
  <c r="P1894" i="3"/>
  <c r="M1897" i="3"/>
  <c r="M1896" i="3"/>
  <c r="L1898" i="3"/>
  <c r="I1897" i="3"/>
  <c r="J1897" i="3" s="1"/>
  <c r="I1896" i="3"/>
  <c r="J1896" i="3" s="1"/>
  <c r="M1893" i="3"/>
  <c r="L1894" i="3"/>
  <c r="I1893" i="3"/>
  <c r="W1890" i="3"/>
  <c r="Z1890" i="3" s="1"/>
  <c r="AA1890" i="3" s="1"/>
  <c r="S1891" i="3"/>
  <c r="T1891" i="3"/>
  <c r="U1891" i="3"/>
  <c r="V1891" i="3"/>
  <c r="R1891" i="3"/>
  <c r="P1891" i="3"/>
  <c r="M1890" i="3"/>
  <c r="L1891" i="3"/>
  <c r="I1890" i="3"/>
  <c r="J1890" i="3" s="1"/>
  <c r="W1415" i="3"/>
  <c r="W1369" i="3"/>
  <c r="N1893" i="3" l="1"/>
  <c r="N1894" i="3" s="1"/>
  <c r="O1894" i="3" s="1"/>
  <c r="AB1893" i="3"/>
  <c r="X1894" i="3"/>
  <c r="X1891" i="3"/>
  <c r="N1896" i="3"/>
  <c r="O1896" i="3" s="1"/>
  <c r="AC1896" i="3" s="1"/>
  <c r="AB1896" i="3"/>
  <c r="N1890" i="3"/>
  <c r="N1891" i="3" s="1"/>
  <c r="O1891" i="3" s="1"/>
  <c r="AB1890" i="3"/>
  <c r="Y1891" i="3"/>
  <c r="Y1894" i="3"/>
  <c r="AB1905" i="3"/>
  <c r="N1897" i="3"/>
  <c r="O1897" i="3" s="1"/>
  <c r="AC1897" i="3" s="1"/>
  <c r="AB1897" i="3"/>
  <c r="AB1900" i="3"/>
  <c r="O1902" i="3"/>
  <c r="O1900" i="3"/>
  <c r="AC1900" i="3" s="1"/>
  <c r="Z1902" i="3"/>
  <c r="AA1902" i="3" s="1"/>
  <c r="M1902" i="3"/>
  <c r="AB1902" i="3" s="1"/>
  <c r="N1905" i="3"/>
  <c r="O1905" i="3" s="1"/>
  <c r="AC1905" i="3" s="1"/>
  <c r="O1904" i="3"/>
  <c r="AC1904" i="3" s="1"/>
  <c r="M1891" i="3"/>
  <c r="Y1898" i="3"/>
  <c r="W1898" i="3"/>
  <c r="X1898" i="3"/>
  <c r="W1894" i="3"/>
  <c r="Z1894" i="3" s="1"/>
  <c r="AA1894" i="3" s="1"/>
  <c r="M1898" i="3"/>
  <c r="M1894" i="3"/>
  <c r="W1891" i="3"/>
  <c r="Z1891" i="3" s="1"/>
  <c r="AA1891" i="3" s="1"/>
  <c r="W1887" i="3"/>
  <c r="Z1887" i="3" s="1"/>
  <c r="AA1887" i="3" s="1"/>
  <c r="X1370" i="3"/>
  <c r="X1371" i="3"/>
  <c r="X1372" i="3"/>
  <c r="X1373" i="3"/>
  <c r="X1374" i="3"/>
  <c r="X1369" i="3"/>
  <c r="S1888" i="3"/>
  <c r="T1888" i="3"/>
  <c r="U1888" i="3"/>
  <c r="V1888" i="3"/>
  <c r="R1888" i="3"/>
  <c r="P1888" i="3"/>
  <c r="L1888" i="3"/>
  <c r="M1887" i="3"/>
  <c r="I1887" i="3"/>
  <c r="J1887" i="3" s="1"/>
  <c r="O1893" i="3" l="1"/>
  <c r="AC1893" i="3" s="1"/>
  <c r="O1890" i="3"/>
  <c r="AC1890" i="3" s="1"/>
  <c r="AC1894" i="3"/>
  <c r="AC1891" i="3"/>
  <c r="M1888" i="3"/>
  <c r="AB1887" i="3"/>
  <c r="AB1891" i="3"/>
  <c r="Y1888" i="3"/>
  <c r="N1898" i="3"/>
  <c r="O1898" i="3" s="1"/>
  <c r="AB1894" i="3"/>
  <c r="X1888" i="3"/>
  <c r="AC1902" i="3"/>
  <c r="AB1898" i="3"/>
  <c r="Z1898" i="3"/>
  <c r="AA1898" i="3" s="1"/>
  <c r="N1887" i="3"/>
  <c r="N1888" i="3" s="1"/>
  <c r="O1888" i="3" s="1"/>
  <c r="AC1898" i="3" l="1"/>
  <c r="O1887" i="3"/>
  <c r="AC1887" i="3" s="1"/>
  <c r="W1875" i="3"/>
  <c r="Z1875" i="3" s="1"/>
  <c r="AA1875" i="3" s="1"/>
  <c r="X1875" i="3"/>
  <c r="Y1875" i="3"/>
  <c r="W1876" i="3"/>
  <c r="Z1876" i="3" s="1"/>
  <c r="AA1876" i="3" s="1"/>
  <c r="X1876" i="3"/>
  <c r="Y1876" i="3"/>
  <c r="W1877" i="3"/>
  <c r="Z1877" i="3" s="1"/>
  <c r="AA1877" i="3" s="1"/>
  <c r="X1877" i="3"/>
  <c r="Y1877" i="3"/>
  <c r="W1878" i="3"/>
  <c r="AB1878" i="3" s="1"/>
  <c r="X1878" i="3"/>
  <c r="Y1878" i="3"/>
  <c r="W1879" i="3"/>
  <c r="Z1879" i="3" s="1"/>
  <c r="AA1879" i="3" s="1"/>
  <c r="X1879" i="3"/>
  <c r="Y1879" i="3"/>
  <c r="W1880" i="3"/>
  <c r="Z1880" i="3" s="1"/>
  <c r="AA1880" i="3" s="1"/>
  <c r="X1880" i="3"/>
  <c r="Y1880" i="3"/>
  <c r="W1881" i="3"/>
  <c r="Z1881" i="3" s="1"/>
  <c r="AA1881" i="3" s="1"/>
  <c r="X1881" i="3"/>
  <c r="Y1881" i="3"/>
  <c r="W1882" i="3"/>
  <c r="Z1882" i="3" s="1"/>
  <c r="AA1882" i="3" s="1"/>
  <c r="X1882" i="3"/>
  <c r="Y1882" i="3"/>
  <c r="Z1883" i="3"/>
  <c r="AA1883" i="3" s="1"/>
  <c r="X1883" i="3"/>
  <c r="Y1883" i="3"/>
  <c r="W1884" i="3"/>
  <c r="Z1884" i="3" s="1"/>
  <c r="AA1884" i="3" s="1"/>
  <c r="X1884" i="3"/>
  <c r="Y1884" i="3"/>
  <c r="Y1874" i="3"/>
  <c r="X1874" i="3"/>
  <c r="W1874" i="3"/>
  <c r="R1885" i="3"/>
  <c r="S1885" i="3"/>
  <c r="T1885" i="3"/>
  <c r="U1885" i="3"/>
  <c r="V1885" i="3"/>
  <c r="P1885" i="3"/>
  <c r="N1878" i="3"/>
  <c r="O1878" i="3" s="1"/>
  <c r="M1885" i="3"/>
  <c r="L1885" i="3"/>
  <c r="N1875" i="3"/>
  <c r="O1875" i="3" s="1"/>
  <c r="N1876" i="3"/>
  <c r="O1876" i="3" s="1"/>
  <c r="N1877" i="3"/>
  <c r="O1877" i="3" s="1"/>
  <c r="N1879" i="3"/>
  <c r="O1879" i="3" s="1"/>
  <c r="N1880" i="3"/>
  <c r="O1880" i="3" s="1"/>
  <c r="N1881" i="3"/>
  <c r="O1881" i="3" s="1"/>
  <c r="N1882" i="3"/>
  <c r="O1882" i="3" s="1"/>
  <c r="N1883" i="3"/>
  <c r="O1883" i="3" s="1"/>
  <c r="N1884" i="3"/>
  <c r="O1884" i="3" s="1"/>
  <c r="N1874" i="3"/>
  <c r="I1884" i="3"/>
  <c r="J1884" i="3" s="1"/>
  <c r="I1883" i="3"/>
  <c r="J1883" i="3" s="1"/>
  <c r="X1864" i="3"/>
  <c r="S1872" i="3"/>
  <c r="T1872" i="3"/>
  <c r="U1872" i="3"/>
  <c r="V1872" i="3"/>
  <c r="R1872" i="3"/>
  <c r="S1869" i="3"/>
  <c r="T1869" i="3"/>
  <c r="U1869" i="3"/>
  <c r="V1869" i="3"/>
  <c r="R1869" i="3"/>
  <c r="S1865" i="3"/>
  <c r="T1865" i="3"/>
  <c r="U1865" i="3"/>
  <c r="V1865" i="3"/>
  <c r="R1865" i="3"/>
  <c r="W1871" i="3"/>
  <c r="Z1871" i="3" s="1"/>
  <c r="AA1871" i="3" s="1"/>
  <c r="W1864" i="3"/>
  <c r="Y1868" i="3"/>
  <c r="X1868" i="3"/>
  <c r="W1868" i="3"/>
  <c r="Y1867" i="3"/>
  <c r="X1867" i="3"/>
  <c r="W1867" i="3"/>
  <c r="Y1864" i="3"/>
  <c r="Y1861" i="3"/>
  <c r="X1861" i="3"/>
  <c r="W1861" i="3"/>
  <c r="W1862" i="3" s="1"/>
  <c r="S1862" i="3"/>
  <c r="T1862" i="3"/>
  <c r="U1862" i="3"/>
  <c r="V1862" i="3"/>
  <c r="R1862" i="3"/>
  <c r="M1864" i="3"/>
  <c r="M1865" i="3" s="1"/>
  <c r="M1861" i="3"/>
  <c r="N1861" i="3" s="1"/>
  <c r="P1865" i="3"/>
  <c r="P1862" i="3"/>
  <c r="L1865" i="3"/>
  <c r="L1862" i="3"/>
  <c r="M1868" i="3"/>
  <c r="N1868" i="3" s="1"/>
  <c r="O1868" i="3" s="1"/>
  <c r="M1867" i="3"/>
  <c r="N1867" i="3" s="1"/>
  <c r="P1869" i="3"/>
  <c r="L1869" i="3"/>
  <c r="P1872" i="3"/>
  <c r="L1872" i="3"/>
  <c r="M1871" i="3"/>
  <c r="I1871" i="3"/>
  <c r="J1871" i="3" s="1"/>
  <c r="I1868" i="3"/>
  <c r="J1868" i="3" s="1"/>
  <c r="I1867" i="3"/>
  <c r="J1867" i="3" s="1"/>
  <c r="X1859" i="3"/>
  <c r="Y1858" i="3"/>
  <c r="X1858" i="3"/>
  <c r="W1858" i="3"/>
  <c r="Z1858" i="3" s="1"/>
  <c r="AA1858" i="3" s="1"/>
  <c r="X1856" i="3"/>
  <c r="Y1855" i="3"/>
  <c r="X1855" i="3"/>
  <c r="W1855" i="3"/>
  <c r="W1856" i="3" s="1"/>
  <c r="P1859" i="3"/>
  <c r="Y1859" i="3" s="1"/>
  <c r="M1858" i="3"/>
  <c r="N1858" i="3" s="1"/>
  <c r="L1859" i="3"/>
  <c r="I1858" i="3"/>
  <c r="J1858" i="3" s="1"/>
  <c r="P1856" i="3"/>
  <c r="Y1856" i="3" s="1"/>
  <c r="M1855" i="3"/>
  <c r="N1855" i="3" s="1"/>
  <c r="L1856" i="3"/>
  <c r="I1855" i="3"/>
  <c r="J1855" i="3" s="1"/>
  <c r="Y1872" i="3" l="1"/>
  <c r="N1871" i="3"/>
  <c r="O1871" i="3" s="1"/>
  <c r="AC1871" i="3" s="1"/>
  <c r="AB1871" i="3"/>
  <c r="X1872" i="3"/>
  <c r="AC1875" i="3"/>
  <c r="AB1868" i="3"/>
  <c r="AC1882" i="3"/>
  <c r="AC1881" i="3"/>
  <c r="AB1881" i="3"/>
  <c r="M1856" i="3"/>
  <c r="AB1856" i="3" s="1"/>
  <c r="M1859" i="3"/>
  <c r="AC1880" i="3"/>
  <c r="AB1874" i="3"/>
  <c r="W1885" i="3"/>
  <c r="AB1885" i="3" s="1"/>
  <c r="Y1885" i="3"/>
  <c r="M1862" i="3"/>
  <c r="AB1862" i="3" s="1"/>
  <c r="AC1884" i="3"/>
  <c r="AC1877" i="3"/>
  <c r="Y1865" i="3"/>
  <c r="AC1883" i="3"/>
  <c r="AC1876" i="3"/>
  <c r="AC1879" i="3"/>
  <c r="AB1880" i="3"/>
  <c r="W1888" i="3"/>
  <c r="AB1882" i="3"/>
  <c r="AB1879" i="3"/>
  <c r="Z1878" i="3"/>
  <c r="AA1878" i="3" s="1"/>
  <c r="AC1878" i="3" s="1"/>
  <c r="X1885" i="3"/>
  <c r="AB1883" i="3"/>
  <c r="AB1875" i="3"/>
  <c r="AB1884" i="3"/>
  <c r="AB1876" i="3"/>
  <c r="AB1877" i="3"/>
  <c r="Z1874" i="3"/>
  <c r="AA1874" i="3" s="1"/>
  <c r="N1885" i="3"/>
  <c r="O1885" i="3" s="1"/>
  <c r="X1869" i="3"/>
  <c r="M1869" i="3"/>
  <c r="AB1858" i="3"/>
  <c r="M1872" i="3"/>
  <c r="AB1864" i="3"/>
  <c r="Y1862" i="3"/>
  <c r="Y1869" i="3"/>
  <c r="X1865" i="3"/>
  <c r="O1874" i="3"/>
  <c r="Z1868" i="3"/>
  <c r="AA1868" i="3" s="1"/>
  <c r="AC1868" i="3" s="1"/>
  <c r="W1869" i="3"/>
  <c r="Z1869" i="3" s="1"/>
  <c r="AA1869" i="3" s="1"/>
  <c r="Z1867" i="3"/>
  <c r="AA1867" i="3" s="1"/>
  <c r="X1862" i="3"/>
  <c r="Z1861" i="3"/>
  <c r="AA1861" i="3" s="1"/>
  <c r="AB1867" i="3"/>
  <c r="W1872" i="3"/>
  <c r="Z1872" i="3" s="1"/>
  <c r="AA1872" i="3" s="1"/>
  <c r="W1865" i="3"/>
  <c r="Z1864" i="3"/>
  <c r="AA1864" i="3" s="1"/>
  <c r="Z1862" i="3"/>
  <c r="AA1862" i="3" s="1"/>
  <c r="AB1861" i="3"/>
  <c r="N1864" i="3"/>
  <c r="O1861" i="3"/>
  <c r="N1862" i="3"/>
  <c r="O1862" i="3" s="1"/>
  <c r="N1869" i="3"/>
  <c r="O1869" i="3" s="1"/>
  <c r="O1867" i="3"/>
  <c r="Z1855" i="3"/>
  <c r="AA1855" i="3" s="1"/>
  <c r="W1859" i="3"/>
  <c r="Z1856" i="3"/>
  <c r="AA1856" i="3" s="1"/>
  <c r="AB1855" i="3"/>
  <c r="N1859" i="3"/>
  <c r="O1859" i="3" s="1"/>
  <c r="O1858" i="3"/>
  <c r="AC1858" i="3" s="1"/>
  <c r="N1856" i="3"/>
  <c r="O1856" i="3" s="1"/>
  <c r="O1855" i="3"/>
  <c r="N1872" i="3" l="1"/>
  <c r="O1872" i="3" s="1"/>
  <c r="AC1872" i="3" s="1"/>
  <c r="Z1888" i="3"/>
  <c r="AA1888" i="3" s="1"/>
  <c r="AC1888" i="3" s="1"/>
  <c r="AB1888" i="3"/>
  <c r="AB1872" i="3"/>
  <c r="AC1869" i="3"/>
  <c r="AC1874" i="3"/>
  <c r="AC1856" i="3"/>
  <c r="AC1861" i="3"/>
  <c r="AC1862" i="3"/>
  <c r="AC1867" i="3"/>
  <c r="Z1885" i="3"/>
  <c r="AA1885" i="3" s="1"/>
  <c r="AC1885" i="3" s="1"/>
  <c r="AC1855" i="3"/>
  <c r="AB1869" i="3"/>
  <c r="AB1865" i="3"/>
  <c r="Z1865" i="3"/>
  <c r="AA1865" i="3" s="1"/>
  <c r="N1865" i="3"/>
  <c r="O1865" i="3" s="1"/>
  <c r="O1864" i="3"/>
  <c r="AC1864" i="3" s="1"/>
  <c r="AB1859" i="3"/>
  <c r="Z1859" i="3"/>
  <c r="AA1859" i="3" s="1"/>
  <c r="AC1859" i="3" s="1"/>
  <c r="AC1865" i="3" l="1"/>
  <c r="U1846" i="3"/>
  <c r="W1846" i="3" s="1"/>
  <c r="S1853" i="3"/>
  <c r="T1853" i="3"/>
  <c r="U1853" i="3"/>
  <c r="V1853" i="3"/>
  <c r="R1853" i="3"/>
  <c r="S1850" i="3"/>
  <c r="T1850" i="3"/>
  <c r="U1850" i="3"/>
  <c r="V1850" i="3"/>
  <c r="R1850" i="3"/>
  <c r="S1847" i="3"/>
  <c r="T1847" i="3"/>
  <c r="V1847" i="3"/>
  <c r="R1847" i="3"/>
  <c r="P1853" i="3"/>
  <c r="L1853" i="3"/>
  <c r="I1852" i="3"/>
  <c r="P1847" i="3"/>
  <c r="L1847" i="3"/>
  <c r="P1850" i="3"/>
  <c r="M1846" i="3"/>
  <c r="M1847" i="3" s="1"/>
  <c r="M1852" i="3"/>
  <c r="M1853" i="3" s="1"/>
  <c r="M1849" i="3"/>
  <c r="N1849" i="3" s="1"/>
  <c r="L1850" i="3"/>
  <c r="I1849" i="3"/>
  <c r="J1849" i="3" s="1"/>
  <c r="Y1852" i="3"/>
  <c r="X1852" i="3"/>
  <c r="W1852" i="3"/>
  <c r="W1853" i="3" s="1"/>
  <c r="Y1849" i="3"/>
  <c r="X1849" i="3"/>
  <c r="W1849" i="3"/>
  <c r="X1846" i="3"/>
  <c r="Y1843" i="3"/>
  <c r="X1843" i="3"/>
  <c r="W1843" i="3"/>
  <c r="S1844" i="3"/>
  <c r="T1844" i="3"/>
  <c r="U1844" i="3"/>
  <c r="V1844" i="3"/>
  <c r="R1844" i="3"/>
  <c r="P1844" i="3"/>
  <c r="M1843" i="3"/>
  <c r="N1843" i="3" s="1"/>
  <c r="L1844" i="3"/>
  <c r="I1846" i="3"/>
  <c r="J1846" i="3" s="1"/>
  <c r="I1843" i="3"/>
  <c r="J1843" i="3" s="1"/>
  <c r="I1840" i="3"/>
  <c r="J1840" i="3" s="1"/>
  <c r="I1839" i="3"/>
  <c r="J1839" i="3" s="1"/>
  <c r="R1837" i="3"/>
  <c r="W1828" i="3"/>
  <c r="X1840" i="3"/>
  <c r="Y1840" i="3"/>
  <c r="W1840" i="3"/>
  <c r="Z1840" i="3" s="1"/>
  <c r="AA1840" i="3" s="1"/>
  <c r="V1832" i="3"/>
  <c r="U1832" i="3"/>
  <c r="T1832" i="3"/>
  <c r="S1832" i="3"/>
  <c r="R1832" i="3"/>
  <c r="P1832" i="3"/>
  <c r="L1832" i="3"/>
  <c r="Y1831" i="3"/>
  <c r="X1831" i="3"/>
  <c r="W1831" i="3"/>
  <c r="Z1831" i="3" s="1"/>
  <c r="AA1831" i="3" s="1"/>
  <c r="M1831" i="3"/>
  <c r="N1831" i="3" s="1"/>
  <c r="I1831" i="3"/>
  <c r="J1831" i="3" s="1"/>
  <c r="Y1846" i="3" l="1"/>
  <c r="Y1850" i="3"/>
  <c r="U1847" i="3"/>
  <c r="Y1847" i="3" s="1"/>
  <c r="X1850" i="3"/>
  <c r="X1847" i="3"/>
  <c r="Y1853" i="3"/>
  <c r="X1853" i="3"/>
  <c r="N1852" i="3"/>
  <c r="O1852" i="3" s="1"/>
  <c r="AB1846" i="3"/>
  <c r="N1846" i="3"/>
  <c r="AB1852" i="3"/>
  <c r="AB1853" i="3"/>
  <c r="O1849" i="3"/>
  <c r="N1850" i="3"/>
  <c r="O1850" i="3" s="1"/>
  <c r="M1850" i="3"/>
  <c r="AB1849" i="3"/>
  <c r="AB1843" i="3"/>
  <c r="Y1844" i="3"/>
  <c r="X1844" i="3"/>
  <c r="Z1853" i="3"/>
  <c r="AA1853" i="3" s="1"/>
  <c r="Z1852" i="3"/>
  <c r="AA1852" i="3" s="1"/>
  <c r="W1850" i="3"/>
  <c r="Z1849" i="3"/>
  <c r="AA1849" i="3" s="1"/>
  <c r="W1847" i="3"/>
  <c r="Z1846" i="3"/>
  <c r="AA1846" i="3" s="1"/>
  <c r="W1844" i="3"/>
  <c r="Z1843" i="3"/>
  <c r="AA1843" i="3" s="1"/>
  <c r="N1844" i="3"/>
  <c r="O1844" i="3" s="1"/>
  <c r="O1843" i="3"/>
  <c r="M1844" i="3"/>
  <c r="M1832" i="3"/>
  <c r="X1832" i="3"/>
  <c r="Y1832" i="3"/>
  <c r="O1831" i="3"/>
  <c r="AC1831" i="3" s="1"/>
  <c r="N1832" i="3"/>
  <c r="O1832" i="3" s="1"/>
  <c r="W1832" i="3"/>
  <c r="AB1831" i="3"/>
  <c r="I1836" i="3"/>
  <c r="I1835" i="3"/>
  <c r="J1835" i="3" s="1"/>
  <c r="I1834" i="3"/>
  <c r="J1834" i="3" s="1"/>
  <c r="S1829" i="3"/>
  <c r="T1829" i="3"/>
  <c r="U1829" i="3"/>
  <c r="V1829" i="3"/>
  <c r="W1829" i="3"/>
  <c r="R1829" i="3"/>
  <c r="P1829" i="3"/>
  <c r="M1829" i="3"/>
  <c r="N1829" i="3"/>
  <c r="L1829" i="3"/>
  <c r="S1826" i="3"/>
  <c r="T1826" i="3"/>
  <c r="U1826" i="3"/>
  <c r="V1826" i="3"/>
  <c r="R1826" i="3"/>
  <c r="P1826" i="3"/>
  <c r="M1826" i="3"/>
  <c r="L1826" i="3"/>
  <c r="Y1824" i="3"/>
  <c r="X1824" i="3"/>
  <c r="W1824" i="3"/>
  <c r="AB1824" i="3" s="1"/>
  <c r="N1824" i="3"/>
  <c r="O1824" i="3" s="1"/>
  <c r="Y1825" i="3"/>
  <c r="X1825" i="3"/>
  <c r="W1825" i="3"/>
  <c r="AB1825" i="3" s="1"/>
  <c r="N1825" i="3"/>
  <c r="O1825" i="3" s="1"/>
  <c r="Y1823" i="3"/>
  <c r="X1823" i="3"/>
  <c r="W1823" i="3"/>
  <c r="AB1823" i="3" s="1"/>
  <c r="N1823" i="3"/>
  <c r="O1823" i="3" s="1"/>
  <c r="Y1822" i="3"/>
  <c r="X1822" i="3"/>
  <c r="W1822" i="3"/>
  <c r="Z1822" i="3" s="1"/>
  <c r="AA1822" i="3" s="1"/>
  <c r="N1822" i="3"/>
  <c r="O1822" i="3" s="1"/>
  <c r="Y1821" i="3"/>
  <c r="X1821" i="3"/>
  <c r="W1821" i="3"/>
  <c r="AB1821" i="3" s="1"/>
  <c r="N1821" i="3"/>
  <c r="Y1820" i="3"/>
  <c r="X1820" i="3"/>
  <c r="W1820" i="3"/>
  <c r="AB1820" i="3" s="1"/>
  <c r="N1820" i="3"/>
  <c r="O1820" i="3" s="1"/>
  <c r="Y1817" i="3"/>
  <c r="X1817" i="3"/>
  <c r="S1818" i="3"/>
  <c r="T1818" i="3"/>
  <c r="U1818" i="3"/>
  <c r="V1818" i="3"/>
  <c r="R1818" i="3"/>
  <c r="P1818" i="3"/>
  <c r="L1818" i="3"/>
  <c r="W1817" i="3"/>
  <c r="W1818" i="3" s="1"/>
  <c r="M1817" i="3"/>
  <c r="N1817" i="3" s="1"/>
  <c r="O1817" i="3" s="1"/>
  <c r="I1817" i="3"/>
  <c r="J1817" i="3" s="1"/>
  <c r="S1815" i="3"/>
  <c r="T1815" i="3"/>
  <c r="U1815" i="3"/>
  <c r="V1815" i="3"/>
  <c r="R1815" i="3"/>
  <c r="P1815" i="3"/>
  <c r="L1815" i="3"/>
  <c r="Y1814" i="3"/>
  <c r="X1814" i="3"/>
  <c r="W1814" i="3"/>
  <c r="Z1814" i="3" s="1"/>
  <c r="AA1814" i="3" s="1"/>
  <c r="M1814" i="3"/>
  <c r="N1814" i="3" s="1"/>
  <c r="O1814" i="3" s="1"/>
  <c r="I1814" i="3"/>
  <c r="J1814" i="3" s="1"/>
  <c r="N1853" i="3" l="1"/>
  <c r="O1853" i="3" s="1"/>
  <c r="AC1853" i="3" s="1"/>
  <c r="AC1852" i="3"/>
  <c r="N1847" i="3"/>
  <c r="O1847" i="3" s="1"/>
  <c r="O1846" i="3"/>
  <c r="AC1846" i="3" s="1"/>
  <c r="AC1849" i="3"/>
  <c r="AC1843" i="3"/>
  <c r="AB1850" i="3"/>
  <c r="Z1850" i="3"/>
  <c r="AA1850" i="3" s="1"/>
  <c r="AC1850" i="3" s="1"/>
  <c r="AB1847" i="3"/>
  <c r="Z1847" i="3"/>
  <c r="AA1847" i="3" s="1"/>
  <c r="AB1844" i="3"/>
  <c r="Z1844" i="3"/>
  <c r="AA1844" i="3" s="1"/>
  <c r="AC1844" i="3" s="1"/>
  <c r="AB1832" i="3"/>
  <c r="AC1822" i="3"/>
  <c r="X1818" i="3"/>
  <c r="Z1829" i="3"/>
  <c r="AA1829" i="3" s="1"/>
  <c r="AC1829" i="3" s="1"/>
  <c r="Z1832" i="3"/>
  <c r="AA1832" i="3" s="1"/>
  <c r="AC1832" i="3" s="1"/>
  <c r="X1826" i="3"/>
  <c r="Y1829" i="3"/>
  <c r="X1829" i="3"/>
  <c r="X1815" i="3"/>
  <c r="Z1818" i="3"/>
  <c r="AA1818" i="3" s="1"/>
  <c r="Y1826" i="3"/>
  <c r="Y1818" i="3"/>
  <c r="N1815" i="3"/>
  <c r="O1815" i="3" s="1"/>
  <c r="M1815" i="3"/>
  <c r="N1826" i="3"/>
  <c r="O1826" i="3" s="1"/>
  <c r="AB1829" i="3"/>
  <c r="Z1817" i="3"/>
  <c r="AA1817" i="3" s="1"/>
  <c r="AC1817" i="3" s="1"/>
  <c r="Y1815" i="3"/>
  <c r="O1821" i="3"/>
  <c r="M1818" i="3"/>
  <c r="AB1818" i="3" s="1"/>
  <c r="N1818" i="3"/>
  <c r="O1818" i="3" s="1"/>
  <c r="W1815" i="3"/>
  <c r="Z1815" i="3" s="1"/>
  <c r="AA1815" i="3" s="1"/>
  <c r="AB1817" i="3"/>
  <c r="W1826" i="3"/>
  <c r="AB1822" i="3"/>
  <c r="Z1824" i="3"/>
  <c r="AA1824" i="3" s="1"/>
  <c r="AC1824" i="3" s="1"/>
  <c r="Z1825" i="3"/>
  <c r="AA1825" i="3" s="1"/>
  <c r="AC1825" i="3" s="1"/>
  <c r="Z1823" i="3"/>
  <c r="AA1823" i="3" s="1"/>
  <c r="AC1823" i="3" s="1"/>
  <c r="Z1821" i="3"/>
  <c r="AA1821" i="3" s="1"/>
  <c r="Z1820" i="3"/>
  <c r="AA1820" i="3" s="1"/>
  <c r="AC1820" i="3" s="1"/>
  <c r="AC1814" i="3"/>
  <c r="AB1814" i="3"/>
  <c r="AC1847" i="3" l="1"/>
  <c r="AB1815" i="3"/>
  <c r="AC1818" i="3"/>
  <c r="AC1815" i="3"/>
  <c r="AC1821" i="3"/>
  <c r="AB1826" i="3"/>
  <c r="Z1826" i="3"/>
  <c r="AA1826" i="3" s="1"/>
  <c r="AC1826" i="3" s="1"/>
  <c r="V1841" i="3"/>
  <c r="U1841" i="3"/>
  <c r="T1841" i="3"/>
  <c r="S1841" i="3"/>
  <c r="R1841" i="3"/>
  <c r="P1841" i="3"/>
  <c r="L1841" i="3"/>
  <c r="M1840" i="3"/>
  <c r="Y1839" i="3"/>
  <c r="X1839" i="3"/>
  <c r="W1839" i="3"/>
  <c r="W1841" i="3" s="1"/>
  <c r="M1839" i="3"/>
  <c r="V1837" i="3"/>
  <c r="U1837" i="3"/>
  <c r="T1837" i="3"/>
  <c r="S1837" i="3"/>
  <c r="P1837" i="3"/>
  <c r="L1837" i="3"/>
  <c r="Y1836" i="3"/>
  <c r="X1836" i="3"/>
  <c r="W1836" i="3"/>
  <c r="Z1836" i="3" s="1"/>
  <c r="AA1836" i="3" s="1"/>
  <c r="M1836" i="3"/>
  <c r="Y1835" i="3"/>
  <c r="X1835" i="3"/>
  <c r="W1835" i="3"/>
  <c r="M1835" i="3"/>
  <c r="N1835" i="3" s="1"/>
  <c r="O1835" i="3" s="1"/>
  <c r="Y1834" i="3"/>
  <c r="X1834" i="3"/>
  <c r="W1834" i="3"/>
  <c r="M1834" i="3"/>
  <c r="Z1834" i="3" l="1"/>
  <c r="AA1834" i="3" s="1"/>
  <c r="W1837" i="3"/>
  <c r="Z1837" i="3" s="1"/>
  <c r="AA1837" i="3" s="1"/>
  <c r="AB1839" i="3"/>
  <c r="N1840" i="3"/>
  <c r="O1840" i="3" s="1"/>
  <c r="AC1840" i="3" s="1"/>
  <c r="AB1840" i="3"/>
  <c r="Y1837" i="3"/>
  <c r="X1841" i="3"/>
  <c r="Z1839" i="3"/>
  <c r="AA1839" i="3" s="1"/>
  <c r="M1837" i="3"/>
  <c r="AB1836" i="3"/>
  <c r="X1837" i="3"/>
  <c r="M1841" i="3"/>
  <c r="AB1841" i="3" s="1"/>
  <c r="Z1841" i="3"/>
  <c r="AA1841" i="3" s="1"/>
  <c r="N1836" i="3"/>
  <c r="O1836" i="3" s="1"/>
  <c r="AC1836" i="3" s="1"/>
  <c r="Z1835" i="3"/>
  <c r="AA1835" i="3" s="1"/>
  <c r="AC1835" i="3" s="1"/>
  <c r="N1839" i="3"/>
  <c r="Y1841" i="3"/>
  <c r="N1834" i="3"/>
  <c r="AB1834" i="3"/>
  <c r="AB1835" i="3"/>
  <c r="AB1837" i="3" l="1"/>
  <c r="N1841" i="3"/>
  <c r="O1841" i="3" s="1"/>
  <c r="AC1841" i="3" s="1"/>
  <c r="O1839" i="3"/>
  <c r="AC1839" i="3" s="1"/>
  <c r="N1837" i="3"/>
  <c r="O1837" i="3" s="1"/>
  <c r="AC1837" i="3" s="1"/>
  <c r="O1834" i="3"/>
  <c r="AC1834" i="3" s="1"/>
  <c r="H14" i="10" l="1"/>
  <c r="V1812" i="3"/>
  <c r="U1812" i="3"/>
  <c r="T1812" i="3"/>
  <c r="S1812" i="3"/>
  <c r="R1812" i="3"/>
  <c r="V1809" i="3"/>
  <c r="U1809" i="3"/>
  <c r="T1809" i="3"/>
  <c r="S1809" i="3"/>
  <c r="R1809" i="3"/>
  <c r="Y1811" i="3"/>
  <c r="X1811" i="3"/>
  <c r="W1811" i="3"/>
  <c r="Z1811" i="3" s="1"/>
  <c r="AA1811" i="3" s="1"/>
  <c r="Y1808" i="3"/>
  <c r="X1808" i="3"/>
  <c r="W1808" i="3"/>
  <c r="Z1808" i="3" s="1"/>
  <c r="AA1808" i="3" s="1"/>
  <c r="Y1807" i="3"/>
  <c r="X1807" i="3"/>
  <c r="W1807" i="3"/>
  <c r="P1812" i="3"/>
  <c r="P1809" i="3"/>
  <c r="M1808" i="3"/>
  <c r="N1808" i="3" s="1"/>
  <c r="O1808" i="3" s="1"/>
  <c r="M1807" i="3"/>
  <c r="L1812" i="3"/>
  <c r="L1809" i="3"/>
  <c r="M1811" i="3"/>
  <c r="N1811" i="3" s="1"/>
  <c r="I1811" i="3"/>
  <c r="J1811" i="3" s="1"/>
  <c r="X1812" i="3" l="1"/>
  <c r="M1812" i="3"/>
  <c r="W1812" i="3"/>
  <c r="Z1812" i="3" s="1"/>
  <c r="AA1812" i="3" s="1"/>
  <c r="O1811" i="3"/>
  <c r="AC1811" i="3" s="1"/>
  <c r="N1812" i="3"/>
  <c r="O1812" i="3" s="1"/>
  <c r="Y1812" i="3"/>
  <c r="AB1807" i="3"/>
  <c r="AC1808" i="3"/>
  <c r="M1809" i="3"/>
  <c r="Y1809" i="3"/>
  <c r="AB1811" i="3"/>
  <c r="AB1808" i="3"/>
  <c r="W1809" i="3"/>
  <c r="X1809" i="3"/>
  <c r="Z1807" i="3"/>
  <c r="AA1807" i="3" s="1"/>
  <c r="N1807" i="3"/>
  <c r="AB1812" i="3" l="1"/>
  <c r="AC1812" i="3"/>
  <c r="AB1809" i="3"/>
  <c r="Z1809" i="3"/>
  <c r="AA1809" i="3" s="1"/>
  <c r="N1809" i="3"/>
  <c r="O1809" i="3" s="1"/>
  <c r="O1807" i="3"/>
  <c r="AC1807" i="3" s="1"/>
  <c r="AC1809" i="3" l="1"/>
  <c r="I1808" i="3"/>
  <c r="J1808" i="3" s="1"/>
  <c r="I1807" i="3"/>
  <c r="J1807" i="3" s="1"/>
  <c r="I1792" i="3"/>
  <c r="I28" i="20"/>
  <c r="J28" i="20"/>
  <c r="P1797" i="3"/>
  <c r="P1796" i="3"/>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O1002" i="17"/>
  <c r="O1003" i="17"/>
  <c r="O1004" i="17"/>
  <c r="O1005" i="17"/>
  <c r="O1006" i="17"/>
  <c r="O1007" i="17"/>
  <c r="O1008" i="17"/>
  <c r="O1009" i="17"/>
  <c r="O1010" i="17"/>
  <c r="O1011" i="17"/>
  <c r="O1012" i="17"/>
  <c r="O1013" i="17"/>
  <c r="O1014" i="17"/>
  <c r="O1015" i="17"/>
  <c r="O1016" i="17"/>
  <c r="O1017" i="17"/>
  <c r="O1018" i="17"/>
  <c r="O1019" i="17"/>
  <c r="O1020" i="17"/>
  <c r="O1021" i="17"/>
  <c r="O1022" i="17"/>
  <c r="O1023" i="17"/>
  <c r="O1024" i="17"/>
  <c r="O1025" i="17"/>
  <c r="O1026" i="17"/>
  <c r="O1027" i="17"/>
  <c r="O1028" i="17"/>
  <c r="O1029" i="17"/>
  <c r="O1030" i="17"/>
  <c r="O1031" i="17"/>
  <c r="O1032" i="17"/>
  <c r="O1033" i="17"/>
  <c r="O1034" i="17"/>
  <c r="O1035" i="17"/>
  <c r="O1036" i="17"/>
  <c r="O1037" i="17"/>
  <c r="O1038" i="17"/>
  <c r="O1039" i="17"/>
  <c r="O1040" i="17"/>
  <c r="O1041" i="17"/>
  <c r="O1042" i="17"/>
  <c r="O1043" i="17"/>
  <c r="O1044" i="17"/>
  <c r="O1045" i="17"/>
  <c r="O1046" i="17"/>
  <c r="O1047" i="17"/>
  <c r="O1048" i="17"/>
  <c r="O1049" i="17"/>
  <c r="O1050" i="17"/>
  <c r="O1051" i="17"/>
  <c r="O1052" i="17"/>
  <c r="O1053" i="17"/>
  <c r="O1054" i="17"/>
  <c r="O1055" i="17"/>
  <c r="O1056" i="17"/>
  <c r="O1057" i="17"/>
  <c r="O1058" i="17"/>
  <c r="O1059" i="17"/>
  <c r="O1060" i="17"/>
  <c r="O1061" i="17"/>
  <c r="O1062" i="17"/>
  <c r="O1063" i="17"/>
  <c r="O1064" i="17"/>
  <c r="O1065" i="17"/>
  <c r="O1066" i="17"/>
  <c r="O1067" i="17"/>
  <c r="O1068" i="17"/>
  <c r="O1069" i="17"/>
  <c r="O1070" i="17"/>
  <c r="O1071" i="17"/>
  <c r="O1072" i="17"/>
  <c r="O1073" i="17"/>
  <c r="O1074" i="17"/>
  <c r="O1075" i="17"/>
  <c r="O1076" i="17"/>
  <c r="O1077" i="17"/>
  <c r="O1078" i="17"/>
  <c r="O1079" i="17"/>
  <c r="O1080" i="17"/>
  <c r="O1081" i="17"/>
  <c r="O1082" i="17"/>
  <c r="O1083" i="17"/>
  <c r="O1084" i="17"/>
  <c r="O1085" i="17"/>
  <c r="O1086" i="17"/>
  <c r="O1087" i="17"/>
  <c r="O1088" i="17"/>
  <c r="O1089" i="17"/>
  <c r="O1090" i="17"/>
  <c r="O1091" i="17"/>
  <c r="O1092" i="17"/>
  <c r="O1093" i="17"/>
  <c r="O1094" i="17"/>
  <c r="O1095" i="17"/>
  <c r="O1096" i="17"/>
  <c r="O1097" i="17"/>
  <c r="O1098" i="17"/>
  <c r="O1099" i="17"/>
  <c r="O1100" i="17"/>
  <c r="O1101" i="17"/>
  <c r="O1102" i="17"/>
  <c r="O1103" i="17"/>
  <c r="O1104" i="17"/>
  <c r="O1105" i="17"/>
  <c r="O1106" i="17"/>
  <c r="O1107" i="17"/>
  <c r="O1108" i="17"/>
  <c r="O1109" i="17"/>
  <c r="O1110" i="17"/>
  <c r="O1111" i="17"/>
  <c r="O1112" i="17"/>
  <c r="O1113" i="17"/>
  <c r="O1114" i="17"/>
  <c r="O1115" i="17"/>
  <c r="O1116" i="17"/>
  <c r="O1117" i="17"/>
  <c r="O1118" i="17"/>
  <c r="O1119" i="17"/>
  <c r="O1120" i="17"/>
  <c r="O1121" i="17"/>
  <c r="O1122" i="17"/>
  <c r="O1123" i="17"/>
  <c r="O1124" i="17"/>
  <c r="O1125" i="17"/>
  <c r="O1126" i="17"/>
  <c r="O1127" i="17"/>
  <c r="O1128" i="17"/>
  <c r="O1129" i="17"/>
  <c r="O1130" i="17"/>
  <c r="O1131" i="17"/>
  <c r="O1132" i="17"/>
  <c r="O1133" i="17"/>
  <c r="O1134" i="17"/>
  <c r="O1135" i="17"/>
  <c r="O1136" i="17"/>
  <c r="O1137" i="17"/>
  <c r="O1138" i="17"/>
  <c r="O1139" i="17"/>
  <c r="O1140" i="17"/>
  <c r="O1141" i="17"/>
  <c r="O1142" i="17"/>
  <c r="O1143" i="17"/>
  <c r="O1144" i="17"/>
  <c r="O1145" i="17"/>
  <c r="O1146" i="17"/>
  <c r="O1147" i="17"/>
  <c r="O1148" i="17"/>
  <c r="O1149" i="17"/>
  <c r="O1150" i="17"/>
  <c r="O1151" i="17"/>
  <c r="O1152" i="17"/>
  <c r="O1153" i="17"/>
  <c r="O1154" i="17"/>
  <c r="O1155" i="17"/>
  <c r="O1156" i="17"/>
  <c r="O1157" i="17"/>
  <c r="O1158" i="17"/>
  <c r="O1159" i="17"/>
  <c r="O1160" i="17"/>
  <c r="O1161" i="17"/>
  <c r="O1162" i="17"/>
  <c r="O1163" i="17"/>
  <c r="O1164" i="17"/>
  <c r="O1165" i="17"/>
  <c r="O1166" i="17"/>
  <c r="O1167" i="17"/>
  <c r="O1168" i="17"/>
  <c r="O1169" i="17"/>
  <c r="O1170" i="17"/>
  <c r="O1171" i="17"/>
  <c r="O1172" i="17"/>
  <c r="O1173" i="17"/>
  <c r="O1174" i="17"/>
  <c r="O1175" i="17"/>
  <c r="O1176" i="17"/>
  <c r="O1177" i="17"/>
  <c r="O1178" i="17"/>
  <c r="O1179" i="17"/>
  <c r="O1180" i="17"/>
  <c r="O1181" i="17"/>
  <c r="O1182" i="17"/>
  <c r="O1183" i="17"/>
  <c r="O1184" i="17"/>
  <c r="O1185" i="17"/>
  <c r="O1186" i="17"/>
  <c r="O1187" i="17"/>
  <c r="O1188" i="17"/>
  <c r="O1189" i="17"/>
  <c r="O1190" i="17"/>
  <c r="O1191" i="17"/>
  <c r="O1192" i="17"/>
  <c r="O1193" i="17"/>
  <c r="O1194" i="17"/>
  <c r="O1195" i="17"/>
  <c r="O1196" i="17"/>
  <c r="O1197" i="17"/>
  <c r="O1198" i="17"/>
  <c r="O1199" i="17"/>
  <c r="O1200" i="17"/>
  <c r="O1201" i="17"/>
  <c r="O1202" i="17"/>
  <c r="O1203" i="17"/>
  <c r="O1204" i="17"/>
  <c r="O1205" i="17"/>
  <c r="O1206" i="17"/>
  <c r="O1207" i="17"/>
  <c r="O1208" i="17"/>
  <c r="O1209" i="17"/>
  <c r="O1210" i="17"/>
  <c r="O1211" i="17"/>
  <c r="O1212" i="17"/>
  <c r="O1213" i="17"/>
  <c r="O1214" i="17"/>
  <c r="O1215" i="17"/>
  <c r="O1216" i="17"/>
  <c r="O1217" i="17"/>
  <c r="O1218" i="17"/>
  <c r="O1219" i="17"/>
  <c r="O1220" i="17"/>
  <c r="O1221" i="17"/>
  <c r="O1222" i="17"/>
  <c r="O1223" i="17"/>
  <c r="O1224" i="17"/>
  <c r="O1225" i="17"/>
  <c r="O1226" i="17"/>
  <c r="O1227" i="17"/>
  <c r="O1228" i="17"/>
  <c r="O1229" i="17"/>
  <c r="O1230" i="17"/>
  <c r="O1231" i="17"/>
  <c r="O1232" i="17"/>
  <c r="O1233" i="17"/>
  <c r="O1234" i="17"/>
  <c r="O1235" i="17"/>
  <c r="O1236" i="17"/>
  <c r="O1237" i="17"/>
  <c r="O1238" i="17"/>
  <c r="O1239" i="17"/>
  <c r="O1240" i="17"/>
  <c r="O1241" i="17"/>
  <c r="O1242" i="17"/>
  <c r="O1243" i="17"/>
  <c r="O1244" i="17"/>
  <c r="O1245" i="17"/>
  <c r="O1246" i="17"/>
  <c r="O1247" i="17"/>
  <c r="O1248" i="17"/>
  <c r="O1249" i="17"/>
  <c r="O1250" i="17"/>
  <c r="O1251" i="17"/>
  <c r="O1252" i="17"/>
  <c r="O1253" i="17"/>
  <c r="O1254" i="17"/>
  <c r="O1255" i="17"/>
  <c r="O1256" i="17"/>
  <c r="O1257" i="17"/>
  <c r="O1258" i="17"/>
  <c r="O1259" i="17"/>
  <c r="O1260" i="17"/>
  <c r="O1261" i="17"/>
  <c r="O1262" i="17"/>
  <c r="O1263" i="17"/>
  <c r="O1264" i="17"/>
  <c r="O1265" i="17"/>
  <c r="O1266" i="17"/>
  <c r="O1267" i="17"/>
  <c r="O1268" i="17"/>
  <c r="O1269" i="17"/>
  <c r="O1270" i="17"/>
  <c r="O1271" i="17"/>
  <c r="O1272" i="17"/>
  <c r="O1273" i="17"/>
  <c r="O1274" i="17"/>
  <c r="O1275" i="17"/>
  <c r="O1276" i="17"/>
  <c r="O1277" i="17"/>
  <c r="O1278" i="17"/>
  <c r="O1279" i="17"/>
  <c r="O1280" i="17"/>
  <c r="O1281" i="17"/>
  <c r="O1282" i="17"/>
  <c r="O1283" i="17"/>
  <c r="O1284" i="17"/>
  <c r="O1285" i="17"/>
  <c r="O1286" i="17"/>
  <c r="O1287" i="17"/>
  <c r="O1288" i="17"/>
  <c r="O1289" i="17"/>
  <c r="O1290" i="17"/>
  <c r="O1291" i="17"/>
  <c r="O1292" i="17"/>
  <c r="O1293" i="17"/>
  <c r="O1294" i="17"/>
  <c r="O1295" i="17"/>
  <c r="O1296" i="17"/>
  <c r="O1297" i="17"/>
  <c r="O1298" i="17"/>
  <c r="O1299" i="17"/>
  <c r="O1300" i="17"/>
  <c r="O1301" i="17"/>
  <c r="O1302" i="17"/>
  <c r="O1303" i="17"/>
  <c r="O1304" i="17"/>
  <c r="O1305" i="17"/>
  <c r="O1306" i="17"/>
  <c r="O1307" i="17"/>
  <c r="O1308" i="17"/>
  <c r="O1309" i="17"/>
  <c r="O1310" i="17"/>
  <c r="O1311" i="17"/>
  <c r="O1312" i="17"/>
  <c r="O1313" i="17"/>
  <c r="O1314" i="17"/>
  <c r="O1315" i="17"/>
  <c r="O1316" i="17"/>
  <c r="O1317" i="17"/>
  <c r="O1318" i="17"/>
  <c r="O1319" i="17"/>
  <c r="O1320" i="17"/>
  <c r="O1321" i="17"/>
  <c r="O1322" i="17"/>
  <c r="O1323" i="17"/>
  <c r="O1324" i="17"/>
  <c r="O1325" i="17"/>
  <c r="O1326" i="17"/>
  <c r="O1327" i="17"/>
  <c r="O1328" i="17"/>
  <c r="O1329" i="17"/>
  <c r="O1330" i="17"/>
  <c r="O1331" i="17"/>
  <c r="O1332" i="17"/>
  <c r="O1333" i="17"/>
  <c r="O1334" i="17"/>
  <c r="O1335" i="17"/>
  <c r="O1336" i="17"/>
  <c r="O1337" i="17"/>
  <c r="O1338" i="17"/>
  <c r="O1339" i="17"/>
  <c r="O1340" i="17"/>
  <c r="O1341" i="17"/>
  <c r="O1342" i="17"/>
  <c r="O1343" i="17"/>
  <c r="O1344" i="17"/>
  <c r="O1345" i="17"/>
  <c r="O1346" i="17"/>
  <c r="O1347" i="17"/>
  <c r="O1348" i="17"/>
  <c r="O1349" i="17"/>
  <c r="O1350" i="17"/>
  <c r="O1351" i="17"/>
  <c r="O1352" i="17"/>
  <c r="O1353" i="17"/>
  <c r="O1354" i="17"/>
  <c r="O1355" i="17"/>
  <c r="O1356" i="17"/>
  <c r="O1357" i="17"/>
  <c r="O1358" i="17"/>
  <c r="O1359" i="17"/>
  <c r="O1360" i="17"/>
  <c r="O1361" i="17"/>
  <c r="O1362" i="17"/>
  <c r="O1363" i="17"/>
  <c r="O1364" i="17"/>
  <c r="O1365" i="17"/>
  <c r="O1366" i="17"/>
  <c r="O1367" i="17"/>
  <c r="O1368" i="17"/>
  <c r="O1369" i="17"/>
  <c r="O1370" i="17"/>
  <c r="O1371" i="17"/>
  <c r="O1372" i="17"/>
  <c r="O1373" i="17"/>
  <c r="O1374" i="17"/>
  <c r="O1375" i="17"/>
  <c r="O1376" i="17"/>
  <c r="O1377" i="17"/>
  <c r="O1378" i="17"/>
  <c r="O1379" i="17"/>
  <c r="O1380" i="17"/>
  <c r="O1381" i="17"/>
  <c r="O1382" i="17"/>
  <c r="O1383" i="17"/>
  <c r="O1384" i="17"/>
  <c r="O1385" i="17"/>
  <c r="O1386" i="17"/>
  <c r="O1387" i="17"/>
  <c r="O1388" i="17"/>
  <c r="O1389" i="17"/>
  <c r="O1390" i="17"/>
  <c r="O1391" i="17"/>
  <c r="O1392" i="17"/>
  <c r="O1393" i="17"/>
  <c r="O1394" i="17"/>
  <c r="O1395" i="17"/>
  <c r="O1396" i="17"/>
  <c r="O1397" i="17"/>
  <c r="O1398" i="17"/>
  <c r="O1399" i="17"/>
  <c r="O1400" i="17"/>
  <c r="O1401" i="17"/>
  <c r="O1402" i="17"/>
  <c r="O1403" i="17"/>
  <c r="O1404" i="17"/>
  <c r="O1405" i="17"/>
  <c r="O1406" i="17"/>
  <c r="O1407" i="17"/>
  <c r="O1408" i="17"/>
  <c r="O1409" i="17"/>
  <c r="O1410" i="17"/>
  <c r="O1411" i="17"/>
  <c r="O1412" i="17"/>
  <c r="O1413" i="17"/>
  <c r="O1414" i="17"/>
  <c r="O1415" i="17"/>
  <c r="O1416" i="17"/>
  <c r="O1417" i="17"/>
  <c r="O1418" i="17"/>
  <c r="O1419" i="17"/>
  <c r="O1420" i="17"/>
  <c r="O1421" i="17"/>
  <c r="O1422" i="17"/>
  <c r="O1423" i="17"/>
  <c r="O1424" i="17"/>
  <c r="O1425" i="17"/>
  <c r="O1426" i="17"/>
  <c r="O1427" i="17"/>
  <c r="O1428" i="17"/>
  <c r="O1429" i="17"/>
  <c r="O1430" i="17"/>
  <c r="O1431" i="17"/>
  <c r="O1432" i="17"/>
  <c r="O1433" i="17"/>
  <c r="O1434" i="17"/>
  <c r="O1435" i="17"/>
  <c r="O1436" i="17"/>
  <c r="O1437" i="17"/>
  <c r="O1438" i="17"/>
  <c r="O1439" i="17"/>
  <c r="O1440" i="17"/>
  <c r="O1441" i="17"/>
  <c r="O1442" i="17"/>
  <c r="O1443" i="17"/>
  <c r="O1444" i="17"/>
  <c r="O1445" i="17"/>
  <c r="O1446" i="17"/>
  <c r="O1447" i="17"/>
  <c r="O1448" i="17"/>
  <c r="O1449" i="17"/>
  <c r="O1450" i="17"/>
  <c r="O1451" i="17"/>
  <c r="O1452" i="17"/>
  <c r="O1453" i="17"/>
  <c r="O1454" i="17"/>
  <c r="O1455" i="17"/>
  <c r="O1456" i="17"/>
  <c r="O1457" i="17"/>
  <c r="O1458" i="17"/>
  <c r="O1459" i="17"/>
  <c r="O1460" i="17"/>
  <c r="O1461" i="17"/>
  <c r="O1462" i="17"/>
  <c r="O1463" i="17"/>
  <c r="O1464" i="17"/>
  <c r="O1465" i="17"/>
  <c r="O1466" i="17"/>
  <c r="O1467" i="17"/>
  <c r="O1468" i="17"/>
  <c r="O1469" i="17"/>
  <c r="O1470" i="17"/>
  <c r="O1471" i="17"/>
  <c r="O1472" i="17"/>
  <c r="O1473" i="17"/>
  <c r="O1474" i="17"/>
  <c r="O1475" i="17"/>
  <c r="O1476" i="17"/>
  <c r="O1477" i="17"/>
  <c r="O1478" i="17"/>
  <c r="O1479" i="17"/>
  <c r="O1480" i="17"/>
  <c r="O1481" i="17"/>
  <c r="O1482" i="17"/>
  <c r="O1483" i="17"/>
  <c r="O1484" i="17"/>
  <c r="O1485" i="17"/>
  <c r="O1486" i="17"/>
  <c r="O1487" i="17"/>
  <c r="O1488" i="17"/>
  <c r="O1489" i="17"/>
  <c r="O1490" i="17"/>
  <c r="O1491" i="17"/>
  <c r="O1492" i="17"/>
  <c r="O1493" i="17"/>
  <c r="O1494" i="17"/>
  <c r="O1495" i="17"/>
  <c r="O1496" i="17"/>
  <c r="O1497" i="17"/>
  <c r="O1498" i="17"/>
  <c r="O1499" i="17"/>
  <c r="O1500" i="17"/>
  <c r="O1501" i="17"/>
  <c r="O1502" i="17"/>
  <c r="O1503" i="17"/>
  <c r="O1504" i="17"/>
  <c r="O1505" i="17"/>
  <c r="O1506" i="17"/>
  <c r="O1507" i="17"/>
  <c r="O1508" i="17"/>
  <c r="O1509" i="17"/>
  <c r="O1510" i="17"/>
  <c r="O1511" i="17"/>
  <c r="O1512" i="17"/>
  <c r="O1513" i="17"/>
  <c r="O1514" i="17"/>
  <c r="O1515" i="17"/>
  <c r="O1516" i="17"/>
  <c r="O1517" i="17"/>
  <c r="O1518" i="17"/>
  <c r="O1519" i="17"/>
  <c r="O1520" i="17"/>
  <c r="O1521" i="17"/>
  <c r="O1522" i="17"/>
  <c r="O1523" i="17"/>
  <c r="O1524" i="17"/>
  <c r="O1525" i="17"/>
  <c r="O1526" i="17"/>
  <c r="O1527" i="17"/>
  <c r="O1528" i="17"/>
  <c r="O1529" i="17"/>
  <c r="O1530" i="17"/>
  <c r="O1531" i="17"/>
  <c r="O1532" i="17"/>
  <c r="O1533" i="17"/>
  <c r="O1534" i="17"/>
  <c r="O1535" i="17"/>
  <c r="O1536" i="17"/>
  <c r="O1537" i="17"/>
  <c r="O1538" i="17"/>
  <c r="O1539" i="17"/>
  <c r="O1540" i="17"/>
  <c r="O1541" i="17"/>
  <c r="O1542" i="17"/>
  <c r="O1543" i="17"/>
  <c r="O1544" i="17"/>
  <c r="O1545" i="17"/>
  <c r="O1546" i="17"/>
  <c r="O1547" i="17"/>
  <c r="O1548" i="17"/>
  <c r="O1549" i="17"/>
  <c r="O1550" i="17"/>
  <c r="O1551" i="17"/>
  <c r="O1552" i="17"/>
  <c r="O1553" i="17"/>
  <c r="O1554" i="17"/>
  <c r="O1555" i="17"/>
  <c r="O1556" i="17"/>
  <c r="O1557" i="17"/>
  <c r="O1558" i="17"/>
  <c r="O1559" i="17"/>
  <c r="O1560" i="17"/>
  <c r="O1561" i="17"/>
  <c r="O1562" i="17"/>
  <c r="O1563" i="17"/>
  <c r="O1564" i="17"/>
  <c r="O1565" i="17"/>
  <c r="O1566" i="17"/>
  <c r="O1567" i="17"/>
  <c r="O1568" i="17"/>
  <c r="O1569" i="17"/>
  <c r="O1570" i="17"/>
  <c r="O1571" i="17"/>
  <c r="O1572" i="17"/>
  <c r="O1573" i="17"/>
  <c r="O1574" i="17"/>
  <c r="O1575" i="17"/>
  <c r="O1576" i="17"/>
  <c r="O1577" i="17"/>
  <c r="O1578" i="17"/>
  <c r="O1579" i="17"/>
  <c r="O1580" i="17"/>
  <c r="O1581" i="17"/>
  <c r="O1582" i="17"/>
  <c r="O1583" i="17"/>
  <c r="O1584" i="17"/>
  <c r="O1585" i="17"/>
  <c r="O1586" i="17"/>
  <c r="O1587" i="17"/>
  <c r="O1588" i="17"/>
  <c r="O1589" i="17"/>
  <c r="O1590" i="17"/>
  <c r="O1591" i="17"/>
  <c r="O1592" i="17"/>
  <c r="O1593" i="17"/>
  <c r="O1594" i="17"/>
  <c r="O1595" i="17"/>
  <c r="O1596" i="17"/>
  <c r="O1597" i="17"/>
  <c r="O1598" i="17"/>
  <c r="O1599" i="17"/>
  <c r="O1600" i="17"/>
  <c r="O1601" i="17"/>
  <c r="O1602" i="17"/>
  <c r="O1603" i="17"/>
  <c r="O1604" i="17"/>
  <c r="O1605" i="17"/>
  <c r="O1606" i="17"/>
  <c r="O1607" i="17"/>
  <c r="O1608" i="17"/>
  <c r="O1609" i="17"/>
  <c r="O1610" i="17"/>
  <c r="O1611" i="17"/>
  <c r="O1612" i="17"/>
  <c r="O1613" i="17"/>
  <c r="O1614" i="17"/>
  <c r="O1615" i="17"/>
  <c r="O1616" i="17"/>
  <c r="O1617" i="17"/>
  <c r="O1618" i="17"/>
  <c r="O1619" i="17"/>
  <c r="O1620" i="17"/>
  <c r="O1621" i="17"/>
  <c r="O1622" i="17"/>
  <c r="O1623" i="17"/>
  <c r="O1624" i="17"/>
  <c r="O1625" i="17"/>
  <c r="O1626" i="17"/>
  <c r="O1627" i="17"/>
  <c r="O1628" i="17"/>
  <c r="O1629" i="17"/>
  <c r="O1630" i="17"/>
  <c r="O1631" i="17"/>
  <c r="O1632" i="17"/>
  <c r="O1633" i="17"/>
  <c r="O1634" i="17"/>
  <c r="O1635" i="17"/>
  <c r="O1636" i="17"/>
  <c r="O1637" i="17"/>
  <c r="O1638" i="17"/>
  <c r="O1639" i="17"/>
  <c r="O1640" i="17"/>
  <c r="O1641" i="17"/>
  <c r="O1642" i="17"/>
  <c r="O1643" i="17"/>
  <c r="O1644" i="17"/>
  <c r="O1645" i="17"/>
  <c r="O1646" i="17"/>
  <c r="O1647" i="17"/>
  <c r="O1648" i="17"/>
  <c r="O1649" i="17"/>
  <c r="O1650" i="17"/>
  <c r="O1651" i="17"/>
  <c r="O1652" i="17"/>
  <c r="O1653" i="17"/>
  <c r="O1654" i="17"/>
  <c r="O1655" i="17"/>
  <c r="O1656" i="17"/>
  <c r="O1657" i="17"/>
  <c r="O1658" i="17"/>
  <c r="O1659" i="17"/>
  <c r="O1660" i="17"/>
  <c r="O1661" i="17"/>
  <c r="O1662" i="17"/>
  <c r="O1663" i="17"/>
  <c r="O1664" i="17"/>
  <c r="O1665" i="17"/>
  <c r="O1666" i="17"/>
  <c r="O1667" i="17"/>
  <c r="O1668" i="17"/>
  <c r="O1669" i="17"/>
  <c r="O1670" i="17"/>
  <c r="O1671" i="17"/>
  <c r="O1672" i="17"/>
  <c r="O1673" i="17"/>
  <c r="O1674" i="17"/>
  <c r="O1675" i="17"/>
  <c r="O1676" i="17"/>
  <c r="O1677" i="17"/>
  <c r="O1678" i="17"/>
  <c r="O1679" i="17"/>
  <c r="O1680" i="17"/>
  <c r="O1681" i="17"/>
  <c r="O1682" i="17"/>
  <c r="O1683" i="17"/>
  <c r="O1684" i="17"/>
  <c r="O1685" i="17"/>
  <c r="O1686" i="17"/>
  <c r="O1687" i="17"/>
  <c r="O1688" i="17"/>
  <c r="O1689" i="17"/>
  <c r="O1690" i="17"/>
  <c r="O1691" i="17"/>
  <c r="O1692" i="17"/>
  <c r="O1693" i="17"/>
  <c r="O1694" i="17"/>
  <c r="O1695" i="17"/>
  <c r="O1696" i="17"/>
  <c r="O1697" i="17"/>
  <c r="O1698" i="17"/>
  <c r="O1699" i="17"/>
  <c r="O1700" i="17"/>
  <c r="O1701" i="17"/>
  <c r="O1702" i="17"/>
  <c r="O1703" i="17"/>
  <c r="O1704" i="17"/>
  <c r="O1705" i="17"/>
  <c r="O1706" i="17"/>
  <c r="O1707" i="17"/>
  <c r="O1708" i="17"/>
  <c r="O1709" i="17"/>
  <c r="O1710" i="17"/>
  <c r="O1711" i="17"/>
  <c r="O1712" i="17"/>
  <c r="O1713" i="17"/>
  <c r="O1714" i="17"/>
  <c r="O1715" i="17"/>
  <c r="O1716" i="17"/>
  <c r="O1717" i="17"/>
  <c r="O1718" i="17"/>
  <c r="O1719" i="17"/>
  <c r="O1720" i="17"/>
  <c r="O1721" i="17"/>
  <c r="O1722" i="17"/>
  <c r="O1723" i="17"/>
  <c r="O1724" i="17"/>
  <c r="O1725" i="17"/>
  <c r="O1726" i="17"/>
  <c r="O1727" i="17"/>
  <c r="O1728" i="17"/>
  <c r="O1729" i="17"/>
  <c r="O1730" i="17"/>
  <c r="O1731" i="17"/>
  <c r="O1732" i="17"/>
  <c r="O1733" i="17"/>
  <c r="O1734" i="17"/>
  <c r="O1735" i="17"/>
  <c r="O1736" i="17"/>
  <c r="O1737" i="17"/>
  <c r="O1738" i="17"/>
  <c r="O1739" i="17"/>
  <c r="O1740" i="17"/>
  <c r="O1741" i="17"/>
  <c r="O1742" i="17"/>
  <c r="O1743" i="17"/>
  <c r="O1744" i="17"/>
  <c r="O1745" i="17"/>
  <c r="O1746" i="17"/>
  <c r="O1747" i="17"/>
  <c r="O1748" i="17"/>
  <c r="O1749" i="17"/>
  <c r="O1750" i="17"/>
  <c r="O1751" i="17"/>
  <c r="O1752" i="17"/>
  <c r="O1753" i="17"/>
  <c r="O1754" i="17"/>
  <c r="O1755" i="17"/>
  <c r="O1756" i="17"/>
  <c r="O1757" i="17"/>
  <c r="O1758" i="17"/>
  <c r="O1759" i="17"/>
  <c r="O1760" i="17"/>
  <c r="O1761" i="17"/>
  <c r="O1762" i="17"/>
  <c r="O1763" i="17"/>
  <c r="O1764" i="17"/>
  <c r="O1765" i="17"/>
  <c r="O1766" i="17"/>
  <c r="O1767" i="17"/>
  <c r="O1768" i="17"/>
  <c r="O1769" i="17"/>
  <c r="O1770" i="17"/>
  <c r="O1771" i="17"/>
  <c r="O1772" i="17"/>
  <c r="O1773" i="17"/>
  <c r="O1774" i="17"/>
  <c r="O1775" i="17"/>
  <c r="O1776" i="17"/>
  <c r="O1777" i="17"/>
  <c r="O1778" i="17"/>
  <c r="O1779" i="17"/>
  <c r="O1780" i="17"/>
  <c r="O1781" i="17"/>
  <c r="O1782" i="17"/>
  <c r="O1783" i="17"/>
  <c r="O1784" i="17"/>
  <c r="O1785" i="17"/>
  <c r="O1786" i="17"/>
  <c r="O1787" i="17"/>
  <c r="O1788" i="17"/>
  <c r="O1789" i="17"/>
  <c r="O1790" i="17"/>
  <c r="O1791" i="17"/>
  <c r="O1792" i="17"/>
  <c r="O1793" i="17"/>
  <c r="O1794" i="17"/>
  <c r="O1795" i="17"/>
  <c r="O1796" i="17"/>
  <c r="O1797" i="17"/>
  <c r="O1798" i="17"/>
  <c r="O1799" i="17"/>
  <c r="O1800" i="17"/>
  <c r="O1801" i="17"/>
  <c r="O1802" i="17"/>
  <c r="O1803" i="17"/>
  <c r="O1804" i="17"/>
  <c r="O1805" i="17"/>
  <c r="O1806" i="17"/>
  <c r="O1807" i="17"/>
  <c r="O1808" i="17"/>
  <c r="O1809" i="17"/>
  <c r="O1810" i="17"/>
  <c r="O1811" i="17"/>
  <c r="O1812" i="17"/>
  <c r="O1813" i="17"/>
  <c r="O1814" i="17"/>
  <c r="O1815" i="17"/>
  <c r="O1816" i="17"/>
  <c r="O1817" i="17"/>
  <c r="O1818" i="17"/>
  <c r="O1819" i="17"/>
  <c r="O1820" i="17"/>
  <c r="O1821" i="17"/>
  <c r="O1822" i="17"/>
  <c r="O1823" i="17"/>
  <c r="O1824" i="17"/>
  <c r="O1825" i="17"/>
  <c r="O1826" i="17"/>
  <c r="O1827" i="17"/>
  <c r="O1828" i="17"/>
  <c r="O1829" i="17"/>
  <c r="O1830" i="17"/>
  <c r="O1831" i="17"/>
  <c r="O1832" i="17"/>
  <c r="O1833" i="17"/>
  <c r="O1834" i="17"/>
  <c r="O1835" i="17"/>
  <c r="O1836" i="17"/>
  <c r="O1837" i="17"/>
  <c r="O1838" i="17"/>
  <c r="O1839" i="17"/>
  <c r="O1840" i="17"/>
  <c r="O1841" i="17"/>
  <c r="O1842" i="17"/>
  <c r="O1843" i="17"/>
  <c r="O1844" i="17"/>
  <c r="O1845" i="17"/>
  <c r="O1846" i="17"/>
  <c r="O1847" i="17"/>
  <c r="O1848" i="17"/>
  <c r="O1849" i="17"/>
  <c r="O1850" i="17"/>
  <c r="O1851" i="17"/>
  <c r="O1852" i="17"/>
  <c r="O1853" i="17"/>
  <c r="O1854" i="17"/>
  <c r="O1855" i="17"/>
  <c r="O1856" i="17"/>
  <c r="O1857" i="17"/>
  <c r="O1858" i="17"/>
  <c r="O1859" i="17"/>
  <c r="O1860" i="17"/>
  <c r="O1861" i="17"/>
  <c r="O1862" i="17"/>
  <c r="O1863" i="17"/>
  <c r="O1864" i="17"/>
  <c r="O1865" i="17"/>
  <c r="O1866" i="17"/>
  <c r="O1867" i="17"/>
  <c r="O1868" i="17"/>
  <c r="O1869" i="17"/>
  <c r="O1870" i="17"/>
  <c r="O1871" i="17"/>
  <c r="O1872" i="17"/>
  <c r="O1873" i="17"/>
  <c r="O1874" i="17"/>
  <c r="O1875" i="17"/>
  <c r="O1876" i="17"/>
  <c r="O1877" i="17"/>
  <c r="O1878" i="17"/>
  <c r="O1879" i="17"/>
  <c r="O1880" i="17"/>
  <c r="O1881" i="17"/>
  <c r="O1882" i="17"/>
  <c r="O1883" i="17"/>
  <c r="O1884" i="17"/>
  <c r="O1885" i="17"/>
  <c r="O1886" i="17"/>
  <c r="O1887" i="17"/>
  <c r="O1888" i="17"/>
  <c r="O1889" i="17"/>
  <c r="O1890" i="17"/>
  <c r="O1891" i="17"/>
  <c r="O1892" i="17"/>
  <c r="O1893" i="17"/>
  <c r="O1894" i="17"/>
  <c r="O1895" i="17"/>
  <c r="O1896" i="17"/>
  <c r="O1897" i="17"/>
  <c r="O1898" i="17"/>
  <c r="O1899" i="17"/>
  <c r="O1900" i="17"/>
  <c r="O1901" i="17"/>
  <c r="O1902" i="17"/>
  <c r="O1903" i="17"/>
  <c r="O1904" i="17"/>
  <c r="O1905" i="17"/>
  <c r="O1906" i="17"/>
  <c r="O1907" i="17"/>
  <c r="O1908" i="17"/>
  <c r="O1909" i="17"/>
  <c r="O1910" i="17"/>
  <c r="O1911" i="17"/>
  <c r="O1912" i="17"/>
  <c r="O1913" i="17"/>
  <c r="O1914" i="17"/>
  <c r="O1915" i="17"/>
  <c r="O1916" i="17"/>
  <c r="O1917" i="17"/>
  <c r="O1918" i="17"/>
  <c r="O1919" i="17"/>
  <c r="O1920" i="17"/>
  <c r="O1921" i="17"/>
  <c r="O1922" i="17"/>
  <c r="O1923" i="17"/>
  <c r="O1924" i="17"/>
  <c r="O1925" i="17"/>
  <c r="O1926" i="17"/>
  <c r="O1927" i="17"/>
  <c r="O1928" i="17"/>
  <c r="O1929" i="17"/>
  <c r="O1930" i="17"/>
  <c r="O1931" i="17"/>
  <c r="O1932" i="17"/>
  <c r="O1933" i="17"/>
  <c r="O1934" i="17"/>
  <c r="O1935" i="17"/>
  <c r="O1936" i="17"/>
  <c r="O1937" i="17"/>
  <c r="O1938" i="17"/>
  <c r="O1939" i="17"/>
  <c r="O1940" i="17"/>
  <c r="O1941" i="17"/>
  <c r="O1942" i="17"/>
  <c r="O1943" i="17"/>
  <c r="O1944" i="17"/>
  <c r="O1945" i="17"/>
  <c r="O1946" i="17"/>
  <c r="O1947" i="17"/>
  <c r="O1948" i="17"/>
  <c r="O1949" i="17"/>
  <c r="O1950" i="17"/>
  <c r="O1951" i="17"/>
  <c r="O1952" i="17"/>
  <c r="O1953" i="17"/>
  <c r="O1954" i="17"/>
  <c r="O1955" i="17"/>
  <c r="O1956" i="17"/>
  <c r="O1957" i="17"/>
  <c r="O1958" i="17"/>
  <c r="O1959" i="17"/>
  <c r="O1960" i="17"/>
  <c r="O1961" i="17"/>
  <c r="O1962" i="17"/>
  <c r="O1963" i="17"/>
  <c r="O1964" i="17"/>
  <c r="O1965" i="17"/>
  <c r="O1966" i="17"/>
  <c r="O1967" i="17"/>
  <c r="O1968" i="17"/>
  <c r="O1969" i="17"/>
  <c r="O1970" i="17"/>
  <c r="O1971" i="17"/>
  <c r="O1972" i="17"/>
  <c r="O1973" i="17"/>
  <c r="O1974" i="17"/>
  <c r="O1975" i="17"/>
  <c r="O1976" i="17"/>
  <c r="O1977" i="17"/>
  <c r="O1978" i="17"/>
  <c r="O1979" i="17"/>
  <c r="O1980" i="17"/>
  <c r="O1981" i="17"/>
  <c r="O1982" i="17"/>
  <c r="O1983" i="17"/>
  <c r="O1984" i="17"/>
  <c r="O1985" i="17"/>
  <c r="O1986" i="17"/>
  <c r="O1987" i="17"/>
  <c r="O1988" i="17"/>
  <c r="O1989" i="17"/>
  <c r="O1990" i="17"/>
  <c r="O1991" i="17"/>
  <c r="O1992" i="17"/>
  <c r="O1993" i="17"/>
  <c r="O1994" i="17"/>
  <c r="O1995" i="17"/>
  <c r="O1996" i="17"/>
  <c r="O1997" i="17"/>
  <c r="O1998" i="17"/>
  <c r="O1999" i="17"/>
  <c r="O2000" i="17"/>
  <c r="O2001" i="17"/>
  <c r="O2002" i="17"/>
  <c r="O2003" i="17"/>
  <c r="O2004" i="17"/>
  <c r="O2005" i="17"/>
  <c r="O2006" i="17"/>
  <c r="O2007" i="17"/>
  <c r="O2008" i="17"/>
  <c r="O2009" i="17"/>
  <c r="O2010" i="17"/>
  <c r="O2011" i="17"/>
  <c r="O2012" i="17"/>
  <c r="O2013" i="17"/>
  <c r="O2014" i="17"/>
  <c r="O2015" i="17"/>
  <c r="O2016" i="17"/>
  <c r="O2017" i="17"/>
  <c r="O2018" i="17"/>
  <c r="O2019" i="17"/>
  <c r="O2020" i="17"/>
  <c r="O2021" i="17"/>
  <c r="O2022" i="17"/>
  <c r="O2023" i="17"/>
  <c r="O2024" i="17"/>
  <c r="O2025" i="17"/>
  <c r="O2026" i="17"/>
  <c r="O2027" i="17"/>
  <c r="O2028" i="17"/>
  <c r="O2029" i="17"/>
  <c r="O2030" i="17"/>
  <c r="O2031" i="17"/>
  <c r="O2032" i="17"/>
  <c r="O2033" i="17"/>
  <c r="O2034" i="17"/>
  <c r="O2035" i="17"/>
  <c r="O2036" i="17"/>
  <c r="O2037" i="17"/>
  <c r="O2038" i="17"/>
  <c r="O2039" i="17"/>
  <c r="O2040" i="17"/>
  <c r="O2041" i="17"/>
  <c r="O2042" i="17"/>
  <c r="O2043" i="17"/>
  <c r="O2044" i="17"/>
  <c r="O2045" i="17"/>
  <c r="O2046" i="17"/>
  <c r="O2047" i="17"/>
  <c r="O2048" i="17"/>
  <c r="O2049" i="17"/>
  <c r="O2050" i="17"/>
  <c r="O2051" i="17"/>
  <c r="O2052" i="17"/>
  <c r="O2053" i="17"/>
  <c r="O2054" i="17"/>
  <c r="O2055" i="17"/>
  <c r="O2056" i="17"/>
  <c r="O2057" i="17"/>
  <c r="O2058" i="17"/>
  <c r="O2059" i="17"/>
  <c r="O2060" i="17"/>
  <c r="O2061" i="17"/>
  <c r="O2062" i="17"/>
  <c r="O2063" i="17"/>
  <c r="O2064" i="17"/>
  <c r="O2065" i="17"/>
  <c r="O2066" i="17"/>
  <c r="O2067" i="17"/>
  <c r="O2068" i="17"/>
  <c r="O2069" i="17"/>
  <c r="O2070" i="17"/>
  <c r="O2071" i="17"/>
  <c r="O2072" i="17"/>
  <c r="O2073" i="17"/>
  <c r="O2074" i="17"/>
  <c r="O2075" i="17"/>
  <c r="O2076" i="17"/>
  <c r="O2077" i="17"/>
  <c r="O2078" i="17"/>
  <c r="O2079" i="17"/>
  <c r="O2080" i="17"/>
  <c r="O2081" i="17"/>
  <c r="O2082" i="17"/>
  <c r="O2083" i="17"/>
  <c r="O2084" i="17"/>
  <c r="O2085" i="17"/>
  <c r="O2086" i="17"/>
  <c r="O2087" i="17"/>
  <c r="O2088" i="17"/>
  <c r="O2089" i="17"/>
  <c r="O2090" i="17"/>
  <c r="O2091" i="17"/>
  <c r="O2092" i="17"/>
  <c r="O2093" i="17"/>
  <c r="O2094" i="17"/>
  <c r="O2095" i="17"/>
  <c r="O2096" i="17"/>
  <c r="O2097" i="17"/>
  <c r="O2098" i="17"/>
  <c r="O2099" i="17"/>
  <c r="O2100" i="17"/>
  <c r="O2101" i="17"/>
  <c r="O2102" i="17"/>
  <c r="O2103" i="17"/>
  <c r="O2104" i="17"/>
  <c r="O2105" i="17"/>
  <c r="O2106" i="17"/>
  <c r="O2107" i="17"/>
  <c r="O2108" i="17"/>
  <c r="O2109" i="17"/>
  <c r="O2110" i="17"/>
  <c r="O2111" i="17"/>
  <c r="O2112" i="17"/>
  <c r="O2113" i="17"/>
  <c r="O2114" i="17"/>
  <c r="O2115" i="17"/>
  <c r="O2116" i="17"/>
  <c r="O2117" i="17"/>
  <c r="O2118" i="17"/>
  <c r="O2119" i="17"/>
  <c r="O2120" i="17"/>
  <c r="O2121" i="17"/>
  <c r="O2122" i="17"/>
  <c r="O2123" i="17"/>
  <c r="O2124" i="17"/>
  <c r="O2125" i="17"/>
  <c r="O2126" i="17"/>
  <c r="O2127" i="17"/>
  <c r="O2128" i="17"/>
  <c r="O2129" i="17"/>
  <c r="O2130" i="17"/>
  <c r="O2131" i="17"/>
  <c r="O2132" i="17"/>
  <c r="O2133" i="17"/>
  <c r="O2134" i="17"/>
  <c r="O2135" i="17"/>
  <c r="O2136" i="17"/>
  <c r="O2137" i="17"/>
  <c r="O2138" i="17"/>
  <c r="O2139" i="17"/>
  <c r="O2140" i="17"/>
  <c r="O2141" i="17"/>
  <c r="O2142" i="17"/>
  <c r="O2143" i="17"/>
  <c r="O2144" i="17"/>
  <c r="O2145" i="17"/>
  <c r="O2146" i="17"/>
  <c r="O2147" i="17"/>
  <c r="O2148" i="17"/>
  <c r="O2149" i="17"/>
  <c r="O2150" i="17"/>
  <c r="O2151" i="17"/>
  <c r="O2152" i="17"/>
  <c r="O2153" i="17"/>
  <c r="O2154" i="17"/>
  <c r="O2155" i="17"/>
  <c r="O2156" i="17"/>
  <c r="O2157" i="17"/>
  <c r="O2158" i="17"/>
  <c r="O2159" i="17"/>
  <c r="O2160" i="17"/>
  <c r="O2161" i="17"/>
  <c r="O2162" i="17"/>
  <c r="O2163" i="17"/>
  <c r="O2164" i="17"/>
  <c r="O2165" i="17"/>
  <c r="O2166" i="17"/>
  <c r="O2167" i="17"/>
  <c r="O2168" i="17"/>
  <c r="O2169" i="17"/>
  <c r="O2170" i="17"/>
  <c r="O2171" i="17"/>
  <c r="O2172" i="17"/>
  <c r="O2173" i="17"/>
  <c r="O2174" i="17"/>
  <c r="O2175" i="17"/>
  <c r="O2176" i="17"/>
  <c r="O2177" i="17"/>
  <c r="O2178" i="17"/>
  <c r="O2179" i="17"/>
  <c r="O2180" i="17"/>
  <c r="O2181" i="17"/>
  <c r="O2182" i="17"/>
  <c r="O2183" i="17"/>
  <c r="O2184" i="17"/>
  <c r="O2185" i="17"/>
  <c r="O2186" i="17"/>
  <c r="O2187" i="17"/>
  <c r="O2188" i="17"/>
  <c r="O2189" i="17"/>
  <c r="O2190" i="17"/>
  <c r="O2191" i="17"/>
  <c r="O2192" i="17"/>
  <c r="O2193" i="17"/>
  <c r="O2194" i="17"/>
  <c r="O2195" i="17"/>
  <c r="O2196" i="17"/>
  <c r="O2197" i="17"/>
  <c r="O2198" i="17"/>
  <c r="O2199" i="17"/>
  <c r="O2200" i="17"/>
  <c r="O2201" i="17"/>
  <c r="O2202" i="17"/>
  <c r="O2203" i="17"/>
  <c r="O2204" i="17"/>
  <c r="O2205" i="17"/>
  <c r="O2206" i="17"/>
  <c r="O2207" i="17"/>
  <c r="O2208" i="17"/>
  <c r="O2209" i="17"/>
  <c r="O2210" i="17"/>
  <c r="O2211" i="17"/>
  <c r="O2212" i="17"/>
  <c r="O2213" i="17"/>
  <c r="O2214" i="17"/>
  <c r="O2215" i="17"/>
  <c r="O2216" i="17"/>
  <c r="O2217" i="17"/>
  <c r="O2218" i="17"/>
  <c r="O2219" i="17"/>
  <c r="O2220" i="17"/>
  <c r="O2221" i="17"/>
  <c r="O2222" i="17"/>
  <c r="O2223" i="17"/>
  <c r="O2224" i="17"/>
  <c r="O2225" i="17"/>
  <c r="O2226" i="17"/>
  <c r="O2227" i="17"/>
  <c r="O2228" i="17"/>
  <c r="O2229" i="17"/>
  <c r="O2230" i="17"/>
  <c r="O2231" i="17"/>
  <c r="O2232" i="17"/>
  <c r="O2233" i="17"/>
  <c r="O2234" i="17"/>
  <c r="O2235" i="17"/>
  <c r="O2236" i="17"/>
  <c r="O2237" i="17"/>
  <c r="O2238" i="17"/>
  <c r="O2239" i="17"/>
  <c r="O2240" i="17"/>
  <c r="O2241" i="17"/>
  <c r="O2242" i="17"/>
  <c r="O2243" i="17"/>
  <c r="O2244" i="17"/>
  <c r="O2245" i="17"/>
  <c r="O2246" i="17"/>
  <c r="O2247" i="17"/>
  <c r="O2248" i="17"/>
  <c r="O2249" i="17"/>
  <c r="O2250" i="17"/>
  <c r="O2251" i="17"/>
  <c r="O2252" i="17"/>
  <c r="O2253" i="17"/>
  <c r="O2254" i="17"/>
  <c r="O2255" i="17"/>
  <c r="O2256" i="17"/>
  <c r="O2257" i="17"/>
  <c r="O2258" i="17"/>
  <c r="O2259" i="17"/>
  <c r="O2260" i="17"/>
  <c r="O2261" i="17"/>
  <c r="O2262" i="17"/>
  <c r="O2263" i="17"/>
  <c r="O2264" i="17"/>
  <c r="O2265" i="17"/>
  <c r="O2266" i="17"/>
  <c r="O2267" i="17"/>
  <c r="O2268" i="17"/>
  <c r="O2269" i="17"/>
  <c r="O2270" i="17"/>
  <c r="O2271" i="17"/>
  <c r="O2272" i="17"/>
  <c r="O2273" i="17"/>
  <c r="O2274" i="17"/>
  <c r="O2275" i="17"/>
  <c r="O2276" i="17"/>
  <c r="O2277" i="17"/>
  <c r="O2278" i="17"/>
  <c r="O2279" i="17"/>
  <c r="O2280" i="17"/>
  <c r="O2281" i="17"/>
  <c r="O2282" i="17"/>
  <c r="O2283" i="17"/>
  <c r="O2284" i="17"/>
  <c r="O2285" i="17"/>
  <c r="O2286" i="17"/>
  <c r="O2287" i="17"/>
  <c r="O2288" i="17"/>
  <c r="O2289" i="17"/>
  <c r="O2290" i="17"/>
  <c r="O2291" i="17"/>
  <c r="O2292" i="17"/>
  <c r="O2293" i="17"/>
  <c r="O2294" i="17"/>
  <c r="O2295" i="17"/>
  <c r="O2296" i="17"/>
  <c r="O2297" i="17"/>
  <c r="O2298" i="17"/>
  <c r="O2299" i="17"/>
  <c r="O2300" i="17"/>
  <c r="O2301" i="17"/>
  <c r="O2302" i="17"/>
  <c r="O2303" i="17"/>
  <c r="O2304" i="17"/>
  <c r="O2305" i="17"/>
  <c r="O2306" i="17"/>
  <c r="O2307" i="17"/>
  <c r="O2308" i="17"/>
  <c r="O2309" i="17"/>
  <c r="O2310" i="17"/>
  <c r="O2311" i="17"/>
  <c r="O2312" i="17"/>
  <c r="O2313" i="17"/>
  <c r="O2314" i="17"/>
  <c r="O2315" i="17"/>
  <c r="O2316" i="17"/>
  <c r="O2317" i="17"/>
  <c r="O2318" i="17"/>
  <c r="O2319" i="17"/>
  <c r="O2320" i="17"/>
  <c r="O2321" i="17"/>
  <c r="O2322" i="17"/>
  <c r="O2323" i="17"/>
  <c r="O2324" i="17"/>
  <c r="O2325" i="17"/>
  <c r="O2326" i="17"/>
  <c r="O2327" i="17"/>
  <c r="O2328" i="17"/>
  <c r="O2329" i="17"/>
  <c r="O2330" i="17"/>
  <c r="O2331" i="17"/>
  <c r="O2332" i="17"/>
  <c r="O2333" i="17"/>
  <c r="O2334" i="17"/>
  <c r="O2335" i="17"/>
  <c r="O2336" i="17"/>
  <c r="O2337" i="17"/>
  <c r="O2338" i="17"/>
  <c r="O2339" i="17"/>
  <c r="O2340" i="17"/>
  <c r="O2341" i="17"/>
  <c r="O2342" i="17"/>
  <c r="O2343" i="17"/>
  <c r="O2344" i="17"/>
  <c r="O2345" i="17"/>
  <c r="O2346" i="17"/>
  <c r="O2347" i="17"/>
  <c r="O2348" i="17"/>
  <c r="O2349" i="17"/>
  <c r="O2350" i="17"/>
  <c r="O2351" i="17"/>
  <c r="O2352" i="17"/>
  <c r="O2353" i="17"/>
  <c r="O2354" i="17"/>
  <c r="O2355" i="17"/>
  <c r="O2356" i="17"/>
  <c r="O2357" i="17"/>
  <c r="O2358" i="17"/>
  <c r="O2359" i="17"/>
  <c r="O2360" i="17"/>
  <c r="O2361" i="17"/>
  <c r="O2362" i="17"/>
  <c r="O2363" i="17"/>
  <c r="O2364" i="17"/>
  <c r="O2365" i="17"/>
  <c r="O2366" i="17"/>
  <c r="O2367" i="17"/>
  <c r="O2368" i="17"/>
  <c r="O2369" i="17"/>
  <c r="O2370" i="17"/>
  <c r="O2371" i="17"/>
  <c r="O2372" i="17"/>
  <c r="O2373" i="17"/>
  <c r="O2374" i="17"/>
  <c r="O2375" i="17"/>
  <c r="O2376" i="17"/>
  <c r="O2377" i="17"/>
  <c r="O2378" i="17"/>
  <c r="O2379" i="17"/>
  <c r="O2380" i="17"/>
  <c r="O2381" i="17"/>
  <c r="O2382" i="17"/>
  <c r="O2383" i="17"/>
  <c r="O2384" i="17"/>
  <c r="O2385" i="17"/>
  <c r="O2386" i="17"/>
  <c r="O2387" i="17"/>
  <c r="O2388" i="17"/>
  <c r="O2389" i="17"/>
  <c r="O2390" i="17"/>
  <c r="O2391" i="17"/>
  <c r="O2392" i="17"/>
  <c r="O2393" i="17"/>
  <c r="O2394" i="17"/>
  <c r="O2395" i="17"/>
  <c r="O2396" i="17"/>
  <c r="O2397" i="17"/>
  <c r="O2398" i="17"/>
  <c r="O2399" i="17"/>
  <c r="O2400" i="17"/>
  <c r="O2401" i="17"/>
  <c r="O2402" i="17"/>
  <c r="O2403" i="17"/>
  <c r="O2404" i="17"/>
  <c r="O2405" i="17"/>
  <c r="O2406" i="17"/>
  <c r="O2407" i="17"/>
  <c r="O2408" i="17"/>
  <c r="O2409" i="17"/>
  <c r="O2410" i="17"/>
  <c r="O2411" i="17"/>
  <c r="O2412" i="17"/>
  <c r="O2413" i="17"/>
  <c r="O2414" i="17"/>
  <c r="O2415" i="17"/>
  <c r="O2416" i="17"/>
  <c r="O2417" i="17"/>
  <c r="O2418" i="17"/>
  <c r="O2419" i="17"/>
  <c r="O2420" i="17"/>
  <c r="O2421" i="17"/>
  <c r="O2422" i="17"/>
  <c r="O2423" i="17"/>
  <c r="O2424" i="17"/>
  <c r="O2425" i="17"/>
  <c r="O2426" i="17"/>
  <c r="O2427" i="17"/>
  <c r="O2428" i="17"/>
  <c r="O2429" i="17"/>
  <c r="O2430" i="17"/>
  <c r="O2431" i="17"/>
  <c r="O2432" i="17"/>
  <c r="O2433" i="17"/>
  <c r="O2434" i="17"/>
  <c r="O2435" i="17"/>
  <c r="O2436" i="17"/>
  <c r="O2437" i="17"/>
  <c r="O2438" i="17"/>
  <c r="O2439" i="17"/>
  <c r="O2440" i="17"/>
  <c r="O2441" i="17"/>
  <c r="O2442" i="17"/>
  <c r="O2443" i="17"/>
  <c r="O2444" i="17"/>
  <c r="O2445" i="17"/>
  <c r="O2446" i="17"/>
  <c r="O2447" i="17"/>
  <c r="O2448" i="17"/>
  <c r="O2449" i="17"/>
  <c r="O2450" i="17"/>
  <c r="O2451" i="17"/>
  <c r="O2452" i="17"/>
  <c r="O2453" i="17"/>
  <c r="O2454" i="17"/>
  <c r="O2455" i="17"/>
  <c r="O2456" i="17"/>
  <c r="O2457" i="17"/>
  <c r="O2458" i="17"/>
  <c r="O2459" i="17"/>
  <c r="O2460" i="17"/>
  <c r="O2461" i="17"/>
  <c r="O2462" i="17"/>
  <c r="O2463" i="17"/>
  <c r="O2464" i="17"/>
  <c r="O2465" i="17"/>
  <c r="O2466" i="17"/>
  <c r="O2467" i="17"/>
  <c r="O2468" i="17"/>
  <c r="O2469" i="17"/>
  <c r="O2470" i="17"/>
  <c r="O2471" i="17"/>
  <c r="O2472" i="17"/>
  <c r="O2473" i="17"/>
  <c r="O2474" i="17"/>
  <c r="O2475" i="17"/>
  <c r="O2476" i="17"/>
  <c r="O2477" i="17"/>
  <c r="O2478" i="17"/>
  <c r="O2479" i="17"/>
  <c r="O2480" i="17"/>
  <c r="O2481" i="17"/>
  <c r="O2482" i="17"/>
  <c r="O2483" i="17"/>
  <c r="O2484" i="17"/>
  <c r="O2485" i="17"/>
  <c r="O2486" i="17"/>
  <c r="O2487" i="17"/>
  <c r="O2488" i="17"/>
  <c r="O2489" i="17"/>
  <c r="O2490" i="17"/>
  <c r="O2491" i="17"/>
  <c r="O2492" i="17"/>
  <c r="O2493" i="17"/>
  <c r="O2494" i="17"/>
  <c r="O2495" i="17"/>
  <c r="O2496" i="17"/>
  <c r="O2497" i="17"/>
  <c r="O2498" i="17"/>
  <c r="O2499" i="17"/>
  <c r="O2500" i="17"/>
  <c r="O2501" i="17"/>
  <c r="O2502" i="17"/>
  <c r="O2503" i="17"/>
  <c r="O2504" i="17"/>
  <c r="O2505" i="17"/>
  <c r="O2506" i="17"/>
  <c r="O2507" i="17"/>
  <c r="O2508" i="17"/>
  <c r="O2509" i="17"/>
  <c r="O2510" i="17"/>
  <c r="O2511" i="17"/>
  <c r="O2512" i="17"/>
  <c r="O2513" i="17"/>
  <c r="O2514" i="17"/>
  <c r="O2515" i="17"/>
  <c r="O2516" i="17"/>
  <c r="O2517" i="17"/>
  <c r="O2518" i="17"/>
  <c r="O2519" i="17"/>
  <c r="O2520" i="17"/>
  <c r="O2521" i="17"/>
  <c r="O2522" i="17"/>
  <c r="O2523" i="17"/>
  <c r="O2524" i="17"/>
  <c r="O2525" i="17"/>
  <c r="O2526" i="17"/>
  <c r="O2527" i="17"/>
  <c r="O2528" i="17"/>
  <c r="O2529" i="17"/>
  <c r="O2530" i="17"/>
  <c r="O2531" i="17"/>
  <c r="O2532" i="17"/>
  <c r="O2533" i="17"/>
  <c r="O2534" i="17"/>
  <c r="O2535" i="17"/>
  <c r="O2536" i="17"/>
  <c r="O2537" i="17"/>
  <c r="O2538" i="17"/>
  <c r="O2539" i="17"/>
  <c r="O2540" i="17"/>
  <c r="O2541" i="17"/>
  <c r="O2542" i="17"/>
  <c r="O2543" i="17"/>
  <c r="O2544" i="17"/>
  <c r="O2545" i="17"/>
  <c r="O2546" i="17"/>
  <c r="O2547" i="17"/>
  <c r="O2548" i="17"/>
  <c r="O2549" i="17"/>
  <c r="O2550" i="17"/>
  <c r="O2551" i="17"/>
  <c r="O2552" i="17"/>
  <c r="O2553" i="17"/>
  <c r="O2554" i="17"/>
  <c r="O2555" i="17"/>
  <c r="O2556" i="17"/>
  <c r="O2557" i="17"/>
  <c r="O2558" i="17"/>
  <c r="O2559" i="17"/>
  <c r="O2560" i="17"/>
  <c r="O2561" i="17"/>
  <c r="O2562" i="17"/>
  <c r="O2563" i="17"/>
  <c r="O2564" i="17"/>
  <c r="O2565" i="17"/>
  <c r="O2566" i="17"/>
  <c r="O2567" i="17"/>
  <c r="O2568" i="17"/>
  <c r="O2569" i="17"/>
  <c r="O2570" i="17"/>
  <c r="O2571" i="17"/>
  <c r="O2572" i="17"/>
  <c r="O2573" i="17"/>
  <c r="O2574" i="17"/>
  <c r="O2575" i="17"/>
  <c r="O2576" i="17"/>
  <c r="O2577" i="17"/>
  <c r="O2578" i="17"/>
  <c r="O2579" i="17"/>
  <c r="O2580" i="17"/>
  <c r="O2581" i="17"/>
  <c r="O2582" i="17"/>
  <c r="O2583" i="17"/>
  <c r="O2584" i="17"/>
  <c r="O2585" i="17"/>
  <c r="O2586" i="17"/>
  <c r="O2587" i="17"/>
  <c r="O2588" i="17"/>
  <c r="O2589" i="17"/>
  <c r="O2590" i="17"/>
  <c r="O2591" i="17"/>
  <c r="O2592" i="17"/>
  <c r="O2593" i="17"/>
  <c r="O2594" i="17"/>
  <c r="O2595" i="17"/>
  <c r="O2596" i="17"/>
  <c r="O2597" i="17"/>
  <c r="O2598" i="17"/>
  <c r="O2599" i="17"/>
  <c r="O2600" i="17"/>
  <c r="O2601" i="17"/>
  <c r="O2602" i="17"/>
  <c r="O2603" i="17"/>
  <c r="O2604" i="17"/>
  <c r="O2605" i="17"/>
  <c r="O2606" i="17"/>
  <c r="O2607" i="17"/>
  <c r="O2608" i="17"/>
  <c r="O2609" i="17"/>
  <c r="O2610" i="17"/>
  <c r="O2611" i="17"/>
  <c r="O2612" i="17"/>
  <c r="O2613" i="17"/>
  <c r="O2614" i="17"/>
  <c r="O2615" i="17"/>
  <c r="O2616" i="17"/>
  <c r="O2617" i="17"/>
  <c r="O2618" i="17"/>
  <c r="O2619" i="17"/>
  <c r="O2620" i="17"/>
  <c r="O2621" i="17"/>
  <c r="O2622" i="17"/>
  <c r="O2623" i="17"/>
  <c r="O2624" i="17"/>
  <c r="O2625" i="17"/>
  <c r="O2626" i="17"/>
  <c r="O2627" i="17"/>
  <c r="O2628" i="17"/>
  <c r="O2629" i="17"/>
  <c r="O2630" i="17"/>
  <c r="O2631" i="17"/>
  <c r="O2632" i="17"/>
  <c r="O2633" i="17"/>
  <c r="O2634" i="17"/>
  <c r="O2635" i="17"/>
  <c r="O2636" i="17"/>
  <c r="O2637" i="17"/>
  <c r="O2638" i="17"/>
  <c r="O2639" i="17"/>
  <c r="O2640" i="17"/>
  <c r="O2641" i="17"/>
  <c r="O2642" i="17"/>
  <c r="O2643" i="17"/>
  <c r="O2644" i="17"/>
  <c r="O2645" i="17"/>
  <c r="O2646" i="17"/>
  <c r="O2647" i="17"/>
  <c r="O2648" i="17"/>
  <c r="O2649" i="17"/>
  <c r="O2650" i="17"/>
  <c r="O2651" i="17"/>
  <c r="O2652" i="17"/>
  <c r="O2653" i="17"/>
  <c r="O2654" i="17"/>
  <c r="O2655" i="17"/>
  <c r="O2656" i="17"/>
  <c r="O2657" i="17"/>
  <c r="O2658" i="17"/>
  <c r="O2659" i="17"/>
  <c r="O2660" i="17"/>
  <c r="O2661" i="17"/>
  <c r="O2662" i="17"/>
  <c r="O2663" i="17"/>
  <c r="O2664" i="17"/>
  <c r="O2665" i="17"/>
  <c r="O2666" i="17"/>
  <c r="O2667" i="17"/>
  <c r="O2668" i="17"/>
  <c r="O2669" i="17"/>
  <c r="O2670" i="17"/>
  <c r="O2671" i="17"/>
  <c r="O2672" i="17"/>
  <c r="O2673" i="17"/>
  <c r="O2674" i="17"/>
  <c r="O2675" i="17"/>
  <c r="O2676" i="17"/>
  <c r="O2677" i="17"/>
  <c r="O2678" i="17"/>
  <c r="O2679" i="17"/>
  <c r="O2680" i="17"/>
  <c r="O2681" i="17"/>
  <c r="O2682" i="17"/>
  <c r="O2683" i="17"/>
  <c r="O2684" i="17"/>
  <c r="O2685" i="17"/>
  <c r="O2686" i="17"/>
  <c r="O2687" i="17"/>
  <c r="O2688" i="17"/>
  <c r="O2689" i="17"/>
  <c r="O2690" i="17"/>
  <c r="O2691" i="17"/>
  <c r="O2692" i="17"/>
  <c r="O2693" i="17"/>
  <c r="O2694" i="17"/>
  <c r="O2695" i="17"/>
  <c r="O2696" i="17"/>
  <c r="O2697" i="17"/>
  <c r="O2698" i="17"/>
  <c r="O2699" i="17"/>
  <c r="O2700" i="17"/>
  <c r="O2701" i="17"/>
  <c r="O2702" i="17"/>
  <c r="O2703" i="17"/>
  <c r="O2704" i="17"/>
  <c r="O2705" i="17"/>
  <c r="O2706" i="17"/>
  <c r="O2707" i="17"/>
  <c r="O2708" i="17"/>
  <c r="O2709" i="17"/>
  <c r="O2710" i="17"/>
  <c r="O2711" i="17"/>
  <c r="O2712" i="17"/>
  <c r="O2713" i="17"/>
  <c r="O2714" i="17"/>
  <c r="O2715" i="17"/>
  <c r="O2716" i="17"/>
  <c r="O2717" i="17"/>
  <c r="O2718" i="17"/>
  <c r="O2719" i="17"/>
  <c r="O2720" i="17"/>
  <c r="O2721" i="17"/>
  <c r="O2722" i="17"/>
  <c r="O2723" i="17"/>
  <c r="O2724" i="17"/>
  <c r="O2725" i="17"/>
  <c r="O2726" i="17"/>
  <c r="O2727" i="17"/>
  <c r="O2728" i="17"/>
  <c r="O2729" i="17"/>
  <c r="O2730" i="17"/>
  <c r="O2731" i="17"/>
  <c r="O2732" i="17"/>
  <c r="O2733" i="17"/>
  <c r="O2734" i="17"/>
  <c r="O2735" i="17"/>
  <c r="O2736" i="17"/>
  <c r="O2737" i="17"/>
  <c r="O2738" i="17"/>
  <c r="O2739" i="17"/>
  <c r="O2740" i="17"/>
  <c r="O2741" i="17"/>
  <c r="O2742" i="17"/>
  <c r="O2743" i="17"/>
  <c r="O2744" i="17"/>
  <c r="O2745" i="17"/>
  <c r="O2746" i="17"/>
  <c r="O2747" i="17"/>
  <c r="O2748" i="17"/>
  <c r="O2749" i="17"/>
  <c r="O2750" i="17"/>
  <c r="O2751" i="17"/>
  <c r="O2752" i="17"/>
  <c r="O2753" i="17"/>
  <c r="O2754" i="17"/>
  <c r="O2755" i="17"/>
  <c r="O2756" i="17"/>
  <c r="O2757" i="17"/>
  <c r="O2758" i="17"/>
  <c r="O2759" i="17"/>
  <c r="O2760" i="17"/>
  <c r="O2761" i="17"/>
  <c r="O2762" i="17"/>
  <c r="O2763" i="17"/>
  <c r="O2764" i="17"/>
  <c r="O2765" i="17"/>
  <c r="O2766" i="17"/>
  <c r="O2767" i="17"/>
  <c r="O2768" i="17"/>
  <c r="O2769" i="17"/>
  <c r="O2770" i="17"/>
  <c r="O2771" i="17"/>
  <c r="O2772" i="17"/>
  <c r="O2773" i="17"/>
  <c r="O2774" i="17"/>
  <c r="O2775" i="17"/>
  <c r="O2776" i="17"/>
  <c r="O2777" i="17"/>
  <c r="O2778" i="17"/>
  <c r="O2779" i="17"/>
  <c r="O2780" i="17"/>
  <c r="O2781" i="17"/>
  <c r="O2782" i="17"/>
  <c r="O2783" i="17"/>
  <c r="O2784" i="17"/>
  <c r="O2785" i="17"/>
  <c r="O2786" i="17"/>
  <c r="O2787" i="17"/>
  <c r="O2788" i="17"/>
  <c r="O2789" i="17"/>
  <c r="O2790" i="17"/>
  <c r="O2791" i="17"/>
  <c r="O2792" i="17"/>
  <c r="O2793" i="17"/>
  <c r="O2794" i="17"/>
  <c r="O2795" i="17"/>
  <c r="O2796" i="17"/>
  <c r="O2797" i="17"/>
  <c r="O2798" i="17"/>
  <c r="O2799" i="17"/>
  <c r="O2800" i="17"/>
  <c r="O2801" i="17"/>
  <c r="O2802" i="17"/>
  <c r="O2803" i="17"/>
  <c r="O2804" i="17"/>
  <c r="O2805" i="17"/>
  <c r="O2806" i="17"/>
  <c r="O2807" i="17"/>
  <c r="O2808" i="17"/>
  <c r="O2809" i="17"/>
  <c r="O2810" i="17"/>
  <c r="O2811" i="17"/>
  <c r="O2812" i="17"/>
  <c r="O2813" i="17"/>
  <c r="O2814" i="17"/>
  <c r="O2815" i="17"/>
  <c r="O2816" i="17"/>
  <c r="O2817" i="17"/>
  <c r="O2818" i="17"/>
  <c r="O2819" i="17"/>
  <c r="O2820" i="17"/>
  <c r="O2821" i="17"/>
  <c r="O2822" i="17"/>
  <c r="O2823" i="17"/>
  <c r="O2824" i="17"/>
  <c r="O2825" i="17"/>
  <c r="O2826" i="17"/>
  <c r="O2827" i="17"/>
  <c r="O2828" i="17"/>
  <c r="O2829" i="17"/>
  <c r="O2830" i="17"/>
  <c r="O2831" i="17"/>
  <c r="O2832" i="17"/>
  <c r="O2833" i="17"/>
  <c r="O2834" i="17"/>
  <c r="O2835" i="17"/>
  <c r="O2836" i="17"/>
  <c r="O2837" i="17"/>
  <c r="O2838" i="17"/>
  <c r="O2839" i="17"/>
  <c r="O2840" i="17"/>
  <c r="O2841" i="17"/>
  <c r="O2842" i="17"/>
  <c r="O2843" i="17"/>
  <c r="O2844" i="17"/>
  <c r="O2845" i="17"/>
  <c r="O2846" i="17"/>
  <c r="O2847" i="17"/>
  <c r="O2848" i="17"/>
  <c r="O2849" i="17"/>
  <c r="O2850" i="17"/>
  <c r="O2851" i="17"/>
  <c r="O2852" i="17"/>
  <c r="O2853" i="17"/>
  <c r="O2854" i="17"/>
  <c r="O2855" i="17"/>
  <c r="O2856" i="17"/>
  <c r="O2857" i="17"/>
  <c r="O2858" i="17"/>
  <c r="O2859" i="17"/>
  <c r="O2860" i="17"/>
  <c r="O2861" i="17"/>
  <c r="O2862" i="17"/>
  <c r="O2863" i="17"/>
  <c r="O2864" i="17"/>
  <c r="O2865" i="17"/>
  <c r="O2866" i="17"/>
  <c r="O2867" i="17"/>
  <c r="O2868" i="17"/>
  <c r="O2869" i="17"/>
  <c r="O2870" i="17"/>
  <c r="O2871" i="17"/>
  <c r="O2872" i="17"/>
  <c r="O2873" i="17"/>
  <c r="O2874" i="17"/>
  <c r="O2875" i="17"/>
  <c r="O2876" i="17"/>
  <c r="O2877" i="17"/>
  <c r="O2878" i="17"/>
  <c r="O2879" i="17"/>
  <c r="O2880" i="17"/>
  <c r="O2881" i="17"/>
  <c r="O2882" i="17"/>
  <c r="O2883" i="17"/>
  <c r="O2884" i="17"/>
  <c r="O2885" i="17"/>
  <c r="O2886" i="17"/>
  <c r="O2887" i="17"/>
  <c r="O2888" i="17"/>
  <c r="O2889" i="17"/>
  <c r="O2890" i="17"/>
  <c r="O2891" i="17"/>
  <c r="O2892" i="17"/>
  <c r="O2893" i="17"/>
  <c r="O2894" i="17"/>
  <c r="O2895" i="17"/>
  <c r="O2896" i="17"/>
  <c r="O2897" i="17"/>
  <c r="O2898" i="17"/>
  <c r="O2899" i="17"/>
  <c r="O2900" i="17"/>
  <c r="O2901" i="17"/>
  <c r="O2902" i="17"/>
  <c r="O2903" i="17"/>
  <c r="O2904" i="17"/>
  <c r="O2905" i="17"/>
  <c r="O2906" i="17"/>
  <c r="O2907" i="17"/>
  <c r="O2908" i="17"/>
  <c r="O2909" i="17"/>
  <c r="O2910" i="17"/>
  <c r="O2911" i="17"/>
  <c r="O2912" i="17"/>
  <c r="O2913" i="17"/>
  <c r="O2914" i="17"/>
  <c r="O2915" i="17"/>
  <c r="O2916" i="17"/>
  <c r="O2917" i="17"/>
  <c r="O2918" i="17"/>
  <c r="O2919" i="17"/>
  <c r="O2920" i="17"/>
  <c r="O2921" i="17"/>
  <c r="O2922" i="17"/>
  <c r="O2923" i="17"/>
  <c r="O2924" i="17"/>
  <c r="O2925" i="17"/>
  <c r="O2926" i="17"/>
  <c r="O2927" i="17"/>
  <c r="O2928" i="17"/>
  <c r="O2929" i="17"/>
  <c r="O2930" i="17"/>
  <c r="O2931" i="17"/>
  <c r="O2932" i="17"/>
  <c r="O2933" i="17"/>
  <c r="O2934" i="17"/>
  <c r="O2935" i="17"/>
  <c r="O2936" i="17"/>
  <c r="O2937" i="17"/>
  <c r="O2938" i="17"/>
  <c r="O2939" i="17"/>
  <c r="O2940" i="17"/>
  <c r="O2941" i="17"/>
  <c r="O2942" i="17"/>
  <c r="O2943" i="17"/>
  <c r="O2944" i="17"/>
  <c r="O2945" i="17"/>
  <c r="O2946" i="17"/>
  <c r="O2947" i="17"/>
  <c r="O2948" i="17"/>
  <c r="O2949" i="17"/>
  <c r="O2950" i="17"/>
  <c r="O2951" i="17"/>
  <c r="O2952" i="17"/>
  <c r="O2953" i="17"/>
  <c r="O2954" i="17"/>
  <c r="O2955" i="17"/>
  <c r="O2956" i="17"/>
  <c r="O2957" i="17"/>
  <c r="O2958" i="17"/>
  <c r="O2959" i="17"/>
  <c r="O2960" i="17"/>
  <c r="O2961" i="17"/>
  <c r="O2962" i="17"/>
  <c r="O2963" i="17"/>
  <c r="O2964" i="17"/>
  <c r="O2965" i="17"/>
  <c r="O2966" i="17"/>
  <c r="O2967" i="17"/>
  <c r="O2968" i="17"/>
  <c r="O2969" i="17"/>
  <c r="O2970" i="17"/>
  <c r="O2971" i="17"/>
  <c r="O2972" i="17"/>
  <c r="O2973" i="17"/>
  <c r="O2974" i="17"/>
  <c r="O2975" i="17"/>
  <c r="O2976" i="17"/>
  <c r="O2977" i="17"/>
  <c r="O2978" i="17"/>
  <c r="O2979" i="17"/>
  <c r="O2980" i="17"/>
  <c r="O2981" i="17"/>
  <c r="O2982" i="17"/>
  <c r="O2983" i="17"/>
  <c r="O2984" i="17"/>
  <c r="O2985" i="17"/>
  <c r="O2986" i="17"/>
  <c r="O2987" i="17"/>
  <c r="O2988" i="17"/>
  <c r="O2989" i="17"/>
  <c r="O2990" i="17"/>
  <c r="O2991" i="17"/>
  <c r="O2992" i="17"/>
  <c r="O2993" i="17"/>
  <c r="O2994" i="17"/>
  <c r="O2995" i="17"/>
  <c r="O2996" i="17"/>
  <c r="O2997" i="17"/>
  <c r="O2998" i="17"/>
  <c r="O2999" i="17"/>
  <c r="O3000" i="17"/>
  <c r="O3001" i="17"/>
  <c r="O3002" i="17"/>
  <c r="O3003" i="17"/>
  <c r="O3004" i="17"/>
  <c r="O3005" i="17"/>
  <c r="O3006" i="17"/>
  <c r="O3007" i="17"/>
  <c r="O3008" i="17"/>
  <c r="O3009" i="17"/>
  <c r="O3010" i="17"/>
  <c r="O3011" i="17"/>
  <c r="O3012" i="17"/>
  <c r="O3013" i="17"/>
  <c r="O3014" i="17"/>
  <c r="O3015" i="17"/>
  <c r="O3016" i="17"/>
  <c r="O3017" i="17"/>
  <c r="O3018" i="17"/>
  <c r="O3019" i="17"/>
  <c r="O3020" i="17"/>
  <c r="O3021" i="17"/>
  <c r="O3022" i="17"/>
  <c r="O3023" i="17"/>
  <c r="O3024" i="17"/>
  <c r="O3025" i="17"/>
  <c r="O3026" i="17"/>
  <c r="O3027" i="17"/>
  <c r="O3028" i="17"/>
  <c r="O3029" i="17"/>
  <c r="O3030" i="17"/>
  <c r="O3031" i="17"/>
  <c r="O3032" i="17"/>
  <c r="O3033" i="17"/>
  <c r="O3034" i="17"/>
  <c r="O3035" i="17"/>
  <c r="O3036" i="17"/>
  <c r="O3037" i="17"/>
  <c r="O3038" i="17"/>
  <c r="O3039" i="17"/>
  <c r="O3040" i="17"/>
  <c r="O3041" i="17"/>
  <c r="O3042" i="17"/>
  <c r="O3043" i="17"/>
  <c r="O3044" i="17"/>
  <c r="O3045" i="17"/>
  <c r="O3046" i="17"/>
  <c r="O3047" i="17"/>
  <c r="O3048" i="17"/>
  <c r="O3049" i="17"/>
  <c r="O3050" i="17"/>
  <c r="O3051" i="17"/>
  <c r="O3052" i="17"/>
  <c r="O3053" i="17"/>
  <c r="O3054" i="17"/>
  <c r="O3055" i="17"/>
  <c r="O3056" i="17"/>
  <c r="O3057" i="17"/>
  <c r="O3058" i="17"/>
  <c r="O3059" i="17"/>
  <c r="O3060" i="17"/>
  <c r="O3061" i="17"/>
  <c r="O3062" i="17"/>
  <c r="O3063" i="17"/>
  <c r="O3064" i="17"/>
  <c r="O3065" i="17"/>
  <c r="O3066" i="17"/>
  <c r="O3067" i="17"/>
  <c r="O3068" i="17"/>
  <c r="O3069" i="17"/>
  <c r="O3070" i="17"/>
  <c r="O3071" i="17"/>
  <c r="O3072" i="17"/>
  <c r="O3073" i="17"/>
  <c r="O3074" i="17"/>
  <c r="O3075" i="17"/>
  <c r="O3076" i="17"/>
  <c r="O3077" i="17"/>
  <c r="O3078" i="17"/>
  <c r="O3079" i="17"/>
  <c r="O3080" i="17"/>
  <c r="O3081" i="17"/>
  <c r="O3082" i="17"/>
  <c r="O3083" i="17"/>
  <c r="O3084" i="17"/>
  <c r="O3085" i="17"/>
  <c r="O3086" i="17"/>
  <c r="O3087" i="17"/>
  <c r="O3088" i="17"/>
  <c r="O3089" i="17"/>
  <c r="O3090" i="17"/>
  <c r="O3091" i="17"/>
  <c r="O3092" i="17"/>
  <c r="O3093" i="17"/>
  <c r="O3094" i="17"/>
  <c r="O3095" i="17"/>
  <c r="O3096" i="17"/>
  <c r="O3097" i="17"/>
  <c r="O3098" i="17"/>
  <c r="O3099" i="17"/>
  <c r="O3100" i="17"/>
  <c r="O3101" i="17"/>
  <c r="O3102" i="17"/>
  <c r="O3103" i="17"/>
  <c r="O3104" i="17"/>
  <c r="O3105" i="17"/>
  <c r="O3106" i="17"/>
  <c r="O3107" i="17"/>
  <c r="O3108" i="17"/>
  <c r="O3109" i="17"/>
  <c r="O3110" i="17"/>
  <c r="O3111" i="17"/>
  <c r="O3112" i="17"/>
  <c r="O3113" i="17"/>
  <c r="O3114" i="17"/>
  <c r="O3115" i="17"/>
  <c r="O3116" i="17"/>
  <c r="O3117" i="17"/>
  <c r="O3118" i="17"/>
  <c r="O3119" i="17"/>
  <c r="O3120" i="17"/>
  <c r="O3121" i="17"/>
  <c r="O3122" i="17"/>
  <c r="O3123" i="17"/>
  <c r="O3124" i="17"/>
  <c r="O3125" i="17"/>
  <c r="O3126" i="17"/>
  <c r="O3127" i="17"/>
  <c r="O3128" i="17"/>
  <c r="O3129" i="17"/>
  <c r="O3130" i="17"/>
  <c r="O3131" i="17"/>
  <c r="O3132" i="17"/>
  <c r="O3133" i="17"/>
  <c r="O3134" i="17"/>
  <c r="O3135" i="17"/>
  <c r="O3136" i="17"/>
  <c r="O3137" i="17"/>
  <c r="O3138" i="17"/>
  <c r="O3139" i="17"/>
  <c r="O3140" i="17"/>
  <c r="O3141" i="17"/>
  <c r="O3142" i="17"/>
  <c r="O3143" i="17"/>
  <c r="O3144" i="17"/>
  <c r="O3145" i="17"/>
  <c r="O3146" i="17"/>
  <c r="O3147" i="17"/>
  <c r="O3148" i="17"/>
  <c r="O3149" i="17"/>
  <c r="O3150" i="17"/>
  <c r="O3151" i="17"/>
  <c r="O3152" i="17"/>
  <c r="O3153" i="17"/>
  <c r="O3154" i="17"/>
  <c r="O3155" i="17"/>
  <c r="O3156" i="17"/>
  <c r="O3157" i="17"/>
  <c r="O3158" i="17"/>
  <c r="O3159" i="17"/>
  <c r="O3160" i="17"/>
  <c r="O3161" i="17"/>
  <c r="O3162" i="17"/>
  <c r="O3163" i="17"/>
  <c r="O3164" i="17"/>
  <c r="O3165" i="17"/>
  <c r="O3" i="17"/>
  <c r="H46" i="21"/>
  <c r="H45" i="21"/>
  <c r="H44" i="21"/>
  <c r="L1161" i="3"/>
  <c r="P1334" i="3" l="1"/>
  <c r="L1253" i="3"/>
  <c r="O8" i="20"/>
  <c r="I9" i="20"/>
  <c r="I10" i="20"/>
  <c r="I11" i="20"/>
  <c r="I12" i="20"/>
  <c r="I13" i="20"/>
  <c r="I14" i="20"/>
  <c r="I15" i="20"/>
  <c r="I16" i="20"/>
  <c r="I17" i="20"/>
  <c r="I18" i="20"/>
  <c r="I19" i="20"/>
  <c r="I20" i="20"/>
  <c r="I21" i="20"/>
  <c r="I22" i="20"/>
  <c r="I23" i="20"/>
  <c r="I24" i="20"/>
  <c r="I25" i="20"/>
  <c r="I26" i="20"/>
  <c r="I30" i="20"/>
  <c r="I34" i="20"/>
  <c r="I35" i="20"/>
  <c r="I36" i="20"/>
  <c r="I39" i="20"/>
  <c r="I40" i="20"/>
  <c r="I41" i="20"/>
  <c r="I42" i="20"/>
  <c r="I43" i="20"/>
  <c r="I44" i="20"/>
  <c r="I45" i="20"/>
  <c r="I46" i="20"/>
  <c r="I47" i="20"/>
  <c r="I48" i="20"/>
  <c r="I49" i="20"/>
  <c r="I52" i="20"/>
  <c r="I53" i="20"/>
  <c r="I54" i="20"/>
  <c r="I55" i="20"/>
  <c r="I56" i="20"/>
  <c r="I57" i="20"/>
  <c r="I59" i="20"/>
  <c r="I60" i="20"/>
  <c r="I61" i="20"/>
  <c r="I62" i="20"/>
  <c r="I63" i="20"/>
  <c r="I64" i="20"/>
  <c r="I65" i="20"/>
  <c r="I66" i="20"/>
  <c r="I67" i="20"/>
  <c r="I69" i="20"/>
  <c r="I70" i="20"/>
  <c r="I71" i="20"/>
  <c r="I72" i="20"/>
  <c r="I73" i="20"/>
  <c r="I74" i="20"/>
  <c r="I75" i="20"/>
  <c r="I76" i="20"/>
  <c r="I78" i="20"/>
  <c r="I79" i="20"/>
  <c r="I80" i="20"/>
  <c r="I81" i="20"/>
  <c r="I82" i="20"/>
  <c r="I85" i="20"/>
  <c r="I86" i="20"/>
  <c r="I87" i="20"/>
  <c r="I88" i="20"/>
  <c r="I89" i="20"/>
  <c r="I90" i="20"/>
  <c r="I91" i="20"/>
  <c r="I92" i="20"/>
  <c r="I93" i="20"/>
  <c r="I94" i="20"/>
  <c r="I95" i="20"/>
  <c r="I96" i="20"/>
  <c r="I97" i="20"/>
  <c r="I98" i="20"/>
  <c r="I99" i="20"/>
  <c r="I100" i="20"/>
  <c r="I101" i="20"/>
  <c r="I102" i="20"/>
  <c r="I8" i="20"/>
  <c r="V1802" i="3"/>
  <c r="P1798" i="3"/>
  <c r="P1794" i="3"/>
  <c r="P1790" i="3"/>
  <c r="M1797" i="3"/>
  <c r="N1797" i="3" s="1"/>
  <c r="O1797" i="3" s="1"/>
  <c r="M1796" i="3"/>
  <c r="N1796" i="3" s="1"/>
  <c r="L1798" i="3"/>
  <c r="M1793" i="3"/>
  <c r="N1793" i="3" s="1"/>
  <c r="O1793" i="3" s="1"/>
  <c r="M1792" i="3"/>
  <c r="N1792" i="3" s="1"/>
  <c r="L1794" i="3"/>
  <c r="M1789" i="3"/>
  <c r="N1789" i="3" s="1"/>
  <c r="O1789" i="3" s="1"/>
  <c r="M1788" i="3"/>
  <c r="N1788" i="3" s="1"/>
  <c r="L1790" i="3"/>
  <c r="W1789" i="3"/>
  <c r="J54" i="20"/>
  <c r="J53" i="20"/>
  <c r="P1804" i="3"/>
  <c r="P1803" i="3"/>
  <c r="L1803" i="3"/>
  <c r="L1805" i="3" s="1"/>
  <c r="M1805" i="3"/>
  <c r="N1802" i="3"/>
  <c r="O1802" i="3" s="1"/>
  <c r="N1801" i="3"/>
  <c r="O1801" i="3" s="1"/>
  <c r="N1800" i="3"/>
  <c r="O1800" i="3" s="1"/>
  <c r="N1803" i="3" l="1"/>
  <c r="O1803" i="3" s="1"/>
  <c r="P1805" i="3"/>
  <c r="M1798" i="3"/>
  <c r="M1794" i="3"/>
  <c r="N1798" i="3"/>
  <c r="O1798" i="3" s="1"/>
  <c r="N1794" i="3"/>
  <c r="O1794" i="3" s="1"/>
  <c r="M1790" i="3"/>
  <c r="N1790" i="3"/>
  <c r="O1790" i="3" s="1"/>
  <c r="O1788" i="3"/>
  <c r="N1804" i="3"/>
  <c r="O1804" i="3" s="1"/>
  <c r="O1796" i="3"/>
  <c r="O1792" i="3"/>
  <c r="N1805" i="3" l="1"/>
  <c r="O1805" i="3" s="1"/>
  <c r="S1805" i="3"/>
  <c r="T1805" i="3"/>
  <c r="U1805" i="3"/>
  <c r="V1805" i="3"/>
  <c r="R1805" i="3"/>
  <c r="V1798" i="3"/>
  <c r="U1798" i="3"/>
  <c r="Y1798" i="3" s="1"/>
  <c r="T1798" i="3"/>
  <c r="S1798" i="3"/>
  <c r="R1798" i="3"/>
  <c r="V1794" i="3"/>
  <c r="U1794" i="3"/>
  <c r="Y1794" i="3" s="1"/>
  <c r="T1794" i="3"/>
  <c r="S1794" i="3"/>
  <c r="R1794" i="3"/>
  <c r="V1790" i="3"/>
  <c r="U1790" i="3"/>
  <c r="Y1790" i="3" s="1"/>
  <c r="T1790" i="3"/>
  <c r="S1790" i="3"/>
  <c r="R1790" i="3"/>
  <c r="Y1804" i="3"/>
  <c r="X1804" i="3"/>
  <c r="W1804" i="3"/>
  <c r="Z1804" i="3" s="1"/>
  <c r="AA1804" i="3" s="1"/>
  <c r="AC1804" i="3" s="1"/>
  <c r="Y1803" i="3"/>
  <c r="X1803" i="3"/>
  <c r="W1803" i="3"/>
  <c r="Z1803" i="3" s="1"/>
  <c r="AA1803" i="3" s="1"/>
  <c r="AC1803" i="3" s="1"/>
  <c r="Y1802" i="3"/>
  <c r="X1802" i="3"/>
  <c r="W1802" i="3"/>
  <c r="AB1802" i="3" s="1"/>
  <c r="Y1801" i="3"/>
  <c r="X1801" i="3"/>
  <c r="W1801" i="3"/>
  <c r="AB1801" i="3" s="1"/>
  <c r="Y1800" i="3"/>
  <c r="X1800" i="3"/>
  <c r="W1800" i="3"/>
  <c r="AB1800" i="3" s="1"/>
  <c r="Y1797" i="3"/>
  <c r="X1797" i="3"/>
  <c r="W1797" i="3"/>
  <c r="AB1797" i="3" s="1"/>
  <c r="Y1796" i="3"/>
  <c r="X1796" i="3"/>
  <c r="W1796" i="3"/>
  <c r="Y1793" i="3"/>
  <c r="X1793" i="3"/>
  <c r="W1793" i="3"/>
  <c r="Z1793" i="3" s="1"/>
  <c r="AA1793" i="3" s="1"/>
  <c r="AC1793" i="3" s="1"/>
  <c r="Y1792" i="3"/>
  <c r="X1792" i="3"/>
  <c r="W1792" i="3"/>
  <c r="Y1789" i="3"/>
  <c r="X1789" i="3"/>
  <c r="AB1789" i="3"/>
  <c r="Y1788" i="3"/>
  <c r="X1788" i="3"/>
  <c r="W1788" i="3"/>
  <c r="I1797" i="3"/>
  <c r="J1797" i="3" s="1"/>
  <c r="I1796" i="3"/>
  <c r="J1796" i="3" s="1"/>
  <c r="J9" i="20"/>
  <c r="J10" i="20"/>
  <c r="J11" i="20"/>
  <c r="J12" i="20"/>
  <c r="J13" i="20"/>
  <c r="J14" i="20"/>
  <c r="J15" i="20"/>
  <c r="J16" i="20"/>
  <c r="J17" i="20"/>
  <c r="J18" i="20"/>
  <c r="J19" i="20"/>
  <c r="J20" i="20"/>
  <c r="J21" i="20"/>
  <c r="J22" i="20"/>
  <c r="J23" i="20"/>
  <c r="J24" i="20"/>
  <c r="J25" i="20"/>
  <c r="J26" i="20"/>
  <c r="J27" i="20"/>
  <c r="J29" i="20"/>
  <c r="J30" i="20"/>
  <c r="J31" i="20"/>
  <c r="J32" i="20"/>
  <c r="J33" i="20"/>
  <c r="J34" i="20"/>
  <c r="J35" i="20"/>
  <c r="J36" i="20"/>
  <c r="J38" i="20"/>
  <c r="J39" i="20"/>
  <c r="J40" i="20"/>
  <c r="J41" i="20"/>
  <c r="J42" i="20"/>
  <c r="J43" i="20"/>
  <c r="J44" i="20"/>
  <c r="J45" i="20"/>
  <c r="J46" i="20"/>
  <c r="J47" i="20"/>
  <c r="J48" i="20"/>
  <c r="J49" i="20"/>
  <c r="J50" i="20"/>
  <c r="J51" i="20"/>
  <c r="J52" i="20"/>
  <c r="J55" i="20"/>
  <c r="J56" i="20"/>
  <c r="J57" i="20"/>
  <c r="J58" i="20"/>
  <c r="J59" i="20"/>
  <c r="J60" i="20"/>
  <c r="J61" i="20"/>
  <c r="J62" i="20"/>
  <c r="J63" i="20"/>
  <c r="J64" i="20"/>
  <c r="J65" i="20"/>
  <c r="J66" i="20"/>
  <c r="J67" i="20"/>
  <c r="J68" i="20"/>
  <c r="J69" i="20"/>
  <c r="J70" i="20"/>
  <c r="J71" i="20"/>
  <c r="J72" i="20"/>
  <c r="J73" i="20"/>
  <c r="J74" i="20"/>
  <c r="J75" i="20"/>
  <c r="J76" i="20"/>
  <c r="J77" i="20"/>
  <c r="J78" i="20"/>
  <c r="J79" i="20"/>
  <c r="J80" i="20"/>
  <c r="J81" i="20"/>
  <c r="J82" i="20"/>
  <c r="J83" i="20"/>
  <c r="J84" i="20"/>
  <c r="J85" i="20"/>
  <c r="J86" i="20"/>
  <c r="J87" i="20"/>
  <c r="J88" i="20"/>
  <c r="J89" i="20"/>
  <c r="J90" i="20"/>
  <c r="J91" i="20"/>
  <c r="J92" i="20"/>
  <c r="J93" i="20"/>
  <c r="J94" i="20"/>
  <c r="J95" i="20"/>
  <c r="J96" i="20"/>
  <c r="J97" i="20"/>
  <c r="J98" i="20"/>
  <c r="J99" i="20"/>
  <c r="J100" i="20"/>
  <c r="J101" i="20"/>
  <c r="J102" i="20"/>
  <c r="P41" i="20"/>
  <c r="J8" i="20"/>
  <c r="P10" i="20"/>
  <c r="P8" i="20"/>
  <c r="O1566" i="18"/>
  <c r="O1563" i="18"/>
  <c r="O1562" i="18"/>
  <c r="O1548" i="18"/>
  <c r="O1526" i="18"/>
  <c r="O1362" i="18"/>
  <c r="O1360" i="18"/>
  <c r="O1359" i="18"/>
  <c r="O1358" i="18"/>
  <c r="O1357" i="18"/>
  <c r="O1356" i="18"/>
  <c r="O1355" i="18"/>
  <c r="O1354" i="18"/>
  <c r="O1353" i="18"/>
  <c r="O1352" i="18"/>
  <c r="O1351" i="18"/>
  <c r="O1350" i="18"/>
  <c r="O1349" i="18"/>
  <c r="O1348" i="18"/>
  <c r="O1347" i="18"/>
  <c r="O1336" i="18"/>
  <c r="O1334" i="18"/>
  <c r="O1328" i="18"/>
  <c r="O1327" i="18"/>
  <c r="O1324" i="18"/>
  <c r="O1322" i="18"/>
  <c r="O1321" i="18"/>
  <c r="O1320" i="18"/>
  <c r="O1307" i="18"/>
  <c r="O1306" i="18"/>
  <c r="O1305" i="18"/>
  <c r="O1301" i="18"/>
  <c r="O1300" i="18"/>
  <c r="O1299" i="18"/>
  <c r="O1296" i="18"/>
  <c r="O1295" i="18"/>
  <c r="O1294" i="18"/>
  <c r="O1289" i="18"/>
  <c r="O1285" i="18"/>
  <c r="O1281" i="18"/>
  <c r="O1280" i="18"/>
  <c r="O1275" i="18"/>
  <c r="O1270" i="18"/>
  <c r="O1269" i="18"/>
  <c r="O1265" i="18"/>
  <c r="O1255" i="18"/>
  <c r="O1250" i="18"/>
  <c r="O1244" i="18"/>
  <c r="O1243" i="18"/>
  <c r="O1237" i="18"/>
  <c r="O1234" i="18"/>
  <c r="O1228" i="18"/>
  <c r="O1225" i="18"/>
  <c r="O1221" i="18"/>
  <c r="O1220" i="18"/>
  <c r="O1219" i="18"/>
  <c r="O1218" i="18"/>
  <c r="O1215" i="18"/>
  <c r="O1214" i="18"/>
  <c r="O1212" i="18"/>
  <c r="O902" i="18"/>
  <c r="O668" i="18"/>
  <c r="O493" i="18"/>
  <c r="O382" i="18"/>
  <c r="O246" i="18"/>
  <c r="O245" i="18"/>
  <c r="O244" i="18"/>
  <c r="O243" i="18"/>
  <c r="O234" i="18"/>
  <c r="O217" i="18"/>
  <c r="O216" i="18"/>
  <c r="O211" i="18"/>
  <c r="O196" i="18"/>
  <c r="O168" i="18"/>
  <c r="O166" i="18"/>
  <c r="O164" i="18"/>
  <c r="O163" i="18"/>
  <c r="O162" i="18"/>
  <c r="O159" i="18"/>
  <c r="O143" i="18"/>
  <c r="O142" i="18"/>
  <c r="O141" i="18"/>
  <c r="O124" i="18"/>
  <c r="O89" i="18"/>
  <c r="O78" i="18"/>
  <c r="O77" i="18"/>
  <c r="O76" i="18"/>
  <c r="O75" i="18"/>
  <c r="O74" i="18"/>
  <c r="O60" i="18"/>
  <c r="O53" i="18"/>
  <c r="O52" i="18"/>
  <c r="O45" i="18"/>
  <c r="O42" i="18"/>
  <c r="O41" i="18"/>
  <c r="O40" i="18"/>
  <c r="O39" i="18"/>
  <c r="O28" i="18"/>
  <c r="O23" i="18"/>
  <c r="O20" i="18"/>
  <c r="O19" i="18"/>
  <c r="O18" i="18"/>
  <c r="O17" i="18"/>
  <c r="O16" i="18"/>
  <c r="O15" i="18"/>
  <c r="O14" i="18"/>
  <c r="O13" i="18"/>
  <c r="O10" i="18"/>
  <c r="O9" i="18"/>
  <c r="O8" i="18"/>
  <c r="O4" i="18"/>
  <c r="O3" i="18"/>
  <c r="O2" i="18"/>
  <c r="P66" i="20"/>
  <c r="P67" i="20"/>
  <c r="P68" i="20"/>
  <c r="P69" i="20"/>
  <c r="O70" i="20"/>
  <c r="P70" i="20"/>
  <c r="O71" i="20"/>
  <c r="P71" i="20"/>
  <c r="P72" i="20"/>
  <c r="P73" i="20"/>
  <c r="O74" i="20"/>
  <c r="P74" i="20"/>
  <c r="O75" i="20"/>
  <c r="P75" i="20"/>
  <c r="O76" i="20"/>
  <c r="P76" i="20"/>
  <c r="P77" i="20"/>
  <c r="O78" i="20"/>
  <c r="P78" i="20"/>
  <c r="O79" i="20"/>
  <c r="P79" i="20"/>
  <c r="P80" i="20"/>
  <c r="O81" i="20"/>
  <c r="P81" i="20"/>
  <c r="O82" i="20"/>
  <c r="P82" i="20"/>
  <c r="O83" i="20"/>
  <c r="P83" i="20"/>
  <c r="O84" i="20"/>
  <c r="P84" i="20"/>
  <c r="O85" i="20"/>
  <c r="P85" i="20"/>
  <c r="O86" i="20"/>
  <c r="P86" i="20"/>
  <c r="O87" i="20"/>
  <c r="P87" i="20"/>
  <c r="O88" i="20"/>
  <c r="P88" i="20"/>
  <c r="O89" i="20"/>
  <c r="P89" i="20"/>
  <c r="O90" i="20"/>
  <c r="P90" i="20"/>
  <c r="O91" i="20"/>
  <c r="P91" i="20"/>
  <c r="O92" i="20"/>
  <c r="P92" i="20"/>
  <c r="O93" i="20"/>
  <c r="P93" i="20"/>
  <c r="O94" i="20"/>
  <c r="P94" i="20"/>
  <c r="O95" i="20"/>
  <c r="P95" i="20"/>
  <c r="O96" i="20"/>
  <c r="P96" i="20"/>
  <c r="O97" i="20"/>
  <c r="P97" i="20"/>
  <c r="O98" i="20"/>
  <c r="P98" i="20"/>
  <c r="O99" i="20"/>
  <c r="P99" i="20"/>
  <c r="O100" i="20"/>
  <c r="P100" i="20"/>
  <c r="O101" i="20"/>
  <c r="P101" i="20"/>
  <c r="O102" i="20"/>
  <c r="P102" i="20"/>
  <c r="D8" i="20"/>
  <c r="D9" i="20"/>
  <c r="D10" i="20"/>
  <c r="D12" i="20"/>
  <c r="D13" i="20"/>
  <c r="D14" i="20"/>
  <c r="D15" i="20"/>
  <c r="D16" i="20"/>
  <c r="D17" i="20"/>
  <c r="D18" i="20"/>
  <c r="D19" i="20"/>
  <c r="D20" i="20"/>
  <c r="D21" i="20"/>
  <c r="D22" i="20"/>
  <c r="D23" i="20"/>
  <c r="D24" i="20"/>
  <c r="D25" i="20"/>
  <c r="D26" i="20"/>
  <c r="D27" i="20"/>
  <c r="D28" i="20"/>
  <c r="D29" i="20"/>
  <c r="D30" i="20"/>
  <c r="D32" i="20"/>
  <c r="D33" i="20"/>
  <c r="D34" i="20"/>
  <c r="D35" i="20"/>
  <c r="D38" i="20"/>
  <c r="D39" i="20"/>
  <c r="D40" i="20"/>
  <c r="D41" i="20"/>
  <c r="D42" i="20"/>
  <c r="D43" i="20"/>
  <c r="D44" i="20"/>
  <c r="D45" i="20"/>
  <c r="D46" i="20"/>
  <c r="D47" i="20"/>
  <c r="D48" i="20"/>
  <c r="D49" i="20"/>
  <c r="D50" i="20"/>
  <c r="D51" i="20"/>
  <c r="D52" i="20"/>
  <c r="D53" i="20"/>
  <c r="D54" i="20"/>
  <c r="D55" i="20"/>
  <c r="D57" i="20"/>
  <c r="D58" i="20"/>
  <c r="D59" i="20"/>
  <c r="D60" i="20"/>
  <c r="D61" i="20"/>
  <c r="D63" i="20"/>
  <c r="D64" i="20"/>
  <c r="D65" i="20"/>
  <c r="D66" i="20"/>
  <c r="D67" i="20"/>
  <c r="D68" i="20"/>
  <c r="D69" i="20"/>
  <c r="D70" i="20"/>
  <c r="D71" i="20"/>
  <c r="D72" i="20"/>
  <c r="D73" i="20"/>
  <c r="D74" i="20"/>
  <c r="D75" i="20"/>
  <c r="D76" i="20"/>
  <c r="D77" i="20"/>
  <c r="D78" i="20"/>
  <c r="D79" i="20"/>
  <c r="D80" i="20"/>
  <c r="D81" i="20"/>
  <c r="D82" i="20"/>
  <c r="D83" i="20"/>
  <c r="D84" i="20"/>
  <c r="D85" i="20"/>
  <c r="D86" i="20"/>
  <c r="D87" i="20"/>
  <c r="D88" i="20"/>
  <c r="D89" i="20"/>
  <c r="D90" i="20"/>
  <c r="D91" i="20"/>
  <c r="D92" i="20"/>
  <c r="D93" i="20"/>
  <c r="D94" i="20"/>
  <c r="D95" i="20"/>
  <c r="D96" i="20"/>
  <c r="D97" i="20"/>
  <c r="D98" i="20"/>
  <c r="D99" i="20"/>
  <c r="D100" i="20"/>
  <c r="D101" i="20"/>
  <c r="D102" i="20"/>
  <c r="K10" i="20"/>
  <c r="C9" i="20"/>
  <c r="C10" i="20"/>
  <c r="C11" i="20"/>
  <c r="C12" i="20"/>
  <c r="C13" i="20"/>
  <c r="C14" i="20"/>
  <c r="C15" i="20"/>
  <c r="C16" i="20"/>
  <c r="C17" i="20"/>
  <c r="C18" i="20"/>
  <c r="C19" i="20"/>
  <c r="C20" i="20"/>
  <c r="C21" i="20"/>
  <c r="C22" i="20"/>
  <c r="C23" i="20"/>
  <c r="C24" i="20"/>
  <c r="C25" i="20"/>
  <c r="C26" i="20"/>
  <c r="C27" i="20"/>
  <c r="C28" i="20"/>
  <c r="C31" i="20"/>
  <c r="C32" i="20"/>
  <c r="C33" i="20"/>
  <c r="C34" i="20"/>
  <c r="C35" i="20"/>
  <c r="C36"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8" i="20"/>
  <c r="O9" i="20"/>
  <c r="P9" i="20"/>
  <c r="O10" i="20"/>
  <c r="P11" i="20"/>
  <c r="O12" i="20"/>
  <c r="P12" i="20"/>
  <c r="O13" i="20"/>
  <c r="P13" i="20"/>
  <c r="O14" i="20"/>
  <c r="P14" i="20"/>
  <c r="O15" i="20"/>
  <c r="P15" i="20"/>
  <c r="O16" i="20"/>
  <c r="P16" i="20"/>
  <c r="O17" i="20"/>
  <c r="P17" i="20"/>
  <c r="O18" i="20"/>
  <c r="P18" i="20"/>
  <c r="O19" i="20"/>
  <c r="P19" i="20"/>
  <c r="O20" i="20"/>
  <c r="P20" i="20"/>
  <c r="O21" i="20"/>
  <c r="P21" i="20"/>
  <c r="O22" i="20"/>
  <c r="P22" i="20"/>
  <c r="O23" i="20"/>
  <c r="P23" i="20"/>
  <c r="O24" i="20"/>
  <c r="P24" i="20"/>
  <c r="O25" i="20"/>
  <c r="P25" i="20"/>
  <c r="O26" i="20"/>
  <c r="P26" i="20"/>
  <c r="P27" i="20"/>
  <c r="O28" i="20"/>
  <c r="P28" i="20"/>
  <c r="O29" i="20"/>
  <c r="P29" i="20"/>
  <c r="P30" i="20"/>
  <c r="P31" i="20"/>
  <c r="O32" i="20"/>
  <c r="P32" i="20"/>
  <c r="O33" i="20"/>
  <c r="P33" i="20"/>
  <c r="O34" i="20"/>
  <c r="P34" i="20"/>
  <c r="O35" i="20"/>
  <c r="P35" i="20"/>
  <c r="O36" i="20"/>
  <c r="P36" i="20"/>
  <c r="P38" i="20"/>
  <c r="O39" i="20"/>
  <c r="P39" i="20"/>
  <c r="O40" i="20"/>
  <c r="P40" i="20"/>
  <c r="O41" i="20"/>
  <c r="P42" i="20"/>
  <c r="O43" i="20"/>
  <c r="P43" i="20"/>
  <c r="P44" i="20"/>
  <c r="O45" i="20"/>
  <c r="P45" i="20"/>
  <c r="P46" i="20"/>
  <c r="O47" i="20"/>
  <c r="P47" i="20"/>
  <c r="P48" i="20"/>
  <c r="O49" i="20"/>
  <c r="P49" i="20"/>
  <c r="O50" i="20"/>
  <c r="P50" i="20"/>
  <c r="O51" i="20"/>
  <c r="P51" i="20"/>
  <c r="O52" i="20"/>
  <c r="P52" i="20"/>
  <c r="P53" i="20"/>
  <c r="O54" i="20"/>
  <c r="P54" i="20"/>
  <c r="O55" i="20"/>
  <c r="P55" i="20"/>
  <c r="P56" i="20"/>
  <c r="O57" i="20"/>
  <c r="P57" i="20"/>
  <c r="O58" i="20"/>
  <c r="P58" i="20"/>
  <c r="O59" i="20"/>
  <c r="P59" i="20"/>
  <c r="O60" i="20"/>
  <c r="P60" i="20"/>
  <c r="O61" i="20"/>
  <c r="P61" i="20"/>
  <c r="O62" i="20"/>
  <c r="P62" i="20"/>
  <c r="O63" i="20"/>
  <c r="P63" i="20"/>
  <c r="O64" i="20"/>
  <c r="P64" i="20"/>
  <c r="P65" i="20"/>
  <c r="Q81" i="20" l="1"/>
  <c r="Q89" i="20"/>
  <c r="P7" i="20"/>
  <c r="Q19" i="20"/>
  <c r="Q95" i="20"/>
  <c r="Q87" i="20"/>
  <c r="Q18" i="20"/>
  <c r="Q98" i="20"/>
  <c r="Q90" i="20"/>
  <c r="Q82" i="20"/>
  <c r="Q43" i="20"/>
  <c r="Q25" i="20"/>
  <c r="Q97" i="20"/>
  <c r="Q100" i="20"/>
  <c r="Q96" i="20"/>
  <c r="Q92" i="20"/>
  <c r="Q88" i="20"/>
  <c r="Q84" i="20"/>
  <c r="E75" i="20"/>
  <c r="E67" i="20"/>
  <c r="E52" i="20"/>
  <c r="E45" i="20"/>
  <c r="E36" i="20"/>
  <c r="E28" i="20"/>
  <c r="E20" i="20"/>
  <c r="E12" i="20"/>
  <c r="E83" i="20"/>
  <c r="E18" i="20"/>
  <c r="E10" i="20"/>
  <c r="E58" i="20"/>
  <c r="E51" i="20"/>
  <c r="E43" i="20"/>
  <c r="E34" i="20"/>
  <c r="E26" i="20"/>
  <c r="D7" i="20"/>
  <c r="E17" i="20"/>
  <c r="E19" i="20"/>
  <c r="E74" i="20"/>
  <c r="E59" i="20"/>
  <c r="X1798" i="3"/>
  <c r="X1790" i="3"/>
  <c r="X1794" i="3"/>
  <c r="Z1802" i="3"/>
  <c r="AA1802" i="3" s="1"/>
  <c r="AC1802" i="3" s="1"/>
  <c r="W1805" i="3"/>
  <c r="Z1797" i="3"/>
  <c r="AA1797" i="3" s="1"/>
  <c r="AC1797" i="3" s="1"/>
  <c r="AB1804" i="3"/>
  <c r="W1798" i="3"/>
  <c r="AB1798" i="3" s="1"/>
  <c r="Z1796" i="3"/>
  <c r="AA1796" i="3" s="1"/>
  <c r="AC1796" i="3" s="1"/>
  <c r="AB1796" i="3"/>
  <c r="W1794" i="3"/>
  <c r="Z1794" i="3" s="1"/>
  <c r="AA1794" i="3" s="1"/>
  <c r="AC1794" i="3" s="1"/>
  <c r="K39" i="20"/>
  <c r="Y1805" i="3"/>
  <c r="X1805" i="3"/>
  <c r="AB1793" i="3"/>
  <c r="AB1792" i="3"/>
  <c r="Z1792" i="3"/>
  <c r="AA1792" i="3" s="1"/>
  <c r="AC1792" i="3" s="1"/>
  <c r="Z1789" i="3"/>
  <c r="AA1789" i="3" s="1"/>
  <c r="AC1789" i="3" s="1"/>
  <c r="W1790" i="3"/>
  <c r="AB1790" i="3" s="1"/>
  <c r="AB1788" i="3"/>
  <c r="Z1788" i="3"/>
  <c r="AA1788" i="3" s="1"/>
  <c r="AC1788" i="3" s="1"/>
  <c r="AB1803" i="3"/>
  <c r="Z1800" i="3"/>
  <c r="AA1800" i="3" s="1"/>
  <c r="AC1800" i="3" s="1"/>
  <c r="Z1801" i="3"/>
  <c r="AA1801" i="3" s="1"/>
  <c r="AC1801" i="3" s="1"/>
  <c r="J7" i="20"/>
  <c r="K9" i="20"/>
  <c r="Q76" i="20"/>
  <c r="E94" i="20"/>
  <c r="E86" i="20"/>
  <c r="E78" i="20"/>
  <c r="E70" i="20"/>
  <c r="E55" i="20"/>
  <c r="E48" i="20"/>
  <c r="E31" i="20"/>
  <c r="E23" i="20"/>
  <c r="E93" i="20"/>
  <c r="E39" i="20"/>
  <c r="Q20" i="20"/>
  <c r="Q16" i="20"/>
  <c r="Q12" i="20"/>
  <c r="K34" i="20"/>
  <c r="Q74" i="20"/>
  <c r="Q14" i="20"/>
  <c r="K101" i="20"/>
  <c r="K93" i="20"/>
  <c r="K12" i="20"/>
  <c r="K35" i="20"/>
  <c r="K19" i="20"/>
  <c r="K11" i="20"/>
  <c r="K26" i="20"/>
  <c r="E77" i="20"/>
  <c r="E69" i="20"/>
  <c r="K24" i="20"/>
  <c r="K16" i="20"/>
  <c r="K41" i="20"/>
  <c r="Q79" i="20"/>
  <c r="Q75" i="20"/>
  <c r="K43" i="20"/>
  <c r="K48" i="20"/>
  <c r="K18" i="20"/>
  <c r="K44" i="20"/>
  <c r="K75" i="20"/>
  <c r="K67" i="20"/>
  <c r="K91" i="20"/>
  <c r="K90" i="20"/>
  <c r="K82" i="20"/>
  <c r="K74" i="20"/>
  <c r="K66" i="20"/>
  <c r="K59" i="20"/>
  <c r="K85" i="20"/>
  <c r="K69" i="20"/>
  <c r="K62" i="20"/>
  <c r="K28" i="20"/>
  <c r="K73" i="20"/>
  <c r="K65" i="20"/>
  <c r="K100" i="20"/>
  <c r="K92" i="20"/>
  <c r="K76" i="20"/>
  <c r="K52" i="20"/>
  <c r="K45" i="20"/>
  <c r="K81" i="20"/>
  <c r="K102" i="20"/>
  <c r="K94" i="20"/>
  <c r="K86" i="20"/>
  <c r="K47" i="20"/>
  <c r="K99" i="20"/>
  <c r="Q78" i="20"/>
  <c r="E101" i="20"/>
  <c r="E85" i="20"/>
  <c r="E14" i="20"/>
  <c r="Q62" i="20"/>
  <c r="Q58" i="20"/>
  <c r="Q54" i="20"/>
  <c r="Q51" i="20"/>
  <c r="Q47" i="20"/>
  <c r="Q39" i="20"/>
  <c r="Q34" i="20"/>
  <c r="Q26" i="20"/>
  <c r="E44" i="20"/>
  <c r="E35" i="20"/>
  <c r="E97" i="20"/>
  <c r="E89" i="20"/>
  <c r="E81" i="20"/>
  <c r="K95" i="20"/>
  <c r="K87" i="20"/>
  <c r="K79" i="20"/>
  <c r="K71" i="20"/>
  <c r="K63" i="20"/>
  <c r="K56" i="20"/>
  <c r="E100" i="20"/>
  <c r="E92" i="20"/>
  <c r="E84" i="20"/>
  <c r="E76" i="20"/>
  <c r="E68" i="20"/>
  <c r="E46" i="20"/>
  <c r="E21" i="20"/>
  <c r="Q101" i="20"/>
  <c r="Q85" i="20"/>
  <c r="Q71" i="20"/>
  <c r="K78" i="20"/>
  <c r="K70" i="20"/>
  <c r="K23" i="20"/>
  <c r="K15" i="20"/>
  <c r="Q55" i="20"/>
  <c r="Q23" i="20"/>
  <c r="Q15" i="20"/>
  <c r="E99" i="20"/>
  <c r="E91" i="20"/>
  <c r="Q91" i="20"/>
  <c r="K54" i="20"/>
  <c r="E98" i="20"/>
  <c r="E90" i="20"/>
  <c r="E82" i="20"/>
  <c r="E66" i="20"/>
  <c r="Q94" i="20"/>
  <c r="Q70" i="20"/>
  <c r="Q9" i="20"/>
  <c r="E96" i="20"/>
  <c r="E88" i="20"/>
  <c r="E80" i="20"/>
  <c r="E72" i="20"/>
  <c r="E57" i="20"/>
  <c r="E50" i="20"/>
  <c r="Q93" i="20"/>
  <c r="K98" i="20"/>
  <c r="Q64" i="20"/>
  <c r="Q61" i="20"/>
  <c r="Q57" i="20"/>
  <c r="Q50" i="20"/>
  <c r="Q33" i="20"/>
  <c r="Q29" i="20"/>
  <c r="Q21" i="20"/>
  <c r="Q17" i="20"/>
  <c r="Q13" i="20"/>
  <c r="E95" i="20"/>
  <c r="E87" i="20"/>
  <c r="E79" i="20"/>
  <c r="E71" i="20"/>
  <c r="E63" i="20"/>
  <c r="E56" i="20"/>
  <c r="E24" i="20"/>
  <c r="E16" i="20"/>
  <c r="Q99" i="20"/>
  <c r="Q83" i="20"/>
  <c r="K97" i="20"/>
  <c r="K89" i="20"/>
  <c r="E102" i="20"/>
  <c r="Q102" i="20"/>
  <c r="Q86" i="20"/>
  <c r="Q10" i="20"/>
  <c r="K96" i="20"/>
  <c r="K88" i="20"/>
  <c r="K80" i="20"/>
  <c r="K72" i="20"/>
  <c r="K57" i="20"/>
  <c r="K42" i="20"/>
  <c r="K36" i="20"/>
  <c r="K55" i="20"/>
  <c r="K40" i="20"/>
  <c r="K53" i="20"/>
  <c r="K22" i="20"/>
  <c r="K21" i="20"/>
  <c r="E49" i="20"/>
  <c r="E42" i="20"/>
  <c r="E33" i="20"/>
  <c r="E25" i="20"/>
  <c r="E54" i="20"/>
  <c r="E47" i="20"/>
  <c r="E41" i="20"/>
  <c r="E61" i="20"/>
  <c r="E53" i="20"/>
  <c r="E38" i="20"/>
  <c r="Q63" i="20"/>
  <c r="Q60" i="20"/>
  <c r="Q52" i="20"/>
  <c r="Q49" i="20"/>
  <c r="Q45" i="20"/>
  <c r="Q41" i="20"/>
  <c r="Q36" i="20"/>
  <c r="Q32" i="20"/>
  <c r="Q28" i="20"/>
  <c r="Q24" i="20"/>
  <c r="Q22" i="20"/>
  <c r="K14" i="20"/>
  <c r="K25" i="20"/>
  <c r="K46" i="20"/>
  <c r="K61" i="20"/>
  <c r="K64" i="20"/>
  <c r="K13" i="20"/>
  <c r="K17" i="20"/>
  <c r="K20" i="20"/>
  <c r="K60" i="20"/>
  <c r="K30" i="20"/>
  <c r="K49" i="20"/>
  <c r="E8" i="20"/>
  <c r="E27" i="20"/>
  <c r="E60" i="20"/>
  <c r="E13" i="20"/>
  <c r="E11" i="20"/>
  <c r="E15" i="20"/>
  <c r="E32" i="20"/>
  <c r="E62" i="20"/>
  <c r="E22" i="20"/>
  <c r="E40" i="20"/>
  <c r="E65" i="20"/>
  <c r="E9" i="20"/>
  <c r="E64" i="20"/>
  <c r="Q59" i="20"/>
  <c r="Q40" i="20"/>
  <c r="Q35" i="20"/>
  <c r="Q8" i="20"/>
  <c r="K8" i="20"/>
  <c r="O3" i="19"/>
  <c r="O4" i="19"/>
  <c r="O5" i="19"/>
  <c r="O6" i="19"/>
  <c r="O7" i="19"/>
  <c r="O8" i="19"/>
  <c r="O9" i="19"/>
  <c r="O10" i="19"/>
  <c r="O11" i="19"/>
  <c r="O12" i="19"/>
  <c r="O13" i="19"/>
  <c r="O14" i="19"/>
  <c r="O15" i="19"/>
  <c r="O16" i="19"/>
  <c r="O17" i="19"/>
  <c r="O18" i="19"/>
  <c r="O19" i="19"/>
  <c r="O20" i="19"/>
  <c r="O21" i="19"/>
  <c r="O22" i="19"/>
  <c r="O23" i="19"/>
  <c r="O24" i="19"/>
  <c r="O25" i="19"/>
  <c r="O26" i="19"/>
  <c r="O27" i="19"/>
  <c r="O28" i="19"/>
  <c r="O29" i="19"/>
  <c r="O30" i="19"/>
  <c r="O31" i="19"/>
  <c r="O32" i="19"/>
  <c r="O33" i="19"/>
  <c r="O34" i="19"/>
  <c r="O35" i="19"/>
  <c r="O36" i="19"/>
  <c r="O37" i="19"/>
  <c r="O38" i="19"/>
  <c r="O39" i="19"/>
  <c r="O40" i="19"/>
  <c r="O41" i="19"/>
  <c r="O42" i="19"/>
  <c r="O43" i="19"/>
  <c r="O44" i="19"/>
  <c r="O45" i="19"/>
  <c r="O46" i="19"/>
  <c r="O47" i="19"/>
  <c r="O48" i="19"/>
  <c r="O49" i="19"/>
  <c r="O50" i="19"/>
  <c r="O51" i="19"/>
  <c r="O52" i="19"/>
  <c r="O53" i="19"/>
  <c r="O54" i="19"/>
  <c r="O55" i="19"/>
  <c r="O56" i="19"/>
  <c r="O57" i="19"/>
  <c r="O58" i="19"/>
  <c r="O59" i="19"/>
  <c r="O60" i="19"/>
  <c r="O61" i="19"/>
  <c r="O62" i="19"/>
  <c r="O63" i="19"/>
  <c r="O64" i="19"/>
  <c r="O65" i="19"/>
  <c r="O66" i="19"/>
  <c r="O67" i="19"/>
  <c r="O68" i="19"/>
  <c r="O69" i="19"/>
  <c r="O70" i="19"/>
  <c r="O71" i="19"/>
  <c r="O72" i="19"/>
  <c r="O73" i="19"/>
  <c r="O74" i="19"/>
  <c r="O75" i="19"/>
  <c r="O76" i="19"/>
  <c r="O77" i="19"/>
  <c r="O78" i="19"/>
  <c r="O79" i="19"/>
  <c r="O80" i="19"/>
  <c r="O81" i="19"/>
  <c r="O82" i="19"/>
  <c r="O83" i="19"/>
  <c r="O84" i="19"/>
  <c r="O85" i="19"/>
  <c r="O86" i="19"/>
  <c r="O87" i="19"/>
  <c r="O88" i="19"/>
  <c r="O89" i="19"/>
  <c r="O90" i="19"/>
  <c r="O91" i="19"/>
  <c r="O92" i="19"/>
  <c r="O93" i="19"/>
  <c r="O94" i="19"/>
  <c r="O95" i="19"/>
  <c r="O96" i="19"/>
  <c r="O97" i="19"/>
  <c r="O98" i="19"/>
  <c r="O99" i="19"/>
  <c r="O100" i="19"/>
  <c r="O101" i="19"/>
  <c r="O102" i="19"/>
  <c r="O103" i="19"/>
  <c r="O104" i="19"/>
  <c r="O105" i="19"/>
  <c r="O106" i="19"/>
  <c r="O107" i="19"/>
  <c r="O108" i="19"/>
  <c r="O109" i="19"/>
  <c r="O110" i="19"/>
  <c r="O111" i="19"/>
  <c r="O112" i="19"/>
  <c r="O113" i="19"/>
  <c r="O114" i="19"/>
  <c r="O115" i="19"/>
  <c r="O116" i="19"/>
  <c r="O117" i="19"/>
  <c r="O118" i="19"/>
  <c r="O119" i="19"/>
  <c r="O120" i="19"/>
  <c r="O121" i="19"/>
  <c r="O122" i="19"/>
  <c r="O123" i="19"/>
  <c r="O124" i="19"/>
  <c r="O125" i="19"/>
  <c r="O126" i="19"/>
  <c r="O127" i="19"/>
  <c r="O128" i="19"/>
  <c r="O129" i="19"/>
  <c r="O130" i="19"/>
  <c r="O131" i="19"/>
  <c r="O132" i="19"/>
  <c r="O133" i="19"/>
  <c r="O134" i="19"/>
  <c r="O135" i="19"/>
  <c r="O136" i="19"/>
  <c r="O137" i="19"/>
  <c r="O138" i="19"/>
  <c r="O139" i="19"/>
  <c r="O140" i="19"/>
  <c r="O141" i="19"/>
  <c r="O142" i="19"/>
  <c r="O143" i="19"/>
  <c r="O144" i="19"/>
  <c r="O145" i="19"/>
  <c r="O146" i="19"/>
  <c r="O147" i="19"/>
  <c r="O148" i="19"/>
  <c r="O149" i="19"/>
  <c r="O150" i="19"/>
  <c r="O151" i="19"/>
  <c r="O152" i="19"/>
  <c r="O153" i="19"/>
  <c r="O154" i="19"/>
  <c r="O155" i="19"/>
  <c r="O156" i="19"/>
  <c r="O157" i="19"/>
  <c r="O158" i="19"/>
  <c r="O159" i="19"/>
  <c r="O160" i="19"/>
  <c r="O161" i="19"/>
  <c r="O162" i="19"/>
  <c r="O163" i="19"/>
  <c r="O164" i="19"/>
  <c r="O165" i="19"/>
  <c r="O166" i="19"/>
  <c r="O167" i="19"/>
  <c r="O168" i="19"/>
  <c r="O169" i="19"/>
  <c r="O170" i="19"/>
  <c r="O171" i="19"/>
  <c r="O172" i="19"/>
  <c r="O173" i="19"/>
  <c r="O174" i="19"/>
  <c r="O175" i="19"/>
  <c r="O176" i="19"/>
  <c r="O177" i="19"/>
  <c r="O178" i="19"/>
  <c r="O179" i="19"/>
  <c r="O180" i="19"/>
  <c r="O181" i="19"/>
  <c r="O182" i="19"/>
  <c r="O183" i="19"/>
  <c r="O184" i="19"/>
  <c r="O185" i="19"/>
  <c r="O186" i="19"/>
  <c r="O187" i="19"/>
  <c r="O188" i="19"/>
  <c r="O189" i="19"/>
  <c r="O190" i="19"/>
  <c r="O191" i="19"/>
  <c r="O192" i="19"/>
  <c r="O193" i="19"/>
  <c r="O194" i="19"/>
  <c r="O195" i="19"/>
  <c r="O196" i="19"/>
  <c r="O197" i="19"/>
  <c r="O198" i="19"/>
  <c r="O199" i="19"/>
  <c r="O200" i="19"/>
  <c r="O201" i="19"/>
  <c r="O202" i="19"/>
  <c r="O203" i="19"/>
  <c r="O204" i="19"/>
  <c r="O205" i="19"/>
  <c r="O206" i="19"/>
  <c r="O207" i="19"/>
  <c r="O208" i="19"/>
  <c r="O209" i="19"/>
  <c r="O210" i="19"/>
  <c r="O211" i="19"/>
  <c r="O212" i="19"/>
  <c r="O213" i="19"/>
  <c r="O214" i="19"/>
  <c r="O215" i="19"/>
  <c r="O216" i="19"/>
  <c r="O217" i="19"/>
  <c r="O218" i="19"/>
  <c r="O219" i="19"/>
  <c r="O220" i="19"/>
  <c r="O221" i="19"/>
  <c r="O222" i="19"/>
  <c r="O223" i="19"/>
  <c r="O224" i="19"/>
  <c r="O225" i="19"/>
  <c r="O226" i="19"/>
  <c r="O227" i="19"/>
  <c r="O228" i="19"/>
  <c r="O229" i="19"/>
  <c r="O230" i="19"/>
  <c r="O231" i="19"/>
  <c r="O232" i="19"/>
  <c r="O233" i="19"/>
  <c r="O234" i="19"/>
  <c r="O235" i="19"/>
  <c r="O236" i="19"/>
  <c r="O237" i="19"/>
  <c r="O238" i="19"/>
  <c r="O239" i="19"/>
  <c r="O240" i="19"/>
  <c r="O241" i="19"/>
  <c r="O242" i="19"/>
  <c r="O243" i="19"/>
  <c r="O244" i="19"/>
  <c r="O245" i="19"/>
  <c r="O246" i="19"/>
  <c r="O247" i="19"/>
  <c r="O248" i="19"/>
  <c r="O249" i="19"/>
  <c r="O250" i="19"/>
  <c r="O251" i="19"/>
  <c r="O252" i="19"/>
  <c r="O253" i="19"/>
  <c r="O254" i="19"/>
  <c r="O255" i="19"/>
  <c r="O256" i="19"/>
  <c r="O257" i="19"/>
  <c r="O258" i="19"/>
  <c r="O259" i="19"/>
  <c r="O260" i="19"/>
  <c r="O261" i="19"/>
  <c r="O262" i="19"/>
  <c r="O263" i="19"/>
  <c r="O264" i="19"/>
  <c r="O265" i="19"/>
  <c r="O266" i="19"/>
  <c r="O267" i="19"/>
  <c r="O268" i="19"/>
  <c r="O269" i="19"/>
  <c r="O270" i="19"/>
  <c r="O271" i="19"/>
  <c r="O272" i="19"/>
  <c r="O273" i="19"/>
  <c r="O274" i="19"/>
  <c r="O275" i="19"/>
  <c r="O276" i="19"/>
  <c r="O277" i="19"/>
  <c r="O278" i="19"/>
  <c r="O279" i="19"/>
  <c r="O280" i="19"/>
  <c r="O281" i="19"/>
  <c r="O282" i="19"/>
  <c r="O283" i="19"/>
  <c r="O284" i="19"/>
  <c r="O285" i="19"/>
  <c r="O286" i="19"/>
  <c r="O287" i="19"/>
  <c r="O288" i="19"/>
  <c r="O289" i="19"/>
  <c r="O290" i="19"/>
  <c r="O291" i="19"/>
  <c r="O292" i="19"/>
  <c r="O293" i="19"/>
  <c r="O294" i="19"/>
  <c r="O295" i="19"/>
  <c r="O296" i="19"/>
  <c r="O297" i="19"/>
  <c r="O298" i="19"/>
  <c r="O299" i="19"/>
  <c r="O300" i="19"/>
  <c r="O301" i="19"/>
  <c r="O302" i="19"/>
  <c r="O303" i="19"/>
  <c r="O304" i="19"/>
  <c r="O305" i="19"/>
  <c r="O306" i="19"/>
  <c r="O307" i="19"/>
  <c r="O308" i="19"/>
  <c r="O309" i="19"/>
  <c r="O310" i="19"/>
  <c r="O311" i="19"/>
  <c r="O312" i="19"/>
  <c r="O313" i="19"/>
  <c r="O314" i="19"/>
  <c r="O315" i="19"/>
  <c r="O316" i="19"/>
  <c r="O317" i="19"/>
  <c r="O318" i="19"/>
  <c r="O319" i="19"/>
  <c r="O320" i="19"/>
  <c r="O321" i="19"/>
  <c r="O322" i="19"/>
  <c r="O323" i="19"/>
  <c r="O324" i="19"/>
  <c r="O325" i="19"/>
  <c r="O326" i="19"/>
  <c r="O327" i="19"/>
  <c r="O328" i="19"/>
  <c r="O329" i="19"/>
  <c r="O330" i="19"/>
  <c r="O331" i="19"/>
  <c r="O332" i="19"/>
  <c r="O333" i="19"/>
  <c r="O334" i="19"/>
  <c r="O335" i="19"/>
  <c r="O336" i="19"/>
  <c r="O337" i="19"/>
  <c r="O338" i="19"/>
  <c r="O339" i="19"/>
  <c r="O340" i="19"/>
  <c r="O341" i="19"/>
  <c r="O342" i="19"/>
  <c r="O343" i="19"/>
  <c r="O344" i="19"/>
  <c r="O345" i="19"/>
  <c r="O346" i="19"/>
  <c r="O347" i="19"/>
  <c r="O348" i="19"/>
  <c r="O349" i="19"/>
  <c r="O350" i="19"/>
  <c r="O351" i="19"/>
  <c r="O352" i="19"/>
  <c r="O353" i="19"/>
  <c r="O354" i="19"/>
  <c r="O355" i="19"/>
  <c r="O356" i="19"/>
  <c r="O357" i="19"/>
  <c r="O358" i="19"/>
  <c r="O359" i="19"/>
  <c r="O360" i="19"/>
  <c r="O361" i="19"/>
  <c r="O362" i="19"/>
  <c r="O363" i="19"/>
  <c r="O364" i="19"/>
  <c r="O365" i="19"/>
  <c r="O366" i="19"/>
  <c r="O367" i="19"/>
  <c r="O368" i="19"/>
  <c r="O369" i="19"/>
  <c r="O370" i="19"/>
  <c r="O371" i="19"/>
  <c r="O372" i="19"/>
  <c r="O373" i="19"/>
  <c r="O374" i="19"/>
  <c r="O375" i="19"/>
  <c r="O376" i="19"/>
  <c r="O377" i="19"/>
  <c r="O378" i="19"/>
  <c r="O379" i="19"/>
  <c r="O380" i="19"/>
  <c r="O381" i="19"/>
  <c r="O382" i="19"/>
  <c r="O383" i="19"/>
  <c r="O384" i="19"/>
  <c r="O385" i="19"/>
  <c r="O386" i="19"/>
  <c r="O387" i="19"/>
  <c r="O388" i="19"/>
  <c r="O389" i="19"/>
  <c r="O390" i="19"/>
  <c r="O391" i="19"/>
  <c r="O392" i="19"/>
  <c r="O393" i="19"/>
  <c r="O394" i="19"/>
  <c r="O395" i="19"/>
  <c r="O396" i="19"/>
  <c r="O397" i="19"/>
  <c r="O398" i="19"/>
  <c r="O399" i="19"/>
  <c r="O400" i="19"/>
  <c r="O401" i="19"/>
  <c r="O402" i="19"/>
  <c r="O403" i="19"/>
  <c r="O404" i="19"/>
  <c r="O405" i="19"/>
  <c r="O406" i="19"/>
  <c r="O407" i="19"/>
  <c r="O408" i="19"/>
  <c r="O409" i="19"/>
  <c r="O410" i="19"/>
  <c r="O411" i="19"/>
  <c r="O412" i="19"/>
  <c r="O413" i="19"/>
  <c r="O414" i="19"/>
  <c r="O415" i="19"/>
  <c r="O416" i="19"/>
  <c r="O417" i="19"/>
  <c r="O418" i="19"/>
  <c r="O419" i="19"/>
  <c r="O420" i="19"/>
  <c r="O421" i="19"/>
  <c r="O422" i="19"/>
  <c r="O423" i="19"/>
  <c r="O424" i="19"/>
  <c r="O425" i="19"/>
  <c r="O426" i="19"/>
  <c r="O427" i="19"/>
  <c r="O428" i="19"/>
  <c r="O429" i="19"/>
  <c r="O430" i="19"/>
  <c r="O431" i="19"/>
  <c r="O432" i="19"/>
  <c r="O433" i="19"/>
  <c r="O434" i="19"/>
  <c r="O435" i="19"/>
  <c r="O436" i="19"/>
  <c r="O437" i="19"/>
  <c r="O438" i="19"/>
  <c r="O439" i="19"/>
  <c r="O440" i="19"/>
  <c r="O441" i="19"/>
  <c r="O442" i="19"/>
  <c r="O443" i="19"/>
  <c r="O444" i="19"/>
  <c r="O445" i="19"/>
  <c r="O446" i="19"/>
  <c r="O447" i="19"/>
  <c r="O448" i="19"/>
  <c r="O449" i="19"/>
  <c r="O450" i="19"/>
  <c r="O451" i="19"/>
  <c r="O452" i="19"/>
  <c r="O453" i="19"/>
  <c r="O454" i="19"/>
  <c r="O455" i="19"/>
  <c r="O456" i="19"/>
  <c r="O457" i="19"/>
  <c r="O458" i="19"/>
  <c r="O459" i="19"/>
  <c r="O460" i="19"/>
  <c r="O461" i="19"/>
  <c r="O462" i="19"/>
  <c r="O463" i="19"/>
  <c r="O464" i="19"/>
  <c r="O465" i="19"/>
  <c r="O466" i="19"/>
  <c r="O467" i="19"/>
  <c r="O468" i="19"/>
  <c r="O469" i="19"/>
  <c r="O470" i="19"/>
  <c r="O471" i="19"/>
  <c r="O472" i="19"/>
  <c r="O473" i="19"/>
  <c r="O474" i="19"/>
  <c r="O475" i="19"/>
  <c r="O476" i="19"/>
  <c r="O477" i="19"/>
  <c r="O478" i="19"/>
  <c r="O479" i="19"/>
  <c r="O480" i="19"/>
  <c r="O481" i="19"/>
  <c r="O482" i="19"/>
  <c r="O483" i="19"/>
  <c r="O484" i="19"/>
  <c r="O485" i="19"/>
  <c r="O486" i="19"/>
  <c r="O487" i="19"/>
  <c r="O488" i="19"/>
  <c r="O489" i="19"/>
  <c r="O490" i="19"/>
  <c r="O491" i="19"/>
  <c r="O492" i="19"/>
  <c r="O493" i="19"/>
  <c r="O494" i="19"/>
  <c r="O495" i="19"/>
  <c r="O496" i="19"/>
  <c r="O497" i="19"/>
  <c r="O498" i="19"/>
  <c r="O499" i="19"/>
  <c r="O500" i="19"/>
  <c r="O501" i="19"/>
  <c r="O502" i="19"/>
  <c r="O503" i="19"/>
  <c r="O504" i="19"/>
  <c r="O505" i="19"/>
  <c r="O506" i="19"/>
  <c r="O507" i="19"/>
  <c r="O508" i="19"/>
  <c r="O509" i="19"/>
  <c r="O510" i="19"/>
  <c r="O511" i="19"/>
  <c r="O512" i="19"/>
  <c r="O513" i="19"/>
  <c r="O514" i="19"/>
  <c r="O515" i="19"/>
  <c r="O516" i="19"/>
  <c r="O517" i="19"/>
  <c r="O518" i="19"/>
  <c r="O519" i="19"/>
  <c r="O520" i="19"/>
  <c r="O521" i="19"/>
  <c r="O522" i="19"/>
  <c r="O523" i="19"/>
  <c r="O524" i="19"/>
  <c r="O525" i="19"/>
  <c r="O526" i="19"/>
  <c r="O527" i="19"/>
  <c r="O528" i="19"/>
  <c r="O529" i="19"/>
  <c r="O530" i="19"/>
  <c r="O531" i="19"/>
  <c r="O532" i="19"/>
  <c r="O533" i="19"/>
  <c r="O534" i="19"/>
  <c r="O535" i="19"/>
  <c r="O536" i="19"/>
  <c r="O537" i="19"/>
  <c r="O538" i="19"/>
  <c r="O539" i="19"/>
  <c r="O540" i="19"/>
  <c r="O541" i="19"/>
  <c r="O542" i="19"/>
  <c r="O543" i="19"/>
  <c r="O544" i="19"/>
  <c r="O545" i="19"/>
  <c r="O546" i="19"/>
  <c r="O547" i="19"/>
  <c r="O548" i="19"/>
  <c r="O549" i="19"/>
  <c r="O550" i="19"/>
  <c r="O551" i="19"/>
  <c r="O552" i="19"/>
  <c r="O553" i="19"/>
  <c r="O554" i="19"/>
  <c r="O555" i="19"/>
  <c r="O556" i="19"/>
  <c r="O557" i="19"/>
  <c r="O558" i="19"/>
  <c r="O559" i="19"/>
  <c r="O560" i="19"/>
  <c r="O561" i="19"/>
  <c r="O562" i="19"/>
  <c r="O563" i="19"/>
  <c r="O564" i="19"/>
  <c r="O565" i="19"/>
  <c r="O566" i="19"/>
  <c r="O567" i="19"/>
  <c r="O568" i="19"/>
  <c r="O569" i="19"/>
  <c r="O570" i="19"/>
  <c r="O571" i="19"/>
  <c r="O572" i="19"/>
  <c r="O573" i="19"/>
  <c r="O574" i="19"/>
  <c r="O575" i="19"/>
  <c r="O576" i="19"/>
  <c r="O577" i="19"/>
  <c r="O578" i="19"/>
  <c r="O579" i="19"/>
  <c r="O580" i="19"/>
  <c r="O581" i="19"/>
  <c r="O582" i="19"/>
  <c r="O583" i="19"/>
  <c r="O584" i="19"/>
  <c r="O585" i="19"/>
  <c r="O586" i="19"/>
  <c r="O587" i="19"/>
  <c r="O588" i="19"/>
  <c r="O589" i="19"/>
  <c r="O590" i="19"/>
  <c r="O591" i="19"/>
  <c r="O592" i="19"/>
  <c r="O593" i="19"/>
  <c r="O594" i="19"/>
  <c r="O595" i="19"/>
  <c r="O596" i="19"/>
  <c r="O597" i="19"/>
  <c r="O598" i="19"/>
  <c r="O599" i="19"/>
  <c r="O600" i="19"/>
  <c r="O601" i="19"/>
  <c r="O602" i="19"/>
  <c r="O603" i="19"/>
  <c r="O604" i="19"/>
  <c r="O605" i="19"/>
  <c r="O606" i="19"/>
  <c r="O607" i="19"/>
  <c r="O608" i="19"/>
  <c r="O609" i="19"/>
  <c r="O610" i="19"/>
  <c r="O611" i="19"/>
  <c r="O612" i="19"/>
  <c r="O613" i="19"/>
  <c r="O614" i="19"/>
  <c r="O615" i="19"/>
  <c r="O616" i="19"/>
  <c r="O617" i="19"/>
  <c r="O618" i="19"/>
  <c r="O619" i="19"/>
  <c r="O620" i="19"/>
  <c r="O621" i="19"/>
  <c r="O622" i="19"/>
  <c r="O623" i="19"/>
  <c r="O624" i="19"/>
  <c r="O625" i="19"/>
  <c r="O626" i="19"/>
  <c r="O627" i="19"/>
  <c r="O628" i="19"/>
  <c r="O629" i="19"/>
  <c r="O630" i="19"/>
  <c r="O631" i="19"/>
  <c r="O632" i="19"/>
  <c r="O633" i="19"/>
  <c r="O634" i="19"/>
  <c r="O635" i="19"/>
  <c r="O636" i="19"/>
  <c r="O637" i="19"/>
  <c r="O638" i="19"/>
  <c r="O639" i="19"/>
  <c r="O640" i="19"/>
  <c r="O641" i="19"/>
  <c r="O642" i="19"/>
  <c r="O643" i="19"/>
  <c r="O644" i="19"/>
  <c r="O645" i="19"/>
  <c r="O646" i="19"/>
  <c r="O647" i="19"/>
  <c r="O648" i="19"/>
  <c r="O649" i="19"/>
  <c r="O650" i="19"/>
  <c r="O651" i="19"/>
  <c r="O652" i="19"/>
  <c r="O653" i="19"/>
  <c r="O654" i="19"/>
  <c r="O655" i="19"/>
  <c r="O656" i="19"/>
  <c r="O657" i="19"/>
  <c r="O658" i="19"/>
  <c r="O659" i="19"/>
  <c r="O660" i="19"/>
  <c r="O661" i="19"/>
  <c r="O662" i="19"/>
  <c r="O663" i="19"/>
  <c r="O664" i="19"/>
  <c r="O665" i="19"/>
  <c r="O666" i="19"/>
  <c r="O667" i="19"/>
  <c r="O668" i="19"/>
  <c r="O669" i="19"/>
  <c r="O670" i="19"/>
  <c r="O671" i="19"/>
  <c r="O672" i="19"/>
  <c r="O673" i="19"/>
  <c r="O674" i="19"/>
  <c r="O675" i="19"/>
  <c r="O676" i="19"/>
  <c r="O677" i="19"/>
  <c r="O678" i="19"/>
  <c r="O679" i="19"/>
  <c r="O680" i="19"/>
  <c r="O681" i="19"/>
  <c r="O682" i="19"/>
  <c r="O683" i="19"/>
  <c r="O684" i="19"/>
  <c r="O685" i="19"/>
  <c r="O686" i="19"/>
  <c r="O687" i="19"/>
  <c r="O688" i="19"/>
  <c r="O689" i="19"/>
  <c r="O690" i="19"/>
  <c r="O691" i="19"/>
  <c r="O692" i="19"/>
  <c r="O693" i="19"/>
  <c r="O694" i="19"/>
  <c r="O695" i="19"/>
  <c r="O696" i="19"/>
  <c r="O697" i="19"/>
  <c r="O698" i="19"/>
  <c r="O699" i="19"/>
  <c r="O700" i="19"/>
  <c r="O701" i="19"/>
  <c r="O702" i="19"/>
  <c r="O703" i="19"/>
  <c r="O704" i="19"/>
  <c r="O705" i="19"/>
  <c r="O706" i="19"/>
  <c r="O707" i="19"/>
  <c r="O708" i="19"/>
  <c r="O709" i="19"/>
  <c r="O710" i="19"/>
  <c r="O711" i="19"/>
  <c r="O712" i="19"/>
  <c r="O713" i="19"/>
  <c r="O714" i="19"/>
  <c r="O715" i="19"/>
  <c r="O716" i="19"/>
  <c r="O717" i="19"/>
  <c r="O718" i="19"/>
  <c r="O719" i="19"/>
  <c r="O720" i="19"/>
  <c r="O721" i="19"/>
  <c r="O722" i="19"/>
  <c r="O723" i="19"/>
  <c r="O724" i="19"/>
  <c r="O725" i="19"/>
  <c r="O726" i="19"/>
  <c r="O727" i="19"/>
  <c r="O728" i="19"/>
  <c r="O729" i="19"/>
  <c r="O730" i="19"/>
  <c r="O731" i="19"/>
  <c r="O732" i="19"/>
  <c r="O733" i="19"/>
  <c r="O734" i="19"/>
  <c r="O735" i="19"/>
  <c r="O736" i="19"/>
  <c r="O737" i="19"/>
  <c r="O738" i="19"/>
  <c r="O739" i="19"/>
  <c r="O740" i="19"/>
  <c r="O741" i="19"/>
  <c r="O742" i="19"/>
  <c r="O743" i="19"/>
  <c r="O744" i="19"/>
  <c r="O745" i="19"/>
  <c r="O746" i="19"/>
  <c r="O747" i="19"/>
  <c r="O748" i="19"/>
  <c r="O749" i="19"/>
  <c r="O750" i="19"/>
  <c r="O751" i="19"/>
  <c r="O752" i="19"/>
  <c r="O753" i="19"/>
  <c r="O754" i="19"/>
  <c r="O755" i="19"/>
  <c r="O756" i="19"/>
  <c r="O757" i="19"/>
  <c r="O758" i="19"/>
  <c r="O759" i="19"/>
  <c r="O760" i="19"/>
  <c r="O761" i="19"/>
  <c r="O762" i="19"/>
  <c r="O763" i="19"/>
  <c r="O764" i="19"/>
  <c r="O765" i="19"/>
  <c r="O766" i="19"/>
  <c r="O767" i="19"/>
  <c r="O768" i="19"/>
  <c r="O769" i="19"/>
  <c r="O770" i="19"/>
  <c r="O771" i="19"/>
  <c r="O772" i="19"/>
  <c r="O773" i="19"/>
  <c r="O774" i="19"/>
  <c r="O775" i="19"/>
  <c r="O776" i="19"/>
  <c r="O777" i="19"/>
  <c r="O778" i="19"/>
  <c r="O779" i="19"/>
  <c r="O780" i="19"/>
  <c r="O781" i="19"/>
  <c r="O782" i="19"/>
  <c r="O783" i="19"/>
  <c r="O784" i="19"/>
  <c r="O785" i="19"/>
  <c r="O786" i="19"/>
  <c r="O787" i="19"/>
  <c r="O788" i="19"/>
  <c r="O789" i="19"/>
  <c r="O790" i="19"/>
  <c r="O791" i="19"/>
  <c r="O792" i="19"/>
  <c r="O793" i="19"/>
  <c r="O794" i="19"/>
  <c r="O795" i="19"/>
  <c r="O796" i="19"/>
  <c r="O797" i="19"/>
  <c r="O798" i="19"/>
  <c r="O799" i="19"/>
  <c r="O800" i="19"/>
  <c r="O801" i="19"/>
  <c r="O802" i="19"/>
  <c r="O803" i="19"/>
  <c r="O804" i="19"/>
  <c r="O805" i="19"/>
  <c r="O806" i="19"/>
  <c r="O807" i="19"/>
  <c r="O808" i="19"/>
  <c r="O809" i="19"/>
  <c r="O810" i="19"/>
  <c r="O811" i="19"/>
  <c r="O812" i="19"/>
  <c r="O813" i="19"/>
  <c r="O814" i="19"/>
  <c r="O815" i="19"/>
  <c r="O816" i="19"/>
  <c r="O817" i="19"/>
  <c r="O818" i="19"/>
  <c r="O819" i="19"/>
  <c r="O820" i="19"/>
  <c r="O821" i="19"/>
  <c r="O822" i="19"/>
  <c r="O823" i="19"/>
  <c r="O824" i="19"/>
  <c r="O825" i="19"/>
  <c r="O826" i="19"/>
  <c r="O827" i="19"/>
  <c r="O828" i="19"/>
  <c r="O829" i="19"/>
  <c r="O830" i="19"/>
  <c r="O831" i="19"/>
  <c r="O832" i="19"/>
  <c r="O833" i="19"/>
  <c r="O834" i="19"/>
  <c r="O835" i="19"/>
  <c r="O836" i="19"/>
  <c r="O837" i="19"/>
  <c r="O838" i="19"/>
  <c r="O839" i="19"/>
  <c r="O840" i="19"/>
  <c r="O841" i="19"/>
  <c r="O842" i="19"/>
  <c r="O843" i="19"/>
  <c r="O844" i="19"/>
  <c r="O845" i="19"/>
  <c r="O846" i="19"/>
  <c r="O847" i="19"/>
  <c r="O848" i="19"/>
  <c r="O849" i="19"/>
  <c r="O850" i="19"/>
  <c r="O851" i="19"/>
  <c r="O852" i="19"/>
  <c r="O853" i="19"/>
  <c r="O854" i="19"/>
  <c r="O855" i="19"/>
  <c r="O856" i="19"/>
  <c r="O857" i="19"/>
  <c r="O858" i="19"/>
  <c r="O859" i="19"/>
  <c r="O860" i="19"/>
  <c r="O861" i="19"/>
  <c r="O862" i="19"/>
  <c r="O863" i="19"/>
  <c r="O864" i="19"/>
  <c r="O865" i="19"/>
  <c r="O866" i="19"/>
  <c r="O867" i="19"/>
  <c r="O868" i="19"/>
  <c r="O869" i="19"/>
  <c r="O870" i="19"/>
  <c r="O871" i="19"/>
  <c r="O872" i="19"/>
  <c r="O873" i="19"/>
  <c r="O874" i="19"/>
  <c r="O875" i="19"/>
  <c r="O876" i="19"/>
  <c r="O877" i="19"/>
  <c r="O878" i="19"/>
  <c r="O879" i="19"/>
  <c r="O880" i="19"/>
  <c r="O881" i="19"/>
  <c r="O882" i="19"/>
  <c r="O2" i="19"/>
  <c r="AB1794" i="3" l="1"/>
  <c r="Z1798" i="3"/>
  <c r="AA1798" i="3" s="1"/>
  <c r="AC1798" i="3" s="1"/>
  <c r="Z1805" i="3"/>
  <c r="AA1805" i="3" s="1"/>
  <c r="AC1805" i="3" s="1"/>
  <c r="AB1805" i="3"/>
  <c r="Z1790" i="3"/>
  <c r="AA1790" i="3" s="1"/>
  <c r="AC1790" i="3" s="1"/>
  <c r="B21" i="16" l="1"/>
  <c r="B82" i="16"/>
  <c r="C14" i="16"/>
  <c r="D74" i="16"/>
  <c r="B12" i="16"/>
  <c r="B35" i="16"/>
  <c r="B87" i="16"/>
  <c r="B61" i="16"/>
  <c r="D66" i="16"/>
  <c r="D70" i="16"/>
  <c r="B80" i="16"/>
  <c r="D76" i="16"/>
  <c r="B44" i="16"/>
  <c r="B51" i="16"/>
  <c r="C77" i="16"/>
  <c r="C8" i="16"/>
  <c r="B55" i="16"/>
  <c r="B53" i="16"/>
  <c r="C104" i="16"/>
  <c r="B71" i="16"/>
  <c r="B43" i="16"/>
  <c r="B48" i="16"/>
  <c r="C49" i="16"/>
  <c r="C4" i="16"/>
  <c r="D4" i="16"/>
  <c r="E4" i="16"/>
  <c r="B11" i="16"/>
  <c r="C11" i="16"/>
  <c r="B13" i="16"/>
  <c r="C13" i="16"/>
  <c r="D14" i="16"/>
  <c r="B15" i="16"/>
  <c r="C15" i="16"/>
  <c r="B17" i="16"/>
  <c r="C17" i="16"/>
  <c r="D17" i="16"/>
  <c r="E17" i="16"/>
  <c r="B18" i="16"/>
  <c r="C18" i="16"/>
  <c r="B20" i="16"/>
  <c r="C20" i="16"/>
  <c r="E20" i="16"/>
  <c r="B23" i="16"/>
  <c r="C23" i="16"/>
  <c r="B24" i="16"/>
  <c r="C24" i="16"/>
  <c r="D24" i="16"/>
  <c r="B25" i="16"/>
  <c r="C25" i="16"/>
  <c r="D25" i="16"/>
  <c r="E25" i="16"/>
  <c r="B26" i="16"/>
  <c r="C26" i="16"/>
  <c r="B31" i="16"/>
  <c r="C31" i="16"/>
  <c r="B33" i="16"/>
  <c r="C33" i="16"/>
  <c r="D33" i="16"/>
  <c r="E33" i="16"/>
  <c r="B36" i="16"/>
  <c r="C36" i="16"/>
  <c r="E36" i="16"/>
  <c r="B37" i="16"/>
  <c r="C37" i="16"/>
  <c r="B39" i="16"/>
  <c r="C39" i="16"/>
  <c r="B42" i="16"/>
  <c r="C42" i="16"/>
  <c r="E44" i="16"/>
  <c r="B45" i="16"/>
  <c r="C45" i="16"/>
  <c r="B47" i="16"/>
  <c r="C47" i="16"/>
  <c r="B49" i="16"/>
  <c r="D49" i="16"/>
  <c r="E49" i="16"/>
  <c r="B50" i="16"/>
  <c r="C50" i="16"/>
  <c r="B52" i="16"/>
  <c r="C52" i="16"/>
  <c r="D52" i="16"/>
  <c r="E52" i="16"/>
  <c r="B54" i="16"/>
  <c r="C54" i="16"/>
  <c r="D54" i="16"/>
  <c r="E54" i="16"/>
  <c r="B56" i="16"/>
  <c r="C56" i="16"/>
  <c r="D56" i="16"/>
  <c r="B57" i="16"/>
  <c r="C57" i="16"/>
  <c r="D57" i="16"/>
  <c r="E57" i="16"/>
  <c r="B58" i="16"/>
  <c r="C58" i="16"/>
  <c r="B60" i="16"/>
  <c r="C60" i="16"/>
  <c r="D60" i="16"/>
  <c r="E60" i="16"/>
  <c r="B62" i="16"/>
  <c r="C62" i="16"/>
  <c r="D62" i="16"/>
  <c r="E62" i="16"/>
  <c r="B64" i="16"/>
  <c r="C64" i="16"/>
  <c r="D64" i="16"/>
  <c r="E64" i="16"/>
  <c r="B67" i="16"/>
  <c r="C67" i="16"/>
  <c r="D67" i="16"/>
  <c r="E67" i="16"/>
  <c r="B68" i="16"/>
  <c r="C68" i="16"/>
  <c r="D68" i="16"/>
  <c r="E68" i="16"/>
  <c r="B73" i="16"/>
  <c r="C73" i="16"/>
  <c r="D73" i="16"/>
  <c r="E73" i="16"/>
  <c r="B79" i="16"/>
  <c r="C79" i="16"/>
  <c r="D79" i="16"/>
  <c r="E79" i="16"/>
  <c r="B81" i="16"/>
  <c r="C81" i="16"/>
  <c r="D81" i="16"/>
  <c r="E81" i="16"/>
  <c r="B85" i="16"/>
  <c r="C85" i="16"/>
  <c r="D85" i="16"/>
  <c r="E85" i="16"/>
  <c r="B88" i="16"/>
  <c r="C88" i="16"/>
  <c r="D88" i="16"/>
  <c r="E88" i="16"/>
  <c r="B90" i="16"/>
  <c r="C90" i="16"/>
  <c r="D90" i="16"/>
  <c r="E90" i="16"/>
  <c r="B91" i="16"/>
  <c r="C91" i="16"/>
  <c r="D91" i="16"/>
  <c r="E91" i="16"/>
  <c r="B92" i="16"/>
  <c r="C92" i="16"/>
  <c r="D92" i="16"/>
  <c r="E92" i="16"/>
  <c r="B93" i="16"/>
  <c r="C93" i="16"/>
  <c r="D93" i="16"/>
  <c r="E93" i="16"/>
  <c r="B94" i="16"/>
  <c r="C94" i="16"/>
  <c r="D94" i="16"/>
  <c r="E94" i="16"/>
  <c r="B96" i="16"/>
  <c r="C96" i="16"/>
  <c r="D96" i="16"/>
  <c r="E96" i="16"/>
  <c r="B97" i="16"/>
  <c r="C97" i="16"/>
  <c r="D97" i="16"/>
  <c r="E97" i="16"/>
  <c r="B98" i="16"/>
  <c r="C98" i="16"/>
  <c r="D98" i="16"/>
  <c r="E98" i="16"/>
  <c r="B99" i="16"/>
  <c r="C99" i="16"/>
  <c r="D99" i="16"/>
  <c r="E99" i="16"/>
  <c r="B100" i="16"/>
  <c r="C100" i="16"/>
  <c r="D100" i="16"/>
  <c r="E100" i="16"/>
  <c r="B102" i="16"/>
  <c r="C102" i="16"/>
  <c r="D102" i="16"/>
  <c r="E102" i="16"/>
  <c r="B103" i="16"/>
  <c r="C103" i="16"/>
  <c r="D103" i="16"/>
  <c r="E103" i="16"/>
  <c r="B105" i="16"/>
  <c r="C105" i="16"/>
  <c r="D105" i="16"/>
  <c r="E105" i="16"/>
  <c r="B106" i="16"/>
  <c r="C106" i="16"/>
  <c r="D106" i="16"/>
  <c r="E106" i="16"/>
  <c r="B107" i="16"/>
  <c r="C107" i="16"/>
  <c r="D107" i="16"/>
  <c r="E107" i="16"/>
  <c r="I1793" i="3"/>
  <c r="J1793" i="3" s="1"/>
  <c r="J1792" i="3"/>
  <c r="I1789" i="3"/>
  <c r="J1789" i="3" s="1"/>
  <c r="I1788" i="3"/>
  <c r="J1788" i="3" s="1"/>
  <c r="C70" i="16" l="1"/>
  <c r="E43" i="16"/>
  <c r="C95" i="16"/>
  <c r="C29" i="16"/>
  <c r="D43" i="16"/>
  <c r="E51" i="16"/>
  <c r="C43" i="16"/>
  <c r="D51" i="16"/>
  <c r="C51" i="16"/>
  <c r="C21" i="16"/>
  <c r="B40" i="16"/>
  <c r="B46" i="16"/>
  <c r="B30" i="16"/>
  <c r="D80" i="16"/>
  <c r="E82" i="16"/>
  <c r="C89" i="16"/>
  <c r="B14" i="16"/>
  <c r="C28" i="16"/>
  <c r="E83" i="16"/>
  <c r="E66" i="16"/>
  <c r="B83" i="16"/>
  <c r="E80" i="16"/>
  <c r="B63" i="16"/>
  <c r="C41" i="16"/>
  <c r="C82" i="16"/>
  <c r="C80" i="16"/>
  <c r="C66" i="16"/>
  <c r="D48" i="16"/>
  <c r="C44" i="16"/>
  <c r="D40" i="16"/>
  <c r="B22" i="16"/>
  <c r="D82" i="16"/>
  <c r="C48" i="16"/>
  <c r="C40" i="16"/>
  <c r="B38" i="16"/>
  <c r="B65" i="16"/>
  <c r="B86" i="16"/>
  <c r="E77" i="16"/>
  <c r="B77" i="16"/>
  <c r="E95" i="16"/>
  <c r="C76" i="16"/>
  <c r="B41" i="16"/>
  <c r="B76" i="16"/>
  <c r="E35" i="16"/>
  <c r="C72" i="16"/>
  <c r="D35" i="16"/>
  <c r="B8" i="16"/>
  <c r="E63" i="16"/>
  <c r="C53" i="16"/>
  <c r="E41" i="16"/>
  <c r="C35" i="16"/>
  <c r="E86" i="16"/>
  <c r="C63" i="16"/>
  <c r="D41" i="16"/>
  <c r="B78" i="16"/>
  <c r="B59" i="16"/>
  <c r="B75" i="16"/>
  <c r="C69" i="16"/>
  <c r="E76" i="16"/>
  <c r="B89" i="16"/>
  <c r="B7" i="16"/>
  <c r="E87" i="16"/>
  <c r="C87" i="16"/>
  <c r="D89" i="16"/>
  <c r="D101" i="16"/>
  <c r="C55" i="16"/>
  <c r="E72" i="16"/>
  <c r="E89" i="16"/>
  <c r="D87" i="16"/>
  <c r="B9" i="16"/>
  <c r="C83" i="16"/>
  <c r="D104" i="16"/>
  <c r="E71" i="16"/>
  <c r="B104" i="16"/>
  <c r="C74" i="16"/>
  <c r="C71" i="16"/>
  <c r="E61" i="16"/>
  <c r="E78" i="16"/>
  <c r="C61" i="16"/>
  <c r="B69" i="16"/>
  <c r="C101" i="16"/>
  <c r="D19" i="16"/>
  <c r="C10" i="16"/>
  <c r="E59" i="16"/>
  <c r="C59" i="16"/>
  <c r="B29" i="16"/>
  <c r="E104" i="16"/>
  <c r="B74" i="16"/>
  <c r="D71" i="16"/>
  <c r="D61" i="16"/>
  <c r="D59" i="16"/>
  <c r="D78" i="16"/>
  <c r="D65" i="16"/>
  <c r="E22" i="16"/>
  <c r="E75" i="16"/>
  <c r="C65" i="16"/>
  <c r="D38" i="16"/>
  <c r="E30" i="16"/>
  <c r="D22" i="16"/>
  <c r="B34" i="16"/>
  <c r="C75" i="16"/>
  <c r="E19" i="16"/>
  <c r="D72" i="16"/>
  <c r="C7" i="16"/>
  <c r="D83" i="16"/>
  <c r="B10" i="16"/>
  <c r="C78" i="16"/>
  <c r="E101" i="16"/>
  <c r="E69" i="16"/>
  <c r="D30" i="16"/>
  <c r="C22" i="16"/>
  <c r="E74" i="16"/>
  <c r="D69" i="16"/>
  <c r="C30" i="16"/>
  <c r="E27" i="16"/>
  <c r="B95" i="16"/>
  <c r="C86" i="16"/>
  <c r="C46" i="16"/>
  <c r="E46" i="16"/>
  <c r="D27" i="16"/>
  <c r="D95" i="16"/>
  <c r="B72" i="16"/>
  <c r="B70" i="16"/>
  <c r="B66" i="16"/>
  <c r="D46" i="16"/>
  <c r="C38" i="16"/>
  <c r="D86" i="16"/>
  <c r="D77" i="16"/>
  <c r="D75" i="16"/>
  <c r="E55" i="16"/>
  <c r="B16" i="16"/>
  <c r="C34" i="16"/>
  <c r="E70" i="16"/>
  <c r="B19" i="16"/>
  <c r="B27" i="16"/>
  <c r="B32" i="16"/>
  <c r="B5" i="16"/>
  <c r="B6" i="16"/>
  <c r="B101" i="16"/>
  <c r="B84" i="16"/>
  <c r="E65" i="16"/>
  <c r="E38" i="16"/>
  <c r="B28" i="16"/>
  <c r="C5" i="16"/>
  <c r="D32" i="16"/>
  <c r="C27" i="16"/>
  <c r="C19" i="16"/>
  <c r="C16" i="16"/>
  <c r="E9" i="16"/>
  <c r="D6" i="16"/>
  <c r="E84" i="16"/>
  <c r="C32" i="16"/>
  <c r="E12" i="16"/>
  <c r="D9" i="16"/>
  <c r="C6" i="16"/>
  <c r="D84" i="16"/>
  <c r="C12" i="16"/>
  <c r="C9" i="16"/>
  <c r="C84" i="16"/>
  <c r="E28" i="16"/>
  <c r="F4" i="16"/>
  <c r="E6" i="16"/>
  <c r="E14" i="16"/>
  <c r="E11" i="16"/>
  <c r="E8" i="16"/>
  <c r="E16" i="16"/>
  <c r="E24" i="16"/>
  <c r="E32" i="16"/>
  <c r="E40" i="16"/>
  <c r="E48" i="16"/>
  <c r="E56" i="16"/>
  <c r="E5" i="16"/>
  <c r="E13" i="16"/>
  <c r="E21" i="16"/>
  <c r="E29" i="16"/>
  <c r="E37" i="16"/>
  <c r="E45" i="16"/>
  <c r="E53" i="16"/>
  <c r="E10" i="16"/>
  <c r="E18" i="16"/>
  <c r="E26" i="16"/>
  <c r="E34" i="16"/>
  <c r="E42" i="16"/>
  <c r="E50" i="16"/>
  <c r="E58" i="16"/>
  <c r="E7" i="16"/>
  <c r="E15" i="16"/>
  <c r="E23" i="16"/>
  <c r="E31" i="16"/>
  <c r="E39" i="16"/>
  <c r="E47" i="16"/>
  <c r="D11" i="16"/>
  <c r="D8" i="16"/>
  <c r="D16" i="16"/>
  <c r="D5" i="16"/>
  <c r="D13" i="16"/>
  <c r="D21" i="16"/>
  <c r="D29" i="16"/>
  <c r="D37" i="16"/>
  <c r="D45" i="16"/>
  <c r="D53" i="16"/>
  <c r="D10" i="16"/>
  <c r="D18" i="16"/>
  <c r="D26" i="16"/>
  <c r="D34" i="16"/>
  <c r="D42" i="16"/>
  <c r="D50" i="16"/>
  <c r="D58" i="16"/>
  <c r="D7" i="16"/>
  <c r="D15" i="16"/>
  <c r="D23" i="16"/>
  <c r="D31" i="16"/>
  <c r="D39" i="16"/>
  <c r="D47" i="16"/>
  <c r="D55" i="16"/>
  <c r="D63" i="16"/>
  <c r="D12" i="16"/>
  <c r="D20" i="16"/>
  <c r="D28" i="16"/>
  <c r="D36" i="16"/>
  <c r="D44" i="16"/>
  <c r="P1784" i="3"/>
  <c r="Y1784" i="3" s="1"/>
  <c r="Y1781" i="3"/>
  <c r="Y1785" i="3"/>
  <c r="X1785" i="3"/>
  <c r="W1785" i="3"/>
  <c r="AB1785" i="3" s="1"/>
  <c r="X1784" i="3"/>
  <c r="W1784" i="3"/>
  <c r="Y1783" i="3"/>
  <c r="X1783" i="3"/>
  <c r="W1783" i="3"/>
  <c r="Z1783" i="3" s="1"/>
  <c r="AA1783" i="3" s="1"/>
  <c r="Y1782" i="3"/>
  <c r="X1782" i="3"/>
  <c r="W1782" i="3"/>
  <c r="Z1782" i="3" s="1"/>
  <c r="AA1782" i="3" s="1"/>
  <c r="X1781" i="3"/>
  <c r="W1781" i="3"/>
  <c r="Z1781" i="3" s="1"/>
  <c r="AA1781" i="3" s="1"/>
  <c r="Y1779" i="3"/>
  <c r="X1779" i="3"/>
  <c r="W1779" i="3"/>
  <c r="AB1779" i="3" s="1"/>
  <c r="Y1778" i="3"/>
  <c r="X1778" i="3"/>
  <c r="W1778" i="3"/>
  <c r="Z1778" i="3" s="1"/>
  <c r="AA1778" i="3" s="1"/>
  <c r="Y1777" i="3"/>
  <c r="X1777" i="3"/>
  <c r="W1777" i="3"/>
  <c r="Z1777" i="3" s="1"/>
  <c r="AA1777" i="3" s="1"/>
  <c r="Y1776" i="3"/>
  <c r="X1776" i="3"/>
  <c r="W1776" i="3"/>
  <c r="Z1776" i="3" s="1"/>
  <c r="AA1776" i="3" s="1"/>
  <c r="Y1775" i="3"/>
  <c r="X1775" i="3"/>
  <c r="W1775" i="3"/>
  <c r="AB1775" i="3" s="1"/>
  <c r="S1780" i="3"/>
  <c r="S1786" i="3" s="1"/>
  <c r="T1780" i="3"/>
  <c r="T1786" i="3" s="1"/>
  <c r="U1780" i="3"/>
  <c r="U1786" i="3" s="1"/>
  <c r="V1780" i="3"/>
  <c r="V1786" i="3" s="1"/>
  <c r="R1780" i="3"/>
  <c r="R1786" i="3" s="1"/>
  <c r="P1780" i="3"/>
  <c r="L1784" i="3"/>
  <c r="N1784" i="3" s="1"/>
  <c r="O1784" i="3" s="1"/>
  <c r="M1776" i="3"/>
  <c r="N1776" i="3" s="1"/>
  <c r="O1776" i="3" s="1"/>
  <c r="L1775" i="3"/>
  <c r="N1775" i="3" s="1"/>
  <c r="O1775" i="3" s="1"/>
  <c r="N1785" i="3"/>
  <c r="O1785" i="3" s="1"/>
  <c r="N1783" i="3"/>
  <c r="O1783" i="3" s="1"/>
  <c r="N1782" i="3"/>
  <c r="O1782" i="3" s="1"/>
  <c r="N1781" i="3"/>
  <c r="O1781" i="3" s="1"/>
  <c r="N1777" i="3"/>
  <c r="O1777" i="3" s="1"/>
  <c r="N1778" i="3"/>
  <c r="O1778" i="3" s="1"/>
  <c r="N1779" i="3"/>
  <c r="O1779" i="3" s="1"/>
  <c r="P1786" i="3" l="1"/>
  <c r="Y1786" i="3" s="1"/>
  <c r="L1780" i="3"/>
  <c r="L1786" i="3" s="1"/>
  <c r="B3" i="16"/>
  <c r="C3" i="16"/>
  <c r="E3" i="16"/>
  <c r="F9" i="16"/>
  <c r="G4" i="16"/>
  <c r="F6" i="16"/>
  <c r="F14" i="16"/>
  <c r="F11" i="16"/>
  <c r="F19" i="16"/>
  <c r="F27" i="16"/>
  <c r="F35" i="16"/>
  <c r="F43" i="16"/>
  <c r="F51" i="16"/>
  <c r="F8" i="16"/>
  <c r="F16" i="16"/>
  <c r="F24" i="16"/>
  <c r="F32" i="16"/>
  <c r="F40" i="16"/>
  <c r="F48" i="16"/>
  <c r="F56" i="16"/>
  <c r="F5" i="16"/>
  <c r="F13" i="16"/>
  <c r="F21" i="16"/>
  <c r="F29" i="16"/>
  <c r="F37" i="16"/>
  <c r="F45" i="16"/>
  <c r="F53" i="16"/>
  <c r="F61" i="16"/>
  <c r="F10" i="16"/>
  <c r="F18" i="16"/>
  <c r="F26" i="16"/>
  <c r="F34" i="16"/>
  <c r="F42" i="16"/>
  <c r="F20" i="16"/>
  <c r="F36" i="16"/>
  <c r="F71" i="16"/>
  <c r="F79" i="16"/>
  <c r="F87" i="16"/>
  <c r="F95" i="16"/>
  <c r="F103" i="16"/>
  <c r="F7" i="16"/>
  <c r="F12" i="16"/>
  <c r="F57" i="16"/>
  <c r="F58" i="16"/>
  <c r="F63" i="16"/>
  <c r="F68" i="16"/>
  <c r="F76" i="16"/>
  <c r="F84" i="16"/>
  <c r="F92" i="16"/>
  <c r="F100" i="16"/>
  <c r="F31" i="16"/>
  <c r="F33" i="16"/>
  <c r="F47" i="16"/>
  <c r="F49" i="16"/>
  <c r="F50" i="16"/>
  <c r="F65" i="16"/>
  <c r="F73" i="16"/>
  <c r="F81" i="16"/>
  <c r="F89" i="16"/>
  <c r="F97" i="16"/>
  <c r="F17" i="16"/>
  <c r="F30" i="16"/>
  <c r="F46" i="16"/>
  <c r="F70" i="16"/>
  <c r="F78" i="16"/>
  <c r="F86" i="16"/>
  <c r="F94" i="16"/>
  <c r="F28" i="16"/>
  <c r="F44" i="16"/>
  <c r="F59" i="16"/>
  <c r="F67" i="16"/>
  <c r="F75" i="16"/>
  <c r="F83" i="16"/>
  <c r="F91" i="16"/>
  <c r="F99" i="16"/>
  <c r="F23" i="16"/>
  <c r="F25" i="16"/>
  <c r="F39" i="16"/>
  <c r="F41" i="16"/>
  <c r="F54" i="16"/>
  <c r="F62" i="16"/>
  <c r="F69" i="16"/>
  <c r="F77" i="16"/>
  <c r="F85" i="16"/>
  <c r="F93" i="16"/>
  <c r="F74" i="16"/>
  <c r="F106" i="16"/>
  <c r="F66" i="16"/>
  <c r="F88" i="16"/>
  <c r="F64" i="16"/>
  <c r="F96" i="16"/>
  <c r="F104" i="16"/>
  <c r="F60" i="16"/>
  <c r="F82" i="16"/>
  <c r="F101" i="16"/>
  <c r="F105" i="16"/>
  <c r="F98" i="16"/>
  <c r="F15" i="16"/>
  <c r="F55" i="16"/>
  <c r="F72" i="16"/>
  <c r="F107" i="16"/>
  <c r="F22" i="16"/>
  <c r="F90" i="16"/>
  <c r="F102" i="16"/>
  <c r="F38" i="16"/>
  <c r="F52" i="16"/>
  <c r="F80" i="16"/>
  <c r="D3" i="16"/>
  <c r="AC1781" i="3"/>
  <c r="AC1778" i="3"/>
  <c r="AC1782" i="3"/>
  <c r="AC1776" i="3"/>
  <c r="AC1783" i="3"/>
  <c r="AC1777" i="3"/>
  <c r="N1780" i="3"/>
  <c r="AB1782" i="3"/>
  <c r="AB1781" i="3"/>
  <c r="AB1778" i="3"/>
  <c r="AB1777" i="3"/>
  <c r="AB1776" i="3"/>
  <c r="Z1775" i="3"/>
  <c r="AA1775" i="3" s="1"/>
  <c r="AC1775" i="3" s="1"/>
  <c r="Y1780" i="3"/>
  <c r="W1780" i="3"/>
  <c r="W1786" i="3"/>
  <c r="X1786" i="3"/>
  <c r="X1780" i="3"/>
  <c r="Z1784" i="3"/>
  <c r="AA1784" i="3" s="1"/>
  <c r="AC1784" i="3" s="1"/>
  <c r="AB1784" i="3"/>
  <c r="AB1783" i="3"/>
  <c r="Z1785" i="3"/>
  <c r="AA1785" i="3" s="1"/>
  <c r="AC1785" i="3" s="1"/>
  <c r="Z1779" i="3"/>
  <c r="AA1779" i="3" s="1"/>
  <c r="AC1779" i="3" s="1"/>
  <c r="M1780" i="3"/>
  <c r="M1786" i="3" s="1"/>
  <c r="O1780" i="3" l="1"/>
  <c r="F3" i="16"/>
  <c r="G12" i="16"/>
  <c r="G9" i="16"/>
  <c r="G17" i="16"/>
  <c r="H4" i="16"/>
  <c r="G6" i="16"/>
  <c r="G14" i="16"/>
  <c r="G22" i="16"/>
  <c r="G30" i="16"/>
  <c r="G38" i="16"/>
  <c r="G46" i="16"/>
  <c r="G54" i="16"/>
  <c r="G11" i="16"/>
  <c r="G19" i="16"/>
  <c r="G27" i="16"/>
  <c r="G35" i="16"/>
  <c r="G43" i="16"/>
  <c r="G51" i="16"/>
  <c r="G59" i="16"/>
  <c r="G8" i="16"/>
  <c r="G16" i="16"/>
  <c r="G24" i="16"/>
  <c r="G32" i="16"/>
  <c r="G40" i="16"/>
  <c r="G48" i="16"/>
  <c r="G56" i="16"/>
  <c r="G5" i="16"/>
  <c r="G13" i="16"/>
  <c r="G21" i="16"/>
  <c r="G29" i="16"/>
  <c r="G37" i="16"/>
  <c r="G45" i="16"/>
  <c r="G10" i="16"/>
  <c r="G15" i="16"/>
  <c r="G55" i="16"/>
  <c r="G60" i="16"/>
  <c r="G66" i="16"/>
  <c r="G74" i="16"/>
  <c r="G82" i="16"/>
  <c r="G90" i="16"/>
  <c r="G98" i="16"/>
  <c r="G18" i="16"/>
  <c r="G20" i="16"/>
  <c r="G34" i="16"/>
  <c r="G36" i="16"/>
  <c r="G71" i="16"/>
  <c r="G79" i="16"/>
  <c r="G87" i="16"/>
  <c r="G95" i="16"/>
  <c r="G103" i="16"/>
  <c r="G7" i="16"/>
  <c r="G57" i="16"/>
  <c r="G58" i="16"/>
  <c r="G63" i="16"/>
  <c r="G68" i="16"/>
  <c r="G76" i="16"/>
  <c r="G84" i="16"/>
  <c r="G92" i="16"/>
  <c r="G100" i="16"/>
  <c r="G31" i="16"/>
  <c r="G33" i="16"/>
  <c r="G47" i="16"/>
  <c r="G49" i="16"/>
  <c r="G50" i="16"/>
  <c r="G61" i="16"/>
  <c r="G65" i="16"/>
  <c r="G73" i="16"/>
  <c r="G81" i="16"/>
  <c r="G89" i="16"/>
  <c r="G97" i="16"/>
  <c r="G70" i="16"/>
  <c r="G78" i="16"/>
  <c r="G86" i="16"/>
  <c r="G94" i="16"/>
  <c r="G52" i="16"/>
  <c r="G64" i="16"/>
  <c r="G72" i="16"/>
  <c r="G80" i="16"/>
  <c r="G88" i="16"/>
  <c r="G96" i="16"/>
  <c r="G25" i="16"/>
  <c r="G39" i="16"/>
  <c r="G41" i="16"/>
  <c r="G53" i="16"/>
  <c r="G69" i="16"/>
  <c r="G83" i="16"/>
  <c r="G106" i="16"/>
  <c r="G107" i="16"/>
  <c r="G104" i="16"/>
  <c r="G23" i="16"/>
  <c r="G75" i="16"/>
  <c r="G26" i="16"/>
  <c r="G77" i="16"/>
  <c r="G91" i="16"/>
  <c r="G101" i="16"/>
  <c r="G28" i="16"/>
  <c r="G42" i="16"/>
  <c r="G105" i="16"/>
  <c r="G62" i="16"/>
  <c r="G93" i="16"/>
  <c r="G67" i="16"/>
  <c r="G85" i="16"/>
  <c r="G99" i="16"/>
  <c r="G102" i="16"/>
  <c r="G44" i="16"/>
  <c r="AB1780" i="3"/>
  <c r="AB1786" i="3"/>
  <c r="Z1780" i="3"/>
  <c r="AA1780" i="3" s="1"/>
  <c r="Z1786" i="3"/>
  <c r="AA1786" i="3" s="1"/>
  <c r="N1786" i="3"/>
  <c r="O1786" i="3" s="1"/>
  <c r="AC1780" i="3" l="1"/>
  <c r="H7" i="16"/>
  <c r="H15" i="16"/>
  <c r="H12" i="16"/>
  <c r="H9" i="16"/>
  <c r="H17" i="16"/>
  <c r="H25" i="16"/>
  <c r="H33" i="16"/>
  <c r="H41" i="16"/>
  <c r="H49" i="16"/>
  <c r="H57" i="16"/>
  <c r="I4" i="16"/>
  <c r="H6" i="16"/>
  <c r="H14" i="16"/>
  <c r="H22" i="16"/>
  <c r="H30" i="16"/>
  <c r="H38" i="16"/>
  <c r="H46" i="16"/>
  <c r="H54" i="16"/>
  <c r="H11" i="16"/>
  <c r="H19" i="16"/>
  <c r="H27" i="16"/>
  <c r="H35" i="16"/>
  <c r="H43" i="16"/>
  <c r="H51" i="16"/>
  <c r="H59" i="16"/>
  <c r="H8" i="16"/>
  <c r="H16" i="16"/>
  <c r="H24" i="16"/>
  <c r="H32" i="16"/>
  <c r="H40" i="16"/>
  <c r="H48" i="16"/>
  <c r="H5" i="16"/>
  <c r="H23" i="16"/>
  <c r="H39" i="16"/>
  <c r="H56" i="16"/>
  <c r="H62" i="16"/>
  <c r="H69" i="16"/>
  <c r="H77" i="16"/>
  <c r="H85" i="16"/>
  <c r="H93" i="16"/>
  <c r="H101" i="16"/>
  <c r="H10" i="16"/>
  <c r="H55" i="16"/>
  <c r="H60" i="16"/>
  <c r="H66" i="16"/>
  <c r="H74" i="16"/>
  <c r="H82" i="16"/>
  <c r="H90" i="16"/>
  <c r="H98" i="16"/>
  <c r="H18" i="16"/>
  <c r="H20" i="16"/>
  <c r="H34" i="16"/>
  <c r="H36" i="16"/>
  <c r="H71" i="16"/>
  <c r="H79" i="16"/>
  <c r="H87" i="16"/>
  <c r="H95" i="16"/>
  <c r="H29" i="16"/>
  <c r="H45" i="16"/>
  <c r="H58" i="16"/>
  <c r="H63" i="16"/>
  <c r="H68" i="16"/>
  <c r="H76" i="16"/>
  <c r="H84" i="16"/>
  <c r="H92" i="16"/>
  <c r="H100" i="16"/>
  <c r="H31" i="16"/>
  <c r="H47" i="16"/>
  <c r="H50" i="16"/>
  <c r="H61" i="16"/>
  <c r="H65" i="16"/>
  <c r="H73" i="16"/>
  <c r="H81" i="16"/>
  <c r="H89" i="16"/>
  <c r="H97" i="16"/>
  <c r="H13" i="16"/>
  <c r="H26" i="16"/>
  <c r="H28" i="16"/>
  <c r="H42" i="16"/>
  <c r="H44" i="16"/>
  <c r="H53" i="16"/>
  <c r="H67" i="16"/>
  <c r="H75" i="16"/>
  <c r="H83" i="16"/>
  <c r="H91" i="16"/>
  <c r="H99" i="16"/>
  <c r="H37" i="16"/>
  <c r="H88" i="16"/>
  <c r="H105" i="16"/>
  <c r="H78" i="16"/>
  <c r="H64" i="16"/>
  <c r="H96" i="16"/>
  <c r="H106" i="16"/>
  <c r="H102" i="16"/>
  <c r="H86" i="16"/>
  <c r="H104" i="16"/>
  <c r="H52" i="16"/>
  <c r="H80" i="16"/>
  <c r="H70" i="16"/>
  <c r="H107" i="16"/>
  <c r="H72" i="16"/>
  <c r="H21" i="16"/>
  <c r="H94" i="16"/>
  <c r="H103" i="16"/>
  <c r="G3" i="16"/>
  <c r="AC1786" i="3"/>
  <c r="S1770" i="3"/>
  <c r="T1770" i="3"/>
  <c r="U1770" i="3"/>
  <c r="V1770" i="3"/>
  <c r="R1770" i="3"/>
  <c r="AC262" i="3"/>
  <c r="AC237" i="3"/>
  <c r="AC223" i="3"/>
  <c r="AC213" i="3"/>
  <c r="AC209" i="3"/>
  <c r="AC179" i="3"/>
  <c r="AC178" i="3"/>
  <c r="AC161" i="3"/>
  <c r="AC146" i="3"/>
  <c r="AC133" i="3"/>
  <c r="AC118" i="3"/>
  <c r="AC117" i="3"/>
  <c r="AC116" i="3"/>
  <c r="AC94" i="3"/>
  <c r="AC93" i="3"/>
  <c r="AC92" i="3"/>
  <c r="AC78" i="3"/>
  <c r="AC77" i="3"/>
  <c r="AC65" i="3"/>
  <c r="AC60" i="3"/>
  <c r="AC43" i="3"/>
  <c r="AC41" i="3"/>
  <c r="AC29" i="3"/>
  <c r="AC19" i="3"/>
  <c r="AC16" i="3"/>
  <c r="AB16" i="3"/>
  <c r="AB15" i="3"/>
  <c r="AB27" i="3"/>
  <c r="AB41" i="3"/>
  <c r="AB60" i="3"/>
  <c r="AB78" i="3"/>
  <c r="AB77" i="3"/>
  <c r="AB94" i="3"/>
  <c r="AB93" i="3"/>
  <c r="AB92" i="3"/>
  <c r="AB117" i="3"/>
  <c r="AB133" i="3"/>
  <c r="AB146" i="3"/>
  <c r="AB161" i="3"/>
  <c r="AB179" i="3"/>
  <c r="AB178" i="3"/>
  <c r="AB209" i="3"/>
  <c r="AB213" i="3"/>
  <c r="AB223" i="3"/>
  <c r="AB244" i="3"/>
  <c r="AB243" i="3"/>
  <c r="AB242" i="3"/>
  <c r="AB241" i="3"/>
  <c r="AB240" i="3"/>
  <c r="AB239" i="3"/>
  <c r="AB238" i="3"/>
  <c r="AB237" i="3"/>
  <c r="AB262" i="3"/>
  <c r="AB274" i="3"/>
  <c r="AB325" i="3"/>
  <c r="AB367" i="3"/>
  <c r="AB366" i="3"/>
  <c r="AB416" i="3"/>
  <c r="AB486" i="3"/>
  <c r="AB548" i="3"/>
  <c r="AB1163" i="3"/>
  <c r="K4" i="10"/>
  <c r="K7" i="10"/>
  <c r="K8" i="10"/>
  <c r="K9" i="10"/>
  <c r="K12" i="10"/>
  <c r="K15" i="10"/>
  <c r="K16" i="10"/>
  <c r="K18" i="10"/>
  <c r="K19" i="10"/>
  <c r="K20" i="10"/>
  <c r="K22" i="10"/>
  <c r="K24" i="10"/>
  <c r="K25" i="10"/>
  <c r="C4" i="10"/>
  <c r="C6" i="10"/>
  <c r="C7" i="10"/>
  <c r="C8" i="10"/>
  <c r="C9" i="10"/>
  <c r="C11" i="10"/>
  <c r="C12" i="10"/>
  <c r="C13" i="10"/>
  <c r="C14" i="10"/>
  <c r="C15" i="10"/>
  <c r="C16" i="10"/>
  <c r="C17" i="10"/>
  <c r="C18" i="10"/>
  <c r="C19" i="10"/>
  <c r="C20" i="10"/>
  <c r="C22" i="10"/>
  <c r="C23" i="10"/>
  <c r="C24" i="10"/>
  <c r="C25" i="10"/>
  <c r="L7" i="10"/>
  <c r="L8" i="10"/>
  <c r="L9" i="10"/>
  <c r="L11" i="10"/>
  <c r="L12" i="10"/>
  <c r="L13" i="10"/>
  <c r="L16" i="10"/>
  <c r="L19" i="10"/>
  <c r="L25" i="10"/>
  <c r="L4" i="10"/>
  <c r="D6" i="10"/>
  <c r="D7" i="10"/>
  <c r="D8" i="10"/>
  <c r="D9" i="10"/>
  <c r="D10" i="10"/>
  <c r="D11" i="10"/>
  <c r="D12" i="10"/>
  <c r="D13" i="10"/>
  <c r="D15" i="10"/>
  <c r="D16" i="10"/>
  <c r="D17" i="10"/>
  <c r="D18" i="10"/>
  <c r="D19" i="10"/>
  <c r="D20" i="10"/>
  <c r="D21" i="10"/>
  <c r="D22" i="10"/>
  <c r="D23" i="10"/>
  <c r="D24" i="10"/>
  <c r="D25" i="10"/>
  <c r="D4" i="10"/>
  <c r="U3" i="10"/>
  <c r="V3" i="10" s="1"/>
  <c r="W3" i="10" s="1"/>
  <c r="X3" i="10" s="1"/>
  <c r="M3" i="10"/>
  <c r="N3" i="10" s="1"/>
  <c r="O3" i="10" s="1"/>
  <c r="P3" i="10" s="1"/>
  <c r="E3" i="10"/>
  <c r="F3" i="10" s="1"/>
  <c r="G3" i="10" s="1"/>
  <c r="H3" i="10" s="1"/>
  <c r="J5" i="7"/>
  <c r="J6" i="7"/>
  <c r="J7" i="7"/>
  <c r="J8" i="7"/>
  <c r="J10" i="7"/>
  <c r="J11" i="7"/>
  <c r="J13" i="7"/>
  <c r="J15" i="7"/>
  <c r="J16" i="7"/>
  <c r="J17" i="7"/>
  <c r="J21" i="7"/>
  <c r="J22" i="7"/>
  <c r="J23" i="7"/>
  <c r="J27" i="7"/>
  <c r="J29" i="7"/>
  <c r="J31" i="7"/>
  <c r="J32" i="7"/>
  <c r="J33" i="7"/>
  <c r="J35" i="7"/>
  <c r="J36" i="7"/>
  <c r="J37" i="7"/>
  <c r="J38" i="7"/>
  <c r="J39" i="7"/>
  <c r="J40" i="7"/>
  <c r="J41" i="7"/>
  <c r="J47" i="7"/>
  <c r="J49" i="7"/>
  <c r="J50" i="7"/>
  <c r="J51" i="7"/>
  <c r="J52" i="7"/>
  <c r="J53" i="7"/>
  <c r="J54" i="7"/>
  <c r="J56" i="7"/>
  <c r="J57" i="7"/>
  <c r="J58" i="7"/>
  <c r="J60" i="7"/>
  <c r="J61" i="7"/>
  <c r="J62" i="7"/>
  <c r="J63" i="7"/>
  <c r="J64" i="7"/>
  <c r="J65" i="7"/>
  <c r="J67" i="7"/>
  <c r="J70" i="7"/>
  <c r="J71" i="7"/>
  <c r="J73" i="7"/>
  <c r="J75" i="7"/>
  <c r="J77" i="7"/>
  <c r="J80" i="7"/>
  <c r="J81" i="7"/>
  <c r="J82" i="7"/>
  <c r="J85" i="7"/>
  <c r="J86" i="7"/>
  <c r="J90" i="7"/>
  <c r="J91" i="7"/>
  <c r="J92" i="7"/>
  <c r="J94" i="7"/>
  <c r="J95" i="7"/>
  <c r="J96"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7" i="7"/>
  <c r="C68" i="7"/>
  <c r="C69" i="7"/>
  <c r="C70" i="7"/>
  <c r="C71" i="7"/>
  <c r="C72" i="7"/>
  <c r="C73" i="7"/>
  <c r="C75" i="7"/>
  <c r="C76" i="7"/>
  <c r="C77" i="7"/>
  <c r="C79" i="7"/>
  <c r="C80" i="7"/>
  <c r="C81" i="7"/>
  <c r="C82" i="7"/>
  <c r="C83" i="7"/>
  <c r="C84" i="7"/>
  <c r="C85" i="7"/>
  <c r="C86" i="7"/>
  <c r="C89" i="7"/>
  <c r="C90" i="7"/>
  <c r="C91" i="7"/>
  <c r="C92" i="7"/>
  <c r="C93" i="7"/>
  <c r="C94" i="7"/>
  <c r="C95" i="7"/>
  <c r="C96" i="7"/>
  <c r="C4" i="7"/>
  <c r="R3" i="7"/>
  <c r="S3" i="7" s="1"/>
  <c r="T3" i="7" s="1"/>
  <c r="U3" i="7" s="1"/>
  <c r="K3" i="7"/>
  <c r="K66" i="7" s="1"/>
  <c r="D3" i="7"/>
  <c r="S1773" i="3"/>
  <c r="T1773" i="3"/>
  <c r="U1773" i="3"/>
  <c r="V1773" i="3"/>
  <c r="R1773" i="3"/>
  <c r="W1243" i="3"/>
  <c r="AB1243" i="3" s="1"/>
  <c r="P1773" i="3"/>
  <c r="M1772" i="3"/>
  <c r="M1773" i="3" s="1"/>
  <c r="M1769" i="3"/>
  <c r="N1769" i="3" s="1"/>
  <c r="O1769" i="3" s="1"/>
  <c r="M1768" i="3"/>
  <c r="N1768" i="3" s="1"/>
  <c r="I1772" i="3"/>
  <c r="J1772" i="3" s="1"/>
  <c r="L1773" i="3"/>
  <c r="P1770" i="3"/>
  <c r="L1770" i="3"/>
  <c r="I1769" i="3"/>
  <c r="J1769" i="3" s="1"/>
  <c r="I1768" i="3"/>
  <c r="J1768" i="3" s="1"/>
  <c r="Y1772" i="3"/>
  <c r="X1772" i="3"/>
  <c r="W1772" i="3"/>
  <c r="Z1772" i="3" s="1"/>
  <c r="AA1772" i="3" s="1"/>
  <c r="Y1769" i="3"/>
  <c r="X1769" i="3"/>
  <c r="W1769" i="3"/>
  <c r="Y1768" i="3"/>
  <c r="X1768" i="3"/>
  <c r="W1768" i="3"/>
  <c r="Z1768" i="3" s="1"/>
  <c r="AA1768" i="3" s="1"/>
  <c r="X1765" i="3"/>
  <c r="W1765" i="3"/>
  <c r="S1766" i="3"/>
  <c r="T1766" i="3"/>
  <c r="U1766" i="3"/>
  <c r="V1766" i="3"/>
  <c r="R1766" i="3"/>
  <c r="P1765" i="3"/>
  <c r="L1765" i="3"/>
  <c r="I1765" i="3"/>
  <c r="J1765" i="3" s="1"/>
  <c r="L1747" i="3"/>
  <c r="P1370" i="3"/>
  <c r="I38" i="20" s="1"/>
  <c r="K38" i="20" s="1"/>
  <c r="P1371" i="3"/>
  <c r="P1372" i="3"/>
  <c r="P1373" i="3"/>
  <c r="P1374" i="3"/>
  <c r="O38" i="20" s="1"/>
  <c r="Q38" i="20" s="1"/>
  <c r="P1369" i="3"/>
  <c r="N1372" i="3"/>
  <c r="N1373" i="3"/>
  <c r="N1374" i="3"/>
  <c r="N1369" i="3"/>
  <c r="D33" i="7" l="1"/>
  <c r="D66" i="7"/>
  <c r="R66" i="7" s="1"/>
  <c r="P1766" i="3"/>
  <c r="Y1766" i="3" s="1"/>
  <c r="O80" i="20"/>
  <c r="Q80" i="20" s="1"/>
  <c r="H5" i="10"/>
  <c r="D19" i="7"/>
  <c r="D64" i="7"/>
  <c r="D4" i="7"/>
  <c r="D90" i="7"/>
  <c r="Y1770" i="3"/>
  <c r="I10" i="16"/>
  <c r="I7" i="16"/>
  <c r="I15" i="16"/>
  <c r="I12" i="16"/>
  <c r="I20" i="16"/>
  <c r="I28" i="16"/>
  <c r="I36" i="16"/>
  <c r="I44" i="16"/>
  <c r="I52" i="16"/>
  <c r="I9" i="16"/>
  <c r="I17" i="16"/>
  <c r="I25" i="16"/>
  <c r="I33" i="16"/>
  <c r="I41" i="16"/>
  <c r="I49" i="16"/>
  <c r="I57" i="16"/>
  <c r="J4" i="16"/>
  <c r="I6" i="16"/>
  <c r="I14" i="16"/>
  <c r="I22" i="16"/>
  <c r="I30" i="16"/>
  <c r="I38" i="16"/>
  <c r="I46" i="16"/>
  <c r="I54" i="16"/>
  <c r="I62" i="16"/>
  <c r="I11" i="16"/>
  <c r="I19" i="16"/>
  <c r="I27" i="16"/>
  <c r="I35" i="16"/>
  <c r="I43" i="16"/>
  <c r="I21" i="16"/>
  <c r="I37" i="16"/>
  <c r="I64" i="16"/>
  <c r="I72" i="16"/>
  <c r="I80" i="16"/>
  <c r="I88" i="16"/>
  <c r="I96" i="16"/>
  <c r="I104" i="16"/>
  <c r="I5" i="16"/>
  <c r="I23" i="16"/>
  <c r="I39" i="16"/>
  <c r="I56" i="16"/>
  <c r="I69" i="16"/>
  <c r="I77" i="16"/>
  <c r="I85" i="16"/>
  <c r="I93" i="16"/>
  <c r="I101" i="16"/>
  <c r="I32" i="16"/>
  <c r="I48" i="16"/>
  <c r="I55" i="16"/>
  <c r="I60" i="16"/>
  <c r="I66" i="16"/>
  <c r="I74" i="16"/>
  <c r="I82" i="16"/>
  <c r="I90" i="16"/>
  <c r="I98" i="16"/>
  <c r="I18" i="16"/>
  <c r="I34" i="16"/>
  <c r="I71" i="16"/>
  <c r="I79" i="16"/>
  <c r="I87" i="16"/>
  <c r="I95" i="16"/>
  <c r="I16" i="16"/>
  <c r="I29" i="16"/>
  <c r="I45" i="16"/>
  <c r="I51" i="16"/>
  <c r="I58" i="16"/>
  <c r="I63" i="16"/>
  <c r="I68" i="16"/>
  <c r="I76" i="16"/>
  <c r="I84" i="16"/>
  <c r="I92" i="16"/>
  <c r="I100" i="16"/>
  <c r="I8" i="16"/>
  <c r="I24" i="16"/>
  <c r="I40" i="16"/>
  <c r="I70" i="16"/>
  <c r="I78" i="16"/>
  <c r="I86" i="16"/>
  <c r="I94" i="16"/>
  <c r="I61" i="16"/>
  <c r="I65" i="16"/>
  <c r="I75" i="16"/>
  <c r="I97" i="16"/>
  <c r="I103" i="16"/>
  <c r="I107" i="16"/>
  <c r="I50" i="16"/>
  <c r="I89" i="16"/>
  <c r="I53" i="16"/>
  <c r="I73" i="16"/>
  <c r="I83" i="16"/>
  <c r="I99" i="16"/>
  <c r="I31" i="16"/>
  <c r="I106" i="16"/>
  <c r="I105" i="16"/>
  <c r="I26" i="16"/>
  <c r="I47" i="16"/>
  <c r="I59" i="16"/>
  <c r="I81" i="16"/>
  <c r="I91" i="16"/>
  <c r="I67" i="16"/>
  <c r="I13" i="16"/>
  <c r="I42" i="16"/>
  <c r="I102" i="16"/>
  <c r="H3" i="16"/>
  <c r="X1770" i="3"/>
  <c r="Q92" i="7"/>
  <c r="Q77" i="7"/>
  <c r="Q64" i="7"/>
  <c r="Q54" i="7"/>
  <c r="Q40" i="7"/>
  <c r="Q31" i="7"/>
  <c r="Q15" i="7"/>
  <c r="Q90" i="7"/>
  <c r="Q27" i="7"/>
  <c r="Q11" i="7"/>
  <c r="Q86" i="7"/>
  <c r="Q61" i="7"/>
  <c r="Q51" i="7"/>
  <c r="Q37" i="7"/>
  <c r="Q35" i="7"/>
  <c r="Q21" i="7"/>
  <c r="Q91" i="7"/>
  <c r="Q75" i="7"/>
  <c r="Q63" i="7"/>
  <c r="Q53" i="7"/>
  <c r="Q39" i="7"/>
  <c r="Q29" i="7"/>
  <c r="Q13" i="7"/>
  <c r="Q62" i="7"/>
  <c r="Q52" i="7"/>
  <c r="Q38" i="7"/>
  <c r="Q23" i="7"/>
  <c r="Q10" i="7"/>
  <c r="Q73" i="7"/>
  <c r="Q85" i="7"/>
  <c r="Q71" i="7"/>
  <c r="Q60" i="7"/>
  <c r="Q50" i="7"/>
  <c r="Q36" i="7"/>
  <c r="Q22" i="7"/>
  <c r="Q8" i="7"/>
  <c r="Q96" i="7"/>
  <c r="Q82" i="7"/>
  <c r="Q70" i="7"/>
  <c r="Q58" i="7"/>
  <c r="Q49" i="7"/>
  <c r="Q7" i="7"/>
  <c r="Q95" i="7"/>
  <c r="Q81" i="7"/>
  <c r="Q67" i="7"/>
  <c r="Q57" i="7"/>
  <c r="Q47" i="7"/>
  <c r="Q33" i="7"/>
  <c r="Q17" i="7"/>
  <c r="Q6" i="7"/>
  <c r="Q94" i="7"/>
  <c r="Q80" i="7"/>
  <c r="Q65" i="7"/>
  <c r="Q56" i="7"/>
  <c r="Q41" i="7"/>
  <c r="Q32" i="7"/>
  <c r="Q16" i="7"/>
  <c r="Q5" i="7"/>
  <c r="S19" i="10"/>
  <c r="S16" i="10"/>
  <c r="S15" i="10"/>
  <c r="S25" i="10"/>
  <c r="S24" i="10"/>
  <c r="S12" i="10"/>
  <c r="T4" i="10"/>
  <c r="S9" i="10"/>
  <c r="S20" i="10"/>
  <c r="S7" i="10"/>
  <c r="S8" i="10"/>
  <c r="S22" i="10"/>
  <c r="S4" i="10"/>
  <c r="S18" i="10"/>
  <c r="T25" i="10"/>
  <c r="T9" i="10"/>
  <c r="E20" i="10"/>
  <c r="E9" i="10"/>
  <c r="T8" i="10"/>
  <c r="G22" i="10"/>
  <c r="T7" i="10"/>
  <c r="H22" i="10"/>
  <c r="E25" i="10"/>
  <c r="H20" i="10"/>
  <c r="H6" i="10"/>
  <c r="F24" i="10"/>
  <c r="E22" i="10"/>
  <c r="F19" i="10"/>
  <c r="G16" i="10"/>
  <c r="H13" i="10"/>
  <c r="E11" i="10"/>
  <c r="H8" i="10"/>
  <c r="E19" i="10"/>
  <c r="F16" i="10"/>
  <c r="G13" i="10"/>
  <c r="G8" i="10"/>
  <c r="E5" i="10"/>
  <c r="H16" i="10"/>
  <c r="H11" i="10"/>
  <c r="E16" i="10"/>
  <c r="H24" i="10"/>
  <c r="F22" i="10"/>
  <c r="E6" i="10"/>
  <c r="G4" i="10"/>
  <c r="E24" i="10"/>
  <c r="F4" i="10"/>
  <c r="H10" i="10"/>
  <c r="E4" i="10"/>
  <c r="E23" i="10"/>
  <c r="E21" i="10"/>
  <c r="H18" i="10"/>
  <c r="H12" i="10"/>
  <c r="E10" i="10"/>
  <c r="F7" i="10"/>
  <c r="F25" i="10"/>
  <c r="E18" i="10"/>
  <c r="G12" i="10"/>
  <c r="E7" i="10"/>
  <c r="E15" i="10"/>
  <c r="E12" i="10"/>
  <c r="H9" i="10"/>
  <c r="T19" i="10"/>
  <c r="P4" i="10"/>
  <c r="M19" i="10"/>
  <c r="N13" i="10"/>
  <c r="N11" i="10"/>
  <c r="N7" i="10"/>
  <c r="P24" i="10"/>
  <c r="N19" i="10"/>
  <c r="M16" i="10"/>
  <c r="O13" i="10"/>
  <c r="O11" i="10"/>
  <c r="M9" i="10"/>
  <c r="O7" i="10"/>
  <c r="E8" i="10"/>
  <c r="G6" i="10"/>
  <c r="N4" i="10"/>
  <c r="P22" i="10"/>
  <c r="M13" i="10"/>
  <c r="M11" i="10"/>
  <c r="P8" i="10"/>
  <c r="M7" i="10"/>
  <c r="M4" i="10"/>
  <c r="P21" i="10"/>
  <c r="P18" i="10"/>
  <c r="O8" i="10"/>
  <c r="H19" i="10"/>
  <c r="H17" i="10"/>
  <c r="H15" i="10"/>
  <c r="F13" i="10"/>
  <c r="G11" i="10"/>
  <c r="G9" i="10"/>
  <c r="H7" i="10"/>
  <c r="P25" i="10"/>
  <c r="P20" i="10"/>
  <c r="P12" i="10"/>
  <c r="N8" i="10"/>
  <c r="P6" i="10"/>
  <c r="H25" i="10"/>
  <c r="H23" i="10"/>
  <c r="H21" i="10"/>
  <c r="G19" i="10"/>
  <c r="E17" i="10"/>
  <c r="E13" i="10"/>
  <c r="F11" i="10"/>
  <c r="F9" i="10"/>
  <c r="G7" i="10"/>
  <c r="N25" i="10"/>
  <c r="P16" i="10"/>
  <c r="P9" i="10"/>
  <c r="M8" i="10"/>
  <c r="O6" i="10"/>
  <c r="M25" i="10"/>
  <c r="P19" i="10"/>
  <c r="O16" i="10"/>
  <c r="P14" i="10"/>
  <c r="O9" i="10"/>
  <c r="M6" i="10"/>
  <c r="O19" i="10"/>
  <c r="N16" i="10"/>
  <c r="P13" i="10"/>
  <c r="P11" i="10"/>
  <c r="N9" i="10"/>
  <c r="P7" i="10"/>
  <c r="T16" i="10"/>
  <c r="T13" i="10"/>
  <c r="T11" i="10"/>
  <c r="T12" i="10"/>
  <c r="Y1773" i="3"/>
  <c r="D81" i="7"/>
  <c r="D73" i="7"/>
  <c r="D56" i="7"/>
  <c r="D48" i="7"/>
  <c r="D41" i="7"/>
  <c r="E3" i="7"/>
  <c r="E66" i="7" s="1"/>
  <c r="D11" i="7"/>
  <c r="D10" i="7"/>
  <c r="D18" i="7"/>
  <c r="D7" i="7"/>
  <c r="D30" i="7"/>
  <c r="D38" i="7"/>
  <c r="D45" i="7"/>
  <c r="D53" i="7"/>
  <c r="D61" i="7"/>
  <c r="D70" i="7"/>
  <c r="D78" i="7"/>
  <c r="D86" i="7"/>
  <c r="D95" i="7"/>
  <c r="D6" i="7"/>
  <c r="D8" i="7"/>
  <c r="D20" i="7"/>
  <c r="D27" i="7"/>
  <c r="D35" i="7"/>
  <c r="D50" i="7"/>
  <c r="D58" i="7"/>
  <c r="D75" i="7"/>
  <c r="D83" i="7"/>
  <c r="D92" i="7"/>
  <c r="D13" i="7"/>
  <c r="D15" i="7"/>
  <c r="D17" i="7"/>
  <c r="D22" i="7"/>
  <c r="D29" i="7"/>
  <c r="D37" i="7"/>
  <c r="D44" i="7"/>
  <c r="D52" i="7"/>
  <c r="D60" i="7"/>
  <c r="D69" i="7"/>
  <c r="D77" i="7"/>
  <c r="D85" i="7"/>
  <c r="D94" i="7"/>
  <c r="D9" i="7"/>
  <c r="D26" i="7"/>
  <c r="D34" i="7"/>
  <c r="D42" i="7"/>
  <c r="D49" i="7"/>
  <c r="D57" i="7"/>
  <c r="D65" i="7"/>
  <c r="D82" i="7"/>
  <c r="D91" i="7"/>
  <c r="D23" i="7"/>
  <c r="D31" i="7"/>
  <c r="D39" i="7"/>
  <c r="D46" i="7"/>
  <c r="D54" i="7"/>
  <c r="D62" i="7"/>
  <c r="D71" i="7"/>
  <c r="D79" i="7"/>
  <c r="D96" i="7"/>
  <c r="D5" i="7"/>
  <c r="D12" i="7"/>
  <c r="D14" i="7"/>
  <c r="D21" i="7"/>
  <c r="D28" i="7"/>
  <c r="D36" i="7"/>
  <c r="D43" i="7"/>
  <c r="D51" i="7"/>
  <c r="D59" i="7"/>
  <c r="D76" i="7"/>
  <c r="D84" i="7"/>
  <c r="D93" i="7"/>
  <c r="D89" i="7"/>
  <c r="D80" i="7"/>
  <c r="D72" i="7"/>
  <c r="D63" i="7"/>
  <c r="D55" i="7"/>
  <c r="D47" i="7"/>
  <c r="D40" i="7"/>
  <c r="D32" i="7"/>
  <c r="D16" i="7"/>
  <c r="L3" i="7"/>
  <c r="L66" i="7" s="1"/>
  <c r="K16" i="7"/>
  <c r="K23" i="7"/>
  <c r="K39" i="7"/>
  <c r="K54" i="7"/>
  <c r="K62" i="7"/>
  <c r="K96" i="7"/>
  <c r="K5" i="7"/>
  <c r="K13" i="7"/>
  <c r="K21" i="7"/>
  <c r="K43" i="7"/>
  <c r="K51" i="7"/>
  <c r="K93" i="7"/>
  <c r="K10" i="7"/>
  <c r="K33" i="7"/>
  <c r="K41" i="7"/>
  <c r="K56" i="7"/>
  <c r="K64" i="7"/>
  <c r="K81" i="7"/>
  <c r="K90" i="7"/>
  <c r="K15" i="7"/>
  <c r="K20" i="7"/>
  <c r="K27" i="7"/>
  <c r="K35" i="7"/>
  <c r="K50" i="7"/>
  <c r="K58" i="7"/>
  <c r="K75" i="7"/>
  <c r="K9" i="7"/>
  <c r="K32" i="7"/>
  <c r="K47" i="7"/>
  <c r="K63" i="7"/>
  <c r="K80" i="7"/>
  <c r="K6" i="7"/>
  <c r="K22" i="7"/>
  <c r="K37" i="7"/>
  <c r="K44" i="7"/>
  <c r="K52" i="7"/>
  <c r="K60" i="7"/>
  <c r="K77" i="7"/>
  <c r="K85" i="7"/>
  <c r="K94" i="7"/>
  <c r="K11" i="7"/>
  <c r="K34" i="7"/>
  <c r="K38" i="7"/>
  <c r="K45" i="7"/>
  <c r="K53" i="7"/>
  <c r="K57" i="7"/>
  <c r="K61" i="7"/>
  <c r="K70" i="7"/>
  <c r="K86" i="7"/>
  <c r="M1770" i="3"/>
  <c r="X1773" i="3"/>
  <c r="X1766" i="3"/>
  <c r="N1772" i="3"/>
  <c r="N1770" i="3"/>
  <c r="O1770" i="3" s="1"/>
  <c r="AB1769" i="3"/>
  <c r="O1768" i="3"/>
  <c r="AC1768" i="3" s="1"/>
  <c r="AB1772" i="3"/>
  <c r="W1773" i="3"/>
  <c r="AB1768" i="3"/>
  <c r="W1770" i="3"/>
  <c r="Z1769" i="3"/>
  <c r="AA1769" i="3" s="1"/>
  <c r="AC1769" i="3" s="1"/>
  <c r="L1766" i="3"/>
  <c r="M1765" i="3"/>
  <c r="M1766" i="3" s="1"/>
  <c r="Y1765" i="3"/>
  <c r="W1766" i="3"/>
  <c r="Z1765" i="3"/>
  <c r="AA1765" i="3" s="1"/>
  <c r="O1374" i="3"/>
  <c r="O1372" i="3"/>
  <c r="O1373" i="3"/>
  <c r="O1369" i="3"/>
  <c r="W1370" i="3"/>
  <c r="P15" i="10" s="1"/>
  <c r="W1371" i="3"/>
  <c r="P17" i="10" s="1"/>
  <c r="W1372" i="3"/>
  <c r="W1373" i="3"/>
  <c r="Z1373" i="3" s="1"/>
  <c r="AA1373" i="3" s="1"/>
  <c r="W1374" i="3"/>
  <c r="P10" i="10" s="1"/>
  <c r="P23" i="10"/>
  <c r="W1753" i="3"/>
  <c r="AB1753" i="3" s="1"/>
  <c r="W1762" i="3"/>
  <c r="Z1762" i="3" s="1"/>
  <c r="X1762" i="3"/>
  <c r="Y1762" i="3"/>
  <c r="X1761" i="3"/>
  <c r="W1761" i="3"/>
  <c r="AB1761" i="3" s="1"/>
  <c r="Y1760" i="3"/>
  <c r="X1760" i="3"/>
  <c r="W1760" i="3"/>
  <c r="AB1760" i="3" s="1"/>
  <c r="Y1759" i="3"/>
  <c r="X1759" i="3"/>
  <c r="W1759" i="3"/>
  <c r="Z1759" i="3" s="1"/>
  <c r="AA1759" i="3" s="1"/>
  <c r="Y1758" i="3"/>
  <c r="X1758" i="3"/>
  <c r="W1758" i="3"/>
  <c r="Z1758" i="3" s="1"/>
  <c r="AA1758" i="3" s="1"/>
  <c r="Y1756" i="3"/>
  <c r="X1756" i="3"/>
  <c r="W1756" i="3"/>
  <c r="Z1756" i="3" s="1"/>
  <c r="AA1756" i="3" s="1"/>
  <c r="Y1755" i="3"/>
  <c r="X1755" i="3"/>
  <c r="W1755" i="3"/>
  <c r="Z1755" i="3" s="1"/>
  <c r="AA1755" i="3" s="1"/>
  <c r="Y1754" i="3"/>
  <c r="X1754" i="3"/>
  <c r="W1754" i="3"/>
  <c r="AB1754" i="3" s="1"/>
  <c r="Y1753" i="3"/>
  <c r="X1753" i="3"/>
  <c r="S1757" i="3"/>
  <c r="T1757" i="3"/>
  <c r="T1763" i="3" s="1"/>
  <c r="U1757" i="3"/>
  <c r="V1757" i="3"/>
  <c r="V1763" i="3" s="1"/>
  <c r="R1757" i="3"/>
  <c r="R1763" i="3" s="1"/>
  <c r="P1761" i="3"/>
  <c r="Y1761" i="3" s="1"/>
  <c r="P1757" i="3"/>
  <c r="L1761" i="3"/>
  <c r="N1761" i="3" s="1"/>
  <c r="O1761" i="3" s="1"/>
  <c r="N1759" i="3"/>
  <c r="O1759" i="3" s="1"/>
  <c r="N1760" i="3"/>
  <c r="O1760" i="3" s="1"/>
  <c r="N1762" i="3"/>
  <c r="O1762" i="3" s="1"/>
  <c r="N1758" i="3"/>
  <c r="O1758" i="3" s="1"/>
  <c r="N1754" i="3"/>
  <c r="O1754" i="3" s="1"/>
  <c r="N1755" i="3"/>
  <c r="O1755" i="3" s="1"/>
  <c r="N1756" i="3"/>
  <c r="O1756" i="3" s="1"/>
  <c r="N1753" i="3"/>
  <c r="M1757" i="3"/>
  <c r="M1763" i="3" s="1"/>
  <c r="L1757" i="3"/>
  <c r="R33" i="7" l="1"/>
  <c r="S66" i="7"/>
  <c r="R90" i="7"/>
  <c r="R64" i="7"/>
  <c r="H2" i="10"/>
  <c r="P5" i="10"/>
  <c r="X5" i="10" s="1"/>
  <c r="R86" i="7"/>
  <c r="R22" i="7"/>
  <c r="U16" i="10"/>
  <c r="R58" i="7"/>
  <c r="R85" i="7"/>
  <c r="R45" i="7"/>
  <c r="R44" i="7"/>
  <c r="I3" i="16"/>
  <c r="J5" i="16"/>
  <c r="J13" i="16"/>
  <c r="J10" i="16"/>
  <c r="J7" i="16"/>
  <c r="J15" i="16"/>
  <c r="J23" i="16"/>
  <c r="J31" i="16"/>
  <c r="J39" i="16"/>
  <c r="J47" i="16"/>
  <c r="J55" i="16"/>
  <c r="J12" i="16"/>
  <c r="J20" i="16"/>
  <c r="J28" i="16"/>
  <c r="J36" i="16"/>
  <c r="J44" i="16"/>
  <c r="J52" i="16"/>
  <c r="J9" i="16"/>
  <c r="J17" i="16"/>
  <c r="J25" i="16"/>
  <c r="J33" i="16"/>
  <c r="J41" i="16"/>
  <c r="J49" i="16"/>
  <c r="J57" i="16"/>
  <c r="K4" i="16"/>
  <c r="J6" i="16"/>
  <c r="J14" i="16"/>
  <c r="J22" i="16"/>
  <c r="J30" i="16"/>
  <c r="J38" i="16"/>
  <c r="J46" i="16"/>
  <c r="J26" i="16"/>
  <c r="J42" i="16"/>
  <c r="J53" i="16"/>
  <c r="J67" i="16"/>
  <c r="J75" i="16"/>
  <c r="J83" i="16"/>
  <c r="J91" i="16"/>
  <c r="J99" i="16"/>
  <c r="J19" i="16"/>
  <c r="J21" i="16"/>
  <c r="J35" i="16"/>
  <c r="J37" i="16"/>
  <c r="J62" i="16"/>
  <c r="J64" i="16"/>
  <c r="J72" i="16"/>
  <c r="J80" i="16"/>
  <c r="J88" i="16"/>
  <c r="J96" i="16"/>
  <c r="J104" i="16"/>
  <c r="J56" i="16"/>
  <c r="J69" i="16"/>
  <c r="J77" i="16"/>
  <c r="J85" i="16"/>
  <c r="J93" i="16"/>
  <c r="J101" i="16"/>
  <c r="J32" i="16"/>
  <c r="J48" i="16"/>
  <c r="J60" i="16"/>
  <c r="J66" i="16"/>
  <c r="J74" i="16"/>
  <c r="J82" i="16"/>
  <c r="J90" i="16"/>
  <c r="J98" i="16"/>
  <c r="J11" i="16"/>
  <c r="J18" i="16"/>
  <c r="J34" i="16"/>
  <c r="J71" i="16"/>
  <c r="J79" i="16"/>
  <c r="J87" i="16"/>
  <c r="J95" i="16"/>
  <c r="J50" i="16"/>
  <c r="J59" i="16"/>
  <c r="J61" i="16"/>
  <c r="J65" i="16"/>
  <c r="J73" i="16"/>
  <c r="J81" i="16"/>
  <c r="J89" i="16"/>
  <c r="J97" i="16"/>
  <c r="J70" i="16"/>
  <c r="J102" i="16"/>
  <c r="J105" i="16"/>
  <c r="J58" i="16"/>
  <c r="J27" i="16"/>
  <c r="J92" i="16"/>
  <c r="J103" i="16"/>
  <c r="J107" i="16"/>
  <c r="J29" i="16"/>
  <c r="J43" i="16"/>
  <c r="J78" i="16"/>
  <c r="J16" i="16"/>
  <c r="J94" i="16"/>
  <c r="J84" i="16"/>
  <c r="J24" i="16"/>
  <c r="J45" i="16"/>
  <c r="J63" i="16"/>
  <c r="J68" i="16"/>
  <c r="J100" i="16"/>
  <c r="J106" i="16"/>
  <c r="J51" i="16"/>
  <c r="J54" i="16"/>
  <c r="J40" i="16"/>
  <c r="J86" i="16"/>
  <c r="J8" i="16"/>
  <c r="J76" i="16"/>
  <c r="R38" i="7"/>
  <c r="R6" i="7"/>
  <c r="R15" i="7"/>
  <c r="R62" i="7"/>
  <c r="R56" i="7"/>
  <c r="R39" i="7"/>
  <c r="R94" i="7"/>
  <c r="R23" i="7"/>
  <c r="R41" i="7"/>
  <c r="R93" i="7"/>
  <c r="R32" i="7"/>
  <c r="R75" i="7"/>
  <c r="R80" i="7"/>
  <c r="R11" i="7"/>
  <c r="R9" i="7"/>
  <c r="X4" i="10"/>
  <c r="R37" i="7"/>
  <c r="R61" i="7"/>
  <c r="R5" i="7"/>
  <c r="R60" i="7"/>
  <c r="R27" i="7"/>
  <c r="R81" i="7"/>
  <c r="R43" i="7"/>
  <c r="R50" i="7"/>
  <c r="R57" i="7"/>
  <c r="R77" i="7"/>
  <c r="R54" i="7"/>
  <c r="R52" i="7"/>
  <c r="R53" i="7"/>
  <c r="R34" i="7"/>
  <c r="R51" i="7"/>
  <c r="R63" i="7"/>
  <c r="R96" i="7"/>
  <c r="R20" i="7"/>
  <c r="R47" i="7"/>
  <c r="X21" i="10"/>
  <c r="U19" i="10"/>
  <c r="R10" i="7"/>
  <c r="V25" i="10"/>
  <c r="V16" i="10"/>
  <c r="U4" i="10"/>
  <c r="R70" i="7"/>
  <c r="R21" i="7"/>
  <c r="R16" i="7"/>
  <c r="X10" i="10"/>
  <c r="R13" i="7"/>
  <c r="R35" i="7"/>
  <c r="U9" i="10"/>
  <c r="V19" i="10"/>
  <c r="X25" i="10"/>
  <c r="V7" i="10"/>
  <c r="U25" i="10"/>
  <c r="V13" i="10"/>
  <c r="X20" i="10"/>
  <c r="V4" i="10"/>
  <c r="W13" i="10"/>
  <c r="X18" i="10"/>
  <c r="W11" i="10"/>
  <c r="U13" i="10"/>
  <c r="X22" i="10"/>
  <c r="W16" i="10"/>
  <c r="X24" i="10"/>
  <c r="U6" i="10"/>
  <c r="U7" i="10"/>
  <c r="X23" i="10"/>
  <c r="W8" i="10"/>
  <c r="U11" i="10"/>
  <c r="X12" i="10"/>
  <c r="X16" i="10"/>
  <c r="X6" i="10"/>
  <c r="X9" i="10"/>
  <c r="X14" i="10"/>
  <c r="X8" i="10"/>
  <c r="X11" i="10"/>
  <c r="X13" i="10"/>
  <c r="V9" i="10"/>
  <c r="V11" i="10"/>
  <c r="X17" i="10"/>
  <c r="W7" i="10"/>
  <c r="X19" i="10"/>
  <c r="X7" i="10"/>
  <c r="W6" i="10"/>
  <c r="W9" i="10"/>
  <c r="U8" i="10"/>
  <c r="W19" i="10"/>
  <c r="X15" i="10"/>
  <c r="AB1369" i="3"/>
  <c r="Z1374" i="3"/>
  <c r="AA1374" i="3" s="1"/>
  <c r="AC1374" i="3" s="1"/>
  <c r="Z1372" i="3"/>
  <c r="AA1372" i="3" s="1"/>
  <c r="AC1372" i="3" s="1"/>
  <c r="L1763" i="3"/>
  <c r="F3" i="7"/>
  <c r="F66" i="7" s="1"/>
  <c r="E6" i="7"/>
  <c r="E14" i="7"/>
  <c r="E5" i="7"/>
  <c r="E13" i="7"/>
  <c r="E10" i="7"/>
  <c r="E16" i="7"/>
  <c r="E18" i="7"/>
  <c r="E33" i="7"/>
  <c r="E41" i="7"/>
  <c r="E48" i="7"/>
  <c r="E56" i="7"/>
  <c r="E64" i="7"/>
  <c r="E73" i="7"/>
  <c r="E81" i="7"/>
  <c r="E90" i="7"/>
  <c r="E30" i="7"/>
  <c r="E38" i="7"/>
  <c r="E45" i="7"/>
  <c r="E53" i="7"/>
  <c r="E70" i="7"/>
  <c r="E86" i="7"/>
  <c r="E95" i="7"/>
  <c r="E8" i="7"/>
  <c r="E11" i="7"/>
  <c r="E15" i="7"/>
  <c r="E32" i="7"/>
  <c r="E40" i="7"/>
  <c r="E47" i="7"/>
  <c r="E55" i="7"/>
  <c r="E63" i="7"/>
  <c r="E72" i="7"/>
  <c r="E80" i="7"/>
  <c r="E89" i="7"/>
  <c r="E17" i="7"/>
  <c r="E22" i="7"/>
  <c r="E29" i="7"/>
  <c r="E37" i="7"/>
  <c r="E52" i="7"/>
  <c r="E60" i="7"/>
  <c r="E69" i="7"/>
  <c r="E85" i="7"/>
  <c r="E94" i="7"/>
  <c r="E7" i="7"/>
  <c r="E9" i="7"/>
  <c r="E19" i="7"/>
  <c r="E34" i="7"/>
  <c r="E42" i="7"/>
  <c r="E49" i="7"/>
  <c r="E57" i="7"/>
  <c r="E65" i="7"/>
  <c r="E74" i="7"/>
  <c r="E82" i="7"/>
  <c r="E91" i="7"/>
  <c r="E23" i="7"/>
  <c r="E31" i="7"/>
  <c r="E39" i="7"/>
  <c r="E46" i="7"/>
  <c r="E54" i="7"/>
  <c r="E62" i="7"/>
  <c r="E71" i="7"/>
  <c r="E79" i="7"/>
  <c r="E96" i="7"/>
  <c r="E4" i="7"/>
  <c r="E20" i="7"/>
  <c r="E27" i="7"/>
  <c r="E35" i="7"/>
  <c r="E50" i="7"/>
  <c r="E58" i="7"/>
  <c r="E67" i="7"/>
  <c r="E75" i="7"/>
  <c r="E83" i="7"/>
  <c r="E92" i="7"/>
  <c r="E21" i="7"/>
  <c r="E36" i="7"/>
  <c r="E51" i="7"/>
  <c r="E59" i="7"/>
  <c r="E68" i="7"/>
  <c r="E76" i="7"/>
  <c r="E84" i="7"/>
  <c r="E93" i="7"/>
  <c r="E12" i="7"/>
  <c r="M3" i="7"/>
  <c r="M66" i="7" s="1"/>
  <c r="L11" i="7"/>
  <c r="L34" i="7"/>
  <c r="L42" i="7"/>
  <c r="L49" i="7"/>
  <c r="L57" i="7"/>
  <c r="L23" i="7"/>
  <c r="L54" i="7"/>
  <c r="L71" i="7"/>
  <c r="L5" i="7"/>
  <c r="L13" i="7"/>
  <c r="L21" i="7"/>
  <c r="L51" i="7"/>
  <c r="L68" i="7"/>
  <c r="L93" i="7"/>
  <c r="L10" i="7"/>
  <c r="L38" i="7"/>
  <c r="L45" i="7"/>
  <c r="L53" i="7"/>
  <c r="L70" i="7"/>
  <c r="L86" i="7"/>
  <c r="L95" i="7"/>
  <c r="L20" i="7"/>
  <c r="L27" i="7"/>
  <c r="L35" i="7"/>
  <c r="L50" i="7"/>
  <c r="L75" i="7"/>
  <c r="L92" i="7"/>
  <c r="L32" i="7"/>
  <c r="L47" i="7"/>
  <c r="L63" i="7"/>
  <c r="L80" i="7"/>
  <c r="L22" i="7"/>
  <c r="L33" i="7"/>
  <c r="L64" i="7"/>
  <c r="L52" i="7"/>
  <c r="L85" i="7"/>
  <c r="L41" i="7"/>
  <c r="L60" i="7"/>
  <c r="L94" i="7"/>
  <c r="L81" i="7"/>
  <c r="L37" i="7"/>
  <c r="L56" i="7"/>
  <c r="L90" i="7"/>
  <c r="N1765" i="3"/>
  <c r="N1766" i="3" s="1"/>
  <c r="O1766" i="3" s="1"/>
  <c r="AB1765" i="3"/>
  <c r="N1773" i="3"/>
  <c r="O1773" i="3" s="1"/>
  <c r="O1772" i="3"/>
  <c r="AC1772" i="3" s="1"/>
  <c r="Z1773" i="3"/>
  <c r="AA1773" i="3" s="1"/>
  <c r="AB1773" i="3"/>
  <c r="AB1770" i="3"/>
  <c r="Z1770" i="3"/>
  <c r="AA1770" i="3" s="1"/>
  <c r="AC1770" i="3" s="1"/>
  <c r="AB1766" i="3"/>
  <c r="Z1766" i="3"/>
  <c r="Z1369" i="3"/>
  <c r="AA1369" i="3" s="1"/>
  <c r="AC1369" i="3" s="1"/>
  <c r="AB1374" i="3"/>
  <c r="AB1373" i="3"/>
  <c r="AB1372" i="3"/>
  <c r="AC1373" i="3"/>
  <c r="X1757" i="3"/>
  <c r="Y1757" i="3"/>
  <c r="AB1755" i="3"/>
  <c r="AC1756" i="3"/>
  <c r="AC1759" i="3"/>
  <c r="Z1754" i="3"/>
  <c r="AA1754" i="3" s="1"/>
  <c r="AC1754" i="3" s="1"/>
  <c r="AC1758" i="3"/>
  <c r="AC1755" i="3"/>
  <c r="P1763" i="3"/>
  <c r="AB1762" i="3"/>
  <c r="AA1762" i="3"/>
  <c r="AC1762" i="3" s="1"/>
  <c r="AB1759" i="3"/>
  <c r="AB1758" i="3"/>
  <c r="AB1756" i="3"/>
  <c r="U1763" i="3"/>
  <c r="Z1753" i="3"/>
  <c r="AA1753" i="3" s="1"/>
  <c r="S1763" i="3"/>
  <c r="W1757" i="3"/>
  <c r="Z1757" i="3" s="1"/>
  <c r="AA1757" i="3" s="1"/>
  <c r="Z1761" i="3"/>
  <c r="AA1761" i="3" s="1"/>
  <c r="AC1761" i="3" s="1"/>
  <c r="Z1760" i="3"/>
  <c r="AA1760" i="3" s="1"/>
  <c r="AC1760" i="3" s="1"/>
  <c r="N1757" i="3"/>
  <c r="O1753" i="3"/>
  <c r="T66" i="7" l="1"/>
  <c r="P2" i="10"/>
  <c r="X2" i="10" s="1"/>
  <c r="S52" i="7"/>
  <c r="S94" i="7"/>
  <c r="S27" i="7"/>
  <c r="S54" i="7"/>
  <c r="J3" i="16"/>
  <c r="K8" i="16"/>
  <c r="K5" i="16"/>
  <c r="K13" i="16"/>
  <c r="K10" i="16"/>
  <c r="K18" i="16"/>
  <c r="K26" i="16"/>
  <c r="K34" i="16"/>
  <c r="K42" i="16"/>
  <c r="K50" i="16"/>
  <c r="K7" i="16"/>
  <c r="K15" i="16"/>
  <c r="K23" i="16"/>
  <c r="K31" i="16"/>
  <c r="K39" i="16"/>
  <c r="K47" i="16"/>
  <c r="K55" i="16"/>
  <c r="K12" i="16"/>
  <c r="K20" i="16"/>
  <c r="K28" i="16"/>
  <c r="K36" i="16"/>
  <c r="K44" i="16"/>
  <c r="K52" i="16"/>
  <c r="K60" i="16"/>
  <c r="K9" i="16"/>
  <c r="K17" i="16"/>
  <c r="K25" i="16"/>
  <c r="K33" i="16"/>
  <c r="K41" i="16"/>
  <c r="K22" i="16"/>
  <c r="K24" i="16"/>
  <c r="K38" i="16"/>
  <c r="K40" i="16"/>
  <c r="K54" i="16"/>
  <c r="K70" i="16"/>
  <c r="K78" i="16"/>
  <c r="K86" i="16"/>
  <c r="K94" i="16"/>
  <c r="K102" i="16"/>
  <c r="K53" i="16"/>
  <c r="K67" i="16"/>
  <c r="K75" i="16"/>
  <c r="K83" i="16"/>
  <c r="K91" i="16"/>
  <c r="K99" i="16"/>
  <c r="K19" i="16"/>
  <c r="K21" i="16"/>
  <c r="K35" i="16"/>
  <c r="K37" i="16"/>
  <c r="K62" i="16"/>
  <c r="K64" i="16"/>
  <c r="K72" i="16"/>
  <c r="K80" i="16"/>
  <c r="K88" i="16"/>
  <c r="K96" i="16"/>
  <c r="K14" i="16"/>
  <c r="K56" i="16"/>
  <c r="K57" i="16"/>
  <c r="K69" i="16"/>
  <c r="K77" i="16"/>
  <c r="K85" i="16"/>
  <c r="K93" i="16"/>
  <c r="K30" i="16"/>
  <c r="K32" i="16"/>
  <c r="K46" i="16"/>
  <c r="K48" i="16"/>
  <c r="K49" i="16"/>
  <c r="K66" i="16"/>
  <c r="K74" i="16"/>
  <c r="K82" i="16"/>
  <c r="K90" i="16"/>
  <c r="K98" i="16"/>
  <c r="K16" i="16"/>
  <c r="K27" i="16"/>
  <c r="K29" i="16"/>
  <c r="K43" i="16"/>
  <c r="K45" i="16"/>
  <c r="K51" i="16"/>
  <c r="K58" i="16"/>
  <c r="K63" i="16"/>
  <c r="K68" i="16"/>
  <c r="K76" i="16"/>
  <c r="K84" i="16"/>
  <c r="K92" i="16"/>
  <c r="K6" i="16"/>
  <c r="K89" i="16"/>
  <c r="K61" i="16"/>
  <c r="K65" i="16"/>
  <c r="K87" i="16"/>
  <c r="K97" i="16"/>
  <c r="K105" i="16"/>
  <c r="K103" i="16"/>
  <c r="K107" i="16"/>
  <c r="K104" i="16"/>
  <c r="K79" i="16"/>
  <c r="L4" i="16"/>
  <c r="K73" i="16"/>
  <c r="K95" i="16"/>
  <c r="K100" i="16"/>
  <c r="K106" i="16"/>
  <c r="K11" i="16"/>
  <c r="K101" i="16"/>
  <c r="K59" i="16"/>
  <c r="K71" i="16"/>
  <c r="K81" i="16"/>
  <c r="S80" i="7"/>
  <c r="S49" i="7"/>
  <c r="S33" i="7"/>
  <c r="S11" i="7"/>
  <c r="S64" i="7"/>
  <c r="S13" i="7"/>
  <c r="S20" i="7"/>
  <c r="S22" i="7"/>
  <c r="S35" i="7"/>
  <c r="S56" i="7"/>
  <c r="S53" i="7"/>
  <c r="S5" i="7"/>
  <c r="S93" i="7"/>
  <c r="S70" i="7"/>
  <c r="S47" i="7"/>
  <c r="S50" i="7"/>
  <c r="S34" i="7"/>
  <c r="S90" i="7"/>
  <c r="S81" i="7"/>
  <c r="S60" i="7"/>
  <c r="S63" i="7"/>
  <c r="S23" i="7"/>
  <c r="S95" i="7"/>
  <c r="S68" i="7"/>
  <c r="S71" i="7"/>
  <c r="S51" i="7"/>
  <c r="S37" i="7"/>
  <c r="S10" i="7"/>
  <c r="S86" i="7"/>
  <c r="S85" i="7"/>
  <c r="S45" i="7"/>
  <c r="S38" i="7"/>
  <c r="S41" i="7"/>
  <c r="S57" i="7"/>
  <c r="S32" i="7"/>
  <c r="S92" i="7"/>
  <c r="S21" i="7"/>
  <c r="S42" i="7"/>
  <c r="S75" i="7"/>
  <c r="G3" i="7"/>
  <c r="F9" i="7"/>
  <c r="F8" i="7"/>
  <c r="F16" i="7"/>
  <c r="F5" i="7"/>
  <c r="F10" i="7"/>
  <c r="F12" i="7"/>
  <c r="F21" i="7"/>
  <c r="F28" i="7"/>
  <c r="F43" i="7"/>
  <c r="F51" i="7"/>
  <c r="F68" i="7"/>
  <c r="F76" i="7"/>
  <c r="F84" i="7"/>
  <c r="F93" i="7"/>
  <c r="F18" i="7"/>
  <c r="F33" i="7"/>
  <c r="F41" i="7"/>
  <c r="F48" i="7"/>
  <c r="F56" i="7"/>
  <c r="F64" i="7"/>
  <c r="F73" i="7"/>
  <c r="F81" i="7"/>
  <c r="F90" i="7"/>
  <c r="F6" i="7"/>
  <c r="F13" i="7"/>
  <c r="F20" i="7"/>
  <c r="F27" i="7"/>
  <c r="F35" i="7"/>
  <c r="F50" i="7"/>
  <c r="F75" i="7"/>
  <c r="F83" i="7"/>
  <c r="F92" i="7"/>
  <c r="F11" i="7"/>
  <c r="F15" i="7"/>
  <c r="F24" i="7"/>
  <c r="F32" i="7"/>
  <c r="F55" i="7"/>
  <c r="F63" i="7"/>
  <c r="F72" i="7"/>
  <c r="F80" i="7"/>
  <c r="F89" i="7"/>
  <c r="F17" i="7"/>
  <c r="F22" i="7"/>
  <c r="F29" i="7"/>
  <c r="F37" i="7"/>
  <c r="F44" i="7"/>
  <c r="F52" i="7"/>
  <c r="F69" i="7"/>
  <c r="F77" i="7"/>
  <c r="F85" i="7"/>
  <c r="F94" i="7"/>
  <c r="F19" i="7"/>
  <c r="F34" i="7"/>
  <c r="F57" i="7"/>
  <c r="F74" i="7"/>
  <c r="F82" i="7"/>
  <c r="F91" i="7"/>
  <c r="F30" i="7"/>
  <c r="F45" i="7"/>
  <c r="F53" i="7"/>
  <c r="F61" i="7"/>
  <c r="F70" i="7"/>
  <c r="F78" i="7"/>
  <c r="F86" i="7"/>
  <c r="F95" i="7"/>
  <c r="F14" i="7"/>
  <c r="F23" i="7"/>
  <c r="F31" i="7"/>
  <c r="F39" i="7"/>
  <c r="F54" i="7"/>
  <c r="F79" i="7"/>
  <c r="F96" i="7"/>
  <c r="F4" i="7"/>
  <c r="N3" i="7"/>
  <c r="N66" i="7" s="1"/>
  <c r="M22" i="7"/>
  <c r="M44" i="7"/>
  <c r="M52" i="7"/>
  <c r="M77" i="7"/>
  <c r="M85" i="7"/>
  <c r="M94" i="7"/>
  <c r="M11" i="7"/>
  <c r="M34" i="7"/>
  <c r="M57" i="7"/>
  <c r="M74" i="7"/>
  <c r="M16" i="7"/>
  <c r="M23" i="7"/>
  <c r="M54" i="7"/>
  <c r="M5" i="7"/>
  <c r="M13" i="7"/>
  <c r="M21" i="7"/>
  <c r="M10" i="7"/>
  <c r="M33" i="7"/>
  <c r="M41" i="7"/>
  <c r="M64" i="7"/>
  <c r="M81" i="7"/>
  <c r="M90" i="7"/>
  <c r="M15" i="7"/>
  <c r="M45" i="7"/>
  <c r="M53" i="7"/>
  <c r="M70" i="7"/>
  <c r="M86" i="7"/>
  <c r="M95" i="7"/>
  <c r="M20" i="7"/>
  <c r="M35" i="7"/>
  <c r="M75" i="7"/>
  <c r="M92" i="7"/>
  <c r="M28" i="7"/>
  <c r="M32" i="7"/>
  <c r="M43" i="7"/>
  <c r="M51" i="7"/>
  <c r="M55" i="7"/>
  <c r="M63" i="7"/>
  <c r="AC1773" i="3"/>
  <c r="O1765" i="3"/>
  <c r="AC1765" i="3" s="1"/>
  <c r="AC1766" i="3"/>
  <c r="W1763" i="3"/>
  <c r="Z1763" i="3" s="1"/>
  <c r="AA1763" i="3" s="1"/>
  <c r="N1763" i="3"/>
  <c r="O1763" i="3" s="1"/>
  <c r="O1757" i="3"/>
  <c r="AC1757" i="3" s="1"/>
  <c r="AC1753" i="3"/>
  <c r="Y1763" i="3"/>
  <c r="AB1757" i="3"/>
  <c r="X1763" i="3"/>
  <c r="G61" i="7" l="1"/>
  <c r="G66" i="7"/>
  <c r="U66" i="7" s="1"/>
  <c r="T52" i="7"/>
  <c r="T10" i="7"/>
  <c r="K3" i="16"/>
  <c r="L11" i="16"/>
  <c r="L8" i="16"/>
  <c r="L16" i="16"/>
  <c r="L5" i="16"/>
  <c r="L13" i="16"/>
  <c r="L21" i="16"/>
  <c r="L29" i="16"/>
  <c r="L37" i="16"/>
  <c r="L45" i="16"/>
  <c r="L53" i="16"/>
  <c r="L10" i="16"/>
  <c r="L18" i="16"/>
  <c r="L26" i="16"/>
  <c r="L34" i="16"/>
  <c r="L42" i="16"/>
  <c r="L50" i="16"/>
  <c r="L58" i="16"/>
  <c r="L7" i="16"/>
  <c r="L15" i="16"/>
  <c r="L23" i="16"/>
  <c r="L31" i="16"/>
  <c r="L39" i="16"/>
  <c r="L47" i="16"/>
  <c r="L55" i="16"/>
  <c r="L63" i="16"/>
  <c r="L12" i="16"/>
  <c r="L20" i="16"/>
  <c r="L28" i="16"/>
  <c r="L36" i="16"/>
  <c r="L44" i="16"/>
  <c r="L25" i="16"/>
  <c r="L41" i="16"/>
  <c r="L52" i="16"/>
  <c r="L59" i="16"/>
  <c r="L61" i="16"/>
  <c r="L65" i="16"/>
  <c r="L73" i="16"/>
  <c r="L81" i="16"/>
  <c r="L89" i="16"/>
  <c r="L97" i="16"/>
  <c r="L22" i="16"/>
  <c r="L24" i="16"/>
  <c r="L38" i="16"/>
  <c r="L40" i="16"/>
  <c r="L54" i="16"/>
  <c r="L70" i="16"/>
  <c r="L78" i="16"/>
  <c r="L86" i="16"/>
  <c r="L94" i="16"/>
  <c r="L102" i="16"/>
  <c r="L67" i="16"/>
  <c r="L75" i="16"/>
  <c r="L83" i="16"/>
  <c r="L91" i="16"/>
  <c r="L99" i="16"/>
  <c r="L19" i="16"/>
  <c r="L35" i="16"/>
  <c r="L62" i="16"/>
  <c r="L64" i="16"/>
  <c r="L72" i="16"/>
  <c r="L80" i="16"/>
  <c r="L88" i="16"/>
  <c r="L96" i="16"/>
  <c r="L9" i="16"/>
  <c r="L14" i="16"/>
  <c r="L17" i="16"/>
  <c r="L33" i="16"/>
  <c r="L56" i="16"/>
  <c r="L57" i="16"/>
  <c r="L60" i="16"/>
  <c r="L69" i="16"/>
  <c r="L77" i="16"/>
  <c r="L85" i="16"/>
  <c r="L93" i="16"/>
  <c r="M4" i="16"/>
  <c r="L6" i="16"/>
  <c r="L71" i="16"/>
  <c r="L79" i="16"/>
  <c r="L87" i="16"/>
  <c r="L95" i="16"/>
  <c r="L46" i="16"/>
  <c r="L48" i="16"/>
  <c r="L51" i="16"/>
  <c r="L84" i="16"/>
  <c r="L76" i="16"/>
  <c r="L74" i="16"/>
  <c r="L106" i="16"/>
  <c r="L30" i="16"/>
  <c r="L32" i="16"/>
  <c r="L27" i="16"/>
  <c r="L92" i="16"/>
  <c r="L105" i="16"/>
  <c r="L107" i="16"/>
  <c r="L104" i="16"/>
  <c r="L43" i="16"/>
  <c r="L82" i="16"/>
  <c r="L103" i="16"/>
  <c r="L100" i="16"/>
  <c r="L66" i="16"/>
  <c r="L68" i="16"/>
  <c r="L98" i="16"/>
  <c r="L49" i="16"/>
  <c r="L90" i="16"/>
  <c r="L101" i="16"/>
  <c r="T90" i="7"/>
  <c r="T21" i="7"/>
  <c r="T74" i="7"/>
  <c r="T32" i="7"/>
  <c r="T15" i="7"/>
  <c r="T20" i="7"/>
  <c r="T85" i="7"/>
  <c r="T51" i="7"/>
  <c r="T70" i="7"/>
  <c r="T44" i="7"/>
  <c r="T94" i="7"/>
  <c r="T23" i="7"/>
  <c r="T16" i="7"/>
  <c r="T22" i="7"/>
  <c r="T45" i="7"/>
  <c r="T34" i="7"/>
  <c r="T55" i="7"/>
  <c r="T53" i="7"/>
  <c r="T57" i="7"/>
  <c r="T75" i="7"/>
  <c r="T63" i="7"/>
  <c r="T35" i="7"/>
  <c r="T5" i="7"/>
  <c r="T81" i="7"/>
  <c r="T64" i="7"/>
  <c r="T54" i="7"/>
  <c r="T13" i="7"/>
  <c r="T11" i="7"/>
  <c r="T95" i="7"/>
  <c r="T43" i="7"/>
  <c r="T86" i="7"/>
  <c r="T41" i="7"/>
  <c r="T77" i="7"/>
  <c r="T33" i="7"/>
  <c r="T28" i="7"/>
  <c r="T92" i="7"/>
  <c r="N9" i="7"/>
  <c r="N17" i="7"/>
  <c r="N24" i="7"/>
  <c r="N32" i="7"/>
  <c r="N40" i="7"/>
  <c r="N47" i="7"/>
  <c r="N55" i="7"/>
  <c r="N63" i="7"/>
  <c r="N72" i="7"/>
  <c r="N80" i="7"/>
  <c r="N89" i="7"/>
  <c r="N6" i="7"/>
  <c r="N14" i="7"/>
  <c r="N22" i="7"/>
  <c r="N29" i="7"/>
  <c r="N37" i="7"/>
  <c r="N44" i="7"/>
  <c r="N52" i="7"/>
  <c r="N60" i="7"/>
  <c r="N69" i="7"/>
  <c r="N77" i="7"/>
  <c r="N85" i="7"/>
  <c r="N94" i="7"/>
  <c r="N4" i="7"/>
  <c r="N11" i="7"/>
  <c r="N19" i="7"/>
  <c r="N26" i="7"/>
  <c r="N34" i="7"/>
  <c r="N42" i="7"/>
  <c r="N49" i="7"/>
  <c r="N57" i="7"/>
  <c r="N65" i="7"/>
  <c r="N74" i="7"/>
  <c r="N82" i="7"/>
  <c r="N91" i="7"/>
  <c r="N8" i="7"/>
  <c r="N16" i="7"/>
  <c r="N23" i="7"/>
  <c r="N5" i="7"/>
  <c r="N13" i="7"/>
  <c r="N21" i="7"/>
  <c r="N28" i="7"/>
  <c r="N36" i="7"/>
  <c r="N43" i="7"/>
  <c r="N51" i="7"/>
  <c r="N59" i="7"/>
  <c r="N68" i="7"/>
  <c r="N76" i="7"/>
  <c r="N84" i="7"/>
  <c r="N93" i="7"/>
  <c r="N10" i="7"/>
  <c r="N18" i="7"/>
  <c r="N25" i="7"/>
  <c r="N33" i="7"/>
  <c r="N41" i="7"/>
  <c r="N48" i="7"/>
  <c r="N56" i="7"/>
  <c r="N64" i="7"/>
  <c r="N73" i="7"/>
  <c r="N81" i="7"/>
  <c r="N90" i="7"/>
  <c r="N7" i="7"/>
  <c r="N15" i="7"/>
  <c r="N30" i="7"/>
  <c r="N38" i="7"/>
  <c r="N45" i="7"/>
  <c r="N53" i="7"/>
  <c r="N61" i="7"/>
  <c r="N70" i="7"/>
  <c r="N78" i="7"/>
  <c r="N86" i="7"/>
  <c r="N95" i="7"/>
  <c r="N12" i="7"/>
  <c r="N27" i="7"/>
  <c r="N31" i="7"/>
  <c r="N35" i="7"/>
  <c r="N39" i="7"/>
  <c r="N46" i="7"/>
  <c r="N50" i="7"/>
  <c r="N54" i="7"/>
  <c r="N58" i="7"/>
  <c r="N62" i="7"/>
  <c r="N67" i="7"/>
  <c r="N71" i="7"/>
  <c r="N75" i="7"/>
  <c r="N79" i="7"/>
  <c r="N83" i="7"/>
  <c r="N92" i="7"/>
  <c r="N96" i="7"/>
  <c r="N20" i="7"/>
  <c r="G12" i="7"/>
  <c r="G11" i="7"/>
  <c r="G8" i="7"/>
  <c r="G14" i="7"/>
  <c r="G23" i="7"/>
  <c r="G31" i="7"/>
  <c r="G39" i="7"/>
  <c r="G46" i="7"/>
  <c r="G54" i="7"/>
  <c r="G62" i="7"/>
  <c r="G71" i="7"/>
  <c r="G79" i="7"/>
  <c r="G96" i="7"/>
  <c r="G10" i="7"/>
  <c r="G16" i="7"/>
  <c r="G21" i="7"/>
  <c r="G28" i="7"/>
  <c r="G36" i="7"/>
  <c r="G43" i="7"/>
  <c r="G51" i="7"/>
  <c r="G59" i="7"/>
  <c r="G68" i="7"/>
  <c r="G76" i="7"/>
  <c r="G84" i="7"/>
  <c r="G93" i="7"/>
  <c r="G6" i="7"/>
  <c r="G30" i="7"/>
  <c r="G38" i="7"/>
  <c r="G45" i="7"/>
  <c r="G53" i="7"/>
  <c r="G70" i="7"/>
  <c r="G78" i="7"/>
  <c r="G86" i="7"/>
  <c r="G95" i="7"/>
  <c r="G13" i="7"/>
  <c r="G20" i="7"/>
  <c r="G27" i="7"/>
  <c r="G35" i="7"/>
  <c r="G50" i="7"/>
  <c r="G58" i="7"/>
  <c r="G67" i="7"/>
  <c r="G75" i="7"/>
  <c r="G83" i="7"/>
  <c r="G92" i="7"/>
  <c r="G15" i="7"/>
  <c r="G24" i="7"/>
  <c r="G32" i="7"/>
  <c r="G40" i="7"/>
  <c r="G47" i="7"/>
  <c r="G55" i="7"/>
  <c r="G63" i="7"/>
  <c r="G72" i="7"/>
  <c r="G80" i="7"/>
  <c r="G89" i="7"/>
  <c r="G9" i="7"/>
  <c r="G17" i="7"/>
  <c r="G22" i="7"/>
  <c r="G29" i="7"/>
  <c r="G37" i="7"/>
  <c r="G44" i="7"/>
  <c r="G52" i="7"/>
  <c r="G60" i="7"/>
  <c r="G69" i="7"/>
  <c r="G77" i="7"/>
  <c r="G85" i="7"/>
  <c r="G94" i="7"/>
  <c r="G18" i="7"/>
  <c r="G25" i="7"/>
  <c r="G33" i="7"/>
  <c r="G41" i="7"/>
  <c r="G48" i="7"/>
  <c r="G56" i="7"/>
  <c r="G64" i="7"/>
  <c r="G73" i="7"/>
  <c r="G81" i="7"/>
  <c r="G90" i="7"/>
  <c r="G7" i="7"/>
  <c r="G19" i="7"/>
  <c r="G26" i="7"/>
  <c r="G34" i="7"/>
  <c r="G42" i="7"/>
  <c r="G49" i="7"/>
  <c r="G57" i="7"/>
  <c r="G65" i="7"/>
  <c r="G74" i="7"/>
  <c r="G82" i="7"/>
  <c r="G91" i="7"/>
  <c r="G4" i="7"/>
  <c r="G5" i="7"/>
  <c r="AB1763" i="3"/>
  <c r="AC1763" i="3"/>
  <c r="I1750" i="3"/>
  <c r="J1750" i="3" s="1"/>
  <c r="I1749" i="3"/>
  <c r="J1749" i="3" s="1"/>
  <c r="I1746" i="3"/>
  <c r="I1745" i="3"/>
  <c r="J1745" i="3" s="1"/>
  <c r="S1751" i="3"/>
  <c r="T1751" i="3"/>
  <c r="U1751" i="3"/>
  <c r="V1751" i="3"/>
  <c r="R1751" i="3"/>
  <c r="S1747" i="3"/>
  <c r="T1747" i="3"/>
  <c r="U1747" i="3"/>
  <c r="V1747" i="3"/>
  <c r="R1747" i="3"/>
  <c r="Y1750" i="3"/>
  <c r="Y1749" i="3"/>
  <c r="X1750" i="3"/>
  <c r="W1750" i="3"/>
  <c r="Z1750" i="3" s="1"/>
  <c r="AA1750" i="3" s="1"/>
  <c r="X1749" i="3"/>
  <c r="W1749" i="3"/>
  <c r="Z1749" i="3" s="1"/>
  <c r="AA1749" i="3" s="1"/>
  <c r="Y1746" i="3"/>
  <c r="X1746" i="3"/>
  <c r="W1746" i="3"/>
  <c r="Y1745" i="3"/>
  <c r="X1745" i="3"/>
  <c r="W1745" i="3"/>
  <c r="P1751" i="3"/>
  <c r="M1751" i="3"/>
  <c r="L1751" i="3"/>
  <c r="N1750" i="3"/>
  <c r="O1750" i="3" s="1"/>
  <c r="N1749" i="3"/>
  <c r="M1746" i="3"/>
  <c r="N1746" i="3" s="1"/>
  <c r="O1746" i="3" s="1"/>
  <c r="M1745" i="3"/>
  <c r="N1745" i="3" s="1"/>
  <c r="O1745" i="3" s="1"/>
  <c r="P1747" i="3"/>
  <c r="M1740" i="3"/>
  <c r="N1740" i="3" s="1"/>
  <c r="O1740" i="3" s="1"/>
  <c r="M1741" i="3"/>
  <c r="N1741" i="3" s="1"/>
  <c r="O1741" i="3" s="1"/>
  <c r="M1742" i="3"/>
  <c r="N1742" i="3" s="1"/>
  <c r="O1742" i="3" s="1"/>
  <c r="M1739" i="3"/>
  <c r="Y1742" i="3"/>
  <c r="X1742" i="3"/>
  <c r="W1742" i="3"/>
  <c r="Y1741" i="3"/>
  <c r="X1741" i="3"/>
  <c r="W1741" i="3"/>
  <c r="Z1741" i="3" s="1"/>
  <c r="AA1741" i="3" s="1"/>
  <c r="Y1740" i="3"/>
  <c r="X1740" i="3"/>
  <c r="W1740" i="3"/>
  <c r="Z1740" i="3" s="1"/>
  <c r="AA1740" i="3" s="1"/>
  <c r="Y1739" i="3"/>
  <c r="X1739" i="3"/>
  <c r="W1739" i="3"/>
  <c r="S1743" i="3"/>
  <c r="T1743" i="3"/>
  <c r="U1743" i="3"/>
  <c r="V1743" i="3"/>
  <c r="R1743" i="3"/>
  <c r="P1743" i="3"/>
  <c r="L1743" i="3"/>
  <c r="I1740" i="3"/>
  <c r="J1740" i="3" s="1"/>
  <c r="I1741" i="3"/>
  <c r="J1741" i="3" s="1"/>
  <c r="I1742" i="3"/>
  <c r="J1742" i="3" s="1"/>
  <c r="I1739" i="3"/>
  <c r="J1739" i="3" s="1"/>
  <c r="G2" i="7" l="1"/>
  <c r="N2" i="7"/>
  <c r="L3" i="16"/>
  <c r="M6" i="16"/>
  <c r="N6" i="16" s="1"/>
  <c r="M14" i="16"/>
  <c r="N14" i="16" s="1"/>
  <c r="M11" i="16"/>
  <c r="N11" i="16" s="1"/>
  <c r="M8" i="16"/>
  <c r="N8" i="16" s="1"/>
  <c r="M16" i="16"/>
  <c r="N16" i="16" s="1"/>
  <c r="M24" i="16"/>
  <c r="N24" i="16" s="1"/>
  <c r="M32" i="16"/>
  <c r="N32" i="16" s="1"/>
  <c r="M40" i="16"/>
  <c r="N40" i="16" s="1"/>
  <c r="M48" i="16"/>
  <c r="N48" i="16" s="1"/>
  <c r="M56" i="16"/>
  <c r="N56" i="16" s="1"/>
  <c r="M5" i="16"/>
  <c r="M13" i="16"/>
  <c r="N13" i="16" s="1"/>
  <c r="M21" i="16"/>
  <c r="N21" i="16" s="1"/>
  <c r="M29" i="16"/>
  <c r="N29" i="16" s="1"/>
  <c r="M37" i="16"/>
  <c r="N37" i="16" s="1"/>
  <c r="M45" i="16"/>
  <c r="N45" i="16" s="1"/>
  <c r="M53" i="16"/>
  <c r="N53" i="16" s="1"/>
  <c r="M10" i="16"/>
  <c r="N10" i="16" s="1"/>
  <c r="M18" i="16"/>
  <c r="N18" i="16" s="1"/>
  <c r="M26" i="16"/>
  <c r="N26" i="16" s="1"/>
  <c r="M34" i="16"/>
  <c r="N34" i="16" s="1"/>
  <c r="M42" i="16"/>
  <c r="N42" i="16" s="1"/>
  <c r="M50" i="16"/>
  <c r="N50" i="16" s="1"/>
  <c r="M58" i="16"/>
  <c r="N58" i="16" s="1"/>
  <c r="M7" i="16"/>
  <c r="N7" i="16" s="1"/>
  <c r="M15" i="16"/>
  <c r="N15" i="16" s="1"/>
  <c r="M23" i="16"/>
  <c r="N23" i="16" s="1"/>
  <c r="M31" i="16"/>
  <c r="N31" i="16" s="1"/>
  <c r="M39" i="16"/>
  <c r="N39" i="16" s="1"/>
  <c r="M47" i="16"/>
  <c r="N47" i="16" s="1"/>
  <c r="M27" i="16"/>
  <c r="N27" i="16" s="1"/>
  <c r="M43" i="16"/>
  <c r="N43" i="16" s="1"/>
  <c r="M51" i="16"/>
  <c r="N51" i="16" s="1"/>
  <c r="M68" i="16"/>
  <c r="N68" i="16" s="1"/>
  <c r="M76" i="16"/>
  <c r="N76" i="16" s="1"/>
  <c r="M84" i="16"/>
  <c r="N84" i="16" s="1"/>
  <c r="M92" i="16"/>
  <c r="N92" i="16" s="1"/>
  <c r="M100" i="16"/>
  <c r="N100" i="16" s="1"/>
  <c r="M25" i="16"/>
  <c r="N25" i="16" s="1"/>
  <c r="M41" i="16"/>
  <c r="N41" i="16" s="1"/>
  <c r="M52" i="16"/>
  <c r="N52" i="16" s="1"/>
  <c r="M59" i="16"/>
  <c r="N59" i="16" s="1"/>
  <c r="M61" i="16"/>
  <c r="N61" i="16" s="1"/>
  <c r="M65" i="16"/>
  <c r="N65" i="16" s="1"/>
  <c r="M73" i="16"/>
  <c r="N73" i="16" s="1"/>
  <c r="M81" i="16"/>
  <c r="N81" i="16" s="1"/>
  <c r="M89" i="16"/>
  <c r="N89" i="16" s="1"/>
  <c r="M97" i="16"/>
  <c r="N97" i="16" s="1"/>
  <c r="M105" i="16"/>
  <c r="N105" i="16" s="1"/>
  <c r="M12" i="16"/>
  <c r="N12" i="16" s="1"/>
  <c r="M22" i="16"/>
  <c r="N22" i="16" s="1"/>
  <c r="M38" i="16"/>
  <c r="N38" i="16" s="1"/>
  <c r="M54" i="16"/>
  <c r="N54" i="16" s="1"/>
  <c r="M70" i="16"/>
  <c r="N70" i="16" s="1"/>
  <c r="M78" i="16"/>
  <c r="N78" i="16" s="1"/>
  <c r="M86" i="16"/>
  <c r="N86" i="16" s="1"/>
  <c r="M94" i="16"/>
  <c r="N94" i="16" s="1"/>
  <c r="M20" i="16"/>
  <c r="N20" i="16" s="1"/>
  <c r="M36" i="16"/>
  <c r="N36" i="16" s="1"/>
  <c r="M55" i="16"/>
  <c r="N55" i="16" s="1"/>
  <c r="M67" i="16"/>
  <c r="N67" i="16" s="1"/>
  <c r="M75" i="16"/>
  <c r="N75" i="16" s="1"/>
  <c r="M83" i="16"/>
  <c r="N83" i="16" s="1"/>
  <c r="M91" i="16"/>
  <c r="N91" i="16" s="1"/>
  <c r="M99" i="16"/>
  <c r="N99" i="16" s="1"/>
  <c r="M19" i="16"/>
  <c r="N19" i="16" s="1"/>
  <c r="M35" i="16"/>
  <c r="N35" i="16" s="1"/>
  <c r="M62" i="16"/>
  <c r="N62" i="16" s="1"/>
  <c r="M64" i="16"/>
  <c r="N64" i="16" s="1"/>
  <c r="M72" i="16"/>
  <c r="N72" i="16" s="1"/>
  <c r="M80" i="16"/>
  <c r="N80" i="16" s="1"/>
  <c r="M88" i="16"/>
  <c r="N88" i="16" s="1"/>
  <c r="M96" i="16"/>
  <c r="N96" i="16" s="1"/>
  <c r="M30" i="16"/>
  <c r="N30" i="16" s="1"/>
  <c r="M46" i="16"/>
  <c r="N46" i="16" s="1"/>
  <c r="M49" i="16"/>
  <c r="N49" i="16" s="1"/>
  <c r="M66" i="16"/>
  <c r="N66" i="16" s="1"/>
  <c r="M74" i="16"/>
  <c r="N74" i="16" s="1"/>
  <c r="M82" i="16"/>
  <c r="N82" i="16" s="1"/>
  <c r="M90" i="16"/>
  <c r="N90" i="16" s="1"/>
  <c r="M98" i="16"/>
  <c r="N98" i="16" s="1"/>
  <c r="M44" i="16"/>
  <c r="N44" i="16" s="1"/>
  <c r="M79" i="16"/>
  <c r="N79" i="16" s="1"/>
  <c r="M93" i="16"/>
  <c r="N93" i="16" s="1"/>
  <c r="M71" i="16"/>
  <c r="N71" i="16" s="1"/>
  <c r="M104" i="16"/>
  <c r="N104" i="16" s="1"/>
  <c r="M102" i="16"/>
  <c r="N102" i="16" s="1"/>
  <c r="M28" i="16"/>
  <c r="N28" i="16" s="1"/>
  <c r="M9" i="16"/>
  <c r="N9" i="16" s="1"/>
  <c r="M69" i="16"/>
  <c r="N69" i="16" s="1"/>
  <c r="M87" i="16"/>
  <c r="N87" i="16" s="1"/>
  <c r="M103" i="16"/>
  <c r="N103" i="16" s="1"/>
  <c r="M101" i="16"/>
  <c r="N101" i="16" s="1"/>
  <c r="M17" i="16"/>
  <c r="N17" i="16" s="1"/>
  <c r="M57" i="16"/>
  <c r="N57" i="16" s="1"/>
  <c r="M60" i="16"/>
  <c r="N60" i="16" s="1"/>
  <c r="M85" i="16"/>
  <c r="N85" i="16" s="1"/>
  <c r="M106" i="16"/>
  <c r="N106" i="16" s="1"/>
  <c r="M33" i="16"/>
  <c r="N33" i="16" s="1"/>
  <c r="M63" i="16"/>
  <c r="N63" i="16" s="1"/>
  <c r="M77" i="16"/>
  <c r="N77" i="16" s="1"/>
  <c r="M95" i="16"/>
  <c r="N95" i="16" s="1"/>
  <c r="M107" i="16"/>
  <c r="N107" i="16" s="1"/>
  <c r="U79" i="7"/>
  <c r="U46" i="7"/>
  <c r="U78" i="7"/>
  <c r="U7" i="7"/>
  <c r="U33" i="7"/>
  <c r="U59" i="7"/>
  <c r="U23" i="7"/>
  <c r="U49" i="7"/>
  <c r="U75" i="7"/>
  <c r="U39" i="7"/>
  <c r="U70" i="7"/>
  <c r="U90" i="7"/>
  <c r="U25" i="7"/>
  <c r="U51" i="7"/>
  <c r="U16" i="7"/>
  <c r="U14" i="7"/>
  <c r="U35" i="7"/>
  <c r="U61" i="7"/>
  <c r="U43" i="7"/>
  <c r="U38" i="7"/>
  <c r="U22" i="7"/>
  <c r="U40" i="7"/>
  <c r="U81" i="7"/>
  <c r="U18" i="7"/>
  <c r="U8" i="7"/>
  <c r="U34" i="7"/>
  <c r="U69" i="7"/>
  <c r="U6" i="7"/>
  <c r="U32" i="7"/>
  <c r="U71" i="7"/>
  <c r="U20" i="7"/>
  <c r="U67" i="7"/>
  <c r="U31" i="7"/>
  <c r="U53" i="7"/>
  <c r="U73" i="7"/>
  <c r="U10" i="7"/>
  <c r="U36" i="7"/>
  <c r="U91" i="7"/>
  <c r="U26" i="7"/>
  <c r="U60" i="7"/>
  <c r="U89" i="7"/>
  <c r="U24" i="7"/>
  <c r="U42" i="7"/>
  <c r="U96" i="7"/>
  <c r="U62" i="7"/>
  <c r="U27" i="7"/>
  <c r="U45" i="7"/>
  <c r="U64" i="7"/>
  <c r="U93" i="7"/>
  <c r="U28" i="7"/>
  <c r="U82" i="7"/>
  <c r="U19" i="7"/>
  <c r="U52" i="7"/>
  <c r="U80" i="7"/>
  <c r="U17" i="7"/>
  <c r="U47" i="7"/>
  <c r="U92" i="7"/>
  <c r="U58" i="7"/>
  <c r="U12" i="7"/>
  <c r="U56" i="7"/>
  <c r="U84" i="7"/>
  <c r="U21" i="7"/>
  <c r="U74" i="7"/>
  <c r="U11" i="7"/>
  <c r="U44" i="7"/>
  <c r="U72" i="7"/>
  <c r="U9" i="7"/>
  <c r="U85" i="7"/>
  <c r="U77" i="7"/>
  <c r="U54" i="7"/>
  <c r="U95" i="7"/>
  <c r="U30" i="7"/>
  <c r="U48" i="7"/>
  <c r="U76" i="7"/>
  <c r="U13" i="7"/>
  <c r="U65" i="7"/>
  <c r="U4" i="7"/>
  <c r="U37" i="7"/>
  <c r="U63" i="7"/>
  <c r="U83" i="7"/>
  <c r="U50" i="7"/>
  <c r="U86" i="7"/>
  <c r="U15" i="7"/>
  <c r="U41" i="7"/>
  <c r="U68" i="7"/>
  <c r="U5" i="7"/>
  <c r="U57" i="7"/>
  <c r="U94" i="7"/>
  <c r="U29" i="7"/>
  <c r="U55" i="7"/>
  <c r="M9" i="7"/>
  <c r="T9" i="7" s="1"/>
  <c r="Z1745" i="3"/>
  <c r="AA1745" i="3" s="1"/>
  <c r="AC1745" i="3" s="1"/>
  <c r="M19" i="7"/>
  <c r="T19" i="7" s="1"/>
  <c r="Y1747" i="3"/>
  <c r="M1747" i="3"/>
  <c r="Y1751" i="3"/>
  <c r="X1751" i="3"/>
  <c r="N1747" i="3"/>
  <c r="O1747" i="3" s="1"/>
  <c r="AB1746" i="3"/>
  <c r="AC1750" i="3"/>
  <c r="Z1746" i="3"/>
  <c r="AA1746" i="3" s="1"/>
  <c r="AC1746" i="3" s="1"/>
  <c r="AB1745" i="3"/>
  <c r="W1747" i="3"/>
  <c r="X1747" i="3"/>
  <c r="AB1750" i="3"/>
  <c r="AB1749" i="3"/>
  <c r="W1751" i="3"/>
  <c r="N1751" i="3"/>
  <c r="O1751" i="3" s="1"/>
  <c r="O1749" i="3"/>
  <c r="AC1749" i="3" s="1"/>
  <c r="AB1742" i="3"/>
  <c r="AC1740" i="3"/>
  <c r="AB1739" i="3"/>
  <c r="Y1743" i="3"/>
  <c r="AC1741" i="3"/>
  <c r="N1739" i="3"/>
  <c r="O1739" i="3" s="1"/>
  <c r="M1743" i="3"/>
  <c r="W1743" i="3"/>
  <c r="X1743" i="3"/>
  <c r="Z1739" i="3"/>
  <c r="AA1739" i="3" s="1"/>
  <c r="AB1741" i="3"/>
  <c r="AB1740" i="3"/>
  <c r="Z1742" i="3"/>
  <c r="AA1742" i="3" s="1"/>
  <c r="AC1742" i="3" s="1"/>
  <c r="U2" i="7" l="1"/>
  <c r="M3" i="16"/>
  <c r="N5" i="16"/>
  <c r="AB1747" i="3"/>
  <c r="Z1747" i="3"/>
  <c r="AA1747" i="3" s="1"/>
  <c r="AC1747" i="3" s="1"/>
  <c r="AB1751" i="3"/>
  <c r="Z1751" i="3"/>
  <c r="AB1743" i="3"/>
  <c r="AC1739" i="3"/>
  <c r="Z1743" i="3"/>
  <c r="AA1743" i="3" s="1"/>
  <c r="N3" i="16" l="1"/>
  <c r="AA1751" i="3"/>
  <c r="AC1751" i="3" s="1"/>
  <c r="Y1736" i="3"/>
  <c r="X1736" i="3"/>
  <c r="W1736" i="3"/>
  <c r="Z1736" i="3" s="1"/>
  <c r="AA1736" i="3" s="1"/>
  <c r="Y1735" i="3"/>
  <c r="X1735" i="3"/>
  <c r="W1735" i="3"/>
  <c r="Y1732" i="3"/>
  <c r="X1732" i="3"/>
  <c r="W1732" i="3"/>
  <c r="M37" i="7" s="1"/>
  <c r="T37" i="7" s="1"/>
  <c r="S1737" i="3"/>
  <c r="T1737" i="3"/>
  <c r="U1737" i="3"/>
  <c r="V1737" i="3"/>
  <c r="S1733" i="3"/>
  <c r="T1733" i="3"/>
  <c r="U1733" i="3"/>
  <c r="V1733" i="3"/>
  <c r="R1737" i="3"/>
  <c r="R1733" i="3"/>
  <c r="P1737" i="3"/>
  <c r="P1733" i="3"/>
  <c r="L1737" i="3"/>
  <c r="M1736" i="3"/>
  <c r="N1736" i="3" s="1"/>
  <c r="O1736" i="3" s="1"/>
  <c r="M1735" i="3"/>
  <c r="M1732" i="3"/>
  <c r="N1732" i="3" s="1"/>
  <c r="L1733" i="3"/>
  <c r="I1736" i="3"/>
  <c r="J1736" i="3" s="1"/>
  <c r="I1735" i="3"/>
  <c r="J1735" i="3" s="1"/>
  <c r="I1732" i="3"/>
  <c r="I1729" i="3"/>
  <c r="J1729" i="3" s="1"/>
  <c r="Y1729" i="3"/>
  <c r="X1729" i="3"/>
  <c r="W1729" i="3"/>
  <c r="M39" i="7" s="1"/>
  <c r="T39" i="7" s="1"/>
  <c r="S1730" i="3"/>
  <c r="T1730" i="3"/>
  <c r="U1730" i="3"/>
  <c r="V1730" i="3"/>
  <c r="R1730" i="3"/>
  <c r="P1730" i="3"/>
  <c r="M1729" i="3"/>
  <c r="M1730" i="3" s="1"/>
  <c r="L1730" i="3"/>
  <c r="S1727" i="3"/>
  <c r="T1727" i="3"/>
  <c r="U1727" i="3"/>
  <c r="V1727" i="3"/>
  <c r="R1727" i="3"/>
  <c r="Y1726" i="3"/>
  <c r="X1726" i="3"/>
  <c r="W1726" i="3"/>
  <c r="M68" i="7" s="1"/>
  <c r="T68" i="7" s="1"/>
  <c r="P1727" i="3"/>
  <c r="Z1735" i="3" l="1"/>
  <c r="AA1735" i="3" s="1"/>
  <c r="W1727" i="3"/>
  <c r="Z1727" i="3" s="1"/>
  <c r="AA1727" i="3" s="1"/>
  <c r="W1730" i="3"/>
  <c r="Z1730" i="3" s="1"/>
  <c r="AA1730" i="3" s="1"/>
  <c r="Z1732" i="3"/>
  <c r="AA1732" i="3" s="1"/>
  <c r="Y1733" i="3"/>
  <c r="Y1727" i="3"/>
  <c r="X1733" i="3"/>
  <c r="AC1736" i="3"/>
  <c r="Y1737" i="3"/>
  <c r="X1737" i="3"/>
  <c r="W1733" i="3"/>
  <c r="Z1733" i="3" s="1"/>
  <c r="AA1733" i="3" s="1"/>
  <c r="AB1736" i="3"/>
  <c r="AB1735" i="3"/>
  <c r="W1737" i="3"/>
  <c r="AB1732" i="3"/>
  <c r="Y1730" i="3"/>
  <c r="X1730" i="3"/>
  <c r="Z1729" i="3"/>
  <c r="AA1729" i="3" s="1"/>
  <c r="AB1729" i="3"/>
  <c r="M1733" i="3"/>
  <c r="M1737" i="3"/>
  <c r="N1735" i="3"/>
  <c r="N1733" i="3"/>
  <c r="O1733" i="3" s="1"/>
  <c r="O1732" i="3"/>
  <c r="N1729" i="3"/>
  <c r="X1727" i="3"/>
  <c r="Z1726" i="3"/>
  <c r="AA1726" i="3" s="1"/>
  <c r="AB1730" i="3" l="1"/>
  <c r="AC1732" i="3"/>
  <c r="AC1733" i="3"/>
  <c r="AB1733" i="3"/>
  <c r="AB1737" i="3"/>
  <c r="Z1737" i="3"/>
  <c r="AA1737" i="3" s="1"/>
  <c r="N1737" i="3"/>
  <c r="O1737" i="3" s="1"/>
  <c r="O1735" i="3"/>
  <c r="AC1735" i="3" s="1"/>
  <c r="N1730" i="3"/>
  <c r="O1730" i="3" s="1"/>
  <c r="AC1730" i="3" s="1"/>
  <c r="O1729" i="3"/>
  <c r="AC1729" i="3" s="1"/>
  <c r="AC1737" i="3" l="1"/>
  <c r="M1726" i="3"/>
  <c r="L1727" i="3"/>
  <c r="I1726" i="3"/>
  <c r="J1726" i="3" s="1"/>
  <c r="U1724" i="3"/>
  <c r="Y1723" i="3"/>
  <c r="X1723" i="3"/>
  <c r="W1723" i="3"/>
  <c r="Z1723" i="3" s="1"/>
  <c r="AA1723" i="3" s="1"/>
  <c r="Y1722" i="3"/>
  <c r="X1722" i="3"/>
  <c r="W1722" i="3"/>
  <c r="Z1722" i="3" s="1"/>
  <c r="AA1722" i="3" s="1"/>
  <c r="S1724" i="3"/>
  <c r="T1724" i="3"/>
  <c r="V1724" i="3"/>
  <c r="R1724" i="3"/>
  <c r="P1724" i="3"/>
  <c r="M1723" i="3"/>
  <c r="N1723" i="3" s="1"/>
  <c r="O1723" i="3" s="1"/>
  <c r="M1722" i="3"/>
  <c r="L1724" i="3"/>
  <c r="I1723" i="3"/>
  <c r="J1723" i="3" s="1"/>
  <c r="I1722" i="3"/>
  <c r="J1722" i="3" s="1"/>
  <c r="S1720" i="3"/>
  <c r="T1720" i="3"/>
  <c r="U1720" i="3"/>
  <c r="V1720" i="3"/>
  <c r="R1720" i="3"/>
  <c r="W1709" i="3"/>
  <c r="Z1709" i="3" s="1"/>
  <c r="AA1709" i="3" s="1"/>
  <c r="X1709" i="3"/>
  <c r="Y1709" i="3"/>
  <c r="W1710" i="3"/>
  <c r="AB1710" i="3" s="1"/>
  <c r="X1710" i="3"/>
  <c r="Y1710" i="3"/>
  <c r="W1711" i="3"/>
  <c r="AB1711" i="3" s="1"/>
  <c r="X1711" i="3"/>
  <c r="Y1711" i="3"/>
  <c r="W1712" i="3"/>
  <c r="Z1712" i="3" s="1"/>
  <c r="AA1712" i="3" s="1"/>
  <c r="X1712" i="3"/>
  <c r="Y1712" i="3"/>
  <c r="W1713" i="3"/>
  <c r="Z1713" i="3" s="1"/>
  <c r="AA1713" i="3" s="1"/>
  <c r="X1713" i="3"/>
  <c r="Y1713" i="3"/>
  <c r="W1714" i="3"/>
  <c r="AB1714" i="3" s="1"/>
  <c r="X1714" i="3"/>
  <c r="Y1714" i="3"/>
  <c r="W1715" i="3"/>
  <c r="Z1715" i="3" s="1"/>
  <c r="AA1715" i="3" s="1"/>
  <c r="X1715" i="3"/>
  <c r="Y1715" i="3"/>
  <c r="W1716" i="3"/>
  <c r="Z1716" i="3" s="1"/>
  <c r="AA1716" i="3" s="1"/>
  <c r="X1716" i="3"/>
  <c r="Y1716" i="3"/>
  <c r="W1717" i="3"/>
  <c r="Z1717" i="3" s="1"/>
  <c r="AA1717" i="3" s="1"/>
  <c r="X1717" i="3"/>
  <c r="Y1717" i="3"/>
  <c r="W1718" i="3"/>
  <c r="AB1718" i="3" s="1"/>
  <c r="X1718" i="3"/>
  <c r="Y1718" i="3"/>
  <c r="W1719" i="3"/>
  <c r="M80" i="7" s="1"/>
  <c r="T80" i="7" s="1"/>
  <c r="X1719" i="3"/>
  <c r="Y1719" i="3"/>
  <c r="Y1708" i="3"/>
  <c r="X1708" i="3"/>
  <c r="W1708" i="3"/>
  <c r="AB1708" i="3" s="1"/>
  <c r="AB1719" i="3" l="1"/>
  <c r="AB1712" i="3"/>
  <c r="Z1711" i="3"/>
  <c r="AA1711" i="3" s="1"/>
  <c r="Z1714" i="3"/>
  <c r="AA1714" i="3" s="1"/>
  <c r="W1720" i="3"/>
  <c r="AB1713" i="3"/>
  <c r="Z1710" i="3"/>
  <c r="AA1710" i="3" s="1"/>
  <c r="Y1724" i="3"/>
  <c r="M1724" i="3"/>
  <c r="M1727" i="3"/>
  <c r="AB1727" i="3" s="1"/>
  <c r="AB1726" i="3"/>
  <c r="N1726" i="3"/>
  <c r="AC1723" i="3"/>
  <c r="X1724" i="3"/>
  <c r="AB1723" i="3"/>
  <c r="AB1722" i="3"/>
  <c r="W1724" i="3"/>
  <c r="N1722" i="3"/>
  <c r="Z1719" i="3"/>
  <c r="AA1719" i="3" s="1"/>
  <c r="Z1718" i="3"/>
  <c r="AA1718" i="3" s="1"/>
  <c r="X1720" i="3"/>
  <c r="AB1715" i="3"/>
  <c r="AB1716" i="3"/>
  <c r="AB1717" i="3"/>
  <c r="AB1709" i="3"/>
  <c r="Z1708" i="3"/>
  <c r="AA1708" i="3" s="1"/>
  <c r="N1727" i="3" l="1"/>
  <c r="O1727" i="3" s="1"/>
  <c r="AC1727" i="3" s="1"/>
  <c r="O1726" i="3"/>
  <c r="AC1726" i="3" s="1"/>
  <c r="AB1724" i="3"/>
  <c r="Z1724" i="3"/>
  <c r="AA1724" i="3" s="1"/>
  <c r="N1724" i="3"/>
  <c r="O1724" i="3" s="1"/>
  <c r="O1722" i="3"/>
  <c r="AC1722" i="3" s="1"/>
  <c r="AC1724" i="3" l="1"/>
  <c r="M1720" i="3"/>
  <c r="N1709" i="3"/>
  <c r="O1709" i="3" s="1"/>
  <c r="AC1709" i="3" s="1"/>
  <c r="N1710" i="3"/>
  <c r="O1710" i="3" s="1"/>
  <c r="AC1710" i="3" s="1"/>
  <c r="N1711" i="3"/>
  <c r="O1711" i="3" s="1"/>
  <c r="AC1711" i="3" s="1"/>
  <c r="N1712" i="3"/>
  <c r="O1712" i="3" s="1"/>
  <c r="AC1712" i="3" s="1"/>
  <c r="N1713" i="3"/>
  <c r="O1713" i="3" s="1"/>
  <c r="AC1713" i="3" s="1"/>
  <c r="N1714" i="3"/>
  <c r="O1714" i="3" s="1"/>
  <c r="AC1714" i="3" s="1"/>
  <c r="N1715" i="3"/>
  <c r="O1715" i="3" s="1"/>
  <c r="AC1715" i="3" s="1"/>
  <c r="N1716" i="3"/>
  <c r="O1716" i="3" s="1"/>
  <c r="AC1716" i="3" s="1"/>
  <c r="N1717" i="3"/>
  <c r="O1717" i="3" s="1"/>
  <c r="AC1717" i="3" s="1"/>
  <c r="N1718" i="3"/>
  <c r="O1718" i="3" s="1"/>
  <c r="AC1718" i="3" s="1"/>
  <c r="N1719" i="3"/>
  <c r="O1719" i="3" s="1"/>
  <c r="AC1719" i="3" s="1"/>
  <c r="N1708" i="3"/>
  <c r="O1708" i="3" s="1"/>
  <c r="AC1708" i="3" s="1"/>
  <c r="P1720" i="3"/>
  <c r="L1720" i="3"/>
  <c r="Y1720" i="3" l="1"/>
  <c r="Z1720" i="3"/>
  <c r="AA1720" i="3" s="1"/>
  <c r="N1720" i="3"/>
  <c r="O1720" i="3" s="1"/>
  <c r="AB1720" i="3"/>
  <c r="K1718" i="3"/>
  <c r="AC1720" i="3" l="1"/>
  <c r="I1719" i="3"/>
  <c r="J1719" i="3" s="1"/>
  <c r="I1705" i="3"/>
  <c r="J1705" i="3" s="1"/>
  <c r="I1704" i="3"/>
  <c r="J1704" i="3" s="1"/>
  <c r="Y1705" i="3"/>
  <c r="X1705" i="3"/>
  <c r="W1705" i="3"/>
  <c r="Y1704" i="3"/>
  <c r="X1704" i="3"/>
  <c r="W1704" i="3"/>
  <c r="S1706" i="3"/>
  <c r="T1706" i="3"/>
  <c r="U1706" i="3"/>
  <c r="V1706" i="3"/>
  <c r="R1706" i="3"/>
  <c r="P1706" i="3"/>
  <c r="M1705" i="3"/>
  <c r="N1705" i="3" s="1"/>
  <c r="O1705" i="3" s="1"/>
  <c r="M1704" i="3"/>
  <c r="L1706" i="3"/>
  <c r="M1702" i="3"/>
  <c r="N1702" i="3"/>
  <c r="L1702" i="3"/>
  <c r="Y1701" i="3"/>
  <c r="X1701" i="3"/>
  <c r="W1701" i="3"/>
  <c r="Z1701" i="3" s="1"/>
  <c r="AA1701" i="3" s="1"/>
  <c r="AC1701" i="3" s="1"/>
  <c r="S1702" i="3"/>
  <c r="T1702" i="3"/>
  <c r="U1702" i="3"/>
  <c r="V1702" i="3"/>
  <c r="R1702" i="3"/>
  <c r="P1702" i="3"/>
  <c r="M1488" i="3"/>
  <c r="U1699" i="3"/>
  <c r="S1696" i="3"/>
  <c r="T1696" i="3"/>
  <c r="U1696" i="3"/>
  <c r="V1696" i="3"/>
  <c r="R1696" i="3"/>
  <c r="X1698" i="3"/>
  <c r="X1695" i="3"/>
  <c r="W1695" i="3"/>
  <c r="S1699" i="3"/>
  <c r="T1699" i="3"/>
  <c r="V1699" i="3"/>
  <c r="P1695" i="3"/>
  <c r="O68" i="20" s="1"/>
  <c r="Q68" i="20" s="1"/>
  <c r="M1695" i="3"/>
  <c r="M1696" i="3" s="1"/>
  <c r="R1699" i="3"/>
  <c r="P1698" i="3"/>
  <c r="O69" i="20" s="1"/>
  <c r="Q69" i="20" s="1"/>
  <c r="M1698" i="3"/>
  <c r="M1699" i="3" s="1"/>
  <c r="L1699" i="3"/>
  <c r="L1696" i="3"/>
  <c r="I1698" i="3"/>
  <c r="J1698" i="3" s="1"/>
  <c r="I1692" i="3"/>
  <c r="J1692" i="3" s="1"/>
  <c r="I1689" i="3"/>
  <c r="J1689" i="3" s="1"/>
  <c r="S1693" i="3"/>
  <c r="T1693" i="3"/>
  <c r="U1693" i="3"/>
  <c r="V1693" i="3"/>
  <c r="R1693" i="3"/>
  <c r="P1693" i="3"/>
  <c r="M1692" i="3"/>
  <c r="N1692" i="3" s="1"/>
  <c r="L1693" i="3"/>
  <c r="M1689" i="3"/>
  <c r="N1689" i="3" s="1"/>
  <c r="L1690" i="3"/>
  <c r="S1690" i="3"/>
  <c r="T1690" i="3"/>
  <c r="U1690" i="3"/>
  <c r="V1690" i="3"/>
  <c r="R1690" i="3"/>
  <c r="P1690" i="3"/>
  <c r="Y1692" i="3"/>
  <c r="X1692" i="3"/>
  <c r="W1692" i="3"/>
  <c r="M91" i="7" s="1"/>
  <c r="T91" i="7" s="1"/>
  <c r="Y1689" i="3"/>
  <c r="X1689" i="3"/>
  <c r="W1689" i="3"/>
  <c r="M12" i="7" s="1"/>
  <c r="T12" i="7" s="1"/>
  <c r="F62" i="7" l="1"/>
  <c r="P1696" i="3"/>
  <c r="Y1696" i="3" s="1"/>
  <c r="G18" i="10"/>
  <c r="M79" i="7"/>
  <c r="T79" i="7" s="1"/>
  <c r="P1699" i="3"/>
  <c r="Y1699" i="3" s="1"/>
  <c r="Z1692" i="3"/>
  <c r="AA1692" i="3" s="1"/>
  <c r="AB1705" i="3"/>
  <c r="Y1702" i="3"/>
  <c r="Y1706" i="3"/>
  <c r="W1706" i="3"/>
  <c r="X1706" i="3"/>
  <c r="Z1705" i="3"/>
  <c r="AA1705" i="3" s="1"/>
  <c r="AC1705" i="3" s="1"/>
  <c r="Z1704" i="3"/>
  <c r="AA1704" i="3" s="1"/>
  <c r="AB1704" i="3"/>
  <c r="M1706" i="3"/>
  <c r="N1704" i="3"/>
  <c r="X1702" i="3"/>
  <c r="AB1701" i="3"/>
  <c r="W1702" i="3"/>
  <c r="W1698" i="3"/>
  <c r="AB1698" i="3" s="1"/>
  <c r="Y1698" i="3"/>
  <c r="Y1695" i="3"/>
  <c r="N1695" i="3"/>
  <c r="AB1695" i="3"/>
  <c r="X1699" i="3"/>
  <c r="X1696" i="3"/>
  <c r="W1696" i="3"/>
  <c r="AB1696" i="3" s="1"/>
  <c r="Z1695" i="3"/>
  <c r="AA1695" i="3" s="1"/>
  <c r="N1698" i="3"/>
  <c r="AB1689" i="3"/>
  <c r="W1690" i="3"/>
  <c r="Z1690" i="3" s="1"/>
  <c r="AA1690" i="3" s="1"/>
  <c r="Y1690" i="3"/>
  <c r="X1690" i="3"/>
  <c r="Y1693" i="3"/>
  <c r="X1693" i="3"/>
  <c r="AB1692" i="3"/>
  <c r="O1692" i="3"/>
  <c r="N1693" i="3"/>
  <c r="O1693" i="3" s="1"/>
  <c r="M1693" i="3"/>
  <c r="O1689" i="3"/>
  <c r="N1690" i="3"/>
  <c r="O1690" i="3" s="1"/>
  <c r="M1690" i="3"/>
  <c r="W1693" i="3"/>
  <c r="Z1689" i="3"/>
  <c r="AA1689" i="3" s="1"/>
  <c r="AC1692" i="3" l="1"/>
  <c r="AB1706" i="3"/>
  <c r="Z1706" i="3"/>
  <c r="AA1706" i="3" s="1"/>
  <c r="N1706" i="3"/>
  <c r="O1706" i="3" s="1"/>
  <c r="O1704" i="3"/>
  <c r="AC1704" i="3" s="1"/>
  <c r="AC1690" i="3"/>
  <c r="AB1702" i="3"/>
  <c r="Z1702" i="3"/>
  <c r="AA1702" i="3" s="1"/>
  <c r="AC1702" i="3" s="1"/>
  <c r="W1699" i="3"/>
  <c r="AB1699" i="3" s="1"/>
  <c r="Z1698" i="3"/>
  <c r="AA1698" i="3" s="1"/>
  <c r="AC1689" i="3"/>
  <c r="N1696" i="3"/>
  <c r="O1696" i="3" s="1"/>
  <c r="O1695" i="3"/>
  <c r="AC1695" i="3" s="1"/>
  <c r="Z1696" i="3"/>
  <c r="AA1696" i="3" s="1"/>
  <c r="N1699" i="3"/>
  <c r="O1699" i="3" s="1"/>
  <c r="O1698" i="3"/>
  <c r="AB1690" i="3"/>
  <c r="AB1693" i="3"/>
  <c r="Z1693" i="3"/>
  <c r="AA1693" i="3" s="1"/>
  <c r="AC1693" i="3" s="1"/>
  <c r="AC1706" i="3" l="1"/>
  <c r="AC1698" i="3"/>
  <c r="Z1699" i="3"/>
  <c r="AA1699" i="3" s="1"/>
  <c r="AC1699" i="3" s="1"/>
  <c r="AC1696" i="3"/>
  <c r="V1684" i="3"/>
  <c r="U1684" i="3"/>
  <c r="T1684" i="3"/>
  <c r="S1684" i="3"/>
  <c r="R1684" i="3"/>
  <c r="P1684" i="3"/>
  <c r="L1684" i="3"/>
  <c r="Y1683" i="3"/>
  <c r="X1683" i="3"/>
  <c r="W1683" i="3"/>
  <c r="M82" i="7" s="1"/>
  <c r="T82" i="7" s="1"/>
  <c r="M1683" i="3"/>
  <c r="M1684" i="3" s="1"/>
  <c r="I1683" i="3"/>
  <c r="J1683" i="3" s="1"/>
  <c r="S1687" i="3"/>
  <c r="T1687" i="3"/>
  <c r="U1687" i="3"/>
  <c r="V1687" i="3"/>
  <c r="R1687" i="3"/>
  <c r="Y1686" i="3"/>
  <c r="X1686" i="3"/>
  <c r="W1686" i="3"/>
  <c r="M87" i="7" s="1"/>
  <c r="T87" i="7" s="1"/>
  <c r="P1687" i="3"/>
  <c r="L1687" i="3"/>
  <c r="M1686" i="3"/>
  <c r="N1686" i="3" s="1"/>
  <c r="I1686" i="3"/>
  <c r="J1686" i="3" s="1"/>
  <c r="Z1683" i="3" l="1"/>
  <c r="AA1683" i="3" s="1"/>
  <c r="W1687" i="3"/>
  <c r="Z1687" i="3" s="1"/>
  <c r="AA1687" i="3" s="1"/>
  <c r="Y1687" i="3"/>
  <c r="X1684" i="3"/>
  <c r="Y1684" i="3"/>
  <c r="AB1683" i="3"/>
  <c r="N1683" i="3"/>
  <c r="X1687" i="3"/>
  <c r="W1684" i="3"/>
  <c r="AB1684" i="3" s="1"/>
  <c r="Z1686" i="3"/>
  <c r="AA1686" i="3" s="1"/>
  <c r="AB1686" i="3"/>
  <c r="N1687" i="3"/>
  <c r="O1687" i="3" s="1"/>
  <c r="O1686" i="3"/>
  <c r="M1687" i="3"/>
  <c r="AB1687" i="3" l="1"/>
  <c r="AC1686" i="3"/>
  <c r="AC1687" i="3"/>
  <c r="Z1684" i="3"/>
  <c r="AA1684" i="3" s="1"/>
  <c r="N1684" i="3"/>
  <c r="O1684" i="3" s="1"/>
  <c r="O1683" i="3"/>
  <c r="AC1683" i="3" s="1"/>
  <c r="AC1684" i="3" l="1"/>
  <c r="L1664" i="3"/>
  <c r="L1669" i="3" s="1"/>
  <c r="L1675" i="3" s="1"/>
  <c r="N1674" i="3"/>
  <c r="O1674" i="3" s="1"/>
  <c r="N1673" i="3"/>
  <c r="O1673" i="3" s="1"/>
  <c r="N1672" i="3"/>
  <c r="O1672" i="3" s="1"/>
  <c r="N1671" i="3"/>
  <c r="O1671" i="3" s="1"/>
  <c r="N1670" i="3"/>
  <c r="O1670" i="3" s="1"/>
  <c r="M1669" i="3"/>
  <c r="M1675" i="3" s="1"/>
  <c r="N1665" i="3"/>
  <c r="O1665" i="3" s="1"/>
  <c r="N1666" i="3"/>
  <c r="O1666" i="3" s="1"/>
  <c r="N1667" i="3"/>
  <c r="O1667" i="3" s="1"/>
  <c r="N1668" i="3"/>
  <c r="O1668" i="3" s="1"/>
  <c r="N1664" i="3" l="1"/>
  <c r="O1664" i="3" l="1"/>
  <c r="N1669" i="3"/>
  <c r="N1675" i="3" l="1"/>
  <c r="O1675" i="3" s="1"/>
  <c r="O1669" i="3"/>
  <c r="Y1680" i="3"/>
  <c r="X1680" i="3"/>
  <c r="W1680" i="3"/>
  <c r="M76" i="7" s="1"/>
  <c r="T76" i="7" s="1"/>
  <c r="Y1677" i="3"/>
  <c r="X1677" i="3"/>
  <c r="W1677" i="3"/>
  <c r="Y1676" i="3"/>
  <c r="X1676" i="3"/>
  <c r="W1676" i="3"/>
  <c r="M1680" i="3"/>
  <c r="M1681" i="3" s="1"/>
  <c r="M1677" i="3"/>
  <c r="N1677" i="3" s="1"/>
  <c r="O1677" i="3" s="1"/>
  <c r="M1676" i="3"/>
  <c r="S1681" i="3"/>
  <c r="T1681" i="3"/>
  <c r="U1681" i="3"/>
  <c r="V1681" i="3"/>
  <c r="R1681" i="3"/>
  <c r="P1681" i="3"/>
  <c r="L1681" i="3"/>
  <c r="S1678" i="3"/>
  <c r="T1678" i="3"/>
  <c r="U1678" i="3"/>
  <c r="V1678" i="3"/>
  <c r="R1678" i="3"/>
  <c r="P1678" i="3"/>
  <c r="L1678" i="3"/>
  <c r="I1677" i="3"/>
  <c r="J1677" i="3" s="1"/>
  <c r="I1676" i="3"/>
  <c r="J1676" i="3" s="1"/>
  <c r="I1680" i="3"/>
  <c r="J1680" i="3" s="1"/>
  <c r="Y1664" i="3"/>
  <c r="S1669" i="3"/>
  <c r="S1675" i="3" s="1"/>
  <c r="T1669" i="3"/>
  <c r="T1675" i="3" s="1"/>
  <c r="U1669" i="3"/>
  <c r="U1675" i="3" s="1"/>
  <c r="V1669" i="3"/>
  <c r="V1675" i="3" s="1"/>
  <c r="R1669" i="3"/>
  <c r="R1675" i="3" s="1"/>
  <c r="Y1674" i="3"/>
  <c r="X1674" i="3"/>
  <c r="W1674" i="3"/>
  <c r="AB1674" i="3" s="1"/>
  <c r="Y1673" i="3"/>
  <c r="X1673" i="3"/>
  <c r="W1673" i="3"/>
  <c r="AB1673" i="3" s="1"/>
  <c r="Y1672" i="3"/>
  <c r="X1672" i="3"/>
  <c r="W1672" i="3"/>
  <c r="AB1672" i="3" s="1"/>
  <c r="Y1671" i="3"/>
  <c r="X1671" i="3"/>
  <c r="W1671" i="3"/>
  <c r="AB1671" i="3" s="1"/>
  <c r="Y1670" i="3"/>
  <c r="X1670" i="3"/>
  <c r="W1670" i="3"/>
  <c r="AB1670" i="3" s="1"/>
  <c r="Y1668" i="3"/>
  <c r="X1668" i="3"/>
  <c r="W1668" i="3"/>
  <c r="AB1668" i="3" s="1"/>
  <c r="Y1667" i="3"/>
  <c r="X1667" i="3"/>
  <c r="W1667" i="3"/>
  <c r="AB1667" i="3" s="1"/>
  <c r="Y1666" i="3"/>
  <c r="X1666" i="3"/>
  <c r="W1666" i="3"/>
  <c r="Z1666" i="3" s="1"/>
  <c r="AA1666" i="3" s="1"/>
  <c r="AC1666" i="3" s="1"/>
  <c r="Y1665" i="3"/>
  <c r="X1665" i="3"/>
  <c r="W1665" i="3"/>
  <c r="AB1665" i="3" s="1"/>
  <c r="X1664" i="3"/>
  <c r="W1664" i="3"/>
  <c r="AB1664" i="3" s="1"/>
  <c r="X1661" i="3"/>
  <c r="W1661" i="3"/>
  <c r="X1658" i="3"/>
  <c r="W1658" i="3"/>
  <c r="M65" i="7" s="1"/>
  <c r="Y1655" i="3"/>
  <c r="X1655" i="3"/>
  <c r="W1655" i="3"/>
  <c r="Y1654" i="3"/>
  <c r="X1654" i="3"/>
  <c r="W1654" i="3"/>
  <c r="Y1651" i="3"/>
  <c r="X1651" i="3"/>
  <c r="W1651" i="3"/>
  <c r="Y1650" i="3"/>
  <c r="X1650" i="3"/>
  <c r="W1650" i="3"/>
  <c r="P1652" i="3"/>
  <c r="M1651" i="3"/>
  <c r="N1651" i="3" s="1"/>
  <c r="O1651" i="3" s="1"/>
  <c r="M1650" i="3"/>
  <c r="L1652" i="3"/>
  <c r="P1656" i="3"/>
  <c r="M1655" i="3"/>
  <c r="N1655" i="3" s="1"/>
  <c r="O1655" i="3" s="1"/>
  <c r="M1654" i="3"/>
  <c r="L1656" i="3"/>
  <c r="P1658" i="3"/>
  <c r="O72" i="20" s="1"/>
  <c r="Q72" i="20" s="1"/>
  <c r="M1658" i="3"/>
  <c r="M1659" i="3" s="1"/>
  <c r="L1659" i="3"/>
  <c r="P1661" i="3"/>
  <c r="O65" i="20" s="1"/>
  <c r="Q65" i="20" s="1"/>
  <c r="M1661" i="3"/>
  <c r="N1661" i="3" s="1"/>
  <c r="L1662" i="3"/>
  <c r="Y1647" i="3"/>
  <c r="V1659" i="3"/>
  <c r="U1659" i="3"/>
  <c r="T1659" i="3"/>
  <c r="S1659" i="3"/>
  <c r="R1659" i="3"/>
  <c r="S1662" i="3"/>
  <c r="T1662" i="3"/>
  <c r="U1662" i="3"/>
  <c r="V1662" i="3"/>
  <c r="R1662" i="3"/>
  <c r="V1656" i="3"/>
  <c r="U1656" i="3"/>
  <c r="T1656" i="3"/>
  <c r="S1656" i="3"/>
  <c r="R1656" i="3"/>
  <c r="S1652" i="3"/>
  <c r="T1652" i="3"/>
  <c r="U1652" i="3"/>
  <c r="V1652" i="3"/>
  <c r="R1652" i="3"/>
  <c r="I1658" i="3"/>
  <c r="J1658" i="3" s="1"/>
  <c r="I1661" i="3"/>
  <c r="J1661" i="3" s="1"/>
  <c r="I1655" i="3"/>
  <c r="J1655" i="3" s="1"/>
  <c r="I1654" i="3"/>
  <c r="J1654" i="3" s="1"/>
  <c r="I1651" i="3"/>
  <c r="J1651" i="3" s="1"/>
  <c r="I1650" i="3"/>
  <c r="J1650" i="3" s="1"/>
  <c r="S1648" i="3"/>
  <c r="T1648" i="3"/>
  <c r="U1648" i="3"/>
  <c r="V1648" i="3"/>
  <c r="R1648" i="3"/>
  <c r="P1648" i="3"/>
  <c r="X1647" i="3"/>
  <c r="W1647" i="3"/>
  <c r="AB1647" i="3" s="1"/>
  <c r="Y1644" i="3"/>
  <c r="X1644" i="3"/>
  <c r="W1644" i="3"/>
  <c r="Z1644" i="3" s="1"/>
  <c r="AA1644" i="3" s="1"/>
  <c r="Y1643" i="3"/>
  <c r="X1643" i="3"/>
  <c r="W1643" i="3"/>
  <c r="Y1642" i="3"/>
  <c r="X1642" i="3"/>
  <c r="W1642" i="3"/>
  <c r="S1645" i="3"/>
  <c r="T1645" i="3"/>
  <c r="U1645" i="3"/>
  <c r="V1645" i="3"/>
  <c r="R1645" i="3"/>
  <c r="P1645" i="3"/>
  <c r="M1644" i="3"/>
  <c r="N1644" i="3" s="1"/>
  <c r="O1644" i="3" s="1"/>
  <c r="M1643" i="3"/>
  <c r="N1643" i="3" s="1"/>
  <c r="O1643" i="3" s="1"/>
  <c r="M1642" i="3"/>
  <c r="L1645" i="3"/>
  <c r="I1644" i="3"/>
  <c r="J1644" i="3" s="1"/>
  <c r="I1643" i="3"/>
  <c r="I1642" i="3"/>
  <c r="J1642" i="3" s="1"/>
  <c r="F65" i="7" l="1"/>
  <c r="T65" i="7" s="1"/>
  <c r="F58" i="7"/>
  <c r="M29" i="7"/>
  <c r="T29" i="7" s="1"/>
  <c r="M30" i="7"/>
  <c r="T30" i="7" s="1"/>
  <c r="M83" i="7"/>
  <c r="T83" i="7" s="1"/>
  <c r="Z1654" i="3"/>
  <c r="AA1654" i="3" s="1"/>
  <c r="M4" i="7"/>
  <c r="M58" i="7"/>
  <c r="P1662" i="3"/>
  <c r="Y1662" i="3" s="1"/>
  <c r="W1659" i="3"/>
  <c r="AB1659" i="3" s="1"/>
  <c r="Z1680" i="3"/>
  <c r="AA1680" i="3" s="1"/>
  <c r="P1659" i="3"/>
  <c r="Y1659" i="3" s="1"/>
  <c r="Z1676" i="3"/>
  <c r="AA1676" i="3" s="1"/>
  <c r="Z1650" i="3"/>
  <c r="AA1650" i="3" s="1"/>
  <c r="Y1681" i="3"/>
  <c r="Y1678" i="3"/>
  <c r="M1678" i="3"/>
  <c r="AB1677" i="3"/>
  <c r="Z1668" i="3"/>
  <c r="AA1668" i="3" s="1"/>
  <c r="AC1668" i="3" s="1"/>
  <c r="AB1666" i="3"/>
  <c r="Z1671" i="3"/>
  <c r="AA1671" i="3" s="1"/>
  <c r="AC1671" i="3" s="1"/>
  <c r="Z1665" i="3"/>
  <c r="AA1665" i="3" s="1"/>
  <c r="AC1665" i="3" s="1"/>
  <c r="X1675" i="3"/>
  <c r="M1656" i="3"/>
  <c r="AB1680" i="3"/>
  <c r="W1681" i="3"/>
  <c r="AB1681" i="3" s="1"/>
  <c r="X1681" i="3"/>
  <c r="AB1676" i="3"/>
  <c r="X1678" i="3"/>
  <c r="W1678" i="3"/>
  <c r="Z1677" i="3"/>
  <c r="AA1677" i="3" s="1"/>
  <c r="AC1677" i="3" s="1"/>
  <c r="N1680" i="3"/>
  <c r="N1676" i="3"/>
  <c r="Z1664" i="3"/>
  <c r="AA1664" i="3" s="1"/>
  <c r="AC1664" i="3" s="1"/>
  <c r="Y1675" i="3"/>
  <c r="Y1669" i="3"/>
  <c r="X1669" i="3"/>
  <c r="Z1674" i="3"/>
  <c r="AA1674" i="3" s="1"/>
  <c r="AC1674" i="3" s="1"/>
  <c r="Z1672" i="3"/>
  <c r="AA1672" i="3" s="1"/>
  <c r="AC1672" i="3" s="1"/>
  <c r="Z1667" i="3"/>
  <c r="AA1667" i="3" s="1"/>
  <c r="AC1667" i="3" s="1"/>
  <c r="Z1673" i="3"/>
  <c r="AA1673" i="3" s="1"/>
  <c r="AC1673" i="3" s="1"/>
  <c r="W1669" i="3"/>
  <c r="Z1670" i="3"/>
  <c r="AA1670" i="3" s="1"/>
  <c r="AC1670" i="3" s="1"/>
  <c r="X1648" i="3"/>
  <c r="Y1652" i="3"/>
  <c r="AB1650" i="3"/>
  <c r="Y1656" i="3"/>
  <c r="N1650" i="3"/>
  <c r="O1650" i="3" s="1"/>
  <c r="Y1658" i="3"/>
  <c r="Y1648" i="3"/>
  <c r="O1661" i="3"/>
  <c r="N1662" i="3"/>
  <c r="O1662" i="3" s="1"/>
  <c r="AB1655" i="3"/>
  <c r="AB1651" i="3"/>
  <c r="M1662" i="3"/>
  <c r="X1659" i="3"/>
  <c r="AB1661" i="3"/>
  <c r="M1645" i="3"/>
  <c r="AB1643" i="3"/>
  <c r="X1662" i="3"/>
  <c r="AC1644" i="3"/>
  <c r="N1654" i="3"/>
  <c r="O1654" i="3" s="1"/>
  <c r="Y1645" i="3"/>
  <c r="M1652" i="3"/>
  <c r="Y1661" i="3"/>
  <c r="Z1658" i="3"/>
  <c r="AA1658" i="3" s="1"/>
  <c r="AB1658" i="3"/>
  <c r="X1656" i="3"/>
  <c r="AB1654" i="3"/>
  <c r="X1652" i="3"/>
  <c r="W1652" i="3"/>
  <c r="W1662" i="3"/>
  <c r="Z1661" i="3"/>
  <c r="AA1661" i="3" s="1"/>
  <c r="W1656" i="3"/>
  <c r="Z1655" i="3"/>
  <c r="AA1655" i="3" s="1"/>
  <c r="AC1655" i="3" s="1"/>
  <c r="Z1651" i="3"/>
  <c r="AA1651" i="3" s="1"/>
  <c r="AC1651" i="3" s="1"/>
  <c r="N1658" i="3"/>
  <c r="W1648" i="3"/>
  <c r="Z1647" i="3"/>
  <c r="AB1644" i="3"/>
  <c r="Z1643" i="3"/>
  <c r="AA1643" i="3" s="1"/>
  <c r="AC1643" i="3" s="1"/>
  <c r="X1645" i="3"/>
  <c r="W1645" i="3"/>
  <c r="Z1645" i="3" s="1"/>
  <c r="AA1645" i="3" s="1"/>
  <c r="Z1642" i="3"/>
  <c r="AA1642" i="3" s="1"/>
  <c r="AB1642" i="3"/>
  <c r="N1642" i="3"/>
  <c r="V1263" i="3"/>
  <c r="X1639" i="3"/>
  <c r="W1639" i="3"/>
  <c r="X1638" i="3"/>
  <c r="W1638" i="3"/>
  <c r="S1640" i="3"/>
  <c r="T1640" i="3"/>
  <c r="U1640" i="3"/>
  <c r="V1640" i="3"/>
  <c r="R1640" i="3"/>
  <c r="I1639" i="3"/>
  <c r="J1639" i="3" s="1"/>
  <c r="I1638" i="3"/>
  <c r="J1638" i="3" s="1"/>
  <c r="P1639" i="3"/>
  <c r="Y1639" i="3" s="1"/>
  <c r="P1638" i="3"/>
  <c r="L1639" i="3"/>
  <c r="M1639" i="3" s="1"/>
  <c r="N1639" i="3" s="1"/>
  <c r="O1639" i="3" s="1"/>
  <c r="L1638" i="3"/>
  <c r="M1638" i="3" s="1"/>
  <c r="Y1635" i="3"/>
  <c r="X1635" i="3"/>
  <c r="W1635" i="3"/>
  <c r="AB1635" i="3" s="1"/>
  <c r="Y1634" i="3"/>
  <c r="X1634" i="3"/>
  <c r="W1634" i="3"/>
  <c r="AB1634" i="3" s="1"/>
  <c r="Y1633" i="3"/>
  <c r="X1633" i="3"/>
  <c r="W1633" i="3"/>
  <c r="W1628" i="3"/>
  <c r="S1636" i="3"/>
  <c r="T1636" i="3"/>
  <c r="U1636" i="3"/>
  <c r="V1636" i="3"/>
  <c r="R1636" i="3"/>
  <c r="P1636" i="3"/>
  <c r="N1635" i="3"/>
  <c r="O1635" i="3" s="1"/>
  <c r="N1634" i="3"/>
  <c r="O1634" i="3" s="1"/>
  <c r="N1633" i="3"/>
  <c r="O1633" i="3" s="1"/>
  <c r="M1636" i="3"/>
  <c r="F42" i="7" l="1"/>
  <c r="O48" i="20"/>
  <c r="Q48" i="20" s="1"/>
  <c r="T4" i="7"/>
  <c r="T58" i="7"/>
  <c r="M42" i="7"/>
  <c r="AC1654" i="3"/>
  <c r="AC1650" i="3"/>
  <c r="Z1659" i="3"/>
  <c r="AA1659" i="3" s="1"/>
  <c r="Z1681" i="3"/>
  <c r="AA1681" i="3" s="1"/>
  <c r="N1656" i="3"/>
  <c r="O1656" i="3" s="1"/>
  <c r="AB1645" i="3"/>
  <c r="AB1678" i="3"/>
  <c r="Z1678" i="3"/>
  <c r="AA1678" i="3" s="1"/>
  <c r="N1681" i="3"/>
  <c r="O1681" i="3" s="1"/>
  <c r="O1680" i="3"/>
  <c r="AC1680" i="3" s="1"/>
  <c r="O1676" i="3"/>
  <c r="AC1676" i="3" s="1"/>
  <c r="N1678" i="3"/>
  <c r="O1678" i="3" s="1"/>
  <c r="AB1669" i="3"/>
  <c r="Z1669" i="3"/>
  <c r="AA1669" i="3" s="1"/>
  <c r="AC1669" i="3" s="1"/>
  <c r="W1675" i="3"/>
  <c r="N1652" i="3"/>
  <c r="O1652" i="3" s="1"/>
  <c r="AC1661" i="3"/>
  <c r="AB1652" i="3"/>
  <c r="AA1647" i="3"/>
  <c r="AC1647" i="3" s="1"/>
  <c r="M1640" i="3"/>
  <c r="Z1652" i="3"/>
  <c r="AA1652" i="3" s="1"/>
  <c r="AB1662" i="3"/>
  <c r="Z1662" i="3"/>
  <c r="AA1662" i="3" s="1"/>
  <c r="AC1662" i="3" s="1"/>
  <c r="AB1656" i="3"/>
  <c r="Z1656" i="3"/>
  <c r="AA1656" i="3" s="1"/>
  <c r="N1659" i="3"/>
  <c r="O1659" i="3" s="1"/>
  <c r="O1658" i="3"/>
  <c r="AC1658" i="3" s="1"/>
  <c r="Z1648" i="3"/>
  <c r="AB1648" i="3"/>
  <c r="N1645" i="3"/>
  <c r="O1645" i="3" s="1"/>
  <c r="AC1645" i="3" s="1"/>
  <c r="O1642" i="3"/>
  <c r="AC1642" i="3" s="1"/>
  <c r="P1640" i="3"/>
  <c r="Y1640" i="3" s="1"/>
  <c r="AB1638" i="3"/>
  <c r="Y1638" i="3"/>
  <c r="Z1639" i="3"/>
  <c r="AA1639" i="3" s="1"/>
  <c r="AC1639" i="3" s="1"/>
  <c r="N1636" i="3"/>
  <c r="L1640" i="3"/>
  <c r="Y1636" i="3"/>
  <c r="AB1639" i="3"/>
  <c r="W1640" i="3"/>
  <c r="X1640" i="3"/>
  <c r="Z1638" i="3"/>
  <c r="AA1638" i="3" s="1"/>
  <c r="N1638" i="3"/>
  <c r="Z1635" i="3"/>
  <c r="AA1635" i="3" s="1"/>
  <c r="AC1635" i="3" s="1"/>
  <c r="W1636" i="3"/>
  <c r="Z1636" i="3" s="1"/>
  <c r="AA1636" i="3" s="1"/>
  <c r="X1636" i="3"/>
  <c r="Z1634" i="3"/>
  <c r="AA1634" i="3" s="1"/>
  <c r="AC1634" i="3" s="1"/>
  <c r="Z1633" i="3"/>
  <c r="AA1633" i="3" s="1"/>
  <c r="AC1633" i="3" s="1"/>
  <c r="AB1633" i="3"/>
  <c r="L1636" i="3"/>
  <c r="X1628" i="3"/>
  <c r="Y1628" i="3"/>
  <c r="Z1628" i="3"/>
  <c r="AA1628" i="3" s="1"/>
  <c r="X1629" i="3"/>
  <c r="Y1629" i="3"/>
  <c r="Y1630" i="3"/>
  <c r="X1630" i="3"/>
  <c r="S1631" i="3"/>
  <c r="T1631" i="3"/>
  <c r="U1631" i="3"/>
  <c r="V1631" i="3"/>
  <c r="R1631" i="3"/>
  <c r="W1630" i="3"/>
  <c r="W1629" i="3"/>
  <c r="Z1629" i="3" s="1"/>
  <c r="AA1629" i="3" s="1"/>
  <c r="M1629" i="3"/>
  <c r="N1629" i="3" s="1"/>
  <c r="O1629" i="3" s="1"/>
  <c r="M1630" i="3"/>
  <c r="N1630" i="3" s="1"/>
  <c r="O1630" i="3" s="1"/>
  <c r="M1628" i="3"/>
  <c r="N1628" i="3" s="1"/>
  <c r="O1628" i="3" s="1"/>
  <c r="P1631" i="3"/>
  <c r="L1631" i="3"/>
  <c r="I1630" i="3"/>
  <c r="J1630" i="3" s="1"/>
  <c r="I1629" i="3"/>
  <c r="J1629" i="3" s="1"/>
  <c r="I1628" i="3"/>
  <c r="J1628" i="3" s="1"/>
  <c r="M24" i="7" l="1"/>
  <c r="T24" i="7" s="1"/>
  <c r="T42" i="7"/>
  <c r="AC1659" i="3"/>
  <c r="AC1681" i="3"/>
  <c r="AC1678" i="3"/>
  <c r="AC1656" i="3"/>
  <c r="Z1675" i="3"/>
  <c r="AA1675" i="3" s="1"/>
  <c r="AC1675" i="3" s="1"/>
  <c r="AB1675" i="3"/>
  <c r="AC1652" i="3"/>
  <c r="X1631" i="3"/>
  <c r="AB1628" i="3"/>
  <c r="AC1629" i="3"/>
  <c r="M1631" i="3"/>
  <c r="AA1648" i="3"/>
  <c r="AC1648" i="3" s="1"/>
  <c r="Y1631" i="3"/>
  <c r="AB1630" i="3"/>
  <c r="Z1630" i="3"/>
  <c r="AA1630" i="3" s="1"/>
  <c r="AC1630" i="3" s="1"/>
  <c r="AC1628" i="3"/>
  <c r="AB1629" i="3"/>
  <c r="O1636" i="3"/>
  <c r="AC1636" i="3" s="1"/>
  <c r="Z1640" i="3"/>
  <c r="AA1640" i="3" s="1"/>
  <c r="AB1640" i="3"/>
  <c r="N1640" i="3"/>
  <c r="O1640" i="3" s="1"/>
  <c r="O1638" i="3"/>
  <c r="AC1638" i="3" s="1"/>
  <c r="AB1636" i="3"/>
  <c r="W1631" i="3"/>
  <c r="N1631" i="3"/>
  <c r="O1631" i="3" s="1"/>
  <c r="W1625" i="3"/>
  <c r="M48" i="7" s="1"/>
  <c r="T48" i="7" s="1"/>
  <c r="Y1625" i="3"/>
  <c r="X1625" i="3"/>
  <c r="S1626" i="3"/>
  <c r="T1626" i="3"/>
  <c r="U1626" i="3"/>
  <c r="V1626" i="3"/>
  <c r="R1626" i="3"/>
  <c r="P1626" i="3"/>
  <c r="L1626" i="3"/>
  <c r="M1625" i="3"/>
  <c r="N1625" i="3" s="1"/>
  <c r="O1625" i="3" s="1"/>
  <c r="I1625" i="3"/>
  <c r="J1625" i="3" s="1"/>
  <c r="W1626" i="3" l="1"/>
  <c r="Z1626" i="3" s="1"/>
  <c r="AA1626" i="3" s="1"/>
  <c r="AC1640" i="3"/>
  <c r="Z1631" i="3"/>
  <c r="AA1631" i="3" s="1"/>
  <c r="AC1631" i="3" s="1"/>
  <c r="AB1631" i="3"/>
  <c r="Z1625" i="3"/>
  <c r="AA1625" i="3" s="1"/>
  <c r="AC1625" i="3" s="1"/>
  <c r="Y1626" i="3"/>
  <c r="X1626" i="3"/>
  <c r="AB1625" i="3"/>
  <c r="M1626" i="3"/>
  <c r="N1626" i="3"/>
  <c r="O1626" i="3" s="1"/>
  <c r="W1263" i="3"/>
  <c r="AB1263" i="3" s="1"/>
  <c r="Y1622" i="3"/>
  <c r="X1622" i="3"/>
  <c r="W1622" i="3"/>
  <c r="Y1621" i="3"/>
  <c r="X1621" i="3"/>
  <c r="W1621" i="3"/>
  <c r="Z1621" i="3" s="1"/>
  <c r="AA1621" i="3" s="1"/>
  <c r="S1623" i="3"/>
  <c r="T1623" i="3"/>
  <c r="U1623" i="3"/>
  <c r="V1623" i="3"/>
  <c r="R1623" i="3"/>
  <c r="S1619" i="3"/>
  <c r="T1619" i="3"/>
  <c r="U1619" i="3"/>
  <c r="V1619" i="3"/>
  <c r="R1619" i="3"/>
  <c r="S1615" i="3"/>
  <c r="T1615" i="3"/>
  <c r="U1615" i="3"/>
  <c r="V1615" i="3"/>
  <c r="R1615" i="3"/>
  <c r="I1622" i="3"/>
  <c r="J1622" i="3" s="1"/>
  <c r="I1621" i="3"/>
  <c r="J1621" i="3" s="1"/>
  <c r="I1618" i="3"/>
  <c r="J1618" i="3" s="1"/>
  <c r="I1617" i="3"/>
  <c r="J1617" i="3" s="1"/>
  <c r="I1614" i="3"/>
  <c r="J1614" i="3" s="1"/>
  <c r="I1613" i="3"/>
  <c r="J1613" i="3" s="1"/>
  <c r="I1610" i="3"/>
  <c r="J1610" i="3" s="1"/>
  <c r="I1609" i="3"/>
  <c r="J1609" i="3" s="1"/>
  <c r="M1622" i="3"/>
  <c r="N1622" i="3" s="1"/>
  <c r="O1622" i="3" s="1"/>
  <c r="M1621" i="3"/>
  <c r="N1621" i="3" s="1"/>
  <c r="P1623" i="3"/>
  <c r="L1623" i="3"/>
  <c r="M1618" i="3"/>
  <c r="N1618" i="3" s="1"/>
  <c r="O1618" i="3" s="1"/>
  <c r="M1617" i="3"/>
  <c r="P1619" i="3"/>
  <c r="L1619" i="3"/>
  <c r="M1614" i="3"/>
  <c r="N1614" i="3" s="1"/>
  <c r="O1614" i="3" s="1"/>
  <c r="M1613" i="3"/>
  <c r="N1613" i="3" s="1"/>
  <c r="P1615" i="3"/>
  <c r="L1615" i="3"/>
  <c r="M1610" i="3"/>
  <c r="N1610" i="3" s="1"/>
  <c r="O1610" i="3" s="1"/>
  <c r="M1609" i="3"/>
  <c r="N1609" i="3" s="1"/>
  <c r="O1609" i="3" s="1"/>
  <c r="S1611" i="3"/>
  <c r="T1611" i="3"/>
  <c r="U1611" i="3"/>
  <c r="V1611" i="3"/>
  <c r="R1611" i="3"/>
  <c r="P1611" i="3"/>
  <c r="L1611" i="3"/>
  <c r="M1588" i="3"/>
  <c r="M1587" i="3"/>
  <c r="Y1618" i="3"/>
  <c r="X1618" i="3"/>
  <c r="W1618" i="3"/>
  <c r="Z1618" i="3" s="1"/>
  <c r="AA1618" i="3" s="1"/>
  <c r="Y1617" i="3"/>
  <c r="X1617" i="3"/>
  <c r="W1617" i="3"/>
  <c r="M89" i="7" s="1"/>
  <c r="T89" i="7" s="1"/>
  <c r="Y1614" i="3"/>
  <c r="X1614" i="3"/>
  <c r="W1614" i="3"/>
  <c r="Y1613" i="3"/>
  <c r="X1613" i="3"/>
  <c r="W1613" i="3"/>
  <c r="Y1610" i="3"/>
  <c r="X1610" i="3"/>
  <c r="W1610" i="3"/>
  <c r="Y1609" i="3"/>
  <c r="X1609" i="3"/>
  <c r="W1609" i="3"/>
  <c r="W1605" i="3"/>
  <c r="Z1605" i="3" s="1"/>
  <c r="AA1605" i="3" s="1"/>
  <c r="X1605" i="3"/>
  <c r="Y1605" i="3"/>
  <c r="W1606" i="3"/>
  <c r="Z1606" i="3" s="1"/>
  <c r="AA1606" i="3" s="1"/>
  <c r="X1606" i="3"/>
  <c r="Y1606" i="3"/>
  <c r="S1601" i="3"/>
  <c r="T1601" i="3"/>
  <c r="T1607" i="3" s="1"/>
  <c r="U1601" i="3"/>
  <c r="V1601" i="3"/>
  <c r="V1607" i="3" s="1"/>
  <c r="R1601" i="3"/>
  <c r="R1607" i="3" s="1"/>
  <c r="W1599" i="3"/>
  <c r="X1599" i="3"/>
  <c r="W1600" i="3"/>
  <c r="Z1600" i="3" s="1"/>
  <c r="AA1600" i="3" s="1"/>
  <c r="X1600" i="3"/>
  <c r="Y1600" i="3"/>
  <c r="Y1604" i="3"/>
  <c r="X1604" i="3"/>
  <c r="W1604" i="3"/>
  <c r="AB1604" i="3" s="1"/>
  <c r="Y1603" i="3"/>
  <c r="X1603" i="3"/>
  <c r="W1603" i="3"/>
  <c r="AB1603" i="3" s="1"/>
  <c r="Y1602" i="3"/>
  <c r="X1602" i="3"/>
  <c r="W1602" i="3"/>
  <c r="Z1602" i="3" s="1"/>
  <c r="AA1602" i="3" s="1"/>
  <c r="Y1598" i="3"/>
  <c r="X1598" i="3"/>
  <c r="W1598" i="3"/>
  <c r="AB1598" i="3" s="1"/>
  <c r="Y1597" i="3"/>
  <c r="X1597" i="3"/>
  <c r="W1597" i="3"/>
  <c r="Z1597" i="3" s="1"/>
  <c r="AA1597" i="3" s="1"/>
  <c r="Y1596" i="3"/>
  <c r="X1596" i="3"/>
  <c r="W1596" i="3"/>
  <c r="AB1596" i="3" s="1"/>
  <c r="Y1593" i="3"/>
  <c r="X1593" i="3"/>
  <c r="W1593" i="3"/>
  <c r="AB1593" i="3" s="1"/>
  <c r="Y1592" i="3"/>
  <c r="X1592" i="3"/>
  <c r="W1592" i="3"/>
  <c r="AB1592" i="3" s="1"/>
  <c r="Y1591" i="3"/>
  <c r="X1591" i="3"/>
  <c r="W1591" i="3"/>
  <c r="P1601" i="3"/>
  <c r="P1607" i="3" s="1"/>
  <c r="W1587" i="3"/>
  <c r="M96" i="7" s="1"/>
  <c r="T96" i="7" s="1"/>
  <c r="Y1588" i="3"/>
  <c r="X1588" i="3"/>
  <c r="W1588" i="3"/>
  <c r="Y1587" i="3"/>
  <c r="X1587" i="3"/>
  <c r="S1589" i="3"/>
  <c r="T1589" i="3"/>
  <c r="U1589" i="3"/>
  <c r="V1589" i="3"/>
  <c r="R1589" i="3"/>
  <c r="P1589" i="3"/>
  <c r="S1594" i="3"/>
  <c r="T1594" i="3"/>
  <c r="U1594" i="3"/>
  <c r="V1594" i="3"/>
  <c r="R1594" i="3"/>
  <c r="P1594" i="3"/>
  <c r="AB1626" i="3" l="1"/>
  <c r="Z1613" i="3"/>
  <c r="AA1613" i="3" s="1"/>
  <c r="M17" i="7"/>
  <c r="T17" i="7" s="1"/>
  <c r="Z1587" i="3"/>
  <c r="AA1587" i="3" s="1"/>
  <c r="Z1617" i="3"/>
  <c r="AA1617" i="3" s="1"/>
  <c r="Y1599" i="3"/>
  <c r="Z1599" i="3"/>
  <c r="AA1599" i="3" s="1"/>
  <c r="AC1626" i="3"/>
  <c r="W1611" i="3"/>
  <c r="Z1611" i="3" s="1"/>
  <c r="AA1611" i="3" s="1"/>
  <c r="AB1614" i="3"/>
  <c r="Y1615" i="3"/>
  <c r="M1611" i="3"/>
  <c r="AB1610" i="3"/>
  <c r="Y1619" i="3"/>
  <c r="AB1621" i="3"/>
  <c r="Y1623" i="3"/>
  <c r="X1623" i="3"/>
  <c r="W1623" i="3"/>
  <c r="Z1623" i="3" s="1"/>
  <c r="AA1623" i="3" s="1"/>
  <c r="AB1622" i="3"/>
  <c r="W1615" i="3"/>
  <c r="Z1615" i="3" s="1"/>
  <c r="AA1615" i="3" s="1"/>
  <c r="M1623" i="3"/>
  <c r="M1615" i="3"/>
  <c r="N1623" i="3"/>
  <c r="O1623" i="3" s="1"/>
  <c r="X1619" i="3"/>
  <c r="Y1611" i="3"/>
  <c r="Y1589" i="3"/>
  <c r="M1619" i="3"/>
  <c r="Z1622" i="3"/>
  <c r="AA1622" i="3" s="1"/>
  <c r="AC1622" i="3" s="1"/>
  <c r="X1615" i="3"/>
  <c r="O1621" i="3"/>
  <c r="AC1621" i="3" s="1"/>
  <c r="N1617" i="3"/>
  <c r="AC1618" i="3"/>
  <c r="N1615" i="3"/>
  <c r="O1615" i="3" s="1"/>
  <c r="O1613" i="3"/>
  <c r="N1611" i="3"/>
  <c r="O1611" i="3" s="1"/>
  <c r="X1611" i="3"/>
  <c r="Z1610" i="3"/>
  <c r="AA1610" i="3" s="1"/>
  <c r="AC1610" i="3" s="1"/>
  <c r="X1601" i="3"/>
  <c r="AB1618" i="3"/>
  <c r="W1619" i="3"/>
  <c r="Z1619" i="3" s="1"/>
  <c r="AA1619" i="3" s="1"/>
  <c r="Y1594" i="3"/>
  <c r="AB1617" i="3"/>
  <c r="Z1614" i="3"/>
  <c r="AA1614" i="3" s="1"/>
  <c r="AC1614" i="3" s="1"/>
  <c r="Z1609" i="3"/>
  <c r="AA1609" i="3" s="1"/>
  <c r="AC1609" i="3" s="1"/>
  <c r="Y1601" i="3"/>
  <c r="AB1613" i="3"/>
  <c r="Z1593" i="3"/>
  <c r="AA1593" i="3" s="1"/>
  <c r="X1594" i="3"/>
  <c r="Z1592" i="3"/>
  <c r="AA1592" i="3" s="1"/>
  <c r="W1594" i="3"/>
  <c r="AB1609" i="3"/>
  <c r="AB1602" i="3"/>
  <c r="S1607" i="3"/>
  <c r="X1607" i="3" s="1"/>
  <c r="U1607" i="3"/>
  <c r="Y1607" i="3" s="1"/>
  <c r="Z1598" i="3"/>
  <c r="AA1598" i="3" s="1"/>
  <c r="W1601" i="3"/>
  <c r="AB1606" i="3"/>
  <c r="AB1605" i="3"/>
  <c r="AB1600" i="3"/>
  <c r="Z1604" i="3"/>
  <c r="AA1604" i="3" s="1"/>
  <c r="Z1603" i="3"/>
  <c r="AA1603" i="3" s="1"/>
  <c r="Z1596" i="3"/>
  <c r="AA1596" i="3" s="1"/>
  <c r="AB1597" i="3"/>
  <c r="Z1591" i="3"/>
  <c r="AA1591" i="3" s="1"/>
  <c r="AB1591" i="3"/>
  <c r="X1589" i="3"/>
  <c r="W1589" i="3"/>
  <c r="Z1588" i="3"/>
  <c r="AA1588" i="3" s="1"/>
  <c r="AC1613" i="3" l="1"/>
  <c r="AB1611" i="3"/>
  <c r="AC1615" i="3"/>
  <c r="AB1623" i="3"/>
  <c r="AB1619" i="3"/>
  <c r="AB1615" i="3"/>
  <c r="AC1623" i="3"/>
  <c r="N1619" i="3"/>
  <c r="O1619" i="3" s="1"/>
  <c r="AC1619" i="3" s="1"/>
  <c r="O1617" i="3"/>
  <c r="AC1617" i="3" s="1"/>
  <c r="AC1611" i="3"/>
  <c r="Z1594" i="3"/>
  <c r="AA1594" i="3" s="1"/>
  <c r="Z1601" i="3"/>
  <c r="AA1601" i="3" s="1"/>
  <c r="W1607" i="3"/>
  <c r="Z1589" i="3"/>
  <c r="AA1589" i="3" s="1"/>
  <c r="Z1607" i="3" l="1"/>
  <c r="AA1607" i="3" s="1"/>
  <c r="M1599" i="3"/>
  <c r="L1599" i="3"/>
  <c r="L1601" i="3" s="1"/>
  <c r="N1606" i="3"/>
  <c r="O1606" i="3" s="1"/>
  <c r="AC1606" i="3" s="1"/>
  <c r="N1605" i="3"/>
  <c r="O1605" i="3" s="1"/>
  <c r="AC1605" i="3" s="1"/>
  <c r="N1604" i="3"/>
  <c r="O1604" i="3" s="1"/>
  <c r="AC1604" i="3" s="1"/>
  <c r="N1603" i="3"/>
  <c r="O1603" i="3" s="1"/>
  <c r="AC1603" i="3" s="1"/>
  <c r="N1602" i="3"/>
  <c r="O1602" i="3" s="1"/>
  <c r="AC1602" i="3" s="1"/>
  <c r="N1600" i="3"/>
  <c r="O1600" i="3" s="1"/>
  <c r="AC1600" i="3" s="1"/>
  <c r="N1598" i="3"/>
  <c r="O1598" i="3" s="1"/>
  <c r="AC1598" i="3" s="1"/>
  <c r="N1597" i="3"/>
  <c r="O1597" i="3" s="1"/>
  <c r="AC1597" i="3" s="1"/>
  <c r="N1596" i="3"/>
  <c r="O1596" i="3" s="1"/>
  <c r="AC1596" i="3" s="1"/>
  <c r="I1588" i="3"/>
  <c r="J1588" i="3" s="1"/>
  <c r="I1587" i="3"/>
  <c r="J1587" i="3" s="1"/>
  <c r="N1593" i="3"/>
  <c r="O1593" i="3" s="1"/>
  <c r="AC1593" i="3" s="1"/>
  <c r="N1592" i="3"/>
  <c r="O1592" i="3" s="1"/>
  <c r="AC1592" i="3" s="1"/>
  <c r="N1591" i="3"/>
  <c r="O1591" i="3" s="1"/>
  <c r="AC1591" i="3" s="1"/>
  <c r="L1589" i="3"/>
  <c r="M1594" i="3"/>
  <c r="AB1594" i="3" s="1"/>
  <c r="M1601" i="3" l="1"/>
  <c r="AB1601" i="3" s="1"/>
  <c r="AB1599" i="3"/>
  <c r="N1587" i="3"/>
  <c r="O1587" i="3" s="1"/>
  <c r="AC1587" i="3" s="1"/>
  <c r="AB1587" i="3"/>
  <c r="M1589" i="3"/>
  <c r="AB1589" i="3" s="1"/>
  <c r="AB1588" i="3"/>
  <c r="N1599" i="3"/>
  <c r="O1599" i="3" s="1"/>
  <c r="AC1599" i="3" s="1"/>
  <c r="L1607" i="3"/>
  <c r="N1588" i="3"/>
  <c r="O1588" i="3" s="1"/>
  <c r="AC1588" i="3" s="1"/>
  <c r="N1594" i="3"/>
  <c r="N1601" i="3" l="1"/>
  <c r="O1601" i="3" s="1"/>
  <c r="AC1601" i="3" s="1"/>
  <c r="M1607" i="3"/>
  <c r="AB1607" i="3" s="1"/>
  <c r="N1589" i="3"/>
  <c r="O1589" i="3" s="1"/>
  <c r="AC1589" i="3" s="1"/>
  <c r="L1594" i="3"/>
  <c r="O1594" i="3" s="1"/>
  <c r="AC1594" i="3" s="1"/>
  <c r="W1560" i="3"/>
  <c r="M36" i="7" s="1"/>
  <c r="Y1584" i="3"/>
  <c r="X1584" i="3"/>
  <c r="W1584" i="3"/>
  <c r="M73" i="7" s="1"/>
  <c r="T73" i="7" s="1"/>
  <c r="S1585" i="3"/>
  <c r="T1585" i="3"/>
  <c r="U1585" i="3"/>
  <c r="V1585" i="3"/>
  <c r="R1585" i="3"/>
  <c r="P1585" i="3"/>
  <c r="M1584" i="3"/>
  <c r="N1584" i="3" s="1"/>
  <c r="L1585" i="3"/>
  <c r="I1584" i="3"/>
  <c r="J1584" i="3" s="1"/>
  <c r="Y1581" i="3"/>
  <c r="X1581" i="3"/>
  <c r="Y1580" i="3"/>
  <c r="X1580" i="3"/>
  <c r="W1581" i="3"/>
  <c r="Z1581" i="3" s="1"/>
  <c r="AA1581" i="3" s="1"/>
  <c r="W1580" i="3"/>
  <c r="M27" i="7" s="1"/>
  <c r="T27" i="7" s="1"/>
  <c r="S1582" i="3"/>
  <c r="T1582" i="3"/>
  <c r="U1582" i="3"/>
  <c r="V1582" i="3"/>
  <c r="R1582" i="3"/>
  <c r="P1582" i="3"/>
  <c r="M1581" i="3"/>
  <c r="M1580" i="3"/>
  <c r="N1580" i="3" s="1"/>
  <c r="L1582" i="3"/>
  <c r="I1580" i="3"/>
  <c r="I1581" i="3"/>
  <c r="J1581" i="3" s="1"/>
  <c r="I1577" i="3"/>
  <c r="J1577" i="3" s="1"/>
  <c r="I1574" i="3"/>
  <c r="J1574" i="3" s="1"/>
  <c r="S1575" i="3"/>
  <c r="T1575" i="3"/>
  <c r="U1575" i="3"/>
  <c r="V1575" i="3"/>
  <c r="R1575" i="3"/>
  <c r="P1575" i="3"/>
  <c r="M1574" i="3"/>
  <c r="N1574" i="3" s="1"/>
  <c r="L1575" i="3"/>
  <c r="L1578" i="3"/>
  <c r="M1577" i="3"/>
  <c r="N1577" i="3" s="1"/>
  <c r="O1577" i="3" s="1"/>
  <c r="S1578" i="3"/>
  <c r="T1578" i="3"/>
  <c r="U1578" i="3"/>
  <c r="V1578" i="3"/>
  <c r="R1578" i="3"/>
  <c r="P1578" i="3"/>
  <c r="Y1574" i="3"/>
  <c r="X1574" i="3"/>
  <c r="W1574" i="3"/>
  <c r="Y1577" i="3"/>
  <c r="X1577" i="3"/>
  <c r="W1577" i="3"/>
  <c r="M61" i="7" s="1"/>
  <c r="T61" i="7" s="1"/>
  <c r="N1566" i="3"/>
  <c r="O1566" i="3" s="1"/>
  <c r="N1567" i="3"/>
  <c r="O1567" i="3" s="1"/>
  <c r="N1568" i="3"/>
  <c r="O1568" i="3" s="1"/>
  <c r="N1569" i="3"/>
  <c r="O1569" i="3" s="1"/>
  <c r="N1570" i="3"/>
  <c r="O1570" i="3" s="1"/>
  <c r="M1572" i="3"/>
  <c r="L1572" i="3"/>
  <c r="N1571" i="3"/>
  <c r="O1571" i="3" s="1"/>
  <c r="W1575" i="3" l="1"/>
  <c r="Z1575" i="3" s="1"/>
  <c r="AA1575" i="3" s="1"/>
  <c r="M8" i="7"/>
  <c r="T8" i="7" s="1"/>
  <c r="W1585" i="3"/>
  <c r="Z1585" i="3" s="1"/>
  <c r="AA1585" i="3" s="1"/>
  <c r="Z1580" i="3"/>
  <c r="AA1580" i="3" s="1"/>
  <c r="W1578" i="3"/>
  <c r="N1607" i="3"/>
  <c r="O1607" i="3" s="1"/>
  <c r="AC1607" i="3" s="1"/>
  <c r="M1575" i="3"/>
  <c r="Y1575" i="3"/>
  <c r="M1578" i="3"/>
  <c r="M1582" i="3"/>
  <c r="M1585" i="3"/>
  <c r="Y1582" i="3"/>
  <c r="X1582" i="3"/>
  <c r="X1585" i="3"/>
  <c r="AB1584" i="3"/>
  <c r="AB1580" i="3"/>
  <c r="Y1585" i="3"/>
  <c r="AB1581" i="3"/>
  <c r="Z1584" i="3"/>
  <c r="AA1584" i="3" s="1"/>
  <c r="O1584" i="3"/>
  <c r="N1585" i="3"/>
  <c r="O1585" i="3" s="1"/>
  <c r="W1582" i="3"/>
  <c r="N1578" i="3"/>
  <c r="O1578" i="3" s="1"/>
  <c r="O1580" i="3"/>
  <c r="N1581" i="3"/>
  <c r="O1581" i="3" s="1"/>
  <c r="AC1581" i="3" s="1"/>
  <c r="X1578" i="3"/>
  <c r="X1575" i="3"/>
  <c r="O1574" i="3"/>
  <c r="N1575" i="3"/>
  <c r="O1575" i="3" s="1"/>
  <c r="AB1577" i="3"/>
  <c r="Y1578" i="3"/>
  <c r="Z1574" i="3"/>
  <c r="AA1574" i="3" s="1"/>
  <c r="AB1574" i="3"/>
  <c r="Z1577" i="3"/>
  <c r="AA1577" i="3" s="1"/>
  <c r="AC1577" i="3" s="1"/>
  <c r="N1572" i="3"/>
  <c r="O1572" i="3" s="1"/>
  <c r="AC1580" i="3" l="1"/>
  <c r="AB1585" i="3"/>
  <c r="AB1575" i="3"/>
  <c r="N1582" i="3"/>
  <c r="O1582" i="3" s="1"/>
  <c r="AB1582" i="3"/>
  <c r="AC1584" i="3"/>
  <c r="Z1582" i="3"/>
  <c r="AA1582" i="3" s="1"/>
  <c r="AC1585" i="3"/>
  <c r="AC1574" i="3"/>
  <c r="AC1575" i="3"/>
  <c r="AB1578" i="3"/>
  <c r="Z1578" i="3"/>
  <c r="AA1578" i="3" s="1"/>
  <c r="AC1578" i="3" s="1"/>
  <c r="X1571" i="3"/>
  <c r="Y1571" i="3"/>
  <c r="Y1570" i="3"/>
  <c r="X1570" i="3"/>
  <c r="Y1569" i="3"/>
  <c r="X1569" i="3"/>
  <c r="Y1568" i="3"/>
  <c r="X1568" i="3"/>
  <c r="Y1567" i="3"/>
  <c r="X1567" i="3"/>
  <c r="Y1566" i="3"/>
  <c r="X1566" i="3"/>
  <c r="S1572" i="3"/>
  <c r="T1572" i="3"/>
  <c r="U1572" i="3"/>
  <c r="V1572" i="3"/>
  <c r="R1572" i="3"/>
  <c r="W1571" i="3"/>
  <c r="Z1571" i="3" s="1"/>
  <c r="AA1571" i="3" s="1"/>
  <c r="AC1571" i="3" s="1"/>
  <c r="W1570" i="3"/>
  <c r="Z1570" i="3" s="1"/>
  <c r="AA1570" i="3" s="1"/>
  <c r="AC1570" i="3" s="1"/>
  <c r="W1569" i="3"/>
  <c r="AB1569" i="3" s="1"/>
  <c r="W1568" i="3"/>
  <c r="Z1568" i="3" s="1"/>
  <c r="AA1568" i="3" s="1"/>
  <c r="AC1568" i="3" s="1"/>
  <c r="W1567" i="3"/>
  <c r="W1566" i="3"/>
  <c r="AB1566" i="3" s="1"/>
  <c r="P1572" i="3"/>
  <c r="M1563" i="3"/>
  <c r="M1564" i="3" s="1"/>
  <c r="Y1563" i="3"/>
  <c r="X1563" i="3"/>
  <c r="W1563" i="3"/>
  <c r="S1564" i="3"/>
  <c r="T1564" i="3"/>
  <c r="U1564" i="3"/>
  <c r="V1564" i="3"/>
  <c r="R1564" i="3"/>
  <c r="P1564" i="3"/>
  <c r="L1564" i="3"/>
  <c r="I1563" i="3"/>
  <c r="J1563" i="3" s="1"/>
  <c r="X1560" i="3"/>
  <c r="S1561" i="3"/>
  <c r="T1561" i="3"/>
  <c r="U1561" i="3"/>
  <c r="V1561" i="3"/>
  <c r="R1561" i="3"/>
  <c r="P1560" i="3"/>
  <c r="O42" i="20" s="1"/>
  <c r="Q42" i="20" s="1"/>
  <c r="L1560" i="3"/>
  <c r="L1561" i="3" s="1"/>
  <c r="I1560" i="3"/>
  <c r="J1560" i="3" s="1"/>
  <c r="N1557" i="3"/>
  <c r="O1557" i="3" s="1"/>
  <c r="N1556" i="3"/>
  <c r="O1556" i="3" s="1"/>
  <c r="N1554" i="3"/>
  <c r="O1554" i="3" s="1"/>
  <c r="N1553" i="3"/>
  <c r="O1553" i="3" s="1"/>
  <c r="N1552" i="3"/>
  <c r="O1552" i="3" s="1"/>
  <c r="N1551" i="3"/>
  <c r="O1551" i="3" s="1"/>
  <c r="N1550" i="3"/>
  <c r="O1550" i="3" s="1"/>
  <c r="M1555" i="3"/>
  <c r="M1558" i="3" s="1"/>
  <c r="L1555" i="3"/>
  <c r="L1558" i="3" s="1"/>
  <c r="P1561" i="3" l="1"/>
  <c r="Y1561" i="3" s="1"/>
  <c r="F36" i="7"/>
  <c r="T36" i="7" s="1"/>
  <c r="M93" i="7"/>
  <c r="T93" i="7" s="1"/>
  <c r="Y1560" i="3"/>
  <c r="M1560" i="3"/>
  <c r="M1561" i="3" s="1"/>
  <c r="AC1582" i="3"/>
  <c r="X1561" i="3"/>
  <c r="Y1564" i="3"/>
  <c r="Y1572" i="3"/>
  <c r="Z1569" i="3"/>
  <c r="AA1569" i="3" s="1"/>
  <c r="AC1569" i="3" s="1"/>
  <c r="Z1566" i="3"/>
  <c r="AA1566" i="3" s="1"/>
  <c r="AC1566" i="3" s="1"/>
  <c r="AB1571" i="3"/>
  <c r="AB1570" i="3"/>
  <c r="W1572" i="3"/>
  <c r="AB1572" i="3" s="1"/>
  <c r="AB1568" i="3"/>
  <c r="AB1567" i="3"/>
  <c r="X1572" i="3"/>
  <c r="Z1567" i="3"/>
  <c r="AA1567" i="3" s="1"/>
  <c r="AC1567" i="3" s="1"/>
  <c r="W1561" i="3"/>
  <c r="Z1560" i="3"/>
  <c r="AA1560" i="3" s="1"/>
  <c r="N1563" i="3"/>
  <c r="AB1563" i="3"/>
  <c r="X1564" i="3"/>
  <c r="W1564" i="3"/>
  <c r="Z1563" i="3"/>
  <c r="AA1563" i="3" s="1"/>
  <c r="N1555" i="3"/>
  <c r="AB1560" i="3" l="1"/>
  <c r="N1560" i="3"/>
  <c r="N1561" i="3" s="1"/>
  <c r="O1561" i="3" s="1"/>
  <c r="Z1572" i="3"/>
  <c r="AA1572" i="3" s="1"/>
  <c r="AC1572" i="3" s="1"/>
  <c r="Z1561" i="3"/>
  <c r="AA1561" i="3" s="1"/>
  <c r="AB1561" i="3"/>
  <c r="O1563" i="3"/>
  <c r="AC1563" i="3" s="1"/>
  <c r="N1564" i="3"/>
  <c r="O1564" i="3" s="1"/>
  <c r="AB1564" i="3"/>
  <c r="Z1564" i="3"/>
  <c r="AA1564" i="3" s="1"/>
  <c r="N1558" i="3"/>
  <c r="O1558" i="3" s="1"/>
  <c r="O1555" i="3"/>
  <c r="W1557" i="3"/>
  <c r="Z1557" i="3" s="1"/>
  <c r="AA1557" i="3" s="1"/>
  <c r="AC1557" i="3" s="1"/>
  <c r="W1556" i="3"/>
  <c r="Z1556" i="3" s="1"/>
  <c r="AA1556" i="3" s="1"/>
  <c r="AC1556" i="3" s="1"/>
  <c r="W1551" i="3"/>
  <c r="Z1551" i="3" s="1"/>
  <c r="AA1551" i="3" s="1"/>
  <c r="AC1551" i="3" s="1"/>
  <c r="W1552" i="3"/>
  <c r="AB1552" i="3" s="1"/>
  <c r="W1553" i="3"/>
  <c r="Z1553" i="3" s="1"/>
  <c r="AA1553" i="3" s="1"/>
  <c r="AC1553" i="3" s="1"/>
  <c r="W1554" i="3"/>
  <c r="Z1554" i="3" s="1"/>
  <c r="AA1554" i="3" s="1"/>
  <c r="AC1554" i="3" s="1"/>
  <c r="W1550" i="3"/>
  <c r="AB1550" i="3" s="1"/>
  <c r="X1551" i="3"/>
  <c r="Y1551" i="3"/>
  <c r="X1552" i="3"/>
  <c r="Y1552" i="3"/>
  <c r="X1553" i="3"/>
  <c r="Y1553" i="3"/>
  <c r="X1554" i="3"/>
  <c r="Y1554" i="3"/>
  <c r="X1556" i="3"/>
  <c r="Y1556" i="3"/>
  <c r="X1557" i="3"/>
  <c r="Y1557" i="3"/>
  <c r="Y1550" i="3"/>
  <c r="X1550" i="3"/>
  <c r="S1555" i="3"/>
  <c r="T1555" i="3"/>
  <c r="T1558" i="3" s="1"/>
  <c r="U1555" i="3"/>
  <c r="U1558" i="3" s="1"/>
  <c r="V1555" i="3"/>
  <c r="V1558" i="3" s="1"/>
  <c r="R1555" i="3"/>
  <c r="R1558" i="3" s="1"/>
  <c r="P1555" i="3"/>
  <c r="P1558" i="3" s="1"/>
  <c r="L1540" i="3"/>
  <c r="I1543" i="3"/>
  <c r="J1543" i="3" s="1"/>
  <c r="I1542" i="3"/>
  <c r="J1542" i="3" s="1"/>
  <c r="P1544" i="3"/>
  <c r="I1539" i="3"/>
  <c r="J1539" i="3" s="1"/>
  <c r="X1539" i="3"/>
  <c r="W1539" i="3"/>
  <c r="M47" i="7" s="1"/>
  <c r="V1540" i="3"/>
  <c r="U1540" i="3"/>
  <c r="T1540" i="3"/>
  <c r="S1540" i="3"/>
  <c r="R1540" i="3"/>
  <c r="S1537" i="3"/>
  <c r="T1537" i="3"/>
  <c r="U1537" i="3"/>
  <c r="V1537" i="3"/>
  <c r="R1537" i="3"/>
  <c r="P1537" i="3"/>
  <c r="L1537" i="3"/>
  <c r="S1544" i="3"/>
  <c r="T1544" i="3"/>
  <c r="U1544" i="3"/>
  <c r="V1544" i="3"/>
  <c r="R1544" i="3"/>
  <c r="S1548" i="3"/>
  <c r="T1548" i="3"/>
  <c r="U1548" i="3"/>
  <c r="V1548" i="3"/>
  <c r="R1548" i="3"/>
  <c r="L1544" i="3"/>
  <c r="M1543" i="3"/>
  <c r="N1543" i="3" s="1"/>
  <c r="O1543" i="3" s="1"/>
  <c r="M1542" i="3"/>
  <c r="N1542" i="3" s="1"/>
  <c r="M1536" i="3"/>
  <c r="N1536" i="3" s="1"/>
  <c r="L1547" i="3"/>
  <c r="L1546" i="3"/>
  <c r="M1546" i="3" s="1"/>
  <c r="P1547" i="3"/>
  <c r="Y1547" i="3" s="1"/>
  <c r="P1546" i="3"/>
  <c r="X1547" i="3"/>
  <c r="W1547" i="3"/>
  <c r="X1546" i="3"/>
  <c r="W1546" i="3"/>
  <c r="Y1543" i="3"/>
  <c r="X1543" i="3"/>
  <c r="W1543" i="3"/>
  <c r="Z1543" i="3" s="1"/>
  <c r="AA1543" i="3" s="1"/>
  <c r="Y1542" i="3"/>
  <c r="X1542" i="3"/>
  <c r="W1542" i="3"/>
  <c r="Y1536" i="3"/>
  <c r="X1536" i="3"/>
  <c r="W1536" i="3"/>
  <c r="M31" i="7" s="1"/>
  <c r="T31" i="7" s="1"/>
  <c r="I1547" i="3"/>
  <c r="J1547" i="3" s="1"/>
  <c r="I1546" i="3"/>
  <c r="J1546" i="3" s="1"/>
  <c r="I1536" i="3"/>
  <c r="J1536" i="3" s="1"/>
  <c r="S1534" i="3"/>
  <c r="T1534" i="3"/>
  <c r="U1534" i="3"/>
  <c r="V1534" i="3"/>
  <c r="R1534" i="3"/>
  <c r="S1531" i="3"/>
  <c r="T1531" i="3"/>
  <c r="U1531" i="3"/>
  <c r="V1531" i="3"/>
  <c r="R1531" i="3"/>
  <c r="S1528" i="3"/>
  <c r="T1528" i="3"/>
  <c r="U1528" i="3"/>
  <c r="V1528" i="3"/>
  <c r="R1528" i="3"/>
  <c r="Y1533" i="3"/>
  <c r="X1533" i="3"/>
  <c r="W1533" i="3"/>
  <c r="W1534" i="3" s="1"/>
  <c r="X1530" i="3"/>
  <c r="W1530" i="3"/>
  <c r="X1527" i="3"/>
  <c r="W1527" i="3"/>
  <c r="O25" i="10" s="1"/>
  <c r="P1534" i="3"/>
  <c r="P1530" i="3"/>
  <c r="O53" i="20" s="1"/>
  <c r="Q53" i="20" s="1"/>
  <c r="M1527" i="3"/>
  <c r="P1527" i="3"/>
  <c r="M1534" i="3"/>
  <c r="N1534" i="3"/>
  <c r="L1534" i="3"/>
  <c r="M1530" i="3"/>
  <c r="M1531" i="3" s="1"/>
  <c r="L1531" i="3"/>
  <c r="O1533" i="3"/>
  <c r="L1528" i="3"/>
  <c r="I1530" i="3"/>
  <c r="J1530" i="3" s="1"/>
  <c r="W1524" i="3"/>
  <c r="X1524" i="3"/>
  <c r="Y1523" i="3"/>
  <c r="X1523" i="3"/>
  <c r="W1523" i="3"/>
  <c r="Z1523" i="3" s="1"/>
  <c r="AA1523" i="3" s="1"/>
  <c r="Y1522" i="3"/>
  <c r="X1522" i="3"/>
  <c r="W1522" i="3"/>
  <c r="AB1522" i="3" s="1"/>
  <c r="Y1521" i="3"/>
  <c r="X1521" i="3"/>
  <c r="W1521" i="3"/>
  <c r="AB1521" i="3" s="1"/>
  <c r="Y1520" i="3"/>
  <c r="X1520" i="3"/>
  <c r="W1520" i="3"/>
  <c r="AB1520" i="3" s="1"/>
  <c r="Y1519" i="3"/>
  <c r="X1519" i="3"/>
  <c r="W1519" i="3"/>
  <c r="AB1519" i="3" s="1"/>
  <c r="Y1517" i="3"/>
  <c r="X1517" i="3"/>
  <c r="W1517" i="3"/>
  <c r="Z1517" i="3" s="1"/>
  <c r="AA1517" i="3" s="1"/>
  <c r="Y1516" i="3"/>
  <c r="X1516" i="3"/>
  <c r="W1516" i="3"/>
  <c r="AB1516" i="3" s="1"/>
  <c r="Y1515" i="3"/>
  <c r="X1515" i="3"/>
  <c r="W1515" i="3"/>
  <c r="S1518" i="3"/>
  <c r="S1525" i="3" s="1"/>
  <c r="T1518" i="3"/>
  <c r="T1525" i="3" s="1"/>
  <c r="U1518" i="3"/>
  <c r="U1525" i="3" s="1"/>
  <c r="V1518" i="3"/>
  <c r="V1525" i="3" s="1"/>
  <c r="R1518" i="3"/>
  <c r="R1525" i="3" s="1"/>
  <c r="P1524" i="3"/>
  <c r="O44" i="20" s="1"/>
  <c r="Q44" i="20" s="1"/>
  <c r="P1518" i="3"/>
  <c r="M18" i="7" l="1"/>
  <c r="T18" i="7" s="1"/>
  <c r="F59" i="7"/>
  <c r="O66" i="20"/>
  <c r="Q66" i="20" s="1"/>
  <c r="F46" i="7"/>
  <c r="P1528" i="3"/>
  <c r="Y1528" i="3" s="1"/>
  <c r="G25" i="10"/>
  <c r="W25" i="10" s="1"/>
  <c r="P1540" i="3"/>
  <c r="Y1540" i="3" s="1"/>
  <c r="F47" i="7"/>
  <c r="T47" i="7" s="1"/>
  <c r="Y1524" i="3"/>
  <c r="F38" i="7"/>
  <c r="M46" i="7"/>
  <c r="M59" i="7"/>
  <c r="M38" i="7"/>
  <c r="W1540" i="3"/>
  <c r="P1531" i="3"/>
  <c r="Y1531" i="3" s="1"/>
  <c r="W1537" i="3"/>
  <c r="Z1537" i="3" s="1"/>
  <c r="AA1537" i="3" s="1"/>
  <c r="W1548" i="3"/>
  <c r="W1544" i="3"/>
  <c r="Z1544" i="3" s="1"/>
  <c r="AA1544" i="3" s="1"/>
  <c r="O1560" i="3"/>
  <c r="AC1560" i="3" s="1"/>
  <c r="AC1561" i="3"/>
  <c r="AC1564" i="3"/>
  <c r="X1555" i="3"/>
  <c r="S1558" i="3"/>
  <c r="X1558" i="3" s="1"/>
  <c r="Z1550" i="3"/>
  <c r="AA1550" i="3" s="1"/>
  <c r="AC1550" i="3" s="1"/>
  <c r="W1555" i="3"/>
  <c r="W1558" i="3" s="1"/>
  <c r="AB1554" i="3"/>
  <c r="Y1558" i="3"/>
  <c r="AB1553" i="3"/>
  <c r="Z1552" i="3"/>
  <c r="AA1552" i="3" s="1"/>
  <c r="AC1552" i="3" s="1"/>
  <c r="AB1551" i="3"/>
  <c r="Y1555" i="3"/>
  <c r="AB1557" i="3"/>
  <c r="AB1556" i="3"/>
  <c r="M1539" i="3"/>
  <c r="M1540" i="3" s="1"/>
  <c r="Y1539" i="3"/>
  <c r="N1530" i="3"/>
  <c r="N1531" i="3" s="1"/>
  <c r="O1531" i="3" s="1"/>
  <c r="Y1530" i="3"/>
  <c r="AB1542" i="3"/>
  <c r="X1540" i="3"/>
  <c r="Z1539" i="3"/>
  <c r="AA1539" i="3" s="1"/>
  <c r="Y1534" i="3"/>
  <c r="L1548" i="3"/>
  <c r="Z1524" i="3"/>
  <c r="AA1524" i="3" s="1"/>
  <c r="P1525" i="3"/>
  <c r="Y1525" i="3" s="1"/>
  <c r="AB1527" i="3"/>
  <c r="Z1520" i="3"/>
  <c r="AA1520" i="3" s="1"/>
  <c r="Z1530" i="3"/>
  <c r="AA1530" i="3" s="1"/>
  <c r="N1546" i="3"/>
  <c r="O1546" i="3" s="1"/>
  <c r="AB1517" i="3"/>
  <c r="M1547" i="3"/>
  <c r="N1547" i="3" s="1"/>
  <c r="O1547" i="3" s="1"/>
  <c r="AB1546" i="3"/>
  <c r="Y1527" i="3"/>
  <c r="X1528" i="3"/>
  <c r="Y1537" i="3"/>
  <c r="X1537" i="3"/>
  <c r="Z1536" i="3"/>
  <c r="AA1536" i="3" s="1"/>
  <c r="M1537" i="3"/>
  <c r="Z1542" i="3"/>
  <c r="AA1542" i="3" s="1"/>
  <c r="Y1544" i="3"/>
  <c r="X1544" i="3"/>
  <c r="M1544" i="3"/>
  <c r="AC1543" i="3"/>
  <c r="AB1543" i="3"/>
  <c r="X1548" i="3"/>
  <c r="N1544" i="3"/>
  <c r="O1544" i="3" s="1"/>
  <c r="O1542" i="3"/>
  <c r="O1536" i="3"/>
  <c r="N1537" i="3"/>
  <c r="O1537" i="3" s="1"/>
  <c r="Z1547" i="3"/>
  <c r="AA1547" i="3" s="1"/>
  <c r="AB1536" i="3"/>
  <c r="X1531" i="3"/>
  <c r="Z1527" i="3"/>
  <c r="AA1527" i="3" s="1"/>
  <c r="Z1533" i="3"/>
  <c r="AA1533" i="3" s="1"/>
  <c r="AC1533" i="3" s="1"/>
  <c r="X1534" i="3"/>
  <c r="Z1534" i="3"/>
  <c r="AA1534" i="3" s="1"/>
  <c r="AB1534" i="3"/>
  <c r="AB1533" i="3"/>
  <c r="AB1530" i="3"/>
  <c r="W1531" i="3"/>
  <c r="W1528" i="3"/>
  <c r="N1527" i="3"/>
  <c r="N1528" i="3" s="1"/>
  <c r="O1528" i="3" s="1"/>
  <c r="M1528" i="3"/>
  <c r="O1534" i="3"/>
  <c r="AB1523" i="3"/>
  <c r="Z1522" i="3"/>
  <c r="AA1522" i="3" s="1"/>
  <c r="Z1521" i="3"/>
  <c r="AA1521" i="3" s="1"/>
  <c r="Z1516" i="3"/>
  <c r="AA1516" i="3" s="1"/>
  <c r="W1518" i="3"/>
  <c r="Y1518" i="3"/>
  <c r="Z1515" i="3"/>
  <c r="AA1515" i="3" s="1"/>
  <c r="X1518" i="3"/>
  <c r="AB1524" i="3"/>
  <c r="X1525" i="3"/>
  <c r="Z1519" i="3"/>
  <c r="AA1519" i="3" s="1"/>
  <c r="AB1515" i="3"/>
  <c r="T59" i="7" l="1"/>
  <c r="T46" i="7"/>
  <c r="Z1540" i="3"/>
  <c r="AA1540" i="3" s="1"/>
  <c r="T38" i="7"/>
  <c r="AB1537" i="3"/>
  <c r="AB1540" i="3"/>
  <c r="Z1555" i="3"/>
  <c r="AA1555" i="3" s="1"/>
  <c r="AC1555" i="3" s="1"/>
  <c r="AB1558" i="3"/>
  <c r="AB1555" i="3"/>
  <c r="AB1539" i="3"/>
  <c r="N1539" i="3"/>
  <c r="N1540" i="3" s="1"/>
  <c r="O1540" i="3" s="1"/>
  <c r="O1530" i="3"/>
  <c r="AC1530" i="3" s="1"/>
  <c r="AB1547" i="3"/>
  <c r="M1548" i="3"/>
  <c r="AB1548" i="3" s="1"/>
  <c r="AC1542" i="3"/>
  <c r="N1548" i="3"/>
  <c r="O1548" i="3" s="1"/>
  <c r="AC1547" i="3"/>
  <c r="AC1534" i="3"/>
  <c r="AC1536" i="3"/>
  <c r="AC1537" i="3"/>
  <c r="AB1544" i="3"/>
  <c r="AC1544" i="3"/>
  <c r="Z1531" i="3"/>
  <c r="AA1531" i="3" s="1"/>
  <c r="AC1531" i="3" s="1"/>
  <c r="AB1531" i="3"/>
  <c r="AB1528" i="3"/>
  <c r="Z1528" i="3"/>
  <c r="AA1528" i="3" s="1"/>
  <c r="AC1528" i="3" s="1"/>
  <c r="O1527" i="3"/>
  <c r="AC1527" i="3" s="1"/>
  <c r="W1525" i="3"/>
  <c r="Z1525" i="3" s="1"/>
  <c r="Z1518" i="3"/>
  <c r="AA1518" i="3" s="1"/>
  <c r="AC1540" i="3" l="1"/>
  <c r="Z1558" i="3"/>
  <c r="AA1558" i="3" s="1"/>
  <c r="AC1558" i="3" s="1"/>
  <c r="O1539" i="3"/>
  <c r="AC1539" i="3" s="1"/>
  <c r="AA1525" i="3"/>
  <c r="I1524" i="3" l="1"/>
  <c r="J1524" i="3" s="1"/>
  <c r="N1520" i="3"/>
  <c r="O1520" i="3" s="1"/>
  <c r="AC1520" i="3" s="1"/>
  <c r="N1521" i="3"/>
  <c r="O1521" i="3" s="1"/>
  <c r="AC1521" i="3" s="1"/>
  <c r="N1522" i="3"/>
  <c r="O1522" i="3" s="1"/>
  <c r="AC1522" i="3" s="1"/>
  <c r="N1523" i="3"/>
  <c r="O1523" i="3" s="1"/>
  <c r="AC1523" i="3" s="1"/>
  <c r="N1519" i="3"/>
  <c r="O1519" i="3" s="1"/>
  <c r="AC1519" i="3" s="1"/>
  <c r="L1524" i="3"/>
  <c r="N1524" i="3" s="1"/>
  <c r="N1517" i="3"/>
  <c r="O1517" i="3" s="1"/>
  <c r="AC1517" i="3" s="1"/>
  <c r="N1516" i="3"/>
  <c r="O1516" i="3" s="1"/>
  <c r="AC1516" i="3" s="1"/>
  <c r="N1515" i="3"/>
  <c r="O1515" i="3" s="1"/>
  <c r="AC1515" i="3" s="1"/>
  <c r="M1518" i="3"/>
  <c r="AB1518" i="3" s="1"/>
  <c r="L1518" i="3"/>
  <c r="M1525" i="3" l="1"/>
  <c r="AB1525" i="3" s="1"/>
  <c r="L1525" i="3"/>
  <c r="O1524" i="3"/>
  <c r="AC1524" i="3" s="1"/>
  <c r="N1518" i="3"/>
  <c r="O1518" i="3" l="1"/>
  <c r="AC1518" i="3" s="1"/>
  <c r="N1525" i="3"/>
  <c r="O1525" i="3" s="1"/>
  <c r="AC1525" i="3" s="1"/>
  <c r="X1505" i="3" l="1"/>
  <c r="Y1505" i="3"/>
  <c r="X1507" i="3"/>
  <c r="Y1507" i="3"/>
  <c r="X1508" i="3"/>
  <c r="Y1508" i="3"/>
  <c r="X1509" i="3"/>
  <c r="Y1509" i="3"/>
  <c r="X1510" i="3"/>
  <c r="Y1510" i="3"/>
  <c r="X1511" i="3"/>
  <c r="Y1511" i="3"/>
  <c r="X1512" i="3"/>
  <c r="Y1512" i="3"/>
  <c r="N1508" i="3" l="1"/>
  <c r="O1508" i="3" s="1"/>
  <c r="N1509" i="3"/>
  <c r="O1509" i="3" s="1"/>
  <c r="N1510" i="3"/>
  <c r="O1510" i="3" s="1"/>
  <c r="N1511" i="3"/>
  <c r="O1511" i="3" s="1"/>
  <c r="N1512" i="3"/>
  <c r="O1512" i="3" s="1"/>
  <c r="N1507" i="3"/>
  <c r="O1507" i="3" s="1"/>
  <c r="N1501" i="3"/>
  <c r="O1501" i="3" s="1"/>
  <c r="N1502" i="3"/>
  <c r="O1502" i="3" s="1"/>
  <c r="N1503" i="3"/>
  <c r="O1503" i="3" s="1"/>
  <c r="N1504" i="3"/>
  <c r="O1504" i="3" s="1"/>
  <c r="N1505" i="3"/>
  <c r="O1505" i="3" s="1"/>
  <c r="N1500" i="3"/>
  <c r="O1500" i="3" s="1"/>
  <c r="M1506" i="3"/>
  <c r="M1513" i="3" s="1"/>
  <c r="L1506" i="3"/>
  <c r="L1513" i="3" s="1"/>
  <c r="N1506" i="3" l="1"/>
  <c r="W1512" i="3"/>
  <c r="W1511" i="3"/>
  <c r="W1510" i="3"/>
  <c r="W1509" i="3"/>
  <c r="W1508" i="3"/>
  <c r="W1507" i="3"/>
  <c r="T1506" i="3"/>
  <c r="T1513" i="3" s="1"/>
  <c r="V1506" i="3"/>
  <c r="V1513" i="3" s="1"/>
  <c r="W1501" i="3"/>
  <c r="Z1501" i="3" s="1"/>
  <c r="AA1501" i="3" s="1"/>
  <c r="AC1501" i="3" s="1"/>
  <c r="X1501" i="3"/>
  <c r="Y1501" i="3"/>
  <c r="W1502" i="3"/>
  <c r="Z1502" i="3" s="1"/>
  <c r="AA1502" i="3" s="1"/>
  <c r="AC1502" i="3" s="1"/>
  <c r="X1502" i="3"/>
  <c r="Y1502" i="3"/>
  <c r="W1503" i="3"/>
  <c r="AB1503" i="3" s="1"/>
  <c r="X1503" i="3"/>
  <c r="Y1503" i="3"/>
  <c r="W1505" i="3"/>
  <c r="Y1500" i="3"/>
  <c r="X1500" i="3"/>
  <c r="W1500" i="3"/>
  <c r="U1504" i="3"/>
  <c r="U1506" i="3" s="1"/>
  <c r="S1504" i="3"/>
  <c r="R1504" i="3"/>
  <c r="R1506" i="3" s="1"/>
  <c r="R1513" i="3" s="1"/>
  <c r="W1504" i="3" l="1"/>
  <c r="AB1504" i="3" s="1"/>
  <c r="Y1504" i="3"/>
  <c r="AB1508" i="3"/>
  <c r="Z1508" i="3"/>
  <c r="AA1508" i="3" s="1"/>
  <c r="AC1508" i="3" s="1"/>
  <c r="Z1511" i="3"/>
  <c r="AA1511" i="3" s="1"/>
  <c r="AC1511" i="3" s="1"/>
  <c r="AB1511" i="3"/>
  <c r="Z1512" i="3"/>
  <c r="AA1512" i="3" s="1"/>
  <c r="AC1512" i="3" s="1"/>
  <c r="AB1512" i="3"/>
  <c r="X1504" i="3"/>
  <c r="AB1501" i="3"/>
  <c r="S1506" i="3"/>
  <c r="AB1505" i="3"/>
  <c r="Z1505" i="3"/>
  <c r="AA1505" i="3" s="1"/>
  <c r="AC1505" i="3" s="1"/>
  <c r="AB1510" i="3"/>
  <c r="Z1510" i="3"/>
  <c r="AA1510" i="3" s="1"/>
  <c r="AC1510" i="3" s="1"/>
  <c r="U1513" i="3"/>
  <c r="Z1500" i="3"/>
  <c r="AA1500" i="3" s="1"/>
  <c r="AC1500" i="3" s="1"/>
  <c r="AB1507" i="3"/>
  <c r="Z1507" i="3"/>
  <c r="AA1507" i="3" s="1"/>
  <c r="AC1507" i="3" s="1"/>
  <c r="O1506" i="3"/>
  <c r="N1513" i="3"/>
  <c r="O1513" i="3" s="1"/>
  <c r="Z1509" i="3"/>
  <c r="AA1509" i="3" s="1"/>
  <c r="AC1509" i="3" s="1"/>
  <c r="AB1509" i="3"/>
  <c r="AB1500" i="3"/>
  <c r="Z1503" i="3"/>
  <c r="AA1503" i="3" s="1"/>
  <c r="AC1503" i="3" s="1"/>
  <c r="AB1502" i="3"/>
  <c r="P1506" i="3"/>
  <c r="Y1497" i="3"/>
  <c r="X1497" i="3"/>
  <c r="W1497" i="3"/>
  <c r="AB1497" i="3" s="1"/>
  <c r="Y1494" i="3"/>
  <c r="X1494" i="3"/>
  <c r="W1494" i="3"/>
  <c r="AB1494" i="3" s="1"/>
  <c r="S1498" i="3"/>
  <c r="T1498" i="3"/>
  <c r="U1498" i="3"/>
  <c r="V1498" i="3"/>
  <c r="R1498" i="3"/>
  <c r="S1495" i="3"/>
  <c r="T1495" i="3"/>
  <c r="U1495" i="3"/>
  <c r="V1495" i="3"/>
  <c r="R1495" i="3"/>
  <c r="P1498" i="3"/>
  <c r="P1495" i="3"/>
  <c r="M1498" i="3"/>
  <c r="L1498" i="3"/>
  <c r="S1492" i="3"/>
  <c r="T1492" i="3"/>
  <c r="U1492" i="3"/>
  <c r="V1492" i="3"/>
  <c r="R1492" i="3"/>
  <c r="Y1491" i="3"/>
  <c r="X1491" i="3"/>
  <c r="W1491" i="3"/>
  <c r="I1491" i="3"/>
  <c r="J1491" i="3" s="1"/>
  <c r="P1492" i="3"/>
  <c r="M1491" i="3"/>
  <c r="M1492" i="3" s="1"/>
  <c r="L1492" i="3"/>
  <c r="W1506" i="3" l="1"/>
  <c r="AB1506" i="3" s="1"/>
  <c r="Z1504" i="3"/>
  <c r="AA1504" i="3" s="1"/>
  <c r="AC1504" i="3" s="1"/>
  <c r="M84" i="7"/>
  <c r="T84" i="7" s="1"/>
  <c r="P1513" i="3"/>
  <c r="Y1513" i="3" s="1"/>
  <c r="S1513" i="3"/>
  <c r="X1513" i="3" s="1"/>
  <c r="X1506" i="3"/>
  <c r="Y1506" i="3"/>
  <c r="X1492" i="3"/>
  <c r="Y1492" i="3"/>
  <c r="Y1498" i="3"/>
  <c r="Y1495" i="3"/>
  <c r="AB1491" i="3"/>
  <c r="X1498" i="3"/>
  <c r="X1495" i="3"/>
  <c r="W1498" i="3"/>
  <c r="Z1497" i="3"/>
  <c r="AA1497" i="3" s="1"/>
  <c r="AC1497" i="3" s="1"/>
  <c r="W1495" i="3"/>
  <c r="Z1494" i="3"/>
  <c r="AA1494" i="3" s="1"/>
  <c r="AC1494" i="3" s="1"/>
  <c r="Z1491" i="3"/>
  <c r="AA1491" i="3" s="1"/>
  <c r="W1492" i="3"/>
  <c r="N1491" i="3"/>
  <c r="W1513" i="3" l="1"/>
  <c r="AB1513" i="3" s="1"/>
  <c r="Z1506" i="3"/>
  <c r="AA1506" i="3" s="1"/>
  <c r="AC1506" i="3" s="1"/>
  <c r="AB1498" i="3"/>
  <c r="Z1498" i="3"/>
  <c r="AA1498" i="3" s="1"/>
  <c r="AC1498" i="3" s="1"/>
  <c r="AB1495" i="3"/>
  <c r="Z1495" i="3"/>
  <c r="AA1495" i="3" s="1"/>
  <c r="AC1495" i="3" s="1"/>
  <c r="Z1492" i="3"/>
  <c r="AA1492" i="3" s="1"/>
  <c r="AB1492" i="3"/>
  <c r="N1492" i="3"/>
  <c r="O1492" i="3" s="1"/>
  <c r="O1491" i="3"/>
  <c r="AC1491" i="3" s="1"/>
  <c r="X1488" i="3"/>
  <c r="Y1488" i="3"/>
  <c r="Y1487" i="3"/>
  <c r="X1487" i="3"/>
  <c r="Y1486" i="3"/>
  <c r="X1486" i="3"/>
  <c r="Y1485" i="3"/>
  <c r="X1485" i="3"/>
  <c r="Y1484" i="3"/>
  <c r="X1484" i="3"/>
  <c r="Y1483" i="3"/>
  <c r="X1483" i="3"/>
  <c r="Y1482" i="3"/>
  <c r="X1482" i="3"/>
  <c r="S1489" i="3"/>
  <c r="T1489" i="3"/>
  <c r="U1489" i="3"/>
  <c r="V1489" i="3"/>
  <c r="R1489" i="3"/>
  <c r="W1488" i="3"/>
  <c r="M62" i="7" s="1"/>
  <c r="T62" i="7" s="1"/>
  <c r="W1487" i="3"/>
  <c r="W1486" i="3"/>
  <c r="AB1486" i="3" s="1"/>
  <c r="W1485" i="3"/>
  <c r="AB1485" i="3" s="1"/>
  <c r="W1484" i="3"/>
  <c r="AB1484" i="3" s="1"/>
  <c r="W1483" i="3"/>
  <c r="AB1483" i="3" s="1"/>
  <c r="W1482" i="3"/>
  <c r="AB1482" i="3" s="1"/>
  <c r="P1489" i="3"/>
  <c r="M1489" i="3"/>
  <c r="L1489" i="3"/>
  <c r="N1488" i="3"/>
  <c r="O1488" i="3" s="1"/>
  <c r="N1487" i="3"/>
  <c r="O1487" i="3" s="1"/>
  <c r="N1486" i="3"/>
  <c r="O1486" i="3" s="1"/>
  <c r="N1485" i="3"/>
  <c r="O1485" i="3" s="1"/>
  <c r="N1484" i="3"/>
  <c r="O1484" i="3" s="1"/>
  <c r="N1483" i="3"/>
  <c r="O1483" i="3" s="1"/>
  <c r="N1482" i="3"/>
  <c r="I1488" i="3"/>
  <c r="J1488" i="3" s="1"/>
  <c r="U1474" i="3"/>
  <c r="U1480" i="3" s="1"/>
  <c r="S1474" i="3"/>
  <c r="S1480" i="3" s="1"/>
  <c r="R1474" i="3"/>
  <c r="R1480" i="3" s="1"/>
  <c r="T1480" i="3"/>
  <c r="V1480" i="3"/>
  <c r="Z1513" i="3" l="1"/>
  <c r="AA1513" i="3" s="1"/>
  <c r="AC1513" i="3" s="1"/>
  <c r="AB1487" i="3"/>
  <c r="O12" i="10"/>
  <c r="W12" i="10" s="1"/>
  <c r="AB1488" i="3"/>
  <c r="AC1492" i="3"/>
  <c r="Y1489" i="3"/>
  <c r="Z1482" i="3"/>
  <c r="AA1482" i="3" s="1"/>
  <c r="Z1488" i="3"/>
  <c r="AA1488" i="3" s="1"/>
  <c r="AC1488" i="3" s="1"/>
  <c r="Z1487" i="3"/>
  <c r="AA1487" i="3" s="1"/>
  <c r="AC1487" i="3" s="1"/>
  <c r="Z1486" i="3"/>
  <c r="AA1486" i="3" s="1"/>
  <c r="AC1486" i="3" s="1"/>
  <c r="Z1485" i="3"/>
  <c r="AA1485" i="3" s="1"/>
  <c r="AC1485" i="3" s="1"/>
  <c r="Z1484" i="3"/>
  <c r="AA1484" i="3" s="1"/>
  <c r="AC1484" i="3" s="1"/>
  <c r="W1489" i="3"/>
  <c r="Z1483" i="3"/>
  <c r="AA1483" i="3" s="1"/>
  <c r="AC1483" i="3" s="1"/>
  <c r="X1489" i="3"/>
  <c r="N1489" i="3"/>
  <c r="O1489" i="3" s="1"/>
  <c r="O1482" i="3"/>
  <c r="W1474" i="3"/>
  <c r="X1474" i="3"/>
  <c r="Y1474" i="3"/>
  <c r="W1475" i="3"/>
  <c r="Z1475" i="3" s="1"/>
  <c r="AA1475" i="3" s="1"/>
  <c r="X1475" i="3"/>
  <c r="Y1475" i="3"/>
  <c r="W1476" i="3"/>
  <c r="Z1476" i="3" s="1"/>
  <c r="AA1476" i="3" s="1"/>
  <c r="X1476" i="3"/>
  <c r="Y1476" i="3"/>
  <c r="W1477" i="3"/>
  <c r="Z1477" i="3" s="1"/>
  <c r="AA1477" i="3" s="1"/>
  <c r="X1477" i="3"/>
  <c r="Y1477" i="3"/>
  <c r="W1478" i="3"/>
  <c r="AB1478" i="3" s="1"/>
  <c r="X1478" i="3"/>
  <c r="Y1478" i="3"/>
  <c r="X1480" i="3"/>
  <c r="Y1479" i="3"/>
  <c r="X1479" i="3"/>
  <c r="W1479" i="3"/>
  <c r="P1480" i="3"/>
  <c r="Y1480" i="3" s="1"/>
  <c r="M1480" i="3"/>
  <c r="N1474" i="3"/>
  <c r="O1474" i="3" s="1"/>
  <c r="N1475" i="3"/>
  <c r="O1475" i="3" s="1"/>
  <c r="N1476" i="3"/>
  <c r="O1476" i="3" s="1"/>
  <c r="N1477" i="3"/>
  <c r="O1477" i="3" s="1"/>
  <c r="N1478" i="3"/>
  <c r="O1478" i="3" s="1"/>
  <c r="N1479" i="3"/>
  <c r="O1479" i="3" s="1"/>
  <c r="L1480" i="3"/>
  <c r="AC1482" i="3" l="1"/>
  <c r="AB1489" i="3"/>
  <c r="Z1489" i="3"/>
  <c r="AA1489" i="3" s="1"/>
  <c r="AC1489" i="3" s="1"/>
  <c r="AC1475" i="3"/>
  <c r="AC1476" i="3"/>
  <c r="AC1477" i="3"/>
  <c r="AB1477" i="3"/>
  <c r="Z1474" i="3"/>
  <c r="AA1474" i="3" s="1"/>
  <c r="AC1474" i="3" s="1"/>
  <c r="W1480" i="3"/>
  <c r="Z1480" i="3" s="1"/>
  <c r="AA1480" i="3" s="1"/>
  <c r="AB1474" i="3"/>
  <c r="Z1478" i="3"/>
  <c r="AA1478" i="3" s="1"/>
  <c r="AC1478" i="3" s="1"/>
  <c r="AB1475" i="3"/>
  <c r="AB1476" i="3"/>
  <c r="Z1479" i="3"/>
  <c r="AA1479" i="3" s="1"/>
  <c r="AC1479" i="3" s="1"/>
  <c r="AB1479" i="3"/>
  <c r="N1480" i="3"/>
  <c r="O1480" i="3" s="1"/>
  <c r="AC1480" i="3" l="1"/>
  <c r="AB1480" i="3"/>
  <c r="Y1471" i="3"/>
  <c r="X1471" i="3"/>
  <c r="W1471" i="3"/>
  <c r="M6" i="7" s="1"/>
  <c r="S1472" i="3"/>
  <c r="T1472" i="3"/>
  <c r="U1472" i="3"/>
  <c r="V1472" i="3"/>
  <c r="R1472" i="3"/>
  <c r="P1472" i="3"/>
  <c r="M1471" i="3"/>
  <c r="M1472" i="3" s="1"/>
  <c r="L1472" i="3"/>
  <c r="T6" i="7" l="1"/>
  <c r="Y1472" i="3"/>
  <c r="AB1471" i="3"/>
  <c r="X1472" i="3"/>
  <c r="W1472" i="3"/>
  <c r="Z1472" i="3" s="1"/>
  <c r="AA1472" i="3" s="1"/>
  <c r="Z1471" i="3"/>
  <c r="AA1471" i="3" s="1"/>
  <c r="N1471" i="3"/>
  <c r="I1471" i="3"/>
  <c r="J1471" i="3" s="1"/>
  <c r="W1461" i="3"/>
  <c r="S1466" i="3"/>
  <c r="T1466" i="3"/>
  <c r="U1466" i="3"/>
  <c r="V1466" i="3"/>
  <c r="R1466" i="3"/>
  <c r="P1466" i="3"/>
  <c r="M72" i="7" l="1"/>
  <c r="T72" i="7" s="1"/>
  <c r="AB1472" i="3"/>
  <c r="N1472" i="3"/>
  <c r="O1472" i="3" s="1"/>
  <c r="AC1472" i="3" s="1"/>
  <c r="O1471" i="3"/>
  <c r="AC1471" i="3" s="1"/>
  <c r="S1469" i="3"/>
  <c r="T1469" i="3"/>
  <c r="U1469" i="3"/>
  <c r="V1469" i="3"/>
  <c r="R1469" i="3"/>
  <c r="S1462" i="3"/>
  <c r="T1462" i="3"/>
  <c r="U1462" i="3"/>
  <c r="V1462" i="3"/>
  <c r="R1462" i="3"/>
  <c r="Y1468" i="3"/>
  <c r="X1468" i="3"/>
  <c r="W1468" i="3"/>
  <c r="Y1461" i="3"/>
  <c r="X1461" i="3"/>
  <c r="Y1466" i="3"/>
  <c r="X1466" i="3"/>
  <c r="Y1465" i="3"/>
  <c r="X1465" i="3"/>
  <c r="W1465" i="3"/>
  <c r="Y1464" i="3"/>
  <c r="X1464" i="3"/>
  <c r="W1464" i="3"/>
  <c r="Y1458" i="3"/>
  <c r="X1458" i="3"/>
  <c r="W1458" i="3"/>
  <c r="Z1458" i="3" s="1"/>
  <c r="AA1458" i="3" s="1"/>
  <c r="Y1457" i="3"/>
  <c r="X1457" i="3"/>
  <c r="W1457" i="3"/>
  <c r="S1459" i="3"/>
  <c r="T1459" i="3"/>
  <c r="U1459" i="3"/>
  <c r="V1459" i="3"/>
  <c r="R1459" i="3"/>
  <c r="M69" i="7" l="1"/>
  <c r="T69" i="7" s="1"/>
  <c r="Z1468" i="3"/>
  <c r="AA1468" i="3" s="1"/>
  <c r="M14" i="7"/>
  <c r="T14" i="7" s="1"/>
  <c r="Z1457" i="3"/>
  <c r="AA1457" i="3" s="1"/>
  <c r="Z1464" i="3"/>
  <c r="AA1464" i="3" s="1"/>
  <c r="X1462" i="3"/>
  <c r="W1469" i="3"/>
  <c r="X1469" i="3"/>
  <c r="W1466" i="3"/>
  <c r="W1459" i="3"/>
  <c r="X1459" i="3"/>
  <c r="W1462" i="3"/>
  <c r="Z1461" i="3"/>
  <c r="AA1461" i="3" s="1"/>
  <c r="Z1465" i="3"/>
  <c r="AA1465" i="3" s="1"/>
  <c r="P1469" i="3"/>
  <c r="Y1469" i="3" s="1"/>
  <c r="P1462" i="3"/>
  <c r="Y1462" i="3" s="1"/>
  <c r="P1459" i="3"/>
  <c r="Y1459" i="3" s="1"/>
  <c r="M1468" i="3"/>
  <c r="N1468" i="3" s="1"/>
  <c r="M1465" i="3"/>
  <c r="N1465" i="3" s="1"/>
  <c r="O1465" i="3" s="1"/>
  <c r="M1464" i="3"/>
  <c r="N1464" i="3" s="1"/>
  <c r="L1469" i="3"/>
  <c r="I1468" i="3"/>
  <c r="J1468" i="3" s="1"/>
  <c r="I1461" i="3"/>
  <c r="J1461" i="3" s="1"/>
  <c r="I1465" i="3"/>
  <c r="J1465" i="3" s="1"/>
  <c r="I1464" i="3"/>
  <c r="J1464" i="3" s="1"/>
  <c r="I1458" i="3"/>
  <c r="J1458" i="3" s="1"/>
  <c r="I1457" i="3"/>
  <c r="J1457" i="3" s="1"/>
  <c r="M1458" i="3"/>
  <c r="N1458" i="3" s="1"/>
  <c r="O1458" i="3" s="1"/>
  <c r="AC1458" i="3" s="1"/>
  <c r="M1457" i="3"/>
  <c r="M1461" i="3"/>
  <c r="L1462" i="3"/>
  <c r="L1459" i="3"/>
  <c r="AC1465" i="3" l="1"/>
  <c r="AB1468" i="3"/>
  <c r="M1469" i="3"/>
  <c r="AB1469" i="3" s="1"/>
  <c r="AB1464" i="3"/>
  <c r="AB1465" i="3"/>
  <c r="M1462" i="3"/>
  <c r="AB1462" i="3" s="1"/>
  <c r="AB1461" i="3"/>
  <c r="M1459" i="3"/>
  <c r="AB1459" i="3" s="1"/>
  <c r="AB1457" i="3"/>
  <c r="AB1458" i="3"/>
  <c r="Z1469" i="3"/>
  <c r="AA1469" i="3" s="1"/>
  <c r="Z1466" i="3"/>
  <c r="AA1466" i="3" s="1"/>
  <c r="Z1459" i="3"/>
  <c r="AA1459" i="3" s="1"/>
  <c r="Z1462" i="3"/>
  <c r="AA1462" i="3" s="1"/>
  <c r="M1466" i="3"/>
  <c r="AB1466" i="3" s="1"/>
  <c r="N1469" i="3"/>
  <c r="O1469" i="3" s="1"/>
  <c r="O1468" i="3"/>
  <c r="AC1468" i="3" s="1"/>
  <c r="O1464" i="3"/>
  <c r="AC1464" i="3" s="1"/>
  <c r="N1466" i="3"/>
  <c r="O1466" i="3" s="1"/>
  <c r="N1457" i="3"/>
  <c r="N1461" i="3"/>
  <c r="X1454" i="3"/>
  <c r="W1454" i="3"/>
  <c r="U1435" i="3"/>
  <c r="AE1438" i="3"/>
  <c r="M40" i="7" l="1"/>
  <c r="AC1469" i="3"/>
  <c r="AC1466" i="3"/>
  <c r="O1457" i="3"/>
  <c r="AC1457" i="3" s="1"/>
  <c r="N1459" i="3"/>
  <c r="O1459" i="3" s="1"/>
  <c r="AC1459" i="3" s="1"/>
  <c r="O1461" i="3"/>
  <c r="AC1461" i="3" s="1"/>
  <c r="N1462" i="3"/>
  <c r="O1462" i="3" s="1"/>
  <c r="AC1462" i="3" s="1"/>
  <c r="W1455" i="3"/>
  <c r="S1455" i="3"/>
  <c r="T1455" i="3"/>
  <c r="U1455" i="3"/>
  <c r="V1455" i="3"/>
  <c r="R1455" i="3"/>
  <c r="P1454" i="3"/>
  <c r="L1455" i="3"/>
  <c r="M1454" i="3"/>
  <c r="M1455" i="3" s="1"/>
  <c r="I1454" i="3"/>
  <c r="J1454" i="3" s="1"/>
  <c r="Y1451" i="3"/>
  <c r="X1451" i="3"/>
  <c r="W1451" i="3"/>
  <c r="W1452" i="3" s="1"/>
  <c r="S1452" i="3"/>
  <c r="T1452" i="3"/>
  <c r="U1452" i="3"/>
  <c r="V1452" i="3"/>
  <c r="R1452" i="3"/>
  <c r="P1452" i="3"/>
  <c r="M1452" i="3"/>
  <c r="N1452" i="3"/>
  <c r="L1452" i="3"/>
  <c r="O46" i="20" l="1"/>
  <c r="Q46" i="20" s="1"/>
  <c r="F40" i="7"/>
  <c r="T40" i="7" s="1"/>
  <c r="X1455" i="3"/>
  <c r="AB1454" i="3"/>
  <c r="P1455" i="3"/>
  <c r="Y1455" i="3" s="1"/>
  <c r="Y1454" i="3"/>
  <c r="Z1454" i="3"/>
  <c r="AA1454" i="3" s="1"/>
  <c r="AB1455" i="3"/>
  <c r="Z1451" i="3"/>
  <c r="AA1451" i="3" s="1"/>
  <c r="AC1451" i="3" s="1"/>
  <c r="Y1452" i="3"/>
  <c r="AB1451" i="3"/>
  <c r="X1452" i="3"/>
  <c r="Z1452" i="3"/>
  <c r="AA1452" i="3" s="1"/>
  <c r="AC1452" i="3" s="1"/>
  <c r="N1454" i="3"/>
  <c r="AB1452" i="3"/>
  <c r="L1448" i="3"/>
  <c r="M1448" i="3" s="1"/>
  <c r="X1448" i="3"/>
  <c r="W1448" i="3"/>
  <c r="M60" i="7" s="1"/>
  <c r="S1449" i="3"/>
  <c r="T1449" i="3"/>
  <c r="U1449" i="3"/>
  <c r="V1449" i="3"/>
  <c r="R1449" i="3"/>
  <c r="I1448" i="3"/>
  <c r="J1448" i="3" s="1"/>
  <c r="W1449" i="3" l="1"/>
  <c r="Z1455" i="3"/>
  <c r="AA1455" i="3" s="1"/>
  <c r="L1449" i="3"/>
  <c r="P1448" i="3"/>
  <c r="O67" i="20" s="1"/>
  <c r="Q67" i="20" s="1"/>
  <c r="X1449" i="3"/>
  <c r="N1455" i="3"/>
  <c r="O1455" i="3" s="1"/>
  <c r="O1454" i="3"/>
  <c r="AC1454" i="3" s="1"/>
  <c r="M1449" i="3"/>
  <c r="AB1448" i="3"/>
  <c r="N1448" i="3"/>
  <c r="F60" i="7" l="1"/>
  <c r="T60" i="7" s="1"/>
  <c r="AB1449" i="3"/>
  <c r="Y1448" i="3"/>
  <c r="AC1455" i="3"/>
  <c r="Z1448" i="3"/>
  <c r="AA1448" i="3" s="1"/>
  <c r="P1449" i="3"/>
  <c r="Z1449" i="3" s="1"/>
  <c r="AA1449" i="3" s="1"/>
  <c r="N1449" i="3"/>
  <c r="O1449" i="3" s="1"/>
  <c r="O1448" i="3"/>
  <c r="Y1449" i="3" l="1"/>
  <c r="AC1448" i="3"/>
  <c r="AC1449" i="3"/>
  <c r="X1438" i="3"/>
  <c r="X1445" i="3"/>
  <c r="X1444" i="3"/>
  <c r="W1445" i="3"/>
  <c r="W1444" i="3"/>
  <c r="S1446" i="3"/>
  <c r="T1446" i="3"/>
  <c r="U1446" i="3"/>
  <c r="V1446" i="3"/>
  <c r="R1446" i="3"/>
  <c r="P1445" i="3"/>
  <c r="Y1445" i="3" s="1"/>
  <c r="P1444" i="3"/>
  <c r="M1445" i="3"/>
  <c r="N1445" i="3" s="1"/>
  <c r="O1445" i="3" s="1"/>
  <c r="M1444" i="3"/>
  <c r="L1446" i="3"/>
  <c r="I1445" i="3"/>
  <c r="J1445" i="3" s="1"/>
  <c r="I1444" i="3"/>
  <c r="J1444" i="3" s="1"/>
  <c r="O73" i="20" l="1"/>
  <c r="Q73" i="20" s="1"/>
  <c r="M67" i="7"/>
  <c r="F67" i="7"/>
  <c r="X1446" i="3"/>
  <c r="AB1444" i="3"/>
  <c r="Z1444" i="3"/>
  <c r="AA1444" i="3" s="1"/>
  <c r="Z1445" i="3"/>
  <c r="AA1445" i="3" s="1"/>
  <c r="AC1445" i="3" s="1"/>
  <c r="P1446" i="3"/>
  <c r="AB1445" i="3"/>
  <c r="Y1444" i="3"/>
  <c r="W1446" i="3"/>
  <c r="M1446" i="3"/>
  <c r="N1444" i="3"/>
  <c r="T67" i="7" l="1"/>
  <c r="AB1446" i="3"/>
  <c r="Z1446" i="3"/>
  <c r="AA1446" i="3" s="1"/>
  <c r="Y1446" i="3"/>
  <c r="N1446" i="3"/>
  <c r="O1446" i="3" s="1"/>
  <c r="O1444" i="3"/>
  <c r="AC1444" i="3" s="1"/>
  <c r="AC1446" i="3" l="1"/>
  <c r="M1436" i="3"/>
  <c r="M1442" i="3" s="1"/>
  <c r="L1436" i="3"/>
  <c r="L1442" i="3" s="1"/>
  <c r="N1441" i="3"/>
  <c r="N1435" i="3"/>
  <c r="O1435" i="3" s="1"/>
  <c r="N1434" i="3"/>
  <c r="O1434" i="3" s="1"/>
  <c r="N1440" i="3"/>
  <c r="O1440" i="3" s="1"/>
  <c r="N1439" i="3"/>
  <c r="O1439" i="3" s="1"/>
  <c r="N1438" i="3"/>
  <c r="O1438" i="3" s="1"/>
  <c r="N1437" i="3"/>
  <c r="O1437" i="3" s="1"/>
  <c r="N1436" i="3" l="1"/>
  <c r="N1442" i="3" s="1"/>
  <c r="O1442" i="3" s="1"/>
  <c r="O1441" i="3"/>
  <c r="O1436" i="3" l="1"/>
  <c r="W1438" i="3"/>
  <c r="AB1438" i="3" s="1"/>
  <c r="W1437" i="3"/>
  <c r="AB1437" i="3" s="1"/>
  <c r="S1436" i="3"/>
  <c r="S1442" i="3" s="1"/>
  <c r="T1436" i="3"/>
  <c r="T1442" i="3" s="1"/>
  <c r="U1436" i="3"/>
  <c r="V1436" i="3"/>
  <c r="V1442" i="3" s="1"/>
  <c r="R1436" i="3"/>
  <c r="R1442" i="3" s="1"/>
  <c r="W1439" i="3"/>
  <c r="AB1439" i="3" s="1"/>
  <c r="W1440" i="3"/>
  <c r="W1441" i="3"/>
  <c r="AB1441" i="3" s="1"/>
  <c r="W1435" i="3"/>
  <c r="AB1435" i="3" s="1"/>
  <c r="W1434" i="3"/>
  <c r="AB1434" i="3" s="1"/>
  <c r="Y1441" i="3"/>
  <c r="X1441" i="3"/>
  <c r="X1440" i="3"/>
  <c r="Y1439" i="3"/>
  <c r="X1439" i="3"/>
  <c r="Y1438" i="3"/>
  <c r="Y1437" i="3"/>
  <c r="X1437" i="3"/>
  <c r="Y1435" i="3"/>
  <c r="X1435" i="3"/>
  <c r="Y1434" i="3"/>
  <c r="X1434" i="3"/>
  <c r="P1440" i="3"/>
  <c r="Y1440" i="3" s="1"/>
  <c r="P1436" i="3"/>
  <c r="X1429" i="3"/>
  <c r="Y1429" i="3"/>
  <c r="X1430" i="3"/>
  <c r="Y1430" i="3"/>
  <c r="X1431" i="3"/>
  <c r="Y1431" i="3"/>
  <c r="Y1427" i="3"/>
  <c r="X1427" i="3"/>
  <c r="Y1426" i="3"/>
  <c r="X1426" i="3"/>
  <c r="Y1425" i="3"/>
  <c r="X1425" i="3"/>
  <c r="Y1424" i="3"/>
  <c r="X1424" i="3"/>
  <c r="Y1423" i="3"/>
  <c r="X1423" i="3"/>
  <c r="Y1422" i="3"/>
  <c r="X1422" i="3"/>
  <c r="Y1421" i="3"/>
  <c r="X1421" i="3"/>
  <c r="X1418" i="3"/>
  <c r="X1415" i="3"/>
  <c r="X1412" i="3"/>
  <c r="X1409" i="3"/>
  <c r="X1408" i="3"/>
  <c r="X1405" i="3"/>
  <c r="X1404" i="3"/>
  <c r="X1403" i="3"/>
  <c r="X1402" i="3"/>
  <c r="X1401" i="3"/>
  <c r="X1400" i="3"/>
  <c r="X1395" i="3"/>
  <c r="X1396" i="3"/>
  <c r="Y1396" i="3"/>
  <c r="X1397" i="3"/>
  <c r="Y1397" i="3"/>
  <c r="Y1394" i="3"/>
  <c r="X1394" i="3"/>
  <c r="Y1393" i="3"/>
  <c r="X1393" i="3"/>
  <c r="Y1392" i="3"/>
  <c r="X1392" i="3"/>
  <c r="Y1391" i="3"/>
  <c r="X1391" i="3"/>
  <c r="Y1390" i="3"/>
  <c r="X1390" i="3"/>
  <c r="Y1389" i="3"/>
  <c r="X1389" i="3"/>
  <c r="Y1388" i="3"/>
  <c r="X1388" i="3"/>
  <c r="Y1387" i="3"/>
  <c r="X1387" i="3"/>
  <c r="W1431" i="3"/>
  <c r="W1430" i="3"/>
  <c r="W1429" i="3"/>
  <c r="W1427" i="3"/>
  <c r="AB1427" i="3" s="1"/>
  <c r="W1426" i="3"/>
  <c r="O22" i="10" s="1"/>
  <c r="W22" i="10" s="1"/>
  <c r="W1425" i="3"/>
  <c r="W1424" i="3"/>
  <c r="W1423" i="3"/>
  <c r="W1422" i="3"/>
  <c r="W1421" i="3"/>
  <c r="M56" i="7" l="1"/>
  <c r="T56" i="7" s="1"/>
  <c r="P1442" i="3"/>
  <c r="Z1440" i="3"/>
  <c r="AA1440" i="3" s="1"/>
  <c r="AC1440" i="3" s="1"/>
  <c r="Z1441" i="3"/>
  <c r="AA1441" i="3" s="1"/>
  <c r="AC1441" i="3" s="1"/>
  <c r="Z1434" i="3"/>
  <c r="AA1434" i="3" s="1"/>
  <c r="AC1434" i="3" s="1"/>
  <c r="X1436" i="3"/>
  <c r="Z1439" i="3"/>
  <c r="AA1439" i="3" s="1"/>
  <c r="AC1439" i="3" s="1"/>
  <c r="AB1440" i="3"/>
  <c r="Y1436" i="3"/>
  <c r="U1442" i="3"/>
  <c r="W1436" i="3"/>
  <c r="X1442" i="3"/>
  <c r="Z1438" i="3"/>
  <c r="AA1438" i="3" s="1"/>
  <c r="AC1438" i="3" s="1"/>
  <c r="Z1437" i="3"/>
  <c r="AA1437" i="3" s="1"/>
  <c r="AC1437" i="3" s="1"/>
  <c r="Z1435" i="3"/>
  <c r="AA1435" i="3" s="1"/>
  <c r="AC1435" i="3" s="1"/>
  <c r="Z1427" i="3"/>
  <c r="AA1427" i="3" s="1"/>
  <c r="Z1429" i="3"/>
  <c r="AA1429" i="3" s="1"/>
  <c r="AB1429" i="3"/>
  <c r="Z1430" i="3"/>
  <c r="AA1430" i="3" s="1"/>
  <c r="AB1430" i="3"/>
  <c r="Z1431" i="3"/>
  <c r="AA1431" i="3" s="1"/>
  <c r="AB1426" i="3"/>
  <c r="Z1426" i="3"/>
  <c r="AA1426" i="3" s="1"/>
  <c r="AB1425" i="3"/>
  <c r="Z1425" i="3"/>
  <c r="AA1425" i="3" s="1"/>
  <c r="AB1424" i="3"/>
  <c r="Z1424" i="3"/>
  <c r="AA1424" i="3" s="1"/>
  <c r="AB1423" i="3"/>
  <c r="Z1423" i="3"/>
  <c r="AA1423" i="3" s="1"/>
  <c r="AB1422" i="3"/>
  <c r="Z1422" i="3"/>
  <c r="AA1422" i="3" s="1"/>
  <c r="AB1421" i="3"/>
  <c r="Z1421" i="3"/>
  <c r="AA1421" i="3" s="1"/>
  <c r="N1430" i="3"/>
  <c r="O1430" i="3" s="1"/>
  <c r="N1429" i="3"/>
  <c r="O1429" i="3" s="1"/>
  <c r="N1427" i="3"/>
  <c r="O1427" i="3" s="1"/>
  <c r="N1426" i="3"/>
  <c r="O1426" i="3" s="1"/>
  <c r="N1425" i="3"/>
  <c r="O1425" i="3" s="1"/>
  <c r="N1424" i="3"/>
  <c r="O1424" i="3" s="1"/>
  <c r="N1423" i="3"/>
  <c r="O1423" i="3" s="1"/>
  <c r="N1422" i="3"/>
  <c r="O1422" i="3" s="1"/>
  <c r="N1421" i="3"/>
  <c r="O1421" i="3" s="1"/>
  <c r="M1431" i="3"/>
  <c r="Y1442" i="3" l="1"/>
  <c r="AB1436" i="3"/>
  <c r="W1442" i="3"/>
  <c r="Z1436" i="3"/>
  <c r="AA1436" i="3" s="1"/>
  <c r="AC1436" i="3" s="1"/>
  <c r="AB1431" i="3"/>
  <c r="N1431" i="3"/>
  <c r="O1431" i="3" s="1"/>
  <c r="AC1431" i="3" s="1"/>
  <c r="AC1421" i="3"/>
  <c r="AC1422" i="3"/>
  <c r="AC1423" i="3"/>
  <c r="AC1424" i="3"/>
  <c r="AC1425" i="3"/>
  <c r="AC1426" i="3"/>
  <c r="AC1430" i="3"/>
  <c r="AC1429" i="3"/>
  <c r="AC1427" i="3"/>
  <c r="R1428" i="3"/>
  <c r="R1432" i="3" s="1"/>
  <c r="S1428" i="3"/>
  <c r="T1428" i="3"/>
  <c r="T1432" i="3" s="1"/>
  <c r="U1428" i="3"/>
  <c r="V1428" i="3"/>
  <c r="V1432" i="3" s="1"/>
  <c r="W1428" i="3"/>
  <c r="P1428" i="3"/>
  <c r="P1432" i="3" s="1"/>
  <c r="M1428" i="3"/>
  <c r="M1432" i="3" s="1"/>
  <c r="N1428" i="3"/>
  <c r="L1428" i="3"/>
  <c r="L1432" i="3" s="1"/>
  <c r="I1431" i="3"/>
  <c r="J1431" i="3" s="1"/>
  <c r="M1418" i="3"/>
  <c r="M1419" i="3" s="1"/>
  <c r="S1419" i="3"/>
  <c r="T1419" i="3"/>
  <c r="U1419" i="3"/>
  <c r="V1419" i="3"/>
  <c r="R1419" i="3"/>
  <c r="S1416" i="3"/>
  <c r="T1416" i="3"/>
  <c r="U1416" i="3"/>
  <c r="V1416" i="3"/>
  <c r="R1416" i="3"/>
  <c r="S1413" i="3"/>
  <c r="T1413" i="3"/>
  <c r="U1413" i="3"/>
  <c r="V1413" i="3"/>
  <c r="R1413" i="3"/>
  <c r="W1418" i="3"/>
  <c r="M49" i="7" s="1"/>
  <c r="M26" i="7"/>
  <c r="W1412" i="3"/>
  <c r="P1418" i="3"/>
  <c r="O56" i="20" s="1"/>
  <c r="Q56" i="20" s="1"/>
  <c r="P1415" i="3"/>
  <c r="O31" i="20" s="1"/>
  <c r="Q31" i="20" s="1"/>
  <c r="P1412" i="3"/>
  <c r="O11" i="20" s="1"/>
  <c r="Q11" i="20" s="1"/>
  <c r="L1419" i="3"/>
  <c r="P1419" i="3" s="1"/>
  <c r="L1416" i="3"/>
  <c r="P1416" i="3" s="1"/>
  <c r="L1413" i="3"/>
  <c r="P1413" i="3" s="1"/>
  <c r="M1415" i="3"/>
  <c r="M1416" i="3" s="1"/>
  <c r="M1412" i="3"/>
  <c r="N1412" i="3" s="1"/>
  <c r="F49" i="7" l="1"/>
  <c r="T49" i="7" s="1"/>
  <c r="F7" i="7"/>
  <c r="F26" i="7"/>
  <c r="T26" i="7" s="1"/>
  <c r="W1413" i="3"/>
  <c r="Z1413" i="3" s="1"/>
  <c r="AA1413" i="3" s="1"/>
  <c r="M7" i="7"/>
  <c r="Y1418" i="3"/>
  <c r="Y1415" i="3"/>
  <c r="Y1412" i="3"/>
  <c r="W1416" i="3"/>
  <c r="Z1416" i="3" s="1"/>
  <c r="AA1416" i="3" s="1"/>
  <c r="W1419" i="3"/>
  <c r="Z1419" i="3" s="1"/>
  <c r="AA1419" i="3" s="1"/>
  <c r="Z1442" i="3"/>
  <c r="AA1442" i="3" s="1"/>
  <c r="AC1442" i="3" s="1"/>
  <c r="AB1442" i="3"/>
  <c r="Y1413" i="3"/>
  <c r="X1413" i="3"/>
  <c r="Y1416" i="3"/>
  <c r="X1416" i="3"/>
  <c r="Y1419" i="3"/>
  <c r="X1419" i="3"/>
  <c r="N1432" i="3"/>
  <c r="O1432" i="3" s="1"/>
  <c r="O1428" i="3"/>
  <c r="U1432" i="3"/>
  <c r="Y1432" i="3" s="1"/>
  <c r="Y1428" i="3"/>
  <c r="X1428" i="3"/>
  <c r="S1432" i="3"/>
  <c r="X1432" i="3" s="1"/>
  <c r="W1432" i="3"/>
  <c r="Z1428" i="3"/>
  <c r="AA1428" i="3" s="1"/>
  <c r="AB1428" i="3"/>
  <c r="AB1418" i="3"/>
  <c r="Z1418" i="3"/>
  <c r="AA1418" i="3" s="1"/>
  <c r="AB1415" i="3"/>
  <c r="Z1415" i="3"/>
  <c r="AA1415" i="3" s="1"/>
  <c r="AB1412" i="3"/>
  <c r="Z1412" i="3"/>
  <c r="AA1412" i="3" s="1"/>
  <c r="N1418" i="3"/>
  <c r="N1419" i="3" s="1"/>
  <c r="O1419" i="3" s="1"/>
  <c r="N1415" i="3"/>
  <c r="N1416" i="3" s="1"/>
  <c r="O1416" i="3" s="1"/>
  <c r="O1412" i="3"/>
  <c r="N1413" i="3"/>
  <c r="O1413" i="3" s="1"/>
  <c r="M1413" i="3"/>
  <c r="P1409" i="3"/>
  <c r="Y1409" i="3" s="1"/>
  <c r="P1408" i="3"/>
  <c r="M1409" i="3"/>
  <c r="M1408" i="3"/>
  <c r="L1410" i="3"/>
  <c r="S1410" i="3"/>
  <c r="T1410" i="3"/>
  <c r="U1410" i="3"/>
  <c r="V1410" i="3"/>
  <c r="R1410" i="3"/>
  <c r="W1409" i="3"/>
  <c r="W1408" i="3"/>
  <c r="S1406" i="3"/>
  <c r="T1406" i="3"/>
  <c r="U1406" i="3"/>
  <c r="V1406" i="3"/>
  <c r="R1406" i="3"/>
  <c r="N1401" i="3"/>
  <c r="O1401" i="3" s="1"/>
  <c r="N1402" i="3"/>
  <c r="O1402" i="3" s="1"/>
  <c r="N1403" i="3"/>
  <c r="O1403" i="3" s="1"/>
  <c r="N1405" i="3"/>
  <c r="O1405" i="3" s="1"/>
  <c r="L1400" i="3"/>
  <c r="P1400" i="3" s="1"/>
  <c r="L1404" i="3"/>
  <c r="W1401" i="3"/>
  <c r="W1402" i="3"/>
  <c r="W1403" i="3"/>
  <c r="W1404" i="3"/>
  <c r="W1405" i="3"/>
  <c r="W1400" i="3"/>
  <c r="O21" i="10" s="1"/>
  <c r="M1406" i="3"/>
  <c r="P1401" i="3"/>
  <c r="P1402" i="3"/>
  <c r="P1403" i="3"/>
  <c r="P1405" i="3"/>
  <c r="T1354" i="3"/>
  <c r="S1354" i="3"/>
  <c r="R1354" i="3"/>
  <c r="I1418" i="3"/>
  <c r="J1418" i="3" s="1"/>
  <c r="I1415" i="3"/>
  <c r="J1415" i="3" s="1"/>
  <c r="I1412" i="3"/>
  <c r="J1412" i="3" s="1"/>
  <c r="I1409" i="3"/>
  <c r="J1409" i="3" s="1"/>
  <c r="I1408" i="3"/>
  <c r="J1408" i="3" s="1"/>
  <c r="W1396" i="3"/>
  <c r="O17" i="10" s="1"/>
  <c r="O30" i="20" l="1"/>
  <c r="G21" i="10"/>
  <c r="W21" i="10" s="1"/>
  <c r="T7" i="7"/>
  <c r="AB1402" i="3"/>
  <c r="Y1402" i="3"/>
  <c r="AB1405" i="3"/>
  <c r="AB1404" i="3"/>
  <c r="Y1405" i="3"/>
  <c r="Y1403" i="3"/>
  <c r="G17" i="10"/>
  <c r="W17" i="10" s="1"/>
  <c r="F25" i="7"/>
  <c r="AB1401" i="3"/>
  <c r="Y1400" i="3"/>
  <c r="G20" i="10"/>
  <c r="Y1401" i="3"/>
  <c r="AB1413" i="3"/>
  <c r="AB1416" i="3"/>
  <c r="M25" i="7"/>
  <c r="Y1408" i="3"/>
  <c r="AB1419" i="3"/>
  <c r="AC1428" i="3"/>
  <c r="X1406" i="3"/>
  <c r="X1410" i="3"/>
  <c r="Z1432" i="3"/>
  <c r="AA1432" i="3" s="1"/>
  <c r="AC1432" i="3" s="1"/>
  <c r="AB1432" i="3"/>
  <c r="AB1408" i="3"/>
  <c r="L1406" i="3"/>
  <c r="P1406" i="3" s="1"/>
  <c r="Y1406" i="3" s="1"/>
  <c r="Z1403" i="3"/>
  <c r="AA1403" i="3" s="1"/>
  <c r="AC1403" i="3" s="1"/>
  <c r="M1410" i="3"/>
  <c r="AB1409" i="3"/>
  <c r="Z1400" i="3"/>
  <c r="AA1400" i="3" s="1"/>
  <c r="AC1412" i="3"/>
  <c r="AC1413" i="3"/>
  <c r="W1410" i="3"/>
  <c r="AB1400" i="3"/>
  <c r="W1406" i="3"/>
  <c r="Z1408" i="3"/>
  <c r="AA1408" i="3" s="1"/>
  <c r="Z1409" i="3"/>
  <c r="AA1409" i="3" s="1"/>
  <c r="P1404" i="3"/>
  <c r="N1400" i="3"/>
  <c r="O1400" i="3" s="1"/>
  <c r="Z1401" i="3"/>
  <c r="AA1401" i="3" s="1"/>
  <c r="AC1401" i="3" s="1"/>
  <c r="N1408" i="3"/>
  <c r="O1408" i="3" s="1"/>
  <c r="N1404" i="3"/>
  <c r="O1404" i="3" s="1"/>
  <c r="AC1416" i="3"/>
  <c r="AC1419" i="3"/>
  <c r="O1418" i="3"/>
  <c r="AC1418" i="3" s="1"/>
  <c r="O1415" i="3"/>
  <c r="AC1415" i="3" s="1"/>
  <c r="P1410" i="3"/>
  <c r="Y1410" i="3" s="1"/>
  <c r="N1409" i="3"/>
  <c r="O1409" i="3" s="1"/>
  <c r="Z1405" i="3"/>
  <c r="AA1405" i="3" s="1"/>
  <c r="AC1405" i="3" s="1"/>
  <c r="AB1403" i="3"/>
  <c r="Z1402" i="3"/>
  <c r="AA1402" i="3" s="1"/>
  <c r="AC1402" i="3" s="1"/>
  <c r="L1395" i="3"/>
  <c r="P1395" i="3" s="1"/>
  <c r="Q30" i="20" l="1"/>
  <c r="T25" i="7"/>
  <c r="Y1395" i="3"/>
  <c r="G24" i="10"/>
  <c r="AC1400" i="3"/>
  <c r="Z1404" i="3"/>
  <c r="AA1404" i="3" s="1"/>
  <c r="AC1404" i="3" s="1"/>
  <c r="Y1404" i="3"/>
  <c r="AC1408" i="3"/>
  <c r="AB1410" i="3"/>
  <c r="Z1406" i="3"/>
  <c r="AA1406" i="3" s="1"/>
  <c r="Z1410" i="3"/>
  <c r="AA1410" i="3" s="1"/>
  <c r="AC1409" i="3"/>
  <c r="N1406" i="3"/>
  <c r="O1406" i="3" s="1"/>
  <c r="N1410" i="3"/>
  <c r="O1410" i="3" s="1"/>
  <c r="AB1406" i="3"/>
  <c r="S1398" i="3"/>
  <c r="T1398" i="3"/>
  <c r="U1398" i="3"/>
  <c r="V1398" i="3"/>
  <c r="R1398" i="3"/>
  <c r="W1388" i="3"/>
  <c r="Z1388" i="3" s="1"/>
  <c r="AA1388" i="3" s="1"/>
  <c r="W1389" i="3"/>
  <c r="Z1389" i="3" s="1"/>
  <c r="AA1389" i="3" s="1"/>
  <c r="W1390" i="3"/>
  <c r="AB1390" i="3" s="1"/>
  <c r="W1391" i="3"/>
  <c r="AB1391" i="3" s="1"/>
  <c r="W1392" i="3"/>
  <c r="Z1392" i="3" s="1"/>
  <c r="AA1392" i="3" s="1"/>
  <c r="W1393" i="3"/>
  <c r="Z1393" i="3" s="1"/>
  <c r="AA1393" i="3" s="1"/>
  <c r="W1394" i="3"/>
  <c r="Z1394" i="3" s="1"/>
  <c r="AA1394" i="3" s="1"/>
  <c r="W1395" i="3"/>
  <c r="Z1396" i="3"/>
  <c r="AA1396" i="3" s="1"/>
  <c r="W1397" i="3"/>
  <c r="W1387" i="3"/>
  <c r="AB1387" i="3" s="1"/>
  <c r="M50" i="7" l="1"/>
  <c r="T50" i="7" s="1"/>
  <c r="Z1395" i="3"/>
  <c r="AA1395" i="3" s="1"/>
  <c r="O24" i="10"/>
  <c r="W24" i="10" s="1"/>
  <c r="Z1397" i="3"/>
  <c r="AA1397" i="3" s="1"/>
  <c r="X1398" i="3"/>
  <c r="AC1406" i="3"/>
  <c r="AC1410" i="3"/>
  <c r="AB1392" i="3"/>
  <c r="AB1388" i="3"/>
  <c r="AB1394" i="3"/>
  <c r="Z1387" i="3"/>
  <c r="AA1387" i="3" s="1"/>
  <c r="AB1396" i="3"/>
  <c r="Z1391" i="3"/>
  <c r="AA1391" i="3" s="1"/>
  <c r="Z1390" i="3"/>
  <c r="AA1390" i="3" s="1"/>
  <c r="AB1393" i="3"/>
  <c r="AB1389" i="3"/>
  <c r="AB1397" i="3"/>
  <c r="AB1395" i="3"/>
  <c r="W1398" i="3"/>
  <c r="P1398" i="3"/>
  <c r="Y1398" i="3" s="1"/>
  <c r="M1398" i="3"/>
  <c r="N1397" i="3"/>
  <c r="O1397" i="3" s="1"/>
  <c r="N1396" i="3"/>
  <c r="O1396" i="3" s="1"/>
  <c r="AC1396" i="3" s="1"/>
  <c r="N1395" i="3"/>
  <c r="O1395" i="3" s="1"/>
  <c r="N1388" i="3"/>
  <c r="O1388" i="3" s="1"/>
  <c r="AC1388" i="3" s="1"/>
  <c r="N1389" i="3"/>
  <c r="O1389" i="3" s="1"/>
  <c r="AC1389" i="3" s="1"/>
  <c r="N1390" i="3"/>
  <c r="O1390" i="3" s="1"/>
  <c r="N1391" i="3"/>
  <c r="O1391" i="3" s="1"/>
  <c r="N1392" i="3"/>
  <c r="O1392" i="3" s="1"/>
  <c r="AC1392" i="3" s="1"/>
  <c r="N1393" i="3"/>
  <c r="O1393" i="3" s="1"/>
  <c r="AC1393" i="3" s="1"/>
  <c r="N1394" i="3"/>
  <c r="O1394" i="3" s="1"/>
  <c r="AC1394" i="3" s="1"/>
  <c r="N1387" i="3"/>
  <c r="O1387" i="3" s="1"/>
  <c r="L1398" i="3"/>
  <c r="I1397" i="3"/>
  <c r="J1397" i="3" s="1"/>
  <c r="S785" i="3"/>
  <c r="T785" i="3"/>
  <c r="U785" i="3"/>
  <c r="V785" i="3"/>
  <c r="R785" i="3"/>
  <c r="X1382" i="3"/>
  <c r="Y1382" i="3"/>
  <c r="X1383" i="3"/>
  <c r="Y1383" i="3"/>
  <c r="Y1381" i="3"/>
  <c r="X1381" i="3"/>
  <c r="W1384" i="3"/>
  <c r="O4" i="10" s="1"/>
  <c r="W1381" i="3"/>
  <c r="W1382" i="3"/>
  <c r="Z1382" i="3" s="1"/>
  <c r="AA1382" i="3" s="1"/>
  <c r="S1385" i="3"/>
  <c r="T1385" i="3"/>
  <c r="U1385" i="3"/>
  <c r="V1385" i="3"/>
  <c r="R1385" i="3"/>
  <c r="W1383" i="3"/>
  <c r="P1385" i="3"/>
  <c r="M1382" i="3"/>
  <c r="M1383" i="3"/>
  <c r="N1383" i="3" s="1"/>
  <c r="O1383" i="3" s="1"/>
  <c r="M1384" i="3"/>
  <c r="N1384" i="3" s="1"/>
  <c r="O1384" i="3" s="1"/>
  <c r="M1381" i="3"/>
  <c r="N1381" i="3" s="1"/>
  <c r="O1381" i="3" s="1"/>
  <c r="L1385" i="3"/>
  <c r="O1385" i="3" s="1"/>
  <c r="Y1378" i="3"/>
  <c r="X1378" i="3"/>
  <c r="Y1377" i="3"/>
  <c r="X1377" i="3"/>
  <c r="W1378" i="3"/>
  <c r="Z1378" i="3" s="1"/>
  <c r="AA1378" i="3" s="1"/>
  <c r="W1377" i="3"/>
  <c r="S1379" i="3"/>
  <c r="T1379" i="3"/>
  <c r="U1379" i="3"/>
  <c r="V1379" i="3"/>
  <c r="R1379" i="3"/>
  <c r="P1379" i="3"/>
  <c r="W4" i="10" l="1"/>
  <c r="Z1377" i="3"/>
  <c r="AA1377" i="3" s="1"/>
  <c r="M78" i="7"/>
  <c r="AC1395" i="3"/>
  <c r="Z1383" i="3"/>
  <c r="AA1383" i="3" s="1"/>
  <c r="AC1383" i="3" s="1"/>
  <c r="O18" i="10"/>
  <c r="W18" i="10" s="1"/>
  <c r="Z1381" i="3"/>
  <c r="AA1381" i="3" s="1"/>
  <c r="AC1381" i="3" s="1"/>
  <c r="O20" i="10"/>
  <c r="W20" i="10" s="1"/>
  <c r="AC1397" i="3"/>
  <c r="AB1382" i="3"/>
  <c r="AC1390" i="3"/>
  <c r="AC1387" i="3"/>
  <c r="AC1391" i="3"/>
  <c r="X1385" i="3"/>
  <c r="Y1385" i="3"/>
  <c r="N1398" i="3"/>
  <c r="O1398" i="3" s="1"/>
  <c r="AB1398" i="3"/>
  <c r="Z1398" i="3"/>
  <c r="AA1398" i="3" s="1"/>
  <c r="N1382" i="3"/>
  <c r="O1382" i="3" s="1"/>
  <c r="AC1382" i="3" s="1"/>
  <c r="AB1381" i="3"/>
  <c r="AB1383" i="3"/>
  <c r="W1385" i="3"/>
  <c r="AB1385" i="3" s="1"/>
  <c r="Y1379" i="3"/>
  <c r="X1379" i="3"/>
  <c r="W1379" i="3"/>
  <c r="Z1379" i="3" s="1"/>
  <c r="AA1379" i="3" s="1"/>
  <c r="M1378" i="3"/>
  <c r="M1377" i="3"/>
  <c r="I1378" i="3"/>
  <c r="J1378" i="3" s="1"/>
  <c r="I1377" i="3"/>
  <c r="J1377" i="3" s="1"/>
  <c r="W1291" i="3"/>
  <c r="Z1291" i="3" s="1"/>
  <c r="AA1291" i="3" s="1"/>
  <c r="X1291" i="3"/>
  <c r="Y1291" i="3"/>
  <c r="Y1243" i="3"/>
  <c r="S1244" i="3"/>
  <c r="T1244" i="3"/>
  <c r="U1244" i="3"/>
  <c r="V1244" i="3"/>
  <c r="R1244" i="3"/>
  <c r="P1244" i="3"/>
  <c r="Z1243" i="3"/>
  <c r="AA1243" i="3" s="1"/>
  <c r="AC1243" i="3" s="1"/>
  <c r="X1243" i="3"/>
  <c r="I1243" i="3"/>
  <c r="J1243" i="3" s="1"/>
  <c r="Y1357" i="3"/>
  <c r="Y1352" i="3"/>
  <c r="W1363" i="3"/>
  <c r="T78" i="7" l="1"/>
  <c r="AC1398" i="3"/>
  <c r="Z1385" i="3"/>
  <c r="AA1385" i="3" s="1"/>
  <c r="AC1385" i="3" s="1"/>
  <c r="N1377" i="3"/>
  <c r="AB1377" i="3"/>
  <c r="N1378" i="3"/>
  <c r="O1378" i="3" s="1"/>
  <c r="AC1378" i="3" s="1"/>
  <c r="AB1378" i="3"/>
  <c r="M1379" i="3"/>
  <c r="AB1379" i="3" s="1"/>
  <c r="Y1363" i="3"/>
  <c r="Y1371" i="3"/>
  <c r="Y1370" i="3"/>
  <c r="X1366" i="3"/>
  <c r="Y1366" i="3"/>
  <c r="X1367" i="3"/>
  <c r="Y1367" i="3"/>
  <c r="Y1365" i="3"/>
  <c r="X1365" i="3"/>
  <c r="Y1364" i="3"/>
  <c r="X1364" i="3"/>
  <c r="X1363" i="3"/>
  <c r="Y1362" i="3"/>
  <c r="X1362" i="3"/>
  <c r="Y1361" i="3"/>
  <c r="X1361" i="3"/>
  <c r="Y1360" i="3"/>
  <c r="X1360" i="3"/>
  <c r="X1357" i="3"/>
  <c r="Y1356" i="3"/>
  <c r="X1356" i="3"/>
  <c r="Y1355" i="3"/>
  <c r="X1355" i="3"/>
  <c r="Y1354" i="3"/>
  <c r="X1354" i="3"/>
  <c r="X1352" i="3"/>
  <c r="Y1351" i="3"/>
  <c r="X1351" i="3"/>
  <c r="Y1350" i="3"/>
  <c r="X1350" i="3"/>
  <c r="Y1349" i="3"/>
  <c r="X1349" i="3"/>
  <c r="S1368" i="3"/>
  <c r="S1375" i="3" s="1"/>
  <c r="T1368" i="3"/>
  <c r="T1375" i="3" s="1"/>
  <c r="U1368" i="3"/>
  <c r="V1368" i="3"/>
  <c r="V1375" i="3" s="1"/>
  <c r="R1368" i="3"/>
  <c r="R1375" i="3" s="1"/>
  <c r="AB1371" i="3"/>
  <c r="AB1370" i="3"/>
  <c r="W1361" i="3"/>
  <c r="AB1361" i="3" s="1"/>
  <c r="W1362" i="3"/>
  <c r="AB1362" i="3" s="1"/>
  <c r="AB1363" i="3"/>
  <c r="W1364" i="3"/>
  <c r="AB1364" i="3" s="1"/>
  <c r="W1365" i="3"/>
  <c r="AB1365" i="3" s="1"/>
  <c r="W1366" i="3"/>
  <c r="Z1366" i="3" s="1"/>
  <c r="AA1366" i="3" s="1"/>
  <c r="AB1367" i="3"/>
  <c r="W1360" i="3"/>
  <c r="AB1360" i="3" s="1"/>
  <c r="S1353" i="3"/>
  <c r="S1358" i="3" s="1"/>
  <c r="T1353" i="3"/>
  <c r="T1358" i="3" s="1"/>
  <c r="U1353" i="3"/>
  <c r="V1353" i="3"/>
  <c r="V1358" i="3" s="1"/>
  <c r="R1353" i="3"/>
  <c r="W1357" i="3"/>
  <c r="W1356" i="3"/>
  <c r="AB1356" i="3" s="1"/>
  <c r="W1355" i="3"/>
  <c r="AB1355" i="3" s="1"/>
  <c r="W1354" i="3"/>
  <c r="W1352" i="3"/>
  <c r="AB1352" i="3" s="1"/>
  <c r="W1351" i="3"/>
  <c r="AB1351" i="3" s="1"/>
  <c r="W1350" i="3"/>
  <c r="AB1350" i="3" s="1"/>
  <c r="W1349" i="3"/>
  <c r="Z1349" i="3" s="1"/>
  <c r="AA1349" i="3" s="1"/>
  <c r="P1368" i="3"/>
  <c r="P1375" i="3" s="1"/>
  <c r="AB1354" i="3" l="1"/>
  <c r="O1377" i="3"/>
  <c r="AC1377" i="3" s="1"/>
  <c r="N1379" i="3"/>
  <c r="O1379" i="3" s="1"/>
  <c r="AC1379" i="3" s="1"/>
  <c r="Z1370" i="3"/>
  <c r="AA1370" i="3" s="1"/>
  <c r="X1353" i="3"/>
  <c r="AB1357" i="3"/>
  <c r="Z1357" i="3"/>
  <c r="AA1357" i="3" s="1"/>
  <c r="Z1352" i="3"/>
  <c r="AA1352" i="3" s="1"/>
  <c r="Z1362" i="3"/>
  <c r="AA1362" i="3" s="1"/>
  <c r="Z1371" i="3"/>
  <c r="AA1371" i="3" s="1"/>
  <c r="Y1368" i="3"/>
  <c r="AB1366" i="3"/>
  <c r="Z1351" i="3"/>
  <c r="AA1351" i="3" s="1"/>
  <c r="U1358" i="3"/>
  <c r="Z1350" i="3"/>
  <c r="AA1350" i="3" s="1"/>
  <c r="Z1356" i="3"/>
  <c r="AA1356" i="3" s="1"/>
  <c r="Z1355" i="3"/>
  <c r="AA1355" i="3" s="1"/>
  <c r="Z1354" i="3"/>
  <c r="AA1354" i="3" s="1"/>
  <c r="AB1349" i="3"/>
  <c r="W1353" i="3"/>
  <c r="R1358" i="3"/>
  <c r="X1358" i="3" s="1"/>
  <c r="Z1367" i="3"/>
  <c r="AA1367" i="3" s="1"/>
  <c r="Z1365" i="3"/>
  <c r="AA1365" i="3" s="1"/>
  <c r="Z1364" i="3"/>
  <c r="AA1364" i="3" s="1"/>
  <c r="Z1363" i="3"/>
  <c r="Z1361" i="3"/>
  <c r="AA1361" i="3" s="1"/>
  <c r="W1368" i="3"/>
  <c r="U1375" i="3"/>
  <c r="Y1375" i="3" s="1"/>
  <c r="Z1360" i="3"/>
  <c r="AA1360" i="3" s="1"/>
  <c r="M1368" i="3"/>
  <c r="M1375" i="3" s="1"/>
  <c r="N1371" i="3"/>
  <c r="O1371" i="3" s="1"/>
  <c r="N1370" i="3"/>
  <c r="O1370" i="3" s="1"/>
  <c r="N1364" i="3"/>
  <c r="O1364" i="3" s="1"/>
  <c r="N1365" i="3"/>
  <c r="O1365" i="3" s="1"/>
  <c r="N1366" i="3"/>
  <c r="O1366" i="3" s="1"/>
  <c r="AC1366" i="3" s="1"/>
  <c r="N1367" i="3"/>
  <c r="O1367" i="3" s="1"/>
  <c r="N1362" i="3"/>
  <c r="O1362" i="3" s="1"/>
  <c r="N1361" i="3"/>
  <c r="O1361" i="3" s="1"/>
  <c r="N1360" i="3"/>
  <c r="O1360" i="3" s="1"/>
  <c r="L1368" i="3"/>
  <c r="L1375" i="3" s="1"/>
  <c r="AC1360" i="3" l="1"/>
  <c r="AC1370" i="3"/>
  <c r="AC1367" i="3"/>
  <c r="AC1364" i="3"/>
  <c r="AC1365" i="3"/>
  <c r="AC1371" i="3"/>
  <c r="AC1362" i="3"/>
  <c r="AB1368" i="3"/>
  <c r="AC1361" i="3"/>
  <c r="W1358" i="3"/>
  <c r="AA1363" i="3"/>
  <c r="AC1363" i="3" s="1"/>
  <c r="W1375" i="3"/>
  <c r="AB1375" i="3" s="1"/>
  <c r="Z1368" i="3"/>
  <c r="AA1368" i="3" s="1"/>
  <c r="N1368" i="3"/>
  <c r="N1375" i="3" s="1"/>
  <c r="O1375" i="3" s="1"/>
  <c r="Z1375" i="3" l="1"/>
  <c r="AA1375" i="3" s="1"/>
  <c r="AC1375" i="3" s="1"/>
  <c r="O1368" i="3"/>
  <c r="AC1368" i="3" s="1"/>
  <c r="N1350" i="3" l="1"/>
  <c r="O1350" i="3" s="1"/>
  <c r="AC1350" i="3" s="1"/>
  <c r="N1351" i="3"/>
  <c r="O1351" i="3" s="1"/>
  <c r="AC1351" i="3" s="1"/>
  <c r="P1353" i="3"/>
  <c r="L1353" i="3"/>
  <c r="L1358" i="3" s="1"/>
  <c r="N1357" i="3"/>
  <c r="O1357" i="3" s="1"/>
  <c r="AC1357" i="3" s="1"/>
  <c r="N1356" i="3"/>
  <c r="O1356" i="3" s="1"/>
  <c r="AC1356" i="3" s="1"/>
  <c r="N1355" i="3"/>
  <c r="O1355" i="3" s="1"/>
  <c r="AC1355" i="3" s="1"/>
  <c r="N1354" i="3"/>
  <c r="N1352" i="3"/>
  <c r="P1358" i="3" l="1"/>
  <c r="Y1353" i="3"/>
  <c r="Z1353" i="3"/>
  <c r="AA1353" i="3" s="1"/>
  <c r="M1353" i="3"/>
  <c r="M1358" i="3" s="1"/>
  <c r="N1349" i="3"/>
  <c r="O1349" i="3" s="1"/>
  <c r="AC1349" i="3" s="1"/>
  <c r="O1352" i="3"/>
  <c r="AC1352" i="3" s="1"/>
  <c r="O1354" i="3"/>
  <c r="AC1354" i="3" s="1"/>
  <c r="AB1358" i="3" l="1"/>
  <c r="AB1353" i="3"/>
  <c r="Y1358" i="3"/>
  <c r="Z1358" i="3"/>
  <c r="AA1358" i="3" s="1"/>
  <c r="N1353" i="3"/>
  <c r="N1358" i="3" l="1"/>
  <c r="O1358" i="3" s="1"/>
  <c r="AC1358" i="3" s="1"/>
  <c r="O1353" i="3"/>
  <c r="AC1353" i="3" s="1"/>
  <c r="R1340" i="3"/>
  <c r="R1347" i="3" s="1"/>
  <c r="S1340" i="3"/>
  <c r="T1340" i="3"/>
  <c r="U1340" i="3"/>
  <c r="V1340" i="3"/>
  <c r="S1347" i="3" l="1"/>
  <c r="T1347" i="3"/>
  <c r="U1347" i="3"/>
  <c r="V1347" i="3"/>
  <c r="X1347" i="3" l="1"/>
  <c r="Y1346" i="3"/>
  <c r="X1346" i="3"/>
  <c r="W1346" i="3"/>
  <c r="Z1346" i="3" s="1"/>
  <c r="AA1346" i="3" s="1"/>
  <c r="Y1345" i="3"/>
  <c r="X1345" i="3"/>
  <c r="W1345" i="3"/>
  <c r="AB1345" i="3" s="1"/>
  <c r="Y1344" i="3"/>
  <c r="X1344" i="3"/>
  <c r="W1344" i="3"/>
  <c r="AB1344" i="3" s="1"/>
  <c r="Y1343" i="3"/>
  <c r="X1343" i="3"/>
  <c r="W1343" i="3"/>
  <c r="AB1343" i="3" s="1"/>
  <c r="Y1342" i="3"/>
  <c r="X1342" i="3"/>
  <c r="W1342" i="3"/>
  <c r="AB1342" i="3" s="1"/>
  <c r="Y1341" i="3"/>
  <c r="X1341" i="3"/>
  <c r="W1341" i="3"/>
  <c r="Z1341" i="3" s="1"/>
  <c r="AA1341" i="3" s="1"/>
  <c r="X1340" i="3"/>
  <c r="Y1339" i="3"/>
  <c r="X1339" i="3"/>
  <c r="W1339" i="3"/>
  <c r="Z1339" i="3" s="1"/>
  <c r="AA1339" i="3" s="1"/>
  <c r="Y1338" i="3"/>
  <c r="X1338" i="3"/>
  <c r="W1338" i="3"/>
  <c r="Z1338" i="3" s="1"/>
  <c r="AA1338" i="3" s="1"/>
  <c r="Y1337" i="3"/>
  <c r="X1337" i="3"/>
  <c r="W1337" i="3"/>
  <c r="AB1337" i="3" s="1"/>
  <c r="Y1336" i="3"/>
  <c r="X1336" i="3"/>
  <c r="W1336" i="3"/>
  <c r="AB1336" i="3" s="1"/>
  <c r="Y1335" i="3"/>
  <c r="X1335" i="3"/>
  <c r="W1335" i="3"/>
  <c r="Z1335" i="3" s="1"/>
  <c r="AA1335" i="3" s="1"/>
  <c r="X1334" i="3"/>
  <c r="W1334" i="3"/>
  <c r="P1340" i="3"/>
  <c r="N1346" i="3"/>
  <c r="O1346" i="3" s="1"/>
  <c r="N1345" i="3"/>
  <c r="O1345" i="3" s="1"/>
  <c r="N1344" i="3"/>
  <c r="O1344" i="3" s="1"/>
  <c r="N1343" i="3"/>
  <c r="O1343" i="3" s="1"/>
  <c r="N1342" i="3"/>
  <c r="O1342" i="3" s="1"/>
  <c r="N1341" i="3"/>
  <c r="O1341" i="3" s="1"/>
  <c r="N1339" i="3"/>
  <c r="O1339" i="3" s="1"/>
  <c r="N1338" i="3"/>
  <c r="O1338" i="3" s="1"/>
  <c r="N1337" i="3"/>
  <c r="O1337" i="3" s="1"/>
  <c r="N1336" i="3"/>
  <c r="O1336" i="3" s="1"/>
  <c r="N1335" i="3"/>
  <c r="M1334" i="3"/>
  <c r="L1340" i="3"/>
  <c r="L1347" i="3" s="1"/>
  <c r="N1334" i="3" l="1"/>
  <c r="O1334" i="3" s="1"/>
  <c r="AC1341" i="3"/>
  <c r="Y1334" i="3"/>
  <c r="AC1338" i="3"/>
  <c r="P1347" i="3"/>
  <c r="Y1347" i="3" s="1"/>
  <c r="Y1340" i="3"/>
  <c r="AC1346" i="3"/>
  <c r="AC1339" i="3"/>
  <c r="AB1334" i="3"/>
  <c r="W1340" i="3"/>
  <c r="W1347" i="3" s="1"/>
  <c r="Z1344" i="3"/>
  <c r="AA1344" i="3" s="1"/>
  <c r="AC1344" i="3" s="1"/>
  <c r="AB1346" i="3"/>
  <c r="Z1345" i="3"/>
  <c r="AA1345" i="3" s="1"/>
  <c r="AC1345" i="3" s="1"/>
  <c r="Z1343" i="3"/>
  <c r="AA1343" i="3" s="1"/>
  <c r="AC1343" i="3" s="1"/>
  <c r="AB1339" i="3"/>
  <c r="Z1337" i="3"/>
  <c r="AA1337" i="3" s="1"/>
  <c r="AC1337" i="3" s="1"/>
  <c r="Z1336" i="3"/>
  <c r="AA1336" i="3" s="1"/>
  <c r="AC1336" i="3" s="1"/>
  <c r="AB1335" i="3"/>
  <c r="Z1342" i="3"/>
  <c r="AA1342" i="3" s="1"/>
  <c r="AC1342" i="3" s="1"/>
  <c r="AB1341" i="3"/>
  <c r="AB1338" i="3"/>
  <c r="Z1334" i="3"/>
  <c r="AA1334" i="3" s="1"/>
  <c r="O1335" i="3"/>
  <c r="AC1335" i="3" s="1"/>
  <c r="N1340" i="3" l="1"/>
  <c r="AC1334" i="3"/>
  <c r="Z1347" i="3"/>
  <c r="AA1347" i="3" s="1"/>
  <c r="Z1340" i="3"/>
  <c r="AA1340" i="3" s="1"/>
  <c r="N1347" i="3" l="1"/>
  <c r="M1340" i="3"/>
  <c r="X1329" i="3"/>
  <c r="Y1329" i="3"/>
  <c r="X1330" i="3"/>
  <c r="X1331" i="3"/>
  <c r="Y1328" i="3"/>
  <c r="X1328" i="3"/>
  <c r="Y1327" i="3"/>
  <c r="X1327" i="3"/>
  <c r="Y1326" i="3"/>
  <c r="X1326" i="3"/>
  <c r="Y1325" i="3"/>
  <c r="X1325" i="3"/>
  <c r="Y1324" i="3"/>
  <c r="X1324" i="3"/>
  <c r="Y1322" i="3"/>
  <c r="X1322" i="3"/>
  <c r="Y1321" i="3"/>
  <c r="X1321" i="3"/>
  <c r="N1325" i="3"/>
  <c r="O1325" i="3" s="1"/>
  <c r="N1326" i="3"/>
  <c r="O1326" i="3" s="1"/>
  <c r="N1327" i="3"/>
  <c r="O1327" i="3" s="1"/>
  <c r="N1328" i="3"/>
  <c r="O1328" i="3" s="1"/>
  <c r="N1329" i="3"/>
  <c r="O1329" i="3" s="1"/>
  <c r="N1324" i="3"/>
  <c r="O1324" i="3" s="1"/>
  <c r="N1322" i="3"/>
  <c r="O1322" i="3" s="1"/>
  <c r="N1321" i="3"/>
  <c r="O1321" i="3" s="1"/>
  <c r="M1347" i="3" l="1"/>
  <c r="AB1347" i="3" s="1"/>
  <c r="AB1340" i="3"/>
  <c r="O1347" i="3"/>
  <c r="AC1347" i="3" s="1"/>
  <c r="O1340" i="3"/>
  <c r="AC1340" i="3" s="1"/>
  <c r="P1331" i="3"/>
  <c r="Y1331" i="3" s="1"/>
  <c r="P1330" i="3"/>
  <c r="P1323" i="3"/>
  <c r="L1331" i="3"/>
  <c r="N1331" i="3" s="1"/>
  <c r="O1331" i="3" s="1"/>
  <c r="L1330" i="3"/>
  <c r="N1330" i="3" s="1"/>
  <c r="O1330" i="3" s="1"/>
  <c r="W1325" i="3"/>
  <c r="W1326" i="3"/>
  <c r="W1327" i="3"/>
  <c r="W1328" i="3"/>
  <c r="W1329" i="3"/>
  <c r="W1330" i="3"/>
  <c r="L77" i="7" s="1"/>
  <c r="W1331" i="3"/>
  <c r="W1324" i="3"/>
  <c r="W1322" i="3"/>
  <c r="W1321" i="3"/>
  <c r="S1323" i="3"/>
  <c r="S1332" i="3" s="1"/>
  <c r="T1323" i="3"/>
  <c r="T1332" i="3" s="1"/>
  <c r="U1323" i="3"/>
  <c r="U1332" i="3" s="1"/>
  <c r="V1323" i="3"/>
  <c r="V1332" i="3" s="1"/>
  <c r="R1323" i="3"/>
  <c r="R1332" i="3" s="1"/>
  <c r="M1323" i="3"/>
  <c r="M1332" i="3" s="1"/>
  <c r="N1323" i="3"/>
  <c r="L1323" i="3"/>
  <c r="I1331" i="3"/>
  <c r="J1331" i="3" s="1"/>
  <c r="I1330" i="3"/>
  <c r="J1330" i="3" s="1"/>
  <c r="Y1318" i="3"/>
  <c r="X1318" i="3"/>
  <c r="W1318" i="3"/>
  <c r="L74" i="7" s="1"/>
  <c r="S74" i="7" s="1"/>
  <c r="S1319" i="3"/>
  <c r="T1319" i="3"/>
  <c r="U1319" i="3"/>
  <c r="V1319" i="3"/>
  <c r="R1319" i="3"/>
  <c r="P1319" i="3"/>
  <c r="L1318" i="3"/>
  <c r="M1318" i="3" s="1"/>
  <c r="I1318" i="3"/>
  <c r="J1318" i="3" s="1"/>
  <c r="E77" i="7" l="1"/>
  <c r="S77" i="7" s="1"/>
  <c r="I83" i="20"/>
  <c r="K83" i="20" s="1"/>
  <c r="W1319" i="3"/>
  <c r="Z1319" i="3" s="1"/>
  <c r="AA1319" i="3" s="1"/>
  <c r="Y1319" i="3"/>
  <c r="X1319" i="3"/>
  <c r="Y1323" i="3"/>
  <c r="M1319" i="3"/>
  <c r="AB1318" i="3"/>
  <c r="P1332" i="3"/>
  <c r="Y1332" i="3" s="1"/>
  <c r="Y1330" i="3"/>
  <c r="L1319" i="3"/>
  <c r="Z1318" i="3"/>
  <c r="AA1318" i="3" s="1"/>
  <c r="X1323" i="3"/>
  <c r="N1332" i="3"/>
  <c r="O1323" i="3"/>
  <c r="AB1325" i="3"/>
  <c r="Z1325" i="3"/>
  <c r="AA1325" i="3" s="1"/>
  <c r="AC1325" i="3" s="1"/>
  <c r="Z1331" i="3"/>
  <c r="AA1331" i="3" s="1"/>
  <c r="AC1331" i="3" s="1"/>
  <c r="AB1331" i="3"/>
  <c r="Z1330" i="3"/>
  <c r="AA1330" i="3" s="1"/>
  <c r="AC1330" i="3" s="1"/>
  <c r="AB1330" i="3"/>
  <c r="Z1329" i="3"/>
  <c r="AA1329" i="3" s="1"/>
  <c r="AC1329" i="3" s="1"/>
  <c r="AB1329" i="3"/>
  <c r="AB1328" i="3"/>
  <c r="Z1328" i="3"/>
  <c r="AA1328" i="3" s="1"/>
  <c r="AC1328" i="3" s="1"/>
  <c r="AB1327" i="3"/>
  <c r="Z1327" i="3"/>
  <c r="AA1327" i="3" s="1"/>
  <c r="AC1327" i="3" s="1"/>
  <c r="AB1326" i="3"/>
  <c r="Z1326" i="3"/>
  <c r="AA1326" i="3" s="1"/>
  <c r="AC1326" i="3" s="1"/>
  <c r="X1332" i="3"/>
  <c r="AB1324" i="3"/>
  <c r="Z1324" i="3"/>
  <c r="AA1324" i="3" s="1"/>
  <c r="AC1324" i="3" s="1"/>
  <c r="AB1322" i="3"/>
  <c r="Z1322" i="3"/>
  <c r="AA1322" i="3" s="1"/>
  <c r="AC1322" i="3" s="1"/>
  <c r="Z1321" i="3"/>
  <c r="AA1321" i="3" s="1"/>
  <c r="AC1321" i="3" s="1"/>
  <c r="AB1321" i="3"/>
  <c r="W1323" i="3"/>
  <c r="L1332" i="3"/>
  <c r="N1318" i="3"/>
  <c r="P1305" i="3"/>
  <c r="P1310" i="3" s="1"/>
  <c r="P1316" i="3" s="1"/>
  <c r="L1305" i="3"/>
  <c r="M1308" i="3"/>
  <c r="N1312" i="3"/>
  <c r="O1312" i="3" s="1"/>
  <c r="N1313" i="3"/>
  <c r="O1313" i="3" s="1"/>
  <c r="N1314" i="3"/>
  <c r="O1314" i="3" s="1"/>
  <c r="N1315" i="3"/>
  <c r="O1315" i="3" s="1"/>
  <c r="N1311" i="3"/>
  <c r="O1311" i="3" s="1"/>
  <c r="N1309" i="3"/>
  <c r="O1309" i="3" s="1"/>
  <c r="N1307" i="3"/>
  <c r="O1307" i="3" s="1"/>
  <c r="N1306" i="3"/>
  <c r="O1306" i="3" s="1"/>
  <c r="M1305" i="3"/>
  <c r="AB1319" i="3" l="1"/>
  <c r="N1308" i="3"/>
  <c r="O1308" i="3" s="1"/>
  <c r="O1332" i="3"/>
  <c r="N1305" i="3"/>
  <c r="O1305" i="3" s="1"/>
  <c r="Z1323" i="3"/>
  <c r="AA1323" i="3" s="1"/>
  <c r="AC1323" i="3" s="1"/>
  <c r="AB1323" i="3"/>
  <c r="W1332" i="3"/>
  <c r="N1319" i="3"/>
  <c r="O1319" i="3" s="1"/>
  <c r="AC1319" i="3" s="1"/>
  <c r="O1318" i="3"/>
  <c r="AC1318" i="3" s="1"/>
  <c r="X1312" i="3"/>
  <c r="Y1312" i="3"/>
  <c r="X1313" i="3"/>
  <c r="Y1313" i="3"/>
  <c r="X1314" i="3"/>
  <c r="Y1314" i="3"/>
  <c r="X1315" i="3"/>
  <c r="Y1315" i="3"/>
  <c r="Y1311" i="3"/>
  <c r="X1311" i="3"/>
  <c r="X1306" i="3"/>
  <c r="Y1306" i="3"/>
  <c r="X1307" i="3"/>
  <c r="Y1307" i="3"/>
  <c r="X1308" i="3"/>
  <c r="Y1308" i="3"/>
  <c r="X1309" i="3"/>
  <c r="Y1309" i="3"/>
  <c r="Y1305" i="3"/>
  <c r="X1305" i="3"/>
  <c r="W1312" i="3"/>
  <c r="W1313" i="3"/>
  <c r="W1314" i="3"/>
  <c r="W1315" i="3"/>
  <c r="W1311" i="3"/>
  <c r="W1306" i="3"/>
  <c r="AB1306" i="3" s="1"/>
  <c r="W1307" i="3"/>
  <c r="W1308" i="3"/>
  <c r="Z1308" i="3" s="1"/>
  <c r="AA1308" i="3" s="1"/>
  <c r="W1309" i="3"/>
  <c r="W1305" i="3"/>
  <c r="Z1305" i="3" s="1"/>
  <c r="AA1305" i="3" s="1"/>
  <c r="S1310" i="3"/>
  <c r="S1316" i="3" s="1"/>
  <c r="T1310" i="3"/>
  <c r="T1316" i="3" s="1"/>
  <c r="U1310" i="3"/>
  <c r="U1316" i="3" s="1"/>
  <c r="Y1316" i="3" s="1"/>
  <c r="V1310" i="3"/>
  <c r="V1316" i="3" s="1"/>
  <c r="R1310" i="3"/>
  <c r="R1316" i="3" s="1"/>
  <c r="M1310" i="3"/>
  <c r="L1310" i="3"/>
  <c r="L1316" i="3" s="1"/>
  <c r="AC1305" i="3" l="1"/>
  <c r="AB1308" i="3"/>
  <c r="Z1313" i="3"/>
  <c r="AA1313" i="3" s="1"/>
  <c r="AC1313" i="3" s="1"/>
  <c r="AB1313" i="3"/>
  <c r="N1310" i="3"/>
  <c r="N1316" i="3" s="1"/>
  <c r="O1316" i="3" s="1"/>
  <c r="AB1305" i="3"/>
  <c r="Z1307" i="3"/>
  <c r="AA1307" i="3" s="1"/>
  <c r="AC1307" i="3" s="1"/>
  <c r="AB1307" i="3"/>
  <c r="Z1314" i="3"/>
  <c r="AA1314" i="3" s="1"/>
  <c r="AC1314" i="3" s="1"/>
  <c r="AB1314" i="3"/>
  <c r="Z1309" i="3"/>
  <c r="AA1309" i="3" s="1"/>
  <c r="AC1309" i="3" s="1"/>
  <c r="AB1309" i="3"/>
  <c r="AC1308" i="3"/>
  <c r="Z1311" i="3"/>
  <c r="AA1311" i="3" s="1"/>
  <c r="AC1311" i="3" s="1"/>
  <c r="AB1311" i="3"/>
  <c r="M1316" i="3"/>
  <c r="Z1315" i="3"/>
  <c r="AA1315" i="3" s="1"/>
  <c r="AC1315" i="3" s="1"/>
  <c r="AB1315" i="3"/>
  <c r="AB1332" i="3"/>
  <c r="Z1332" i="3"/>
  <c r="AA1332" i="3" s="1"/>
  <c r="AC1332" i="3" s="1"/>
  <c r="Z1312" i="3"/>
  <c r="AA1312" i="3" s="1"/>
  <c r="AC1312" i="3" s="1"/>
  <c r="AB1312" i="3"/>
  <c r="X1316" i="3"/>
  <c r="X1310" i="3"/>
  <c r="W1310" i="3"/>
  <c r="Z1310" i="3" s="1"/>
  <c r="AA1310" i="3" s="1"/>
  <c r="Z1306" i="3"/>
  <c r="AA1306" i="3" s="1"/>
  <c r="AC1306" i="3" s="1"/>
  <c r="Y1310" i="3"/>
  <c r="S1303" i="3"/>
  <c r="T1303" i="3"/>
  <c r="U1303" i="3"/>
  <c r="V1303" i="3"/>
  <c r="R1303" i="3"/>
  <c r="Y1302" i="3"/>
  <c r="X1302" i="3"/>
  <c r="W1302" i="3"/>
  <c r="Z1302" i="3" s="1"/>
  <c r="AA1302" i="3" s="1"/>
  <c r="Y1301" i="3"/>
  <c r="X1301" i="3"/>
  <c r="W1301" i="3"/>
  <c r="L19" i="7" s="1"/>
  <c r="S19" i="7" s="1"/>
  <c r="M1302" i="3"/>
  <c r="M1301" i="3"/>
  <c r="P1303" i="3"/>
  <c r="L1303" i="3"/>
  <c r="I1301" i="3"/>
  <c r="J1301" i="3" s="1"/>
  <c r="I1302" i="3"/>
  <c r="Y1298" i="3"/>
  <c r="X1298" i="3"/>
  <c r="W1298" i="3"/>
  <c r="Z1298" i="3" s="1"/>
  <c r="AA1298" i="3" s="1"/>
  <c r="Y1297" i="3"/>
  <c r="X1297" i="3"/>
  <c r="W1297" i="3"/>
  <c r="S1299" i="3"/>
  <c r="T1299" i="3"/>
  <c r="U1299" i="3"/>
  <c r="V1299" i="3"/>
  <c r="R1299" i="3"/>
  <c r="P1299" i="3"/>
  <c r="M1298" i="3"/>
  <c r="M1297" i="3"/>
  <c r="L1299" i="3"/>
  <c r="I1298" i="3"/>
  <c r="J1298" i="3" s="1"/>
  <c r="I1297" i="3"/>
  <c r="J1297" i="3" s="1"/>
  <c r="X1293" i="3"/>
  <c r="W1293" i="3"/>
  <c r="X1292" i="3"/>
  <c r="W1292" i="3"/>
  <c r="P1293" i="3"/>
  <c r="Y1293" i="3" s="1"/>
  <c r="P1292" i="3"/>
  <c r="P1290" i="3"/>
  <c r="O77" i="20" s="1"/>
  <c r="Q77" i="20" s="1"/>
  <c r="M1293" i="3"/>
  <c r="M1292" i="3"/>
  <c r="L1294" i="3"/>
  <c r="M1294" i="3" s="1"/>
  <c r="M1291" i="3"/>
  <c r="I1291" i="3"/>
  <c r="J1291" i="3" s="1"/>
  <c r="S1295" i="3"/>
  <c r="T1295" i="3"/>
  <c r="U1295" i="3"/>
  <c r="V1295" i="3"/>
  <c r="R1295" i="3"/>
  <c r="Y1287" i="3"/>
  <c r="X1287" i="3"/>
  <c r="Y1286" i="3"/>
  <c r="X1286" i="3"/>
  <c r="W1283" i="3"/>
  <c r="S1288" i="3"/>
  <c r="T1288" i="3"/>
  <c r="U1288" i="3"/>
  <c r="V1288" i="3"/>
  <c r="R1288" i="3"/>
  <c r="P1288" i="3"/>
  <c r="L1288" i="3"/>
  <c r="W1287" i="3"/>
  <c r="Z1287" i="3" s="1"/>
  <c r="AA1287" i="3" s="1"/>
  <c r="W1286" i="3"/>
  <c r="L79" i="7" s="1"/>
  <c r="S79" i="7" s="1"/>
  <c r="S1251" i="3"/>
  <c r="T1251" i="3"/>
  <c r="U1251" i="3"/>
  <c r="V1251" i="3"/>
  <c r="R1251" i="3"/>
  <c r="AB1297" i="3" l="1"/>
  <c r="F71" i="7"/>
  <c r="F2" i="7" s="1"/>
  <c r="G14" i="10"/>
  <c r="AB1301" i="3"/>
  <c r="N1294" i="3"/>
  <c r="O1294" i="3" s="1"/>
  <c r="N1302" i="3"/>
  <c r="O1302" i="3" s="1"/>
  <c r="AC1302" i="3" s="1"/>
  <c r="AB1302" i="3"/>
  <c r="N1291" i="3"/>
  <c r="O1291" i="3" s="1"/>
  <c r="AC1291" i="3" s="1"/>
  <c r="AB1291" i="3"/>
  <c r="N1293" i="3"/>
  <c r="O1293" i="3" s="1"/>
  <c r="AB1293" i="3"/>
  <c r="N1292" i="3"/>
  <c r="O1292" i="3" s="1"/>
  <c r="AB1292" i="3"/>
  <c r="N1298" i="3"/>
  <c r="O1298" i="3" s="1"/>
  <c r="AC1298" i="3" s="1"/>
  <c r="AB1298" i="3"/>
  <c r="L62" i="7"/>
  <c r="S62" i="7" s="1"/>
  <c r="Z1297" i="3"/>
  <c r="AA1297" i="3" s="1"/>
  <c r="L9" i="7"/>
  <c r="S9" i="7" s="1"/>
  <c r="Z1286" i="3"/>
  <c r="AA1286" i="3" s="1"/>
  <c r="L1295" i="3"/>
  <c r="Y1303" i="3"/>
  <c r="M1299" i="3"/>
  <c r="Y1299" i="3"/>
  <c r="P1294" i="3"/>
  <c r="I77" i="20" s="1"/>
  <c r="K77" i="20" s="1"/>
  <c r="O1310" i="3"/>
  <c r="AC1310" i="3" s="1"/>
  <c r="X1303" i="3"/>
  <c r="AB1310" i="3"/>
  <c r="M1303" i="3"/>
  <c r="W1303" i="3"/>
  <c r="Z1303" i="3" s="1"/>
  <c r="AA1303" i="3" s="1"/>
  <c r="W1316" i="3"/>
  <c r="Y1288" i="3"/>
  <c r="Z1301" i="3"/>
  <c r="AA1301" i="3" s="1"/>
  <c r="Y1292" i="3"/>
  <c r="Z1292" i="3"/>
  <c r="AA1292" i="3" s="1"/>
  <c r="Z1293" i="3"/>
  <c r="AA1293" i="3" s="1"/>
  <c r="X1299" i="3"/>
  <c r="N1301" i="3"/>
  <c r="W1299" i="3"/>
  <c r="Z1299" i="3" s="1"/>
  <c r="AA1299" i="3" s="1"/>
  <c r="N1297" i="3"/>
  <c r="X1288" i="3"/>
  <c r="S1284" i="3"/>
  <c r="T1284" i="3"/>
  <c r="U1284" i="3"/>
  <c r="V1284" i="3"/>
  <c r="R1284" i="3"/>
  <c r="P1284" i="3"/>
  <c r="L1284" i="3"/>
  <c r="Y1283" i="3"/>
  <c r="X1283" i="3"/>
  <c r="X1295" i="3"/>
  <c r="X1294" i="3"/>
  <c r="Y1290" i="3"/>
  <c r="X1290" i="3"/>
  <c r="Y1280" i="3"/>
  <c r="X1280" i="3"/>
  <c r="Y1279" i="3"/>
  <c r="X1279" i="3"/>
  <c r="L1281" i="3"/>
  <c r="S1281" i="3"/>
  <c r="T1281" i="3"/>
  <c r="U1281" i="3"/>
  <c r="V1281" i="3"/>
  <c r="R1281" i="3"/>
  <c r="P1281" i="3"/>
  <c r="W1284" i="3"/>
  <c r="W1294" i="3"/>
  <c r="AB1294" i="3" s="1"/>
  <c r="W1290" i="3"/>
  <c r="W1280" i="3"/>
  <c r="Z1280" i="3" s="1"/>
  <c r="AA1280" i="3" s="1"/>
  <c r="W1279" i="3"/>
  <c r="M1290" i="3"/>
  <c r="M1283" i="3"/>
  <c r="M1287" i="3"/>
  <c r="M1286" i="3"/>
  <c r="AB1286" i="3" s="1"/>
  <c r="M1280" i="3"/>
  <c r="M1279" i="3"/>
  <c r="I1290" i="3"/>
  <c r="J1290" i="3" s="1"/>
  <c r="I1287" i="3"/>
  <c r="J1287" i="3" s="1"/>
  <c r="I1286" i="3"/>
  <c r="J1286" i="3" s="1"/>
  <c r="I1283" i="3"/>
  <c r="J1283" i="3" s="1"/>
  <c r="I1280" i="3"/>
  <c r="J1280" i="3" s="1"/>
  <c r="I1279" i="3"/>
  <c r="J1279" i="3" s="1"/>
  <c r="Z1290" i="3" l="1"/>
  <c r="AA1290" i="3" s="1"/>
  <c r="M71" i="7"/>
  <c r="O14" i="10"/>
  <c r="W14" i="10" s="1"/>
  <c r="AC1292" i="3"/>
  <c r="AB1290" i="3"/>
  <c r="N1283" i="3"/>
  <c r="O1283" i="3" s="1"/>
  <c r="AB1283" i="3"/>
  <c r="AB1279" i="3"/>
  <c r="AB1299" i="3"/>
  <c r="N1280" i="3"/>
  <c r="O1280" i="3" s="1"/>
  <c r="AC1280" i="3" s="1"/>
  <c r="AB1280" i="3"/>
  <c r="AB1303" i="3"/>
  <c r="N1287" i="3"/>
  <c r="O1287" i="3" s="1"/>
  <c r="AC1287" i="3" s="1"/>
  <c r="AB1287" i="3"/>
  <c r="AC1293" i="3"/>
  <c r="P1295" i="3"/>
  <c r="Y1295" i="3" s="1"/>
  <c r="F18" i="10"/>
  <c r="Z1279" i="3"/>
  <c r="AA1279" i="3" s="1"/>
  <c r="Y1294" i="3"/>
  <c r="Z1316" i="3"/>
  <c r="AA1316" i="3" s="1"/>
  <c r="AC1316" i="3" s="1"/>
  <c r="AB1316" i="3"/>
  <c r="Y1284" i="3"/>
  <c r="N1303" i="3"/>
  <c r="O1303" i="3" s="1"/>
  <c r="AC1303" i="3" s="1"/>
  <c r="O1301" i="3"/>
  <c r="AC1301" i="3" s="1"/>
  <c r="N1299" i="3"/>
  <c r="O1299" i="3" s="1"/>
  <c r="AC1299" i="3" s="1"/>
  <c r="O1297" i="3"/>
  <c r="AC1297" i="3" s="1"/>
  <c r="W1295" i="3"/>
  <c r="Z1284" i="3"/>
  <c r="AA1284" i="3" s="1"/>
  <c r="W1281" i="3"/>
  <c r="Z1281" i="3" s="1"/>
  <c r="AA1281" i="3" s="1"/>
  <c r="Y1281" i="3"/>
  <c r="X1281" i="3"/>
  <c r="N1290" i="3"/>
  <c r="M1295" i="3"/>
  <c r="M1281" i="3"/>
  <c r="M1284" i="3"/>
  <c r="AB1284" i="3" s="1"/>
  <c r="Z1294" i="3"/>
  <c r="AA1294" i="3" s="1"/>
  <c r="AC1294" i="3" s="1"/>
  <c r="M1288" i="3"/>
  <c r="W1288" i="3"/>
  <c r="Z1288" i="3" s="1"/>
  <c r="AA1288" i="3" s="1"/>
  <c r="X1284" i="3"/>
  <c r="Z1283" i="3"/>
  <c r="AA1283" i="3" s="1"/>
  <c r="N1286" i="3"/>
  <c r="N1279" i="3"/>
  <c r="X1254" i="3"/>
  <c r="X1255" i="3"/>
  <c r="X1256" i="3"/>
  <c r="X1257" i="3"/>
  <c r="X1258" i="3"/>
  <c r="X1259" i="3"/>
  <c r="X1261" i="3"/>
  <c r="X1262" i="3"/>
  <c r="X1263" i="3"/>
  <c r="X1264" i="3"/>
  <c r="X1265" i="3"/>
  <c r="X1266" i="3"/>
  <c r="X1267" i="3"/>
  <c r="X1268" i="3"/>
  <c r="X1269" i="3"/>
  <c r="X1270" i="3"/>
  <c r="X1271" i="3"/>
  <c r="X1272" i="3"/>
  <c r="X1273" i="3"/>
  <c r="X1274" i="3"/>
  <c r="X1275" i="3"/>
  <c r="X1276" i="3"/>
  <c r="X1253" i="3"/>
  <c r="W1262" i="3"/>
  <c r="W1264" i="3"/>
  <c r="W1265" i="3"/>
  <c r="AB1265" i="3" s="1"/>
  <c r="W1266" i="3"/>
  <c r="W1267" i="3"/>
  <c r="W1268" i="3"/>
  <c r="W1269" i="3"/>
  <c r="W1270" i="3"/>
  <c r="W1271" i="3"/>
  <c r="W1272" i="3"/>
  <c r="W1273" i="3"/>
  <c r="W1274" i="3"/>
  <c r="W1275" i="3"/>
  <c r="W1276" i="3"/>
  <c r="W1261" i="3"/>
  <c r="P1262" i="3"/>
  <c r="G15" i="10" s="1"/>
  <c r="P1263" i="3"/>
  <c r="Y1263" i="3" s="1"/>
  <c r="P1264" i="3"/>
  <c r="P1265" i="3"/>
  <c r="Y1265" i="3" s="1"/>
  <c r="P1266" i="3"/>
  <c r="O27" i="20" s="1"/>
  <c r="P1267" i="3"/>
  <c r="P1268" i="3"/>
  <c r="P1269" i="3"/>
  <c r="Y1269" i="3" s="1"/>
  <c r="P1270" i="3"/>
  <c r="P1271" i="3"/>
  <c r="Y1271" i="3" s="1"/>
  <c r="P1272" i="3"/>
  <c r="P1273" i="3"/>
  <c r="Y1273" i="3" s="1"/>
  <c r="P1274" i="3"/>
  <c r="Y1274" i="3" s="1"/>
  <c r="P1275" i="3"/>
  <c r="Y1275" i="3" s="1"/>
  <c r="P1276" i="3"/>
  <c r="Y1276" i="3" s="1"/>
  <c r="P1261" i="3"/>
  <c r="P1254" i="3"/>
  <c r="Y1254" i="3" s="1"/>
  <c r="P1255" i="3"/>
  <c r="Y1255" i="3" s="1"/>
  <c r="P1256" i="3"/>
  <c r="Y1256" i="3" s="1"/>
  <c r="P1257" i="3"/>
  <c r="Y1257" i="3" s="1"/>
  <c r="P1258" i="3"/>
  <c r="Y1258" i="3" s="1"/>
  <c r="P1259" i="3"/>
  <c r="Y1259" i="3" s="1"/>
  <c r="G5" i="10" l="1"/>
  <c r="T71" i="7"/>
  <c r="M2" i="7"/>
  <c r="T2" i="7" s="1"/>
  <c r="Q27" i="20"/>
  <c r="O7" i="20"/>
  <c r="Q7" i="20" s="1"/>
  <c r="N6" i="10"/>
  <c r="Y1266" i="3"/>
  <c r="G10" i="10"/>
  <c r="AB1266" i="3"/>
  <c r="O10" i="10"/>
  <c r="Y1261" i="3"/>
  <c r="G23" i="10"/>
  <c r="AB1261" i="3"/>
  <c r="O23" i="10"/>
  <c r="AB1264" i="3"/>
  <c r="O5" i="10"/>
  <c r="AB1262" i="3"/>
  <c r="O15" i="10"/>
  <c r="W15" i="10" s="1"/>
  <c r="Y1262" i="3"/>
  <c r="N1284" i="3"/>
  <c r="O1284" i="3" s="1"/>
  <c r="AC1284" i="3" s="1"/>
  <c r="AB1281" i="3"/>
  <c r="AC1283" i="3"/>
  <c r="AB1295" i="3"/>
  <c r="AB1288" i="3"/>
  <c r="Z1295" i="3"/>
  <c r="AA1295" i="3" s="1"/>
  <c r="Y1267" i="3"/>
  <c r="F6" i="10"/>
  <c r="Z1268" i="3"/>
  <c r="AA1268" i="3" s="1"/>
  <c r="Z1272" i="3"/>
  <c r="AA1272" i="3" s="1"/>
  <c r="Z1270" i="3"/>
  <c r="AA1270" i="3" s="1"/>
  <c r="Z1264" i="3"/>
  <c r="AA1264" i="3" s="1"/>
  <c r="Z1262" i="3"/>
  <c r="AA1262" i="3" s="1"/>
  <c r="Y1268" i="3"/>
  <c r="Z1274" i="3"/>
  <c r="AA1274" i="3" s="1"/>
  <c r="Z1276" i="3"/>
  <c r="AA1276" i="3" s="1"/>
  <c r="Y1270" i="3"/>
  <c r="Y1264" i="3"/>
  <c r="Z1269" i="3"/>
  <c r="AA1269" i="3" s="1"/>
  <c r="Z1267" i="3"/>
  <c r="AA1267" i="3" s="1"/>
  <c r="Z1275" i="3"/>
  <c r="AA1275" i="3" s="1"/>
  <c r="Z1271" i="3"/>
  <c r="AA1271" i="3" s="1"/>
  <c r="Z1265" i="3"/>
  <c r="AA1265" i="3" s="1"/>
  <c r="Z1261" i="3"/>
  <c r="AA1261" i="3" s="1"/>
  <c r="Z1263" i="3"/>
  <c r="AA1263" i="3" s="1"/>
  <c r="Z1273" i="3"/>
  <c r="AA1273" i="3" s="1"/>
  <c r="Y1272" i="3"/>
  <c r="Z1266" i="3"/>
  <c r="AA1266" i="3" s="1"/>
  <c r="O1290" i="3"/>
  <c r="AC1290" i="3" s="1"/>
  <c r="N1295" i="3"/>
  <c r="O1295" i="3" s="1"/>
  <c r="N1288" i="3"/>
  <c r="O1288" i="3" s="1"/>
  <c r="AC1288" i="3" s="1"/>
  <c r="O1286" i="3"/>
  <c r="AC1286" i="3" s="1"/>
  <c r="N1281" i="3"/>
  <c r="O1281" i="3" s="1"/>
  <c r="AC1281" i="3" s="1"/>
  <c r="O1279" i="3"/>
  <c r="AC1279" i="3" s="1"/>
  <c r="G2" i="10" l="1"/>
  <c r="W5" i="10"/>
  <c r="O2" i="10"/>
  <c r="V6" i="10"/>
  <c r="W23" i="10"/>
  <c r="W10" i="10"/>
  <c r="AC1295" i="3"/>
  <c r="W1254" i="3"/>
  <c r="W1255" i="3"/>
  <c r="W1256" i="3"/>
  <c r="W1257" i="3"/>
  <c r="W1258" i="3"/>
  <c r="W1259" i="3"/>
  <c r="W1253" i="3"/>
  <c r="S1260" i="3"/>
  <c r="T1260" i="3"/>
  <c r="T1277" i="3" s="1"/>
  <c r="U1260" i="3"/>
  <c r="V1260" i="3"/>
  <c r="V1277" i="3" s="1"/>
  <c r="R1260" i="3"/>
  <c r="R1277" i="3" s="1"/>
  <c r="W2" i="10" l="1"/>
  <c r="Z1258" i="3"/>
  <c r="AA1258" i="3" s="1"/>
  <c r="AB1258" i="3"/>
  <c r="Z1259" i="3"/>
  <c r="AA1259" i="3" s="1"/>
  <c r="AB1259" i="3"/>
  <c r="Z1257" i="3"/>
  <c r="AA1257" i="3" s="1"/>
  <c r="AB1257" i="3"/>
  <c r="Z1256" i="3"/>
  <c r="AA1256" i="3" s="1"/>
  <c r="AB1256" i="3"/>
  <c r="Z1255" i="3"/>
  <c r="AA1255" i="3" s="1"/>
  <c r="AB1255" i="3"/>
  <c r="Z1254" i="3"/>
  <c r="AA1254" i="3" s="1"/>
  <c r="AB1254" i="3"/>
  <c r="S1277" i="3"/>
  <c r="X1277" i="3" s="1"/>
  <c r="X1260" i="3"/>
  <c r="U1277" i="3"/>
  <c r="W1260" i="3"/>
  <c r="W1277" i="3" s="1"/>
  <c r="N1262" i="3"/>
  <c r="O1262" i="3" s="1"/>
  <c r="AC1262" i="3" s="1"/>
  <c r="N1263" i="3"/>
  <c r="O1263" i="3" s="1"/>
  <c r="AC1263" i="3" s="1"/>
  <c r="N1264" i="3"/>
  <c r="O1264" i="3" s="1"/>
  <c r="AC1264" i="3" s="1"/>
  <c r="N1265" i="3"/>
  <c r="O1265" i="3" s="1"/>
  <c r="AC1265" i="3" s="1"/>
  <c r="N1266" i="3"/>
  <c r="O1266" i="3" s="1"/>
  <c r="AC1266" i="3" s="1"/>
  <c r="N1261" i="3"/>
  <c r="O1261" i="3" s="1"/>
  <c r="AC1261" i="3" s="1"/>
  <c r="M1268" i="3"/>
  <c r="M1269" i="3"/>
  <c r="M1270" i="3"/>
  <c r="M1271" i="3"/>
  <c r="M1272" i="3"/>
  <c r="M1273" i="3"/>
  <c r="M1274" i="3"/>
  <c r="M1275" i="3"/>
  <c r="M1276" i="3"/>
  <c r="M1267" i="3"/>
  <c r="N1254" i="3"/>
  <c r="O1254" i="3" s="1"/>
  <c r="N1255" i="3"/>
  <c r="O1255" i="3" s="1"/>
  <c r="N1256" i="3"/>
  <c r="O1256" i="3" s="1"/>
  <c r="N1257" i="3"/>
  <c r="O1257" i="3" s="1"/>
  <c r="N1258" i="3"/>
  <c r="O1258" i="3" s="1"/>
  <c r="N1259" i="3"/>
  <c r="O1259" i="3" s="1"/>
  <c r="M1253" i="3"/>
  <c r="AB1253" i="3" s="1"/>
  <c r="P1253" i="3"/>
  <c r="I27" i="20" s="1"/>
  <c r="K27" i="20" l="1"/>
  <c r="AC1259" i="3"/>
  <c r="AC1258" i="3"/>
  <c r="AC1255" i="3"/>
  <c r="AC1254" i="3"/>
  <c r="N1269" i="3"/>
  <c r="O1269" i="3" s="1"/>
  <c r="AC1269" i="3" s="1"/>
  <c r="AB1269" i="3"/>
  <c r="N1276" i="3"/>
  <c r="O1276" i="3" s="1"/>
  <c r="AC1276" i="3" s="1"/>
  <c r="AB1276" i="3"/>
  <c r="N1275" i="3"/>
  <c r="O1275" i="3" s="1"/>
  <c r="AC1275" i="3" s="1"/>
  <c r="AB1275" i="3"/>
  <c r="N1267" i="3"/>
  <c r="O1267" i="3" s="1"/>
  <c r="AC1267" i="3" s="1"/>
  <c r="AB1267" i="3"/>
  <c r="N1268" i="3"/>
  <c r="O1268" i="3" s="1"/>
  <c r="AC1268" i="3" s="1"/>
  <c r="AB1268" i="3"/>
  <c r="N1274" i="3"/>
  <c r="O1274" i="3" s="1"/>
  <c r="AC1274" i="3" s="1"/>
  <c r="AB1274" i="3"/>
  <c r="AC1257" i="3"/>
  <c r="N1273" i="3"/>
  <c r="O1273" i="3" s="1"/>
  <c r="AC1273" i="3" s="1"/>
  <c r="AB1273" i="3"/>
  <c r="AC1256" i="3"/>
  <c r="N1272" i="3"/>
  <c r="O1272" i="3" s="1"/>
  <c r="AC1272" i="3" s="1"/>
  <c r="AB1272" i="3"/>
  <c r="N1271" i="3"/>
  <c r="O1271" i="3" s="1"/>
  <c r="AC1271" i="3" s="1"/>
  <c r="AB1271" i="3"/>
  <c r="N1270" i="3"/>
  <c r="O1270" i="3" s="1"/>
  <c r="AC1270" i="3" s="1"/>
  <c r="AB1270" i="3"/>
  <c r="N1253" i="3"/>
  <c r="O1253" i="3" s="1"/>
  <c r="Z1253" i="3"/>
  <c r="AA1253" i="3" s="1"/>
  <c r="Y1253" i="3"/>
  <c r="P1260" i="3"/>
  <c r="M1260" i="3"/>
  <c r="L1260" i="3"/>
  <c r="L1277" i="3" s="1"/>
  <c r="I1273" i="3"/>
  <c r="J1273" i="3" s="1"/>
  <c r="I1274" i="3"/>
  <c r="I1275" i="3"/>
  <c r="J1275" i="3" s="1"/>
  <c r="I1276" i="3"/>
  <c r="I1271" i="3"/>
  <c r="J1271" i="3" s="1"/>
  <c r="I1272" i="3"/>
  <c r="I1270" i="3"/>
  <c r="I1269" i="3"/>
  <c r="J1269" i="3" s="1"/>
  <c r="I1267" i="3"/>
  <c r="J1267" i="3" s="1"/>
  <c r="M1277" i="3" l="1"/>
  <c r="AB1277" i="3" s="1"/>
  <c r="AB1260" i="3"/>
  <c r="AC1253" i="3"/>
  <c r="N1260" i="3"/>
  <c r="N1277" i="3" s="1"/>
  <c r="O1277" i="3" s="1"/>
  <c r="P1277" i="3"/>
  <c r="Z1260" i="3"/>
  <c r="AA1260" i="3" s="1"/>
  <c r="Y1260" i="3"/>
  <c r="M1251" i="3"/>
  <c r="N1251" i="3"/>
  <c r="O1251" i="3"/>
  <c r="L1251" i="3"/>
  <c r="M1247" i="3"/>
  <c r="N1247" i="3"/>
  <c r="O1247" i="3"/>
  <c r="L1247" i="3"/>
  <c r="Y1246" i="3"/>
  <c r="X1246" i="3"/>
  <c r="W1246" i="3"/>
  <c r="Y1250" i="3"/>
  <c r="X1250" i="3"/>
  <c r="W1250" i="3"/>
  <c r="Y1249" i="3"/>
  <c r="X1249" i="3"/>
  <c r="W1249" i="3"/>
  <c r="P1251" i="3"/>
  <c r="S1247" i="3"/>
  <c r="T1247" i="3"/>
  <c r="U1247" i="3"/>
  <c r="V1247" i="3"/>
  <c r="R1247" i="3"/>
  <c r="P1247" i="3"/>
  <c r="Y1242" i="3"/>
  <c r="X1242" i="3"/>
  <c r="W1242" i="3"/>
  <c r="Z1242" i="3" s="1"/>
  <c r="AA1242" i="3" s="1"/>
  <c r="Y1241" i="3"/>
  <c r="X1241" i="3"/>
  <c r="W1241" i="3"/>
  <c r="M1242" i="3"/>
  <c r="M1241" i="3"/>
  <c r="L1244" i="3"/>
  <c r="I1242" i="3"/>
  <c r="J1242" i="3" s="1"/>
  <c r="I1241" i="3"/>
  <c r="J1241" i="3" s="1"/>
  <c r="AB1241" i="3" l="1"/>
  <c r="Z1249" i="3"/>
  <c r="AA1249" i="3" s="1"/>
  <c r="AC1249" i="3" s="1"/>
  <c r="AB1249" i="3"/>
  <c r="N1242" i="3"/>
  <c r="O1242" i="3" s="1"/>
  <c r="AC1242" i="3" s="1"/>
  <c r="AB1242" i="3"/>
  <c r="Z1250" i="3"/>
  <c r="AA1250" i="3" s="1"/>
  <c r="AC1250" i="3" s="1"/>
  <c r="AB1250" i="3"/>
  <c r="Z1246" i="3"/>
  <c r="AA1246" i="3" s="1"/>
  <c r="AC1246" i="3" s="1"/>
  <c r="AB1246" i="3"/>
  <c r="L55" i="7"/>
  <c r="S55" i="7" s="1"/>
  <c r="O1260" i="3"/>
  <c r="AC1260" i="3" s="1"/>
  <c r="W1244" i="3"/>
  <c r="Z1244" i="3" s="1"/>
  <c r="AA1244" i="3" s="1"/>
  <c r="M1244" i="3"/>
  <c r="Z1277" i="3"/>
  <c r="AA1277" i="3" s="1"/>
  <c r="AC1277" i="3" s="1"/>
  <c r="Y1277" i="3"/>
  <c r="Y1247" i="3"/>
  <c r="Y1251" i="3"/>
  <c r="X1247" i="3"/>
  <c r="Y1244" i="3"/>
  <c r="X1251" i="3"/>
  <c r="W1251" i="3"/>
  <c r="Z1251" i="3" s="1"/>
  <c r="W1247" i="3"/>
  <c r="Z1247" i="3" s="1"/>
  <c r="AA1247" i="3" s="1"/>
  <c r="AC1247" i="3" s="1"/>
  <c r="X1244" i="3"/>
  <c r="Z1241" i="3"/>
  <c r="AA1241" i="3" s="1"/>
  <c r="N1241" i="3"/>
  <c r="AB1244" i="3" l="1"/>
  <c r="AB1251" i="3"/>
  <c r="AB1247" i="3"/>
  <c r="AA1251" i="3"/>
  <c r="AC1251" i="3" s="1"/>
  <c r="N1244" i="3"/>
  <c r="O1244" i="3" s="1"/>
  <c r="AC1244" i="3" s="1"/>
  <c r="O1241" i="3"/>
  <c r="AC1241" i="3" s="1"/>
  <c r="M1236" i="3" l="1"/>
  <c r="M1235" i="3"/>
  <c r="M1234" i="3"/>
  <c r="N1234" i="3" l="1"/>
  <c r="O1234" i="3" s="1"/>
  <c r="N1235" i="3"/>
  <c r="O1235" i="3" s="1"/>
  <c r="N1236" i="3"/>
  <c r="O1236" i="3" s="1"/>
  <c r="X1236" i="3"/>
  <c r="Y1236" i="3"/>
  <c r="X1237" i="3"/>
  <c r="Y1237" i="3"/>
  <c r="X1238" i="3"/>
  <c r="Y1238" i="3"/>
  <c r="Y1235" i="3"/>
  <c r="X1235" i="3"/>
  <c r="Y1234" i="3"/>
  <c r="X1234" i="3"/>
  <c r="W1235" i="3"/>
  <c r="Z1235" i="3" s="1"/>
  <c r="AA1235" i="3" s="1"/>
  <c r="W1236" i="3"/>
  <c r="Z1236" i="3" s="1"/>
  <c r="AA1236" i="3" s="1"/>
  <c r="W1237" i="3"/>
  <c r="W1238" i="3"/>
  <c r="Z1238" i="3" s="1"/>
  <c r="AA1238" i="3" s="1"/>
  <c r="W1234" i="3"/>
  <c r="Z1234" i="3" s="1"/>
  <c r="AA1234" i="3" s="1"/>
  <c r="S1239" i="3"/>
  <c r="T1239" i="3"/>
  <c r="U1239" i="3"/>
  <c r="V1239" i="3"/>
  <c r="R1239" i="3"/>
  <c r="L1239" i="3"/>
  <c r="M1238" i="3"/>
  <c r="M1237" i="3"/>
  <c r="P1239" i="3"/>
  <c r="I1238" i="3"/>
  <c r="J1238" i="3" s="1"/>
  <c r="I1237" i="3"/>
  <c r="J1237" i="3" s="1"/>
  <c r="P1231" i="3"/>
  <c r="Y1231" i="3" s="1"/>
  <c r="P1230" i="3"/>
  <c r="S1232" i="3"/>
  <c r="T1232" i="3"/>
  <c r="U1232" i="3"/>
  <c r="V1232" i="3"/>
  <c r="R1232" i="3"/>
  <c r="X1231" i="3"/>
  <c r="W1231" i="3"/>
  <c r="X1230" i="3"/>
  <c r="W1230" i="3"/>
  <c r="M1231" i="3"/>
  <c r="I1231" i="3"/>
  <c r="J1231" i="3" s="1"/>
  <c r="I1230" i="3"/>
  <c r="J1230" i="3" s="1"/>
  <c r="Y1227" i="3"/>
  <c r="X1227" i="3"/>
  <c r="Y1226" i="3"/>
  <c r="X1226" i="3"/>
  <c r="S1228" i="3"/>
  <c r="T1228" i="3"/>
  <c r="U1228" i="3"/>
  <c r="V1228" i="3"/>
  <c r="R1228" i="3"/>
  <c r="W1227" i="3"/>
  <c r="Z1227" i="3" s="1"/>
  <c r="AA1227" i="3" s="1"/>
  <c r="W1226" i="3"/>
  <c r="Z1226" i="3" s="1"/>
  <c r="AA1226" i="3" s="1"/>
  <c r="I1227" i="3"/>
  <c r="J1227" i="3" s="1"/>
  <c r="I1226" i="3"/>
  <c r="J1226" i="3" s="1"/>
  <c r="M1227" i="3"/>
  <c r="M1226" i="3"/>
  <c r="Y1153" i="3"/>
  <c r="W1199" i="3"/>
  <c r="W1217" i="3"/>
  <c r="W1216" i="3"/>
  <c r="W1213" i="3"/>
  <c r="W1212" i="3"/>
  <c r="W1223" i="3"/>
  <c r="W1220" i="3"/>
  <c r="S1224" i="3"/>
  <c r="T1224" i="3"/>
  <c r="U1224" i="3"/>
  <c r="V1224" i="3"/>
  <c r="R1224" i="3"/>
  <c r="R1221" i="3"/>
  <c r="S1221" i="3"/>
  <c r="T1221" i="3"/>
  <c r="U1221" i="3"/>
  <c r="V1221" i="3"/>
  <c r="P1221" i="3"/>
  <c r="P1224" i="3"/>
  <c r="N1224" i="3"/>
  <c r="M1224" i="3"/>
  <c r="L1224" i="3"/>
  <c r="M1221" i="3"/>
  <c r="N1221" i="3"/>
  <c r="L1221" i="3"/>
  <c r="Y1223" i="3"/>
  <c r="X1223" i="3"/>
  <c r="Y1220" i="3"/>
  <c r="X1220" i="3"/>
  <c r="X1217" i="3"/>
  <c r="X1216" i="3"/>
  <c r="X1213" i="3"/>
  <c r="X1212" i="3"/>
  <c r="S1218" i="3"/>
  <c r="T1218" i="3"/>
  <c r="U1218" i="3"/>
  <c r="V1218" i="3"/>
  <c r="R1218" i="3"/>
  <c r="P1217" i="3"/>
  <c r="P1216" i="3"/>
  <c r="S1214" i="3"/>
  <c r="T1214" i="3"/>
  <c r="U1214" i="3"/>
  <c r="V1214" i="3"/>
  <c r="R1214" i="3"/>
  <c r="P1213" i="3"/>
  <c r="Y1213" i="3" s="1"/>
  <c r="P1212" i="3"/>
  <c r="L1218" i="3"/>
  <c r="L1214" i="3"/>
  <c r="M1217" i="3"/>
  <c r="M1216" i="3"/>
  <c r="M1213" i="3"/>
  <c r="M1212" i="3"/>
  <c r="I1217" i="3"/>
  <c r="J1217" i="3" s="1"/>
  <c r="I1216" i="3"/>
  <c r="J1216" i="3" s="1"/>
  <c r="I1213" i="3"/>
  <c r="J1213" i="3" s="1"/>
  <c r="I1212" i="3"/>
  <c r="J1212" i="3" s="1"/>
  <c r="I51" i="20" l="1"/>
  <c r="K51" i="20" s="1"/>
  <c r="AB1216" i="3"/>
  <c r="AB1212" i="3"/>
  <c r="I29" i="20"/>
  <c r="K29" i="20" s="1"/>
  <c r="I50" i="20"/>
  <c r="K50" i="20" s="1"/>
  <c r="E44" i="7"/>
  <c r="E43" i="7"/>
  <c r="AB1236" i="3"/>
  <c r="AC1234" i="3"/>
  <c r="AB1235" i="3"/>
  <c r="AB1226" i="3"/>
  <c r="N1217" i="3"/>
  <c r="O1217" i="3" s="1"/>
  <c r="AB1217" i="3"/>
  <c r="W1221" i="3"/>
  <c r="AB1221" i="3" s="1"/>
  <c r="AB1220" i="3"/>
  <c r="N1237" i="3"/>
  <c r="O1237" i="3" s="1"/>
  <c r="AB1237" i="3"/>
  <c r="W1224" i="3"/>
  <c r="Z1224" i="3" s="1"/>
  <c r="AA1224" i="3" s="1"/>
  <c r="AC1224" i="3" s="1"/>
  <c r="AB1223" i="3"/>
  <c r="N1227" i="3"/>
  <c r="O1227" i="3" s="1"/>
  <c r="AC1227" i="3" s="1"/>
  <c r="AB1227" i="3"/>
  <c r="N1231" i="3"/>
  <c r="O1231" i="3" s="1"/>
  <c r="AB1231" i="3"/>
  <c r="N1238" i="3"/>
  <c r="O1238" i="3" s="1"/>
  <c r="AC1238" i="3" s="1"/>
  <c r="AB1238" i="3"/>
  <c r="AC1236" i="3"/>
  <c r="AB1234" i="3"/>
  <c r="N1213" i="3"/>
  <c r="O1213" i="3" s="1"/>
  <c r="AB1213" i="3"/>
  <c r="AC1235" i="3"/>
  <c r="L44" i="7"/>
  <c r="L43" i="7"/>
  <c r="L24" i="7"/>
  <c r="Z1237" i="3"/>
  <c r="AA1237" i="3" s="1"/>
  <c r="L16" i="7"/>
  <c r="S16" i="7" s="1"/>
  <c r="E24" i="7"/>
  <c r="Y1212" i="3"/>
  <c r="Y1216" i="3"/>
  <c r="Y1224" i="3"/>
  <c r="Z1216" i="3"/>
  <c r="AA1216" i="3" s="1"/>
  <c r="Z1213" i="3"/>
  <c r="AA1213" i="3" s="1"/>
  <c r="W1232" i="3"/>
  <c r="P1214" i="3"/>
  <c r="Y1214" i="3" s="1"/>
  <c r="X1221" i="3"/>
  <c r="Y1239" i="3"/>
  <c r="Z1217" i="3"/>
  <c r="AA1217" i="3" s="1"/>
  <c r="Y1221" i="3"/>
  <c r="Z1230" i="3"/>
  <c r="AA1230" i="3" s="1"/>
  <c r="M1239" i="3"/>
  <c r="X1232" i="3"/>
  <c r="X1239" i="3"/>
  <c r="W1239" i="3"/>
  <c r="Z1239" i="3" s="1"/>
  <c r="AA1239" i="3" s="1"/>
  <c r="AC1239" i="3" s="1"/>
  <c r="P1232" i="3"/>
  <c r="Y1232" i="3" s="1"/>
  <c r="Z1231" i="3"/>
  <c r="AA1231" i="3" s="1"/>
  <c r="Y1230" i="3"/>
  <c r="L1232" i="3"/>
  <c r="M1230" i="3"/>
  <c r="Z1212" i="3"/>
  <c r="AA1212" i="3" s="1"/>
  <c r="W1214" i="3"/>
  <c r="P1218" i="3"/>
  <c r="Y1218" i="3" s="1"/>
  <c r="Y1217" i="3"/>
  <c r="Y1228" i="3"/>
  <c r="M1228" i="3"/>
  <c r="N1226" i="3"/>
  <c r="O1226" i="3" s="1"/>
  <c r="AC1226" i="3" s="1"/>
  <c r="X1228" i="3"/>
  <c r="W1228" i="3"/>
  <c r="Z1228" i="3" s="1"/>
  <c r="AA1228" i="3" s="1"/>
  <c r="X1218" i="3"/>
  <c r="W1218" i="3"/>
  <c r="X1214" i="3"/>
  <c r="Z1223" i="3"/>
  <c r="AA1223" i="3" s="1"/>
  <c r="AC1223" i="3" s="1"/>
  <c r="Z1220" i="3"/>
  <c r="AA1220" i="3" s="1"/>
  <c r="AC1220" i="3" s="1"/>
  <c r="X1224" i="3"/>
  <c r="M1218" i="3"/>
  <c r="M1214" i="3"/>
  <c r="N1216" i="3"/>
  <c r="N1212" i="3"/>
  <c r="AB1224" i="3" l="1"/>
  <c r="AC1217" i="3"/>
  <c r="S44" i="7"/>
  <c r="S43" i="7"/>
  <c r="AB1214" i="3"/>
  <c r="Z1221" i="3"/>
  <c r="AA1221" i="3" s="1"/>
  <c r="AC1221" i="3" s="1"/>
  <c r="AC1231" i="3"/>
  <c r="AC1213" i="3"/>
  <c r="AB1228" i="3"/>
  <c r="AC1237" i="3"/>
  <c r="S24" i="7"/>
  <c r="AB1239" i="3"/>
  <c r="N1239" i="3"/>
  <c r="M1232" i="3"/>
  <c r="AB1232" i="3" s="1"/>
  <c r="AB1230" i="3"/>
  <c r="AB1218" i="3"/>
  <c r="Z1214" i="3"/>
  <c r="AA1214" i="3" s="1"/>
  <c r="N1228" i="3"/>
  <c r="O1228" i="3" s="1"/>
  <c r="AC1228" i="3" s="1"/>
  <c r="N1230" i="3"/>
  <c r="N1232" i="3" s="1"/>
  <c r="O1232" i="3" s="1"/>
  <c r="Z1218" i="3"/>
  <c r="AA1218" i="3" s="1"/>
  <c r="Z1232" i="3"/>
  <c r="AA1232" i="3" s="1"/>
  <c r="N1218" i="3"/>
  <c r="O1218" i="3" s="1"/>
  <c r="O1216" i="3"/>
  <c r="AC1216" i="3" s="1"/>
  <c r="N1214" i="3"/>
  <c r="O1214" i="3" s="1"/>
  <c r="O1212" i="3"/>
  <c r="AC1212" i="3" s="1"/>
  <c r="AC1232" i="3" l="1"/>
  <c r="AC1214" i="3"/>
  <c r="AC1218" i="3"/>
  <c r="O1230" i="3"/>
  <c r="AC1230" i="3" s="1"/>
  <c r="L1210" i="3"/>
  <c r="Y1209" i="3"/>
  <c r="S1210" i="3"/>
  <c r="T1210" i="3"/>
  <c r="V1210" i="3"/>
  <c r="R1210" i="3"/>
  <c r="P1210" i="3"/>
  <c r="X1209" i="3"/>
  <c r="Y1206" i="3"/>
  <c r="X1206" i="3"/>
  <c r="S1207" i="3"/>
  <c r="T1207" i="3"/>
  <c r="U1207" i="3"/>
  <c r="V1207" i="3"/>
  <c r="R1207" i="3"/>
  <c r="P1207" i="3"/>
  <c r="M1209" i="3"/>
  <c r="M1206" i="3"/>
  <c r="L1207" i="3"/>
  <c r="W1206" i="3"/>
  <c r="L82" i="7" s="1"/>
  <c r="S82" i="7" s="1"/>
  <c r="I1209" i="3"/>
  <c r="J1209" i="3" s="1"/>
  <c r="I1206" i="3"/>
  <c r="J1206" i="3" s="1"/>
  <c r="Y1203" i="3"/>
  <c r="Y1204" i="3"/>
  <c r="X1204" i="3"/>
  <c r="X1203" i="3"/>
  <c r="W1203" i="3"/>
  <c r="Z1203" i="3" l="1"/>
  <c r="AA1203" i="3" s="1"/>
  <c r="AC1203" i="3" s="1"/>
  <c r="AB1203" i="3"/>
  <c r="M1207" i="3"/>
  <c r="AB1206" i="3"/>
  <c r="N1209" i="3"/>
  <c r="O1209" i="3" s="1"/>
  <c r="W1207" i="3"/>
  <c r="Z1207" i="3" s="1"/>
  <c r="AA1207" i="3" s="1"/>
  <c r="X1207" i="3"/>
  <c r="Y1207" i="3"/>
  <c r="W1204" i="3"/>
  <c r="Z1204" i="3" s="1"/>
  <c r="AA1204" i="3" s="1"/>
  <c r="AC1204" i="3" s="1"/>
  <c r="Z1206" i="3"/>
  <c r="AA1206" i="3" s="1"/>
  <c r="W1209" i="3"/>
  <c r="U1210" i="3"/>
  <c r="Y1210" i="3" s="1"/>
  <c r="X1210" i="3"/>
  <c r="M1210" i="3"/>
  <c r="N1206" i="3"/>
  <c r="AB1209" i="3" l="1"/>
  <c r="L87" i="7"/>
  <c r="S87" i="7" s="1"/>
  <c r="N1210" i="3"/>
  <c r="O1210" i="3" s="1"/>
  <c r="AB1207" i="3"/>
  <c r="W1210" i="3"/>
  <c r="Z1210" i="3" s="1"/>
  <c r="AA1210" i="3" s="1"/>
  <c r="Z1209" i="3"/>
  <c r="AA1209" i="3" s="1"/>
  <c r="AC1209" i="3" s="1"/>
  <c r="N1207" i="3"/>
  <c r="O1207" i="3" s="1"/>
  <c r="AC1207" i="3" s="1"/>
  <c r="O1206" i="3"/>
  <c r="AC1206" i="3" s="1"/>
  <c r="AC1210" i="3" l="1"/>
  <c r="AB1210" i="3"/>
  <c r="X1200" i="3"/>
  <c r="Y1199" i="3"/>
  <c r="X1199" i="3"/>
  <c r="X1198" i="3"/>
  <c r="W1200" i="3"/>
  <c r="Z1199" i="3"/>
  <c r="AA1199" i="3" s="1"/>
  <c r="U1198" i="3"/>
  <c r="U1201" i="3" s="1"/>
  <c r="S1201" i="3"/>
  <c r="T1201" i="3"/>
  <c r="V1201" i="3"/>
  <c r="R1201" i="3"/>
  <c r="P1200" i="3"/>
  <c r="Y1200" i="3" s="1"/>
  <c r="P1198" i="3"/>
  <c r="F20" i="10" s="1"/>
  <c r="M1199" i="3"/>
  <c r="L1198" i="3"/>
  <c r="L1200" i="3"/>
  <c r="M1200" i="3" s="1"/>
  <c r="M1204" i="3"/>
  <c r="AB1204" i="3" s="1"/>
  <c r="N1204" i="3"/>
  <c r="L1204" i="3"/>
  <c r="N1199" i="3" l="1"/>
  <c r="O1199" i="3" s="1"/>
  <c r="AC1199" i="3" s="1"/>
  <c r="AB1199" i="3"/>
  <c r="N1200" i="3"/>
  <c r="O1200" i="3" s="1"/>
  <c r="AB1200" i="3"/>
  <c r="P1201" i="3"/>
  <c r="Y1201" i="3" s="1"/>
  <c r="Z1200" i="3"/>
  <c r="AA1200" i="3" s="1"/>
  <c r="W1198" i="3"/>
  <c r="Y1198" i="3"/>
  <c r="X1201" i="3"/>
  <c r="M1198" i="3"/>
  <c r="L1201" i="3"/>
  <c r="Y1195" i="3"/>
  <c r="X1195" i="3"/>
  <c r="V1196" i="3"/>
  <c r="U1196" i="3"/>
  <c r="T1196" i="3"/>
  <c r="S1196" i="3"/>
  <c r="R1196" i="3"/>
  <c r="W1195" i="3"/>
  <c r="P1196" i="3"/>
  <c r="L1196" i="3"/>
  <c r="M1195" i="3"/>
  <c r="I1195" i="3"/>
  <c r="J1195" i="3" s="1"/>
  <c r="Y1192" i="3"/>
  <c r="X1192" i="3"/>
  <c r="W1192" i="3"/>
  <c r="Z1192" i="3" s="1"/>
  <c r="AA1192" i="3" s="1"/>
  <c r="Y1191" i="3"/>
  <c r="X1191" i="3"/>
  <c r="W1191" i="3"/>
  <c r="L30" i="7" s="1"/>
  <c r="S30" i="7" s="1"/>
  <c r="S1193" i="3"/>
  <c r="T1193" i="3"/>
  <c r="U1193" i="3"/>
  <c r="V1193" i="3"/>
  <c r="R1193" i="3"/>
  <c r="P1193" i="3"/>
  <c r="M1192" i="3"/>
  <c r="M1191" i="3"/>
  <c r="L1193" i="3"/>
  <c r="AC1200" i="3" l="1"/>
  <c r="AB1191" i="3"/>
  <c r="N1192" i="3"/>
  <c r="O1192" i="3" s="1"/>
  <c r="AC1192" i="3" s="1"/>
  <c r="AB1192" i="3"/>
  <c r="N1195" i="3"/>
  <c r="O1195" i="3" s="1"/>
  <c r="AB1195" i="3"/>
  <c r="N1198" i="3"/>
  <c r="N1201" i="3" s="1"/>
  <c r="O1201" i="3" s="1"/>
  <c r="AB1198" i="3"/>
  <c r="Z1198" i="3"/>
  <c r="AA1198" i="3" s="1"/>
  <c r="N20" i="10"/>
  <c r="V20" i="10" s="1"/>
  <c r="W1196" i="3"/>
  <c r="Z1196" i="3" s="1"/>
  <c r="AA1196" i="3" s="1"/>
  <c r="L12" i="7"/>
  <c r="S12" i="7" s="1"/>
  <c r="Z1191" i="3"/>
  <c r="AA1191" i="3" s="1"/>
  <c r="W1201" i="3"/>
  <c r="Y1196" i="3"/>
  <c r="X1196" i="3"/>
  <c r="M1196" i="3"/>
  <c r="Z1195" i="3"/>
  <c r="AA1195" i="3" s="1"/>
  <c r="M1193" i="3"/>
  <c r="Y1193" i="3"/>
  <c r="X1193" i="3"/>
  <c r="W1193" i="3"/>
  <c r="Z1193" i="3" s="1"/>
  <c r="AA1193" i="3" s="1"/>
  <c r="N1191" i="3"/>
  <c r="AC1195" i="3" l="1"/>
  <c r="AB1196" i="3"/>
  <c r="O1198" i="3"/>
  <c r="AC1198" i="3" s="1"/>
  <c r="N1196" i="3"/>
  <c r="O1196" i="3" s="1"/>
  <c r="AC1196" i="3" s="1"/>
  <c r="AB1193" i="3"/>
  <c r="Z1201" i="3"/>
  <c r="AA1201" i="3" s="1"/>
  <c r="AC1201" i="3" s="1"/>
  <c r="AB1201" i="3"/>
  <c r="N1193" i="3"/>
  <c r="O1193" i="3" s="1"/>
  <c r="AC1193" i="3" s="1"/>
  <c r="O1191" i="3"/>
  <c r="AC1191" i="3" s="1"/>
  <c r="I1192" i="3"/>
  <c r="J1192" i="3" s="1"/>
  <c r="I1191" i="3"/>
  <c r="J1191" i="3" s="1"/>
  <c r="Y1188" i="3"/>
  <c r="X1188" i="3"/>
  <c r="Y1187" i="3"/>
  <c r="X1187" i="3"/>
  <c r="W1188" i="3"/>
  <c r="Z1188" i="3" s="1"/>
  <c r="AA1188" i="3" s="1"/>
  <c r="W1187" i="3"/>
  <c r="S1189" i="3"/>
  <c r="T1189" i="3"/>
  <c r="U1189" i="3"/>
  <c r="V1189" i="3"/>
  <c r="R1189" i="3"/>
  <c r="M1188" i="3"/>
  <c r="M1187" i="3"/>
  <c r="P1189" i="3"/>
  <c r="L1189" i="3"/>
  <c r="I1188" i="3"/>
  <c r="J1188" i="3" s="1"/>
  <c r="I1187" i="3"/>
  <c r="J1187" i="3" s="1"/>
  <c r="S1185" i="3"/>
  <c r="T1185" i="3"/>
  <c r="U1185" i="3"/>
  <c r="V1185" i="3"/>
  <c r="R1185" i="3"/>
  <c r="S1182" i="3"/>
  <c r="T1182" i="3"/>
  <c r="U1182" i="3"/>
  <c r="V1182" i="3"/>
  <c r="R1182" i="3"/>
  <c r="P1185" i="3"/>
  <c r="P1182" i="3"/>
  <c r="L1185" i="3"/>
  <c r="L1182" i="3"/>
  <c r="M1184" i="3"/>
  <c r="M1181" i="3"/>
  <c r="Y1184" i="3"/>
  <c r="X1184" i="3"/>
  <c r="W1184" i="3"/>
  <c r="L58" i="7" s="1"/>
  <c r="S58" i="7" s="1"/>
  <c r="Y1181" i="3"/>
  <c r="X1181" i="3"/>
  <c r="W1181" i="3"/>
  <c r="L40" i="7" s="1"/>
  <c r="S40" i="7" s="1"/>
  <c r="I1184" i="3"/>
  <c r="J1184" i="3" s="1"/>
  <c r="I1181" i="3"/>
  <c r="J1181" i="3" s="1"/>
  <c r="W1178" i="3"/>
  <c r="AB1187" i="3" l="1"/>
  <c r="N1188" i="3"/>
  <c r="O1188" i="3" s="1"/>
  <c r="AC1188" i="3" s="1"/>
  <c r="AB1188" i="3"/>
  <c r="M1185" i="3"/>
  <c r="AB1184" i="3"/>
  <c r="M1182" i="3"/>
  <c r="AB1181" i="3"/>
  <c r="Z1187" i="3"/>
  <c r="AA1187" i="3" s="1"/>
  <c r="L4" i="7"/>
  <c r="Z1184" i="3"/>
  <c r="AA1184" i="3" s="1"/>
  <c r="Z1181" i="3"/>
  <c r="AA1181" i="3" s="1"/>
  <c r="M1189" i="3"/>
  <c r="X1189" i="3"/>
  <c r="Y1185" i="3"/>
  <c r="W1189" i="3"/>
  <c r="Z1189" i="3" s="1"/>
  <c r="AA1189" i="3" s="1"/>
  <c r="Y1189" i="3"/>
  <c r="N1187" i="3"/>
  <c r="Y1182" i="3"/>
  <c r="W1185" i="3"/>
  <c r="Z1185" i="3" s="1"/>
  <c r="AA1185" i="3" s="1"/>
  <c r="X1185" i="3"/>
  <c r="X1182" i="3"/>
  <c r="N1184" i="3"/>
  <c r="N1181" i="3"/>
  <c r="W1182" i="3"/>
  <c r="Z1182" i="3" s="1"/>
  <c r="AA1182" i="3" s="1"/>
  <c r="X1176" i="3"/>
  <c r="Y1176" i="3"/>
  <c r="Y1178" i="3"/>
  <c r="X1178" i="3"/>
  <c r="Y1177" i="3"/>
  <c r="X1177" i="3"/>
  <c r="W1177" i="3"/>
  <c r="Z1177" i="3" s="1"/>
  <c r="AA1177" i="3" s="1"/>
  <c r="Z1178" i="3"/>
  <c r="AA1178" i="3" s="1"/>
  <c r="W1176" i="3"/>
  <c r="L83" i="7" s="1"/>
  <c r="S83" i="7" s="1"/>
  <c r="S1179" i="3"/>
  <c r="T1179" i="3"/>
  <c r="U1179" i="3"/>
  <c r="V1179" i="3"/>
  <c r="R1179" i="3"/>
  <c r="P1179" i="3"/>
  <c r="M1178" i="3"/>
  <c r="M1177" i="3"/>
  <c r="M1176" i="3"/>
  <c r="S4" i="7" l="1"/>
  <c r="AB1182" i="3"/>
  <c r="N1176" i="3"/>
  <c r="O1176" i="3" s="1"/>
  <c r="AB1176" i="3"/>
  <c r="AB1185" i="3"/>
  <c r="AB1189" i="3"/>
  <c r="N1177" i="3"/>
  <c r="O1177" i="3" s="1"/>
  <c r="AC1177" i="3" s="1"/>
  <c r="AB1177" i="3"/>
  <c r="N1178" i="3"/>
  <c r="O1178" i="3" s="1"/>
  <c r="AC1178" i="3" s="1"/>
  <c r="AB1178" i="3"/>
  <c r="Z1176" i="3"/>
  <c r="AA1176" i="3" s="1"/>
  <c r="M1179" i="3"/>
  <c r="N1189" i="3"/>
  <c r="O1189" i="3" s="1"/>
  <c r="AC1189" i="3" s="1"/>
  <c r="O1187" i="3"/>
  <c r="AC1187" i="3" s="1"/>
  <c r="N1185" i="3"/>
  <c r="O1185" i="3" s="1"/>
  <c r="AC1185" i="3" s="1"/>
  <c r="O1184" i="3"/>
  <c r="AC1184" i="3" s="1"/>
  <c r="N1182" i="3"/>
  <c r="O1182" i="3" s="1"/>
  <c r="AC1182" i="3" s="1"/>
  <c r="O1181" i="3"/>
  <c r="AC1181" i="3" s="1"/>
  <c r="Y1179" i="3"/>
  <c r="X1179" i="3"/>
  <c r="W1179" i="3"/>
  <c r="Z1179" i="3" s="1"/>
  <c r="AA1179" i="3" s="1"/>
  <c r="L1179" i="3"/>
  <c r="I1177" i="3"/>
  <c r="J1177" i="3" s="1"/>
  <c r="I1178" i="3"/>
  <c r="I1176" i="3"/>
  <c r="J1176" i="3" s="1"/>
  <c r="L1174" i="3"/>
  <c r="M1173" i="3"/>
  <c r="M1169" i="3"/>
  <c r="M1170" i="3"/>
  <c r="L1171" i="3"/>
  <c r="W1173" i="3"/>
  <c r="L76" i="7" s="1"/>
  <c r="S76" i="7" s="1"/>
  <c r="W1169" i="3"/>
  <c r="W1170" i="3"/>
  <c r="Z1170" i="3" s="1"/>
  <c r="AA1170" i="3" s="1"/>
  <c r="R1174" i="3"/>
  <c r="S1174" i="3"/>
  <c r="T1174" i="3"/>
  <c r="U1174" i="3"/>
  <c r="V1174" i="3"/>
  <c r="P1174" i="3"/>
  <c r="X1173" i="3"/>
  <c r="Y1173" i="3"/>
  <c r="X1169" i="3"/>
  <c r="Y1169" i="3"/>
  <c r="X1170" i="3"/>
  <c r="Y1170" i="3"/>
  <c r="S1171" i="3"/>
  <c r="T1171" i="3"/>
  <c r="U1171" i="3"/>
  <c r="V1171" i="3"/>
  <c r="R1171" i="3"/>
  <c r="P1171" i="3"/>
  <c r="I1173" i="3"/>
  <c r="J1173" i="3" s="1"/>
  <c r="I1169" i="3"/>
  <c r="J1169" i="3" s="1"/>
  <c r="I1170" i="3"/>
  <c r="J1170" i="3" s="1"/>
  <c r="AA1166" i="3"/>
  <c r="AC1166" i="3" s="1"/>
  <c r="Y1166" i="3"/>
  <c r="X1166" i="3"/>
  <c r="V1167" i="3"/>
  <c r="U1167" i="3"/>
  <c r="T1167" i="3"/>
  <c r="S1167" i="3"/>
  <c r="R1167" i="3"/>
  <c r="P1167" i="3"/>
  <c r="M1167" i="3"/>
  <c r="N1167" i="3"/>
  <c r="L1167" i="3"/>
  <c r="W1166" i="3"/>
  <c r="X1159" i="3"/>
  <c r="X1160" i="3"/>
  <c r="X1161" i="3"/>
  <c r="X1162" i="3"/>
  <c r="X1163" i="3"/>
  <c r="X1158" i="3"/>
  <c r="X1154" i="3"/>
  <c r="X1155" i="3"/>
  <c r="X1156" i="3"/>
  <c r="X1153" i="3"/>
  <c r="Y1150" i="3"/>
  <c r="X1150" i="3"/>
  <c r="L29" i="7" l="1"/>
  <c r="S29" i="7" s="1"/>
  <c r="AC1176" i="3"/>
  <c r="AB1170" i="3"/>
  <c r="N1169" i="3"/>
  <c r="O1169" i="3" s="1"/>
  <c r="AB1169" i="3"/>
  <c r="W1167" i="3"/>
  <c r="AB1167" i="3" s="1"/>
  <c r="AB1166" i="3"/>
  <c r="N1173" i="3"/>
  <c r="O1173" i="3" s="1"/>
  <c r="AB1173" i="3"/>
  <c r="AB1179" i="3"/>
  <c r="N1179" i="3"/>
  <c r="O1179" i="3" s="1"/>
  <c r="AC1179" i="3" s="1"/>
  <c r="Z1173" i="3"/>
  <c r="AA1173" i="3" s="1"/>
  <c r="Z1169" i="3"/>
  <c r="AA1169" i="3" s="1"/>
  <c r="M1171" i="3"/>
  <c r="W1174" i="3"/>
  <c r="Z1174" i="3" s="1"/>
  <c r="AA1174" i="3" s="1"/>
  <c r="M1174" i="3"/>
  <c r="X1171" i="3"/>
  <c r="Y1174" i="3"/>
  <c r="X1174" i="3"/>
  <c r="N1170" i="3"/>
  <c r="O1170" i="3" s="1"/>
  <c r="AC1170" i="3" s="1"/>
  <c r="X1167" i="3"/>
  <c r="Y1167" i="3"/>
  <c r="Y1171" i="3"/>
  <c r="W1171" i="3"/>
  <c r="Z1171" i="3" s="1"/>
  <c r="AA1171" i="3" s="1"/>
  <c r="W1160" i="3"/>
  <c r="AB1160" i="3" s="1"/>
  <c r="W1159" i="3"/>
  <c r="AB1159" i="3" s="1"/>
  <c r="W1161" i="3"/>
  <c r="AB1161" i="3" s="1"/>
  <c r="W1162" i="3"/>
  <c r="AB1162" i="3" s="1"/>
  <c r="W1158" i="3"/>
  <c r="AB1158" i="3" s="1"/>
  <c r="W1154" i="3"/>
  <c r="AB1154" i="3" s="1"/>
  <c r="W1155" i="3"/>
  <c r="AB1155" i="3" s="1"/>
  <c r="W1156" i="3"/>
  <c r="AB1156" i="3" s="1"/>
  <c r="W1153" i="3"/>
  <c r="AB1153" i="3" s="1"/>
  <c r="P1159" i="3"/>
  <c r="P1160" i="3"/>
  <c r="P1161" i="3"/>
  <c r="P1162" i="3"/>
  <c r="Y1162" i="3" s="1"/>
  <c r="P1163" i="3"/>
  <c r="P1158" i="3"/>
  <c r="P1154" i="3"/>
  <c r="P1155" i="3"/>
  <c r="Y1155" i="3" s="1"/>
  <c r="Y1156" i="3"/>
  <c r="N1159" i="3"/>
  <c r="O1159" i="3" s="1"/>
  <c r="N1160" i="3"/>
  <c r="O1160" i="3" s="1"/>
  <c r="N1161" i="3"/>
  <c r="O1161" i="3" s="1"/>
  <c r="N1162" i="3"/>
  <c r="O1162" i="3" s="1"/>
  <c r="N1163" i="3"/>
  <c r="O1163" i="3" s="1"/>
  <c r="N1158" i="3"/>
  <c r="O1158" i="3" s="1"/>
  <c r="N1154" i="3"/>
  <c r="O1154" i="3" s="1"/>
  <c r="N1155" i="3"/>
  <c r="O1155" i="3" s="1"/>
  <c r="N1156" i="3"/>
  <c r="O1156" i="3" s="1"/>
  <c r="N1153" i="3"/>
  <c r="O1153" i="3" s="1"/>
  <c r="I58" i="20" l="1"/>
  <c r="K58" i="20" s="1"/>
  <c r="AB1174" i="3"/>
  <c r="AB1171" i="3"/>
  <c r="N1174" i="3"/>
  <c r="O1174" i="3" s="1"/>
  <c r="AC1174" i="3" s="1"/>
  <c r="Z1167" i="3"/>
  <c r="AA1167" i="3" s="1"/>
  <c r="AC1167" i="3" s="1"/>
  <c r="AC1173" i="3"/>
  <c r="Y1159" i="3"/>
  <c r="F15" i="10"/>
  <c r="Y1158" i="3"/>
  <c r="F23" i="10"/>
  <c r="Y1163" i="3"/>
  <c r="F8" i="10"/>
  <c r="V8" i="10" s="1"/>
  <c r="Y1161" i="3"/>
  <c r="F17" i="10"/>
  <c r="Y1160" i="3"/>
  <c r="F10" i="10"/>
  <c r="Y1154" i="3"/>
  <c r="AC1169" i="3"/>
  <c r="N1171" i="3"/>
  <c r="O1171" i="3" s="1"/>
  <c r="AC1171" i="3" s="1"/>
  <c r="I1153" i="3"/>
  <c r="AA1163" i="3"/>
  <c r="AC1163" i="3" s="1"/>
  <c r="Z1162" i="3"/>
  <c r="AA1162" i="3" s="1"/>
  <c r="AC1162" i="3" s="1"/>
  <c r="Z1161" i="3"/>
  <c r="AA1161" i="3" s="1"/>
  <c r="AC1161" i="3" s="1"/>
  <c r="Z1160" i="3"/>
  <c r="AA1160" i="3" s="1"/>
  <c r="AC1160" i="3" s="1"/>
  <c r="Z1159" i="3"/>
  <c r="AA1159" i="3" s="1"/>
  <c r="AC1159" i="3" s="1"/>
  <c r="Z1158" i="3"/>
  <c r="AA1158" i="3" s="1"/>
  <c r="AC1158" i="3" s="1"/>
  <c r="Z1126" i="3"/>
  <c r="AA1126" i="3" s="1"/>
  <c r="Z1127" i="3"/>
  <c r="AA1127" i="3" s="1"/>
  <c r="Z1128" i="3"/>
  <c r="AA1128" i="3" s="1"/>
  <c r="Z1129" i="3"/>
  <c r="AA1129" i="3" s="1"/>
  <c r="Z1130" i="3"/>
  <c r="AA1130" i="3" s="1"/>
  <c r="Z1131" i="3"/>
  <c r="AA1131" i="3" s="1"/>
  <c r="Z1156" i="3"/>
  <c r="AA1156" i="3" s="1"/>
  <c r="AC1156" i="3" s="1"/>
  <c r="Z1155" i="3"/>
  <c r="AA1155" i="3" s="1"/>
  <c r="AC1155" i="3" s="1"/>
  <c r="Z1154" i="3"/>
  <c r="AA1154" i="3" s="1"/>
  <c r="AC1154" i="3" s="1"/>
  <c r="Z1153" i="3"/>
  <c r="AA1153" i="3" s="1"/>
  <c r="AC1153" i="3" s="1"/>
  <c r="S1157" i="3"/>
  <c r="S1164" i="3" s="1"/>
  <c r="T1157" i="3"/>
  <c r="T1164" i="3" s="1"/>
  <c r="U1157" i="3"/>
  <c r="U1164" i="3" s="1"/>
  <c r="V1157" i="3"/>
  <c r="V1164" i="3" s="1"/>
  <c r="W1157" i="3"/>
  <c r="W1164" i="3" s="1"/>
  <c r="R1157" i="3"/>
  <c r="R1164" i="3" s="1"/>
  <c r="P1157" i="3"/>
  <c r="P1164" i="3" s="1"/>
  <c r="M1157" i="3"/>
  <c r="N1157" i="3"/>
  <c r="L1157" i="3"/>
  <c r="L1164" i="3" s="1"/>
  <c r="L1151" i="3"/>
  <c r="L1148" i="3"/>
  <c r="M1150" i="3"/>
  <c r="M1147" i="3"/>
  <c r="V1151" i="3"/>
  <c r="U1151" i="3"/>
  <c r="T1151" i="3"/>
  <c r="S1151" i="3"/>
  <c r="R1151" i="3"/>
  <c r="P1151" i="3"/>
  <c r="S1148" i="3"/>
  <c r="T1148" i="3"/>
  <c r="U1148" i="3"/>
  <c r="V1148" i="3"/>
  <c r="R1148" i="3"/>
  <c r="P1148" i="3"/>
  <c r="W1150" i="3"/>
  <c r="L39" i="7" s="1"/>
  <c r="S39" i="7" s="1"/>
  <c r="W1147" i="3"/>
  <c r="L91" i="7" s="1"/>
  <c r="S91" i="7" s="1"/>
  <c r="Y1147" i="3"/>
  <c r="X1147" i="3"/>
  <c r="I1150" i="3"/>
  <c r="J1150" i="3" s="1"/>
  <c r="I1147" i="3"/>
  <c r="J1147" i="3" s="1"/>
  <c r="X1143" i="3"/>
  <c r="Y1143" i="3"/>
  <c r="W1143" i="3"/>
  <c r="P1145" i="3"/>
  <c r="Y1144" i="3"/>
  <c r="X1144" i="3"/>
  <c r="W1144" i="3"/>
  <c r="Z1144" i="3" s="1"/>
  <c r="AA1144" i="3" s="1"/>
  <c r="V1145" i="3"/>
  <c r="U1145" i="3"/>
  <c r="T1145" i="3"/>
  <c r="S1145" i="3"/>
  <c r="R1145" i="3"/>
  <c r="M1144" i="3"/>
  <c r="M1143" i="3"/>
  <c r="I1144" i="3"/>
  <c r="J1144" i="3" s="1"/>
  <c r="I1143" i="3"/>
  <c r="J1143" i="3" s="1"/>
  <c r="L1145" i="3"/>
  <c r="L1114" i="3"/>
  <c r="L1110" i="3"/>
  <c r="L1122" i="3"/>
  <c r="L1125" i="3"/>
  <c r="M1125" i="3" s="1"/>
  <c r="AB1125" i="3" s="1"/>
  <c r="L1126" i="3"/>
  <c r="M1126" i="3" s="1"/>
  <c r="AB1126" i="3" s="1"/>
  <c r="L1127" i="3"/>
  <c r="M1127" i="3" s="1"/>
  <c r="AB1127" i="3" s="1"/>
  <c r="L1128" i="3"/>
  <c r="M1128" i="3" s="1"/>
  <c r="AB1128" i="3" s="1"/>
  <c r="L1129" i="3"/>
  <c r="M1129" i="3" s="1"/>
  <c r="AB1129" i="3" s="1"/>
  <c r="L1130" i="3"/>
  <c r="M1130" i="3" s="1"/>
  <c r="AB1130" i="3" s="1"/>
  <c r="L1131" i="3"/>
  <c r="M1131" i="3" s="1"/>
  <c r="AB1131" i="3" s="1"/>
  <c r="L1132" i="3"/>
  <c r="M1132" i="3" s="1"/>
  <c r="AB1132" i="3" s="1"/>
  <c r="L17" i="7" l="1"/>
  <c r="S17" i="7" s="1"/>
  <c r="N1144" i="3"/>
  <c r="O1144" i="3" s="1"/>
  <c r="AC1144" i="3" s="1"/>
  <c r="AB1144" i="3"/>
  <c r="M1151" i="3"/>
  <c r="AB1150" i="3"/>
  <c r="M1164" i="3"/>
  <c r="AB1164" i="3" s="1"/>
  <c r="AB1157" i="3"/>
  <c r="AB1143" i="3"/>
  <c r="M1148" i="3"/>
  <c r="AB1147" i="3"/>
  <c r="Z1147" i="3"/>
  <c r="AA1147" i="3" s="1"/>
  <c r="Z1150" i="3"/>
  <c r="AA1150" i="3" s="1"/>
  <c r="X1164" i="3"/>
  <c r="N1150" i="3"/>
  <c r="O1150" i="3" s="1"/>
  <c r="N1164" i="3"/>
  <c r="O1164" i="3" s="1"/>
  <c r="O1157" i="3"/>
  <c r="Z1157" i="3"/>
  <c r="AA1157" i="3" s="1"/>
  <c r="Z1164" i="3"/>
  <c r="AA1164" i="3" s="1"/>
  <c r="Y1148" i="3"/>
  <c r="N1147" i="3"/>
  <c r="N1148" i="3" s="1"/>
  <c r="O1148" i="3" s="1"/>
  <c r="X1148" i="3"/>
  <c r="W1151" i="3"/>
  <c r="Z1151" i="3" s="1"/>
  <c r="AA1151" i="3" s="1"/>
  <c r="X1151" i="3"/>
  <c r="W1148" i="3"/>
  <c r="Z1148" i="3" s="1"/>
  <c r="AA1148" i="3" s="1"/>
  <c r="Y1151" i="3"/>
  <c r="M1145" i="3"/>
  <c r="N1143" i="3"/>
  <c r="O1143" i="3" s="1"/>
  <c r="Y1145" i="3"/>
  <c r="W1145" i="3"/>
  <c r="Z1145" i="3" s="1"/>
  <c r="AA1145" i="3" s="1"/>
  <c r="Z1143" i="3"/>
  <c r="AA1143" i="3" s="1"/>
  <c r="X1145" i="3"/>
  <c r="M1114" i="3"/>
  <c r="M1116" i="3" s="1"/>
  <c r="L1116" i="3"/>
  <c r="N1118" i="3"/>
  <c r="O1118" i="3" s="1"/>
  <c r="N1119" i="3"/>
  <c r="O1119" i="3" s="1"/>
  <c r="N1120" i="3"/>
  <c r="O1120" i="3" s="1"/>
  <c r="N1121" i="3"/>
  <c r="O1121" i="3" s="1"/>
  <c r="N1122" i="3"/>
  <c r="O1122" i="3" s="1"/>
  <c r="N1125" i="3"/>
  <c r="O1125" i="3" s="1"/>
  <c r="N1126" i="3"/>
  <c r="O1126" i="3" s="1"/>
  <c r="AC1126" i="3" s="1"/>
  <c r="N1127" i="3"/>
  <c r="O1127" i="3" s="1"/>
  <c r="AC1127" i="3" s="1"/>
  <c r="N1128" i="3"/>
  <c r="O1128" i="3" s="1"/>
  <c r="AC1128" i="3" s="1"/>
  <c r="N1129" i="3"/>
  <c r="O1129" i="3" s="1"/>
  <c r="AC1129" i="3" s="1"/>
  <c r="N1130" i="3"/>
  <c r="O1130" i="3" s="1"/>
  <c r="AC1130" i="3" s="1"/>
  <c r="N1131" i="3"/>
  <c r="O1131" i="3" s="1"/>
  <c r="AC1131" i="3" s="1"/>
  <c r="N1132" i="3"/>
  <c r="O1132" i="3" s="1"/>
  <c r="N1117" i="3"/>
  <c r="O1117" i="3" s="1"/>
  <c r="N1111" i="3"/>
  <c r="O1111" i="3" s="1"/>
  <c r="N1112" i="3"/>
  <c r="O1112" i="3" s="1"/>
  <c r="N1113" i="3"/>
  <c r="O1113" i="3" s="1"/>
  <c r="N1115" i="3"/>
  <c r="O1115" i="3" s="1"/>
  <c r="N1110" i="3"/>
  <c r="O1110" i="3" s="1"/>
  <c r="AB1148" i="3" l="1"/>
  <c r="AB1151" i="3"/>
  <c r="AB1145" i="3"/>
  <c r="AC1150" i="3"/>
  <c r="Y1164" i="3"/>
  <c r="N1151" i="3"/>
  <c r="O1151" i="3" s="1"/>
  <c r="AC1151" i="3" s="1"/>
  <c r="AC1164" i="3"/>
  <c r="AC1157" i="3"/>
  <c r="O1147" i="3"/>
  <c r="AC1147" i="3" s="1"/>
  <c r="AC1148" i="3"/>
  <c r="N1145" i="3"/>
  <c r="O1145" i="3" s="1"/>
  <c r="AC1145" i="3" s="1"/>
  <c r="AC1143" i="3"/>
  <c r="N1114" i="3"/>
  <c r="O1114" i="3" s="1"/>
  <c r="N1116" i="3"/>
  <c r="O1116" i="3" s="1"/>
  <c r="X1123" i="3" l="1"/>
  <c r="X1124" i="3"/>
  <c r="X1125" i="3"/>
  <c r="Y1125" i="3"/>
  <c r="Z1125" i="3"/>
  <c r="AA1125" i="3" s="1"/>
  <c r="AC1125" i="3" s="1"/>
  <c r="X1126" i="3"/>
  <c r="Y1126" i="3"/>
  <c r="X1127" i="3"/>
  <c r="Y1127" i="3"/>
  <c r="X1128" i="3"/>
  <c r="Y1128" i="3"/>
  <c r="X1129" i="3"/>
  <c r="Y1129" i="3"/>
  <c r="X1130" i="3"/>
  <c r="Y1130" i="3"/>
  <c r="X1131" i="3"/>
  <c r="Y1131" i="3"/>
  <c r="X1132" i="3"/>
  <c r="Y1132" i="3"/>
  <c r="Z1132" i="3"/>
  <c r="AA1132" i="3" s="1"/>
  <c r="AC1132" i="3" s="1"/>
  <c r="I1125" i="3"/>
  <c r="I1126" i="3"/>
  <c r="J1126" i="3" s="1"/>
  <c r="I1127" i="3"/>
  <c r="I1128" i="3"/>
  <c r="J1128" i="3" s="1"/>
  <c r="I1129" i="3"/>
  <c r="I1130" i="3"/>
  <c r="J1130" i="3" s="1"/>
  <c r="I1131" i="3"/>
  <c r="I1132" i="3"/>
  <c r="J1132" i="3" s="1"/>
  <c r="P1124" i="3"/>
  <c r="P1123" i="3"/>
  <c r="X1140" i="3"/>
  <c r="X1139" i="3"/>
  <c r="S1141" i="3"/>
  <c r="T1141" i="3"/>
  <c r="U1141" i="3"/>
  <c r="V1141" i="3"/>
  <c r="R1141" i="3"/>
  <c r="W1140" i="3"/>
  <c r="W1139" i="3"/>
  <c r="P1140" i="3"/>
  <c r="Y1140" i="3" s="1"/>
  <c r="P1139" i="3"/>
  <c r="M1140" i="3"/>
  <c r="M1139" i="3"/>
  <c r="L1141" i="3"/>
  <c r="I1140" i="3"/>
  <c r="J1140" i="3" s="1"/>
  <c r="I1139" i="3"/>
  <c r="J1139" i="3" s="1"/>
  <c r="F5" i="10" l="1"/>
  <c r="I32" i="20"/>
  <c r="N1139" i="3"/>
  <c r="O1139" i="3" s="1"/>
  <c r="AB1139" i="3"/>
  <c r="AB1140" i="3"/>
  <c r="Y1139" i="3"/>
  <c r="Y1124" i="3"/>
  <c r="L1124" i="3"/>
  <c r="Y1123" i="3"/>
  <c r="L1123" i="3"/>
  <c r="Z1124" i="3"/>
  <c r="AA1124" i="3" s="1"/>
  <c r="Z1123" i="3"/>
  <c r="AA1123" i="3" s="1"/>
  <c r="Z1139" i="3"/>
  <c r="AA1139" i="3" s="1"/>
  <c r="P1141" i="3"/>
  <c r="Y1141" i="3" s="1"/>
  <c r="M1141" i="3"/>
  <c r="X1141" i="3"/>
  <c r="Z1140" i="3"/>
  <c r="AA1140" i="3" s="1"/>
  <c r="W1141" i="3"/>
  <c r="N1140" i="3"/>
  <c r="O1140" i="3" s="1"/>
  <c r="Y1136" i="3"/>
  <c r="X1136" i="3"/>
  <c r="Y1135" i="3"/>
  <c r="X1135" i="3"/>
  <c r="W1136" i="3"/>
  <c r="Z1136" i="3" s="1"/>
  <c r="AA1136" i="3" s="1"/>
  <c r="W1135" i="3"/>
  <c r="L89" i="7" s="1"/>
  <c r="S89" i="7" s="1"/>
  <c r="S1137" i="3"/>
  <c r="T1137" i="3"/>
  <c r="U1137" i="3"/>
  <c r="V1137" i="3"/>
  <c r="R1137" i="3"/>
  <c r="L1136" i="3"/>
  <c r="L1135" i="3"/>
  <c r="M1135" i="3" s="1"/>
  <c r="I1136" i="3"/>
  <c r="J1136" i="3" s="1"/>
  <c r="I1135" i="3"/>
  <c r="J1135" i="3" s="1"/>
  <c r="W1118" i="3"/>
  <c r="AB1118" i="3" s="1"/>
  <c r="W1119" i="3"/>
  <c r="W1120" i="3"/>
  <c r="W1121" i="3"/>
  <c r="W1122" i="3"/>
  <c r="W1117" i="3"/>
  <c r="P1137" i="3"/>
  <c r="L1137" i="3" s="1"/>
  <c r="W1111" i="3"/>
  <c r="W1112" i="3"/>
  <c r="W1113" i="3"/>
  <c r="W1114" i="3"/>
  <c r="W1115" i="3"/>
  <c r="W1110" i="3"/>
  <c r="X1118" i="3"/>
  <c r="Y1118" i="3"/>
  <c r="X1119" i="3"/>
  <c r="Y1119" i="3"/>
  <c r="X1120" i="3"/>
  <c r="Y1120" i="3"/>
  <c r="X1121" i="3"/>
  <c r="Y1121" i="3"/>
  <c r="X1122" i="3"/>
  <c r="Y1122" i="3"/>
  <c r="Y1117" i="3"/>
  <c r="X1117" i="3"/>
  <c r="X1111" i="3"/>
  <c r="Y1111" i="3"/>
  <c r="X1112" i="3"/>
  <c r="Y1112" i="3"/>
  <c r="X1113" i="3"/>
  <c r="Y1113" i="3"/>
  <c r="X1114" i="3"/>
  <c r="Y1114" i="3"/>
  <c r="X1115" i="3"/>
  <c r="Y1115" i="3"/>
  <c r="Y1110" i="3"/>
  <c r="X1110" i="3"/>
  <c r="S1116" i="3"/>
  <c r="S1133" i="3" s="1"/>
  <c r="T1116" i="3"/>
  <c r="T1133" i="3" s="1"/>
  <c r="U1116" i="3"/>
  <c r="U1133" i="3" s="1"/>
  <c r="V1116" i="3"/>
  <c r="V1133" i="3" s="1"/>
  <c r="R1116" i="3"/>
  <c r="R1133" i="3" s="1"/>
  <c r="P1116" i="3"/>
  <c r="P1133" i="3" s="1"/>
  <c r="I1110" i="3"/>
  <c r="K32" i="20" l="1"/>
  <c r="AC1139" i="3"/>
  <c r="AB1141" i="3"/>
  <c r="AB1135" i="3"/>
  <c r="Z1110" i="3"/>
  <c r="AA1110" i="3" s="1"/>
  <c r="AC1110" i="3" s="1"/>
  <c r="AB1110" i="3"/>
  <c r="Z1122" i="3"/>
  <c r="AA1122" i="3" s="1"/>
  <c r="AC1122" i="3" s="1"/>
  <c r="AB1122" i="3"/>
  <c r="Z1115" i="3"/>
  <c r="AA1115" i="3" s="1"/>
  <c r="AC1115" i="3" s="1"/>
  <c r="AB1115" i="3"/>
  <c r="Z1121" i="3"/>
  <c r="AA1121" i="3" s="1"/>
  <c r="AC1121" i="3" s="1"/>
  <c r="AB1121" i="3"/>
  <c r="Z1117" i="3"/>
  <c r="AA1117" i="3" s="1"/>
  <c r="AC1117" i="3" s="1"/>
  <c r="AB1117" i="3"/>
  <c r="Z1120" i="3"/>
  <c r="AA1120" i="3" s="1"/>
  <c r="AC1120" i="3" s="1"/>
  <c r="AB1120" i="3"/>
  <c r="Z1113" i="3"/>
  <c r="AA1113" i="3" s="1"/>
  <c r="AC1113" i="3" s="1"/>
  <c r="AB1113" i="3"/>
  <c r="Z1119" i="3"/>
  <c r="AA1119" i="3" s="1"/>
  <c r="AC1119" i="3" s="1"/>
  <c r="AB1119" i="3"/>
  <c r="Z1112" i="3"/>
  <c r="AA1112" i="3" s="1"/>
  <c r="AC1112" i="3" s="1"/>
  <c r="AB1112" i="3"/>
  <c r="Z1114" i="3"/>
  <c r="AA1114" i="3" s="1"/>
  <c r="AC1114" i="3" s="1"/>
  <c r="AB1114" i="3"/>
  <c r="Z1111" i="3"/>
  <c r="AA1111" i="3" s="1"/>
  <c r="AC1111" i="3" s="1"/>
  <c r="AB1111" i="3"/>
  <c r="Z1135" i="3"/>
  <c r="AA1135" i="3" s="1"/>
  <c r="M1123" i="3"/>
  <c r="L1133" i="3"/>
  <c r="M1124" i="3"/>
  <c r="Z1118" i="3"/>
  <c r="AA1118" i="3" s="1"/>
  <c r="AC1118" i="3" s="1"/>
  <c r="Z1141" i="3"/>
  <c r="AA1141" i="3" s="1"/>
  <c r="AC1140" i="3"/>
  <c r="Y1133" i="3"/>
  <c r="N1141" i="3"/>
  <c r="O1141" i="3" s="1"/>
  <c r="X1137" i="3"/>
  <c r="M1136" i="3"/>
  <c r="Y1137" i="3"/>
  <c r="N1135" i="3"/>
  <c r="O1135" i="3" s="1"/>
  <c r="W1137" i="3"/>
  <c r="Z1137" i="3" s="1"/>
  <c r="AA1137" i="3" s="1"/>
  <c r="X1133" i="3"/>
  <c r="W1116" i="3"/>
  <c r="W1133" i="3" l="1"/>
  <c r="Z1133" i="3" s="1"/>
  <c r="AA1133" i="3" s="1"/>
  <c r="AB1116" i="3"/>
  <c r="N1124" i="3"/>
  <c r="O1124" i="3" s="1"/>
  <c r="AC1124" i="3" s="1"/>
  <c r="AB1124" i="3"/>
  <c r="M1137" i="3"/>
  <c r="AB1137" i="3" s="1"/>
  <c r="AB1136" i="3"/>
  <c r="N1123" i="3"/>
  <c r="O1123" i="3" s="1"/>
  <c r="AC1123" i="3" s="1"/>
  <c r="AB1123" i="3"/>
  <c r="AC1135" i="3"/>
  <c r="M1133" i="3"/>
  <c r="AC1141" i="3"/>
  <c r="N1136" i="3"/>
  <c r="N1133" i="3" l="1"/>
  <c r="O1133" i="3" s="1"/>
  <c r="AC1133" i="3" s="1"/>
  <c r="AB1133" i="3"/>
  <c r="O1136" i="3"/>
  <c r="AC1136" i="3" s="1"/>
  <c r="N1137" i="3"/>
  <c r="O1137" i="3" s="1"/>
  <c r="AC1137" i="3" s="1"/>
  <c r="R1108" i="3" l="1"/>
  <c r="X1107" i="3"/>
  <c r="X1106" i="3"/>
  <c r="W1107" i="3"/>
  <c r="W1106" i="3"/>
  <c r="T1108" i="3"/>
  <c r="U1108" i="3"/>
  <c r="V1108" i="3"/>
  <c r="S1108" i="3"/>
  <c r="P1107" i="3"/>
  <c r="I68" i="20" s="1"/>
  <c r="P1106" i="3"/>
  <c r="L1108" i="3"/>
  <c r="M1107" i="3"/>
  <c r="M1106" i="3"/>
  <c r="I1106" i="3"/>
  <c r="J1106" i="3" s="1"/>
  <c r="P1032" i="3"/>
  <c r="E78" i="7" l="1"/>
  <c r="I84" i="20"/>
  <c r="K84" i="20" s="1"/>
  <c r="K68" i="20"/>
  <c r="N1107" i="3"/>
  <c r="O1107" i="3" s="1"/>
  <c r="AB1107" i="3"/>
  <c r="N1106" i="3"/>
  <c r="AB1106" i="3"/>
  <c r="Y1107" i="3"/>
  <c r="F12" i="10"/>
  <c r="E61" i="7"/>
  <c r="L61" i="7"/>
  <c r="Y1106" i="3"/>
  <c r="X1108" i="3"/>
  <c r="Z1106" i="3"/>
  <c r="AA1106" i="3" s="1"/>
  <c r="Z1107" i="3"/>
  <c r="AA1107" i="3" s="1"/>
  <c r="M1108" i="3"/>
  <c r="P1108" i="3"/>
  <c r="Y1108" i="3" s="1"/>
  <c r="W1108" i="3"/>
  <c r="V1104" i="3"/>
  <c r="U1104" i="3"/>
  <c r="T1104" i="3"/>
  <c r="S1104" i="3"/>
  <c r="R1104" i="3"/>
  <c r="P1104" i="3"/>
  <c r="V1101" i="3"/>
  <c r="U1101" i="3"/>
  <c r="T1101" i="3"/>
  <c r="S1101" i="3"/>
  <c r="R1101" i="3"/>
  <c r="P1101" i="3"/>
  <c r="Y1103" i="3"/>
  <c r="X1103" i="3"/>
  <c r="W1103" i="3"/>
  <c r="L73" i="7" s="1"/>
  <c r="S73" i="7" s="1"/>
  <c r="Y1100" i="3"/>
  <c r="X1100" i="3"/>
  <c r="W1100" i="3"/>
  <c r="L48" i="7" s="1"/>
  <c r="S48" i="7" s="1"/>
  <c r="L1103" i="3"/>
  <c r="L1104" i="3" s="1"/>
  <c r="L1100" i="3"/>
  <c r="L1101" i="3" s="1"/>
  <c r="I1103" i="3"/>
  <c r="J1103" i="3" s="1"/>
  <c r="I1100" i="3"/>
  <c r="J1100" i="3" s="1"/>
  <c r="N1108" i="3" l="1"/>
  <c r="O1108" i="3" s="1"/>
  <c r="AC1107" i="3"/>
  <c r="AB1108" i="3"/>
  <c r="O1106" i="3"/>
  <c r="AC1106" i="3" s="1"/>
  <c r="S61" i="7"/>
  <c r="E25" i="7"/>
  <c r="W1101" i="3"/>
  <c r="Z1101" i="3" s="1"/>
  <c r="AA1101" i="3" s="1"/>
  <c r="W1104" i="3"/>
  <c r="Z1104" i="3" s="1"/>
  <c r="AA1104" i="3" s="1"/>
  <c r="Z1108" i="3"/>
  <c r="AA1108" i="3" s="1"/>
  <c r="X1104" i="3"/>
  <c r="Y1104" i="3"/>
  <c r="X1101" i="3"/>
  <c r="Y1101" i="3"/>
  <c r="Z1103" i="3"/>
  <c r="AA1103" i="3" s="1"/>
  <c r="Z1100" i="3"/>
  <c r="AA1100" i="3" s="1"/>
  <c r="M1103" i="3"/>
  <c r="AB1103" i="3" s="1"/>
  <c r="M1100" i="3"/>
  <c r="AB1100" i="3" s="1"/>
  <c r="Y1097" i="3"/>
  <c r="I1096" i="3"/>
  <c r="J1096" i="3" s="1"/>
  <c r="I1097" i="3"/>
  <c r="J1097" i="3" s="1"/>
  <c r="X1096" i="3"/>
  <c r="X1097" i="3"/>
  <c r="W1096" i="3"/>
  <c r="W1097" i="3"/>
  <c r="S1098" i="3"/>
  <c r="T1098" i="3"/>
  <c r="U1098" i="3"/>
  <c r="V1098" i="3"/>
  <c r="R1098" i="3"/>
  <c r="S1071" i="3"/>
  <c r="T1071" i="3"/>
  <c r="U1071" i="3"/>
  <c r="V1071" i="3"/>
  <c r="R1071" i="3"/>
  <c r="W1093" i="3"/>
  <c r="L46" i="7" s="1"/>
  <c r="S46" i="7" s="1"/>
  <c r="Y1093" i="3"/>
  <c r="X1093" i="3"/>
  <c r="V1094" i="3"/>
  <c r="U1094" i="3"/>
  <c r="T1094" i="3"/>
  <c r="S1094" i="3"/>
  <c r="R1094" i="3"/>
  <c r="P1094" i="3"/>
  <c r="L1093" i="3"/>
  <c r="L1094" i="3" s="1"/>
  <c r="I1093" i="3"/>
  <c r="J1093" i="3" s="1"/>
  <c r="S1091" i="3"/>
  <c r="T1091" i="3"/>
  <c r="U1091" i="3"/>
  <c r="V1091" i="3"/>
  <c r="R1091" i="3"/>
  <c r="S1088" i="3"/>
  <c r="T1088" i="3"/>
  <c r="U1088" i="3"/>
  <c r="V1088" i="3"/>
  <c r="R1088" i="3"/>
  <c r="W1090" i="3"/>
  <c r="W1087" i="3"/>
  <c r="L65" i="7" s="1"/>
  <c r="S65" i="7" s="1"/>
  <c r="W1084" i="3"/>
  <c r="W1083" i="3"/>
  <c r="L18" i="7" s="1"/>
  <c r="S18" i="7" s="1"/>
  <c r="S1085" i="3"/>
  <c r="T1085" i="3"/>
  <c r="U1085" i="3"/>
  <c r="V1085" i="3"/>
  <c r="R1085" i="3"/>
  <c r="AC1108" i="3" l="1"/>
  <c r="W1091" i="3"/>
  <c r="L8" i="7"/>
  <c r="S8" i="7" s="1"/>
  <c r="Z1093" i="3"/>
  <c r="AA1093" i="3" s="1"/>
  <c r="W1088" i="3"/>
  <c r="M1097" i="3"/>
  <c r="AB1097" i="3" s="1"/>
  <c r="M1104" i="3"/>
  <c r="AB1104" i="3" s="1"/>
  <c r="N1103" i="3"/>
  <c r="M1101" i="3"/>
  <c r="AB1101" i="3" s="1"/>
  <c r="N1100" i="3"/>
  <c r="P1098" i="3"/>
  <c r="Y1098" i="3" s="1"/>
  <c r="X1098" i="3"/>
  <c r="W1098" i="3"/>
  <c r="Y1094" i="3"/>
  <c r="Z1096" i="3"/>
  <c r="AA1096" i="3" s="1"/>
  <c r="M1096" i="3"/>
  <c r="AB1096" i="3" s="1"/>
  <c r="Z1097" i="3"/>
  <c r="AA1097" i="3" s="1"/>
  <c r="Y1096" i="3"/>
  <c r="W1094" i="3"/>
  <c r="Z1094" i="3" s="1"/>
  <c r="AA1094" i="3" s="1"/>
  <c r="X1094" i="3"/>
  <c r="M1093" i="3"/>
  <c r="W1085" i="3"/>
  <c r="M1094" i="3" l="1"/>
  <c r="AB1094" i="3" s="1"/>
  <c r="AB1093" i="3"/>
  <c r="M1098" i="3"/>
  <c r="AB1098" i="3" s="1"/>
  <c r="L1098" i="3"/>
  <c r="N1097" i="3"/>
  <c r="O1097" i="3" s="1"/>
  <c r="AC1097" i="3" s="1"/>
  <c r="N1104" i="3"/>
  <c r="O1104" i="3" s="1"/>
  <c r="AC1104" i="3" s="1"/>
  <c r="O1103" i="3"/>
  <c r="AC1103" i="3" s="1"/>
  <c r="N1101" i="3"/>
  <c r="O1101" i="3" s="1"/>
  <c r="AC1101" i="3" s="1"/>
  <c r="O1100" i="3"/>
  <c r="AC1100" i="3" s="1"/>
  <c r="Z1098" i="3"/>
  <c r="AA1098" i="3" s="1"/>
  <c r="N1096" i="3"/>
  <c r="O1096" i="3" s="1"/>
  <c r="AC1096" i="3" s="1"/>
  <c r="N1093" i="3"/>
  <c r="X1077" i="3"/>
  <c r="X1076" i="3"/>
  <c r="S1078" i="3"/>
  <c r="T1078" i="3"/>
  <c r="U1078" i="3"/>
  <c r="V1078" i="3"/>
  <c r="R1078" i="3"/>
  <c r="W1070" i="3"/>
  <c r="W1069" i="3"/>
  <c r="W1077" i="3"/>
  <c r="W1076" i="3"/>
  <c r="W1073" i="3"/>
  <c r="AB1073" i="3" s="1"/>
  <c r="S1074" i="3"/>
  <c r="T1074" i="3"/>
  <c r="U1074" i="3"/>
  <c r="V1074" i="3"/>
  <c r="R1074" i="3"/>
  <c r="S1081" i="3"/>
  <c r="T1081" i="3"/>
  <c r="U1081" i="3"/>
  <c r="V1081" i="3"/>
  <c r="R1081" i="3"/>
  <c r="W1080" i="3"/>
  <c r="W1074" i="3" l="1"/>
  <c r="N18" i="10"/>
  <c r="V18" i="10" s="1"/>
  <c r="L69" i="7"/>
  <c r="S69" i="7" s="1"/>
  <c r="L59" i="7"/>
  <c r="S59" i="7" s="1"/>
  <c r="W1081" i="3"/>
  <c r="L6" i="7"/>
  <c r="N1098" i="3"/>
  <c r="O1098" i="3" s="1"/>
  <c r="AC1098" i="3" s="1"/>
  <c r="O1093" i="3"/>
  <c r="AC1093" i="3" s="1"/>
  <c r="N1094" i="3"/>
  <c r="O1094" i="3" s="1"/>
  <c r="AC1094" i="3" s="1"/>
  <c r="W1071" i="3"/>
  <c r="W1078" i="3"/>
  <c r="S6" i="7" l="1"/>
  <c r="S1067" i="3"/>
  <c r="T1067" i="3"/>
  <c r="U1067" i="3"/>
  <c r="V1067" i="3"/>
  <c r="R1067" i="3"/>
  <c r="W1066" i="3"/>
  <c r="L36" i="7" l="1"/>
  <c r="S36" i="7" s="1"/>
  <c r="W1067" i="3"/>
  <c r="R1064" i="3"/>
  <c r="O1073" i="3"/>
  <c r="X1091" i="3"/>
  <c r="Z1090" i="3"/>
  <c r="AA1090" i="3" s="1"/>
  <c r="Y1090" i="3"/>
  <c r="X1090" i="3"/>
  <c r="X1088" i="3"/>
  <c r="Z1087" i="3"/>
  <c r="AA1087" i="3" s="1"/>
  <c r="Y1087" i="3"/>
  <c r="X1087" i="3"/>
  <c r="X1081" i="3"/>
  <c r="Z1080" i="3"/>
  <c r="AA1080" i="3" s="1"/>
  <c r="Y1080" i="3"/>
  <c r="X1080" i="3"/>
  <c r="X1074" i="3"/>
  <c r="Z1073" i="3"/>
  <c r="AA1073" i="3" s="1"/>
  <c r="Y1073" i="3"/>
  <c r="X1073" i="3"/>
  <c r="X1067" i="3"/>
  <c r="Z1066" i="3"/>
  <c r="AA1066" i="3" s="1"/>
  <c r="Y1066" i="3"/>
  <c r="X1066" i="3"/>
  <c r="X1085" i="3"/>
  <c r="Z1084" i="3"/>
  <c r="AA1084" i="3" s="1"/>
  <c r="Y1084" i="3"/>
  <c r="X1084" i="3"/>
  <c r="Z1083" i="3"/>
  <c r="AA1083" i="3" s="1"/>
  <c r="Y1083" i="3"/>
  <c r="X1083" i="3"/>
  <c r="X1078" i="3"/>
  <c r="X1071" i="3"/>
  <c r="Z1070" i="3"/>
  <c r="AA1070" i="3" s="1"/>
  <c r="Y1070" i="3"/>
  <c r="X1070" i="3"/>
  <c r="Z1069" i="3"/>
  <c r="AA1069" i="3" s="1"/>
  <c r="Y1069" i="3"/>
  <c r="X1069" i="3"/>
  <c r="X1063" i="3"/>
  <c r="X1062" i="3"/>
  <c r="W1063" i="3"/>
  <c r="W1062" i="3"/>
  <c r="L28" i="7" s="1"/>
  <c r="T1064" i="3"/>
  <c r="U1064" i="3"/>
  <c r="V1064" i="3"/>
  <c r="S1064" i="3"/>
  <c r="L1090" i="3"/>
  <c r="L1091" i="3" s="1"/>
  <c r="L1087" i="3"/>
  <c r="L1088" i="3" s="1"/>
  <c r="L1080" i="3"/>
  <c r="L1081" i="3" s="1"/>
  <c r="P1074" i="3"/>
  <c r="Z1074" i="3" s="1"/>
  <c r="AA1074" i="3" s="1"/>
  <c r="M1074" i="3"/>
  <c r="AB1074" i="3" s="1"/>
  <c r="N1074" i="3"/>
  <c r="L1074" i="3"/>
  <c r="L1084" i="3"/>
  <c r="L1083" i="3"/>
  <c r="M1070" i="3"/>
  <c r="L1066" i="3"/>
  <c r="L1067" i="3" s="1"/>
  <c r="P1091" i="3"/>
  <c r="Y1091" i="3" s="1"/>
  <c r="P1088" i="3"/>
  <c r="Z1088" i="3" s="1"/>
  <c r="AA1088" i="3" s="1"/>
  <c r="P1085" i="3"/>
  <c r="Z1085" i="3" s="1"/>
  <c r="AA1085" i="3" s="1"/>
  <c r="P1081" i="3"/>
  <c r="Z1081" i="3" s="1"/>
  <c r="AA1081" i="3" s="1"/>
  <c r="Z1077" i="3"/>
  <c r="AA1077" i="3" s="1"/>
  <c r="P1071" i="3"/>
  <c r="Z1071" i="3" s="1"/>
  <c r="AA1071" i="3" s="1"/>
  <c r="P1067" i="3"/>
  <c r="Y1067" i="3" s="1"/>
  <c r="P1063" i="3"/>
  <c r="P1062" i="3"/>
  <c r="I1090" i="3"/>
  <c r="J1090" i="3" s="1"/>
  <c r="E28" i="7" l="1"/>
  <c r="I33" i="20"/>
  <c r="K33" i="20" s="1"/>
  <c r="N1070" i="3"/>
  <c r="O1070" i="3" s="1"/>
  <c r="AC1070" i="3" s="1"/>
  <c r="AB1070" i="3"/>
  <c r="Y1062" i="3"/>
  <c r="M1076" i="3"/>
  <c r="AB1076" i="3" s="1"/>
  <c r="L1071" i="3"/>
  <c r="L1062" i="3"/>
  <c r="M1062" i="3" s="1"/>
  <c r="AB1062" i="3" s="1"/>
  <c r="O1074" i="3"/>
  <c r="AC1074" i="3" s="1"/>
  <c r="Z1063" i="3"/>
  <c r="AA1063" i="3" s="1"/>
  <c r="W1064" i="3"/>
  <c r="Z1067" i="3"/>
  <c r="AA1067" i="3" s="1"/>
  <c r="Z1091" i="3"/>
  <c r="AA1091" i="3" s="1"/>
  <c r="P1064" i="3"/>
  <c r="L1085" i="3"/>
  <c r="Y1071" i="3"/>
  <c r="Y1085" i="3"/>
  <c r="Y1088" i="3"/>
  <c r="Y1076" i="3"/>
  <c r="Y1081" i="3"/>
  <c r="Z1062" i="3"/>
  <c r="AA1062" i="3" s="1"/>
  <c r="Z1076" i="3"/>
  <c r="AA1076" i="3" s="1"/>
  <c r="L1063" i="3"/>
  <c r="Y1077" i="3"/>
  <c r="Y1074" i="3"/>
  <c r="P1078" i="3"/>
  <c r="Y1063" i="3"/>
  <c r="X1064" i="3"/>
  <c r="AC1073" i="3"/>
  <c r="M1090" i="3"/>
  <c r="M1087" i="3"/>
  <c r="M1080" i="3"/>
  <c r="M1084" i="3"/>
  <c r="M1083" i="3"/>
  <c r="AB1083" i="3" s="1"/>
  <c r="M1069" i="3"/>
  <c r="M1066" i="3"/>
  <c r="I1087" i="3"/>
  <c r="J1087" i="3" s="1"/>
  <c r="I1084" i="3"/>
  <c r="J1084" i="3" s="1"/>
  <c r="I1083" i="3"/>
  <c r="J1083" i="3" s="1"/>
  <c r="I1080" i="3"/>
  <c r="J1080" i="3" s="1"/>
  <c r="I1077" i="3"/>
  <c r="J1077" i="3" s="1"/>
  <c r="I1076" i="3"/>
  <c r="J1076" i="3" s="1"/>
  <c r="I1070" i="3"/>
  <c r="J1070" i="3" s="1"/>
  <c r="I1069" i="3"/>
  <c r="J1069" i="3" s="1"/>
  <c r="I1066" i="3"/>
  <c r="J1066" i="3" s="1"/>
  <c r="I1063" i="3"/>
  <c r="J1063" i="3" s="1"/>
  <c r="I1062" i="3"/>
  <c r="J1062" i="3" s="1"/>
  <c r="X1050" i="3"/>
  <c r="Y1050" i="3"/>
  <c r="X1051" i="3"/>
  <c r="Y1051" i="3"/>
  <c r="X1052" i="3"/>
  <c r="Y1052" i="3"/>
  <c r="X1053" i="3"/>
  <c r="Y1053" i="3"/>
  <c r="Y1059" i="3"/>
  <c r="X1059" i="3"/>
  <c r="Y1058" i="3"/>
  <c r="X1058" i="3"/>
  <c r="Y1057" i="3"/>
  <c r="X1057" i="3"/>
  <c r="Y1056" i="3"/>
  <c r="X1056" i="3"/>
  <c r="Y1055" i="3"/>
  <c r="X1055" i="3"/>
  <c r="S28" i="7" l="1"/>
  <c r="M1088" i="3"/>
  <c r="AB1088" i="3" s="1"/>
  <c r="AB1087" i="3"/>
  <c r="M1091" i="3"/>
  <c r="AB1091" i="3" s="1"/>
  <c r="AB1090" i="3"/>
  <c r="M1081" i="3"/>
  <c r="AB1081" i="3" s="1"/>
  <c r="AB1080" i="3"/>
  <c r="M1067" i="3"/>
  <c r="AB1067" i="3" s="1"/>
  <c r="AB1066" i="3"/>
  <c r="M1071" i="3"/>
  <c r="AB1071" i="3" s="1"/>
  <c r="AB1069" i="3"/>
  <c r="N1084" i="3"/>
  <c r="O1084" i="3" s="1"/>
  <c r="AC1084" i="3" s="1"/>
  <c r="AB1084" i="3"/>
  <c r="N1062" i="3"/>
  <c r="O1062" i="3" s="1"/>
  <c r="AC1062" i="3" s="1"/>
  <c r="M1085" i="3"/>
  <c r="AB1085" i="3" s="1"/>
  <c r="Z1064" i="3"/>
  <c r="AA1064" i="3" s="1"/>
  <c r="Y1064" i="3"/>
  <c r="M1077" i="3"/>
  <c r="Y1078" i="3"/>
  <c r="Z1078" i="3"/>
  <c r="AA1078" i="3" s="1"/>
  <c r="L1078" i="3"/>
  <c r="L1064" i="3"/>
  <c r="M1063" i="3"/>
  <c r="N1090" i="3"/>
  <c r="N1087" i="3"/>
  <c r="N1080" i="3"/>
  <c r="N1083" i="3"/>
  <c r="N1076" i="3"/>
  <c r="N1069" i="3"/>
  <c r="N1066" i="3"/>
  <c r="L1052" i="3"/>
  <c r="M1052" i="3"/>
  <c r="M1064" i="3" l="1"/>
  <c r="AB1064" i="3" s="1"/>
  <c r="AB1063" i="3"/>
  <c r="N1077" i="3"/>
  <c r="O1077" i="3" s="1"/>
  <c r="AC1077" i="3" s="1"/>
  <c r="AB1077" i="3"/>
  <c r="M1078" i="3"/>
  <c r="AB1078" i="3" s="1"/>
  <c r="N1063" i="3"/>
  <c r="O1063" i="3" s="1"/>
  <c r="AC1063" i="3" s="1"/>
  <c r="N1091" i="3"/>
  <c r="O1091" i="3" s="1"/>
  <c r="AC1091" i="3" s="1"/>
  <c r="O1090" i="3"/>
  <c r="AC1090" i="3" s="1"/>
  <c r="N1085" i="3"/>
  <c r="O1085" i="3" s="1"/>
  <c r="AC1085" i="3" s="1"/>
  <c r="O1083" i="3"/>
  <c r="AC1083" i="3" s="1"/>
  <c r="N1088" i="3"/>
  <c r="O1088" i="3" s="1"/>
  <c r="AC1088" i="3" s="1"/>
  <c r="O1087" i="3"/>
  <c r="AC1087" i="3" s="1"/>
  <c r="N1081" i="3"/>
  <c r="O1081" i="3" s="1"/>
  <c r="AC1081" i="3" s="1"/>
  <c r="O1080" i="3"/>
  <c r="AC1080" i="3" s="1"/>
  <c r="N1067" i="3"/>
  <c r="O1067" i="3" s="1"/>
  <c r="AC1067" i="3" s="1"/>
  <c r="O1066" i="3"/>
  <c r="AC1066" i="3" s="1"/>
  <c r="N1071" i="3"/>
  <c r="O1071" i="3" s="1"/>
  <c r="AC1071" i="3" s="1"/>
  <c r="O1069" i="3"/>
  <c r="AC1069" i="3" s="1"/>
  <c r="O1076" i="3"/>
  <c r="AC1076" i="3" s="1"/>
  <c r="W1055" i="3"/>
  <c r="W1051" i="3"/>
  <c r="W1052" i="3"/>
  <c r="W1053" i="3"/>
  <c r="W1050" i="3"/>
  <c r="S1054" i="3"/>
  <c r="S1060" i="3" s="1"/>
  <c r="T1054" i="3"/>
  <c r="T1060" i="3" s="1"/>
  <c r="U1054" i="3"/>
  <c r="U1060" i="3" s="1"/>
  <c r="V1054" i="3"/>
  <c r="V1060" i="3" s="1"/>
  <c r="R1054" i="3"/>
  <c r="R1060" i="3" s="1"/>
  <c r="P1054" i="3"/>
  <c r="P1060" i="3" s="1"/>
  <c r="W1056" i="3"/>
  <c r="W1057" i="3"/>
  <c r="W1058" i="3"/>
  <c r="W1059" i="3"/>
  <c r="L1054" i="3"/>
  <c r="L1060" i="3" s="1"/>
  <c r="M1054" i="3"/>
  <c r="N1059" i="3"/>
  <c r="O1059" i="3" s="1"/>
  <c r="N1058" i="3"/>
  <c r="O1058" i="3" s="1"/>
  <c r="N1057" i="3"/>
  <c r="O1057" i="3" s="1"/>
  <c r="N1056" i="3"/>
  <c r="O1056" i="3" s="1"/>
  <c r="N1055" i="3"/>
  <c r="O1055" i="3" s="1"/>
  <c r="N1053" i="3"/>
  <c r="O1053" i="3" s="1"/>
  <c r="N1052" i="3"/>
  <c r="O1052" i="3" s="1"/>
  <c r="N1051" i="3"/>
  <c r="O1051" i="3" s="1"/>
  <c r="N1050" i="3"/>
  <c r="O1050" i="3" s="1"/>
  <c r="I1050" i="3"/>
  <c r="I1047" i="3"/>
  <c r="J1047" i="3" s="1"/>
  <c r="X1031" i="3"/>
  <c r="Y1031" i="3"/>
  <c r="Y1032" i="3"/>
  <c r="X1032" i="3"/>
  <c r="Y1035" i="3"/>
  <c r="X1035" i="3"/>
  <c r="Y1047" i="3"/>
  <c r="X1047" i="3"/>
  <c r="W1047" i="3"/>
  <c r="L72" i="7" s="1"/>
  <c r="S72" i="7" s="1"/>
  <c r="S1048" i="3"/>
  <c r="T1048" i="3"/>
  <c r="U1048" i="3"/>
  <c r="V1048" i="3"/>
  <c r="R1048" i="3"/>
  <c r="P1048" i="3"/>
  <c r="L1047" i="3"/>
  <c r="L1048" i="3" s="1"/>
  <c r="L1039" i="3"/>
  <c r="L1045" i="3" s="1"/>
  <c r="N1078" i="3" l="1"/>
  <c r="O1078" i="3" s="1"/>
  <c r="AC1078" i="3" s="1"/>
  <c r="Z1056" i="3"/>
  <c r="AA1056" i="3" s="1"/>
  <c r="AC1056" i="3" s="1"/>
  <c r="AB1056" i="3"/>
  <c r="Z1052" i="3"/>
  <c r="AA1052" i="3" s="1"/>
  <c r="AC1052" i="3" s="1"/>
  <c r="AB1052" i="3"/>
  <c r="Z1051" i="3"/>
  <c r="AA1051" i="3" s="1"/>
  <c r="AC1051" i="3" s="1"/>
  <c r="AB1051" i="3"/>
  <c r="M1060" i="3"/>
  <c r="Z1055" i="3"/>
  <c r="AA1055" i="3" s="1"/>
  <c r="AC1055" i="3" s="1"/>
  <c r="AB1055" i="3"/>
  <c r="Z1059" i="3"/>
  <c r="AA1059" i="3" s="1"/>
  <c r="AC1059" i="3" s="1"/>
  <c r="AB1059" i="3"/>
  <c r="Z1053" i="3"/>
  <c r="AA1053" i="3" s="1"/>
  <c r="AC1053" i="3" s="1"/>
  <c r="AB1053" i="3"/>
  <c r="Z1058" i="3"/>
  <c r="AA1058" i="3" s="1"/>
  <c r="AC1058" i="3" s="1"/>
  <c r="AB1058" i="3"/>
  <c r="Z1057" i="3"/>
  <c r="AA1057" i="3" s="1"/>
  <c r="AC1057" i="3" s="1"/>
  <c r="AB1057" i="3"/>
  <c r="Z1050" i="3"/>
  <c r="AA1050" i="3" s="1"/>
  <c r="AC1050" i="3" s="1"/>
  <c r="AB1050" i="3"/>
  <c r="Z1047" i="3"/>
  <c r="AA1047" i="3" s="1"/>
  <c r="N1064" i="3"/>
  <c r="O1064" i="3" s="1"/>
  <c r="AC1064" i="3" s="1"/>
  <c r="X1060" i="3"/>
  <c r="Y1060" i="3"/>
  <c r="X1048" i="3"/>
  <c r="Y1048" i="3"/>
  <c r="W1054" i="3"/>
  <c r="W1060" i="3" s="1"/>
  <c r="Z1060" i="3" s="1"/>
  <c r="AA1060" i="3" s="1"/>
  <c r="M1047" i="3"/>
  <c r="N1054" i="3"/>
  <c r="W1048" i="3"/>
  <c r="Z1048" i="3" s="1"/>
  <c r="AA1048" i="3" s="1"/>
  <c r="N1041" i="3"/>
  <c r="N1043" i="3"/>
  <c r="N1042" i="3"/>
  <c r="N1040" i="3"/>
  <c r="N1038" i="3"/>
  <c r="N1039" i="3" s="1"/>
  <c r="M1044" i="3"/>
  <c r="AB1054" i="3" l="1"/>
  <c r="AB1060" i="3"/>
  <c r="M1048" i="3"/>
  <c r="AB1048" i="3" s="1"/>
  <c r="AB1047" i="3"/>
  <c r="N1044" i="3"/>
  <c r="N1045" i="3" s="1"/>
  <c r="N1060" i="3"/>
  <c r="O1060" i="3" s="1"/>
  <c r="AC1060" i="3" s="1"/>
  <c r="N1047" i="3"/>
  <c r="N1048" i="3" s="1"/>
  <c r="O1048" i="3" s="1"/>
  <c r="AC1048" i="3" s="1"/>
  <c r="O1047" i="3" l="1"/>
  <c r="AC1047" i="3" s="1"/>
  <c r="Y1044" i="3"/>
  <c r="X1044" i="3"/>
  <c r="Y1043" i="3"/>
  <c r="X1043" i="3"/>
  <c r="Y1042" i="3"/>
  <c r="X1042" i="3"/>
  <c r="Y1041" i="3"/>
  <c r="X1041" i="3"/>
  <c r="Y1040" i="3"/>
  <c r="X1040" i="3"/>
  <c r="Y1038" i="3"/>
  <c r="X1038" i="3"/>
  <c r="W1041" i="3"/>
  <c r="W1042" i="3"/>
  <c r="W1043" i="3"/>
  <c r="AB1043" i="3" s="1"/>
  <c r="W1044" i="3"/>
  <c r="W1040" i="3"/>
  <c r="AB1040" i="3" s="1"/>
  <c r="W1038" i="3"/>
  <c r="AB1038" i="3" s="1"/>
  <c r="O1040" i="3"/>
  <c r="O1041" i="3"/>
  <c r="O1042" i="3"/>
  <c r="O1043" i="3"/>
  <c r="O1044" i="3"/>
  <c r="S1039" i="3"/>
  <c r="S1045" i="3" s="1"/>
  <c r="T1039" i="3"/>
  <c r="T1045" i="3" s="1"/>
  <c r="U1039" i="3"/>
  <c r="U1045" i="3" s="1"/>
  <c r="V1039" i="3"/>
  <c r="V1045" i="3" s="1"/>
  <c r="R1039" i="3"/>
  <c r="R1045" i="3" s="1"/>
  <c r="P1039" i="3"/>
  <c r="P1045" i="3" s="1"/>
  <c r="O1038" i="3"/>
  <c r="M1039" i="3"/>
  <c r="O1039" i="3"/>
  <c r="M1045" i="3" l="1"/>
  <c r="Z1042" i="3"/>
  <c r="AA1042" i="3" s="1"/>
  <c r="AC1042" i="3" s="1"/>
  <c r="AB1042" i="3"/>
  <c r="Z1041" i="3"/>
  <c r="AA1041" i="3" s="1"/>
  <c r="AC1041" i="3" s="1"/>
  <c r="AB1041" i="3"/>
  <c r="Z1044" i="3"/>
  <c r="AA1044" i="3" s="1"/>
  <c r="AC1044" i="3" s="1"/>
  <c r="AB1044" i="3"/>
  <c r="Z1043" i="3"/>
  <c r="AA1043" i="3" s="1"/>
  <c r="AC1043" i="3" s="1"/>
  <c r="N12" i="10"/>
  <c r="V12" i="10" s="1"/>
  <c r="Z1038" i="3"/>
  <c r="AA1038" i="3" s="1"/>
  <c r="AC1038" i="3" s="1"/>
  <c r="N22" i="10"/>
  <c r="V22" i="10" s="1"/>
  <c r="Z1040" i="3"/>
  <c r="AA1040" i="3" s="1"/>
  <c r="AC1040" i="3" s="1"/>
  <c r="N24" i="10"/>
  <c r="V24" i="10" s="1"/>
  <c r="Y1045" i="3"/>
  <c r="W1039" i="3"/>
  <c r="W1045" i="3" s="1"/>
  <c r="Z1045" i="3" s="1"/>
  <c r="AA1045" i="3" s="1"/>
  <c r="X1045" i="3"/>
  <c r="AB1039" i="3" l="1"/>
  <c r="AB1045" i="3"/>
  <c r="I1005" i="3"/>
  <c r="I932" i="3"/>
  <c r="I923" i="3"/>
  <c r="I839" i="3"/>
  <c r="I787" i="3"/>
  <c r="I770" i="3"/>
  <c r="I769" i="3"/>
  <c r="I670" i="3"/>
  <c r="I653" i="3"/>
  <c r="I606" i="3"/>
  <c r="I562" i="3"/>
  <c r="I538" i="3"/>
  <c r="I530" i="3"/>
  <c r="I408" i="3"/>
  <c r="I398" i="3"/>
  <c r="I386" i="3"/>
  <c r="I267" i="3"/>
  <c r="I228" i="3"/>
  <c r="I215" i="3"/>
  <c r="I193" i="3"/>
  <c r="I184" i="3"/>
  <c r="I168" i="3"/>
  <c r="I166" i="3"/>
  <c r="I151" i="3"/>
  <c r="I138" i="3"/>
  <c r="I122" i="3"/>
  <c r="I108" i="3"/>
  <c r="I98" i="3"/>
  <c r="I83" i="3"/>
  <c r="I32" i="3"/>
  <c r="I22" i="3"/>
  <c r="W17" i="3" l="1"/>
  <c r="W64" i="3"/>
  <c r="Z64" i="3" s="1"/>
  <c r="AA64" i="3" s="1"/>
  <c r="W63" i="3"/>
  <c r="Z63" i="3" s="1"/>
  <c r="AA63" i="3" s="1"/>
  <c r="W91" i="3"/>
  <c r="Z91" i="3" s="1"/>
  <c r="AA91" i="3" s="1"/>
  <c r="Z17" i="3" l="1"/>
  <c r="AA17" i="3" s="1"/>
  <c r="K6" i="10"/>
  <c r="S6" i="10" s="1"/>
  <c r="L91" i="3"/>
  <c r="W263" i="3"/>
  <c r="W333" i="3"/>
  <c r="Z333" i="3" s="1"/>
  <c r="AA333" i="3" s="1"/>
  <c r="W439" i="3"/>
  <c r="Z439" i="3" s="1"/>
  <c r="AA439" i="3" s="1"/>
  <c r="W438" i="3"/>
  <c r="Z438" i="3" s="1"/>
  <c r="AA438" i="3" s="1"/>
  <c r="W556" i="3"/>
  <c r="Z556" i="3" s="1"/>
  <c r="AA556" i="3" s="1"/>
  <c r="W555" i="3"/>
  <c r="Z555" i="3" s="1"/>
  <c r="AA555" i="3" s="1"/>
  <c r="W554" i="3"/>
  <c r="Z554" i="3" s="1"/>
  <c r="AA554" i="3" s="1"/>
  <c r="W553" i="3"/>
  <c r="Z553" i="3" s="1"/>
  <c r="AA553" i="3" s="1"/>
  <c r="W552" i="3"/>
  <c r="Z552" i="3" s="1"/>
  <c r="AA552" i="3" s="1"/>
  <c r="W551" i="3"/>
  <c r="Z551" i="3" s="1"/>
  <c r="AA551" i="3" s="1"/>
  <c r="W550" i="3"/>
  <c r="Z550" i="3" s="1"/>
  <c r="AA550" i="3" s="1"/>
  <c r="I64" i="3"/>
  <c r="I63" i="3"/>
  <c r="I17" i="3"/>
  <c r="I639" i="3"/>
  <c r="I638" i="3"/>
  <c r="I594" i="3"/>
  <c r="I593" i="3"/>
  <c r="I556" i="3"/>
  <c r="I555" i="3"/>
  <c r="I554" i="3"/>
  <c r="I553" i="3"/>
  <c r="I552" i="3"/>
  <c r="I551" i="3"/>
  <c r="I550" i="3"/>
  <c r="I439" i="3"/>
  <c r="I438" i="3"/>
  <c r="I333" i="3"/>
  <c r="I263" i="3"/>
  <c r="I91" i="3"/>
  <c r="J91" i="3" s="1"/>
  <c r="Z263" i="3" l="1"/>
  <c r="AA263" i="3" s="1"/>
  <c r="M91" i="3"/>
  <c r="I1035" i="3"/>
  <c r="J1035" i="3" s="1"/>
  <c r="I1032" i="3"/>
  <c r="J1032" i="3" s="1"/>
  <c r="I1031" i="3"/>
  <c r="J1031" i="3" s="1"/>
  <c r="I1028" i="3"/>
  <c r="I1025" i="3"/>
  <c r="J1025" i="3" s="1"/>
  <c r="I1022" i="3"/>
  <c r="J1022" i="3" s="1"/>
  <c r="I1019" i="3"/>
  <c r="J1019" i="3" s="1"/>
  <c r="I1018" i="3"/>
  <c r="J1018" i="3" s="1"/>
  <c r="I1002" i="3"/>
  <c r="J1002" i="3" s="1"/>
  <c r="I1001" i="3"/>
  <c r="J1001" i="3" s="1"/>
  <c r="I998" i="3"/>
  <c r="J998" i="3" s="1"/>
  <c r="I995" i="3"/>
  <c r="J995" i="3" s="1"/>
  <c r="I994" i="3"/>
  <c r="J994" i="3" s="1"/>
  <c r="I988" i="3"/>
  <c r="J988" i="3" s="1"/>
  <c r="I985" i="3"/>
  <c r="J985" i="3" s="1"/>
  <c r="I979" i="3"/>
  <c r="J979" i="3" s="1"/>
  <c r="I978" i="3"/>
  <c r="J978" i="3" s="1"/>
  <c r="I975" i="3"/>
  <c r="J975" i="3" s="1"/>
  <c r="I972" i="3"/>
  <c r="J972" i="3" s="1"/>
  <c r="I969" i="3"/>
  <c r="J969" i="3" s="1"/>
  <c r="I966" i="3"/>
  <c r="J966" i="3" s="1"/>
  <c r="I954" i="3"/>
  <c r="J954" i="3" s="1"/>
  <c r="I953" i="3"/>
  <c r="J953" i="3" s="1"/>
  <c r="I950" i="3"/>
  <c r="J950" i="3" s="1"/>
  <c r="I949" i="3"/>
  <c r="J949" i="3" s="1"/>
  <c r="I946" i="3"/>
  <c r="J946" i="3" s="1"/>
  <c r="I945" i="3"/>
  <c r="J945" i="3" s="1"/>
  <c r="I917" i="3"/>
  <c r="J917" i="3" s="1"/>
  <c r="I916" i="3"/>
  <c r="J916" i="3" s="1"/>
  <c r="I913" i="3"/>
  <c r="J913" i="3" s="1"/>
  <c r="I910" i="3"/>
  <c r="J910" i="3" s="1"/>
  <c r="I904" i="3"/>
  <c r="I903" i="3"/>
  <c r="J903" i="3" s="1"/>
  <c r="I902" i="3"/>
  <c r="J902" i="3" s="1"/>
  <c r="I896" i="3"/>
  <c r="J896" i="3" s="1"/>
  <c r="I895" i="3"/>
  <c r="J895" i="3" s="1"/>
  <c r="I892" i="3"/>
  <c r="J892" i="3" s="1"/>
  <c r="I891" i="3"/>
  <c r="J891" i="3" s="1"/>
  <c r="I888" i="3"/>
  <c r="J888" i="3" s="1"/>
  <c r="I887" i="3"/>
  <c r="J887" i="3" s="1"/>
  <c r="I836" i="3"/>
  <c r="J836" i="3" s="1"/>
  <c r="I817" i="3"/>
  <c r="J817" i="3" s="1"/>
  <c r="I816" i="3"/>
  <c r="J816" i="3" s="1"/>
  <c r="I813" i="3"/>
  <c r="J813" i="3" s="1"/>
  <c r="I810" i="3"/>
  <c r="J810" i="3" s="1"/>
  <c r="I809" i="3"/>
  <c r="J809" i="3" s="1"/>
  <c r="I806" i="3"/>
  <c r="J806" i="3" s="1"/>
  <c r="I803" i="3"/>
  <c r="J803" i="3" s="1"/>
  <c r="I802" i="3"/>
  <c r="J802" i="3" s="1"/>
  <c r="I799" i="3"/>
  <c r="J799" i="3" s="1"/>
  <c r="I784" i="3"/>
  <c r="J784" i="3" s="1"/>
  <c r="I783" i="3"/>
  <c r="J783" i="3" s="1"/>
  <c r="I780" i="3"/>
  <c r="J780" i="3" s="1"/>
  <c r="I779" i="3"/>
  <c r="J779" i="3" s="1"/>
  <c r="I760" i="3"/>
  <c r="J760" i="3" s="1"/>
  <c r="I757" i="3"/>
  <c r="J757" i="3" s="1"/>
  <c r="I754" i="3"/>
  <c r="J754" i="3" s="1"/>
  <c r="I753" i="3"/>
  <c r="J753" i="3" s="1"/>
  <c r="I744" i="3"/>
  <c r="J744" i="3" s="1"/>
  <c r="I741" i="3"/>
  <c r="J741" i="3" s="1"/>
  <c r="I738" i="3"/>
  <c r="J738" i="3" s="1"/>
  <c r="I737" i="3"/>
  <c r="J737" i="3" s="1"/>
  <c r="I734" i="3"/>
  <c r="J734" i="3" s="1"/>
  <c r="I731" i="3"/>
  <c r="J731" i="3" s="1"/>
  <c r="I725" i="3"/>
  <c r="J725" i="3" s="1"/>
  <c r="I722" i="3"/>
  <c r="J722" i="3" s="1"/>
  <c r="I719" i="3"/>
  <c r="J719" i="3" s="1"/>
  <c r="I716" i="3"/>
  <c r="J716" i="3" s="1"/>
  <c r="I715" i="3"/>
  <c r="J715" i="3" s="1"/>
  <c r="I712" i="3"/>
  <c r="J712" i="3" s="1"/>
  <c r="I711" i="3"/>
  <c r="J711" i="3" s="1"/>
  <c r="I708" i="3"/>
  <c r="J708" i="3" s="1"/>
  <c r="I705" i="3"/>
  <c r="J705" i="3" s="1"/>
  <c r="I704" i="3"/>
  <c r="J704" i="3" s="1"/>
  <c r="I701" i="3"/>
  <c r="J701" i="3" s="1"/>
  <c r="I700" i="3"/>
  <c r="J700" i="3" s="1"/>
  <c r="I697" i="3"/>
  <c r="J697" i="3" s="1"/>
  <c r="I694" i="3"/>
  <c r="J694" i="3" s="1"/>
  <c r="I691" i="3"/>
  <c r="J691" i="3" s="1"/>
  <c r="I688" i="3"/>
  <c r="J688" i="3" s="1"/>
  <c r="I687" i="3"/>
  <c r="J687" i="3" s="1"/>
  <c r="I683" i="3"/>
  <c r="J683" i="3" s="1"/>
  <c r="I667" i="3"/>
  <c r="J667" i="3" s="1"/>
  <c r="I661" i="3"/>
  <c r="J661" i="3" s="1"/>
  <c r="I660" i="3"/>
  <c r="J660" i="3" s="1"/>
  <c r="I647" i="3"/>
  <c r="J647" i="3" s="1"/>
  <c r="I646" i="3"/>
  <c r="J646" i="3" s="1"/>
  <c r="I643" i="3"/>
  <c r="J643" i="3" s="1"/>
  <c r="I642" i="3"/>
  <c r="J642" i="3" s="1"/>
  <c r="M333" i="3"/>
  <c r="I209" i="3"/>
  <c r="J209" i="3" s="1"/>
  <c r="J64" i="3"/>
  <c r="J63" i="3"/>
  <c r="I598" i="3"/>
  <c r="J598" i="3" s="1"/>
  <c r="J594" i="3"/>
  <c r="J593" i="3"/>
  <c r="I577" i="3"/>
  <c r="J577" i="3" s="1"/>
  <c r="I576" i="3"/>
  <c r="J576" i="3" s="1"/>
  <c r="I573" i="3"/>
  <c r="J573" i="3" s="1"/>
  <c r="I572" i="3"/>
  <c r="J572" i="3" s="1"/>
  <c r="J556" i="3"/>
  <c r="J555" i="3"/>
  <c r="J554" i="3"/>
  <c r="J553" i="3"/>
  <c r="J552" i="3"/>
  <c r="J551" i="3"/>
  <c r="J550" i="3"/>
  <c r="I527" i="3"/>
  <c r="J527" i="3" s="1"/>
  <c r="I526" i="3"/>
  <c r="J526" i="3" s="1"/>
  <c r="I523" i="3"/>
  <c r="J523" i="3" s="1"/>
  <c r="I522" i="3"/>
  <c r="J522" i="3" s="1"/>
  <c r="I519" i="3"/>
  <c r="J519" i="3" s="1"/>
  <c r="I518" i="3"/>
  <c r="J518" i="3" s="1"/>
  <c r="I510" i="3"/>
  <c r="J510" i="3" s="1"/>
  <c r="I507" i="3"/>
  <c r="J507" i="3" s="1"/>
  <c r="I506" i="3"/>
  <c r="J506" i="3" s="1"/>
  <c r="I498" i="3"/>
  <c r="J498" i="3" s="1"/>
  <c r="I497" i="3"/>
  <c r="J497" i="3" s="1"/>
  <c r="I494" i="3"/>
  <c r="J494" i="3" s="1"/>
  <c r="I491" i="3"/>
  <c r="J491" i="3" s="1"/>
  <c r="I490" i="3"/>
  <c r="J490" i="3" s="1"/>
  <c r="I477" i="3"/>
  <c r="J477" i="3" s="1"/>
  <c r="I474" i="3"/>
  <c r="J474" i="3" s="1"/>
  <c r="I473" i="3"/>
  <c r="J473" i="3" s="1"/>
  <c r="I464" i="3"/>
  <c r="J464" i="3" s="1"/>
  <c r="I463" i="3"/>
  <c r="J463" i="3" s="1"/>
  <c r="I460" i="3"/>
  <c r="J460" i="3" s="1"/>
  <c r="I457" i="3"/>
  <c r="J457" i="3" s="1"/>
  <c r="I454" i="3"/>
  <c r="J454" i="3" s="1"/>
  <c r="I453" i="3"/>
  <c r="J453" i="3" s="1"/>
  <c r="I450" i="3"/>
  <c r="J450" i="3" s="1"/>
  <c r="I449" i="3"/>
  <c r="J449" i="3" s="1"/>
  <c r="I446" i="3"/>
  <c r="J446" i="3" s="1"/>
  <c r="I445" i="3"/>
  <c r="J445" i="3" s="1"/>
  <c r="J439" i="3"/>
  <c r="J438" i="3"/>
  <c r="I426" i="3"/>
  <c r="J426" i="3" s="1"/>
  <c r="I423" i="3"/>
  <c r="J423" i="3" s="1"/>
  <c r="I374" i="3"/>
  <c r="J374" i="3" s="1"/>
  <c r="I338" i="3"/>
  <c r="J338" i="3" s="1"/>
  <c r="I337" i="3"/>
  <c r="J337" i="3" s="1"/>
  <c r="J333" i="3"/>
  <c r="I314" i="3"/>
  <c r="J314" i="3" s="1"/>
  <c r="I311" i="3"/>
  <c r="J311" i="3" s="1"/>
  <c r="I310" i="3"/>
  <c r="J310" i="3" s="1"/>
  <c r="I307" i="3"/>
  <c r="J307" i="3" s="1"/>
  <c r="I306" i="3"/>
  <c r="J306" i="3" s="1"/>
  <c r="I303" i="3"/>
  <c r="J303" i="3" s="1"/>
  <c r="I302" i="3"/>
  <c r="J302" i="3" s="1"/>
  <c r="I299" i="3"/>
  <c r="J299" i="3" s="1"/>
  <c r="I296" i="3"/>
  <c r="J296" i="3" s="1"/>
  <c r="I293" i="3"/>
  <c r="J293" i="3" s="1"/>
  <c r="I292" i="3"/>
  <c r="J292" i="3" s="1"/>
  <c r="I289" i="3"/>
  <c r="J289" i="3" s="1"/>
  <c r="I286" i="3"/>
  <c r="J286" i="3" s="1"/>
  <c r="I285" i="3"/>
  <c r="J285" i="3" s="1"/>
  <c r="I282" i="3"/>
  <c r="J282" i="3" s="1"/>
  <c r="I279" i="3"/>
  <c r="J279" i="3" s="1"/>
  <c r="I278" i="3"/>
  <c r="J278" i="3" s="1"/>
  <c r="I277" i="3"/>
  <c r="J277" i="3" s="1"/>
  <c r="I276" i="3"/>
  <c r="J276" i="3" s="1"/>
  <c r="J263" i="3"/>
  <c r="I255" i="3"/>
  <c r="J255" i="3" s="1"/>
  <c r="I252" i="3"/>
  <c r="J252" i="3" s="1"/>
  <c r="I249" i="3"/>
  <c r="J249" i="3" s="1"/>
  <c r="I248" i="3"/>
  <c r="J248" i="3" s="1"/>
  <c r="M1035" i="3"/>
  <c r="L1036" i="3"/>
  <c r="P1033" i="3"/>
  <c r="M1032" i="3"/>
  <c r="M1031" i="3"/>
  <c r="L1033" i="3"/>
  <c r="S1036" i="3"/>
  <c r="T1036" i="3"/>
  <c r="U1036" i="3"/>
  <c r="V1036" i="3"/>
  <c r="R1036" i="3"/>
  <c r="P1036" i="3"/>
  <c r="R1033" i="3"/>
  <c r="S1033" i="3"/>
  <c r="T1033" i="3"/>
  <c r="U1033" i="3"/>
  <c r="V1033" i="3"/>
  <c r="W1035" i="3"/>
  <c r="W1032" i="3"/>
  <c r="W1031" i="3"/>
  <c r="L78" i="7" s="1"/>
  <c r="S78" i="7" s="1"/>
  <c r="N1031" i="3" l="1"/>
  <c r="O1031" i="3" s="1"/>
  <c r="AB1031" i="3"/>
  <c r="AB1032" i="3"/>
  <c r="N333" i="3"/>
  <c r="O333" i="3" s="1"/>
  <c r="AC333" i="3" s="1"/>
  <c r="AB333" i="3"/>
  <c r="N91" i="3"/>
  <c r="O91" i="3" s="1"/>
  <c r="AC91" i="3" s="1"/>
  <c r="AB91" i="3"/>
  <c r="M1036" i="3"/>
  <c r="AB1035" i="3"/>
  <c r="W1036" i="3"/>
  <c r="Z1036" i="3" s="1"/>
  <c r="AA1036" i="3" s="1"/>
  <c r="L14" i="7"/>
  <c r="S14" i="7" s="1"/>
  <c r="Z1031" i="3"/>
  <c r="AA1031" i="3" s="1"/>
  <c r="N1032" i="3"/>
  <c r="O1032" i="3" s="1"/>
  <c r="X1036" i="3"/>
  <c r="Y1033" i="3"/>
  <c r="Y1036" i="3"/>
  <c r="X1033" i="3"/>
  <c r="W1033" i="3"/>
  <c r="Z1033" i="3" s="1"/>
  <c r="AA1033" i="3" s="1"/>
  <c r="Z1035" i="3"/>
  <c r="AA1035" i="3" s="1"/>
  <c r="N1035" i="3"/>
  <c r="M1033" i="3"/>
  <c r="Z1032" i="3"/>
  <c r="AA1032" i="3" s="1"/>
  <c r="L1029" i="3"/>
  <c r="M1028" i="3"/>
  <c r="Y1028" i="3"/>
  <c r="X1028" i="3"/>
  <c r="W1028" i="3"/>
  <c r="L15" i="7" s="1"/>
  <c r="S15" i="7" s="1"/>
  <c r="V1029" i="3"/>
  <c r="U1029" i="3"/>
  <c r="T1029" i="3"/>
  <c r="S1029" i="3"/>
  <c r="R1029" i="3"/>
  <c r="P1029" i="3"/>
  <c r="M1025" i="3"/>
  <c r="Y1025" i="3"/>
  <c r="X1025" i="3"/>
  <c r="W1025" i="3"/>
  <c r="L84" i="7" s="1"/>
  <c r="S84" i="7" s="1"/>
  <c r="V1026" i="3"/>
  <c r="U1026" i="3"/>
  <c r="T1026" i="3"/>
  <c r="S1026" i="3"/>
  <c r="R1026" i="3"/>
  <c r="P1026" i="3"/>
  <c r="W1022" i="3"/>
  <c r="M1022" i="3"/>
  <c r="Y1022" i="3"/>
  <c r="X1022" i="3"/>
  <c r="S1023" i="3"/>
  <c r="T1023" i="3"/>
  <c r="U1023" i="3"/>
  <c r="V1023" i="3"/>
  <c r="R1023" i="3"/>
  <c r="P1023" i="3"/>
  <c r="L1020" i="3"/>
  <c r="M1019" i="3"/>
  <c r="M1018" i="3"/>
  <c r="Y1019" i="3"/>
  <c r="X1019" i="3"/>
  <c r="W1019" i="3"/>
  <c r="Z1019" i="3" s="1"/>
  <c r="AA1019" i="3" s="1"/>
  <c r="Y1018" i="3"/>
  <c r="X1018" i="3"/>
  <c r="W1018" i="3"/>
  <c r="V1020" i="3"/>
  <c r="U1020" i="3"/>
  <c r="T1020" i="3"/>
  <c r="S1020" i="3"/>
  <c r="R1020" i="3"/>
  <c r="P1020" i="3"/>
  <c r="AB1036" i="3" l="1"/>
  <c r="AB1033" i="3"/>
  <c r="M1023" i="3"/>
  <c r="AB1022" i="3"/>
  <c r="N1018" i="3"/>
  <c r="O1018" i="3" s="1"/>
  <c r="AB1018" i="3"/>
  <c r="N1028" i="3"/>
  <c r="N1029" i="3" s="1"/>
  <c r="O1029" i="3" s="1"/>
  <c r="AB1028" i="3"/>
  <c r="N1025" i="3"/>
  <c r="O1025" i="3" s="1"/>
  <c r="AB1025" i="3"/>
  <c r="N1019" i="3"/>
  <c r="O1019" i="3" s="1"/>
  <c r="AC1019" i="3" s="1"/>
  <c r="AB1019" i="3"/>
  <c r="L31" i="7"/>
  <c r="S31" i="7" s="1"/>
  <c r="L67" i="7"/>
  <c r="S67" i="7" s="1"/>
  <c r="W1026" i="3"/>
  <c r="Z1026" i="3" s="1"/>
  <c r="AA1026" i="3" s="1"/>
  <c r="AC1031" i="3"/>
  <c r="AC1032" i="3"/>
  <c r="N1033" i="3"/>
  <c r="O1033" i="3" s="1"/>
  <c r="AC1033" i="3" s="1"/>
  <c r="Z1018" i="3"/>
  <c r="AA1018" i="3" s="1"/>
  <c r="W1029" i="3"/>
  <c r="Z1029" i="3" s="1"/>
  <c r="AA1029" i="3" s="1"/>
  <c r="W1023" i="3"/>
  <c r="Z1023" i="3" s="1"/>
  <c r="AA1023" i="3" s="1"/>
  <c r="X1029" i="3"/>
  <c r="Y1029" i="3"/>
  <c r="Y1023" i="3"/>
  <c r="X1023" i="3"/>
  <c r="M1029" i="3"/>
  <c r="N1036" i="3"/>
  <c r="O1036" i="3" s="1"/>
  <c r="AC1036" i="3" s="1"/>
  <c r="O1035" i="3"/>
  <c r="AC1035" i="3" s="1"/>
  <c r="Z1028" i="3"/>
  <c r="AA1028" i="3" s="1"/>
  <c r="M1026" i="3"/>
  <c r="Y1026" i="3"/>
  <c r="X1026" i="3"/>
  <c r="Z1025" i="3"/>
  <c r="AA1025" i="3" s="1"/>
  <c r="Z1022" i="3"/>
  <c r="AA1022" i="3" s="1"/>
  <c r="N1022" i="3"/>
  <c r="X1020" i="3"/>
  <c r="M1020" i="3"/>
  <c r="Y1020" i="3"/>
  <c r="W1020" i="3"/>
  <c r="Z1020" i="3" s="1"/>
  <c r="AA1020" i="3" s="1"/>
  <c r="M1005" i="3"/>
  <c r="M1008" i="3"/>
  <c r="P1008" i="3"/>
  <c r="F21" i="10" s="1"/>
  <c r="N1020" i="3" l="1"/>
  <c r="O1020" i="3" s="1"/>
  <c r="AC1020" i="3" s="1"/>
  <c r="O1028" i="3"/>
  <c r="AC1028" i="3" s="1"/>
  <c r="AC1025" i="3"/>
  <c r="AB1029" i="3"/>
  <c r="N1026" i="3"/>
  <c r="O1026" i="3" s="1"/>
  <c r="AC1026" i="3" s="1"/>
  <c r="AB1020" i="3"/>
  <c r="AB1026" i="3"/>
  <c r="AB1023" i="3"/>
  <c r="AC1018" i="3"/>
  <c r="AC1029" i="3"/>
  <c r="N1023" i="3"/>
  <c r="O1023" i="3" s="1"/>
  <c r="AC1023" i="3" s="1"/>
  <c r="O1022" i="3"/>
  <c r="AC1022" i="3" s="1"/>
  <c r="N1012" i="3"/>
  <c r="O1012" i="3" s="1"/>
  <c r="N1013" i="3"/>
  <c r="O1013" i="3" s="1"/>
  <c r="N1014" i="3"/>
  <c r="O1014" i="3" s="1"/>
  <c r="N1015" i="3"/>
  <c r="O1015" i="3" s="1"/>
  <c r="N1011" i="3"/>
  <c r="O1011" i="3" s="1"/>
  <c r="N1006" i="3"/>
  <c r="O1006" i="3" s="1"/>
  <c r="N1007" i="3"/>
  <c r="O1007" i="3" s="1"/>
  <c r="N1008" i="3"/>
  <c r="O1008" i="3" s="1"/>
  <c r="N1009" i="3"/>
  <c r="O1009" i="3" s="1"/>
  <c r="N1005" i="3"/>
  <c r="O1005" i="3" s="1"/>
  <c r="M1010" i="3"/>
  <c r="L1010" i="3"/>
  <c r="L1016" i="3" s="1"/>
  <c r="M1016" i="3" l="1"/>
  <c r="N1010" i="3"/>
  <c r="N1016" i="3" s="1"/>
  <c r="O1016" i="3" s="1"/>
  <c r="X1015" i="3" l="1"/>
  <c r="Y1015" i="3"/>
  <c r="Y1014" i="3"/>
  <c r="X1014" i="3"/>
  <c r="Y1013" i="3"/>
  <c r="X1013" i="3"/>
  <c r="Y1012" i="3"/>
  <c r="X1012" i="3"/>
  <c r="Y1011" i="3"/>
  <c r="X1011" i="3"/>
  <c r="X1007" i="3"/>
  <c r="Y1007" i="3"/>
  <c r="X1008" i="3"/>
  <c r="Y1008" i="3"/>
  <c r="X1009" i="3"/>
  <c r="Y1009" i="3"/>
  <c r="Y1006" i="3"/>
  <c r="X1006" i="3"/>
  <c r="Y1005" i="3"/>
  <c r="X1005" i="3"/>
  <c r="W1009" i="3"/>
  <c r="Z1009" i="3" s="1"/>
  <c r="AA1009" i="3" s="1"/>
  <c r="AC1009" i="3" s="1"/>
  <c r="S1010" i="3"/>
  <c r="S1016" i="3" s="1"/>
  <c r="T1010" i="3"/>
  <c r="T1016" i="3" s="1"/>
  <c r="U1010" i="3"/>
  <c r="U1016" i="3" s="1"/>
  <c r="V1010" i="3"/>
  <c r="V1016" i="3" s="1"/>
  <c r="R1010" i="3"/>
  <c r="R1016" i="3" s="1"/>
  <c r="P1010" i="3"/>
  <c r="P1016" i="3" s="1"/>
  <c r="W1012" i="3"/>
  <c r="AB1012" i="3" s="1"/>
  <c r="W1013" i="3"/>
  <c r="AB1013" i="3" s="1"/>
  <c r="W1014" i="3"/>
  <c r="AB1014" i="3" s="1"/>
  <c r="W1015" i="3"/>
  <c r="AB1015" i="3" s="1"/>
  <c r="W1011" i="3"/>
  <c r="W1006" i="3"/>
  <c r="W1007" i="3"/>
  <c r="W1008" i="3"/>
  <c r="W1005" i="3"/>
  <c r="AB1005" i="3" s="1"/>
  <c r="M1002" i="3"/>
  <c r="M1001" i="3"/>
  <c r="L1003" i="3"/>
  <c r="Y1002" i="3"/>
  <c r="X1002" i="3"/>
  <c r="Y1001" i="3"/>
  <c r="X1001" i="3"/>
  <c r="W1002" i="3"/>
  <c r="Z1002" i="3" s="1"/>
  <c r="AA1002" i="3" s="1"/>
  <c r="W1001" i="3"/>
  <c r="V1003" i="3"/>
  <c r="U1003" i="3"/>
  <c r="T1003" i="3"/>
  <c r="S1003" i="3"/>
  <c r="R1003" i="3"/>
  <c r="P1003" i="3"/>
  <c r="M998" i="3"/>
  <c r="L999" i="3"/>
  <c r="Y998" i="3"/>
  <c r="X998" i="3"/>
  <c r="W998" i="3"/>
  <c r="V999" i="3"/>
  <c r="U999" i="3"/>
  <c r="T999" i="3"/>
  <c r="S999" i="3"/>
  <c r="R999" i="3"/>
  <c r="P999" i="3"/>
  <c r="M995" i="3"/>
  <c r="M994" i="3"/>
  <c r="L996" i="3"/>
  <c r="W995" i="3"/>
  <c r="W994" i="3"/>
  <c r="Y995" i="3"/>
  <c r="X995" i="3"/>
  <c r="Y994" i="3"/>
  <c r="X994" i="3"/>
  <c r="V996" i="3"/>
  <c r="U996" i="3"/>
  <c r="T996" i="3"/>
  <c r="S996" i="3"/>
  <c r="R996" i="3"/>
  <c r="P996" i="3"/>
  <c r="AB1001" i="3" l="1"/>
  <c r="N995" i="3"/>
  <c r="O995" i="3" s="1"/>
  <c r="AB995" i="3"/>
  <c r="M999" i="3"/>
  <c r="AB998" i="3"/>
  <c r="Z1008" i="3"/>
  <c r="AA1008" i="3" s="1"/>
  <c r="AC1008" i="3" s="1"/>
  <c r="AB1008" i="3"/>
  <c r="Z1007" i="3"/>
  <c r="AA1007" i="3" s="1"/>
  <c r="AC1007" i="3" s="1"/>
  <c r="AB1007" i="3"/>
  <c r="N1002" i="3"/>
  <c r="O1002" i="3" s="1"/>
  <c r="AC1002" i="3" s="1"/>
  <c r="AB1002" i="3"/>
  <c r="Z1006" i="3"/>
  <c r="AA1006" i="3" s="1"/>
  <c r="AC1006" i="3" s="1"/>
  <c r="AB1006" i="3"/>
  <c r="N994" i="3"/>
  <c r="O994" i="3" s="1"/>
  <c r="AB994" i="3"/>
  <c r="N23" i="10"/>
  <c r="V23" i="10" s="1"/>
  <c r="AB1011" i="3"/>
  <c r="Z1012" i="3"/>
  <c r="AA1012" i="3" s="1"/>
  <c r="AC1012" i="3" s="1"/>
  <c r="N15" i="10"/>
  <c r="V15" i="10" s="1"/>
  <c r="Z1015" i="3"/>
  <c r="AA1015" i="3" s="1"/>
  <c r="N17" i="10"/>
  <c r="V17" i="10" s="1"/>
  <c r="Z1014" i="3"/>
  <c r="AA1014" i="3" s="1"/>
  <c r="AC1014" i="3" s="1"/>
  <c r="N10" i="10"/>
  <c r="V10" i="10" s="1"/>
  <c r="Z1013" i="3"/>
  <c r="AA1013" i="3" s="1"/>
  <c r="AC1013" i="3" s="1"/>
  <c r="N5" i="10"/>
  <c r="Z1005" i="3"/>
  <c r="AA1005" i="3" s="1"/>
  <c r="AC1005" i="3" s="1"/>
  <c r="N21" i="10"/>
  <c r="V21" i="10" s="1"/>
  <c r="L25" i="7"/>
  <c r="S25" i="7" s="1"/>
  <c r="L96" i="7"/>
  <c r="S96" i="7" s="1"/>
  <c r="Z998" i="3"/>
  <c r="AA998" i="3" s="1"/>
  <c r="L7" i="7"/>
  <c r="Z994" i="3"/>
  <c r="AA994" i="3" s="1"/>
  <c r="M1003" i="3"/>
  <c r="X999" i="3"/>
  <c r="X1016" i="3"/>
  <c r="W1010" i="3"/>
  <c r="Z1011" i="3"/>
  <c r="AA1011" i="3" s="1"/>
  <c r="AC1011" i="3" s="1"/>
  <c r="Y1016" i="3"/>
  <c r="X996" i="3"/>
  <c r="N1001" i="3"/>
  <c r="Y999" i="3"/>
  <c r="M996" i="3"/>
  <c r="W999" i="3"/>
  <c r="Z999" i="3" s="1"/>
  <c r="AA999" i="3" s="1"/>
  <c r="W996" i="3"/>
  <c r="Z996" i="3" s="1"/>
  <c r="AA996" i="3" s="1"/>
  <c r="Y1003" i="3"/>
  <c r="W1003" i="3"/>
  <c r="Z1003" i="3" s="1"/>
  <c r="AA1003" i="3" s="1"/>
  <c r="X1003" i="3"/>
  <c r="Z1001" i="3"/>
  <c r="AA1001" i="3" s="1"/>
  <c r="N998" i="3"/>
  <c r="Y996" i="3"/>
  <c r="Z995" i="3"/>
  <c r="V989" i="3"/>
  <c r="U989" i="3"/>
  <c r="T989" i="3"/>
  <c r="S989" i="3"/>
  <c r="R989" i="3"/>
  <c r="P988" i="3"/>
  <c r="X988" i="3"/>
  <c r="W988" i="3"/>
  <c r="N14" i="10" s="1"/>
  <c r="M983" i="3"/>
  <c r="N1003" i="3" l="1"/>
  <c r="O1003" i="3" s="1"/>
  <c r="AC1003" i="3" s="1"/>
  <c r="S7" i="7"/>
  <c r="V5" i="10"/>
  <c r="N2" i="10"/>
  <c r="E26" i="7"/>
  <c r="E2" i="7" s="1"/>
  <c r="I31" i="20"/>
  <c r="F14" i="10"/>
  <c r="N996" i="3"/>
  <c r="O996" i="3" s="1"/>
  <c r="AC996" i="3" s="1"/>
  <c r="W1016" i="3"/>
  <c r="AB1010" i="3"/>
  <c r="AB996" i="3"/>
  <c r="AB999" i="3"/>
  <c r="AB1003" i="3"/>
  <c r="AC994" i="3"/>
  <c r="L26" i="7"/>
  <c r="L2" i="7" s="1"/>
  <c r="Y988" i="3"/>
  <c r="AA995" i="3"/>
  <c r="W989" i="3"/>
  <c r="O1001" i="3"/>
  <c r="AC1001" i="3" s="1"/>
  <c r="Z988" i="3"/>
  <c r="L988" i="3"/>
  <c r="P989" i="3"/>
  <c r="Y989" i="3" s="1"/>
  <c r="N999" i="3"/>
  <c r="O999" i="3" s="1"/>
  <c r="AC999" i="3" s="1"/>
  <c r="O998" i="3"/>
  <c r="AC998" i="3" s="1"/>
  <c r="X989" i="3"/>
  <c r="N982" i="3"/>
  <c r="N983" i="3" s="1"/>
  <c r="N984" i="3"/>
  <c r="M985" i="3"/>
  <c r="W985" i="3"/>
  <c r="W984" i="3"/>
  <c r="AB984" i="3" s="1"/>
  <c r="W982" i="3"/>
  <c r="Y985" i="3"/>
  <c r="X985" i="3"/>
  <c r="Y984" i="3"/>
  <c r="X984" i="3"/>
  <c r="Y982" i="3"/>
  <c r="X982" i="3"/>
  <c r="S983" i="3"/>
  <c r="S986" i="3" s="1"/>
  <c r="T983" i="3"/>
  <c r="T986" i="3" s="1"/>
  <c r="U983" i="3"/>
  <c r="U986" i="3" s="1"/>
  <c r="V983" i="3"/>
  <c r="V986" i="3" s="1"/>
  <c r="R983" i="3"/>
  <c r="R986" i="3" s="1"/>
  <c r="P983" i="3"/>
  <c r="P986" i="3" s="1"/>
  <c r="L980" i="3"/>
  <c r="M979" i="3"/>
  <c r="M978" i="3"/>
  <c r="Y979" i="3"/>
  <c r="X979" i="3"/>
  <c r="Y978" i="3"/>
  <c r="X978" i="3"/>
  <c r="W979" i="3"/>
  <c r="Z979" i="3" s="1"/>
  <c r="AA979" i="3" s="1"/>
  <c r="W978" i="3"/>
  <c r="V980" i="3"/>
  <c r="U980" i="3"/>
  <c r="T980" i="3"/>
  <c r="S980" i="3"/>
  <c r="R980" i="3"/>
  <c r="P980" i="3"/>
  <c r="M975" i="3"/>
  <c r="Y975" i="3"/>
  <c r="X975" i="3"/>
  <c r="L976" i="3"/>
  <c r="P976" i="3"/>
  <c r="V976" i="3"/>
  <c r="U976" i="3"/>
  <c r="T976" i="3"/>
  <c r="S976" i="3"/>
  <c r="R976" i="3"/>
  <c r="W975" i="3"/>
  <c r="L972" i="3"/>
  <c r="L973" i="3" s="1"/>
  <c r="Y972" i="3"/>
  <c r="X972" i="3"/>
  <c r="V14" i="10" l="1"/>
  <c r="F2" i="10"/>
  <c r="V2" i="10" s="1"/>
  <c r="S2" i="7"/>
  <c r="S26" i="7"/>
  <c r="K31" i="20"/>
  <c r="I7" i="20"/>
  <c r="K7" i="20" s="1"/>
  <c r="W983" i="3"/>
  <c r="AB983" i="3" s="1"/>
  <c r="AB982" i="3"/>
  <c r="N979" i="3"/>
  <c r="O979" i="3" s="1"/>
  <c r="AC979" i="3" s="1"/>
  <c r="AB979" i="3"/>
  <c r="M986" i="3"/>
  <c r="AB985" i="3"/>
  <c r="N975" i="3"/>
  <c r="N976" i="3" s="1"/>
  <c r="O976" i="3" s="1"/>
  <c r="AB975" i="3"/>
  <c r="AB978" i="3"/>
  <c r="Z1016" i="3"/>
  <c r="AA1016" i="3" s="1"/>
  <c r="AC1016" i="3" s="1"/>
  <c r="AB1016" i="3"/>
  <c r="K55" i="7"/>
  <c r="R55" i="7" s="1"/>
  <c r="K49" i="7"/>
  <c r="R49" i="7" s="1"/>
  <c r="Z975" i="3"/>
  <c r="AA975" i="3" s="1"/>
  <c r="AC995" i="3"/>
  <c r="AA988" i="3"/>
  <c r="N985" i="3"/>
  <c r="O985" i="3" s="1"/>
  <c r="Z989" i="3"/>
  <c r="AA989" i="3" s="1"/>
  <c r="M980" i="3"/>
  <c r="O982" i="3"/>
  <c r="M988" i="3"/>
  <c r="L989" i="3"/>
  <c r="Y976" i="3"/>
  <c r="Y986" i="3"/>
  <c r="W986" i="3"/>
  <c r="O984" i="3"/>
  <c r="Z982" i="3"/>
  <c r="AA982" i="3" s="1"/>
  <c r="Z985" i="3"/>
  <c r="AA985" i="3" s="1"/>
  <c r="X986" i="3"/>
  <c r="W976" i="3"/>
  <c r="Z976" i="3" s="1"/>
  <c r="AA976" i="3" s="1"/>
  <c r="M972" i="3"/>
  <c r="X976" i="3"/>
  <c r="Y980" i="3"/>
  <c r="W980" i="3"/>
  <c r="Z980" i="3" s="1"/>
  <c r="AA980" i="3" s="1"/>
  <c r="X980" i="3"/>
  <c r="Z978" i="3"/>
  <c r="AA978" i="3" s="1"/>
  <c r="N978" i="3"/>
  <c r="M976" i="3"/>
  <c r="W972" i="3"/>
  <c r="K40" i="7" s="1"/>
  <c r="R40" i="7" s="1"/>
  <c r="S973" i="3"/>
  <c r="T973" i="3"/>
  <c r="U973" i="3"/>
  <c r="V973" i="3"/>
  <c r="R973" i="3"/>
  <c r="P973" i="3"/>
  <c r="L969" i="3"/>
  <c r="M969" i="3" s="1"/>
  <c r="Y969" i="3"/>
  <c r="X969" i="3"/>
  <c r="S970" i="3"/>
  <c r="T970" i="3"/>
  <c r="U970" i="3"/>
  <c r="V970" i="3"/>
  <c r="R970" i="3"/>
  <c r="P970" i="3"/>
  <c r="W969" i="3"/>
  <c r="M959" i="3"/>
  <c r="M960" i="3"/>
  <c r="M961" i="3"/>
  <c r="M962" i="3"/>
  <c r="M958" i="3"/>
  <c r="L965" i="3"/>
  <c r="N965" i="3" s="1"/>
  <c r="O965" i="3" s="1"/>
  <c r="L966" i="3"/>
  <c r="N966" i="3" s="1"/>
  <c r="O966" i="3" s="1"/>
  <c r="L964" i="3"/>
  <c r="N964" i="3" s="1"/>
  <c r="O964" i="3" s="1"/>
  <c r="L958" i="3"/>
  <c r="L959" i="3"/>
  <c r="L960" i="3"/>
  <c r="L961" i="3"/>
  <c r="L962" i="3"/>
  <c r="L957" i="3"/>
  <c r="N957" i="3" s="1"/>
  <c r="O957" i="3" s="1"/>
  <c r="X965" i="3"/>
  <c r="Y965" i="3"/>
  <c r="X966" i="3"/>
  <c r="Y966" i="3"/>
  <c r="Y964" i="3"/>
  <c r="X964" i="3"/>
  <c r="X962" i="3"/>
  <c r="Y962" i="3"/>
  <c r="Y961" i="3"/>
  <c r="X961" i="3"/>
  <c r="Y960" i="3"/>
  <c r="X960" i="3"/>
  <c r="Y959" i="3"/>
  <c r="X959" i="3"/>
  <c r="Y958" i="3"/>
  <c r="X958" i="3"/>
  <c r="Y957" i="3"/>
  <c r="X957" i="3"/>
  <c r="W964" i="3"/>
  <c r="W965" i="3"/>
  <c r="W966" i="3"/>
  <c r="AB966" i="3" s="1"/>
  <c r="W961" i="3"/>
  <c r="Z961" i="3" s="1"/>
  <c r="AA961" i="3" s="1"/>
  <c r="W962" i="3"/>
  <c r="Z962" i="3" s="1"/>
  <c r="AA962" i="3" s="1"/>
  <c r="W960" i="3"/>
  <c r="Z960" i="3" s="1"/>
  <c r="AA960" i="3" s="1"/>
  <c r="W958" i="3"/>
  <c r="Z958" i="3" s="1"/>
  <c r="AA958" i="3" s="1"/>
  <c r="W959" i="3"/>
  <c r="Z959" i="3" s="1"/>
  <c r="AA959" i="3" s="1"/>
  <c r="W957" i="3"/>
  <c r="P963" i="3"/>
  <c r="P967" i="3" s="1"/>
  <c r="R963" i="3"/>
  <c r="R967" i="3" s="1"/>
  <c r="S963" i="3"/>
  <c r="S967" i="3" s="1"/>
  <c r="T963" i="3"/>
  <c r="T967" i="3" s="1"/>
  <c r="V963" i="3"/>
  <c r="V967" i="3" s="1"/>
  <c r="U925" i="3"/>
  <c r="N939" i="3"/>
  <c r="O939" i="3" s="1"/>
  <c r="N940" i="3"/>
  <c r="O940" i="3" s="1"/>
  <c r="N941" i="3"/>
  <c r="O941" i="3" s="1"/>
  <c r="N942" i="3"/>
  <c r="N938" i="3"/>
  <c r="O938" i="3" s="1"/>
  <c r="N934" i="3"/>
  <c r="O934" i="3" s="1"/>
  <c r="N935" i="3"/>
  <c r="O935" i="3" s="1"/>
  <c r="N936" i="3"/>
  <c r="O936" i="3" s="1"/>
  <c r="N932" i="3"/>
  <c r="O932" i="3" s="1"/>
  <c r="L933" i="3"/>
  <c r="L937" i="3" s="1"/>
  <c r="L943" i="3" s="1"/>
  <c r="M933" i="3"/>
  <c r="M937" i="3" s="1"/>
  <c r="O975" i="3" l="1"/>
  <c r="AC975" i="3" s="1"/>
  <c r="AB980" i="3"/>
  <c r="AB958" i="3"/>
  <c r="AB986" i="3"/>
  <c r="AB961" i="3"/>
  <c r="AB960" i="3"/>
  <c r="N972" i="3"/>
  <c r="O972" i="3" s="1"/>
  <c r="AB972" i="3"/>
  <c r="AB962" i="3"/>
  <c r="M989" i="3"/>
  <c r="AB989" i="3" s="1"/>
  <c r="AB988" i="3"/>
  <c r="Z957" i="3"/>
  <c r="AA957" i="3" s="1"/>
  <c r="AC957" i="3" s="1"/>
  <c r="AB957" i="3"/>
  <c r="Z964" i="3"/>
  <c r="AA964" i="3" s="1"/>
  <c r="AC964" i="3" s="1"/>
  <c r="AB964" i="3"/>
  <c r="AB959" i="3"/>
  <c r="M943" i="3"/>
  <c r="Z965" i="3"/>
  <c r="AA965" i="3" s="1"/>
  <c r="AC965" i="3" s="1"/>
  <c r="AB965" i="3"/>
  <c r="AB969" i="3"/>
  <c r="AB976" i="3"/>
  <c r="K92" i="7"/>
  <c r="R92" i="7" s="1"/>
  <c r="Z972" i="3"/>
  <c r="AA972" i="3" s="1"/>
  <c r="W970" i="3"/>
  <c r="Z970" i="3" s="1"/>
  <c r="AA970" i="3" s="1"/>
  <c r="Z966" i="3"/>
  <c r="AA966" i="3" s="1"/>
  <c r="AC966" i="3" s="1"/>
  <c r="X967" i="3"/>
  <c r="Y970" i="3"/>
  <c r="AC982" i="3"/>
  <c r="N986" i="3"/>
  <c r="O986" i="3" s="1"/>
  <c r="AC985" i="3"/>
  <c r="N958" i="3"/>
  <c r="O958" i="3" s="1"/>
  <c r="AC958" i="3" s="1"/>
  <c r="X973" i="3"/>
  <c r="N988" i="3"/>
  <c r="N961" i="3"/>
  <c r="O961" i="3" s="1"/>
  <c r="AC961" i="3" s="1"/>
  <c r="Z986" i="3"/>
  <c r="AA986" i="3" s="1"/>
  <c r="Z984" i="3"/>
  <c r="AA984" i="3" s="1"/>
  <c r="AC984" i="3" s="1"/>
  <c r="N960" i="3"/>
  <c r="O960" i="3" s="1"/>
  <c r="AC960" i="3" s="1"/>
  <c r="AC976" i="3"/>
  <c r="N959" i="3"/>
  <c r="O959" i="3" s="1"/>
  <c r="AC959" i="3" s="1"/>
  <c r="N962" i="3"/>
  <c r="O962" i="3" s="1"/>
  <c r="AC962" i="3" s="1"/>
  <c r="L963" i="3"/>
  <c r="L967" i="3" s="1"/>
  <c r="X970" i="3"/>
  <c r="Y973" i="3"/>
  <c r="L970" i="3"/>
  <c r="M973" i="3"/>
  <c r="Z969" i="3"/>
  <c r="AA969" i="3" s="1"/>
  <c r="M963" i="3"/>
  <c r="O978" i="3"/>
  <c r="AC978" i="3" s="1"/>
  <c r="N980" i="3"/>
  <c r="O980" i="3" s="1"/>
  <c r="AC980" i="3" s="1"/>
  <c r="W973" i="3"/>
  <c r="Z973" i="3" s="1"/>
  <c r="AA973" i="3" s="1"/>
  <c r="M970" i="3"/>
  <c r="N969" i="3"/>
  <c r="U963" i="3"/>
  <c r="U967" i="3" s="1"/>
  <c r="Y967" i="3" s="1"/>
  <c r="W963" i="3"/>
  <c r="W967" i="3" s="1"/>
  <c r="Z967" i="3" s="1"/>
  <c r="AA967" i="3" s="1"/>
  <c r="N933" i="3"/>
  <c r="O933" i="3" s="1"/>
  <c r="O942" i="3"/>
  <c r="N973" i="3" l="1"/>
  <c r="O973" i="3" s="1"/>
  <c r="AC973" i="3" s="1"/>
  <c r="AC972" i="3"/>
  <c r="AB970" i="3"/>
  <c r="M967" i="3"/>
  <c r="AB967" i="3" s="1"/>
  <c r="AB963" i="3"/>
  <c r="AB973" i="3"/>
  <c r="AC986" i="3"/>
  <c r="N989" i="3"/>
  <c r="O989" i="3" s="1"/>
  <c r="AC989" i="3" s="1"/>
  <c r="O988" i="3"/>
  <c r="AC988" i="3" s="1"/>
  <c r="N963" i="3"/>
  <c r="N967" i="3" s="1"/>
  <c r="O967" i="3" s="1"/>
  <c r="AC967" i="3" s="1"/>
  <c r="N970" i="3"/>
  <c r="O970" i="3" s="1"/>
  <c r="AC970" i="3" s="1"/>
  <c r="O969" i="3"/>
  <c r="AC969" i="3" s="1"/>
  <c r="N937" i="3"/>
  <c r="N943" i="3" s="1"/>
  <c r="O943" i="3" s="1"/>
  <c r="L954" i="3"/>
  <c r="M954" i="3" s="1"/>
  <c r="L953" i="3"/>
  <c r="M953" i="3" s="1"/>
  <c r="L950" i="3"/>
  <c r="M950" i="3" s="1"/>
  <c r="L949" i="3"/>
  <c r="M949" i="3" s="1"/>
  <c r="N950" i="3" l="1"/>
  <c r="O950" i="3" s="1"/>
  <c r="N953" i="3"/>
  <c r="O953" i="3" s="1"/>
  <c r="N954" i="3"/>
  <c r="O954" i="3" s="1"/>
  <c r="M951" i="3"/>
  <c r="L951" i="3"/>
  <c r="L955" i="3"/>
  <c r="M955" i="3"/>
  <c r="N949" i="3"/>
  <c r="W954" i="3"/>
  <c r="Z954" i="3" s="1"/>
  <c r="AA954" i="3" s="1"/>
  <c r="W953" i="3"/>
  <c r="AB953" i="3" s="1"/>
  <c r="P955" i="3"/>
  <c r="Y954" i="3"/>
  <c r="X954" i="3"/>
  <c r="Y953" i="3"/>
  <c r="X953" i="3"/>
  <c r="V955" i="3"/>
  <c r="U955" i="3"/>
  <c r="T955" i="3"/>
  <c r="S955" i="3"/>
  <c r="R955" i="3"/>
  <c r="Y950" i="3"/>
  <c r="X950" i="3"/>
  <c r="Y949" i="3"/>
  <c r="X949" i="3"/>
  <c r="V951" i="3"/>
  <c r="U951" i="3"/>
  <c r="T951" i="3"/>
  <c r="S951" i="3"/>
  <c r="R951" i="3"/>
  <c r="P951" i="3"/>
  <c r="W950" i="3"/>
  <c r="Z950" i="3" s="1"/>
  <c r="AA950" i="3" s="1"/>
  <c r="W949" i="3"/>
  <c r="K4" i="7" s="1"/>
  <c r="P753" i="3"/>
  <c r="V947" i="3"/>
  <c r="U947" i="3"/>
  <c r="T947" i="3"/>
  <c r="S947" i="3"/>
  <c r="R947" i="3"/>
  <c r="P947" i="3"/>
  <c r="L946" i="3"/>
  <c r="M946" i="3" s="1"/>
  <c r="Y946" i="3"/>
  <c r="X946" i="3"/>
  <c r="W946" i="3"/>
  <c r="Z946" i="3" s="1"/>
  <c r="AA946" i="3" s="1"/>
  <c r="L945" i="3"/>
  <c r="Y945" i="3"/>
  <c r="X945" i="3"/>
  <c r="W945" i="3"/>
  <c r="R4" i="7" l="1"/>
  <c r="AC950" i="3"/>
  <c r="AC954" i="3"/>
  <c r="N955" i="3"/>
  <c r="O955" i="3" s="1"/>
  <c r="N946" i="3"/>
  <c r="O946" i="3" s="1"/>
  <c r="AC946" i="3" s="1"/>
  <c r="AB946" i="3"/>
  <c r="AB954" i="3"/>
  <c r="AB950" i="3"/>
  <c r="AB949" i="3"/>
  <c r="D25" i="7"/>
  <c r="K79" i="7"/>
  <c r="R79" i="7" s="1"/>
  <c r="Z945" i="3"/>
  <c r="AA945" i="3" s="1"/>
  <c r="P754" i="3"/>
  <c r="C30" i="20" s="1"/>
  <c r="X947" i="3"/>
  <c r="Y947" i="3"/>
  <c r="Y951" i="3"/>
  <c r="X951" i="3"/>
  <c r="X955" i="3"/>
  <c r="Y955" i="3"/>
  <c r="L947" i="3"/>
  <c r="W955" i="3"/>
  <c r="Z955" i="3" s="1"/>
  <c r="AA955" i="3" s="1"/>
  <c r="Z953" i="3"/>
  <c r="AA953" i="3" s="1"/>
  <c r="AC953" i="3" s="1"/>
  <c r="W951" i="3"/>
  <c r="Z951" i="3" s="1"/>
  <c r="AA951" i="3" s="1"/>
  <c r="Z949" i="3"/>
  <c r="AA949" i="3" s="1"/>
  <c r="O949" i="3"/>
  <c r="N951" i="3"/>
  <c r="O951" i="3" s="1"/>
  <c r="W947" i="3"/>
  <c r="Z947" i="3" s="1"/>
  <c r="AA947" i="3" s="1"/>
  <c r="M945" i="3"/>
  <c r="X939" i="3"/>
  <c r="Y939" i="3"/>
  <c r="X940" i="3"/>
  <c r="Y940" i="3"/>
  <c r="X941" i="3"/>
  <c r="Y941" i="3"/>
  <c r="X942" i="3"/>
  <c r="Y942" i="3"/>
  <c r="Y938" i="3"/>
  <c r="X938" i="3"/>
  <c r="X936" i="3"/>
  <c r="Y936" i="3"/>
  <c r="X932" i="3"/>
  <c r="Y932" i="3"/>
  <c r="Y935" i="3"/>
  <c r="X935" i="3"/>
  <c r="Y934" i="3"/>
  <c r="X934" i="3"/>
  <c r="Y933" i="3"/>
  <c r="X933" i="3"/>
  <c r="W939" i="3"/>
  <c r="W940" i="3"/>
  <c r="W941" i="3"/>
  <c r="W942" i="3"/>
  <c r="W938" i="3"/>
  <c r="S937" i="3"/>
  <c r="S943" i="3" s="1"/>
  <c r="T937" i="3"/>
  <c r="T943" i="3" s="1"/>
  <c r="U937" i="3"/>
  <c r="U943" i="3" s="1"/>
  <c r="V937" i="3"/>
  <c r="V943" i="3" s="1"/>
  <c r="R937" i="3"/>
  <c r="R943" i="3" s="1"/>
  <c r="P937" i="3"/>
  <c r="P943" i="3" s="1"/>
  <c r="W933" i="3"/>
  <c r="W934" i="3"/>
  <c r="W935" i="3"/>
  <c r="W936" i="3"/>
  <c r="W932" i="3"/>
  <c r="E30" i="20" l="1"/>
  <c r="Z934" i="3"/>
  <c r="AA934" i="3" s="1"/>
  <c r="AC934" i="3" s="1"/>
  <c r="AB934" i="3"/>
  <c r="Z938" i="3"/>
  <c r="AA938" i="3" s="1"/>
  <c r="AC938" i="3" s="1"/>
  <c r="AB938" i="3"/>
  <c r="Z939" i="3"/>
  <c r="AA939" i="3" s="1"/>
  <c r="AC939" i="3" s="1"/>
  <c r="AB939" i="3"/>
  <c r="Z932" i="3"/>
  <c r="AA932" i="3" s="1"/>
  <c r="AC932" i="3" s="1"/>
  <c r="AB932" i="3"/>
  <c r="Z933" i="3"/>
  <c r="AA933" i="3" s="1"/>
  <c r="AC933" i="3" s="1"/>
  <c r="AB933" i="3"/>
  <c r="M947" i="3"/>
  <c r="AB947" i="3" s="1"/>
  <c r="AB945" i="3"/>
  <c r="AB955" i="3"/>
  <c r="Z936" i="3"/>
  <c r="AA936" i="3" s="1"/>
  <c r="AC936" i="3" s="1"/>
  <c r="AB936" i="3"/>
  <c r="Z935" i="3"/>
  <c r="AA935" i="3" s="1"/>
  <c r="AC935" i="3" s="1"/>
  <c r="AB935" i="3"/>
  <c r="Z942" i="3"/>
  <c r="AA942" i="3" s="1"/>
  <c r="AC942" i="3" s="1"/>
  <c r="AB942" i="3"/>
  <c r="Z941" i="3"/>
  <c r="AA941" i="3" s="1"/>
  <c r="AC941" i="3" s="1"/>
  <c r="AB941" i="3"/>
  <c r="Z940" i="3"/>
  <c r="AA940" i="3" s="1"/>
  <c r="AC940" i="3" s="1"/>
  <c r="AB940" i="3"/>
  <c r="AB951" i="3"/>
  <c r="N945" i="3"/>
  <c r="N947" i="3" s="1"/>
  <c r="O947" i="3" s="1"/>
  <c r="AC947" i="3" s="1"/>
  <c r="AC955" i="3"/>
  <c r="AC951" i="3"/>
  <c r="AC949" i="3"/>
  <c r="Y943" i="3"/>
  <c r="W937" i="3"/>
  <c r="X943" i="3"/>
  <c r="M924" i="3"/>
  <c r="M923" i="3"/>
  <c r="W943" i="3" l="1"/>
  <c r="AB937" i="3"/>
  <c r="O945" i="3"/>
  <c r="AC945" i="3" s="1"/>
  <c r="M926" i="3"/>
  <c r="L928" i="3"/>
  <c r="N928" i="3" s="1"/>
  <c r="O928" i="3" s="1"/>
  <c r="L929" i="3"/>
  <c r="N929" i="3" s="1"/>
  <c r="O929" i="3" s="1"/>
  <c r="L927" i="3"/>
  <c r="N927" i="3" s="1"/>
  <c r="L924" i="3"/>
  <c r="N924" i="3" s="1"/>
  <c r="O924" i="3" s="1"/>
  <c r="L925" i="3"/>
  <c r="N925" i="3" s="1"/>
  <c r="O925" i="3" s="1"/>
  <c r="L923" i="3"/>
  <c r="M930" i="3" l="1"/>
  <c r="Z943" i="3"/>
  <c r="AA943" i="3" s="1"/>
  <c r="AC943" i="3" s="1"/>
  <c r="AB943" i="3"/>
  <c r="O927" i="3"/>
  <c r="L926" i="3"/>
  <c r="L930" i="3" s="1"/>
  <c r="N923" i="3"/>
  <c r="Y929" i="3"/>
  <c r="X929" i="3"/>
  <c r="Y928" i="3"/>
  <c r="X928" i="3"/>
  <c r="Y927" i="3"/>
  <c r="X927" i="3"/>
  <c r="Y925" i="3"/>
  <c r="X925" i="3"/>
  <c r="Y924" i="3"/>
  <c r="X924" i="3"/>
  <c r="Y923" i="3"/>
  <c r="X923" i="3"/>
  <c r="W929" i="3"/>
  <c r="W928" i="3"/>
  <c r="W927" i="3"/>
  <c r="S926" i="3"/>
  <c r="S930" i="3" s="1"/>
  <c r="T926" i="3"/>
  <c r="T930" i="3" s="1"/>
  <c r="U926" i="3"/>
  <c r="U930" i="3" s="1"/>
  <c r="V926" i="3"/>
  <c r="V930" i="3" s="1"/>
  <c r="R926" i="3"/>
  <c r="R930" i="3" s="1"/>
  <c r="W924" i="3"/>
  <c r="W925" i="3"/>
  <c r="W923" i="3"/>
  <c r="P926" i="3"/>
  <c r="P930" i="3" s="1"/>
  <c r="Y920" i="3"/>
  <c r="X920" i="3"/>
  <c r="W920" i="3"/>
  <c r="S921" i="3"/>
  <c r="T921" i="3"/>
  <c r="U921" i="3"/>
  <c r="V921" i="3"/>
  <c r="R921" i="3"/>
  <c r="P921" i="3"/>
  <c r="Z927" i="3" l="1"/>
  <c r="AA927" i="3" s="1"/>
  <c r="AC927" i="3" s="1"/>
  <c r="AB927" i="3"/>
  <c r="Z928" i="3"/>
  <c r="AA928" i="3" s="1"/>
  <c r="AC928" i="3" s="1"/>
  <c r="AB928" i="3"/>
  <c r="Z923" i="3"/>
  <c r="AA923" i="3" s="1"/>
  <c r="AB923" i="3"/>
  <c r="Z924" i="3"/>
  <c r="AA924" i="3" s="1"/>
  <c r="AC924" i="3" s="1"/>
  <c r="AB924" i="3"/>
  <c r="Z925" i="3"/>
  <c r="AA925" i="3" s="1"/>
  <c r="AC925" i="3" s="1"/>
  <c r="AB925" i="3"/>
  <c r="Z929" i="3"/>
  <c r="AA929" i="3" s="1"/>
  <c r="AC929" i="3" s="1"/>
  <c r="AB929" i="3"/>
  <c r="W921" i="3"/>
  <c r="AB921" i="3" s="1"/>
  <c r="AB920" i="3"/>
  <c r="Y921" i="3"/>
  <c r="O923" i="3"/>
  <c r="N926" i="3"/>
  <c r="N930" i="3" s="1"/>
  <c r="O930" i="3" s="1"/>
  <c r="X930" i="3"/>
  <c r="Y930" i="3"/>
  <c r="W926" i="3"/>
  <c r="Z920" i="3"/>
  <c r="AA920" i="3" s="1"/>
  <c r="X921" i="3"/>
  <c r="M917" i="3"/>
  <c r="M916" i="3"/>
  <c r="W917" i="3"/>
  <c r="Z917" i="3" s="1"/>
  <c r="AA917" i="3" s="1"/>
  <c r="W916" i="3"/>
  <c r="Z916" i="3" s="1"/>
  <c r="AA916" i="3" s="1"/>
  <c r="L918" i="3"/>
  <c r="Y917" i="3"/>
  <c r="X917" i="3"/>
  <c r="Y916" i="3"/>
  <c r="X916" i="3"/>
  <c r="S918" i="3"/>
  <c r="T918" i="3"/>
  <c r="U918" i="3"/>
  <c r="V918" i="3"/>
  <c r="R918" i="3"/>
  <c r="P918" i="3"/>
  <c r="L914" i="3"/>
  <c r="L910" i="3"/>
  <c r="M910" i="3" s="1"/>
  <c r="Z921" i="3" l="1"/>
  <c r="AA921" i="3" s="1"/>
  <c r="W930" i="3"/>
  <c r="AB926" i="3"/>
  <c r="N916" i="3"/>
  <c r="O916" i="3" s="1"/>
  <c r="AC916" i="3" s="1"/>
  <c r="AB916" i="3"/>
  <c r="AC923" i="3"/>
  <c r="N910" i="3"/>
  <c r="N911" i="3" s="1"/>
  <c r="N917" i="3"/>
  <c r="O917" i="3" s="1"/>
  <c r="AC917" i="3" s="1"/>
  <c r="AB917" i="3"/>
  <c r="Y918" i="3"/>
  <c r="L911" i="3"/>
  <c r="M918" i="3"/>
  <c r="W918" i="3"/>
  <c r="Z918" i="3" s="1"/>
  <c r="AA918" i="3" s="1"/>
  <c r="X918" i="3"/>
  <c r="M913" i="3"/>
  <c r="M911" i="3"/>
  <c r="V914" i="3"/>
  <c r="U914" i="3"/>
  <c r="T914" i="3"/>
  <c r="S914" i="3"/>
  <c r="R914" i="3"/>
  <c r="P914" i="3"/>
  <c r="V911" i="3"/>
  <c r="U911" i="3"/>
  <c r="T911" i="3"/>
  <c r="S911" i="3"/>
  <c r="R911" i="3"/>
  <c r="P911" i="3"/>
  <c r="Y913" i="3"/>
  <c r="X913" i="3"/>
  <c r="W913" i="3"/>
  <c r="K71" i="7" s="1"/>
  <c r="R71" i="7" s="1"/>
  <c r="Y910" i="3"/>
  <c r="X910" i="3"/>
  <c r="W910" i="3"/>
  <c r="AB910" i="3" s="1"/>
  <c r="Y907" i="3"/>
  <c r="X907" i="3"/>
  <c r="S908" i="3"/>
  <c r="T908" i="3"/>
  <c r="U908" i="3"/>
  <c r="V908" i="3"/>
  <c r="R908" i="3"/>
  <c r="P908" i="3"/>
  <c r="W907" i="3"/>
  <c r="M902" i="3"/>
  <c r="M904" i="3"/>
  <c r="M903" i="3"/>
  <c r="L905" i="3"/>
  <c r="X904" i="3"/>
  <c r="Y904" i="3"/>
  <c r="Y903" i="3"/>
  <c r="X903" i="3"/>
  <c r="Y902" i="3"/>
  <c r="X902" i="3"/>
  <c r="W904" i="3"/>
  <c r="Z904" i="3" s="1"/>
  <c r="AA904" i="3" s="1"/>
  <c r="W903" i="3"/>
  <c r="Z903" i="3" s="1"/>
  <c r="AA903" i="3" s="1"/>
  <c r="W902" i="3"/>
  <c r="S905" i="3"/>
  <c r="T905" i="3"/>
  <c r="U905" i="3"/>
  <c r="V905" i="3"/>
  <c r="R905" i="3"/>
  <c r="P905" i="3"/>
  <c r="Y899" i="3"/>
  <c r="X899" i="3"/>
  <c r="S900" i="3"/>
  <c r="T900" i="3"/>
  <c r="U900" i="3"/>
  <c r="V900" i="3"/>
  <c r="R900" i="3"/>
  <c r="P900" i="3"/>
  <c r="W899" i="3"/>
  <c r="M896" i="3"/>
  <c r="M895" i="3"/>
  <c r="L897" i="3"/>
  <c r="S897" i="3"/>
  <c r="T897" i="3"/>
  <c r="U897" i="3"/>
  <c r="V897" i="3"/>
  <c r="R897" i="3"/>
  <c r="Y896" i="3"/>
  <c r="X896" i="3"/>
  <c r="W896" i="3"/>
  <c r="Z896" i="3" s="1"/>
  <c r="AA896" i="3" s="1"/>
  <c r="Y895" i="3"/>
  <c r="X895" i="3"/>
  <c r="W895" i="3"/>
  <c r="M892" i="3"/>
  <c r="M891" i="3"/>
  <c r="L893" i="3"/>
  <c r="Y892" i="3"/>
  <c r="X892" i="3"/>
  <c r="Y891" i="3"/>
  <c r="X891" i="3"/>
  <c r="S893" i="3"/>
  <c r="T893" i="3"/>
  <c r="U893" i="3"/>
  <c r="V893" i="3"/>
  <c r="R893" i="3"/>
  <c r="W892" i="3"/>
  <c r="Z892" i="3" s="1"/>
  <c r="AA892" i="3" s="1"/>
  <c r="W891" i="3"/>
  <c r="P897" i="3"/>
  <c r="P893" i="3"/>
  <c r="M878" i="3"/>
  <c r="M879" i="3"/>
  <c r="M877" i="3"/>
  <c r="N875" i="3"/>
  <c r="O875" i="3" s="1"/>
  <c r="N876" i="3"/>
  <c r="O876" i="3" s="1"/>
  <c r="N880" i="3"/>
  <c r="O880" i="3" s="1"/>
  <c r="N881" i="3"/>
  <c r="O881" i="3" s="1"/>
  <c r="N882" i="3"/>
  <c r="O882" i="3" s="1"/>
  <c r="N883" i="3"/>
  <c r="O883" i="3" s="1"/>
  <c r="N884" i="3"/>
  <c r="O884" i="3" s="1"/>
  <c r="N874" i="3"/>
  <c r="O874" i="3" s="1"/>
  <c r="N871" i="3"/>
  <c r="O871" i="3" s="1"/>
  <c r="N872" i="3"/>
  <c r="O872" i="3" s="1"/>
  <c r="N870" i="3"/>
  <c r="O870" i="3" s="1"/>
  <c r="M873" i="3"/>
  <c r="L873" i="3"/>
  <c r="L885" i="3" s="1"/>
  <c r="K18" i="7" l="1"/>
  <c r="R18" i="7" s="1"/>
  <c r="AB891" i="3"/>
  <c r="AB918" i="3"/>
  <c r="AB895" i="3"/>
  <c r="N902" i="3"/>
  <c r="O902" i="3" s="1"/>
  <c r="AB902" i="3"/>
  <c r="N877" i="3"/>
  <c r="O877" i="3" s="1"/>
  <c r="N896" i="3"/>
  <c r="O896" i="3" s="1"/>
  <c r="AC896" i="3" s="1"/>
  <c r="AB896" i="3"/>
  <c r="N918" i="3"/>
  <c r="O918" i="3" s="1"/>
  <c r="AC918" i="3" s="1"/>
  <c r="O910" i="3"/>
  <c r="N892" i="3"/>
  <c r="O892" i="3" s="1"/>
  <c r="AC892" i="3" s="1"/>
  <c r="AB892" i="3"/>
  <c r="N903" i="3"/>
  <c r="O903" i="3" s="1"/>
  <c r="AC903" i="3" s="1"/>
  <c r="AB903" i="3"/>
  <c r="N879" i="3"/>
  <c r="O879" i="3" s="1"/>
  <c r="W900" i="3"/>
  <c r="AB900" i="3" s="1"/>
  <c r="AB899" i="3"/>
  <c r="N904" i="3"/>
  <c r="O904" i="3" s="1"/>
  <c r="AC904" i="3" s="1"/>
  <c r="AB904" i="3"/>
  <c r="M914" i="3"/>
  <c r="AB913" i="3"/>
  <c r="W908" i="3"/>
  <c r="AB908" i="3" s="1"/>
  <c r="AB907" i="3"/>
  <c r="Z930" i="3"/>
  <c r="AA930" i="3" s="1"/>
  <c r="AC930" i="3" s="1"/>
  <c r="AB930" i="3"/>
  <c r="W911" i="3"/>
  <c r="Z911" i="3" s="1"/>
  <c r="AA911" i="3" s="1"/>
  <c r="K12" i="7"/>
  <c r="R12" i="7" s="1"/>
  <c r="K83" i="7"/>
  <c r="R83" i="7" s="1"/>
  <c r="K59" i="7"/>
  <c r="R59" i="7" s="1"/>
  <c r="W914" i="3"/>
  <c r="Z914" i="3" s="1"/>
  <c r="AA914" i="3" s="1"/>
  <c r="Z902" i="3"/>
  <c r="AA902" i="3" s="1"/>
  <c r="Y897" i="3"/>
  <c r="X908" i="3"/>
  <c r="O911" i="3"/>
  <c r="X914" i="3"/>
  <c r="X911" i="3"/>
  <c r="Y914" i="3"/>
  <c r="W897" i="3"/>
  <c r="Z897" i="3" s="1"/>
  <c r="AA897" i="3" s="1"/>
  <c r="Y893" i="3"/>
  <c r="X893" i="3"/>
  <c r="Y900" i="3"/>
  <c r="M897" i="3"/>
  <c r="Z907" i="3"/>
  <c r="AA907" i="3" s="1"/>
  <c r="W893" i="3"/>
  <c r="Z893" i="3" s="1"/>
  <c r="AA893" i="3" s="1"/>
  <c r="M893" i="3"/>
  <c r="N895" i="3"/>
  <c r="O895" i="3" s="1"/>
  <c r="Y908" i="3"/>
  <c r="X905" i="3"/>
  <c r="M905" i="3"/>
  <c r="Y911" i="3"/>
  <c r="N913" i="3"/>
  <c r="Z913" i="3"/>
  <c r="AA913" i="3" s="1"/>
  <c r="Z910" i="3"/>
  <c r="AA910" i="3" s="1"/>
  <c r="Y905" i="3"/>
  <c r="W905" i="3"/>
  <c r="Z905" i="3" s="1"/>
  <c r="AA905" i="3" s="1"/>
  <c r="Z891" i="3"/>
  <c r="AA891" i="3" s="1"/>
  <c r="Z899" i="3"/>
  <c r="AA899" i="3" s="1"/>
  <c r="X900" i="3"/>
  <c r="Z895" i="3"/>
  <c r="AA895" i="3" s="1"/>
  <c r="X897" i="3"/>
  <c r="N891" i="3"/>
  <c r="N873" i="3"/>
  <c r="M885" i="3"/>
  <c r="N878" i="3"/>
  <c r="O878" i="3" s="1"/>
  <c r="AC902" i="3" l="1"/>
  <c r="N905" i="3"/>
  <c r="O905" i="3" s="1"/>
  <c r="AC905" i="3" s="1"/>
  <c r="AC910" i="3"/>
  <c r="AB911" i="3"/>
  <c r="AB897" i="3"/>
  <c r="Z900" i="3"/>
  <c r="AA900" i="3" s="1"/>
  <c r="AB914" i="3"/>
  <c r="AB893" i="3"/>
  <c r="Z908" i="3"/>
  <c r="AA908" i="3" s="1"/>
  <c r="AB905" i="3"/>
  <c r="AC911" i="3"/>
  <c r="AC895" i="3"/>
  <c r="N897" i="3"/>
  <c r="O897" i="3" s="1"/>
  <c r="AC897" i="3" s="1"/>
  <c r="O913" i="3"/>
  <c r="AC913" i="3" s="1"/>
  <c r="N914" i="3"/>
  <c r="O914" i="3" s="1"/>
  <c r="AC914" i="3" s="1"/>
  <c r="O891" i="3"/>
  <c r="AC891" i="3" s="1"/>
  <c r="N893" i="3"/>
  <c r="O893" i="3" s="1"/>
  <c r="AC893" i="3" s="1"/>
  <c r="N885" i="3"/>
  <c r="O885" i="3" s="1"/>
  <c r="M888" i="3" l="1"/>
  <c r="L887" i="3"/>
  <c r="L889" i="3" s="1"/>
  <c r="S889" i="3"/>
  <c r="T889" i="3"/>
  <c r="U889" i="3"/>
  <c r="V889" i="3"/>
  <c r="R889" i="3"/>
  <c r="P887" i="3"/>
  <c r="Y888" i="3"/>
  <c r="X888" i="3"/>
  <c r="W888" i="3"/>
  <c r="Z888" i="3" s="1"/>
  <c r="AA888" i="3" s="1"/>
  <c r="X887" i="3"/>
  <c r="W887" i="3"/>
  <c r="Y872" i="3"/>
  <c r="X872" i="3"/>
  <c r="Y871" i="3"/>
  <c r="X871" i="3"/>
  <c r="Y870" i="3"/>
  <c r="X870" i="3"/>
  <c r="X881" i="3"/>
  <c r="Y881" i="3"/>
  <c r="X882" i="3"/>
  <c r="Y882" i="3"/>
  <c r="X883" i="3"/>
  <c r="Y883" i="3"/>
  <c r="X884" i="3"/>
  <c r="Y884" i="3"/>
  <c r="Y880" i="3"/>
  <c r="X880" i="3"/>
  <c r="Y879" i="3"/>
  <c r="X879" i="3"/>
  <c r="Y878" i="3"/>
  <c r="X878" i="3"/>
  <c r="Y877" i="3"/>
  <c r="X877" i="3"/>
  <c r="Y876" i="3"/>
  <c r="X876" i="3"/>
  <c r="Y875" i="3"/>
  <c r="X875" i="3"/>
  <c r="Y874" i="3"/>
  <c r="X874" i="3"/>
  <c r="W875" i="3"/>
  <c r="W876" i="3"/>
  <c r="W877" i="3"/>
  <c r="W878" i="3"/>
  <c r="W879" i="3"/>
  <c r="W880" i="3"/>
  <c r="W881" i="3"/>
  <c r="W882" i="3"/>
  <c r="W883" i="3"/>
  <c r="W884" i="3"/>
  <c r="W874" i="3"/>
  <c r="W871" i="3"/>
  <c r="W872" i="3"/>
  <c r="W870" i="3"/>
  <c r="S873" i="3"/>
  <c r="S885" i="3" s="1"/>
  <c r="T873" i="3"/>
  <c r="T885" i="3" s="1"/>
  <c r="U873" i="3"/>
  <c r="U885" i="3" s="1"/>
  <c r="V873" i="3"/>
  <c r="V885" i="3" s="1"/>
  <c r="R873" i="3"/>
  <c r="R885" i="3" s="1"/>
  <c r="P873" i="3"/>
  <c r="P885" i="3" s="1"/>
  <c r="D24" i="7" l="1"/>
  <c r="C29" i="20"/>
  <c r="K24" i="7"/>
  <c r="Z881" i="3"/>
  <c r="AA881" i="3" s="1"/>
  <c r="AC881" i="3" s="1"/>
  <c r="AB881" i="3"/>
  <c r="Z870" i="3"/>
  <c r="AA870" i="3" s="1"/>
  <c r="AC870" i="3" s="1"/>
  <c r="AB870" i="3"/>
  <c r="Z878" i="3"/>
  <c r="AA878" i="3" s="1"/>
  <c r="AC878" i="3" s="1"/>
  <c r="AB878" i="3"/>
  <c r="Z871" i="3"/>
  <c r="AA871" i="3" s="1"/>
  <c r="AC871" i="3" s="1"/>
  <c r="AB871" i="3"/>
  <c r="Z884" i="3"/>
  <c r="AA884" i="3" s="1"/>
  <c r="AC884" i="3" s="1"/>
  <c r="AB884" i="3"/>
  <c r="Z876" i="3"/>
  <c r="AA876" i="3" s="1"/>
  <c r="AC876" i="3" s="1"/>
  <c r="AB876" i="3"/>
  <c r="Z880" i="3"/>
  <c r="AA880" i="3" s="1"/>
  <c r="AC880" i="3" s="1"/>
  <c r="AB880" i="3"/>
  <c r="Z879" i="3"/>
  <c r="AA879" i="3" s="1"/>
  <c r="AC879" i="3" s="1"/>
  <c r="AB879" i="3"/>
  <c r="Z877" i="3"/>
  <c r="AA877" i="3" s="1"/>
  <c r="AC877" i="3" s="1"/>
  <c r="AB877" i="3"/>
  <c r="Z875" i="3"/>
  <c r="AA875" i="3" s="1"/>
  <c r="AC875" i="3" s="1"/>
  <c r="AB875" i="3"/>
  <c r="Z872" i="3"/>
  <c r="AA872" i="3" s="1"/>
  <c r="AC872" i="3" s="1"/>
  <c r="AB872" i="3"/>
  <c r="Z874" i="3"/>
  <c r="AA874" i="3" s="1"/>
  <c r="AC874" i="3" s="1"/>
  <c r="AB874" i="3"/>
  <c r="Z883" i="3"/>
  <c r="AA883" i="3" s="1"/>
  <c r="AC883" i="3" s="1"/>
  <c r="AB883" i="3"/>
  <c r="Z882" i="3"/>
  <c r="AA882" i="3" s="1"/>
  <c r="AC882" i="3" s="1"/>
  <c r="AB882" i="3"/>
  <c r="N888" i="3"/>
  <c r="O888" i="3" s="1"/>
  <c r="AC888" i="3" s="1"/>
  <c r="AB888" i="3"/>
  <c r="P889" i="3"/>
  <c r="Y889" i="3" s="1"/>
  <c r="Y887" i="3"/>
  <c r="Y885" i="3"/>
  <c r="M887" i="3"/>
  <c r="W889" i="3"/>
  <c r="X889" i="3"/>
  <c r="X885" i="3"/>
  <c r="Z887" i="3"/>
  <c r="AA887" i="3" s="1"/>
  <c r="W873" i="3"/>
  <c r="L859" i="3"/>
  <c r="L868" i="3" s="1"/>
  <c r="R24" i="7" l="1"/>
  <c r="E29" i="20"/>
  <c r="N887" i="3"/>
  <c r="O887" i="3" s="1"/>
  <c r="AC887" i="3" s="1"/>
  <c r="AB887" i="3"/>
  <c r="W885" i="3"/>
  <c r="AB873" i="3"/>
  <c r="Z889" i="3"/>
  <c r="AA889" i="3" s="1"/>
  <c r="M889" i="3"/>
  <c r="AB889" i="3" s="1"/>
  <c r="R859" i="3"/>
  <c r="R868" i="3" s="1"/>
  <c r="S859" i="3"/>
  <c r="S868" i="3" s="1"/>
  <c r="T859" i="3"/>
  <c r="T868" i="3" s="1"/>
  <c r="U859" i="3"/>
  <c r="U868" i="3" s="1"/>
  <c r="V859" i="3"/>
  <c r="V868" i="3" s="1"/>
  <c r="X863" i="3"/>
  <c r="Y863" i="3"/>
  <c r="X864" i="3"/>
  <c r="Y864" i="3"/>
  <c r="X865" i="3"/>
  <c r="Y865" i="3"/>
  <c r="X866" i="3"/>
  <c r="Y866" i="3"/>
  <c r="X867" i="3"/>
  <c r="Y867" i="3"/>
  <c r="X857" i="3"/>
  <c r="Y857" i="3"/>
  <c r="Y862" i="3"/>
  <c r="X862" i="3"/>
  <c r="Y861" i="3"/>
  <c r="X861" i="3"/>
  <c r="Y860" i="3"/>
  <c r="X860" i="3"/>
  <c r="Y858" i="3"/>
  <c r="X858" i="3"/>
  <c r="Y856" i="3"/>
  <c r="X856" i="3"/>
  <c r="Y855" i="3"/>
  <c r="X855" i="3"/>
  <c r="Y854" i="3"/>
  <c r="X854" i="3"/>
  <c r="Y853" i="3"/>
  <c r="X853" i="3"/>
  <c r="Y852" i="3"/>
  <c r="X852" i="3"/>
  <c r="N867" i="3"/>
  <c r="O867" i="3" s="1"/>
  <c r="N866" i="3"/>
  <c r="O866" i="3" s="1"/>
  <c r="N865" i="3"/>
  <c r="O865" i="3" s="1"/>
  <c r="N864" i="3"/>
  <c r="O864" i="3" s="1"/>
  <c r="N863" i="3"/>
  <c r="O863" i="3" s="1"/>
  <c r="N862" i="3"/>
  <c r="O862" i="3" s="1"/>
  <c r="N861" i="3"/>
  <c r="O861" i="3" s="1"/>
  <c r="N860" i="3"/>
  <c r="O860" i="3" s="1"/>
  <c r="N857" i="3"/>
  <c r="O857" i="3" s="1"/>
  <c r="N858" i="3"/>
  <c r="O858" i="3" s="1"/>
  <c r="N856" i="3"/>
  <c r="O856" i="3" s="1"/>
  <c r="N855" i="3"/>
  <c r="O855" i="3" s="1"/>
  <c r="N854" i="3"/>
  <c r="O854" i="3" s="1"/>
  <c r="N853" i="3"/>
  <c r="N852" i="3"/>
  <c r="O852" i="3" s="1"/>
  <c r="M859" i="3"/>
  <c r="W865" i="3"/>
  <c r="W866" i="3"/>
  <c r="W867" i="3"/>
  <c r="W864" i="3"/>
  <c r="W863" i="3"/>
  <c r="W862" i="3"/>
  <c r="AB862" i="3" s="1"/>
  <c r="W861" i="3"/>
  <c r="W860" i="3"/>
  <c r="W857" i="3"/>
  <c r="W858" i="3"/>
  <c r="W856" i="3"/>
  <c r="W855" i="3"/>
  <c r="AB855" i="3" s="1"/>
  <c r="W854" i="3"/>
  <c r="W853" i="3"/>
  <c r="W852" i="3"/>
  <c r="N889" i="3" l="1"/>
  <c r="O889" i="3" s="1"/>
  <c r="AC889" i="3" s="1"/>
  <c r="Z856" i="3"/>
  <c r="AA856" i="3" s="1"/>
  <c r="AC856" i="3" s="1"/>
  <c r="AB856" i="3"/>
  <c r="Z864" i="3"/>
  <c r="AA864" i="3" s="1"/>
  <c r="AC864" i="3" s="1"/>
  <c r="AB864" i="3"/>
  <c r="Z867" i="3"/>
  <c r="AA867" i="3" s="1"/>
  <c r="AC867" i="3" s="1"/>
  <c r="AB867" i="3"/>
  <c r="Z863" i="3"/>
  <c r="AA863" i="3" s="1"/>
  <c r="AC863" i="3" s="1"/>
  <c r="AB863" i="3"/>
  <c r="Z866" i="3"/>
  <c r="AA866" i="3" s="1"/>
  <c r="AC866" i="3" s="1"/>
  <c r="AB866" i="3"/>
  <c r="Z865" i="3"/>
  <c r="AA865" i="3" s="1"/>
  <c r="AC865" i="3" s="1"/>
  <c r="AB865" i="3"/>
  <c r="Z885" i="3"/>
  <c r="AA885" i="3" s="1"/>
  <c r="AC885" i="3" s="1"/>
  <c r="AB885" i="3"/>
  <c r="Z858" i="3"/>
  <c r="AA858" i="3" s="1"/>
  <c r="AC858" i="3" s="1"/>
  <c r="AB858" i="3"/>
  <c r="Z857" i="3"/>
  <c r="AA857" i="3" s="1"/>
  <c r="AC857" i="3" s="1"/>
  <c r="AB857" i="3"/>
  <c r="M868" i="3"/>
  <c r="Z852" i="3"/>
  <c r="AA852" i="3" s="1"/>
  <c r="AC852" i="3" s="1"/>
  <c r="AB852" i="3"/>
  <c r="Z861" i="3"/>
  <c r="AA861" i="3" s="1"/>
  <c r="AC861" i="3" s="1"/>
  <c r="AB861" i="3"/>
  <c r="Z854" i="3"/>
  <c r="AA854" i="3" s="1"/>
  <c r="AC854" i="3" s="1"/>
  <c r="AB854" i="3"/>
  <c r="Z860" i="3"/>
  <c r="AA860" i="3" s="1"/>
  <c r="AC860" i="3" s="1"/>
  <c r="AB860" i="3"/>
  <c r="Z853" i="3"/>
  <c r="AA853" i="3" s="1"/>
  <c r="AB853" i="3"/>
  <c r="Z862" i="3"/>
  <c r="AA862" i="3" s="1"/>
  <c r="AC862" i="3" s="1"/>
  <c r="W859" i="3"/>
  <c r="W868" i="3" s="1"/>
  <c r="N859" i="3"/>
  <c r="N868" i="3" s="1"/>
  <c r="O868" i="3" s="1"/>
  <c r="O853" i="3"/>
  <c r="Z855" i="3"/>
  <c r="AA855" i="3" s="1"/>
  <c r="AC855" i="3" s="1"/>
  <c r="X868" i="3"/>
  <c r="AB859" i="3" l="1"/>
  <c r="AC853" i="3"/>
  <c r="AB868" i="3"/>
  <c r="P859" i="3"/>
  <c r="P868" i="3" s="1"/>
  <c r="M844" i="3"/>
  <c r="L840" i="3"/>
  <c r="N840" i="3" s="1"/>
  <c r="O840" i="3" s="1"/>
  <c r="L841" i="3"/>
  <c r="N841" i="3" s="1"/>
  <c r="O841" i="3" s="1"/>
  <c r="L842" i="3"/>
  <c r="N842" i="3" s="1"/>
  <c r="O842" i="3" s="1"/>
  <c r="L843" i="3"/>
  <c r="N843" i="3" s="1"/>
  <c r="O843" i="3" s="1"/>
  <c r="L845" i="3"/>
  <c r="N845" i="3" s="1"/>
  <c r="O845" i="3" s="1"/>
  <c r="L846" i="3"/>
  <c r="N846" i="3" s="1"/>
  <c r="O846" i="3" s="1"/>
  <c r="L847" i="3"/>
  <c r="N847" i="3" s="1"/>
  <c r="O847" i="3" s="1"/>
  <c r="L848" i="3"/>
  <c r="N848" i="3" s="1"/>
  <c r="O848" i="3" s="1"/>
  <c r="L849" i="3"/>
  <c r="N849" i="3" s="1"/>
  <c r="O849" i="3" s="1"/>
  <c r="L839" i="3"/>
  <c r="N839" i="3" s="1"/>
  <c r="O839" i="3" s="1"/>
  <c r="X846" i="3"/>
  <c r="Y846" i="3"/>
  <c r="X847" i="3"/>
  <c r="Y847" i="3"/>
  <c r="X848" i="3"/>
  <c r="Y848" i="3"/>
  <c r="X849" i="3"/>
  <c r="Y849" i="3"/>
  <c r="Y845" i="3"/>
  <c r="X845" i="3"/>
  <c r="Y843" i="3"/>
  <c r="X843" i="3"/>
  <c r="Y842" i="3"/>
  <c r="X842" i="3"/>
  <c r="Y841" i="3"/>
  <c r="X841" i="3"/>
  <c r="Y840" i="3"/>
  <c r="X840" i="3"/>
  <c r="Y839" i="3"/>
  <c r="X839" i="3"/>
  <c r="S844" i="3"/>
  <c r="S850" i="3" s="1"/>
  <c r="T844" i="3"/>
  <c r="T850" i="3" s="1"/>
  <c r="U844" i="3"/>
  <c r="U850" i="3" s="1"/>
  <c r="V844" i="3"/>
  <c r="V850" i="3" s="1"/>
  <c r="R844" i="3"/>
  <c r="R850" i="3" s="1"/>
  <c r="W846" i="3"/>
  <c r="W847" i="3"/>
  <c r="W848" i="3"/>
  <c r="W849" i="3"/>
  <c r="W845" i="3"/>
  <c r="W843" i="3"/>
  <c r="W842" i="3"/>
  <c r="W841" i="3"/>
  <c r="W840" i="3"/>
  <c r="W839" i="3"/>
  <c r="P844" i="3"/>
  <c r="P850" i="3" s="1"/>
  <c r="S828" i="3"/>
  <c r="S834" i="3" s="1"/>
  <c r="T828" i="3"/>
  <c r="T834" i="3" s="1"/>
  <c r="U828" i="3"/>
  <c r="U834" i="3" s="1"/>
  <c r="V828" i="3"/>
  <c r="V834" i="3" s="1"/>
  <c r="R828" i="3"/>
  <c r="R834" i="3" s="1"/>
  <c r="N831" i="3"/>
  <c r="O831" i="3" s="1"/>
  <c r="N832" i="3"/>
  <c r="O832" i="3" s="1"/>
  <c r="N833" i="3"/>
  <c r="O833" i="3" s="1"/>
  <c r="N830" i="3"/>
  <c r="O830" i="3" s="1"/>
  <c r="N829" i="3"/>
  <c r="O829" i="3" s="1"/>
  <c r="N827" i="3"/>
  <c r="O827" i="3" s="1"/>
  <c r="N826" i="3"/>
  <c r="M828" i="3"/>
  <c r="L828" i="3"/>
  <c r="L834" i="3" s="1"/>
  <c r="M836" i="3"/>
  <c r="L837" i="3"/>
  <c r="V837" i="3"/>
  <c r="U837" i="3"/>
  <c r="T837" i="3"/>
  <c r="S837" i="3"/>
  <c r="R837" i="3"/>
  <c r="P837" i="3"/>
  <c r="Y836" i="3"/>
  <c r="X836" i="3"/>
  <c r="W836" i="3"/>
  <c r="K87" i="7" s="1"/>
  <c r="R87" i="7" s="1"/>
  <c r="Z847" i="3" l="1"/>
  <c r="AA847" i="3" s="1"/>
  <c r="AC847" i="3" s="1"/>
  <c r="AB847" i="3"/>
  <c r="Z840" i="3"/>
  <c r="AA840" i="3" s="1"/>
  <c r="AC840" i="3" s="1"/>
  <c r="AB840" i="3"/>
  <c r="Z846" i="3"/>
  <c r="AA846" i="3" s="1"/>
  <c r="AC846" i="3" s="1"/>
  <c r="AB846" i="3"/>
  <c r="M837" i="3"/>
  <c r="AB836" i="3"/>
  <c r="M834" i="3"/>
  <c r="Z841" i="3"/>
  <c r="AA841" i="3" s="1"/>
  <c r="AC841" i="3" s="1"/>
  <c r="AB841" i="3"/>
  <c r="Z842" i="3"/>
  <c r="AA842" i="3" s="1"/>
  <c r="AC842" i="3" s="1"/>
  <c r="AB842" i="3"/>
  <c r="Z848" i="3"/>
  <c r="AA848" i="3" s="1"/>
  <c r="AC848" i="3" s="1"/>
  <c r="AB848" i="3"/>
  <c r="Z843" i="3"/>
  <c r="AA843" i="3" s="1"/>
  <c r="AC843" i="3" s="1"/>
  <c r="AB843" i="3"/>
  <c r="Z839" i="3"/>
  <c r="AA839" i="3" s="1"/>
  <c r="AC839" i="3" s="1"/>
  <c r="AB839" i="3"/>
  <c r="Z845" i="3"/>
  <c r="AA845" i="3" s="1"/>
  <c r="AC845" i="3" s="1"/>
  <c r="AB845" i="3"/>
  <c r="M850" i="3"/>
  <c r="Z849" i="3"/>
  <c r="AA849" i="3" s="1"/>
  <c r="AC849" i="3" s="1"/>
  <c r="AB849" i="3"/>
  <c r="Y868" i="3"/>
  <c r="Z868" i="3"/>
  <c r="AA868" i="3" s="1"/>
  <c r="AC868" i="3" s="1"/>
  <c r="X837" i="3"/>
  <c r="Y837" i="3"/>
  <c r="L844" i="3"/>
  <c r="L850" i="3" s="1"/>
  <c r="W837" i="3"/>
  <c r="Z837" i="3" s="1"/>
  <c r="AA837" i="3" s="1"/>
  <c r="N828" i="3"/>
  <c r="N834" i="3" s="1"/>
  <c r="O834" i="3" s="1"/>
  <c r="O826" i="3"/>
  <c r="N844" i="3"/>
  <c r="Y850" i="3"/>
  <c r="X850" i="3"/>
  <c r="W844" i="3"/>
  <c r="W850" i="3" s="1"/>
  <c r="Z850" i="3" s="1"/>
  <c r="AA850" i="3" s="1"/>
  <c r="N836" i="3"/>
  <c r="Z836" i="3"/>
  <c r="AA836" i="3" s="1"/>
  <c r="X834" i="3"/>
  <c r="Y833" i="3"/>
  <c r="X833" i="3"/>
  <c r="W833" i="3"/>
  <c r="Y832" i="3"/>
  <c r="X832" i="3"/>
  <c r="W832" i="3"/>
  <c r="M12" i="10" s="1"/>
  <c r="U12" i="10" s="1"/>
  <c r="Y831" i="3"/>
  <c r="X831" i="3"/>
  <c r="W831" i="3"/>
  <c r="Y830" i="3"/>
  <c r="X830" i="3"/>
  <c r="W830" i="3"/>
  <c r="Y829" i="3"/>
  <c r="X829" i="3"/>
  <c r="W829" i="3"/>
  <c r="Y827" i="3"/>
  <c r="X827" i="3"/>
  <c r="W827" i="3"/>
  <c r="Y826" i="3"/>
  <c r="X826" i="3"/>
  <c r="W826" i="3"/>
  <c r="AB826" i="3" s="1"/>
  <c r="P828" i="3"/>
  <c r="P834" i="3" s="1"/>
  <c r="Y834" i="3" s="1"/>
  <c r="AB844" i="3" l="1"/>
  <c r="AB850" i="3"/>
  <c r="AB837" i="3"/>
  <c r="Z833" i="3"/>
  <c r="AA833" i="3" s="1"/>
  <c r="AC833" i="3" s="1"/>
  <c r="AB833" i="3"/>
  <c r="Z832" i="3"/>
  <c r="AA832" i="3" s="1"/>
  <c r="AC832" i="3" s="1"/>
  <c r="AB832" i="3"/>
  <c r="Z827" i="3"/>
  <c r="AA827" i="3" s="1"/>
  <c r="AC827" i="3" s="1"/>
  <c r="AB827" i="3"/>
  <c r="Z831" i="3"/>
  <c r="AA831" i="3" s="1"/>
  <c r="AC831" i="3" s="1"/>
  <c r="AB831" i="3"/>
  <c r="M24" i="10"/>
  <c r="U24" i="10" s="1"/>
  <c r="AB829" i="3"/>
  <c r="Z830" i="3"/>
  <c r="AA830" i="3" s="1"/>
  <c r="AC830" i="3" s="1"/>
  <c r="AB830" i="3"/>
  <c r="Z826" i="3"/>
  <c r="AA826" i="3" s="1"/>
  <c r="AC826" i="3" s="1"/>
  <c r="W828" i="3"/>
  <c r="Z829" i="3"/>
  <c r="AA829" i="3" s="1"/>
  <c r="AC829" i="3" s="1"/>
  <c r="N850" i="3"/>
  <c r="O850" i="3" s="1"/>
  <c r="AC850" i="3" s="1"/>
  <c r="N837" i="3"/>
  <c r="O837" i="3" s="1"/>
  <c r="AC837" i="3" s="1"/>
  <c r="O836" i="3"/>
  <c r="AC836" i="3" s="1"/>
  <c r="W823" i="3"/>
  <c r="W820" i="3"/>
  <c r="L818" i="3"/>
  <c r="M817" i="3"/>
  <c r="M816" i="3"/>
  <c r="W817" i="3"/>
  <c r="Z817" i="3" s="1"/>
  <c r="AA817" i="3" s="1"/>
  <c r="W816" i="3"/>
  <c r="K30" i="7" s="1"/>
  <c r="R30" i="7" s="1"/>
  <c r="Y817" i="3"/>
  <c r="X817" i="3"/>
  <c r="Y816" i="3"/>
  <c r="X816" i="3"/>
  <c r="Y823" i="3"/>
  <c r="X823" i="3"/>
  <c r="Y820" i="3"/>
  <c r="X820" i="3"/>
  <c r="V818" i="3"/>
  <c r="U818" i="3"/>
  <c r="T818" i="3"/>
  <c r="S818" i="3"/>
  <c r="R818" i="3"/>
  <c r="P818" i="3"/>
  <c r="V824" i="3"/>
  <c r="U824" i="3"/>
  <c r="T824" i="3"/>
  <c r="S824" i="3"/>
  <c r="R824" i="3"/>
  <c r="P824" i="3"/>
  <c r="V821" i="3"/>
  <c r="U821" i="3"/>
  <c r="T821" i="3"/>
  <c r="S821" i="3"/>
  <c r="R821" i="3"/>
  <c r="P821" i="3"/>
  <c r="S814" i="3"/>
  <c r="T814" i="3"/>
  <c r="U814" i="3"/>
  <c r="V814" i="3"/>
  <c r="R814" i="3"/>
  <c r="M813" i="3"/>
  <c r="L814" i="3"/>
  <c r="Y813" i="3"/>
  <c r="X813" i="3"/>
  <c r="W813" i="3"/>
  <c r="K19" i="7" s="1"/>
  <c r="R19" i="7" s="1"/>
  <c r="P814" i="3"/>
  <c r="V811" i="3"/>
  <c r="U811" i="3"/>
  <c r="T811" i="3"/>
  <c r="S811" i="3"/>
  <c r="R811" i="3"/>
  <c r="V804" i="3"/>
  <c r="U804" i="3"/>
  <c r="T804" i="3"/>
  <c r="S804" i="3"/>
  <c r="R804" i="3"/>
  <c r="V807" i="3"/>
  <c r="U807" i="3"/>
  <c r="T807" i="3"/>
  <c r="S807" i="3"/>
  <c r="R807" i="3"/>
  <c r="M806" i="3"/>
  <c r="M810" i="3"/>
  <c r="M809" i="3"/>
  <c r="M803" i="3"/>
  <c r="M802" i="3"/>
  <c r="L811" i="3"/>
  <c r="L807" i="3"/>
  <c r="L804" i="3"/>
  <c r="Y806" i="3"/>
  <c r="X806" i="3"/>
  <c r="W806" i="3"/>
  <c r="Y810" i="3"/>
  <c r="X810" i="3"/>
  <c r="W810" i="3"/>
  <c r="Z810" i="3" s="1"/>
  <c r="AA810" i="3" s="1"/>
  <c r="Y809" i="3"/>
  <c r="X809" i="3"/>
  <c r="W809" i="3"/>
  <c r="Y803" i="3"/>
  <c r="X803" i="3"/>
  <c r="W803" i="3"/>
  <c r="Y802" i="3"/>
  <c r="X802" i="3"/>
  <c r="W802" i="3"/>
  <c r="K17" i="7" l="1"/>
  <c r="R17" i="7" s="1"/>
  <c r="AB816" i="3"/>
  <c r="N813" i="3"/>
  <c r="O813" i="3" s="1"/>
  <c r="AB813" i="3"/>
  <c r="N809" i="3"/>
  <c r="O809" i="3" s="1"/>
  <c r="AB809" i="3"/>
  <c r="N810" i="3"/>
  <c r="O810" i="3" s="1"/>
  <c r="AC810" i="3" s="1"/>
  <c r="AB810" i="3"/>
  <c r="W834" i="3"/>
  <c r="AB828" i="3"/>
  <c r="W821" i="3"/>
  <c r="AB821" i="3" s="1"/>
  <c r="AB820" i="3"/>
  <c r="N803" i="3"/>
  <c r="O803" i="3" s="1"/>
  <c r="AB803" i="3"/>
  <c r="W824" i="3"/>
  <c r="AB824" i="3" s="1"/>
  <c r="AB823" i="3"/>
  <c r="N806" i="3"/>
  <c r="O806" i="3" s="1"/>
  <c r="AB806" i="3"/>
  <c r="N817" i="3"/>
  <c r="O817" i="3" s="1"/>
  <c r="AC817" i="3" s="1"/>
  <c r="AB817" i="3"/>
  <c r="AB802" i="3"/>
  <c r="K29" i="7"/>
  <c r="R29" i="7" s="1"/>
  <c r="K76" i="7"/>
  <c r="R76" i="7" s="1"/>
  <c r="W814" i="3"/>
  <c r="Z814" i="3" s="1"/>
  <c r="AA814" i="3" s="1"/>
  <c r="Z816" i="3"/>
  <c r="AA816" i="3" s="1"/>
  <c r="Z802" i="3"/>
  <c r="AA802" i="3" s="1"/>
  <c r="W807" i="3"/>
  <c r="X807" i="3"/>
  <c r="M818" i="3"/>
  <c r="M807" i="3"/>
  <c r="Y814" i="3"/>
  <c r="M814" i="3"/>
  <c r="X814" i="3"/>
  <c r="M804" i="3"/>
  <c r="M811" i="3"/>
  <c r="Z823" i="3"/>
  <c r="AA823" i="3" s="1"/>
  <c r="Z820" i="3"/>
  <c r="AA820" i="3" s="1"/>
  <c r="N816" i="3"/>
  <c r="W818" i="3"/>
  <c r="Z818" i="3" s="1"/>
  <c r="AA818" i="3" s="1"/>
  <c r="W804" i="3"/>
  <c r="Z813" i="3"/>
  <c r="AA813" i="3" s="1"/>
  <c r="W811" i="3"/>
  <c r="N802" i="3"/>
  <c r="Z803" i="3"/>
  <c r="AA803" i="3" s="1"/>
  <c r="Z806" i="3"/>
  <c r="AA806" i="3" s="1"/>
  <c r="Z809" i="3"/>
  <c r="AA809" i="3" s="1"/>
  <c r="P807" i="3"/>
  <c r="Y807" i="3" s="1"/>
  <c r="P804" i="3"/>
  <c r="L799" i="3"/>
  <c r="M799" i="3" s="1"/>
  <c r="Y799" i="3"/>
  <c r="X799" i="3"/>
  <c r="W799" i="3"/>
  <c r="K82" i="7" s="1"/>
  <c r="R82" i="7" s="1"/>
  <c r="V800" i="3"/>
  <c r="U800" i="3"/>
  <c r="T800" i="3"/>
  <c r="S800" i="3"/>
  <c r="R800" i="3"/>
  <c r="P800" i="3"/>
  <c r="L800" i="3" s="1"/>
  <c r="L793" i="3"/>
  <c r="M793" i="3" s="1"/>
  <c r="L794" i="3"/>
  <c r="N794" i="3" s="1"/>
  <c r="O794" i="3" s="1"/>
  <c r="L795" i="3"/>
  <c r="N795" i="3" s="1"/>
  <c r="O795" i="3" s="1"/>
  <c r="L796" i="3"/>
  <c r="N796" i="3" s="1"/>
  <c r="O796" i="3" s="1"/>
  <c r="L792" i="3"/>
  <c r="N792" i="3" s="1"/>
  <c r="O792" i="3" s="1"/>
  <c r="L788" i="3"/>
  <c r="L789" i="3"/>
  <c r="N789" i="3" s="1"/>
  <c r="O789" i="3" s="1"/>
  <c r="L790" i="3"/>
  <c r="N790" i="3" s="1"/>
  <c r="O790" i="3" s="1"/>
  <c r="L787" i="3"/>
  <c r="W794" i="3"/>
  <c r="X794" i="3"/>
  <c r="Y794" i="3"/>
  <c r="X789" i="3"/>
  <c r="Y789" i="3"/>
  <c r="P791" i="3"/>
  <c r="P797" i="3" s="1"/>
  <c r="S791" i="3"/>
  <c r="S797" i="3" s="1"/>
  <c r="T791" i="3"/>
  <c r="T797" i="3" s="1"/>
  <c r="U791" i="3"/>
  <c r="U797" i="3" s="1"/>
  <c r="V791" i="3"/>
  <c r="V797" i="3" s="1"/>
  <c r="R791" i="3"/>
  <c r="R797" i="3" s="1"/>
  <c r="AC803" i="3" l="1"/>
  <c r="Z821" i="3"/>
  <c r="AA821" i="3" s="1"/>
  <c r="N814" i="3"/>
  <c r="O814" i="3" s="1"/>
  <c r="AC814" i="3" s="1"/>
  <c r="AB814" i="3"/>
  <c r="N818" i="3"/>
  <c r="O818" i="3" s="1"/>
  <c r="AC818" i="3" s="1"/>
  <c r="Z824" i="3"/>
  <c r="AA824" i="3" s="1"/>
  <c r="N811" i="3"/>
  <c r="O811" i="3" s="1"/>
  <c r="Z794" i="3"/>
  <c r="AA794" i="3" s="1"/>
  <c r="AC794" i="3" s="1"/>
  <c r="AB794" i="3"/>
  <c r="Z834" i="3"/>
  <c r="AA834" i="3" s="1"/>
  <c r="AC834" i="3" s="1"/>
  <c r="AB834" i="3"/>
  <c r="AB804" i="3"/>
  <c r="AB818" i="3"/>
  <c r="M800" i="3"/>
  <c r="AB799" i="3"/>
  <c r="N807" i="3"/>
  <c r="O807" i="3" s="1"/>
  <c r="AB811" i="3"/>
  <c r="AB807" i="3"/>
  <c r="W800" i="3"/>
  <c r="Z800" i="3" s="1"/>
  <c r="AA800" i="3" s="1"/>
  <c r="AC806" i="3"/>
  <c r="O816" i="3"/>
  <c r="AC816" i="3" s="1"/>
  <c r="Z807" i="3"/>
  <c r="AA807" i="3" s="1"/>
  <c r="X800" i="3"/>
  <c r="AC813" i="3"/>
  <c r="N793" i="3"/>
  <c r="O793" i="3" s="1"/>
  <c r="Y800" i="3"/>
  <c r="AC809" i="3"/>
  <c r="Z804" i="3"/>
  <c r="AA804" i="3" s="1"/>
  <c r="N804" i="3"/>
  <c r="O804" i="3" s="1"/>
  <c r="O802" i="3"/>
  <c r="AC802" i="3" s="1"/>
  <c r="P811" i="3"/>
  <c r="Z811" i="3" s="1"/>
  <c r="AA811" i="3" s="1"/>
  <c r="Z799" i="3"/>
  <c r="AA799" i="3" s="1"/>
  <c r="N799" i="3"/>
  <c r="N787" i="3"/>
  <c r="O787" i="3" s="1"/>
  <c r="M791" i="3"/>
  <c r="L791" i="3"/>
  <c r="L797" i="3" s="1"/>
  <c r="Y797" i="3"/>
  <c r="X797" i="3"/>
  <c r="Y796" i="3"/>
  <c r="X796" i="3"/>
  <c r="Y795" i="3"/>
  <c r="X795" i="3"/>
  <c r="Y793" i="3"/>
  <c r="X793" i="3"/>
  <c r="Y792" i="3"/>
  <c r="X792" i="3"/>
  <c r="Y790" i="3"/>
  <c r="X790" i="3"/>
  <c r="Y788" i="3"/>
  <c r="X788" i="3"/>
  <c r="Y787" i="3"/>
  <c r="X787" i="3"/>
  <c r="W796" i="3"/>
  <c r="W795" i="3"/>
  <c r="W793" i="3"/>
  <c r="Z793" i="3" s="1"/>
  <c r="AA793" i="3" s="1"/>
  <c r="W792" i="3"/>
  <c r="W790" i="3"/>
  <c r="W789" i="3"/>
  <c r="W788" i="3"/>
  <c r="W787" i="3"/>
  <c r="AB787" i="3" s="1"/>
  <c r="AC807" i="3" l="1"/>
  <c r="AC811" i="3"/>
  <c r="AB800" i="3"/>
  <c r="Z792" i="3"/>
  <c r="AA792" i="3" s="1"/>
  <c r="AC792" i="3" s="1"/>
  <c r="AB792" i="3"/>
  <c r="Z789" i="3"/>
  <c r="AA789" i="3" s="1"/>
  <c r="AC789" i="3" s="1"/>
  <c r="AB789" i="3"/>
  <c r="Z790" i="3"/>
  <c r="AA790" i="3" s="1"/>
  <c r="AC790" i="3" s="1"/>
  <c r="AB790" i="3"/>
  <c r="AB793" i="3"/>
  <c r="Z795" i="3"/>
  <c r="AA795" i="3" s="1"/>
  <c r="AC795" i="3" s="1"/>
  <c r="AB795" i="3"/>
  <c r="Z796" i="3"/>
  <c r="AA796" i="3" s="1"/>
  <c r="AC796" i="3" s="1"/>
  <c r="AB796" i="3"/>
  <c r="Z788" i="3"/>
  <c r="AA788" i="3" s="1"/>
  <c r="AB788" i="3"/>
  <c r="M797" i="3"/>
  <c r="AC793" i="3"/>
  <c r="AC804" i="3"/>
  <c r="O799" i="3"/>
  <c r="AC799" i="3" s="1"/>
  <c r="N800" i="3"/>
  <c r="O800" i="3" s="1"/>
  <c r="AC800" i="3" s="1"/>
  <c r="N788" i="3"/>
  <c r="W791" i="3"/>
  <c r="W797" i="3" s="1"/>
  <c r="Z797" i="3" s="1"/>
  <c r="AA797" i="3" s="1"/>
  <c r="Z787" i="3"/>
  <c r="AA787" i="3" s="1"/>
  <c r="AC787" i="3" s="1"/>
  <c r="AB797" i="3" l="1"/>
  <c r="AB791" i="3"/>
  <c r="O788" i="3"/>
  <c r="AC788" i="3" s="1"/>
  <c r="N791" i="3"/>
  <c r="N797" i="3" s="1"/>
  <c r="O797" i="3" s="1"/>
  <c r="AC797" i="3" s="1"/>
  <c r="L784" i="3"/>
  <c r="M784" i="3" s="1"/>
  <c r="L783" i="3"/>
  <c r="W784" i="3"/>
  <c r="W783" i="3"/>
  <c r="Y784" i="3"/>
  <c r="X784" i="3"/>
  <c r="Y783" i="3"/>
  <c r="X783" i="3"/>
  <c r="P785" i="3"/>
  <c r="L785" i="3" s="1"/>
  <c r="L780" i="3"/>
  <c r="L779" i="3"/>
  <c r="M779" i="3" s="1"/>
  <c r="W780" i="3"/>
  <c r="Z780" i="3" s="1"/>
  <c r="W779" i="3"/>
  <c r="Y780" i="3"/>
  <c r="X780" i="3"/>
  <c r="Y779" i="3"/>
  <c r="X779" i="3"/>
  <c r="V781" i="3"/>
  <c r="U781" i="3"/>
  <c r="T781" i="3"/>
  <c r="S781" i="3"/>
  <c r="R781" i="3"/>
  <c r="P781" i="3"/>
  <c r="L781" i="3" s="1"/>
  <c r="N776" i="3"/>
  <c r="O776" i="3" s="1"/>
  <c r="N775" i="3"/>
  <c r="O775" i="3" s="1"/>
  <c r="N774" i="3"/>
  <c r="O774" i="3" s="1"/>
  <c r="N773" i="3"/>
  <c r="N772" i="3"/>
  <c r="O772" i="3" s="1"/>
  <c r="N770" i="3"/>
  <c r="O770" i="3" s="1"/>
  <c r="M771" i="3"/>
  <c r="N769" i="3"/>
  <c r="O769" i="3" s="1"/>
  <c r="L771" i="3"/>
  <c r="L777" i="3" s="1"/>
  <c r="X776" i="3"/>
  <c r="Y776" i="3"/>
  <c r="X773" i="3"/>
  <c r="Y773" i="3"/>
  <c r="X774" i="3"/>
  <c r="Y774" i="3"/>
  <c r="W774" i="3"/>
  <c r="Y770" i="3"/>
  <c r="X770" i="3"/>
  <c r="Y775" i="3"/>
  <c r="X775" i="3"/>
  <c r="Y772" i="3"/>
  <c r="X772" i="3"/>
  <c r="Y769" i="3"/>
  <c r="X769" i="3"/>
  <c r="W776" i="3"/>
  <c r="W775" i="3"/>
  <c r="W773" i="3"/>
  <c r="W772" i="3"/>
  <c r="W770" i="3"/>
  <c r="AB770" i="3" s="1"/>
  <c r="W769" i="3"/>
  <c r="V771" i="3"/>
  <c r="V777" i="3" s="1"/>
  <c r="U771" i="3"/>
  <c r="U777" i="3" s="1"/>
  <c r="T771" i="3"/>
  <c r="T777" i="3" s="1"/>
  <c r="S771" i="3"/>
  <c r="S777" i="3" s="1"/>
  <c r="R771" i="3"/>
  <c r="R777" i="3" s="1"/>
  <c r="P771" i="3"/>
  <c r="P777" i="3" s="1"/>
  <c r="M764" i="3"/>
  <c r="L765" i="3"/>
  <c r="N765" i="3" s="1"/>
  <c r="O765" i="3" s="1"/>
  <c r="L766" i="3"/>
  <c r="N766" i="3" s="1"/>
  <c r="O766" i="3" s="1"/>
  <c r="L763" i="3"/>
  <c r="W766" i="3"/>
  <c r="W765" i="3"/>
  <c r="Y766" i="3"/>
  <c r="X766" i="3"/>
  <c r="Y765" i="3"/>
  <c r="X765" i="3"/>
  <c r="Y763" i="3"/>
  <c r="X763" i="3"/>
  <c r="W763" i="3"/>
  <c r="AB763" i="3" s="1"/>
  <c r="S764" i="3"/>
  <c r="S767" i="3" s="1"/>
  <c r="T764" i="3"/>
  <c r="T767" i="3" s="1"/>
  <c r="U764" i="3"/>
  <c r="U767" i="3" s="1"/>
  <c r="V764" i="3"/>
  <c r="V767" i="3" s="1"/>
  <c r="R764" i="3"/>
  <c r="R767" i="3" s="1"/>
  <c r="P764" i="3"/>
  <c r="P767" i="3" s="1"/>
  <c r="L760" i="3"/>
  <c r="Y760" i="3"/>
  <c r="V761" i="3"/>
  <c r="U761" i="3"/>
  <c r="T761" i="3"/>
  <c r="S761" i="3"/>
  <c r="R761" i="3"/>
  <c r="P761" i="3"/>
  <c r="X760" i="3"/>
  <c r="W760" i="3"/>
  <c r="W757" i="3"/>
  <c r="W754" i="3"/>
  <c r="Z754" i="3" s="1"/>
  <c r="AA754" i="3" s="1"/>
  <c r="W753" i="3"/>
  <c r="M757" i="3"/>
  <c r="L754" i="3"/>
  <c r="M754" i="3" s="1"/>
  <c r="L753" i="3"/>
  <c r="M753" i="3" s="1"/>
  <c r="Y757" i="3"/>
  <c r="X757" i="3"/>
  <c r="Y754" i="3"/>
  <c r="X754" i="3"/>
  <c r="Y753" i="3"/>
  <c r="X753" i="3"/>
  <c r="V755" i="3"/>
  <c r="U755" i="3"/>
  <c r="T755" i="3"/>
  <c r="S755" i="3"/>
  <c r="R755" i="3"/>
  <c r="L755" i="3"/>
  <c r="V758" i="3"/>
  <c r="U758" i="3"/>
  <c r="T758" i="3"/>
  <c r="S758" i="3"/>
  <c r="R758" i="3"/>
  <c r="P758" i="3"/>
  <c r="L758" i="3" s="1"/>
  <c r="Y691" i="3"/>
  <c r="Y747" i="3"/>
  <c r="W750" i="3"/>
  <c r="W747" i="3"/>
  <c r="Z747" i="3" s="1"/>
  <c r="AA747" i="3" s="1"/>
  <c r="M750" i="3"/>
  <c r="L747" i="3"/>
  <c r="M747" i="3" s="1"/>
  <c r="Y750" i="3"/>
  <c r="X750" i="3"/>
  <c r="X747" i="3"/>
  <c r="V751" i="3"/>
  <c r="U751" i="3"/>
  <c r="T751" i="3"/>
  <c r="S751" i="3"/>
  <c r="R751" i="3"/>
  <c r="P751" i="3"/>
  <c r="L751" i="3" s="1"/>
  <c r="V748" i="3"/>
  <c r="U748" i="3"/>
  <c r="T748" i="3"/>
  <c r="S748" i="3"/>
  <c r="R748" i="3"/>
  <c r="P748" i="3"/>
  <c r="L748" i="3" s="1"/>
  <c r="M744" i="3"/>
  <c r="V745" i="3"/>
  <c r="U745" i="3"/>
  <c r="T745" i="3"/>
  <c r="S745" i="3"/>
  <c r="R745" i="3"/>
  <c r="P745" i="3"/>
  <c r="Y744" i="3"/>
  <c r="X744" i="3"/>
  <c r="W744" i="3"/>
  <c r="S728" i="3"/>
  <c r="S729" i="3" s="1"/>
  <c r="S734" i="3"/>
  <c r="S741" i="3"/>
  <c r="S742" i="3" s="1"/>
  <c r="M741" i="3"/>
  <c r="L742" i="3"/>
  <c r="Y741" i="3"/>
  <c r="M738" i="3"/>
  <c r="M737" i="3"/>
  <c r="L739" i="3"/>
  <c r="S738" i="3"/>
  <c r="S737" i="3"/>
  <c r="X737" i="3" s="1"/>
  <c r="V742" i="3"/>
  <c r="U742" i="3"/>
  <c r="T742" i="3"/>
  <c r="R742" i="3"/>
  <c r="P742" i="3"/>
  <c r="V739" i="3"/>
  <c r="U739" i="3"/>
  <c r="T739" i="3"/>
  <c r="R739" i="3"/>
  <c r="P739" i="3"/>
  <c r="Y738" i="3"/>
  <c r="Y737" i="3"/>
  <c r="M734" i="3"/>
  <c r="L735" i="3"/>
  <c r="V735" i="3"/>
  <c r="U735" i="3"/>
  <c r="T735" i="3"/>
  <c r="R735" i="3"/>
  <c r="P735" i="3"/>
  <c r="Y734" i="3"/>
  <c r="M731" i="3"/>
  <c r="L729" i="3"/>
  <c r="L726" i="3"/>
  <c r="L723" i="3"/>
  <c r="L732" i="3"/>
  <c r="T732" i="3"/>
  <c r="S731" i="3"/>
  <c r="S732" i="3" s="1"/>
  <c r="Y731" i="3"/>
  <c r="V732" i="3"/>
  <c r="U732" i="3"/>
  <c r="R732" i="3"/>
  <c r="P732" i="3"/>
  <c r="V729" i="3"/>
  <c r="U729" i="3"/>
  <c r="T729" i="3"/>
  <c r="R729" i="3"/>
  <c r="P729" i="3"/>
  <c r="V726" i="3"/>
  <c r="U726" i="3"/>
  <c r="T726" i="3"/>
  <c r="R726" i="3"/>
  <c r="P726" i="3"/>
  <c r="V723" i="3"/>
  <c r="U723" i="3"/>
  <c r="T723" i="3"/>
  <c r="R723" i="3"/>
  <c r="P723" i="3"/>
  <c r="S722" i="3"/>
  <c r="X722" i="3" s="1"/>
  <c r="M728" i="3"/>
  <c r="M725" i="3"/>
  <c r="M722" i="3"/>
  <c r="Y728" i="3"/>
  <c r="Y725" i="3"/>
  <c r="Y722" i="3"/>
  <c r="S725" i="3"/>
  <c r="S726" i="3" s="1"/>
  <c r="M719" i="3"/>
  <c r="M716" i="3"/>
  <c r="M715" i="3"/>
  <c r="M712" i="3"/>
  <c r="M711" i="3"/>
  <c r="L720" i="3"/>
  <c r="L717" i="3"/>
  <c r="L713" i="3"/>
  <c r="V720" i="3"/>
  <c r="U720" i="3"/>
  <c r="T720" i="3"/>
  <c r="S720" i="3"/>
  <c r="R720" i="3"/>
  <c r="P720" i="3"/>
  <c r="V713" i="3"/>
  <c r="U713" i="3"/>
  <c r="T713" i="3"/>
  <c r="S713" i="3"/>
  <c r="R713" i="3"/>
  <c r="P713" i="3"/>
  <c r="V717" i="3"/>
  <c r="U717" i="3"/>
  <c r="T717" i="3"/>
  <c r="S717" i="3"/>
  <c r="R717" i="3"/>
  <c r="P717" i="3"/>
  <c r="M708" i="3"/>
  <c r="L709" i="3"/>
  <c r="V709" i="3"/>
  <c r="U709" i="3"/>
  <c r="T709" i="3"/>
  <c r="S709" i="3"/>
  <c r="R709" i="3"/>
  <c r="P709" i="3"/>
  <c r="M705" i="3"/>
  <c r="M704" i="3"/>
  <c r="L706" i="3"/>
  <c r="R706" i="3"/>
  <c r="S706" i="3"/>
  <c r="T706" i="3"/>
  <c r="U706" i="3"/>
  <c r="V706" i="3"/>
  <c r="P706" i="3"/>
  <c r="Y719" i="3"/>
  <c r="X719" i="3"/>
  <c r="W719" i="3"/>
  <c r="Y708" i="3"/>
  <c r="X708" i="3"/>
  <c r="W708" i="3"/>
  <c r="K72" i="7" s="1"/>
  <c r="R72" i="7" s="1"/>
  <c r="Y716" i="3"/>
  <c r="X716" i="3"/>
  <c r="W716" i="3"/>
  <c r="Z716" i="3" s="1"/>
  <c r="AA716" i="3" s="1"/>
  <c r="Y715" i="3"/>
  <c r="X715" i="3"/>
  <c r="W715" i="3"/>
  <c r="Z715" i="3" s="1"/>
  <c r="AA715" i="3" s="1"/>
  <c r="Y712" i="3"/>
  <c r="X712" i="3"/>
  <c r="W712" i="3"/>
  <c r="Z712" i="3" s="1"/>
  <c r="AA712" i="3" s="1"/>
  <c r="Y711" i="3"/>
  <c r="X711" i="3"/>
  <c r="W711" i="3"/>
  <c r="Y705" i="3"/>
  <c r="X705" i="3"/>
  <c r="W705" i="3"/>
  <c r="Z705" i="3" s="1"/>
  <c r="AA705" i="3" s="1"/>
  <c r="Y704" i="3"/>
  <c r="X704" i="3"/>
  <c r="W704" i="3"/>
  <c r="L702" i="3"/>
  <c r="S701" i="3"/>
  <c r="S700" i="3"/>
  <c r="M701" i="3"/>
  <c r="Y701" i="3"/>
  <c r="M700" i="3"/>
  <c r="Y700" i="3"/>
  <c r="V702" i="3"/>
  <c r="U702" i="3"/>
  <c r="T702" i="3"/>
  <c r="R702" i="3"/>
  <c r="P702" i="3"/>
  <c r="L698" i="3"/>
  <c r="M697" i="3"/>
  <c r="U698" i="3"/>
  <c r="R698" i="3"/>
  <c r="P698" i="3"/>
  <c r="Y697" i="3"/>
  <c r="V697" i="3"/>
  <c r="S697" i="3"/>
  <c r="S698" i="3" s="1"/>
  <c r="P688" i="3"/>
  <c r="Y688" i="3" s="1"/>
  <c r="P687" i="3"/>
  <c r="M688" i="3"/>
  <c r="M694" i="3"/>
  <c r="M691" i="3"/>
  <c r="T688" i="3"/>
  <c r="V691" i="3"/>
  <c r="L695" i="3"/>
  <c r="T694" i="3"/>
  <c r="S694" i="3"/>
  <c r="X694" i="3" s="1"/>
  <c r="Y694" i="3"/>
  <c r="L692" i="3"/>
  <c r="V695" i="3"/>
  <c r="U695" i="3"/>
  <c r="R695" i="3"/>
  <c r="P695" i="3"/>
  <c r="R692" i="3"/>
  <c r="U692" i="3"/>
  <c r="P692" i="3"/>
  <c r="S691" i="3"/>
  <c r="X691" i="3" s="1"/>
  <c r="S688" i="3"/>
  <c r="X688" i="3" s="1"/>
  <c r="S687" i="3"/>
  <c r="W687" i="3" s="1"/>
  <c r="M687" i="3"/>
  <c r="L689" i="3"/>
  <c r="R689" i="3"/>
  <c r="U689" i="3"/>
  <c r="V689" i="3"/>
  <c r="M684" i="3"/>
  <c r="L683" i="3"/>
  <c r="M683" i="3" s="1"/>
  <c r="U684" i="3"/>
  <c r="X684" i="3"/>
  <c r="P683" i="3"/>
  <c r="R685" i="3"/>
  <c r="T685" i="3"/>
  <c r="U685" i="3"/>
  <c r="V685" i="3"/>
  <c r="S683" i="3"/>
  <c r="W683" i="3" s="1"/>
  <c r="J74" i="7" s="1"/>
  <c r="S679" i="3"/>
  <c r="X679" i="3" s="1"/>
  <c r="L670" i="3"/>
  <c r="L672" i="3"/>
  <c r="N672" i="3" s="1"/>
  <c r="O672" i="3" s="1"/>
  <c r="S676" i="3"/>
  <c r="W676" i="3" s="1"/>
  <c r="S674" i="3"/>
  <c r="R674" i="3"/>
  <c r="AD679" i="3"/>
  <c r="AD680" i="3"/>
  <c r="N677" i="3"/>
  <c r="O677" i="3" s="1"/>
  <c r="N678" i="3"/>
  <c r="O678" i="3" s="1"/>
  <c r="N679" i="3"/>
  <c r="O679" i="3" s="1"/>
  <c r="N680" i="3"/>
  <c r="O680" i="3" s="1"/>
  <c r="N676" i="3"/>
  <c r="O676" i="3" s="1"/>
  <c r="N673" i="3"/>
  <c r="O673" i="3" s="1"/>
  <c r="N674" i="3"/>
  <c r="O674" i="3" s="1"/>
  <c r="L671" i="3"/>
  <c r="M670" i="3"/>
  <c r="S678" i="3"/>
  <c r="X678" i="3" s="1"/>
  <c r="S677" i="3"/>
  <c r="X677" i="3" s="1"/>
  <c r="Y677" i="3"/>
  <c r="Y678" i="3"/>
  <c r="Y679" i="3"/>
  <c r="W680" i="3"/>
  <c r="AB680" i="3" s="1"/>
  <c r="X680" i="3"/>
  <c r="Y680" i="3"/>
  <c r="Y676" i="3"/>
  <c r="T675" i="3"/>
  <c r="T681" i="3" s="1"/>
  <c r="U675" i="3"/>
  <c r="U681" i="3" s="1"/>
  <c r="V675" i="3"/>
  <c r="V681" i="3" s="1"/>
  <c r="P675" i="3"/>
  <c r="P681" i="3" s="1"/>
  <c r="W671" i="3"/>
  <c r="X671" i="3"/>
  <c r="Y671" i="3"/>
  <c r="W672" i="3"/>
  <c r="X672" i="3"/>
  <c r="Y672" i="3"/>
  <c r="W673" i="3"/>
  <c r="X673" i="3"/>
  <c r="Y673" i="3"/>
  <c r="Y674" i="3"/>
  <c r="Y670" i="3"/>
  <c r="S670" i="3"/>
  <c r="W670" i="3" s="1"/>
  <c r="Z670" i="3" s="1"/>
  <c r="AA670" i="3" s="1"/>
  <c r="R670" i="3"/>
  <c r="S667" i="3"/>
  <c r="S668" i="3" s="1"/>
  <c r="T665" i="3"/>
  <c r="U665" i="3"/>
  <c r="R665" i="3"/>
  <c r="S664" i="3"/>
  <c r="X664" i="3" s="1"/>
  <c r="R668" i="3"/>
  <c r="T668" i="3"/>
  <c r="U668" i="3"/>
  <c r="V668" i="3"/>
  <c r="L668" i="3"/>
  <c r="M667" i="3"/>
  <c r="P668" i="3"/>
  <c r="Y667" i="3"/>
  <c r="Y664" i="3"/>
  <c r="P665" i="3"/>
  <c r="L662" i="3"/>
  <c r="P662" i="3"/>
  <c r="M661" i="3"/>
  <c r="M660" i="3"/>
  <c r="U661" i="3"/>
  <c r="T661" i="3"/>
  <c r="U660" i="3"/>
  <c r="T660" i="3"/>
  <c r="V662" i="3"/>
  <c r="V665" i="3" s="1"/>
  <c r="R662" i="3"/>
  <c r="S661" i="3"/>
  <c r="X661" i="3" s="1"/>
  <c r="S660" i="3"/>
  <c r="M654" i="3"/>
  <c r="M653" i="3"/>
  <c r="M656" i="3"/>
  <c r="M657" i="3"/>
  <c r="L655" i="3"/>
  <c r="L658" i="3" s="1"/>
  <c r="S657" i="3"/>
  <c r="S656" i="3"/>
  <c r="X656" i="3" s="1"/>
  <c r="W654" i="3"/>
  <c r="Z654" i="3" s="1"/>
  <c r="AA654" i="3" s="1"/>
  <c r="S653" i="3"/>
  <c r="R653" i="3"/>
  <c r="Y657" i="3"/>
  <c r="Y656" i="3"/>
  <c r="Y654" i="3"/>
  <c r="X654" i="3"/>
  <c r="Y653" i="3"/>
  <c r="T655" i="3"/>
  <c r="T658" i="3" s="1"/>
  <c r="U655" i="3"/>
  <c r="V655" i="3"/>
  <c r="V658" i="3" s="1"/>
  <c r="P655" i="3"/>
  <c r="L644" i="3"/>
  <c r="M644" i="3" s="1"/>
  <c r="M643" i="3"/>
  <c r="M642" i="3"/>
  <c r="S643" i="3"/>
  <c r="Y643" i="3"/>
  <c r="Y642" i="3"/>
  <c r="T642" i="3"/>
  <c r="T644" i="3" s="1"/>
  <c r="S642" i="3"/>
  <c r="X642" i="3" s="1"/>
  <c r="T650" i="3"/>
  <c r="T651" i="3" s="1"/>
  <c r="V650" i="3"/>
  <c r="V651" i="3" s="1"/>
  <c r="P644" i="3"/>
  <c r="S650" i="3"/>
  <c r="X650" i="3" s="1"/>
  <c r="R651" i="3"/>
  <c r="U651" i="3"/>
  <c r="P651" i="3"/>
  <c r="Y650" i="3"/>
  <c r="T646" i="3"/>
  <c r="T648" i="3" s="1"/>
  <c r="Y646" i="3"/>
  <c r="M647" i="3"/>
  <c r="M646" i="3"/>
  <c r="L648" i="3"/>
  <c r="M648" i="3" s="1"/>
  <c r="S647" i="3"/>
  <c r="Y647" i="3"/>
  <c r="S646" i="3"/>
  <c r="W637" i="3"/>
  <c r="Z637" i="3" s="1"/>
  <c r="AA637" i="3" s="1"/>
  <c r="W636" i="3"/>
  <c r="Z636" i="3" s="1"/>
  <c r="AA636" i="3" s="1"/>
  <c r="S633" i="3"/>
  <c r="S632" i="3"/>
  <c r="X632" i="3" s="1"/>
  <c r="X626" i="3"/>
  <c r="Y626" i="3"/>
  <c r="Y627" i="3"/>
  <c r="X628" i="3"/>
  <c r="Y628" i="3"/>
  <c r="Y630" i="3"/>
  <c r="Y631" i="3"/>
  <c r="Y632" i="3"/>
  <c r="Y633" i="3"/>
  <c r="Y634" i="3"/>
  <c r="X635" i="3"/>
  <c r="Y635" i="3"/>
  <c r="X636" i="3"/>
  <c r="X637" i="3"/>
  <c r="Y637" i="3"/>
  <c r="X638" i="3"/>
  <c r="Y638" i="3"/>
  <c r="X639" i="3"/>
  <c r="Y639" i="3"/>
  <c r="X640" i="3"/>
  <c r="Y625" i="3"/>
  <c r="X625" i="3"/>
  <c r="S634" i="3"/>
  <c r="X634" i="3" s="1"/>
  <c r="S631" i="3"/>
  <c r="S630" i="3"/>
  <c r="W630" i="3" s="1"/>
  <c r="S627" i="3"/>
  <c r="W635" i="3"/>
  <c r="Z635" i="3" s="1"/>
  <c r="AA635" i="3" s="1"/>
  <c r="W638" i="3"/>
  <c r="Z638" i="3" s="1"/>
  <c r="AA638" i="3" s="1"/>
  <c r="W639" i="3"/>
  <c r="Z639" i="3" s="1"/>
  <c r="AA639" i="3" s="1"/>
  <c r="W626" i="3"/>
  <c r="Z626" i="3" s="1"/>
  <c r="AA626" i="3" s="1"/>
  <c r="W628" i="3"/>
  <c r="W625" i="3"/>
  <c r="Z625" i="3" s="1"/>
  <c r="AA625" i="3" s="1"/>
  <c r="M621" i="3"/>
  <c r="M639" i="3"/>
  <c r="M638" i="3"/>
  <c r="M637" i="3"/>
  <c r="M636" i="3"/>
  <c r="M635" i="3"/>
  <c r="M634" i="3"/>
  <c r="N631" i="3"/>
  <c r="O631" i="3" s="1"/>
  <c r="N630" i="3"/>
  <c r="O630" i="3" s="1"/>
  <c r="M627" i="3"/>
  <c r="N628" i="3"/>
  <c r="O628" i="3" s="1"/>
  <c r="N632" i="3"/>
  <c r="O632" i="3" s="1"/>
  <c r="N633" i="3"/>
  <c r="O633" i="3" s="1"/>
  <c r="M626" i="3"/>
  <c r="M625" i="3"/>
  <c r="Y636" i="3"/>
  <c r="R648" i="3"/>
  <c r="U648" i="3"/>
  <c r="R644" i="3"/>
  <c r="U644" i="3"/>
  <c r="V648" i="3"/>
  <c r="V644" i="3"/>
  <c r="P648" i="3"/>
  <c r="L629" i="3"/>
  <c r="L640" i="3" s="1"/>
  <c r="P629" i="3"/>
  <c r="P640" i="3" s="1"/>
  <c r="Y640" i="3" s="1"/>
  <c r="M622" i="3"/>
  <c r="M620" i="3"/>
  <c r="M618" i="3"/>
  <c r="W622" i="3"/>
  <c r="Z622" i="3" s="1"/>
  <c r="AA622" i="3" s="1"/>
  <c r="S621" i="3"/>
  <c r="W621" i="3" s="1"/>
  <c r="Z621" i="3" s="1"/>
  <c r="AA621" i="3" s="1"/>
  <c r="S620" i="3"/>
  <c r="W620" i="3" s="1"/>
  <c r="Z620" i="3" s="1"/>
  <c r="AA620" i="3" s="1"/>
  <c r="L619" i="3"/>
  <c r="L623" i="3" s="1"/>
  <c r="W618" i="3"/>
  <c r="Z618" i="3" s="1"/>
  <c r="AA618" i="3" s="1"/>
  <c r="Y622" i="3"/>
  <c r="Y621" i="3"/>
  <c r="Y620" i="3"/>
  <c r="Y618" i="3"/>
  <c r="X618" i="3"/>
  <c r="R619" i="3"/>
  <c r="R623" i="3" s="1"/>
  <c r="S619" i="3"/>
  <c r="T619" i="3"/>
  <c r="T623" i="3" s="1"/>
  <c r="U619" i="3"/>
  <c r="U623" i="3" s="1"/>
  <c r="V619" i="3"/>
  <c r="V623" i="3" s="1"/>
  <c r="P619" i="3"/>
  <c r="P623" i="3" s="1"/>
  <c r="M615" i="3"/>
  <c r="M614" i="3"/>
  <c r="M613" i="3"/>
  <c r="M612" i="3"/>
  <c r="M611" i="3"/>
  <c r="M608" i="3"/>
  <c r="M609" i="3"/>
  <c r="M607" i="3"/>
  <c r="M606" i="3"/>
  <c r="L610" i="3"/>
  <c r="L616" i="3" s="1"/>
  <c r="S613" i="3"/>
  <c r="W613" i="3" s="1"/>
  <c r="Z613" i="3" s="1"/>
  <c r="AA613" i="3" s="1"/>
  <c r="S612" i="3"/>
  <c r="S611" i="3"/>
  <c r="S609" i="3"/>
  <c r="S606" i="3"/>
  <c r="W606" i="3" s="1"/>
  <c r="Y615" i="3"/>
  <c r="X615" i="3"/>
  <c r="Y614" i="3"/>
  <c r="X614" i="3"/>
  <c r="Y613" i="3"/>
  <c r="Y612" i="3"/>
  <c r="Y611" i="3"/>
  <c r="Y609" i="3"/>
  <c r="Y608" i="3"/>
  <c r="X608" i="3"/>
  <c r="Y607" i="3"/>
  <c r="X607" i="3"/>
  <c r="Y606" i="3"/>
  <c r="W614" i="3"/>
  <c r="Z614" i="3" s="1"/>
  <c r="AA614" i="3" s="1"/>
  <c r="W615" i="3"/>
  <c r="Z615" i="3" s="1"/>
  <c r="AA615" i="3" s="1"/>
  <c r="W608" i="3"/>
  <c r="Z608" i="3" s="1"/>
  <c r="AA608" i="3" s="1"/>
  <c r="W607" i="3"/>
  <c r="Z607" i="3" s="1"/>
  <c r="AA607" i="3" s="1"/>
  <c r="R610" i="3"/>
  <c r="R616" i="3" s="1"/>
  <c r="T610" i="3"/>
  <c r="T616" i="3" s="1"/>
  <c r="U610" i="3"/>
  <c r="U616" i="3" s="1"/>
  <c r="V610" i="3"/>
  <c r="V616" i="3" s="1"/>
  <c r="P610" i="3"/>
  <c r="P616" i="3" s="1"/>
  <c r="M598" i="3"/>
  <c r="L601" i="3"/>
  <c r="L604" i="3" s="1"/>
  <c r="M603" i="3"/>
  <c r="M602" i="3"/>
  <c r="M599" i="3"/>
  <c r="M600" i="3"/>
  <c r="AB600" i="3" s="1"/>
  <c r="S602" i="3"/>
  <c r="W602" i="3" s="1"/>
  <c r="Z602" i="3" s="1"/>
  <c r="AA602" i="3" s="1"/>
  <c r="Y603" i="3"/>
  <c r="X603" i="3"/>
  <c r="Y602" i="3"/>
  <c r="W603" i="3"/>
  <c r="Z603" i="3" s="1"/>
  <c r="AA603" i="3" s="1"/>
  <c r="V601" i="3"/>
  <c r="V604" i="3" s="1"/>
  <c r="U601" i="3"/>
  <c r="U604" i="3" s="1"/>
  <c r="T601" i="3"/>
  <c r="T604" i="3" s="1"/>
  <c r="R601" i="3"/>
  <c r="R604" i="3" s="1"/>
  <c r="P601" i="3"/>
  <c r="P604" i="3" s="1"/>
  <c r="Y600" i="3"/>
  <c r="X600" i="3"/>
  <c r="Z600" i="3"/>
  <c r="AA600" i="3" s="1"/>
  <c r="Z599" i="3"/>
  <c r="AA599" i="3" s="1"/>
  <c r="Y599" i="3"/>
  <c r="X599" i="3"/>
  <c r="Y598" i="3"/>
  <c r="S598" i="3"/>
  <c r="T544" i="3"/>
  <c r="T546" i="3" s="1"/>
  <c r="T559" i="3" s="1"/>
  <c r="M549" i="3"/>
  <c r="Y549" i="3"/>
  <c r="X549" i="3"/>
  <c r="W549" i="3"/>
  <c r="Z549" i="3" s="1"/>
  <c r="AA549" i="3" s="1"/>
  <c r="S544" i="3"/>
  <c r="N591" i="3"/>
  <c r="O591" i="3" s="1"/>
  <c r="L592" i="3"/>
  <c r="N592" i="3" s="1"/>
  <c r="O592" i="3" s="1"/>
  <c r="P592" i="3"/>
  <c r="M584" i="3"/>
  <c r="N584" i="3" s="1"/>
  <c r="O584" i="3" s="1"/>
  <c r="M583" i="3"/>
  <c r="M595" i="3"/>
  <c r="M594" i="3"/>
  <c r="M593" i="3"/>
  <c r="N590" i="3"/>
  <c r="O590" i="3" s="1"/>
  <c r="N587" i="3"/>
  <c r="O587" i="3" s="1"/>
  <c r="N588" i="3"/>
  <c r="O588" i="3" s="1"/>
  <c r="N589" i="3"/>
  <c r="O589" i="3" s="1"/>
  <c r="N585" i="3"/>
  <c r="O585" i="3" s="1"/>
  <c r="R586" i="3"/>
  <c r="R596" i="3" s="1"/>
  <c r="T586" i="3"/>
  <c r="T596" i="3" s="1"/>
  <c r="U586" i="3"/>
  <c r="U596" i="3" s="1"/>
  <c r="V586" i="3"/>
  <c r="V596" i="3" s="1"/>
  <c r="L586" i="3"/>
  <c r="S590" i="3"/>
  <c r="S589" i="3"/>
  <c r="W589" i="3" s="1"/>
  <c r="S588" i="3"/>
  <c r="S587" i="3"/>
  <c r="S584" i="3"/>
  <c r="Y591" i="3"/>
  <c r="W591" i="3"/>
  <c r="X591" i="3"/>
  <c r="W592" i="3"/>
  <c r="AB592" i="3" s="1"/>
  <c r="X592" i="3"/>
  <c r="W593" i="3"/>
  <c r="X593" i="3"/>
  <c r="Y593" i="3"/>
  <c r="W594" i="3"/>
  <c r="Z594" i="3" s="1"/>
  <c r="AA594" i="3" s="1"/>
  <c r="X594" i="3"/>
  <c r="Y594" i="3"/>
  <c r="W595" i="3"/>
  <c r="Z595" i="3" s="1"/>
  <c r="AA595" i="3" s="1"/>
  <c r="X595" i="3"/>
  <c r="Y595" i="3"/>
  <c r="Y590" i="3"/>
  <c r="Y589" i="3"/>
  <c r="Y588" i="3"/>
  <c r="Y587" i="3"/>
  <c r="Y585" i="3"/>
  <c r="X585" i="3"/>
  <c r="Y584" i="3"/>
  <c r="Y583" i="3"/>
  <c r="W585" i="3"/>
  <c r="S583" i="3"/>
  <c r="P586" i="3"/>
  <c r="M566" i="3"/>
  <c r="Y567" i="3"/>
  <c r="S566" i="3"/>
  <c r="W566" i="3" s="1"/>
  <c r="S567" i="3"/>
  <c r="M565" i="3"/>
  <c r="L565" i="3"/>
  <c r="L570" i="3" s="1"/>
  <c r="R565" i="3"/>
  <c r="R570" i="3" s="1"/>
  <c r="T565" i="3"/>
  <c r="T570" i="3" s="1"/>
  <c r="U565" i="3"/>
  <c r="U570" i="3" s="1"/>
  <c r="V565" i="3"/>
  <c r="V570" i="3" s="1"/>
  <c r="P565" i="3"/>
  <c r="P570" i="3" s="1"/>
  <c r="L581" i="3"/>
  <c r="M581" i="3" s="1"/>
  <c r="M580" i="3"/>
  <c r="Y580" i="3"/>
  <c r="R581" i="3"/>
  <c r="T581" i="3"/>
  <c r="U581" i="3"/>
  <c r="V581" i="3"/>
  <c r="P581" i="3"/>
  <c r="S580" i="3"/>
  <c r="W569" i="3"/>
  <c r="X569" i="3"/>
  <c r="Y569" i="3"/>
  <c r="T572" i="3"/>
  <c r="T574" i="3" s="1"/>
  <c r="S577" i="3"/>
  <c r="M577" i="3"/>
  <c r="M576" i="3"/>
  <c r="L578" i="3"/>
  <c r="Y577" i="3"/>
  <c r="Y576" i="3"/>
  <c r="V578" i="3"/>
  <c r="U578" i="3"/>
  <c r="R578" i="3"/>
  <c r="T576" i="3"/>
  <c r="T578" i="3" s="1"/>
  <c r="S576" i="3"/>
  <c r="X576" i="3" s="1"/>
  <c r="P578" i="3"/>
  <c r="S573" i="3"/>
  <c r="W573" i="3" s="1"/>
  <c r="Z573" i="3" s="1"/>
  <c r="AA573" i="3" s="1"/>
  <c r="S572" i="3"/>
  <c r="L574" i="3"/>
  <c r="M574" i="3" s="1"/>
  <c r="M573" i="3"/>
  <c r="M572" i="3"/>
  <c r="V574" i="3"/>
  <c r="U574" i="3"/>
  <c r="R574" i="3"/>
  <c r="P574" i="3"/>
  <c r="Y573" i="3"/>
  <c r="Y572" i="3"/>
  <c r="N569" i="3"/>
  <c r="O569" i="3" s="1"/>
  <c r="N568" i="3"/>
  <c r="O568" i="3" s="1"/>
  <c r="N564" i="3"/>
  <c r="N563" i="3"/>
  <c r="O563" i="3" s="1"/>
  <c r="N562" i="3"/>
  <c r="O562" i="3" s="1"/>
  <c r="Y568" i="3"/>
  <c r="S568" i="3"/>
  <c r="X568" i="3" s="1"/>
  <c r="Y566" i="3"/>
  <c r="Y564" i="3"/>
  <c r="X564" i="3"/>
  <c r="W564" i="3"/>
  <c r="Y563" i="3"/>
  <c r="X563" i="3"/>
  <c r="W563" i="3"/>
  <c r="Y562" i="3"/>
  <c r="S562" i="3"/>
  <c r="W562" i="3" s="1"/>
  <c r="AB562" i="3" s="1"/>
  <c r="S538" i="3"/>
  <c r="M550" i="3"/>
  <c r="M551" i="3"/>
  <c r="M552" i="3"/>
  <c r="M553" i="3"/>
  <c r="M554" i="3"/>
  <c r="M555" i="3"/>
  <c r="M556" i="3"/>
  <c r="M558" i="3"/>
  <c r="M557" i="3"/>
  <c r="M547" i="3"/>
  <c r="M539" i="3"/>
  <c r="M540" i="3"/>
  <c r="M541" i="3"/>
  <c r="M542" i="3"/>
  <c r="M543" i="3"/>
  <c r="M544" i="3"/>
  <c r="M545" i="3"/>
  <c r="M538" i="3"/>
  <c r="L560" i="3"/>
  <c r="L546" i="3"/>
  <c r="Y547" i="3"/>
  <c r="X548" i="3"/>
  <c r="X550" i="3"/>
  <c r="X551" i="3"/>
  <c r="X552" i="3"/>
  <c r="X553" i="3"/>
  <c r="X554" i="3"/>
  <c r="X555" i="3"/>
  <c r="X556" i="3"/>
  <c r="X557" i="3"/>
  <c r="X558" i="3"/>
  <c r="Y545" i="3"/>
  <c r="Y544" i="3"/>
  <c r="Y543" i="3"/>
  <c r="Y542" i="3"/>
  <c r="Y541" i="3"/>
  <c r="Y540" i="3"/>
  <c r="X540" i="3"/>
  <c r="Y539" i="3"/>
  <c r="X539" i="3"/>
  <c r="Y538" i="3"/>
  <c r="R560" i="3"/>
  <c r="T560" i="3"/>
  <c r="U560" i="3"/>
  <c r="V560" i="3"/>
  <c r="S547" i="3"/>
  <c r="X547" i="3" s="1"/>
  <c r="S545" i="3"/>
  <c r="X545" i="3" s="1"/>
  <c r="S543" i="3"/>
  <c r="S542" i="3"/>
  <c r="S541" i="3"/>
  <c r="R546" i="3"/>
  <c r="R559" i="3" s="1"/>
  <c r="U546" i="3"/>
  <c r="U559" i="3" s="1"/>
  <c r="V546" i="3"/>
  <c r="V559" i="3" s="1"/>
  <c r="W539" i="3"/>
  <c r="Z539" i="3" s="1"/>
  <c r="AA539" i="3" s="1"/>
  <c r="W540" i="3"/>
  <c r="Z540" i="3" s="1"/>
  <c r="AA540" i="3" s="1"/>
  <c r="P560" i="3"/>
  <c r="P546" i="3"/>
  <c r="P559" i="3" s="1"/>
  <c r="T519" i="3"/>
  <c r="T518" i="3"/>
  <c r="S534" i="3"/>
  <c r="S532" i="3"/>
  <c r="W532" i="3" s="1"/>
  <c r="Z532" i="3" s="1"/>
  <c r="AA532" i="3" s="1"/>
  <c r="L536" i="3"/>
  <c r="L533" i="3"/>
  <c r="L535" i="3" s="1"/>
  <c r="W531" i="3"/>
  <c r="Z531" i="3" s="1"/>
  <c r="AA531" i="3" s="1"/>
  <c r="M534" i="3"/>
  <c r="M531" i="3"/>
  <c r="M532" i="3"/>
  <c r="M530" i="3"/>
  <c r="Y534" i="3"/>
  <c r="Y532" i="3"/>
  <c r="Y531" i="3"/>
  <c r="X531" i="3"/>
  <c r="Y530" i="3"/>
  <c r="P533" i="3"/>
  <c r="P535" i="3" s="1"/>
  <c r="R533" i="3"/>
  <c r="R535" i="3" s="1"/>
  <c r="T533" i="3"/>
  <c r="T535" i="3" s="1"/>
  <c r="U533" i="3"/>
  <c r="U535" i="3" s="1"/>
  <c r="V533" i="3"/>
  <c r="V535" i="3" s="1"/>
  <c r="P536" i="3"/>
  <c r="R536" i="3"/>
  <c r="T536" i="3"/>
  <c r="U536" i="3"/>
  <c r="V536" i="3"/>
  <c r="S530" i="3"/>
  <c r="S536" i="3" s="1"/>
  <c r="S523" i="3"/>
  <c r="X523" i="3" s="1"/>
  <c r="S522" i="3"/>
  <c r="S519" i="3"/>
  <c r="S518" i="3"/>
  <c r="S527" i="3"/>
  <c r="W527" i="3" s="1"/>
  <c r="Z527" i="3" s="1"/>
  <c r="AA527" i="3" s="1"/>
  <c r="S526" i="3"/>
  <c r="M527" i="3"/>
  <c r="M526" i="3"/>
  <c r="L528" i="3"/>
  <c r="M528" i="3" s="1"/>
  <c r="V528" i="3"/>
  <c r="U528" i="3"/>
  <c r="T528" i="3"/>
  <c r="R528" i="3"/>
  <c r="Y527" i="3"/>
  <c r="Y526" i="3"/>
  <c r="P528" i="3"/>
  <c r="M523" i="3"/>
  <c r="M522" i="3"/>
  <c r="L524" i="3"/>
  <c r="M524" i="3" s="1"/>
  <c r="V524" i="3"/>
  <c r="U524" i="3"/>
  <c r="R524" i="3"/>
  <c r="Y523" i="3"/>
  <c r="T524" i="3"/>
  <c r="Y522" i="3"/>
  <c r="P524" i="3"/>
  <c r="M519" i="3"/>
  <c r="M518" i="3"/>
  <c r="L520" i="3"/>
  <c r="V520" i="3"/>
  <c r="R520" i="3"/>
  <c r="Y519" i="3"/>
  <c r="Y518" i="3"/>
  <c r="P520" i="3"/>
  <c r="V516" i="3"/>
  <c r="U516" i="3"/>
  <c r="R516" i="3"/>
  <c r="L516" i="3"/>
  <c r="M516" i="3" s="1"/>
  <c r="M515" i="3"/>
  <c r="M514" i="3"/>
  <c r="M513" i="3"/>
  <c r="Y515" i="3"/>
  <c r="X515" i="3"/>
  <c r="Z514" i="3"/>
  <c r="AA514" i="3" s="1"/>
  <c r="Y514" i="3"/>
  <c r="X514" i="3"/>
  <c r="Y513" i="3"/>
  <c r="T513" i="3"/>
  <c r="S513" i="3"/>
  <c r="X513" i="3" s="1"/>
  <c r="W515" i="3"/>
  <c r="P516" i="3"/>
  <c r="L511" i="3"/>
  <c r="M511" i="3" s="1"/>
  <c r="M510" i="3"/>
  <c r="T510" i="3"/>
  <c r="T511" i="3" s="1"/>
  <c r="S510" i="3"/>
  <c r="Y510" i="3"/>
  <c r="V511" i="3"/>
  <c r="U511" i="3"/>
  <c r="R511" i="3"/>
  <c r="P511" i="3"/>
  <c r="U520" i="3"/>
  <c r="M502" i="3"/>
  <c r="M503" i="3"/>
  <c r="L504" i="3"/>
  <c r="M504" i="3" s="1"/>
  <c r="X502" i="3"/>
  <c r="Y502" i="3"/>
  <c r="Z502" i="3"/>
  <c r="AA502" i="3" s="1"/>
  <c r="X503" i="3"/>
  <c r="Y503" i="3"/>
  <c r="Z503" i="3"/>
  <c r="AA503" i="3" s="1"/>
  <c r="P504" i="3"/>
  <c r="S506" i="3"/>
  <c r="X506" i="3" s="1"/>
  <c r="S507" i="3"/>
  <c r="X507" i="3" s="1"/>
  <c r="U497" i="3"/>
  <c r="U499" i="3" s="1"/>
  <c r="R508" i="3"/>
  <c r="T508" i="3"/>
  <c r="U508" i="3"/>
  <c r="V508" i="3"/>
  <c r="L508" i="3"/>
  <c r="M508" i="3" s="1"/>
  <c r="M507" i="3"/>
  <c r="Y507" i="3"/>
  <c r="M506" i="3"/>
  <c r="Y506" i="3"/>
  <c r="P508" i="3"/>
  <c r="S501" i="3"/>
  <c r="W501" i="3" s="1"/>
  <c r="M501" i="3"/>
  <c r="V504" i="3"/>
  <c r="U504" i="3"/>
  <c r="T504" i="3"/>
  <c r="R504" i="3"/>
  <c r="Y501" i="3"/>
  <c r="L499" i="3"/>
  <c r="P499" i="3"/>
  <c r="S498" i="3"/>
  <c r="S497" i="3"/>
  <c r="R499" i="3"/>
  <c r="M498" i="3"/>
  <c r="M497" i="3"/>
  <c r="V499" i="3"/>
  <c r="T499" i="3"/>
  <c r="L495" i="3"/>
  <c r="M495" i="3" s="1"/>
  <c r="M494" i="3"/>
  <c r="Y494" i="3"/>
  <c r="S494" i="3"/>
  <c r="V495" i="3"/>
  <c r="U495" i="3"/>
  <c r="T495" i="3"/>
  <c r="R495" i="3"/>
  <c r="P495" i="3"/>
  <c r="M491" i="3"/>
  <c r="M490" i="3"/>
  <c r="L492" i="3"/>
  <c r="M492" i="3" s="1"/>
  <c r="R492" i="3"/>
  <c r="S491" i="3"/>
  <c r="U490" i="3"/>
  <c r="V490" i="3"/>
  <c r="T490" i="3" s="1"/>
  <c r="Y491" i="3"/>
  <c r="S490" i="3"/>
  <c r="X490" i="3" s="1"/>
  <c r="P492" i="3"/>
  <c r="S483" i="3"/>
  <c r="X483" i="3" s="1"/>
  <c r="M488" i="3"/>
  <c r="M484" i="3"/>
  <c r="X486" i="3"/>
  <c r="N486" i="3"/>
  <c r="O486" i="3" s="1"/>
  <c r="AC486" i="3" s="1"/>
  <c r="N485" i="3"/>
  <c r="O485" i="3" s="1"/>
  <c r="N483" i="3"/>
  <c r="O483" i="3" s="1"/>
  <c r="N482" i="3"/>
  <c r="O482" i="3" s="1"/>
  <c r="N481" i="3"/>
  <c r="O481" i="3" s="1"/>
  <c r="N480" i="3"/>
  <c r="O480" i="3" s="1"/>
  <c r="L488" i="3"/>
  <c r="L484" i="3"/>
  <c r="L487" i="3" s="1"/>
  <c r="R488" i="3"/>
  <c r="T488" i="3"/>
  <c r="U488" i="3"/>
  <c r="V488" i="3"/>
  <c r="R484" i="3"/>
  <c r="R487" i="3" s="1"/>
  <c r="T484" i="3"/>
  <c r="T487" i="3" s="1"/>
  <c r="U484" i="3"/>
  <c r="U487" i="3" s="1"/>
  <c r="V484" i="3"/>
  <c r="V487" i="3" s="1"/>
  <c r="S485" i="3"/>
  <c r="S482" i="3"/>
  <c r="S488" i="3" s="1"/>
  <c r="S480" i="3"/>
  <c r="W481" i="3"/>
  <c r="AB481" i="3" s="1"/>
  <c r="Y485" i="3"/>
  <c r="Y483" i="3"/>
  <c r="Y482" i="3"/>
  <c r="Y481" i="3"/>
  <c r="X481" i="3"/>
  <c r="Y480" i="3"/>
  <c r="P488" i="3"/>
  <c r="P484" i="3"/>
  <c r="S474" i="3"/>
  <c r="W474" i="3" s="1"/>
  <c r="Z474" i="3" s="1"/>
  <c r="AA474" i="3" s="1"/>
  <c r="S473" i="3"/>
  <c r="S467" i="3"/>
  <c r="M477" i="3"/>
  <c r="L478" i="3"/>
  <c r="M478" i="3" s="1"/>
  <c r="S477" i="3"/>
  <c r="M474" i="3"/>
  <c r="M473" i="3"/>
  <c r="L475" i="3"/>
  <c r="M475" i="3" s="1"/>
  <c r="Y477" i="3"/>
  <c r="Y474" i="3"/>
  <c r="Y473" i="3"/>
  <c r="R475" i="3"/>
  <c r="T475" i="3"/>
  <c r="U475" i="3"/>
  <c r="V475" i="3"/>
  <c r="P475" i="3"/>
  <c r="R478" i="3"/>
  <c r="T478" i="3"/>
  <c r="U478" i="3"/>
  <c r="V478" i="3"/>
  <c r="P478" i="3"/>
  <c r="S470" i="3"/>
  <c r="S471" i="3" s="1"/>
  <c r="V471" i="3"/>
  <c r="U471" i="3"/>
  <c r="T471" i="3"/>
  <c r="R471" i="3"/>
  <c r="P471" i="3"/>
  <c r="R468" i="3"/>
  <c r="T468" i="3"/>
  <c r="U468" i="3"/>
  <c r="V468" i="3"/>
  <c r="P468" i="3"/>
  <c r="S464" i="3"/>
  <c r="X464" i="3" s="1"/>
  <c r="L465" i="3"/>
  <c r="M465" i="3" s="1"/>
  <c r="Y464" i="3"/>
  <c r="M464" i="3"/>
  <c r="M463" i="3"/>
  <c r="Y463" i="3"/>
  <c r="S463" i="3"/>
  <c r="R465" i="3"/>
  <c r="T465" i="3"/>
  <c r="U465" i="3"/>
  <c r="V465" i="3"/>
  <c r="P465" i="3"/>
  <c r="M460" i="3"/>
  <c r="L461" i="3"/>
  <c r="Y460" i="3"/>
  <c r="T460" i="3"/>
  <c r="T461" i="3" s="1"/>
  <c r="S460" i="3"/>
  <c r="S461" i="3" s="1"/>
  <c r="R461" i="3"/>
  <c r="U461" i="3"/>
  <c r="V461" i="3"/>
  <c r="P461" i="3"/>
  <c r="S453" i="3"/>
  <c r="S454" i="3"/>
  <c r="X454" i="3" s="1"/>
  <c r="S449" i="3"/>
  <c r="X449" i="3" s="1"/>
  <c r="M441" i="3"/>
  <c r="M440" i="3"/>
  <c r="M439" i="3"/>
  <c r="M438" i="3"/>
  <c r="M436" i="3"/>
  <c r="N433" i="3"/>
  <c r="O433" i="3" s="1"/>
  <c r="N434" i="3"/>
  <c r="O434" i="3" s="1"/>
  <c r="N435" i="3"/>
  <c r="O435" i="3" s="1"/>
  <c r="N437" i="3"/>
  <c r="O437" i="3" s="1"/>
  <c r="N432" i="3"/>
  <c r="O432" i="3" s="1"/>
  <c r="M426" i="3"/>
  <c r="M423" i="3"/>
  <c r="M457" i="3"/>
  <c r="M454" i="3"/>
  <c r="M453" i="3"/>
  <c r="M450" i="3"/>
  <c r="M449" i="3"/>
  <c r="M446" i="3"/>
  <c r="M445" i="3"/>
  <c r="V457" i="3"/>
  <c r="T457" i="3" s="1"/>
  <c r="T458" i="3" s="1"/>
  <c r="V449" i="3"/>
  <c r="T445" i="3"/>
  <c r="T447" i="3" s="1"/>
  <c r="L458" i="3"/>
  <c r="M458" i="3" s="1"/>
  <c r="U458" i="3"/>
  <c r="R458" i="3"/>
  <c r="P458" i="3"/>
  <c r="Y457" i="3"/>
  <c r="S457" i="3"/>
  <c r="R455" i="3"/>
  <c r="T455" i="3"/>
  <c r="U455" i="3"/>
  <c r="V455" i="3"/>
  <c r="L455" i="3"/>
  <c r="M455" i="3" s="1"/>
  <c r="Y454" i="3"/>
  <c r="Y453" i="3"/>
  <c r="P455" i="3"/>
  <c r="L451" i="3"/>
  <c r="M451" i="3" s="1"/>
  <c r="Y450" i="3"/>
  <c r="Y449" i="3"/>
  <c r="R451" i="3"/>
  <c r="U451" i="3"/>
  <c r="P451" i="3"/>
  <c r="L430" i="3"/>
  <c r="L427" i="3"/>
  <c r="M427" i="3" s="1"/>
  <c r="L424" i="3"/>
  <c r="L421" i="3"/>
  <c r="S446" i="3"/>
  <c r="X446" i="3" s="1"/>
  <c r="L447" i="3"/>
  <c r="Y446" i="3"/>
  <c r="Y445" i="3"/>
  <c r="S445" i="3"/>
  <c r="R447" i="3"/>
  <c r="U447" i="3"/>
  <c r="V447" i="3"/>
  <c r="P447" i="3"/>
  <c r="R443" i="3"/>
  <c r="S443" i="3"/>
  <c r="T443" i="3"/>
  <c r="U443" i="3"/>
  <c r="V443" i="3"/>
  <c r="S437" i="3"/>
  <c r="S435" i="3"/>
  <c r="W435" i="3" s="1"/>
  <c r="W440" i="3"/>
  <c r="W441" i="3"/>
  <c r="W433" i="3"/>
  <c r="AB433" i="3" s="1"/>
  <c r="W432" i="3"/>
  <c r="S434" i="3"/>
  <c r="X434" i="3" s="1"/>
  <c r="X433" i="3"/>
  <c r="X438" i="3"/>
  <c r="X439" i="3"/>
  <c r="X440" i="3"/>
  <c r="X441" i="3"/>
  <c r="X432" i="3"/>
  <c r="Y433" i="3"/>
  <c r="Y434" i="3"/>
  <c r="Y435" i="3"/>
  <c r="Y437" i="3"/>
  <c r="Y432" i="3"/>
  <c r="R436" i="3"/>
  <c r="R442" i="3" s="1"/>
  <c r="T436" i="3"/>
  <c r="T442" i="3" s="1"/>
  <c r="U436" i="3"/>
  <c r="V436" i="3"/>
  <c r="V442" i="3" s="1"/>
  <c r="L443" i="3"/>
  <c r="M443" i="3" s="1"/>
  <c r="L436" i="3"/>
  <c r="P443" i="3"/>
  <c r="P436" i="3"/>
  <c r="P442" i="3" s="1"/>
  <c r="Q317" i="5"/>
  <c r="Q311" i="5"/>
  <c r="Q307" i="5"/>
  <c r="X303" i="5"/>
  <c r="Q303" i="5"/>
  <c r="X299" i="5"/>
  <c r="Q299" i="5"/>
  <c r="X295" i="5"/>
  <c r="M295" i="5"/>
  <c r="L295" i="5"/>
  <c r="J295" i="5"/>
  <c r="U292" i="5"/>
  <c r="K292" i="5"/>
  <c r="P292" i="5"/>
  <c r="Y291" i="5"/>
  <c r="Y295" i="5"/>
  <c r="U291" i="5"/>
  <c r="Q291" i="5"/>
  <c r="Q295" i="5"/>
  <c r="U295" i="5"/>
  <c r="P291" i="5"/>
  <c r="K291" i="5"/>
  <c r="W292" i="5"/>
  <c r="Q289" i="5"/>
  <c r="Q285" i="5"/>
  <c r="X281" i="5"/>
  <c r="Q281" i="5"/>
  <c r="X276" i="5"/>
  <c r="Q276" i="5"/>
  <c r="U271" i="5"/>
  <c r="Q271" i="5"/>
  <c r="R271" i="5"/>
  <c r="T271" i="5"/>
  <c r="P271" i="5"/>
  <c r="N271" i="5"/>
  <c r="M271" i="5"/>
  <c r="S271" i="5"/>
  <c r="L271" i="5"/>
  <c r="U269" i="5"/>
  <c r="S269" i="5"/>
  <c r="R269" i="5"/>
  <c r="T269" i="5"/>
  <c r="P269" i="5"/>
  <c r="K269" i="5"/>
  <c r="K271" i="5"/>
  <c r="W271" i="5"/>
  <c r="J269" i="5"/>
  <c r="J271" i="5"/>
  <c r="Q267" i="5"/>
  <c r="Q263" i="5"/>
  <c r="U259" i="5"/>
  <c r="S259" i="5"/>
  <c r="Q259" i="5"/>
  <c r="M259" i="5"/>
  <c r="L259" i="5"/>
  <c r="W258" i="5"/>
  <c r="T258" i="5"/>
  <c r="S258" i="5"/>
  <c r="R258" i="5"/>
  <c r="P258" i="5"/>
  <c r="K258" i="5"/>
  <c r="U257" i="5"/>
  <c r="S257" i="5"/>
  <c r="Q257" i="5"/>
  <c r="M257" i="5"/>
  <c r="L257" i="5"/>
  <c r="J257" i="5"/>
  <c r="U255" i="5"/>
  <c r="S255" i="5"/>
  <c r="P255" i="5"/>
  <c r="R255" i="5"/>
  <c r="T255" i="5"/>
  <c r="K255" i="5"/>
  <c r="W255" i="5"/>
  <c r="W254" i="5"/>
  <c r="U254" i="5"/>
  <c r="S254" i="5"/>
  <c r="K254" i="5"/>
  <c r="K259" i="5"/>
  <c r="J254" i="5"/>
  <c r="J259" i="5"/>
  <c r="X252" i="5"/>
  <c r="Q252" i="5"/>
  <c r="X247" i="5"/>
  <c r="Q247" i="5"/>
  <c r="X242" i="5"/>
  <c r="Q242" i="5"/>
  <c r="U238" i="5"/>
  <c r="S238" i="5"/>
  <c r="Q238" i="5"/>
  <c r="M238" i="5"/>
  <c r="L238" i="5"/>
  <c r="K238" i="5"/>
  <c r="J238" i="5"/>
  <c r="Q237" i="5"/>
  <c r="M237" i="5"/>
  <c r="S237" i="5"/>
  <c r="L237" i="5"/>
  <c r="J237" i="5"/>
  <c r="W235" i="5"/>
  <c r="U235" i="5"/>
  <c r="S235" i="5"/>
  <c r="R235" i="5"/>
  <c r="T235" i="5"/>
  <c r="P235" i="5"/>
  <c r="K235" i="5"/>
  <c r="U234" i="5"/>
  <c r="U237" i="5"/>
  <c r="S234" i="5"/>
  <c r="P234" i="5"/>
  <c r="K234" i="5"/>
  <c r="K237" i="5"/>
  <c r="W237" i="5"/>
  <c r="J234" i="5"/>
  <c r="Q231" i="5"/>
  <c r="S231" i="5"/>
  <c r="M231" i="5"/>
  <c r="L231" i="5"/>
  <c r="W230" i="5"/>
  <c r="S230" i="5"/>
  <c r="N230" i="5"/>
  <c r="K230" i="5"/>
  <c r="P230" i="5"/>
  <c r="R230" i="5"/>
  <c r="T230" i="5"/>
  <c r="S229" i="5"/>
  <c r="Q229" i="5"/>
  <c r="N229" i="5"/>
  <c r="M229" i="5"/>
  <c r="L229" i="5"/>
  <c r="J229" i="5"/>
  <c r="U227" i="5"/>
  <c r="S227" i="5"/>
  <c r="P227" i="5"/>
  <c r="R227" i="5"/>
  <c r="K227" i="5"/>
  <c r="W227" i="5"/>
  <c r="W226" i="5"/>
  <c r="U226" i="5"/>
  <c r="S226" i="5"/>
  <c r="K226" i="5"/>
  <c r="K229" i="5"/>
  <c r="U225" i="5"/>
  <c r="S225" i="5"/>
  <c r="K225" i="5"/>
  <c r="K231" i="5"/>
  <c r="J225" i="5"/>
  <c r="W225" i="5"/>
  <c r="X223" i="5"/>
  <c r="Q223" i="5"/>
  <c r="Q221" i="5"/>
  <c r="X219" i="5"/>
  <c r="Q219" i="5"/>
  <c r="X214" i="5"/>
  <c r="Q214" i="5"/>
  <c r="X209" i="5"/>
  <c r="Q206" i="5"/>
  <c r="Q209" i="5"/>
  <c r="X204" i="5"/>
  <c r="Q204" i="5"/>
  <c r="M204" i="5"/>
  <c r="S204" i="5"/>
  <c r="L204" i="5"/>
  <c r="J204" i="5"/>
  <c r="U202" i="5"/>
  <c r="U204" i="5"/>
  <c r="S202" i="5"/>
  <c r="K202" i="5"/>
  <c r="P202" i="5"/>
  <c r="R202" i="5"/>
  <c r="X199" i="5"/>
  <c r="S199" i="5"/>
  <c r="Q199" i="5"/>
  <c r="M199" i="5"/>
  <c r="K199" i="5"/>
  <c r="W199" i="5"/>
  <c r="J199" i="5"/>
  <c r="X198" i="5"/>
  <c r="Q198" i="5"/>
  <c r="P198" i="5"/>
  <c r="M198" i="5"/>
  <c r="S198" i="5"/>
  <c r="L198" i="5"/>
  <c r="K198" i="5"/>
  <c r="W198" i="5"/>
  <c r="J198" i="5"/>
  <c r="W196" i="5"/>
  <c r="U196" i="5"/>
  <c r="U199" i="5"/>
  <c r="S196" i="5"/>
  <c r="P196" i="5"/>
  <c r="R196" i="5"/>
  <c r="T196" i="5"/>
  <c r="K196" i="5"/>
  <c r="Q193" i="5"/>
  <c r="Y191" i="5"/>
  <c r="W191" i="5"/>
  <c r="X188" i="5"/>
  <c r="Q188" i="5"/>
  <c r="P188" i="5"/>
  <c r="M188" i="5"/>
  <c r="S188" i="5"/>
  <c r="L188" i="5"/>
  <c r="K188" i="5"/>
  <c r="W186" i="5"/>
  <c r="U186" i="5"/>
  <c r="U188" i="5"/>
  <c r="S186" i="5"/>
  <c r="P186" i="5"/>
  <c r="R186" i="5"/>
  <c r="R188" i="5"/>
  <c r="T188" i="5"/>
  <c r="K186" i="5"/>
  <c r="J186" i="5"/>
  <c r="J188" i="5"/>
  <c r="X183" i="5"/>
  <c r="Q183" i="5"/>
  <c r="M183" i="5"/>
  <c r="S183" i="5"/>
  <c r="L183" i="5"/>
  <c r="S182" i="5"/>
  <c r="K182" i="5"/>
  <c r="X181" i="5"/>
  <c r="Q181" i="5"/>
  <c r="N181" i="5"/>
  <c r="L181" i="5"/>
  <c r="U179" i="5"/>
  <c r="S179" i="5"/>
  <c r="K179" i="5"/>
  <c r="P179" i="5"/>
  <c r="R179" i="5"/>
  <c r="T179" i="5"/>
  <c r="J179" i="5"/>
  <c r="W179" i="5"/>
  <c r="Y178" i="5"/>
  <c r="W178" i="5"/>
  <c r="U178" i="5"/>
  <c r="S178" i="5"/>
  <c r="P178" i="5"/>
  <c r="R178" i="5"/>
  <c r="T178" i="5"/>
  <c r="Y177" i="5"/>
  <c r="W177" i="5"/>
  <c r="V177" i="5"/>
  <c r="U177" i="5"/>
  <c r="T177" i="5"/>
  <c r="S177" i="5"/>
  <c r="M177" i="5"/>
  <c r="K177" i="5"/>
  <c r="P177" i="5"/>
  <c r="Y176" i="5"/>
  <c r="W176" i="5"/>
  <c r="U176" i="5"/>
  <c r="M176" i="5"/>
  <c r="M181" i="5"/>
  <c r="S181" i="5"/>
  <c r="K176" i="5"/>
  <c r="P176" i="5"/>
  <c r="R176" i="5"/>
  <c r="T176" i="5"/>
  <c r="Y175" i="5"/>
  <c r="W175" i="5"/>
  <c r="U175" i="5"/>
  <c r="S175" i="5"/>
  <c r="P175" i="5"/>
  <c r="R175" i="5"/>
  <c r="T175" i="5"/>
  <c r="Y174" i="5"/>
  <c r="W174" i="5"/>
  <c r="U174" i="5"/>
  <c r="S174" i="5"/>
  <c r="K174" i="5"/>
  <c r="P174" i="5"/>
  <c r="R174" i="5"/>
  <c r="T174" i="5"/>
  <c r="J174" i="5"/>
  <c r="J181" i="5"/>
  <c r="Y173" i="5"/>
  <c r="W173" i="5"/>
  <c r="U173" i="5"/>
  <c r="S173" i="5"/>
  <c r="P173" i="5"/>
  <c r="R173" i="5"/>
  <c r="T173" i="5"/>
  <c r="Y172" i="5"/>
  <c r="W172" i="5"/>
  <c r="U172" i="5"/>
  <c r="S172" i="5"/>
  <c r="K172" i="5"/>
  <c r="K183" i="5"/>
  <c r="P183" i="5"/>
  <c r="Y171" i="5"/>
  <c r="W171" i="5"/>
  <c r="U171" i="5"/>
  <c r="S171" i="5"/>
  <c r="P171" i="5"/>
  <c r="R171" i="5"/>
  <c r="T171" i="5"/>
  <c r="W170" i="5"/>
  <c r="U170" i="5"/>
  <c r="Y170" i="5"/>
  <c r="T170" i="5"/>
  <c r="S170" i="5"/>
  <c r="R170" i="5"/>
  <c r="P170" i="5"/>
  <c r="W169" i="5"/>
  <c r="U169" i="5"/>
  <c r="S169" i="5"/>
  <c r="P169" i="5"/>
  <c r="R169" i="5"/>
  <c r="T169" i="5"/>
  <c r="K169" i="5"/>
  <c r="K181" i="5"/>
  <c r="J169" i="5"/>
  <c r="J183" i="5"/>
  <c r="X167" i="5"/>
  <c r="Q167" i="5"/>
  <c r="M167" i="5"/>
  <c r="S167" i="5"/>
  <c r="L167" i="5"/>
  <c r="S166" i="5"/>
  <c r="K166" i="5"/>
  <c r="J166" i="5"/>
  <c r="X165" i="5"/>
  <c r="Q165" i="5"/>
  <c r="N165" i="5"/>
  <c r="L165" i="5"/>
  <c r="J165" i="5"/>
  <c r="Y163" i="5"/>
  <c r="U163" i="5"/>
  <c r="M163" i="5"/>
  <c r="S163" i="5"/>
  <c r="K163" i="5"/>
  <c r="Y162" i="5"/>
  <c r="U162" i="5"/>
  <c r="M162" i="5"/>
  <c r="K162" i="5"/>
  <c r="W162" i="5"/>
  <c r="U161" i="5"/>
  <c r="Y161" i="5"/>
  <c r="S161" i="5"/>
  <c r="P161" i="5"/>
  <c r="R161" i="5"/>
  <c r="T161" i="5"/>
  <c r="M161" i="5"/>
  <c r="K161" i="5"/>
  <c r="W161" i="5"/>
  <c r="Y160" i="5"/>
  <c r="U160" i="5"/>
  <c r="S160" i="5"/>
  <c r="R160" i="5"/>
  <c r="T160" i="5"/>
  <c r="P160" i="5"/>
  <c r="K160" i="5"/>
  <c r="W160" i="5"/>
  <c r="Y159" i="5"/>
  <c r="U159" i="5"/>
  <c r="S159" i="5"/>
  <c r="R159" i="5"/>
  <c r="T159" i="5"/>
  <c r="P159" i="5"/>
  <c r="K159" i="5"/>
  <c r="W159" i="5"/>
  <c r="J159" i="5"/>
  <c r="W158" i="5"/>
  <c r="U158" i="5"/>
  <c r="U167" i="5"/>
  <c r="T158" i="5"/>
  <c r="S158" i="5"/>
  <c r="R158" i="5"/>
  <c r="P158" i="5"/>
  <c r="Y157" i="5"/>
  <c r="W157" i="5"/>
  <c r="U157" i="5"/>
  <c r="S157" i="5"/>
  <c r="R157" i="5"/>
  <c r="T157" i="5"/>
  <c r="P157" i="5"/>
  <c r="Y156" i="5"/>
  <c r="W156" i="5"/>
  <c r="U156" i="5"/>
  <c r="S156" i="5"/>
  <c r="P156" i="5"/>
  <c r="R156" i="5"/>
  <c r="T156" i="5"/>
  <c r="Y155" i="5"/>
  <c r="U155" i="5"/>
  <c r="S155" i="5"/>
  <c r="K155" i="5"/>
  <c r="J155" i="5"/>
  <c r="Y154" i="5"/>
  <c r="U154" i="5"/>
  <c r="U165" i="5"/>
  <c r="S154" i="5"/>
  <c r="P154" i="5"/>
  <c r="R154" i="5"/>
  <c r="K154" i="5"/>
  <c r="J154" i="5"/>
  <c r="J167" i="5"/>
  <c r="X150" i="5"/>
  <c r="U150" i="5"/>
  <c r="Q150" i="5"/>
  <c r="Y148" i="5"/>
  <c r="U148" i="5"/>
  <c r="S148" i="5"/>
  <c r="K148" i="5"/>
  <c r="P148" i="5"/>
  <c r="R148" i="5"/>
  <c r="T148" i="5"/>
  <c r="Y147" i="5"/>
  <c r="U147" i="5"/>
  <c r="S147" i="5"/>
  <c r="K147" i="5"/>
  <c r="P147" i="5"/>
  <c r="Y146" i="5"/>
  <c r="U146" i="5"/>
  <c r="X144" i="5"/>
  <c r="S144" i="5"/>
  <c r="R144" i="5"/>
  <c r="T144" i="5"/>
  <c r="Q144" i="5"/>
  <c r="N144" i="5"/>
  <c r="M144" i="5"/>
  <c r="L144" i="5"/>
  <c r="K144" i="5"/>
  <c r="P144" i="5"/>
  <c r="J144" i="5"/>
  <c r="J150" i="5"/>
  <c r="X143" i="5"/>
  <c r="Q143" i="5"/>
  <c r="N143" i="5"/>
  <c r="M143" i="5"/>
  <c r="M150" i="5"/>
  <c r="S150" i="5"/>
  <c r="L143" i="5"/>
  <c r="L150" i="5"/>
  <c r="J143" i="5"/>
  <c r="W141" i="5"/>
  <c r="U141" i="5"/>
  <c r="Y141" i="5"/>
  <c r="S141" i="5"/>
  <c r="P141" i="5"/>
  <c r="R141" i="5"/>
  <c r="T141" i="5"/>
  <c r="K141" i="5"/>
  <c r="K143" i="5"/>
  <c r="W140" i="5"/>
  <c r="U140" i="5"/>
  <c r="Y140" i="5"/>
  <c r="S140" i="5"/>
  <c r="P140" i="5"/>
  <c r="R140" i="5"/>
  <c r="W139" i="5"/>
  <c r="U139" i="5"/>
  <c r="U143" i="5"/>
  <c r="T139" i="5"/>
  <c r="S139" i="5"/>
  <c r="R139" i="5"/>
  <c r="Q137" i="5"/>
  <c r="S137" i="5"/>
  <c r="O137" i="5"/>
  <c r="N137" i="5"/>
  <c r="M137" i="5"/>
  <c r="L137" i="5"/>
  <c r="J137" i="5"/>
  <c r="Y135" i="5"/>
  <c r="U135" i="5"/>
  <c r="S135" i="5"/>
  <c r="K135" i="5"/>
  <c r="K137" i="5"/>
  <c r="W137" i="5"/>
  <c r="Y134" i="5"/>
  <c r="Y132" i="5"/>
  <c r="X132" i="5"/>
  <c r="Q132" i="5"/>
  <c r="Y129" i="5"/>
  <c r="Y128" i="5"/>
  <c r="U126" i="5"/>
  <c r="X122" i="5"/>
  <c r="Q122" i="5"/>
  <c r="N122" i="5"/>
  <c r="L122" i="5"/>
  <c r="S121" i="5"/>
  <c r="R121" i="5"/>
  <c r="T121" i="5"/>
  <c r="P121" i="5"/>
  <c r="K121" i="5"/>
  <c r="W121" i="5"/>
  <c r="X120" i="5"/>
  <c r="Q120" i="5"/>
  <c r="N120" i="5"/>
  <c r="L120" i="5"/>
  <c r="J120" i="5"/>
  <c r="Y118" i="5"/>
  <c r="U118" i="5"/>
  <c r="S118" i="5"/>
  <c r="K118" i="5"/>
  <c r="Y117" i="5"/>
  <c r="W117" i="5"/>
  <c r="U117" i="5"/>
  <c r="S117" i="5"/>
  <c r="P117" i="5"/>
  <c r="R117" i="5"/>
  <c r="T117" i="5"/>
  <c r="Y116" i="5"/>
  <c r="U116" i="5"/>
  <c r="M116" i="5"/>
  <c r="S116" i="5"/>
  <c r="K116" i="5"/>
  <c r="J116" i="5"/>
  <c r="Y115" i="5"/>
  <c r="U115" i="5"/>
  <c r="S115" i="5"/>
  <c r="P115" i="5"/>
  <c r="R115" i="5"/>
  <c r="T115" i="5"/>
  <c r="M115" i="5"/>
  <c r="M122" i="5"/>
  <c r="K115" i="5"/>
  <c r="W115" i="5"/>
  <c r="J115" i="5"/>
  <c r="U114" i="5"/>
  <c r="Y114" i="5"/>
  <c r="T114" i="5"/>
  <c r="S114" i="5"/>
  <c r="R114" i="5"/>
  <c r="P114" i="5"/>
  <c r="K114" i="5"/>
  <c r="W114" i="5"/>
  <c r="J114" i="5"/>
  <c r="W113" i="5"/>
  <c r="U113" i="5"/>
  <c r="U120" i="5"/>
  <c r="T113" i="5"/>
  <c r="S113" i="5"/>
  <c r="R113" i="5"/>
  <c r="P113" i="5"/>
  <c r="K113" i="5"/>
  <c r="J113" i="5"/>
  <c r="J122" i="5"/>
  <c r="X111" i="5"/>
  <c r="Q111" i="5"/>
  <c r="N111" i="5"/>
  <c r="M111" i="5"/>
  <c r="L111" i="5"/>
  <c r="S110" i="5"/>
  <c r="P110" i="5"/>
  <c r="R110" i="5"/>
  <c r="T110" i="5"/>
  <c r="K110" i="5"/>
  <c r="W110" i="5"/>
  <c r="X109" i="5"/>
  <c r="S109" i="5"/>
  <c r="Q109" i="5"/>
  <c r="N109" i="5"/>
  <c r="M109" i="5"/>
  <c r="L109" i="5"/>
  <c r="Y107" i="5"/>
  <c r="U107" i="5"/>
  <c r="S107" i="5"/>
  <c r="K107" i="5"/>
  <c r="P107" i="5"/>
  <c r="R107" i="5"/>
  <c r="T107" i="5"/>
  <c r="J107" i="5"/>
  <c r="Y106" i="5"/>
  <c r="W106" i="5"/>
  <c r="U106" i="5"/>
  <c r="S106" i="5"/>
  <c r="P106" i="5"/>
  <c r="R106" i="5"/>
  <c r="T106" i="5"/>
  <c r="Y105" i="5"/>
  <c r="U105" i="5"/>
  <c r="S105" i="5"/>
  <c r="K105" i="5"/>
  <c r="P105" i="5"/>
  <c r="R105" i="5"/>
  <c r="T105" i="5"/>
  <c r="Y104" i="5"/>
  <c r="W104" i="5"/>
  <c r="U104" i="5"/>
  <c r="S104" i="5"/>
  <c r="P104" i="5"/>
  <c r="R104" i="5"/>
  <c r="T104" i="5"/>
  <c r="Y103" i="5"/>
  <c r="W103" i="5"/>
  <c r="U103" i="5"/>
  <c r="S103" i="5"/>
  <c r="K103" i="5"/>
  <c r="K109" i="5"/>
  <c r="Y102" i="5"/>
  <c r="W102" i="5"/>
  <c r="U102" i="5"/>
  <c r="S102" i="5"/>
  <c r="S111" i="5"/>
  <c r="P102" i="5"/>
  <c r="R102" i="5"/>
  <c r="W101" i="5"/>
  <c r="U101" i="5"/>
  <c r="Y101" i="5"/>
  <c r="S101" i="5"/>
  <c r="K101" i="5"/>
  <c r="P101" i="5"/>
  <c r="R101" i="5"/>
  <c r="T101" i="5"/>
  <c r="W100" i="5"/>
  <c r="U100" i="5"/>
  <c r="S100" i="5"/>
  <c r="K100" i="5"/>
  <c r="K111" i="5"/>
  <c r="P111" i="5"/>
  <c r="J100" i="5"/>
  <c r="J109" i="5"/>
  <c r="X98" i="5"/>
  <c r="Q98" i="5"/>
  <c r="N98" i="5"/>
  <c r="M98" i="5"/>
  <c r="S98" i="5"/>
  <c r="L98" i="5"/>
  <c r="S97" i="5"/>
  <c r="Q97" i="5"/>
  <c r="L97" i="5"/>
  <c r="K97" i="5"/>
  <c r="N97" i="5"/>
  <c r="P97" i="5"/>
  <c r="R97" i="5"/>
  <c r="T97" i="5"/>
  <c r="J97" i="5"/>
  <c r="X96" i="5"/>
  <c r="Q96" i="5"/>
  <c r="N96" i="5"/>
  <c r="M96" i="5"/>
  <c r="S96" i="5"/>
  <c r="L96" i="5"/>
  <c r="W94" i="5"/>
  <c r="U94" i="5"/>
  <c r="Y94" i="5"/>
  <c r="T94" i="5"/>
  <c r="S94" i="5"/>
  <c r="R94" i="5"/>
  <c r="P94" i="5"/>
  <c r="K94" i="5"/>
  <c r="W93" i="5"/>
  <c r="U93" i="5"/>
  <c r="Y93" i="5"/>
  <c r="T93" i="5"/>
  <c r="S93" i="5"/>
  <c r="R93" i="5"/>
  <c r="P93" i="5"/>
  <c r="K93" i="5"/>
  <c r="U92" i="5"/>
  <c r="Y92" i="5"/>
  <c r="T92" i="5"/>
  <c r="S92" i="5"/>
  <c r="R92" i="5"/>
  <c r="P92" i="5"/>
  <c r="M92" i="5"/>
  <c r="K92" i="5"/>
  <c r="J92" i="5"/>
  <c r="W92" i="5"/>
  <c r="Y91" i="5"/>
  <c r="U91" i="5"/>
  <c r="M91" i="5"/>
  <c r="S91" i="5"/>
  <c r="K91" i="5"/>
  <c r="P91" i="5"/>
  <c r="R91" i="5"/>
  <c r="T91" i="5"/>
  <c r="J91" i="5"/>
  <c r="W91" i="5"/>
  <c r="Y90" i="5"/>
  <c r="U90" i="5"/>
  <c r="M90" i="5"/>
  <c r="K90" i="5"/>
  <c r="J90" i="5"/>
  <c r="W90" i="5"/>
  <c r="P89" i="5"/>
  <c r="P88" i="5"/>
  <c r="U87" i="5"/>
  <c r="S87" i="5"/>
  <c r="P87" i="5"/>
  <c r="R87" i="5"/>
  <c r="T87" i="5"/>
  <c r="K87" i="5"/>
  <c r="W87" i="5"/>
  <c r="U86" i="5"/>
  <c r="Y86" i="5"/>
  <c r="S86" i="5"/>
  <c r="P86" i="5"/>
  <c r="R86" i="5"/>
  <c r="T86" i="5"/>
  <c r="M86" i="5"/>
  <c r="L86" i="5"/>
  <c r="K86" i="5"/>
  <c r="W86" i="5"/>
  <c r="J86" i="5"/>
  <c r="K85" i="5"/>
  <c r="P85" i="5"/>
  <c r="Y84" i="5"/>
  <c r="W84" i="5"/>
  <c r="U84" i="5"/>
  <c r="S84" i="5"/>
  <c r="R84" i="5"/>
  <c r="T84" i="5"/>
  <c r="P84" i="5"/>
  <c r="Y83" i="5"/>
  <c r="W83" i="5"/>
  <c r="U83" i="5"/>
  <c r="S83" i="5"/>
  <c r="P83" i="5"/>
  <c r="R83" i="5"/>
  <c r="T83" i="5"/>
  <c r="Y82" i="5"/>
  <c r="W82" i="5"/>
  <c r="U82" i="5"/>
  <c r="S82" i="5"/>
  <c r="K82" i="5"/>
  <c r="P82" i="5"/>
  <c r="R82" i="5"/>
  <c r="T82" i="5"/>
  <c r="Y81" i="5"/>
  <c r="W81" i="5"/>
  <c r="U81" i="5"/>
  <c r="S81" i="5"/>
  <c r="P81" i="5"/>
  <c r="R81" i="5"/>
  <c r="T81" i="5"/>
  <c r="W80" i="5"/>
  <c r="U80" i="5"/>
  <c r="Y80" i="5"/>
  <c r="S80" i="5"/>
  <c r="P80" i="5"/>
  <c r="R80" i="5"/>
  <c r="T80" i="5"/>
  <c r="W79" i="5"/>
  <c r="U79" i="5"/>
  <c r="Y79" i="5"/>
  <c r="T79" i="5"/>
  <c r="S79" i="5"/>
  <c r="R79" i="5"/>
  <c r="P79" i="5"/>
  <c r="W78" i="5"/>
  <c r="U78" i="5"/>
  <c r="Y78" i="5"/>
  <c r="S78" i="5"/>
  <c r="P78" i="5"/>
  <c r="R78" i="5"/>
  <c r="T78" i="5"/>
  <c r="U77" i="5"/>
  <c r="Y77" i="5"/>
  <c r="S77" i="5"/>
  <c r="K77" i="5"/>
  <c r="P77" i="5"/>
  <c r="R77" i="5"/>
  <c r="T77" i="5"/>
  <c r="U76" i="5"/>
  <c r="Y76" i="5"/>
  <c r="S76" i="5"/>
  <c r="K76" i="5"/>
  <c r="P76" i="5"/>
  <c r="R76" i="5"/>
  <c r="T76" i="5"/>
  <c r="Y75" i="5"/>
  <c r="W75" i="5"/>
  <c r="U75" i="5"/>
  <c r="S75" i="5"/>
  <c r="R75" i="5"/>
  <c r="T75" i="5"/>
  <c r="P75" i="5"/>
  <c r="Y74" i="5"/>
  <c r="U74" i="5"/>
  <c r="S74" i="5"/>
  <c r="P74" i="5"/>
  <c r="R74" i="5"/>
  <c r="T74" i="5"/>
  <c r="K74" i="5"/>
  <c r="W74" i="5"/>
  <c r="Y73" i="5"/>
  <c r="W73" i="5"/>
  <c r="U73" i="5"/>
  <c r="S73" i="5"/>
  <c r="P73" i="5"/>
  <c r="R73" i="5"/>
  <c r="T73" i="5"/>
  <c r="Y72" i="5"/>
  <c r="W72" i="5"/>
  <c r="U72" i="5"/>
  <c r="S72" i="5"/>
  <c r="R72" i="5"/>
  <c r="T72" i="5"/>
  <c r="P72" i="5"/>
  <c r="Y71" i="5"/>
  <c r="U71" i="5"/>
  <c r="U98" i="5"/>
  <c r="S71" i="5"/>
  <c r="P71" i="5"/>
  <c r="K71" i="5"/>
  <c r="J71" i="5"/>
  <c r="X69" i="5"/>
  <c r="Q69" i="5"/>
  <c r="M69" i="5"/>
  <c r="L69" i="5"/>
  <c r="W68" i="5"/>
  <c r="S68" i="5"/>
  <c r="P68" i="5"/>
  <c r="R68" i="5"/>
  <c r="T68" i="5"/>
  <c r="N68" i="5"/>
  <c r="K68" i="5"/>
  <c r="X67" i="5"/>
  <c r="Q67" i="5"/>
  <c r="M67" i="5"/>
  <c r="S67" i="5"/>
  <c r="L67" i="5"/>
  <c r="Y65" i="5"/>
  <c r="U65" i="5"/>
  <c r="S65" i="5"/>
  <c r="P65" i="5"/>
  <c r="R65" i="5"/>
  <c r="T65" i="5"/>
  <c r="K65" i="5"/>
  <c r="W65" i="5"/>
  <c r="Y64" i="5"/>
  <c r="U64" i="5"/>
  <c r="S64" i="5"/>
  <c r="P64" i="5"/>
  <c r="R64" i="5"/>
  <c r="T64" i="5"/>
  <c r="K64" i="5"/>
  <c r="W64" i="5"/>
  <c r="J64" i="5"/>
  <c r="Y63" i="5"/>
  <c r="U63" i="5"/>
  <c r="S63" i="5"/>
  <c r="K63" i="5"/>
  <c r="P63" i="5"/>
  <c r="R63" i="5"/>
  <c r="T63" i="5"/>
  <c r="J63" i="5"/>
  <c r="W62" i="5"/>
  <c r="U62" i="5"/>
  <c r="Y62" i="5"/>
  <c r="S62" i="5"/>
  <c r="P62" i="5"/>
  <c r="R62" i="5"/>
  <c r="T62" i="5"/>
  <c r="Y61" i="5"/>
  <c r="U61" i="5"/>
  <c r="S61" i="5"/>
  <c r="R61" i="5"/>
  <c r="T61" i="5"/>
  <c r="K61" i="5"/>
  <c r="P61" i="5"/>
  <c r="J61" i="5"/>
  <c r="W60" i="5"/>
  <c r="U60" i="5"/>
  <c r="Y60" i="5"/>
  <c r="S60" i="5"/>
  <c r="P60" i="5"/>
  <c r="R60" i="5"/>
  <c r="T60" i="5"/>
  <c r="Y59" i="5"/>
  <c r="U59" i="5"/>
  <c r="S59" i="5"/>
  <c r="K59" i="5"/>
  <c r="J59" i="5"/>
  <c r="W58" i="5"/>
  <c r="U58" i="5"/>
  <c r="Y58" i="5"/>
  <c r="T58" i="5"/>
  <c r="S58" i="5"/>
  <c r="P58" i="5"/>
  <c r="R58" i="5"/>
  <c r="Y57" i="5"/>
  <c r="Y69" i="5"/>
  <c r="U57" i="5"/>
  <c r="U69" i="5"/>
  <c r="S57" i="5"/>
  <c r="K57" i="5"/>
  <c r="J57" i="5"/>
  <c r="J67" i="5"/>
  <c r="X55" i="5"/>
  <c r="U55" i="5"/>
  <c r="Q55" i="5"/>
  <c r="N55" i="5"/>
  <c r="M55" i="5"/>
  <c r="S55" i="5"/>
  <c r="L55" i="5"/>
  <c r="W54" i="5"/>
  <c r="S54" i="5"/>
  <c r="K54" i="5"/>
  <c r="X53" i="5"/>
  <c r="S53" i="5"/>
  <c r="Q53" i="5"/>
  <c r="N53" i="5"/>
  <c r="M53" i="5"/>
  <c r="L53" i="5"/>
  <c r="U51" i="5"/>
  <c r="Y51" i="5"/>
  <c r="S51" i="5"/>
  <c r="K51" i="5"/>
  <c r="W51" i="5"/>
  <c r="Y50" i="5"/>
  <c r="U50" i="5"/>
  <c r="S50" i="5"/>
  <c r="K50" i="5"/>
  <c r="W50" i="5"/>
  <c r="Y49" i="5"/>
  <c r="W49" i="5"/>
  <c r="U49" i="5"/>
  <c r="S49" i="5"/>
  <c r="P49" i="5"/>
  <c r="R49" i="5"/>
  <c r="T49" i="5"/>
  <c r="Y48" i="5"/>
  <c r="W48" i="5"/>
  <c r="U48" i="5"/>
  <c r="S48" i="5"/>
  <c r="K48" i="5"/>
  <c r="P48" i="5"/>
  <c r="R48" i="5"/>
  <c r="T48" i="5"/>
  <c r="J48" i="5"/>
  <c r="Y47" i="5"/>
  <c r="Y55" i="5"/>
  <c r="U47" i="5"/>
  <c r="U53" i="5"/>
  <c r="S47" i="5"/>
  <c r="K47" i="5"/>
  <c r="W47" i="5"/>
  <c r="J47" i="5"/>
  <c r="J55" i="5"/>
  <c r="X45" i="5"/>
  <c r="Q45" i="5"/>
  <c r="N45" i="5"/>
  <c r="M45" i="5"/>
  <c r="L45" i="5"/>
  <c r="W44" i="5"/>
  <c r="S44" i="5"/>
  <c r="N44" i="5"/>
  <c r="P44" i="5"/>
  <c r="R44" i="5"/>
  <c r="T44" i="5"/>
  <c r="X43" i="5"/>
  <c r="U43" i="5"/>
  <c r="Q43" i="5"/>
  <c r="N43" i="5"/>
  <c r="M43" i="5"/>
  <c r="S43" i="5"/>
  <c r="L43" i="5"/>
  <c r="Y41" i="5"/>
  <c r="W41" i="5"/>
  <c r="S41" i="5"/>
  <c r="P41" i="5"/>
  <c r="R41" i="5"/>
  <c r="T41" i="5"/>
  <c r="U40" i="5"/>
  <c r="Y40" i="5"/>
  <c r="S40" i="5"/>
  <c r="K40" i="5"/>
  <c r="W40" i="5"/>
  <c r="W39" i="5"/>
  <c r="U39" i="5"/>
  <c r="Y39" i="5"/>
  <c r="S39" i="5"/>
  <c r="P39" i="5"/>
  <c r="R39" i="5"/>
  <c r="T39" i="5"/>
  <c r="Y38" i="5"/>
  <c r="U38" i="5"/>
  <c r="S38" i="5"/>
  <c r="K38" i="5"/>
  <c r="W38" i="5"/>
  <c r="Y37" i="5"/>
  <c r="W37" i="5"/>
  <c r="U37" i="5"/>
  <c r="S37" i="5"/>
  <c r="P37" i="5"/>
  <c r="R37" i="5"/>
  <c r="T37" i="5"/>
  <c r="Y36" i="5"/>
  <c r="W36" i="5"/>
  <c r="U36" i="5"/>
  <c r="S36" i="5"/>
  <c r="K36" i="5"/>
  <c r="P36" i="5"/>
  <c r="R36" i="5"/>
  <c r="T36" i="5"/>
  <c r="Y35" i="5"/>
  <c r="W35" i="5"/>
  <c r="U35" i="5"/>
  <c r="S35" i="5"/>
  <c r="K35" i="5"/>
  <c r="P35" i="5"/>
  <c r="R35" i="5"/>
  <c r="T35" i="5"/>
  <c r="J35" i="5"/>
  <c r="Y34" i="5"/>
  <c r="U34" i="5"/>
  <c r="S34" i="5"/>
  <c r="K34" i="5"/>
  <c r="W34" i="5"/>
  <c r="J34" i="5"/>
  <c r="J43" i="5"/>
  <c r="U33" i="5"/>
  <c r="Y33" i="5"/>
  <c r="S33" i="5"/>
  <c r="K33" i="5"/>
  <c r="K43" i="5"/>
  <c r="J33" i="5"/>
  <c r="X31" i="5"/>
  <c r="U31" i="5"/>
  <c r="S31" i="5"/>
  <c r="Q31" i="5"/>
  <c r="N31" i="5"/>
  <c r="M31" i="5"/>
  <c r="L31" i="5"/>
  <c r="W27" i="5"/>
  <c r="S27" i="5"/>
  <c r="P27" i="5"/>
  <c r="R27" i="5"/>
  <c r="T27" i="5"/>
  <c r="N27" i="5"/>
  <c r="X26" i="5"/>
  <c r="Q26" i="5"/>
  <c r="N26" i="5"/>
  <c r="M26" i="5"/>
  <c r="S26" i="5"/>
  <c r="L26" i="5"/>
  <c r="Y24" i="5"/>
  <c r="P24" i="5"/>
  <c r="R24" i="5"/>
  <c r="Y23" i="5"/>
  <c r="W23" i="5"/>
  <c r="U23" i="5"/>
  <c r="S23" i="5"/>
  <c r="R23" i="5"/>
  <c r="T23" i="5"/>
  <c r="P23" i="5"/>
  <c r="W22" i="5"/>
  <c r="U22" i="5"/>
  <c r="Y22" i="5"/>
  <c r="S22" i="5"/>
  <c r="P22" i="5"/>
  <c r="R22" i="5"/>
  <c r="T22" i="5"/>
  <c r="K22" i="5"/>
  <c r="J22" i="5"/>
  <c r="Y21" i="5"/>
  <c r="W21" i="5"/>
  <c r="U21" i="5"/>
  <c r="S21" i="5"/>
  <c r="R21" i="5"/>
  <c r="T21" i="5"/>
  <c r="P21" i="5"/>
  <c r="J21" i="5"/>
  <c r="Y20" i="5"/>
  <c r="Y31" i="5"/>
  <c r="W20" i="5"/>
  <c r="U20" i="5"/>
  <c r="U26" i="5"/>
  <c r="S20" i="5"/>
  <c r="K20" i="5"/>
  <c r="K26" i="5"/>
  <c r="J20" i="5"/>
  <c r="J31" i="5"/>
  <c r="Y18" i="5"/>
  <c r="X18" i="5"/>
  <c r="Q18" i="5"/>
  <c r="R18" i="5"/>
  <c r="T18" i="5"/>
  <c r="P18" i="5"/>
  <c r="N18" i="5"/>
  <c r="M18" i="5"/>
  <c r="S18" i="5"/>
  <c r="L18" i="5"/>
  <c r="K18" i="5"/>
  <c r="W18" i="5"/>
  <c r="J18" i="5"/>
  <c r="S17" i="5"/>
  <c r="K17" i="5"/>
  <c r="P17" i="5"/>
  <c r="R17" i="5"/>
  <c r="T17" i="5"/>
  <c r="X16" i="5"/>
  <c r="U16" i="5"/>
  <c r="Q16" i="5"/>
  <c r="N16" i="5"/>
  <c r="M16" i="5"/>
  <c r="S16" i="5"/>
  <c r="L16" i="5"/>
  <c r="K16" i="5"/>
  <c r="W16" i="5"/>
  <c r="J16" i="5"/>
  <c r="Y14" i="5"/>
  <c r="W14" i="5"/>
  <c r="V14" i="5"/>
  <c r="U14" i="5"/>
  <c r="S14" i="5"/>
  <c r="K14" i="5"/>
  <c r="P14" i="5"/>
  <c r="R14" i="5"/>
  <c r="T14" i="5"/>
  <c r="Y13" i="5"/>
  <c r="W13" i="5"/>
  <c r="V13" i="5"/>
  <c r="U13" i="5"/>
  <c r="S13" i="5"/>
  <c r="K13" i="5"/>
  <c r="P13" i="5"/>
  <c r="R13" i="5"/>
  <c r="T13" i="5"/>
  <c r="Y12" i="5"/>
  <c r="U12" i="5"/>
  <c r="S12" i="5"/>
  <c r="K12" i="5"/>
  <c r="P12" i="5"/>
  <c r="R12" i="5"/>
  <c r="T12" i="5"/>
  <c r="Y11" i="5"/>
  <c r="U11" i="5"/>
  <c r="S11" i="5"/>
  <c r="K11" i="5"/>
  <c r="P11" i="5"/>
  <c r="R11" i="5"/>
  <c r="T11" i="5"/>
  <c r="Y10" i="5"/>
  <c r="U10" i="5"/>
  <c r="S10" i="5"/>
  <c r="K10" i="5"/>
  <c r="P10" i="5"/>
  <c r="R10" i="5"/>
  <c r="T10" i="5"/>
  <c r="Y9" i="5"/>
  <c r="Y16" i="5"/>
  <c r="U9" i="5"/>
  <c r="U18" i="5"/>
  <c r="S9" i="5"/>
  <c r="K9" i="5"/>
  <c r="P9" i="5"/>
  <c r="R9" i="5"/>
  <c r="T9" i="5"/>
  <c r="Y8" i="5"/>
  <c r="U8" i="5"/>
  <c r="S8" i="5"/>
  <c r="K8" i="5"/>
  <c r="P8" i="5"/>
  <c r="Y7" i="5"/>
  <c r="W7" i="5"/>
  <c r="U7" i="5"/>
  <c r="S7" i="5"/>
  <c r="P7" i="5"/>
  <c r="R7" i="5"/>
  <c r="T7" i="5"/>
  <c r="Y6" i="5"/>
  <c r="W6" i="5"/>
  <c r="U6" i="5"/>
  <c r="S6" i="5"/>
  <c r="R6" i="5"/>
  <c r="T6" i="5"/>
  <c r="P6" i="5"/>
  <c r="Y429" i="3"/>
  <c r="T429" i="3"/>
  <c r="T430" i="3" s="1"/>
  <c r="S429" i="3"/>
  <c r="X429" i="3" s="1"/>
  <c r="X430" i="3" s="1"/>
  <c r="R430" i="3"/>
  <c r="U430" i="3"/>
  <c r="V430" i="3"/>
  <c r="P430" i="3"/>
  <c r="S423" i="3"/>
  <c r="W423" i="3" s="1"/>
  <c r="V426" i="3"/>
  <c r="T426" i="3" s="1"/>
  <c r="S426" i="3"/>
  <c r="X426" i="3" s="1"/>
  <c r="X427" i="3" s="1"/>
  <c r="Y426" i="3"/>
  <c r="U427" i="3"/>
  <c r="R427" i="3"/>
  <c r="P427" i="3"/>
  <c r="R424" i="3"/>
  <c r="T424" i="3"/>
  <c r="U424" i="3"/>
  <c r="V424" i="3"/>
  <c r="P424" i="3"/>
  <c r="W43" i="5"/>
  <c r="R8" i="5"/>
  <c r="T8" i="5"/>
  <c r="P16" i="5"/>
  <c r="R16" i="5"/>
  <c r="T16" i="5"/>
  <c r="Y45" i="5"/>
  <c r="Y43" i="5"/>
  <c r="W26" i="5"/>
  <c r="Y26" i="5"/>
  <c r="S45" i="5"/>
  <c r="P47" i="5"/>
  <c r="P50" i="5"/>
  <c r="R50" i="5"/>
  <c r="T50" i="5"/>
  <c r="P51" i="5"/>
  <c r="R51" i="5"/>
  <c r="T51" i="5"/>
  <c r="W109" i="5"/>
  <c r="P118" i="5"/>
  <c r="R118" i="5"/>
  <c r="T118" i="5"/>
  <c r="W118" i="5"/>
  <c r="R143" i="5"/>
  <c r="T140" i="5"/>
  <c r="T186" i="5"/>
  <c r="P204" i="5"/>
  <c r="P229" i="5"/>
  <c r="W229" i="5"/>
  <c r="R183" i="5"/>
  <c r="T183" i="5"/>
  <c r="R198" i="5"/>
  <c r="T198" i="5"/>
  <c r="R199" i="5"/>
  <c r="T199" i="5"/>
  <c r="P33" i="5"/>
  <c r="U229" i="5"/>
  <c r="U231" i="5"/>
  <c r="W17" i="5"/>
  <c r="K31" i="5"/>
  <c r="P34" i="5"/>
  <c r="R34" i="5"/>
  <c r="T34" i="5"/>
  <c r="P38" i="5"/>
  <c r="R38" i="5"/>
  <c r="T38" i="5"/>
  <c r="J45" i="5"/>
  <c r="W8" i="5"/>
  <c r="W9" i="5"/>
  <c r="W10" i="5"/>
  <c r="W11" i="5"/>
  <c r="W12" i="5"/>
  <c r="P20" i="5"/>
  <c r="K45" i="5"/>
  <c r="Y53" i="5"/>
  <c r="U67" i="5"/>
  <c r="Y98" i="5"/>
  <c r="Y96" i="5"/>
  <c r="K122" i="5"/>
  <c r="K167" i="5"/>
  <c r="U183" i="5"/>
  <c r="J53" i="5"/>
  <c r="P59" i="5"/>
  <c r="R59" i="5"/>
  <c r="T59" i="5"/>
  <c r="W59" i="5"/>
  <c r="P40" i="5"/>
  <c r="R40" i="5"/>
  <c r="T40" i="5"/>
  <c r="U45" i="5"/>
  <c r="P57" i="5"/>
  <c r="K69" i="5"/>
  <c r="W57" i="5"/>
  <c r="S69" i="5"/>
  <c r="P120" i="5"/>
  <c r="R167" i="5"/>
  <c r="T167" i="5"/>
  <c r="T154" i="5"/>
  <c r="M165" i="5"/>
  <c r="S165" i="5"/>
  <c r="P163" i="5"/>
  <c r="R163" i="5"/>
  <c r="T163" i="5"/>
  <c r="W163" i="5"/>
  <c r="W183" i="5"/>
  <c r="R204" i="5"/>
  <c r="T204" i="5"/>
  <c r="T202" i="5"/>
  <c r="K295" i="5"/>
  <c r="W295" i="5"/>
  <c r="K55" i="5"/>
  <c r="P116" i="5"/>
  <c r="R116" i="5"/>
  <c r="T116" i="5"/>
  <c r="K120" i="5"/>
  <c r="W120" i="5"/>
  <c r="W116" i="5"/>
  <c r="J26" i="5"/>
  <c r="N54" i="5"/>
  <c r="P54" i="5"/>
  <c r="R54" i="5"/>
  <c r="T54" i="5"/>
  <c r="P90" i="5"/>
  <c r="R90" i="5"/>
  <c r="T90" i="5"/>
  <c r="S90" i="5"/>
  <c r="T102" i="5"/>
  <c r="R111" i="5"/>
  <c r="R122" i="5"/>
  <c r="U137" i="5"/>
  <c r="Y150" i="5"/>
  <c r="W188" i="5"/>
  <c r="R292" i="5"/>
  <c r="T292" i="5"/>
  <c r="R291" i="5"/>
  <c r="P295" i="5"/>
  <c r="K53" i="5"/>
  <c r="W53" i="5"/>
  <c r="K165" i="5"/>
  <c r="P155" i="5"/>
  <c r="R155" i="5"/>
  <c r="T155" i="5"/>
  <c r="W155" i="5"/>
  <c r="P162" i="5"/>
  <c r="R162" i="5"/>
  <c r="T162" i="5"/>
  <c r="S162" i="5"/>
  <c r="P237" i="5"/>
  <c r="R234" i="5"/>
  <c r="P238" i="5"/>
  <c r="W33" i="5"/>
  <c r="J98" i="5"/>
  <c r="J96" i="5"/>
  <c r="S122" i="5"/>
  <c r="K150" i="5"/>
  <c r="W150" i="5"/>
  <c r="W143" i="5"/>
  <c r="P150" i="5"/>
  <c r="R147" i="5"/>
  <c r="T147" i="5"/>
  <c r="S295" i="5"/>
  <c r="K67" i="5"/>
  <c r="W67" i="5"/>
  <c r="W71" i="5"/>
  <c r="Y100" i="5"/>
  <c r="U111" i="5"/>
  <c r="U109" i="5"/>
  <c r="T122" i="5"/>
  <c r="P143" i="5"/>
  <c r="P166" i="5"/>
  <c r="R166" i="5"/>
  <c r="T166" i="5"/>
  <c r="W166" i="5"/>
  <c r="P181" i="5"/>
  <c r="W181" i="5"/>
  <c r="P182" i="5"/>
  <c r="R182" i="5"/>
  <c r="T182" i="5"/>
  <c r="W182" i="5"/>
  <c r="P231" i="5"/>
  <c r="R229" i="5"/>
  <c r="T229" i="5"/>
  <c r="T227" i="5"/>
  <c r="W238" i="5"/>
  <c r="Y67" i="5"/>
  <c r="J69" i="5"/>
  <c r="R71" i="5"/>
  <c r="W97" i="5"/>
  <c r="P103" i="5"/>
  <c r="R103" i="5"/>
  <c r="T103" i="5"/>
  <c r="Y113" i="5"/>
  <c r="M120" i="5"/>
  <c r="S120" i="5"/>
  <c r="Y139" i="5"/>
  <c r="S143" i="5"/>
  <c r="U144" i="5"/>
  <c r="Y169" i="5"/>
  <c r="P172" i="5"/>
  <c r="R172" i="5"/>
  <c r="T172" i="5"/>
  <c r="Y186" i="5"/>
  <c r="Y188" i="5"/>
  <c r="Y196" i="5"/>
  <c r="W202" i="5"/>
  <c r="P226" i="5"/>
  <c r="R226" i="5"/>
  <c r="T226" i="5"/>
  <c r="J231" i="5"/>
  <c r="W231" i="5"/>
  <c r="P254" i="5"/>
  <c r="S291" i="5"/>
  <c r="S292" i="5"/>
  <c r="W61" i="5"/>
  <c r="W63" i="5"/>
  <c r="W76" i="5"/>
  <c r="W77" i="5"/>
  <c r="P100" i="5"/>
  <c r="W144" i="5"/>
  <c r="Y158" i="5"/>
  <c r="Y167" i="5"/>
  <c r="U181" i="5"/>
  <c r="P199" i="5"/>
  <c r="P225" i="5"/>
  <c r="R225" i="5"/>
  <c r="W269" i="5"/>
  <c r="K96" i="5"/>
  <c r="K98" i="5"/>
  <c r="J111" i="5"/>
  <c r="W111" i="5"/>
  <c r="W154" i="5"/>
  <c r="S176" i="5"/>
  <c r="U198" i="5"/>
  <c r="K204" i="5"/>
  <c r="W204" i="5"/>
  <c r="W234" i="5"/>
  <c r="U96" i="5"/>
  <c r="U122" i="5"/>
  <c r="W291" i="5"/>
  <c r="W105" i="5"/>
  <c r="W107" i="5"/>
  <c r="W135" i="5"/>
  <c r="W147" i="5"/>
  <c r="W148" i="5"/>
  <c r="K257" i="5"/>
  <c r="W257" i="5"/>
  <c r="P135" i="5"/>
  <c r="Y122" i="5"/>
  <c r="Y120" i="5"/>
  <c r="P96" i="5"/>
  <c r="R96" i="5"/>
  <c r="T96" i="5"/>
  <c r="Y165" i="5"/>
  <c r="P43" i="5"/>
  <c r="R43" i="5"/>
  <c r="T43" i="5"/>
  <c r="R33" i="5"/>
  <c r="T33" i="5"/>
  <c r="P53" i="5"/>
  <c r="R53" i="5"/>
  <c r="T53" i="5"/>
  <c r="R47" i="5"/>
  <c r="T47" i="5"/>
  <c r="R231" i="5"/>
  <c r="T231" i="5"/>
  <c r="T225" i="5"/>
  <c r="Y199" i="5"/>
  <c r="Y198" i="5"/>
  <c r="P165" i="5"/>
  <c r="W165" i="5"/>
  <c r="R120" i="5"/>
  <c r="T120" i="5"/>
  <c r="R165" i="5"/>
  <c r="T165" i="5"/>
  <c r="Y183" i="5"/>
  <c r="Y181" i="5"/>
  <c r="P45" i="5"/>
  <c r="R45" i="5"/>
  <c r="T45" i="5"/>
  <c r="W45" i="5"/>
  <c r="P259" i="5"/>
  <c r="P257" i="5"/>
  <c r="R254" i="5"/>
  <c r="P69" i="5"/>
  <c r="R69" i="5"/>
  <c r="T69" i="5"/>
  <c r="W69" i="5"/>
  <c r="R20" i="5"/>
  <c r="T20" i="5"/>
  <c r="P26" i="5"/>
  <c r="R26" i="5"/>
  <c r="T26" i="5"/>
  <c r="T71" i="5"/>
  <c r="R98" i="5"/>
  <c r="T98" i="5"/>
  <c r="R238" i="5"/>
  <c r="T238" i="5"/>
  <c r="R237" i="5"/>
  <c r="T237" i="5"/>
  <c r="T234" i="5"/>
  <c r="P137" i="5"/>
  <c r="R135" i="5"/>
  <c r="P98" i="5"/>
  <c r="W98" i="5"/>
  <c r="P109" i="5"/>
  <c r="R100" i="5"/>
  <c r="R295" i="5"/>
  <c r="T295" i="5"/>
  <c r="T291" i="5"/>
  <c r="T111" i="5"/>
  <c r="P55" i="5"/>
  <c r="R55" i="5"/>
  <c r="T55" i="5"/>
  <c r="W55" i="5"/>
  <c r="P67" i="5"/>
  <c r="R67" i="5"/>
  <c r="T67" i="5"/>
  <c r="R57" i="5"/>
  <c r="T57" i="5"/>
  <c r="P167" i="5"/>
  <c r="W167" i="5"/>
  <c r="P31" i="5"/>
  <c r="R31" i="5"/>
  <c r="T31" i="5"/>
  <c r="W31" i="5"/>
  <c r="R181" i="5"/>
  <c r="T181" i="5"/>
  <c r="R150" i="5"/>
  <c r="T150" i="5"/>
  <c r="T143" i="5"/>
  <c r="W96" i="5"/>
  <c r="Y144" i="5"/>
  <c r="Y143" i="5"/>
  <c r="Y111" i="5"/>
  <c r="Y109" i="5"/>
  <c r="P122" i="5"/>
  <c r="W122" i="5"/>
  <c r="Y423" i="3"/>
  <c r="Y420" i="3"/>
  <c r="R421" i="3"/>
  <c r="U421" i="3"/>
  <c r="V421" i="3"/>
  <c r="P421" i="3"/>
  <c r="T420" i="3"/>
  <c r="T421" i="3" s="1"/>
  <c r="S420" i="3"/>
  <c r="S421" i="3" s="1"/>
  <c r="S413" i="3"/>
  <c r="L418" i="3"/>
  <c r="M408" i="3"/>
  <c r="L414" i="3"/>
  <c r="L417" i="3" s="1"/>
  <c r="T100" i="5"/>
  <c r="R109" i="5"/>
  <c r="T109" i="5"/>
  <c r="R259" i="5"/>
  <c r="T259" i="5"/>
  <c r="R257" i="5"/>
  <c r="T257" i="5"/>
  <c r="T254" i="5"/>
  <c r="R137" i="5"/>
  <c r="T137" i="5"/>
  <c r="T135" i="5"/>
  <c r="T418" i="3"/>
  <c r="U418" i="3"/>
  <c r="V418" i="3"/>
  <c r="Y415" i="3"/>
  <c r="S415" i="3"/>
  <c r="T414" i="3"/>
  <c r="T417" i="3" s="1"/>
  <c r="U414" i="3"/>
  <c r="V414" i="3"/>
  <c r="V417" i="3" s="1"/>
  <c r="S412" i="3"/>
  <c r="S411" i="3"/>
  <c r="W411" i="3" s="1"/>
  <c r="R411" i="3"/>
  <c r="W409" i="3"/>
  <c r="X409" i="3"/>
  <c r="Y409" i="3"/>
  <c r="W410" i="3"/>
  <c r="X410" i="3"/>
  <c r="Y410" i="3"/>
  <c r="Y411" i="3"/>
  <c r="Y412" i="3"/>
  <c r="Y413" i="3"/>
  <c r="S408" i="3"/>
  <c r="R408" i="3"/>
  <c r="Y408" i="3"/>
  <c r="P418" i="3"/>
  <c r="P414" i="3"/>
  <c r="P417" i="3" s="1"/>
  <c r="M398" i="3"/>
  <c r="L398" i="3"/>
  <c r="W394" i="3"/>
  <c r="AB394" i="3" s="1"/>
  <c r="W393" i="3"/>
  <c r="AB393" i="3" s="1"/>
  <c r="M374" i="3"/>
  <c r="M351" i="3"/>
  <c r="M338" i="3"/>
  <c r="M337" i="3"/>
  <c r="M317" i="3"/>
  <c r="N399" i="3"/>
  <c r="O399" i="3" s="1"/>
  <c r="N400" i="3"/>
  <c r="O400" i="3" s="1"/>
  <c r="N401" i="3"/>
  <c r="O401" i="3" s="1"/>
  <c r="N402" i="3"/>
  <c r="O402" i="3" s="1"/>
  <c r="N404" i="3"/>
  <c r="O404" i="3" s="1"/>
  <c r="S402" i="3"/>
  <c r="T406" i="3"/>
  <c r="U406" i="3"/>
  <c r="V406" i="3"/>
  <c r="Y404" i="3"/>
  <c r="T403" i="3"/>
  <c r="T405" i="3" s="1"/>
  <c r="U403" i="3"/>
  <c r="U405" i="3" s="1"/>
  <c r="V403" i="3"/>
  <c r="V405" i="3" s="1"/>
  <c r="S404" i="3"/>
  <c r="W404" i="3" s="1"/>
  <c r="Y399" i="3"/>
  <c r="Y400" i="3"/>
  <c r="Y401" i="3"/>
  <c r="Y402" i="3"/>
  <c r="Y398" i="3"/>
  <c r="X399" i="3"/>
  <c r="X400" i="3"/>
  <c r="X401" i="3"/>
  <c r="W399" i="3"/>
  <c r="W400" i="3"/>
  <c r="W401" i="3"/>
  <c r="S398" i="3"/>
  <c r="W398" i="3" s="1"/>
  <c r="Z398" i="3" s="1"/>
  <c r="AA398" i="3" s="1"/>
  <c r="R398" i="3"/>
  <c r="P406" i="3"/>
  <c r="P403" i="3"/>
  <c r="P405" i="3" s="1"/>
  <c r="M386" i="3"/>
  <c r="M396" i="3" s="1"/>
  <c r="L387" i="3"/>
  <c r="N387" i="3" s="1"/>
  <c r="O387" i="3" s="1"/>
  <c r="L388" i="3"/>
  <c r="N388" i="3" s="1"/>
  <c r="O388" i="3" s="1"/>
  <c r="L389" i="3"/>
  <c r="N389" i="3" s="1"/>
  <c r="O389" i="3" s="1"/>
  <c r="L390" i="3"/>
  <c r="N390" i="3" s="1"/>
  <c r="O390" i="3" s="1"/>
  <c r="L392" i="3"/>
  <c r="N392" i="3" s="1"/>
  <c r="O392" i="3" s="1"/>
  <c r="L393" i="3"/>
  <c r="N393" i="3" s="1"/>
  <c r="O393" i="3" s="1"/>
  <c r="AC393" i="3" s="1"/>
  <c r="L394" i="3"/>
  <c r="N394" i="3" s="1"/>
  <c r="O394" i="3" s="1"/>
  <c r="AC394" i="3" s="1"/>
  <c r="L386" i="3"/>
  <c r="S389" i="3"/>
  <c r="S390" i="3"/>
  <c r="W390" i="3" s="1"/>
  <c r="T396" i="3"/>
  <c r="U396" i="3"/>
  <c r="V396" i="3"/>
  <c r="T391" i="3"/>
  <c r="T395" i="3" s="1"/>
  <c r="U391" i="3"/>
  <c r="U395" i="3" s="1"/>
  <c r="V391" i="3"/>
  <c r="V395" i="3" s="1"/>
  <c r="Y392" i="3"/>
  <c r="S392" i="3"/>
  <c r="X392" i="3" s="1"/>
  <c r="X387" i="3"/>
  <c r="X388" i="3"/>
  <c r="W387" i="3"/>
  <c r="W388" i="3"/>
  <c r="Y387" i="3"/>
  <c r="Y388" i="3"/>
  <c r="Y389" i="3"/>
  <c r="Y390" i="3"/>
  <c r="Y386" i="3"/>
  <c r="S386" i="3"/>
  <c r="R386" i="3"/>
  <c r="P396" i="3"/>
  <c r="L396" i="3" s="1"/>
  <c r="P391" i="3"/>
  <c r="L391" i="3" s="1"/>
  <c r="R384" i="3"/>
  <c r="T384" i="3"/>
  <c r="U384" i="3"/>
  <c r="V384" i="3"/>
  <c r="P384" i="3"/>
  <c r="S383" i="3"/>
  <c r="S384" i="3" s="1"/>
  <c r="R381" i="3"/>
  <c r="T381" i="3"/>
  <c r="U381" i="3"/>
  <c r="V381" i="3"/>
  <c r="P381" i="3"/>
  <c r="S380" i="3"/>
  <c r="X380" i="3" s="1"/>
  <c r="X381" i="3" s="1"/>
  <c r="R378" i="3"/>
  <c r="T378" i="3"/>
  <c r="U378" i="3"/>
  <c r="AA378" i="3"/>
  <c r="P378" i="3"/>
  <c r="S377" i="3"/>
  <c r="W377" i="3" s="1"/>
  <c r="AB377" i="3" s="1"/>
  <c r="Y374" i="3"/>
  <c r="R375" i="3"/>
  <c r="T375" i="3"/>
  <c r="U375" i="3"/>
  <c r="P375" i="3"/>
  <c r="S374" i="3"/>
  <c r="X374" i="3" s="1"/>
  <c r="N413" i="3"/>
  <c r="O413" i="3" s="1"/>
  <c r="Y371" i="3"/>
  <c r="V371" i="3"/>
  <c r="T371" i="3" s="1"/>
  <c r="T372" i="3" s="1"/>
  <c r="R372" i="3"/>
  <c r="U372" i="3"/>
  <c r="P372" i="3"/>
  <c r="S371" i="3"/>
  <c r="S372" i="3" s="1"/>
  <c r="S355" i="3"/>
  <c r="S354" i="3"/>
  <c r="X354" i="3" s="1"/>
  <c r="S362" i="3"/>
  <c r="X362" i="3" s="1"/>
  <c r="S360" i="3"/>
  <c r="S365" i="3"/>
  <c r="S364" i="3"/>
  <c r="W364" i="3" s="1"/>
  <c r="R369" i="3"/>
  <c r="S369" i="3"/>
  <c r="T369" i="3"/>
  <c r="U369" i="3"/>
  <c r="V369" i="3"/>
  <c r="P369" i="3"/>
  <c r="R363" i="3"/>
  <c r="R368" i="3" s="1"/>
  <c r="T363" i="3"/>
  <c r="T368" i="3" s="1"/>
  <c r="U363" i="3"/>
  <c r="U368" i="3" s="1"/>
  <c r="V363" i="3"/>
  <c r="V368" i="3" s="1"/>
  <c r="P363" i="3"/>
  <c r="P368" i="3" s="1"/>
  <c r="S361" i="3"/>
  <c r="X356" i="3"/>
  <c r="X357" i="3"/>
  <c r="X359" i="3"/>
  <c r="S358" i="3"/>
  <c r="X358" i="3" s="1"/>
  <c r="Y355" i="3"/>
  <c r="W356" i="3"/>
  <c r="Y356" i="3"/>
  <c r="W357" i="3"/>
  <c r="Y357" i="3"/>
  <c r="Y358" i="3"/>
  <c r="W359" i="3"/>
  <c r="Y359" i="3"/>
  <c r="Y360" i="3"/>
  <c r="Y361" i="3"/>
  <c r="Y362" i="3"/>
  <c r="Y364" i="3"/>
  <c r="Y365" i="3"/>
  <c r="Y354" i="3"/>
  <c r="V337" i="3"/>
  <c r="V352" i="3"/>
  <c r="S352" i="3"/>
  <c r="T352" i="3"/>
  <c r="U352" i="3"/>
  <c r="R352" i="3"/>
  <c r="P352" i="3"/>
  <c r="Y351" i="3"/>
  <c r="W351" i="3"/>
  <c r="W352" i="3" s="1"/>
  <c r="AB352" i="3" s="1"/>
  <c r="T177" i="3"/>
  <c r="T160" i="3"/>
  <c r="N412" i="3"/>
  <c r="O412" i="3" s="1"/>
  <c r="S344" i="3"/>
  <c r="S345" i="3"/>
  <c r="W345" i="3" s="1"/>
  <c r="R349" i="3"/>
  <c r="T349" i="3"/>
  <c r="U349" i="3"/>
  <c r="P349" i="3"/>
  <c r="Y347" i="3"/>
  <c r="S347" i="3"/>
  <c r="T346" i="3"/>
  <c r="T348" i="3" s="1"/>
  <c r="U346" i="3"/>
  <c r="R346" i="3"/>
  <c r="R348" i="3" s="1"/>
  <c r="P346" i="3"/>
  <c r="P348" i="3" s="1"/>
  <c r="Y345" i="3"/>
  <c r="Y344" i="3"/>
  <c r="R342" i="3"/>
  <c r="T342" i="3"/>
  <c r="U342" i="3"/>
  <c r="P342" i="3"/>
  <c r="Y341" i="3"/>
  <c r="S341" i="3"/>
  <c r="S338" i="3"/>
  <c r="X338" i="3" s="1"/>
  <c r="S337" i="3"/>
  <c r="X337" i="3" s="1"/>
  <c r="T339" i="3"/>
  <c r="U339" i="3"/>
  <c r="R339" i="3"/>
  <c r="P339" i="3"/>
  <c r="Y338" i="3"/>
  <c r="Y337" i="3"/>
  <c r="N411" i="3"/>
  <c r="O411" i="3" s="1"/>
  <c r="N410" i="3"/>
  <c r="O410" i="3" s="1"/>
  <c r="L331" i="3"/>
  <c r="L334" i="3" s="1"/>
  <c r="L323" i="3"/>
  <c r="L326" i="3" s="1"/>
  <c r="S332" i="3"/>
  <c r="R335" i="3"/>
  <c r="T335" i="3"/>
  <c r="U335" i="3"/>
  <c r="P335" i="3"/>
  <c r="Y332" i="3"/>
  <c r="R331" i="3"/>
  <c r="R334" i="3" s="1"/>
  <c r="T331" i="3"/>
  <c r="T334" i="3" s="1"/>
  <c r="U331" i="3"/>
  <c r="U334" i="3" s="1"/>
  <c r="Y330" i="3"/>
  <c r="S330" i="3"/>
  <c r="X330" i="3" s="1"/>
  <c r="Y329" i="3"/>
  <c r="S329" i="3"/>
  <c r="P331" i="3"/>
  <c r="P334" i="3" s="1"/>
  <c r="R327" i="3"/>
  <c r="T327" i="3"/>
  <c r="U327" i="3"/>
  <c r="P327" i="3"/>
  <c r="Y324" i="3"/>
  <c r="S324" i="3"/>
  <c r="X324" i="3" s="1"/>
  <c r="T323" i="3"/>
  <c r="T326" i="3" s="1"/>
  <c r="U323" i="3"/>
  <c r="U326" i="3" s="1"/>
  <c r="R323" i="3"/>
  <c r="R326" i="3" s="1"/>
  <c r="P323" i="3"/>
  <c r="P326" i="3" s="1"/>
  <c r="S322" i="3"/>
  <c r="X322" i="3" s="1"/>
  <c r="Y321" i="3"/>
  <c r="Y322" i="3"/>
  <c r="S321" i="3"/>
  <c r="W321" i="3" s="1"/>
  <c r="Y320" i="3"/>
  <c r="S320" i="3"/>
  <c r="S327" i="3" s="1"/>
  <c r="U318" i="3"/>
  <c r="T318" i="3"/>
  <c r="S318" i="3"/>
  <c r="R318" i="3"/>
  <c r="P318" i="3"/>
  <c r="Y317" i="3"/>
  <c r="W317" i="3"/>
  <c r="T308" i="3"/>
  <c r="U308" i="3"/>
  <c r="R308" i="3"/>
  <c r="S315" i="3"/>
  <c r="P315" i="3"/>
  <c r="Y315" i="3" s="1"/>
  <c r="L314" i="3"/>
  <c r="M314" i="3" s="1"/>
  <c r="Y314" i="3"/>
  <c r="S314" i="3"/>
  <c r="X314" i="3" s="1"/>
  <c r="U312" i="3"/>
  <c r="T312" i="3"/>
  <c r="R312" i="3"/>
  <c r="P312" i="3"/>
  <c r="L311" i="3"/>
  <c r="M311" i="3" s="1"/>
  <c r="Y311" i="3"/>
  <c r="S311" i="3"/>
  <c r="X311" i="3" s="1"/>
  <c r="L310" i="3"/>
  <c r="M310" i="3" s="1"/>
  <c r="Y310" i="3"/>
  <c r="S310" i="3"/>
  <c r="W310" i="3" s="1"/>
  <c r="P308" i="3"/>
  <c r="L307" i="3"/>
  <c r="Y307" i="3"/>
  <c r="S307" i="3"/>
  <c r="X307" i="3" s="1"/>
  <c r="L306" i="3"/>
  <c r="M306" i="3" s="1"/>
  <c r="Y306" i="3"/>
  <c r="S306" i="3"/>
  <c r="X306" i="3" s="1"/>
  <c r="U304" i="3"/>
  <c r="T304" i="3"/>
  <c r="R304" i="3"/>
  <c r="P304" i="3"/>
  <c r="L303" i="3"/>
  <c r="M303" i="3" s="1"/>
  <c r="Y303" i="3"/>
  <c r="S303" i="3"/>
  <c r="L302" i="3"/>
  <c r="Y302" i="3"/>
  <c r="S302" i="3"/>
  <c r="W302" i="3" s="1"/>
  <c r="U300" i="3"/>
  <c r="T300" i="3"/>
  <c r="R300" i="3"/>
  <c r="P300" i="3"/>
  <c r="L299" i="3"/>
  <c r="M299" i="3" s="1"/>
  <c r="Y299" i="3"/>
  <c r="S299" i="3"/>
  <c r="X299" i="3" s="1"/>
  <c r="U297" i="3"/>
  <c r="T297" i="3"/>
  <c r="R297" i="3"/>
  <c r="P297" i="3"/>
  <c r="L296" i="3"/>
  <c r="Y296" i="3"/>
  <c r="S296" i="3"/>
  <c r="S297" i="3" s="1"/>
  <c r="U294" i="3"/>
  <c r="T294" i="3"/>
  <c r="R294" i="3"/>
  <c r="P294" i="3"/>
  <c r="L293" i="3"/>
  <c r="M293" i="3" s="1"/>
  <c r="Y293" i="3"/>
  <c r="S293" i="3"/>
  <c r="W293" i="3" s="1"/>
  <c r="Z293" i="3" s="1"/>
  <c r="AA293" i="3" s="1"/>
  <c r="L292" i="3"/>
  <c r="M292" i="3" s="1"/>
  <c r="Y292" i="3"/>
  <c r="S292" i="3"/>
  <c r="W292" i="3" s="1"/>
  <c r="U290" i="3"/>
  <c r="T290" i="3"/>
  <c r="R290" i="3"/>
  <c r="P290" i="3"/>
  <c r="L289" i="3"/>
  <c r="M289" i="3" s="1"/>
  <c r="Y289" i="3"/>
  <c r="S289" i="3"/>
  <c r="S290" i="3" s="1"/>
  <c r="U287" i="3"/>
  <c r="T287" i="3"/>
  <c r="R287" i="3"/>
  <c r="P287" i="3"/>
  <c r="L286" i="3"/>
  <c r="M286" i="3" s="1"/>
  <c r="Y286" i="3"/>
  <c r="S286" i="3"/>
  <c r="X286" i="3" s="1"/>
  <c r="L285" i="3"/>
  <c r="Y285" i="3"/>
  <c r="S285" i="3"/>
  <c r="X285" i="3" s="1"/>
  <c r="U283" i="3"/>
  <c r="T283" i="3"/>
  <c r="R283" i="3"/>
  <c r="P283" i="3"/>
  <c r="L282" i="3"/>
  <c r="M282" i="3" s="1"/>
  <c r="Y282" i="3"/>
  <c r="S282" i="3"/>
  <c r="W282" i="3" s="1"/>
  <c r="J72" i="7" s="1"/>
  <c r="Q72" i="7" s="1"/>
  <c r="U280" i="3"/>
  <c r="Y280" i="3" s="1"/>
  <c r="T280" i="3"/>
  <c r="R280" i="3"/>
  <c r="L279" i="3"/>
  <c r="M279" i="3" s="1"/>
  <c r="Y279" i="3"/>
  <c r="S279" i="3"/>
  <c r="W279" i="3" s="1"/>
  <c r="Z279" i="3" s="1"/>
  <c r="AA279" i="3" s="1"/>
  <c r="S278" i="3"/>
  <c r="W278" i="3" s="1"/>
  <c r="P278" i="3"/>
  <c r="D14" i="10" s="1"/>
  <c r="L277" i="3"/>
  <c r="M277" i="3" s="1"/>
  <c r="Y277" i="3"/>
  <c r="S277" i="3"/>
  <c r="W277" i="3" s="1"/>
  <c r="Z277" i="3" s="1"/>
  <c r="AA277" i="3" s="1"/>
  <c r="L276" i="3"/>
  <c r="M276" i="3" s="1"/>
  <c r="Y276" i="3"/>
  <c r="S276" i="3"/>
  <c r="W276" i="3" s="1"/>
  <c r="AC274" i="3"/>
  <c r="L272" i="3"/>
  <c r="N272" i="3" s="1"/>
  <c r="O272" i="3" s="1"/>
  <c r="Y272" i="3"/>
  <c r="S272" i="3"/>
  <c r="X272" i="3" s="1"/>
  <c r="M271" i="3"/>
  <c r="U271" i="3"/>
  <c r="U273" i="3" s="1"/>
  <c r="T271" i="3"/>
  <c r="T273" i="3" s="1"/>
  <c r="P271" i="3"/>
  <c r="L270" i="3"/>
  <c r="Y270" i="3"/>
  <c r="S270" i="3"/>
  <c r="X270" i="3" s="1"/>
  <c r="L269" i="3"/>
  <c r="N269" i="3" s="1"/>
  <c r="O269" i="3" s="1"/>
  <c r="Y269" i="3"/>
  <c r="X269" i="3"/>
  <c r="W269" i="3"/>
  <c r="L268" i="3"/>
  <c r="N268" i="3" s="1"/>
  <c r="O268" i="3" s="1"/>
  <c r="Y268" i="3"/>
  <c r="X268" i="3"/>
  <c r="W268" i="3"/>
  <c r="L267" i="3"/>
  <c r="N267" i="3" s="1"/>
  <c r="Y267" i="3"/>
  <c r="S267" i="3"/>
  <c r="R267" i="3"/>
  <c r="U265" i="3"/>
  <c r="T265" i="3"/>
  <c r="R265" i="3"/>
  <c r="P265" i="3"/>
  <c r="M263" i="3"/>
  <c r="Y263" i="3"/>
  <c r="X263" i="3"/>
  <c r="L262" i="3"/>
  <c r="X262" i="3"/>
  <c r="N261" i="3"/>
  <c r="O261" i="3" s="1"/>
  <c r="Y261" i="3"/>
  <c r="S261" i="3"/>
  <c r="M260" i="3"/>
  <c r="L260" i="3"/>
  <c r="U260" i="3"/>
  <c r="U264" i="3" s="1"/>
  <c r="T260" i="3"/>
  <c r="T264" i="3" s="1"/>
  <c r="R260" i="3"/>
  <c r="R264" i="3" s="1"/>
  <c r="P260" i="3"/>
  <c r="N259" i="3"/>
  <c r="O259" i="3" s="1"/>
  <c r="Y259" i="3"/>
  <c r="S259" i="3"/>
  <c r="W259" i="3" s="1"/>
  <c r="AB259" i="3" s="1"/>
  <c r="N258" i="3"/>
  <c r="O258" i="3" s="1"/>
  <c r="Y258" i="3"/>
  <c r="S258" i="3"/>
  <c r="W258" i="3" s="1"/>
  <c r="AB258" i="3" s="1"/>
  <c r="U256" i="3"/>
  <c r="T256" i="3"/>
  <c r="R256" i="3"/>
  <c r="P256" i="3"/>
  <c r="L255" i="3"/>
  <c r="M255" i="3" s="1"/>
  <c r="Y255" i="3"/>
  <c r="S255" i="3"/>
  <c r="X255" i="3" s="1"/>
  <c r="U253" i="3"/>
  <c r="T253" i="3"/>
  <c r="R253" i="3"/>
  <c r="P253" i="3"/>
  <c r="L252" i="3"/>
  <c r="Y252" i="3"/>
  <c r="S252" i="3"/>
  <c r="U250" i="3"/>
  <c r="T250" i="3"/>
  <c r="R250" i="3"/>
  <c r="P250" i="3"/>
  <c r="L249" i="3"/>
  <c r="Y249" i="3"/>
  <c r="S249" i="3"/>
  <c r="L248" i="3"/>
  <c r="M248" i="3" s="1"/>
  <c r="Y248" i="3"/>
  <c r="S248" i="3"/>
  <c r="U246" i="3"/>
  <c r="T246" i="3"/>
  <c r="R246" i="3"/>
  <c r="P246" i="3"/>
  <c r="Z244" i="3"/>
  <c r="AA244" i="3" s="1"/>
  <c r="AC244" i="3" s="1"/>
  <c r="Z243" i="3"/>
  <c r="AA243" i="3" s="1"/>
  <c r="AC243" i="3" s="1"/>
  <c r="Z242" i="3"/>
  <c r="AA242" i="3" s="1"/>
  <c r="AC242" i="3" s="1"/>
  <c r="Z241" i="3"/>
  <c r="AA241" i="3" s="1"/>
  <c r="AC241" i="3" s="1"/>
  <c r="Z240" i="3"/>
  <c r="AA240" i="3" s="1"/>
  <c r="AC240" i="3" s="1"/>
  <c r="Z239" i="3"/>
  <c r="AA239" i="3" s="1"/>
  <c r="AC239" i="3" s="1"/>
  <c r="Z238" i="3"/>
  <c r="AA238" i="3" s="1"/>
  <c r="AC238" i="3" s="1"/>
  <c r="X238" i="3"/>
  <c r="X237" i="3"/>
  <c r="Y236" i="3"/>
  <c r="S236" i="3"/>
  <c r="W236" i="3" s="1"/>
  <c r="U235" i="3"/>
  <c r="U245" i="3" s="1"/>
  <c r="T235" i="3"/>
  <c r="T245" i="3" s="1"/>
  <c r="R235" i="3"/>
  <c r="R245" i="3" s="1"/>
  <c r="P235" i="3"/>
  <c r="P245" i="3" s="1"/>
  <c r="X234" i="3"/>
  <c r="O233" i="3"/>
  <c r="Y233" i="3"/>
  <c r="X233" i="3"/>
  <c r="W233" i="3"/>
  <c r="O232" i="3"/>
  <c r="Y232" i="3"/>
  <c r="X232" i="3"/>
  <c r="W232" i="3"/>
  <c r="O231" i="3"/>
  <c r="Y231" i="3"/>
  <c r="S231" i="3"/>
  <c r="O230" i="3"/>
  <c r="Y230" i="3"/>
  <c r="S230" i="3"/>
  <c r="X230" i="3" s="1"/>
  <c r="O229" i="3"/>
  <c r="Y229" i="3"/>
  <c r="S229" i="3"/>
  <c r="X229" i="3" s="1"/>
  <c r="O228" i="3"/>
  <c r="Y228" i="3"/>
  <c r="S228" i="3"/>
  <c r="W228" i="3" s="1"/>
  <c r="U226" i="3"/>
  <c r="T226" i="3"/>
  <c r="R226" i="3"/>
  <c r="P226" i="3"/>
  <c r="X224" i="3"/>
  <c r="X223" i="3"/>
  <c r="Y222" i="3"/>
  <c r="S222" i="3"/>
  <c r="W222" i="3" s="1"/>
  <c r="U221" i="3"/>
  <c r="U225" i="3" s="1"/>
  <c r="T221" i="3"/>
  <c r="T225" i="3" s="1"/>
  <c r="R221" i="3"/>
  <c r="R225" i="3" s="1"/>
  <c r="P221" i="3"/>
  <c r="P225" i="3" s="1"/>
  <c r="X220" i="3"/>
  <c r="O219" i="3"/>
  <c r="Y219" i="3"/>
  <c r="S219" i="3"/>
  <c r="W219" i="3" s="1"/>
  <c r="AB219" i="3" s="1"/>
  <c r="O218" i="3"/>
  <c r="Y218" i="3"/>
  <c r="S218" i="3"/>
  <c r="X218" i="3" s="1"/>
  <c r="O217" i="3"/>
  <c r="Y217" i="3"/>
  <c r="S217" i="3"/>
  <c r="X217" i="3" s="1"/>
  <c r="O216" i="3"/>
  <c r="Y216" i="3"/>
  <c r="X216" i="3"/>
  <c r="W216" i="3"/>
  <c r="O215" i="3"/>
  <c r="Y215" i="3"/>
  <c r="S215" i="3"/>
  <c r="W215" i="3" s="1"/>
  <c r="X214" i="3"/>
  <c r="U212" i="3"/>
  <c r="T212" i="3"/>
  <c r="P212" i="3"/>
  <c r="O212" i="3" s="1"/>
  <c r="X210" i="3"/>
  <c r="X209" i="3"/>
  <c r="Y208" i="3"/>
  <c r="S208" i="3"/>
  <c r="U207" i="3"/>
  <c r="T207" i="3"/>
  <c r="T211" i="3" s="1"/>
  <c r="P207" i="3"/>
  <c r="P211" i="3" s="1"/>
  <c r="X206" i="3"/>
  <c r="Y205" i="3"/>
  <c r="S205" i="3"/>
  <c r="X205" i="3" s="1"/>
  <c r="Y204" i="3"/>
  <c r="S204" i="3"/>
  <c r="W204" i="3" s="1"/>
  <c r="Y203" i="3"/>
  <c r="S203" i="3"/>
  <c r="X203" i="3" s="1"/>
  <c r="Y202" i="3"/>
  <c r="S202" i="3"/>
  <c r="X202" i="3" s="1"/>
  <c r="Y201" i="3"/>
  <c r="S201" i="3"/>
  <c r="X201" i="3" s="1"/>
  <c r="Y200" i="3"/>
  <c r="S200" i="3"/>
  <c r="W200" i="3" s="1"/>
  <c r="Y199" i="3"/>
  <c r="X199" i="3"/>
  <c r="W199" i="3"/>
  <c r="Y198" i="3"/>
  <c r="S198" i="3"/>
  <c r="Y197" i="3"/>
  <c r="X197" i="3"/>
  <c r="W197" i="3"/>
  <c r="Y196" i="3"/>
  <c r="S196" i="3"/>
  <c r="W196" i="3" s="1"/>
  <c r="Y195" i="3"/>
  <c r="S195" i="3"/>
  <c r="Y194" i="3"/>
  <c r="S194" i="3"/>
  <c r="Y193" i="3"/>
  <c r="S193" i="3"/>
  <c r="W193" i="3" s="1"/>
  <c r="R193" i="3"/>
  <c r="U191" i="3"/>
  <c r="T191" i="3"/>
  <c r="S191" i="3"/>
  <c r="P191" i="3"/>
  <c r="X189" i="3"/>
  <c r="Y188" i="3"/>
  <c r="W188" i="3"/>
  <c r="R188" i="3"/>
  <c r="U187" i="3"/>
  <c r="U190" i="3" s="1"/>
  <c r="T187" i="3"/>
  <c r="T190" i="3" s="1"/>
  <c r="S187" i="3"/>
  <c r="S190" i="3" s="1"/>
  <c r="P187" i="3"/>
  <c r="P190" i="3" s="1"/>
  <c r="X186" i="3"/>
  <c r="O185" i="3"/>
  <c r="Y185" i="3"/>
  <c r="W185" i="3"/>
  <c r="R185" i="3"/>
  <c r="O184" i="3"/>
  <c r="Y184" i="3"/>
  <c r="W184" i="3"/>
  <c r="R184" i="3"/>
  <c r="U182" i="3"/>
  <c r="T182" i="3"/>
  <c r="P182" i="3"/>
  <c r="X180" i="3"/>
  <c r="X179" i="3"/>
  <c r="X178" i="3"/>
  <c r="Y177" i="3"/>
  <c r="S177" i="3"/>
  <c r="X177" i="3" s="1"/>
  <c r="U176" i="3"/>
  <c r="T176" i="3"/>
  <c r="P176" i="3"/>
  <c r="X175" i="3"/>
  <c r="O174" i="3"/>
  <c r="Y174" i="3"/>
  <c r="X174" i="3"/>
  <c r="W174" i="3"/>
  <c r="O173" i="3"/>
  <c r="Y173" i="3"/>
  <c r="X173" i="3"/>
  <c r="W173" i="3"/>
  <c r="O172" i="3"/>
  <c r="Y172" i="3"/>
  <c r="X172" i="3"/>
  <c r="W172" i="3"/>
  <c r="O171" i="3"/>
  <c r="Y171" i="3"/>
  <c r="S171" i="3"/>
  <c r="X171" i="3" s="1"/>
  <c r="O170" i="3"/>
  <c r="Y170" i="3"/>
  <c r="S170" i="3"/>
  <c r="X170" i="3" s="1"/>
  <c r="O169" i="3"/>
  <c r="Y169" i="3"/>
  <c r="S169" i="3"/>
  <c r="X169" i="3" s="1"/>
  <c r="O168" i="3"/>
  <c r="Y168" i="3"/>
  <c r="S168" i="3"/>
  <c r="R168" i="3"/>
  <c r="O167" i="3"/>
  <c r="Y167" i="3"/>
  <c r="S167" i="3"/>
  <c r="X167" i="3" s="1"/>
  <c r="O166" i="3"/>
  <c r="Y166" i="3"/>
  <c r="S166" i="3"/>
  <c r="R166" i="3"/>
  <c r="U164" i="3"/>
  <c r="T164" i="3"/>
  <c r="P164" i="3"/>
  <c r="X162" i="3"/>
  <c r="X161" i="3"/>
  <c r="Y160" i="3"/>
  <c r="S160" i="3"/>
  <c r="U159" i="3"/>
  <c r="P159" i="3"/>
  <c r="P163" i="3" s="1"/>
  <c r="X158" i="3"/>
  <c r="O157" i="3"/>
  <c r="Y157" i="3"/>
  <c r="X157" i="3"/>
  <c r="W157" i="3"/>
  <c r="O156" i="3"/>
  <c r="Y156" i="3"/>
  <c r="X156" i="3"/>
  <c r="W156" i="3"/>
  <c r="O155" i="3"/>
  <c r="Y155" i="3"/>
  <c r="S155" i="3"/>
  <c r="W155" i="3" s="1"/>
  <c r="R155" i="3"/>
  <c r="O154" i="3"/>
  <c r="Y154" i="3"/>
  <c r="T154" i="3"/>
  <c r="T159" i="3" s="1"/>
  <c r="S154" i="3"/>
  <c r="X154" i="3" s="1"/>
  <c r="O153" i="3"/>
  <c r="Y153" i="3"/>
  <c r="X153" i="3"/>
  <c r="W153" i="3"/>
  <c r="O152" i="3"/>
  <c r="Y152" i="3"/>
  <c r="S152" i="3"/>
  <c r="W152" i="3" s="1"/>
  <c r="O151" i="3"/>
  <c r="Y151" i="3"/>
  <c r="S151" i="3"/>
  <c r="R151" i="3"/>
  <c r="U149" i="3"/>
  <c r="T149" i="3"/>
  <c r="P149" i="3"/>
  <c r="X147" i="3"/>
  <c r="X146" i="3"/>
  <c r="Y145" i="3"/>
  <c r="S145" i="3"/>
  <c r="T144" i="3"/>
  <c r="T148" i="3" s="1"/>
  <c r="X143" i="3"/>
  <c r="O142" i="3"/>
  <c r="S142" i="3"/>
  <c r="P142" i="3"/>
  <c r="O141" i="3"/>
  <c r="U141" i="3"/>
  <c r="U144" i="3" s="1"/>
  <c r="U148" i="3" s="1"/>
  <c r="S141" i="3"/>
  <c r="X141" i="3" s="1"/>
  <c r="O140" i="3"/>
  <c r="Y140" i="3"/>
  <c r="X140" i="3"/>
  <c r="W140" i="3"/>
  <c r="O139" i="3"/>
  <c r="Y139" i="3"/>
  <c r="S139" i="3"/>
  <c r="X139" i="3" s="1"/>
  <c r="O138" i="3"/>
  <c r="Y138" i="3"/>
  <c r="S138" i="3"/>
  <c r="R138" i="3"/>
  <c r="U136" i="3"/>
  <c r="T136" i="3"/>
  <c r="P136" i="3"/>
  <c r="X133" i="3"/>
  <c r="Y132" i="3"/>
  <c r="S132" i="3"/>
  <c r="X132" i="3" s="1"/>
  <c r="P131" i="3"/>
  <c r="P135" i="3" s="1"/>
  <c r="X130" i="3"/>
  <c r="O129" i="3"/>
  <c r="Y129" i="3"/>
  <c r="S129" i="3"/>
  <c r="X129" i="3" s="1"/>
  <c r="O128" i="3"/>
  <c r="Y128" i="3"/>
  <c r="S128" i="3"/>
  <c r="W128" i="3" s="1"/>
  <c r="R128" i="3"/>
  <c r="O127" i="3"/>
  <c r="Y127" i="3"/>
  <c r="X127" i="3"/>
  <c r="W127" i="3"/>
  <c r="O126" i="3"/>
  <c r="Y126" i="3"/>
  <c r="S126" i="3"/>
  <c r="W126" i="3" s="1"/>
  <c r="X125" i="3"/>
  <c r="O124" i="3"/>
  <c r="U124" i="3"/>
  <c r="U131" i="3" s="1"/>
  <c r="U135" i="3" s="1"/>
  <c r="T124" i="3"/>
  <c r="T131" i="3" s="1"/>
  <c r="T135" i="3" s="1"/>
  <c r="S124" i="3"/>
  <c r="R124" i="3"/>
  <c r="O123" i="3"/>
  <c r="Y123" i="3"/>
  <c r="X123" i="3"/>
  <c r="W123" i="3"/>
  <c r="O122" i="3"/>
  <c r="Y122" i="3"/>
  <c r="S122" i="3"/>
  <c r="W122" i="3" s="1"/>
  <c r="R122" i="3"/>
  <c r="U120" i="3"/>
  <c r="T120" i="3"/>
  <c r="P120" i="3"/>
  <c r="X118" i="3"/>
  <c r="W118" i="3"/>
  <c r="AB118" i="3" s="1"/>
  <c r="X117" i="3"/>
  <c r="S116" i="3"/>
  <c r="W116" i="3" s="1"/>
  <c r="Y115" i="3"/>
  <c r="S115" i="3"/>
  <c r="U114" i="3"/>
  <c r="U119" i="3" s="1"/>
  <c r="T114" i="3"/>
  <c r="T119" i="3" s="1"/>
  <c r="O113" i="3"/>
  <c r="Y113" i="3"/>
  <c r="S113" i="3"/>
  <c r="W113" i="3" s="1"/>
  <c r="R113" i="3"/>
  <c r="O112" i="3"/>
  <c r="Y112" i="3"/>
  <c r="S112" i="3"/>
  <c r="X112" i="3" s="1"/>
  <c r="O111" i="3"/>
  <c r="X111" i="3"/>
  <c r="W111" i="3"/>
  <c r="AB111" i="3" s="1"/>
  <c r="P111" i="3"/>
  <c r="O110" i="3"/>
  <c r="Y110" i="3"/>
  <c r="S110" i="3"/>
  <c r="W110" i="3" s="1"/>
  <c r="R110" i="3"/>
  <c r="O109" i="3"/>
  <c r="Y109" i="3"/>
  <c r="S109" i="3"/>
  <c r="W109" i="3" s="1"/>
  <c r="R109" i="3"/>
  <c r="O108" i="3"/>
  <c r="Y108" i="3"/>
  <c r="S108" i="3"/>
  <c r="W108" i="3" s="1"/>
  <c r="AB108" i="3" s="1"/>
  <c r="R108" i="3"/>
  <c r="U106" i="3"/>
  <c r="T106" i="3"/>
  <c r="P106" i="3"/>
  <c r="Y103" i="3"/>
  <c r="S103" i="3"/>
  <c r="U102" i="3"/>
  <c r="U105" i="3" s="1"/>
  <c r="T102" i="3"/>
  <c r="T105" i="3" s="1"/>
  <c r="P102" i="3"/>
  <c r="P105" i="3" s="1"/>
  <c r="X101" i="3"/>
  <c r="O100" i="3"/>
  <c r="Y100" i="3"/>
  <c r="S100" i="3"/>
  <c r="X100" i="3" s="1"/>
  <c r="O99" i="3"/>
  <c r="Y99" i="3"/>
  <c r="S99" i="3"/>
  <c r="W99" i="3" s="1"/>
  <c r="O98" i="3"/>
  <c r="Y98" i="3"/>
  <c r="S98" i="3"/>
  <c r="R98" i="3"/>
  <c r="U96" i="3"/>
  <c r="T96" i="3"/>
  <c r="P96" i="3"/>
  <c r="X94" i="3"/>
  <c r="X93" i="3"/>
  <c r="X92" i="3"/>
  <c r="X91" i="3"/>
  <c r="Y90" i="3"/>
  <c r="S90" i="3"/>
  <c r="W90" i="3" s="1"/>
  <c r="U89" i="3"/>
  <c r="U95" i="3" s="1"/>
  <c r="T89" i="3"/>
  <c r="T95" i="3" s="1"/>
  <c r="P89" i="3"/>
  <c r="X88" i="3"/>
  <c r="X87" i="3"/>
  <c r="O86" i="3"/>
  <c r="Y86" i="3"/>
  <c r="S86" i="3"/>
  <c r="W86" i="3" s="1"/>
  <c r="AB86" i="3" s="1"/>
  <c r="O85" i="3"/>
  <c r="Y85" i="3"/>
  <c r="S85" i="3"/>
  <c r="X85" i="3" s="1"/>
  <c r="O84" i="3"/>
  <c r="Y84" i="3"/>
  <c r="X84" i="3"/>
  <c r="W84" i="3"/>
  <c r="O83" i="3"/>
  <c r="Y83" i="3"/>
  <c r="S83" i="3"/>
  <c r="W83" i="3" s="1"/>
  <c r="R83" i="3"/>
  <c r="U81" i="3"/>
  <c r="T81" i="3"/>
  <c r="R81" i="3"/>
  <c r="P81" i="3"/>
  <c r="X79" i="3"/>
  <c r="X78" i="3"/>
  <c r="X77" i="3"/>
  <c r="Y76" i="3"/>
  <c r="S76" i="3"/>
  <c r="U75" i="3"/>
  <c r="U80" i="3" s="1"/>
  <c r="T75" i="3"/>
  <c r="T80" i="3" s="1"/>
  <c r="R75" i="3"/>
  <c r="R80" i="3" s="1"/>
  <c r="P75" i="3"/>
  <c r="P80" i="3" s="1"/>
  <c r="X74" i="3"/>
  <c r="O73" i="3"/>
  <c r="Y73" i="3"/>
  <c r="X73" i="3"/>
  <c r="W73" i="3"/>
  <c r="O72" i="3"/>
  <c r="Y72" i="3"/>
  <c r="S72" i="3"/>
  <c r="W72" i="3" s="1"/>
  <c r="O71" i="3"/>
  <c r="Y71" i="3"/>
  <c r="S71" i="3"/>
  <c r="X71" i="3" s="1"/>
  <c r="O70" i="3"/>
  <c r="Y70" i="3"/>
  <c r="S70" i="3"/>
  <c r="X70" i="3" s="1"/>
  <c r="O69" i="3"/>
  <c r="Y69" i="3"/>
  <c r="S69" i="3"/>
  <c r="W69" i="3" s="1"/>
  <c r="O68" i="3"/>
  <c r="Y68" i="3"/>
  <c r="S68" i="3"/>
  <c r="X68" i="3" s="1"/>
  <c r="U66" i="3"/>
  <c r="T66" i="3"/>
  <c r="R66" i="3"/>
  <c r="P66" i="3"/>
  <c r="X64" i="3"/>
  <c r="L64" i="3"/>
  <c r="X63" i="3"/>
  <c r="L63" i="3"/>
  <c r="X62" i="3"/>
  <c r="X61" i="3"/>
  <c r="X60" i="3"/>
  <c r="Y59" i="3"/>
  <c r="S59" i="3"/>
  <c r="W59" i="3" s="1"/>
  <c r="U58" i="3"/>
  <c r="U65" i="3" s="1"/>
  <c r="T58" i="3"/>
  <c r="T65" i="3" s="1"/>
  <c r="R58" i="3"/>
  <c r="R65" i="3" s="1"/>
  <c r="P58" i="3"/>
  <c r="X57" i="3"/>
  <c r="O56" i="3"/>
  <c r="Y56" i="3"/>
  <c r="S56" i="3"/>
  <c r="O55" i="3"/>
  <c r="Y55" i="3"/>
  <c r="S55" i="3"/>
  <c r="X55" i="3" s="1"/>
  <c r="O54" i="3"/>
  <c r="Y54" i="3"/>
  <c r="S54" i="3"/>
  <c r="X54" i="3" s="1"/>
  <c r="O53" i="3"/>
  <c r="Y53" i="3"/>
  <c r="S53" i="3"/>
  <c r="W53" i="3" s="1"/>
  <c r="O52" i="3"/>
  <c r="Y52" i="3"/>
  <c r="S52" i="3"/>
  <c r="O51" i="3"/>
  <c r="Y51" i="3"/>
  <c r="S51" i="3"/>
  <c r="O50" i="3"/>
  <c r="Y50" i="3"/>
  <c r="S50" i="3"/>
  <c r="X50" i="3" s="1"/>
  <c r="O49" i="3"/>
  <c r="Y49" i="3"/>
  <c r="X49" i="3"/>
  <c r="W49" i="3"/>
  <c r="O48" i="3"/>
  <c r="Y48" i="3"/>
  <c r="X48" i="3"/>
  <c r="W48" i="3"/>
  <c r="O47" i="3"/>
  <c r="Y47" i="3"/>
  <c r="S47" i="3"/>
  <c r="W47" i="3" s="1"/>
  <c r="O46" i="3"/>
  <c r="Y46" i="3"/>
  <c r="S46" i="3"/>
  <c r="X46" i="3" s="1"/>
  <c r="U44" i="3"/>
  <c r="T44" i="3"/>
  <c r="P44" i="3"/>
  <c r="X42" i="3"/>
  <c r="X41" i="3"/>
  <c r="Y40" i="3"/>
  <c r="S40" i="3"/>
  <c r="U39" i="3"/>
  <c r="U43" i="3" s="1"/>
  <c r="T39" i="3"/>
  <c r="T43" i="3" s="1"/>
  <c r="P39" i="3"/>
  <c r="P43" i="3" s="1"/>
  <c r="X38" i="3"/>
  <c r="O37" i="3"/>
  <c r="Y37" i="3"/>
  <c r="S37" i="3"/>
  <c r="X37" i="3" s="1"/>
  <c r="O36" i="3"/>
  <c r="Y36" i="3"/>
  <c r="S36" i="3"/>
  <c r="O35" i="3"/>
  <c r="Y35" i="3"/>
  <c r="S35" i="3"/>
  <c r="X35" i="3" s="1"/>
  <c r="O34" i="3"/>
  <c r="Y34" i="3"/>
  <c r="X34" i="3"/>
  <c r="W34" i="3"/>
  <c r="O33" i="3"/>
  <c r="Y33" i="3"/>
  <c r="X33" i="3"/>
  <c r="W33" i="3"/>
  <c r="O32" i="3"/>
  <c r="Y32" i="3"/>
  <c r="S32" i="3"/>
  <c r="W32" i="3" s="1"/>
  <c r="R32" i="3"/>
  <c r="U30" i="3"/>
  <c r="T30" i="3"/>
  <c r="P30" i="3"/>
  <c r="X28" i="3"/>
  <c r="Z27" i="3"/>
  <c r="AA27" i="3" s="1"/>
  <c r="AC27" i="3" s="1"/>
  <c r="Y27" i="3"/>
  <c r="S27" i="3"/>
  <c r="X27" i="3" s="1"/>
  <c r="U26" i="3"/>
  <c r="U29" i="3" s="1"/>
  <c r="T26" i="3"/>
  <c r="T29" i="3" s="1"/>
  <c r="P26" i="3"/>
  <c r="P29" i="3" s="1"/>
  <c r="X25" i="3"/>
  <c r="O24" i="3"/>
  <c r="Y24" i="3"/>
  <c r="S24" i="3"/>
  <c r="X24" i="3" s="1"/>
  <c r="O23" i="3"/>
  <c r="Y23" i="3"/>
  <c r="S23" i="3"/>
  <c r="W23" i="3" s="1"/>
  <c r="O22" i="3"/>
  <c r="Y22" i="3"/>
  <c r="S22" i="3"/>
  <c r="R22" i="3"/>
  <c r="U20" i="3"/>
  <c r="T20" i="3"/>
  <c r="P20" i="3"/>
  <c r="X17" i="3"/>
  <c r="L17" i="3"/>
  <c r="X16" i="3"/>
  <c r="P16" i="3"/>
  <c r="C5" i="10" s="1"/>
  <c r="Z15" i="3"/>
  <c r="AA15" i="3" s="1"/>
  <c r="AC15" i="3" s="1"/>
  <c r="Y15" i="3"/>
  <c r="S15" i="3"/>
  <c r="X15" i="3" s="1"/>
  <c r="U14" i="3"/>
  <c r="T14" i="3"/>
  <c r="T19" i="3" s="1"/>
  <c r="P14" i="3"/>
  <c r="X13" i="3"/>
  <c r="O12" i="3"/>
  <c r="M12" i="3" s="1"/>
  <c r="Y12" i="3"/>
  <c r="S12" i="3"/>
  <c r="X12" i="3" s="1"/>
  <c r="O11" i="3"/>
  <c r="M11" i="3" s="1"/>
  <c r="Y11" i="3"/>
  <c r="X11" i="3"/>
  <c r="W11" i="3"/>
  <c r="O10" i="3"/>
  <c r="M10" i="3" s="1"/>
  <c r="Y10" i="3"/>
  <c r="S10" i="3"/>
  <c r="O9" i="3"/>
  <c r="M9" i="3" s="1"/>
  <c r="Y9" i="3"/>
  <c r="X9" i="3"/>
  <c r="W9" i="3"/>
  <c r="Z9" i="3" s="1"/>
  <c r="AA9" i="3" s="1"/>
  <c r="AC9" i="3" s="1"/>
  <c r="O8" i="3"/>
  <c r="M8" i="3" s="1"/>
  <c r="N8" i="3" s="1"/>
  <c r="Y8" i="3"/>
  <c r="S8" i="3"/>
  <c r="R8" i="3"/>
  <c r="O7" i="3"/>
  <c r="M7" i="3" s="1"/>
  <c r="N7" i="3" s="1"/>
  <c r="Y7" i="3"/>
  <c r="X7" i="3"/>
  <c r="W7" i="3"/>
  <c r="O6" i="3"/>
  <c r="Y6" i="3"/>
  <c r="S6" i="3"/>
  <c r="R6" i="3"/>
  <c r="O5" i="3"/>
  <c r="L5" i="3"/>
  <c r="L20" i="3" s="1"/>
  <c r="Y5" i="3"/>
  <c r="S5" i="3"/>
  <c r="W5" i="3" s="1"/>
  <c r="R5" i="3"/>
  <c r="P210" i="2"/>
  <c r="N409" i="3"/>
  <c r="O409" i="3" s="1"/>
  <c r="J324" i="2"/>
  <c r="L324" i="2"/>
  <c r="M324" i="2"/>
  <c r="I324" i="2"/>
  <c r="K322" i="2"/>
  <c r="O322" i="2"/>
  <c r="P322" i="2"/>
  <c r="R322" i="2"/>
  <c r="Q322" i="2"/>
  <c r="Q321" i="2"/>
  <c r="K321" i="2"/>
  <c r="J319" i="2"/>
  <c r="L319" i="2"/>
  <c r="M319" i="2"/>
  <c r="I319" i="2"/>
  <c r="Q317" i="2"/>
  <c r="K317" i="2"/>
  <c r="U317" i="2"/>
  <c r="J315" i="2"/>
  <c r="L315" i="2"/>
  <c r="M315" i="2"/>
  <c r="I315" i="2"/>
  <c r="Q313" i="2"/>
  <c r="K313" i="2"/>
  <c r="K315" i="2"/>
  <c r="K309" i="2"/>
  <c r="U309" i="2"/>
  <c r="J311" i="2"/>
  <c r="L311" i="2"/>
  <c r="M311" i="2"/>
  <c r="I311" i="2"/>
  <c r="Q309" i="2"/>
  <c r="Q308" i="2"/>
  <c r="K308" i="2"/>
  <c r="O308" i="2"/>
  <c r="P308" i="2"/>
  <c r="R308" i="2"/>
  <c r="J306" i="2"/>
  <c r="L306" i="2"/>
  <c r="M306" i="2"/>
  <c r="I306" i="2"/>
  <c r="Q304" i="2"/>
  <c r="O304" i="2"/>
  <c r="P304" i="2"/>
  <c r="R304" i="2"/>
  <c r="K304" i="2"/>
  <c r="K306" i="2"/>
  <c r="J264" i="2"/>
  <c r="L264" i="2"/>
  <c r="M264" i="2"/>
  <c r="I264" i="2"/>
  <c r="Q264" i="2"/>
  <c r="U262" i="2"/>
  <c r="Q262" i="2"/>
  <c r="O262" i="2"/>
  <c r="P262" i="2"/>
  <c r="R262" i="2"/>
  <c r="K262" i="2"/>
  <c r="K264" i="2"/>
  <c r="J260" i="2"/>
  <c r="L260" i="2"/>
  <c r="M260" i="2"/>
  <c r="I260" i="2"/>
  <c r="Q258" i="2"/>
  <c r="K258" i="2"/>
  <c r="U258" i="2"/>
  <c r="J256" i="2"/>
  <c r="L256" i="2"/>
  <c r="M256" i="2"/>
  <c r="I256" i="2"/>
  <c r="Q254" i="2"/>
  <c r="K254" i="2"/>
  <c r="O254" i="2"/>
  <c r="P254" i="2"/>
  <c r="R254" i="2"/>
  <c r="Q253" i="2"/>
  <c r="K253" i="2"/>
  <c r="O253" i="2"/>
  <c r="P253" i="2"/>
  <c r="R253" i="2"/>
  <c r="U264" i="2"/>
  <c r="Q315" i="2"/>
  <c r="Q306" i="2"/>
  <c r="U313" i="2"/>
  <c r="Q319" i="2"/>
  <c r="U304" i="2"/>
  <c r="K324" i="2"/>
  <c r="U324" i="2"/>
  <c r="O321" i="2"/>
  <c r="P321" i="2"/>
  <c r="R321" i="2"/>
  <c r="O315" i="2"/>
  <c r="P315" i="2"/>
  <c r="R315" i="2"/>
  <c r="U315" i="2"/>
  <c r="O306" i="2"/>
  <c r="P306" i="2"/>
  <c r="R306" i="2"/>
  <c r="U306" i="2"/>
  <c r="O317" i="2"/>
  <c r="P317" i="2"/>
  <c r="R317" i="2"/>
  <c r="K319" i="2"/>
  <c r="O324" i="2"/>
  <c r="P324" i="2"/>
  <c r="R324" i="2"/>
  <c r="U308" i="2"/>
  <c r="O313" i="2"/>
  <c r="P313" i="2"/>
  <c r="R313" i="2"/>
  <c r="U321" i="2"/>
  <c r="O264" i="2"/>
  <c r="P264" i="2"/>
  <c r="R264" i="2"/>
  <c r="U322" i="2"/>
  <c r="Q324" i="2"/>
  <c r="O309" i="2"/>
  <c r="P309" i="2"/>
  <c r="R309" i="2"/>
  <c r="K311" i="2"/>
  <c r="Q311" i="2"/>
  <c r="Q256" i="2"/>
  <c r="O258" i="2"/>
  <c r="P258" i="2"/>
  <c r="R258" i="2"/>
  <c r="Q260" i="2"/>
  <c r="K260" i="2"/>
  <c r="U260" i="2"/>
  <c r="U254" i="2"/>
  <c r="K256" i="2"/>
  <c r="U253" i="2"/>
  <c r="Q60" i="2"/>
  <c r="K60" i="2"/>
  <c r="O60" i="2"/>
  <c r="P60" i="2"/>
  <c r="R60" i="2"/>
  <c r="M59" i="2"/>
  <c r="K57" i="2"/>
  <c r="O57" i="2"/>
  <c r="P57" i="2"/>
  <c r="R57" i="2"/>
  <c r="J59" i="2"/>
  <c r="K56" i="2"/>
  <c r="O56" i="2"/>
  <c r="P56" i="2"/>
  <c r="R56" i="2"/>
  <c r="I59" i="2"/>
  <c r="Q56" i="2"/>
  <c r="Q57" i="2"/>
  <c r="S55" i="2"/>
  <c r="S56" i="2"/>
  <c r="S57" i="2"/>
  <c r="Q55" i="2"/>
  <c r="K55" i="2"/>
  <c r="O55" i="2"/>
  <c r="P55" i="2"/>
  <c r="R55" i="2"/>
  <c r="Q54" i="2"/>
  <c r="S54" i="2"/>
  <c r="K54" i="2"/>
  <c r="O54" i="2"/>
  <c r="P54" i="2"/>
  <c r="R54" i="2"/>
  <c r="Q52" i="2"/>
  <c r="S52" i="2"/>
  <c r="K52" i="2"/>
  <c r="O52" i="2"/>
  <c r="P52" i="2"/>
  <c r="R52" i="2"/>
  <c r="U49" i="2"/>
  <c r="U50" i="2"/>
  <c r="Q48" i="2"/>
  <c r="S48" i="2"/>
  <c r="K48" i="2"/>
  <c r="U48" i="2"/>
  <c r="O319" i="2"/>
  <c r="P319" i="2"/>
  <c r="R319" i="2"/>
  <c r="U319" i="2"/>
  <c r="O311" i="2"/>
  <c r="P311" i="2"/>
  <c r="R311" i="2"/>
  <c r="U311" i="2"/>
  <c r="O260" i="2"/>
  <c r="P260" i="2"/>
  <c r="R260" i="2"/>
  <c r="O256" i="2"/>
  <c r="P256" i="2"/>
  <c r="R256" i="2"/>
  <c r="U256" i="2"/>
  <c r="U56" i="2"/>
  <c r="U55" i="2"/>
  <c r="U57" i="2"/>
  <c r="U54" i="2"/>
  <c r="O48" i="2"/>
  <c r="P48" i="2"/>
  <c r="R48" i="2"/>
  <c r="U52" i="2"/>
  <c r="U278" i="2"/>
  <c r="U279" i="2"/>
  <c r="Q283" i="2"/>
  <c r="L282" i="2"/>
  <c r="L285" i="2"/>
  <c r="M282" i="2"/>
  <c r="M285" i="2"/>
  <c r="J302" i="2"/>
  <c r="L302" i="2"/>
  <c r="M302" i="2"/>
  <c r="I302" i="2"/>
  <c r="K300" i="2"/>
  <c r="U300" i="2"/>
  <c r="Q300" i="2"/>
  <c r="Q299" i="2"/>
  <c r="K299" i="2"/>
  <c r="U299" i="2"/>
  <c r="O300" i="2"/>
  <c r="P300" i="2"/>
  <c r="R300" i="2"/>
  <c r="I282" i="2"/>
  <c r="O299" i="2"/>
  <c r="P299" i="2"/>
  <c r="R299" i="2"/>
  <c r="K302" i="2"/>
  <c r="Q302" i="2"/>
  <c r="J297" i="2"/>
  <c r="L297" i="2"/>
  <c r="M297" i="2"/>
  <c r="I297" i="2"/>
  <c r="Q295" i="2"/>
  <c r="K295" i="2"/>
  <c r="U295" i="2"/>
  <c r="Q289" i="2"/>
  <c r="Q290" i="2"/>
  <c r="Q291" i="2"/>
  <c r="Q288" i="2"/>
  <c r="J293" i="2"/>
  <c r="L293" i="2"/>
  <c r="M293" i="2"/>
  <c r="I293" i="2"/>
  <c r="K291" i="2"/>
  <c r="U291" i="2"/>
  <c r="K289" i="2"/>
  <c r="U289" i="2"/>
  <c r="K290" i="2"/>
  <c r="O290" i="2"/>
  <c r="P290" i="2"/>
  <c r="R290" i="2"/>
  <c r="K288" i="2"/>
  <c r="U288" i="2"/>
  <c r="O289" i="2"/>
  <c r="P289" i="2"/>
  <c r="R289" i="2"/>
  <c r="Q297" i="2"/>
  <c r="U290" i="2"/>
  <c r="Q293" i="2"/>
  <c r="U302" i="2"/>
  <c r="O302" i="2"/>
  <c r="P302" i="2"/>
  <c r="R302" i="2"/>
  <c r="K297" i="2"/>
  <c r="O288" i="2"/>
  <c r="P288" i="2"/>
  <c r="R288" i="2"/>
  <c r="O295" i="2"/>
  <c r="P295" i="2"/>
  <c r="R295" i="2"/>
  <c r="K293" i="2"/>
  <c r="O291" i="2"/>
  <c r="P291" i="2"/>
  <c r="R291" i="2"/>
  <c r="O293" i="2"/>
  <c r="P293" i="2"/>
  <c r="R293" i="2"/>
  <c r="U293" i="2"/>
  <c r="U297" i="2"/>
  <c r="O297" i="2"/>
  <c r="P297" i="2"/>
  <c r="R297" i="2"/>
  <c r="P242" i="2"/>
  <c r="R242" i="2"/>
  <c r="P243" i="2"/>
  <c r="R243" i="2"/>
  <c r="P244" i="2"/>
  <c r="R244" i="2"/>
  <c r="P245" i="2"/>
  <c r="R245" i="2"/>
  <c r="P246" i="2"/>
  <c r="R246" i="2"/>
  <c r="P247" i="2"/>
  <c r="R247" i="2"/>
  <c r="P248" i="2"/>
  <c r="R248" i="2"/>
  <c r="L40" i="2"/>
  <c r="L44" i="2"/>
  <c r="M40" i="2"/>
  <c r="M44" i="2"/>
  <c r="I40" i="2"/>
  <c r="L139" i="2"/>
  <c r="M139" i="2"/>
  <c r="I139" i="2"/>
  <c r="L167" i="2"/>
  <c r="M167" i="2"/>
  <c r="I167" i="2"/>
  <c r="I65" i="2"/>
  <c r="U8" i="2"/>
  <c r="U10" i="2"/>
  <c r="U12" i="2"/>
  <c r="U14" i="2"/>
  <c r="U17" i="2"/>
  <c r="U18" i="2"/>
  <c r="U26" i="2"/>
  <c r="U29" i="2"/>
  <c r="U34" i="2"/>
  <c r="U35" i="2"/>
  <c r="U39" i="2"/>
  <c r="U42" i="2"/>
  <c r="U43" i="2"/>
  <c r="U58" i="2"/>
  <c r="U60" i="2"/>
  <c r="U61" i="2"/>
  <c r="U62" i="2"/>
  <c r="U63" i="2"/>
  <c r="U64" i="2"/>
  <c r="U65" i="2"/>
  <c r="U74" i="2"/>
  <c r="U75" i="2"/>
  <c r="U78" i="2"/>
  <c r="U79" i="2"/>
  <c r="U80" i="2"/>
  <c r="U85" i="2"/>
  <c r="U88" i="2"/>
  <c r="U89" i="2"/>
  <c r="U92" i="2"/>
  <c r="U93" i="2"/>
  <c r="U94" i="2"/>
  <c r="U95" i="2"/>
  <c r="U96" i="2"/>
  <c r="U103" i="2"/>
  <c r="U113" i="2"/>
  <c r="U116" i="2"/>
  <c r="U120" i="2"/>
  <c r="U121" i="2"/>
  <c r="U126" i="2"/>
  <c r="U128" i="2"/>
  <c r="U130" i="2"/>
  <c r="U133" i="2"/>
  <c r="U136" i="2"/>
  <c r="U143" i="2"/>
  <c r="U146" i="2"/>
  <c r="U149" i="2"/>
  <c r="U150" i="2"/>
  <c r="U156" i="2"/>
  <c r="U159" i="2"/>
  <c r="U160" i="2"/>
  <c r="U161" i="2"/>
  <c r="U164" i="2"/>
  <c r="U165" i="2"/>
  <c r="U175" i="2"/>
  <c r="U176" i="2"/>
  <c r="U177" i="2"/>
  <c r="U178" i="2"/>
  <c r="U181" i="2"/>
  <c r="U182" i="2"/>
  <c r="U183" i="2"/>
  <c r="U189" i="2"/>
  <c r="U192" i="2"/>
  <c r="U200" i="2"/>
  <c r="U202" i="2"/>
  <c r="U209" i="2"/>
  <c r="U212" i="2"/>
  <c r="U213" i="2"/>
  <c r="U218" i="2"/>
  <c r="U220" i="2"/>
  <c r="U224" i="2"/>
  <c r="U227" i="2"/>
  <c r="U228" i="2"/>
  <c r="U236" i="2"/>
  <c r="U237" i="2"/>
  <c r="U238" i="2"/>
  <c r="U241" i="2"/>
  <c r="U242" i="2"/>
  <c r="U249" i="2"/>
  <c r="U268" i="2"/>
  <c r="U271" i="2"/>
  <c r="U272" i="2"/>
  <c r="U273" i="2"/>
  <c r="U281" i="2"/>
  <c r="U284" i="2"/>
  <c r="I215" i="2"/>
  <c r="S215" i="2"/>
  <c r="I210" i="2"/>
  <c r="Q197" i="2"/>
  <c r="Q198" i="2"/>
  <c r="Q199" i="2"/>
  <c r="Q200" i="2"/>
  <c r="Q201" i="2"/>
  <c r="Q202" i="2"/>
  <c r="Q203" i="2"/>
  <c r="Q204" i="2"/>
  <c r="Q205" i="2"/>
  <c r="Q206" i="2"/>
  <c r="Q207" i="2"/>
  <c r="Q208" i="2"/>
  <c r="Q211" i="2"/>
  <c r="Q196" i="2"/>
  <c r="I214" i="2"/>
  <c r="J277" i="2"/>
  <c r="J282" i="2"/>
  <c r="J285" i="2"/>
  <c r="I285" i="2"/>
  <c r="Q285" i="2"/>
  <c r="K283" i="2"/>
  <c r="U283" i="2"/>
  <c r="K280" i="2"/>
  <c r="O278" i="2"/>
  <c r="Q278" i="2"/>
  <c r="S278" i="2"/>
  <c r="O279" i="2"/>
  <c r="Q279" i="2"/>
  <c r="S279" i="2"/>
  <c r="Q280" i="2"/>
  <c r="S280" i="2"/>
  <c r="S277" i="2"/>
  <c r="Q277" i="2"/>
  <c r="K277" i="2"/>
  <c r="M275" i="2"/>
  <c r="L275" i="2"/>
  <c r="J275" i="2"/>
  <c r="I275" i="2"/>
  <c r="Q270" i="2"/>
  <c r="K270" i="2"/>
  <c r="M269" i="2"/>
  <c r="M274" i="2"/>
  <c r="L269" i="2"/>
  <c r="L274" i="2"/>
  <c r="J269" i="2"/>
  <c r="J274" i="2"/>
  <c r="I269" i="2"/>
  <c r="I274" i="2"/>
  <c r="S267" i="2"/>
  <c r="Q267" i="2"/>
  <c r="K267" i="2"/>
  <c r="S266" i="2"/>
  <c r="Q266" i="2"/>
  <c r="K266" i="2"/>
  <c r="U266" i="2"/>
  <c r="M251" i="2"/>
  <c r="L251" i="2"/>
  <c r="J251" i="2"/>
  <c r="I251" i="2"/>
  <c r="Q240" i="2"/>
  <c r="K240" i="2"/>
  <c r="M239" i="2"/>
  <c r="M250" i="2"/>
  <c r="L239" i="2"/>
  <c r="L250" i="2"/>
  <c r="J239" i="2"/>
  <c r="J250" i="2"/>
  <c r="I239" i="2"/>
  <c r="I250" i="2"/>
  <c r="S237" i="2"/>
  <c r="Q237" i="2"/>
  <c r="O237" i="2"/>
  <c r="P237" i="2"/>
  <c r="R237" i="2"/>
  <c r="S236" i="2"/>
  <c r="Q236" i="2"/>
  <c r="O236" i="2"/>
  <c r="P236" i="2"/>
  <c r="R236" i="2"/>
  <c r="S235" i="2"/>
  <c r="Q235" i="2"/>
  <c r="K235" i="2"/>
  <c r="S234" i="2"/>
  <c r="Q234" i="2"/>
  <c r="K234" i="2"/>
  <c r="S233" i="2"/>
  <c r="Q233" i="2"/>
  <c r="K233" i="2"/>
  <c r="U233" i="2"/>
  <c r="S232" i="2"/>
  <c r="Q232" i="2"/>
  <c r="K232" i="2"/>
  <c r="M230" i="2"/>
  <c r="L230" i="2"/>
  <c r="J230" i="2"/>
  <c r="I230" i="2"/>
  <c r="Q226" i="2"/>
  <c r="K226" i="2"/>
  <c r="M225" i="2"/>
  <c r="M229" i="2"/>
  <c r="L225" i="2"/>
  <c r="L229" i="2"/>
  <c r="J225" i="2"/>
  <c r="J229" i="2"/>
  <c r="I225" i="2"/>
  <c r="I229" i="2"/>
  <c r="S223" i="2"/>
  <c r="Q223" i="2"/>
  <c r="K223" i="2"/>
  <c r="U223" i="2"/>
  <c r="S222" i="2"/>
  <c r="Q222" i="2"/>
  <c r="K222" i="2"/>
  <c r="U222" i="2"/>
  <c r="S221" i="2"/>
  <c r="Q221" i="2"/>
  <c r="K221" i="2"/>
  <c r="S220" i="2"/>
  <c r="Q220" i="2"/>
  <c r="O220" i="2"/>
  <c r="P220" i="2"/>
  <c r="R220" i="2"/>
  <c r="S219" i="2"/>
  <c r="Q219" i="2"/>
  <c r="K219" i="2"/>
  <c r="U219" i="2"/>
  <c r="M215" i="2"/>
  <c r="Q215" i="2"/>
  <c r="L215" i="2"/>
  <c r="K211" i="2"/>
  <c r="M210" i="2"/>
  <c r="L210" i="2"/>
  <c r="L214" i="2"/>
  <c r="K208" i="2"/>
  <c r="U208" i="2"/>
  <c r="K207" i="2"/>
  <c r="U207" i="2"/>
  <c r="K206" i="2"/>
  <c r="U206" i="2"/>
  <c r="K205" i="2"/>
  <c r="U205" i="2"/>
  <c r="K204" i="2"/>
  <c r="U204" i="2"/>
  <c r="K203" i="2"/>
  <c r="U203" i="2"/>
  <c r="O202" i="2"/>
  <c r="P202" i="2"/>
  <c r="R202" i="2"/>
  <c r="K201" i="2"/>
  <c r="U201" i="2"/>
  <c r="O200" i="2"/>
  <c r="P200" i="2"/>
  <c r="R200" i="2"/>
  <c r="K199" i="2"/>
  <c r="U199" i="2"/>
  <c r="K198" i="2"/>
  <c r="U198" i="2"/>
  <c r="K197" i="2"/>
  <c r="U197" i="2"/>
  <c r="K196" i="2"/>
  <c r="J196" i="2"/>
  <c r="M194" i="2"/>
  <c r="L194" i="2"/>
  <c r="K194" i="2"/>
  <c r="I194" i="2"/>
  <c r="Q191" i="2"/>
  <c r="O191" i="2"/>
  <c r="P191" i="2"/>
  <c r="R191" i="2"/>
  <c r="J191" i="2"/>
  <c r="U191" i="2"/>
  <c r="M190" i="2"/>
  <c r="M193" i="2"/>
  <c r="L190" i="2"/>
  <c r="L193" i="2"/>
  <c r="K190" i="2"/>
  <c r="K193" i="2"/>
  <c r="I190" i="2"/>
  <c r="I193" i="2"/>
  <c r="S188" i="2"/>
  <c r="Q188" i="2"/>
  <c r="O188" i="2"/>
  <c r="P188" i="2"/>
  <c r="R188" i="2"/>
  <c r="J188" i="2"/>
  <c r="U188" i="2"/>
  <c r="S187" i="2"/>
  <c r="Q187" i="2"/>
  <c r="O187" i="2"/>
  <c r="J187" i="2"/>
  <c r="M185" i="2"/>
  <c r="L185" i="2"/>
  <c r="I185" i="2"/>
  <c r="Q180" i="2"/>
  <c r="K180" i="2"/>
  <c r="M179" i="2"/>
  <c r="M184" i="2"/>
  <c r="L179" i="2"/>
  <c r="L184" i="2"/>
  <c r="I179" i="2"/>
  <c r="S177" i="2"/>
  <c r="Q177" i="2"/>
  <c r="O177" i="2"/>
  <c r="P177" i="2"/>
  <c r="R177" i="2"/>
  <c r="S176" i="2"/>
  <c r="Q176" i="2"/>
  <c r="O176" i="2"/>
  <c r="P176" i="2"/>
  <c r="R176" i="2"/>
  <c r="S175" i="2"/>
  <c r="Q175" i="2"/>
  <c r="O175" i="2"/>
  <c r="P175" i="2"/>
  <c r="R175" i="2"/>
  <c r="S174" i="2"/>
  <c r="Q174" i="2"/>
  <c r="K174" i="2"/>
  <c r="U174" i="2"/>
  <c r="S173" i="2"/>
  <c r="Q173" i="2"/>
  <c r="K173" i="2"/>
  <c r="S172" i="2"/>
  <c r="Q172" i="2"/>
  <c r="K172" i="2"/>
  <c r="S171" i="2"/>
  <c r="Q171" i="2"/>
  <c r="K171" i="2"/>
  <c r="O171" i="2"/>
  <c r="P171" i="2"/>
  <c r="R171" i="2"/>
  <c r="J171" i="2"/>
  <c r="S170" i="2"/>
  <c r="Q170" i="2"/>
  <c r="K170" i="2"/>
  <c r="S169" i="2"/>
  <c r="Q169" i="2"/>
  <c r="K169" i="2"/>
  <c r="J169" i="2"/>
  <c r="Q163" i="2"/>
  <c r="K163" i="2"/>
  <c r="M162" i="2"/>
  <c r="M166" i="2"/>
  <c r="I162" i="2"/>
  <c r="I166" i="2"/>
  <c r="S160" i="2"/>
  <c r="Q160" i="2"/>
  <c r="O160" i="2"/>
  <c r="P160" i="2"/>
  <c r="R160" i="2"/>
  <c r="S159" i="2"/>
  <c r="Q159" i="2"/>
  <c r="O159" i="2"/>
  <c r="P159" i="2"/>
  <c r="R159" i="2"/>
  <c r="S158" i="2"/>
  <c r="Q158" i="2"/>
  <c r="K158" i="2"/>
  <c r="J158" i="2"/>
  <c r="S157" i="2"/>
  <c r="Q157" i="2"/>
  <c r="L157" i="2"/>
  <c r="L162" i="2"/>
  <c r="L166" i="2"/>
  <c r="K157" i="2"/>
  <c r="U157" i="2"/>
  <c r="S156" i="2"/>
  <c r="Q156" i="2"/>
  <c r="O156" i="2"/>
  <c r="P156" i="2"/>
  <c r="R156" i="2"/>
  <c r="S155" i="2"/>
  <c r="Q155" i="2"/>
  <c r="K155" i="2"/>
  <c r="U155" i="2"/>
  <c r="S154" i="2"/>
  <c r="Q154" i="2"/>
  <c r="K154" i="2"/>
  <c r="J154" i="2"/>
  <c r="M152" i="2"/>
  <c r="L152" i="2"/>
  <c r="I152" i="2"/>
  <c r="Q148" i="2"/>
  <c r="K148" i="2"/>
  <c r="U148" i="2"/>
  <c r="L147" i="2"/>
  <c r="L151" i="2"/>
  <c r="S145" i="2"/>
  <c r="K145" i="2"/>
  <c r="I145" i="2"/>
  <c r="Q145" i="2"/>
  <c r="S144" i="2"/>
  <c r="M144" i="2"/>
  <c r="Q144" i="2"/>
  <c r="K144" i="2"/>
  <c r="U144" i="2"/>
  <c r="S143" i="2"/>
  <c r="Q143" i="2"/>
  <c r="O143" i="2"/>
  <c r="P143" i="2"/>
  <c r="R143" i="2"/>
  <c r="S142" i="2"/>
  <c r="Q142" i="2"/>
  <c r="K142" i="2"/>
  <c r="U142" i="2"/>
  <c r="S141" i="2"/>
  <c r="Q141" i="2"/>
  <c r="K141" i="2"/>
  <c r="J141" i="2"/>
  <c r="J147" i="2"/>
  <c r="J151" i="2"/>
  <c r="Q139" i="2"/>
  <c r="Q135" i="2"/>
  <c r="K135" i="2"/>
  <c r="U135" i="2"/>
  <c r="I134" i="2"/>
  <c r="I138" i="2"/>
  <c r="S132" i="2"/>
  <c r="Q132" i="2"/>
  <c r="K132" i="2"/>
  <c r="U132" i="2"/>
  <c r="S131" i="2"/>
  <c r="Q131" i="2"/>
  <c r="K131" i="2"/>
  <c r="J131" i="2"/>
  <c r="S130" i="2"/>
  <c r="Q130" i="2"/>
  <c r="O130" i="2"/>
  <c r="P130" i="2"/>
  <c r="R130" i="2"/>
  <c r="S129" i="2"/>
  <c r="Q129" i="2"/>
  <c r="K129" i="2"/>
  <c r="U129" i="2"/>
  <c r="T127" i="2"/>
  <c r="S127" i="2"/>
  <c r="M127" i="2"/>
  <c r="L127" i="2"/>
  <c r="L134" i="2"/>
  <c r="L138" i="2"/>
  <c r="K127" i="2"/>
  <c r="J127" i="2"/>
  <c r="S126" i="2"/>
  <c r="Q126" i="2"/>
  <c r="O126" i="2"/>
  <c r="P126" i="2"/>
  <c r="R126" i="2"/>
  <c r="S125" i="2"/>
  <c r="Q125" i="2"/>
  <c r="K125" i="2"/>
  <c r="J125" i="2"/>
  <c r="M123" i="2"/>
  <c r="L123" i="2"/>
  <c r="I123" i="2"/>
  <c r="O121" i="2"/>
  <c r="K119" i="2"/>
  <c r="U119" i="2"/>
  <c r="Q118" i="2"/>
  <c r="K118" i="2"/>
  <c r="M117" i="2"/>
  <c r="M122" i="2"/>
  <c r="L117" i="2"/>
  <c r="L122" i="2"/>
  <c r="S115" i="2"/>
  <c r="Q115" i="2"/>
  <c r="K115" i="2"/>
  <c r="J115" i="2"/>
  <c r="S114" i="2"/>
  <c r="Q114" i="2"/>
  <c r="K114" i="2"/>
  <c r="U114" i="2"/>
  <c r="S113" i="2"/>
  <c r="O113" i="2"/>
  <c r="I113" i="2"/>
  <c r="I117" i="2"/>
  <c r="S112" i="2"/>
  <c r="Q112" i="2"/>
  <c r="K112" i="2"/>
  <c r="J112" i="2"/>
  <c r="S111" i="2"/>
  <c r="Q111" i="2"/>
  <c r="K111" i="2"/>
  <c r="J111" i="2"/>
  <c r="S110" i="2"/>
  <c r="Q110" i="2"/>
  <c r="K110" i="2"/>
  <c r="J110" i="2"/>
  <c r="M108" i="2"/>
  <c r="L108" i="2"/>
  <c r="I108" i="2"/>
  <c r="Q105" i="2"/>
  <c r="K105" i="2"/>
  <c r="U105" i="2"/>
  <c r="M104" i="2"/>
  <c r="M107" i="2"/>
  <c r="L104" i="2"/>
  <c r="L107" i="2"/>
  <c r="I104" i="2"/>
  <c r="I107" i="2"/>
  <c r="S102" i="2"/>
  <c r="Q102" i="2"/>
  <c r="K102" i="2"/>
  <c r="S101" i="2"/>
  <c r="Q101" i="2"/>
  <c r="K101" i="2"/>
  <c r="S100" i="2"/>
  <c r="Q100" i="2"/>
  <c r="K100" i="2"/>
  <c r="J100" i="2"/>
  <c r="J104" i="2"/>
  <c r="J107" i="2"/>
  <c r="M98" i="2"/>
  <c r="L98" i="2"/>
  <c r="I98" i="2"/>
  <c r="Q91" i="2"/>
  <c r="K91" i="2"/>
  <c r="U91" i="2"/>
  <c r="M90" i="2"/>
  <c r="M97" i="2"/>
  <c r="L90" i="2"/>
  <c r="L97" i="2"/>
  <c r="I90" i="2"/>
  <c r="S87" i="2"/>
  <c r="Q87" i="2"/>
  <c r="K87" i="2"/>
  <c r="S86" i="2"/>
  <c r="Q86" i="2"/>
  <c r="K86" i="2"/>
  <c r="S85" i="2"/>
  <c r="Q85" i="2"/>
  <c r="O85" i="2"/>
  <c r="P85" i="2"/>
  <c r="R85" i="2"/>
  <c r="S84" i="2"/>
  <c r="Q84" i="2"/>
  <c r="K84" i="2"/>
  <c r="J84" i="2"/>
  <c r="J98" i="2"/>
  <c r="M82" i="2"/>
  <c r="L82" i="2"/>
  <c r="J82" i="2"/>
  <c r="I82" i="2"/>
  <c r="Q77" i="2"/>
  <c r="K77" i="2"/>
  <c r="U77" i="2"/>
  <c r="M76" i="2"/>
  <c r="M81" i="2"/>
  <c r="L76" i="2"/>
  <c r="L81" i="2"/>
  <c r="J76" i="2"/>
  <c r="J81" i="2"/>
  <c r="I76" i="2"/>
  <c r="S74" i="2"/>
  <c r="Q74" i="2"/>
  <c r="O74" i="2"/>
  <c r="P74" i="2"/>
  <c r="R74" i="2"/>
  <c r="S73" i="2"/>
  <c r="Q73" i="2"/>
  <c r="K73" i="2"/>
  <c r="U73" i="2"/>
  <c r="S72" i="2"/>
  <c r="Q72" i="2"/>
  <c r="K72" i="2"/>
  <c r="U72" i="2"/>
  <c r="S71" i="2"/>
  <c r="Q71" i="2"/>
  <c r="K71" i="2"/>
  <c r="S70" i="2"/>
  <c r="Q70" i="2"/>
  <c r="K70" i="2"/>
  <c r="S69" i="2"/>
  <c r="Q69" i="2"/>
  <c r="K69" i="2"/>
  <c r="U69" i="2"/>
  <c r="M67" i="2"/>
  <c r="L67" i="2"/>
  <c r="J67" i="2"/>
  <c r="I67" i="2"/>
  <c r="I64" i="2"/>
  <c r="M66" i="2"/>
  <c r="L59" i="2"/>
  <c r="L66" i="2"/>
  <c r="J66" i="2"/>
  <c r="S53" i="2"/>
  <c r="Q53" i="2"/>
  <c r="K53" i="2"/>
  <c r="S51" i="2"/>
  <c r="Q51" i="2"/>
  <c r="K51" i="2"/>
  <c r="U51" i="2"/>
  <c r="S50" i="2"/>
  <c r="Q50" i="2"/>
  <c r="O50" i="2"/>
  <c r="P50" i="2"/>
  <c r="R50" i="2"/>
  <c r="S49" i="2"/>
  <c r="Q49" i="2"/>
  <c r="O49" i="2"/>
  <c r="P49" i="2"/>
  <c r="R49" i="2"/>
  <c r="S47" i="2"/>
  <c r="Q47" i="2"/>
  <c r="K47" i="2"/>
  <c r="M45" i="2"/>
  <c r="L45" i="2"/>
  <c r="I45" i="2"/>
  <c r="Q41" i="2"/>
  <c r="K41" i="2"/>
  <c r="U41" i="2"/>
  <c r="I44" i="2"/>
  <c r="S38" i="2"/>
  <c r="Q38" i="2"/>
  <c r="K38" i="2"/>
  <c r="S37" i="2"/>
  <c r="Q37" i="2"/>
  <c r="K37" i="2"/>
  <c r="U37" i="2"/>
  <c r="S36" i="2"/>
  <c r="Q36" i="2"/>
  <c r="K36" i="2"/>
  <c r="U36" i="2"/>
  <c r="S35" i="2"/>
  <c r="Q35" i="2"/>
  <c r="O35" i="2"/>
  <c r="P35" i="2"/>
  <c r="R35" i="2"/>
  <c r="S34" i="2"/>
  <c r="Q34" i="2"/>
  <c r="O34" i="2"/>
  <c r="P34" i="2"/>
  <c r="R34" i="2"/>
  <c r="S33" i="2"/>
  <c r="Q33" i="2"/>
  <c r="K33" i="2"/>
  <c r="J33" i="2"/>
  <c r="J40" i="2"/>
  <c r="J44" i="2"/>
  <c r="M31" i="2"/>
  <c r="L31" i="2"/>
  <c r="I31" i="2"/>
  <c r="Q28" i="2"/>
  <c r="P28" i="2"/>
  <c r="R28" i="2"/>
  <c r="K28" i="2"/>
  <c r="U28" i="2"/>
  <c r="M27" i="2"/>
  <c r="M30" i="2"/>
  <c r="L27" i="2"/>
  <c r="L30" i="2"/>
  <c r="I27" i="2"/>
  <c r="I30" i="2"/>
  <c r="S25" i="2"/>
  <c r="Q25" i="2"/>
  <c r="K25" i="2"/>
  <c r="U25" i="2"/>
  <c r="S24" i="2"/>
  <c r="Q24" i="2"/>
  <c r="K24" i="2"/>
  <c r="U24" i="2"/>
  <c r="S23" i="2"/>
  <c r="Q23" i="2"/>
  <c r="K23" i="2"/>
  <c r="J23" i="2"/>
  <c r="J31" i="2"/>
  <c r="M21" i="2"/>
  <c r="L21" i="2"/>
  <c r="I21" i="2"/>
  <c r="I18" i="2"/>
  <c r="I17" i="2"/>
  <c r="Q16" i="2"/>
  <c r="P16" i="2"/>
  <c r="R16" i="2"/>
  <c r="K16" i="2"/>
  <c r="U16" i="2"/>
  <c r="M15" i="2"/>
  <c r="M20" i="2"/>
  <c r="L15" i="2"/>
  <c r="L20" i="2"/>
  <c r="I15" i="2"/>
  <c r="Z13" i="2"/>
  <c r="S13" i="2"/>
  <c r="W13" i="2"/>
  <c r="Q13" i="2"/>
  <c r="K13" i="2"/>
  <c r="Z12" i="2"/>
  <c r="S12" i="2"/>
  <c r="W12" i="2"/>
  <c r="Q12" i="2"/>
  <c r="O12" i="2"/>
  <c r="P12" i="2"/>
  <c r="R12" i="2"/>
  <c r="Z11" i="2"/>
  <c r="S11" i="2"/>
  <c r="W11" i="2"/>
  <c r="Q11" i="2"/>
  <c r="K11" i="2"/>
  <c r="U11" i="2"/>
  <c r="S10" i="2"/>
  <c r="W10" i="2"/>
  <c r="X10" i="2"/>
  <c r="Q10" i="2"/>
  <c r="O10" i="2"/>
  <c r="P10" i="2"/>
  <c r="R10" i="2"/>
  <c r="S9" i="2"/>
  <c r="W9" i="2"/>
  <c r="X9" i="2"/>
  <c r="Q9" i="2"/>
  <c r="K9" i="2"/>
  <c r="J9" i="2"/>
  <c r="S8" i="2"/>
  <c r="W8" i="2"/>
  <c r="X8" i="2"/>
  <c r="Q8" i="2"/>
  <c r="O8" i="2"/>
  <c r="P8" i="2"/>
  <c r="R8" i="2"/>
  <c r="S7" i="2"/>
  <c r="W7" i="2"/>
  <c r="X7" i="2"/>
  <c r="Q7" i="2"/>
  <c r="K7" i="2"/>
  <c r="J7" i="2"/>
  <c r="V6" i="2"/>
  <c r="V21" i="2"/>
  <c r="S6" i="2"/>
  <c r="Q6" i="2"/>
  <c r="K6" i="2"/>
  <c r="J6" i="2"/>
  <c r="Q274" i="2"/>
  <c r="Q107" i="2"/>
  <c r="Q193" i="2"/>
  <c r="O277" i="2"/>
  <c r="K282" i="2"/>
  <c r="Q250" i="2"/>
  <c r="P278" i="2"/>
  <c r="R278" i="2"/>
  <c r="Q166" i="2"/>
  <c r="Q229" i="2"/>
  <c r="U280" i="2"/>
  <c r="O280" i="2"/>
  <c r="P280" i="2"/>
  <c r="R280" i="2"/>
  <c r="O193" i="2"/>
  <c r="P193" i="2"/>
  <c r="R193" i="2"/>
  <c r="Q210" i="2"/>
  <c r="M214" i="2"/>
  <c r="Q214" i="2"/>
  <c r="P279" i="2"/>
  <c r="R279" i="2"/>
  <c r="S269" i="2"/>
  <c r="S282" i="2"/>
  <c r="S162" i="2"/>
  <c r="Q113" i="2"/>
  <c r="O77" i="2"/>
  <c r="P77" i="2"/>
  <c r="R77" i="2"/>
  <c r="U100" i="2"/>
  <c r="O233" i="2"/>
  <c r="P233" i="2"/>
  <c r="R233" i="2"/>
  <c r="U277" i="2"/>
  <c r="I66" i="2"/>
  <c r="S123" i="2"/>
  <c r="S167" i="2"/>
  <c r="Q225" i="2"/>
  <c r="O119" i="2"/>
  <c r="O173" i="2"/>
  <c r="P173" i="2"/>
  <c r="R173" i="2"/>
  <c r="U173" i="2"/>
  <c r="O7" i="2"/>
  <c r="P7" i="2"/>
  <c r="R7" i="2"/>
  <c r="U7" i="2"/>
  <c r="U23" i="2"/>
  <c r="O47" i="2"/>
  <c r="U47" i="2"/>
  <c r="O71" i="2"/>
  <c r="P71" i="2"/>
  <c r="R71" i="2"/>
  <c r="U71" i="2"/>
  <c r="O102" i="2"/>
  <c r="P102" i="2"/>
  <c r="R102" i="2"/>
  <c r="U102" i="2"/>
  <c r="U115" i="2"/>
  <c r="U171" i="2"/>
  <c r="O226" i="2"/>
  <c r="P226" i="2"/>
  <c r="R226" i="2"/>
  <c r="U226" i="2"/>
  <c r="S251" i="2"/>
  <c r="O235" i="2"/>
  <c r="P235" i="2"/>
  <c r="R235" i="2"/>
  <c r="U235" i="2"/>
  <c r="O86" i="2"/>
  <c r="P86" i="2"/>
  <c r="R86" i="2"/>
  <c r="U86" i="2"/>
  <c r="O111" i="2"/>
  <c r="P111" i="2"/>
  <c r="R111" i="2"/>
  <c r="U111" i="2"/>
  <c r="K185" i="2"/>
  <c r="U169" i="2"/>
  <c r="Q59" i="2"/>
  <c r="U131" i="2"/>
  <c r="O180" i="2"/>
  <c r="P180" i="2"/>
  <c r="R180" i="2"/>
  <c r="U180" i="2"/>
  <c r="Q190" i="2"/>
  <c r="O211" i="2"/>
  <c r="P211" i="2"/>
  <c r="R211" i="2"/>
  <c r="U211" i="2"/>
  <c r="K98" i="2"/>
  <c r="U98" i="2"/>
  <c r="U84" i="2"/>
  <c r="O145" i="2"/>
  <c r="P145" i="2"/>
  <c r="R145" i="2"/>
  <c r="U145" i="2"/>
  <c r="O158" i="2"/>
  <c r="P158" i="2"/>
  <c r="R158" i="2"/>
  <c r="U158" i="2"/>
  <c r="O196" i="2"/>
  <c r="P196" i="2"/>
  <c r="R196" i="2"/>
  <c r="U196" i="2"/>
  <c r="O221" i="2"/>
  <c r="P221" i="2"/>
  <c r="R221" i="2"/>
  <c r="U221" i="2"/>
  <c r="U6" i="2"/>
  <c r="O38" i="2"/>
  <c r="P38" i="2"/>
  <c r="R38" i="2"/>
  <c r="U38" i="2"/>
  <c r="Q45" i="2"/>
  <c r="O53" i="2"/>
  <c r="P53" i="2"/>
  <c r="R53" i="2"/>
  <c r="U53" i="2"/>
  <c r="O87" i="2"/>
  <c r="P87" i="2"/>
  <c r="R87" i="2"/>
  <c r="U87" i="2"/>
  <c r="J167" i="2"/>
  <c r="O170" i="2"/>
  <c r="P170" i="2"/>
  <c r="R170" i="2"/>
  <c r="U170" i="2"/>
  <c r="O172" i="2"/>
  <c r="P172" i="2"/>
  <c r="R172" i="2"/>
  <c r="U172" i="2"/>
  <c r="O283" i="2"/>
  <c r="O13" i="2"/>
  <c r="P13" i="2"/>
  <c r="R13" i="2"/>
  <c r="U13" i="2"/>
  <c r="U33" i="2"/>
  <c r="K40" i="2"/>
  <c r="O70" i="2"/>
  <c r="P70" i="2"/>
  <c r="R70" i="2"/>
  <c r="U70" i="2"/>
  <c r="Q98" i="2"/>
  <c r="O101" i="2"/>
  <c r="P101" i="2"/>
  <c r="R101" i="2"/>
  <c r="U101" i="2"/>
  <c r="U110" i="2"/>
  <c r="O112" i="2"/>
  <c r="P112" i="2"/>
  <c r="R112" i="2"/>
  <c r="U112" i="2"/>
  <c r="O118" i="2"/>
  <c r="P118" i="2"/>
  <c r="R118" i="2"/>
  <c r="U118" i="2"/>
  <c r="K167" i="2"/>
  <c r="U154" i="2"/>
  <c r="O234" i="2"/>
  <c r="P234" i="2"/>
  <c r="R234" i="2"/>
  <c r="U234" i="2"/>
  <c r="O240" i="2"/>
  <c r="P240" i="2"/>
  <c r="R240" i="2"/>
  <c r="U240" i="2"/>
  <c r="O9" i="2"/>
  <c r="P9" i="2"/>
  <c r="R9" i="2"/>
  <c r="U9" i="2"/>
  <c r="U125" i="2"/>
  <c r="K139" i="2"/>
  <c r="J190" i="2"/>
  <c r="U187" i="2"/>
  <c r="J139" i="2"/>
  <c r="U127" i="2"/>
  <c r="U141" i="2"/>
  <c r="O163" i="2"/>
  <c r="P163" i="2"/>
  <c r="R163" i="2"/>
  <c r="U163" i="2"/>
  <c r="Q194" i="2"/>
  <c r="K251" i="2"/>
  <c r="U251" i="2"/>
  <c r="U232" i="2"/>
  <c r="O267" i="2"/>
  <c r="P267" i="2"/>
  <c r="R267" i="2"/>
  <c r="U267" i="2"/>
  <c r="O270" i="2"/>
  <c r="U270" i="2"/>
  <c r="Q282" i="2"/>
  <c r="J162" i="2"/>
  <c r="J166" i="2"/>
  <c r="Q179" i="2"/>
  <c r="O219" i="2"/>
  <c r="S230" i="2"/>
  <c r="Q251" i="2"/>
  <c r="K104" i="2"/>
  <c r="P113" i="2"/>
  <c r="R113" i="2"/>
  <c r="O25" i="2"/>
  <c r="P25" i="2"/>
  <c r="R25" i="2"/>
  <c r="K82" i="2"/>
  <c r="U82" i="2"/>
  <c r="O91" i="2"/>
  <c r="P91" i="2"/>
  <c r="R91" i="2"/>
  <c r="K134" i="2"/>
  <c r="K138" i="2"/>
  <c r="O144" i="2"/>
  <c r="P144" i="2"/>
  <c r="R144" i="2"/>
  <c r="S190" i="2"/>
  <c r="O201" i="2"/>
  <c r="P201" i="2"/>
  <c r="R201" i="2"/>
  <c r="O222" i="2"/>
  <c r="P222" i="2"/>
  <c r="R222" i="2"/>
  <c r="I20" i="2"/>
  <c r="S31" i="2"/>
  <c r="S98" i="2"/>
  <c r="Q108" i="2"/>
  <c r="O194" i="2"/>
  <c r="O197" i="2"/>
  <c r="P197" i="2"/>
  <c r="R197" i="2"/>
  <c r="Q230" i="2"/>
  <c r="Q123" i="2"/>
  <c r="S134" i="2"/>
  <c r="K21" i="2"/>
  <c r="O206" i="2"/>
  <c r="P206" i="2"/>
  <c r="R206" i="2"/>
  <c r="O232" i="2"/>
  <c r="P232" i="2"/>
  <c r="R232" i="2"/>
  <c r="S15" i="2"/>
  <c r="J27" i="2"/>
  <c r="J30" i="2"/>
  <c r="J45" i="2"/>
  <c r="J117" i="2"/>
  <c r="J122" i="2"/>
  <c r="K162" i="2"/>
  <c r="K166" i="2"/>
  <c r="O223" i="2"/>
  <c r="P223" i="2"/>
  <c r="R223" i="2"/>
  <c r="O125" i="2"/>
  <c r="S67" i="2"/>
  <c r="Q67" i="2"/>
  <c r="O72" i="2"/>
  <c r="Q90" i="2"/>
  <c r="S139" i="2"/>
  <c r="O142" i="2"/>
  <c r="P142" i="2"/>
  <c r="R142" i="2"/>
  <c r="Q152" i="2"/>
  <c r="O169" i="2"/>
  <c r="O185" i="2"/>
  <c r="O174" i="2"/>
  <c r="P174" i="2"/>
  <c r="R174" i="2"/>
  <c r="O204" i="2"/>
  <c r="P204" i="2"/>
  <c r="R204" i="2"/>
  <c r="Q239" i="2"/>
  <c r="K67" i="2"/>
  <c r="U67" i="2"/>
  <c r="J15" i="2"/>
  <c r="J20" i="2"/>
  <c r="S40" i="2"/>
  <c r="J152" i="2"/>
  <c r="O154" i="2"/>
  <c r="K269" i="2"/>
  <c r="K275" i="2"/>
  <c r="U275" i="2"/>
  <c r="Q31" i="2"/>
  <c r="O41" i="2"/>
  <c r="P41" i="2"/>
  <c r="R41" i="2"/>
  <c r="S104" i="2"/>
  <c r="Q104" i="2"/>
  <c r="M147" i="2"/>
  <c r="M151" i="2"/>
  <c r="O203" i="2"/>
  <c r="P203" i="2"/>
  <c r="R203" i="2"/>
  <c r="O266" i="2"/>
  <c r="K108" i="2"/>
  <c r="O129" i="2"/>
  <c r="P129" i="2"/>
  <c r="R129" i="2"/>
  <c r="O131" i="2"/>
  <c r="P131" i="2"/>
  <c r="R131" i="2"/>
  <c r="Q21" i="2"/>
  <c r="S82" i="2"/>
  <c r="Q82" i="2"/>
  <c r="Q185" i="2"/>
  <c r="Q269" i="2"/>
  <c r="Q275" i="2"/>
  <c r="K76" i="2"/>
  <c r="O127" i="2"/>
  <c r="P127" i="2"/>
  <c r="R127" i="2"/>
  <c r="O157" i="2"/>
  <c r="P157" i="2"/>
  <c r="R157" i="2"/>
  <c r="K230" i="2"/>
  <c r="U230" i="2"/>
  <c r="S275" i="2"/>
  <c r="X11" i="2"/>
  <c r="AA12" i="2"/>
  <c r="X12" i="2"/>
  <c r="Q15" i="2"/>
  <c r="X13" i="2"/>
  <c r="O33" i="2"/>
  <c r="O36" i="2"/>
  <c r="P36" i="2"/>
  <c r="R36" i="2"/>
  <c r="J21" i="2"/>
  <c r="K27" i="2"/>
  <c r="K30" i="2"/>
  <c r="O69" i="2"/>
  <c r="O73" i="2"/>
  <c r="P73" i="2"/>
  <c r="R73" i="2"/>
  <c r="I81" i="2"/>
  <c r="O100" i="2"/>
  <c r="O105" i="2"/>
  <c r="P105" i="2"/>
  <c r="R105" i="2"/>
  <c r="J108" i="2"/>
  <c r="O115" i="2"/>
  <c r="P115" i="2"/>
  <c r="R115" i="2"/>
  <c r="J123" i="2"/>
  <c r="O132" i="2"/>
  <c r="J134" i="2"/>
  <c r="J138" i="2"/>
  <c r="O148" i="2"/>
  <c r="P148" i="2"/>
  <c r="R148" i="2"/>
  <c r="K210" i="2"/>
  <c r="K214" i="2"/>
  <c r="K117" i="2"/>
  <c r="K122" i="2"/>
  <c r="O37" i="2"/>
  <c r="P37" i="2"/>
  <c r="R37" i="2"/>
  <c r="O11" i="2"/>
  <c r="P11" i="2"/>
  <c r="R11" i="2"/>
  <c r="O6" i="2"/>
  <c r="Z6" i="2"/>
  <c r="S45" i="2"/>
  <c r="Q76" i="2"/>
  <c r="J90" i="2"/>
  <c r="J97" i="2"/>
  <c r="S90" i="2"/>
  <c r="S108" i="2"/>
  <c r="S117" i="2"/>
  <c r="K123" i="2"/>
  <c r="J179" i="2"/>
  <c r="J184" i="2"/>
  <c r="J185" i="2"/>
  <c r="I184" i="2"/>
  <c r="O205" i="2"/>
  <c r="P205" i="2"/>
  <c r="R205" i="2"/>
  <c r="Q27" i="2"/>
  <c r="S76" i="2"/>
  <c r="O51" i="2"/>
  <c r="P51" i="2"/>
  <c r="R51" i="2"/>
  <c r="O23" i="2"/>
  <c r="O24" i="2"/>
  <c r="P24" i="2"/>
  <c r="R24" i="2"/>
  <c r="Q40" i="2"/>
  <c r="K90" i="2"/>
  <c r="K97" i="2"/>
  <c r="S152" i="2"/>
  <c r="K179" i="2"/>
  <c r="K184" i="2"/>
  <c r="J194" i="2"/>
  <c r="U194" i="2"/>
  <c r="S27" i="2"/>
  <c r="K45" i="2"/>
  <c r="I122" i="2"/>
  <c r="S21" i="2"/>
  <c r="K15" i="2"/>
  <c r="K20" i="2"/>
  <c r="Q117" i="2"/>
  <c r="K152" i="2"/>
  <c r="I147" i="2"/>
  <c r="O155" i="2"/>
  <c r="P155" i="2"/>
  <c r="R155" i="2"/>
  <c r="O110" i="2"/>
  <c r="M134" i="2"/>
  <c r="Q127" i="2"/>
  <c r="K147" i="2"/>
  <c r="S179" i="2"/>
  <c r="S185" i="2"/>
  <c r="S194" i="2"/>
  <c r="S59" i="2"/>
  <c r="O84" i="2"/>
  <c r="W6" i="2"/>
  <c r="V15" i="2"/>
  <c r="K31" i="2"/>
  <c r="U31" i="2"/>
  <c r="K59" i="2"/>
  <c r="I97" i="2"/>
  <c r="O114" i="2"/>
  <c r="P114" i="2"/>
  <c r="R114" i="2"/>
  <c r="O135" i="2"/>
  <c r="P135" i="2"/>
  <c r="R135" i="2"/>
  <c r="O141" i="2"/>
  <c r="J210" i="2"/>
  <c r="J214" i="2"/>
  <c r="J215" i="2"/>
  <c r="P187" i="2"/>
  <c r="O207" i="2"/>
  <c r="P207" i="2"/>
  <c r="R207" i="2"/>
  <c r="K215" i="2"/>
  <c r="O190" i="2"/>
  <c r="P190" i="2"/>
  <c r="R190" i="2"/>
  <c r="O198" i="2"/>
  <c r="P198" i="2"/>
  <c r="R198" i="2"/>
  <c r="O208" i="2"/>
  <c r="P208" i="2"/>
  <c r="R208" i="2"/>
  <c r="O199" i="2"/>
  <c r="P199" i="2"/>
  <c r="R199" i="2"/>
  <c r="S225" i="2"/>
  <c r="K225" i="2"/>
  <c r="Q162" i="2"/>
  <c r="S239" i="2"/>
  <c r="K239" i="2"/>
  <c r="U269" i="2"/>
  <c r="K274" i="2"/>
  <c r="U59" i="2"/>
  <c r="K66" i="2"/>
  <c r="O20" i="2"/>
  <c r="U20" i="2"/>
  <c r="O97" i="2"/>
  <c r="P97" i="2"/>
  <c r="R97" i="2"/>
  <c r="U97" i="2"/>
  <c r="U76" i="2"/>
  <c r="K81" i="2"/>
  <c r="U40" i="2"/>
  <c r="K44" i="2"/>
  <c r="Q81" i="2"/>
  <c r="O30" i="2"/>
  <c r="U30" i="2"/>
  <c r="Q97" i="2"/>
  <c r="U104" i="2"/>
  <c r="K107" i="2"/>
  <c r="Q134" i="2"/>
  <c r="M138" i="2"/>
  <c r="Q138" i="2"/>
  <c r="U138" i="2"/>
  <c r="P219" i="2"/>
  <c r="R219" i="2"/>
  <c r="O225" i="2"/>
  <c r="P225" i="2"/>
  <c r="R225" i="2"/>
  <c r="U190" i="2"/>
  <c r="J193" i="2"/>
  <c r="U193" i="2"/>
  <c r="U239" i="2"/>
  <c r="K250" i="2"/>
  <c r="O184" i="2"/>
  <c r="P184" i="2"/>
  <c r="R184" i="2"/>
  <c r="U184" i="2"/>
  <c r="O122" i="2"/>
  <c r="P122" i="2"/>
  <c r="R122" i="2"/>
  <c r="U122" i="2"/>
  <c r="Q122" i="2"/>
  <c r="O282" i="2"/>
  <c r="K285" i="2"/>
  <c r="U285" i="2"/>
  <c r="O214" i="2"/>
  <c r="P214" i="2"/>
  <c r="R214" i="2"/>
  <c r="U214" i="2"/>
  <c r="P277" i="2"/>
  <c r="R277" i="2"/>
  <c r="O166" i="2"/>
  <c r="P166" i="2"/>
  <c r="R166" i="2"/>
  <c r="U166" i="2"/>
  <c r="P283" i="2"/>
  <c r="R283" i="2"/>
  <c r="U225" i="2"/>
  <c r="K229" i="2"/>
  <c r="U147" i="2"/>
  <c r="K151" i="2"/>
  <c r="Q184" i="2"/>
  <c r="P270" i="2"/>
  <c r="U162" i="2"/>
  <c r="U167" i="2"/>
  <c r="U27" i="2"/>
  <c r="O139" i="2"/>
  <c r="U45" i="2"/>
  <c r="U179" i="2"/>
  <c r="U15" i="2"/>
  <c r="O162" i="2"/>
  <c r="P162" i="2"/>
  <c r="R162" i="2"/>
  <c r="U152" i="2"/>
  <c r="U215" i="2"/>
  <c r="O67" i="2"/>
  <c r="P67" i="2"/>
  <c r="R67" i="2"/>
  <c r="O230" i="2"/>
  <c r="AA13" i="2"/>
  <c r="P47" i="2"/>
  <c r="R47" i="2"/>
  <c r="U117" i="2"/>
  <c r="U108" i="2"/>
  <c r="P154" i="2"/>
  <c r="P167" i="2"/>
  <c r="O167" i="2"/>
  <c r="U134" i="2"/>
  <c r="U139" i="2"/>
  <c r="U90" i="2"/>
  <c r="O210" i="2"/>
  <c r="R210" i="2"/>
  <c r="U210" i="2"/>
  <c r="U21" i="2"/>
  <c r="U282" i="2"/>
  <c r="P251" i="2"/>
  <c r="R251" i="2"/>
  <c r="U123" i="2"/>
  <c r="U185" i="2"/>
  <c r="O251" i="2"/>
  <c r="O179" i="2"/>
  <c r="P179" i="2"/>
  <c r="R179" i="2"/>
  <c r="O239" i="2"/>
  <c r="P239" i="2"/>
  <c r="R239" i="2"/>
  <c r="O59" i="2"/>
  <c r="P59" i="2"/>
  <c r="R59" i="2"/>
  <c r="O269" i="2"/>
  <c r="P269" i="2"/>
  <c r="R269" i="2"/>
  <c r="P169" i="2"/>
  <c r="R169" i="2"/>
  <c r="P125" i="2"/>
  <c r="P266" i="2"/>
  <c r="O275" i="2"/>
  <c r="O82" i="2"/>
  <c r="P82" i="2"/>
  <c r="R82" i="2"/>
  <c r="P72" i="2"/>
  <c r="R72" i="2"/>
  <c r="P215" i="2"/>
  <c r="R215" i="2"/>
  <c r="P69" i="2"/>
  <c r="R69" i="2"/>
  <c r="O76" i="2"/>
  <c r="P76" i="2"/>
  <c r="R76" i="2"/>
  <c r="Z21" i="2"/>
  <c r="Z15" i="2"/>
  <c r="AA11" i="2"/>
  <c r="O15" i="2"/>
  <c r="P15" i="2"/>
  <c r="R15" i="2"/>
  <c r="O21" i="2"/>
  <c r="P21" i="2"/>
  <c r="R21" i="2"/>
  <c r="P6" i="2"/>
  <c r="R6" i="2"/>
  <c r="O104" i="2"/>
  <c r="P104" i="2"/>
  <c r="R104" i="2"/>
  <c r="P100" i="2"/>
  <c r="R100" i="2"/>
  <c r="O108" i="2"/>
  <c r="P108" i="2"/>
  <c r="R108" i="2"/>
  <c r="O152" i="2"/>
  <c r="P141" i="2"/>
  <c r="O147" i="2"/>
  <c r="P147" i="2"/>
  <c r="R147" i="2"/>
  <c r="O215" i="2"/>
  <c r="P132" i="2"/>
  <c r="R132" i="2"/>
  <c r="O134" i="2"/>
  <c r="P134" i="2"/>
  <c r="R134" i="2"/>
  <c r="P194" i="2"/>
  <c r="R194" i="2"/>
  <c r="R187" i="2"/>
  <c r="W21" i="2"/>
  <c r="AA6" i="2"/>
  <c r="X6" i="2"/>
  <c r="W15" i="2"/>
  <c r="O123" i="2"/>
  <c r="O117" i="2"/>
  <c r="P117" i="2"/>
  <c r="R117" i="2"/>
  <c r="P110" i="2"/>
  <c r="S147" i="2"/>
  <c r="I151" i="2"/>
  <c r="O45" i="2"/>
  <c r="P45" i="2"/>
  <c r="R45" i="2"/>
  <c r="P33" i="2"/>
  <c r="R33" i="2"/>
  <c r="O40" i="2"/>
  <c r="P40" i="2"/>
  <c r="R40" i="2"/>
  <c r="P84" i="2"/>
  <c r="R84" i="2"/>
  <c r="O90" i="2"/>
  <c r="P90" i="2"/>
  <c r="R90" i="2"/>
  <c r="O98" i="2"/>
  <c r="P98" i="2"/>
  <c r="R98" i="2"/>
  <c r="Q147" i="2"/>
  <c r="O31" i="2"/>
  <c r="P31" i="2"/>
  <c r="R31" i="2"/>
  <c r="P23" i="2"/>
  <c r="R23" i="2"/>
  <c r="O27" i="2"/>
  <c r="P27" i="2"/>
  <c r="R27" i="2"/>
  <c r="O274" i="2"/>
  <c r="P274" i="2"/>
  <c r="R274" i="2"/>
  <c r="U274" i="2"/>
  <c r="O44" i="2"/>
  <c r="U44" i="2"/>
  <c r="O81" i="2"/>
  <c r="P81" i="2"/>
  <c r="R81" i="2"/>
  <c r="U81" i="2"/>
  <c r="U66" i="2"/>
  <c r="O66" i="2"/>
  <c r="O107" i="2"/>
  <c r="P107" i="2"/>
  <c r="R107" i="2"/>
  <c r="U107" i="2"/>
  <c r="O138" i="2"/>
  <c r="P138" i="2"/>
  <c r="R138" i="2"/>
  <c r="Q151" i="2"/>
  <c r="O151" i="2"/>
  <c r="P151" i="2"/>
  <c r="R151" i="2"/>
  <c r="U151" i="2"/>
  <c r="O229" i="2"/>
  <c r="P229" i="2"/>
  <c r="R229" i="2"/>
  <c r="U229" i="2"/>
  <c r="O250" i="2"/>
  <c r="P250" i="2"/>
  <c r="R250" i="2"/>
  <c r="U250" i="2"/>
  <c r="P230" i="2"/>
  <c r="R230" i="2"/>
  <c r="O285" i="2"/>
  <c r="P282" i="2"/>
  <c r="P285" i="2"/>
  <c r="R270" i="2"/>
  <c r="R154" i="2"/>
  <c r="P185" i="2"/>
  <c r="R185" i="2"/>
  <c r="P139" i="2"/>
  <c r="R139" i="2"/>
  <c r="R125" i="2"/>
  <c r="R266" i="2"/>
  <c r="P275" i="2"/>
  <c r="R275" i="2"/>
  <c r="X15" i="2"/>
  <c r="X21" i="2"/>
  <c r="AA15" i="2"/>
  <c r="AA21" i="2"/>
  <c r="R141" i="2"/>
  <c r="P152" i="2"/>
  <c r="R152" i="2"/>
  <c r="R167" i="2"/>
  <c r="Q167" i="2"/>
  <c r="R110" i="2"/>
  <c r="P123" i="2"/>
  <c r="R123" i="2"/>
  <c r="R282" i="2"/>
  <c r="R285" i="2"/>
  <c r="N416" i="3"/>
  <c r="O416" i="3" s="1"/>
  <c r="AC416" i="3" s="1"/>
  <c r="N415" i="3"/>
  <c r="O415" i="3" s="1"/>
  <c r="Y498" i="3"/>
  <c r="M285" i="3" l="1"/>
  <c r="M287" i="3" s="1"/>
  <c r="L287" i="3"/>
  <c r="Y592" i="3"/>
  <c r="D5" i="10"/>
  <c r="D2" i="10" s="1"/>
  <c r="P114" i="3"/>
  <c r="P119" i="3" s="1"/>
  <c r="Y119" i="3" s="1"/>
  <c r="C21" i="10"/>
  <c r="Y142" i="3"/>
  <c r="C10" i="10"/>
  <c r="D74" i="7"/>
  <c r="C74" i="7"/>
  <c r="Z515" i="3"/>
  <c r="AA515" i="3" s="1"/>
  <c r="L20" i="10"/>
  <c r="T20" i="10" s="1"/>
  <c r="D68" i="7"/>
  <c r="C73" i="20"/>
  <c r="D67" i="7"/>
  <c r="E14" i="10"/>
  <c r="E2" i="10" s="1"/>
  <c r="AB670" i="3"/>
  <c r="K69" i="7"/>
  <c r="R69" i="7" s="1"/>
  <c r="AB757" i="3"/>
  <c r="O265" i="3"/>
  <c r="AB753" i="3"/>
  <c r="AB282" i="3"/>
  <c r="N498" i="3"/>
  <c r="O498" i="3" s="1"/>
  <c r="N523" i="3"/>
  <c r="O523" i="3" s="1"/>
  <c r="M748" i="3"/>
  <c r="AB747" i="3"/>
  <c r="Z33" i="3"/>
  <c r="AA33" i="3" s="1"/>
  <c r="AC33" i="3" s="1"/>
  <c r="AB33" i="3"/>
  <c r="Z153" i="3"/>
  <c r="AA153" i="3" s="1"/>
  <c r="AC153" i="3" s="1"/>
  <c r="AB153" i="3"/>
  <c r="Z188" i="3"/>
  <c r="AA188" i="3" s="1"/>
  <c r="AC188" i="3" s="1"/>
  <c r="AB188" i="3"/>
  <c r="Z193" i="3"/>
  <c r="AA193" i="3" s="1"/>
  <c r="AC193" i="3" s="1"/>
  <c r="AB193" i="3"/>
  <c r="Z197" i="3"/>
  <c r="AA197" i="3" s="1"/>
  <c r="AC197" i="3" s="1"/>
  <c r="AB197" i="3"/>
  <c r="Z200" i="3"/>
  <c r="AA200" i="3" s="1"/>
  <c r="AC200" i="3" s="1"/>
  <c r="AB200" i="3"/>
  <c r="Z204" i="3"/>
  <c r="AA204" i="3" s="1"/>
  <c r="AC204" i="3" s="1"/>
  <c r="AB204" i="3"/>
  <c r="Z215" i="3"/>
  <c r="AA215" i="3" s="1"/>
  <c r="AC215" i="3" s="1"/>
  <c r="AB215" i="3"/>
  <c r="N255" i="3"/>
  <c r="N263" i="3"/>
  <c r="O263" i="3" s="1"/>
  <c r="AC263" i="3" s="1"/>
  <c r="AB263" i="3"/>
  <c r="Z345" i="3"/>
  <c r="AA345" i="3" s="1"/>
  <c r="AB345" i="3"/>
  <c r="Z357" i="3"/>
  <c r="AA357" i="3" s="1"/>
  <c r="AB357" i="3"/>
  <c r="Z404" i="3"/>
  <c r="AA404" i="3" s="1"/>
  <c r="AC404" i="3" s="1"/>
  <c r="AB404" i="3"/>
  <c r="N338" i="3"/>
  <c r="O338" i="3" s="1"/>
  <c r="N450" i="3"/>
  <c r="O450" i="3" s="1"/>
  <c r="N475" i="3"/>
  <c r="O475" i="3" s="1"/>
  <c r="N507" i="3"/>
  <c r="O507" i="3" s="1"/>
  <c r="N504" i="3"/>
  <c r="O504" i="3" s="1"/>
  <c r="N514" i="3"/>
  <c r="O514" i="3" s="1"/>
  <c r="AC514" i="3" s="1"/>
  <c r="AB514" i="3"/>
  <c r="N526" i="3"/>
  <c r="O526" i="3" s="1"/>
  <c r="N540" i="3"/>
  <c r="O540" i="3" s="1"/>
  <c r="AC540" i="3" s="1"/>
  <c r="AB540" i="3"/>
  <c r="N553" i="3"/>
  <c r="O553" i="3" s="1"/>
  <c r="AC553" i="3" s="1"/>
  <c r="AB553" i="3"/>
  <c r="Z589" i="3"/>
  <c r="AA589" i="3" s="1"/>
  <c r="AC589" i="3" s="1"/>
  <c r="AB589" i="3"/>
  <c r="N549" i="3"/>
  <c r="O549" i="3" s="1"/>
  <c r="AC549" i="3" s="1"/>
  <c r="AB549" i="3"/>
  <c r="N609" i="3"/>
  <c r="O609" i="3" s="1"/>
  <c r="N620" i="3"/>
  <c r="O620" i="3" s="1"/>
  <c r="AC620" i="3" s="1"/>
  <c r="AB620" i="3"/>
  <c r="N638" i="3"/>
  <c r="O638" i="3" s="1"/>
  <c r="AC638" i="3" s="1"/>
  <c r="AB638" i="3"/>
  <c r="AB683" i="3"/>
  <c r="N704" i="3"/>
  <c r="O704" i="3" s="1"/>
  <c r="AB704" i="3"/>
  <c r="N712" i="3"/>
  <c r="O712" i="3" s="1"/>
  <c r="AC712" i="3" s="1"/>
  <c r="AB712" i="3"/>
  <c r="N722" i="3"/>
  <c r="N723" i="3" s="1"/>
  <c r="O723" i="3" s="1"/>
  <c r="N750" i="3"/>
  <c r="O750" i="3" s="1"/>
  <c r="AB750" i="3"/>
  <c r="N754" i="3"/>
  <c r="O754" i="3" s="1"/>
  <c r="AC754" i="3" s="1"/>
  <c r="AB754" i="3"/>
  <c r="Z769" i="3"/>
  <c r="AA769" i="3" s="1"/>
  <c r="AC769" i="3" s="1"/>
  <c r="AB769" i="3"/>
  <c r="Z123" i="3"/>
  <c r="AA123" i="3" s="1"/>
  <c r="AC123" i="3" s="1"/>
  <c r="AB123" i="3"/>
  <c r="Z185" i="3"/>
  <c r="AA185" i="3" s="1"/>
  <c r="AC185" i="3" s="1"/>
  <c r="AB185" i="3"/>
  <c r="N293" i="3"/>
  <c r="O293" i="3" s="1"/>
  <c r="AC293" i="3" s="1"/>
  <c r="AB293" i="3"/>
  <c r="Z563" i="3"/>
  <c r="AA563" i="3" s="1"/>
  <c r="AC563" i="3" s="1"/>
  <c r="AB563" i="3"/>
  <c r="Z569" i="3"/>
  <c r="AA569" i="3" s="1"/>
  <c r="AC569" i="3" s="1"/>
  <c r="AB569" i="3"/>
  <c r="N656" i="3"/>
  <c r="O656" i="3" s="1"/>
  <c r="N738" i="3"/>
  <c r="O738" i="3" s="1"/>
  <c r="N12" i="3"/>
  <c r="Z73" i="3"/>
  <c r="AA73" i="3" s="1"/>
  <c r="AC73" i="3" s="1"/>
  <c r="AB73" i="3"/>
  <c r="Z157" i="3"/>
  <c r="AA157" i="3" s="1"/>
  <c r="AC157" i="3" s="1"/>
  <c r="AB157" i="3"/>
  <c r="N10" i="3"/>
  <c r="Z126" i="3"/>
  <c r="AA126" i="3" s="1"/>
  <c r="AC126" i="3" s="1"/>
  <c r="AB126" i="3"/>
  <c r="Z128" i="3"/>
  <c r="AA128" i="3" s="1"/>
  <c r="AC128" i="3" s="1"/>
  <c r="AB128" i="3"/>
  <c r="Z155" i="3"/>
  <c r="AA155" i="3" s="1"/>
  <c r="AC155" i="3" s="1"/>
  <c r="AB155" i="3"/>
  <c r="Z232" i="3"/>
  <c r="AA232" i="3" s="1"/>
  <c r="AC232" i="3" s="1"/>
  <c r="AB232" i="3"/>
  <c r="Z268" i="3"/>
  <c r="AA268" i="3" s="1"/>
  <c r="AC268" i="3" s="1"/>
  <c r="AB268" i="3"/>
  <c r="AB277" i="3"/>
  <c r="N351" i="3"/>
  <c r="O351" i="3" s="1"/>
  <c r="AB351" i="3"/>
  <c r="Z410" i="3"/>
  <c r="AA410" i="3" s="1"/>
  <c r="AC410" i="3" s="1"/>
  <c r="AB410" i="3"/>
  <c r="N458" i="3"/>
  <c r="O458" i="3" s="1"/>
  <c r="N453" i="3"/>
  <c r="O453" i="3" s="1"/>
  <c r="N473" i="3"/>
  <c r="O473" i="3" s="1"/>
  <c r="N490" i="3"/>
  <c r="O490" i="3" s="1"/>
  <c r="N503" i="3"/>
  <c r="O503" i="3" s="1"/>
  <c r="AC503" i="3" s="1"/>
  <c r="AB503" i="3"/>
  <c r="N515" i="3"/>
  <c r="O515" i="3" s="1"/>
  <c r="AB515" i="3"/>
  <c r="N527" i="3"/>
  <c r="O527" i="3" s="1"/>
  <c r="AC527" i="3" s="1"/>
  <c r="AB527" i="3"/>
  <c r="AB532" i="3"/>
  <c r="N539" i="3"/>
  <c r="O539" i="3" s="1"/>
  <c r="AC539" i="3" s="1"/>
  <c r="AB539" i="3"/>
  <c r="N552" i="3"/>
  <c r="O552" i="3" s="1"/>
  <c r="AC552" i="3" s="1"/>
  <c r="AB552" i="3"/>
  <c r="N576" i="3"/>
  <c r="O576" i="3" s="1"/>
  <c r="Z566" i="3"/>
  <c r="AA566" i="3" s="1"/>
  <c r="AB566" i="3"/>
  <c r="N598" i="3"/>
  <c r="O598" i="3" s="1"/>
  <c r="N608" i="3"/>
  <c r="O608" i="3" s="1"/>
  <c r="AC608" i="3" s="1"/>
  <c r="AB608" i="3"/>
  <c r="N622" i="3"/>
  <c r="O622" i="3" s="1"/>
  <c r="AC622" i="3" s="1"/>
  <c r="AB622" i="3"/>
  <c r="N627" i="3"/>
  <c r="N639" i="3"/>
  <c r="O639" i="3" s="1"/>
  <c r="AC639" i="3" s="1"/>
  <c r="AB639" i="3"/>
  <c r="N654" i="3"/>
  <c r="O654" i="3" s="1"/>
  <c r="AC654" i="3" s="1"/>
  <c r="AB654" i="3"/>
  <c r="Z671" i="3"/>
  <c r="AA671" i="3" s="1"/>
  <c r="AB671" i="3"/>
  <c r="N684" i="3"/>
  <c r="O684" i="3" s="1"/>
  <c r="N705" i="3"/>
  <c r="O705" i="3" s="1"/>
  <c r="AC705" i="3" s="1"/>
  <c r="AB705" i="3"/>
  <c r="N708" i="3"/>
  <c r="N709" i="3" s="1"/>
  <c r="O709" i="3" s="1"/>
  <c r="AB708" i="3"/>
  <c r="N715" i="3"/>
  <c r="O715" i="3" s="1"/>
  <c r="AC715" i="3" s="1"/>
  <c r="AB715" i="3"/>
  <c r="N725" i="3"/>
  <c r="O725" i="3" s="1"/>
  <c r="M767" i="3"/>
  <c r="Z47" i="3"/>
  <c r="AA47" i="3" s="1"/>
  <c r="AC47" i="3" s="1"/>
  <c r="AB47" i="3"/>
  <c r="M273" i="3"/>
  <c r="N441" i="3"/>
  <c r="O441" i="3" s="1"/>
  <c r="AC441" i="3" s="1"/>
  <c r="AB441" i="3"/>
  <c r="N580" i="3"/>
  <c r="O580" i="3" s="1"/>
  <c r="N603" i="3"/>
  <c r="O603" i="3" s="1"/>
  <c r="AC603" i="3" s="1"/>
  <c r="AB603" i="3"/>
  <c r="M745" i="3"/>
  <c r="AB744" i="3"/>
  <c r="M777" i="3"/>
  <c r="Z48" i="3"/>
  <c r="AA48" i="3" s="1"/>
  <c r="AC48" i="3" s="1"/>
  <c r="AB48" i="3"/>
  <c r="Z99" i="3"/>
  <c r="AA99" i="3" s="1"/>
  <c r="AC99" i="3" s="1"/>
  <c r="AB99" i="3"/>
  <c r="Z110" i="3"/>
  <c r="AA110" i="3" s="1"/>
  <c r="AC110" i="3" s="1"/>
  <c r="AB110" i="3"/>
  <c r="Z172" i="3"/>
  <c r="AA172" i="3" s="1"/>
  <c r="AC172" i="3" s="1"/>
  <c r="AB172" i="3"/>
  <c r="Z174" i="3"/>
  <c r="AA174" i="3" s="1"/>
  <c r="AC174" i="3" s="1"/>
  <c r="AB174" i="3"/>
  <c r="Z356" i="3"/>
  <c r="AA356" i="3" s="1"/>
  <c r="AB356" i="3"/>
  <c r="Z388" i="3"/>
  <c r="AA388" i="3" s="1"/>
  <c r="AC388" i="3" s="1"/>
  <c r="AB388" i="3"/>
  <c r="N374" i="3"/>
  <c r="O374" i="3" s="1"/>
  <c r="Z435" i="3"/>
  <c r="AA435" i="3" s="1"/>
  <c r="AC435" i="3" s="1"/>
  <c r="AB435" i="3"/>
  <c r="N454" i="3"/>
  <c r="O454" i="3" s="1"/>
  <c r="N474" i="3"/>
  <c r="O474" i="3" s="1"/>
  <c r="AC474" i="3" s="1"/>
  <c r="AB474" i="3"/>
  <c r="N491" i="3"/>
  <c r="O491" i="3" s="1"/>
  <c r="N494" i="3"/>
  <c r="O494" i="3" s="1"/>
  <c r="N501" i="3"/>
  <c r="O501" i="3" s="1"/>
  <c r="AB501" i="3"/>
  <c r="N502" i="3"/>
  <c r="O502" i="3" s="1"/>
  <c r="AC502" i="3" s="1"/>
  <c r="AB502" i="3"/>
  <c r="N516" i="3"/>
  <c r="O516" i="3" s="1"/>
  <c r="N531" i="3"/>
  <c r="O531" i="3" s="1"/>
  <c r="AC531" i="3" s="1"/>
  <c r="AB531" i="3"/>
  <c r="N538" i="3"/>
  <c r="O538" i="3" s="1"/>
  <c r="N547" i="3"/>
  <c r="O547" i="3" s="1"/>
  <c r="N551" i="3"/>
  <c r="O551" i="3" s="1"/>
  <c r="AC551" i="3" s="1"/>
  <c r="AB551" i="3"/>
  <c r="Z564" i="3"/>
  <c r="AA564" i="3" s="1"/>
  <c r="AB564" i="3"/>
  <c r="N577" i="3"/>
  <c r="O577" i="3" s="1"/>
  <c r="N611" i="3"/>
  <c r="O611" i="3" s="1"/>
  <c r="N621" i="3"/>
  <c r="O621" i="3" s="1"/>
  <c r="AC621" i="3" s="1"/>
  <c r="AB621" i="3"/>
  <c r="Z630" i="3"/>
  <c r="AA630" i="3" s="1"/>
  <c r="AC630" i="3" s="1"/>
  <c r="AB630" i="3"/>
  <c r="N648" i="3"/>
  <c r="O648" i="3" s="1"/>
  <c r="N660" i="3"/>
  <c r="O660" i="3" s="1"/>
  <c r="N667" i="3"/>
  <c r="O667" i="3" s="1"/>
  <c r="AB716" i="3"/>
  <c r="M742" i="3"/>
  <c r="Z772" i="3"/>
  <c r="AA772" i="3" s="1"/>
  <c r="AC772" i="3" s="1"/>
  <c r="AB772" i="3"/>
  <c r="AB779" i="3"/>
  <c r="Z399" i="3"/>
  <c r="AA399" i="3" s="1"/>
  <c r="AC399" i="3" s="1"/>
  <c r="AB399" i="3"/>
  <c r="N554" i="3"/>
  <c r="O554" i="3" s="1"/>
  <c r="AC554" i="3" s="1"/>
  <c r="AB554" i="3"/>
  <c r="Z53" i="3"/>
  <c r="AA53" i="3" s="1"/>
  <c r="AC53" i="3" s="1"/>
  <c r="AB53" i="3"/>
  <c r="Z83" i="3"/>
  <c r="AA83" i="3" s="1"/>
  <c r="AC83" i="3" s="1"/>
  <c r="AB83" i="3"/>
  <c r="Z184" i="3"/>
  <c r="AA184" i="3" s="1"/>
  <c r="AC184" i="3" s="1"/>
  <c r="AB184" i="3"/>
  <c r="Z387" i="3"/>
  <c r="AA387" i="3" s="1"/>
  <c r="AC387" i="3" s="1"/>
  <c r="AB387" i="3"/>
  <c r="N457" i="3"/>
  <c r="O457" i="3" s="1"/>
  <c r="N460" i="3"/>
  <c r="O460" i="3" s="1"/>
  <c r="N463" i="3"/>
  <c r="O463" i="3" s="1"/>
  <c r="N495" i="3"/>
  <c r="O495" i="3" s="1"/>
  <c r="N510" i="3"/>
  <c r="O510" i="3" s="1"/>
  <c r="N534" i="3"/>
  <c r="O534" i="3" s="1"/>
  <c r="N545" i="3"/>
  <c r="O545" i="3" s="1"/>
  <c r="N557" i="3"/>
  <c r="O557" i="3" s="1"/>
  <c r="AC557" i="3" s="1"/>
  <c r="AB557" i="3"/>
  <c r="N550" i="3"/>
  <c r="O550" i="3" s="1"/>
  <c r="AC550" i="3" s="1"/>
  <c r="AB550" i="3"/>
  <c r="N572" i="3"/>
  <c r="O572" i="3" s="1"/>
  <c r="Z591" i="3"/>
  <c r="AA591" i="3" s="1"/>
  <c r="AC591" i="3" s="1"/>
  <c r="AB591" i="3"/>
  <c r="N612" i="3"/>
  <c r="O612" i="3" s="1"/>
  <c r="N646" i="3"/>
  <c r="O646" i="3" s="1"/>
  <c r="N661" i="3"/>
  <c r="O661" i="3" s="1"/>
  <c r="Z673" i="3"/>
  <c r="AA673" i="3" s="1"/>
  <c r="AC673" i="3" s="1"/>
  <c r="AB673" i="3"/>
  <c r="N697" i="3"/>
  <c r="O697" i="3" s="1"/>
  <c r="AB719" i="3"/>
  <c r="Z773" i="3"/>
  <c r="AA773" i="3" s="1"/>
  <c r="AC773" i="3" s="1"/>
  <c r="AB773" i="3"/>
  <c r="N314" i="3"/>
  <c r="O314" i="3" s="1"/>
  <c r="N337" i="3"/>
  <c r="O337" i="3" s="1"/>
  <c r="N449" i="3"/>
  <c r="O449" i="3" s="1"/>
  <c r="N607" i="3"/>
  <c r="O607" i="3" s="1"/>
  <c r="AC607" i="3" s="1"/>
  <c r="AB607" i="3"/>
  <c r="Z23" i="3"/>
  <c r="AA23" i="3" s="1"/>
  <c r="AC23" i="3" s="1"/>
  <c r="AB23" i="3"/>
  <c r="Z34" i="3"/>
  <c r="AA34" i="3" s="1"/>
  <c r="AC34" i="3" s="1"/>
  <c r="AB34" i="3"/>
  <c r="Z59" i="3"/>
  <c r="AA59" i="3" s="1"/>
  <c r="AC59" i="3" s="1"/>
  <c r="AB59" i="3"/>
  <c r="Z69" i="3"/>
  <c r="AA69" i="3" s="1"/>
  <c r="AC69" i="3" s="1"/>
  <c r="AB69" i="3"/>
  <c r="K5" i="10"/>
  <c r="AB116" i="3"/>
  <c r="Z122" i="3"/>
  <c r="AA122" i="3" s="1"/>
  <c r="AC122" i="3" s="1"/>
  <c r="AB122" i="3"/>
  <c r="Z127" i="3"/>
  <c r="AA127" i="3" s="1"/>
  <c r="AC127" i="3" s="1"/>
  <c r="AB127" i="3"/>
  <c r="Z156" i="3"/>
  <c r="AA156" i="3" s="1"/>
  <c r="AC156" i="3" s="1"/>
  <c r="AB156" i="3"/>
  <c r="N292" i="3"/>
  <c r="O292" i="3" s="1"/>
  <c r="AB292" i="3"/>
  <c r="Z364" i="3"/>
  <c r="AA364" i="3" s="1"/>
  <c r="AB364" i="3"/>
  <c r="Z409" i="3"/>
  <c r="AA409" i="3" s="1"/>
  <c r="AC409" i="3" s="1"/>
  <c r="AB409" i="3"/>
  <c r="M414" i="3"/>
  <c r="N423" i="3"/>
  <c r="O423" i="3" s="1"/>
  <c r="AB423" i="3"/>
  <c r="N438" i="3"/>
  <c r="O438" i="3" s="1"/>
  <c r="AC438" i="3" s="1"/>
  <c r="AB438" i="3"/>
  <c r="N464" i="3"/>
  <c r="O464" i="3" s="1"/>
  <c r="N478" i="3"/>
  <c r="O478" i="3" s="1"/>
  <c r="N518" i="3"/>
  <c r="O518" i="3" s="1"/>
  <c r="N544" i="3"/>
  <c r="O544" i="3" s="1"/>
  <c r="N558" i="3"/>
  <c r="O558" i="3" s="1"/>
  <c r="AC558" i="3" s="1"/>
  <c r="AB558" i="3"/>
  <c r="N573" i="3"/>
  <c r="O573" i="3" s="1"/>
  <c r="AC573" i="3" s="1"/>
  <c r="AB573" i="3"/>
  <c r="N593" i="3"/>
  <c r="O593" i="3" s="1"/>
  <c r="AB593" i="3"/>
  <c r="N613" i="3"/>
  <c r="O613" i="3" s="1"/>
  <c r="AC613" i="3" s="1"/>
  <c r="AB613" i="3"/>
  <c r="N625" i="3"/>
  <c r="O625" i="3" s="1"/>
  <c r="AC625" i="3" s="1"/>
  <c r="AB625" i="3"/>
  <c r="N634" i="3"/>
  <c r="O634" i="3" s="1"/>
  <c r="Z628" i="3"/>
  <c r="AA628" i="3" s="1"/>
  <c r="AC628" i="3" s="1"/>
  <c r="AB628" i="3"/>
  <c r="N647" i="3"/>
  <c r="O647" i="3" s="1"/>
  <c r="N642" i="3"/>
  <c r="O642" i="3" s="1"/>
  <c r="Z676" i="3"/>
  <c r="AA676" i="3" s="1"/>
  <c r="AC676" i="3" s="1"/>
  <c r="AB676" i="3"/>
  <c r="Z765" i="3"/>
  <c r="AA765" i="3" s="1"/>
  <c r="AC765" i="3" s="1"/>
  <c r="AB765" i="3"/>
  <c r="Z775" i="3"/>
  <c r="AA775" i="3" s="1"/>
  <c r="AC775" i="3" s="1"/>
  <c r="AB775" i="3"/>
  <c r="N784" i="3"/>
  <c r="O784" i="3" s="1"/>
  <c r="AB784" i="3"/>
  <c r="N248" i="3"/>
  <c r="N455" i="3"/>
  <c r="O455" i="3" s="1"/>
  <c r="N513" i="3"/>
  <c r="O513" i="3" s="1"/>
  <c r="N541" i="3"/>
  <c r="O541" i="3" s="1"/>
  <c r="N618" i="3"/>
  <c r="N619" i="3" s="1"/>
  <c r="AB618" i="3"/>
  <c r="N637" i="3"/>
  <c r="O637" i="3" s="1"/>
  <c r="AC637" i="3" s="1"/>
  <c r="AB637" i="3"/>
  <c r="N711" i="3"/>
  <c r="O711" i="3" s="1"/>
  <c r="AB711" i="3"/>
  <c r="N11" i="3"/>
  <c r="AB11" i="3"/>
  <c r="Z32" i="3"/>
  <c r="AA32" i="3" s="1"/>
  <c r="AC32" i="3" s="1"/>
  <c r="AB32" i="3"/>
  <c r="Z72" i="3"/>
  <c r="AA72" i="3" s="1"/>
  <c r="AC72" i="3" s="1"/>
  <c r="AB72" i="3"/>
  <c r="Z90" i="3"/>
  <c r="AA90" i="3" s="1"/>
  <c r="AC90" i="3" s="1"/>
  <c r="AB90" i="3"/>
  <c r="Z113" i="3"/>
  <c r="AA113" i="3" s="1"/>
  <c r="AC113" i="3" s="1"/>
  <c r="AB113" i="3"/>
  <c r="Z152" i="3"/>
  <c r="AA152" i="3" s="1"/>
  <c r="AC152" i="3" s="1"/>
  <c r="AB152" i="3"/>
  <c r="Z199" i="3"/>
  <c r="AA199" i="3" s="1"/>
  <c r="AC199" i="3" s="1"/>
  <c r="AB199" i="3"/>
  <c r="Z222" i="3"/>
  <c r="AA222" i="3" s="1"/>
  <c r="AC222" i="3" s="1"/>
  <c r="AB222" i="3"/>
  <c r="Z228" i="3"/>
  <c r="AA228" i="3" s="1"/>
  <c r="AC228" i="3" s="1"/>
  <c r="AB228" i="3"/>
  <c r="Z233" i="3"/>
  <c r="AA233" i="3" s="1"/>
  <c r="AC233" i="3" s="1"/>
  <c r="AB233" i="3"/>
  <c r="Z269" i="3"/>
  <c r="AA269" i="3" s="1"/>
  <c r="AC269" i="3" s="1"/>
  <c r="AB269" i="3"/>
  <c r="N289" i="3"/>
  <c r="O289" i="3" s="1"/>
  <c r="AB310" i="3"/>
  <c r="Z359" i="3"/>
  <c r="AA359" i="3" s="1"/>
  <c r="AB359" i="3"/>
  <c r="Z401" i="3"/>
  <c r="AA401" i="3" s="1"/>
  <c r="AC401" i="3" s="1"/>
  <c r="AB401" i="3"/>
  <c r="N443" i="3"/>
  <c r="O443" i="3" s="1"/>
  <c r="N445" i="3"/>
  <c r="O445" i="3" s="1"/>
  <c r="N426" i="3"/>
  <c r="O426" i="3" s="1"/>
  <c r="N439" i="3"/>
  <c r="O439" i="3" s="1"/>
  <c r="AC439" i="3" s="1"/>
  <c r="AB439" i="3"/>
  <c r="N477" i="3"/>
  <c r="O477" i="3" s="1"/>
  <c r="N519" i="3"/>
  <c r="O519" i="3" s="1"/>
  <c r="N524" i="3"/>
  <c r="O524" i="3" s="1"/>
  <c r="N543" i="3"/>
  <c r="O543" i="3" s="1"/>
  <c r="N556" i="3"/>
  <c r="O556" i="3" s="1"/>
  <c r="AC556" i="3" s="1"/>
  <c r="AB556" i="3"/>
  <c r="N594" i="3"/>
  <c r="O594" i="3" s="1"/>
  <c r="AC594" i="3" s="1"/>
  <c r="AB594" i="3"/>
  <c r="N599" i="3"/>
  <c r="O599" i="3" s="1"/>
  <c r="AC599" i="3" s="1"/>
  <c r="AB599" i="3"/>
  <c r="N614" i="3"/>
  <c r="O614" i="3" s="1"/>
  <c r="AC614" i="3" s="1"/>
  <c r="AB614" i="3"/>
  <c r="N626" i="3"/>
  <c r="O626" i="3" s="1"/>
  <c r="AC626" i="3" s="1"/>
  <c r="AB626" i="3"/>
  <c r="N635" i="3"/>
  <c r="O635" i="3" s="1"/>
  <c r="AC635" i="3" s="1"/>
  <c r="AB635" i="3"/>
  <c r="N643" i="3"/>
  <c r="O643" i="3" s="1"/>
  <c r="N701" i="3"/>
  <c r="O701" i="3" s="1"/>
  <c r="Z766" i="3"/>
  <c r="AA766" i="3" s="1"/>
  <c r="AC766" i="3" s="1"/>
  <c r="AB766" i="3"/>
  <c r="Z776" i="3"/>
  <c r="AA776" i="3" s="1"/>
  <c r="AC776" i="3" s="1"/>
  <c r="AB776" i="3"/>
  <c r="Z216" i="3"/>
  <c r="AA216" i="3" s="1"/>
  <c r="AC216" i="3" s="1"/>
  <c r="AB216" i="3"/>
  <c r="N9" i="3"/>
  <c r="AB9" i="3"/>
  <c r="Z49" i="3"/>
  <c r="AA49" i="3" s="1"/>
  <c r="AC49" i="3" s="1"/>
  <c r="AB49" i="3"/>
  <c r="Z84" i="3"/>
  <c r="AA84" i="3" s="1"/>
  <c r="AC84" i="3" s="1"/>
  <c r="AB84" i="3"/>
  <c r="Z109" i="3"/>
  <c r="AA109" i="3" s="1"/>
  <c r="AC109" i="3" s="1"/>
  <c r="AB109" i="3"/>
  <c r="Z140" i="3"/>
  <c r="AA140" i="3" s="1"/>
  <c r="AC140" i="3" s="1"/>
  <c r="AB140" i="3"/>
  <c r="Z173" i="3"/>
  <c r="AA173" i="3" s="1"/>
  <c r="AC173" i="3" s="1"/>
  <c r="AB173" i="3"/>
  <c r="Z196" i="3"/>
  <c r="AA196" i="3" s="1"/>
  <c r="AC196" i="3" s="1"/>
  <c r="AB196" i="3"/>
  <c r="Z236" i="3"/>
  <c r="AA236" i="3" s="1"/>
  <c r="AC236" i="3" s="1"/>
  <c r="AB236" i="3"/>
  <c r="N276" i="3"/>
  <c r="O276" i="3" s="1"/>
  <c r="AB276" i="3"/>
  <c r="N279" i="3"/>
  <c r="O279" i="3" s="1"/>
  <c r="AC279" i="3" s="1"/>
  <c r="AB279" i="3"/>
  <c r="N286" i="3"/>
  <c r="O286" i="3" s="1"/>
  <c r="Z321" i="3"/>
  <c r="AA321" i="3" s="1"/>
  <c r="AB321" i="3"/>
  <c r="Z390" i="3"/>
  <c r="AA390" i="3" s="1"/>
  <c r="AC390" i="3" s="1"/>
  <c r="AB390" i="3"/>
  <c r="Z400" i="3"/>
  <c r="AA400" i="3" s="1"/>
  <c r="AC400" i="3" s="1"/>
  <c r="AB400" i="3"/>
  <c r="N317" i="3"/>
  <c r="O317" i="3" s="1"/>
  <c r="AB317" i="3"/>
  <c r="AB398" i="3"/>
  <c r="Z411" i="3"/>
  <c r="AA411" i="3" s="1"/>
  <c r="AC411" i="3" s="1"/>
  <c r="AB411" i="3"/>
  <c r="Z432" i="3"/>
  <c r="AA432" i="3" s="1"/>
  <c r="AC432" i="3" s="1"/>
  <c r="AB432" i="3"/>
  <c r="N446" i="3"/>
  <c r="O446" i="3" s="1"/>
  <c r="N440" i="3"/>
  <c r="O440" i="3" s="1"/>
  <c r="AC440" i="3" s="1"/>
  <c r="AB440" i="3"/>
  <c r="N497" i="3"/>
  <c r="O497" i="3" s="1"/>
  <c r="N506" i="3"/>
  <c r="O506" i="3" s="1"/>
  <c r="N522" i="3"/>
  <c r="O522" i="3" s="1"/>
  <c r="N542" i="3"/>
  <c r="O542" i="3" s="1"/>
  <c r="N555" i="3"/>
  <c r="O555" i="3" s="1"/>
  <c r="AC555" i="3" s="1"/>
  <c r="AB555" i="3"/>
  <c r="Z585" i="3"/>
  <c r="AA585" i="3" s="1"/>
  <c r="AC585" i="3" s="1"/>
  <c r="AB585" i="3"/>
  <c r="N595" i="3"/>
  <c r="O595" i="3" s="1"/>
  <c r="AC595" i="3" s="1"/>
  <c r="AB595" i="3"/>
  <c r="N602" i="3"/>
  <c r="O602" i="3" s="1"/>
  <c r="AC602" i="3" s="1"/>
  <c r="AB602" i="3"/>
  <c r="AB606" i="3"/>
  <c r="N615" i="3"/>
  <c r="O615" i="3" s="1"/>
  <c r="AC615" i="3" s="1"/>
  <c r="AB615" i="3"/>
  <c r="N636" i="3"/>
  <c r="O636" i="3" s="1"/>
  <c r="AC636" i="3" s="1"/>
  <c r="AB636" i="3"/>
  <c r="N657" i="3"/>
  <c r="O657" i="3" s="1"/>
  <c r="Z672" i="3"/>
  <c r="AA672" i="3" s="1"/>
  <c r="AC672" i="3" s="1"/>
  <c r="AB672" i="3"/>
  <c r="N687" i="3"/>
  <c r="O687" i="3" s="1"/>
  <c r="AB687" i="3"/>
  <c r="M732" i="3"/>
  <c r="N734" i="3"/>
  <c r="O734" i="3" s="1"/>
  <c r="N737" i="3"/>
  <c r="O737" i="3" s="1"/>
  <c r="Z774" i="3"/>
  <c r="AA774" i="3" s="1"/>
  <c r="AC774" i="3" s="1"/>
  <c r="AB774" i="3"/>
  <c r="Z11" i="3"/>
  <c r="AA11" i="3" s="1"/>
  <c r="AC11" i="3" s="1"/>
  <c r="Z5" i="3"/>
  <c r="AA5" i="3" s="1"/>
  <c r="Z86" i="3"/>
  <c r="AA86" i="3" s="1"/>
  <c r="AC86" i="3" s="1"/>
  <c r="L15" i="10"/>
  <c r="T15" i="10" s="1"/>
  <c r="Z259" i="3"/>
  <c r="AA259" i="3" s="1"/>
  <c r="AC259" i="3" s="1"/>
  <c r="Z593" i="3"/>
  <c r="AA593" i="3" s="1"/>
  <c r="L6" i="10"/>
  <c r="T6" i="10" s="1"/>
  <c r="Z680" i="3"/>
  <c r="AA680" i="3" s="1"/>
  <c r="AC680" i="3" s="1"/>
  <c r="M5" i="10"/>
  <c r="L5" i="10"/>
  <c r="W265" i="3"/>
  <c r="AB265" i="3" s="1"/>
  <c r="Z317" i="3"/>
  <c r="AA317" i="3" s="1"/>
  <c r="Z763" i="3"/>
  <c r="AA763" i="3" s="1"/>
  <c r="M22" i="10"/>
  <c r="U22" i="10" s="1"/>
  <c r="K91" i="7"/>
  <c r="R91" i="7" s="1"/>
  <c r="W720" i="3"/>
  <c r="Z720" i="3" s="1"/>
  <c r="AA720" i="3" s="1"/>
  <c r="K14" i="7"/>
  <c r="R14" i="7" s="1"/>
  <c r="J76" i="7"/>
  <c r="Q76" i="7" s="1"/>
  <c r="K74" i="7"/>
  <c r="K42" i="7"/>
  <c r="R42" i="7" s="1"/>
  <c r="K28" i="7"/>
  <c r="R28" i="7" s="1"/>
  <c r="C78" i="7"/>
  <c r="Z292" i="3"/>
  <c r="AA292" i="3" s="1"/>
  <c r="Z757" i="3"/>
  <c r="AA757" i="3" s="1"/>
  <c r="K8" i="7"/>
  <c r="R8" i="7" s="1"/>
  <c r="K48" i="7"/>
  <c r="R48" i="7" s="1"/>
  <c r="Z282" i="3"/>
  <c r="AA282" i="3" s="1"/>
  <c r="Z302" i="3"/>
  <c r="AA302" i="3" s="1"/>
  <c r="Z708" i="3"/>
  <c r="AA708" i="3" s="1"/>
  <c r="Z711" i="3"/>
  <c r="AA711" i="3" s="1"/>
  <c r="Z276" i="3"/>
  <c r="AA276" i="3" s="1"/>
  <c r="M692" i="3"/>
  <c r="X527" i="3"/>
  <c r="Z783" i="3"/>
  <c r="AA783" i="3" s="1"/>
  <c r="W745" i="3"/>
  <c r="Z745" i="3" s="1"/>
  <c r="AA745" i="3" s="1"/>
  <c r="M17" i="3"/>
  <c r="M64" i="3"/>
  <c r="M63" i="3"/>
  <c r="M252" i="3"/>
  <c r="M249" i="3"/>
  <c r="W737" i="3"/>
  <c r="AB737" i="3" s="1"/>
  <c r="W507" i="3"/>
  <c r="Z507" i="3" s="1"/>
  <c r="AA507" i="3" s="1"/>
  <c r="W725" i="3"/>
  <c r="K95" i="7" s="1"/>
  <c r="R95" i="7" s="1"/>
  <c r="R96" i="3"/>
  <c r="R39" i="3"/>
  <c r="R43" i="3" s="1"/>
  <c r="X184" i="3"/>
  <c r="Y683" i="3"/>
  <c r="X188" i="3"/>
  <c r="R406" i="3"/>
  <c r="R30" i="3"/>
  <c r="R102" i="3"/>
  <c r="R105" i="3" s="1"/>
  <c r="R207" i="3"/>
  <c r="R211" i="3" s="1"/>
  <c r="R271" i="3"/>
  <c r="R273" i="3" s="1"/>
  <c r="T689" i="3"/>
  <c r="X222" i="3"/>
  <c r="N386" i="3"/>
  <c r="O386" i="3" s="1"/>
  <c r="N670" i="3"/>
  <c r="O670" i="3" s="1"/>
  <c r="AC670" i="3" s="1"/>
  <c r="W169" i="3"/>
  <c r="W311" i="3"/>
  <c r="Z311" i="3" s="1"/>
  <c r="AA311" i="3" s="1"/>
  <c r="X90" i="3"/>
  <c r="Y661" i="3"/>
  <c r="X620" i="3"/>
  <c r="W218" i="3"/>
  <c r="X687" i="3"/>
  <c r="X200" i="3"/>
  <c r="X482" i="3"/>
  <c r="X602" i="3"/>
  <c r="S692" i="3"/>
  <c r="Y111" i="3"/>
  <c r="W100" i="3"/>
  <c r="T449" i="3"/>
  <c r="T451" i="3" s="1"/>
  <c r="R159" i="3"/>
  <c r="R163" i="3" s="1"/>
  <c r="S378" i="3"/>
  <c r="X292" i="3"/>
  <c r="X124" i="3"/>
  <c r="W217" i="3"/>
  <c r="W124" i="3"/>
  <c r="W568" i="3"/>
  <c r="X573" i="3"/>
  <c r="X277" i="3"/>
  <c r="W205" i="3"/>
  <c r="Y497" i="3"/>
  <c r="S256" i="3"/>
  <c r="W256" i="3" s="1"/>
  <c r="W307" i="3"/>
  <c r="Z307" i="3" s="1"/>
  <c r="AA307" i="3" s="1"/>
  <c r="X383" i="3"/>
  <c r="Y335" i="3"/>
  <c r="X327" i="3"/>
  <c r="M713" i="3"/>
  <c r="X668" i="3"/>
  <c r="Y304" i="3"/>
  <c r="Y777" i="3"/>
  <c r="Y447" i="3"/>
  <c r="Y312" i="3"/>
  <c r="O81" i="3"/>
  <c r="M685" i="3"/>
  <c r="Y443" i="3"/>
  <c r="N741" i="3"/>
  <c r="N742" i="3" s="1"/>
  <c r="O742" i="3" s="1"/>
  <c r="Y623" i="3"/>
  <c r="Y644" i="3"/>
  <c r="W445" i="3"/>
  <c r="AB445" i="3" s="1"/>
  <c r="X488" i="3"/>
  <c r="P395" i="3"/>
  <c r="L395" i="3" s="1"/>
  <c r="W764" i="3"/>
  <c r="W767" i="3" s="1"/>
  <c r="Z767" i="3" s="1"/>
  <c r="AA767" i="3" s="1"/>
  <c r="Y39" i="3"/>
  <c r="X296" i="3"/>
  <c r="S136" i="3"/>
  <c r="X128" i="3"/>
  <c r="S484" i="3"/>
  <c r="S487" i="3" s="1"/>
  <c r="X487" i="3" s="1"/>
  <c r="X72" i="3"/>
  <c r="Y265" i="3"/>
  <c r="S96" i="3"/>
  <c r="Y396" i="3"/>
  <c r="Y648" i="3"/>
  <c r="P65" i="3"/>
  <c r="R182" i="3"/>
  <c r="Y235" i="3"/>
  <c r="Y278" i="3"/>
  <c r="N408" i="3"/>
  <c r="O408" i="3" s="1"/>
  <c r="V458" i="3"/>
  <c r="W24" i="3"/>
  <c r="W68" i="3"/>
  <c r="W337" i="3"/>
  <c r="AB337" i="3" s="1"/>
  <c r="W54" i="3"/>
  <c r="O106" i="3"/>
  <c r="R26" i="3"/>
  <c r="R29" i="3" s="1"/>
  <c r="X116" i="3"/>
  <c r="L675" i="3"/>
  <c r="L681" i="3" s="1"/>
  <c r="X676" i="3"/>
  <c r="Y20" i="3"/>
  <c r="W383" i="3"/>
  <c r="W510" i="3"/>
  <c r="J12" i="7" s="1"/>
  <c r="Q12" i="7" s="1"/>
  <c r="Y405" i="3"/>
  <c r="W139" i="3"/>
  <c r="M391" i="3"/>
  <c r="X23" i="3"/>
  <c r="W338" i="3"/>
  <c r="Z338" i="3" s="1"/>
  <c r="AA338" i="3" s="1"/>
  <c r="M702" i="3"/>
  <c r="X109" i="3"/>
  <c r="Y352" i="3"/>
  <c r="Y668" i="3"/>
  <c r="S723" i="3"/>
  <c r="W160" i="3"/>
  <c r="Y253" i="3"/>
  <c r="X630" i="3"/>
  <c r="W709" i="3"/>
  <c r="Z709" i="3" s="1"/>
  <c r="AA709" i="3" s="1"/>
  <c r="W771" i="3"/>
  <c r="W777" i="3" s="1"/>
  <c r="Z777" i="3" s="1"/>
  <c r="AA777" i="3" s="1"/>
  <c r="S300" i="3"/>
  <c r="X300" i="3" s="1"/>
  <c r="N528" i="3"/>
  <c r="O528" i="3" s="1"/>
  <c r="W270" i="3"/>
  <c r="T163" i="3"/>
  <c r="Y318" i="3"/>
  <c r="L264" i="3"/>
  <c r="W132" i="3"/>
  <c r="X126" i="3"/>
  <c r="Y120" i="3"/>
  <c r="S149" i="3"/>
  <c r="Y26" i="3"/>
  <c r="X589" i="3"/>
  <c r="W12" i="3"/>
  <c r="AB12" i="3" s="1"/>
  <c r="W96" i="3"/>
  <c r="X155" i="3"/>
  <c r="O246" i="3"/>
  <c r="Z592" i="3"/>
  <c r="AA592" i="3" s="1"/>
  <c r="AC592" i="3" s="1"/>
  <c r="M619" i="3"/>
  <c r="W324" i="3"/>
  <c r="Y80" i="3"/>
  <c r="W358" i="3"/>
  <c r="X310" i="3"/>
  <c r="W202" i="3"/>
  <c r="P144" i="3"/>
  <c r="P148" i="3" s="1"/>
  <c r="Y148" i="3" s="1"/>
  <c r="S164" i="3"/>
  <c r="Y141" i="3"/>
  <c r="X113" i="3"/>
  <c r="X532" i="3"/>
  <c r="W272" i="3"/>
  <c r="X86" i="3"/>
  <c r="N282" i="3"/>
  <c r="O282" i="3" s="1"/>
  <c r="Z219" i="3"/>
  <c r="AA219" i="3" s="1"/>
  <c r="AC219" i="3" s="1"/>
  <c r="Y339" i="3"/>
  <c r="Y430" i="3"/>
  <c r="X480" i="3"/>
  <c r="W506" i="3"/>
  <c r="AB506" i="3" s="1"/>
  <c r="Z111" i="3"/>
  <c r="AA111" i="3" s="1"/>
  <c r="AC111" i="3" s="1"/>
  <c r="S44" i="3"/>
  <c r="W201" i="3"/>
  <c r="W299" i="3"/>
  <c r="J45" i="7" s="1"/>
  <c r="Q45" i="7" s="1"/>
  <c r="W482" i="3"/>
  <c r="X566" i="3"/>
  <c r="Y250" i="3"/>
  <c r="Y287" i="3"/>
  <c r="X302" i="3"/>
  <c r="W296" i="3"/>
  <c r="J84" i="7" s="1"/>
  <c r="Q84" i="7" s="1"/>
  <c r="Y260" i="3"/>
  <c r="W434" i="3"/>
  <c r="AB434" i="3" s="1"/>
  <c r="N644" i="3"/>
  <c r="O644" i="3" s="1"/>
  <c r="W661" i="3"/>
  <c r="AB661" i="3" s="1"/>
  <c r="S226" i="3"/>
  <c r="X226" i="3" s="1"/>
  <c r="O235" i="3"/>
  <c r="W46" i="3"/>
  <c r="X151" i="3"/>
  <c r="Y89" i="3"/>
  <c r="X196" i="3"/>
  <c r="W354" i="3"/>
  <c r="X377" i="3"/>
  <c r="X378" i="3" s="1"/>
  <c r="Y560" i="3"/>
  <c r="W667" i="3"/>
  <c r="AB667" i="3" s="1"/>
  <c r="W320" i="3"/>
  <c r="AB320" i="3" s="1"/>
  <c r="X47" i="3"/>
  <c r="X321" i="3"/>
  <c r="S271" i="3"/>
  <c r="W297" i="3"/>
  <c r="M629" i="3"/>
  <c r="S665" i="3"/>
  <c r="X665" i="3" s="1"/>
  <c r="P685" i="3"/>
  <c r="W70" i="3"/>
  <c r="Y226" i="3"/>
  <c r="Y308" i="3"/>
  <c r="W632" i="3"/>
  <c r="W55" i="3"/>
  <c r="X228" i="3"/>
  <c r="X276" i="3"/>
  <c r="W290" i="3"/>
  <c r="S375" i="3"/>
  <c r="X375" i="3" s="1"/>
  <c r="W545" i="3"/>
  <c r="Z545" i="3" s="1"/>
  <c r="AA545" i="3" s="1"/>
  <c r="X98" i="3"/>
  <c r="W98" i="3"/>
  <c r="M264" i="3"/>
  <c r="Y391" i="3"/>
  <c r="S447" i="3"/>
  <c r="X447" i="3" s="1"/>
  <c r="Y461" i="3"/>
  <c r="Y488" i="3"/>
  <c r="W446" i="3"/>
  <c r="Z446" i="3" s="1"/>
  <c r="AA446" i="3" s="1"/>
  <c r="S280" i="3"/>
  <c r="X280" i="3" s="1"/>
  <c r="S20" i="3"/>
  <c r="Y164" i="3"/>
  <c r="S221" i="3"/>
  <c r="S225" i="3" s="1"/>
  <c r="X225" i="3" s="1"/>
  <c r="X461" i="3"/>
  <c r="W330" i="3"/>
  <c r="R106" i="3"/>
  <c r="X215" i="3"/>
  <c r="W50" i="3"/>
  <c r="Y66" i="3"/>
  <c r="R131" i="3"/>
  <c r="R135" i="3" s="1"/>
  <c r="Y149" i="3"/>
  <c r="R176" i="3"/>
  <c r="R181" i="3" s="1"/>
  <c r="Y246" i="3"/>
  <c r="Y283" i="3"/>
  <c r="Y499" i="3"/>
  <c r="N671" i="3"/>
  <c r="O671" i="3" s="1"/>
  <c r="Y331" i="3"/>
  <c r="X320" i="3"/>
  <c r="X219" i="3"/>
  <c r="O131" i="3"/>
  <c r="W722" i="3"/>
  <c r="AB722" i="3" s="1"/>
  <c r="Z258" i="3"/>
  <c r="Z265" i="3" s="1"/>
  <c r="AA265" i="3" s="1"/>
  <c r="W314" i="3"/>
  <c r="J20" i="7" s="1"/>
  <c r="Q20" i="7" s="1"/>
  <c r="W523" i="3"/>
  <c r="Z523" i="3" s="1"/>
  <c r="AA523" i="3" s="1"/>
  <c r="Y334" i="3"/>
  <c r="Y294" i="3"/>
  <c r="W470" i="3"/>
  <c r="S508" i="3"/>
  <c r="X508" i="3" s="1"/>
  <c r="W544" i="3"/>
  <c r="Z544" i="3" s="1"/>
  <c r="AA544" i="3" s="1"/>
  <c r="X767" i="3"/>
  <c r="X152" i="3"/>
  <c r="Y106" i="3"/>
  <c r="X279" i="3"/>
  <c r="Y191" i="3"/>
  <c r="X236" i="3"/>
  <c r="S265" i="3"/>
  <c r="X265" i="3" s="1"/>
  <c r="Y458" i="3"/>
  <c r="X470" i="3"/>
  <c r="W480" i="3"/>
  <c r="Y495" i="3"/>
  <c r="T662" i="3"/>
  <c r="P95" i="3"/>
  <c r="Y95" i="3" s="1"/>
  <c r="X160" i="3"/>
  <c r="P273" i="3"/>
  <c r="Y273" i="3" s="1"/>
  <c r="Y271" i="3"/>
  <c r="W700" i="3"/>
  <c r="AB700" i="3" s="1"/>
  <c r="X700" i="3"/>
  <c r="S655" i="3"/>
  <c r="S658" i="3" s="1"/>
  <c r="W653" i="3"/>
  <c r="AB653" i="3" s="1"/>
  <c r="W36" i="3"/>
  <c r="X36" i="3"/>
  <c r="X261" i="3"/>
  <c r="W261" i="3"/>
  <c r="AB261" i="3" s="1"/>
  <c r="W267" i="3"/>
  <c r="AB267" i="3" s="1"/>
  <c r="W464" i="3"/>
  <c r="Z464" i="3" s="1"/>
  <c r="AA464" i="3" s="1"/>
  <c r="X580" i="3"/>
  <c r="S581" i="3"/>
  <c r="X581" i="3" s="1"/>
  <c r="W751" i="3"/>
  <c r="Z751" i="3" s="1"/>
  <c r="AA751" i="3" s="1"/>
  <c r="Z750" i="3"/>
  <c r="AA750" i="3" s="1"/>
  <c r="W8" i="3"/>
  <c r="Z8" i="3" s="1"/>
  <c r="AA8" i="3" s="1"/>
  <c r="Y245" i="3"/>
  <c r="P264" i="3"/>
  <c r="Y264" i="3" s="1"/>
  <c r="W365" i="3"/>
  <c r="X365" i="3"/>
  <c r="M403" i="3"/>
  <c r="M406" i="3"/>
  <c r="X598" i="3"/>
  <c r="W598" i="3"/>
  <c r="S601" i="3"/>
  <c r="S604" i="3" s="1"/>
  <c r="W248" i="3"/>
  <c r="AB248" i="3" s="1"/>
  <c r="X248" i="3"/>
  <c r="R396" i="3"/>
  <c r="R391" i="3"/>
  <c r="R395" i="3" s="1"/>
  <c r="Y535" i="3"/>
  <c r="R114" i="3"/>
  <c r="R119" i="3" s="1"/>
  <c r="R120" i="3"/>
  <c r="S182" i="3"/>
  <c r="W166" i="3"/>
  <c r="X166" i="3"/>
  <c r="S176" i="3"/>
  <c r="S181" i="3" s="1"/>
  <c r="X185" i="3"/>
  <c r="R191" i="3"/>
  <c r="X191" i="3" s="1"/>
  <c r="N719" i="3"/>
  <c r="O719" i="3" s="1"/>
  <c r="M720" i="3"/>
  <c r="P19" i="3"/>
  <c r="Y187" i="3"/>
  <c r="W112" i="3"/>
  <c r="W190" i="3"/>
  <c r="Y327" i="3"/>
  <c r="W473" i="3"/>
  <c r="AB473" i="3" s="1"/>
  <c r="X473" i="3"/>
  <c r="S26" i="3"/>
  <c r="S30" i="3"/>
  <c r="R149" i="3"/>
  <c r="R144" i="3"/>
  <c r="R148" i="3" s="1"/>
  <c r="N270" i="3"/>
  <c r="O270" i="3" s="1"/>
  <c r="L271" i="3"/>
  <c r="L273" i="3" s="1"/>
  <c r="W583" i="3"/>
  <c r="X583" i="3"/>
  <c r="X142" i="3"/>
  <c r="W142" i="3"/>
  <c r="U163" i="3"/>
  <c r="Y163" i="3" s="1"/>
  <c r="Y159" i="3"/>
  <c r="X168" i="3"/>
  <c r="W168" i="3"/>
  <c r="W361" i="3"/>
  <c r="X361" i="3"/>
  <c r="Y369" i="3"/>
  <c r="X526" i="3"/>
  <c r="W526" i="3"/>
  <c r="Z526" i="3" s="1"/>
  <c r="AA526" i="3" s="1"/>
  <c r="S528" i="3"/>
  <c r="X528" i="3" s="1"/>
  <c r="M729" i="3"/>
  <c r="N728" i="3"/>
  <c r="O728" i="3" s="1"/>
  <c r="Z760" i="3"/>
  <c r="AA760" i="3" s="1"/>
  <c r="W761" i="3"/>
  <c r="Z761" i="3" s="1"/>
  <c r="AA761" i="3" s="1"/>
  <c r="Y297" i="3"/>
  <c r="W374" i="3"/>
  <c r="J14" i="7" s="1"/>
  <c r="Q14" i="7" s="1"/>
  <c r="W454" i="3"/>
  <c r="Z454" i="3" s="1"/>
  <c r="AA454" i="3" s="1"/>
  <c r="W483" i="3"/>
  <c r="S565" i="3"/>
  <c r="S570" i="3" s="1"/>
  <c r="W619" i="3"/>
  <c r="W623" i="3" s="1"/>
  <c r="Z623" i="3" s="1"/>
  <c r="AA623" i="3" s="1"/>
  <c r="W677" i="3"/>
  <c r="AB677" i="3" s="1"/>
  <c r="Z719" i="3"/>
  <c r="AA719" i="3" s="1"/>
  <c r="X108" i="3"/>
  <c r="R136" i="3"/>
  <c r="W37" i="3"/>
  <c r="Y44" i="3"/>
  <c r="O96" i="3"/>
  <c r="Y105" i="3"/>
  <c r="R164" i="3"/>
  <c r="O176" i="3"/>
  <c r="T181" i="3"/>
  <c r="Y212" i="3"/>
  <c r="Y290" i="3"/>
  <c r="Y375" i="3"/>
  <c r="X390" i="3"/>
  <c r="Y424" i="3"/>
  <c r="V427" i="3"/>
  <c r="Y478" i="3"/>
  <c r="X544" i="3"/>
  <c r="W656" i="3"/>
  <c r="AB656" i="3" s="1"/>
  <c r="W678" i="3"/>
  <c r="Z744" i="3"/>
  <c r="AA744" i="3" s="1"/>
  <c r="O149" i="3"/>
  <c r="Y182" i="3"/>
  <c r="Y81" i="3"/>
  <c r="Y207" i="3"/>
  <c r="S250" i="3"/>
  <c r="Y516" i="3"/>
  <c r="W191" i="3"/>
  <c r="AB191" i="3" s="1"/>
  <c r="X278" i="3"/>
  <c r="Z278" i="3"/>
  <c r="AA278" i="3" s="1"/>
  <c r="X193" i="3"/>
  <c r="L278" i="3"/>
  <c r="M278" i="3" s="1"/>
  <c r="O58" i="3"/>
  <c r="X122" i="3"/>
  <c r="O159" i="3"/>
  <c r="W177" i="3"/>
  <c r="Y256" i="3"/>
  <c r="X290" i="3"/>
  <c r="S331" i="3"/>
  <c r="S334" i="3" s="1"/>
  <c r="X334" i="3" s="1"/>
  <c r="Y342" i="3"/>
  <c r="X369" i="3"/>
  <c r="Y406" i="3"/>
  <c r="X408" i="3"/>
  <c r="W460" i="3"/>
  <c r="AB460" i="3" s="1"/>
  <c r="Y504" i="3"/>
  <c r="Y524" i="3"/>
  <c r="Y616" i="3"/>
  <c r="M755" i="3"/>
  <c r="V451" i="3"/>
  <c r="W255" i="3"/>
  <c r="AB255" i="3" s="1"/>
  <c r="X258" i="3"/>
  <c r="W141" i="3"/>
  <c r="X8" i="3"/>
  <c r="Y30" i="3"/>
  <c r="O75" i="3"/>
  <c r="O89" i="3"/>
  <c r="Y136" i="3"/>
  <c r="R403" i="3"/>
  <c r="R405" i="3" s="1"/>
  <c r="S427" i="3"/>
  <c r="Y427" i="3"/>
  <c r="Y455" i="3"/>
  <c r="Y475" i="3"/>
  <c r="Y533" i="3"/>
  <c r="Y536" i="3"/>
  <c r="P596" i="3"/>
  <c r="Y596" i="3" s="1"/>
  <c r="W634" i="3"/>
  <c r="Z634" i="3" s="1"/>
  <c r="AA634" i="3" s="1"/>
  <c r="W664" i="3"/>
  <c r="AB664" i="3" s="1"/>
  <c r="W679" i="3"/>
  <c r="AB679" i="3" s="1"/>
  <c r="M726" i="3"/>
  <c r="S114" i="3"/>
  <c r="W187" i="3"/>
  <c r="W138" i="3"/>
  <c r="AB138" i="3" s="1"/>
  <c r="X138" i="3"/>
  <c r="W203" i="3"/>
  <c r="O120" i="3"/>
  <c r="X110" i="3"/>
  <c r="Y135" i="3"/>
  <c r="W318" i="3"/>
  <c r="M418" i="3"/>
  <c r="Y421" i="3"/>
  <c r="X562" i="3"/>
  <c r="Y574" i="3"/>
  <c r="X303" i="3"/>
  <c r="W303" i="3"/>
  <c r="Z303" i="3" s="1"/>
  <c r="AA303" i="3" s="1"/>
  <c r="X267" i="3"/>
  <c r="S308" i="3"/>
  <c r="X59" i="3"/>
  <c r="X6" i="3"/>
  <c r="W170" i="3"/>
  <c r="S283" i="3"/>
  <c r="W283" i="3" s="1"/>
  <c r="X282" i="3"/>
  <c r="X460" i="3"/>
  <c r="Y546" i="3"/>
  <c r="X572" i="3"/>
  <c r="S574" i="3"/>
  <c r="X574" i="3" s="1"/>
  <c r="S335" i="3"/>
  <c r="X335" i="3" s="1"/>
  <c r="W329" i="3"/>
  <c r="AB329" i="3" s="1"/>
  <c r="X435" i="3"/>
  <c r="S436" i="3"/>
  <c r="S442" i="3" s="1"/>
  <c r="X442" i="3" s="1"/>
  <c r="X538" i="3"/>
  <c r="S560" i="3"/>
  <c r="X609" i="3"/>
  <c r="W609" i="3"/>
  <c r="Z609" i="3" s="1"/>
  <c r="AA609" i="3" s="1"/>
  <c r="R212" i="3"/>
  <c r="S304" i="3"/>
  <c r="W304" i="3" s="1"/>
  <c r="O136" i="3"/>
  <c r="M5" i="3"/>
  <c r="N5" i="3" s="1"/>
  <c r="W322" i="3"/>
  <c r="AB322" i="3" s="1"/>
  <c r="R14" i="3"/>
  <c r="R19" i="3" s="1"/>
  <c r="X5" i="3"/>
  <c r="X204" i="3"/>
  <c r="W285" i="3"/>
  <c r="X297" i="3"/>
  <c r="W413" i="3"/>
  <c r="X413" i="3"/>
  <c r="S424" i="3"/>
  <c r="X621" i="3"/>
  <c r="S478" i="3"/>
  <c r="X478" i="3" s="1"/>
  <c r="X477" i="3"/>
  <c r="W477" i="3"/>
  <c r="AB477" i="3" s="1"/>
  <c r="W519" i="3"/>
  <c r="Z519" i="3" s="1"/>
  <c r="AA519" i="3" s="1"/>
  <c r="X519" i="3"/>
  <c r="U181" i="3"/>
  <c r="Y176" i="3"/>
  <c r="X498" i="3"/>
  <c r="W498" i="3"/>
  <c r="Z498" i="3" s="1"/>
  <c r="AA498" i="3" s="1"/>
  <c r="O226" i="3"/>
  <c r="W6" i="3"/>
  <c r="S14" i="3"/>
  <c r="O221" i="3"/>
  <c r="X404" i="3"/>
  <c r="X423" i="3"/>
  <c r="X424" i="3" s="1"/>
  <c r="S546" i="3"/>
  <c r="S559" i="3" s="1"/>
  <c r="N583" i="3"/>
  <c r="N586" i="3" s="1"/>
  <c r="M586" i="3"/>
  <c r="M596" i="3" s="1"/>
  <c r="W647" i="3"/>
  <c r="Z647" i="3" s="1"/>
  <c r="AA647" i="3" s="1"/>
  <c r="X647" i="3"/>
  <c r="Y684" i="3"/>
  <c r="W684" i="3"/>
  <c r="AB684" i="3" s="1"/>
  <c r="Z310" i="3"/>
  <c r="AA310" i="3" s="1"/>
  <c r="Y221" i="3"/>
  <c r="Y300" i="3"/>
  <c r="X40" i="3"/>
  <c r="W40" i="3"/>
  <c r="AB40" i="3" s="1"/>
  <c r="X76" i="3"/>
  <c r="W76" i="3"/>
  <c r="X115" i="3"/>
  <c r="W115" i="3"/>
  <c r="X195" i="3"/>
  <c r="W195" i="3"/>
  <c r="W198" i="3"/>
  <c r="X198" i="3"/>
  <c r="S339" i="3"/>
  <c r="X339" i="3" s="1"/>
  <c r="X344" i="3"/>
  <c r="W344" i="3"/>
  <c r="S346" i="3"/>
  <c r="X346" i="3" s="1"/>
  <c r="W355" i="3"/>
  <c r="X355" i="3"/>
  <c r="S363" i="3"/>
  <c r="W363" i="3" s="1"/>
  <c r="X398" i="3"/>
  <c r="W538" i="3"/>
  <c r="Z538" i="3" s="1"/>
  <c r="AA538" i="3" s="1"/>
  <c r="N606" i="3"/>
  <c r="O606" i="3" s="1"/>
  <c r="M610" i="3"/>
  <c r="W657" i="3"/>
  <c r="AB657" i="3" s="1"/>
  <c r="X657" i="3"/>
  <c r="W229" i="3"/>
  <c r="S246" i="3"/>
  <c r="X246" i="3" s="1"/>
  <c r="S131" i="3"/>
  <c r="O39" i="3"/>
  <c r="O44" i="3"/>
  <c r="W103" i="3"/>
  <c r="X103" i="3"/>
  <c r="X145" i="3"/>
  <c r="W145" i="3"/>
  <c r="W151" i="3"/>
  <c r="AB151" i="3" s="1"/>
  <c r="S159" i="3"/>
  <c r="Y190" i="3"/>
  <c r="W231" i="3"/>
  <c r="X231" i="3"/>
  <c r="S349" i="3"/>
  <c r="X349" i="3" s="1"/>
  <c r="S403" i="3"/>
  <c r="W392" i="3"/>
  <c r="W429" i="3"/>
  <c r="S430" i="3"/>
  <c r="L442" i="3"/>
  <c r="M442" i="3" s="1"/>
  <c r="N436" i="3"/>
  <c r="O436" i="3" s="1"/>
  <c r="N451" i="3"/>
  <c r="O451" i="3" s="1"/>
  <c r="V492" i="3"/>
  <c r="U658" i="3"/>
  <c r="Y655" i="3"/>
  <c r="R655" i="3"/>
  <c r="X653" i="3"/>
  <c r="X660" i="3"/>
  <c r="W660" i="3"/>
  <c r="AB660" i="3" s="1"/>
  <c r="W543" i="3"/>
  <c r="Z543" i="3" s="1"/>
  <c r="AA543" i="3" s="1"/>
  <c r="X543" i="3"/>
  <c r="W584" i="3"/>
  <c r="S586" i="3"/>
  <c r="S596" i="3" s="1"/>
  <c r="Y124" i="3"/>
  <c r="W306" i="3"/>
  <c r="AB306" i="3" s="1"/>
  <c r="W129" i="3"/>
  <c r="X10" i="3"/>
  <c r="W10" i="3"/>
  <c r="AB10" i="3" s="1"/>
  <c r="R44" i="3"/>
  <c r="X32" i="3"/>
  <c r="X51" i="3"/>
  <c r="W51" i="3"/>
  <c r="W56" i="3"/>
  <c r="X56" i="3"/>
  <c r="X259" i="3"/>
  <c r="S260" i="3"/>
  <c r="X329" i="3"/>
  <c r="W371" i="3"/>
  <c r="X371" i="3"/>
  <c r="S406" i="3"/>
  <c r="R418" i="3"/>
  <c r="R414" i="3"/>
  <c r="R417" i="3" s="1"/>
  <c r="X445" i="3"/>
  <c r="N427" i="3"/>
  <c r="O427" i="3" s="1"/>
  <c r="X474" i="3"/>
  <c r="X485" i="3"/>
  <c r="W485" i="3"/>
  <c r="M487" i="3"/>
  <c r="N484" i="3"/>
  <c r="O484" i="3" s="1"/>
  <c r="X584" i="3"/>
  <c r="W633" i="3"/>
  <c r="X633" i="3"/>
  <c r="Y225" i="3"/>
  <c r="N303" i="3"/>
  <c r="O303" i="3" s="1"/>
  <c r="Y326" i="3"/>
  <c r="X345" i="3"/>
  <c r="S342" i="3"/>
  <c r="W342" i="3" s="1"/>
  <c r="X341" i="3"/>
  <c r="X437" i="3"/>
  <c r="W437" i="3"/>
  <c r="X587" i="3"/>
  <c r="W587" i="3"/>
  <c r="W694" i="3"/>
  <c r="K31" i="7" s="1"/>
  <c r="R31" i="7" s="1"/>
  <c r="T695" i="3"/>
  <c r="Z704" i="3"/>
  <c r="AA704" i="3" s="1"/>
  <c r="W706" i="3"/>
  <c r="Z706" i="3" s="1"/>
  <c r="AA706" i="3" s="1"/>
  <c r="O14" i="3"/>
  <c r="Y14" i="3"/>
  <c r="N310" i="3"/>
  <c r="O310" i="3" s="1"/>
  <c r="W341" i="3"/>
  <c r="X384" i="3"/>
  <c r="N396" i="3"/>
  <c r="O396" i="3" s="1"/>
  <c r="Y451" i="3"/>
  <c r="M499" i="3"/>
  <c r="M560" i="3"/>
  <c r="M578" i="3"/>
  <c r="X612" i="3"/>
  <c r="W612" i="3"/>
  <c r="Z612" i="3" s="1"/>
  <c r="AA612" i="3" s="1"/>
  <c r="O66" i="3"/>
  <c r="S66" i="3"/>
  <c r="X66" i="3" s="1"/>
  <c r="O187" i="3"/>
  <c r="Z351" i="3"/>
  <c r="AA351" i="3" s="1"/>
  <c r="S458" i="3"/>
  <c r="X458" i="3" s="1"/>
  <c r="X457" i="3"/>
  <c r="N465" i="3"/>
  <c r="O465" i="3" s="1"/>
  <c r="S516" i="3"/>
  <c r="X516" i="3" s="1"/>
  <c r="X534" i="3"/>
  <c r="W534" i="3"/>
  <c r="Z534" i="3" s="1"/>
  <c r="AA534" i="3" s="1"/>
  <c r="W541" i="3"/>
  <c r="Z541" i="3" s="1"/>
  <c r="AA541" i="3" s="1"/>
  <c r="X541" i="3"/>
  <c r="W576" i="3"/>
  <c r="Z576" i="3" s="1"/>
  <c r="AA576" i="3" s="1"/>
  <c r="X613" i="3"/>
  <c r="Z352" i="3"/>
  <c r="AA352" i="3" s="1"/>
  <c r="M447" i="3"/>
  <c r="S504" i="3"/>
  <c r="X504" i="3" s="1"/>
  <c r="W580" i="3"/>
  <c r="W581" i="3" s="1"/>
  <c r="Z581" i="3" s="1"/>
  <c r="AA581" i="3" s="1"/>
  <c r="O30" i="3"/>
  <c r="O102" i="3"/>
  <c r="O164" i="3"/>
  <c r="O182" i="3"/>
  <c r="X501" i="3"/>
  <c r="Y520" i="3"/>
  <c r="Y511" i="3"/>
  <c r="T520" i="3"/>
  <c r="W642" i="3"/>
  <c r="AB642" i="3" s="1"/>
  <c r="Y681" i="3"/>
  <c r="N753" i="3"/>
  <c r="L685" i="3"/>
  <c r="N691" i="3"/>
  <c r="X731" i="3"/>
  <c r="X697" i="3"/>
  <c r="X741" i="3"/>
  <c r="Y767" i="3"/>
  <c r="W728" i="3"/>
  <c r="AB728" i="3" s="1"/>
  <c r="W741" i="3"/>
  <c r="AB741" i="3" s="1"/>
  <c r="W717" i="3"/>
  <c r="Z717" i="3" s="1"/>
  <c r="AA717" i="3" s="1"/>
  <c r="M780" i="3"/>
  <c r="X670" i="3"/>
  <c r="M675" i="3"/>
  <c r="W688" i="3"/>
  <c r="Z688" i="3" s="1"/>
  <c r="AA688" i="3" s="1"/>
  <c r="M706" i="3"/>
  <c r="N731" i="3"/>
  <c r="X725" i="3"/>
  <c r="N744" i="3"/>
  <c r="W426" i="3"/>
  <c r="K14" i="10" s="1"/>
  <c r="S14" i="10" s="1"/>
  <c r="X443" i="3"/>
  <c r="Y465" i="3"/>
  <c r="X471" i="3"/>
  <c r="S475" i="3"/>
  <c r="X475" i="3" s="1"/>
  <c r="N488" i="3"/>
  <c r="O488" i="3" s="1"/>
  <c r="W547" i="3"/>
  <c r="Z547" i="3" s="1"/>
  <c r="AA547" i="3" s="1"/>
  <c r="Y651" i="3"/>
  <c r="M698" i="3"/>
  <c r="W748" i="3"/>
  <c r="Z748" i="3" s="1"/>
  <c r="AA748" i="3" s="1"/>
  <c r="Y508" i="3"/>
  <c r="W572" i="3"/>
  <c r="AB572" i="3" s="1"/>
  <c r="Y581" i="3"/>
  <c r="X667" i="3"/>
  <c r="S689" i="3"/>
  <c r="N700" i="3"/>
  <c r="W713" i="3"/>
  <c r="Z713" i="3" s="1"/>
  <c r="AA713" i="3" s="1"/>
  <c r="X728" i="3"/>
  <c r="X777" i="3"/>
  <c r="Z770" i="3"/>
  <c r="AA770" i="3" s="1"/>
  <c r="AC770" i="3" s="1"/>
  <c r="W120" i="3"/>
  <c r="AB120" i="3" s="1"/>
  <c r="Z108" i="3"/>
  <c r="S102" i="3"/>
  <c r="N285" i="3"/>
  <c r="S253" i="3"/>
  <c r="M296" i="3"/>
  <c r="W347" i="3"/>
  <c r="X347" i="3"/>
  <c r="X389" i="3"/>
  <c r="W389" i="3"/>
  <c r="X453" i="3"/>
  <c r="S455" i="3"/>
  <c r="X455" i="3" s="1"/>
  <c r="P181" i="3"/>
  <c r="S144" i="3"/>
  <c r="X83" i="3"/>
  <c r="M6" i="3"/>
  <c r="U211" i="3"/>
  <c r="Y211" i="3" s="1"/>
  <c r="S120" i="3"/>
  <c r="W289" i="3"/>
  <c r="J34" i="7" s="1"/>
  <c r="Q34" i="7" s="1"/>
  <c r="Z7" i="3"/>
  <c r="AA7" i="3" s="1"/>
  <c r="W71" i="3"/>
  <c r="AB71" i="3" s="1"/>
  <c r="S81" i="3"/>
  <c r="X81" i="3" s="1"/>
  <c r="W194" i="3"/>
  <c r="X194" i="3"/>
  <c r="X208" i="3"/>
  <c r="W208" i="3"/>
  <c r="N277" i="3"/>
  <c r="O277" i="3" s="1"/>
  <c r="AC277" i="3" s="1"/>
  <c r="N299" i="3"/>
  <c r="O299" i="3" s="1"/>
  <c r="S391" i="3"/>
  <c r="S396" i="3"/>
  <c r="X386" i="3"/>
  <c r="Y418" i="3"/>
  <c r="M302" i="3"/>
  <c r="N311" i="3"/>
  <c r="O311" i="3" s="1"/>
  <c r="Z377" i="3"/>
  <c r="Z378" i="3" s="1"/>
  <c r="W378" i="3"/>
  <c r="AB378" i="3" s="1"/>
  <c r="W415" i="3"/>
  <c r="X415" i="3"/>
  <c r="W424" i="3"/>
  <c r="Z423" i="3"/>
  <c r="P487" i="3"/>
  <c r="Y487" i="3" s="1"/>
  <c r="Y484" i="3"/>
  <c r="Z481" i="3"/>
  <c r="AA481" i="3" s="1"/>
  <c r="AC481" i="3" s="1"/>
  <c r="X494" i="3"/>
  <c r="W494" i="3"/>
  <c r="J19" i="7" s="1"/>
  <c r="Q19" i="7" s="1"/>
  <c r="S495" i="3"/>
  <c r="X495" i="3" s="1"/>
  <c r="Y96" i="3"/>
  <c r="X22" i="3"/>
  <c r="O191" i="3"/>
  <c r="W167" i="3"/>
  <c r="W230" i="3"/>
  <c r="AB230" i="3" s="1"/>
  <c r="W286" i="3"/>
  <c r="Z286" i="3" s="1"/>
  <c r="AA286" i="3" s="1"/>
  <c r="W249" i="3"/>
  <c r="U19" i="3"/>
  <c r="X52" i="3"/>
  <c r="X293" i="3"/>
  <c r="S294" i="3"/>
  <c r="X360" i="3"/>
  <c r="W360" i="3"/>
  <c r="M307" i="3"/>
  <c r="O564" i="3"/>
  <c r="N565" i="3"/>
  <c r="W412" i="3"/>
  <c r="X412" i="3"/>
  <c r="O267" i="3"/>
  <c r="S312" i="3"/>
  <c r="X312" i="3" s="1"/>
  <c r="R89" i="3"/>
  <c r="R95" i="3" s="1"/>
  <c r="Y131" i="3"/>
  <c r="R20" i="3"/>
  <c r="W35" i="3"/>
  <c r="AB35" i="3" s="1"/>
  <c r="S39" i="3"/>
  <c r="S235" i="3"/>
  <c r="W171" i="3"/>
  <c r="X69" i="3"/>
  <c r="S212" i="3"/>
  <c r="W85" i="3"/>
  <c r="AB85" i="3" s="1"/>
  <c r="S89" i="3"/>
  <c r="X315" i="3"/>
  <c r="W315" i="3"/>
  <c r="X364" i="3"/>
  <c r="W386" i="3"/>
  <c r="AB386" i="3" s="1"/>
  <c r="X536" i="3"/>
  <c r="W536" i="3"/>
  <c r="Z536" i="3" s="1"/>
  <c r="AA536" i="3" s="1"/>
  <c r="S323" i="3"/>
  <c r="W136" i="3"/>
  <c r="AB136" i="3" s="1"/>
  <c r="X289" i="3"/>
  <c r="N260" i="3"/>
  <c r="O26" i="3"/>
  <c r="S58" i="3"/>
  <c r="S75" i="3"/>
  <c r="Y75" i="3"/>
  <c r="S207" i="3"/>
  <c r="L14" i="3"/>
  <c r="S106" i="3"/>
  <c r="W154" i="3"/>
  <c r="W22" i="3"/>
  <c r="AB22" i="3" s="1"/>
  <c r="R187" i="3"/>
  <c r="R190" i="3" s="1"/>
  <c r="X190" i="3" s="1"/>
  <c r="Y323" i="3"/>
  <c r="N306" i="3"/>
  <c r="O306" i="3" s="1"/>
  <c r="X332" i="3"/>
  <c r="W332" i="3"/>
  <c r="AB332" i="3" s="1"/>
  <c r="Y346" i="3"/>
  <c r="U348" i="3"/>
  <c r="Y348" i="3" s="1"/>
  <c r="W453" i="3"/>
  <c r="AB453" i="3" s="1"/>
  <c r="Y349" i="3"/>
  <c r="O20" i="3"/>
  <c r="Y58" i="3"/>
  <c r="X53" i="3"/>
  <c r="X99" i="3"/>
  <c r="S287" i="3"/>
  <c r="W52" i="3"/>
  <c r="AB52" i="3" s="1"/>
  <c r="X252" i="3"/>
  <c r="W252" i="3"/>
  <c r="Y102" i="3"/>
  <c r="X249" i="3"/>
  <c r="Y368" i="3"/>
  <c r="X518" i="3"/>
  <c r="W518" i="3"/>
  <c r="AB518" i="3" s="1"/>
  <c r="S520" i="3"/>
  <c r="X520" i="3" s="1"/>
  <c r="W369" i="3"/>
  <c r="W406" i="3"/>
  <c r="Z406" i="3" s="1"/>
  <c r="AA406" i="3" s="1"/>
  <c r="W402" i="3"/>
  <c r="X402" i="3"/>
  <c r="W362" i="3"/>
  <c r="Y403" i="3"/>
  <c r="S468" i="3"/>
  <c r="X468" i="3" s="1"/>
  <c r="W467" i="3"/>
  <c r="AB467" i="3" s="1"/>
  <c r="X467" i="3"/>
  <c r="Y528" i="3"/>
  <c r="Y414" i="3"/>
  <c r="U417" i="3"/>
  <c r="Y417" i="3" s="1"/>
  <c r="U442" i="3"/>
  <c r="Y442" i="3" s="1"/>
  <c r="Y436" i="3"/>
  <c r="X463" i="3"/>
  <c r="S465" i="3"/>
  <c r="X465" i="3" s="1"/>
  <c r="W463" i="3"/>
  <c r="AB463" i="3" s="1"/>
  <c r="X497" i="3"/>
  <c r="S499" i="3"/>
  <c r="X499" i="3" s="1"/>
  <c r="W497" i="3"/>
  <c r="AB497" i="3" s="1"/>
  <c r="Y363" i="3"/>
  <c r="T427" i="3"/>
  <c r="Z433" i="3"/>
  <c r="AA433" i="3" s="1"/>
  <c r="AC433" i="3" s="1"/>
  <c r="W443" i="3"/>
  <c r="Z443" i="3" s="1"/>
  <c r="AA443" i="3" s="1"/>
  <c r="M424" i="3"/>
  <c r="T492" i="3"/>
  <c r="W490" i="3"/>
  <c r="AB490" i="3" s="1"/>
  <c r="Y490" i="3"/>
  <c r="U492" i="3"/>
  <c r="Y492" i="3" s="1"/>
  <c r="Y578" i="3"/>
  <c r="W380" i="3"/>
  <c r="AB380" i="3" s="1"/>
  <c r="S381" i="3"/>
  <c r="L406" i="3"/>
  <c r="L403" i="3"/>
  <c r="N398" i="3"/>
  <c r="O398" i="3" s="1"/>
  <c r="AC398" i="3" s="1"/>
  <c r="W408" i="3"/>
  <c r="AB408" i="3" s="1"/>
  <c r="S418" i="3"/>
  <c r="S414" i="3"/>
  <c r="W420" i="3"/>
  <c r="AB420" i="3" s="1"/>
  <c r="X420" i="3"/>
  <c r="X421" i="3" s="1"/>
  <c r="N532" i="3"/>
  <c r="O532" i="3" s="1"/>
  <c r="AC532" i="3" s="1"/>
  <c r="M533" i="3"/>
  <c r="X411" i="3"/>
  <c r="X577" i="3"/>
  <c r="W577" i="3"/>
  <c r="Z577" i="3" s="1"/>
  <c r="AA577" i="3" s="1"/>
  <c r="S578" i="3"/>
  <c r="X578" i="3" s="1"/>
  <c r="X567" i="3"/>
  <c r="W567" i="3"/>
  <c r="Z567" i="3" s="1"/>
  <c r="AA567" i="3" s="1"/>
  <c r="W491" i="3"/>
  <c r="Z491" i="3" s="1"/>
  <c r="AA491" i="3" s="1"/>
  <c r="X491" i="3"/>
  <c r="S492" i="3"/>
  <c r="X492" i="3" s="1"/>
  <c r="X522" i="3"/>
  <c r="W522" i="3"/>
  <c r="S524" i="3"/>
  <c r="X524" i="3" s="1"/>
  <c r="Y570" i="3"/>
  <c r="W504" i="3"/>
  <c r="Z504" i="3" s="1"/>
  <c r="AA504" i="3" s="1"/>
  <c r="Z501" i="3"/>
  <c r="AA501" i="3" s="1"/>
  <c r="N508" i="3"/>
  <c r="O508" i="3" s="1"/>
  <c r="T516" i="3"/>
  <c r="W513" i="3"/>
  <c r="AB513" i="3" s="1"/>
  <c r="Z606" i="3"/>
  <c r="AA606" i="3" s="1"/>
  <c r="S450" i="3"/>
  <c r="M461" i="3"/>
  <c r="N511" i="3"/>
  <c r="O511" i="3" s="1"/>
  <c r="X530" i="3"/>
  <c r="S533" i="3"/>
  <c r="W530" i="3"/>
  <c r="AB530" i="3" s="1"/>
  <c r="W457" i="3"/>
  <c r="AB457" i="3" s="1"/>
  <c r="N492" i="3"/>
  <c r="O492" i="3" s="1"/>
  <c r="S511" i="3"/>
  <c r="X511" i="3" s="1"/>
  <c r="X510" i="3"/>
  <c r="N600" i="3"/>
  <c r="M601" i="3"/>
  <c r="M604" i="3" s="1"/>
  <c r="W643" i="3"/>
  <c r="Z643" i="3" s="1"/>
  <c r="AA643" i="3" s="1"/>
  <c r="X643" i="3"/>
  <c r="S644" i="3"/>
  <c r="X644" i="3" s="1"/>
  <c r="Y665" i="3"/>
  <c r="S610" i="3"/>
  <c r="S616" i="3" s="1"/>
  <c r="X606" i="3"/>
  <c r="S623" i="3"/>
  <c r="X619" i="3"/>
  <c r="W627" i="3"/>
  <c r="AB627" i="3" s="1"/>
  <c r="X627" i="3"/>
  <c r="Z687" i="3"/>
  <c r="AA687" i="3" s="1"/>
  <c r="Y687" i="3"/>
  <c r="P689" i="3"/>
  <c r="M520" i="3"/>
  <c r="M536" i="3"/>
  <c r="N530" i="3"/>
  <c r="Y559" i="3"/>
  <c r="X542" i="3"/>
  <c r="W542" i="3"/>
  <c r="AB542" i="3" s="1"/>
  <c r="N574" i="3"/>
  <c r="O574" i="3" s="1"/>
  <c r="M567" i="3"/>
  <c r="N566" i="3"/>
  <c r="O566" i="3" s="1"/>
  <c r="L559" i="3"/>
  <c r="Z562" i="3"/>
  <c r="AA562" i="3" s="1"/>
  <c r="AC562" i="3" s="1"/>
  <c r="W565" i="3"/>
  <c r="Y604" i="3"/>
  <c r="W631" i="3"/>
  <c r="X631" i="3"/>
  <c r="M546" i="3"/>
  <c r="L596" i="3"/>
  <c r="P658" i="3"/>
  <c r="W590" i="3"/>
  <c r="X590" i="3"/>
  <c r="W650" i="3"/>
  <c r="AB650" i="3" s="1"/>
  <c r="S651" i="3"/>
  <c r="X651" i="3" s="1"/>
  <c r="W738" i="3"/>
  <c r="AB738" i="3" s="1"/>
  <c r="S739" i="3"/>
  <c r="X738" i="3"/>
  <c r="W588" i="3"/>
  <c r="X588" i="3"/>
  <c r="X701" i="3"/>
  <c r="W701" i="3"/>
  <c r="Z701" i="3" s="1"/>
  <c r="AA701" i="3" s="1"/>
  <c r="X674" i="3"/>
  <c r="S675" i="3"/>
  <c r="S681" i="3" s="1"/>
  <c r="W674" i="3"/>
  <c r="AB674" i="3" s="1"/>
  <c r="N581" i="3"/>
  <c r="O581" i="3" s="1"/>
  <c r="U662" i="3"/>
  <c r="Y662" i="3" s="1"/>
  <c r="Y660" i="3"/>
  <c r="M668" i="3"/>
  <c r="N653" i="3"/>
  <c r="M655" i="3"/>
  <c r="W611" i="3"/>
  <c r="Z611" i="3" s="1"/>
  <c r="AA611" i="3" s="1"/>
  <c r="X611" i="3"/>
  <c r="X646" i="3"/>
  <c r="W646" i="3"/>
  <c r="AB646" i="3" s="1"/>
  <c r="S648" i="3"/>
  <c r="X648" i="3" s="1"/>
  <c r="N688" i="3"/>
  <c r="O688" i="3" s="1"/>
  <c r="M689" i="3"/>
  <c r="R675" i="3"/>
  <c r="R681" i="3" s="1"/>
  <c r="N716" i="3"/>
  <c r="O716" i="3" s="1"/>
  <c r="AC716" i="3" s="1"/>
  <c r="M717" i="3"/>
  <c r="M723" i="3"/>
  <c r="N757" i="3"/>
  <c r="M758" i="3"/>
  <c r="V692" i="3"/>
  <c r="T691" i="3"/>
  <c r="W734" i="3"/>
  <c r="AB734" i="3" s="1"/>
  <c r="S735" i="3"/>
  <c r="X734" i="3"/>
  <c r="N747" i="3"/>
  <c r="W755" i="3"/>
  <c r="Z755" i="3" s="1"/>
  <c r="AA755" i="3" s="1"/>
  <c r="Z753" i="3"/>
  <c r="AA753" i="3" s="1"/>
  <c r="W685" i="3"/>
  <c r="Z683" i="3"/>
  <c r="AA683" i="3" s="1"/>
  <c r="S685" i="3"/>
  <c r="X683" i="3"/>
  <c r="T697" i="3"/>
  <c r="V698" i="3"/>
  <c r="M760" i="3"/>
  <c r="S662" i="3"/>
  <c r="X662" i="3" s="1"/>
  <c r="M709" i="3"/>
  <c r="N779" i="3"/>
  <c r="M662" i="3"/>
  <c r="M695" i="3"/>
  <c r="N694" i="3"/>
  <c r="L764" i="3"/>
  <c r="L767" i="3" s="1"/>
  <c r="N763" i="3"/>
  <c r="W785" i="3"/>
  <c r="Z785" i="3" s="1"/>
  <c r="AA785" i="3" s="1"/>
  <c r="M751" i="3"/>
  <c r="N771" i="3"/>
  <c r="N777" i="3" s="1"/>
  <c r="O777" i="3" s="1"/>
  <c r="N683" i="3"/>
  <c r="M735" i="3"/>
  <c r="S695" i="3"/>
  <c r="S702" i="3"/>
  <c r="M739" i="3"/>
  <c r="W731" i="3"/>
  <c r="AB731" i="3" s="1"/>
  <c r="W758" i="3"/>
  <c r="Z758" i="3" s="1"/>
  <c r="AA758" i="3" s="1"/>
  <c r="M783" i="3"/>
  <c r="Z784" i="3"/>
  <c r="AA784" i="3" s="1"/>
  <c r="W781" i="3"/>
  <c r="Z781" i="3" s="1"/>
  <c r="AA781" i="3" s="1"/>
  <c r="Z779" i="3"/>
  <c r="AA779" i="3" s="1"/>
  <c r="AA780" i="3"/>
  <c r="AB285" i="3" l="1"/>
  <c r="AB598" i="3"/>
  <c r="J87" i="7"/>
  <c r="Q87" i="7" s="1"/>
  <c r="AC443" i="3"/>
  <c r="Y114" i="3"/>
  <c r="O114" i="3"/>
  <c r="AC515" i="3"/>
  <c r="O285" i="3"/>
  <c r="N287" i="3"/>
  <c r="O287" i="3" s="1"/>
  <c r="D2" i="7"/>
  <c r="C2" i="10"/>
  <c r="S5" i="10"/>
  <c r="U5" i="10"/>
  <c r="Q74" i="7"/>
  <c r="C2" i="7"/>
  <c r="T5" i="10"/>
  <c r="E73" i="20"/>
  <c r="C7" i="20"/>
  <c r="E7" i="20" s="1"/>
  <c r="R74" i="7"/>
  <c r="AC611" i="3"/>
  <c r="AC464" i="3"/>
  <c r="AC491" i="3"/>
  <c r="O708" i="3"/>
  <c r="AC708" i="3" s="1"/>
  <c r="AC498" i="3"/>
  <c r="N751" i="3"/>
  <c r="O751" i="3" s="1"/>
  <c r="AC751" i="3" s="1"/>
  <c r="O722" i="3"/>
  <c r="N735" i="3"/>
  <c r="O735" i="3" s="1"/>
  <c r="AC566" i="3"/>
  <c r="AC286" i="3"/>
  <c r="AC501" i="3"/>
  <c r="AC547" i="3"/>
  <c r="AB709" i="3"/>
  <c r="AC750" i="3"/>
  <c r="AC507" i="3"/>
  <c r="AC544" i="3"/>
  <c r="AC504" i="3"/>
  <c r="N698" i="3"/>
  <c r="O698" i="3" s="1"/>
  <c r="AC523" i="3"/>
  <c r="N739" i="3"/>
  <c r="O739" i="3" s="1"/>
  <c r="K67" i="7"/>
  <c r="R67" i="7" s="1"/>
  <c r="AC541" i="3"/>
  <c r="AC351" i="3"/>
  <c r="AC534" i="3"/>
  <c r="AC634" i="3"/>
  <c r="AC276" i="3"/>
  <c r="AC643" i="3"/>
  <c r="AC526" i="3"/>
  <c r="AC701" i="3"/>
  <c r="AC577" i="3"/>
  <c r="AC545" i="3"/>
  <c r="O618" i="3"/>
  <c r="AC618" i="3" s="1"/>
  <c r="N702" i="3"/>
  <c r="O702" i="3" s="1"/>
  <c r="Z136" i="3"/>
  <c r="AA136" i="3" s="1"/>
  <c r="AC136" i="3" s="1"/>
  <c r="AC519" i="3"/>
  <c r="AC612" i="3"/>
  <c r="Z191" i="3"/>
  <c r="AA191" i="3" s="1"/>
  <c r="AC191" i="3" s="1"/>
  <c r="N629" i="3"/>
  <c r="N640" i="3" s="1"/>
  <c r="O640" i="3" s="1"/>
  <c r="AC593" i="3"/>
  <c r="AC446" i="3"/>
  <c r="AB713" i="3"/>
  <c r="AC538" i="3"/>
  <c r="O627" i="3"/>
  <c r="N596" i="3"/>
  <c r="O596" i="3" s="1"/>
  <c r="AB758" i="3"/>
  <c r="AC576" i="3"/>
  <c r="J43" i="7"/>
  <c r="Q43" i="7" s="1"/>
  <c r="N726" i="3"/>
  <c r="O726" i="3" s="1"/>
  <c r="AB522" i="3"/>
  <c r="AB643" i="3"/>
  <c r="AC647" i="3"/>
  <c r="AC338" i="3"/>
  <c r="AC609" i="3"/>
  <c r="AC454" i="3"/>
  <c r="AC671" i="3"/>
  <c r="AB612" i="3"/>
  <c r="AB374" i="3"/>
  <c r="N623" i="3"/>
  <c r="O623" i="3" s="1"/>
  <c r="AC623" i="3" s="1"/>
  <c r="AC564" i="3"/>
  <c r="AB491" i="3"/>
  <c r="AB581" i="3"/>
  <c r="AB717" i="3"/>
  <c r="AB751" i="3"/>
  <c r="AB720" i="3"/>
  <c r="AC784" i="3"/>
  <c r="AB567" i="3"/>
  <c r="AB767" i="3"/>
  <c r="N461" i="3"/>
  <c r="O461" i="3" s="1"/>
  <c r="AB771" i="3"/>
  <c r="M681" i="3"/>
  <c r="N487" i="3"/>
  <c r="O487" i="3" s="1"/>
  <c r="Z51" i="3"/>
  <c r="AA51" i="3" s="1"/>
  <c r="AC51" i="3" s="1"/>
  <c r="AB51" i="3"/>
  <c r="W430" i="3"/>
  <c r="AB430" i="3" s="1"/>
  <c r="AB429" i="3"/>
  <c r="Z363" i="3"/>
  <c r="AA363" i="3" s="1"/>
  <c r="AB363" i="3"/>
  <c r="Z198" i="3"/>
  <c r="AA198" i="3" s="1"/>
  <c r="AC198" i="3" s="1"/>
  <c r="AB198" i="3"/>
  <c r="Z166" i="3"/>
  <c r="AA166" i="3" s="1"/>
  <c r="AC166" i="3" s="1"/>
  <c r="AB166" i="3"/>
  <c r="Z50" i="3"/>
  <c r="AA50" i="3" s="1"/>
  <c r="AC50" i="3" s="1"/>
  <c r="AB50" i="3"/>
  <c r="Z98" i="3"/>
  <c r="AA98" i="3" s="1"/>
  <c r="AC98" i="3" s="1"/>
  <c r="AB98" i="3"/>
  <c r="Z632" i="3"/>
  <c r="AA632" i="3" s="1"/>
  <c r="AC632" i="3" s="1"/>
  <c r="AB632" i="3"/>
  <c r="Z297" i="3"/>
  <c r="AA297" i="3" s="1"/>
  <c r="AB297" i="3"/>
  <c r="Z354" i="3"/>
  <c r="AA354" i="3" s="1"/>
  <c r="AB354" i="3"/>
  <c r="AB426" i="3"/>
  <c r="AB634" i="3"/>
  <c r="AB777" i="3"/>
  <c r="AB725" i="3"/>
  <c r="AB694" i="3"/>
  <c r="Z142" i="3"/>
  <c r="AA142" i="3" s="1"/>
  <c r="AC142" i="3" s="1"/>
  <c r="AB142" i="3"/>
  <c r="Z480" i="3"/>
  <c r="AA480" i="3" s="1"/>
  <c r="AC480" i="3" s="1"/>
  <c r="AB480" i="3"/>
  <c r="Z482" i="3"/>
  <c r="AA482" i="3" s="1"/>
  <c r="AC482" i="3" s="1"/>
  <c r="AB482" i="3"/>
  <c r="Z324" i="3"/>
  <c r="AA324" i="3" s="1"/>
  <c r="AB324" i="3"/>
  <c r="Z68" i="3"/>
  <c r="AA68" i="3" s="1"/>
  <c r="AC68" i="3" s="1"/>
  <c r="AB68" i="3"/>
  <c r="AB446" i="3"/>
  <c r="AB286" i="3"/>
  <c r="AB314" i="3"/>
  <c r="AB545" i="3"/>
  <c r="AB611" i="3"/>
  <c r="AB547" i="3"/>
  <c r="AB609" i="3"/>
  <c r="AB504" i="3"/>
  <c r="M761" i="3"/>
  <c r="AB761" i="3" s="1"/>
  <c r="AB760" i="3"/>
  <c r="N424" i="3"/>
  <c r="O424" i="3" s="1"/>
  <c r="AB424" i="3"/>
  <c r="Z369" i="3"/>
  <c r="AA369" i="3" s="1"/>
  <c r="AB369" i="3"/>
  <c r="Z360" i="3"/>
  <c r="AA360" i="3" s="1"/>
  <c r="AB360" i="3"/>
  <c r="Z392" i="3"/>
  <c r="AA392" i="3" s="1"/>
  <c r="AC392" i="3" s="1"/>
  <c r="AB392" i="3"/>
  <c r="Z177" i="3"/>
  <c r="AA177" i="3" s="1"/>
  <c r="AC177" i="3" s="1"/>
  <c r="AB177" i="3"/>
  <c r="Z171" i="3"/>
  <c r="AA171" i="3" s="1"/>
  <c r="AC171" i="3" s="1"/>
  <c r="AB171" i="3"/>
  <c r="M623" i="3"/>
  <c r="AB623" i="3" s="1"/>
  <c r="AB619" i="3"/>
  <c r="Z24" i="3"/>
  <c r="AA24" i="3" s="1"/>
  <c r="AC24" i="3" s="1"/>
  <c r="AB24" i="3"/>
  <c r="Z568" i="3"/>
  <c r="AA568" i="3" s="1"/>
  <c r="AC568" i="3" s="1"/>
  <c r="AB568" i="3"/>
  <c r="Z218" i="3"/>
  <c r="AA218" i="3" s="1"/>
  <c r="AC218" i="3" s="1"/>
  <c r="AB218" i="3"/>
  <c r="N249" i="3"/>
  <c r="AB249" i="3"/>
  <c r="AB519" i="3"/>
  <c r="AB541" i="3"/>
  <c r="AB745" i="3"/>
  <c r="AB338" i="3"/>
  <c r="AB748" i="3"/>
  <c r="Z145" i="3"/>
  <c r="AA145" i="3" s="1"/>
  <c r="AC145" i="3" s="1"/>
  <c r="AB145" i="3"/>
  <c r="Z167" i="3"/>
  <c r="AA167" i="3" s="1"/>
  <c r="AC167" i="3" s="1"/>
  <c r="AB167" i="3"/>
  <c r="Z355" i="3"/>
  <c r="AA355" i="3" s="1"/>
  <c r="AB355" i="3"/>
  <c r="M785" i="3"/>
  <c r="AB785" i="3" s="1"/>
  <c r="AB783" i="3"/>
  <c r="N713" i="3"/>
  <c r="O713" i="3" s="1"/>
  <c r="AC713" i="3" s="1"/>
  <c r="K13" i="10"/>
  <c r="S13" i="10" s="1"/>
  <c r="AB154" i="3"/>
  <c r="N302" i="3"/>
  <c r="O302" i="3" s="1"/>
  <c r="AC302" i="3" s="1"/>
  <c r="AB302" i="3"/>
  <c r="N499" i="3"/>
  <c r="O499" i="3" s="1"/>
  <c r="Z115" i="3"/>
  <c r="AA115" i="3" s="1"/>
  <c r="AC115" i="3" s="1"/>
  <c r="AB115" i="3"/>
  <c r="Z318" i="3"/>
  <c r="AA318" i="3" s="1"/>
  <c r="AB318" i="3"/>
  <c r="Z37" i="3"/>
  <c r="AA37" i="3" s="1"/>
  <c r="AC37" i="3" s="1"/>
  <c r="AB37" i="3"/>
  <c r="Z330" i="3"/>
  <c r="AA330" i="3" s="1"/>
  <c r="AB330" i="3"/>
  <c r="Z201" i="3"/>
  <c r="AA201" i="3" s="1"/>
  <c r="AC201" i="3" s="1"/>
  <c r="AB201" i="3"/>
  <c r="Z160" i="3"/>
  <c r="AA160" i="3" s="1"/>
  <c r="AC160" i="3" s="1"/>
  <c r="AB160" i="3"/>
  <c r="N391" i="3"/>
  <c r="O391" i="3" s="1"/>
  <c r="Z124" i="3"/>
  <c r="AA124" i="3" s="1"/>
  <c r="AC124" i="3" s="1"/>
  <c r="AB124" i="3"/>
  <c r="Z100" i="3"/>
  <c r="AA100" i="3" s="1"/>
  <c r="AC100" i="3" s="1"/>
  <c r="AB100" i="3"/>
  <c r="N252" i="3"/>
  <c r="AB252" i="3"/>
  <c r="AB299" i="3"/>
  <c r="AB464" i="3"/>
  <c r="M417" i="3"/>
  <c r="AB534" i="3"/>
  <c r="AB577" i="3"/>
  <c r="AB538" i="3"/>
  <c r="AB454" i="3"/>
  <c r="AB576" i="3"/>
  <c r="AB507" i="3"/>
  <c r="AB311" i="3"/>
  <c r="AB523" i="3"/>
  <c r="Z587" i="3"/>
  <c r="AA587" i="3" s="1"/>
  <c r="AC587" i="3" s="1"/>
  <c r="AB587" i="3"/>
  <c r="Z56" i="3"/>
  <c r="AA56" i="3" s="1"/>
  <c r="AC56" i="3" s="1"/>
  <c r="AB56" i="3"/>
  <c r="Z141" i="3"/>
  <c r="AA141" i="3" s="1"/>
  <c r="AC141" i="3" s="1"/>
  <c r="AB141" i="3"/>
  <c r="Z112" i="3"/>
  <c r="AA112" i="3" s="1"/>
  <c r="AC112" i="3" s="1"/>
  <c r="AB112" i="3"/>
  <c r="Z55" i="3"/>
  <c r="AA55" i="3" s="1"/>
  <c r="AC55" i="3" s="1"/>
  <c r="AB55" i="3"/>
  <c r="Z272" i="3"/>
  <c r="AA272" i="3" s="1"/>
  <c r="AC272" i="3" s="1"/>
  <c r="AB272" i="3"/>
  <c r="Z358" i="3"/>
  <c r="AA358" i="3" s="1"/>
  <c r="AB358" i="3"/>
  <c r="Z96" i="3"/>
  <c r="AA96" i="3" s="1"/>
  <c r="AC96" i="3" s="1"/>
  <c r="AB96" i="3"/>
  <c r="Z132" i="3"/>
  <c r="AA132" i="3" s="1"/>
  <c r="AC132" i="3" s="1"/>
  <c r="AB132" i="3"/>
  <c r="Z383" i="3"/>
  <c r="Z384" i="3" s="1"/>
  <c r="AB383" i="3"/>
  <c r="Z169" i="3"/>
  <c r="AA169" i="3" s="1"/>
  <c r="AC169" i="3" s="1"/>
  <c r="AB169" i="3"/>
  <c r="N447" i="3"/>
  <c r="O447" i="3" s="1"/>
  <c r="Z371" i="3"/>
  <c r="AA371" i="3" s="1"/>
  <c r="AB371" i="3"/>
  <c r="Z584" i="3"/>
  <c r="AA584" i="3" s="1"/>
  <c r="AC584" i="3" s="1"/>
  <c r="AB584" i="3"/>
  <c r="Z187" i="3"/>
  <c r="AA187" i="3" s="1"/>
  <c r="AC187" i="3" s="1"/>
  <c r="AB187" i="3"/>
  <c r="Z678" i="3"/>
  <c r="AA678" i="3" s="1"/>
  <c r="AC678" i="3" s="1"/>
  <c r="AB678" i="3"/>
  <c r="N706" i="3"/>
  <c r="O706" i="3" s="1"/>
  <c r="AC706" i="3" s="1"/>
  <c r="Z631" i="3"/>
  <c r="AA631" i="3" s="1"/>
  <c r="AC631" i="3" s="1"/>
  <c r="AB631" i="3"/>
  <c r="AB536" i="3"/>
  <c r="Z315" i="3"/>
  <c r="AA315" i="3" s="1"/>
  <c r="AB315" i="3"/>
  <c r="Z412" i="3"/>
  <c r="AA412" i="3" s="1"/>
  <c r="AC412" i="3" s="1"/>
  <c r="AB412" i="3"/>
  <c r="Z633" i="3"/>
  <c r="AA633" i="3" s="1"/>
  <c r="AC633" i="3" s="1"/>
  <c r="AB633" i="3"/>
  <c r="AC543" i="3"/>
  <c r="Z103" i="3"/>
  <c r="AA103" i="3" s="1"/>
  <c r="AC103" i="3" s="1"/>
  <c r="AB103" i="3"/>
  <c r="M616" i="3"/>
  <c r="Z344" i="3"/>
  <c r="AA344" i="3" s="1"/>
  <c r="AB344" i="3"/>
  <c r="AB755" i="3"/>
  <c r="Z361" i="3"/>
  <c r="AA361" i="3" s="1"/>
  <c r="AB361" i="3"/>
  <c r="Z583" i="3"/>
  <c r="AA583" i="3" s="1"/>
  <c r="AB583" i="3"/>
  <c r="AB406" i="3"/>
  <c r="Z36" i="3"/>
  <c r="AA36" i="3" s="1"/>
  <c r="AC36" i="3" s="1"/>
  <c r="AB36" i="3"/>
  <c r="Z290" i="3"/>
  <c r="AA290" i="3" s="1"/>
  <c r="AB290" i="3"/>
  <c r="Z70" i="3"/>
  <c r="AA70" i="3" s="1"/>
  <c r="AC70" i="3" s="1"/>
  <c r="AB70" i="3"/>
  <c r="Z46" i="3"/>
  <c r="AA46" i="3" s="1"/>
  <c r="AC46" i="3" s="1"/>
  <c r="AB46" i="3"/>
  <c r="Z270" i="3"/>
  <c r="AA270" i="3" s="1"/>
  <c r="AC270" i="3" s="1"/>
  <c r="AB270" i="3"/>
  <c r="Z139" i="3"/>
  <c r="AA139" i="3" s="1"/>
  <c r="AC139" i="3" s="1"/>
  <c r="AB139" i="3"/>
  <c r="Z217" i="3"/>
  <c r="AA217" i="3" s="1"/>
  <c r="AC217" i="3" s="1"/>
  <c r="AB217" i="3"/>
  <c r="N63" i="3"/>
  <c r="O63" i="3" s="1"/>
  <c r="AC63" i="3" s="1"/>
  <c r="AB63" i="3"/>
  <c r="AB443" i="3"/>
  <c r="AB289" i="3"/>
  <c r="AB647" i="3"/>
  <c r="AB544" i="3"/>
  <c r="N668" i="3"/>
  <c r="O668" i="3" s="1"/>
  <c r="N578" i="3"/>
  <c r="O578" i="3" s="1"/>
  <c r="Z437" i="3"/>
  <c r="AA437" i="3" s="1"/>
  <c r="AC437" i="3" s="1"/>
  <c r="AB437" i="3"/>
  <c r="Z485" i="3"/>
  <c r="AA485" i="3" s="1"/>
  <c r="AC485" i="3" s="1"/>
  <c r="AB485" i="3"/>
  <c r="Z229" i="3"/>
  <c r="AA229" i="3" s="1"/>
  <c r="AC229" i="3" s="1"/>
  <c r="AB229" i="3"/>
  <c r="Z195" i="3"/>
  <c r="AA195" i="3" s="1"/>
  <c r="AC195" i="3" s="1"/>
  <c r="AB195" i="3"/>
  <c r="Z208" i="3"/>
  <c r="AA208" i="3" s="1"/>
  <c r="AC208" i="3" s="1"/>
  <c r="AB208" i="3"/>
  <c r="Z389" i="3"/>
  <c r="AA389" i="3" s="1"/>
  <c r="AC389" i="3" s="1"/>
  <c r="AB389" i="3"/>
  <c r="N560" i="3"/>
  <c r="O560" i="3" s="1"/>
  <c r="N662" i="3"/>
  <c r="O662" i="3" s="1"/>
  <c r="Z588" i="3"/>
  <c r="AA588" i="3" s="1"/>
  <c r="AC588" i="3" s="1"/>
  <c r="AB588" i="3"/>
  <c r="N520" i="3"/>
  <c r="O520" i="3" s="1"/>
  <c r="Z362" i="3"/>
  <c r="AA362" i="3" s="1"/>
  <c r="AB362" i="3"/>
  <c r="Z194" i="3"/>
  <c r="AA194" i="3" s="1"/>
  <c r="AC194" i="3" s="1"/>
  <c r="AB194" i="3"/>
  <c r="Z347" i="3"/>
  <c r="AA347" i="3" s="1"/>
  <c r="AB347" i="3"/>
  <c r="AB706" i="3"/>
  <c r="Z342" i="3"/>
  <c r="AA342" i="3" s="1"/>
  <c r="AB342" i="3"/>
  <c r="Z231" i="3"/>
  <c r="AA231" i="3" s="1"/>
  <c r="AC231" i="3" s="1"/>
  <c r="AB231" i="3"/>
  <c r="Z76" i="3"/>
  <c r="AA76" i="3" s="1"/>
  <c r="AC76" i="3" s="1"/>
  <c r="AB76" i="3"/>
  <c r="Z413" i="3"/>
  <c r="AA413" i="3" s="1"/>
  <c r="AC413" i="3" s="1"/>
  <c r="AB413" i="3"/>
  <c r="Z283" i="3"/>
  <c r="AA283" i="3" s="1"/>
  <c r="AB283" i="3"/>
  <c r="N278" i="3"/>
  <c r="O278" i="3" s="1"/>
  <c r="AC278" i="3" s="1"/>
  <c r="AB278" i="3"/>
  <c r="Z168" i="3"/>
  <c r="AA168" i="3" s="1"/>
  <c r="AC168" i="3" s="1"/>
  <c r="AB168" i="3"/>
  <c r="M405" i="3"/>
  <c r="Z470" i="3"/>
  <c r="AB470" i="3"/>
  <c r="Z202" i="3"/>
  <c r="AA202" i="3" s="1"/>
  <c r="AC202" i="3" s="1"/>
  <c r="AB202" i="3"/>
  <c r="Z256" i="3"/>
  <c r="AA256" i="3" s="1"/>
  <c r="AC256" i="3" s="1"/>
  <c r="AB256" i="3"/>
  <c r="N64" i="3"/>
  <c r="O64" i="3" s="1"/>
  <c r="AC64" i="3" s="1"/>
  <c r="AB64" i="3"/>
  <c r="AC317" i="3"/>
  <c r="AB701" i="3"/>
  <c r="AB510" i="3"/>
  <c r="AB494" i="3"/>
  <c r="AB580" i="3"/>
  <c r="AB526" i="3"/>
  <c r="AB498" i="3"/>
  <c r="Z402" i="3"/>
  <c r="AA402" i="3" s="1"/>
  <c r="AC402" i="3" s="1"/>
  <c r="AB402" i="3"/>
  <c r="N307" i="3"/>
  <c r="O307" i="3" s="1"/>
  <c r="AC307" i="3" s="1"/>
  <c r="AB307" i="3"/>
  <c r="Z415" i="3"/>
  <c r="AA415" i="3" s="1"/>
  <c r="AC415" i="3" s="1"/>
  <c r="AB415" i="3"/>
  <c r="Z341" i="3"/>
  <c r="AA341" i="3" s="1"/>
  <c r="AB341" i="3"/>
  <c r="Z203" i="3"/>
  <c r="AA203" i="3" s="1"/>
  <c r="AC203" i="3" s="1"/>
  <c r="AB203" i="3"/>
  <c r="Z365" i="3"/>
  <c r="AA365" i="3" s="1"/>
  <c r="AB365" i="3"/>
  <c r="M640" i="3"/>
  <c r="Z54" i="3"/>
  <c r="AA54" i="3" s="1"/>
  <c r="AC54" i="3" s="1"/>
  <c r="AB54" i="3"/>
  <c r="Z205" i="3"/>
  <c r="AA205" i="3" s="1"/>
  <c r="AC205" i="3" s="1"/>
  <c r="AB205" i="3"/>
  <c r="J4" i="7"/>
  <c r="M559" i="3"/>
  <c r="N559" i="3" s="1"/>
  <c r="O559" i="3" s="1"/>
  <c r="N780" i="3"/>
  <c r="O780" i="3" s="1"/>
  <c r="AC780" i="3" s="1"/>
  <c r="AB780" i="3"/>
  <c r="M658" i="3"/>
  <c r="Z590" i="3"/>
  <c r="AA590" i="3" s="1"/>
  <c r="AC590" i="3" s="1"/>
  <c r="AB590" i="3"/>
  <c r="N296" i="3"/>
  <c r="O296" i="3" s="1"/>
  <c r="AB296" i="3"/>
  <c r="Z129" i="3"/>
  <c r="AA129" i="3" s="1"/>
  <c r="AC129" i="3" s="1"/>
  <c r="AB129" i="3"/>
  <c r="Z304" i="3"/>
  <c r="AA304" i="3" s="1"/>
  <c r="AB304" i="3"/>
  <c r="Z170" i="3"/>
  <c r="AA170" i="3" s="1"/>
  <c r="AC170" i="3" s="1"/>
  <c r="AB170" i="3"/>
  <c r="Z483" i="3"/>
  <c r="AA483" i="3" s="1"/>
  <c r="AC483" i="3" s="1"/>
  <c r="AB483" i="3"/>
  <c r="Z190" i="3"/>
  <c r="AA190" i="3" s="1"/>
  <c r="AC190" i="3" s="1"/>
  <c r="AB190" i="3"/>
  <c r="AB685" i="3"/>
  <c r="N17" i="3"/>
  <c r="O17" i="3" s="1"/>
  <c r="AC17" i="3" s="1"/>
  <c r="AB17" i="3"/>
  <c r="AC292" i="3"/>
  <c r="AB543" i="3"/>
  <c r="AB303" i="3"/>
  <c r="AB688" i="3"/>
  <c r="AB764" i="3"/>
  <c r="Z679" i="3"/>
  <c r="AA679" i="3" s="1"/>
  <c r="AC679" i="3" s="1"/>
  <c r="M15" i="10"/>
  <c r="U15" i="10" s="1"/>
  <c r="K21" i="10"/>
  <c r="S21" i="10" s="1"/>
  <c r="K11" i="10"/>
  <c r="S11" i="10" s="1"/>
  <c r="Z40" i="3"/>
  <c r="AA40" i="3" s="1"/>
  <c r="AC40" i="3" s="1"/>
  <c r="K17" i="10"/>
  <c r="S17" i="10" s="1"/>
  <c r="Z12" i="3"/>
  <c r="AA12" i="3" s="1"/>
  <c r="AC12" i="3" s="1"/>
  <c r="K10" i="10"/>
  <c r="S10" i="10" s="1"/>
  <c r="Z10" i="3"/>
  <c r="AA10" i="3" s="1"/>
  <c r="AC10" i="3" s="1"/>
  <c r="K23" i="10"/>
  <c r="S23" i="10" s="1"/>
  <c r="AC711" i="3"/>
  <c r="J44" i="7"/>
  <c r="Q44" i="7" s="1"/>
  <c r="L22" i="10"/>
  <c r="T22" i="10" s="1"/>
  <c r="Z684" i="3"/>
  <c r="AA684" i="3" s="1"/>
  <c r="AC684" i="3" s="1"/>
  <c r="M20" i="10"/>
  <c r="U20" i="10" s="1"/>
  <c r="Z322" i="3"/>
  <c r="AA322" i="3" s="1"/>
  <c r="L10" i="10"/>
  <c r="T10" i="10" s="1"/>
  <c r="W665" i="3"/>
  <c r="M18" i="10"/>
  <c r="U18" i="10" s="1"/>
  <c r="M21" i="10"/>
  <c r="U21" i="10" s="1"/>
  <c r="L18" i="10"/>
  <c r="T18" i="10" s="1"/>
  <c r="Z656" i="3"/>
  <c r="AA656" i="3" s="1"/>
  <c r="AC656" i="3" s="1"/>
  <c r="M23" i="10"/>
  <c r="U23" i="10" s="1"/>
  <c r="Z657" i="3"/>
  <c r="AA657" i="3" s="1"/>
  <c r="AC657" i="3" s="1"/>
  <c r="M17" i="10"/>
  <c r="U17" i="10" s="1"/>
  <c r="Z267" i="3"/>
  <c r="AA267" i="3" s="1"/>
  <c r="AC267" i="3" s="1"/>
  <c r="L21" i="10"/>
  <c r="T21" i="10" s="1"/>
  <c r="L23" i="10"/>
  <c r="T23" i="10" s="1"/>
  <c r="Z677" i="3"/>
  <c r="AA677" i="3" s="1"/>
  <c r="AC677" i="3" s="1"/>
  <c r="M10" i="10"/>
  <c r="U10" i="10" s="1"/>
  <c r="Z261" i="3"/>
  <c r="AA261" i="3" s="1"/>
  <c r="AC261" i="3" s="1"/>
  <c r="L17" i="10"/>
  <c r="T17" i="10" s="1"/>
  <c r="Z434" i="3"/>
  <c r="AA434" i="3" s="1"/>
  <c r="AC434" i="3" s="1"/>
  <c r="L24" i="10"/>
  <c r="T24" i="10" s="1"/>
  <c r="J9" i="7"/>
  <c r="Q9" i="7" s="1"/>
  <c r="Z473" i="3"/>
  <c r="AA473" i="3" s="1"/>
  <c r="AC473" i="3" s="1"/>
  <c r="J18" i="7"/>
  <c r="Q18" i="7" s="1"/>
  <c r="J24" i="7"/>
  <c r="Q24" i="7" s="1"/>
  <c r="J83" i="7"/>
  <c r="Q83" i="7" s="1"/>
  <c r="J28" i="7"/>
  <c r="Q28" i="7" s="1"/>
  <c r="J46" i="7"/>
  <c r="Q46" i="7" s="1"/>
  <c r="K36" i="7"/>
  <c r="R36" i="7" s="1"/>
  <c r="J55" i="7"/>
  <c r="Q55" i="7" s="1"/>
  <c r="J25" i="7"/>
  <c r="Q25" i="7" s="1"/>
  <c r="J30" i="7"/>
  <c r="Q30" i="7" s="1"/>
  <c r="J68" i="7"/>
  <c r="Q68" i="7" s="1"/>
  <c r="J89" i="7"/>
  <c r="Q89" i="7" s="1"/>
  <c r="J59" i="7"/>
  <c r="Q59" i="7" s="1"/>
  <c r="K78" i="7"/>
  <c r="R78" i="7" s="1"/>
  <c r="K25" i="7"/>
  <c r="R25" i="7" s="1"/>
  <c r="K65" i="7"/>
  <c r="R65" i="7" s="1"/>
  <c r="K89" i="7"/>
  <c r="R89" i="7" s="1"/>
  <c r="K84" i="7"/>
  <c r="R84" i="7" s="1"/>
  <c r="J48" i="7"/>
  <c r="Q48" i="7" s="1"/>
  <c r="J93" i="7"/>
  <c r="Q93" i="7" s="1"/>
  <c r="J69" i="7"/>
  <c r="Q69" i="7" s="1"/>
  <c r="K68" i="7"/>
  <c r="R68" i="7" s="1"/>
  <c r="J42" i="7"/>
  <c r="Q42" i="7" s="1"/>
  <c r="J26" i="7"/>
  <c r="Q26" i="7" s="1"/>
  <c r="K26" i="7"/>
  <c r="R26" i="7" s="1"/>
  <c r="K46" i="7"/>
  <c r="R46" i="7" s="1"/>
  <c r="J79" i="7"/>
  <c r="Q79" i="7" s="1"/>
  <c r="AC282" i="3"/>
  <c r="Z725" i="3"/>
  <c r="AA725" i="3" s="1"/>
  <c r="AC725" i="3" s="1"/>
  <c r="W695" i="3"/>
  <c r="Z695" i="3" s="1"/>
  <c r="AA695" i="3" s="1"/>
  <c r="Z700" i="3"/>
  <c r="AA700" i="3" s="1"/>
  <c r="Z299" i="3"/>
  <c r="AA299" i="3" s="1"/>
  <c r="AC299" i="3" s="1"/>
  <c r="Z296" i="3"/>
  <c r="AA296" i="3" s="1"/>
  <c r="Z737" i="3"/>
  <c r="AA737" i="3" s="1"/>
  <c r="AC737" i="3" s="1"/>
  <c r="Z289" i="3"/>
  <c r="AA289" i="3" s="1"/>
  <c r="AC289" i="3" s="1"/>
  <c r="Z642" i="3"/>
  <c r="AA642" i="3" s="1"/>
  <c r="AC642" i="3" s="1"/>
  <c r="Z506" i="3"/>
  <c r="AA506" i="3" s="1"/>
  <c r="AC506" i="3" s="1"/>
  <c r="Z248" i="3"/>
  <c r="AA248" i="3" s="1"/>
  <c r="AC248" i="3" s="1"/>
  <c r="Z314" i="3"/>
  <c r="AA314" i="3" s="1"/>
  <c r="AC314" i="3" s="1"/>
  <c r="Z285" i="3"/>
  <c r="AA285" i="3" s="1"/>
  <c r="Z598" i="3"/>
  <c r="AA598" i="3" s="1"/>
  <c r="AC598" i="3" s="1"/>
  <c r="Z510" i="3"/>
  <c r="AA510" i="3" s="1"/>
  <c r="AC510" i="3" s="1"/>
  <c r="Z722" i="3"/>
  <c r="AA722" i="3" s="1"/>
  <c r="Z445" i="3"/>
  <c r="AA445" i="3" s="1"/>
  <c r="AC445" i="3" s="1"/>
  <c r="Z255" i="3"/>
  <c r="AA255" i="3" s="1"/>
  <c r="AC255" i="3" s="1"/>
  <c r="Z337" i="3"/>
  <c r="AA337" i="3" s="1"/>
  <c r="AC337" i="3" s="1"/>
  <c r="Z306" i="3"/>
  <c r="AA306" i="3" s="1"/>
  <c r="AC306" i="3" s="1"/>
  <c r="Z667" i="3"/>
  <c r="AA667" i="3" s="1"/>
  <c r="AC667" i="3" s="1"/>
  <c r="W726" i="3"/>
  <c r="Z726" i="3" s="1"/>
  <c r="AA726" i="3" s="1"/>
  <c r="AC311" i="3"/>
  <c r="W312" i="3"/>
  <c r="X96" i="3"/>
  <c r="X406" i="3"/>
  <c r="X30" i="3"/>
  <c r="W449" i="3"/>
  <c r="AB449" i="3" s="1"/>
  <c r="X271" i="3"/>
  <c r="Z661" i="3"/>
  <c r="Z660" i="3"/>
  <c r="W508" i="3"/>
  <c r="O741" i="3"/>
  <c r="W601" i="3"/>
  <c r="W604" i="3" s="1"/>
  <c r="Z604" i="3" s="1"/>
  <c r="AA604" i="3" s="1"/>
  <c r="X159" i="3"/>
  <c r="X256" i="3"/>
  <c r="W221" i="3"/>
  <c r="W226" i="3"/>
  <c r="AB226" i="3" s="1"/>
  <c r="M395" i="3"/>
  <c r="W225" i="3"/>
  <c r="X221" i="3"/>
  <c r="X546" i="3"/>
  <c r="X181" i="3"/>
  <c r="W384" i="3"/>
  <c r="AB384" i="3" s="1"/>
  <c r="X484" i="3"/>
  <c r="W212" i="3"/>
  <c r="AB212" i="3" s="1"/>
  <c r="W114" i="3"/>
  <c r="N406" i="3"/>
  <c r="O406" i="3" s="1"/>
  <c r="AC406" i="3" s="1"/>
  <c r="X182" i="3"/>
  <c r="W511" i="3"/>
  <c r="W471" i="3"/>
  <c r="S273" i="3"/>
  <c r="X273" i="3" s="1"/>
  <c r="Y395" i="3"/>
  <c r="AC719" i="3"/>
  <c r="N720" i="3"/>
  <c r="O720" i="3" s="1"/>
  <c r="AC720" i="3" s="1"/>
  <c r="W723" i="3"/>
  <c r="Z723" i="3" s="1"/>
  <c r="AA723" i="3" s="1"/>
  <c r="AC723" i="3" s="1"/>
  <c r="X106" i="3"/>
  <c r="X26" i="3"/>
  <c r="W668" i="3"/>
  <c r="Z668" i="3" s="1"/>
  <c r="AA668" i="3" s="1"/>
  <c r="X418" i="3"/>
  <c r="W75" i="3"/>
  <c r="X331" i="3"/>
  <c r="Z580" i="3"/>
  <c r="AA580" i="3" s="1"/>
  <c r="AC580" i="3" s="1"/>
  <c r="O700" i="3"/>
  <c r="W528" i="3"/>
  <c r="X212" i="3"/>
  <c r="W475" i="3"/>
  <c r="X136" i="3"/>
  <c r="N729" i="3"/>
  <c r="O729" i="3" s="1"/>
  <c r="W447" i="3"/>
  <c r="Z447" i="3" s="1"/>
  <c r="AA447" i="3" s="1"/>
  <c r="AA258" i="3"/>
  <c r="AC258" i="3" s="1"/>
  <c r="N675" i="3"/>
  <c r="N681" i="3" s="1"/>
  <c r="O681" i="3" s="1"/>
  <c r="X120" i="3"/>
  <c r="W300" i="3"/>
  <c r="S29" i="3"/>
  <c r="W29" i="3" s="1"/>
  <c r="AB29" i="3" s="1"/>
  <c r="X20" i="3"/>
  <c r="W271" i="3"/>
  <c r="W610" i="3"/>
  <c r="W616" i="3" s="1"/>
  <c r="Z616" i="3" s="1"/>
  <c r="AA616" i="3" s="1"/>
  <c r="X44" i="3"/>
  <c r="W280" i="3"/>
  <c r="X164" i="3"/>
  <c r="AC265" i="3"/>
  <c r="W436" i="3"/>
  <c r="Z685" i="3"/>
  <c r="AA685" i="3" s="1"/>
  <c r="W144" i="3"/>
  <c r="W102" i="3"/>
  <c r="W339" i="3"/>
  <c r="N271" i="3"/>
  <c r="N273" i="3" s="1"/>
  <c r="O273" i="3" s="1"/>
  <c r="W106" i="3"/>
  <c r="X149" i="3"/>
  <c r="N414" i="3"/>
  <c r="N418" i="3"/>
  <c r="O418" i="3" s="1"/>
  <c r="W331" i="3"/>
  <c r="W349" i="3"/>
  <c r="AC704" i="3"/>
  <c r="W484" i="3"/>
  <c r="Y144" i="3"/>
  <c r="O144" i="3"/>
  <c r="Z694" i="3"/>
  <c r="AA694" i="3" s="1"/>
  <c r="W346" i="3"/>
  <c r="Z429" i="3"/>
  <c r="AA429" i="3" s="1"/>
  <c r="W488" i="3"/>
  <c r="X283" i="3"/>
  <c r="W181" i="3"/>
  <c r="Z320" i="3"/>
  <c r="AA320" i="3" s="1"/>
  <c r="W327" i="3"/>
  <c r="W689" i="3"/>
  <c r="Z689" i="3" s="1"/>
  <c r="AA689" i="3" s="1"/>
  <c r="W14" i="3"/>
  <c r="Z14" i="3" s="1"/>
  <c r="AA14" i="3" s="1"/>
  <c r="AC14" i="3" s="1"/>
  <c r="W182" i="3"/>
  <c r="AB182" i="3" s="1"/>
  <c r="S348" i="3"/>
  <c r="W348" i="3" s="1"/>
  <c r="AC688" i="3"/>
  <c r="S163" i="3"/>
  <c r="X163" i="3" s="1"/>
  <c r="N760" i="3"/>
  <c r="N761" i="3" s="1"/>
  <c r="O761" i="3" s="1"/>
  <c r="AC761" i="3" s="1"/>
  <c r="Z374" i="3"/>
  <c r="AA374" i="3" s="1"/>
  <c r="AC374" i="3" s="1"/>
  <c r="W375" i="3"/>
  <c r="W176" i="3"/>
  <c r="W586" i="3"/>
  <c r="W596" i="3" s="1"/>
  <c r="Z596" i="3" s="1"/>
  <c r="AA596" i="3" s="1"/>
  <c r="AC687" i="3"/>
  <c r="W246" i="3"/>
  <c r="AB246" i="3" s="1"/>
  <c r="X304" i="3"/>
  <c r="Z138" i="3"/>
  <c r="W149" i="3"/>
  <c r="AB149" i="3" s="1"/>
  <c r="W250" i="3"/>
  <c r="X250" i="3"/>
  <c r="X436" i="3"/>
  <c r="X114" i="3"/>
  <c r="S119" i="3"/>
  <c r="AC709" i="3"/>
  <c r="AC606" i="3"/>
  <c r="W403" i="3"/>
  <c r="Z403" i="3" s="1"/>
  <c r="AA403" i="3" s="1"/>
  <c r="X363" i="3"/>
  <c r="S368" i="3"/>
  <c r="W368" i="3" s="1"/>
  <c r="X396" i="3"/>
  <c r="W131" i="3"/>
  <c r="Z460" i="3"/>
  <c r="AA460" i="3" s="1"/>
  <c r="AC460" i="3" s="1"/>
  <c r="W461" i="3"/>
  <c r="Z461" i="3" s="1"/>
  <c r="AA461" i="3" s="1"/>
  <c r="Z653" i="3"/>
  <c r="AA653" i="3" s="1"/>
  <c r="W655" i="3"/>
  <c r="Z655" i="3" s="1"/>
  <c r="AA655" i="3" s="1"/>
  <c r="Z664" i="3"/>
  <c r="AA664" i="3" s="1"/>
  <c r="N610" i="3"/>
  <c r="N616" i="3" s="1"/>
  <c r="O616" i="3" s="1"/>
  <c r="X176" i="3"/>
  <c r="W478" i="3"/>
  <c r="Z477" i="3"/>
  <c r="AA477" i="3" s="1"/>
  <c r="AC477" i="3" s="1"/>
  <c r="W335" i="3"/>
  <c r="Z329" i="3"/>
  <c r="AA329" i="3" s="1"/>
  <c r="N717" i="3"/>
  <c r="O717" i="3" s="1"/>
  <c r="AC717" i="3" s="1"/>
  <c r="O583" i="3"/>
  <c r="W372" i="3"/>
  <c r="AB372" i="3" s="1"/>
  <c r="X187" i="3"/>
  <c r="N732" i="3"/>
  <c r="O732" i="3" s="1"/>
  <c r="O731" i="3"/>
  <c r="N755" i="3"/>
  <c r="O755" i="3" s="1"/>
  <c r="AC755" i="3" s="1"/>
  <c r="O753" i="3"/>
  <c r="AC753" i="3" s="1"/>
  <c r="X260" i="3"/>
  <c r="W260" i="3"/>
  <c r="AB260" i="3" s="1"/>
  <c r="S264" i="3"/>
  <c r="X264" i="3" s="1"/>
  <c r="W164" i="3"/>
  <c r="AB164" i="3" s="1"/>
  <c r="Z151" i="3"/>
  <c r="S135" i="3"/>
  <c r="X131" i="3"/>
  <c r="W662" i="3"/>
  <c r="Z662" i="3" s="1"/>
  <c r="AA662" i="3" s="1"/>
  <c r="M781" i="3"/>
  <c r="AB781" i="3" s="1"/>
  <c r="W742" i="3"/>
  <c r="Z742" i="3" s="1"/>
  <c r="AA742" i="3" s="1"/>
  <c r="AC742" i="3" s="1"/>
  <c r="Z741" i="3"/>
  <c r="AA741" i="3" s="1"/>
  <c r="AC310" i="3"/>
  <c r="AC303" i="3"/>
  <c r="AC581" i="3"/>
  <c r="N442" i="3"/>
  <c r="O442" i="3" s="1"/>
  <c r="X342" i="3"/>
  <c r="Z728" i="3"/>
  <c r="AA728" i="3" s="1"/>
  <c r="AC728" i="3" s="1"/>
  <c r="W729" i="3"/>
  <c r="Z729" i="3" s="1"/>
  <c r="AA729" i="3" s="1"/>
  <c r="S405" i="3"/>
  <c r="X405" i="3" s="1"/>
  <c r="X403" i="3"/>
  <c r="W644" i="3"/>
  <c r="W570" i="3"/>
  <c r="Z570" i="3" s="1"/>
  <c r="AA570" i="3" s="1"/>
  <c r="O744" i="3"/>
  <c r="AC744" i="3" s="1"/>
  <c r="N745" i="3"/>
  <c r="O745" i="3" s="1"/>
  <c r="AC745" i="3" s="1"/>
  <c r="W578" i="3"/>
  <c r="Z578" i="3" s="1"/>
  <c r="AA578" i="3" s="1"/>
  <c r="W574" i="3"/>
  <c r="Z572" i="3"/>
  <c r="AA572" i="3" s="1"/>
  <c r="AC572" i="3" s="1"/>
  <c r="X655" i="3"/>
  <c r="R658" i="3"/>
  <c r="X658" i="3" s="1"/>
  <c r="X14" i="3"/>
  <c r="S19" i="3"/>
  <c r="X19" i="3" s="1"/>
  <c r="W308" i="3"/>
  <c r="X308" i="3"/>
  <c r="W427" i="3"/>
  <c r="AB427" i="3" s="1"/>
  <c r="Z426" i="3"/>
  <c r="O691" i="3"/>
  <c r="N692" i="3"/>
  <c r="O692" i="3" s="1"/>
  <c r="W20" i="3"/>
  <c r="Z20" i="3" s="1"/>
  <c r="AA20" i="3" s="1"/>
  <c r="AC20" i="3" s="1"/>
  <c r="Z6" i="3"/>
  <c r="AA6" i="3" s="1"/>
  <c r="W89" i="3"/>
  <c r="Z85" i="3"/>
  <c r="AA85" i="3" s="1"/>
  <c r="AC85" i="3" s="1"/>
  <c r="O779" i="3"/>
  <c r="AC779" i="3" s="1"/>
  <c r="N783" i="3"/>
  <c r="O694" i="3"/>
  <c r="N695" i="3"/>
  <c r="O695" i="3" s="1"/>
  <c r="W702" i="3"/>
  <c r="Z702" i="3" s="1"/>
  <c r="AA702" i="3" s="1"/>
  <c r="Z542" i="3"/>
  <c r="AA542" i="3" s="1"/>
  <c r="AC542" i="3" s="1"/>
  <c r="W546" i="3"/>
  <c r="AB546" i="3" s="1"/>
  <c r="W560" i="3"/>
  <c r="Z560" i="3" s="1"/>
  <c r="AA560" i="3" s="1"/>
  <c r="Z252" i="3"/>
  <c r="Z154" i="3"/>
  <c r="AA154" i="3" s="1"/>
  <c r="AC154" i="3" s="1"/>
  <c r="W159" i="3"/>
  <c r="N264" i="3"/>
  <c r="O264" i="3" s="1"/>
  <c r="O260" i="3"/>
  <c r="W44" i="3"/>
  <c r="Z35" i="3"/>
  <c r="AA35" i="3" s="1"/>
  <c r="AC35" i="3" s="1"/>
  <c r="W39" i="3"/>
  <c r="X294" i="3"/>
  <c r="W294" i="3"/>
  <c r="W495" i="3"/>
  <c r="Z494" i="3"/>
  <c r="AA494" i="3" s="1"/>
  <c r="AC494" i="3" s="1"/>
  <c r="Z424" i="3"/>
  <c r="AA424" i="3" s="1"/>
  <c r="AA423" i="3"/>
  <c r="AC423" i="3" s="1"/>
  <c r="M535" i="3"/>
  <c r="N533" i="3"/>
  <c r="AC777" i="3"/>
  <c r="N689" i="3"/>
  <c r="O689" i="3" s="1"/>
  <c r="Y658" i="3"/>
  <c r="Z627" i="3"/>
  <c r="AA627" i="3" s="1"/>
  <c r="W629" i="3"/>
  <c r="W640" i="3" s="1"/>
  <c r="Z640" i="3" s="1"/>
  <c r="AA640" i="3" s="1"/>
  <c r="O600" i="3"/>
  <c r="AC600" i="3" s="1"/>
  <c r="N601" i="3"/>
  <c r="N604" i="3" s="1"/>
  <c r="O604" i="3" s="1"/>
  <c r="W458" i="3"/>
  <c r="Z457" i="3"/>
  <c r="AA457" i="3" s="1"/>
  <c r="AC457" i="3" s="1"/>
  <c r="Z408" i="3"/>
  <c r="AA408" i="3" s="1"/>
  <c r="AC408" i="3" s="1"/>
  <c r="W418" i="3"/>
  <c r="Z418" i="3" s="1"/>
  <c r="AA418" i="3" s="1"/>
  <c r="W414" i="3"/>
  <c r="AB414" i="3" s="1"/>
  <c r="W468" i="3"/>
  <c r="Z467" i="3"/>
  <c r="W520" i="3"/>
  <c r="Z520" i="3" s="1"/>
  <c r="AA520" i="3" s="1"/>
  <c r="Z518" i="3"/>
  <c r="AA518" i="3" s="1"/>
  <c r="AC518" i="3" s="1"/>
  <c r="Z332" i="3"/>
  <c r="AA332" i="3" s="1"/>
  <c r="S95" i="3"/>
  <c r="X89" i="3"/>
  <c r="N6" i="3"/>
  <c r="N14" i="3" s="1"/>
  <c r="M14" i="3"/>
  <c r="AA108" i="3"/>
  <c r="AC108" i="3" s="1"/>
  <c r="Z120" i="3"/>
  <c r="AA120" i="3" s="1"/>
  <c r="AC120" i="3" s="1"/>
  <c r="M20" i="3"/>
  <c r="N403" i="3"/>
  <c r="O403" i="3" s="1"/>
  <c r="L405" i="3"/>
  <c r="W66" i="3"/>
  <c r="Z52" i="3"/>
  <c r="AA52" i="3" s="1"/>
  <c r="AC52" i="3" s="1"/>
  <c r="Z674" i="3"/>
  <c r="AA674" i="3" s="1"/>
  <c r="AC674" i="3" s="1"/>
  <c r="W675" i="3"/>
  <c r="W681" i="3" s="1"/>
  <c r="Z681" i="3" s="1"/>
  <c r="AA681" i="3" s="1"/>
  <c r="Z738" i="3"/>
  <c r="AA738" i="3" s="1"/>
  <c r="AC738" i="3" s="1"/>
  <c r="W739" i="3"/>
  <c r="Z739" i="3" s="1"/>
  <c r="AA739" i="3" s="1"/>
  <c r="O530" i="3"/>
  <c r="N536" i="3"/>
  <c r="O536" i="3" s="1"/>
  <c r="AC536" i="3" s="1"/>
  <c r="W533" i="3"/>
  <c r="AB533" i="3" s="1"/>
  <c r="Z530" i="3"/>
  <c r="AA530" i="3" s="1"/>
  <c r="X287" i="3"/>
  <c r="W287" i="3"/>
  <c r="W396" i="3"/>
  <c r="Z386" i="3"/>
  <c r="AA386" i="3" s="1"/>
  <c r="AC386" i="3" s="1"/>
  <c r="W391" i="3"/>
  <c r="Z391" i="3" s="1"/>
  <c r="AA391" i="3" s="1"/>
  <c r="Z249" i="3"/>
  <c r="Y181" i="3"/>
  <c r="N685" i="3"/>
  <c r="O685" i="3" s="1"/>
  <c r="O683" i="3"/>
  <c r="AC683" i="3" s="1"/>
  <c r="W81" i="3"/>
  <c r="Z71" i="3"/>
  <c r="AA71" i="3" s="1"/>
  <c r="AC71" i="3" s="1"/>
  <c r="X144" i="3"/>
  <c r="S148" i="3"/>
  <c r="T698" i="3"/>
  <c r="W697" i="3"/>
  <c r="T692" i="3"/>
  <c r="W691" i="3"/>
  <c r="O653" i="3"/>
  <c r="N655" i="3"/>
  <c r="N658" i="3" s="1"/>
  <c r="O658" i="3" s="1"/>
  <c r="X681" i="3"/>
  <c r="Z650" i="3"/>
  <c r="W651" i="3"/>
  <c r="X533" i="3"/>
  <c r="S535" i="3"/>
  <c r="X535" i="3" s="1"/>
  <c r="Z453" i="3"/>
  <c r="AA453" i="3" s="1"/>
  <c r="AC453" i="3" s="1"/>
  <c r="W455" i="3"/>
  <c r="X75" i="3"/>
  <c r="S80" i="3"/>
  <c r="S105" i="3"/>
  <c r="X102" i="3"/>
  <c r="Z734" i="3"/>
  <c r="AA734" i="3" s="1"/>
  <c r="AC734" i="3" s="1"/>
  <c r="W735" i="3"/>
  <c r="Z735" i="3" s="1"/>
  <c r="AA735" i="3" s="1"/>
  <c r="X391" i="3"/>
  <c r="S395" i="3"/>
  <c r="X253" i="3"/>
  <c r="W253" i="3"/>
  <c r="X207" i="3"/>
  <c r="S211" i="3"/>
  <c r="W207" i="3"/>
  <c r="Z207" i="3" s="1"/>
  <c r="AA207" i="3" s="1"/>
  <c r="W648" i="3"/>
  <c r="Z646" i="3"/>
  <c r="AA646" i="3" s="1"/>
  <c r="AC646" i="3" s="1"/>
  <c r="N567" i="3"/>
  <c r="O567" i="3" s="1"/>
  <c r="AC567" i="3" s="1"/>
  <c r="M570" i="3"/>
  <c r="W450" i="3"/>
  <c r="S451" i="3"/>
  <c r="X451" i="3" s="1"/>
  <c r="X450" i="3"/>
  <c r="Z420" i="3"/>
  <c r="W421" i="3"/>
  <c r="AB421" i="3" s="1"/>
  <c r="W381" i="3"/>
  <c r="AB381" i="3" s="1"/>
  <c r="Z380" i="3"/>
  <c r="W492" i="3"/>
  <c r="Z490" i="3"/>
  <c r="AA490" i="3" s="1"/>
  <c r="AC490" i="3" s="1"/>
  <c r="Z463" i="3"/>
  <c r="AA463" i="3" s="1"/>
  <c r="AC463" i="3" s="1"/>
  <c r="W465" i="3"/>
  <c r="X58" i="3"/>
  <c r="S65" i="3"/>
  <c r="X235" i="3"/>
  <c r="S245" i="3"/>
  <c r="Z230" i="3"/>
  <c r="AA230" i="3" s="1"/>
  <c r="AC230" i="3" s="1"/>
  <c r="W235" i="3"/>
  <c r="W58" i="3"/>
  <c r="W732" i="3"/>
  <c r="Z732" i="3" s="1"/>
  <c r="AA732" i="3" s="1"/>
  <c r="Z731" i="3"/>
  <c r="AA731" i="3" s="1"/>
  <c r="N758" i="3"/>
  <c r="O758" i="3" s="1"/>
  <c r="AC758" i="3" s="1"/>
  <c r="O757" i="3"/>
  <c r="AC757" i="3" s="1"/>
  <c r="W499" i="3"/>
  <c r="Z499" i="3" s="1"/>
  <c r="AA499" i="3" s="1"/>
  <c r="Z497" i="3"/>
  <c r="AA497" i="3" s="1"/>
  <c r="AC497" i="3" s="1"/>
  <c r="O763" i="3"/>
  <c r="AC763" i="3" s="1"/>
  <c r="N764" i="3"/>
  <c r="N767" i="3" s="1"/>
  <c r="O767" i="3" s="1"/>
  <c r="AC767" i="3" s="1"/>
  <c r="N748" i="3"/>
  <c r="O748" i="3" s="1"/>
  <c r="AC748" i="3" s="1"/>
  <c r="O747" i="3"/>
  <c r="AC747" i="3" s="1"/>
  <c r="N546" i="3"/>
  <c r="O546" i="3" s="1"/>
  <c r="Z513" i="3"/>
  <c r="AA513" i="3" s="1"/>
  <c r="AC513" i="3" s="1"/>
  <c r="W516" i="3"/>
  <c r="Z522" i="3"/>
  <c r="AA522" i="3" s="1"/>
  <c r="AC522" i="3" s="1"/>
  <c r="W524" i="3"/>
  <c r="X414" i="3"/>
  <c r="S417" i="3"/>
  <c r="X417" i="3" s="1"/>
  <c r="Z22" i="3"/>
  <c r="AA22" i="3" s="1"/>
  <c r="AC22" i="3" s="1"/>
  <c r="W30" i="3"/>
  <c r="W26" i="3"/>
  <c r="W323" i="3"/>
  <c r="X323" i="3"/>
  <c r="S326" i="3"/>
  <c r="X39" i="3"/>
  <c r="S43" i="3"/>
  <c r="AC391" i="3" l="1"/>
  <c r="AC722" i="3"/>
  <c r="AC296" i="3"/>
  <c r="AC285" i="3"/>
  <c r="Q4" i="7"/>
  <c r="K2" i="10"/>
  <c r="S2" i="10" s="1"/>
  <c r="AC447" i="3"/>
  <c r="AC735" i="3"/>
  <c r="AC640" i="3"/>
  <c r="AC702" i="3"/>
  <c r="AC726" i="3"/>
  <c r="AC583" i="3"/>
  <c r="AC739" i="3"/>
  <c r="AC461" i="3"/>
  <c r="AC560" i="3"/>
  <c r="Z226" i="3"/>
  <c r="AA226" i="3" s="1"/>
  <c r="AC226" i="3" s="1"/>
  <c r="N405" i="3"/>
  <c r="O405" i="3" s="1"/>
  <c r="AC627" i="3"/>
  <c r="N781" i="3"/>
  <c r="O781" i="3" s="1"/>
  <c r="AC781" i="3" s="1"/>
  <c r="AC520" i="3"/>
  <c r="AB695" i="3"/>
  <c r="AC662" i="3"/>
  <c r="AC668" i="3"/>
  <c r="AB729" i="3"/>
  <c r="AC499" i="3"/>
  <c r="AB616" i="3"/>
  <c r="AC424" i="3"/>
  <c r="Z182" i="3"/>
  <c r="AA182" i="3" s="1"/>
  <c r="AC182" i="3" s="1"/>
  <c r="Z246" i="3"/>
  <c r="AA246" i="3" s="1"/>
  <c r="AC246" i="3" s="1"/>
  <c r="AB596" i="3"/>
  <c r="AB655" i="3"/>
  <c r="AB499" i="3"/>
  <c r="K7" i="7"/>
  <c r="AB697" i="3"/>
  <c r="Z159" i="3"/>
  <c r="AA159" i="3" s="1"/>
  <c r="AC159" i="3" s="1"/>
  <c r="AB159" i="3"/>
  <c r="Z335" i="3"/>
  <c r="AA335" i="3" s="1"/>
  <c r="AB335" i="3"/>
  <c r="AB560" i="3"/>
  <c r="AB668" i="3"/>
  <c r="Z66" i="3"/>
  <c r="AA66" i="3" s="1"/>
  <c r="AC66" i="3" s="1"/>
  <c r="AB66" i="3"/>
  <c r="Z495" i="3"/>
  <c r="AA495" i="3" s="1"/>
  <c r="AC495" i="3" s="1"/>
  <c r="AB495" i="3"/>
  <c r="Z465" i="3"/>
  <c r="AA465" i="3" s="1"/>
  <c r="AC465" i="3" s="1"/>
  <c r="AB465" i="3"/>
  <c r="Z651" i="3"/>
  <c r="AB651" i="3"/>
  <c r="Z294" i="3"/>
  <c r="AA294" i="3" s="1"/>
  <c r="AB294" i="3"/>
  <c r="Z644" i="3"/>
  <c r="AA644" i="3" s="1"/>
  <c r="AC644" i="3" s="1"/>
  <c r="AB644" i="3"/>
  <c r="Z176" i="3"/>
  <c r="AA176" i="3" s="1"/>
  <c r="AC176" i="3" s="1"/>
  <c r="AB176" i="3"/>
  <c r="Z346" i="3"/>
  <c r="AA346" i="3" s="1"/>
  <c r="AB346" i="3"/>
  <c r="Z331" i="3"/>
  <c r="AA331" i="3" s="1"/>
  <c r="AB331" i="3"/>
  <c r="Z102" i="3"/>
  <c r="AA102" i="3" s="1"/>
  <c r="AC102" i="3" s="1"/>
  <c r="AB102" i="3"/>
  <c r="Z225" i="3"/>
  <c r="AA225" i="3" s="1"/>
  <c r="AC225" i="3" s="1"/>
  <c r="AB225" i="3"/>
  <c r="AB739" i="3"/>
  <c r="AB520" i="3"/>
  <c r="AB391" i="3"/>
  <c r="AB418" i="3"/>
  <c r="AB735" i="3"/>
  <c r="AB732" i="3"/>
  <c r="Z648" i="3"/>
  <c r="AA648" i="3" s="1"/>
  <c r="AC648" i="3" s="1"/>
  <c r="AB648" i="3"/>
  <c r="Z375" i="3"/>
  <c r="AA375" i="3" s="1"/>
  <c r="AB375" i="3"/>
  <c r="Z144" i="3"/>
  <c r="AA144" i="3" s="1"/>
  <c r="AC144" i="3" s="1"/>
  <c r="AB144" i="3"/>
  <c r="Z75" i="3"/>
  <c r="AA75" i="3" s="1"/>
  <c r="AC75" i="3" s="1"/>
  <c r="AB75" i="3"/>
  <c r="Z114" i="3"/>
  <c r="AA114" i="3" s="1"/>
  <c r="AC114" i="3" s="1"/>
  <c r="AB114" i="3"/>
  <c r="N395" i="3"/>
  <c r="O395" i="3" s="1"/>
  <c r="AB726" i="3"/>
  <c r="AB403" i="3"/>
  <c r="AB689" i="3"/>
  <c r="AB702" i="3"/>
  <c r="AB675" i="3"/>
  <c r="Z271" i="3"/>
  <c r="Z273" i="3" s="1"/>
  <c r="AA273" i="3" s="1"/>
  <c r="AC273" i="3" s="1"/>
  <c r="AB271" i="3"/>
  <c r="Z235" i="3"/>
  <c r="AA235" i="3" s="1"/>
  <c r="AC235" i="3" s="1"/>
  <c r="AB235" i="3"/>
  <c r="Z450" i="3"/>
  <c r="AA450" i="3" s="1"/>
  <c r="AC450" i="3" s="1"/>
  <c r="AB450" i="3"/>
  <c r="Z253" i="3"/>
  <c r="AA253" i="3" s="1"/>
  <c r="AC253" i="3" s="1"/>
  <c r="AB253" i="3"/>
  <c r="AB20" i="3"/>
  <c r="Z458" i="3"/>
  <c r="AA458" i="3" s="1"/>
  <c r="AC458" i="3" s="1"/>
  <c r="AB458" i="3"/>
  <c r="Z39" i="3"/>
  <c r="AA39" i="3" s="1"/>
  <c r="AC39" i="3" s="1"/>
  <c r="AB39" i="3"/>
  <c r="Z574" i="3"/>
  <c r="AA574" i="3" s="1"/>
  <c r="AC574" i="3" s="1"/>
  <c r="AB574" i="3"/>
  <c r="Z327" i="3"/>
  <c r="AA327" i="3" s="1"/>
  <c r="AB327" i="3"/>
  <c r="Z665" i="3"/>
  <c r="AA665" i="3" s="1"/>
  <c r="AB665" i="3"/>
  <c r="AB629" i="3"/>
  <c r="AB681" i="3"/>
  <c r="Z348" i="3"/>
  <c r="AA348" i="3" s="1"/>
  <c r="AB348" i="3"/>
  <c r="Z488" i="3"/>
  <c r="AA488" i="3" s="1"/>
  <c r="AC488" i="3" s="1"/>
  <c r="AB488" i="3"/>
  <c r="Z349" i="3"/>
  <c r="AA349" i="3" s="1"/>
  <c r="AB349" i="3"/>
  <c r="Z339" i="3"/>
  <c r="AA339" i="3" s="1"/>
  <c r="AB339" i="3"/>
  <c r="Z280" i="3"/>
  <c r="AA280" i="3" s="1"/>
  <c r="AB280" i="3"/>
  <c r="Z511" i="3"/>
  <c r="AA511" i="3" s="1"/>
  <c r="AC511" i="3" s="1"/>
  <c r="AB511" i="3"/>
  <c r="AB640" i="3"/>
  <c r="Z524" i="3"/>
  <c r="AA524" i="3" s="1"/>
  <c r="AC524" i="3" s="1"/>
  <c r="AB524" i="3"/>
  <c r="Z478" i="3"/>
  <c r="AA478" i="3" s="1"/>
  <c r="AC478" i="3" s="1"/>
  <c r="AB478" i="3"/>
  <c r="Z516" i="3"/>
  <c r="AA516" i="3" s="1"/>
  <c r="AC516" i="3" s="1"/>
  <c r="AB516" i="3"/>
  <c r="Z492" i="3"/>
  <c r="AA492" i="3" s="1"/>
  <c r="AC492" i="3" s="1"/>
  <c r="AB492" i="3"/>
  <c r="Z396" i="3"/>
  <c r="AA396" i="3" s="1"/>
  <c r="AC396" i="3" s="1"/>
  <c r="AB396" i="3"/>
  <c r="AC578" i="3"/>
  <c r="Z368" i="3"/>
  <c r="AA368" i="3" s="1"/>
  <c r="AB368" i="3"/>
  <c r="Z436" i="3"/>
  <c r="AA436" i="3" s="1"/>
  <c r="AC436" i="3" s="1"/>
  <c r="AB436" i="3"/>
  <c r="Z475" i="3"/>
  <c r="AA475" i="3" s="1"/>
  <c r="AC475" i="3" s="1"/>
  <c r="AB475" i="3"/>
  <c r="Z508" i="3"/>
  <c r="AA508" i="3" s="1"/>
  <c r="AC508" i="3" s="1"/>
  <c r="AB508" i="3"/>
  <c r="Z312" i="3"/>
  <c r="AA312" i="3" s="1"/>
  <c r="AB312" i="3"/>
  <c r="Z44" i="3"/>
  <c r="AA44" i="3" s="1"/>
  <c r="AC44" i="3" s="1"/>
  <c r="AB44" i="3"/>
  <c r="Z89" i="3"/>
  <c r="AA89" i="3" s="1"/>
  <c r="AC89" i="3" s="1"/>
  <c r="AB89" i="3"/>
  <c r="Z308" i="3"/>
  <c r="AA308" i="3" s="1"/>
  <c r="AB308" i="3"/>
  <c r="Z181" i="3"/>
  <c r="AA181" i="3" s="1"/>
  <c r="AC181" i="3" s="1"/>
  <c r="AB181" i="3"/>
  <c r="W487" i="3"/>
  <c r="AB484" i="3"/>
  <c r="Z106" i="3"/>
  <c r="AA106" i="3" s="1"/>
  <c r="AC106" i="3" s="1"/>
  <c r="AB106" i="3"/>
  <c r="Z300" i="3"/>
  <c r="AA300" i="3" s="1"/>
  <c r="AB300" i="3"/>
  <c r="AB662" i="3"/>
  <c r="AB447" i="3"/>
  <c r="AB742" i="3"/>
  <c r="AB723" i="3"/>
  <c r="AB461" i="3"/>
  <c r="Z58" i="3"/>
  <c r="AA58" i="3" s="1"/>
  <c r="AC58" i="3" s="1"/>
  <c r="AB58" i="3"/>
  <c r="Z131" i="3"/>
  <c r="AA131" i="3" s="1"/>
  <c r="AC131" i="3" s="1"/>
  <c r="AB131" i="3"/>
  <c r="Z250" i="3"/>
  <c r="AA250" i="3" s="1"/>
  <c r="AC250" i="3" s="1"/>
  <c r="AB250" i="3"/>
  <c r="Z323" i="3"/>
  <c r="AA323" i="3" s="1"/>
  <c r="AB323" i="3"/>
  <c r="AB570" i="3"/>
  <c r="Z221" i="3"/>
  <c r="AA221" i="3" s="1"/>
  <c r="AC221" i="3" s="1"/>
  <c r="AB221" i="3"/>
  <c r="Z26" i="3"/>
  <c r="AA26" i="3" s="1"/>
  <c r="AC26" i="3" s="1"/>
  <c r="AB26" i="3"/>
  <c r="Z455" i="3"/>
  <c r="AA455" i="3" s="1"/>
  <c r="AC455" i="3" s="1"/>
  <c r="AB455" i="3"/>
  <c r="Z81" i="3"/>
  <c r="AA81" i="3" s="1"/>
  <c r="AC81" i="3" s="1"/>
  <c r="AB81" i="3"/>
  <c r="Z287" i="3"/>
  <c r="AA287" i="3" s="1"/>
  <c r="AB287" i="3"/>
  <c r="Z212" i="3"/>
  <c r="AA212" i="3" s="1"/>
  <c r="AC212" i="3" s="1"/>
  <c r="Z30" i="3"/>
  <c r="AA30" i="3" s="1"/>
  <c r="AC30" i="3" s="1"/>
  <c r="AB30" i="3"/>
  <c r="K73" i="7"/>
  <c r="R73" i="7" s="1"/>
  <c r="AB691" i="3"/>
  <c r="AB14" i="3"/>
  <c r="Z468" i="3"/>
  <c r="AB468" i="3"/>
  <c r="Z528" i="3"/>
  <c r="AA528" i="3" s="1"/>
  <c r="AC528" i="3" s="1"/>
  <c r="AB528" i="3"/>
  <c r="Z471" i="3"/>
  <c r="AB471" i="3"/>
  <c r="AB578" i="3"/>
  <c r="AB610" i="3"/>
  <c r="AB604" i="3"/>
  <c r="L14" i="10"/>
  <c r="T14" i="10" s="1"/>
  <c r="M14" i="10"/>
  <c r="U14" i="10" s="1"/>
  <c r="AC695" i="3"/>
  <c r="J78" i="7"/>
  <c r="Q78" i="7" s="1"/>
  <c r="AC700" i="3"/>
  <c r="Z449" i="3"/>
  <c r="AA449" i="3" s="1"/>
  <c r="AC449" i="3" s="1"/>
  <c r="AC741" i="3"/>
  <c r="AC681" i="3"/>
  <c r="AA660" i="3"/>
  <c r="AA661" i="3"/>
  <c r="AC604" i="3"/>
  <c r="Z484" i="3"/>
  <c r="AA484" i="3" s="1"/>
  <c r="AC484" i="3" s="1"/>
  <c r="X348" i="3"/>
  <c r="O271" i="3"/>
  <c r="O760" i="3"/>
  <c r="AC760" i="3" s="1"/>
  <c r="W163" i="3"/>
  <c r="AC729" i="3"/>
  <c r="X29" i="3"/>
  <c r="AC653" i="3"/>
  <c r="Z430" i="3"/>
  <c r="AA430" i="3" s="1"/>
  <c r="W405" i="3"/>
  <c r="Z405" i="3" s="1"/>
  <c r="AA405" i="3" s="1"/>
  <c r="AC731" i="3"/>
  <c r="W334" i="3"/>
  <c r="W273" i="3"/>
  <c r="AB273" i="3" s="1"/>
  <c r="AC418" i="3"/>
  <c r="W442" i="3"/>
  <c r="AC685" i="3"/>
  <c r="AC694" i="3"/>
  <c r="O414" i="3"/>
  <c r="N417" i="3"/>
  <c r="O417" i="3" s="1"/>
  <c r="AC596" i="3"/>
  <c r="AC732" i="3"/>
  <c r="X368" i="3"/>
  <c r="AC689" i="3"/>
  <c r="AC616" i="3"/>
  <c r="W658" i="3"/>
  <c r="Z658" i="3" s="1"/>
  <c r="AA658" i="3" s="1"/>
  <c r="AC658" i="3" s="1"/>
  <c r="X119" i="3"/>
  <c r="W119" i="3"/>
  <c r="Z149" i="3"/>
  <c r="AA149" i="3" s="1"/>
  <c r="AC149" i="3" s="1"/>
  <c r="AA138" i="3"/>
  <c r="AC138" i="3" s="1"/>
  <c r="AC403" i="3"/>
  <c r="AA151" i="3"/>
  <c r="AC151" i="3" s="1"/>
  <c r="Z164" i="3"/>
  <c r="AA164" i="3" s="1"/>
  <c r="AC164" i="3" s="1"/>
  <c r="W135" i="3"/>
  <c r="X135" i="3"/>
  <c r="AC530" i="3"/>
  <c r="AA426" i="3"/>
  <c r="AC426" i="3" s="1"/>
  <c r="Z427" i="3"/>
  <c r="AA427" i="3" s="1"/>
  <c r="AC427" i="3" s="1"/>
  <c r="Z260" i="3"/>
  <c r="AA260" i="3" s="1"/>
  <c r="AC260" i="3" s="1"/>
  <c r="W264" i="3"/>
  <c r="W19" i="3"/>
  <c r="AB19" i="3" s="1"/>
  <c r="W559" i="3"/>
  <c r="Z559" i="3" s="1"/>
  <c r="AA559" i="3" s="1"/>
  <c r="AC559" i="3" s="1"/>
  <c r="Z546" i="3"/>
  <c r="AA546" i="3" s="1"/>
  <c r="AC546" i="3" s="1"/>
  <c r="X43" i="3"/>
  <c r="W43" i="3"/>
  <c r="AB43" i="3" s="1"/>
  <c r="X245" i="3"/>
  <c r="W245" i="3"/>
  <c r="Z421" i="3"/>
  <c r="AA421" i="3" s="1"/>
  <c r="AA420" i="3"/>
  <c r="X105" i="3"/>
  <c r="W105" i="3"/>
  <c r="Z414" i="3"/>
  <c r="AA414" i="3" s="1"/>
  <c r="W417" i="3"/>
  <c r="Z417" i="3" s="1"/>
  <c r="AA417" i="3" s="1"/>
  <c r="N535" i="3"/>
  <c r="O535" i="3" s="1"/>
  <c r="O533" i="3"/>
  <c r="W326" i="3"/>
  <c r="X326" i="3"/>
  <c r="N570" i="3"/>
  <c r="O570" i="3" s="1"/>
  <c r="AC570" i="3" s="1"/>
  <c r="X80" i="3"/>
  <c r="W80" i="3"/>
  <c r="Z691" i="3"/>
  <c r="W692" i="3"/>
  <c r="AA252" i="3"/>
  <c r="AC252" i="3" s="1"/>
  <c r="N20" i="3"/>
  <c r="W211" i="3"/>
  <c r="X211" i="3"/>
  <c r="X148" i="3"/>
  <c r="W148" i="3"/>
  <c r="X65" i="3"/>
  <c r="W65" i="3"/>
  <c r="AB65" i="3" s="1"/>
  <c r="W698" i="3"/>
  <c r="Z697" i="3"/>
  <c r="AA697" i="3" s="1"/>
  <c r="AC697" i="3" s="1"/>
  <c r="AA249" i="3"/>
  <c r="AC249" i="3" s="1"/>
  <c r="O783" i="3"/>
  <c r="AC783" i="3" s="1"/>
  <c r="N785" i="3"/>
  <c r="O785" i="3" s="1"/>
  <c r="AC785" i="3" s="1"/>
  <c r="Z381" i="3"/>
  <c r="AA381" i="3" s="1"/>
  <c r="AA380" i="3"/>
  <c r="X95" i="3"/>
  <c r="W95" i="3"/>
  <c r="W395" i="3"/>
  <c r="Z395" i="3" s="1"/>
  <c r="AA395" i="3" s="1"/>
  <c r="X395" i="3"/>
  <c r="W451" i="3"/>
  <c r="W535" i="3"/>
  <c r="Z535" i="3" s="1"/>
  <c r="AA535" i="3" s="1"/>
  <c r="Z533" i="3"/>
  <c r="AA533" i="3" s="1"/>
  <c r="L2" i="10" l="1"/>
  <c r="T2" i="10" s="1"/>
  <c r="R7" i="7"/>
  <c r="K2" i="7"/>
  <c r="R2" i="7" s="1"/>
  <c r="M2" i="10"/>
  <c r="U2" i="10" s="1"/>
  <c r="J2" i="7"/>
  <c r="Q2" i="7" s="1"/>
  <c r="AC405" i="3"/>
  <c r="AA271" i="3"/>
  <c r="AC271" i="3" s="1"/>
  <c r="AB658" i="3"/>
  <c r="Z105" i="3"/>
  <c r="AA105" i="3" s="1"/>
  <c r="AC105" i="3" s="1"/>
  <c r="AB105" i="3"/>
  <c r="Z334" i="3"/>
  <c r="AA334" i="3" s="1"/>
  <c r="AB334" i="3"/>
  <c r="Z119" i="3"/>
  <c r="AA119" i="3" s="1"/>
  <c r="AC119" i="3" s="1"/>
  <c r="AB119" i="3"/>
  <c r="AB559" i="3"/>
  <c r="Z95" i="3"/>
  <c r="AA95" i="3" s="1"/>
  <c r="AC95" i="3" s="1"/>
  <c r="AB95" i="3"/>
  <c r="Z245" i="3"/>
  <c r="AA245" i="3" s="1"/>
  <c r="AC245" i="3" s="1"/>
  <c r="AB245" i="3"/>
  <c r="Z148" i="3"/>
  <c r="AA148" i="3" s="1"/>
  <c r="AC148" i="3" s="1"/>
  <c r="AB148" i="3"/>
  <c r="Z80" i="3"/>
  <c r="AA80" i="3" s="1"/>
  <c r="AC80" i="3" s="1"/>
  <c r="AB80" i="3"/>
  <c r="Z163" i="3"/>
  <c r="AA163" i="3" s="1"/>
  <c r="AC163" i="3" s="1"/>
  <c r="AB163" i="3"/>
  <c r="Z451" i="3"/>
  <c r="AA451" i="3" s="1"/>
  <c r="AC451" i="3" s="1"/>
  <c r="AB451" i="3"/>
  <c r="Z211" i="3"/>
  <c r="AA211" i="3" s="1"/>
  <c r="AC211" i="3" s="1"/>
  <c r="AB211" i="3"/>
  <c r="AB535" i="3"/>
  <c r="Z487" i="3"/>
  <c r="AA487" i="3" s="1"/>
  <c r="AC487" i="3" s="1"/>
  <c r="AB487" i="3"/>
  <c r="AC395" i="3"/>
  <c r="Z326" i="3"/>
  <c r="AA326" i="3" s="1"/>
  <c r="AB326" i="3"/>
  <c r="Z264" i="3"/>
  <c r="AA264" i="3" s="1"/>
  <c r="AC264" i="3" s="1"/>
  <c r="AB264" i="3"/>
  <c r="Z135" i="3"/>
  <c r="AA135" i="3" s="1"/>
  <c r="AC135" i="3" s="1"/>
  <c r="AB135" i="3"/>
  <c r="AB405" i="3"/>
  <c r="Z692" i="3"/>
  <c r="AA692" i="3" s="1"/>
  <c r="AC692" i="3" s="1"/>
  <c r="AB692" i="3"/>
  <c r="Z442" i="3"/>
  <c r="AA442" i="3" s="1"/>
  <c r="AC442" i="3" s="1"/>
  <c r="AB442" i="3"/>
  <c r="AB395" i="3"/>
  <c r="AB417" i="3"/>
  <c r="Z698" i="3"/>
  <c r="AA698" i="3" s="1"/>
  <c r="AC698" i="3" s="1"/>
  <c r="AB698" i="3"/>
  <c r="AC661" i="3"/>
  <c r="AC660" i="3"/>
  <c r="AC417" i="3"/>
  <c r="AC414" i="3"/>
  <c r="AC533" i="3"/>
  <c r="AC535" i="3"/>
  <c r="AA691" i="3"/>
  <c r="AC691" i="3" s="1"/>
  <c r="O1045" i="3" l="1"/>
  <c r="AC1045" i="3" s="1"/>
  <c r="Z1546" i="3" l="1"/>
  <c r="AA1546" i="3" s="1"/>
  <c r="AC1546" i="3" s="1"/>
  <c r="Y1546" i="3"/>
  <c r="P1548" i="3"/>
  <c r="Z1548" i="3" s="1"/>
  <c r="AA1548" i="3" s="1"/>
  <c r="AC1548" i="3" s="1"/>
  <c r="Y1548" i="3" l="1"/>
  <c r="N1743" i="3"/>
  <c r="O1743" i="3" s="1"/>
  <c r="AC1743" i="3" s="1"/>
  <c r="L2271" i="3" l="1"/>
  <c r="O2271" i="3" s="1"/>
  <c r="AC2271"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tc={00F3D10F-D895-4755-9AD6-74639128722E}</author>
    <author>tc={177116BA-7CB8-472A-B90A-2349B7772D39}</author>
    <author>tc={21BCD900-CC0E-4588-A33C-9F1A33FB7170}</author>
    <author>tc={53849B47-8093-4510-88E7-334BE15B0057}</author>
    <author>tc={97ACA338-66F7-403D-BC05-A9CB7819592F}</author>
    <author>tc={EA8A631F-C598-4D03-9965-F3733BAAB716}</author>
    <author>tc={311E2626-DA40-4648-AEDE-69A5463FC0BF}</author>
    <author>Christine Giambrone</author>
    <author>tc={64B9EBF5-46DD-456D-8149-0D7A2EF9EDB8}</author>
    <author>tc={00424B65-B546-4A66-82CB-C76F0370D445}</author>
    <author>tc={33897BB2-4E3A-4A9D-933B-363ACBF163C5}</author>
    <author>tc={0E13B2DF-D172-47F3-8F5A-CD4620738B60}</author>
    <author>tc={30ADE010-7FFA-43C4-97C1-D27B7D879548}</author>
    <author>tc={143B4D0B-EE48-49E6-8C30-630F3D695F0F}</author>
    <author>tc={1AEA4FD7-7A99-40E7-B65F-D29715774134}</author>
    <author>tc={9DD1C98C-88F4-41D0-89FA-F6A747B353CA}</author>
    <author>tc={72628ABC-9974-406C-8D74-185DF28DC20C}</author>
    <author>tc={6984FCFA-F50E-40E2-99D9-BD3AE7926424}</author>
    <author>tc={0D0256CC-6628-4D26-886D-9F8A2D1E5E0D}</author>
    <author>tc={12BE5968-EB3A-47F7-889E-FCFE7E389DD1}</author>
    <author>tc={8E3CBA82-29B0-4340-BC58-7226E18E8552}</author>
    <author>tc={424FAB2F-9F0D-4006-8A29-ED6EC3A4EFFF}</author>
    <author>tc={C9961723-A6A7-4717-B805-E13F584F40C2}</author>
    <author>tc={8653A3DF-DD95-40D3-B421-68A63E6ED6D8}</author>
    <author>tc={2D3ECDC0-41F0-4088-A93D-7322ED6B8AEB}</author>
    <author>tc={E4BA8931-39F0-4FEE-A113-5B61E7194B95}</author>
    <author>tc={C5E05A5F-19AA-421C-B655-AE72F7FD5F8D}</author>
    <author>tc={C9FF1AAC-071F-4222-BE21-73374B29F4EB}</author>
    <author>tc={DE179E10-4C94-43AA-BA68-F15BCB018965}</author>
    <author>tc={52CB7F04-37E6-4DF7-B1AD-3302FDCE5AE6}</author>
    <author>tc={7C76307B-00E0-4B41-8116-AD42169602F7}</author>
    <author>tc={BB6ACA28-628F-4E1A-B45C-BC4712D7436E}</author>
    <author>tc={5712A49B-182F-4187-9ED8-6C7B24929919}</author>
    <author>tc={8A03FECC-200D-49CF-A2D9-45E0860B9FD6}</author>
    <author>tc={83D9F7AB-A868-40C6-A1C4-69664A73C5CF}</author>
    <author>tc={9397D1AD-5F41-4F96-BAC5-7CE2F2DDF3DA}</author>
    <author>tc={483D6205-134D-499E-8342-9140AADDA076}</author>
    <author>tc={C54D78B0-9974-410F-9324-A7E2E57A5CD8}</author>
    <author>tc={E3002251-C3E3-4305-A618-B260172A5F2E}</author>
    <author>tc={B8F8BE67-AA5E-4DD4-82BD-B3D549B13520}</author>
    <author>tc={4C3175B5-716B-45B8-8823-A1DCD1750B24}</author>
    <author>tc={45810D44-D9C9-4AA3-9908-529A00E6313F}</author>
    <author>tc={32867E64-4135-476D-A8C4-FA03AC9280CE}</author>
    <author>tc={F597373A-A809-42AA-8F4B-DFD327F50910}</author>
    <author>tc={DB04FA79-3B40-4500-B10A-94953B08E36A}</author>
    <author>tc={05CB54ED-C16B-445F-877C-1029520C3325}</author>
    <author>tc={D4B48A67-511F-4B7B-B124-C19A5C0130C4}</author>
    <author>tc={90188769-B846-42EB-A498-70FEA963C84A}</author>
    <author>tc={44B9FA2F-5224-4AEE-B0CF-60D9FD57063B}</author>
    <author>tc={FDCFF3F5-E0ED-4EA8-AF8C-900BFC2549BC}</author>
    <author>tc={4FF61216-A37E-4841-AFD9-60D8AD4C6B86}</author>
    <author>tc={08257722-1F2A-46AE-A593-4DBE67DC5874}</author>
    <author>tc={E08B137B-FAD6-42D4-83CF-11DD9C41DAAF}</author>
    <author>tc={FB29C4C9-F99A-4657-ADD4-38605CB83615}</author>
    <author>tc={F88BAD50-75BA-481A-905A-2E8DF8CA8FE6}</author>
    <author>tc={1BF512BA-01EC-4446-8B06-33834EF181AE}</author>
    <author>tc={ADCF2386-5651-4735-8494-AD659DA00126}</author>
    <author>tc={2DB99CA1-ED42-43B8-AB71-89D96BEEBA29}</author>
    <author>tc={1063CC30-BA6A-4B8E-9FCC-1995A40DFEC4}</author>
    <author>tc={298365EE-F92B-4554-8E84-AA04CB15A36A}</author>
    <author>tc={7BD76BD5-E6FA-44A9-B4B7-BA32B280D5B5}</author>
    <author>tc={814867C5-95A0-42B7-B908-069CCB6CFA57}</author>
    <author>tc={44233246-B79A-40CB-836A-4DAE6B36C906}</author>
    <author>tc={79C5D42D-5DBD-46AD-81E0-0A0BEC7AB419}</author>
    <author>tc={8383B950-E4CD-44D2-BEA5-ADF9E076A57F}</author>
    <author>tc={A65EE8D4-6B64-417E-965E-5AABF1434770}</author>
  </authors>
  <commentList>
    <comment ref="Q47" authorId="0" shapeId="0" xr:uid="{00F3D10F-D895-4755-9AD6-74639128722E}">
      <text>
        <t>[Threaded comment]
Your version of Excel allows you to read this threaded comment; however, any edits to it will get removed if the file is opened in a newer version of Excel. Learn more: https://go.microsoft.com/fwlink/?linkid=870924
Comment:
    0 qty shipped or invoiced</t>
      </text>
    </comment>
    <comment ref="Q51" authorId="1" shapeId="0" xr:uid="{177116BA-7CB8-472A-B90A-2349B7772D39}">
      <text>
        <t>[Threaded comment]
Your version of Excel allows you to read this threaded comment; however, any edits to it will get removed if the file is opened in a newer version of Excel. Learn more: https://go.microsoft.com/fwlink/?linkid=870924
Comment:
    0 qty shipped or invoiced</t>
      </text>
    </comment>
    <comment ref="Q53" authorId="2" shapeId="0" xr:uid="{21BCD900-CC0E-4588-A33C-9F1A33FB7170}">
      <text>
        <t>[Threaded comment]
Your version of Excel allows you to read this threaded comment; however, any edits to it will get removed if the file is opened in a newer version of Excel. Learn more: https://go.microsoft.com/fwlink/?linkid=870924
Comment:
    0 qty shipped or invoiced</t>
      </text>
    </comment>
    <comment ref="Q54" authorId="3" shapeId="0" xr:uid="{53849B47-8093-4510-88E7-334BE15B0057}">
      <text>
        <t>[Threaded comment]
Your version of Excel allows you to read this threaded comment; however, any edits to it will get removed if the file is opened in a newer version of Excel. Learn more: https://go.microsoft.com/fwlink/?linkid=870924
Comment:
    0 qty shipped or invoiced</t>
      </text>
    </comment>
    <comment ref="Q55" authorId="4" shapeId="0" xr:uid="{97ACA338-66F7-403D-BC05-A9CB7819592F}">
      <text>
        <t>[Threaded comment]
Your version of Excel allows you to read this threaded comment; however, any edits to it will get removed if the file is opened in a newer version of Excel. Learn more: https://go.microsoft.com/fwlink/?linkid=870924
Comment:
    0 qty shipped or invoiced</t>
      </text>
    </comment>
    <comment ref="Q56" authorId="5" shapeId="0" xr:uid="{EA8A631F-C598-4D03-9965-F3733BAAB716}">
      <text>
        <t>[Threaded comment]
Your version of Excel allows you to read this threaded comment; however, any edits to it will get removed if the file is opened in a newer version of Excel. Learn more: https://go.microsoft.com/fwlink/?linkid=870924
Comment:
    0 qty shipped or invoiced</t>
      </text>
    </comment>
    <comment ref="Q59" authorId="6" shapeId="0" xr:uid="{311E2626-DA40-4648-AEDE-69A5463FC0BF}">
      <text>
        <t>[Threaded comment]
Your version of Excel allows you to read this threaded comment; however, any edits to it will get removed if the file is opened in a newer version of Excel. Learn more: https://go.microsoft.com/fwlink/?linkid=870924
Comment:
    Does not show qty shipped or unit cost on AR invoice history report</t>
      </text>
    </comment>
    <comment ref="P119" authorId="7" shapeId="0" xr:uid="{35607905-9B07-4675-A234-7D3BFEA6B725}">
      <text>
        <r>
          <rPr>
            <b/>
            <sz val="9"/>
            <color indexed="81"/>
            <rFont val="Tahoma"/>
            <family val="2"/>
          </rPr>
          <t>Credit Memo issued for $2000. against deinstallation.</t>
        </r>
      </text>
    </comment>
    <comment ref="P774" authorId="8" shapeId="0" xr:uid="{64B9EBF5-46DD-456D-8149-0D7A2EF9EDB8}">
      <text>
        <t xml:space="preserve">[Threaded comment]
Your version of Excel allows you to read this threaded comment; however, any edits to it will get removed if the file is opened in a newer version of Excel. Learn more: https://go.microsoft.com/fwlink/?linkid=870924
Comment:
    Why the discount on the M3?
Reply:
    Oklahoma
Reply:
    This was the discount approved on the final GPA. I will have to ask Mike Morgan for details.
Reply:
    No prob. I approved in Asana
</t>
      </text>
    </comment>
    <comment ref="U910" authorId="9" shapeId="0" xr:uid="{00424B65-B546-4A66-82CB-C76F0370D445}">
      <text>
        <t>[Threaded comment]
Your version of Excel allows you to read this threaded comment; however, any edits to it will get removed if the file is opened in a newer version of Excel. Learn more: https://go.microsoft.com/fwlink/?linkid=870924
Comment:
    Scale $854.41</t>
      </text>
    </comment>
    <comment ref="U913" authorId="10" shapeId="0" xr:uid="{33897BB2-4E3A-4A9D-933B-363ACBF163C5}">
      <text>
        <t>[Threaded comment]
Your version of Excel allows you to read this threaded comment; however, any edits to it will get removed if the file is opened in a newer version of Excel. Learn more: https://go.microsoft.com/fwlink/?linkid=870924
Comment:
    scale calibration</t>
      </text>
    </comment>
    <comment ref="U916" authorId="11" shapeId="0" xr:uid="{0E13B2DF-D172-47F3-8F5A-CD4620738B60}">
      <text>
        <t>[Threaded comment]
Your version of Excel allows you to read this threaded comment; however, any edits to it will get removed if the file is opened in a newer version of Excel. Learn more: https://go.microsoft.com/fwlink/?linkid=870924
Comment:
    scale calibration</t>
      </text>
    </comment>
    <comment ref="U917" authorId="12" shapeId="0" xr:uid="{30ADE010-7FFA-43C4-97C1-D27B7D879548}">
      <text>
        <t>[Threaded comment]
Your version of Excel allows you to read this threaded comment; however, any edits to it will get removed if the file is opened in a newer version of Excel. Learn more: https://go.microsoft.com/fwlink/?linkid=870924
Comment:
    scale calibration</t>
      </text>
    </comment>
    <comment ref="U945" authorId="13" shapeId="0" xr:uid="{143B4D0B-EE48-49E6-8C30-630F3D695F0F}">
      <text>
        <t>[Threaded comment]
Your version of Excel allows you to read this threaded comment; however, any edits to it will get removed if the file is opened in a newer version of Excel. Learn more: https://go.microsoft.com/fwlink/?linkid=870924
Comment:
    scale invoice</t>
      </text>
    </comment>
    <comment ref="U946" authorId="14" shapeId="0" xr:uid="{1AEA4FD7-7A99-40E7-B65F-D29715774134}">
      <text>
        <t>[Threaded comment]
Your version of Excel allows you to read this threaded comment; however, any edits to it will get removed if the file is opened in a newer version of Excel. Learn more: https://go.microsoft.com/fwlink/?linkid=870924
Comment:
    Scale invoice</t>
      </text>
    </comment>
    <comment ref="U969" authorId="15" shapeId="0" xr:uid="{9DD1C98C-88F4-41D0-89FA-F6A747B353CA}">
      <text>
        <t xml:space="preserve">[Threaded comment]
Your version of Excel allows you to read this threaded comment; however, any edits to it will get removed if the file is opened in a newer version of Excel. Learn more: https://go.microsoft.com/fwlink/?linkid=870924
Comment:
    Scale </t>
      </text>
    </comment>
    <comment ref="U975" authorId="16" shapeId="0" xr:uid="{72628ABC-9974-406C-8D74-185DF28DC20C}">
      <text>
        <t>[Threaded comment]
Your version of Excel allows you to read this threaded comment; however, any edits to it will get removed if the file is opened in a newer version of Excel. Learn more: https://go.microsoft.com/fwlink/?linkid=870924
Comment:
    $1228.75 Scale</t>
      </text>
    </comment>
    <comment ref="L998" authorId="17" shapeId="0" xr:uid="{6984FCFA-F50E-40E2-99D9-BD3AE7926424}">
      <text>
        <t>[Threaded comment]
Your version of Excel allows you to read this threaded comment; however, any edits to it will get removed if the file is opened in a newer version of Excel. Learn more: https://go.microsoft.com/fwlink/?linkid=870924
Comment:
    Pulled from INV961</t>
      </text>
    </comment>
    <comment ref="P998" authorId="18" shapeId="0" xr:uid="{0D0256CC-6628-4D26-886D-9F8A2D1E5E0D}">
      <text>
        <t>[Threaded comment]
Your version of Excel allows you to read this threaded comment; however, any edits to it will get removed if the file is opened in a newer version of Excel. Learn more: https://go.microsoft.com/fwlink/?linkid=870924
Comment:
    Pulled from INV961</t>
      </text>
    </comment>
    <comment ref="L1164" authorId="19" shapeId="0" xr:uid="{12BE5968-EB3A-47F7-889E-FCFE7E389DD1}">
      <text>
        <t>[Threaded comment]
Your version of Excel allows you to read this threaded comment; however, any edits to it will get removed if the file is opened in a newer version of Excel. Learn more: https://go.microsoft.com/fwlink/?linkid=870924
Comment:
    $1.23 variance due to rounding CY vs List Price on Proposal</t>
      </text>
    </comment>
    <comment ref="L1201" authorId="20" shapeId="0" xr:uid="{8E3CBA82-29B0-4340-BC58-7226E18E8552}">
      <text>
        <t>[Threaded comment]
Your version of Excel allows you to read this threaded comment; however, any edits to it will get removed if the file is opened in a newer version of Excel. Learn more: https://go.microsoft.com/fwlink/?linkid=870924
Comment:
    Discounts in formula showing reductions</t>
      </text>
    </comment>
    <comment ref="P1201" authorId="21" shapeId="0" xr:uid="{424FAB2F-9F0D-4006-8A29-ED6EC3A4EFFF}">
      <text>
        <t>[Threaded comment]
Your version of Excel allows you to read this threaded comment; however, any edits to it will get removed if the file is opened in a newer version of Excel. Learn more: https://go.microsoft.com/fwlink/?linkid=870924
Comment:
    Discounts in formula showing reductions</t>
      </text>
    </comment>
    <comment ref="V1263" authorId="22" shapeId="0" xr:uid="{C9961723-A6A7-4717-B805-E13F584F40C2}">
      <text>
        <t>[Threaded comment]
Your version of Excel allows you to read this threaded comment; however, any edits to it will get removed if the file is opened in a newer version of Excel. Learn more: https://go.microsoft.com/fwlink/?linkid=870924
Comment:
    Added the 593.21 for additional shipment to CUC in August.</t>
      </text>
    </comment>
    <comment ref="L1363" authorId="23" shapeId="0" xr:uid="{8653A3DF-DD95-40D3-B421-68A63E6ED6D8}">
      <text>
        <t>[Threaded comment]
Your version of Excel allows you to read this threaded comment; however, any edits to it will get removed if the file is opened in a newer version of Excel. Learn more: https://go.microsoft.com/fwlink/?linkid=870924
Comment:
    Not budgeted.</t>
      </text>
    </comment>
    <comment ref="P1363" authorId="24" shapeId="0" xr:uid="{2D3ECDC0-41F0-4088-A93D-7322ED6B8AEB}">
      <text>
        <t>[Threaded comment]
Your version of Excel allows you to read this threaded comment; however, any edits to it will get removed if the file is opened in a newer version of Excel. Learn more: https://go.microsoft.com/fwlink/?linkid=870924
Comment:
    Not budgeted.</t>
      </text>
    </comment>
    <comment ref="A1377" authorId="25" shapeId="0" xr:uid="{E4BA8931-39F0-4FEE-A113-5B61E7194B95}">
      <text>
        <t>[Threaded comment]
Your version of Excel allows you to read this threaded comment; however, any edits to it will get removed if the file is opened in a newer version of Excel. Learn more: https://go.microsoft.com/fwlink/?linkid=870924
Comment:
    4 of 4 for 2023</t>
      </text>
    </comment>
    <comment ref="U1457" authorId="26" shapeId="0" xr:uid="{C5E05A5F-19AA-421C-B655-AE72F7FD5F8D}">
      <text>
        <t>[Threaded comment]
Your version of Excel allows you to read this threaded comment; however, any edits to it will get removed if the file is opened in a newer version of Excel. Learn more: https://go.microsoft.com/fwlink/?linkid=870924
Comment:
    Estimate for scale.</t>
      </text>
    </comment>
    <comment ref="U1471" authorId="27" shapeId="0" xr:uid="{C9FF1AAC-071F-4222-BE21-73374B29F4EB}">
      <text>
        <t xml:space="preserve">[Threaded comment]
Your version of Excel allows you to read this threaded comment; however, any edits to it will get removed if the file is opened in a newer version of Excel. Learn more: https://go.microsoft.com/fwlink/?linkid=870924
Comment:
    Estimate for scale. </t>
      </text>
    </comment>
    <comment ref="O1561" authorId="28" shapeId="0" xr:uid="{DE179E10-4C94-43AA-BA68-F15BCB018965}">
      <text>
        <t>[Threaded comment]
Your version of Excel allows you to read this threaded comment; however, any edits to it will get removed if the file is opened in a newer version of Excel. Learn more: https://go.microsoft.com/fwlink/?linkid=870924
Comment:
    Avg of last 2 MCCs.</t>
      </text>
    </comment>
    <comment ref="O1564" authorId="29" shapeId="0" xr:uid="{52CB7F04-37E6-4DF7-B1AD-3302FDCE5AE6}">
      <text>
        <t>[Threaded comment]
Your version of Excel allows you to read this threaded comment; however, any edits to it will get removed if the file is opened in a newer version of Excel. Learn more: https://go.microsoft.com/fwlink/?linkid=870924
Comment:
    2021 MCC 75%</t>
      </text>
    </comment>
    <comment ref="O1575" authorId="30" shapeId="0" xr:uid="{7C76307B-00E0-4B41-8116-AD42169602F7}">
      <text>
        <t>[Threaded comment]
Your version of Excel allows you to read this threaded comment; however, any edits to it will get removed if the file is opened in a newer version of Excel. Learn more: https://go.microsoft.com/fwlink/?linkid=870924
Comment:
    Avg from last two is 70%. 65% &amp; 76%.</t>
      </text>
    </comment>
    <comment ref="O1578" authorId="31" shapeId="0" xr:uid="{BB6ACA28-628F-4E1A-B45C-BC4712D7436E}">
      <text>
        <t>[Threaded comment]
Your version of Excel allows you to read this threaded comment; however, any edits to it will get removed if the file is opened in a newer version of Excel. Learn more: https://go.microsoft.com/fwlink/?linkid=870924
Comment:
    Last MCC 74%. Only previous, as install was 2022.</t>
      </text>
    </comment>
    <comment ref="O1589" authorId="32" shapeId="0" xr:uid="{5712A49B-182F-4187-9ED8-6C7B24929919}">
      <text>
        <t>[Threaded comment]
Your version of Excel allows you to read this threaded comment; however, any edits to it will get removed if the file is opened in a newer version of Excel. Learn more: https://go.microsoft.com/fwlink/?linkid=870924
Comment:
    Previous 83%</t>
      </text>
    </comment>
    <comment ref="O1611" authorId="33" shapeId="0" xr:uid="{8A03FECC-200D-49CF-A2D9-45E0860B9FD6}">
      <text>
        <t>[Threaded comment]
Your version of Excel allows you to read this threaded comment; however, any edits to it will get removed if the file is opened in a newer version of Excel. Learn more: https://go.microsoft.com/fwlink/?linkid=870924
Comment:
    Avg 76%</t>
      </text>
    </comment>
    <comment ref="O1615" authorId="34" shapeId="0" xr:uid="{83D9F7AB-A868-40C6-A1C4-69664A73C5CF}">
      <text>
        <t>[Threaded comment]
Your version of Excel allows you to read this threaded comment; however, any edits to it will get removed if the file is opened in a newer version of Excel. Learn more: https://go.microsoft.com/fwlink/?linkid=870924
Comment:
    Last 82%</t>
      </text>
    </comment>
    <comment ref="O1619" authorId="35" shapeId="0" xr:uid="{9397D1AD-5F41-4F96-BAC5-7CE2F2DDF3DA}">
      <text>
        <t>[Threaded comment]
Your version of Excel allows you to read this threaded comment; however, any edits to it will get removed if the file is opened in a newer version of Excel. Learn more: https://go.microsoft.com/fwlink/?linkid=870924
Comment:
    Avg 64%</t>
      </text>
    </comment>
    <comment ref="O1623" authorId="36" shapeId="0" xr:uid="{483D6205-134D-499E-8342-9140AADDA076}">
      <text>
        <t>[Threaded comment]
Your version of Excel allows you to read this threaded comment; however, any edits to it will get removed if the file is opened in a newer version of Excel. Learn more: https://go.microsoft.com/fwlink/?linkid=870924
Comment:
    Avg 70%. Last two were 61 and 66%, besides one performed in conjunction with VF-10 install.</t>
      </text>
    </comment>
    <comment ref="O1626" authorId="37" shapeId="0" xr:uid="{C54D78B0-9974-410F-9324-A7E2E57A5CD8}">
      <text>
        <t>[Threaded comment]
Your version of Excel allows you to read this threaded comment; however, any edits to it will get removed if the file is opened in a newer version of Excel. Learn more: https://go.microsoft.com/fwlink/?linkid=870924
Comment:
    Avg is 60%. Two were at 55%.</t>
      </text>
    </comment>
    <comment ref="O1631" authorId="38" shapeId="0" xr:uid="{E3002251-C3E3-4305-A618-B260172A5F2E}">
      <text>
        <t>[Threaded comment]
Your version of Excel allows you to read this threaded comment; however, any edits to it will get removed if the file is opened in a newer version of Excel. Learn more: https://go.microsoft.com/fwlink/?linkid=870924
Comment:
    Last MCC was 88%.</t>
      </text>
    </comment>
    <comment ref="O1640" authorId="39" shapeId="0" xr:uid="{B8F8BE67-AA5E-4DD4-82BD-B3D549B13520}">
      <text>
        <t xml:space="preserve">[Threaded comment]
Your version of Excel allows you to read this threaded comment; however, any edits to it will get removed if the file is opened in a newer version of Excel. Learn more: https://go.microsoft.com/fwlink/?linkid=870924
Comment:
    Last was 71%. </t>
      </text>
    </comment>
    <comment ref="O1651" authorId="40" shapeId="0" xr:uid="{4C3175B5-716B-45B8-8823-A1DCD1750B24}">
      <text>
        <t>[Threaded comment]
Your version of Excel allows you to read this threaded comment; however, any edits to it will get removed if the file is opened in a newer version of Excel. Learn more: https://go.microsoft.com/fwlink/?linkid=870924
Comment:
    Avg 86%</t>
      </text>
    </comment>
    <comment ref="O1655" authorId="41" shapeId="0" xr:uid="{45810D44-D9C9-4AA3-9908-529A00E6313F}">
      <text>
        <t>[Threaded comment]
Your version of Excel allows you to read this threaded comment; however, any edits to it will get removed if the file is opened in a newer version of Excel. Learn more: https://go.microsoft.com/fwlink/?linkid=870924
Comment:
    Avg 84%</t>
      </text>
    </comment>
    <comment ref="O1658" authorId="42" shapeId="0" xr:uid="{32867E64-4135-476D-A8C4-FA03AC9280CE}">
      <text>
        <t>[Threaded comment]
Your version of Excel allows you to read this threaded comment; however, any edits to it will get removed if the file is opened in a newer version of Excel. Learn more: https://go.microsoft.com/fwlink/?linkid=870924
Comment:
    Previous avg 61%. 2022 was two employees and 2023 had trip cancelled adding to expenses.</t>
      </text>
    </comment>
    <comment ref="O1661" authorId="43" shapeId="0" xr:uid="{F597373A-A809-42AA-8F4B-DFD327F50910}">
      <text>
        <t>[Threaded comment]
Your version of Excel allows you to read this threaded comment; however, any edits to it will get removed if the file is opened in a newer version of Excel. Learn more: https://go.microsoft.com/fwlink/?linkid=870924
Comment:
    Previous 64%. Extra day for training.</t>
      </text>
    </comment>
    <comment ref="O1678" authorId="44" shapeId="0" xr:uid="{DB04FA79-3B40-4500-B10A-94953B08E36A}">
      <text>
        <t>[Threaded comment]
Your version of Excel allows you to read this threaded comment; however, any edits to it will get removed if the file is opened in a newer version of Excel. Learn more: https://go.microsoft.com/fwlink/?linkid=870924
Comment:
    Last MCC 85%. Previous was two employees. Not apples to apples.</t>
      </text>
    </comment>
    <comment ref="O1681" authorId="45" shapeId="0" xr:uid="{05CB54ED-C16B-445F-877C-1029520C3325}">
      <text>
        <t>[Threaded comment]
Your version of Excel allows you to read this threaded comment; however, any edits to it will get removed if the file is opened in a newer version of Excel. Learn more: https://go.microsoft.com/fwlink/?linkid=870924
Comment:
    Last two MCC's avg 77%.</t>
      </text>
    </comment>
    <comment ref="O1684" authorId="46" shapeId="0" xr:uid="{D4B48A67-511F-4B7B-B124-C19A5C0130C4}">
      <text>
        <t>[Threaded comment]
Your version of Excel allows you to read this threaded comment; however, any edits to it will get removed if the file is opened in a newer version of Excel. Learn more: https://go.microsoft.com/fwlink/?linkid=870924
Comment:
    Avg last two years 78%.</t>
      </text>
    </comment>
    <comment ref="O1687" authorId="47" shapeId="0" xr:uid="{90188769-B846-42EB-A498-70FEA963C84A}">
      <text>
        <t>[Threaded comment]
Your version of Excel allows you to read this threaded comment; however, any edits to it will get removed if the file is opened in a newer version of Excel. Learn more: https://go.microsoft.com/fwlink/?linkid=870924
Comment:
    2022 80%. 2023 Skewed at 49% as it required two scale calibrations.</t>
      </text>
    </comment>
    <comment ref="O1690" authorId="48" shapeId="0" xr:uid="{44B9FA2F-5224-4AEE-B0CF-60D9FD57063B}">
      <text>
        <t>[Threaded comment]
Your version of Excel allows you to read this threaded comment; however, any edits to it will get removed if the file is opened in a newer version of Excel. Learn more: https://go.microsoft.com/fwlink/?linkid=870924
Comment:
    Last two avg 79%</t>
      </text>
    </comment>
    <comment ref="O1693" authorId="49" shapeId="0" xr:uid="{FDCFF3F5-E0ED-4EA8-AF8C-900BFC2549BC}">
      <text>
        <t>[Threaded comment]
Your version of Excel allows you to read this threaded comment; however, any edits to it will get removed if the file is opened in a newer version of Excel. Learn more: https://go.microsoft.com/fwlink/?linkid=870924
Comment:
    Last two avg 67%</t>
      </text>
    </comment>
    <comment ref="O1699" authorId="50" shapeId="0" xr:uid="{4FF61216-A37E-4841-AFD9-60D8AD4C6B86}">
      <text>
        <t>[Threaded comment]
Your version of Excel allows you to read this threaded comment; however, any edits to it will get removed if the file is opened in a newer version of Excel. Learn more: https://go.microsoft.com/fwlink/?linkid=870924
Comment:
    Previous yr was 52% when both performed together.</t>
      </text>
    </comment>
    <comment ref="O1706" authorId="51" shapeId="0" xr:uid="{08257722-1F2A-46AE-A593-4DBE67DC5874}">
      <text>
        <t>[Threaded comment]
Your version of Excel allows you to read this threaded comment; however, any edits to it will get removed if the file is opened in a newer version of Excel. Learn more: https://go.microsoft.com/fwlink/?linkid=870924
Comment:
    2023 MCC was performed by one employee, 90% margin. 2022 was two employees, 86% margin.</t>
      </text>
    </comment>
    <comment ref="O1727" authorId="52" shapeId="0" xr:uid="{E08B137B-FAD6-42D4-83CF-11DD9C41DAAF}">
      <text>
        <t>[Threaded comment]
Your version of Excel allows you to read this threaded comment; however, any edits to it will get removed if the file is opened in a newer version of Excel. Learn more: https://go.microsoft.com/fwlink/?linkid=870924
Comment:
    Avg 65% for last two.</t>
      </text>
    </comment>
    <comment ref="O1730" authorId="53" shapeId="0" xr:uid="{FB29C4C9-F99A-4657-ADD4-38605CB83615}">
      <text>
        <t>[Threaded comment]
Your version of Excel allows you to read this threaded comment; however, any edits to it will get removed if the file is opened in a newer version of Excel. Learn more: https://go.microsoft.com/fwlink/?linkid=870924
Comment:
    Last year 77%.</t>
      </text>
    </comment>
    <comment ref="O1733" authorId="54" shapeId="0" xr:uid="{F88BAD50-75BA-481A-905A-2E8DF8CA8FE6}">
      <text>
        <t>[Threaded comment]
Your version of Excel allows you to read this threaded comment; however, any edits to it will get removed if the file is opened in a newer version of Excel. Learn more: https://go.microsoft.com/fwlink/?linkid=870924
Comment:
    1st MCC since Install</t>
      </text>
    </comment>
    <comment ref="O1743" authorId="55" shapeId="0" xr:uid="{1BF512BA-01EC-4446-8B06-33834EF181AE}">
      <text>
        <t>[Threaded comment]
Your version of Excel allows you to read this threaded comment; however, any edits to it will get removed if the file is opened in a newer version of Excel. Learn more: https://go.microsoft.com/fwlink/?linkid=870924
Comment:
    Last year avg 86%.</t>
      </text>
    </comment>
    <comment ref="O1747" authorId="56" shapeId="0" xr:uid="{ADCF2386-5651-4735-8494-AD659DA00126}">
      <text>
        <t>[Threaded comment]
Your version of Excel allows you to read this threaded comment; however, any edits to it will get removed if the file is opened in a newer version of Excel. Learn more: https://go.microsoft.com/fwlink/?linkid=870924
Comment:
    Avg 90% of last few.</t>
      </text>
    </comment>
    <comment ref="O1766" authorId="57" shapeId="0" xr:uid="{2DB99CA1-ED42-43B8-AB71-89D96BEEBA29}">
      <text>
        <t>[Threaded comment]
Your version of Excel allows you to read this threaded comment; however, any edits to it will get removed if the file is opened in a newer version of Excel. Learn more: https://go.microsoft.com/fwlink/?linkid=870924
Comment:
    Avg 86% on last two.</t>
      </text>
    </comment>
    <comment ref="O1770" authorId="58" shapeId="0" xr:uid="{1063CC30-BA6A-4B8E-9FCC-1995A40DFEC4}">
      <text>
        <t>[Threaded comment]
Your version of Excel allows you to read this threaded comment; however, any edits to it will get removed if the file is opened in a newer version of Excel. Learn more: https://go.microsoft.com/fwlink/?linkid=870924
Comment:
    Previous 82%</t>
      </text>
    </comment>
    <comment ref="O1773" authorId="59" shapeId="0" xr:uid="{298365EE-F92B-4554-8E84-AA04CB15A36A}">
      <text>
        <t>[Threaded comment]
Your version of Excel allows you to read this threaded comment; however, any edits to it will get removed if the file is opened in a newer version of Excel. Learn more: https://go.microsoft.com/fwlink/?linkid=870924
Comment:
    1st MCC. New TB last year.</t>
      </text>
    </comment>
    <comment ref="U1781" authorId="60" shapeId="0" xr:uid="{7BD76BD5-E6FA-44A9-B4B7-BA32B280D5B5}">
      <text>
        <t>[Threaded comment]
Your version of Excel allows you to read this threaded comment; however, any edits to it will get removed if the file is opened in a newer version of Excel. Learn more: https://go.microsoft.com/fwlink/?linkid=870924
Comment:
    Fairbanks scale $2662.28</t>
      </text>
    </comment>
    <comment ref="O1790" authorId="61" shapeId="0" xr:uid="{814867C5-95A0-42B7-B908-069CCB6CFA57}">
      <text>
        <t>[Threaded comment]
Your version of Excel allows you to read this threaded comment; however, any edits to it will get removed if the file is opened in a newer version of Excel. Learn more: https://go.microsoft.com/fwlink/?linkid=870924
Comment:
    Previous 85%</t>
      </text>
    </comment>
    <comment ref="O1794" authorId="62" shapeId="0" xr:uid="{44233246-B79A-40CB-836A-4DAE6B36C906}">
      <text>
        <t>[Threaded comment]
Your version of Excel allows you to read this threaded comment; however, any edits to it will get removed if the file is opened in a newer version of Excel. Learn more: https://go.microsoft.com/fwlink/?linkid=870924
Comment:
    Previous 84%.</t>
      </text>
    </comment>
    <comment ref="O1798" authorId="63" shapeId="0" xr:uid="{79C5D42D-5DBD-46AD-81E0-0A0BEC7AB419}">
      <text>
        <t xml:space="preserve">[Threaded comment]
Your version of Excel allows you to read this threaded comment; however, any edits to it will get removed if the file is opened in a newer version of Excel. Learn more: https://go.microsoft.com/fwlink/?linkid=870924
Comment:
    Previous 75%. </t>
      </text>
    </comment>
    <comment ref="O1809" authorId="64" shapeId="0" xr:uid="{8383B950-E4CD-44D2-BEA5-ADF9E076A57F}">
      <text>
        <t>[Threaded comment]
Your version of Excel allows you to read this threaded comment; however, any edits to it will get removed if the file is opened in a newer version of Excel. Learn more: https://go.microsoft.com/fwlink/?linkid=870924
Comment:
    2024 Avg 71%. Ref MCC Margin Analysis Tab.</t>
      </text>
    </comment>
    <comment ref="O1812" authorId="65" shapeId="0" xr:uid="{A65EE8D4-6B64-417E-965E-5AABF1434770}">
      <text>
        <t>[Threaded comment]
Your version of Excel allows you to read this threaded comment; however, any edits to it will get removed if the file is opened in a newer version of Excel. Learn more: https://go.microsoft.com/fwlink/?linkid=870924
Comment:
    1st MCC since install.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tc={CA07B062-2D89-4648-9B9B-4A0BBD4E8B45}</author>
    <author>tc={E4538B4E-003F-45FD-BA69-9880CF73FD89}</author>
    <author>tc={351D9CA4-2D06-4332-ABCE-9A72858ABC7D}</author>
  </authors>
  <commentList>
    <comment ref="C45" authorId="0" shapeId="0" xr:uid="{CA07B062-2D89-4648-9B9B-4A0BBD4E8B45}">
      <text>
        <t>[Threaded comment]
Your version of Excel allows you to read this threaded comment; however, any edits to it will get removed if the file is opened in a newer version of Excel. Learn more: https://go.microsoft.com/fwlink/?linkid=870924
Comment:
    2020 Rev. Performed after COVID?</t>
      </text>
    </comment>
    <comment ref="B1257" authorId="1" shapeId="0" xr:uid="{E4538B4E-003F-45FD-BA69-9880CF73FD89}">
      <text>
        <t>[Threaded comment]
Your version of Excel allows you to read this threaded comment; however, any edits to it will get removed if the file is opened in a newer version of Excel. Learn more: https://go.microsoft.com/fwlink/?linkid=870924
Comment:
    Return Visit to complete.</t>
      </text>
    </comment>
    <comment ref="B1383" authorId="2" shapeId="0" xr:uid="{351D9CA4-2D06-4332-ABCE-9A72858ABC7D}">
      <text>
        <t>[Threaded comment]
Your version of Excel allows you to read this threaded comment; however, any edits to it will get removed if the file is opened in a newer version of Excel. Learn more: https://go.microsoft.com/fwlink/?linkid=870924
Comment:
    4 of 4 for 2023</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tc={890E6FAD-327B-46BD-8D63-0DC4C3EFD4F5}</author>
    <author>tc={09FC6CA6-AE0B-4E1B-8A05-6356BCD18A07}</author>
    <author>tc={AA995294-8871-4A82-90E2-8DBEAC471F5D}</author>
    <author>tc={2EFAA541-7BE7-4E7C-B849-066B96589E6D}</author>
    <author>tc={9AF5DE37-2460-4508-BAB5-49FF655324D8}</author>
    <author>tc={DA098D87-3C0B-48C9-B54A-F4FDD481D56B}</author>
    <author>tc={ECDBAB17-AADE-40B8-88AC-1E9662A124D4}</author>
    <author>tc={7CB19774-19D4-4125-BA63-735D2D728EA3}</author>
    <author>tc={7432E136-42D4-453E-B174-C3DD1DD4DE56}</author>
    <author>tc={976A9CAF-E22B-499B-A6A9-F4818D6A0F3D}</author>
  </authors>
  <commentList>
    <comment ref="D8" authorId="0" shapeId="0" xr:uid="{890E6FAD-327B-46BD-8D63-0DC4C3EFD4F5}">
      <text>
        <t>[Threaded comment]
Your version of Excel allows you to read this threaded comment; however, any edits to it will get removed if the file is opened in a newer version of Excel. Learn more: https://go.microsoft.com/fwlink/?linkid=870924
Comment:
    Shows sum of 2021 &amp; 22 on rev provided by JoDi.</t>
      </text>
    </comment>
    <comment ref="J22" authorId="1" shapeId="0" xr:uid="{09FC6CA6-AE0B-4E1B-8A05-6356BCD18A07}">
      <text>
        <t>[Threaded comment]
Your version of Excel allows you to read this threaded comment; however, any edits to it will get removed if the file is opened in a newer version of Excel. Learn more: https://go.microsoft.com/fwlink/?linkid=870924
Comment:
    Goodwill Disc. Did not hit proper account to offset $59 for freight.</t>
      </text>
    </comment>
    <comment ref="J40" authorId="2" shapeId="0" xr:uid="{AA995294-8871-4A82-90E2-8DBEAC471F5D}">
      <text>
        <t>[Threaded comment]
Your version of Excel allows you to read this threaded comment; however, any edits to it will get removed if the file is opened in a newer version of Excel. Learn more: https://go.microsoft.com/fwlink/?linkid=870924
Comment:
    M3IU - JE to record SW reinstall rev.</t>
      </text>
    </comment>
    <comment ref="O51" authorId="3" shapeId="0" xr:uid="{2EFAA541-7BE7-4E7C-B849-066B96589E6D}">
      <text>
        <t xml:space="preserve">[Threaded comment]
Your version of Excel allows you to read this threaded comment; however, any edits to it will get removed if the file is opened in a newer version of Excel. Learn more: https://go.microsoft.com/fwlink/?linkid=870924
Comment:
    Prom Discount used - Not offsetting proper GL. SERV 4072.
</t>
      </text>
    </comment>
    <comment ref="J52" authorId="4" shapeId="0" xr:uid="{9AF5DE37-2460-4508-BAB5-49FF655324D8}">
      <text>
        <t>[Threaded comment]
Your version of Excel allows you to read this threaded comment; however, any edits to it will get removed if the file is opened in a newer version of Excel. Learn more: https://go.microsoft.com/fwlink/?linkid=870924
Comment:
    No MCC performed to prove rev.</t>
      </text>
    </comment>
    <comment ref="P64" authorId="5" shapeId="0" xr:uid="{DA098D87-3C0B-48C9-B54A-F4FDD481D56B}">
      <text>
        <t>[Threaded comment]
Your version of Excel allows you to read this threaded comment; however, any edits to it will get removed if the file is opened in a newer version of Excel. Learn more: https://go.microsoft.com/fwlink/?linkid=870924
Comment:
    Coded in NS as Upgrade, but should be New. 4041.</t>
      </text>
    </comment>
    <comment ref="J77" authorId="6" shapeId="0" xr:uid="{ECDBAB17-AADE-40B8-88AC-1E9662A124D4}">
      <text>
        <t>[Threaded comment]
Your version of Excel allows you to read this threaded comment; however, any edits to it will get removed if the file is opened in a newer version of Excel. Learn more: https://go.microsoft.com/fwlink/?linkid=870924
Comment:
    Promotional Disc not offsetting correct GL.  Serv Call 4072.</t>
      </text>
    </comment>
    <comment ref="J90" authorId="7" shapeId="0" xr:uid="{7CB19774-19D4-4125-BA63-735D2D728EA3}">
      <text>
        <t>[Threaded comment]
Your version of Excel allows you to read this threaded comment; however, any edits to it will get removed if the file is opened in a newer version of Excel. Learn more: https://go.microsoft.com/fwlink/?linkid=870924
Comment:
    No offsetting discount line. Should be $0.</t>
      </text>
    </comment>
    <comment ref="P90" authorId="8" shapeId="0" xr:uid="{7432E136-42D4-453E-B174-C3DD1DD4DE56}">
      <text>
        <t xml:space="preserve">[Threaded comment]
Your version of Excel allows you to read this threaded comment; however, any edits to it will get removed if the file is opened in a newer version of Excel. Learn more: https://go.microsoft.com/fwlink/?linkid=870924
Comment:
    JE1347 correct disc and reallocate.
</t>
      </text>
    </comment>
    <comment ref="J93" authorId="9" shapeId="0" xr:uid="{976A9CAF-E22B-499B-A6A9-F4818D6A0F3D}">
      <text>
        <t>[Threaded comment]
Your version of Excel allows you to read this threaded comment; however, any edits to it will get removed if the file is opened in a newer version of Excel. Learn more: https://go.microsoft.com/fwlink/?linkid=870924
Comment:
    No MCC performed to prove rev.</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Scott Meckley</author>
    <author>Scott</author>
  </authors>
  <commentList>
    <comment ref="M24" authorId="0" shapeId="0" xr:uid="{45CC54F2-37CF-4C4C-9C49-68BEEDD42E07}">
      <text>
        <r>
          <rPr>
            <b/>
            <sz val="8"/>
            <color indexed="81"/>
            <rFont val="Tahoma"/>
            <family val="2"/>
          </rPr>
          <t>Scott Meckley:</t>
        </r>
        <r>
          <rPr>
            <sz val="8"/>
            <color indexed="81"/>
            <rFont val="Tahoma"/>
            <family val="2"/>
          </rPr>
          <t xml:space="preserve">
misc cost shipped out on zero invoice</t>
        </r>
      </text>
    </comment>
    <comment ref="M39" authorId="1" shapeId="0" xr:uid="{D4691907-93EA-4392-80FA-2BAFD917E8C8}">
      <text>
        <r>
          <rPr>
            <b/>
            <sz val="9"/>
            <color indexed="81"/>
            <rFont val="Tahoma"/>
            <family val="2"/>
          </rPr>
          <t>Scott:</t>
        </r>
        <r>
          <rPr>
            <sz val="9"/>
            <color indexed="81"/>
            <rFont val="Tahoma"/>
            <family val="2"/>
          </rPr>
          <t xml:space="preserve">
confirm bucket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tc={8ACD7B21-A55B-4063-87B3-F9C97840C367}</author>
    <author>tc={DA8B6E05-5CE3-414B-B1E6-31D6A5DEF2AA}</author>
    <author>tc={C18B59EE-497F-4B48-B136-ADDBBC6232EC}</author>
    <author>tc={CE456A0A-C596-49B2-8DBF-ED5CA03FA4B2}</author>
    <author>tc={78832981-B316-4534-874F-FA7760138A4D}</author>
    <author>tc={3A21939D-774E-49E3-9E3A-7C402E3F6C56}</author>
    <author>tc={0C647C90-4A4F-4243-9D31-AF432DAE4DA9}</author>
    <author>Christine Giambrone</author>
  </authors>
  <commentList>
    <comment ref="H48" authorId="0" shapeId="0" xr:uid="{8ACD7B21-A55B-4063-87B3-F9C97840C367}">
      <text>
        <t>[Threaded comment]
Your version of Excel allows you to read this threaded comment; however, any edits to it will get removed if the file is opened in a newer version of Excel. Learn more: https://go.microsoft.com/fwlink/?linkid=870924
Comment:
    0 qty shipped or invoiced</t>
      </text>
    </comment>
    <comment ref="H52" authorId="1" shapeId="0" xr:uid="{DA8B6E05-5CE3-414B-B1E6-31D6A5DEF2AA}">
      <text>
        <t>[Threaded comment]
Your version of Excel allows you to read this threaded comment; however, any edits to it will get removed if the file is opened in a newer version of Excel. Learn more: https://go.microsoft.com/fwlink/?linkid=870924
Comment:
    0 qty shipped or invoiced</t>
      </text>
    </comment>
    <comment ref="H54" authorId="2" shapeId="0" xr:uid="{C18B59EE-497F-4B48-B136-ADDBBC6232EC}">
      <text>
        <t>[Threaded comment]
Your version of Excel allows you to read this threaded comment; however, any edits to it will get removed if the file is opened in a newer version of Excel. Learn more: https://go.microsoft.com/fwlink/?linkid=870924
Comment:
    0 qty shipped or invoiced</t>
      </text>
    </comment>
    <comment ref="H55" authorId="3" shapeId="0" xr:uid="{CE456A0A-C596-49B2-8DBF-ED5CA03FA4B2}">
      <text>
        <t>[Threaded comment]
Your version of Excel allows you to read this threaded comment; however, any edits to it will get removed if the file is opened in a newer version of Excel. Learn more: https://go.microsoft.com/fwlink/?linkid=870924
Comment:
    0 qty shipped or invoiced</t>
      </text>
    </comment>
    <comment ref="H56" authorId="4" shapeId="0" xr:uid="{78832981-B316-4534-874F-FA7760138A4D}">
      <text>
        <t>[Threaded comment]
Your version of Excel allows you to read this threaded comment; however, any edits to it will get removed if the file is opened in a newer version of Excel. Learn more: https://go.microsoft.com/fwlink/?linkid=870924
Comment:
    0 qty shipped or invoiced</t>
      </text>
    </comment>
    <comment ref="H57" authorId="5" shapeId="0" xr:uid="{3A21939D-774E-49E3-9E3A-7C402E3F6C56}">
      <text>
        <t>[Threaded comment]
Your version of Excel allows you to read this threaded comment; however, any edits to it will get removed if the file is opened in a newer version of Excel. Learn more: https://go.microsoft.com/fwlink/?linkid=870924
Comment:
    0 qty shipped or invoiced</t>
      </text>
    </comment>
    <comment ref="H60" authorId="6" shapeId="0" xr:uid="{0C647C90-4A4F-4243-9D31-AF432DAE4DA9}">
      <text>
        <t>[Threaded comment]
Your version of Excel allows you to read this threaded comment; however, any edits to it will get removed if the file is opened in a newer version of Excel. Learn more: https://go.microsoft.com/fwlink/?linkid=870924
Comment:
    Does not show qty shipped or unit cost on AR invoice history report</t>
      </text>
    </comment>
    <comment ref="I122" authorId="7" shapeId="0" xr:uid="{8E524702-9E00-4818-9478-B90504F9B3E8}">
      <text>
        <r>
          <rPr>
            <b/>
            <sz val="9"/>
            <color indexed="81"/>
            <rFont val="Tahoma"/>
            <family val="2"/>
          </rPr>
          <t>Credit Memo issued for $2000. against deinstallation.</t>
        </r>
      </text>
    </comment>
  </commentList>
</comments>
</file>

<file path=xl/sharedStrings.xml><?xml version="1.0" encoding="utf-8"?>
<sst xmlns="http://schemas.openxmlformats.org/spreadsheetml/2006/main" count="72918" uniqueCount="2865">
  <si>
    <t>Open</t>
  </si>
  <si>
    <t>Budget</t>
  </si>
  <si>
    <t xml:space="preserve">Actual </t>
  </si>
  <si>
    <t>Revenue</t>
  </si>
  <si>
    <t>COGS</t>
  </si>
  <si>
    <t>Gross Profit</t>
  </si>
  <si>
    <t>Project</t>
  </si>
  <si>
    <t>Opportunity</t>
  </si>
  <si>
    <t>Type</t>
  </si>
  <si>
    <t>Year</t>
  </si>
  <si>
    <t>Month</t>
  </si>
  <si>
    <t>Invoice #</t>
  </si>
  <si>
    <t>Item Number</t>
  </si>
  <si>
    <t>GL Account</t>
  </si>
  <si>
    <t>Size</t>
  </si>
  <si>
    <t>Size Description</t>
  </si>
  <si>
    <t>Item Description</t>
  </si>
  <si>
    <t>Budget Revenue</t>
  </si>
  <si>
    <t>Budget Cost</t>
  </si>
  <si>
    <t>Budget GP $</t>
  </si>
  <si>
    <t>Budget GP%</t>
  </si>
  <si>
    <t>Actual Revenue</t>
  </si>
  <si>
    <t>WO #</t>
  </si>
  <si>
    <t>Labor Hrs</t>
  </si>
  <si>
    <t>Labor/OH $</t>
  </si>
  <si>
    <t>Exp Rpts</t>
  </si>
  <si>
    <t>Material</t>
  </si>
  <si>
    <t>Shipping</t>
  </si>
  <si>
    <t>Total Actual Cost</t>
  </si>
  <si>
    <t>Actual Lab/OH Rate</t>
  </si>
  <si>
    <t>Actual Material %</t>
  </si>
  <si>
    <t>Actual GP $</t>
  </si>
  <si>
    <t>Actual GP %</t>
  </si>
  <si>
    <t xml:space="preserve">B vs A $ </t>
  </si>
  <si>
    <t>Variance</t>
  </si>
  <si>
    <t>Comments</t>
  </si>
  <si>
    <t>Dekalb</t>
  </si>
  <si>
    <t>TBEN</t>
  </si>
  <si>
    <t>400240TB</t>
  </si>
  <si>
    <t>TB Small</t>
  </si>
  <si>
    <t>2400 STD TB</t>
  </si>
  <si>
    <t>400247TB</t>
  </si>
  <si>
    <t>2410 ADV TB</t>
  </si>
  <si>
    <t>Tank Duplex 100 Gal</t>
  </si>
  <si>
    <t>TBRECIRC</t>
  </si>
  <si>
    <t>Test Bench Recir System</t>
  </si>
  <si>
    <t>Tank - Single - 500 Gallon - A</t>
  </si>
  <si>
    <t>TBIN</t>
  </si>
  <si>
    <t>Test Bench Installation &amp; Trai</t>
  </si>
  <si>
    <t>M3IN</t>
  </si>
  <si>
    <t>/711420120</t>
  </si>
  <si>
    <t>M3 Enterprise Software (Annual</t>
  </si>
  <si>
    <t>M3 Enterprise Software Install</t>
  </si>
  <si>
    <t/>
  </si>
  <si>
    <t>Rev Total</t>
  </si>
  <si>
    <t>SCH</t>
  </si>
  <si>
    <t>997080WH</t>
  </si>
  <si>
    <t>Shipping/Crating/Handling</t>
  </si>
  <si>
    <t>DRM3</t>
  </si>
  <si>
    <t>/M3RC</t>
  </si>
  <si>
    <t>M3 Software License Renewal- C</t>
  </si>
  <si>
    <t>DRMCC</t>
  </si>
  <si>
    <t>/811000010</t>
  </si>
  <si>
    <t>Small/Medium</t>
  </si>
  <si>
    <t>MCC Annual 2020</t>
  </si>
  <si>
    <t>Inv Total</t>
  </si>
  <si>
    <t>Total TBEN</t>
  </si>
  <si>
    <t>Coos Bay</t>
  </si>
  <si>
    <t>TB Medium</t>
  </si>
  <si>
    <t>TB New Medium Series 3-510 Mun200</t>
  </si>
  <si>
    <t>TB Install &amp; Training</t>
  </si>
  <si>
    <t>Shipping / Crating / Handling</t>
  </si>
  <si>
    <t>White House</t>
  </si>
  <si>
    <t>TB New Med Series 5</t>
  </si>
  <si>
    <t>Tank New Duplex 100 Gal</t>
  </si>
  <si>
    <t>Tank New Single 500 Gal</t>
  </si>
  <si>
    <t>Tank New Single 10 Gal</t>
  </si>
  <si>
    <t>M3 Software install &amp; Train</t>
  </si>
  <si>
    <t>/721520120</t>
  </si>
  <si>
    <t>St. Paul</t>
  </si>
  <si>
    <t>TB Med Series 5000 St</t>
  </si>
  <si>
    <t>Test Bench Installation &amp; Training</t>
  </si>
  <si>
    <t>Tank New  500 Gal</t>
  </si>
  <si>
    <t>Equip Sm Series 1000 Sta</t>
  </si>
  <si>
    <t>TB Large Bench</t>
  </si>
  <si>
    <t>M3 Software Installation &amp; Training</t>
  </si>
  <si>
    <t>M3 Enterprise Software</t>
  </si>
  <si>
    <t>/721420120</t>
  </si>
  <si>
    <t>/741620120</t>
  </si>
  <si>
    <t>/811003010</t>
  </si>
  <si>
    <t>/821003010</t>
  </si>
  <si>
    <t>Artesian Resources</t>
  </si>
  <si>
    <t>TB Install &amp; Train</t>
  </si>
  <si>
    <t>TB SM Series 2410 Adv</t>
  </si>
  <si>
    <t>TB Large Bench Sta</t>
  </si>
  <si>
    <t>/743200120</t>
  </si>
  <si>
    <t>/713200120</t>
  </si>
  <si>
    <t>Folsom</t>
  </si>
  <si>
    <t>TB New Medium</t>
  </si>
  <si>
    <t>M3IT</t>
  </si>
  <si>
    <t>M3 Software Install &amp; Train</t>
  </si>
  <si>
    <t>/811001011</t>
  </si>
  <si>
    <t>MCC Annual 2021</t>
  </si>
  <si>
    <t>/721620120</t>
  </si>
  <si>
    <t>M3 Software Annual</t>
  </si>
  <si>
    <t>M3 Software Annual Yr 1</t>
  </si>
  <si>
    <t>Sales Tax</t>
  </si>
  <si>
    <t>Springfield Water</t>
  </si>
  <si>
    <t>TB New Small Series 100</t>
  </si>
  <si>
    <t>Rochester Hills</t>
  </si>
  <si>
    <t>TB New Small Series 3-500</t>
  </si>
  <si>
    <t>TB Recirc System 1 bench</t>
  </si>
  <si>
    <t xml:space="preserve">TB Deinstallation </t>
  </si>
  <si>
    <t>/711400120</t>
  </si>
  <si>
    <t>Project Management Fee</t>
  </si>
  <si>
    <t xml:space="preserve">Detroit </t>
  </si>
  <si>
    <t>TB Large</t>
  </si>
  <si>
    <t>TB Large Standard</t>
  </si>
  <si>
    <t>Tank New Single 5000 Gal</t>
  </si>
  <si>
    <t>TB Recirculation System - 4 Bench</t>
  </si>
  <si>
    <t>TB Installation &amp; Train</t>
  </si>
  <si>
    <t>Houston</t>
  </si>
  <si>
    <t>TB New Medium Series 5</t>
  </si>
  <si>
    <t>Equip TB Medium Series 5</t>
  </si>
  <si>
    <t>/721120020</t>
  </si>
  <si>
    <t>Plano</t>
  </si>
  <si>
    <t>TB Recirculation System</t>
  </si>
  <si>
    <t>CD'A</t>
  </si>
  <si>
    <t xml:space="preserve">TB New Large </t>
  </si>
  <si>
    <t>Tank New Single 1500 Gal</t>
  </si>
  <si>
    <t>/721420121</t>
  </si>
  <si>
    <t>M3 Enterprise Software M3 5-1000</t>
  </si>
  <si>
    <t>/741620121</t>
  </si>
  <si>
    <t>M3 Enterprise Software M3 Large Bench</t>
  </si>
  <si>
    <t>North City</t>
  </si>
  <si>
    <t>Test Bench-New-Small-Series 3-510</t>
  </si>
  <si>
    <t>Tank - New Duplex - 100 Gallon</t>
  </si>
  <si>
    <t>San Diego</t>
  </si>
  <si>
    <t>Test Bench-New-Small-Series 24</t>
  </si>
  <si>
    <t>Equip-TB Small-Series 2410-Adv</t>
  </si>
  <si>
    <t>Equip-TB Large-Large Bench-Sta</t>
  </si>
  <si>
    <t>Equip-TB Medium-Series 10000-S</t>
  </si>
  <si>
    <t>TB Recirculation System-1 Benc</t>
  </si>
  <si>
    <t>Equip-TB Medium-Series 10010-A</t>
  </si>
  <si>
    <t>M3 Software Installation &amp; Tra</t>
  </si>
  <si>
    <t>TB Maintenance &amp; Calibration-S</t>
  </si>
  <si>
    <t>Tb/Mcc Costing 2021</t>
  </si>
  <si>
    <t>Anne Arundel</t>
  </si>
  <si>
    <t>Test Bench-New-Medium-Series 5</t>
  </si>
  <si>
    <t>Equip-TB Medium-Series 5-1000-</t>
  </si>
  <si>
    <t>/711520120</t>
  </si>
  <si>
    <t>M3 Enterprise Software 5-1000</t>
  </si>
  <si>
    <t>El Dorado</t>
  </si>
  <si>
    <t>Test Bench - New - Medium - Se</t>
  </si>
  <si>
    <t>Tank - New Single - 500 Gallon</t>
  </si>
  <si>
    <t>M3 Enterprise Software 3-510</t>
  </si>
  <si>
    <t>FSPT</t>
  </si>
  <si>
    <t>F2394019WH</t>
  </si>
  <si>
    <t>VF4 HIGH PRESSURE W/ HAND CART</t>
  </si>
  <si>
    <t>SPTC</t>
  </si>
  <si>
    <t>F2394025WH</t>
  </si>
  <si>
    <t>2.5"" X 25FT FIRE HOSE</t>
  </si>
  <si>
    <t>400076WH</t>
  </si>
  <si>
    <t>2.5 X 25 BLK NITRILE M/F NST</t>
  </si>
  <si>
    <t>TBCO</t>
  </si>
  <si>
    <t>070788WH</t>
  </si>
  <si>
    <t>2.5"" FNST SWIVEL X 2"" MNPT</t>
  </si>
  <si>
    <t>070789WH</t>
  </si>
  <si>
    <t>2.5" FNST SWIVEL X 2.5" MNPT</t>
  </si>
  <si>
    <t>070716WH</t>
  </si>
  <si>
    <t xml:space="preserve"> 2.5"" FNST SWIVEL x 3"" MNPT</t>
  </si>
  <si>
    <t>ROTH</t>
  </si>
  <si>
    <t>F2111136OL</t>
  </si>
  <si>
    <t>2.5 X 4 THRUST BUSTER 30 DEG</t>
  </si>
  <si>
    <t>DC Water</t>
  </si>
  <si>
    <t>MCC</t>
  </si>
  <si>
    <t>TB Maintenance &amp; Calibration-L</t>
  </si>
  <si>
    <t>Rev/Inv Total</t>
  </si>
  <si>
    <t>Miami</t>
  </si>
  <si>
    <t>Lubbock</t>
  </si>
  <si>
    <t>TBEU</t>
  </si>
  <si>
    <t>Small-TB Console-Upgrade</t>
  </si>
  <si>
    <t>Budget Standard Cost High - Actual $10K</t>
  </si>
  <si>
    <t>2 Employees - JoYo Training</t>
  </si>
  <si>
    <t>/715420121</t>
  </si>
  <si>
    <t xml:space="preserve">M3 Enterprise Software </t>
  </si>
  <si>
    <t>/811000111</t>
  </si>
  <si>
    <t>Metertek</t>
  </si>
  <si>
    <t>Test Bench-New-Small-2410-Advanced-Dual</t>
  </si>
  <si>
    <t>Tank - New Single - 10 Gallon - Manual - Stainless Steel</t>
  </si>
  <si>
    <t>TANK - SINGLE - 100 GAL - MANUAL - STAINLESS STEEL</t>
  </si>
  <si>
    <t>Test Bench Installation &amp; Training - Small - 2410 - Advanced - Dual</t>
  </si>
  <si>
    <t>Freight Cost Higher than Budgeted(R&amp;L)</t>
  </si>
  <si>
    <t>Pittsburgh</t>
  </si>
  <si>
    <t>Penn State</t>
  </si>
  <si>
    <t>Alameda</t>
  </si>
  <si>
    <t>SCCRWA</t>
  </si>
  <si>
    <t>Las Vegas</t>
  </si>
  <si>
    <t xml:space="preserve">Denver </t>
  </si>
  <si>
    <t>Aqua Penn</t>
  </si>
  <si>
    <t>Collier County</t>
  </si>
  <si>
    <t>SERV</t>
  </si>
  <si>
    <t>997088WH</t>
  </si>
  <si>
    <t>Service Call</t>
  </si>
  <si>
    <t>Medford</t>
  </si>
  <si>
    <t>Equip-TB Medium-Series 5-1000-Standard-Console Upgrade</t>
  </si>
  <si>
    <t>Test Bench Installation &amp; Training-Medium-Series 5-1000 Standard</t>
  </si>
  <si>
    <t>M3 Software Installation &amp; Training-Medium Test Bench</t>
  </si>
  <si>
    <t>/723620021</t>
  </si>
  <si>
    <t>M3 Enterprise Software (Annual)</t>
  </si>
  <si>
    <t>Apex</t>
  </si>
  <si>
    <t>C715 Upgrade-Series 1000 Bench</t>
  </si>
  <si>
    <t>Test Bench Installation &amp; Training- Series 1000 Bench</t>
  </si>
  <si>
    <t>/810000111</t>
  </si>
  <si>
    <t>ORWA</t>
  </si>
  <si>
    <t>TB Recirculation System-2 benches</t>
  </si>
  <si>
    <t>Material is over cost budgeted for entire project</t>
  </si>
  <si>
    <t>Budget cost looks in line with 2020 schedule</t>
  </si>
  <si>
    <t xml:space="preserve">Test Bench Installation &amp; Training </t>
  </si>
  <si>
    <t>How many resources were budgeted? (3 employees utilized)</t>
  </si>
  <si>
    <t>Only made 49% Trenton Recirc, other similar were low Actual GP</t>
  </si>
  <si>
    <t>Freight is too low based on miles and rate (2700*4.50=$12,150)</t>
  </si>
  <si>
    <t>Ridgewood</t>
  </si>
  <si>
    <t>San Jose</t>
  </si>
  <si>
    <t xml:space="preserve">M3 Installation &amp; Training </t>
  </si>
  <si>
    <t>Equip-TB Small-Series 2400-Standard</t>
  </si>
  <si>
    <t>Equip-TB Large-Large Bench-Standard</t>
  </si>
  <si>
    <t>Test Bench Installation &amp; Training-Series 2400-Standard</t>
  </si>
  <si>
    <t>Test Bench Installation &amp; Training-Large Bench-Standard</t>
  </si>
  <si>
    <t>/714220121</t>
  </si>
  <si>
    <t>/744220121</t>
  </si>
  <si>
    <t>SAWS</t>
  </si>
  <si>
    <t>2 employees (JoMo &amp; JoMa)</t>
  </si>
  <si>
    <t>Beverly Hills</t>
  </si>
  <si>
    <t>-</t>
  </si>
  <si>
    <t>Warranty - PLC and SD card</t>
  </si>
  <si>
    <t>No Material on front end- troubleshooting electrical issues</t>
  </si>
  <si>
    <t>WSSC</t>
  </si>
  <si>
    <t xml:space="preserve">Site Evaluation for Console Upgrade </t>
  </si>
  <si>
    <t>North Penn</t>
  </si>
  <si>
    <t>Test Bench-New-Small-Series 1010-Advanced</t>
  </si>
  <si>
    <t>Budget cost too high.</t>
  </si>
  <si>
    <t>Tank-New Duplex-100 Gal</t>
  </si>
  <si>
    <t>Budget cost too low - correct in V10 pricing/costing update</t>
  </si>
  <si>
    <t>Equip-TB Small-Series 1010-Advanced</t>
  </si>
  <si>
    <t xml:space="preserve">Sales budgeted too high. </t>
  </si>
  <si>
    <t>M3 cost should be at  least $5K as a minimum based on previous jobs</t>
  </si>
  <si>
    <t>1000 miles X $4.5 = $4500 - Freight actual above at $4.70 mile</t>
  </si>
  <si>
    <t>PM</t>
  </si>
  <si>
    <t>/96000001</t>
  </si>
  <si>
    <t>Project Mgmt Fee</t>
  </si>
  <si>
    <t>No costs allocated</t>
  </si>
  <si>
    <t>/711620120</t>
  </si>
  <si>
    <t>Victoria</t>
  </si>
  <si>
    <t>Test Bench-New-Small-Series 5010-Advanced</t>
  </si>
  <si>
    <t>Budget cost too high</t>
  </si>
  <si>
    <t>Tank-New Single-10 Gal</t>
  </si>
  <si>
    <t>Missing probes(.3)-all costed to 100gal Manual(1)</t>
  </si>
  <si>
    <t>Tank-New Single-100 Gal-Manual</t>
  </si>
  <si>
    <t>See above.</t>
  </si>
  <si>
    <t>Tank-New-Single-500 Gal-Manual</t>
  </si>
  <si>
    <t>Test Bench Installation &amp; Training-5010</t>
  </si>
  <si>
    <t>Two Employees - JoMo &amp; JoYo (Based on budget cost, should have been 1 employee). Also, install took 5 days. Should be about 3.</t>
  </si>
  <si>
    <t>1012 miles X $4.5 mile = $4554 - Freight actual above at $4.77 mile</t>
  </si>
  <si>
    <t>Ft. Smith</t>
  </si>
  <si>
    <t>Test Bench-New-Medium-Series 5-1010-Advanced</t>
  </si>
  <si>
    <t>Tank-New Single-500 Gal</t>
  </si>
  <si>
    <t xml:space="preserve">TB Recirculation System - 1 Bench </t>
  </si>
  <si>
    <t>Test Bench Installation &amp; Training-5-1010</t>
  </si>
  <si>
    <t>Budget mods approved DaCo.</t>
  </si>
  <si>
    <t>M3 Installation &amp; Training</t>
  </si>
  <si>
    <t>Two Employees-RuLo &amp; MiSc-Budget only accounts for 1 employee.</t>
  </si>
  <si>
    <t>1,038 miles X $4.5 = $4671-Fright actual above at $4.72 mile</t>
  </si>
  <si>
    <t>/721320121</t>
  </si>
  <si>
    <t>No costs allocated.</t>
  </si>
  <si>
    <t>Labor Hours are high, due to Service Call done in conjunction with MCC</t>
  </si>
  <si>
    <t>How was budget calculated?</t>
  </si>
  <si>
    <t>EBMUD</t>
  </si>
  <si>
    <t>Equip-TB Large-Large Bench-Std</t>
  </si>
  <si>
    <t>TBIU</t>
  </si>
  <si>
    <t>Test Bench Installation &amp; Training 2410</t>
  </si>
  <si>
    <t>Test Bench Installation &amp; Training Large</t>
  </si>
  <si>
    <t>/820101111</t>
  </si>
  <si>
    <t>No costs allocated. - see below for GPM</t>
  </si>
  <si>
    <t>/810101111</t>
  </si>
  <si>
    <t>/744620121</t>
  </si>
  <si>
    <t>M3 Enterprise Software (Annual) LG</t>
  </si>
  <si>
    <t>/714420121</t>
  </si>
  <si>
    <t>M3 Enterprise Software (Annual) 2410</t>
  </si>
  <si>
    <t>Scale Calibration was high due to intense troubleshooting (2 days). Freight &amp; Material costs were not budgeted.</t>
  </si>
  <si>
    <t>Normally performed by one employee (JoMo)-This was performed by JoMa &amp; JoYo</t>
  </si>
  <si>
    <t>High freight cost to send solenoid valves and Service call costs associated.</t>
  </si>
  <si>
    <t>Leesburg</t>
  </si>
  <si>
    <t>Normally performed by one employee-This was performed by JoMa &amp; JoYo</t>
  </si>
  <si>
    <t>Kansas City</t>
  </si>
  <si>
    <t>Performed by two employees-JoYo &amp; JoMa</t>
  </si>
  <si>
    <t xml:space="preserve">Chicago </t>
  </si>
  <si>
    <t>Warranty Work</t>
  </si>
  <si>
    <t>Performed by one employee-JoMo</t>
  </si>
  <si>
    <t>Wellington</t>
  </si>
  <si>
    <t>Included Install of meter TB &amp; meter calibration in new COF building</t>
  </si>
  <si>
    <t>Savannah</t>
  </si>
  <si>
    <t>Test Bench De-Installation &amp; Training</t>
  </si>
  <si>
    <t>Equip-TB Medium-Series 3-500</t>
  </si>
  <si>
    <t>Budgeted Cost was taken from Console Upgrade, which has a higher cost.</t>
  </si>
  <si>
    <t>TB Recirculation-1  Bench</t>
  </si>
  <si>
    <t>VAW</t>
  </si>
  <si>
    <t>Cleveland</t>
  </si>
  <si>
    <t>Milwaukee</t>
  </si>
  <si>
    <t>Service Level multiplier being added to costing to mitigate these negative margins more effectively</t>
  </si>
  <si>
    <t>476224WH</t>
  </si>
  <si>
    <t>Universal Discharge End</t>
  </si>
  <si>
    <t>476223WH</t>
  </si>
  <si>
    <t>Universal Supply End</t>
  </si>
  <si>
    <t>Performed by two employees-JoMo &amp; JoYo</t>
  </si>
  <si>
    <t>Austin</t>
  </si>
  <si>
    <t>Performed by two employees-JoMo &amp; JoYo ( 2400 &amp; 10000 TB)</t>
  </si>
  <si>
    <t>Marion County</t>
  </si>
  <si>
    <t>111226WH</t>
  </si>
  <si>
    <t>Ball Valve Brs 2" #2032T FNPT</t>
  </si>
  <si>
    <t>151950WH</t>
  </si>
  <si>
    <t>NPL Brs 2XCLS</t>
  </si>
  <si>
    <t>LADWP West</t>
  </si>
  <si>
    <t xml:space="preserve">Performed by two employees-JoMo &amp; AaRo / RuLo SW </t>
  </si>
  <si>
    <t>LADWP Central</t>
  </si>
  <si>
    <t>Performed by two employees-JoMo &amp; JoYo / RuLo SW  (Required HP Desktop $895.71)</t>
  </si>
  <si>
    <t xml:space="preserve">Performed by two employees-JoMo &amp; JoYo / RuLo SW </t>
  </si>
  <si>
    <t>FGUA</t>
  </si>
  <si>
    <t>Test Bench-New-Small-Series 1010-Advanced-Manual</t>
  </si>
  <si>
    <t>Tank-100gal &amp; 10gal SS-Manual</t>
  </si>
  <si>
    <t xml:space="preserve">Phoenix </t>
  </si>
  <si>
    <t>Test Bench-New-Medium-Series 5-1010</t>
  </si>
  <si>
    <t>Tank-New Duplex-100gal</t>
  </si>
  <si>
    <t>Tank-New Single-500gal</t>
  </si>
  <si>
    <t>Equip-TB Medium-Series 5-1010</t>
  </si>
  <si>
    <t>De-Installation of existing TB</t>
  </si>
  <si>
    <t>Mulitple UPS shipments for additional parts-VFD, 3" adapters &amp; other items. $5k was budgeted.</t>
  </si>
  <si>
    <t>/960000001</t>
  </si>
  <si>
    <t>/721120021</t>
  </si>
  <si>
    <t>/811001012</t>
  </si>
  <si>
    <t>MCC Annual 2022</t>
  </si>
  <si>
    <t>/811001013</t>
  </si>
  <si>
    <t>MCC Annual 2023</t>
  </si>
  <si>
    <t>/811001014</t>
  </si>
  <si>
    <t>MCC Annual 2024</t>
  </si>
  <si>
    <t>/811001015</t>
  </si>
  <si>
    <t>MCC Annual 2025</t>
  </si>
  <si>
    <t>/811001016</t>
  </si>
  <si>
    <t>MCC Annual 2026</t>
  </si>
  <si>
    <t>/811001017</t>
  </si>
  <si>
    <t>MCC Annual 2027</t>
  </si>
  <si>
    <t>DRTBIN</t>
  </si>
  <si>
    <t>/525101323</t>
  </si>
  <si>
    <t>De-Installation 2yrs</t>
  </si>
  <si>
    <t>/525101123</t>
  </si>
  <si>
    <t>Installation 2 yrs</t>
  </si>
  <si>
    <t>Ventura</t>
  </si>
  <si>
    <t>Test Bench-New-Small-1010</t>
  </si>
  <si>
    <t>Tank-New-Single-750gal Conical</t>
  </si>
  <si>
    <t>Equip-TB Small-Series 1010</t>
  </si>
  <si>
    <t>Equipment Total</t>
  </si>
  <si>
    <t>HW/SW Blended budget was for 2 employees totaling 60hrs (actual was 149hrs)-Employees JoMo &amp; BoHa</t>
  </si>
  <si>
    <t>HW/SW Blended budget was for 2 employees totaling 60hrs (actual was 149hrs)-Employee RuLo</t>
  </si>
  <si>
    <t>/711120021</t>
  </si>
  <si>
    <t>M3 Lite Software Suite(1010)</t>
  </si>
  <si>
    <t>Dallas</t>
  </si>
  <si>
    <t>The entails (2) Sm/Med TB's-2400 required "above the norm attention"-10000 standard</t>
  </si>
  <si>
    <t>Evaluated rather than MCC.</t>
  </si>
  <si>
    <t>Required additional work to replace valves &amp; gaskets</t>
  </si>
  <si>
    <t xml:space="preserve">M3 Install &amp; Training </t>
  </si>
  <si>
    <t>Equip-TB Large-Console Upgrade</t>
  </si>
  <si>
    <t>Equip-TB Medium-Console Upgrade</t>
  </si>
  <si>
    <t>Equip-TB Medium-ULF Upgrade</t>
  </si>
  <si>
    <t>3 employees JoYo, JoMo &amp; JoMa</t>
  </si>
  <si>
    <t>/744720121</t>
  </si>
  <si>
    <t>M3 Enterprise Annual Software</t>
  </si>
  <si>
    <t>/724720121</t>
  </si>
  <si>
    <t>Tallahassee</t>
  </si>
  <si>
    <t>438138WH</t>
  </si>
  <si>
    <t>2' Ball Valve w/ Dynaquip</t>
  </si>
  <si>
    <t>476237WH</t>
  </si>
  <si>
    <t>2" Ball Valve w/Mid</t>
  </si>
  <si>
    <t>Mobile</t>
  </si>
  <si>
    <t>Test Bench-Small-Series 1210</t>
  </si>
  <si>
    <t>Tank-New-Single-10gal</t>
  </si>
  <si>
    <t>The cost has increased $478.56 since proposal and 6/27 TB Cost Analysis used for TB cost verification</t>
  </si>
  <si>
    <t>Tank-New-Single-100gal</t>
  </si>
  <si>
    <t>TB Recirc System</t>
  </si>
  <si>
    <t>Budgeted for 1 employee @ 2 days = 16 hrs.  Actual is 4 days =  32hrs (2 for travel and 2 for Install) MiSc exp report costed to training</t>
  </si>
  <si>
    <t>/711520121</t>
  </si>
  <si>
    <t>M3 Enterprise Software (equip)</t>
  </si>
  <si>
    <t>Equip-C715/ULF/Rotometer Upgrade</t>
  </si>
  <si>
    <t>ULF Upgrade standard cost should be increased to $8000 min based on TB size.  Also, this job in particular required an additional $1000 in electrical components to rewire.</t>
  </si>
  <si>
    <t>JoMa &amp; JoYo - Only budgeted 1 employee 2 days @ 8hrs</t>
  </si>
  <si>
    <t>/724320122</t>
  </si>
  <si>
    <t>M3 Enterprise Annual Renewal</t>
  </si>
  <si>
    <t>Equip-TB Small-Series 2400-Console</t>
  </si>
  <si>
    <t>Equip-TB Medium-Series 10000-Console</t>
  </si>
  <si>
    <t>Equip-C715 Upgrade-Series 2400</t>
  </si>
  <si>
    <t>Additional materials requested.  I.E. draw bars and adapters</t>
  </si>
  <si>
    <t>Equip-C715 Upgrade-Series 10000</t>
  </si>
  <si>
    <t>/713220121</t>
  </si>
  <si>
    <t>/723220121</t>
  </si>
  <si>
    <t>/810000011</t>
  </si>
  <si>
    <t>Jal</t>
  </si>
  <si>
    <t>TB-New-Small-Series 310-No Console</t>
  </si>
  <si>
    <t>Equip-TB Small-Series 310</t>
  </si>
  <si>
    <t>Duplex tank used, rather than stand alone 10gal and 100gal tanks budgeted</t>
  </si>
  <si>
    <t>Budgeted for 3 days @ 8hrs &amp; Exp Report was $239 higher</t>
  </si>
  <si>
    <t>Allen</t>
  </si>
  <si>
    <t>Test Bench-Medium-5-1000-Std</t>
  </si>
  <si>
    <t>Tank-Single-100gal-Auto-Stainless</t>
  </si>
  <si>
    <t>Tank-Single-500gal-Auto-Stainless</t>
  </si>
  <si>
    <t>Equip-TB Medium-Series 5-1000</t>
  </si>
  <si>
    <t>TB Recirculation System-1  Bench</t>
  </si>
  <si>
    <t xml:space="preserve">$2447  - 3 days budgeted </t>
  </si>
  <si>
    <t>The last two 5-1000 shipments were 22 hrs (Ft. Smith &amp; Phoenix).  Also, there were several UPS NDA shipments for misc items.</t>
  </si>
  <si>
    <t>M3 Enterprise Software (Annual Subscription)</t>
  </si>
  <si>
    <t>Polk County</t>
  </si>
  <si>
    <t>Ball Valve Brs 2" 2032T FNPT</t>
  </si>
  <si>
    <t>OCWA</t>
  </si>
  <si>
    <t xml:space="preserve">Part of special two year warranty -owed from 2020 TB contract </t>
  </si>
  <si>
    <t>Two employees (JoYo &amp; JoMa)</t>
  </si>
  <si>
    <t>Westminster</t>
  </si>
  <si>
    <t>M3 Upgrade with no Revenue-M3 Warranty GL</t>
  </si>
  <si>
    <t>Philadelphia</t>
  </si>
  <si>
    <t>Highland Village</t>
  </si>
  <si>
    <t>Test Bench Equipment ULF Upgrade Series 510</t>
  </si>
  <si>
    <t>Required two trips for install (Budgeted 3 days @ 8hrs =24 total / Actual ≈6 days or 52 hrs)</t>
  </si>
  <si>
    <t>TB Truck</t>
  </si>
  <si>
    <t>Test Bench-New-Small 3-510-Mobile System</t>
  </si>
  <si>
    <t>MARS Truck Tester</t>
  </si>
  <si>
    <t xml:space="preserve">Test Bench Install &amp; Training-Small-Series 3-510 Mobile </t>
  </si>
  <si>
    <t>M3 Enterprise Software Annual-Tier I-Truck Tester</t>
  </si>
  <si>
    <t>$24912 discount</t>
  </si>
  <si>
    <t>M3 Software Installation &amp; Training - Truck Tester</t>
  </si>
  <si>
    <t>Mt Pleasant</t>
  </si>
  <si>
    <t>Test Bench-New-Medium-Series 5-1000</t>
  </si>
  <si>
    <t>Pricing structure on Budget is from 11/16/2020 (see attached Final GPA in Asana)</t>
  </si>
  <si>
    <t>Tank-Single-100gal-Auto-Stainless Steel</t>
  </si>
  <si>
    <t>Equip-TB Medium-Series 5-1000-10 Gal Tank/Scale/Rotometer New-Dual</t>
  </si>
  <si>
    <t>TB Recirculation System-1 Bench-300gal Poly</t>
  </si>
  <si>
    <t>Test Bench Installation &amp; Training-Medium-Series 5-1000-Standard-Dual</t>
  </si>
  <si>
    <t>M3 Enterprise Software (Annual Subscription License) - Perpetual - Medium Test Bench</t>
  </si>
  <si>
    <t>M3 Software Installation &amp; Training - Medium Test Bench</t>
  </si>
  <si>
    <t>Scale Calibration service not completed until 8/3.</t>
  </si>
  <si>
    <t>Test Bench -Equipment- Small - Console Upgrade</t>
  </si>
  <si>
    <t>Test Bench -Equipment -ULF/C715 Upgrade-Series 2410</t>
  </si>
  <si>
    <t>Rotometer added after the fact. This is the $3000 difference.</t>
  </si>
  <si>
    <t>Test Bench Installation &amp; Training-Small-Series 2410-Advanced-Dual-Console</t>
  </si>
  <si>
    <t>Budget 2 employees 7 days vs 1 employee 5 day actual</t>
  </si>
  <si>
    <t>M3 Enterprise Software -Tier II (Annual Subscription)-Small</t>
  </si>
  <si>
    <t>M3IU</t>
  </si>
  <si>
    <t>M3 Software Installation &amp; Training-Small-Test Bench-Tier II</t>
  </si>
  <si>
    <t>Milcrofton</t>
  </si>
  <si>
    <t>Test Bench-New-Small-Series 1010-Advanced-Console-Single</t>
  </si>
  <si>
    <t>side by sde reconciliation needed</t>
  </si>
  <si>
    <t>Equip-TB Small-Series 1010-Advanced--Single</t>
  </si>
  <si>
    <t>TB Recirculation System-1 Bench-825gal Poly</t>
  </si>
  <si>
    <t>VFD changed due to pump repurpose. Original VFD cannot be removed due to prior months being closed. This is $1100 of the $1600 variance. Balance would be pump cost increase.</t>
  </si>
  <si>
    <t>Test Bench Installation &amp; Training-Sm/Med-Advanced-Single</t>
  </si>
  <si>
    <t>Increase actual to 12 hours</t>
  </si>
  <si>
    <t>M3 Software Installation &amp; Training-Small-Test Bench-Tier 1</t>
  </si>
  <si>
    <t>Cost as approved. See Final GPA attached in Asana.</t>
  </si>
  <si>
    <t>M3 Enterprise Software (Annual Subscription)-Small</t>
  </si>
  <si>
    <t>Test Bench -Equipment- Small - Console Upgrade (100 Bench)</t>
  </si>
  <si>
    <t>Budgeted higher than Actual.</t>
  </si>
  <si>
    <t>Test Bench -Equipment- Small - Console Upgrade (2400 Bench)</t>
  </si>
  <si>
    <t>Test Bench -Equipment- Medium - Console Upgrade (5000)</t>
  </si>
  <si>
    <t>Test Bench -Equipment- Large - Console Upgrade</t>
  </si>
  <si>
    <t>434428WH</t>
  </si>
  <si>
    <t>Large Bench Rotometer Assembly</t>
  </si>
  <si>
    <t>Cost increase since budget for materials</t>
  </si>
  <si>
    <t>434430WH</t>
  </si>
  <si>
    <t>Full Rotometer Assy Auto</t>
  </si>
  <si>
    <t>Proposed cost only for 1 unit</t>
  </si>
  <si>
    <t>400237WH</t>
  </si>
  <si>
    <t>Large Bench Meter Restraint</t>
  </si>
  <si>
    <t>Test Bench Installation &amp; Training- Multi-Bench - Upgrade</t>
  </si>
  <si>
    <t>Budgeted 2 employees 5 days. Actual 4 employees 1 week, 2 employees and additional week.</t>
  </si>
  <si>
    <t>Costs associated with Wo1374 Service Call costed as requested by JeBu &amp; JoDi</t>
  </si>
  <si>
    <t>M3 Software Install &amp; Training-Multi-Bench-Console Upgrade</t>
  </si>
  <si>
    <t>Budgeted 1 employee 5 days. Actual 2 employess 1 week.</t>
  </si>
  <si>
    <t>Cost of diesel has increased since proposal 8/21.</t>
  </si>
  <si>
    <t>M3 Enterprise SoftwareSmall Test Bench (100)</t>
  </si>
  <si>
    <t xml:space="preserve">Cost increase since budget for materials. Verfiy what items are standard. </t>
  </si>
  <si>
    <t>M3 Enterprise Software  Small Test Bench (2400) (2 consoles)</t>
  </si>
  <si>
    <t>M3 Enterprise Software Medium Test Bench-Upgrade (5000)</t>
  </si>
  <si>
    <t>M3 Enterprise Software Large Test Bench-Upgrade</t>
  </si>
  <si>
    <t>910240322</t>
  </si>
  <si>
    <t>Test Bench -Equipment- Small-Series 2400- Console Upgrade</t>
  </si>
  <si>
    <t xml:space="preserve">*See Contract </t>
  </si>
  <si>
    <t>Test Bench-Equipment-Series 10000 Upgrade-Dual</t>
  </si>
  <si>
    <t>M3 Software Installation &amp; Training-Small-Test Bench-Unlimited</t>
  </si>
  <si>
    <t>M3 Software Installation &amp; Training-Large-Test Bench-Unlimited</t>
  </si>
  <si>
    <t>Test Bench Installation &amp; Training- Small- Series 2400 - Upgrade</t>
  </si>
  <si>
    <t>Test Bench Installation &amp; Training- Large - Upgrade</t>
  </si>
  <si>
    <t>Test Bench Install &amp; Training- Medium- Series 10000 - Upgrade</t>
  </si>
  <si>
    <t>M3 Enterprise Software - Unlimited - Medium</t>
  </si>
  <si>
    <t>M3 Software Subscription - Small - Unlimited</t>
  </si>
  <si>
    <t>M3 Software Subscription - Large - Unlimited</t>
  </si>
  <si>
    <t>Unable to perform due to pump being inoperable .</t>
  </si>
  <si>
    <t>Truck</t>
  </si>
  <si>
    <t>TB Maintenance &amp; Calibration-T</t>
  </si>
  <si>
    <t>Service Call (8" promation valve)</t>
  </si>
  <si>
    <t>North Marin Water District</t>
  </si>
  <si>
    <t>Test Bench-New-Small-Series 310-MUN200 -Advanced-Single</t>
  </si>
  <si>
    <t>Tank - New Duplex - 100 Gallon - Manual</t>
  </si>
  <si>
    <t>Test Bench Installation &amp; Training-Small-Series 310-Advanced-Single</t>
  </si>
  <si>
    <t>See attached email thread in Asana under project</t>
  </si>
  <si>
    <t>Newport News</t>
  </si>
  <si>
    <t>Test Bench-New-Small-2410-Advanced-Dual-Console</t>
  </si>
  <si>
    <t xml:space="preserve">Labor varies from 41-57hrs on TB's of similar benches. 31(Plano) &amp; 112hrs(Ft. Smith) are the extreme low and high. Should 45hrs be a good standard? </t>
  </si>
  <si>
    <t>Equip-TB Small-Series 2410-ULF-New-Dual</t>
  </si>
  <si>
    <t xml:space="preserve">Gravity Feed not added until after proposal </t>
  </si>
  <si>
    <t>Pump &amp; tanks cost increased since this propsal on 8/21.</t>
  </si>
  <si>
    <t>SS prices increased since this proposal on 8/21</t>
  </si>
  <si>
    <t>Test Bench Installation &amp; Training-Small-Series 2410-Adv-Dual</t>
  </si>
  <si>
    <t xml:space="preserve">3 employees actual vs 2 employees proposed. Also, time to install Gravity Feed was not included or known at this time. 20 actual days vs 12 days proposed. </t>
  </si>
  <si>
    <t>M3 Software Installation &amp; Training-Small-Test Bench-Tier I</t>
  </si>
  <si>
    <t xml:space="preserve">2 employees actual vs 1 employee proposed. 8 days total between 2 employees vs 3 days for 1 employee proposed. </t>
  </si>
  <si>
    <t>M3 Enterprise Software -Tier I (Annual Subscription)-Small</t>
  </si>
  <si>
    <t>Waco</t>
  </si>
  <si>
    <t>Test Bench -Equipment -ULF/C715 Upgrade-Series 5-1000</t>
  </si>
  <si>
    <t>434626WH</t>
  </si>
  <si>
    <t>Gskt Adap Meter Flat 5/8</t>
  </si>
  <si>
    <t>434622WH</t>
  </si>
  <si>
    <t>Gskt Adap Meter Flat 3/4</t>
  </si>
  <si>
    <t>434612WH</t>
  </si>
  <si>
    <t>Gskt Adap Meter Flat 1</t>
  </si>
  <si>
    <t>434646WH</t>
  </si>
  <si>
    <t>Gskt Adap Meter Back</t>
  </si>
  <si>
    <t>434631WH</t>
  </si>
  <si>
    <t>O-Ring #333-70N Nitrile Rubber</t>
  </si>
  <si>
    <t>Test Bench Installation &amp; Training- Medium- Series 5-1000- Std - Upg.</t>
  </si>
  <si>
    <t>Split with MCC. 50% of time and expense went to each, as noted by JoMo.</t>
  </si>
  <si>
    <t>Freight was initially provided only for a ULF Rotometer, not a pallet of C715 parts as well. Back in September.</t>
  </si>
  <si>
    <t>RuLo serviced a software upgrade for the Unitronics Verizon router.</t>
  </si>
  <si>
    <t>Test Bench -Equipment -ULF Upgrade-Series 3-500</t>
  </si>
  <si>
    <t>Test Bench Installation &amp; Training- Medium- Series 3-500- Standard - Upgrade</t>
  </si>
  <si>
    <t>Lodi</t>
  </si>
  <si>
    <t>2022 Pricing used</t>
  </si>
  <si>
    <t>2022 Pricing used-Put rev for 10gal with equip, as it should be.</t>
  </si>
  <si>
    <t>Install took 30hrs over budgeted.</t>
  </si>
  <si>
    <t>M3 Enterprise Software (Annual Subscription License) -Unlimited- Medium Test Bench</t>
  </si>
  <si>
    <t>Better Margins due to split travel with SCCRWA</t>
  </si>
  <si>
    <t>Better Margins due to split travel with Onondaga</t>
  </si>
  <si>
    <t>Birmingham</t>
  </si>
  <si>
    <t>Aruba</t>
  </si>
  <si>
    <t>Equip-TB Medium-Series 5-1000-Standard- Console Upgrade- Dual</t>
  </si>
  <si>
    <t>Console costs have increased since proposal origin</t>
  </si>
  <si>
    <t>Test Bench Installation &amp; Training- Medium- Series 5-1000- Standard - Dual - Upgrade</t>
  </si>
  <si>
    <t>M3 Legacy Lite Software Perpetual</t>
  </si>
  <si>
    <t>M3 Software Install &amp; Training</t>
  </si>
  <si>
    <t>Only includes 8hrs at MARS - NO at site labor included</t>
  </si>
  <si>
    <t>Freight is from 2021. Additional labor and crating material needed for overseas shipping.</t>
  </si>
  <si>
    <t>MiSc had cancellation charges and this took about 4hrs over average</t>
  </si>
  <si>
    <t>Badger</t>
  </si>
  <si>
    <t>Small</t>
  </si>
  <si>
    <t>Test Bench-New-Small-Series 1200-Standard-Console-Single</t>
  </si>
  <si>
    <t>Pricing includes Bullhorn on all TB. This did not require one. Also, 6 hrs less labor. Reducing cost by $1,804.</t>
  </si>
  <si>
    <t>Old tank cost used from V12.</t>
  </si>
  <si>
    <t>Equip-TB Small-Series 1200-ULF w/ Gravity Feed System-New-Single</t>
  </si>
  <si>
    <t>Rotometer and valve included in TB when new. Less ≈$500.</t>
  </si>
  <si>
    <t>Less labor applied and repurpose, old 7.5hp 9 phase pump from 2019. Less $$.</t>
  </si>
  <si>
    <t>Test Bench Installation &amp; Training- Small- Series 1200- Standard - Single</t>
  </si>
  <si>
    <t>JoMo Site Eval. Extra poly parts and temp probe.</t>
  </si>
  <si>
    <t>Based on % of Pricing. Average M3 components cost ≈$2200. This was a special case requiring less.</t>
  </si>
  <si>
    <t>Less than expected labor &amp; exp report. ≈$1300.</t>
  </si>
  <si>
    <t>Service Call (Software Upgrade)</t>
  </si>
  <si>
    <t>AaRo additonal exp report for cancelled trip. $1,006.04</t>
  </si>
  <si>
    <t>Additonal material and labor costs to rebuild low and mid flows on rotometer</t>
  </si>
  <si>
    <t>Additional labor, material &amp; freight to fix leak and connection on recirc.</t>
  </si>
  <si>
    <t>Higher than average scale cost dropped margin below budget.</t>
  </si>
  <si>
    <t>M3 Software Training - Refresher</t>
  </si>
  <si>
    <t>Done in conjunction with MCC.</t>
  </si>
  <si>
    <t xml:space="preserve">Denton </t>
  </si>
  <si>
    <t>Medium</t>
  </si>
  <si>
    <t>Test Bench-New-Medium-Series 5-1010-Advanced-Dual</t>
  </si>
  <si>
    <t xml:space="preserve">Cost diff is from weight transmitters based on # of tanks and one additional scrapped during testing. Assortment of other items with cost increases. </t>
  </si>
  <si>
    <t>MARS Truck Tester - VF-10</t>
  </si>
  <si>
    <t>Old costing budgeted.</t>
  </si>
  <si>
    <t>Tank-Single-500gal-Auto-Stainless Steel</t>
  </si>
  <si>
    <t>Equipment- Test Bench -Series 5-1010 - ULF</t>
  </si>
  <si>
    <t>TB Recirculation System-1 Bench- Poly Tank</t>
  </si>
  <si>
    <t>Test Bench Installation &amp; Training-Medium-Series 5-1010-Advanced-Dual</t>
  </si>
  <si>
    <t>Additional costs for repair trip by MiSc. Leaking Roto tree.</t>
  </si>
  <si>
    <t>Only one tech proposed, but two went. 32hrs total. Additional costs for repair trip by MiSc.</t>
  </si>
  <si>
    <t>M3 Enterprise Software -Tier II (Annual Subscription)-VF-10</t>
  </si>
  <si>
    <t>M3 Enterprise Software -Tier II (Annual Subscription)-Medium</t>
  </si>
  <si>
    <t>Switched to R&amp;L for All-Risk Insurance to better provide coverage based on invoice value. Any load over $200k is considered high value and requires two drivers, which increases price. This was done after proposal and spot quote provided.</t>
  </si>
  <si>
    <t>Year 2-5</t>
  </si>
  <si>
    <t>Required a 2" Ball valve w/ dynaquip be replaced. $476.08.</t>
  </si>
  <si>
    <t>MDC</t>
  </si>
  <si>
    <t>Test Bench-Medium-Series 6-1200</t>
  </si>
  <si>
    <t>Costs from May 2022</t>
  </si>
  <si>
    <t>Tank-New Single-10 Gallon-Auto-Stainless Steel</t>
  </si>
  <si>
    <t>Test Bench Installation &amp; Training-Medium-Series 6-1200-Standard-Dua</t>
  </si>
  <si>
    <t>Only one resource budgeted for 3 days including travel. Two went (MiSc &amp; DySi). Total of $5,342 of non budgeted expenses for labor and DySi exp report. Overall variance is $5,886.41</t>
  </si>
  <si>
    <t>Higher due to All-Risk High Value Insurance</t>
  </si>
  <si>
    <t>FFEE</t>
  </si>
  <si>
    <t>Finder's Fee F.W. Webb</t>
  </si>
  <si>
    <t xml:space="preserve">Two trips back to Denton to repair cross and then tee. MiSc 1st trip and JoMo second trip. </t>
  </si>
  <si>
    <t>Margins higher due to only JoMo going. Two employees in 2022. JoMo &amp; MiSc.</t>
  </si>
  <si>
    <t>Additional time for repairs on one of small benches and connecting recirc.</t>
  </si>
  <si>
    <t>3 employees involved in testing and maintenance (JoMa, MiSc &amp; RuLo). Excessive repairs to damages on testers.</t>
  </si>
  <si>
    <t>Single sm/med usually take 1 day on site. This required 2 days for training and maintenance.</t>
  </si>
  <si>
    <t>Only one employee performed maintenance and was done in conjunction with EBMUD to reduce expenses.</t>
  </si>
  <si>
    <t>Only one employee performed maintenance and was done in conjunction with Alameda to reduce expenses.</t>
  </si>
  <si>
    <t>SW components removed and costed to proper GL with a $0 SO and WO, as they are part of M3 Enterprise Subscription (renewal) for 2022-2023.</t>
  </si>
  <si>
    <t>4014092E</t>
  </si>
  <si>
    <t>VFD DG1 VT,380-500V,20Hp, DG134023FBC21C</t>
  </si>
  <si>
    <t>Service Call (VFD &amp; 2" Dynaquip w/ Mid)</t>
  </si>
  <si>
    <t>Proposal was reduced to meet customer figure by DaCo and MaGu. 2" dynaquip with mid added after the fact.</t>
  </si>
  <si>
    <t xml:space="preserve">Freight discounted in full. 0 sum. </t>
  </si>
  <si>
    <t>Service Call (4" V-port valve on VF-10)</t>
  </si>
  <si>
    <t>Performed in conjunction with Tallahassee</t>
  </si>
  <si>
    <t>Performed in conjunction with Savannah. Two scale calibrations required, due to issue of dump resting on tank that gave an incorrect reading.</t>
  </si>
  <si>
    <t>Performed in conjunction with LADWP West</t>
  </si>
  <si>
    <t>Required more time due to chipping/cracking on front end of bench. Service quote pending.</t>
  </si>
  <si>
    <t>Performed in conjunction with LADWP Central</t>
  </si>
  <si>
    <t>Service Call (Scale 2022)</t>
  </si>
  <si>
    <t>2022 scale calibration performed in interim while contract being negotiated/executed.</t>
  </si>
  <si>
    <t>Two employees utilized (JoMa &amp; JoMo) - Last few were done soley by JoMo - Higher margins</t>
  </si>
  <si>
    <t>Not completely serviceable due to pumps not being functional.</t>
  </si>
  <si>
    <t>Boston</t>
  </si>
  <si>
    <t>Test Bench -Equipment - ULF Upgrade - Series 6-1200</t>
  </si>
  <si>
    <t>Additional material sent beyond carrier bars budgeted.  i.e. adapters, PVC filler pieces &amp; misc parts to install ULF rotometer.</t>
  </si>
  <si>
    <t>Test Bench Installation &amp; Training-Medium-Series 6-1200-Standard-Dual</t>
  </si>
  <si>
    <t>Performed in conjunction with MCC. Only budgeted one day on site, no travel.</t>
  </si>
  <si>
    <t xml:space="preserve">Additional material sent beyond carrier bars budgeted. </t>
  </si>
  <si>
    <t>Performed in conjunction with Upgrade.</t>
  </si>
  <si>
    <t xml:space="preserve">This included replacing 2" ball valves. </t>
  </si>
  <si>
    <t>Return trip to complete.</t>
  </si>
  <si>
    <t>997090WH</t>
  </si>
  <si>
    <t>SW Upgrade - Contracted</t>
  </si>
  <si>
    <t>Replaced 2/4 computer, upgraded M3 software, cable management, ipad updates, user accounts added/removed, reconnected printer, discussed Data uses</t>
  </si>
  <si>
    <t>Replaced router, functionality check, lg bench scope</t>
  </si>
  <si>
    <t>LADWP</t>
  </si>
  <si>
    <t>CUC</t>
  </si>
  <si>
    <t>Old costing and extra labor than standard.</t>
  </si>
  <si>
    <t>Old costing.</t>
  </si>
  <si>
    <t>Equipment- Test Bench -Series 5-1010 - Spare Parts</t>
  </si>
  <si>
    <t>31080020 </t>
  </si>
  <si>
    <t>Old costing. VFD and 825gal poly increased.</t>
  </si>
  <si>
    <t>Test Bench Installation &amp; Training - 5-1010 &amp; VF-10</t>
  </si>
  <si>
    <t>Scale and Expenses came in higher than budgeted. Weekend layover on return home as well.</t>
  </si>
  <si>
    <t>72142012 </t>
  </si>
  <si>
    <t>M3 Enterprise Software - Tier II (Annual Subscription) - VF-10</t>
  </si>
  <si>
    <t>M3 Software Installation &amp; Training - Tier II - Medium &amp; VF-10</t>
  </si>
  <si>
    <t>Expenses and labor hours came in higher than budgeted. Weekend layover on return home as well.</t>
  </si>
  <si>
    <t xml:space="preserve">Margin erosion due to additional time needed to test VF4's on site with Lg Bench. </t>
  </si>
  <si>
    <t>Weekend stayover added $684.30. Rooms were about 1.5 times more than budget cost. Scale invoice was excessive for 3 scales. ≈$665 each. ≈$2k total.</t>
  </si>
  <si>
    <t>Low scale cost and one employee.</t>
  </si>
  <si>
    <t>Annual Maintenance Water Treat Repair - Year 2 of 7</t>
  </si>
  <si>
    <t>Performed in conjunction with one another. Low revenue is based on contract with TB system.</t>
  </si>
  <si>
    <t>Annual Training/Tester Operator - Year 2 of 7</t>
  </si>
  <si>
    <t>Performing in January of 2024. Not enough time allocated, due to PLC issues.</t>
  </si>
  <si>
    <t>477731WH</t>
  </si>
  <si>
    <t>Pump Condensate 1/30Hp 115V Little Giant</t>
  </si>
  <si>
    <t>438163WH</t>
  </si>
  <si>
    <t>ULF Needle Valve</t>
  </si>
  <si>
    <t>Service Call (Valve and pump Repl)</t>
  </si>
  <si>
    <t xml:space="preserve">Performed in conjunction with one another. </t>
  </si>
  <si>
    <t>One employee</t>
  </si>
  <si>
    <t>Fontana</t>
  </si>
  <si>
    <t>Old costing. Within ≈$2 of current.</t>
  </si>
  <si>
    <t>Equipment- Test Bench - Series 2410 - ULF</t>
  </si>
  <si>
    <t>Old costing. Within ≈$35 of current</t>
  </si>
  <si>
    <t>Test Bench Installation &amp; Training-Series 2410</t>
  </si>
  <si>
    <t>42hrs over budgeted. 122 vs 80.</t>
  </si>
  <si>
    <t>Need to bump labor and material rate to $2k from $1500 when providing freight, as labor hrs and lumber are higher. Adding a $1k buffer for jobox as well. Varies from ≈$700-1000, depending on distance.</t>
  </si>
  <si>
    <t>MARS M3 Enterprise Software Suite</t>
  </si>
  <si>
    <t>10hrs over budgeted. 34 vs 24.</t>
  </si>
  <si>
    <t>One employee. Only one day on site and two (4) hr travel days.</t>
  </si>
  <si>
    <t>Roseville</t>
  </si>
  <si>
    <t>Equipment- Test Bench -Series 2400</t>
  </si>
  <si>
    <t>Adapter kits not included in proposed cost. Only Carrier bar kits.  These costs have been sent to be added to Ref-HW tab moving forward.</t>
  </si>
  <si>
    <t>Equipment- Test Bench -Series 5000</t>
  </si>
  <si>
    <t>Added misc kits and draw bars after the fact. Added ≈$500</t>
  </si>
  <si>
    <t>Test Bench Installation &amp; Training- 2 Benches - Upgrade</t>
  </si>
  <si>
    <t>Performed in conjunction with MCC.</t>
  </si>
  <si>
    <t>M3 Software Installation &amp; Training - Tier II</t>
  </si>
  <si>
    <t>Greeley</t>
  </si>
  <si>
    <t xml:space="preserve">2022 Costing - Inline with Current costing - 30.5hrs over expected at 28hrs ($1208). Added additional WT to Console costing, as many projects require 500gal tank ($400). </t>
  </si>
  <si>
    <t>Tank-Single-10gal-Auto-Stainless Steel</t>
  </si>
  <si>
    <t>2022 Costing - Inline with Current costing</t>
  </si>
  <si>
    <t>Hard keyed on cost field on pricing. No VF-10 has cost $31k. They average ≈$21k.</t>
  </si>
  <si>
    <t>Switched to All-Risk Insurance which increased rates, but provides more coverage for our equipment. Added $1930 for insurance alone.</t>
  </si>
  <si>
    <t>MARS M3 Enterprise Software Suite - 5-1010</t>
  </si>
  <si>
    <t>MARS M3 Enterprise Software Suite - VF-10</t>
  </si>
  <si>
    <t xml:space="preserve">M3 Software Installation &amp; Training </t>
  </si>
  <si>
    <t>New components have been added though these itterations since this Beta.</t>
  </si>
  <si>
    <t>Equipment - VF-10 - Demo Lease</t>
  </si>
  <si>
    <t>Test Bench Installation &amp; Training- VF-10</t>
  </si>
  <si>
    <t>1432 &amp; 3044</t>
  </si>
  <si>
    <t>Two employees went vs one budgeted for Beta Install.</t>
  </si>
  <si>
    <t>M3 Enterprise Software - Unlimited (Annual Subscription) - VF-10</t>
  </si>
  <si>
    <t>M3 Software Installation &amp; Training-VF-10-Unlimited</t>
  </si>
  <si>
    <t>Fairfax</t>
  </si>
  <si>
    <t>Test Bench-New-Small-Series 2410-Advanced-Dual</t>
  </si>
  <si>
    <t>Inline with current costing</t>
  </si>
  <si>
    <t>14000011-6</t>
  </si>
  <si>
    <t>Test Bench-New-Large-6"-Standard-Single</t>
  </si>
  <si>
    <t>Costing needs to be dialed in now that we have current assembled components. Prior costing based on 200+inches of 3-12" pipe</t>
  </si>
  <si>
    <t>Tank-Single-2500gal-Auto-Stainless Steel</t>
  </si>
  <si>
    <t xml:space="preserve">ONLY included tank cost. Load Cells, sight rails &amp; accessories not included in costing. Will provide to SE's for Lg SS tanks to use moving forward. </t>
  </si>
  <si>
    <t>Tank-Duplex-100gal-Auto-Stainless Steel</t>
  </si>
  <si>
    <t>TB Recirculation System-2 Bench- Poly Tank</t>
  </si>
  <si>
    <t>Test Bench Installation &amp; Training - 2 Benches</t>
  </si>
  <si>
    <t>Reqiuring 3 trips (December 24, Jan &amp; March 25). Initial install (no power setup by customer), Correct electrical concerns by customer &amp; lastly training)</t>
  </si>
  <si>
    <t>Equipment WO closed EOY 2023. The 4k poly and 2500gal SS tank had freight costs that are normally baked into total cost. ≈$8,000. Also, we switched to All Risk Insurance using sale value of equipment vs cost previously. Quoted freight was from 2022.</t>
  </si>
  <si>
    <t xml:space="preserve">MARS M3 Enterprise Software Suite </t>
  </si>
  <si>
    <t>Two employees - performed 26 hrs quicker than previous.</t>
  </si>
  <si>
    <t>438253WH</t>
  </si>
  <si>
    <t>Valve Check Wafer 3</t>
  </si>
  <si>
    <t>111283WH</t>
  </si>
  <si>
    <t>Valve Check Wafer 6 Cv0600-SS</t>
  </si>
  <si>
    <t>Goodwill Discount</t>
  </si>
  <si>
    <t>McKinney</t>
  </si>
  <si>
    <t>400538E</t>
  </si>
  <si>
    <t>MUN-200 Control Box</t>
  </si>
  <si>
    <t>151706WH</t>
  </si>
  <si>
    <t>1" Brass Union #2220</t>
  </si>
  <si>
    <t>151712WH</t>
  </si>
  <si>
    <t>Tee Brs 1</t>
  </si>
  <si>
    <t>151730WH</t>
  </si>
  <si>
    <t>Npl Brs 1Xcls</t>
  </si>
  <si>
    <t>151732WH</t>
  </si>
  <si>
    <t>Npl Brs 1X2</t>
  </si>
  <si>
    <t>434698WH</t>
  </si>
  <si>
    <t>Cplg Cu 1</t>
  </si>
  <si>
    <t>111222WH</t>
  </si>
  <si>
    <t>Ball Valve Brs 1" #2032T Fnp</t>
  </si>
  <si>
    <t>434562WH</t>
  </si>
  <si>
    <t>Valve Solenoid 2-Way Nc 1</t>
  </si>
  <si>
    <t>Test Bench Installation &amp; Training - Upgrade</t>
  </si>
  <si>
    <t>Additional $952.72 in parts for install. Concurrent work discount $5,885. 3 days allocated to upgrade.</t>
  </si>
  <si>
    <t xml:space="preserve">Additional $514.06 to ships parts for install NDA Early AM. </t>
  </si>
  <si>
    <t>One day allocated to MCC. Actual almost double the hours budgeted between MCC and Upgrade Install. 55.5 actual vs 32 budgeted.</t>
  </si>
  <si>
    <t xml:space="preserve">Test Bench Installation and Training </t>
  </si>
  <si>
    <t>Peformed in conjuction with VF-10 Install</t>
  </si>
  <si>
    <t>Repurposed a large pump crate - reduced labor &amp; material cost</t>
  </si>
  <si>
    <t>M3 Enterprise Software - (Annual Subscription) - VF-10</t>
  </si>
  <si>
    <t>M3 Software Installation &amp; Training-VF-10</t>
  </si>
  <si>
    <t>Paired in same week as DC Water MCC</t>
  </si>
  <si>
    <t>≈30hrs is the average for this customer, based on last couple MCC.</t>
  </si>
  <si>
    <t>Local and manual bench.</t>
  </si>
  <si>
    <t>Middlesex</t>
  </si>
  <si>
    <t>NPL Brs 2.0XClose</t>
  </si>
  <si>
    <t>Ball Valve Brs 1 #2032T FNPT</t>
  </si>
  <si>
    <t>NPL Brs 1.0XClose</t>
  </si>
  <si>
    <t>438130WH</t>
  </si>
  <si>
    <t>Valve Ball 1.5 W/Act Dynaquip</t>
  </si>
  <si>
    <t>Test Bench -Equipment- Small-Series 2000 - SCH40 PVC</t>
  </si>
  <si>
    <t>Test Bench - Equipment- Small - Series 2000 - C715</t>
  </si>
  <si>
    <t>Test Bench Installation &amp; Training- Small- Series 2000- Standard - Dual - Upgrade</t>
  </si>
  <si>
    <t>Performed in conjunction with OCWA MCC</t>
  </si>
  <si>
    <t>Columbus</t>
  </si>
  <si>
    <t>Test Bench -Equipment- Small-Series 2410- Console Upgrade</t>
  </si>
  <si>
    <t>Updated costs sent for 2024. Added the additional weight transmiter for 500gal scale, small junction box &amp; temp sensor cable assy.</t>
  </si>
  <si>
    <t>Test Bench -Equipment- Small-Series 2410- C715 / ULF Upgrade</t>
  </si>
  <si>
    <t xml:space="preserve">Average cost of 200# deck scale was skewed from partial completion ($3,594.44 vs $1,391.61). ONLY the carrier bars were included in proposed costing. Any pending C715 upgrade should be reviewed for this same erroneous mistake. </t>
  </si>
  <si>
    <t>Egregious scale invoice. This is being addressed with Fairbanks scale. Used in estimated plug for now.</t>
  </si>
  <si>
    <t>Performed in conjunction with Middlesex</t>
  </si>
  <si>
    <t>997092WH</t>
  </si>
  <si>
    <t>TB Warranty</t>
  </si>
  <si>
    <t>Performed in conjuction with Houston MCC</t>
  </si>
  <si>
    <t xml:space="preserve">Performed in conjunction with Denton TB Warranty. Excessive scale calibration price from Fairbanks. Only $661 in 2022. Aldinger $288 in 2023. </t>
  </si>
  <si>
    <t>Performed in conjuction with Pittsburgh MCC.</t>
  </si>
  <si>
    <t>Higher than expected airfare, hotel &amp; scale calibration. Fairbanks double previous two performed by Kanawha (≈$400).</t>
  </si>
  <si>
    <t>Two employees. Performed in conjunction with Beverly Hills. Additional material used to correct issues. Also, we have started using CA prevailing wage labor rates.</t>
  </si>
  <si>
    <t>Performed in conjuction with San Diego.</t>
  </si>
  <si>
    <t xml:space="preserve"> Short ≈$600-700 on last few VF-10 projects. Seems this value should be re-evaluated.</t>
  </si>
  <si>
    <t>MARS Advanced Gravimetric Scale &amp; Control System - Upgrade</t>
  </si>
  <si>
    <t>Hardware Install - Large - Upgrade</t>
  </si>
  <si>
    <t xml:space="preserve">One 1 employee budgeted. Two went. </t>
  </si>
  <si>
    <t>MARS M3 Enterprise Software Lite</t>
  </si>
  <si>
    <t xml:space="preserve">Flat fee for Revenue. This has been addressed. Going back to similar Install tab methodolgy as HWIN. </t>
  </si>
  <si>
    <t xml:space="preserve">Standard GM is 70%. Albeit done in conjunction with Upgrade. </t>
  </si>
  <si>
    <t>Inline with previous year's MCC's</t>
  </si>
  <si>
    <t>997093WH</t>
  </si>
  <si>
    <t>Service Call - Remedial Meter Testing Training</t>
  </si>
  <si>
    <t xml:space="preserve">Service Call - Dispute Testing </t>
  </si>
  <si>
    <t>Midland</t>
  </si>
  <si>
    <t>Costing from 3rd Qtr 2023. Inline with Q4 2023 costing schedule.</t>
  </si>
  <si>
    <t xml:space="preserve">Two UPS NDA shipments. Missing 100gal tank stand and bad 200# deck scale. One UPS Ground shipment for missing 4" exp joint. Total of additional costs $2,022.61. These issues have been addressed with PM and Shop Foreman. </t>
  </si>
  <si>
    <t>Flat fee for Revenue. This has been addressed, as noted in NN comments.Two employees went which increased costs.</t>
  </si>
  <si>
    <t>Greensboro</t>
  </si>
  <si>
    <t>Equipment- Test Bench -Series 2400 - Console</t>
  </si>
  <si>
    <t>Rotometer rebuild parts scope? Only budgeted $100. Major components were $900 alone (2" dynaquip, .5 &amp; 1" solenoid).</t>
  </si>
  <si>
    <t>Test Bench -Equipment - C715 Upgrade-Series 10000</t>
  </si>
  <si>
    <t xml:space="preserve">Incorrect price pull for Ref-HW tab. Should be AE70. $30 per piece cost difference. Adapters not accounted for. This is an older proposal. It has been addressed. </t>
  </si>
  <si>
    <t>Test Bench - Equipment - Small-Series 2400 - ULF Upgrade</t>
  </si>
  <si>
    <t xml:space="preserve">Only carrier bars included in costing. PVC filler pipe and adapter kits not included. Same as above. </t>
  </si>
  <si>
    <t>Test Bench Installation &amp; Training - Small -Series 2400</t>
  </si>
  <si>
    <t xml:space="preserve">Install budget was about $1k light compared to actual. Delta was material cost (1, 1.5 &amp; 2" dyanquips). No scale included ($422.90). </t>
  </si>
  <si>
    <t>Two additional shipments of parts totaling ≈$300. Broken ULF roto in transit(discussed with MiTu and Shipping) and returning parts and Pelican case.</t>
  </si>
  <si>
    <t>Albemarle</t>
  </si>
  <si>
    <t>TNG</t>
  </si>
  <si>
    <t>VF4 On-Site Training</t>
  </si>
  <si>
    <t>Performed in conjuction with Leesburg MCC.</t>
  </si>
  <si>
    <t>Performed in conjunction with Albemarle training.</t>
  </si>
  <si>
    <t>Resolve scale issue.</t>
  </si>
  <si>
    <t>Performed in conjunction with Lodi.</t>
  </si>
  <si>
    <t>Performed in conjunction with El Dorado. First MCC performed, so no average of past 2-3 for budgeted.</t>
  </si>
  <si>
    <t>Performed in conjunction with Milwaukee.</t>
  </si>
  <si>
    <t>Performed in conjunction with Chicago. Additonal Liability Revenue as well.</t>
  </si>
  <si>
    <t>477901WH</t>
  </si>
  <si>
    <t>Reducer Spool 6 X 4 Flgd Grooved Coated</t>
  </si>
  <si>
    <t>Average cost vs Actual</t>
  </si>
  <si>
    <t>477440WH</t>
  </si>
  <si>
    <t>Reducer Spool 4 X 3 Flgd Grooved Coated</t>
  </si>
  <si>
    <t>Valve Ball 2 W/Act Dynaquip</t>
  </si>
  <si>
    <t>434565WH</t>
  </si>
  <si>
    <t>Valve Butterfly Act 6 P3 Elec</t>
  </si>
  <si>
    <t>Test Bench - Equipment - Additional Parts</t>
  </si>
  <si>
    <t xml:space="preserve">Reduced material required for timer. </t>
  </si>
  <si>
    <t>Budget was for 2 employees. Actual was only one employee.</t>
  </si>
  <si>
    <t>Required dedicated sprinter van. Not typical LTL. Higher price to reach Customer by Monday, May 13.</t>
  </si>
  <si>
    <t>Test Bench Installation &amp; Training - Series 2400 - Std - Upgrade</t>
  </si>
  <si>
    <t>APEX</t>
  </si>
  <si>
    <t>Last MCC was 76% margin.</t>
  </si>
  <si>
    <t>Last MCC was 74% margin.</t>
  </si>
  <si>
    <t xml:space="preserve">First MCC since Install. Required a 2nd trip for additonal training on VF-10 and TB meter test accuracy confirmation. </t>
  </si>
  <si>
    <t>Performed in conjunction with Plano.</t>
  </si>
  <si>
    <t>Last MCC was 73% margin. Performed in conjunction with Denton.</t>
  </si>
  <si>
    <t>Peformed in conjunction with Service Call</t>
  </si>
  <si>
    <t>434426WH</t>
  </si>
  <si>
    <t>Full Rotometer Assy Mun200</t>
  </si>
  <si>
    <t>Performed in conjunction with MCC</t>
  </si>
  <si>
    <t>Required shipping NDA - Rotometer</t>
  </si>
  <si>
    <t>Mesa</t>
  </si>
  <si>
    <t>Test Bench-New-Medium - 6-1210</t>
  </si>
  <si>
    <t>2023 Pricing</t>
  </si>
  <si>
    <t>Test Bench Installation &amp; Training  - 6-1210</t>
  </si>
  <si>
    <t>2023 Pricing - Additional Meter Testing required per contracts. Extra trip.</t>
  </si>
  <si>
    <t>Performed in conjunction with CD'A</t>
  </si>
  <si>
    <t>Performed in conjunction with San Diego</t>
  </si>
  <si>
    <t>Performed in conjuction with DC Water</t>
  </si>
  <si>
    <t>Performed in conjunction with VAW</t>
  </si>
  <si>
    <t>VF-10 partial calibration &amp; repair included in trip. 1/2" turbine.</t>
  </si>
  <si>
    <t xml:space="preserve">Additional day slated to replace crossover supply. Noted with PM to use Rusty's Weigh Scales &amp; Service for scale moving forward, as they have been half the price historically. </t>
  </si>
  <si>
    <t>Test Bench - Equipment - Series 5-1010 - ULF Upgrade</t>
  </si>
  <si>
    <t>Test Bench Installation &amp; Training- Series 5-1010 - Upgrade</t>
  </si>
  <si>
    <t>Additional trip to attached actuator to 1" dynaquip valve on 10gal tank.</t>
  </si>
  <si>
    <t>UPS NDA 1" actuator head.</t>
  </si>
  <si>
    <t>Additional material to rebuild discharge and 2" dynaquip. Replaced UPS/AVRs on both benches.</t>
  </si>
  <si>
    <t>Replaced UPS/AVR.</t>
  </si>
  <si>
    <t>Replace 825gal poly tank damaged during transit. R&amp;L reimbursed for cost of tank, fittings &amp; labor $2851.70.</t>
  </si>
  <si>
    <t>Test Bench-New-Small-Series 1200-Standard-Single</t>
  </si>
  <si>
    <t>Test Bench - Equipment - Series 1200 - ULF</t>
  </si>
  <si>
    <t>Test Bench Installation &amp; Training - Sm -Advanced - Single</t>
  </si>
  <si>
    <t xml:space="preserve">All scales calibrated again even though was performed back in April. Usually performed in conjunction with Lg Bench MCC. </t>
  </si>
  <si>
    <t>TB Warranty - VF-10</t>
  </si>
  <si>
    <t>Performed by two employees.</t>
  </si>
  <si>
    <t>Santa Cruz</t>
  </si>
  <si>
    <t>Mun-200 Control Box-1Row, Gallon</t>
  </si>
  <si>
    <t>4005187E</t>
  </si>
  <si>
    <t>Junction Box 3x3x6 PVC</t>
  </si>
  <si>
    <t>4008081E</t>
  </si>
  <si>
    <t>Conduit Connector Sealtite 0.5 90 °</t>
  </si>
  <si>
    <t>4008039E</t>
  </si>
  <si>
    <t>Conduit Connector Sealtite 0.5 Straight</t>
  </si>
  <si>
    <t>4008036E</t>
  </si>
  <si>
    <t>Conduit Sealtite 0.5</t>
  </si>
  <si>
    <t>4010036E</t>
  </si>
  <si>
    <t>Cable 22 AWG 6 Conductor</t>
  </si>
  <si>
    <t>4008006E</t>
  </si>
  <si>
    <t>Cord Grip .250-.375</t>
  </si>
  <si>
    <t>476205WH</t>
  </si>
  <si>
    <t>Mun-200 Probes Gal</t>
  </si>
  <si>
    <t>Additional Miscellaneous Supplies</t>
  </si>
  <si>
    <t>Costs included in MCC - Not needed since done concurrent</t>
  </si>
  <si>
    <t>Test Bench Installation &amp; Training - 1000 Volumetric - Single</t>
  </si>
  <si>
    <t>Concurrent Work Discount $10,109.91</t>
  </si>
  <si>
    <t>Offsets Actual on HWIN</t>
  </si>
  <si>
    <t>Two employees</t>
  </si>
  <si>
    <t xml:space="preserve">≈$690 increase in expenses from last year. Hotels and flight more than double. </t>
  </si>
  <si>
    <t>Contracted Rate Year 3 of 7</t>
  </si>
  <si>
    <t>Truck Testers were not onsite.</t>
  </si>
  <si>
    <t>2nd of 2024 - Contracted</t>
  </si>
  <si>
    <t>Sarasota</t>
  </si>
  <si>
    <t>Test Bench - New-Small - 2410</t>
  </si>
  <si>
    <t xml:space="preserve">   </t>
  </si>
  <si>
    <t>San Gabriel</t>
  </si>
  <si>
    <t>Only 80hrs budgeted.</t>
  </si>
  <si>
    <t>Required sending jobox separate once returned from Sarasota.</t>
  </si>
  <si>
    <t>Replaced Discharge Assy on Lg Bench at no cost to customer.</t>
  </si>
  <si>
    <t>Cucamonga</t>
  </si>
  <si>
    <t>Required additional keyboard, as original sent was defective. RMA will be processed with Dell. Pending outcome.</t>
  </si>
  <si>
    <t>One employee budgeted for 32hrs total. RuLo and DySi performed.</t>
  </si>
  <si>
    <t>Includes (4) Lg weight stands and labor to install.</t>
  </si>
  <si>
    <t>Required 2nd trip and two scale calibrations.</t>
  </si>
  <si>
    <t>M3 Software Installation &amp; Training - VF-10</t>
  </si>
  <si>
    <t>Exp report was $1k higher than previous two.</t>
  </si>
  <si>
    <t xml:space="preserve">Not paired with DC Water. </t>
  </si>
  <si>
    <t>Supply end replaced. Extra day on site.</t>
  </si>
  <si>
    <t>Multiple issues with valves, dump, etc required twice allotted days. Scale was high at almost $1800</t>
  </si>
  <si>
    <t>Denton</t>
  </si>
  <si>
    <t xml:space="preserve">Kansas City </t>
  </si>
  <si>
    <t>Test Bench -Equipment- Medium - Console Upgrade</t>
  </si>
  <si>
    <t>Test Bench - Equipment - Lg - Console Upgrade</t>
  </si>
  <si>
    <t>C715 part of upgrade not costed in proposal. 2021 proposal prior to updated sum.</t>
  </si>
  <si>
    <t>Test Bench Installation &amp; Training - Multi-Bench - Upgrade</t>
  </si>
  <si>
    <t>Only 1 employee 4 days on silte proposed. Actual 2 employees 5 days on site.</t>
  </si>
  <si>
    <t>M3 Enterprise Software - Medium</t>
  </si>
  <si>
    <t>M3 Enterprise Software - Lg</t>
  </si>
  <si>
    <t xml:space="preserve">Allen </t>
  </si>
  <si>
    <t>Performed in conjunction with El Dorado.</t>
  </si>
  <si>
    <t>Suction Manifold replaced.</t>
  </si>
  <si>
    <t>NYDEP</t>
  </si>
  <si>
    <t>91000032</t>
  </si>
  <si>
    <t>Test Bench - Equipment - Small - Console Upgrade</t>
  </si>
  <si>
    <t>92000032</t>
  </si>
  <si>
    <t>94000032</t>
  </si>
  <si>
    <t>50000020</t>
  </si>
  <si>
    <t>96000000</t>
  </si>
  <si>
    <t>71122012</t>
  </si>
  <si>
    <t>2410 Test Bench System - Small</t>
  </si>
  <si>
    <t>72122012</t>
  </si>
  <si>
    <t>10000 Test Bench System - Medium</t>
  </si>
  <si>
    <t>74122012</t>
  </si>
  <si>
    <t>Large Test Bench System - Lg</t>
  </si>
  <si>
    <t>M3 Software Install &amp; Training-Multi-System</t>
  </si>
  <si>
    <t>Howard</t>
  </si>
  <si>
    <t>≈28hrs of labor over std</t>
  </si>
  <si>
    <t>Inline with 2024 actual costs, as not many new components due to stock on hand.</t>
  </si>
  <si>
    <t>96hrs budgeted vs 120hrs actual. Material higher than budgeted by $2800. Working on avg cost by tb type to rectify this variance.</t>
  </si>
  <si>
    <t>M3 Software Installation &amp; Training - Medium</t>
  </si>
  <si>
    <t>Additional day of labor for 10000 bench not on SO. Only had 2400.</t>
  </si>
  <si>
    <t>Performed in conjunction with Savannah.</t>
  </si>
  <si>
    <t xml:space="preserve">Mt Pleasant </t>
  </si>
  <si>
    <t>Performed in conjunction with Mt Pleasant.</t>
  </si>
  <si>
    <t>Replaced 4" valve on VF-10 while performing 5-1010.</t>
  </si>
  <si>
    <t>Additional time training and getting ultrasonic meter to pass test on bench.</t>
  </si>
  <si>
    <t>Spokane</t>
  </si>
  <si>
    <t>Test Bench - Medium - 2011 - Advanced - Dual</t>
  </si>
  <si>
    <t>Based on 5-1010 cost which is $2k more. Within $1k of new 2011 bench on TB Master Price Sheet. Console and other high ticket items in stock with lower costs.</t>
  </si>
  <si>
    <t>14000011-8</t>
  </si>
  <si>
    <t>Test Bench-New-Large-8"-Standard-Single</t>
  </si>
  <si>
    <t>$5k buffer for freight from CA. Usually baked in, but held at PC for storage.</t>
  </si>
  <si>
    <t>Gravity feed not included, but was budgeted.</t>
  </si>
  <si>
    <t>Required multiple trips for issues with reducer spools &amp; excessive water pressure. Still above 50% target GPM.</t>
  </si>
  <si>
    <t>Able to fit on one truck vs two budgeted. Additional shipments for SS tanks, supply spool and workstation. Secondary shipment for correct reducer spools on Lg bench.</t>
  </si>
  <si>
    <t>Performed in conjunction with Phoenix VF-10 Install.</t>
  </si>
  <si>
    <t>Phoenix</t>
  </si>
  <si>
    <t>Performed in conjunction with Mesa MCC.</t>
  </si>
  <si>
    <t>Performed in tandem with TBIN.</t>
  </si>
  <si>
    <t>2” Ball Valves</t>
  </si>
  <si>
    <t>2” Close Nipple</t>
  </si>
  <si>
    <t>151952WH</t>
  </si>
  <si>
    <t>2” x 3” Nipple</t>
  </si>
  <si>
    <t>151954WH</t>
  </si>
  <si>
    <t>2” x 4” Nipple</t>
  </si>
  <si>
    <t>476649WH</t>
  </si>
  <si>
    <t>2” x 5” Nipple</t>
  </si>
  <si>
    <t>151956WH</t>
  </si>
  <si>
    <t>2” x 6” Nipple</t>
  </si>
  <si>
    <t>2” Dynaquip Actuated Ball Valve</t>
  </si>
  <si>
    <t>435100WH</t>
  </si>
  <si>
    <t>Clamping Actuator Kit</t>
  </si>
  <si>
    <t>Rotameter Assembly</t>
  </si>
  <si>
    <t>Service Call/Maintenance</t>
  </si>
  <si>
    <t>477343E</t>
  </si>
  <si>
    <t>15HP VFD</t>
  </si>
  <si>
    <t>20HP VFD</t>
  </si>
  <si>
    <t>HWIN</t>
  </si>
  <si>
    <t>Training</t>
  </si>
  <si>
    <t>3793/3796</t>
  </si>
  <si>
    <t>2025 costs. Qty x2</t>
  </si>
  <si>
    <t>No tank stands required.</t>
  </si>
  <si>
    <t>2025 costs</t>
  </si>
  <si>
    <t>OG 6". We used 8", as we had in WIP.</t>
  </si>
  <si>
    <t>Budgeted 10gal &amp; 100gal, not dulpex. No tank stands required.</t>
  </si>
  <si>
    <t>Tank - 1500gal - Auto - Stainless Steel</t>
  </si>
  <si>
    <t>Equipment- Test Bench -Series 2411 - ULF</t>
  </si>
  <si>
    <t>Test Bench Installation &amp; Training - Multi</t>
  </si>
  <si>
    <t>Saved with one truck, but had multiple additional shipments for spools etc due to fitment issues.</t>
  </si>
  <si>
    <t>Booster Pump for MARS Series 2410 Test Bench System - 10 HP Booster Pump</t>
  </si>
  <si>
    <t>Not all materials accounted prior to proposal. Drawing of assembly required provided after the fact.</t>
  </si>
  <si>
    <t>Had to replace both 1/2" and 1" turbines on 1 of 3 VF-10s.</t>
  </si>
  <si>
    <t xml:space="preserve">Bad relay board on the console diagnosis. Board B. </t>
  </si>
  <si>
    <t>Conjunction with Penn State</t>
  </si>
  <si>
    <t>Penn State (Year 3 of 5)</t>
  </si>
  <si>
    <t>Conjunction with North Penn</t>
  </si>
  <si>
    <t>Alameda (Year 5 of 5)</t>
  </si>
  <si>
    <t>Conjunction with EBMUD</t>
  </si>
  <si>
    <t>EBMUD (Year 5 of 5)</t>
  </si>
  <si>
    <t>Conjunction with Alameda</t>
  </si>
  <si>
    <t>REV</t>
  </si>
  <si>
    <t xml:space="preserve">Customer </t>
  </si>
  <si>
    <t>GPM %</t>
  </si>
  <si>
    <t xml:space="preserve">LADWP West </t>
  </si>
  <si>
    <t xml:space="preserve">Miami </t>
  </si>
  <si>
    <t>TB</t>
  </si>
  <si>
    <t>Rev</t>
  </si>
  <si>
    <t>TB Type</t>
  </si>
  <si>
    <t>DISC</t>
  </si>
  <si>
    <t>M3N</t>
  </si>
  <si>
    <t>Audit</t>
  </si>
  <si>
    <t>NS</t>
  </si>
  <si>
    <t>Alameda County Water District</t>
  </si>
  <si>
    <t>Albemarle County Service Authority</t>
  </si>
  <si>
    <t>Allen, City of</t>
  </si>
  <si>
    <t>Anne Arundel County</t>
  </si>
  <si>
    <t>Apex, Town of</t>
  </si>
  <si>
    <t>Aqua Pennsylvania, Inc.</t>
  </si>
  <si>
    <t>Artesian Resources Corporation</t>
  </si>
  <si>
    <t>W.E.B. Aruba N.V.</t>
  </si>
  <si>
    <t>Austin, City of</t>
  </si>
  <si>
    <t>Badger Meter</t>
  </si>
  <si>
    <t>Beverly Hills, City of</t>
  </si>
  <si>
    <t>Birmingham Water Works</t>
  </si>
  <si>
    <t>Boston Water &amp; Sewer Commission</t>
  </si>
  <si>
    <t>Coeur D' Alene, City of</t>
  </si>
  <si>
    <t>Chicago, City of</t>
  </si>
  <si>
    <t>Cleveland, City of</t>
  </si>
  <si>
    <t>Collier County BCC</t>
  </si>
  <si>
    <t>Columbus, City of</t>
  </si>
  <si>
    <t>Coos Bay - North Bend</t>
  </si>
  <si>
    <t>Commonwealth Utilities Corporation</t>
  </si>
  <si>
    <t>Cucamonga Valley Water</t>
  </si>
  <si>
    <t>Dallas Water Utilities</t>
  </si>
  <si>
    <t>D.C. Water &amp; Sewer</t>
  </si>
  <si>
    <t>Dekalb County Water Department</t>
  </si>
  <si>
    <t>Denton, City of</t>
  </si>
  <si>
    <t>Denver Water</t>
  </si>
  <si>
    <t>Detroit, City of</t>
  </si>
  <si>
    <t>East Bay Mud</t>
  </si>
  <si>
    <t>El Dorado Irrigation District</t>
  </si>
  <si>
    <t>Fairfax County Water</t>
  </si>
  <si>
    <t>Florida Governmental Utility A</t>
  </si>
  <si>
    <t>Folsom, City of</t>
  </si>
  <si>
    <t>San Gabriel Valley Water Company : Fontana Water Company</t>
  </si>
  <si>
    <t>Fort Smith, City of</t>
  </si>
  <si>
    <t>Greeley, City of</t>
  </si>
  <si>
    <t>Greensboro, City of</t>
  </si>
  <si>
    <t>Highland Village, City of</t>
  </si>
  <si>
    <t>Houston, City of</t>
  </si>
  <si>
    <t>Kansas City Missouri Dept</t>
  </si>
  <si>
    <t>Los Angeles Department of Water and Power (LADWP)</t>
  </si>
  <si>
    <t>Las Vegas Valley Water District</t>
  </si>
  <si>
    <t>Leesburg, Town of</t>
  </si>
  <si>
    <t>Lodi, City of</t>
  </si>
  <si>
    <t>Lubbock, City of</t>
  </si>
  <si>
    <t>Marion County Utilities</t>
  </si>
  <si>
    <t>McKinney, City of</t>
  </si>
  <si>
    <t>Metropolitan District, The</t>
  </si>
  <si>
    <t>Medford Water Commission</t>
  </si>
  <si>
    <t>Mesa, City of</t>
  </si>
  <si>
    <t>Metertek Utility Services Inc</t>
  </si>
  <si>
    <t>Miami Dade Water &amp; Sewer</t>
  </si>
  <si>
    <t>Middlesex Water Company</t>
  </si>
  <si>
    <t>Midland, City of</t>
  </si>
  <si>
    <t>Milcrofton Utility District</t>
  </si>
  <si>
    <t>Milwaukee, City of</t>
  </si>
  <si>
    <t>Mobile Area Water &amp; Sewer System</t>
  </si>
  <si>
    <t>Mount Pleasant Waterworks</t>
  </si>
  <si>
    <t>Newport News, City of</t>
  </si>
  <si>
    <t>North City Water District</t>
  </si>
  <si>
    <t>North Penn Water Authority</t>
  </si>
  <si>
    <t>Onondaga County Water Authority</t>
  </si>
  <si>
    <t>Oklahoma Rural Water Association</t>
  </si>
  <si>
    <t>Pennsylvania State University</t>
  </si>
  <si>
    <t>City of Philadelphia Water Department</t>
  </si>
  <si>
    <t>Phoenix, City of</t>
  </si>
  <si>
    <t>Pittsburgh Water &amp; Sewer</t>
  </si>
  <si>
    <t>Plano, City of</t>
  </si>
  <si>
    <t>Polk County Utilities</t>
  </si>
  <si>
    <t>Ridgewood, Village of</t>
  </si>
  <si>
    <t>Rochester Hills, City of</t>
  </si>
  <si>
    <t>Roseville, City of</t>
  </si>
  <si>
    <t>San Diego Public Utility, City of</t>
  </si>
  <si>
    <t>San Gabriel Valley Water Company</t>
  </si>
  <si>
    <t>San Jose Water Company</t>
  </si>
  <si>
    <t>Santa Cruz, City of</t>
  </si>
  <si>
    <t>Sarasota County</t>
  </si>
  <si>
    <t>Savannah, City of</t>
  </si>
  <si>
    <t>San Antonio Water System</t>
  </si>
  <si>
    <t>S Central Connecticut Regional Water Authority</t>
  </si>
  <si>
    <t>Springfield Water &amp; Sewer Comm</t>
  </si>
  <si>
    <t>St. Paul, City of</t>
  </si>
  <si>
    <t>Tallahassee, City of</t>
  </si>
  <si>
    <t>American Water</t>
  </si>
  <si>
    <t>Ventura, County of</t>
  </si>
  <si>
    <t>Victoria, City of</t>
  </si>
  <si>
    <t>Waco, City of</t>
  </si>
  <si>
    <t>Wellington, Village of</t>
  </si>
  <si>
    <t>Westminster, City of</t>
  </si>
  <si>
    <t>White House Utility District</t>
  </si>
  <si>
    <t>Washington Suburban Sanitation Commission</t>
  </si>
  <si>
    <t>Internal ID</t>
  </si>
  <si>
    <t>Date Created</t>
  </si>
  <si>
    <t>Period</t>
  </si>
  <si>
    <t>Status</t>
  </si>
  <si>
    <t>Document Number</t>
  </si>
  <si>
    <t>Top Level Parent</t>
  </si>
  <si>
    <t xml:space="preserve">Customer - Parent </t>
  </si>
  <si>
    <t>Account</t>
  </si>
  <si>
    <t>Class</t>
  </si>
  <si>
    <t>Item</t>
  </si>
  <si>
    <t>Quantity</t>
  </si>
  <si>
    <t>Total Revenue</t>
  </si>
  <si>
    <t>Jul 2014</t>
  </si>
  <si>
    <t>Approved for Posting</t>
  </si>
  <si>
    <t>Journal</t>
  </si>
  <si>
    <t>JE45</t>
  </si>
  <si>
    <t>4011 Test Bench Equipment : Test Bench Equipment - New</t>
  </si>
  <si>
    <t>4074 Test Bench Other</t>
  </si>
  <si>
    <t>Aug 2014</t>
  </si>
  <si>
    <t>JE46</t>
  </si>
  <si>
    <t>4101 MCC Services : MCC Services - Contracted</t>
  </si>
  <si>
    <t>Sep 2014</t>
  </si>
  <si>
    <t>JE47</t>
  </si>
  <si>
    <t>Oct 2014</t>
  </si>
  <si>
    <t>JE48</t>
  </si>
  <si>
    <t>Dec 2014</t>
  </si>
  <si>
    <t>JE50</t>
  </si>
  <si>
    <t>Jan 2015</t>
  </si>
  <si>
    <t>JE51</t>
  </si>
  <si>
    <t>4013 Test Bench Equipment : Project Mgmt</t>
  </si>
  <si>
    <t>Feb 2015</t>
  </si>
  <si>
    <t>JE52</t>
  </si>
  <si>
    <t>Mar 2015</t>
  </si>
  <si>
    <t>JE53</t>
  </si>
  <si>
    <t>Apr 2015</t>
  </si>
  <si>
    <t>JE54</t>
  </si>
  <si>
    <t>4031 TB Install &amp; Training - New</t>
  </si>
  <si>
    <t>4021 Test Bench Components</t>
  </si>
  <si>
    <t>May 2015</t>
  </si>
  <si>
    <t>JE55</t>
  </si>
  <si>
    <t>Jun 2015</t>
  </si>
  <si>
    <t>JE56</t>
  </si>
  <si>
    <t>Jul 2015</t>
  </si>
  <si>
    <t>JE57</t>
  </si>
  <si>
    <t>Aug 2015</t>
  </si>
  <si>
    <t>JE58</t>
  </si>
  <si>
    <t>Sep 2015</t>
  </si>
  <si>
    <t>JE59</t>
  </si>
  <si>
    <t>Oct 2015</t>
  </si>
  <si>
    <t>JE60</t>
  </si>
  <si>
    <t>Nov 2015</t>
  </si>
  <si>
    <t>JE61</t>
  </si>
  <si>
    <t>Dec 2015</t>
  </si>
  <si>
    <t>JE62</t>
  </si>
  <si>
    <t>Jan 2016</t>
  </si>
  <si>
    <t>JE63</t>
  </si>
  <si>
    <t>Feb 2016</t>
  </si>
  <si>
    <t>JE64</t>
  </si>
  <si>
    <t>Mar 2016</t>
  </si>
  <si>
    <t>JE65</t>
  </si>
  <si>
    <t>4051 M3 Software : M3 Software Subscription License New</t>
  </si>
  <si>
    <t>Apr 2016</t>
  </si>
  <si>
    <t>JE66</t>
  </si>
  <si>
    <t>May 2016</t>
  </si>
  <si>
    <t>JE67</t>
  </si>
  <si>
    <t>Jun 2016</t>
  </si>
  <si>
    <t>JE68</t>
  </si>
  <si>
    <t>Jul 2016</t>
  </si>
  <si>
    <t>JE69</t>
  </si>
  <si>
    <t>Aug 2016</t>
  </si>
  <si>
    <t>JE70</t>
  </si>
  <si>
    <t>Sep 2016</t>
  </si>
  <si>
    <t>JE71</t>
  </si>
  <si>
    <t>Oct 2016</t>
  </si>
  <si>
    <t>JE72</t>
  </si>
  <si>
    <t>Nov 2016</t>
  </si>
  <si>
    <t>JE73</t>
  </si>
  <si>
    <t>Dec 2016</t>
  </si>
  <si>
    <t>JE74</t>
  </si>
  <si>
    <t>Jan 2017</t>
  </si>
  <si>
    <t>JE75</t>
  </si>
  <si>
    <t>4082 M3 Software : M3 Software License Upgrade</t>
  </si>
  <si>
    <t>Feb 2017</t>
  </si>
  <si>
    <t>JE76</t>
  </si>
  <si>
    <t>Mar 2017</t>
  </si>
  <si>
    <t>JE77</t>
  </si>
  <si>
    <t>Apr 2017</t>
  </si>
  <si>
    <t>JE78</t>
  </si>
  <si>
    <t>May 2017</t>
  </si>
  <si>
    <t>JE79</t>
  </si>
  <si>
    <t>Jun 2017</t>
  </si>
  <si>
    <t>JE80</t>
  </si>
  <si>
    <t>Jul 2017</t>
  </si>
  <si>
    <t>JE81</t>
  </si>
  <si>
    <t>Aug 2017</t>
  </si>
  <si>
    <t>JE82</t>
  </si>
  <si>
    <t>4103 Perpetual License Maint</t>
  </si>
  <si>
    <t>Sep 2017</t>
  </si>
  <si>
    <t>JE83</t>
  </si>
  <si>
    <t>Oct 2017</t>
  </si>
  <si>
    <t>JE84</t>
  </si>
  <si>
    <t>Nov 2017</t>
  </si>
  <si>
    <t>JE85</t>
  </si>
  <si>
    <t>Dec 2017</t>
  </si>
  <si>
    <t>JE86</t>
  </si>
  <si>
    <t>Jan 2018</t>
  </si>
  <si>
    <t>JE87</t>
  </si>
  <si>
    <t>4081 M3 Software : M3 Software License Renewal - Contracted</t>
  </si>
  <si>
    <t>Feb 2018</t>
  </si>
  <si>
    <t>JE88</t>
  </si>
  <si>
    <t>Mar 2018</t>
  </si>
  <si>
    <t>JE89</t>
  </si>
  <si>
    <t>4041 M3 Install &amp; Training New</t>
  </si>
  <si>
    <t>Apr 2018</t>
  </si>
  <si>
    <t>JE90</t>
  </si>
  <si>
    <t>May 2018</t>
  </si>
  <si>
    <t>JE91</t>
  </si>
  <si>
    <t>Jun 2018</t>
  </si>
  <si>
    <t>JE92</t>
  </si>
  <si>
    <t>4042 M3 Install &amp; Training Upgrade</t>
  </si>
  <si>
    <t>Jul 2018</t>
  </si>
  <si>
    <t>JE93</t>
  </si>
  <si>
    <t>Aug 2018</t>
  </si>
  <si>
    <t>JE94</t>
  </si>
  <si>
    <t>Sep 2018</t>
  </si>
  <si>
    <t>JE95</t>
  </si>
  <si>
    <t>Oct 2018</t>
  </si>
  <si>
    <t>JE96</t>
  </si>
  <si>
    <t>Nov 2018</t>
  </si>
  <si>
    <t>JE97</t>
  </si>
  <si>
    <t>Dec 2018</t>
  </si>
  <si>
    <t>JE98</t>
  </si>
  <si>
    <t>Jan 2019</t>
  </si>
  <si>
    <t>JE99</t>
  </si>
  <si>
    <t>Feb 2019</t>
  </si>
  <si>
    <t>JE100</t>
  </si>
  <si>
    <t>4093 M3 Software : M3 Software License Renewal - Non Contracted</t>
  </si>
  <si>
    <t>4032 TB Install &amp; Training - Upgrade</t>
  </si>
  <si>
    <t>4111 MCC Services : MCC Services - Non Contracted</t>
  </si>
  <si>
    <t>Mar 2019</t>
  </si>
  <si>
    <t>JE101</t>
  </si>
  <si>
    <t>Apr 2019</t>
  </si>
  <si>
    <t>JE102</t>
  </si>
  <si>
    <t>4012 Test Bench Equipment : Test Bench Equipment - Upgrade</t>
  </si>
  <si>
    <t>May 2019</t>
  </si>
  <si>
    <t>JE103</t>
  </si>
  <si>
    <t>Jun 2019</t>
  </si>
  <si>
    <t>JE104</t>
  </si>
  <si>
    <t>Jul 2019</t>
  </si>
  <si>
    <t>JE105</t>
  </si>
  <si>
    <t>Aug 2019</t>
  </si>
  <si>
    <t>JE106</t>
  </si>
  <si>
    <t>Sep 2019</t>
  </si>
  <si>
    <t>JE107</t>
  </si>
  <si>
    <t>Oct 2019</t>
  </si>
  <si>
    <t>JE108</t>
  </si>
  <si>
    <t>Nov 2019</t>
  </si>
  <si>
    <t>JE109</t>
  </si>
  <si>
    <t>Dec 2019</t>
  </si>
  <si>
    <t>JE110</t>
  </si>
  <si>
    <t>Jan 2020</t>
  </si>
  <si>
    <t>JE111</t>
  </si>
  <si>
    <t>Feb 2020</t>
  </si>
  <si>
    <t>JE112</t>
  </si>
  <si>
    <t>Mar 2020</t>
  </si>
  <si>
    <t>JE113</t>
  </si>
  <si>
    <t>Apr 2020</t>
  </si>
  <si>
    <t>JE114</t>
  </si>
  <si>
    <t>May 2020</t>
  </si>
  <si>
    <t>JE115</t>
  </si>
  <si>
    <t>Jun 2020</t>
  </si>
  <si>
    <t>JE116</t>
  </si>
  <si>
    <t>Jul 2020</t>
  </si>
  <si>
    <t>JE117</t>
  </si>
  <si>
    <t>Aug 2020</t>
  </si>
  <si>
    <t>JE118</t>
  </si>
  <si>
    <t>Sep 2020</t>
  </si>
  <si>
    <t>JE119</t>
  </si>
  <si>
    <t>Oct 2020</t>
  </si>
  <si>
    <t>JE120</t>
  </si>
  <si>
    <t>Nov 2020</t>
  </si>
  <si>
    <t>JE121</t>
  </si>
  <si>
    <t>4073 Test Bench - Extended Warranty</t>
  </si>
  <si>
    <t>Dec 2020</t>
  </si>
  <si>
    <t>JE122</t>
  </si>
  <si>
    <t>Feb 2021</t>
  </si>
  <si>
    <t>JE123</t>
  </si>
  <si>
    <t>4091 M3 Software : M3 Software License Tiered Upgrade</t>
  </si>
  <si>
    <t>Apr 2021</t>
  </si>
  <si>
    <t>JE124</t>
  </si>
  <si>
    <t>4072 Service Call /Maintenance - Non Contracted</t>
  </si>
  <si>
    <t>May 2021</t>
  </si>
  <si>
    <t>JE125</t>
  </si>
  <si>
    <t>Jun 2021</t>
  </si>
  <si>
    <t>JE126</t>
  </si>
  <si>
    <t>Jul 2021</t>
  </si>
  <si>
    <t>JE127</t>
  </si>
  <si>
    <t>Sep 2021</t>
  </si>
  <si>
    <t>JE128</t>
  </si>
  <si>
    <t>Oct 2021</t>
  </si>
  <si>
    <t>JE129</t>
  </si>
  <si>
    <t>Jan 2021</t>
  </si>
  <si>
    <t>JE130</t>
  </si>
  <si>
    <t>Mar 2021</t>
  </si>
  <si>
    <t>JE131</t>
  </si>
  <si>
    <t>Aug 2021</t>
  </si>
  <si>
    <t>JE132</t>
  </si>
  <si>
    <t>Nov 2021</t>
  </si>
  <si>
    <t>JE133</t>
  </si>
  <si>
    <t>4018 Test Bench Equipment : Freight Revenue - Test Bench</t>
  </si>
  <si>
    <t>Dec 2021</t>
  </si>
  <si>
    <t>JE134</t>
  </si>
  <si>
    <t>Jan 2022</t>
  </si>
  <si>
    <t>JE135</t>
  </si>
  <si>
    <t>Feb 2022</t>
  </si>
  <si>
    <t>JE136</t>
  </si>
  <si>
    <t>Mar 2022</t>
  </si>
  <si>
    <t>Paid In Full</t>
  </si>
  <si>
    <t>Invoice</t>
  </si>
  <si>
    <t>INV252</t>
  </si>
  <si>
    <t>Test Bench</t>
  </si>
  <si>
    <t>435008WH</t>
  </si>
  <si>
    <t>Adapter Kit 2 FLNG'D C-715</t>
  </si>
  <si>
    <t>INV253</t>
  </si>
  <si>
    <t>Trenton, City of</t>
  </si>
  <si>
    <t>INV256</t>
  </si>
  <si>
    <t>400071E</t>
  </si>
  <si>
    <t>UPS Back Up w/AVR</t>
  </si>
  <si>
    <t>INV262</t>
  </si>
  <si>
    <t>434606WH</t>
  </si>
  <si>
    <t>Gskt Adap 3.125ODx2.0625Idx0.125Tk</t>
  </si>
  <si>
    <t>JE188</t>
  </si>
  <si>
    <t>JE190</t>
  </si>
  <si>
    <t>JE207</t>
  </si>
  <si>
    <t>INV350</t>
  </si>
  <si>
    <t>Pasco County Utilities-Land O Lakes</t>
  </si>
  <si>
    <t>2.5 FNST Swivel X 2.5 MNPT</t>
  </si>
  <si>
    <t>2.5 FNST Swivel X 2 MNPT</t>
  </si>
  <si>
    <t>INV357</t>
  </si>
  <si>
    <t>476315WH</t>
  </si>
  <si>
    <t>Adpt 1.5 Tapped Meter C715 Kit</t>
  </si>
  <si>
    <t>476316WH</t>
  </si>
  <si>
    <t>Adpt 2.0 Tapped Meter C715 Kit</t>
  </si>
  <si>
    <t>476324WH</t>
  </si>
  <si>
    <t>Adpt 1.5" Tapd Metr C715 End Kit</t>
  </si>
  <si>
    <t>476325WH</t>
  </si>
  <si>
    <t>Adpt 2.0" Tapd Metr C715 End Kit</t>
  </si>
  <si>
    <t>20540312</t>
  </si>
  <si>
    <t>Non-stock Inventory for Sale</t>
  </si>
  <si>
    <t>Apr 2022</t>
  </si>
  <si>
    <t>INV423</t>
  </si>
  <si>
    <t>Sensus NC</t>
  </si>
  <si>
    <t>434614WH</t>
  </si>
  <si>
    <t>5/8 Meter Adapter</t>
  </si>
  <si>
    <t>Gskt Adap Meter Flat  5/8</t>
  </si>
  <si>
    <t>INV426</t>
  </si>
  <si>
    <t>INV427</t>
  </si>
  <si>
    <t>National Metering Services</t>
  </si>
  <si>
    <t>Diversified Products : Veroflow</t>
  </si>
  <si>
    <t>INV440</t>
  </si>
  <si>
    <t>Raleigh, City of</t>
  </si>
  <si>
    <t>438025WH</t>
  </si>
  <si>
    <t>ELL Cu Srt 90 - 0.75</t>
  </si>
  <si>
    <t>INV459</t>
  </si>
  <si>
    <t>111221WH</t>
  </si>
  <si>
    <t>Ball Valve 0.75 FNPT</t>
  </si>
  <si>
    <t>INV491</t>
  </si>
  <si>
    <t>Diversified Products : Other</t>
  </si>
  <si>
    <t>Gskt Adap Meter Flat  3/4</t>
  </si>
  <si>
    <t>434805WH</t>
  </si>
  <si>
    <t>Outboard Carrier 5/8X1</t>
  </si>
  <si>
    <t>INV503</t>
  </si>
  <si>
    <t>JE229</t>
  </si>
  <si>
    <t>INV558</t>
  </si>
  <si>
    <t>435005WH</t>
  </si>
  <si>
    <t>Adapter Kit 1" C-715</t>
  </si>
  <si>
    <t>INV565</t>
  </si>
  <si>
    <t>476041WH</t>
  </si>
  <si>
    <t>Cylinder Hydraulic  H6C-N2.0N-18.00S1.38TFS11</t>
  </si>
  <si>
    <t>476043WH</t>
  </si>
  <si>
    <t>Hydraulic Power Unit - 2 Cylin</t>
  </si>
  <si>
    <t>476042WH</t>
  </si>
  <si>
    <t>Plumbing - Hyd/Pwr Unit 2 Cylinder Large Test Bench</t>
  </si>
  <si>
    <t>434378E</t>
  </si>
  <si>
    <t>Hydraulic Control Box</t>
  </si>
  <si>
    <t>Valve Ball 2    W/Act Dynaquip</t>
  </si>
  <si>
    <t>INV576</t>
  </si>
  <si>
    <t>Business International Group LLC</t>
  </si>
  <si>
    <t>438131WH</t>
  </si>
  <si>
    <t>Valve Ball 1    W/Act Dynaquip</t>
  </si>
  <si>
    <t>434834WH</t>
  </si>
  <si>
    <t>11-113 Lph Rotometer</t>
  </si>
  <si>
    <t>Valve Needle 0.5</t>
  </si>
  <si>
    <t>Valve Solenoid 2-Way NC 1</t>
  </si>
  <si>
    <t>438156WH</t>
  </si>
  <si>
    <t>Pump, Liberty 1/2Hp 405</t>
  </si>
  <si>
    <t>434558WH</t>
  </si>
  <si>
    <t>Valve Solenoid 2-Way NC  0.5</t>
  </si>
  <si>
    <t>4001004E</t>
  </si>
  <si>
    <t xml:space="preserve">Relay Board 8-Channel _x000D_
</t>
  </si>
  <si>
    <t>4002015E</t>
  </si>
  <si>
    <t>Surge Protector 120V Atl Sci22035Ma15</t>
  </si>
  <si>
    <t>4001046E</t>
  </si>
  <si>
    <t xml:space="preserve">Relay Octal </t>
  </si>
  <si>
    <t>4001045E</t>
  </si>
  <si>
    <t xml:space="preserve">Relay Octal Base _x000D_
</t>
  </si>
  <si>
    <t>JE275</t>
  </si>
  <si>
    <t>May 2022</t>
  </si>
  <si>
    <t>INV589</t>
  </si>
  <si>
    <t>INV617</t>
  </si>
  <si>
    <t>476287WH</t>
  </si>
  <si>
    <t>Repair Kit, Valve Solenoid 0.5</t>
  </si>
  <si>
    <t>INV643</t>
  </si>
  <si>
    <t>Ferguson Corp</t>
  </si>
  <si>
    <t>Ferguson Corp : Ferguson #2910</t>
  </si>
  <si>
    <t>JE297</t>
  </si>
  <si>
    <t>INV730</t>
  </si>
  <si>
    <t>INV741</t>
  </si>
  <si>
    <t>JE318</t>
  </si>
  <si>
    <t>INV777</t>
  </si>
  <si>
    <t>923051112</t>
  </si>
  <si>
    <t>Test Bench -Equipment -ULF Upgrade-Series 510</t>
  </si>
  <si>
    <t>523051212</t>
  </si>
  <si>
    <t>Test Bench Installation &amp; Training- Medium- Series 510- Standard - Upgrade</t>
  </si>
  <si>
    <t>INV781</t>
  </si>
  <si>
    <t>133051222</t>
  </si>
  <si>
    <t>131000012</t>
  </si>
  <si>
    <t>63652012</t>
  </si>
  <si>
    <t>530000122</t>
  </si>
  <si>
    <t>Test Bench Installation &amp; Training-Small-Series 3-510 Mobile System-Standard-Dual</t>
  </si>
  <si>
    <t>960000001</t>
  </si>
  <si>
    <t>Jun 2022</t>
  </si>
  <si>
    <t>INV823</t>
  </si>
  <si>
    <t>400015SW</t>
  </si>
  <si>
    <t>Netgear 4G Lte Modem Lb2120 Mobile Wifi</t>
  </si>
  <si>
    <t>INV824</t>
  </si>
  <si>
    <t>INV854</t>
  </si>
  <si>
    <t>Liberty Util</t>
  </si>
  <si>
    <t>435014WH</t>
  </si>
  <si>
    <t>Adapter 2In Internal Thd'D Kit</t>
  </si>
  <si>
    <t>435013WH</t>
  </si>
  <si>
    <t>Adapter 1.5In Int Thd'D Kit</t>
  </si>
  <si>
    <t>INV882</t>
  </si>
  <si>
    <t>INV893</t>
  </si>
  <si>
    <t>INV896</t>
  </si>
  <si>
    <t>INV901</t>
  </si>
  <si>
    <t>Fully Applied</t>
  </si>
  <si>
    <t>Credit Memo</t>
  </si>
  <si>
    <t>CM23</t>
  </si>
  <si>
    <t>JE360</t>
  </si>
  <si>
    <t>American Water : Virginia American Water</t>
  </si>
  <si>
    <t>JE364</t>
  </si>
  <si>
    <t>JE367</t>
  </si>
  <si>
    <t>INV927</t>
  </si>
  <si>
    <t>JE376</t>
  </si>
  <si>
    <t>JE377</t>
  </si>
  <si>
    <t>Jul 2022</t>
  </si>
  <si>
    <t>INV941</t>
  </si>
  <si>
    <t>997088WH-C</t>
  </si>
  <si>
    <t>Service Call Charge</t>
  </si>
  <si>
    <t>INV945</t>
  </si>
  <si>
    <t>125100121</t>
  </si>
  <si>
    <t>Test Bench-New-Medium-Series 5-1000-Standard-Dual</t>
  </si>
  <si>
    <t>310300301</t>
  </si>
  <si>
    <t>525100121</t>
  </si>
  <si>
    <t>210100111</t>
  </si>
  <si>
    <t>925100421</t>
  </si>
  <si>
    <t>626420121</t>
  </si>
  <si>
    <t>INV982</t>
  </si>
  <si>
    <t>Bench Actuator Kit - No Brake</t>
  </si>
  <si>
    <t>476264WH</t>
  </si>
  <si>
    <t>Gskt Adap 3.000ODx1.656Idx0.125</t>
  </si>
  <si>
    <t>4011006E</t>
  </si>
  <si>
    <t>Capacitor 43-53 MFD Dayton#2ME</t>
  </si>
  <si>
    <t>4004072E</t>
  </si>
  <si>
    <t>Switch 2 Position Maintain</t>
  </si>
  <si>
    <t>INV986</t>
  </si>
  <si>
    <t>INV987</t>
  </si>
  <si>
    <t>INV1001</t>
  </si>
  <si>
    <t>INV1053</t>
  </si>
  <si>
    <t>438361E</t>
  </si>
  <si>
    <t>Monitor Touchscreen 17 "</t>
  </si>
  <si>
    <t>438414E</t>
  </si>
  <si>
    <t>Monitor Power Adapter</t>
  </si>
  <si>
    <t>INV1083</t>
  </si>
  <si>
    <t>INV1084</t>
  </si>
  <si>
    <t>4014089E</t>
  </si>
  <si>
    <t>Weight Transmitter 201 Indicator</t>
  </si>
  <si>
    <t>Aug 2022</t>
  </si>
  <si>
    <t>INV1093</t>
  </si>
  <si>
    <t>434371WH</t>
  </si>
  <si>
    <t>Pump, Liberty 1/2Hp P383XLE51</t>
  </si>
  <si>
    <t>INV1104</t>
  </si>
  <si>
    <t>4009031E</t>
  </si>
  <si>
    <t>Conduit Red Bushing 1 x 0.75</t>
  </si>
  <si>
    <t>INV1117</t>
  </si>
  <si>
    <t>110101111</t>
  </si>
  <si>
    <t>310800301</t>
  </si>
  <si>
    <t>510101111</t>
  </si>
  <si>
    <t>Test Bench Installation &amp; Training-Sm-Advanced-Single</t>
  </si>
  <si>
    <t>210500111</t>
  </si>
  <si>
    <t>910101411</t>
  </si>
  <si>
    <t>Equip-TB Small-Series 1010-Advanced-Single</t>
  </si>
  <si>
    <t>616520121</t>
  </si>
  <si>
    <t>INV1118</t>
  </si>
  <si>
    <t>910000322</t>
  </si>
  <si>
    <t>910241122</t>
  </si>
  <si>
    <t>Test Bench - Equipment - ULF/C715 Upgrade-Series 2410</t>
  </si>
  <si>
    <t>510241222</t>
  </si>
  <si>
    <t xml:space="preserve">Test Bench Installation &amp; Training-Small-Series 2410-Advanced-Dual-Console  </t>
  </si>
  <si>
    <t>616420122</t>
  </si>
  <si>
    <t>960000002</t>
  </si>
  <si>
    <t>INV1131</t>
  </si>
  <si>
    <t>477409SW</t>
  </si>
  <si>
    <t>Ethernet Adap Usb 3.0 To Gigabit Amazon Rj45</t>
  </si>
  <si>
    <t>JE423</t>
  </si>
  <si>
    <t>JE427</t>
  </si>
  <si>
    <t>INV1163</t>
  </si>
  <si>
    <t>Mueller Co</t>
  </si>
  <si>
    <t>438141WH</t>
  </si>
  <si>
    <t>Carrier Bar Pin-Lng 1.5-2 SS</t>
  </si>
  <si>
    <t>INV1199</t>
  </si>
  <si>
    <t>476288WH</t>
  </si>
  <si>
    <t>Repair Kit, Valve Solenoid 1</t>
  </si>
  <si>
    <t>INV1209</t>
  </si>
  <si>
    <t>476283WH</t>
  </si>
  <si>
    <t>O-Ring #226-70N Nitrile Rubber</t>
  </si>
  <si>
    <t>INV1221</t>
  </si>
  <si>
    <t>Resource Wise</t>
  </si>
  <si>
    <t>Ball Valve Brs 2 #2032T FNPT</t>
  </si>
  <si>
    <t>111224WH</t>
  </si>
  <si>
    <t>Ball Valve Brs 1.5 #2032T FNPT</t>
  </si>
  <si>
    <t>INV1252</t>
  </si>
  <si>
    <t>INV1255</t>
  </si>
  <si>
    <t>920000322</t>
  </si>
  <si>
    <t>940000312</t>
  </si>
  <si>
    <t>606220122</t>
  </si>
  <si>
    <t>500000202</t>
  </si>
  <si>
    <t>Large Bench Rotometer Meter Assembl</t>
  </si>
  <si>
    <t>Bench Restraint</t>
  </si>
  <si>
    <t>Sep 2022</t>
  </si>
  <si>
    <t>INV1273</t>
  </si>
  <si>
    <t>530001WH</t>
  </si>
  <si>
    <t>Scale Calibration</t>
  </si>
  <si>
    <t>INV1274</t>
  </si>
  <si>
    <t>921000322</t>
  </si>
  <si>
    <t>Equip-TB Medium-Series 10000-Console Upgrade</t>
  </si>
  <si>
    <t>647220122</t>
  </si>
  <si>
    <t>540000322</t>
  </si>
  <si>
    <t>Test Bench Installation &amp; Training- Large - Standard- Upgrade</t>
  </si>
  <si>
    <t>627220122</t>
  </si>
  <si>
    <t>617220122</t>
  </si>
  <si>
    <t>521000322</t>
  </si>
  <si>
    <t>Test Bench Installation &amp; Training- Medium- Series 10000- Standard - Dual - Upgrade</t>
  </si>
  <si>
    <t>510240322</t>
  </si>
  <si>
    <t>Test Bench Installation &amp; Training- Small- Series 2400- Standard - Dual - Upgrade</t>
  </si>
  <si>
    <t>INV1283</t>
  </si>
  <si>
    <t>INV1295</t>
  </si>
  <si>
    <t>San Diego, County of</t>
  </si>
  <si>
    <t>JE459</t>
  </si>
  <si>
    <t>JE460</t>
  </si>
  <si>
    <t>JE462</t>
  </si>
  <si>
    <t>INV1304</t>
  </si>
  <si>
    <t>INV1318</t>
  </si>
  <si>
    <t>INV1322</t>
  </si>
  <si>
    <t>INV1323</t>
  </si>
  <si>
    <t>INV1324</t>
  </si>
  <si>
    <t>INV1326</t>
  </si>
  <si>
    <t>INV1328</t>
  </si>
  <si>
    <t>INV1329</t>
  </si>
  <si>
    <t>434369WH</t>
  </si>
  <si>
    <t xml:space="preserve">Ink Jet Printer </t>
  </si>
  <si>
    <t>INV1409</t>
  </si>
  <si>
    <t>INV1428</t>
  </si>
  <si>
    <t>310300202</t>
  </si>
  <si>
    <t>110031212</t>
  </si>
  <si>
    <t>511031112</t>
  </si>
  <si>
    <t xml:space="preserve">Test Bench Installation &amp; Training-Small-Series 310-Advanced-Single  </t>
  </si>
  <si>
    <t>220100212</t>
  </si>
  <si>
    <t>Tank-Duplex-100gal-Manual-Stainless Steel</t>
  </si>
  <si>
    <t>INV1429</t>
  </si>
  <si>
    <t>Oct 2022</t>
  </si>
  <si>
    <t>INV1460</t>
  </si>
  <si>
    <t>INV1461</t>
  </si>
  <si>
    <t>476285WH</t>
  </si>
  <si>
    <t>Adpt Reducer 2X1 Brz W/Oring Kit</t>
  </si>
  <si>
    <t>INV1462</t>
  </si>
  <si>
    <t>Valve Ball 2 W/Act-Mid Dyna</t>
  </si>
  <si>
    <t>INV1464</t>
  </si>
  <si>
    <t>INV1491</t>
  </si>
  <si>
    <t>INV1508</t>
  </si>
  <si>
    <t>JE500</t>
  </si>
  <si>
    <t>INV1565</t>
  </si>
  <si>
    <t>110241122</t>
  </si>
  <si>
    <t>310800302</t>
  </si>
  <si>
    <t>910241622</t>
  </si>
  <si>
    <t>Equip-TB Small-Series 2410-ULF w/ Gravity Feed System-New-Dual</t>
  </si>
  <si>
    <t>510241122</t>
  </si>
  <si>
    <t>210500112</t>
  </si>
  <si>
    <t>210100112</t>
  </si>
  <si>
    <t>616120022</t>
  </si>
  <si>
    <t>JE504</t>
  </si>
  <si>
    <t>JE505</t>
  </si>
  <si>
    <t>INV1575</t>
  </si>
  <si>
    <t>476330SW</t>
  </si>
  <si>
    <t xml:space="preserve">Power Supply, Din 24V </t>
  </si>
  <si>
    <t>Nov 2022</t>
  </si>
  <si>
    <t>INV1585</t>
  </si>
  <si>
    <t>INV1595</t>
  </si>
  <si>
    <t>525100222</t>
  </si>
  <si>
    <t>Test Bench Installation &amp; Training- Medium- Series 5-1000- Standard - Upgrade</t>
  </si>
  <si>
    <t>925100122</t>
  </si>
  <si>
    <t>JE514</t>
  </si>
  <si>
    <t>INV1645</t>
  </si>
  <si>
    <t>JE523</t>
  </si>
  <si>
    <t>INV1673</t>
  </si>
  <si>
    <t>Emerald Coast Utilities Authority</t>
  </si>
  <si>
    <t>476314WH</t>
  </si>
  <si>
    <t>Gskt Adpt 3.06ODx2.19Idx0.25Tk</t>
  </si>
  <si>
    <t>INV1679</t>
  </si>
  <si>
    <t>INV1681</t>
  </si>
  <si>
    <t>4014098E</t>
  </si>
  <si>
    <t>Fan, Rittal</t>
  </si>
  <si>
    <t>Dec 2022</t>
  </si>
  <si>
    <t>JE545</t>
  </si>
  <si>
    <t>INV1761</t>
  </si>
  <si>
    <t>923050122</t>
  </si>
  <si>
    <t>523050222</t>
  </si>
  <si>
    <t>INV1788</t>
  </si>
  <si>
    <t>997089WH</t>
  </si>
  <si>
    <t>Service Call-M3</t>
  </si>
  <si>
    <t>INV1789</t>
  </si>
  <si>
    <t>476212E</t>
  </si>
  <si>
    <t>Micro SDHC 16GB</t>
  </si>
  <si>
    <t>INV1800</t>
  </si>
  <si>
    <t>INV1824</t>
  </si>
  <si>
    <t>Zenner Performance</t>
  </si>
  <si>
    <t>Diversified Products : Spools</t>
  </si>
  <si>
    <t>Overall Total</t>
  </si>
  <si>
    <t>2,231.8</t>
  </si>
  <si>
    <t>Dec 2023</t>
  </si>
  <si>
    <t>JE1147</t>
  </si>
  <si>
    <t>32400060</t>
  </si>
  <si>
    <t>13000000</t>
  </si>
  <si>
    <t>Jul 2023</t>
  </si>
  <si>
    <t>JE906</t>
  </si>
  <si>
    <t>Feb 2023</t>
  </si>
  <si>
    <t>JE627</t>
  </si>
  <si>
    <t>Jan 2023</t>
  </si>
  <si>
    <t>JE594</t>
  </si>
  <si>
    <t>Oct 2023</t>
  </si>
  <si>
    <t>JE1052</t>
  </si>
  <si>
    <t>12510112</t>
  </si>
  <si>
    <t>JE892</t>
  </si>
  <si>
    <t>126120121</t>
  </si>
  <si>
    <t xml:space="preserve">Test Bench-Medium-Series 6-1200-Standard-Dual </t>
  </si>
  <si>
    <t>11012112</t>
  </si>
  <si>
    <t>Jun 2023</t>
  </si>
  <si>
    <t>INV2916</t>
  </si>
  <si>
    <t>73142012</t>
  </si>
  <si>
    <t>72142012</t>
  </si>
  <si>
    <t>Tier II (Annual Subscription) - Medium - New</t>
  </si>
  <si>
    <t>Nov 2023</t>
  </si>
  <si>
    <t>JE1092</t>
  </si>
  <si>
    <t>JE1121</t>
  </si>
  <si>
    <t>Apr 2023</t>
  </si>
  <si>
    <t>INV2525</t>
  </si>
  <si>
    <t>110120113</t>
  </si>
  <si>
    <t>INV1970</t>
  </si>
  <si>
    <t>110101112</t>
  </si>
  <si>
    <t>21250011</t>
  </si>
  <si>
    <t>Tank - 2500gal - Auto - Stainless Steel</t>
  </si>
  <si>
    <t>JE908</t>
  </si>
  <si>
    <t>May 2023</t>
  </si>
  <si>
    <t>JE768</t>
  </si>
  <si>
    <t>Mar 2023</t>
  </si>
  <si>
    <t>INV2355</t>
  </si>
  <si>
    <t>925100321</t>
  </si>
  <si>
    <t>INV1969</t>
  </si>
  <si>
    <t>125100122</t>
  </si>
  <si>
    <t>JE882</t>
  </si>
  <si>
    <t>74422012</t>
  </si>
  <si>
    <t>JE1054</t>
  </si>
  <si>
    <t>JE628</t>
  </si>
  <si>
    <t>Sep 2023</t>
  </si>
  <si>
    <t>JE1001</t>
  </si>
  <si>
    <t>81110110</t>
  </si>
  <si>
    <t xml:space="preserve">MCC - MARS Maintenance Calibration Certification - S/M - Contracted </t>
  </si>
  <si>
    <t>960000005</t>
  </si>
  <si>
    <t>31080020</t>
  </si>
  <si>
    <t>510120013</t>
  </si>
  <si>
    <t>JE1101</t>
  </si>
  <si>
    <t>310800202</t>
  </si>
  <si>
    <t>JE673</t>
  </si>
  <si>
    <t>JE805</t>
  </si>
  <si>
    <t>JE983</t>
  </si>
  <si>
    <t>52612012</t>
  </si>
  <si>
    <t>INV2826</t>
  </si>
  <si>
    <t>71532012</t>
  </si>
  <si>
    <t>Aug 2023</t>
  </si>
  <si>
    <t>JE931</t>
  </si>
  <si>
    <t>310300203</t>
  </si>
  <si>
    <t>51012112</t>
  </si>
  <si>
    <t>50000010</t>
  </si>
  <si>
    <t>Test Bench Installation &amp; Training - Multi System</t>
  </si>
  <si>
    <t>JE1132</t>
  </si>
  <si>
    <t>71142002</t>
  </si>
  <si>
    <t>72142002</t>
  </si>
  <si>
    <t>22010011</t>
  </si>
  <si>
    <t>52510112</t>
  </si>
  <si>
    <t>JE672</t>
  </si>
  <si>
    <t>JE981</t>
  </si>
  <si>
    <t>INV2069</t>
  </si>
  <si>
    <t>525100122</t>
  </si>
  <si>
    <t>JE985</t>
  </si>
  <si>
    <t>81110111</t>
  </si>
  <si>
    <t>MCC - MARS Maintenance Calibration Certification - S/M - Contracted - CA Prevailing Wage</t>
  </si>
  <si>
    <t>21050011</t>
  </si>
  <si>
    <t>JE984</t>
  </si>
  <si>
    <t>80000006</t>
  </si>
  <si>
    <t>JE840</t>
  </si>
  <si>
    <t>JE859</t>
  </si>
  <si>
    <t>JE922</t>
  </si>
  <si>
    <t>JE949</t>
  </si>
  <si>
    <t>JE1005</t>
  </si>
  <si>
    <t>JE1065</t>
  </si>
  <si>
    <t>82110110</t>
  </si>
  <si>
    <t xml:space="preserve">MCC - MARS Maintenance Calibration Certification - Large - Contracted </t>
  </si>
  <si>
    <t>JE648</t>
  </si>
  <si>
    <t>JE650</t>
  </si>
  <si>
    <t>JE706</t>
  </si>
  <si>
    <t>JE757</t>
  </si>
  <si>
    <t>JE1062</t>
  </si>
  <si>
    <t>JE1170</t>
  </si>
  <si>
    <t>JE1017</t>
  </si>
  <si>
    <t>81000001</t>
  </si>
  <si>
    <t xml:space="preserve">MCC - MARS Maintenance Calibration Certification - S/M - Non-Contracted </t>
  </si>
  <si>
    <t>JE1162</t>
  </si>
  <si>
    <t>JE956</t>
  </si>
  <si>
    <t>JE982</t>
  </si>
  <si>
    <t>82110111</t>
  </si>
  <si>
    <t xml:space="preserve">MCC - MARS Maintenance Calibration Certification - Large - Contracted - CA Prevailing Wage </t>
  </si>
  <si>
    <t>JE954</t>
  </si>
  <si>
    <t>525100221</t>
  </si>
  <si>
    <t>JE868</t>
  </si>
  <si>
    <t>60642012</t>
  </si>
  <si>
    <t>M3 Software Installation &amp; Training-Tier II</t>
  </si>
  <si>
    <t>63622012</t>
  </si>
  <si>
    <t>M3 Software Installation &amp; Training- VF-10 - Standard</t>
  </si>
  <si>
    <t>JE1118</t>
  </si>
  <si>
    <t>60642002</t>
  </si>
  <si>
    <t xml:space="preserve">M3 Software Installation &amp; Training - Tier II </t>
  </si>
  <si>
    <t>60102012</t>
  </si>
  <si>
    <t>21010011</t>
  </si>
  <si>
    <t>JE647</t>
  </si>
  <si>
    <t>JE588</t>
  </si>
  <si>
    <t>81010101</t>
  </si>
  <si>
    <t>MCC - MARS Maintenance Calibration Certification - S/M - Non-Contracted - CA Prevailing Wage</t>
  </si>
  <si>
    <t>210100113</t>
  </si>
  <si>
    <t>910120613</t>
  </si>
  <si>
    <t>93000001</t>
  </si>
  <si>
    <t>JE866</t>
  </si>
  <si>
    <t>74552012</t>
  </si>
  <si>
    <t>JE649</t>
  </si>
  <si>
    <t>960000003</t>
  </si>
  <si>
    <t>53000011</t>
  </si>
  <si>
    <t>Arvada, City of</t>
  </si>
  <si>
    <t>INV2827</t>
  </si>
  <si>
    <t>72552012</t>
  </si>
  <si>
    <t>92510142</t>
  </si>
  <si>
    <t>91012112</t>
  </si>
  <si>
    <t>Test Bench - Equipment - Series 2410 - ULF</t>
  </si>
  <si>
    <t>910101412</t>
  </si>
  <si>
    <t>21001011</t>
  </si>
  <si>
    <t>Chicago United Industries</t>
  </si>
  <si>
    <t>74532012</t>
  </si>
  <si>
    <t>74322012</t>
  </si>
  <si>
    <t xml:space="preserve">Test Bench Installation &amp; Training- 2 Benches - Upgrade </t>
  </si>
  <si>
    <t>71422012</t>
  </si>
  <si>
    <t>80100011</t>
  </si>
  <si>
    <t>MCC - MARS Maintenance Calibration Certification - VF-10 - Contracted</t>
  </si>
  <si>
    <t>81100011</t>
  </si>
  <si>
    <t>MCC - MARS Maintenance Calibration Certification - Contracted</t>
  </si>
  <si>
    <t>JE990</t>
  </si>
  <si>
    <t>81100010</t>
  </si>
  <si>
    <t>JE1161</t>
  </si>
  <si>
    <t>616220123</t>
  </si>
  <si>
    <t>JE870</t>
  </si>
  <si>
    <t>62642012</t>
  </si>
  <si>
    <t>61642012</t>
  </si>
  <si>
    <t>81100111</t>
  </si>
  <si>
    <t>MCC - MARS Maintenance Calibration Certification - S/M - Contracted</t>
  </si>
  <si>
    <t>JE1072</t>
  </si>
  <si>
    <t>JE1073</t>
  </si>
  <si>
    <t>New York City Department of Environmental Protection</t>
  </si>
  <si>
    <t>71322012</t>
  </si>
  <si>
    <t>JE1068</t>
  </si>
  <si>
    <t>JE862</t>
  </si>
  <si>
    <t>626220122</t>
  </si>
  <si>
    <t>JE959</t>
  </si>
  <si>
    <t>JE1006</t>
  </si>
  <si>
    <t>JE1069</t>
  </si>
  <si>
    <t>92510102</t>
  </si>
  <si>
    <t>JE898</t>
  </si>
  <si>
    <t>71522012</t>
  </si>
  <si>
    <t>72522012</t>
  </si>
  <si>
    <t>JE900</t>
  </si>
  <si>
    <t>JE930</t>
  </si>
  <si>
    <t>JE848</t>
  </si>
  <si>
    <t>JE1116</t>
  </si>
  <si>
    <t>JE1016</t>
  </si>
  <si>
    <t>52612022</t>
  </si>
  <si>
    <t>JE899</t>
  </si>
  <si>
    <t>72452012</t>
  </si>
  <si>
    <t>71552012</t>
  </si>
  <si>
    <t>92612002</t>
  </si>
  <si>
    <t>72422012</t>
  </si>
  <si>
    <t>91024002</t>
  </si>
  <si>
    <t xml:space="preserve">Equipment- Test Bench -Series 2400 </t>
  </si>
  <si>
    <t>71142012</t>
  </si>
  <si>
    <t>72322012</t>
  </si>
  <si>
    <t>72462012</t>
  </si>
  <si>
    <t>INV2060</t>
  </si>
  <si>
    <t>434817WH</t>
  </si>
  <si>
    <t>15 - 150 Rotometer 73313203098W 2FNPT PVC SS VT 150Gpm</t>
  </si>
  <si>
    <t>INV2159</t>
  </si>
  <si>
    <t>INV2712</t>
  </si>
  <si>
    <t>010144WH</t>
  </si>
  <si>
    <t>Turbine HA0100 1 NPT</t>
  </si>
  <si>
    <t>73422012</t>
  </si>
  <si>
    <t>JE1066</t>
  </si>
  <si>
    <t>92500001</t>
  </si>
  <si>
    <t xml:space="preserve">Equipment- Test Bench -Series 5000 </t>
  </si>
  <si>
    <t>JE1114</t>
  </si>
  <si>
    <t>434368WH</t>
  </si>
  <si>
    <t>HP Computer Desktop</t>
  </si>
  <si>
    <t>71542012</t>
  </si>
  <si>
    <t>JE1166</t>
  </si>
  <si>
    <t>JE1242</t>
  </si>
  <si>
    <t>Earl Parris</t>
  </si>
  <si>
    <t>434642WH</t>
  </si>
  <si>
    <t>Carrier Bar Compl 5/8X1 14Lg</t>
  </si>
  <si>
    <t>620000021</t>
  </si>
  <si>
    <t>JE1172</t>
  </si>
  <si>
    <t>72152012</t>
  </si>
  <si>
    <t>INV2569</t>
  </si>
  <si>
    <t>Waterone</t>
  </si>
  <si>
    <t>73162012</t>
  </si>
  <si>
    <t>Guam Waterworks Authority</t>
  </si>
  <si>
    <t>Thornton, City of</t>
  </si>
  <si>
    <t>925100422</t>
  </si>
  <si>
    <t>Equip-TB Medium-Series 5-1000-Dual</t>
  </si>
  <si>
    <t>172053WH</t>
  </si>
  <si>
    <t>Valve Y-Check PVC Sch80 3</t>
  </si>
  <si>
    <t>JE1115</t>
  </si>
  <si>
    <t>JE1171</t>
  </si>
  <si>
    <t>JE1064</t>
  </si>
  <si>
    <t>477401WH</t>
  </si>
  <si>
    <t>Carrier Bar 19 Poly Machined</t>
  </si>
  <si>
    <t>JE1074</t>
  </si>
  <si>
    <t>INV2327</t>
  </si>
  <si>
    <t>400007SW</t>
  </si>
  <si>
    <t>Ipad</t>
  </si>
  <si>
    <t>JE709</t>
  </si>
  <si>
    <t>Orlando Utilities Commission</t>
  </si>
  <si>
    <t>477899WH</t>
  </si>
  <si>
    <t>Spool Flgd 150# 6 x 18Lg w/2 Cplg Coated</t>
  </si>
  <si>
    <t>JE921</t>
  </si>
  <si>
    <t>Simi Valley, City of</t>
  </si>
  <si>
    <t>435004WH</t>
  </si>
  <si>
    <t>Adapter Kit 3/4" C-715</t>
  </si>
  <si>
    <t>434636WH</t>
  </si>
  <si>
    <t>Draw Bar Brs 5/8-1</t>
  </si>
  <si>
    <t>INV1853</t>
  </si>
  <si>
    <t>County of Hawaii - Department of Water Supply</t>
  </si>
  <si>
    <t>434820WH</t>
  </si>
  <si>
    <t>1.5 - 2 Carrier Outboard</t>
  </si>
  <si>
    <t>JE1037</t>
  </si>
  <si>
    <t>USA Bluebook</t>
  </si>
  <si>
    <t>USA Bluebook : USA Bluebook-Las Vegas</t>
  </si>
  <si>
    <t>SP10-14.125</t>
  </si>
  <si>
    <t>Spool 10 X 14.125 Lg Coated</t>
  </si>
  <si>
    <t>477904WH</t>
  </si>
  <si>
    <t xml:space="preserve">Spool Flgd 150# 3 x 12Lg w/1 Cplg </t>
  </si>
  <si>
    <t>476348WH</t>
  </si>
  <si>
    <t>2"X 1" Reducing Adapter Kit</t>
  </si>
  <si>
    <t>477402WH</t>
  </si>
  <si>
    <t>Adapter Meter Advanced Bench</t>
  </si>
  <si>
    <t>Valve Check Wafer  6     Cv0600-SS</t>
  </si>
  <si>
    <t>Valve Check Wafer  3</t>
  </si>
  <si>
    <t>JE1159</t>
  </si>
  <si>
    <t>151525WH</t>
  </si>
  <si>
    <t>Valve Petcock Brs 0.25</t>
  </si>
  <si>
    <t>434633WH</t>
  </si>
  <si>
    <t>Quick Pin 1/4 X 2 SS</t>
  </si>
  <si>
    <t>476442WH</t>
  </si>
  <si>
    <t>Replacement Filter, Hay-05-290 C2251540LSS</t>
  </si>
  <si>
    <t>476479WH</t>
  </si>
  <si>
    <t>Union PVC Sch80 3</t>
  </si>
  <si>
    <t>INV2682</t>
  </si>
  <si>
    <t>172090WH</t>
  </si>
  <si>
    <t>NPL PVC 1.0X7.5 Sch80 Bev (Used on 3/4" Adapters)</t>
  </si>
  <si>
    <t>INV1901</t>
  </si>
  <si>
    <t>435003WH</t>
  </si>
  <si>
    <t>Adapter Kit 5/8" C-715</t>
  </si>
  <si>
    <t>JE1105</t>
  </si>
  <si>
    <t>ECM Holding Group</t>
  </si>
  <si>
    <t>Union Brs 1.0</t>
  </si>
  <si>
    <t>INV2560</t>
  </si>
  <si>
    <t>070792WH</t>
  </si>
  <si>
    <t>2.5 MNST X 2 MNPT Bushing</t>
  </si>
  <si>
    <t>INV2530</t>
  </si>
  <si>
    <t>476526WH</t>
  </si>
  <si>
    <t>Float Stop, 15 - 150 Rotometer 73313203098W 2FNPT PVC SS VT 150Gpm</t>
  </si>
  <si>
    <t>INV2677</t>
  </si>
  <si>
    <t>Prince William Water</t>
  </si>
  <si>
    <t>INV2874</t>
  </si>
  <si>
    <t>San Juan Water District</t>
  </si>
  <si>
    <t>INV2052</t>
  </si>
  <si>
    <t>Portsmouth, City of</t>
  </si>
  <si>
    <t>JE885</t>
  </si>
  <si>
    <t>Avanti Company, Inc</t>
  </si>
  <si>
    <t>151911WH</t>
  </si>
  <si>
    <t>Plug Brs Nl Sqr 2</t>
  </si>
  <si>
    <t>INV2683</t>
  </si>
  <si>
    <t>Pasco County Utilities</t>
  </si>
  <si>
    <t>476333WH</t>
  </si>
  <si>
    <t>Adpt Male Cu Srt .75</t>
  </si>
  <si>
    <t>438023WH</t>
  </si>
  <si>
    <t>Union Cu 0.75</t>
  </si>
  <si>
    <t>476249WH</t>
  </si>
  <si>
    <t>Pentair Replacement Cartridge Filter  - Large Chlorinator</t>
  </si>
  <si>
    <t>476403WH</t>
  </si>
  <si>
    <t>Adpt Brz 3/4 w/Gskt  Kit</t>
  </si>
  <si>
    <t>477624WH</t>
  </si>
  <si>
    <t>Draw Bar Drive End 5/8-1</t>
  </si>
  <si>
    <t>476402WH</t>
  </si>
  <si>
    <t>Adpt Brz 1 w/Gskt  Kit</t>
  </si>
  <si>
    <t>4004051E</t>
  </si>
  <si>
    <t>Contact Block NC Eaton</t>
  </si>
  <si>
    <t>476555E</t>
  </si>
  <si>
    <t xml:space="preserve">Filter Replacement Material , Console </t>
  </si>
  <si>
    <t>TEE Brs 1.0</t>
  </si>
  <si>
    <t>476571WH</t>
  </si>
  <si>
    <t>Tubing Outlet Guide, 15 - 150 Rotometer 73313203098W 2FNPT PVC SS VT 150Gpm</t>
  </si>
  <si>
    <t>INV2066</t>
  </si>
  <si>
    <t>INV2607</t>
  </si>
  <si>
    <t>434608WH</t>
  </si>
  <si>
    <t>Gauge 2.5 Liquid Filled SS Pro 201L-254F</t>
  </si>
  <si>
    <t>434921WH</t>
  </si>
  <si>
    <t>Adapter Female Cu 0.75</t>
  </si>
  <si>
    <t>INV2371</t>
  </si>
  <si>
    <t>ConnProfessional Water Serv</t>
  </si>
  <si>
    <t>NPL Brs 1.0X2.0</t>
  </si>
  <si>
    <t>INV2262</t>
  </si>
  <si>
    <t>476572WH</t>
  </si>
  <si>
    <t>Oring 15 - 150 Rotometer 73313203098W 2FNPT PVC SS VT 150Gpm</t>
  </si>
  <si>
    <t>CPLG Cu 1</t>
  </si>
  <si>
    <t>INV2622</t>
  </si>
  <si>
    <t>Seattle Public Utilities</t>
  </si>
  <si>
    <t>INV2781</t>
  </si>
  <si>
    <t>Topeka, City of</t>
  </si>
  <si>
    <t>JE904</t>
  </si>
  <si>
    <t>INV1907</t>
  </si>
  <si>
    <t>INV1932</t>
  </si>
  <si>
    <t>400002SW</t>
  </si>
  <si>
    <t>Server (Hp Z2 G5)</t>
  </si>
  <si>
    <t>476305SW</t>
  </si>
  <si>
    <t>SSD Internal 256Gb</t>
  </si>
  <si>
    <t>476308SW</t>
  </si>
  <si>
    <t>Usb Multiport Adapter Amazon</t>
  </si>
  <si>
    <t>INV1957</t>
  </si>
  <si>
    <t>435007WH</t>
  </si>
  <si>
    <t>Adapter Kit 2" Thd'D C-715</t>
  </si>
  <si>
    <t>INV1960</t>
  </si>
  <si>
    <t>477407WH</t>
  </si>
  <si>
    <t>Carrier Bar 14 Poly Mach Adv</t>
  </si>
  <si>
    <t>INV1965</t>
  </si>
  <si>
    <t>380748WH</t>
  </si>
  <si>
    <t>Toughbook FZ-55CV302VM Panasonic  Insight</t>
  </si>
  <si>
    <t>400271SW</t>
  </si>
  <si>
    <t xml:space="preserve">USB to Serial Adapter Cable  </t>
  </si>
  <si>
    <t>INV1982</t>
  </si>
  <si>
    <t>INV2035</t>
  </si>
  <si>
    <t>INV2040</t>
  </si>
  <si>
    <t>INV2049</t>
  </si>
  <si>
    <t>INV2142</t>
  </si>
  <si>
    <t>INV2143</t>
  </si>
  <si>
    <t>Kamstrup Water Metering, LLC</t>
  </si>
  <si>
    <t>151906WH</t>
  </si>
  <si>
    <t>Plug Brs Sqr 2</t>
  </si>
  <si>
    <t>INV2166</t>
  </si>
  <si>
    <t>INV2175</t>
  </si>
  <si>
    <t>INV2185</t>
  </si>
  <si>
    <t>INV2220</t>
  </si>
  <si>
    <t>151852WH</t>
  </si>
  <si>
    <t>Plug Brs Nl Sqr 1.5</t>
  </si>
  <si>
    <t>INV2248</t>
  </si>
  <si>
    <t>INV2266</t>
  </si>
  <si>
    <t>434638WH</t>
  </si>
  <si>
    <t>Drive Bar Brs 5/8-1</t>
  </si>
  <si>
    <t>INV2272</t>
  </si>
  <si>
    <t>INV2300</t>
  </si>
  <si>
    <t>INV2309</t>
  </si>
  <si>
    <t>400008SW</t>
  </si>
  <si>
    <t>Ipad Lifeproof Case</t>
  </si>
  <si>
    <t>INV2352</t>
  </si>
  <si>
    <t>INV2372</t>
  </si>
  <si>
    <t>40454444</t>
  </si>
  <si>
    <t>Customer Product - No Charge</t>
  </si>
  <si>
    <t>INV2384</t>
  </si>
  <si>
    <t>INV2406</t>
  </si>
  <si>
    <t>INV2440</t>
  </si>
  <si>
    <t>INV2517</t>
  </si>
  <si>
    <t>INV2524</t>
  </si>
  <si>
    <t>INV2563</t>
  </si>
  <si>
    <t>INV2566</t>
  </si>
  <si>
    <t>INV2614</t>
  </si>
  <si>
    <t>INV2620</t>
  </si>
  <si>
    <t>400053WH</t>
  </si>
  <si>
    <t>Actuator Head 2      Dynaquip</t>
  </si>
  <si>
    <t>INV2628</t>
  </si>
  <si>
    <t>INV2643</t>
  </si>
  <si>
    <t>INV2647</t>
  </si>
  <si>
    <t>INV2650</t>
  </si>
  <si>
    <t>010143WH</t>
  </si>
  <si>
    <t>Coil Pick Up 901303  - VF-10</t>
  </si>
  <si>
    <t>INV2876</t>
  </si>
  <si>
    <t>64642012</t>
  </si>
  <si>
    <t>M3 Software Training -Refresher</t>
  </si>
  <si>
    <t>JE824</t>
  </si>
  <si>
    <t>300039WH</t>
  </si>
  <si>
    <t>Hay-05-290 C2251540LSS 25Sqf 40Gpm Micro Starclear Cart Sys W/ Hk</t>
  </si>
  <si>
    <t>Artesian Water Company, Inc</t>
  </si>
  <si>
    <t>INV2893</t>
  </si>
  <si>
    <t>81000011</t>
  </si>
  <si>
    <t>MCC - MARS Maintenance Calibration Certification - S/M - Non-Contracted</t>
  </si>
  <si>
    <t>82000011</t>
  </si>
  <si>
    <t>MCC - MARS Maintenance Calibration Certification - Large - Non-Contracted</t>
  </si>
  <si>
    <t>JE825</t>
  </si>
  <si>
    <t>MARS Company (Internal Use)</t>
  </si>
  <si>
    <t>435002WH</t>
  </si>
  <si>
    <t>Carrier Bar Kit C-715 19 - NO PIN</t>
  </si>
  <si>
    <t>JE845</t>
  </si>
  <si>
    <t>82000111</t>
  </si>
  <si>
    <t>81000111</t>
  </si>
  <si>
    <t>476517WH</t>
  </si>
  <si>
    <t xml:space="preserve">Carrier Bar 11 Poly Machined - Old Style </t>
  </si>
  <si>
    <t>476380E</t>
  </si>
  <si>
    <t>Power Supply 12/24VDC 3A Converter _x000D_
VF-10</t>
  </si>
  <si>
    <t>81000000</t>
  </si>
  <si>
    <t>81000010</t>
  </si>
  <si>
    <t>MARS Maintenance Calibration Certification</t>
  </si>
  <si>
    <t>JE884</t>
  </si>
  <si>
    <t>80000003</t>
  </si>
  <si>
    <t>476534WH</t>
  </si>
  <si>
    <t>Hay-10-423 SP1540C (Lg System)</t>
  </si>
  <si>
    <t>JE932</t>
  </si>
  <si>
    <t>82100011</t>
  </si>
  <si>
    <t>MCC - MARS Maintenance Calibration Certification - Large - Contracted</t>
  </si>
  <si>
    <t>JE935</t>
  </si>
  <si>
    <t>JE948</t>
  </si>
  <si>
    <t>INV3369</t>
  </si>
  <si>
    <t>INV3370</t>
  </si>
  <si>
    <t>JE986</t>
  </si>
  <si>
    <t>JE1025</t>
  </si>
  <si>
    <t xml:space="preserve">SW Upgrade - Contracted </t>
  </si>
  <si>
    <t>JE1045</t>
  </si>
  <si>
    <t>JE1076</t>
  </si>
  <si>
    <t>JE1078</t>
  </si>
  <si>
    <t>477530SW</t>
  </si>
  <si>
    <t>SSD Internal 2.5 120Gb</t>
  </si>
  <si>
    <t>70000011</t>
  </si>
  <si>
    <t>CM68</t>
  </si>
  <si>
    <t>JE1181</t>
  </si>
  <si>
    <t>70000003</t>
  </si>
  <si>
    <t>70000006</t>
  </si>
  <si>
    <t>70000005</t>
  </si>
  <si>
    <t>70000007</t>
  </si>
  <si>
    <t>JE953</t>
  </si>
  <si>
    <t>JE1164</t>
  </si>
  <si>
    <t>JE1168</t>
  </si>
  <si>
    <t>JE951</t>
  </si>
  <si>
    <t>JE1179</t>
  </si>
  <si>
    <t>70000008</t>
  </si>
  <si>
    <t>80000004</t>
  </si>
  <si>
    <t>JE581</t>
  </si>
  <si>
    <t>80000005</t>
  </si>
  <si>
    <t>JE808</t>
  </si>
  <si>
    <t>70000009</t>
  </si>
  <si>
    <t>JE1158</t>
  </si>
  <si>
    <t>90000001</t>
  </si>
  <si>
    <t>JE958</t>
  </si>
  <si>
    <t>JE871</t>
  </si>
  <si>
    <t>JE807</t>
  </si>
  <si>
    <t>JE843</t>
  </si>
  <si>
    <t>JE1149</t>
  </si>
  <si>
    <t>JE836</t>
  </si>
  <si>
    <t>1,529.0</t>
  </si>
  <si>
    <t>TB Top Customers by Revenue</t>
  </si>
  <si>
    <t>Jun 2024</t>
  </si>
  <si>
    <t>JE1597</t>
  </si>
  <si>
    <t>12612112</t>
  </si>
  <si>
    <t>Test Bench-New-Medium-Series 6-1210-Advanced-Dual</t>
  </si>
  <si>
    <t>Apr 2024</t>
  </si>
  <si>
    <t>JE1442</t>
  </si>
  <si>
    <t>Dec 2024</t>
  </si>
  <si>
    <t>JE1985</t>
  </si>
  <si>
    <t>Nov 2024</t>
  </si>
  <si>
    <t>JE1921</t>
  </si>
  <si>
    <t>Aug 2024</t>
  </si>
  <si>
    <t>JE1739</t>
  </si>
  <si>
    <t>11012011</t>
  </si>
  <si>
    <t>JE1402</t>
  </si>
  <si>
    <t>74112002</t>
  </si>
  <si>
    <t>MARS M3 Lite Software - New</t>
  </si>
  <si>
    <t>JE1431</t>
  </si>
  <si>
    <t>Mar 2024</t>
  </si>
  <si>
    <t>JE1384</t>
  </si>
  <si>
    <t>Jul 2024</t>
  </si>
  <si>
    <t>JE1682</t>
  </si>
  <si>
    <t>Feb 2024</t>
  </si>
  <si>
    <t>JE1251</t>
  </si>
  <si>
    <t>JE1456</t>
  </si>
  <si>
    <t>May 2024</t>
  </si>
  <si>
    <t>JE1536</t>
  </si>
  <si>
    <t>JE1320</t>
  </si>
  <si>
    <t>JE1481</t>
  </si>
  <si>
    <t>JE1580</t>
  </si>
  <si>
    <t>51012011</t>
  </si>
  <si>
    <t>81000311 OLD</t>
  </si>
  <si>
    <t>MCC - MARS Maintenance Calibration Certification - S/M - Non - Contracted</t>
  </si>
  <si>
    <t>31030020</t>
  </si>
  <si>
    <t>Jan 2024</t>
  </si>
  <si>
    <t>JE1232</t>
  </si>
  <si>
    <t>JE1404</t>
  </si>
  <si>
    <t>JE1581</t>
  </si>
  <si>
    <t>JE1983</t>
  </si>
  <si>
    <t>Oct 2024</t>
  </si>
  <si>
    <t>JE1919</t>
  </si>
  <si>
    <t>Sep 2024</t>
  </si>
  <si>
    <t>JE1809</t>
  </si>
  <si>
    <t>81010111 OLD</t>
  </si>
  <si>
    <t>JE1473</t>
  </si>
  <si>
    <t>54000001</t>
  </si>
  <si>
    <t>JE1564</t>
  </si>
  <si>
    <t>JE1663</t>
  </si>
  <si>
    <t>JE1718</t>
  </si>
  <si>
    <t>JE1873</t>
  </si>
  <si>
    <t>JE1874</t>
  </si>
  <si>
    <t>JE1930</t>
  </si>
  <si>
    <t>52612112</t>
  </si>
  <si>
    <t>Test Bench Installation &amp; Training - Medium -Series 6-1210</t>
  </si>
  <si>
    <t>JE1814</t>
  </si>
  <si>
    <t>JE1583</t>
  </si>
  <si>
    <t>JE1686</t>
  </si>
  <si>
    <t>JE1671</t>
  </si>
  <si>
    <t>JE1406</t>
  </si>
  <si>
    <t>JE1344</t>
  </si>
  <si>
    <t>JE1368</t>
  </si>
  <si>
    <t>JE1130</t>
  </si>
  <si>
    <t>JE1209</t>
  </si>
  <si>
    <t>JE1304</t>
  </si>
  <si>
    <t>JE1375</t>
  </si>
  <si>
    <t>JE1525</t>
  </si>
  <si>
    <t>JE1506</t>
  </si>
  <si>
    <t>JE1535</t>
  </si>
  <si>
    <t>JE1607</t>
  </si>
  <si>
    <t>JE1678</t>
  </si>
  <si>
    <t>JE1705</t>
  </si>
  <si>
    <t>JE1771</t>
  </si>
  <si>
    <t>JE1820</t>
  </si>
  <si>
    <t>82010111 OLD</t>
  </si>
  <si>
    <t>JE1856</t>
  </si>
  <si>
    <t>81000211</t>
  </si>
  <si>
    <t>JE1526</t>
  </si>
  <si>
    <t>JE1730</t>
  </si>
  <si>
    <t>JE1393</t>
  </si>
  <si>
    <t>JE1709</t>
  </si>
  <si>
    <t>82000112</t>
  </si>
  <si>
    <t>JE1306</t>
  </si>
  <si>
    <t>51020022</t>
  </si>
  <si>
    <t>91024112</t>
  </si>
  <si>
    <t xml:space="preserve">Test Bench -Equipment- Small-Series 2410- C715 / ULF Upgrade </t>
  </si>
  <si>
    <t>82000311 OLD</t>
  </si>
  <si>
    <t>MCC - MARS Maintenance Calibration Certification - Large - Non - Contracted</t>
  </si>
  <si>
    <t>JE1318</t>
  </si>
  <si>
    <t>82000211OLD</t>
  </si>
  <si>
    <t>82000211</t>
  </si>
  <si>
    <t>JE1959</t>
  </si>
  <si>
    <t>82100211</t>
  </si>
  <si>
    <t>JE1281</t>
  </si>
  <si>
    <t>JE1601</t>
  </si>
  <si>
    <t>JE1779</t>
  </si>
  <si>
    <t>JE1470</t>
  </si>
  <si>
    <t>82100301</t>
  </si>
  <si>
    <t>60622012</t>
  </si>
  <si>
    <t xml:space="preserve">M3 Software Install &amp; Training-Multi-System </t>
  </si>
  <si>
    <t>60602012</t>
  </si>
  <si>
    <t>51010021</t>
  </si>
  <si>
    <t xml:space="preserve">Installation Assistance &amp; Training with Certified MARS Personnel - Hardware </t>
  </si>
  <si>
    <t>JE1277</t>
  </si>
  <si>
    <t>JE1278</t>
  </si>
  <si>
    <t>JE1466</t>
  </si>
  <si>
    <t>82000001</t>
  </si>
  <si>
    <t>MARS Maintenance Calibration Certification (MCC) - Large - Annual</t>
  </si>
  <si>
    <t>81000112</t>
  </si>
  <si>
    <t>JE1672</t>
  </si>
  <si>
    <t>52510122</t>
  </si>
  <si>
    <t>54000021</t>
  </si>
  <si>
    <t xml:space="preserve">Hardware Installation &amp; Training - Console - Upgrade _x000D_
</t>
  </si>
  <si>
    <t>JE1612</t>
  </si>
  <si>
    <t>51024122</t>
  </si>
  <si>
    <t>81010100</t>
  </si>
  <si>
    <t>JE1305</t>
  </si>
  <si>
    <t>92510112</t>
  </si>
  <si>
    <t>91012041</t>
  </si>
  <si>
    <t>91012142</t>
  </si>
  <si>
    <t>81000211_OLD</t>
  </si>
  <si>
    <t>81100211</t>
  </si>
  <si>
    <t>JE1192</t>
  </si>
  <si>
    <t>51012022</t>
  </si>
  <si>
    <t>74522012</t>
  </si>
  <si>
    <t>51024022</t>
  </si>
  <si>
    <t xml:space="preserve">Test Bench Installation &amp; Training - Small -Series 2400 </t>
  </si>
  <si>
    <t>81100301</t>
  </si>
  <si>
    <t>JE1319</t>
  </si>
  <si>
    <t>92612142</t>
  </si>
  <si>
    <t>Test Bench - Equipment - Series 6-1210 - ULF</t>
  </si>
  <si>
    <t>JE1753</t>
  </si>
  <si>
    <t>74562012</t>
  </si>
  <si>
    <t>MARS M3 Enterprise Software Suite - Large Test Bench System -</t>
  </si>
  <si>
    <t>JE1833</t>
  </si>
  <si>
    <t>80100111</t>
  </si>
  <si>
    <t>MCC - MARS Maintenance Calibration Certification - Truck Tester - Contracted</t>
  </si>
  <si>
    <t>74462012</t>
  </si>
  <si>
    <t>MARS M3 Enterprise Software Suite - _x000D_
Series 2410 &amp; Large Test Bench System -</t>
  </si>
  <si>
    <t>74452012</t>
  </si>
  <si>
    <t>74432012</t>
  </si>
  <si>
    <t>JE1410</t>
  </si>
  <si>
    <t>JE1455</t>
  </si>
  <si>
    <t>JE1920</t>
  </si>
  <si>
    <t>JE1972</t>
  </si>
  <si>
    <t>JE1669</t>
  </si>
  <si>
    <t>72502012</t>
  </si>
  <si>
    <t>JE1953</t>
  </si>
  <si>
    <t>81100211OLD</t>
  </si>
  <si>
    <t>JE1540</t>
  </si>
  <si>
    <t>JE1541</t>
  </si>
  <si>
    <t>JE1872</t>
  </si>
  <si>
    <t>JE1752</t>
  </si>
  <si>
    <t>JE1563</t>
  </si>
  <si>
    <t>81100311 OLD</t>
  </si>
  <si>
    <t>JE1381</t>
  </si>
  <si>
    <t>JE1321</t>
  </si>
  <si>
    <t>JE1939</t>
  </si>
  <si>
    <t>JE1762</t>
  </si>
  <si>
    <t>JE1454</t>
  </si>
  <si>
    <t>Valve Butterfly Act  6 P3 Elec</t>
  </si>
  <si>
    <t>JE1552</t>
  </si>
  <si>
    <t>JE1492</t>
  </si>
  <si>
    <t>JE1530</t>
  </si>
  <si>
    <t>JE1605</t>
  </si>
  <si>
    <t>64612002</t>
  </si>
  <si>
    <t>Installation Assistance &amp; Training with Certified MARS Personnel - Software</t>
  </si>
  <si>
    <t>61622012</t>
  </si>
  <si>
    <t>M3 Software Installation &amp; Training - Small -Test Bench - Standard</t>
  </si>
  <si>
    <t>61652012</t>
  </si>
  <si>
    <t>JE1788</t>
  </si>
  <si>
    <t>51005021</t>
  </si>
  <si>
    <t>Test Bench Installation &amp; Training - Small - Series 500 - Standard - Upgrade</t>
  </si>
  <si>
    <t>JE1218</t>
  </si>
  <si>
    <t>JE1394</t>
  </si>
  <si>
    <t>81100112</t>
  </si>
  <si>
    <t>JE1262</t>
  </si>
  <si>
    <t>61732012</t>
  </si>
  <si>
    <t>JE1545</t>
  </si>
  <si>
    <t>71432012</t>
  </si>
  <si>
    <t>JE1812</t>
  </si>
  <si>
    <t>476379WH</t>
  </si>
  <si>
    <t>Valve V-Port Act 4 Elec</t>
  </si>
  <si>
    <t>91024012</t>
  </si>
  <si>
    <t xml:space="preserve">Test Bench - Equipment - Small-Series 2400 - ULF Upgrade </t>
  </si>
  <si>
    <t>JE1457</t>
  </si>
  <si>
    <t>82100210</t>
  </si>
  <si>
    <t xml:space="preserve">MARS Maintenance Calibration Certification </t>
  </si>
  <si>
    <t>91020022</t>
  </si>
  <si>
    <t>JE1462</t>
  </si>
  <si>
    <t>JE1178</t>
  </si>
  <si>
    <t>71152012</t>
  </si>
  <si>
    <t>M3 Enterprise Software (Annual Subscription) - Small - Tier I</t>
  </si>
  <si>
    <t>477716WH</t>
  </si>
  <si>
    <t>Tank Poly 300 Gal Std 35OD</t>
  </si>
  <si>
    <t>JE1471</t>
  </si>
  <si>
    <t>JE1683</t>
  </si>
  <si>
    <t>73152012</t>
  </si>
  <si>
    <t>M3 Enterprise Software Suite</t>
  </si>
  <si>
    <t>JE1759</t>
  </si>
  <si>
    <t>JE1582</t>
  </si>
  <si>
    <t>72442012</t>
  </si>
  <si>
    <t>71452012</t>
  </si>
  <si>
    <t>72562012</t>
  </si>
  <si>
    <t>72042012</t>
  </si>
  <si>
    <t>JE1247</t>
  </si>
  <si>
    <t>JE1615</t>
  </si>
  <si>
    <t>JE1616</t>
  </si>
  <si>
    <t>73452012</t>
  </si>
  <si>
    <t>72432012</t>
  </si>
  <si>
    <t>72542012</t>
  </si>
  <si>
    <t>74502012</t>
  </si>
  <si>
    <t>73122012</t>
  </si>
  <si>
    <t>M3 Enterprise Software - Standard (Annual Subscription) - VF-10</t>
  </si>
  <si>
    <t>JE1528</t>
  </si>
  <si>
    <t>JE1529</t>
  </si>
  <si>
    <t>711320122</t>
  </si>
  <si>
    <t>JE1706</t>
  </si>
  <si>
    <t>476371E</t>
  </si>
  <si>
    <t>PLC Module - VF-10 - Unitronics Assembly-</t>
  </si>
  <si>
    <t>JE1202</t>
  </si>
  <si>
    <t>JE1825</t>
  </si>
  <si>
    <t>VFD DG1 VT, 380-500V, 15Hp,DG134016FBC21C</t>
  </si>
  <si>
    <t>JE1684</t>
  </si>
  <si>
    <t>73422002</t>
  </si>
  <si>
    <t>JE1461</t>
  </si>
  <si>
    <t>73462012</t>
  </si>
  <si>
    <t>74422002</t>
  </si>
  <si>
    <t>Saya Life Inc</t>
  </si>
  <si>
    <t>172083WH</t>
  </si>
  <si>
    <t>NPS PVC 1.0X8.5 Sch80</t>
  </si>
  <si>
    <t>JE1745</t>
  </si>
  <si>
    <t>476590WH</t>
  </si>
  <si>
    <t xml:space="preserve">Valve Check Wafer  6 DFT </t>
  </si>
  <si>
    <t>JE1823</t>
  </si>
  <si>
    <t>JE1824</t>
  </si>
  <si>
    <t>JE1908</t>
  </si>
  <si>
    <t>JE1397</t>
  </si>
  <si>
    <t>JE1346</t>
  </si>
  <si>
    <t>JE1348</t>
  </si>
  <si>
    <t>JE1613</t>
  </si>
  <si>
    <t>JE1632</t>
  </si>
  <si>
    <t>92500022</t>
  </si>
  <si>
    <t>JE1160</t>
  </si>
  <si>
    <t>JE1210</t>
  </si>
  <si>
    <t>JE1952</t>
  </si>
  <si>
    <t>73522002</t>
  </si>
  <si>
    <t>JE1411</t>
  </si>
  <si>
    <t>960000006</t>
  </si>
  <si>
    <t>JE1598</t>
  </si>
  <si>
    <t>JE1796</t>
  </si>
  <si>
    <t>JE1940</t>
  </si>
  <si>
    <t>JE1731</t>
  </si>
  <si>
    <t>JE1864</t>
  </si>
  <si>
    <t>71462012</t>
  </si>
  <si>
    <t>91012061</t>
  </si>
  <si>
    <t>JE1760</t>
  </si>
  <si>
    <t>JE1677</t>
  </si>
  <si>
    <t>JE1248</t>
  </si>
  <si>
    <t>JE1982</t>
  </si>
  <si>
    <t>476632WH</t>
  </si>
  <si>
    <t>NPL PVC 1.25X8.7 Sch80</t>
  </si>
  <si>
    <t>JE1604</t>
  </si>
  <si>
    <t>JE1245</t>
  </si>
  <si>
    <t>JE1332</t>
  </si>
  <si>
    <t>JE1931</t>
  </si>
  <si>
    <t>JE1668</t>
  </si>
  <si>
    <t>JE1246</t>
  </si>
  <si>
    <t>73562012</t>
  </si>
  <si>
    <t>476591WH</t>
  </si>
  <si>
    <t>Valve Check Wafer 3 DFT</t>
  </si>
  <si>
    <t>JE1835</t>
  </si>
  <si>
    <t>94000001</t>
  </si>
  <si>
    <t>JE1962</t>
  </si>
  <si>
    <t>JE1978</t>
  </si>
  <si>
    <t>72422002</t>
  </si>
  <si>
    <t>71422002</t>
  </si>
  <si>
    <t xml:space="preserve">MARS M3 Enterprise Software Suite  _x000D_
</t>
  </si>
  <si>
    <t>JE1523</t>
  </si>
  <si>
    <t>JE1355</t>
  </si>
  <si>
    <t>JE1813</t>
  </si>
  <si>
    <t>JE1923</t>
  </si>
  <si>
    <t>JE1703</t>
  </si>
  <si>
    <t>476548E</t>
  </si>
  <si>
    <t xml:space="preserve">Uni-I/O 10 Digital Inputs 2 Analog </t>
  </si>
  <si>
    <t>JE1749</t>
  </si>
  <si>
    <t>700000001</t>
  </si>
  <si>
    <t xml:space="preserve">Reducer Spool  4 X 3 Flgd Grooved Coated </t>
  </si>
  <si>
    <t>JE1268</t>
  </si>
  <si>
    <t>JE1269</t>
  </si>
  <si>
    <t>JE1408</t>
  </si>
  <si>
    <t>JE1460</t>
  </si>
  <si>
    <t>JE1524</t>
  </si>
  <si>
    <t>JE1606</t>
  </si>
  <si>
    <t>JE1948</t>
  </si>
  <si>
    <t>960000007</t>
  </si>
  <si>
    <t>JE1275</t>
  </si>
  <si>
    <t>City of Woodland</t>
  </si>
  <si>
    <t>476298WH</t>
  </si>
  <si>
    <t>Adpt Reducer Eccentric 3 X 2</t>
  </si>
  <si>
    <t>JE1350</t>
  </si>
  <si>
    <t>JE1802</t>
  </si>
  <si>
    <t>JE1537</t>
  </si>
  <si>
    <t>JE1416</t>
  </si>
  <si>
    <t>JE1955</t>
  </si>
  <si>
    <t>JE1647</t>
  </si>
  <si>
    <t>JE1653</t>
  </si>
  <si>
    <t>JE1244</t>
  </si>
  <si>
    <t>476549E</t>
  </si>
  <si>
    <t xml:space="preserve">Digital I/O Unit 8 Digital Inputs 8 Resistive </t>
  </si>
  <si>
    <t>JE1366</t>
  </si>
  <si>
    <t>434810WH</t>
  </si>
  <si>
    <t>0.1 - 1.5 Rotometer 7331323043W 0.5 FNPT PVC SS VT 1.5Gpm</t>
  </si>
  <si>
    <t>JE1967</t>
  </si>
  <si>
    <t>477394WH</t>
  </si>
  <si>
    <t>Adapter Meter Poly  5/8</t>
  </si>
  <si>
    <t>477396WH</t>
  </si>
  <si>
    <t>Adapter Meter Poly 1</t>
  </si>
  <si>
    <t>477395WH</t>
  </si>
  <si>
    <t>Adapter Meter Poly  3/4</t>
  </si>
  <si>
    <t>476434SW</t>
  </si>
  <si>
    <t>Long Range Bluetooth Adapter - VF-10</t>
  </si>
  <si>
    <t>91020002</t>
  </si>
  <si>
    <t xml:space="preserve">Test Bench -Equipment- Small-Series 2000 - SCH40 PVC </t>
  </si>
  <si>
    <t>JE1746</t>
  </si>
  <si>
    <t>434627WH</t>
  </si>
  <si>
    <t>5' Sight Glass #506 0.750 OD</t>
  </si>
  <si>
    <t>JE1539</t>
  </si>
  <si>
    <t>JE1870</t>
  </si>
  <si>
    <t>JE1538</t>
  </si>
  <si>
    <t>172056WH</t>
  </si>
  <si>
    <t>Bulkhead Fitting Tank 1.5</t>
  </si>
  <si>
    <t>JE1829</t>
  </si>
  <si>
    <t>JE1396</t>
  </si>
  <si>
    <t>JE1390</t>
  </si>
  <si>
    <t>Snyder Civil Engineering LLC</t>
  </si>
  <si>
    <t>172092WH</t>
  </si>
  <si>
    <t>NPL PVC 0.75X7.5 Sch80 Bev (Used on 5/8" Adapters)</t>
  </si>
  <si>
    <t>476336SW</t>
  </si>
  <si>
    <t>Power Cord - 120 V 42" _x000D_
for DIN Mounted power supply</t>
  </si>
  <si>
    <t>476579WH</t>
  </si>
  <si>
    <t>Outlet Guide Tubing PVC, 15 - 150 Rotometer 73313203098W 2FNPT PVC SS VT 150Gpm</t>
  </si>
  <si>
    <t>434618WH</t>
  </si>
  <si>
    <t>1 Meter Adapter</t>
  </si>
  <si>
    <t>M&amp;M Backflow &amp; Meter Maintenance</t>
  </si>
  <si>
    <t>91010001</t>
  </si>
  <si>
    <t xml:space="preserve">Additional Miscellaneous Supplies </t>
  </si>
  <si>
    <t>JE1243</t>
  </si>
  <si>
    <t>JE1906</t>
  </si>
  <si>
    <t>Charlotte, City of</t>
  </si>
  <si>
    <t>476614WH</t>
  </si>
  <si>
    <t>ELL PVC 90 - .75 - Sch80 - ST MPTxFPT</t>
  </si>
  <si>
    <t>476612WH</t>
  </si>
  <si>
    <t>ELL PVC 90 -1 - Sch80 - SOCxFPT</t>
  </si>
  <si>
    <t>JE1303</t>
  </si>
  <si>
    <t xml:space="preserve">Conduit Sealtite 0.5 _x000D_
</t>
  </si>
  <si>
    <t>JE1768</t>
  </si>
  <si>
    <t>70000001</t>
  </si>
  <si>
    <t>JE1569</t>
  </si>
  <si>
    <t>434616WH</t>
  </si>
  <si>
    <t>3/4 Brz Meter Adapter</t>
  </si>
  <si>
    <t>JE1804</t>
  </si>
  <si>
    <t>JE1712</t>
  </si>
  <si>
    <t>JE1912</t>
  </si>
  <si>
    <t>Fortiline Waterworks</t>
  </si>
  <si>
    <t>Fortiline Waterworks : Fortiline Waterworks-Concord</t>
  </si>
  <si>
    <t>In Line Services, Inc</t>
  </si>
  <si>
    <t>476613WH</t>
  </si>
  <si>
    <t>Bush PVC SPIGxFPT 1X.75-Sch80</t>
  </si>
  <si>
    <t>JE1777</t>
  </si>
  <si>
    <t>Water Savers</t>
  </si>
  <si>
    <t xml:space="preserve">Cord Grip .250-.375 _x000D_
</t>
  </si>
  <si>
    <t>380234E</t>
  </si>
  <si>
    <t>Cable Null Modem DB9F/DB9F</t>
  </si>
  <si>
    <t>JE1482</t>
  </si>
  <si>
    <t>CW | TEST CUSTOMER</t>
  </si>
  <si>
    <t>JE1934</t>
  </si>
  <si>
    <t>476551E</t>
  </si>
  <si>
    <t xml:space="preserve">CPU for Panel </t>
  </si>
  <si>
    <t>434804WH</t>
  </si>
  <si>
    <t>5/8 - 1 Brass Center Carrier</t>
  </si>
  <si>
    <t>JE1249</t>
  </si>
  <si>
    <t>JE1307</t>
  </si>
  <si>
    <t xml:space="preserve">TB Warranty </t>
  </si>
  <si>
    <t>JE1417</t>
  </si>
  <si>
    <t>JE1443</t>
  </si>
  <si>
    <t>Winwater Works</t>
  </si>
  <si>
    <t>Winwater Works : Wichita Winwater Works</t>
  </si>
  <si>
    <t>476299WH</t>
  </si>
  <si>
    <t>Adpt Reducer Eccentric 3X2 Kit (SET)</t>
  </si>
  <si>
    <t>SP3-12</t>
  </si>
  <si>
    <t>Spool 3 X 12 Lg</t>
  </si>
  <si>
    <t>82000311</t>
  </si>
  <si>
    <t>81000311</t>
  </si>
  <si>
    <t>JE1717</t>
  </si>
  <si>
    <t>JE1797</t>
  </si>
  <si>
    <t>Ti-Sales</t>
  </si>
  <si>
    <t>JE1848</t>
  </si>
  <si>
    <t>JE1863</t>
  </si>
  <si>
    <t>JE1903</t>
  </si>
  <si>
    <t>4004004E</t>
  </si>
  <si>
    <t>Light LED Green</t>
  </si>
  <si>
    <t>476236WH</t>
  </si>
  <si>
    <t>Roller Kit - Large Bench</t>
  </si>
  <si>
    <t>JE1917</t>
  </si>
  <si>
    <t>90000006</t>
  </si>
  <si>
    <t xml:space="preserve">Discount - Service Call </t>
  </si>
  <si>
    <t>90000007</t>
  </si>
  <si>
    <t>JE1961</t>
  </si>
  <si>
    <t>476531E</t>
  </si>
  <si>
    <t>Battery , (VFD) Real-Time Clock 1m</t>
  </si>
  <si>
    <t>JE1674</t>
  </si>
  <si>
    <t>70000012</t>
  </si>
  <si>
    <t>JE1675</t>
  </si>
  <si>
    <t>70000015</t>
  </si>
  <si>
    <t>JE1291</t>
  </si>
  <si>
    <t>JE1327</t>
  </si>
  <si>
    <t>JE1328</t>
  </si>
  <si>
    <t>70000014</t>
  </si>
  <si>
    <t>JE1646</t>
  </si>
  <si>
    <t>70000002</t>
  </si>
  <si>
    <t>70000010</t>
  </si>
  <si>
    <t>JE1704</t>
  </si>
  <si>
    <t>JE1750</t>
  </si>
  <si>
    <t>70000013</t>
  </si>
  <si>
    <t>JE1347</t>
  </si>
  <si>
    <t>JE1260</t>
  </si>
  <si>
    <t>JE1711</t>
  </si>
  <si>
    <t>JE1620</t>
  </si>
  <si>
    <t>800000001</t>
  </si>
  <si>
    <t>JE1266</t>
  </si>
  <si>
    <t>JE1267</t>
  </si>
  <si>
    <t>JE1621</t>
  </si>
  <si>
    <t>JE1770</t>
  </si>
  <si>
    <t>80000008</t>
  </si>
  <si>
    <t>MCC Discount Contracted</t>
  </si>
  <si>
    <t>JE1801</t>
  </si>
  <si>
    <t>80000007</t>
  </si>
  <si>
    <t>JE1947</t>
  </si>
  <si>
    <t>JE1687</t>
  </si>
  <si>
    <t>JE1984</t>
  </si>
  <si>
    <t>JE1380</t>
  </si>
  <si>
    <t>JE1418</t>
  </si>
  <si>
    <t>JE1509</t>
  </si>
  <si>
    <t>JE1618</t>
  </si>
  <si>
    <t>JE1676</t>
  </si>
  <si>
    <t>JE1710</t>
  </si>
  <si>
    <t>JE1757</t>
  </si>
  <si>
    <t>JE1822</t>
  </si>
  <si>
    <t>JE1909</t>
  </si>
  <si>
    <t>JE1271</t>
  </si>
  <si>
    <t>JE1273</t>
  </si>
  <si>
    <t>JE1333</t>
  </si>
  <si>
    <t>JE1334</t>
  </si>
  <si>
    <t>JE1335</t>
  </si>
  <si>
    <t>JE1336</t>
  </si>
  <si>
    <t>JE1337</t>
  </si>
  <si>
    <t>JE1338</t>
  </si>
  <si>
    <t>JE1339</t>
  </si>
  <si>
    <t>JE1340</t>
  </si>
  <si>
    <t>JE1341</t>
  </si>
  <si>
    <t>JE1342</t>
  </si>
  <si>
    <t>JE1343</t>
  </si>
  <si>
    <t>JE1507</t>
  </si>
  <si>
    <t>JE1261</t>
  </si>
  <si>
    <t>JE1689</t>
  </si>
  <si>
    <t>60000002</t>
  </si>
  <si>
    <t>JE1345</t>
  </si>
  <si>
    <t>JE1679</t>
  </si>
  <si>
    <t>JE1326</t>
  </si>
  <si>
    <t>JE1751</t>
  </si>
  <si>
    <t>JE1810</t>
  </si>
  <si>
    <t>JE1270</t>
  </si>
  <si>
    <t>JE1280</t>
  </si>
  <si>
    <t>JE1407</t>
  </si>
  <si>
    <t>70000019</t>
  </si>
  <si>
    <t>90000002</t>
  </si>
  <si>
    <t>JE1477</t>
  </si>
  <si>
    <t>900000001</t>
  </si>
  <si>
    <t>JE1213</t>
  </si>
  <si>
    <t>JE1741</t>
  </si>
  <si>
    <t>JE1933</t>
  </si>
  <si>
    <t>JE1699</t>
  </si>
  <si>
    <t>JE1329</t>
  </si>
  <si>
    <t>JE1599</t>
  </si>
  <si>
    <t>4,738.0</t>
  </si>
  <si>
    <t>Customer</t>
  </si>
  <si>
    <t>Total</t>
  </si>
  <si>
    <t>Customers</t>
  </si>
  <si>
    <t>Code</t>
  </si>
  <si>
    <t>Fontana Water Company</t>
  </si>
  <si>
    <t>MARS Water</t>
  </si>
  <si>
    <t>TB Costing 2019</t>
  </si>
  <si>
    <t>Invoice Number</t>
  </si>
  <si>
    <t>Product Description</t>
  </si>
  <si>
    <t>Total Cost</t>
  </si>
  <si>
    <t>GP $</t>
  </si>
  <si>
    <t>Material %</t>
  </si>
  <si>
    <t>GP %</t>
  </si>
  <si>
    <t>Std GP % (2019 Budget)</t>
  </si>
  <si>
    <t>Lab/OH Rate</t>
  </si>
  <si>
    <t>MCCC</t>
  </si>
  <si>
    <t xml:space="preserve">Service call </t>
  </si>
  <si>
    <t>MCCN</t>
  </si>
  <si>
    <t>Bal of service on above inv</t>
  </si>
  <si>
    <t>Sm TB console - Upgrade</t>
  </si>
  <si>
    <t>TB Install &amp; Training upgrade</t>
  </si>
  <si>
    <t>Large TB console - Upgrade</t>
  </si>
  <si>
    <t>Small bench - Legacy upgrade</t>
  </si>
  <si>
    <t>Large Bench - Legacy upgrade</t>
  </si>
  <si>
    <t>Total TBE</t>
  </si>
  <si>
    <t>Large TB Standard</t>
  </si>
  <si>
    <t>Large TB New Standard</t>
  </si>
  <si>
    <t>M3LN</t>
  </si>
  <si>
    <t>N/A</t>
  </si>
  <si>
    <t>M3 Software License new</t>
  </si>
  <si>
    <t>/M3LN</t>
  </si>
  <si>
    <t>/MCCC</t>
  </si>
  <si>
    <t>Detroit</t>
  </si>
  <si>
    <t>Series 2000 TB</t>
  </si>
  <si>
    <t>Series 8000 TB</t>
  </si>
  <si>
    <t>Recirc System</t>
  </si>
  <si>
    <t>M3 Software</t>
  </si>
  <si>
    <t>M3 Install &amp; Train</t>
  </si>
  <si>
    <t>????</t>
  </si>
  <si>
    <t xml:space="preserve">M3 Install/train </t>
  </si>
  <si>
    <t>Xtravelexp fees/cancel/resched</t>
  </si>
  <si>
    <t>Series 2400 ADV TB</t>
  </si>
  <si>
    <t>ReCirc System</t>
  </si>
  <si>
    <t>Hardware Install &amp; Train</t>
  </si>
  <si>
    <t xml:space="preserve"> </t>
  </si>
  <si>
    <t>Series 10000 TB</t>
  </si>
  <si>
    <t>M3 Software for TB</t>
  </si>
  <si>
    <t>Series 2400 Standard TB</t>
  </si>
  <si>
    <t>M3 Software for 2400 TB</t>
  </si>
  <si>
    <t xml:space="preserve">TB Large 10" </t>
  </si>
  <si>
    <t>M3 software for Large 10" TB</t>
  </si>
  <si>
    <t>Recirc system</t>
  </si>
  <si>
    <t>Hardware Install</t>
  </si>
  <si>
    <t xml:space="preserve">M3 Software </t>
  </si>
  <si>
    <t>Los Angeles</t>
  </si>
  <si>
    <t xml:space="preserve">Tank Duplex 100 Gal </t>
  </si>
  <si>
    <t xml:space="preserve">TB Small </t>
  </si>
  <si>
    <t>recalculate Std GP%</t>
  </si>
  <si>
    <t>Large TB standard</t>
  </si>
  <si>
    <t>Tank Single 3500 Gal</t>
  </si>
  <si>
    <t>M3 Software Large bench recir</t>
  </si>
  <si>
    <t>Phase II De-install TB</t>
  </si>
  <si>
    <t>642/818</t>
  </si>
  <si>
    <t xml:space="preserve"> M3IN</t>
  </si>
  <si>
    <t>643/819</t>
  </si>
  <si>
    <t>TBPM</t>
  </si>
  <si>
    <t>Project Management</t>
  </si>
  <si>
    <t>647/822</t>
  </si>
  <si>
    <t>648/825</t>
  </si>
  <si>
    <t>TB Small Advanced Dual</t>
  </si>
  <si>
    <t>649/827</t>
  </si>
  <si>
    <t>TB Small Standard Dual</t>
  </si>
  <si>
    <t xml:space="preserve">M3 Install  </t>
  </si>
  <si>
    <t>644/820/829</t>
  </si>
  <si>
    <t>Mark Young Construc</t>
  </si>
  <si>
    <t>TB Install and Train</t>
  </si>
  <si>
    <t>M3 Software License Tier 1</t>
  </si>
  <si>
    <t>M3 Install and Train</t>
  </si>
  <si>
    <t>Tank Single 10 Gal</t>
  </si>
  <si>
    <t>Tank Single 500 Gal</t>
  </si>
  <si>
    <t>Tank Single 800 Gal</t>
  </si>
  <si>
    <t>National Metering</t>
  </si>
  <si>
    <t>Small TB - Ultra low flow</t>
  </si>
  <si>
    <t>Small TB MUN-200</t>
  </si>
  <si>
    <t>718/719</t>
  </si>
  <si>
    <t>720/721</t>
  </si>
  <si>
    <t>Tank Single 100 Gal</t>
  </si>
  <si>
    <t>Tank Single 300 Gal</t>
  </si>
  <si>
    <t>San Diego City</t>
  </si>
  <si>
    <t>M3RC</t>
  </si>
  <si>
    <t>Software license renewal 5 yr</t>
  </si>
  <si>
    <t>MCC services contracted 5 yr</t>
  </si>
  <si>
    <t>M3 Software Subscript</t>
  </si>
  <si>
    <t>M3 Software renewal</t>
  </si>
  <si>
    <t>M3 Software Annual Subscript</t>
  </si>
  <si>
    <t xml:space="preserve">New York City </t>
  </si>
  <si>
    <t>M3LU</t>
  </si>
  <si>
    <t>M3 Software Upgrade</t>
  </si>
  <si>
    <t>M3 Install &amp; Training</t>
  </si>
  <si>
    <t>San Antonio</t>
  </si>
  <si>
    <t>3/8 Hoffer turbine Model HO1</t>
  </si>
  <si>
    <t xml:space="preserve">PLC </t>
  </si>
  <si>
    <t>TB Truck Mobile service/install</t>
  </si>
  <si>
    <t>San Jose Water Co</t>
  </si>
  <si>
    <t>TB Maint &amp; Subscript</t>
  </si>
  <si>
    <t>TB Maint &amp; Calibration</t>
  </si>
  <si>
    <t>Virginia American</t>
  </si>
  <si>
    <t>Console with M3 R NC</t>
  </si>
  <si>
    <t>Trenton</t>
  </si>
  <si>
    <t xml:space="preserve">TB Small Series 24 </t>
  </si>
  <si>
    <t>Tank New Single 1000 Gal</t>
  </si>
  <si>
    <t>TB Recirc System 2 bench</t>
  </si>
  <si>
    <t>Chicago</t>
  </si>
  <si>
    <t>Tank Duplex 100 Gal 2410</t>
  </si>
  <si>
    <t>Tank Single 500 Gal 2410</t>
  </si>
  <si>
    <t xml:space="preserve">TB Install &amp; Train  2410 </t>
  </si>
  <si>
    <t>TB Large Standard Spool &amp; Gravimetric</t>
  </si>
  <si>
    <t>Tank Single 2500 Gal for L Bench</t>
  </si>
  <si>
    <t>TB Install &amp; Train  L Bench</t>
  </si>
  <si>
    <t>Tank Single 3500 Gal recirc system dual</t>
  </si>
  <si>
    <t>TB Recirc system - 2 benches</t>
  </si>
  <si>
    <t>Aqua Pennsylvania</t>
  </si>
  <si>
    <t>TB Maint agreement 1 yr</t>
  </si>
  <si>
    <t>TB Service</t>
  </si>
  <si>
    <t>City of Austin</t>
  </si>
  <si>
    <t>TB Maint 1 yr 5/18 - 5/19</t>
  </si>
  <si>
    <t xml:space="preserve">M3 Renewal </t>
  </si>
  <si>
    <t>Orlando Utilities</t>
  </si>
  <si>
    <t>M3 Renewal</t>
  </si>
  <si>
    <t>Alameda County</t>
  </si>
  <si>
    <t xml:space="preserve">TB Maint &amp; Calibration </t>
  </si>
  <si>
    <t>TB Maint 1/24/19 - 1/23/20</t>
  </si>
  <si>
    <t>M3 SW  1/24/19 - 1/23/20</t>
  </si>
  <si>
    <t>Onondaga County</t>
  </si>
  <si>
    <t>TB Maint 1/1/19 - 12/31/19</t>
  </si>
  <si>
    <t>M3 SW 1/1/19 - 12/31/19</t>
  </si>
  <si>
    <t>City of Tampa</t>
  </si>
  <si>
    <t>M3RN</t>
  </si>
  <si>
    <t>M3 SW Renewal 7/26/19 - 7/25/20</t>
  </si>
  <si>
    <t>Washington Suburban</t>
  </si>
  <si>
    <t>Arcadia</t>
  </si>
  <si>
    <t>TB 500 Series</t>
  </si>
  <si>
    <t>not listed on 2019 budget</t>
  </si>
  <si>
    <t>Series 1000 TB Basic</t>
  </si>
  <si>
    <t xml:space="preserve">TB Upgrade 5-1000 </t>
  </si>
  <si>
    <t>M3 SW License Renewal</t>
  </si>
  <si>
    <t>Services non contracted</t>
  </si>
  <si>
    <t>Arvada</t>
  </si>
  <si>
    <t>Exeter Supply</t>
  </si>
  <si>
    <t>TB Series 300</t>
  </si>
  <si>
    <t>Miami Dade Water</t>
  </si>
  <si>
    <t>Me SW Subscription 2/22/19-2/21/20</t>
  </si>
  <si>
    <t xml:space="preserve">De-Install </t>
  </si>
  <si>
    <t>M3 SW Renewal Non C</t>
  </si>
  <si>
    <t>MCC Services Non C</t>
  </si>
  <si>
    <t>M3 SW Subscription 1/30/19-1/29/20</t>
  </si>
  <si>
    <t>M3 SW Subscription 1/29/20-1/28/21</t>
  </si>
  <si>
    <t>Guam</t>
  </si>
  <si>
    <t>M3 SW License Renewal Non C</t>
  </si>
  <si>
    <t>Missoula</t>
  </si>
  <si>
    <t>MCC Services Contracted</t>
  </si>
  <si>
    <t>Dallas Service call 10% disc</t>
  </si>
  <si>
    <t>TB Service/Repair</t>
  </si>
  <si>
    <t>M3 SW Annual Subscrip</t>
  </si>
  <si>
    <t>Simi Valley</t>
  </si>
  <si>
    <t>MCCC Services C 5/17/19-5/16/20</t>
  </si>
  <si>
    <t>Owasa</t>
  </si>
  <si>
    <t>On site training</t>
  </si>
  <si>
    <t>Cucamonga Valley</t>
  </si>
  <si>
    <t>Truck Tester Maint Agree</t>
  </si>
  <si>
    <t>Paid 9/13/19</t>
  </si>
  <si>
    <t>M3 SW Upgrade</t>
  </si>
  <si>
    <t>Paid 2/7/19</t>
  </si>
  <si>
    <t>M3 SW Maint</t>
  </si>
  <si>
    <t>No inv in 2019</t>
  </si>
  <si>
    <t>TB/MCC Costing 2020</t>
  </si>
  <si>
    <t>2020 Budget GP%</t>
  </si>
  <si>
    <t>Revenue Variance</t>
  </si>
  <si>
    <t>Cost Variance</t>
  </si>
  <si>
    <t>DEKALB</t>
  </si>
  <si>
    <t>997080wh</t>
  </si>
  <si>
    <t>COOS BAY</t>
  </si>
  <si>
    <t>WHITE HOUSE UTILITY</t>
  </si>
  <si>
    <t>CITY OF ST PAUL</t>
  </si>
  <si>
    <t>ARTESIAN RESOURCES</t>
  </si>
  <si>
    <t>FOLSOM</t>
  </si>
  <si>
    <t>Yr 2 TB Maint &amp; Calibration</t>
  </si>
  <si>
    <t>SPRINGFIELD WATER</t>
  </si>
  <si>
    <t>ROCHESTER HILLS</t>
  </si>
  <si>
    <t>CITY OF DETROIT</t>
  </si>
  <si>
    <t>HOUSTON</t>
  </si>
  <si>
    <t>PLANO</t>
  </si>
  <si>
    <t>TB Med Series 5-1010</t>
  </si>
  <si>
    <t>COEUR D'ALENE</t>
  </si>
  <si>
    <t>NORTH CITY</t>
  </si>
  <si>
    <t>SHIPPING / CRATING / HANDLING</t>
  </si>
  <si>
    <t>CITYOFSANDIEGO</t>
  </si>
  <si>
    <t>/8111101110</t>
  </si>
  <si>
    <t>TB/MCC Costing 2021</t>
  </si>
  <si>
    <t>ANNE ARUNDEL</t>
  </si>
  <si>
    <t>SHIPPING/CRATING/HANDLING</t>
  </si>
  <si>
    <t>EL DORADO</t>
  </si>
  <si>
    <t>DC WATER</t>
  </si>
  <si>
    <t xml:space="preserve">MIAMI </t>
  </si>
  <si>
    <t>MIAMI</t>
  </si>
  <si>
    <t>LUBBOCK</t>
  </si>
  <si>
    <t xml:space="preserve">MCC </t>
  </si>
  <si>
    <t>METERTEK</t>
  </si>
  <si>
    <t>SAN DIEGO</t>
  </si>
  <si>
    <t>PITTSBURGH</t>
  </si>
  <si>
    <t>PENN STATE</t>
  </si>
  <si>
    <t>ALAMEDA</t>
  </si>
  <si>
    <t>S. CENTRAL CONN</t>
  </si>
  <si>
    <t>LAS VEGAS</t>
  </si>
  <si>
    <t>DENVER</t>
  </si>
  <si>
    <t>Additional trips and employees to correct fitment and faulty equipment issues.</t>
  </si>
  <si>
    <t>WSSC (Year 1 of 2)</t>
  </si>
  <si>
    <t>San Diego (Year 2 of 5)</t>
  </si>
  <si>
    <t>Fixed leaky rotometers and replaced 405 liberty pump while on site.</t>
  </si>
  <si>
    <t xml:space="preserve">Dallas </t>
  </si>
  <si>
    <t>Installation Assistance &amp; Training with Certified MARS Personnel - Hardware</t>
  </si>
  <si>
    <t>Detroit (Year 1 of 5)</t>
  </si>
  <si>
    <t>Rochester Hills (Year 5 of 5)</t>
  </si>
  <si>
    <t>Austin (Year 4 of 5)</t>
  </si>
  <si>
    <t>NPL Brs 2.0X6.0</t>
  </si>
  <si>
    <t>NPL Brs 2.0X5.0</t>
  </si>
  <si>
    <t>Valve Solenoid 2-Way NC 0.5</t>
  </si>
  <si>
    <t>Dallas 2400 Repair</t>
  </si>
  <si>
    <t>Victoria 2025</t>
  </si>
  <si>
    <t>Highland Village 2025</t>
  </si>
  <si>
    <t>Tallahassee (Year 3 of 5)</t>
  </si>
  <si>
    <t xml:space="preserve">Required a second trip with additional materials sent than previously expected. </t>
  </si>
  <si>
    <t>Trenton (Year 1 of 4)</t>
  </si>
  <si>
    <t>Newport News (Year 4 of 5)</t>
  </si>
  <si>
    <t>Another excessive scale from Apple Valley ($2,110 - 3 scales). Rev should be reevaluated with new contract. Propose using Richmond scale next year.</t>
  </si>
  <si>
    <t>Test Bench-New-Medium-Series 6-1210-Advanced-Dua</t>
  </si>
  <si>
    <t>Bugeted costs from March 2024. Inline with 2025 costs, depends on period.</t>
  </si>
  <si>
    <t>Tucson</t>
  </si>
  <si>
    <t>Bugeted costs from October 2024. Inline with 2025 costs, depends on period.</t>
  </si>
  <si>
    <t>Sarasota (Year 2 of 5)</t>
  </si>
  <si>
    <t>Aqua Penn 2025</t>
  </si>
  <si>
    <t>Two Employees.</t>
  </si>
  <si>
    <t>Imp</t>
  </si>
  <si>
    <t xml:space="preserve">Seattle </t>
  </si>
  <si>
    <t>Test Bench - Equipment -2'' Air Release Valve</t>
  </si>
  <si>
    <t>Test Bench - Equipment - Large - Advanced Gravimetric Scale &amp; Control Console</t>
  </si>
  <si>
    <t>Test Bench - Equipment - Series 10000 - Replacement Lid</t>
  </si>
  <si>
    <t>Test Bench - Equipment - Series 10000 - 2" Rotometer Cap</t>
  </si>
  <si>
    <t>Dallas 10000 Upgrade</t>
  </si>
  <si>
    <t>Equipment- Test Bench -Series 2011 - ULF &amp; Gravity Feed</t>
  </si>
  <si>
    <t>5148/6292</t>
  </si>
  <si>
    <t>5149/6293</t>
  </si>
  <si>
    <t>5151/6294</t>
  </si>
  <si>
    <t>Sales Order #SO7449</t>
  </si>
  <si>
    <t>Seattle Console Upgrade &amp; MCC</t>
  </si>
  <si>
    <t>Extra 3 days on site. One for HW handoff/training Other two days were gauge R&amp;R and M3 testing. Expenese ≈$500 over as well.</t>
  </si>
  <si>
    <t>MDC (Year 3 of 5)</t>
  </si>
  <si>
    <t>CD"A (Year 1 of 5)</t>
  </si>
  <si>
    <t>Performed in conjunction with Spokane and Seattle</t>
  </si>
  <si>
    <t>Test Bench - Equipment - Series 6-1200- ULF Upgrade</t>
  </si>
  <si>
    <t>Casper</t>
  </si>
  <si>
    <t>Test Bench-New-Small-Series 511-Advanced-Single</t>
  </si>
  <si>
    <t>Test Bench - Equipment - Series 511 - ULF</t>
  </si>
  <si>
    <t>Emerald Coast</t>
  </si>
  <si>
    <t>Phoenix (Year 4 of 7)</t>
  </si>
  <si>
    <t>Polk Co. (Year 2 of 5)</t>
  </si>
  <si>
    <t>1010+M3+Recirc 2025 - Emerald Coast FL - INSTALL</t>
  </si>
  <si>
    <t>1010+M3+Recirc 2022 - Emerald Coast FL - EQUIPMENT ONLY</t>
  </si>
  <si>
    <t>Series 3-500 / M3 / ULF / Recirc - 2025 - Casper</t>
  </si>
  <si>
    <t>Boston (Year 3 of 5)</t>
  </si>
  <si>
    <t>6-1200 Console Upgrade + LB Console Upgrade +M3 2025 Boston</t>
  </si>
  <si>
    <t>Freight quoted on Oct 24, increased since.</t>
  </si>
  <si>
    <t>Contracted Rate</t>
  </si>
  <si>
    <t>Labor over $450, expenses over by $1500 &amp; Material by $3600</t>
  </si>
  <si>
    <t>New Lenovo server replaced old HP with higher cost, but better quality ($700).</t>
  </si>
  <si>
    <t>Budgeted two employees. Johan went solo.</t>
  </si>
  <si>
    <t>Less hours and expenses.</t>
  </si>
  <si>
    <t>Sent new Lenovo server and USB to serial cable ($1,619.65), as equipment has been sitting for a couple years.</t>
  </si>
  <si>
    <t>1033 / 6769</t>
  </si>
  <si>
    <t xml:space="preserve">Old labor rates and exp calculations. </t>
  </si>
  <si>
    <t>Cost inline with post versions of costs.</t>
  </si>
  <si>
    <t>Sarasota VF-10</t>
  </si>
  <si>
    <t>Miami 2025</t>
  </si>
  <si>
    <t>San Diego (Year 2 of 5) 2025</t>
  </si>
  <si>
    <t>LADWP (Year 1 of 3) 2025</t>
  </si>
  <si>
    <t>Chicago 2025</t>
  </si>
  <si>
    <t>Loaded in blue truck and drove down.</t>
  </si>
  <si>
    <t>Switched from Dell tablet to laptop ≈$500</t>
  </si>
  <si>
    <t>Only one day vs four total and one employee for HW &amp; SW.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</si>
</sst>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0.0%"/>
    <numFmt numFmtId="166" formatCode="_(* #,##0.0_);_(* \(#,##0.0\);_(* &quot;-&quot;??_);_(@_)"/>
  </numFmts>
  <fonts count="29" x14ac:knownFonts="1">
    <font>
      <sz val="11"/>
      <color theme="1"/>
      <name val="Calibri"/>
      <family val="2"/>
      <scheme val="minor"/>
    </font>
    <font>
      <sz val="8"/>
      <color theme="1"/>
      <name val="Arial"/>
      <family val="2"/>
    </font>
    <font>
      <sz val="8"/>
      <color theme="1"/>
      <name val="Arial"/>
      <family val="2"/>
    </font>
    <font>
      <sz val="11"/>
      <color theme="1"/>
      <name val="Calibri"/>
      <family val="2"/>
      <scheme val="minor"/>
    </font>
    <font>
      <b/>
      <sz val="8"/>
      <color theme="0"/>
      <name val="Arial"/>
      <family val="2"/>
    </font>
    <font>
      <sz val="8"/>
      <color theme="1"/>
      <name val="Arial"/>
      <family val="2"/>
    </font>
    <font>
      <sz val="8"/>
      <color rgb="FFFF0000"/>
      <name val="Arial"/>
      <family val="2"/>
    </font>
    <font>
      <b/>
      <sz val="8"/>
      <color rgb="FFFF0000"/>
      <name val="Arial"/>
      <family val="2"/>
    </font>
    <font>
      <b/>
      <sz val="8"/>
      <color theme="1"/>
      <name val="Arial"/>
      <family val="2"/>
    </font>
    <font>
      <sz val="10"/>
      <color indexed="8"/>
      <name val="Arial"/>
      <family val="2"/>
    </font>
    <font>
      <sz val="8"/>
      <color indexed="8"/>
      <name val="Arial"/>
      <family val="2"/>
    </font>
    <font>
      <sz val="8"/>
      <name val="Arial"/>
      <family val="2"/>
    </font>
    <font>
      <b/>
      <sz val="8"/>
      <name val="Arial"/>
      <family val="2"/>
    </font>
    <font>
      <b/>
      <sz val="9"/>
      <color indexed="81"/>
      <name val="Tahoma"/>
      <family val="2"/>
    </font>
    <font>
      <sz val="8"/>
      <name val="Calibri"/>
      <family val="2"/>
      <scheme val="minor"/>
    </font>
    <font>
      <sz val="8"/>
      <color theme="0"/>
      <name val="Arial"/>
      <family val="2"/>
    </font>
    <font>
      <b/>
      <sz val="8"/>
      <color indexed="81"/>
      <name val="Tahoma"/>
      <family val="2"/>
    </font>
    <font>
      <sz val="8"/>
      <color indexed="81"/>
      <name val="Tahoma"/>
      <family val="2"/>
    </font>
    <font>
      <sz val="9"/>
      <color indexed="81"/>
      <name val="Tahoma"/>
      <family val="2"/>
    </font>
    <font>
      <sz val="8"/>
      <color rgb="FF00B050"/>
      <name val="Arial"/>
      <family val="2"/>
    </font>
    <font>
      <u/>
      <sz val="11"/>
      <color theme="10"/>
      <name val="Calibri"/>
      <family val="2"/>
      <scheme val="minor"/>
    </font>
    <font>
      <b/>
      <sz val="8"/>
      <color indexed="8"/>
      <name val="Arial"/>
      <family val="2"/>
    </font>
    <font>
      <b/>
      <sz val="10"/>
      <color indexed="8"/>
      <name val="Arial"/>
      <family val="2"/>
    </font>
    <font>
      <b/>
      <u/>
      <sz val="11"/>
      <color theme="10"/>
      <name val="Calibri"/>
      <family val="2"/>
      <scheme val="minor"/>
    </font>
    <font>
      <b/>
      <sz val="8"/>
      <color theme="1"/>
      <name val="Arial"/>
      <family val="2"/>
    </font>
    <font>
      <b/>
      <sz val="8"/>
      <color theme="1"/>
      <name val="Arial"/>
      <family val="2"/>
    </font>
    <font>
      <sz val="8"/>
      <color indexed="8"/>
      <name val="Verdana"/>
      <family val="2"/>
    </font>
    <font>
      <b/>
      <sz val="7"/>
      <name val="Arial"/>
      <family val="2"/>
    </font>
    <font>
      <u/>
      <sz val="8"/>
      <color theme="10"/>
      <name val="Arial"/>
      <family val="2"/>
    </font>
  </fonts>
  <fills count="19">
    <fill>
      <patternFill patternType="none"/>
    </fill>
    <fill>
      <patternFill patternType="gray125"/>
    </fill>
    <fill>
      <patternFill patternType="solid">
        <fgColor rgb="FF002060"/>
        <bgColor indexed="64"/>
      </patternFill>
    </fill>
    <fill>
      <patternFill patternType="solid">
        <fgColor theme="2" tint="-9.9978637043366805E-2"/>
        <bgColor indexed="64"/>
      </patternFill>
    </fill>
    <fill>
      <patternFill patternType="solid">
        <fgColor theme="1"/>
        <bgColor indexed="64"/>
      </patternFill>
    </fill>
    <fill>
      <patternFill patternType="solid">
        <fgColor rgb="FF92D050"/>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00"/>
        <bgColor indexed="64"/>
      </patternFill>
    </fill>
    <fill>
      <patternFill patternType="solid">
        <fgColor rgb="FF00B0F0"/>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00B050"/>
        <bgColor indexed="64"/>
      </patternFill>
    </fill>
    <fill>
      <patternFill patternType="solid">
        <fgColor rgb="FFD0D0D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5" tint="0.79998168889431442"/>
        <bgColor indexed="64"/>
      </patternFill>
    </fill>
  </fills>
  <borders count="9">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0">
    <xf numFmtId="0" fontId="0"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xf numFmtId="0" fontId="9" fillId="0" borderId="0">
      <alignment vertical="top"/>
    </xf>
    <xf numFmtId="43" fontId="3" fillId="0" borderId="0" applyFont="0" applyFill="0" applyBorder="0" applyAlignment="0" applyProtection="0"/>
    <xf numFmtId="0" fontId="5" fillId="0" borderId="0"/>
    <xf numFmtId="43" fontId="5" fillId="0" borderId="0" applyFont="0" applyFill="0" applyBorder="0" applyAlignment="0" applyProtection="0"/>
    <xf numFmtId="0" fontId="20" fillId="0" borderId="0" applyNumberFormat="0" applyFill="0" applyBorder="0" applyAlignment="0" applyProtection="0"/>
    <xf numFmtId="0" fontId="11" fillId="0" borderId="0"/>
  </cellStyleXfs>
  <cellXfs count="328">
    <xf numFmtId="0" fontId="0" fillId="0" borderId="0" xfId="0"/>
    <xf numFmtId="0" fontId="4" fillId="2" borderId="0" xfId="0" applyFont="1" applyFill="1"/>
    <xf numFmtId="0" fontId="5" fillId="0" borderId="0" xfId="0" applyFont="1" applyAlignment="1">
      <alignment horizontal="center"/>
    </xf>
    <xf numFmtId="0" fontId="5" fillId="0" borderId="0" xfId="0" applyFont="1"/>
    <xf numFmtId="0" fontId="5" fillId="0" borderId="0" xfId="0" applyFont="1" applyAlignment="1">
      <alignment horizontal="center" vertical="center"/>
    </xf>
    <xf numFmtId="164" fontId="5" fillId="0" borderId="0" xfId="1" applyNumberFormat="1" applyFont="1"/>
    <xf numFmtId="43" fontId="5" fillId="0" borderId="0" xfId="1" applyFont="1"/>
    <xf numFmtId="164" fontId="6" fillId="0" borderId="0" xfId="1" applyNumberFormat="1" applyFont="1"/>
    <xf numFmtId="44" fontId="5" fillId="0" borderId="0" xfId="2" applyFont="1"/>
    <xf numFmtId="0" fontId="4" fillId="2" borderId="0" xfId="0" applyFont="1" applyFill="1" applyAlignment="1">
      <alignment horizontal="center" wrapText="1"/>
    </xf>
    <xf numFmtId="164" fontId="4" fillId="2" borderId="0" xfId="1" applyNumberFormat="1" applyFont="1" applyFill="1" applyAlignment="1">
      <alignment horizontal="center" wrapText="1"/>
    </xf>
    <xf numFmtId="164" fontId="7" fillId="2" borderId="0" xfId="1" applyNumberFormat="1" applyFont="1" applyFill="1" applyAlignment="1">
      <alignment horizontal="center" wrapText="1"/>
    </xf>
    <xf numFmtId="44" fontId="4" fillId="2" borderId="0" xfId="2" applyFont="1" applyFill="1" applyAlignment="1">
      <alignment horizontal="center" wrapText="1"/>
    </xf>
    <xf numFmtId="0" fontId="8" fillId="0" borderId="0" xfId="0" applyFont="1" applyAlignment="1">
      <alignment horizontal="center" wrapText="1"/>
    </xf>
    <xf numFmtId="43" fontId="8" fillId="0" borderId="0" xfId="1" applyFont="1" applyAlignment="1">
      <alignment horizontal="center" wrapText="1"/>
    </xf>
    <xf numFmtId="0" fontId="10" fillId="0" borderId="0" xfId="4" applyFont="1">
      <alignment vertical="top"/>
    </xf>
    <xf numFmtId="0" fontId="10" fillId="0" borderId="0" xfId="4" applyFont="1" applyAlignment="1">
      <alignment horizontal="center" vertical="center"/>
    </xf>
    <xf numFmtId="0" fontId="10" fillId="0" borderId="0" xfId="4" applyFont="1" applyAlignment="1">
      <alignment horizontal="center" vertical="top"/>
    </xf>
    <xf numFmtId="164" fontId="6" fillId="3" borderId="0" xfId="1" applyNumberFormat="1" applyFont="1" applyFill="1"/>
    <xf numFmtId="0" fontId="9" fillId="0" borderId="0" xfId="4" applyAlignment="1">
      <alignment horizontal="center" vertical="top"/>
    </xf>
    <xf numFmtId="0" fontId="5" fillId="0" borderId="0" xfId="6" applyAlignment="1">
      <alignment horizontal="center" vertical="center"/>
    </xf>
    <xf numFmtId="49" fontId="10" fillId="0" borderId="0" xfId="4" applyNumberFormat="1" applyFont="1">
      <alignment vertical="top"/>
    </xf>
    <xf numFmtId="164" fontId="6" fillId="4" borderId="0" xfId="1" applyNumberFormat="1" applyFont="1" applyFill="1"/>
    <xf numFmtId="9" fontId="5" fillId="0" borderId="0" xfId="3" applyFont="1"/>
    <xf numFmtId="164" fontId="8" fillId="0" borderId="1" xfId="1" applyNumberFormat="1" applyFont="1" applyBorder="1"/>
    <xf numFmtId="164" fontId="12" fillId="0" borderId="1" xfId="1" applyNumberFormat="1" applyFont="1" applyBorder="1"/>
    <xf numFmtId="164" fontId="11" fillId="0" borderId="0" xfId="1" applyNumberFormat="1" applyFont="1"/>
    <xf numFmtId="9" fontId="11" fillId="0" borderId="0" xfId="3" applyFont="1"/>
    <xf numFmtId="164" fontId="8" fillId="0" borderId="0" xfId="1" applyNumberFormat="1" applyFont="1"/>
    <xf numFmtId="164" fontId="6" fillId="0" borderId="0" xfId="1" applyNumberFormat="1" applyFont="1" applyFill="1"/>
    <xf numFmtId="164" fontId="10" fillId="0" borderId="0" xfId="1" applyNumberFormat="1" applyFont="1" applyAlignment="1">
      <alignment vertical="top"/>
    </xf>
    <xf numFmtId="164" fontId="6" fillId="0" borderId="0" xfId="1" applyNumberFormat="1" applyFont="1" applyAlignment="1">
      <alignment vertical="center"/>
    </xf>
    <xf numFmtId="164" fontId="8" fillId="0" borderId="1" xfId="1" applyNumberFormat="1" applyFont="1" applyBorder="1" applyAlignment="1">
      <alignment vertical="center"/>
    </xf>
    <xf numFmtId="164" fontId="12" fillId="0" borderId="1" xfId="1" applyNumberFormat="1" applyFont="1" applyBorder="1" applyAlignment="1">
      <alignment vertical="center"/>
    </xf>
    <xf numFmtId="164" fontId="11" fillId="0" borderId="0" xfId="1" applyNumberFormat="1" applyFont="1" applyAlignment="1">
      <alignment vertical="center"/>
    </xf>
    <xf numFmtId="164" fontId="6" fillId="0" borderId="0" xfId="1" applyNumberFormat="1" applyFont="1" applyAlignment="1">
      <alignment horizontal="right" vertical="center"/>
    </xf>
    <xf numFmtId="164" fontId="6" fillId="0" borderId="0" xfId="1" applyNumberFormat="1" applyFont="1" applyAlignment="1">
      <alignment horizontal="right"/>
    </xf>
    <xf numFmtId="164" fontId="11" fillId="0" borderId="0" xfId="1" applyNumberFormat="1" applyFont="1" applyAlignment="1">
      <alignment horizontal="right"/>
    </xf>
    <xf numFmtId="164" fontId="8" fillId="0" borderId="1" xfId="1" applyNumberFormat="1" applyFont="1" applyBorder="1" applyAlignment="1">
      <alignment horizontal="right"/>
    </xf>
    <xf numFmtId="164" fontId="8" fillId="0" borderId="1" xfId="1" applyNumberFormat="1" applyFont="1" applyFill="1" applyBorder="1" applyAlignment="1">
      <alignment horizontal="center"/>
    </xf>
    <xf numFmtId="164" fontId="12" fillId="0" borderId="1" xfId="1" applyNumberFormat="1" applyFont="1" applyFill="1" applyBorder="1"/>
    <xf numFmtId="164" fontId="8" fillId="0" borderId="0" xfId="1" applyNumberFormat="1" applyFont="1" applyFill="1" applyBorder="1" applyAlignment="1">
      <alignment horizontal="center"/>
    </xf>
    <xf numFmtId="164" fontId="11" fillId="0" borderId="0" xfId="1" applyNumberFormat="1" applyFont="1" applyFill="1" applyBorder="1"/>
    <xf numFmtId="164" fontId="12" fillId="0" borderId="0" xfId="1" applyNumberFormat="1" applyFont="1" applyFill="1" applyBorder="1"/>
    <xf numFmtId="9" fontId="4" fillId="2" borderId="0" xfId="3" applyFont="1" applyFill="1" applyAlignment="1">
      <alignment horizontal="center" wrapText="1"/>
    </xf>
    <xf numFmtId="44" fontId="6" fillId="3" borderId="0" xfId="2" applyFont="1" applyFill="1"/>
    <xf numFmtId="9" fontId="5" fillId="0" borderId="0" xfId="3" applyFont="1" applyAlignment="1">
      <alignment horizontal="center"/>
    </xf>
    <xf numFmtId="164" fontId="5" fillId="0" borderId="0" xfId="1" applyNumberFormat="1" applyFont="1" applyAlignment="1">
      <alignment horizontal="center"/>
    </xf>
    <xf numFmtId="164" fontId="8" fillId="0" borderId="3" xfId="1" applyNumberFormat="1" applyFont="1" applyBorder="1"/>
    <xf numFmtId="164" fontId="11" fillId="3" borderId="0" xfId="1" applyNumberFormat="1" applyFont="1" applyFill="1"/>
    <xf numFmtId="164" fontId="11" fillId="0" borderId="0" xfId="1" applyNumberFormat="1" applyFont="1" applyAlignment="1">
      <alignment horizontal="right" vertical="center"/>
    </xf>
    <xf numFmtId="164" fontId="12" fillId="0" borderId="1" xfId="1" applyNumberFormat="1" applyFont="1" applyBorder="1" applyAlignment="1">
      <alignment horizontal="right"/>
    </xf>
    <xf numFmtId="164" fontId="11" fillId="0" borderId="0" xfId="1" applyNumberFormat="1" applyFont="1" applyFill="1"/>
    <xf numFmtId="0" fontId="8" fillId="0" borderId="0" xfId="0" applyFont="1"/>
    <xf numFmtId="0" fontId="8" fillId="0" borderId="0" xfId="0" applyFont="1" applyAlignment="1">
      <alignment horizontal="center"/>
    </xf>
    <xf numFmtId="0" fontId="8" fillId="0" borderId="0" xfId="6" applyFont="1" applyAlignment="1">
      <alignment horizontal="center" vertical="center"/>
    </xf>
    <xf numFmtId="44" fontId="8" fillId="0" borderId="0" xfId="2" applyFont="1"/>
    <xf numFmtId="9" fontId="8" fillId="0" borderId="0" xfId="3" applyFont="1" applyAlignment="1">
      <alignment horizontal="center"/>
    </xf>
    <xf numFmtId="164" fontId="8" fillId="0" borderId="0" xfId="1" applyNumberFormat="1" applyFont="1" applyAlignment="1">
      <alignment horizontal="center"/>
    </xf>
    <xf numFmtId="9" fontId="8" fillId="0" borderId="0" xfId="3" applyFont="1" applyAlignment="1">
      <alignment horizontal="center" vertical="center"/>
    </xf>
    <xf numFmtId="164" fontId="8" fillId="0" borderId="0" xfId="0" applyNumberFormat="1" applyFont="1"/>
    <xf numFmtId="43" fontId="8" fillId="0" borderId="0" xfId="1" applyFont="1"/>
    <xf numFmtId="164" fontId="12" fillId="0" borderId="0" xfId="1" applyNumberFormat="1" applyFont="1"/>
    <xf numFmtId="9" fontId="11" fillId="0" borderId="0" xfId="3" applyFont="1" applyAlignment="1">
      <alignment horizontal="center"/>
    </xf>
    <xf numFmtId="164" fontId="8" fillId="0" borderId="0" xfId="1" applyNumberFormat="1" applyFont="1" applyBorder="1"/>
    <xf numFmtId="9" fontId="12" fillId="0" borderId="0" xfId="3" applyFont="1" applyAlignment="1">
      <alignment horizontal="center"/>
    </xf>
    <xf numFmtId="164" fontId="8" fillId="0" borderId="0" xfId="0" applyNumberFormat="1" applyFont="1" applyAlignment="1">
      <alignment horizontal="center"/>
    </xf>
    <xf numFmtId="164" fontId="11" fillId="0" borderId="0" xfId="1" applyNumberFormat="1" applyFont="1" applyBorder="1"/>
    <xf numFmtId="164" fontId="12" fillId="0" borderId="0" xfId="1" applyNumberFormat="1" applyFont="1" applyBorder="1"/>
    <xf numFmtId="164" fontId="11" fillId="0" borderId="3" xfId="1" applyNumberFormat="1" applyFont="1" applyBorder="1"/>
    <xf numFmtId="14" fontId="8" fillId="0" borderId="0" xfId="0" applyNumberFormat="1" applyFont="1" applyAlignment="1">
      <alignment horizontal="center"/>
    </xf>
    <xf numFmtId="44" fontId="8" fillId="0" borderId="0" xfId="2" applyFont="1" applyAlignment="1">
      <alignment horizontal="center"/>
    </xf>
    <xf numFmtId="43" fontId="8" fillId="0" borderId="0" xfId="1" applyFont="1" applyBorder="1"/>
    <xf numFmtId="9" fontId="8" fillId="0" borderId="0" xfId="3" applyFont="1" applyBorder="1" applyAlignment="1">
      <alignment horizontal="center"/>
    </xf>
    <xf numFmtId="9" fontId="8" fillId="0" borderId="1" xfId="3" applyFont="1" applyBorder="1" applyAlignment="1">
      <alignment horizontal="center"/>
    </xf>
    <xf numFmtId="0" fontId="2" fillId="0" borderId="0" xfId="0" applyFont="1"/>
    <xf numFmtId="165" fontId="8" fillId="0" borderId="0" xfId="3" applyNumberFormat="1" applyFont="1" applyAlignment="1">
      <alignment horizontal="center"/>
    </xf>
    <xf numFmtId="0" fontId="2" fillId="0" borderId="0" xfId="0" applyFont="1" applyAlignment="1">
      <alignment horizontal="center"/>
    </xf>
    <xf numFmtId="166" fontId="2" fillId="0" borderId="0" xfId="1" applyNumberFormat="1" applyFont="1"/>
    <xf numFmtId="164" fontId="2" fillId="0" borderId="0" xfId="1" applyNumberFormat="1" applyFont="1"/>
    <xf numFmtId="165" fontId="2" fillId="0" borderId="0" xfId="3" applyNumberFormat="1" applyFont="1"/>
    <xf numFmtId="44" fontId="2" fillId="0" borderId="0" xfId="2" applyFont="1"/>
    <xf numFmtId="43" fontId="2" fillId="0" borderId="0" xfId="1" applyFont="1"/>
    <xf numFmtId="0" fontId="15" fillId="2" borderId="0" xfId="0" applyFont="1" applyFill="1"/>
    <xf numFmtId="0" fontId="15" fillId="2" borderId="0" xfId="0" applyFont="1" applyFill="1" applyAlignment="1">
      <alignment horizontal="center"/>
    </xf>
    <xf numFmtId="166" fontId="15" fillId="2" borderId="0" xfId="1" applyNumberFormat="1" applyFont="1" applyFill="1"/>
    <xf numFmtId="164" fontId="15" fillId="2" borderId="0" xfId="1" applyNumberFormat="1" applyFont="1" applyFill="1"/>
    <xf numFmtId="165" fontId="15" fillId="2" borderId="0" xfId="3" applyNumberFormat="1" applyFont="1" applyFill="1"/>
    <xf numFmtId="44" fontId="15" fillId="2" borderId="0" xfId="2" applyFont="1" applyFill="1"/>
    <xf numFmtId="166" fontId="4" fillId="2" borderId="0" xfId="1" applyNumberFormat="1" applyFont="1" applyFill="1" applyAlignment="1">
      <alignment horizontal="center" wrapText="1"/>
    </xf>
    <xf numFmtId="165" fontId="4" fillId="2" borderId="0" xfId="3" applyNumberFormat="1" applyFont="1" applyFill="1" applyAlignment="1">
      <alignment horizontal="center" wrapText="1"/>
    </xf>
    <xf numFmtId="0" fontId="8" fillId="0" borderId="1" xfId="0" applyFont="1" applyBorder="1" applyAlignment="1">
      <alignment horizontal="center"/>
    </xf>
    <xf numFmtId="164" fontId="8" fillId="0" borderId="1" xfId="1" applyNumberFormat="1" applyFont="1" applyBorder="1" applyAlignment="1">
      <alignment horizontal="center"/>
    </xf>
    <xf numFmtId="164" fontId="8" fillId="0" borderId="0" xfId="1" applyNumberFormat="1" applyFont="1" applyBorder="1" applyAlignment="1">
      <alignment horizontal="center"/>
    </xf>
    <xf numFmtId="9" fontId="8" fillId="0" borderId="0" xfId="3" applyFont="1" applyFill="1" applyBorder="1" applyAlignment="1">
      <alignment horizontal="center"/>
    </xf>
    <xf numFmtId="9" fontId="8" fillId="0" borderId="1" xfId="3" applyFont="1" applyFill="1" applyBorder="1" applyAlignment="1">
      <alignment horizontal="center"/>
    </xf>
    <xf numFmtId="43" fontId="8" fillId="0" borderId="0" xfId="1" applyFont="1" applyFill="1" applyBorder="1"/>
    <xf numFmtId="164" fontId="8" fillId="0" borderId="1" xfId="1" applyNumberFormat="1" applyFont="1" applyFill="1" applyBorder="1"/>
    <xf numFmtId="0" fontId="8" fillId="0" borderId="0" xfId="0" applyFont="1" applyAlignment="1">
      <alignment horizontal="left"/>
    </xf>
    <xf numFmtId="0" fontId="6" fillId="0" borderId="0" xfId="0" applyFont="1" applyAlignment="1">
      <alignment horizontal="left"/>
    </xf>
    <xf numFmtId="0" fontId="19" fillId="0" borderId="0" xfId="0" applyFont="1" applyAlignment="1">
      <alignment horizontal="left"/>
    </xf>
    <xf numFmtId="164" fontId="11" fillId="8" borderId="0" xfId="1" applyNumberFormat="1" applyFont="1" applyFill="1"/>
    <xf numFmtId="0" fontId="4" fillId="2" borderId="0" xfId="0" applyFont="1" applyFill="1" applyAlignment="1">
      <alignment horizontal="left" wrapText="1"/>
    </xf>
    <xf numFmtId="0" fontId="10" fillId="0" borderId="0" xfId="4" applyFont="1" applyAlignment="1">
      <alignment horizontal="left" vertical="center"/>
    </xf>
    <xf numFmtId="0" fontId="5" fillId="0" borderId="0" xfId="6" applyAlignment="1">
      <alignment horizontal="left" vertical="center"/>
    </xf>
    <xf numFmtId="0" fontId="10" fillId="0" borderId="0" xfId="4" applyFont="1" applyAlignment="1">
      <alignment horizontal="left" vertical="top"/>
    </xf>
    <xf numFmtId="0" fontId="8" fillId="0" borderId="0" xfId="0" applyFont="1" applyAlignment="1">
      <alignment horizontal="left" vertical="center"/>
    </xf>
    <xf numFmtId="0" fontId="5" fillId="0" borderId="0" xfId="0" applyFont="1" applyAlignment="1">
      <alignment horizontal="left" vertical="center"/>
    </xf>
    <xf numFmtId="0" fontId="1" fillId="8" borderId="0" xfId="0" applyFont="1" applyFill="1"/>
    <xf numFmtId="164" fontId="8" fillId="0" borderId="0" xfId="1" applyNumberFormat="1" applyFont="1" applyFill="1" applyAlignment="1">
      <alignment horizontal="center"/>
    </xf>
    <xf numFmtId="0" fontId="1" fillId="0" borderId="0" xfId="0" applyFont="1"/>
    <xf numFmtId="0" fontId="1" fillId="0" borderId="0" xfId="0" applyFont="1" applyAlignment="1">
      <alignment horizontal="center"/>
    </xf>
    <xf numFmtId="0" fontId="1" fillId="0" borderId="0" xfId="0" applyFont="1" applyAlignment="1">
      <alignment horizontal="left" vertical="center"/>
    </xf>
    <xf numFmtId="164" fontId="1" fillId="0" borderId="0" xfId="1" applyNumberFormat="1" applyFont="1" applyAlignment="1"/>
    <xf numFmtId="44" fontId="8" fillId="0" borderId="0" xfId="2" applyFont="1" applyFill="1"/>
    <xf numFmtId="9" fontId="8" fillId="0" borderId="0" xfId="3" applyFont="1" applyFill="1" applyAlignment="1">
      <alignment horizontal="center"/>
    </xf>
    <xf numFmtId="164" fontId="8" fillId="0" borderId="0" xfId="1" applyNumberFormat="1" applyFont="1" applyFill="1"/>
    <xf numFmtId="164" fontId="1" fillId="0" borderId="0" xfId="1" applyNumberFormat="1" applyFont="1"/>
    <xf numFmtId="44" fontId="1" fillId="0" borderId="0" xfId="2" applyFont="1"/>
    <xf numFmtId="9" fontId="1" fillId="0" borderId="0" xfId="3" applyFont="1" applyAlignment="1">
      <alignment horizontal="center"/>
    </xf>
    <xf numFmtId="164" fontId="1" fillId="0" borderId="0" xfId="1" applyNumberFormat="1" applyFont="1" applyAlignment="1">
      <alignment horizontal="center"/>
    </xf>
    <xf numFmtId="43" fontId="1" fillId="0" borderId="0" xfId="1" applyFont="1"/>
    <xf numFmtId="0" fontId="1" fillId="0" borderId="0" xfId="0" applyFont="1" applyAlignment="1">
      <alignment horizontal="left"/>
    </xf>
    <xf numFmtId="9" fontId="1" fillId="0" borderId="0" xfId="3" applyFont="1"/>
    <xf numFmtId="0" fontId="1" fillId="3" borderId="0" xfId="0" applyFont="1" applyFill="1" applyAlignment="1">
      <alignment horizontal="center"/>
    </xf>
    <xf numFmtId="0" fontId="1" fillId="3" borderId="0" xfId="0" applyFont="1" applyFill="1" applyAlignment="1">
      <alignment horizontal="left" vertical="center"/>
    </xf>
    <xf numFmtId="164" fontId="1" fillId="3" borderId="0" xfId="1" applyNumberFormat="1" applyFont="1" applyFill="1"/>
    <xf numFmtId="44" fontId="1" fillId="3" borderId="0" xfId="2" applyFont="1" applyFill="1"/>
    <xf numFmtId="9" fontId="1" fillId="3" borderId="0" xfId="3" applyFont="1" applyFill="1" applyAlignment="1">
      <alignment horizontal="center"/>
    </xf>
    <xf numFmtId="164" fontId="1" fillId="3" borderId="0" xfId="1" applyNumberFormat="1" applyFont="1" applyFill="1" applyAlignment="1">
      <alignment horizontal="center"/>
    </xf>
    <xf numFmtId="0" fontId="1" fillId="3" borderId="0" xfId="0" applyFont="1" applyFill="1"/>
    <xf numFmtId="164" fontId="1" fillId="0" borderId="0" xfId="1" applyNumberFormat="1" applyFont="1" applyFill="1"/>
    <xf numFmtId="164" fontId="1" fillId="0" borderId="0" xfId="1" applyNumberFormat="1" applyFont="1" applyBorder="1"/>
    <xf numFmtId="0" fontId="1" fillId="0" borderId="0" xfId="0" applyFont="1" applyAlignment="1">
      <alignment horizontal="center" vertical="center"/>
    </xf>
    <xf numFmtId="164" fontId="1" fillId="0" borderId="0" xfId="1" applyNumberFormat="1" applyFont="1" applyAlignment="1">
      <alignment vertical="center"/>
    </xf>
    <xf numFmtId="9" fontId="1" fillId="0" borderId="0" xfId="3" applyFont="1" applyAlignment="1">
      <alignment horizontal="center" vertical="center"/>
    </xf>
    <xf numFmtId="164" fontId="1" fillId="0" borderId="0" xfId="1" applyNumberFormat="1" applyFont="1" applyAlignment="1">
      <alignment horizontal="center" vertical="center"/>
    </xf>
    <xf numFmtId="165" fontId="1" fillId="3" borderId="0" xfId="3" applyNumberFormat="1" applyFont="1" applyFill="1"/>
    <xf numFmtId="0" fontId="1" fillId="0" borderId="0" xfId="0" applyFont="1" applyAlignment="1">
      <alignment vertical="top"/>
    </xf>
    <xf numFmtId="164" fontId="1" fillId="0" borderId="0" xfId="1" applyNumberFormat="1" applyFont="1" applyAlignment="1">
      <alignment horizontal="right" vertical="center"/>
    </xf>
    <xf numFmtId="164" fontId="1" fillId="0" borderId="0" xfId="1" applyNumberFormat="1" applyFont="1" applyAlignment="1">
      <alignment horizontal="right"/>
    </xf>
    <xf numFmtId="164" fontId="1" fillId="0" borderId="0" xfId="1" applyNumberFormat="1" applyFont="1" applyFill="1" applyAlignment="1">
      <alignment horizontal="right"/>
    </xf>
    <xf numFmtId="0" fontId="1" fillId="4" borderId="0" xfId="0" applyFont="1" applyFill="1" applyAlignment="1">
      <alignment horizontal="center"/>
    </xf>
    <xf numFmtId="0" fontId="1" fillId="4" borderId="0" xfId="0" applyFont="1" applyFill="1"/>
    <xf numFmtId="164" fontId="1" fillId="4" borderId="0" xfId="1" applyNumberFormat="1" applyFont="1" applyFill="1"/>
    <xf numFmtId="44" fontId="1" fillId="4" borderId="0" xfId="2" applyFont="1" applyFill="1"/>
    <xf numFmtId="14" fontId="1" fillId="0" borderId="0" xfId="0" applyNumberFormat="1" applyFont="1" applyAlignment="1">
      <alignment horizontal="center"/>
    </xf>
    <xf numFmtId="0" fontId="1" fillId="0" borderId="0" xfId="0" applyFont="1" applyAlignment="1">
      <alignment horizontal="left" vertical="top"/>
    </xf>
    <xf numFmtId="164" fontId="1" fillId="0" borderId="0" xfId="1" applyNumberFormat="1" applyFont="1" applyFill="1" applyAlignment="1">
      <alignment horizontal="center"/>
    </xf>
    <xf numFmtId="44" fontId="1" fillId="0" borderId="0" xfId="2" applyFont="1" applyFill="1"/>
    <xf numFmtId="9" fontId="1" fillId="0" borderId="0" xfId="3" applyFont="1" applyFill="1" applyAlignment="1">
      <alignment horizontal="center"/>
    </xf>
    <xf numFmtId="165" fontId="1" fillId="0" borderId="0" xfId="3" applyNumberFormat="1" applyFont="1" applyFill="1"/>
    <xf numFmtId="43" fontId="1" fillId="0" borderId="0" xfId="1" applyFont="1" applyFill="1"/>
    <xf numFmtId="164" fontId="1" fillId="0" borderId="0" xfId="1" applyNumberFormat="1" applyFont="1" applyFill="1" applyBorder="1" applyAlignment="1">
      <alignment horizontal="center"/>
    </xf>
    <xf numFmtId="164" fontId="1" fillId="0" borderId="0" xfId="1" applyNumberFormat="1" applyFont="1" applyFill="1" applyBorder="1"/>
    <xf numFmtId="44" fontId="1" fillId="0" borderId="0" xfId="2" applyFont="1" applyFill="1" applyBorder="1"/>
    <xf numFmtId="9" fontId="1" fillId="0" borderId="0" xfId="3" applyFont="1" applyFill="1" applyBorder="1" applyAlignment="1">
      <alignment horizontal="center"/>
    </xf>
    <xf numFmtId="165" fontId="1" fillId="0" borderId="0" xfId="3" applyNumberFormat="1" applyFont="1" applyFill="1" applyBorder="1"/>
    <xf numFmtId="43" fontId="1" fillId="0" borderId="0" xfId="1" applyFont="1" applyFill="1" applyBorder="1"/>
    <xf numFmtId="164" fontId="1" fillId="0" borderId="0" xfId="0" applyNumberFormat="1" applyFont="1"/>
    <xf numFmtId="165" fontId="1" fillId="3" borderId="0" xfId="3" applyNumberFormat="1" applyFont="1" applyFill="1" applyAlignment="1">
      <alignment horizontal="center"/>
    </xf>
    <xf numFmtId="0" fontId="1" fillId="0" borderId="0" xfId="0" applyFont="1" applyAlignment="1">
      <alignment horizontal="center" vertical="top"/>
    </xf>
    <xf numFmtId="44" fontId="1" fillId="0" borderId="0" xfId="2" applyFont="1" applyAlignment="1">
      <alignment horizontal="center"/>
    </xf>
    <xf numFmtId="9" fontId="1" fillId="0" borderId="0" xfId="3" applyFont="1" applyBorder="1" applyAlignment="1">
      <alignment horizontal="center"/>
    </xf>
    <xf numFmtId="9" fontId="1" fillId="0" borderId="2" xfId="3" applyFont="1" applyBorder="1" applyAlignment="1">
      <alignment horizontal="center"/>
    </xf>
    <xf numFmtId="44" fontId="1" fillId="0" borderId="0" xfId="2" applyFont="1" applyBorder="1"/>
    <xf numFmtId="43" fontId="1" fillId="0" borderId="1" xfId="0" applyNumberFormat="1" applyFont="1" applyBorder="1" applyAlignment="1">
      <alignment horizontal="center"/>
    </xf>
    <xf numFmtId="164" fontId="1" fillId="0" borderId="0" xfId="0" applyNumberFormat="1" applyFont="1" applyAlignment="1">
      <alignment horizontal="left" vertical="center"/>
    </xf>
    <xf numFmtId="164" fontId="1" fillId="8" borderId="0" xfId="1" applyNumberFormat="1" applyFont="1" applyFill="1" applyAlignment="1">
      <alignment horizontal="center"/>
    </xf>
    <xf numFmtId="43" fontId="1" fillId="0" borderId="0" xfId="1" applyFont="1" applyAlignment="1">
      <alignment horizontal="center"/>
    </xf>
    <xf numFmtId="166" fontId="1" fillId="0" borderId="0" xfId="1" applyNumberFormat="1" applyFont="1"/>
    <xf numFmtId="165" fontId="1" fillId="0" borderId="0" xfId="3" applyNumberFormat="1" applyFont="1"/>
    <xf numFmtId="0" fontId="1" fillId="7" borderId="0" xfId="0" applyFont="1" applyFill="1"/>
    <xf numFmtId="0" fontId="1" fillId="7" borderId="0" xfId="0" applyFont="1" applyFill="1" applyAlignment="1">
      <alignment horizontal="center"/>
    </xf>
    <xf numFmtId="166" fontId="1" fillId="7" borderId="0" xfId="1" applyNumberFormat="1" applyFont="1" applyFill="1"/>
    <xf numFmtId="164" fontId="1" fillId="7" borderId="0" xfId="1" applyNumberFormat="1" applyFont="1" applyFill="1"/>
    <xf numFmtId="165" fontId="1" fillId="7" borderId="0" xfId="3" applyNumberFormat="1" applyFont="1" applyFill="1"/>
    <xf numFmtId="44" fontId="1" fillId="7" borderId="0" xfId="2" applyFont="1" applyFill="1"/>
    <xf numFmtId="43" fontId="1" fillId="0" borderId="0" xfId="0" applyNumberFormat="1" applyFont="1"/>
    <xf numFmtId="165" fontId="1" fillId="8" borderId="0" xfId="3" applyNumberFormat="1" applyFont="1" applyFill="1"/>
    <xf numFmtId="164" fontId="1" fillId="8" borderId="4" xfId="1" applyNumberFormat="1" applyFont="1" applyFill="1" applyBorder="1"/>
    <xf numFmtId="164" fontId="1" fillId="8" borderId="0" xfId="1" applyNumberFormat="1" applyFont="1" applyFill="1"/>
    <xf numFmtId="166" fontId="1" fillId="0" borderId="0" xfId="1" applyNumberFormat="1" applyFont="1" applyFill="1"/>
    <xf numFmtId="1" fontId="1" fillId="0" borderId="0" xfId="0" applyNumberFormat="1" applyFont="1"/>
    <xf numFmtId="16" fontId="1" fillId="0" borderId="0" xfId="0" applyNumberFormat="1" applyFont="1" applyAlignment="1">
      <alignment horizontal="center"/>
    </xf>
    <xf numFmtId="164" fontId="1" fillId="0" borderId="0" xfId="5" applyNumberFormat="1" applyFont="1"/>
    <xf numFmtId="0" fontId="1" fillId="3" borderId="0" xfId="0" applyFont="1" applyFill="1" applyAlignment="1">
      <alignment horizontal="center" vertical="center"/>
    </xf>
    <xf numFmtId="9" fontId="1" fillId="3" borderId="0" xfId="3" applyFont="1" applyFill="1"/>
    <xf numFmtId="0" fontId="1" fillId="4" borderId="0" xfId="0" applyFont="1" applyFill="1" applyAlignment="1">
      <alignment horizontal="center" vertical="center"/>
    </xf>
    <xf numFmtId="9" fontId="1" fillId="4" borderId="0" xfId="3" applyFont="1" applyFill="1"/>
    <xf numFmtId="9" fontId="1" fillId="0" borderId="0" xfId="3" applyFont="1" applyAlignment="1">
      <alignment vertical="center"/>
    </xf>
    <xf numFmtId="9" fontId="1" fillId="0" borderId="0" xfId="3" applyFont="1" applyAlignment="1">
      <alignment horizontal="right" vertical="center"/>
    </xf>
    <xf numFmtId="9" fontId="1" fillId="0" borderId="0" xfId="3" applyFont="1" applyFill="1"/>
    <xf numFmtId="9" fontId="1" fillId="0" borderId="0" xfId="3" applyFont="1" applyFill="1" applyBorder="1"/>
    <xf numFmtId="0" fontId="1" fillId="0" borderId="0" xfId="1" applyNumberFormat="1" applyFont="1" applyAlignment="1">
      <alignment horizontal="center"/>
    </xf>
    <xf numFmtId="9" fontId="1" fillId="0" borderId="0" xfId="3" applyFont="1" applyAlignment="1">
      <alignment horizontal="left"/>
    </xf>
    <xf numFmtId="164" fontId="1" fillId="0" borderId="0" xfId="0" applyNumberFormat="1" applyFont="1" applyAlignment="1">
      <alignment horizontal="center"/>
    </xf>
    <xf numFmtId="14" fontId="10" fillId="0" borderId="0" xfId="0" applyNumberFormat="1" applyFont="1" applyAlignment="1">
      <alignment horizontal="center" vertical="top"/>
    </xf>
    <xf numFmtId="0" fontId="22" fillId="0" borderId="0" xfId="4" applyFont="1" applyAlignment="1">
      <alignment horizontal="center" vertical="top"/>
    </xf>
    <xf numFmtId="0" fontId="8" fillId="0" borderId="0" xfId="0" applyFont="1" applyAlignment="1">
      <alignment horizontal="center" vertical="center"/>
    </xf>
    <xf numFmtId="49" fontId="21" fillId="0" borderId="0" xfId="4" applyNumberFormat="1" applyFont="1">
      <alignment vertical="top"/>
    </xf>
    <xf numFmtId="0" fontId="8" fillId="0" borderId="0" xfId="6" applyFont="1" applyAlignment="1">
      <alignment horizontal="left" vertical="center"/>
    </xf>
    <xf numFmtId="164" fontId="8" fillId="0" borderId="0" xfId="1" applyNumberFormat="1" applyFont="1" applyAlignment="1">
      <alignment vertical="center"/>
    </xf>
    <xf numFmtId="164" fontId="8" fillId="0" borderId="0" xfId="1" applyNumberFormat="1" applyFont="1" applyAlignment="1">
      <alignment horizontal="right"/>
    </xf>
    <xf numFmtId="165" fontId="8" fillId="0" borderId="0" xfId="3" applyNumberFormat="1" applyFont="1" applyFill="1"/>
    <xf numFmtId="43" fontId="8" fillId="0" borderId="0" xfId="1" applyFont="1" applyFill="1"/>
    <xf numFmtId="164" fontId="8" fillId="0" borderId="0" xfId="1" applyNumberFormat="1" applyFont="1" applyFill="1" applyBorder="1"/>
    <xf numFmtId="0" fontId="23" fillId="0" borderId="0" xfId="8" applyFont="1"/>
    <xf numFmtId="164" fontId="12" fillId="0" borderId="0" xfId="1" applyNumberFormat="1" applyFont="1" applyAlignment="1">
      <alignment vertical="center"/>
    </xf>
    <xf numFmtId="164" fontId="12" fillId="0" borderId="0" xfId="1" applyNumberFormat="1" applyFont="1" applyAlignment="1">
      <alignment horizontal="right"/>
    </xf>
    <xf numFmtId="0" fontId="21" fillId="0" borderId="0" xfId="4" applyFont="1" applyAlignment="1">
      <alignment horizontal="center" vertical="top"/>
    </xf>
    <xf numFmtId="0" fontId="8" fillId="0" borderId="0" xfId="0" applyFont="1" applyAlignment="1">
      <alignment horizontal="center" vertical="top"/>
    </xf>
    <xf numFmtId="0" fontId="24" fillId="0" borderId="0" xfId="0" applyFont="1"/>
    <xf numFmtId="0" fontId="1" fillId="8" borderId="0" xfId="0" applyFont="1" applyFill="1" applyAlignment="1">
      <alignment horizontal="center"/>
    </xf>
    <xf numFmtId="43" fontId="11" fillId="5" borderId="0" xfId="1" applyFont="1" applyFill="1"/>
    <xf numFmtId="43" fontId="11" fillId="0" borderId="0" xfId="1" applyFont="1" applyFill="1"/>
    <xf numFmtId="0" fontId="25" fillId="0" borderId="0" xfId="0" applyFont="1"/>
    <xf numFmtId="164" fontId="8" fillId="0" borderId="0" xfId="1" applyNumberFormat="1" applyFont="1" applyBorder="1" applyAlignment="1">
      <alignment vertical="center"/>
    </xf>
    <xf numFmtId="164" fontId="12" fillId="0" borderId="0" xfId="1" applyNumberFormat="1" applyFont="1" applyBorder="1" applyAlignment="1">
      <alignment vertical="center"/>
    </xf>
    <xf numFmtId="164" fontId="1" fillId="0" borderId="0" xfId="1" applyNumberFormat="1" applyFont="1" applyBorder="1" applyAlignment="1">
      <alignment horizontal="center"/>
    </xf>
    <xf numFmtId="164" fontId="1" fillId="3" borderId="0" xfId="1" applyNumberFormat="1" applyFont="1" applyFill="1" applyBorder="1" applyAlignment="1">
      <alignment horizontal="center"/>
    </xf>
    <xf numFmtId="164" fontId="1" fillId="0" borderId="0" xfId="1" applyNumberFormat="1" applyFont="1" applyBorder="1" applyAlignment="1">
      <alignment horizontal="right"/>
    </xf>
    <xf numFmtId="9" fontId="1" fillId="0" borderId="0" xfId="3" applyFont="1" applyBorder="1" applyAlignment="1">
      <alignment horizontal="center" vertical="center"/>
    </xf>
    <xf numFmtId="164" fontId="1" fillId="8" borderId="0" xfId="1" applyNumberFormat="1" applyFont="1" applyFill="1" applyBorder="1"/>
    <xf numFmtId="164" fontId="1" fillId="0" borderId="0" xfId="1" applyNumberFormat="1" applyFont="1" applyBorder="1" applyAlignment="1">
      <alignment horizontal="right" vertical="center"/>
    </xf>
    <xf numFmtId="164" fontId="1" fillId="3" borderId="0" xfId="1" applyNumberFormat="1" applyFont="1" applyFill="1" applyBorder="1"/>
    <xf numFmtId="164" fontId="1" fillId="0" borderId="0" xfId="1" applyNumberFormat="1" applyFont="1" applyBorder="1" applyAlignment="1">
      <alignment vertical="center"/>
    </xf>
    <xf numFmtId="164" fontId="10" fillId="0" borderId="0" xfId="1" applyNumberFormat="1" applyFont="1" applyBorder="1" applyAlignment="1">
      <alignment vertical="top"/>
    </xf>
    <xf numFmtId="164" fontId="1" fillId="0" borderId="0" xfId="1" applyNumberFormat="1" applyFont="1" applyFill="1" applyBorder="1" applyAlignment="1">
      <alignment horizontal="right"/>
    </xf>
    <xf numFmtId="43" fontId="1" fillId="0" borderId="0" xfId="1" applyFont="1" applyBorder="1"/>
    <xf numFmtId="164" fontId="11" fillId="3" borderId="0" xfId="1" applyNumberFormat="1" applyFont="1" applyFill="1" applyBorder="1"/>
    <xf numFmtId="43" fontId="11" fillId="0" borderId="0" xfId="1" applyFont="1" applyBorder="1"/>
    <xf numFmtId="164" fontId="11" fillId="0" borderId="0" xfId="1" applyNumberFormat="1" applyFont="1" applyBorder="1" applyAlignment="1">
      <alignment horizontal="right" vertical="center"/>
    </xf>
    <xf numFmtId="164" fontId="11" fillId="0" borderId="0" xfId="1" applyNumberFormat="1" applyFont="1" applyBorder="1" applyAlignment="1">
      <alignment horizontal="right"/>
    </xf>
    <xf numFmtId="43" fontId="11" fillId="5" borderId="0" xfId="1" applyFont="1" applyFill="1" applyBorder="1"/>
    <xf numFmtId="164" fontId="8" fillId="8" borderId="0" xfId="1" applyNumberFormat="1" applyFont="1" applyFill="1"/>
    <xf numFmtId="43" fontId="1" fillId="0" borderId="0" xfId="0" applyNumberFormat="1" applyFont="1" applyAlignment="1">
      <alignment horizontal="center"/>
    </xf>
    <xf numFmtId="43" fontId="1" fillId="0" borderId="0" xfId="1" applyFont="1" applyBorder="1" applyAlignment="1">
      <alignment horizontal="center"/>
    </xf>
    <xf numFmtId="164" fontId="8" fillId="0" borderId="2" xfId="1" applyNumberFormat="1" applyFont="1" applyBorder="1"/>
    <xf numFmtId="0" fontId="1" fillId="6" borderId="0" xfId="0" applyFont="1" applyFill="1"/>
    <xf numFmtId="0" fontId="1" fillId="6" borderId="0" xfId="0" applyFont="1" applyFill="1" applyAlignment="1">
      <alignment horizontal="center"/>
    </xf>
    <xf numFmtId="0" fontId="1" fillId="6" borderId="0" xfId="0" applyFont="1" applyFill="1" applyAlignment="1">
      <alignment horizontal="left" vertical="center"/>
    </xf>
    <xf numFmtId="164" fontId="1" fillId="6" borderId="0" xfId="1" applyNumberFormat="1" applyFont="1" applyFill="1" applyAlignment="1">
      <alignment horizontal="center"/>
    </xf>
    <xf numFmtId="9" fontId="1" fillId="6" borderId="0" xfId="3" applyFont="1" applyFill="1" applyAlignment="1">
      <alignment horizontal="center"/>
    </xf>
    <xf numFmtId="44" fontId="1" fillId="6" borderId="0" xfId="2" applyFont="1" applyFill="1"/>
    <xf numFmtId="164" fontId="1" fillId="6" borderId="0" xfId="1" applyNumberFormat="1" applyFont="1" applyFill="1"/>
    <xf numFmtId="10" fontId="8" fillId="0" borderId="0" xfId="3" applyNumberFormat="1" applyFont="1" applyAlignment="1">
      <alignment horizontal="center"/>
    </xf>
    <xf numFmtId="164" fontId="4" fillId="2" borderId="0" xfId="1" applyNumberFormat="1" applyFont="1" applyFill="1" applyAlignment="1">
      <alignment horizontal="left" wrapText="1"/>
    </xf>
    <xf numFmtId="9" fontId="4" fillId="2" borderId="0" xfId="3" applyFont="1" applyFill="1" applyAlignment="1">
      <alignment horizontal="left" wrapText="1"/>
    </xf>
    <xf numFmtId="14" fontId="8" fillId="6" borderId="0" xfId="0" applyNumberFormat="1" applyFont="1" applyFill="1" applyAlignment="1">
      <alignment horizontal="center"/>
    </xf>
    <xf numFmtId="14" fontId="1" fillId="6" borderId="0" xfId="0" applyNumberFormat="1" applyFont="1" applyFill="1" applyAlignment="1">
      <alignment horizontal="center"/>
    </xf>
    <xf numFmtId="164" fontId="8" fillId="6" borderId="5" xfId="1" applyNumberFormat="1" applyFont="1" applyFill="1" applyBorder="1" applyAlignment="1">
      <alignment horizontal="centerContinuous"/>
    </xf>
    <xf numFmtId="164" fontId="8" fillId="6" borderId="6" xfId="1" applyNumberFormat="1" applyFont="1" applyFill="1" applyBorder="1" applyAlignment="1">
      <alignment horizontal="centerContinuous"/>
    </xf>
    <xf numFmtId="164" fontId="8" fillId="6" borderId="7" xfId="1" applyNumberFormat="1" applyFont="1" applyFill="1" applyBorder="1" applyAlignment="1">
      <alignment horizontal="centerContinuous"/>
    </xf>
    <xf numFmtId="164" fontId="8" fillId="9" borderId="5" xfId="1" applyNumberFormat="1" applyFont="1" applyFill="1" applyBorder="1" applyAlignment="1">
      <alignment horizontal="center"/>
    </xf>
    <xf numFmtId="164" fontId="8" fillId="10" borderId="6" xfId="1" applyNumberFormat="1" applyFont="1" applyFill="1" applyBorder="1" applyAlignment="1">
      <alignment horizontal="center"/>
    </xf>
    <xf numFmtId="164" fontId="8" fillId="11" borderId="7" xfId="1" applyNumberFormat="1" applyFont="1" applyFill="1" applyBorder="1" applyAlignment="1">
      <alignment horizontal="center"/>
    </xf>
    <xf numFmtId="164" fontId="8" fillId="5" borderId="5" xfId="1" applyNumberFormat="1" applyFont="1" applyFill="1" applyBorder="1" applyAlignment="1">
      <alignment horizontal="centerContinuous"/>
    </xf>
    <xf numFmtId="0" fontId="1" fillId="5" borderId="6" xfId="0" applyFont="1" applyFill="1" applyBorder="1" applyAlignment="1">
      <alignment horizontal="centerContinuous"/>
    </xf>
    <xf numFmtId="164" fontId="1" fillId="5" borderId="6" xfId="1" applyNumberFormat="1" applyFont="1" applyFill="1" applyBorder="1" applyAlignment="1">
      <alignment horizontal="centerContinuous"/>
    </xf>
    <xf numFmtId="164" fontId="11" fillId="5" borderId="6" xfId="1" applyNumberFormat="1" applyFont="1" applyFill="1" applyBorder="1" applyAlignment="1">
      <alignment horizontal="centerContinuous"/>
    </xf>
    <xf numFmtId="44" fontId="1" fillId="5" borderId="6" xfId="2" applyFont="1" applyFill="1" applyBorder="1" applyAlignment="1">
      <alignment horizontal="centerContinuous"/>
    </xf>
    <xf numFmtId="9" fontId="1" fillId="5" borderId="6" xfId="3" applyFont="1" applyFill="1" applyBorder="1" applyAlignment="1">
      <alignment horizontal="centerContinuous"/>
    </xf>
    <xf numFmtId="9" fontId="1" fillId="5" borderId="7" xfId="3" applyFont="1" applyFill="1" applyBorder="1" applyAlignment="1">
      <alignment horizontal="centerContinuous"/>
    </xf>
    <xf numFmtId="164" fontId="8" fillId="9" borderId="8" xfId="1" applyNumberFormat="1" applyFont="1" applyFill="1" applyBorder="1" applyAlignment="1">
      <alignment horizontal="center"/>
    </xf>
    <xf numFmtId="0" fontId="8" fillId="10" borderId="5" xfId="0" applyFont="1" applyFill="1" applyBorder="1" applyAlignment="1">
      <alignment horizontal="centerContinuous"/>
    </xf>
    <xf numFmtId="164" fontId="8" fillId="10" borderId="6" xfId="1" applyNumberFormat="1" applyFont="1" applyFill="1" applyBorder="1" applyAlignment="1">
      <alignment horizontal="centerContinuous"/>
    </xf>
    <xf numFmtId="164" fontId="12" fillId="10" borderId="6" xfId="1" applyNumberFormat="1" applyFont="1" applyFill="1" applyBorder="1" applyAlignment="1">
      <alignment horizontal="centerContinuous"/>
    </xf>
    <xf numFmtId="44" fontId="8" fillId="10" borderId="6" xfId="2" applyFont="1" applyFill="1" applyBorder="1" applyAlignment="1">
      <alignment horizontal="centerContinuous"/>
    </xf>
    <xf numFmtId="9" fontId="8" fillId="10" borderId="7" xfId="3" applyFont="1" applyFill="1" applyBorder="1" applyAlignment="1">
      <alignment horizontal="center"/>
    </xf>
    <xf numFmtId="164" fontId="8" fillId="11" borderId="8" xfId="1" applyNumberFormat="1" applyFont="1" applyFill="1" applyBorder="1" applyAlignment="1">
      <alignment horizontal="centerContinuous"/>
    </xf>
    <xf numFmtId="9" fontId="8" fillId="11" borderId="7" xfId="3" applyFont="1" applyFill="1" applyBorder="1" applyAlignment="1">
      <alignment horizontal="centerContinuous"/>
    </xf>
    <xf numFmtId="14" fontId="4" fillId="2" borderId="0" xfId="0" applyNumberFormat="1" applyFont="1" applyFill="1" applyAlignment="1">
      <alignment horizontal="center" wrapText="1"/>
    </xf>
    <xf numFmtId="14" fontId="1" fillId="3" borderId="0" xfId="0" applyNumberFormat="1" applyFont="1" applyFill="1" applyAlignment="1">
      <alignment horizontal="center"/>
    </xf>
    <xf numFmtId="14" fontId="5" fillId="0" borderId="0" xfId="0" applyNumberFormat="1" applyFont="1" applyAlignment="1">
      <alignment horizontal="center"/>
    </xf>
    <xf numFmtId="9" fontId="1" fillId="3" borderId="0" xfId="3" applyFont="1" applyFill="1" applyBorder="1" applyAlignment="1">
      <alignment horizontal="center"/>
    </xf>
    <xf numFmtId="0" fontId="11" fillId="0" borderId="0" xfId="0" applyFont="1" applyAlignment="1">
      <alignment horizontal="center"/>
    </xf>
    <xf numFmtId="164" fontId="11" fillId="5" borderId="0" xfId="1" applyNumberFormat="1" applyFont="1" applyFill="1" applyBorder="1"/>
    <xf numFmtId="164" fontId="11" fillId="5" borderId="0" xfId="1" applyNumberFormat="1" applyFont="1" applyFill="1"/>
    <xf numFmtId="164" fontId="1" fillId="5" borderId="0" xfId="1" applyNumberFormat="1" applyFont="1" applyFill="1" applyAlignment="1">
      <alignment horizontal="center"/>
    </xf>
    <xf numFmtId="14" fontId="1" fillId="8" borderId="0" xfId="0" applyNumberFormat="1" applyFont="1" applyFill="1" applyAlignment="1">
      <alignment horizontal="center"/>
    </xf>
    <xf numFmtId="14" fontId="1" fillId="11" borderId="0" xfId="0" applyNumberFormat="1" applyFont="1" applyFill="1" applyAlignment="1">
      <alignment horizontal="center"/>
    </xf>
    <xf numFmtId="0" fontId="4" fillId="2" borderId="0" xfId="0" applyFont="1" applyFill="1" applyAlignment="1">
      <alignment horizontal="center"/>
    </xf>
    <xf numFmtId="0" fontId="8" fillId="6" borderId="0" xfId="0" applyFont="1" applyFill="1"/>
    <xf numFmtId="0" fontId="8" fillId="12" borderId="0" xfId="0" applyFont="1" applyFill="1" applyAlignment="1">
      <alignment horizontal="center"/>
    </xf>
    <xf numFmtId="0" fontId="4" fillId="9" borderId="0" xfId="0" applyFont="1" applyFill="1" applyAlignment="1">
      <alignment horizontal="center"/>
    </xf>
    <xf numFmtId="0" fontId="11" fillId="0" borderId="0" xfId="9"/>
    <xf numFmtId="40" fontId="26" fillId="0" borderId="0" xfId="9" applyNumberFormat="1" applyFont="1"/>
    <xf numFmtId="22" fontId="11" fillId="0" borderId="0" xfId="9" applyNumberFormat="1"/>
    <xf numFmtId="0" fontId="27" fillId="13" borderId="0" xfId="9" applyFont="1" applyFill="1" applyAlignment="1">
      <alignment horizontal="center"/>
    </xf>
    <xf numFmtId="14" fontId="4" fillId="2" borderId="0" xfId="9" applyNumberFormat="1" applyFont="1" applyFill="1" applyAlignment="1">
      <alignment horizontal="left"/>
    </xf>
    <xf numFmtId="0" fontId="4" fillId="2" borderId="0" xfId="9" applyFont="1" applyFill="1" applyAlignment="1">
      <alignment horizontal="center"/>
    </xf>
    <xf numFmtId="43" fontId="12" fillId="0" borderId="0" xfId="9" applyNumberFormat="1" applyFont="1"/>
    <xf numFmtId="0" fontId="12" fillId="6" borderId="0" xfId="9" applyFont="1" applyFill="1" applyAlignment="1">
      <alignment horizontal="center"/>
    </xf>
    <xf numFmtId="14" fontId="11" fillId="0" borderId="0" xfId="9" applyNumberFormat="1"/>
    <xf numFmtId="43" fontId="11" fillId="0" borderId="0" xfId="9" applyNumberFormat="1"/>
    <xf numFmtId="43" fontId="6" fillId="8" borderId="0" xfId="1" applyFont="1" applyFill="1"/>
    <xf numFmtId="43" fontId="7" fillId="8" borderId="0" xfId="1" applyFont="1" applyFill="1"/>
    <xf numFmtId="0" fontId="8" fillId="6" borderId="0" xfId="0" applyFont="1" applyFill="1" applyAlignment="1">
      <alignment horizontal="center"/>
    </xf>
    <xf numFmtId="0" fontId="11" fillId="8" borderId="0" xfId="9" applyFill="1"/>
    <xf numFmtId="0" fontId="6" fillId="8" borderId="0" xfId="9" applyFont="1" applyFill="1"/>
    <xf numFmtId="0" fontId="7" fillId="8" borderId="0" xfId="9" applyFont="1" applyFill="1"/>
    <xf numFmtId="43" fontId="1" fillId="8" borderId="0" xfId="1" applyFont="1" applyFill="1"/>
    <xf numFmtId="40" fontId="11" fillId="0" borderId="0" xfId="9" applyNumberFormat="1"/>
    <xf numFmtId="164" fontId="11" fillId="0" borderId="0" xfId="9" applyNumberFormat="1"/>
    <xf numFmtId="14" fontId="26" fillId="0" borderId="0" xfId="9" applyNumberFormat="1" applyFont="1"/>
    <xf numFmtId="0" fontId="8" fillId="5" borderId="0" xfId="0" applyFont="1" applyFill="1" applyAlignment="1">
      <alignment horizontal="center"/>
    </xf>
    <xf numFmtId="40" fontId="26" fillId="8" borderId="0" xfId="9" applyNumberFormat="1" applyFont="1" applyFill="1"/>
    <xf numFmtId="14" fontId="26" fillId="8" borderId="0" xfId="9" applyNumberFormat="1" applyFont="1" applyFill="1"/>
    <xf numFmtId="0" fontId="1" fillId="14" borderId="0" xfId="0" applyFont="1" applyFill="1" applyAlignment="1">
      <alignment horizontal="center"/>
    </xf>
    <xf numFmtId="0" fontId="1" fillId="8" borderId="0" xfId="0" applyFont="1" applyFill="1" applyAlignment="1">
      <alignment horizontal="left" vertical="top"/>
    </xf>
    <xf numFmtId="0" fontId="1" fillId="8" borderId="0" xfId="0" applyFont="1" applyFill="1" applyAlignment="1">
      <alignment horizontal="left" vertical="center"/>
    </xf>
    <xf numFmtId="22" fontId="11" fillId="8" borderId="0" xfId="9" applyNumberFormat="1" applyFill="1"/>
    <xf numFmtId="43" fontId="1" fillId="15" borderId="0" xfId="1" applyFont="1" applyFill="1"/>
    <xf numFmtId="43" fontId="8" fillId="0" borderId="0" xfId="0" applyNumberFormat="1" applyFont="1"/>
    <xf numFmtId="2" fontId="1" fillId="0" borderId="0" xfId="0" applyNumberFormat="1" applyFont="1" applyAlignment="1">
      <alignment horizontal="center"/>
    </xf>
    <xf numFmtId="2" fontId="1" fillId="0" borderId="0" xfId="3" applyNumberFormat="1" applyFont="1" applyAlignment="1">
      <alignment horizontal="center"/>
    </xf>
    <xf numFmtId="0" fontId="8" fillId="8" borderId="0" xfId="0" applyFont="1" applyFill="1" applyAlignment="1">
      <alignment horizontal="center"/>
    </xf>
    <xf numFmtId="0" fontId="1" fillId="5" borderId="0" xfId="0" applyFont="1" applyFill="1" applyAlignment="1">
      <alignment horizontal="center"/>
    </xf>
    <xf numFmtId="0" fontId="28" fillId="0" borderId="0" xfId="8" applyFont="1"/>
    <xf numFmtId="164" fontId="5" fillId="0" borderId="0" xfId="1" applyNumberFormat="1" applyFont="1" applyFill="1"/>
    <xf numFmtId="164" fontId="11" fillId="16" borderId="0" xfId="1" applyNumberFormat="1" applyFont="1" applyFill="1"/>
    <xf numFmtId="0" fontId="1" fillId="17" borderId="0" xfId="0" applyFont="1" applyFill="1" applyAlignment="1">
      <alignment horizontal="center"/>
    </xf>
    <xf numFmtId="164" fontId="1" fillId="17" borderId="0" xfId="1" applyNumberFormat="1" applyFont="1" applyFill="1"/>
    <xf numFmtId="164" fontId="5" fillId="0" borderId="0" xfId="1" applyNumberFormat="1" applyFont="1" applyFill="1" applyAlignment="1">
      <alignment horizontal="center"/>
    </xf>
    <xf numFmtId="164" fontId="5" fillId="0" borderId="0" xfId="0" applyNumberFormat="1" applyFont="1" applyAlignment="1">
      <alignment horizontal="center"/>
    </xf>
    <xf numFmtId="0" fontId="1" fillId="18" borderId="0" xfId="0" applyFont="1" applyFill="1"/>
    <xf numFmtId="0" fontId="5" fillId="18" borderId="0" xfId="0" applyFont="1" applyFill="1" applyAlignment="1">
      <alignment horizontal="center"/>
    </xf>
  </cellXfs>
  <cellStyles count="10">
    <cellStyle name="Comma" xfId="1" builtinId="3"/>
    <cellStyle name="Comma 2" xfId="7" xr:uid="{82303C74-3FB6-40E8-8098-C5DF91B822B4}"/>
    <cellStyle name="Comma 7" xfId="5" xr:uid="{E30CCE57-9EDD-4AE7-B944-598152351E29}"/>
    <cellStyle name="Currency" xfId="2" builtinId="4"/>
    <cellStyle name="Hyperlink" xfId="8" builtinId="8"/>
    <cellStyle name="Normal" xfId="0" builtinId="0"/>
    <cellStyle name="Normal 2" xfId="6" xr:uid="{0AB608A8-64E1-4132-90D1-20E07DB100C8}"/>
    <cellStyle name="Normal 3" xfId="4" xr:uid="{41C426FC-F0CF-4B5A-A9D1-1B01FEB1D5D9}"/>
    <cellStyle name="Normal 4" xfId="9" xr:uid="{921361E3-498E-460A-A9F2-C09FA6C4FB53}"/>
    <cellStyle name="Percent" xfId="3" builtinId="5"/>
  </cellStyles>
  <dxfs count="26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patternType="none">
          <bgColor auto="1"/>
        </patternFill>
      </fill>
    </dxf>
    <dxf>
      <font>
        <color rgb="FF006100"/>
      </font>
      <fill>
        <patternFill>
          <bgColor rgb="FFC6EFCE"/>
        </patternFill>
      </fill>
    </dxf>
    <dxf>
      <font>
        <color rgb="FF9C0006"/>
      </font>
      <fill>
        <patternFill>
          <bgColor rgb="FFFFC7CE"/>
        </patternFill>
      </fill>
    </dxf>
    <dxf>
      <fill>
        <patternFill patternType="none">
          <bgColor auto="1"/>
        </patternFill>
      </fill>
    </dxf>
    <dxf>
      <font>
        <color rgb="FF9C0006"/>
      </font>
      <fill>
        <patternFill>
          <bgColor rgb="FFFFC7CE"/>
        </patternFill>
      </fill>
    </dxf>
    <dxf>
      <font>
        <color rgb="FF002060"/>
      </font>
      <fill>
        <patternFill>
          <bgColor rgb="FF00B0F0"/>
        </patternFill>
      </fill>
    </dxf>
    <dxf>
      <font>
        <b/>
        <i val="0"/>
        <color rgb="FF00B050"/>
      </font>
      <fill>
        <patternFill>
          <bgColor theme="9" tint="0.59996337778862885"/>
        </patternFill>
      </fill>
    </dxf>
    <dxf>
      <fill>
        <patternFill patternType="none">
          <bgColor auto="1"/>
        </patternFill>
      </fill>
    </dxf>
    <dxf>
      <font>
        <color rgb="FF9C0006"/>
      </font>
      <fill>
        <patternFill>
          <bgColor rgb="FFFFC7CE"/>
        </patternFill>
      </fill>
    </dxf>
    <dxf>
      <font>
        <color rgb="FF002060"/>
      </font>
      <fill>
        <patternFill>
          <bgColor rgb="FF00B0F0"/>
        </patternFill>
      </fill>
    </dxf>
    <dxf>
      <font>
        <b/>
        <i val="0"/>
        <color rgb="FF00B050"/>
      </font>
      <fill>
        <patternFill>
          <bgColor theme="9" tint="0.59996337778862885"/>
        </patternFill>
      </fill>
    </dxf>
    <dxf>
      <fill>
        <patternFill patternType="none">
          <bgColor auto="1"/>
        </patternFill>
      </fill>
    </dxf>
    <dxf>
      <font>
        <color rgb="FF9C0006"/>
      </font>
    </dxf>
    <dxf>
      <font>
        <color rgb="FFFF0000"/>
      </font>
    </dxf>
    <dxf>
      <font>
        <color rgb="FFFF0000"/>
      </font>
    </dxf>
    <dxf>
      <font>
        <color rgb="FF9C0006"/>
      </font>
    </dxf>
    <dxf>
      <font>
        <color rgb="FFFF0000"/>
      </font>
    </dxf>
    <dxf>
      <font>
        <color rgb="FF9C0006"/>
      </font>
    </dxf>
    <dxf>
      <font>
        <color rgb="FFFF0000"/>
      </font>
    </dxf>
    <dxf>
      <font>
        <color rgb="FF9C0006"/>
      </font>
    </dxf>
    <dxf>
      <font>
        <color rgb="FF9C0006"/>
      </font>
    </dxf>
    <dxf>
      <font>
        <color rgb="FFFF0000"/>
      </font>
    </dxf>
    <dxf>
      <font>
        <color rgb="FFFF0000"/>
      </font>
    </dxf>
    <dxf>
      <font>
        <color rgb="FF9C0006"/>
      </font>
    </dxf>
    <dxf>
      <font>
        <color rgb="FFFF0000"/>
      </font>
    </dxf>
    <dxf>
      <font>
        <color rgb="FF9C0006"/>
      </font>
    </dxf>
    <dxf>
      <font>
        <color rgb="FF9C0006"/>
      </font>
    </dxf>
    <dxf>
      <font>
        <color rgb="FFFF0000"/>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9C0006"/>
      </font>
    </dxf>
    <dxf>
      <font>
        <color rgb="FFFF0000"/>
      </font>
    </dxf>
    <dxf>
      <font>
        <color rgb="FF9C0006"/>
      </font>
    </dxf>
    <dxf>
      <font>
        <color rgb="FFFF0000"/>
      </font>
    </dxf>
    <dxf>
      <font>
        <color rgb="FF9C0006"/>
      </font>
    </dxf>
    <dxf>
      <font>
        <color rgb="FFFF0000"/>
      </font>
    </dxf>
    <dxf>
      <font>
        <color rgb="FF9C0006"/>
      </font>
    </dxf>
    <dxf>
      <font>
        <color rgb="FF9C0006"/>
      </font>
    </dxf>
    <dxf>
      <font>
        <color rgb="FFFF0000"/>
      </font>
    </dxf>
    <dxf>
      <font>
        <color rgb="FF9C0006"/>
      </font>
    </dxf>
    <dxf>
      <font>
        <color rgb="FFFF0000"/>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rscompany.sharepoint.com/sites/Finance/Shared%20Documents/Accounting/12%20-%20Inventory/Inventory%20Control%20Reports/Condensed%20EOM%20Reports_09.30.24.xlsx" TargetMode="External"/><Relationship Id="rId1" Type="http://schemas.openxmlformats.org/officeDocument/2006/relationships/externalLinkPath" Target="https://marscompany.sharepoint.com/sites/Finance/Shared%20Documents/Accounting/12%20-%20Inventory/Inventory%20Control%20Reports/Condensed%20EOM%20Reports_09.3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xec Summary"/>
      <sheetName val="Detail"/>
      <sheetName val="PrePaid"/>
      <sheetName val="BOD"/>
      <sheetName val="WIP"/>
      <sheetName val="Inv Value Report 2018 - YTD"/>
      <sheetName val="Month by Month To Date"/>
      <sheetName val="YofY Comparison"/>
      <sheetName val="EOM OH 3.31.24"/>
      <sheetName val="EOM OH 2.29.24"/>
      <sheetName val="Variance Breakdown"/>
      <sheetName val="Reconciliation"/>
      <sheetName val="EOM OH 9.30.24"/>
      <sheetName val="EOM OH 8.31.24"/>
      <sheetName val="EOM OH 7.31.24"/>
      <sheetName val="EOM OH 6.30.24"/>
      <sheetName val="EOM OH 5.31.24"/>
      <sheetName val="EOM OH 4.30.24 (2)"/>
      <sheetName val="EOM OH 1.31.24"/>
      <sheetName val="EOM OH 12.31.23"/>
      <sheetName val="EOM OH 11.30.23"/>
      <sheetName val="EOM OH 10.31.23"/>
      <sheetName val="EOM OH 9.30.23"/>
      <sheetName val="EOM OH 8.31.23"/>
      <sheetName val="EOM OH 7.31.23"/>
      <sheetName val="EOM OH 6.30.23"/>
      <sheetName val="EOM OH 5.31.23"/>
      <sheetName val="EOM 4.30.23"/>
      <sheetName val="EOM 3.31.23"/>
      <sheetName val="EOM 2.28.23"/>
      <sheetName val="EOM 1.31.23"/>
      <sheetName val="EOM 12.31.22"/>
      <sheetName val="EOM 11.30.22"/>
      <sheetName val="EOM 10.31.22"/>
      <sheetName val="EOM 9.30.22"/>
      <sheetName val="EOM 8.31.22"/>
      <sheetName val="EOM 7.31.22"/>
      <sheetName val="EOM 6.30.22"/>
      <sheetName val="EOM 5.31.22 (2)"/>
      <sheetName val="EOM 5.31.22"/>
      <sheetName val="EOM 4.30.22"/>
      <sheetName val="EOM 2022.03.31"/>
      <sheetName val="EOM 2022.02.28"/>
      <sheetName val="EOM OH 2022.01.31"/>
      <sheetName val="9.30.21 Inventory Valuation"/>
      <sheetName val="Inventory Valuation 8.31.21"/>
      <sheetName val="Inventory Valuation 6.30.21"/>
      <sheetName val="EOM 12.31.21"/>
      <sheetName val="EOM OH 2021.11.30"/>
      <sheetName val="EOM OH 2021.10.31"/>
      <sheetName val="EOM OH 2021.09.30"/>
      <sheetName val="EOM OH 2021.08.31"/>
      <sheetName val="EOM OH 2021.07.31"/>
      <sheetName val="EOM OH 2021.06.30"/>
      <sheetName val="EOM OH 2021.05.31"/>
      <sheetName val="EOM OH 2021.04.30"/>
      <sheetName val="EOM OH 2021.03.31"/>
      <sheetName val="Item Classific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C1"/>
          <cell r="D1"/>
        </row>
        <row r="2">
          <cell r="C2"/>
          <cell r="D2"/>
        </row>
        <row r="3">
          <cell r="C3"/>
          <cell r="D3"/>
        </row>
        <row r="4">
          <cell r="C4"/>
          <cell r="D4"/>
        </row>
        <row r="5">
          <cell r="C5"/>
          <cell r="D5"/>
        </row>
        <row r="6">
          <cell r="C6"/>
          <cell r="D6"/>
        </row>
        <row r="7">
          <cell r="C7" t="str">
            <v>Item</v>
          </cell>
          <cell r="D7" t="str">
            <v>Display Name</v>
          </cell>
        </row>
        <row r="8">
          <cell r="C8" t="str">
            <v>110031212</v>
          </cell>
          <cell r="D8" t="str">
            <v>Test Bench-New-Small-Series 310-MUN200 -Advanced-Single</v>
          </cell>
        </row>
        <row r="9">
          <cell r="C9" t="str">
            <v>110101111</v>
          </cell>
          <cell r="D9" t="str">
            <v>Test Bench-New-Small-Series 1010-Advanced-Console-Single</v>
          </cell>
        </row>
        <row r="10">
          <cell r="C10" t="str">
            <v>110101112</v>
          </cell>
          <cell r="D10" t="str">
            <v>Test Bench-New-Small-Series 1010-Advanced-Console-Single</v>
          </cell>
        </row>
        <row r="11">
          <cell r="C11" t="str">
            <v>11012011</v>
          </cell>
          <cell r="D11" t="str">
            <v>Test Bench-New-Small-Series 1200-Standard-Single</v>
          </cell>
        </row>
        <row r="12">
          <cell r="C12" t="str">
            <v>110120113</v>
          </cell>
          <cell r="D12" t="str">
            <v>Test Bench-New-Small-Series 1200-Standard-Console-Single</v>
          </cell>
        </row>
        <row r="13">
          <cell r="C13" t="str">
            <v>11012112</v>
          </cell>
          <cell r="D13" t="str">
            <v>Test Bench-New-Small-Series 2410-Advanced-Dual</v>
          </cell>
        </row>
        <row r="14">
          <cell r="C14" t="str">
            <v>110241122</v>
          </cell>
          <cell r="D14" t="str">
            <v>Test Bench-New-Small-2410-Advanced-Dual-Console</v>
          </cell>
        </row>
        <row r="15">
          <cell r="C15" t="str">
            <v>110241123</v>
          </cell>
          <cell r="D15" t="str">
            <v>Test Bench-New-Small-2410-Advanced-Dual-Console</v>
          </cell>
        </row>
        <row r="16">
          <cell r="C16" t="str">
            <v>111130WH</v>
          </cell>
          <cell r="D16" t="str">
            <v>ThrustBuster 2.5 X 4 Str  W/ 3/8 NPT Threaded Hole  No Swivel</v>
          </cell>
        </row>
        <row r="17">
          <cell r="C17" t="str">
            <v>111131WH</v>
          </cell>
          <cell r="D17" t="str">
            <v>ThrustBuster 2.5 X 4 30Deg  W/ 3/8 NPT Threaded Hole  No Swivel</v>
          </cell>
        </row>
        <row r="18">
          <cell r="C18" t="str">
            <v>111132WH</v>
          </cell>
          <cell r="D18" t="str">
            <v>ThrustBuster 2.5 x 4 30°  No Swivel</v>
          </cell>
        </row>
        <row r="19">
          <cell r="C19" t="str">
            <v>125100121</v>
          </cell>
          <cell r="D19" t="str">
            <v>Test Bench-New-Medium-Series 5-1000-Standard-Dual</v>
          </cell>
        </row>
        <row r="20">
          <cell r="C20" t="str">
            <v>125100122</v>
          </cell>
          <cell r="D20" t="str">
            <v>Test Bench-New-Medium-Series 5-1000-Standard-Dual</v>
          </cell>
        </row>
        <row r="21">
          <cell r="C21" t="str">
            <v>12612112</v>
          </cell>
          <cell r="D21" t="str">
            <v>Test Bench-New-Medium-Series 6-1210-Advanced-Dual</v>
          </cell>
        </row>
        <row r="22">
          <cell r="C22" t="str">
            <v>13000000</v>
          </cell>
          <cell r="D22" t="str">
            <v>MARS Truck Tester - VF-10</v>
          </cell>
        </row>
        <row r="23">
          <cell r="C23" t="str">
            <v>131000012</v>
          </cell>
          <cell r="D23" t="str">
            <v>MARS Truck Tester</v>
          </cell>
        </row>
        <row r="24">
          <cell r="C24" t="str">
            <v>1319132</v>
          </cell>
          <cell r="D24" t="str">
            <v>Meter Service Testing - 5/8 &amp; 3/4"</v>
          </cell>
        </row>
        <row r="25">
          <cell r="C25" t="str">
            <v>1319134</v>
          </cell>
          <cell r="D25" t="str">
            <v>Meter Service Testing - 1-1/2"</v>
          </cell>
        </row>
        <row r="26">
          <cell r="C26" t="str">
            <v>133051222</v>
          </cell>
          <cell r="D26" t="str">
            <v>Test Bench-New-Small 3-510-Mobile System</v>
          </cell>
        </row>
        <row r="27">
          <cell r="C27" t="str">
            <v>14000011-6</v>
          </cell>
          <cell r="D27" t="str">
            <v>Test Bench-New-Large-6"-Standard-Single</v>
          </cell>
        </row>
        <row r="28">
          <cell r="C28" t="str">
            <v>21001011</v>
          </cell>
          <cell r="D28" t="str">
            <v>Tank-New Single-10 Gallon-Auto-Stainless Steel</v>
          </cell>
        </row>
        <row r="29">
          <cell r="C29" t="str">
            <v>21010011</v>
          </cell>
          <cell r="D29" t="str">
            <v>Tank-Single-100gal-Auto-Stainless Steel</v>
          </cell>
        </row>
        <row r="30">
          <cell r="C30" t="str">
            <v>210100111</v>
          </cell>
          <cell r="D30" t="str">
            <v>Tank-Single-100gal-Auto-Stainless Steel</v>
          </cell>
        </row>
        <row r="31">
          <cell r="C31" t="str">
            <v>210100112</v>
          </cell>
          <cell r="D31" t="str">
            <v>Tank-Single-100gal-Auto-Stainless Steel</v>
          </cell>
        </row>
        <row r="32">
          <cell r="C32" t="str">
            <v>210100113</v>
          </cell>
          <cell r="D32" t="str">
            <v>Tank-Single-100gal-Auto-Stainless Steel</v>
          </cell>
        </row>
        <row r="33">
          <cell r="C33" t="str">
            <v>21050011</v>
          </cell>
          <cell r="D33" t="str">
            <v>Tank-Single-500gal-Auto-Stainless Steel</v>
          </cell>
        </row>
        <row r="34">
          <cell r="C34" t="str">
            <v>210500112</v>
          </cell>
          <cell r="D34" t="str">
            <v>Tank-Single-500gal-Auto-Stainless Steel</v>
          </cell>
        </row>
        <row r="35">
          <cell r="C35" t="str">
            <v>21250011</v>
          </cell>
          <cell r="D35" t="str">
            <v>Tank - 2500gal - Auto - Stainless Steel</v>
          </cell>
        </row>
        <row r="36">
          <cell r="C36" t="str">
            <v>22010011</v>
          </cell>
          <cell r="D36" t="str">
            <v>Tank-Duplex-100gal-Auto-Stainless Steel</v>
          </cell>
        </row>
        <row r="37">
          <cell r="C37" t="str">
            <v>220100212</v>
          </cell>
          <cell r="D37" t="str">
            <v>Tank-Duplex-100gal-Manual-Stainless Steel</v>
          </cell>
        </row>
        <row r="38">
          <cell r="C38" t="str">
            <v>2264182</v>
          </cell>
          <cell r="D38" t="str">
            <v>VF4 Recalibration</v>
          </cell>
        </row>
        <row r="39">
          <cell r="C39" t="str">
            <v>252941WH</v>
          </cell>
          <cell r="D39" t="str">
            <v>Screen Sand Trap Strainer  6</v>
          </cell>
        </row>
        <row r="40">
          <cell r="C40" t="str">
            <v>252943WH</v>
          </cell>
          <cell r="D40" t="str">
            <v>Screen Sand Trap Strainer 8</v>
          </cell>
        </row>
        <row r="41">
          <cell r="C41" t="str">
            <v>300006WH</v>
          </cell>
          <cell r="D41" t="str">
            <v>Large Bench Kit - 8" Standard</v>
          </cell>
        </row>
        <row r="42">
          <cell r="C42" t="str">
            <v>300021E</v>
          </cell>
          <cell r="D42" t="str">
            <v>Scale Cable</v>
          </cell>
        </row>
        <row r="43">
          <cell r="C43" t="str">
            <v>300031WH</v>
          </cell>
          <cell r="D43" t="str">
            <v>Plate Mtg Pump 12X13.5X3/8</v>
          </cell>
        </row>
        <row r="44">
          <cell r="C44" t="str">
            <v>300046WH</v>
          </cell>
          <cell r="D44" t="str">
            <v>Large Bench Ram 8 Kit</v>
          </cell>
        </row>
        <row r="45">
          <cell r="C45" t="str">
            <v>31030020</v>
          </cell>
          <cell r="D45" t="str">
            <v>TB Recirculation System-1 Bench-300gal Poly</v>
          </cell>
        </row>
        <row r="46">
          <cell r="C46" t="str">
            <v>310300202</v>
          </cell>
          <cell r="D46" t="str">
            <v>TB Recirculation System-1 Bench-300gal Poly</v>
          </cell>
        </row>
        <row r="47">
          <cell r="C47" t="str">
            <v>310300203</v>
          </cell>
          <cell r="D47" t="str">
            <v>TB Recirculation System-1 Bench-300gal Poly</v>
          </cell>
        </row>
        <row r="48">
          <cell r="C48" t="str">
            <v>310300301</v>
          </cell>
          <cell r="D48" t="str">
            <v>TB Recirculation System-1 Bench-300gal Poly</v>
          </cell>
        </row>
        <row r="49">
          <cell r="C49" t="str">
            <v>31080020</v>
          </cell>
          <cell r="D49" t="str">
            <v>TB Recirculation System-1 Bench- Poly Tank</v>
          </cell>
        </row>
        <row r="50">
          <cell r="C50" t="str">
            <v>310800202</v>
          </cell>
          <cell r="D50" t="str">
            <v>TB Recirculation System-1 Bench- Poly Tank</v>
          </cell>
        </row>
        <row r="51">
          <cell r="C51" t="str">
            <v>310800301</v>
          </cell>
          <cell r="D51" t="str">
            <v>TB Recirculation System-1 Bench-825gal Poly</v>
          </cell>
        </row>
        <row r="52">
          <cell r="C52" t="str">
            <v>310800302</v>
          </cell>
          <cell r="D52" t="str">
            <v>TB Recirculation System-1 Bench-825gal Poly</v>
          </cell>
        </row>
        <row r="53">
          <cell r="C53" t="str">
            <v>32400060</v>
          </cell>
          <cell r="D53" t="str">
            <v>TB Recirculation System-2 Bench- Poly Tank</v>
          </cell>
        </row>
        <row r="54">
          <cell r="C54" t="str">
            <v>373922WH</v>
          </cell>
          <cell r="D54" t="str">
            <v>Spool 1.5 FLNG Oval Brz X 13</v>
          </cell>
        </row>
        <row r="55">
          <cell r="C55" t="str">
            <v>373931WH</v>
          </cell>
          <cell r="D55" t="str">
            <v>Spool 2 FLNG Oval CI X 17</v>
          </cell>
        </row>
        <row r="56">
          <cell r="C56" t="str">
            <v>394060WH</v>
          </cell>
          <cell r="D56" t="str">
            <v>VF4 Head Bracket</v>
          </cell>
        </row>
        <row r="57">
          <cell r="C57" t="str">
            <v>400166WH</v>
          </cell>
          <cell r="D57" t="str">
            <v>FLNG 2.5 Thd 150# Coated</v>
          </cell>
        </row>
        <row r="58">
          <cell r="C58" t="str">
            <v>400168WH</v>
          </cell>
          <cell r="D58" t="str">
            <v>FLNG 2 CI Comp. 300Lb Coated</v>
          </cell>
        </row>
        <row r="59">
          <cell r="C59" t="str">
            <v>400203E</v>
          </cell>
          <cell r="D59" t="str">
            <v>Console Power Cord Assembly</v>
          </cell>
        </row>
        <row r="60">
          <cell r="C60" t="str">
            <v>400207WH</v>
          </cell>
          <cell r="D60" t="str">
            <v>Starter Box Stand</v>
          </cell>
        </row>
        <row r="61">
          <cell r="C61" t="str">
            <v>400237WH</v>
          </cell>
          <cell r="D61" t="str">
            <v>Bench Restraint</v>
          </cell>
        </row>
        <row r="62">
          <cell r="C62" t="str">
            <v>400257WH</v>
          </cell>
          <cell r="D62" t="str">
            <v>VF4 Fabricated Cart Only</v>
          </cell>
        </row>
        <row r="63">
          <cell r="C63" t="str">
            <v>4005140E</v>
          </cell>
          <cell r="D63" t="str">
            <v>Console 24 Complete W/ Writin</v>
          </cell>
        </row>
        <row r="64">
          <cell r="C64" t="str">
            <v>400537WH</v>
          </cell>
          <cell r="D64" t="str">
            <v>Truck Tester Control Box</v>
          </cell>
        </row>
        <row r="65">
          <cell r="C65" t="str">
            <v>400538E</v>
          </cell>
          <cell r="D65" t="str">
            <v>Mun-200 Control Box-1Row, Gallon</v>
          </cell>
        </row>
        <row r="66">
          <cell r="C66" t="str">
            <v>400908E</v>
          </cell>
          <cell r="D66" t="str">
            <v>Mars-Uni-10 Cont &amp; Relay Assem</v>
          </cell>
        </row>
        <row r="67">
          <cell r="C67" t="str">
            <v>400910LT</v>
          </cell>
          <cell r="D67" t="str">
            <v>Series 100 Test Bench Less Tank400905WH</v>
          </cell>
        </row>
        <row r="68">
          <cell r="C68" t="str">
            <v>401030WH</v>
          </cell>
          <cell r="D68" t="str">
            <v>200 Lb Deck Scale Kit</v>
          </cell>
        </row>
        <row r="69">
          <cell r="C69" t="str">
            <v>401031WH</v>
          </cell>
          <cell r="D69" t="str">
            <v>1000 Lb Deck Scale Kit</v>
          </cell>
        </row>
        <row r="70">
          <cell r="C70" t="str">
            <v>401032WH</v>
          </cell>
          <cell r="D70" t="str">
            <v>5000 Lb Deck Scale Kit</v>
          </cell>
        </row>
        <row r="71">
          <cell r="C71" t="str">
            <v>4012067E</v>
          </cell>
          <cell r="D71" t="str">
            <v>Additional Scale Card 52959-1026 For Three Scales</v>
          </cell>
        </row>
        <row r="72">
          <cell r="C72" t="str">
            <v>434002E</v>
          </cell>
          <cell r="D72" t="str">
            <v>Junction Box, Large Bench</v>
          </cell>
        </row>
        <row r="73">
          <cell r="C73" t="str">
            <v>434026WH</v>
          </cell>
          <cell r="D73" t="str">
            <v>Spool Rack W/Poly Wheel Casters</v>
          </cell>
        </row>
        <row r="74">
          <cell r="C74" t="str">
            <v>434101WH</v>
          </cell>
          <cell r="D74" t="str">
            <v>Chlorinator Stand Large</v>
          </cell>
        </row>
        <row r="75">
          <cell r="C75" t="str">
            <v>434300E</v>
          </cell>
          <cell r="D75" t="str">
            <v>Console Umbilical</v>
          </cell>
        </row>
        <row r="76">
          <cell r="C76" t="str">
            <v>434313WH</v>
          </cell>
          <cell r="D76" t="str">
            <v>Tank Std SS 500Gal Assy Auto</v>
          </cell>
        </row>
        <row r="77">
          <cell r="C77" t="str">
            <v>434376E</v>
          </cell>
          <cell r="D77" t="str">
            <v>Console Wire Harness (Kit)</v>
          </cell>
        </row>
        <row r="78">
          <cell r="C78" t="str">
            <v>434378E</v>
          </cell>
          <cell r="D78" t="str">
            <v>Hydraulic Control Box</v>
          </cell>
        </row>
        <row r="79">
          <cell r="C79" t="str">
            <v>434387WH</v>
          </cell>
          <cell r="D79" t="str">
            <v>Computer Comm Cable Assem</v>
          </cell>
        </row>
        <row r="80">
          <cell r="C80" t="str">
            <v>434400E</v>
          </cell>
          <cell r="D80" t="str">
            <v>Universal Back Plate</v>
          </cell>
        </row>
        <row r="81">
          <cell r="C81" t="str">
            <v>434401WH</v>
          </cell>
          <cell r="D81" t="str">
            <v>Stand Tank  100 Gal</v>
          </cell>
        </row>
        <row r="82">
          <cell r="C82" t="str">
            <v>434414WH</v>
          </cell>
          <cell r="D82" t="str">
            <v>Tank Std SS 500Gal 52OD Fab Per Dwg 434414Wh</v>
          </cell>
        </row>
        <row r="83">
          <cell r="C83" t="str">
            <v>434420WH</v>
          </cell>
          <cell r="D83" t="str">
            <v>Bullhorn Assy Dual Tank</v>
          </cell>
        </row>
        <row r="84">
          <cell r="C84" t="str">
            <v>434426WH</v>
          </cell>
          <cell r="D84" t="str">
            <v>Full Rotometer Assy Mun200</v>
          </cell>
        </row>
        <row r="85">
          <cell r="C85" t="str">
            <v>434428WH</v>
          </cell>
          <cell r="D85" t="str">
            <v>Large Bench Rotometer Meter Assembl</v>
          </cell>
        </row>
        <row r="86">
          <cell r="C86" t="str">
            <v>434430WH</v>
          </cell>
          <cell r="D86" t="str">
            <v>Full Rotometer Assy Auto</v>
          </cell>
        </row>
        <row r="87">
          <cell r="C87" t="str">
            <v>434450WH</v>
          </cell>
          <cell r="D87" t="str">
            <v>Dump Assembly 2</v>
          </cell>
        </row>
        <row r="88">
          <cell r="C88" t="str">
            <v>434599WH</v>
          </cell>
          <cell r="D88" t="str">
            <v>Mun-200 Probes Cuft Only</v>
          </cell>
        </row>
        <row r="89">
          <cell r="C89" t="str">
            <v>434635WH</v>
          </cell>
          <cell r="D89" t="str">
            <v>Meter Trollies</v>
          </cell>
        </row>
        <row r="90">
          <cell r="C90" t="str">
            <v>434641WH</v>
          </cell>
          <cell r="D90" t="str">
            <v>1.5 - 2 Drive Bar Complete</v>
          </cell>
        </row>
        <row r="91">
          <cell r="C91" t="str">
            <v>434642WH</v>
          </cell>
          <cell r="D91" t="str">
            <v>Carrier Bar Compl 5/8X1 14Lg</v>
          </cell>
        </row>
        <row r="92">
          <cell r="C92" t="str">
            <v>434644WH</v>
          </cell>
          <cell r="D92" t="str">
            <v>5/8 - 1 Drive Bar Complete</v>
          </cell>
        </row>
        <row r="93">
          <cell r="C93" t="str">
            <v>434725WH</v>
          </cell>
          <cell r="D93" t="str">
            <v>Tank Std SS Duplex Assy Manual Manual With Ball Valves</v>
          </cell>
        </row>
        <row r="94">
          <cell r="C94" t="str">
            <v>434727WH</v>
          </cell>
          <cell r="D94" t="str">
            <v>Tank Std SS 100Gal Assy Auto</v>
          </cell>
        </row>
        <row r="95">
          <cell r="C95" t="str">
            <v>434731WH</v>
          </cell>
          <cell r="D95" t="str">
            <v>Tank Std SS  10Gal Assy Auto</v>
          </cell>
        </row>
        <row r="96">
          <cell r="C96" t="str">
            <v>434747WH</v>
          </cell>
          <cell r="D96" t="str">
            <v>Tank Std SS Duplex Assy Auto Duplex Complete With Auto Valves</v>
          </cell>
        </row>
        <row r="97">
          <cell r="C97" t="str">
            <v>434807WH</v>
          </cell>
          <cell r="D97" t="str">
            <v>Chlorinator Stand Small</v>
          </cell>
        </row>
        <row r="98">
          <cell r="C98" t="str">
            <v>435000WH</v>
          </cell>
          <cell r="D98" t="str">
            <v>Carrier Bar Kit C-715 14 Std (5/8-1)</v>
          </cell>
        </row>
        <row r="99">
          <cell r="C99" t="str">
            <v>435001WH</v>
          </cell>
          <cell r="D99" t="str">
            <v>Carrier Bar Kit C-715 14 Adv</v>
          </cell>
        </row>
        <row r="100">
          <cell r="C100" t="str">
            <v>435002WH</v>
          </cell>
          <cell r="D100" t="str">
            <v>Carrier Bar Kit C-715 19 - NO PIN</v>
          </cell>
        </row>
        <row r="101">
          <cell r="C101" t="str">
            <v>435003WH</v>
          </cell>
          <cell r="D101" t="str">
            <v>Adapter Kit 5/8 C-715</v>
          </cell>
        </row>
        <row r="102">
          <cell r="C102" t="str">
            <v>435004WH</v>
          </cell>
          <cell r="D102" t="str">
            <v>Adapter Kit 3/4 C-715</v>
          </cell>
        </row>
        <row r="103">
          <cell r="C103" t="str">
            <v>435005WH</v>
          </cell>
          <cell r="D103" t="str">
            <v>Adapter Kit 1 C-715</v>
          </cell>
        </row>
        <row r="104">
          <cell r="C104" t="str">
            <v>435006WH</v>
          </cell>
          <cell r="D104" t="str">
            <v>Adapter Kit 1.5 Thd'D C-715</v>
          </cell>
        </row>
        <row r="105">
          <cell r="C105" t="str">
            <v>435007WH</v>
          </cell>
          <cell r="D105" t="str">
            <v>Adapter Kit 2 Thd'D C-715</v>
          </cell>
        </row>
        <row r="106">
          <cell r="C106" t="str">
            <v>435008WH</v>
          </cell>
          <cell r="D106" t="str">
            <v>Adapter Kit 2 FLNG'D C-715</v>
          </cell>
        </row>
        <row r="107">
          <cell r="C107" t="str">
            <v>435009WH</v>
          </cell>
          <cell r="D107" t="str">
            <v>Adapter Kit Fgld X Thd'D C-715</v>
          </cell>
        </row>
        <row r="108">
          <cell r="C108" t="str">
            <v>435010WH</v>
          </cell>
          <cell r="D108" t="str">
            <v>Carrier Bar Kit C-715 14 Adv(5/8-1 Only) No SS Bar Pin</v>
          </cell>
        </row>
        <row r="109">
          <cell r="C109" t="str">
            <v>435011WH</v>
          </cell>
          <cell r="D109" t="str">
            <v>Carrier Bar Kit C-715 19 Adv-FLNG 19 Long</v>
          </cell>
        </row>
        <row r="110">
          <cell r="C110" t="str">
            <v>435013WH</v>
          </cell>
          <cell r="D110" t="str">
            <v>Adapter 1.5In Int Thd'D Kit</v>
          </cell>
        </row>
        <row r="111">
          <cell r="C111" t="str">
            <v>435014WH</v>
          </cell>
          <cell r="D111" t="str">
            <v>Adapter 2In Internal Thd'D Kit</v>
          </cell>
        </row>
        <row r="112">
          <cell r="C112" t="str">
            <v>435100WH</v>
          </cell>
          <cell r="D112" t="str">
            <v>Bench Actuator Kit - No Brake</v>
          </cell>
        </row>
        <row r="113">
          <cell r="C113" t="str">
            <v>476011WH</v>
          </cell>
          <cell r="D113" t="str">
            <v>Straightening Vane Assy SS  3</v>
          </cell>
        </row>
        <row r="114">
          <cell r="C114" t="str">
            <v>476012WH</v>
          </cell>
          <cell r="D114" t="str">
            <v>Straightening Vane Assy SS  4</v>
          </cell>
        </row>
        <row r="115">
          <cell r="C115" t="str">
            <v>476013WH</v>
          </cell>
          <cell r="D115" t="str">
            <v>Straightening Vane Assy SS  6</v>
          </cell>
        </row>
        <row r="116">
          <cell r="C116" t="str">
            <v>476014WH</v>
          </cell>
          <cell r="D116" t="str">
            <v>Straightening Vane Assy SS  8</v>
          </cell>
        </row>
        <row r="117">
          <cell r="C117" t="str">
            <v>476015WH</v>
          </cell>
          <cell r="D117" t="str">
            <v>Straightening Vane Assy SS 10</v>
          </cell>
        </row>
        <row r="118">
          <cell r="C118" t="str">
            <v>476016WH</v>
          </cell>
          <cell r="D118" t="str">
            <v>Straightening Vane Assy SS 12</v>
          </cell>
        </row>
        <row r="119">
          <cell r="C119" t="str">
            <v>476200WH</v>
          </cell>
          <cell r="D119" t="str">
            <v>Alt Outboard Carrier 5/8X1 With Slot For Draw Bar Off 14 Std Carrier</v>
          </cell>
        </row>
        <row r="120">
          <cell r="C120" t="str">
            <v>476201WH</v>
          </cell>
          <cell r="D120" t="str">
            <v>Dump Assembly ULF-1/2</v>
          </cell>
        </row>
        <row r="121">
          <cell r="C121" t="str">
            <v>476202E</v>
          </cell>
          <cell r="D121" t="str">
            <v>Mun-200 Control Box Bracket</v>
          </cell>
        </row>
        <row r="122">
          <cell r="C122" t="str">
            <v>476205WH</v>
          </cell>
          <cell r="D122" t="str">
            <v>Mun-200 Probes Gal</v>
          </cell>
        </row>
        <row r="123">
          <cell r="C123" t="str">
            <v>476210WH</v>
          </cell>
          <cell r="D123" t="str">
            <v>FLNG Grvd 1 3-AWWA2D</v>
          </cell>
        </row>
        <row r="124">
          <cell r="C124" t="str">
            <v>476211WH</v>
          </cell>
          <cell r="D124" t="str">
            <v>FLNG Grvd 2 3-AWWA2D</v>
          </cell>
        </row>
        <row r="125">
          <cell r="C125" t="str">
            <v>476212WH</v>
          </cell>
          <cell r="D125" t="str">
            <v>FLNG Grvd 1 4-AWWA2D</v>
          </cell>
        </row>
        <row r="126">
          <cell r="C126" t="str">
            <v>476213WH</v>
          </cell>
          <cell r="D126" t="str">
            <v>FLNG Grvd 2 4-AWWA2D</v>
          </cell>
        </row>
        <row r="127">
          <cell r="C127" t="str">
            <v>476214WH</v>
          </cell>
          <cell r="D127" t="str">
            <v>FLNG Grvd 1 6-AWWA2D</v>
          </cell>
        </row>
        <row r="128">
          <cell r="C128" t="str">
            <v>476215WH</v>
          </cell>
          <cell r="D128" t="str">
            <v>FLNG Grvd 2 6-AWWA2D</v>
          </cell>
        </row>
        <row r="129">
          <cell r="C129" t="str">
            <v>476216WH</v>
          </cell>
          <cell r="D129" t="str">
            <v>FLNG Grvd 1 8-AWWA2D</v>
          </cell>
        </row>
        <row r="130">
          <cell r="C130" t="str">
            <v>476217WH</v>
          </cell>
          <cell r="D130" t="str">
            <v>FLNG Grvd 2 8-AWWA2D</v>
          </cell>
        </row>
        <row r="131">
          <cell r="C131" t="str">
            <v>476218WH</v>
          </cell>
          <cell r="D131" t="str">
            <v>FLNG Grvd 1 10-AWWA2D</v>
          </cell>
        </row>
        <row r="132">
          <cell r="C132" t="str">
            <v>476219WH</v>
          </cell>
          <cell r="D132" t="str">
            <v>FLNG Grvd 2 10-AWWA2D</v>
          </cell>
        </row>
        <row r="133">
          <cell r="C133" t="str">
            <v>476220WH</v>
          </cell>
          <cell r="D133" t="str">
            <v>Pipe Stub 8 Strainer(3 Length)</v>
          </cell>
        </row>
        <row r="134">
          <cell r="C134" t="str">
            <v>476221WH</v>
          </cell>
          <cell r="D134" t="str">
            <v>Pipe Stub 8 Strainer - Long(3.5 Length)</v>
          </cell>
        </row>
        <row r="135">
          <cell r="C135" t="str">
            <v>476222WH</v>
          </cell>
          <cell r="D135" t="str">
            <v>Pipe Stub 10 Strainer</v>
          </cell>
        </row>
        <row r="136">
          <cell r="C136" t="str">
            <v>476223WH</v>
          </cell>
          <cell r="D136" t="str">
            <v>Universal Supply End</v>
          </cell>
        </row>
        <row r="137">
          <cell r="C137" t="str">
            <v>476224WH</v>
          </cell>
          <cell r="D137" t="str">
            <v>Universal Discharge End</v>
          </cell>
        </row>
        <row r="138">
          <cell r="C138" t="str">
            <v>476225WH</v>
          </cell>
          <cell r="D138" t="str">
            <v>Crossover 5-1010</v>
          </cell>
        </row>
        <row r="139">
          <cell r="C139" t="str">
            <v>476226WH</v>
          </cell>
          <cell r="D139" t="str">
            <v>Crossover 2400/2410</v>
          </cell>
        </row>
        <row r="140">
          <cell r="C140" t="str">
            <v>476228WH</v>
          </cell>
          <cell r="D140" t="str">
            <v>14 Adv Drive Bar Complete</v>
          </cell>
        </row>
        <row r="141">
          <cell r="C141" t="str">
            <v>476232WH</v>
          </cell>
          <cell r="D141" t="str">
            <v>Lid-Strainer 6</v>
          </cell>
        </row>
        <row r="142">
          <cell r="C142" t="str">
            <v>476233WH</v>
          </cell>
          <cell r="D142" t="str">
            <v>Lid-Strainer 8</v>
          </cell>
        </row>
        <row r="143">
          <cell r="C143" t="str">
            <v>476234WH</v>
          </cell>
          <cell r="D143" t="str">
            <v>Lid - Strainer 10</v>
          </cell>
        </row>
        <row r="144">
          <cell r="C144" t="str">
            <v>476235WH</v>
          </cell>
          <cell r="D144" t="str">
            <v>Lid - Strainer 12</v>
          </cell>
        </row>
        <row r="145">
          <cell r="C145" t="str">
            <v>476236WH</v>
          </cell>
          <cell r="D145" t="str">
            <v>Roller Kit - Large Bench</v>
          </cell>
        </row>
        <row r="146">
          <cell r="C146" t="str">
            <v>476237WH</v>
          </cell>
          <cell r="D146" t="str">
            <v>Valve Ball 2 W/Act-Mid Dyna</v>
          </cell>
        </row>
        <row r="147">
          <cell r="C147" t="str">
            <v>476267WH</v>
          </cell>
          <cell r="D147" t="str">
            <v>Supply End Single Row Grav</v>
          </cell>
        </row>
        <row r="148">
          <cell r="C148" t="str">
            <v>476268WH</v>
          </cell>
          <cell r="D148" t="str">
            <v>Supply End Single Row Vol</v>
          </cell>
        </row>
        <row r="149">
          <cell r="C149" t="str">
            <v>476274WH</v>
          </cell>
          <cell r="D149" t="str">
            <v>Tank Std SS 10Gal Assy Manual</v>
          </cell>
        </row>
        <row r="150">
          <cell r="C150" t="str">
            <v>476275WH</v>
          </cell>
          <cell r="D150" t="str">
            <v>Tank Std SS 100Gal Assy Manual</v>
          </cell>
        </row>
        <row r="151">
          <cell r="C151" t="str">
            <v>476278WH</v>
          </cell>
          <cell r="D151" t="str">
            <v>4X2.5 Reducing Companion FLNG Coated</v>
          </cell>
        </row>
        <row r="152">
          <cell r="C152" t="str">
            <v>476285WH</v>
          </cell>
          <cell r="D152" t="str">
            <v>Adpt Reducer 2X1 Brz W/Oring Kit</v>
          </cell>
        </row>
        <row r="153">
          <cell r="C153" t="str">
            <v>476290WH</v>
          </cell>
          <cell r="D153" t="str">
            <v>1/8 Diamond Plate 20X20 Pc</v>
          </cell>
        </row>
        <row r="154">
          <cell r="C154" t="str">
            <v>476298WH</v>
          </cell>
          <cell r="D154" t="str">
            <v>FLNG Adpt Reducer Eccentric 3 X 2</v>
          </cell>
        </row>
        <row r="155">
          <cell r="C155" t="str">
            <v>476299WH</v>
          </cell>
          <cell r="D155" t="str">
            <v>Adpt Reducer Eccentric 3X2 Kit (SET)</v>
          </cell>
        </row>
        <row r="156">
          <cell r="C156" t="str">
            <v>476315WH</v>
          </cell>
          <cell r="D156" t="str">
            <v>Adpt 1.5 Tapped Meter C715 Kit</v>
          </cell>
        </row>
        <row r="157">
          <cell r="C157" t="str">
            <v>476316WH</v>
          </cell>
          <cell r="D157" t="str">
            <v>Adpt 2.0 Tapped Meter C715 Kit</v>
          </cell>
        </row>
        <row r="158">
          <cell r="C158" t="str">
            <v>476326WH</v>
          </cell>
          <cell r="D158" t="str">
            <v>Large Bench Weight Stands</v>
          </cell>
        </row>
        <row r="159">
          <cell r="C159" t="str">
            <v>476329WH</v>
          </cell>
          <cell r="D159" t="str">
            <v>VF4 Reset Switch Kit</v>
          </cell>
        </row>
        <row r="160">
          <cell r="C160" t="str">
            <v>476336SW</v>
          </cell>
          <cell r="D160" t="str">
            <v>Power Cord - 120 V 42"</v>
          </cell>
        </row>
        <row r="161">
          <cell r="C161" t="str">
            <v>476341WH</v>
          </cell>
          <cell r="D161" t="str">
            <v>Wire Signal VF4 Totalizer</v>
          </cell>
        </row>
        <row r="162">
          <cell r="C162" t="str">
            <v>476345E</v>
          </cell>
          <cell r="D162" t="str">
            <v>Staged Valve Opening Kit</v>
          </cell>
        </row>
        <row r="163">
          <cell r="C163" t="str">
            <v>476391WH</v>
          </cell>
          <cell r="D163" t="str">
            <v>FLNG Thd 150# 3 Coated</v>
          </cell>
        </row>
        <row r="164">
          <cell r="C164" t="str">
            <v>476398WH</v>
          </cell>
          <cell r="D164" t="str">
            <v>Spool 2 FLNG Oval Stl X 13</v>
          </cell>
        </row>
        <row r="165">
          <cell r="C165" t="str">
            <v>476399WH</v>
          </cell>
          <cell r="D165" t="str">
            <v>Spool 2 FLNG Oval Stl X 17</v>
          </cell>
        </row>
        <row r="166">
          <cell r="C166" t="str">
            <v>476400WH</v>
          </cell>
          <cell r="D166" t="str">
            <v>VF-10 Frame Truck Tester</v>
          </cell>
        </row>
        <row r="167">
          <cell r="C167" t="str">
            <v>476401WH</v>
          </cell>
          <cell r="D167" t="str">
            <v>Mun-200 Probes Gal (10gal)</v>
          </cell>
        </row>
        <row r="168">
          <cell r="C168" t="str">
            <v>476402WH</v>
          </cell>
          <cell r="D168" t="str">
            <v>Adpt Brz 1 w/Gskt  Kit</v>
          </cell>
        </row>
        <row r="169">
          <cell r="C169" t="str">
            <v>476403WH</v>
          </cell>
          <cell r="D169" t="str">
            <v>Adpt Brz 3/4 w/Gskt  Kit</v>
          </cell>
        </row>
        <row r="170">
          <cell r="C170" t="str">
            <v>476404WH</v>
          </cell>
          <cell r="D170" t="str">
            <v>Adpt Brz 5/8 w/Gskt  Kit</v>
          </cell>
        </row>
        <row r="171">
          <cell r="C171" t="str">
            <v>476411WH</v>
          </cell>
          <cell r="D171" t="str">
            <v>VF-10 Compl</v>
          </cell>
        </row>
        <row r="172">
          <cell r="C172" t="str">
            <v>476412WH</v>
          </cell>
          <cell r="D172" t="str">
            <v>VF-10 Tester</v>
          </cell>
        </row>
        <row r="173">
          <cell r="C173" t="str">
            <v>476413WH</v>
          </cell>
          <cell r="D173" t="str">
            <v>VF-10 Inlet Spool</v>
          </cell>
        </row>
        <row r="174">
          <cell r="C174" t="str">
            <v>476414WH</v>
          </cell>
          <cell r="D174" t="str">
            <v>VF-10 U-Spool</v>
          </cell>
        </row>
        <row r="175">
          <cell r="C175" t="str">
            <v>476415WH</v>
          </cell>
          <cell r="D175" t="str">
            <v>VF-10 Outlet Spool</v>
          </cell>
        </row>
        <row r="176">
          <cell r="C176" t="str">
            <v>476416E</v>
          </cell>
          <cell r="D176" t="str">
            <v>VF-10 Control Box</v>
          </cell>
        </row>
        <row r="177">
          <cell r="C177" t="str">
            <v>476424WH</v>
          </cell>
          <cell r="D177" t="str">
            <v>Gravity Feed Assy PVC 4-Sch80</v>
          </cell>
        </row>
        <row r="178">
          <cell r="C178" t="str">
            <v>476426WH</v>
          </cell>
          <cell r="D178" t="str">
            <v>VF-10 Copper Tester Kit</v>
          </cell>
        </row>
        <row r="179">
          <cell r="C179" t="str">
            <v>476438WH</v>
          </cell>
          <cell r="D179" t="str">
            <v>Shell Rolled Assy 500gal SS</v>
          </cell>
        </row>
        <row r="180">
          <cell r="C180" t="str">
            <v>476454WH</v>
          </cell>
          <cell r="D180" t="str">
            <v>Gravity Feed Copper Kit - (h type)</v>
          </cell>
        </row>
        <row r="181">
          <cell r="C181" t="str">
            <v>476455WH</v>
          </cell>
          <cell r="D181" t="str">
            <v>Gravity Feed Copper Kit - (H type)</v>
          </cell>
        </row>
        <row r="182">
          <cell r="C182" t="str">
            <v>476460WH</v>
          </cell>
          <cell r="D182" t="str">
            <v>825gal Poly Stacker Pump Supply Kit</v>
          </cell>
        </row>
        <row r="183">
          <cell r="C183" t="str">
            <v>476461WH</v>
          </cell>
          <cell r="D183" t="str">
            <v>825gal Poly Stacker Pump Discharge Kit</v>
          </cell>
        </row>
        <row r="184">
          <cell r="C184" t="str">
            <v>476468WH</v>
          </cell>
          <cell r="D184" t="str">
            <v>Crossover 6-1210</v>
          </cell>
        </row>
        <row r="185">
          <cell r="C185" t="str">
            <v>476470WH</v>
          </cell>
          <cell r="D185" t="str">
            <v>Pipe Stub 12" Strainer</v>
          </cell>
        </row>
        <row r="186">
          <cell r="C186" t="str">
            <v>476514WH</v>
          </cell>
          <cell r="D186" t="str">
            <v>Pump Base, Fab, Universal, 10SV &amp; 33SV Pumps w/VFD Stand</v>
          </cell>
        </row>
        <row r="187">
          <cell r="C187" t="str">
            <v>476517WH</v>
          </cell>
          <cell r="D187" t="str">
            <v>Carrier Bar 11 Poly Machined - Old Style</v>
          </cell>
        </row>
        <row r="188">
          <cell r="C188" t="str">
            <v>476523E</v>
          </cell>
          <cell r="D188" t="str">
            <v>Temp Sensor Cable Assembly</v>
          </cell>
        </row>
        <row r="189">
          <cell r="C189" t="str">
            <v>476586WH</v>
          </cell>
          <cell r="D189" t="str">
            <v>FLNG 4X3 NPT Steel Red Thd'd Coated</v>
          </cell>
        </row>
        <row r="190">
          <cell r="C190" t="str">
            <v>476594WH</v>
          </cell>
          <cell r="D190" t="str">
            <v>Lid - Strainer 3 &amp; 4</v>
          </cell>
        </row>
        <row r="191">
          <cell r="C191" t="str">
            <v>476598WH</v>
          </cell>
          <cell r="D191" t="str">
            <v>Adpt 3 90 LR Male- Truck Tester</v>
          </cell>
        </row>
        <row r="192">
          <cell r="C192" t="str">
            <v>476599WH</v>
          </cell>
          <cell r="D192" t="str">
            <v>Adpt 3 90 LR Female (Swivel) - Truck Tester</v>
          </cell>
        </row>
        <row r="193">
          <cell r="C193" t="str">
            <v>477122WH</v>
          </cell>
          <cell r="D193" t="str">
            <v>Hydrant Diffuser 4 X 8 Outle</v>
          </cell>
        </row>
        <row r="194">
          <cell r="C194" t="str">
            <v>477248WH</v>
          </cell>
          <cell r="D194" t="str">
            <v>FLNG Alignment Spacer 3</v>
          </cell>
        </row>
        <row r="195">
          <cell r="C195" t="str">
            <v>477249WH</v>
          </cell>
          <cell r="D195" t="str">
            <v>FLNG Alignment Spacer 4</v>
          </cell>
        </row>
        <row r="196">
          <cell r="C196" t="str">
            <v>477250WH</v>
          </cell>
          <cell r="D196" t="str">
            <v>FLNG Alignment Spacer 6</v>
          </cell>
        </row>
        <row r="197">
          <cell r="C197" t="str">
            <v>477251WH</v>
          </cell>
          <cell r="D197" t="str">
            <v>FLNG Alignment Spacer 8</v>
          </cell>
        </row>
        <row r="198">
          <cell r="C198" t="str">
            <v>477252WH</v>
          </cell>
          <cell r="D198" t="str">
            <v>FLNG Alignment Spacer 10</v>
          </cell>
        </row>
        <row r="199">
          <cell r="C199" t="str">
            <v>477257WH</v>
          </cell>
          <cell r="D199" t="str">
            <v>Reducer Spool 10 X 8 Flgd Grooved Coated</v>
          </cell>
        </row>
        <row r="200">
          <cell r="C200" t="str">
            <v>477281E</v>
          </cell>
          <cell r="D200" t="str">
            <v>Console Scale Cable Assembly</v>
          </cell>
        </row>
        <row r="201">
          <cell r="C201" t="str">
            <v>477283WH</v>
          </cell>
          <cell r="D201" t="str">
            <v>Kit Gskt&amp;Bolt 1.5 Oval FLNG SST Hardware</v>
          </cell>
        </row>
        <row r="202">
          <cell r="C202" t="str">
            <v>477284WH</v>
          </cell>
          <cell r="D202" t="str">
            <v>Kit Gskt&amp;Bolt 2 Oval FLNG SST Hardware</v>
          </cell>
        </row>
        <row r="203">
          <cell r="C203" t="str">
            <v>477285WH</v>
          </cell>
          <cell r="D203" t="str">
            <v>Kit Chlorinator Small (Series)</v>
          </cell>
        </row>
        <row r="204">
          <cell r="C204" t="str">
            <v>477286WH</v>
          </cell>
          <cell r="D204" t="str">
            <v>Kit Chlorinator Large</v>
          </cell>
        </row>
        <row r="205">
          <cell r="C205" t="str">
            <v>477319E</v>
          </cell>
          <cell r="D205" t="str">
            <v>Mun-200 Control Box-2 Row, Gallons Only</v>
          </cell>
        </row>
        <row r="206">
          <cell r="C206" t="str">
            <v>477386E</v>
          </cell>
          <cell r="D206" t="str">
            <v>Console Universal w/PLC</v>
          </cell>
        </row>
        <row r="207">
          <cell r="C207" t="str">
            <v>477391E</v>
          </cell>
          <cell r="D207" t="str">
            <v>Junction Box Small Bench</v>
          </cell>
        </row>
        <row r="208">
          <cell r="C208" t="str">
            <v>477392WH</v>
          </cell>
          <cell r="D208" t="str">
            <v>3" Fire Hydrant Meter Adapter - Oval 2MNPTx2.5MNST Bushing</v>
          </cell>
        </row>
        <row r="209">
          <cell r="C209" t="str">
            <v>477393WH</v>
          </cell>
          <cell r="D209" t="str">
            <v>3" Fire Hydrant Meter Adapter - Oval 2NPTx2.5Ns Swivel</v>
          </cell>
        </row>
        <row r="210">
          <cell r="C210" t="str">
            <v>477417WH</v>
          </cell>
          <cell r="D210" t="str">
            <v>Foot Pad CS 5X8X3/8</v>
          </cell>
        </row>
        <row r="211">
          <cell r="C211" t="str">
            <v>477418WH</v>
          </cell>
          <cell r="D211" t="str">
            <v>Cap Leg C5 2.5X5 304SS</v>
          </cell>
        </row>
        <row r="212">
          <cell r="C212" t="str">
            <v>477434WH</v>
          </cell>
          <cell r="D212" t="str">
            <v>Vortex Breaker 500Gal</v>
          </cell>
        </row>
        <row r="213">
          <cell r="C213" t="str">
            <v>477440WH</v>
          </cell>
          <cell r="D213" t="str">
            <v>Reducer Spool  4 X 3 Flgd Grooved Coated</v>
          </cell>
        </row>
        <row r="214">
          <cell r="C214" t="str">
            <v>477464WH</v>
          </cell>
          <cell r="D214" t="str">
            <v>Kit Rotometer ULF</v>
          </cell>
        </row>
        <row r="215">
          <cell r="C215" t="str">
            <v>477534WH</v>
          </cell>
          <cell r="D215" t="str">
            <v>Tray Drain Assy 14X136  1200/2400</v>
          </cell>
        </row>
        <row r="216">
          <cell r="C216" t="str">
            <v>477545WH</v>
          </cell>
          <cell r="D216" t="str">
            <v>Tray Drain Assy 19X 67.7 3-500</v>
          </cell>
        </row>
        <row r="217">
          <cell r="C217" t="str">
            <v>477549WH</v>
          </cell>
          <cell r="D217" t="str">
            <v>Tray Drain Assy 19X113 5-1000</v>
          </cell>
        </row>
        <row r="218">
          <cell r="C218" t="str">
            <v>477553WH</v>
          </cell>
          <cell r="D218" t="str">
            <v>Tray Drain Assy Large 120Lg (2) Req'd</v>
          </cell>
        </row>
        <row r="219">
          <cell r="C219" t="str">
            <v>477555WH</v>
          </cell>
          <cell r="D219" t="str">
            <v>Tray Drain Assy 14X113  1000/5-1000</v>
          </cell>
        </row>
        <row r="220">
          <cell r="C220" t="str">
            <v>477592WH</v>
          </cell>
          <cell r="D220" t="str">
            <v>Tank Std SS  10Gal 8OD Fab</v>
          </cell>
        </row>
        <row r="221">
          <cell r="C221" t="str">
            <v>477593WH</v>
          </cell>
          <cell r="D221" t="str">
            <v>Leg Fab SS 2L X 20Lg X 45 Deg</v>
          </cell>
        </row>
        <row r="222">
          <cell r="C222" t="str">
            <v>477594WH</v>
          </cell>
          <cell r="D222" t="str">
            <v>Foot Pad SS 3X3X1/4 10&amp;100 Gal</v>
          </cell>
        </row>
        <row r="223">
          <cell r="C223" t="str">
            <v>477596WH</v>
          </cell>
          <cell r="D223" t="str">
            <v>Leg Assy SS 2Anglex20 10Gal Tank</v>
          </cell>
        </row>
        <row r="224">
          <cell r="C224" t="str">
            <v>477597WH</v>
          </cell>
          <cell r="D224" t="str">
            <v>Ts OD 304SS 8X14Gax59.88</v>
          </cell>
        </row>
        <row r="225">
          <cell r="C225" t="str">
            <v>477611WH</v>
          </cell>
          <cell r="D225" t="str">
            <v>End Chan 39 Dsch 3-500/5-1000</v>
          </cell>
        </row>
        <row r="226">
          <cell r="C226" t="str">
            <v>477612WH</v>
          </cell>
          <cell r="D226" t="str">
            <v>End Chan 39 Sply 3-500/5-1000</v>
          </cell>
        </row>
        <row r="227">
          <cell r="C227" t="str">
            <v>477613WH</v>
          </cell>
          <cell r="D227" t="str">
            <v>Leg Fab Small Bench 2Sq Notched X .188W</v>
          </cell>
        </row>
        <row r="228">
          <cell r="C228" t="str">
            <v>477619WH</v>
          </cell>
          <cell r="D228" t="str">
            <v>Reducer Spool  8 X 4 Flgd Grooved Coated</v>
          </cell>
        </row>
        <row r="229">
          <cell r="C229" t="str">
            <v>477621WH</v>
          </cell>
          <cell r="D229" t="str">
            <v>Pin Alignment SS Half  3- 4FLNG</v>
          </cell>
        </row>
        <row r="230">
          <cell r="C230" t="str">
            <v>477622WH</v>
          </cell>
          <cell r="D230" t="str">
            <v>Pin Alignment SS Half  6- 8FLNG</v>
          </cell>
        </row>
        <row r="231">
          <cell r="C231" t="str">
            <v>477627WH</v>
          </cell>
          <cell r="D231" t="str">
            <v>End Chan 24 Dsch 5000 Bench</v>
          </cell>
        </row>
        <row r="232">
          <cell r="C232" t="str">
            <v>477628WH</v>
          </cell>
          <cell r="D232" t="str">
            <v>End Chan 24 Sply 5000 Bench</v>
          </cell>
        </row>
        <row r="233">
          <cell r="C233" t="str">
            <v>477636WH</v>
          </cell>
          <cell r="D233" t="str">
            <v>Support Roller Large Bench</v>
          </cell>
        </row>
        <row r="234">
          <cell r="C234" t="str">
            <v>477637WH</v>
          </cell>
          <cell r="D234" t="str">
            <v>Support Actuator Large Bench</v>
          </cell>
        </row>
        <row r="235">
          <cell r="C235" t="str">
            <v>477662WH</v>
          </cell>
          <cell r="D235" t="str">
            <v>Base Pump, Fab/VFD Stand 33SV 3</v>
          </cell>
        </row>
        <row r="236">
          <cell r="C236" t="str">
            <v>477672WH</v>
          </cell>
          <cell r="D236" t="str">
            <v>Gusset Fab CS 3X3X.25X45 Deg</v>
          </cell>
        </row>
        <row r="237">
          <cell r="C237" t="str">
            <v>477681WH</v>
          </cell>
          <cell r="D237" t="str">
            <v>Foot Pad Fab CS 4X4X1/4X9/16Hole</v>
          </cell>
        </row>
        <row r="238">
          <cell r="C238" t="str">
            <v>477682WH</v>
          </cell>
          <cell r="D238" t="str">
            <v>Foot Pad Fab CS 4X2X1/4</v>
          </cell>
        </row>
        <row r="239">
          <cell r="C239" t="str">
            <v>477683WH</v>
          </cell>
          <cell r="D239" t="str">
            <v>End Chan 34 Dsch 2400 Bench</v>
          </cell>
        </row>
        <row r="240">
          <cell r="C240" t="str">
            <v>477684WH</v>
          </cell>
          <cell r="D240" t="str">
            <v>End Chan 34 Sply 2400 Bench</v>
          </cell>
        </row>
        <row r="241">
          <cell r="C241" t="str">
            <v>477686WH</v>
          </cell>
          <cell r="D241" t="str">
            <v>Frame Bench Fab  2400 34W</v>
          </cell>
        </row>
        <row r="242">
          <cell r="C242" t="str">
            <v>477696WH</v>
          </cell>
          <cell r="D242" t="str">
            <v>End Chan 18 Sply 500/1000/1200</v>
          </cell>
        </row>
        <row r="243">
          <cell r="C243" t="str">
            <v>477697WH</v>
          </cell>
          <cell r="D243" t="str">
            <v>End Chan 18 Dsch 500/1000/1200</v>
          </cell>
        </row>
        <row r="244">
          <cell r="C244" t="str">
            <v>477699WH</v>
          </cell>
          <cell r="D244" t="str">
            <v>Frame Bench Fab   500 18W</v>
          </cell>
        </row>
        <row r="245">
          <cell r="C245" t="str">
            <v>477700WH</v>
          </cell>
          <cell r="D245" t="str">
            <v>Frame Bench Fab  1000 18W</v>
          </cell>
        </row>
        <row r="246">
          <cell r="C246" t="str">
            <v>477705WH</v>
          </cell>
          <cell r="D246" t="str">
            <v>Tank Std SS 100Gal 26OD Fab</v>
          </cell>
        </row>
        <row r="247">
          <cell r="C247" t="str">
            <v>477710WH</v>
          </cell>
          <cell r="D247" t="str">
            <v>Leg Assy SS 2Anglex16 100Gal Tank</v>
          </cell>
        </row>
        <row r="248">
          <cell r="C248" t="str">
            <v>477712WH</v>
          </cell>
          <cell r="D248" t="str">
            <v>Vortex Breaker 100Gal 26OD Tank</v>
          </cell>
        </row>
        <row r="249">
          <cell r="C249" t="str">
            <v>477715WH</v>
          </cell>
          <cell r="D249" t="str">
            <v>Leg Fab SS 2LX16LgX45 Deg</v>
          </cell>
        </row>
        <row r="250">
          <cell r="C250" t="str">
            <v>477719WH</v>
          </cell>
          <cell r="D250" t="str">
            <v>Frame Bench Fab 1200 18W</v>
          </cell>
        </row>
        <row r="251">
          <cell r="C251" t="str">
            <v>477721WH</v>
          </cell>
          <cell r="D251" t="str">
            <v>Frame Bench Fab 5-1000 39W</v>
          </cell>
        </row>
        <row r="252">
          <cell r="C252" t="str">
            <v>477739WH</v>
          </cell>
          <cell r="D252" t="str">
            <v>Carrier Bar 10 Poly Machined</v>
          </cell>
        </row>
        <row r="253">
          <cell r="C253" t="str">
            <v>477742WH</v>
          </cell>
          <cell r="D253" t="str">
            <v>Base Pump, Fab/VFD Stand 10&amp;33S</v>
          </cell>
        </row>
        <row r="254">
          <cell r="C254" t="str">
            <v>477745WH</v>
          </cell>
          <cell r="D254" t="str">
            <v>Frame Bench Fab 6-1200 39W</v>
          </cell>
        </row>
        <row r="255">
          <cell r="C255" t="str">
            <v>477751WH</v>
          </cell>
          <cell r="D255" t="str">
            <v>10000 Lb Deck Scale Kit</v>
          </cell>
        </row>
        <row r="256">
          <cell r="C256" t="str">
            <v>477759WH</v>
          </cell>
          <cell r="D256" t="str">
            <v>Spider Assy 500Gal CS 1.5 Sq Tube Fab</v>
          </cell>
        </row>
        <row r="257">
          <cell r="C257" t="str">
            <v>477760WH</v>
          </cell>
          <cell r="D257" t="str">
            <v>Frame Bench Fab   300 18W Per</v>
          </cell>
        </row>
        <row r="258">
          <cell r="C258" t="str">
            <v>477779WH</v>
          </cell>
          <cell r="D258" t="str">
            <v>Frame Assy Fab Truck Tester Spl ORWA</v>
          </cell>
        </row>
        <row r="259">
          <cell r="C259" t="str">
            <v>477781WH</v>
          </cell>
          <cell r="D259" t="str">
            <v>Brkt Pipe Supp 4FLNG Truck Tester</v>
          </cell>
        </row>
        <row r="260">
          <cell r="C260" t="str">
            <v>477783WH</v>
          </cell>
          <cell r="D260" t="str">
            <v>Brkt Control Encl Truck Tester</v>
          </cell>
        </row>
        <row r="261">
          <cell r="C261" t="str">
            <v>477834WH</v>
          </cell>
          <cell r="D261" t="str">
            <v>Spool Flgd 150# Straight 8 X 12 LG W/2 Tap</v>
          </cell>
        </row>
        <row r="262">
          <cell r="C262" t="str">
            <v>477835WH</v>
          </cell>
          <cell r="D262" t="str">
            <v>Spool Flgd 150# Straight 8 X 38 LG W/2 Tap</v>
          </cell>
        </row>
        <row r="263">
          <cell r="C263" t="str">
            <v>477839WH</v>
          </cell>
          <cell r="D263" t="str">
            <v>Motion Operator 8" Ram Assy</v>
          </cell>
        </row>
        <row r="264">
          <cell r="C264" t="str">
            <v>477841WH</v>
          </cell>
          <cell r="D264" t="str">
            <v>Reducer Spool  8 X 6 Flgd Grooved Coated</v>
          </cell>
        </row>
        <row r="265">
          <cell r="C265" t="str">
            <v>477848WH</v>
          </cell>
          <cell r="D265" t="str">
            <v>Center Section Large Bench 72LG</v>
          </cell>
        </row>
        <row r="266">
          <cell r="C266" t="str">
            <v>477855WH</v>
          </cell>
          <cell r="D266" t="str">
            <v>Assy Strainer Z-Plate 10 Special 15IN Lg Coated</v>
          </cell>
        </row>
        <row r="267">
          <cell r="C267" t="str">
            <v>477902WH</v>
          </cell>
          <cell r="D267" t="str">
            <v>Reducer Spool 8 X 6 Flgd W/O Grooves W/O Alignment Pins Coated</v>
          </cell>
        </row>
        <row r="268">
          <cell r="C268" t="str">
            <v>477903WH</v>
          </cell>
          <cell r="D268" t="str">
            <v>Reducer Spool 10 X 8 Flgd Grooved W/O Alignment Pins Coated</v>
          </cell>
        </row>
        <row r="269">
          <cell r="C269" t="str">
            <v>477908WH</v>
          </cell>
          <cell r="D269" t="str">
            <v>Discharge Plate Assy 8" Large Bench STD</v>
          </cell>
        </row>
        <row r="270">
          <cell r="C270" t="str">
            <v>477909WH</v>
          </cell>
          <cell r="D270" t="str">
            <v>Brkt Mtg 30 X 24 VFD Encl To Univ Pump Base 476514WH</v>
          </cell>
        </row>
        <row r="271">
          <cell r="C271" t="str">
            <v>477910WH</v>
          </cell>
          <cell r="D271" t="str">
            <v>Brkt Mtg 36 X 30 VFD Encl To Univ Pump Base 476514WH</v>
          </cell>
        </row>
        <row r="272">
          <cell r="C272" t="str">
            <v>477925WH</v>
          </cell>
          <cell r="D272" t="str">
            <v>Spool Flgd 150# Straight 4 X 7 LG</v>
          </cell>
        </row>
        <row r="273">
          <cell r="C273" t="str">
            <v>477926WH</v>
          </cell>
          <cell r="D273" t="str">
            <v>Spool Flgd 150# Straight 8 X 9 LG</v>
          </cell>
        </row>
        <row r="274">
          <cell r="C274" t="str">
            <v>477958WH</v>
          </cell>
          <cell r="D274" t="str">
            <v>Spool Flgd Rdcg 3-150# X 2-300# Conc X 8 Lg Coated</v>
          </cell>
        </row>
        <row r="275">
          <cell r="C275" t="str">
            <v>50000010</v>
          </cell>
          <cell r="D275" t="str">
            <v>Test Bench Installation &amp; Training - Multi System</v>
          </cell>
        </row>
        <row r="276">
          <cell r="C276" t="str">
            <v>50000020</v>
          </cell>
          <cell r="D276" t="str">
            <v>Test Bench Installation &amp; Training- 2 Benches - Upgrade</v>
          </cell>
        </row>
        <row r="277">
          <cell r="C277" t="str">
            <v>51005021</v>
          </cell>
          <cell r="D277" t="str">
            <v>Test Bench Installation &amp; Training - Small - Series 500 - Standard - Upgrade</v>
          </cell>
        </row>
        <row r="278">
          <cell r="C278" t="str">
            <v>510101111</v>
          </cell>
          <cell r="D278" t="str">
            <v>Test Bench Installation &amp; Training-Sm-Advanced-Single</v>
          </cell>
        </row>
        <row r="279">
          <cell r="C279" t="str">
            <v>510120013</v>
          </cell>
          <cell r="D279" t="str">
            <v>Test Bench Installation &amp; Training- Small- Series 1200- Standard - Single</v>
          </cell>
        </row>
        <row r="280">
          <cell r="C280" t="str">
            <v>51012011</v>
          </cell>
          <cell r="D280" t="str">
            <v>Test Bench Installation &amp; Training - Sm -Advanced - Single</v>
          </cell>
        </row>
        <row r="281">
          <cell r="C281" t="str">
            <v>51012022</v>
          </cell>
          <cell r="D281" t="str">
            <v>Test Bench Installation &amp; Training - Series 2400 - Std - Upgrade</v>
          </cell>
        </row>
        <row r="282">
          <cell r="C282" t="str">
            <v>51012112</v>
          </cell>
          <cell r="D282" t="str">
            <v>Test Bench Installation &amp; Training-Small-Series 2410-Advanced-Dual-Console</v>
          </cell>
        </row>
        <row r="283">
          <cell r="C283" t="str">
            <v>51020022</v>
          </cell>
          <cell r="D283" t="str">
            <v>Test Bench Installation &amp; Training- Small- Series 2000- Standard - Dual - Upgrade</v>
          </cell>
        </row>
        <row r="284">
          <cell r="C284" t="str">
            <v>51024022</v>
          </cell>
          <cell r="D284" t="str">
            <v>Test Bench Installation &amp; Training - Small -Series 2400</v>
          </cell>
        </row>
        <row r="285">
          <cell r="C285" t="str">
            <v>510240322</v>
          </cell>
          <cell r="D285" t="str">
            <v>Test Bench Installation &amp; Training- Small- Series 2400- Standard - Dual - Upgrade</v>
          </cell>
        </row>
        <row r="286">
          <cell r="C286" t="str">
            <v>510241122</v>
          </cell>
          <cell r="D286" t="str">
            <v>Test Bench Installation &amp; Training-Small-Series 2410-Advanced-Dual-Console</v>
          </cell>
        </row>
        <row r="287">
          <cell r="C287" t="str">
            <v>51024122</v>
          </cell>
          <cell r="D287" t="str">
            <v>Test Bench Installation &amp; Training-Small-Series 2410-Advanced-Dual-Console</v>
          </cell>
        </row>
        <row r="288">
          <cell r="C288" t="str">
            <v>510241222</v>
          </cell>
          <cell r="D288" t="str">
            <v>Test Bench Installation &amp; Training-Small-Series 2410-Advanced-Dual-Console</v>
          </cell>
        </row>
        <row r="289">
          <cell r="C289" t="str">
            <v>511031112</v>
          </cell>
          <cell r="D289" t="str">
            <v>Test Bench Installation &amp; Training-Small-Series 310-Advanced-Single</v>
          </cell>
        </row>
        <row r="290">
          <cell r="C290" t="str">
            <v>521000322</v>
          </cell>
          <cell r="D290" t="str">
            <v>Test Bench Installation &amp; Training- Medium- Series 10000- Standard - Dual - Upgrade</v>
          </cell>
        </row>
        <row r="291">
          <cell r="C291" t="str">
            <v>523050222</v>
          </cell>
          <cell r="D291" t="str">
            <v>Test Bench Installation &amp; Training- Medium- Series 3-500- Standard - Upgrade</v>
          </cell>
        </row>
        <row r="292">
          <cell r="C292" t="str">
            <v>523051212</v>
          </cell>
          <cell r="D292" t="str">
            <v>Test Bench Installation &amp; Training- Medium- Series 510- Standard - Upgrade</v>
          </cell>
        </row>
        <row r="293">
          <cell r="C293" t="str">
            <v>525100121</v>
          </cell>
          <cell r="D293" t="str">
            <v>Test Bench Installation &amp; Training-Medium-Series 5-1000-Standard-Dual</v>
          </cell>
        </row>
        <row r="294">
          <cell r="C294" t="str">
            <v>525100122</v>
          </cell>
          <cell r="D294" t="str">
            <v>Test Bench Installation &amp; Training-Medium-Series 5-1000-Standard-Dual</v>
          </cell>
        </row>
        <row r="295">
          <cell r="C295" t="str">
            <v>525100221</v>
          </cell>
          <cell r="D295" t="str">
            <v>Test Bench Installation &amp; Training- Medium- Series 5-1000- Standard - Dual - Upgrade</v>
          </cell>
        </row>
        <row r="296">
          <cell r="C296" t="str">
            <v>525100222</v>
          </cell>
          <cell r="D296" t="str">
            <v>Test Bench Installation &amp; Training- Medium- Series 5-1000- Standard - Upgrade</v>
          </cell>
        </row>
        <row r="297">
          <cell r="C297" t="str">
            <v>52510112</v>
          </cell>
          <cell r="D297" t="str">
            <v>Test Bench Installation &amp; Training-Medium-Series 5-1010-Advanced-Dual</v>
          </cell>
        </row>
        <row r="298">
          <cell r="C298" t="str">
            <v>52510122</v>
          </cell>
          <cell r="D298" t="str">
            <v>Test Bench Installation &amp; Training- Series 5-1010 - Upgrade</v>
          </cell>
        </row>
        <row r="299">
          <cell r="C299" t="str">
            <v>52612012</v>
          </cell>
          <cell r="D299" t="str">
            <v>Test Bench Installation &amp; Training-Medium-Series 6-1200-Standard-Dual</v>
          </cell>
        </row>
        <row r="300">
          <cell r="C300" t="str">
            <v>52612022</v>
          </cell>
          <cell r="D300" t="str">
            <v>Test Bench Installation &amp; Training-Medium-Series 6-1200-Standard-Dual</v>
          </cell>
        </row>
        <row r="301">
          <cell r="C301" t="str">
            <v>52612112</v>
          </cell>
          <cell r="D301" t="str">
            <v>Test Bench Installation &amp; Training - Medium -Series 6-1210</v>
          </cell>
        </row>
        <row r="302">
          <cell r="C302" t="str">
            <v>53000010</v>
          </cell>
          <cell r="D302" t="str">
            <v>Test Bench Installation &amp; Training- VF-10</v>
          </cell>
        </row>
        <row r="303">
          <cell r="C303" t="str">
            <v>53000011</v>
          </cell>
          <cell r="D303" t="str">
            <v>Test Bench Installation &amp; Training- VF-10</v>
          </cell>
        </row>
        <row r="304">
          <cell r="C304" t="str">
            <v>530000122</v>
          </cell>
          <cell r="D304" t="str">
            <v>Test Bench Installation &amp; Training-Small-Series 3-510 Mobile System-Standard-Dual</v>
          </cell>
        </row>
        <row r="305">
          <cell r="C305" t="str">
            <v>54000001</v>
          </cell>
          <cell r="D305" t="str">
            <v>Test Bench Installation &amp; Training</v>
          </cell>
        </row>
        <row r="306">
          <cell r="C306" t="str">
            <v>54000021</v>
          </cell>
          <cell r="D306" t="str">
            <v>Hardware Installation &amp; Training - Console - Upgrade</v>
          </cell>
        </row>
        <row r="307">
          <cell r="C307" t="str">
            <v>540000322</v>
          </cell>
          <cell r="D307" t="str">
            <v>Test Bench Installation &amp; Training- Large - Standard- Upgrade</v>
          </cell>
        </row>
        <row r="308">
          <cell r="C308" t="str">
            <v>627220122</v>
          </cell>
          <cell r="D308" t="str">
            <v>M3 Software Installation &amp; Training - Medium Test Bench</v>
          </cell>
        </row>
        <row r="309">
          <cell r="C309" t="str">
            <v>63652012</v>
          </cell>
          <cell r="D309" t="str">
            <v>M3 Software Installation &amp; Training - VF-10</v>
          </cell>
        </row>
        <row r="310">
          <cell r="C310" t="str">
            <v>711120022</v>
          </cell>
          <cell r="D310" t="str">
            <v>M3 Enterprise Software -Tier I (Annual Subscription)-Small</v>
          </cell>
        </row>
        <row r="311">
          <cell r="C311" t="str">
            <v>71122012</v>
          </cell>
          <cell r="D311" t="str">
            <v>M3 Enterprise Software Suite</v>
          </cell>
        </row>
        <row r="312">
          <cell r="C312" t="str">
            <v>711320122</v>
          </cell>
          <cell r="D312" t="str">
            <v>MARS M3 Enterprise Software Suite</v>
          </cell>
        </row>
        <row r="313">
          <cell r="C313" t="str">
            <v>711520121</v>
          </cell>
          <cell r="D313" t="str">
            <v>M3 Enterprise Software (Annual Subscription)-Small</v>
          </cell>
        </row>
        <row r="314">
          <cell r="C314" t="str">
            <v>712720001</v>
          </cell>
          <cell r="D314" t="str">
            <v>M3 Legacy Lite Software Perpetual</v>
          </cell>
        </row>
        <row r="315">
          <cell r="C315" t="str">
            <v>713220122</v>
          </cell>
          <cell r="D315" t="str">
            <v>M3 Enterprise Software (Annual Subscription License) - Unlimited - Small Test Bench</v>
          </cell>
        </row>
        <row r="316">
          <cell r="C316" t="str">
            <v>714220122</v>
          </cell>
          <cell r="D316" t="str">
            <v>M3 Software Subscription - Small - Unlimited</v>
          </cell>
        </row>
        <row r="317">
          <cell r="C317" t="str">
            <v>721220122</v>
          </cell>
          <cell r="D317" t="str">
            <v>M3 Enterprise Software (Annual Subscription License) -Unlimited- Medium Test Bench</v>
          </cell>
        </row>
        <row r="318">
          <cell r="C318" t="str">
            <v>721220124 OLD</v>
          </cell>
          <cell r="D318" t="str">
            <v>M3 Enterprise Software (Annual Subscription License) -Unlimited- Medium Test Bench</v>
          </cell>
        </row>
        <row r="319">
          <cell r="C319" t="str">
            <v>72142012</v>
          </cell>
          <cell r="D319" t="str">
            <v>M3 Enterprise Software Suite</v>
          </cell>
        </row>
        <row r="320">
          <cell r="C320" t="str">
            <v>721420121</v>
          </cell>
          <cell r="D320" t="str">
            <v>M3 Enterprise Software (Annual Subscription License) - Perpetual - Medium Test Bench</v>
          </cell>
        </row>
        <row r="321">
          <cell r="C321" t="str">
            <v>723220122</v>
          </cell>
          <cell r="D321" t="str">
            <v>M3 Enterprise Software (Annual Subscription License) - Unlimited - Medium Test Bench</v>
          </cell>
        </row>
        <row r="322">
          <cell r="C322" t="str">
            <v>724220122</v>
          </cell>
          <cell r="D322" t="str">
            <v>M3 Enterprise Software (Annual Subscription License) - Unlimited - Medium Test Bench</v>
          </cell>
        </row>
        <row r="323">
          <cell r="C323" t="str">
            <v>73122012</v>
          </cell>
          <cell r="D323" t="str">
            <v>M3 Enterprise Software - Standard (Annual Subscription) - VF-10</v>
          </cell>
        </row>
        <row r="324">
          <cell r="C324" t="str">
            <v>73152012</v>
          </cell>
          <cell r="D324" t="str">
            <v>MARS M3 Enterprise Software Suite</v>
          </cell>
        </row>
        <row r="325">
          <cell r="C325" t="str">
            <v>731520122</v>
          </cell>
          <cell r="D325" t="str">
            <v>M3 Enterprise Software Annual-Tier I-Truck Tester</v>
          </cell>
        </row>
        <row r="326">
          <cell r="C326" t="str">
            <v>74112002</v>
          </cell>
          <cell r="D326" t="str">
            <v>MARS M3 Lite Software - New</v>
          </cell>
        </row>
        <row r="327">
          <cell r="C327" t="str">
            <v>743220122</v>
          </cell>
          <cell r="D327" t="str">
            <v>M3 Enterprise Software (Annual Subscription License) - Unlimited - Large Test Bench</v>
          </cell>
        </row>
        <row r="328">
          <cell r="C328" t="str">
            <v>744220122</v>
          </cell>
          <cell r="D328" t="str">
            <v>M3 Software Subscription - Large - Unlimited</v>
          </cell>
        </row>
        <row r="329">
          <cell r="C329" t="str">
            <v>80000010 OLD</v>
          </cell>
          <cell r="D329" t="str">
            <v>MCC - MARS Maintenance Calibration Certification - Truck Tester - Non-Contracted</v>
          </cell>
        </row>
        <row r="330">
          <cell r="C330" t="str">
            <v>80000211 OLD</v>
          </cell>
          <cell r="D330" t="str">
            <v>MCC - MARS Maintenance Calibration Certification - Truck Tester - Non-Contracted</v>
          </cell>
        </row>
        <row r="331">
          <cell r="C331" t="str">
            <v>800101113</v>
          </cell>
          <cell r="D331" t="str">
            <v>MCC - MARS Maintenance Calibration Certification - Truck Tester - Non-Contracted</v>
          </cell>
        </row>
        <row r="332">
          <cell r="C332" t="str">
            <v>80100011</v>
          </cell>
          <cell r="D332" t="str">
            <v>MCC - MARS Maintenance Calibration Certification - VF-10 - Contracted</v>
          </cell>
        </row>
        <row r="333">
          <cell r="C333" t="str">
            <v>801000112</v>
          </cell>
          <cell r="D333" t="str">
            <v>MCC - MARS Maintenance Calibration Certification- Truck Tester - Contracted</v>
          </cell>
        </row>
        <row r="334">
          <cell r="C334" t="str">
            <v>81000000</v>
          </cell>
          <cell r="D334" t="str">
            <v>MCC - MARS Maintenance Calibration Certification - S/M - Non-Contracted</v>
          </cell>
        </row>
        <row r="335">
          <cell r="C335" t="str">
            <v>810000002</v>
          </cell>
          <cell r="D335" t="str">
            <v>MCC - MARS Maintenance Calibration Certification- S/M - Non-Contracted</v>
          </cell>
        </row>
        <row r="336">
          <cell r="C336" t="str">
            <v>81000001</v>
          </cell>
          <cell r="D336" t="str">
            <v>MCC - MARS Maintenance Calibration Certification - S/M - Non-Contracted</v>
          </cell>
        </row>
        <row r="337">
          <cell r="C337" t="str">
            <v>810000012</v>
          </cell>
          <cell r="D337" t="str">
            <v>MCC - MARS Maintenance Calibration Certification- S/M - Non-Contracted</v>
          </cell>
        </row>
        <row r="338">
          <cell r="C338" t="str">
            <v>81000010</v>
          </cell>
          <cell r="D338" t="str">
            <v>MARS Maintenance Calibration Certification</v>
          </cell>
        </row>
        <row r="339">
          <cell r="C339" t="str">
            <v>810000102</v>
          </cell>
          <cell r="D339" t="str">
            <v>MCC - MARS Maintenance Calibration Certification - S/M - Non-Contracted</v>
          </cell>
        </row>
        <row r="340">
          <cell r="C340" t="str">
            <v>81000011</v>
          </cell>
          <cell r="D340" t="str">
            <v>MCC - MARS Maintenance Calibration Certification - S/M - Non-Contracted</v>
          </cell>
        </row>
        <row r="341">
          <cell r="C341" t="str">
            <v>81000111</v>
          </cell>
          <cell r="D341" t="str">
            <v>MCC - MARS Maintenance Calibration Certification - S/M - Non-Contracted</v>
          </cell>
        </row>
        <row r="342">
          <cell r="C342" t="str">
            <v>81000111 OLD</v>
          </cell>
          <cell r="D342" t="str">
            <v>MCC - MARS Maintenance Calibration Certification - S/M - Non-Contracted</v>
          </cell>
        </row>
        <row r="343">
          <cell r="C343" t="str">
            <v>810001113</v>
          </cell>
          <cell r="D343" t="str">
            <v>MCC - MARS Maintenance Calibration Certification- S/M - Non-Contracted</v>
          </cell>
        </row>
        <row r="344">
          <cell r="C344" t="str">
            <v>81000112</v>
          </cell>
          <cell r="D344" t="str">
            <v>MCC - MARS Maintenance Calibration Certification - S/M - Non-Contracted</v>
          </cell>
        </row>
        <row r="345">
          <cell r="C345" t="str">
            <v>81000201 OLD</v>
          </cell>
          <cell r="D345" t="str">
            <v>MCC - MARS Maintenance Calibration Certification</v>
          </cell>
        </row>
        <row r="346">
          <cell r="C346" t="str">
            <v>810002012</v>
          </cell>
          <cell r="D346" t="str">
            <v>MCC - MARS Maintenance Calibration Certification - S/M - Non-Contracted</v>
          </cell>
        </row>
        <row r="347">
          <cell r="C347" t="str">
            <v>81000211</v>
          </cell>
          <cell r="D347" t="str">
            <v>MCC - MARS Maintenance Calibration Certification - S/M - Non-Contracted</v>
          </cell>
        </row>
        <row r="348">
          <cell r="C348" t="str">
            <v>810002112</v>
          </cell>
          <cell r="D348" t="str">
            <v>MCC - MARS Maintenance Calibration Certification - S/M - Non-Contracted</v>
          </cell>
        </row>
        <row r="349">
          <cell r="C349" t="str">
            <v>810002113</v>
          </cell>
          <cell r="D349" t="str">
            <v>MCC - MARS Maintenance Calibration Certification - S/M - Non-Contracted</v>
          </cell>
        </row>
        <row r="350">
          <cell r="C350" t="str">
            <v>810003012</v>
          </cell>
          <cell r="D350" t="str">
            <v>MCC - MARS Maintenance Calibration Certification - S/M - Non-Contracted</v>
          </cell>
        </row>
        <row r="351">
          <cell r="C351" t="str">
            <v>81000311</v>
          </cell>
          <cell r="D351" t="str">
            <v>MCC - MARS Maintenance Calibration Certification - S/M - Non - Contracted</v>
          </cell>
        </row>
        <row r="352">
          <cell r="C352" t="str">
            <v>81000311 OLD</v>
          </cell>
          <cell r="D352" t="str">
            <v>MARS Maintenance Calibration Certification</v>
          </cell>
        </row>
        <row r="353">
          <cell r="C353" t="str">
            <v>810003112</v>
          </cell>
          <cell r="D353" t="str">
            <v>MCC - MARS Maintenance Calibration Certification - S/M - Contracted</v>
          </cell>
        </row>
        <row r="354">
          <cell r="C354" t="str">
            <v>81000311OLD</v>
          </cell>
          <cell r="D354" t="str">
            <v>MCC - MARS Maintenance Calibration Certification - S/M - Contracted</v>
          </cell>
        </row>
        <row r="355">
          <cell r="C355" t="str">
            <v>81010111 OLD</v>
          </cell>
          <cell r="D355" t="str">
            <v>MCC - MARS Maintenance Calibration Certification</v>
          </cell>
        </row>
        <row r="356">
          <cell r="C356" t="str">
            <v>810202113</v>
          </cell>
          <cell r="D356" t="str">
            <v>MCC - MARS Maintenance Calibration Certification - S/M - Non-Contracted</v>
          </cell>
        </row>
        <row r="357">
          <cell r="C357" t="str">
            <v>81030201</v>
          </cell>
          <cell r="D357" t="str">
            <v>MCC - MARS Maintenance Calibration Certification - S/M - Non-Contracted</v>
          </cell>
        </row>
        <row r="358">
          <cell r="C358" t="str">
            <v>811000012</v>
          </cell>
          <cell r="D358" t="str">
            <v>MCC - MARS Maintenance Calibration Certification - S/M -Contracted</v>
          </cell>
        </row>
        <row r="359">
          <cell r="C359" t="str">
            <v>81100010</v>
          </cell>
          <cell r="D359" t="str">
            <v>MCC - MARS Maintenance Calibration Certification - S/M - Contracted</v>
          </cell>
        </row>
        <row r="360">
          <cell r="C360" t="str">
            <v>81100010OLD</v>
          </cell>
          <cell r="D360" t="str">
            <v>MCC - MARS Maintenance Calibration Certification - S/M - Contracted</v>
          </cell>
        </row>
        <row r="361">
          <cell r="C361" t="str">
            <v>81100011</v>
          </cell>
          <cell r="D361" t="str">
            <v>MCC - MARS Maintenance Calibration Certification - Contracted</v>
          </cell>
        </row>
        <row r="362">
          <cell r="C362" t="str">
            <v>81100011 OLD</v>
          </cell>
          <cell r="D362" t="str">
            <v>MCC - MARS Maintenance Calibration Certification- S/M - Contracted</v>
          </cell>
        </row>
        <row r="363">
          <cell r="C363" t="str">
            <v>811000112</v>
          </cell>
          <cell r="D363" t="str">
            <v>MCC - MARS Maintenance Calibration Certification- S/M - Contracted</v>
          </cell>
        </row>
        <row r="364">
          <cell r="C364" t="str">
            <v>811000113</v>
          </cell>
          <cell r="D364" t="str">
            <v>MCC - MARS Maintenance Calibration Certification- S/M - Contracted</v>
          </cell>
        </row>
        <row r="365">
          <cell r="C365" t="str">
            <v>811001012</v>
          </cell>
          <cell r="D365" t="str">
            <v>MCC - MARS Maintenance Calibration Certification - S/M -Contracted</v>
          </cell>
        </row>
        <row r="366">
          <cell r="C366" t="str">
            <v>81100111</v>
          </cell>
          <cell r="D366" t="str">
            <v>MCC - MARS Maintenance Calibration Certification - S/M - Contracted</v>
          </cell>
        </row>
        <row r="367">
          <cell r="C367" t="str">
            <v>811001112</v>
          </cell>
          <cell r="D367" t="str">
            <v>MCC - MARS Maintenance Calibration Certification- S/M - Contracted</v>
          </cell>
        </row>
        <row r="368">
          <cell r="C368" t="str">
            <v>81100112</v>
          </cell>
          <cell r="D368" t="str">
            <v>MCC - MARS Maintenance Calibration Certification - S/M - Contracted</v>
          </cell>
        </row>
        <row r="369">
          <cell r="C369" t="str">
            <v>81100301</v>
          </cell>
          <cell r="D369" t="str">
            <v>MCC - MARS Maintenance Calibration Certification - S/M - Contracted</v>
          </cell>
        </row>
        <row r="370">
          <cell r="C370" t="str">
            <v>811003012</v>
          </cell>
          <cell r="D370" t="str">
            <v>MCC - MARS Maintenance Calibration Certification - S/M- Contracted</v>
          </cell>
        </row>
        <row r="371">
          <cell r="C371" t="str">
            <v>811003112</v>
          </cell>
          <cell r="D371" t="str">
            <v>MCC - MARS Maintenance Calibration Certification - S/M -Contracted</v>
          </cell>
        </row>
        <row r="372">
          <cell r="C372" t="str">
            <v>81110110</v>
          </cell>
          <cell r="D372" t="str">
            <v>MCC - MARS Maintenance Calibration Certification - S/M - Contracted</v>
          </cell>
        </row>
        <row r="373">
          <cell r="C373" t="str">
            <v>81110111</v>
          </cell>
          <cell r="D373" t="str">
            <v>MCC - MARS Maintenance Calibration Certification - S/M - Contracted - CA Prevailing Wage</v>
          </cell>
        </row>
        <row r="374">
          <cell r="C374" t="str">
            <v>81110111 OLD</v>
          </cell>
          <cell r="D374" t="str">
            <v>MCC - MARS Maintenance Calibration Certification - S/M - Contracted</v>
          </cell>
        </row>
        <row r="375">
          <cell r="C375" t="str">
            <v>811101112</v>
          </cell>
          <cell r="D375" t="str">
            <v>MCC - MARS Maintenance Calibration Certification- S/M - Contracted</v>
          </cell>
        </row>
        <row r="376">
          <cell r="C376" t="str">
            <v>811101113</v>
          </cell>
          <cell r="D376" t="str">
            <v>MCC - MARS Maintenance Calibration Certification- S/M - Contracted</v>
          </cell>
        </row>
        <row r="377">
          <cell r="C377" t="str">
            <v>82000001</v>
          </cell>
          <cell r="D377" t="str">
            <v>MARS Maintenance Calibration Certification (MCC) - Large - Annual</v>
          </cell>
        </row>
        <row r="378">
          <cell r="C378" t="str">
            <v>82000011</v>
          </cell>
          <cell r="D378" t="str">
            <v>MCC - MARS Maintenance Calibration Certification - Large - Non-Contracted</v>
          </cell>
        </row>
        <row r="379">
          <cell r="C379" t="str">
            <v>82000111</v>
          </cell>
          <cell r="D379" t="str">
            <v>MCC - MARS Maintenance Calibration Certification - Large - Non-Contracted</v>
          </cell>
        </row>
        <row r="380">
          <cell r="C380" t="str">
            <v>82000111 OLD</v>
          </cell>
          <cell r="D380" t="str">
            <v>MCC - MARS Maintenance Calibration Certification -  Large - Non-Contracted</v>
          </cell>
        </row>
        <row r="381">
          <cell r="C381" t="str">
            <v>820001112</v>
          </cell>
          <cell r="D381" t="str">
            <v>MCC - MARS Maintenance Calibration Certification - Large - Non-Contracted</v>
          </cell>
        </row>
        <row r="382">
          <cell r="C382" t="str">
            <v>82000112</v>
          </cell>
          <cell r="D382" t="str">
            <v>MCC - MARS Maintenance Calibration Certification - Large - Non-Contracted</v>
          </cell>
        </row>
        <row r="383">
          <cell r="C383" t="str">
            <v>82000201 OLD</v>
          </cell>
          <cell r="D383" t="str">
            <v>MCC - MARS Maintenance Calibration Certification</v>
          </cell>
        </row>
        <row r="384">
          <cell r="C384" t="str">
            <v>82000211</v>
          </cell>
          <cell r="D384" t="str">
            <v>MCC - MARS Maintenance Calibration Certification - Large - Non-Contracted</v>
          </cell>
        </row>
        <row r="385">
          <cell r="C385" t="str">
            <v>82000311</v>
          </cell>
          <cell r="D385" t="str">
            <v>MCC - MARS Maintenance Calibration Certification - Large - Non - Contracted</v>
          </cell>
        </row>
        <row r="386">
          <cell r="C386" t="str">
            <v>82000311 OLD</v>
          </cell>
          <cell r="D386" t="str">
            <v>MCC - MARS Maintenance Calibration Certification - Large - Non - Contracted</v>
          </cell>
        </row>
        <row r="387">
          <cell r="C387" t="str">
            <v>820003112</v>
          </cell>
          <cell r="D387" t="str">
            <v>MCC - MARS Maintenance Calibration Certification - Large - Contracted</v>
          </cell>
        </row>
        <row r="388">
          <cell r="C388" t="str">
            <v>82000311OLD</v>
          </cell>
          <cell r="D388" t="str">
            <v>MCC - MARS Maintenance Calibration Certification - Large - Contracted</v>
          </cell>
        </row>
        <row r="389">
          <cell r="C389" t="str">
            <v>820202113</v>
          </cell>
          <cell r="D389" t="str">
            <v>MCC - MARS Maintenance Calibration Certification - Large - Non-Contracted</v>
          </cell>
        </row>
        <row r="390">
          <cell r="C390" t="str">
            <v>82100011</v>
          </cell>
          <cell r="D390" t="str">
            <v>MCC - MARS Maintenance Calibration Certification - Large - Contracted</v>
          </cell>
        </row>
        <row r="391">
          <cell r="C391" t="str">
            <v>821000112</v>
          </cell>
          <cell r="D391" t="str">
            <v>MCC - MARS Maintenance Calibration Certification - Large - Contracted</v>
          </cell>
        </row>
        <row r="392">
          <cell r="C392" t="str">
            <v>821000113</v>
          </cell>
          <cell r="D392" t="str">
            <v>MCC - MARS Maintenance Calibration Certification - Large - Contracted</v>
          </cell>
        </row>
        <row r="393">
          <cell r="C393" t="str">
            <v>821001112</v>
          </cell>
          <cell r="D393" t="str">
            <v>MCC - MARS Maintenance Calibration Certification - Large - Contracted</v>
          </cell>
        </row>
        <row r="394">
          <cell r="C394" t="str">
            <v>82100301</v>
          </cell>
          <cell r="D394" t="str">
            <v>MCC - MARS Maintenance Calibration Certification - Large - Contracted</v>
          </cell>
        </row>
        <row r="395">
          <cell r="C395" t="str">
            <v>821003012</v>
          </cell>
          <cell r="D395" t="str">
            <v>MCC - MARS Maintenance Calibration Certification - Large - Contracted</v>
          </cell>
        </row>
        <row r="396">
          <cell r="C396" t="str">
            <v>821003112</v>
          </cell>
          <cell r="D396" t="str">
            <v>MCC - MARS Maintenance Calibration Certification - Large - Contracted</v>
          </cell>
        </row>
        <row r="397">
          <cell r="C397" t="str">
            <v>82110110</v>
          </cell>
          <cell r="D397" t="str">
            <v>MCC - MARS Maintenance Calibration Certification - Large - Contracted</v>
          </cell>
        </row>
        <row r="398">
          <cell r="C398" t="str">
            <v>82110111</v>
          </cell>
          <cell r="D398" t="str">
            <v>MCC - MARS Maintenance Calibration Certification - Large - Contracted - CA Prevailing Wage</v>
          </cell>
        </row>
        <row r="399">
          <cell r="C399" t="str">
            <v>82110111 OLD</v>
          </cell>
          <cell r="D399" t="str">
            <v>MCC - MARS Maintenance Calibration Certification - Large - Contracted</v>
          </cell>
        </row>
        <row r="400">
          <cell r="C400" t="str">
            <v>821101112</v>
          </cell>
          <cell r="D400" t="str">
            <v>MCC - MARS Maintenance Calibration Certification- Large - Contracted</v>
          </cell>
        </row>
        <row r="401">
          <cell r="C401" t="str">
            <v>91000032</v>
          </cell>
          <cell r="D401" t="str">
            <v>Test Bench -Equipment- Small-Series 2400- Console Upgrade</v>
          </cell>
        </row>
        <row r="402">
          <cell r="C402" t="str">
            <v>910000322</v>
          </cell>
          <cell r="D402" t="str">
            <v>Test Bench -Equipment- Small - Console Upgrade</v>
          </cell>
        </row>
        <row r="403">
          <cell r="C403" t="str">
            <v>910101412</v>
          </cell>
          <cell r="D403" t="str">
            <v>Equip-TB Small-Series 1010-Advanced-Single</v>
          </cell>
        </row>
        <row r="404">
          <cell r="C404" t="str">
            <v>91012041</v>
          </cell>
          <cell r="D404" t="str">
            <v>Test Bench - Equipment - Series 1200 - ULF</v>
          </cell>
        </row>
        <row r="405">
          <cell r="C405" t="str">
            <v>91012061</v>
          </cell>
          <cell r="D405" t="str">
            <v>Equip-TB Small-Series 1200-ULF w/ Gravity Feed System-New-Single</v>
          </cell>
        </row>
        <row r="406">
          <cell r="C406" t="str">
            <v>910120613</v>
          </cell>
          <cell r="D406" t="str">
            <v>Equip-TB Small-Series 1200-ULF w/ Gravity Feed System-New-Single</v>
          </cell>
        </row>
        <row r="407">
          <cell r="C407" t="str">
            <v>91012112</v>
          </cell>
          <cell r="D407" t="str">
            <v>Test Bench - Equipment - Series 2410 - ULF</v>
          </cell>
        </row>
        <row r="408">
          <cell r="C408" t="str">
            <v>91020002</v>
          </cell>
          <cell r="D408" t="str">
            <v>Test Bench -Equipment- Small-Series 2000 - SCH40 PVC</v>
          </cell>
        </row>
        <row r="409">
          <cell r="C409" t="str">
            <v>91020022</v>
          </cell>
          <cell r="D409" t="str">
            <v>Test Bench - Equipment- Small - Series 2000 - C715</v>
          </cell>
        </row>
        <row r="410">
          <cell r="C410" t="str">
            <v>91024002</v>
          </cell>
          <cell r="D410" t="str">
            <v>Equipment- Test Bench -Series 2400</v>
          </cell>
        </row>
        <row r="411">
          <cell r="C411" t="str">
            <v>91024012</v>
          </cell>
          <cell r="D411" t="str">
            <v>Test Bench - Equipment - Small-Series 2400 - ULF Upgrade</v>
          </cell>
        </row>
        <row r="412">
          <cell r="C412" t="str">
            <v>910240322</v>
          </cell>
          <cell r="D412" t="str">
            <v>Test Bench -Equipment- Small-Series 2400- Console Upgrade</v>
          </cell>
        </row>
        <row r="413">
          <cell r="C413" t="str">
            <v>91024112</v>
          </cell>
          <cell r="D413" t="str">
            <v>Test Bench -Equipment- Small-Series 2410- C715 / ULF Upgrade</v>
          </cell>
        </row>
        <row r="414">
          <cell r="C414" t="str">
            <v>910241622</v>
          </cell>
          <cell r="D414" t="str">
            <v>Equip-TB Small-Series 2410-ULF w/ Gravity Feed System-New-Dual</v>
          </cell>
        </row>
        <row r="415">
          <cell r="C415" t="str">
            <v>920000322</v>
          </cell>
          <cell r="D415" t="str">
            <v>Test Bench -Equipment- Medium - Console Upgrade</v>
          </cell>
        </row>
        <row r="416">
          <cell r="C416" t="str">
            <v>921000322</v>
          </cell>
          <cell r="D416" t="str">
            <v>Equip-TB Medium-Series 10000-Console Upgrade</v>
          </cell>
        </row>
        <row r="417">
          <cell r="C417" t="str">
            <v>92500001</v>
          </cell>
          <cell r="D417" t="str">
            <v>Equipment- Test Bench -Series 5000</v>
          </cell>
        </row>
        <row r="418">
          <cell r="C418" t="str">
            <v>92500022</v>
          </cell>
          <cell r="D418" t="str">
            <v>Test Bench -Equipment - C715 Upgrade-Series 10000</v>
          </cell>
        </row>
        <row r="419">
          <cell r="C419" t="str">
            <v>925100122</v>
          </cell>
          <cell r="D419" t="str">
            <v>Test Bench -Equipment -ULF Upgrade-Series 5-1000</v>
          </cell>
        </row>
        <row r="420">
          <cell r="C420" t="str">
            <v>925100321</v>
          </cell>
          <cell r="D420" t="str">
            <v>Equip-TB Medium-Series 5-1000-Standard- Console Upgrade- Dual</v>
          </cell>
        </row>
        <row r="421">
          <cell r="C421" t="str">
            <v>925100421</v>
          </cell>
          <cell r="D421" t="str">
            <v>Equip-TB Medium-Series-5-1000</v>
          </cell>
        </row>
        <row r="422">
          <cell r="C422" t="str">
            <v>925100422</v>
          </cell>
          <cell r="D422" t="str">
            <v>Equip-TB Medium-Series 5-1000-Dual</v>
          </cell>
        </row>
        <row r="423">
          <cell r="C423" t="str">
            <v>92510102</v>
          </cell>
          <cell r="D423" t="str">
            <v>Equipment- Test Bench -Series 5-1010 - Spare Parts</v>
          </cell>
        </row>
        <row r="424">
          <cell r="C424" t="str">
            <v>92510112</v>
          </cell>
          <cell r="D424" t="str">
            <v>Test Bench - Equipment - Series 5-1010 - ULF Upgrade</v>
          </cell>
        </row>
        <row r="425">
          <cell r="C425" t="str">
            <v>92510142</v>
          </cell>
          <cell r="D425" t="str">
            <v>Equipment- Test Bench -Series 5-1010 - ULF</v>
          </cell>
        </row>
        <row r="426">
          <cell r="C426" t="str">
            <v>92612002</v>
          </cell>
          <cell r="D426" t="str">
            <v>Test Bench -Equipment - ULF Upgrade - Series 6-1200</v>
          </cell>
        </row>
        <row r="427">
          <cell r="C427" t="str">
            <v>92612142</v>
          </cell>
          <cell r="D427" t="str">
            <v>Test Bench - Equipment - Series 6-1210 - ULF</v>
          </cell>
        </row>
        <row r="428">
          <cell r="C428" t="str">
            <v>94000001</v>
          </cell>
          <cell r="D428" t="str">
            <v>Test Bench - Equipment - Additional Parts</v>
          </cell>
        </row>
        <row r="429">
          <cell r="C429" t="str">
            <v>940000312</v>
          </cell>
          <cell r="D429" t="str">
            <v>Test Bench -Equipment- Large - Console Upgrade</v>
          </cell>
        </row>
        <row r="430">
          <cell r="C430" t="str">
            <v>94000032</v>
          </cell>
          <cell r="D430" t="str">
            <v>MARS Advanced Gravimetric Scale &amp; Control System - Upgrade</v>
          </cell>
        </row>
        <row r="431">
          <cell r="C431" t="str">
            <v>96000000</v>
          </cell>
          <cell r="D431" t="str">
            <v>Project Mgmt Fee</v>
          </cell>
        </row>
        <row r="432">
          <cell r="C432" t="str">
            <v>960000001</v>
          </cell>
          <cell r="D432" t="str">
            <v>Project Mgmt Fee</v>
          </cell>
        </row>
        <row r="433">
          <cell r="C433" t="str">
            <v>960000002</v>
          </cell>
          <cell r="D433" t="str">
            <v>Project Mgmt Fee</v>
          </cell>
        </row>
        <row r="434">
          <cell r="C434" t="str">
            <v>960000003</v>
          </cell>
          <cell r="D434" t="str">
            <v>Project Mgmt Fee</v>
          </cell>
        </row>
        <row r="435">
          <cell r="C435" t="str">
            <v>997080WH</v>
          </cell>
          <cell r="D435" t="str">
            <v>Shipping / Crating / Handling</v>
          </cell>
        </row>
        <row r="436">
          <cell r="C436" t="str">
            <v>997088WH</v>
          </cell>
          <cell r="D436" t="str">
            <v>Service Call</v>
          </cell>
        </row>
        <row r="437">
          <cell r="C437" t="str">
            <v>997089WH</v>
          </cell>
          <cell r="D437" t="str">
            <v>Service Call-M3</v>
          </cell>
        </row>
        <row r="438">
          <cell r="C438" t="str">
            <v>997090WH</v>
          </cell>
          <cell r="D438" t="str">
            <v>SW Upgrade - Contracted</v>
          </cell>
        </row>
        <row r="439">
          <cell r="C439" t="str">
            <v>997092WH</v>
          </cell>
          <cell r="D439" t="str">
            <v>TB Warranty</v>
          </cell>
        </row>
        <row r="440">
          <cell r="C440" t="str">
            <v>997093WH</v>
          </cell>
          <cell r="D440" t="str">
            <v>Service Call - Remedial Meter Testing Training</v>
          </cell>
        </row>
        <row r="441">
          <cell r="C441" t="str">
            <v>F2050612WH</v>
          </cell>
          <cell r="D441" t="str">
            <v>6 Gate Valve Box W/Lid &amp; Pipe</v>
          </cell>
        </row>
        <row r="442">
          <cell r="C442" t="str">
            <v>F2111136OL</v>
          </cell>
          <cell r="D442" t="str">
            <v>ThrustBuster 2.5X4 30 Deg</v>
          </cell>
        </row>
        <row r="443">
          <cell r="C443" t="str">
            <v>F2111137OL</v>
          </cell>
          <cell r="D443" t="str">
            <v>ThrustBuster 2.5X4 Str</v>
          </cell>
        </row>
        <row r="444">
          <cell r="C444" t="str">
            <v>F2172040WH</v>
          </cell>
          <cell r="D444" t="str">
            <v>Plastic Pipe Markers</v>
          </cell>
        </row>
        <row r="445">
          <cell r="C445" t="str">
            <v>F2212455ACT</v>
          </cell>
          <cell r="D445" t="str">
            <v>3 Rd CI Comp. FLNG Kit W/Shop Coat</v>
          </cell>
        </row>
        <row r="446">
          <cell r="C446" t="str">
            <v>F2212455WH</v>
          </cell>
          <cell r="D446" t="str">
            <v>3 CI Comp Flange Kit</v>
          </cell>
        </row>
        <row r="447">
          <cell r="C447" t="str">
            <v>F2212457ACT</v>
          </cell>
          <cell r="D447" t="str">
            <v>4 Rd CI Comp FLNG Kit W/Shop Coat</v>
          </cell>
        </row>
        <row r="448">
          <cell r="C448" t="str">
            <v>F2212457WH</v>
          </cell>
          <cell r="D448" t="str">
            <v>4 CI Comp Flange Kit</v>
          </cell>
        </row>
        <row r="449">
          <cell r="C449" t="str">
            <v>F2212459ACT</v>
          </cell>
          <cell r="D449" t="str">
            <v>6 Rd CI Comp FLNG Kit W/Shop Coat</v>
          </cell>
        </row>
        <row r="450">
          <cell r="C450" t="str">
            <v>F2252852WH</v>
          </cell>
          <cell r="D450" t="str">
            <v>Strainer Z-Plate 3 Coated</v>
          </cell>
        </row>
        <row r="451">
          <cell r="C451" t="str">
            <v>F2252855WH</v>
          </cell>
          <cell r="D451" t="str">
            <v>Strainer Z-Plate 4 Coated</v>
          </cell>
        </row>
        <row r="452">
          <cell r="C452" t="str">
            <v>F2252860WH</v>
          </cell>
          <cell r="D452" t="str">
            <v>Strainer Z-Plate 6 Coated</v>
          </cell>
        </row>
        <row r="453">
          <cell r="C453" t="str">
            <v>F2252880WH</v>
          </cell>
          <cell r="D453" t="str">
            <v>Strainer Z-Plate 8 Coated</v>
          </cell>
        </row>
        <row r="454">
          <cell r="C454" t="str">
            <v>F2252881WH</v>
          </cell>
          <cell r="D454" t="str">
            <v>Strainer Z-Plate 8 Spl 10Lg [10 Strainer Lay Length] Coated</v>
          </cell>
        </row>
        <row r="455">
          <cell r="C455" t="str">
            <v>F2252900WH</v>
          </cell>
          <cell r="D455" t="str">
            <v>Strainer Z-Plate 10 Coated</v>
          </cell>
        </row>
        <row r="456">
          <cell r="C456" t="str">
            <v>F2252920WH</v>
          </cell>
          <cell r="D456" t="str">
            <v>Strainer Z-Plate 12 Coated</v>
          </cell>
        </row>
        <row r="457">
          <cell r="C457" t="str">
            <v>F2252930WH</v>
          </cell>
          <cell r="D457" t="str">
            <v>Strainer Sand Trap 4</v>
          </cell>
        </row>
        <row r="458">
          <cell r="C458" t="str">
            <v>F2252940WH</v>
          </cell>
          <cell r="D458" t="str">
            <v>Strainer Sand Trap 6</v>
          </cell>
        </row>
        <row r="459">
          <cell r="C459" t="str">
            <v>F2252942WH</v>
          </cell>
          <cell r="D459" t="str">
            <v>Strainer Sand Trap 8</v>
          </cell>
        </row>
        <row r="460">
          <cell r="C460" t="str">
            <v>F2252979WH</v>
          </cell>
          <cell r="D460" t="str">
            <v>Strainer Brz N/L 1.5 Compl</v>
          </cell>
        </row>
        <row r="461">
          <cell r="C461" t="str">
            <v>F2252980WH</v>
          </cell>
          <cell r="D461" t="str">
            <v>Strainer Brz N/L 2 Compl 7Lg</v>
          </cell>
        </row>
        <row r="462">
          <cell r="C462" t="str">
            <v>F2252981WH</v>
          </cell>
          <cell r="D462" t="str">
            <v>Strainer Brz N/L 3 Compl</v>
          </cell>
        </row>
        <row r="463">
          <cell r="C463" t="str">
            <v>F2252982WH</v>
          </cell>
          <cell r="D463" t="str">
            <v>Strainer Brz N/L 4 Compl</v>
          </cell>
        </row>
        <row r="464">
          <cell r="C464" t="str">
            <v>F2252983WH</v>
          </cell>
          <cell r="D464" t="str">
            <v>Strainer Brz N/L 6 Compl</v>
          </cell>
        </row>
        <row r="465">
          <cell r="C465" t="str">
            <v>F2273010POL</v>
          </cell>
          <cell r="D465" t="str">
            <v>Valve Lock Cup &amp; Strap 10 Pk</v>
          </cell>
        </row>
        <row r="466">
          <cell r="C466" t="str">
            <v>F2273016WH</v>
          </cell>
          <cell r="D466" t="str">
            <v>Valve Lock Usa Kit</v>
          </cell>
        </row>
        <row r="467">
          <cell r="C467" t="str">
            <v>F2273022WHPK</v>
          </cell>
          <cell r="D467" t="str">
            <v>Warning Tag 1 Side (50 Pk) Kit</v>
          </cell>
        </row>
        <row r="468">
          <cell r="C468" t="str">
            <v>F2333400WH</v>
          </cell>
          <cell r="D468" t="str">
            <v>Valve Key 2-Way 3.5-6.5'</v>
          </cell>
        </row>
        <row r="469">
          <cell r="C469" t="str">
            <v>F2333410WH</v>
          </cell>
          <cell r="D469" t="str">
            <v>Valve Key 3-Way 3.5-6.5'</v>
          </cell>
        </row>
        <row r="470">
          <cell r="C470" t="str">
            <v>F2333420WH</v>
          </cell>
          <cell r="D470" t="str">
            <v>Valve Key 2-Way 5-9.5'</v>
          </cell>
        </row>
        <row r="471">
          <cell r="C471" t="str">
            <v>F2333430WH</v>
          </cell>
          <cell r="D471" t="str">
            <v>Valve Key 3-Way 5-9.5'</v>
          </cell>
        </row>
        <row r="472">
          <cell r="C472" t="str">
            <v>F2333431WH</v>
          </cell>
          <cell r="D472" t="str">
            <v>Valve Key T-Handle 5-9.5'</v>
          </cell>
        </row>
        <row r="473">
          <cell r="C473" t="str">
            <v>F2333433WH</v>
          </cell>
          <cell r="D473" t="str">
            <v>Valve Key 2-Way 6-12'</v>
          </cell>
        </row>
        <row r="474">
          <cell r="C474" t="str">
            <v>F2333434WH</v>
          </cell>
          <cell r="D474" t="str">
            <v>2 Nut Extension</v>
          </cell>
        </row>
        <row r="475">
          <cell r="C475" t="str">
            <v>F2333438WH</v>
          </cell>
          <cell r="D475" t="str">
            <v>Valve Key Handwheel</v>
          </cell>
        </row>
        <row r="476">
          <cell r="C476" t="str">
            <v>F2333463WH</v>
          </cell>
          <cell r="D476" t="str">
            <v>4 Ft T-Handle 2 Opt Nut Key</v>
          </cell>
        </row>
        <row r="477">
          <cell r="C477" t="str">
            <v>F2333521WH</v>
          </cell>
          <cell r="D477" t="str">
            <v>Adj Space Saving Key Long Pollard Valve Key</v>
          </cell>
        </row>
        <row r="478">
          <cell r="C478" t="str">
            <v>F2333523WH</v>
          </cell>
          <cell r="D478" t="str">
            <v>Adj Space Saving Key Short Pollard Valve Key</v>
          </cell>
        </row>
        <row r="479">
          <cell r="C479" t="str">
            <v>F2394000WH</v>
          </cell>
          <cell r="D479" t="str">
            <v>VF1 Utility Serv Analyzer</v>
          </cell>
        </row>
        <row r="480">
          <cell r="C480" t="str">
            <v>F2394019WH</v>
          </cell>
          <cell r="D480" t="str">
            <v>VF4 High Pressure W/ Hand Cart 300# Rated</v>
          </cell>
        </row>
        <row r="481">
          <cell r="C481" t="str">
            <v>F2394020WH</v>
          </cell>
          <cell r="D481" t="str">
            <v>VF1 Utility Analyzer W/ 0.75 NPT End Fittings  (For 5/8 Meters)</v>
          </cell>
        </row>
        <row r="482">
          <cell r="C482" t="str">
            <v>F2394022WH</v>
          </cell>
          <cell r="D482" t="str">
            <v>VF4 High Pressure W/O Hand Cart 300# Rated</v>
          </cell>
        </row>
        <row r="483">
          <cell r="C483" t="str">
            <v>SP1.5-13</v>
          </cell>
          <cell r="D483" t="str">
            <v>Spool 1.5 X 13</v>
          </cell>
        </row>
        <row r="484">
          <cell r="C484" t="str">
            <v>SP1.5-5T1.5</v>
          </cell>
          <cell r="D484" t="str">
            <v>Spool 1.5 I.D. 5 Long W 1.5 Tap</v>
          </cell>
        </row>
        <row r="485">
          <cell r="C485" t="str">
            <v>SP10-36V</v>
          </cell>
          <cell r="D485" t="str">
            <v>Spool 10 X 36 Lg Straightening Vane Coated</v>
          </cell>
        </row>
        <row r="486">
          <cell r="C486" t="str">
            <v>SP10-50.13T2</v>
          </cell>
          <cell r="D486" t="str">
            <v>Spool 10 X 50-1/8 W 2 Tap Coated</v>
          </cell>
        </row>
        <row r="487">
          <cell r="C487" t="str">
            <v>SP10-50.13T3</v>
          </cell>
          <cell r="D487" t="str">
            <v>Spool 10 X 50.13 W/ 3 Tap Coated NSF-61 Blue</v>
          </cell>
        </row>
        <row r="488">
          <cell r="C488" t="str">
            <v>SP2-17</v>
          </cell>
          <cell r="D488" t="str">
            <v>Spool 2 Oval X 17</v>
          </cell>
        </row>
        <row r="489">
          <cell r="C489" t="str">
            <v>SP2-4.875</v>
          </cell>
          <cell r="D489" t="str">
            <v>Spool 2 I.D. 4.875 Long</v>
          </cell>
        </row>
        <row r="490">
          <cell r="C490" t="str">
            <v>SP2-5</v>
          </cell>
          <cell r="D490" t="str">
            <v>Spool 2 Id X 5 Lg (Oval FLNGs)</v>
          </cell>
        </row>
        <row r="491">
          <cell r="C491" t="str">
            <v>SP2-5.125</v>
          </cell>
          <cell r="D491" t="str">
            <v>Spool 2 X 5.125 (Oval Flg)</v>
          </cell>
        </row>
        <row r="492">
          <cell r="C492" t="str">
            <v>SP2-5.125T2</v>
          </cell>
          <cell r="D492" t="str">
            <v>Spool 2 I.D. 5.125 Long W 2 Tap</v>
          </cell>
        </row>
        <row r="493">
          <cell r="C493" t="str">
            <v>SP2-5.25</v>
          </cell>
          <cell r="D493" t="str">
            <v>Spool 2 Oval X 51/4</v>
          </cell>
        </row>
        <row r="494">
          <cell r="C494" t="str">
            <v>SP2-5.25T2</v>
          </cell>
          <cell r="D494" t="str">
            <v>Spool 2 Oval X 51/4 W/2 Tap</v>
          </cell>
        </row>
        <row r="495">
          <cell r="C495" t="str">
            <v>SP2-6.875T1P1</v>
          </cell>
          <cell r="D495" t="str">
            <v>Spool 2 X 6.875 Long W/ 1 Tap &amp; NL Plug</v>
          </cell>
        </row>
        <row r="496">
          <cell r="C496" t="str">
            <v>SP2-6.875WIP</v>
          </cell>
          <cell r="D496" t="str">
            <v>Spool 2 Oval X 6.875 Uncoated</v>
          </cell>
        </row>
        <row r="497">
          <cell r="C497" t="str">
            <v>SP2-7</v>
          </cell>
          <cell r="D497" t="str">
            <v>Spool 2Id X 7 Lg  (Oval FLNGs)</v>
          </cell>
        </row>
        <row r="498">
          <cell r="C498" t="str">
            <v>SP2-7T1</v>
          </cell>
          <cell r="D498" t="str">
            <v>Spool 2 Oval X 7 Lg W/1 Tap  Coated</v>
          </cell>
        </row>
        <row r="499">
          <cell r="C499" t="str">
            <v>SP2-7T2</v>
          </cell>
          <cell r="D499" t="str">
            <v>Spool 2 I.D. 7 Long W 2 Tap</v>
          </cell>
        </row>
        <row r="500">
          <cell r="C500" t="str">
            <v>SP2-7T2P2</v>
          </cell>
          <cell r="D500" t="str">
            <v>Spool 2 Oval X 7 Lg W/2 Tap &amp; NL Plug Coated</v>
          </cell>
        </row>
        <row r="501">
          <cell r="C501" t="str">
            <v>SP3-10.75T2</v>
          </cell>
          <cell r="D501" t="str">
            <v>Spool 3 X 10.75 Lg W/2Tap Coated</v>
          </cell>
        </row>
        <row r="502">
          <cell r="C502" t="str">
            <v>SP3-11.875</v>
          </cell>
          <cell r="D502" t="str">
            <v>Spool 3 X 11.875 Lg Coated</v>
          </cell>
        </row>
        <row r="503">
          <cell r="C503" t="str">
            <v>SP3-11.88T2</v>
          </cell>
          <cell r="D503" t="str">
            <v>Spool 3 X 11.88 Lg W/2Tap Coated NSF-61 Blue</v>
          </cell>
        </row>
        <row r="504">
          <cell r="C504" t="str">
            <v>SP3-12</v>
          </cell>
          <cell r="D504" t="str">
            <v>Spool 3 X 12 Lg</v>
          </cell>
        </row>
        <row r="505">
          <cell r="C505" t="str">
            <v>SP3-12T2</v>
          </cell>
          <cell r="D505" t="str">
            <v>Spool 3 X 12 Lg W2Tap</v>
          </cell>
        </row>
        <row r="506">
          <cell r="C506" t="str">
            <v>SP3-36V</v>
          </cell>
          <cell r="D506" t="str">
            <v>Spool 3 X 36 Lg Straightening Vane</v>
          </cell>
        </row>
        <row r="507">
          <cell r="C507" t="str">
            <v>SP3-4</v>
          </cell>
          <cell r="D507" t="str">
            <v>Spool 3 X  4 Lg</v>
          </cell>
        </row>
        <row r="508">
          <cell r="C508" t="str">
            <v>SP3-4.25</v>
          </cell>
          <cell r="D508" t="str">
            <v>Spool 4X4.25 Coated</v>
          </cell>
        </row>
        <row r="509">
          <cell r="C509" t="str">
            <v>SP3-4.625</v>
          </cell>
          <cell r="D509" t="str">
            <v>Spool 3 X 4.625 Lg</v>
          </cell>
        </row>
        <row r="510">
          <cell r="C510" t="str">
            <v>SP3-4.75</v>
          </cell>
          <cell r="D510" t="str">
            <v>Spool 3 X  4.75 Lg</v>
          </cell>
        </row>
        <row r="511">
          <cell r="C511" t="str">
            <v>SP3-4.875</v>
          </cell>
          <cell r="D511" t="str">
            <v>Spool 3 X  4.875 Lg</v>
          </cell>
        </row>
        <row r="512">
          <cell r="C512" t="str">
            <v>SP3-4.875T1P1</v>
          </cell>
          <cell r="D512" t="str">
            <v>Spool 3 X  4.875 Lg W/1Tap &amp; NL Plug Coated</v>
          </cell>
        </row>
        <row r="513">
          <cell r="C513" t="str">
            <v>SP3-4.875T2</v>
          </cell>
          <cell r="D513" t="str">
            <v>Spool 3 X  4.875 Lg W/2Tap</v>
          </cell>
        </row>
        <row r="514">
          <cell r="C514" t="str">
            <v>SP3-4.875T2P2</v>
          </cell>
          <cell r="D514" t="str">
            <v>Spool 3 X  4.875 Lg W/2Tap &amp; NL Plug</v>
          </cell>
        </row>
        <row r="515">
          <cell r="C515" t="str">
            <v>SP3-4.88</v>
          </cell>
          <cell r="D515" t="str">
            <v>Spool 3X 4.88 Lg</v>
          </cell>
        </row>
        <row r="516">
          <cell r="C516" t="str">
            <v>SP3-5</v>
          </cell>
          <cell r="D516" t="str">
            <v>Spool 3 X  5 Lg</v>
          </cell>
        </row>
        <row r="517">
          <cell r="C517" t="str">
            <v>SP3-5.625T.75T2</v>
          </cell>
          <cell r="D517" t="str">
            <v>Spool 3 X  5.625 Lg W/0.75 &amp; 2Taps  Coated Scotchkote Green NSF-61</v>
          </cell>
        </row>
        <row r="518">
          <cell r="C518" t="str">
            <v>SP3-5T1.5</v>
          </cell>
          <cell r="D518" t="str">
            <v>Spool 3 X  5 Lg W/1.5Tap Coated</v>
          </cell>
        </row>
        <row r="519">
          <cell r="C519" t="str">
            <v>SP3-5T2</v>
          </cell>
          <cell r="D519" t="str">
            <v>Spool 3 X  5 Lg W/2Tap</v>
          </cell>
        </row>
        <row r="520">
          <cell r="C520" t="str">
            <v>SP3-5T2P2</v>
          </cell>
          <cell r="D520" t="str">
            <v>Spool 3 X  5 Lg W/2Tap &amp; NL Plug</v>
          </cell>
        </row>
        <row r="521">
          <cell r="C521" t="str">
            <v>SP3-6</v>
          </cell>
          <cell r="D521" t="str">
            <v>Spool 3 X  6 Lg</v>
          </cell>
        </row>
        <row r="522">
          <cell r="C522" t="str">
            <v>SP3-6.875T2</v>
          </cell>
          <cell r="D522" t="str">
            <v>Spool 3 X  6.875 Lg  W/2Tap</v>
          </cell>
        </row>
        <row r="523">
          <cell r="C523" t="str">
            <v>SP3-6T2</v>
          </cell>
          <cell r="D523" t="str">
            <v>Spool 3 X  6 Lg W/2Tap</v>
          </cell>
        </row>
        <row r="524">
          <cell r="C524" t="str">
            <v>SP3-7</v>
          </cell>
          <cell r="D524" t="str">
            <v>Spool 3 X 7 Lg Coated</v>
          </cell>
        </row>
        <row r="525">
          <cell r="C525" t="str">
            <v>SP3-8T2</v>
          </cell>
          <cell r="D525" t="str">
            <v>Spool 3 X  8 Lg W/2Tap  Coated</v>
          </cell>
        </row>
        <row r="526">
          <cell r="C526" t="str">
            <v>SP4-10T2</v>
          </cell>
          <cell r="D526" t="str">
            <v>Spool 4 X 10 Lg W/2Tap Coated</v>
          </cell>
        </row>
        <row r="527">
          <cell r="C527" t="str">
            <v>SP4-12</v>
          </cell>
          <cell r="D527" t="str">
            <v>Spool 4 X 12 Lg Coated</v>
          </cell>
        </row>
        <row r="528">
          <cell r="C528" t="str">
            <v>SP4-12.75T2</v>
          </cell>
          <cell r="D528" t="str">
            <v>Spool 4 X 12.75 W/ 2 Tap Coated</v>
          </cell>
        </row>
        <row r="529">
          <cell r="C529" t="str">
            <v>SP4-12T2</v>
          </cell>
          <cell r="D529" t="str">
            <v>Spool 4 X 12 Lg W/2Tap</v>
          </cell>
        </row>
        <row r="530">
          <cell r="C530" t="str">
            <v>SP4-14.88T2</v>
          </cell>
          <cell r="D530" t="str">
            <v>Spool 4 X 14.88 Lg W/2Tap Coated NSF-61 Blue</v>
          </cell>
        </row>
        <row r="531">
          <cell r="C531" t="str">
            <v>SP4-18</v>
          </cell>
          <cell r="D531" t="str">
            <v>Spool 4 X 18 Lg</v>
          </cell>
        </row>
        <row r="532">
          <cell r="C532" t="str">
            <v>SP4-18.25T2</v>
          </cell>
          <cell r="D532" t="str">
            <v>Spool 4 X 18.25 W/2" Tap</v>
          </cell>
        </row>
        <row r="533">
          <cell r="C533" t="str">
            <v>SP4-18.88T2</v>
          </cell>
          <cell r="D533" t="str">
            <v>Spool 4 X 18.88 Lg W/ 2 Tap Coated NSF-61 Blue</v>
          </cell>
        </row>
        <row r="534">
          <cell r="C534" t="str">
            <v>SP4-2.875</v>
          </cell>
          <cell r="D534" t="str">
            <v>Spool 4 X 2.875 Long Coated</v>
          </cell>
        </row>
        <row r="535">
          <cell r="C535" t="str">
            <v>SP4-3</v>
          </cell>
          <cell r="D535" t="str">
            <v>Spool 4 X  3 Lg</v>
          </cell>
        </row>
        <row r="536">
          <cell r="C536" t="str">
            <v>SP4-3.375</v>
          </cell>
          <cell r="D536" t="str">
            <v>Spool 4 X  3.375 Lg Coated</v>
          </cell>
        </row>
        <row r="537">
          <cell r="C537" t="str">
            <v>SP4-3.875</v>
          </cell>
          <cell r="D537" t="str">
            <v>Spool 4 X  3.875 Lg Coated</v>
          </cell>
        </row>
        <row r="538">
          <cell r="C538" t="str">
            <v>SP4-36V</v>
          </cell>
          <cell r="D538" t="str">
            <v>Spool 4 X 36 Lg Straightening Vane</v>
          </cell>
        </row>
        <row r="539">
          <cell r="C539" t="str">
            <v>SP4-4.5</v>
          </cell>
          <cell r="D539" t="str">
            <v>Spool 4 X  4.5 Lg  Coated</v>
          </cell>
        </row>
        <row r="540">
          <cell r="C540" t="str">
            <v>SP4-5</v>
          </cell>
          <cell r="D540" t="str">
            <v>Spool 4 X  5 Lg Coated</v>
          </cell>
        </row>
        <row r="541">
          <cell r="C541" t="str">
            <v>SP4-5.875</v>
          </cell>
          <cell r="D541" t="str">
            <v>Spool 4 X  5.875 Lg</v>
          </cell>
        </row>
        <row r="542">
          <cell r="C542" t="str">
            <v>SP4-5.875T1P1</v>
          </cell>
          <cell r="D542" t="str">
            <v>Spool 4 X  5.875 Lg W/1Tap &amp; NL Plug Coated</v>
          </cell>
        </row>
        <row r="543">
          <cell r="C543" t="str">
            <v>SP4-5.875T2</v>
          </cell>
          <cell r="D543" t="str">
            <v>Spool 4 X  5.875 Lg W/2Tap</v>
          </cell>
        </row>
        <row r="544">
          <cell r="C544" t="str">
            <v>SP4-5.88T2</v>
          </cell>
          <cell r="D544" t="str">
            <v>Spool 4 X 5.88 W/ 2 Tap Coated</v>
          </cell>
        </row>
        <row r="545">
          <cell r="C545" t="str">
            <v>SP4-6</v>
          </cell>
          <cell r="D545" t="str">
            <v>Spool 4 X  6 Lg</v>
          </cell>
        </row>
        <row r="546">
          <cell r="C546" t="str">
            <v>SP4-6T2</v>
          </cell>
          <cell r="D546" t="str">
            <v>Spool 4 X  6 Lg W/2Tap</v>
          </cell>
        </row>
        <row r="547">
          <cell r="C547" t="str">
            <v>SP4-6T2P2</v>
          </cell>
          <cell r="D547" t="str">
            <v>Spool 4 X  6 Lg W/2Tap &amp; NL Plug Coated</v>
          </cell>
        </row>
        <row r="548">
          <cell r="C548" t="str">
            <v>SP4-7</v>
          </cell>
          <cell r="D548" t="str">
            <v>Spool 4 X 7 Coated</v>
          </cell>
        </row>
        <row r="549">
          <cell r="C549" t="str">
            <v>SP4-7.5</v>
          </cell>
          <cell r="D549" t="str">
            <v>Spool 4 X  7.5 Lg</v>
          </cell>
        </row>
        <row r="550">
          <cell r="C550" t="str">
            <v>SP4-7T2</v>
          </cell>
          <cell r="D550" t="str">
            <v>Spool 4 X  7 Lg W/2Tap</v>
          </cell>
        </row>
        <row r="551">
          <cell r="C551" t="str">
            <v>SP4-8</v>
          </cell>
          <cell r="D551" t="str">
            <v>Spool 4 X  8 Lg</v>
          </cell>
        </row>
        <row r="552">
          <cell r="C552" t="str">
            <v>SP4-9</v>
          </cell>
          <cell r="D552" t="str">
            <v>Spool 4 X 9 Lg Coated</v>
          </cell>
        </row>
        <row r="553">
          <cell r="C553" t="str">
            <v>SP4-9.5T2</v>
          </cell>
          <cell r="D553" t="str">
            <v>Spool 4 X  9.5 Lg W/2Tap</v>
          </cell>
        </row>
        <row r="554">
          <cell r="C554" t="str">
            <v>SP4-9T2</v>
          </cell>
          <cell r="D554" t="str">
            <v>Spool 4 X  9 Lg W/2Tap</v>
          </cell>
        </row>
        <row r="555">
          <cell r="C555" t="str">
            <v>SP6-12</v>
          </cell>
          <cell r="D555" t="str">
            <v>Spool 6 X 12 Coated</v>
          </cell>
        </row>
        <row r="556">
          <cell r="C556" t="str">
            <v>SP6-12T2</v>
          </cell>
          <cell r="D556" t="str">
            <v>Spool 6 X 12 Lg W/2 Tap Coated</v>
          </cell>
        </row>
        <row r="557">
          <cell r="C557" t="str">
            <v>SP6-18.38T2</v>
          </cell>
          <cell r="D557" t="str">
            <v>Spool 6 X 18.38 W/ 2 Tap Coated NSF-61 Blue</v>
          </cell>
        </row>
        <row r="558">
          <cell r="C558" t="str">
            <v>SP6-20.875T2</v>
          </cell>
          <cell r="D558" t="str">
            <v>Spool 6 X 20.875 W/ 2 Tap Coated</v>
          </cell>
        </row>
        <row r="559">
          <cell r="C559" t="str">
            <v>SP6-20.875T2P2</v>
          </cell>
          <cell r="D559" t="str">
            <v>Spool 6 X 20.875 Lg W/2 Tap &amp; NL Brass Plug Coated</v>
          </cell>
        </row>
        <row r="560">
          <cell r="C560" t="str">
            <v>SP6-24</v>
          </cell>
          <cell r="D560" t="str">
            <v>Spool 6 X 24 Lg</v>
          </cell>
        </row>
        <row r="561">
          <cell r="C561" t="str">
            <v>SP6-26.88T2</v>
          </cell>
          <cell r="D561" t="str">
            <v>Spool 6 X 26.88 Lg W/2 Tap</v>
          </cell>
        </row>
        <row r="562">
          <cell r="C562" t="str">
            <v>SP6-3.75</v>
          </cell>
          <cell r="D562" t="str">
            <v>Spool 6 X 3.75 Lg Coated</v>
          </cell>
        </row>
        <row r="563">
          <cell r="C563" t="str">
            <v>SP6-36V</v>
          </cell>
          <cell r="D563" t="str">
            <v>Spool 6 X 36 Lg Straightening Vane</v>
          </cell>
        </row>
        <row r="564">
          <cell r="C564" t="str">
            <v>SP6-4</v>
          </cell>
          <cell r="D564" t="str">
            <v>Spool 6 X  4 Lg</v>
          </cell>
        </row>
        <row r="565">
          <cell r="C565" t="str">
            <v>SP6-5.875</v>
          </cell>
          <cell r="D565" t="str">
            <v>Spool 6 X  5.875 Lg</v>
          </cell>
        </row>
        <row r="566">
          <cell r="C566" t="str">
            <v>SP6-5.875T1.5</v>
          </cell>
          <cell r="D566" t="str">
            <v>Spool 6 X  5.875 Lg W/1.5Tap</v>
          </cell>
        </row>
        <row r="567">
          <cell r="C567" t="str">
            <v>SP6-5.875T1P1</v>
          </cell>
          <cell r="D567" t="str">
            <v>Spool 6 X  5.875 Lg W/1 Tap &amp; NL Brass Plug Powder Coat Blue NSF 61</v>
          </cell>
        </row>
        <row r="568">
          <cell r="C568" t="str">
            <v>SP6-5.875T2P2</v>
          </cell>
          <cell r="D568" t="str">
            <v>Spool 6 X  5.875 Lg W/2Tap &amp; NL Plug</v>
          </cell>
        </row>
        <row r="569">
          <cell r="C569" t="str">
            <v>SP6-6</v>
          </cell>
          <cell r="D569" t="str">
            <v>Spool 6 X  6 Lg</v>
          </cell>
        </row>
        <row r="570">
          <cell r="C570" t="str">
            <v>SP6-6T2</v>
          </cell>
          <cell r="D570" t="str">
            <v>Spool 6 X  6 Lg W/2Tap</v>
          </cell>
        </row>
        <row r="571">
          <cell r="C571" t="str">
            <v>SP6-6T2P2</v>
          </cell>
          <cell r="D571" t="str">
            <v>Spool 6 X  6 Lg W/2Tap &amp; NL Plug</v>
          </cell>
        </row>
        <row r="572">
          <cell r="C572" t="str">
            <v>SP6-8</v>
          </cell>
          <cell r="D572" t="str">
            <v>Spool 6 X 8 Coated</v>
          </cell>
        </row>
        <row r="573">
          <cell r="C573" t="str">
            <v>SP6-8.88T2</v>
          </cell>
          <cell r="D573" t="str">
            <v>Spool 6 X 8.875 W/ 2 Tap Coated NSF-61 Blue</v>
          </cell>
        </row>
        <row r="574">
          <cell r="C574" t="str">
            <v>SP6-9</v>
          </cell>
          <cell r="D574" t="str">
            <v>Spool 6 X  9 Lg Coated</v>
          </cell>
        </row>
        <row r="575">
          <cell r="C575" t="str">
            <v>SP8-12</v>
          </cell>
          <cell r="D575" t="str">
            <v>Spool 8 X 12 Lg</v>
          </cell>
        </row>
        <row r="576">
          <cell r="C576" t="str">
            <v>SP8-12T2</v>
          </cell>
          <cell r="D576" t="str">
            <v>Spool 8 X 12 Lg W/2 Tap Coated</v>
          </cell>
        </row>
        <row r="577">
          <cell r="C577" t="str">
            <v>SP8-13.125T2</v>
          </cell>
          <cell r="D577" t="str">
            <v>Spool 8 X 13.125 W/ 2 Tap Coated</v>
          </cell>
        </row>
        <row r="578">
          <cell r="C578" t="str">
            <v>SP8-14.5T2</v>
          </cell>
          <cell r="D578" t="str">
            <v>Spool 8 X 14.5 Lg W/2Tap Coated</v>
          </cell>
        </row>
        <row r="579">
          <cell r="C579" t="str">
            <v>SP8-18</v>
          </cell>
          <cell r="D579" t="str">
            <v>Spool 8 X 18 Lg Coated</v>
          </cell>
        </row>
        <row r="580">
          <cell r="C580" t="str">
            <v>SP8-32.88T2</v>
          </cell>
          <cell r="D580" t="str">
            <v>Spool 8 X 32.88 Lg W/2Tap</v>
          </cell>
        </row>
        <row r="581">
          <cell r="C581" t="str">
            <v>SP8-32.88T3</v>
          </cell>
          <cell r="D581" t="str">
            <v>Spool 8 X 32.88 Lg W/3Tap Coated NSF-61 Blue</v>
          </cell>
        </row>
        <row r="582">
          <cell r="C582" t="str">
            <v>SP8-34.875T2P2</v>
          </cell>
          <cell r="D582" t="str">
            <v>Spool 8 X 34.875 Lg W/2 Tap &amp; NL Brass Plug Coated</v>
          </cell>
        </row>
        <row r="583">
          <cell r="C583" t="str">
            <v>SP8-36V</v>
          </cell>
          <cell r="D583" t="str">
            <v>Spool 8 X 36 Lg W/Straightening Vane</v>
          </cell>
        </row>
        <row r="584">
          <cell r="C584" t="str">
            <v>SP8-4.875</v>
          </cell>
          <cell r="D584" t="str">
            <v>Spool 8 X  5.125Lg</v>
          </cell>
        </row>
        <row r="585">
          <cell r="C585" t="str">
            <v>SP8-6T2</v>
          </cell>
          <cell r="D585" t="str">
            <v>Spool 8 X  6 Lg W/2Tap</v>
          </cell>
        </row>
        <row r="586">
          <cell r="C586" t="str">
            <v>SP8-6T2P2</v>
          </cell>
          <cell r="D586" t="str">
            <v>Spool 8 X  6 Lg W/2Tap &amp; NL Plug</v>
          </cell>
        </row>
        <row r="587">
          <cell r="C587" t="str">
            <v>010142WH</v>
          </cell>
          <cell r="D587" t="str">
            <v>Turbine HA0050 0.5 NPT</v>
          </cell>
        </row>
        <row r="588">
          <cell r="C588" t="str">
            <v>010143WH</v>
          </cell>
          <cell r="D588" t="str">
            <v>Coil Pick Up 901303  - VF-10</v>
          </cell>
        </row>
        <row r="589">
          <cell r="C589" t="str">
            <v>010144WH</v>
          </cell>
          <cell r="D589" t="str">
            <v>Turbine HA0100 1 NPT</v>
          </cell>
        </row>
        <row r="590">
          <cell r="C590" t="str">
            <v>010148WH</v>
          </cell>
          <cell r="D590" t="str">
            <v>Turbine HA0400-F150 4 FLNG</v>
          </cell>
        </row>
        <row r="591">
          <cell r="C591" t="str">
            <v>010299WH</v>
          </cell>
          <cell r="D591" t="str">
            <v>VF4, Turbine Meter 0.75</v>
          </cell>
        </row>
        <row r="592">
          <cell r="C592" t="str">
            <v>010300WH</v>
          </cell>
          <cell r="D592" t="str">
            <v>VF4, Turbine Meter 3</v>
          </cell>
        </row>
        <row r="593">
          <cell r="C593" t="str">
            <v>010301WH</v>
          </cell>
          <cell r="D593" t="str">
            <v>Pick Up For 0.75 Turbine</v>
          </cell>
        </row>
        <row r="594">
          <cell r="C594" t="str">
            <v>010304WH</v>
          </cell>
          <cell r="D594" t="str">
            <v>Pick Up For 3 Turbine</v>
          </cell>
        </row>
        <row r="595">
          <cell r="C595" t="str">
            <v>010307WH</v>
          </cell>
          <cell r="D595" t="str">
            <v>Turbine 4 Hoffer</v>
          </cell>
        </row>
        <row r="596">
          <cell r="C596" t="str">
            <v>050615WH</v>
          </cell>
          <cell r="D596" t="str">
            <v>Gate Valve Box Lid &amp; Cover Complete</v>
          </cell>
        </row>
        <row r="597">
          <cell r="C597" t="str">
            <v>060103WH</v>
          </cell>
          <cell r="D597" t="str">
            <v>RCM Enclosurew/ Clear Top</v>
          </cell>
        </row>
        <row r="598">
          <cell r="C598" t="str">
            <v>060201WH</v>
          </cell>
          <cell r="D598" t="str">
            <v>RCM-100V1.5 Single Cold A-Cell</v>
          </cell>
        </row>
        <row r="599">
          <cell r="C599" t="str">
            <v>060207WH</v>
          </cell>
          <cell r="D599" t="str">
            <v>RCM 100V1.5 DUAL w/2 X AA Cell Pack Cold/Hot</v>
          </cell>
        </row>
        <row r="600">
          <cell r="C600" t="str">
            <v>070633WH</v>
          </cell>
          <cell r="D600" t="str">
            <v>ELL Blk Weld 90-10</v>
          </cell>
        </row>
        <row r="601">
          <cell r="C601" t="str">
            <v>070663WH</v>
          </cell>
          <cell r="D601" t="str">
            <v>Reducer Eccentric 10 X 8</v>
          </cell>
        </row>
        <row r="602">
          <cell r="C602" t="str">
            <v>070700WH</v>
          </cell>
          <cell r="D602" t="str">
            <v>CPLG Half Stl 1 - 150#</v>
          </cell>
        </row>
        <row r="603">
          <cell r="C603" t="str">
            <v>070701WH</v>
          </cell>
          <cell r="D603" t="str">
            <v>CPLG Half Stl 1 1/2 - 150#</v>
          </cell>
        </row>
        <row r="604">
          <cell r="C604" t="str">
            <v>070702WH</v>
          </cell>
          <cell r="D604" t="str">
            <v>CPLG Half Stl  0.75 - 150#</v>
          </cell>
        </row>
        <row r="605">
          <cell r="C605" t="str">
            <v>070705WH</v>
          </cell>
          <cell r="D605" t="str">
            <v>CPLG Full Stl 1 - 150#</v>
          </cell>
        </row>
        <row r="606">
          <cell r="C606" t="str">
            <v>070712WH</v>
          </cell>
          <cell r="D606" t="str">
            <v>Adpt Brs MNST MNPT 2.5X3</v>
          </cell>
        </row>
        <row r="607">
          <cell r="C607" t="str">
            <v>070716WH</v>
          </cell>
          <cell r="D607" t="str">
            <v>2.5 FNST Swivel X 3 MNPT</v>
          </cell>
        </row>
        <row r="608">
          <cell r="C608" t="str">
            <v>070785WH</v>
          </cell>
          <cell r="D608" t="str">
            <v>ELL Blk Weld 90LR-3</v>
          </cell>
        </row>
        <row r="609">
          <cell r="C609" t="str">
            <v>070788WH</v>
          </cell>
          <cell r="D609" t="str">
            <v>2.5 FNST Swivel X 2 MNPT</v>
          </cell>
        </row>
        <row r="610">
          <cell r="C610" t="str">
            <v>070789WH</v>
          </cell>
          <cell r="D610" t="str">
            <v>2.5 FNST Swivel X 2.5 MNPT</v>
          </cell>
        </row>
        <row r="611">
          <cell r="C611" t="str">
            <v>070792WH</v>
          </cell>
          <cell r="D611" t="str">
            <v>2.5 MNST X 2 MNPT Bushing</v>
          </cell>
        </row>
        <row r="612">
          <cell r="C612" t="str">
            <v>070793WH</v>
          </cell>
          <cell r="D612" t="str">
            <v>2.5 MNST X 2.5 MNPT Bushing</v>
          </cell>
        </row>
        <row r="613">
          <cell r="C613" t="str">
            <v>070795WH</v>
          </cell>
          <cell r="D613" t="str">
            <v>Cap FNST 2.5 Plastic</v>
          </cell>
        </row>
        <row r="614">
          <cell r="C614" t="str">
            <v>070837WH</v>
          </cell>
          <cell r="D614" t="str">
            <v>Reducer Concentric 6 X 3</v>
          </cell>
        </row>
        <row r="615">
          <cell r="C615" t="str">
            <v>070849WH</v>
          </cell>
          <cell r="D615" t="str">
            <v>ELL Blk Weld 90SR-4</v>
          </cell>
        </row>
        <row r="616">
          <cell r="C616" t="str">
            <v>070851WH</v>
          </cell>
          <cell r="D616" t="str">
            <v>CPLG Full Stl 2.5</v>
          </cell>
        </row>
        <row r="617">
          <cell r="C617" t="str">
            <v>070852WH</v>
          </cell>
          <cell r="D617" t="str">
            <v>CPLG Half Stl  0.5</v>
          </cell>
        </row>
        <row r="618">
          <cell r="C618" t="str">
            <v>070853WH</v>
          </cell>
          <cell r="D618" t="str">
            <v>CPLG Full Stl 1.5 - 150#</v>
          </cell>
        </row>
        <row r="619">
          <cell r="C619" t="str">
            <v>070855WH</v>
          </cell>
          <cell r="D619" t="str">
            <v>Reducer Concentric 8 X 6</v>
          </cell>
        </row>
        <row r="620">
          <cell r="C620" t="str">
            <v>070856WH</v>
          </cell>
          <cell r="D620" t="str">
            <v>Thredolet 2 X 2 Run 3000 Lb Sa105 Stl For 2 Run Pipe</v>
          </cell>
        </row>
        <row r="621">
          <cell r="C621" t="str">
            <v>070858WH</v>
          </cell>
          <cell r="D621" t="str">
            <v>CPLG Half Stl 3</v>
          </cell>
        </row>
        <row r="622">
          <cell r="C622" t="str">
            <v>070860WH</v>
          </cell>
          <cell r="D622" t="str">
            <v>Reducer Concentric 8 X 4</v>
          </cell>
        </row>
        <row r="623">
          <cell r="C623" t="str">
            <v>070861WH</v>
          </cell>
          <cell r="D623" t="str">
            <v>ELL Blk Weld 45-4</v>
          </cell>
        </row>
        <row r="624">
          <cell r="C624" t="str">
            <v>070862WH</v>
          </cell>
          <cell r="D624" t="str">
            <v>CPLG Half Stl 2 - 150#</v>
          </cell>
        </row>
        <row r="625">
          <cell r="C625" t="str">
            <v>070864WH</v>
          </cell>
          <cell r="D625" t="str">
            <v>Reducer Concentric 10 X 8</v>
          </cell>
        </row>
        <row r="626">
          <cell r="C626" t="str">
            <v>070865WH</v>
          </cell>
          <cell r="D626" t="str">
            <v>Reducer Concentric 12 X 8</v>
          </cell>
        </row>
        <row r="627">
          <cell r="C627" t="str">
            <v>070867WH</v>
          </cell>
          <cell r="D627" t="str">
            <v>Reducer Concentric 6 X 4</v>
          </cell>
        </row>
        <row r="628">
          <cell r="C628" t="str">
            <v>070869WH</v>
          </cell>
          <cell r="D628" t="str">
            <v>CPLG Half Stl 4</v>
          </cell>
        </row>
        <row r="629">
          <cell r="C629" t="str">
            <v>070884WH</v>
          </cell>
          <cell r="D629" t="str">
            <v>ELL Blk Weld 90LR-6</v>
          </cell>
        </row>
        <row r="630">
          <cell r="C630" t="str">
            <v>070887WH</v>
          </cell>
          <cell r="D630" t="str">
            <v>ELL Blk Weld 90LR-8</v>
          </cell>
        </row>
        <row r="631">
          <cell r="C631" t="str">
            <v>070888WH</v>
          </cell>
          <cell r="D631" t="str">
            <v>Tee Blk Weld 3</v>
          </cell>
        </row>
        <row r="632">
          <cell r="C632" t="str">
            <v>070892WH</v>
          </cell>
          <cell r="D632" t="str">
            <v>CPLG Stl Half 2.5</v>
          </cell>
        </row>
        <row r="633">
          <cell r="C633" t="str">
            <v>070894WH</v>
          </cell>
          <cell r="D633" t="str">
            <v>Reducer Concentric 4 X 3</v>
          </cell>
        </row>
        <row r="634">
          <cell r="C634" t="str">
            <v>111124WH</v>
          </cell>
          <cell r="D634" t="str">
            <v>Valve Ball Tru Union 1 PVC Ipex Vxebv105</v>
          </cell>
        </row>
        <row r="635">
          <cell r="C635" t="str">
            <v>111125WH</v>
          </cell>
          <cell r="D635" t="str">
            <v>Valve Ball Check T Union 1.5 PVC True Union Ipex Sxebv107</v>
          </cell>
        </row>
        <row r="636">
          <cell r="C636" t="str">
            <v>111126WH</v>
          </cell>
          <cell r="D636" t="str">
            <v>Valve Ball Tru Union  2  PVC Ipex Vxebv108</v>
          </cell>
        </row>
        <row r="637">
          <cell r="C637" t="str">
            <v>111143WH</v>
          </cell>
          <cell r="D637" t="str">
            <v>Valve Y-Check PVC Sch80 1.5</v>
          </cell>
        </row>
        <row r="638">
          <cell r="C638" t="str">
            <v>111184WH</v>
          </cell>
          <cell r="D638" t="str">
            <v>Valve Curb Stop 0.75</v>
          </cell>
        </row>
        <row r="639">
          <cell r="C639" t="str">
            <v>111210WH</v>
          </cell>
          <cell r="D639" t="str">
            <v>Valve Check Brs 2    NPTF</v>
          </cell>
        </row>
        <row r="640">
          <cell r="C640" t="str">
            <v>111211WH</v>
          </cell>
          <cell r="D640" t="str">
            <v>Valve Brs Schk 1 FNPT</v>
          </cell>
        </row>
        <row r="641">
          <cell r="C641" t="str">
            <v>111215WH</v>
          </cell>
          <cell r="D641" t="str">
            <v>Valve Check Brz  2</v>
          </cell>
        </row>
        <row r="642">
          <cell r="C642" t="str">
            <v>111219WH</v>
          </cell>
          <cell r="D642" t="str">
            <v>Ball Valve Brs 2.5 #2032T FNPT</v>
          </cell>
        </row>
        <row r="643">
          <cell r="C643" t="str">
            <v>111220WH</v>
          </cell>
          <cell r="D643" t="str">
            <v>Ball Valve Brs 0.5 #2032T FNPT</v>
          </cell>
        </row>
        <row r="644">
          <cell r="C644" t="str">
            <v>111221WH</v>
          </cell>
          <cell r="D644" t="str">
            <v>Ball Valve 0.75 FNPT</v>
          </cell>
        </row>
        <row r="645">
          <cell r="C645" t="str">
            <v>111222WH</v>
          </cell>
          <cell r="D645" t="str">
            <v>Ball Valve Brs 1 #2032T FNPT</v>
          </cell>
        </row>
        <row r="646">
          <cell r="C646" t="str">
            <v>111224WH</v>
          </cell>
          <cell r="D646" t="str">
            <v>Ball Valve Brs 1.5 #2032T FNPT</v>
          </cell>
        </row>
        <row r="647">
          <cell r="C647" t="str">
            <v>111226WH</v>
          </cell>
          <cell r="D647" t="str">
            <v>Ball Valve Brs 2 #2032T FNPT</v>
          </cell>
        </row>
        <row r="648">
          <cell r="C648" t="str">
            <v>111227WH</v>
          </cell>
          <cell r="D648" t="str">
            <v>Ball Valve 0.75 Sweat X Sweat</v>
          </cell>
        </row>
        <row r="649">
          <cell r="C649" t="str">
            <v>111232WH</v>
          </cell>
          <cell r="D649" t="str">
            <v>Ball Valve Brs 2 #2032S Sweat X Sweat</v>
          </cell>
        </row>
        <row r="650">
          <cell r="C650" t="str">
            <v>111283WH</v>
          </cell>
          <cell r="D650" t="str">
            <v>Valve Check Wafer  6     Cv0600-SS</v>
          </cell>
        </row>
        <row r="651">
          <cell r="C651" t="str">
            <v>131233WH</v>
          </cell>
          <cell r="D651" t="str">
            <v>Gskt FLNG 150  2 1/2 Full Face, Red Rubber, 1/8 Tk</v>
          </cell>
        </row>
        <row r="652">
          <cell r="C652" t="str">
            <v>131300WH</v>
          </cell>
          <cell r="D652" t="str">
            <v>Washer 3/4 Rubber 1/8 Thk</v>
          </cell>
        </row>
        <row r="653">
          <cell r="C653" t="str">
            <v>131304WH</v>
          </cell>
          <cell r="D653" t="str">
            <v>O-Ring Cord 7/16 Co-438 BNA70</v>
          </cell>
        </row>
        <row r="654">
          <cell r="C654" t="str">
            <v>131305WH</v>
          </cell>
          <cell r="D654" t="str">
            <v>O-Ring #330-70N Nitrile Rubber</v>
          </cell>
        </row>
        <row r="655">
          <cell r="C655" t="str">
            <v>131307WH</v>
          </cell>
          <cell r="D655" t="str">
            <v>Washer 2 X 1/32 Fiber</v>
          </cell>
        </row>
        <row r="656">
          <cell r="C656" t="str">
            <v>131308WH</v>
          </cell>
          <cell r="D656" t="str">
            <v>O-Ring Cord 5/16 Co-313 BNA70</v>
          </cell>
        </row>
        <row r="657">
          <cell r="C657" t="str">
            <v>131314WH</v>
          </cell>
          <cell r="D657" t="str">
            <v>Gskt FLNG 1 1/2 Oval Full Face, 1/8 Tk</v>
          </cell>
        </row>
        <row r="658">
          <cell r="C658" t="str">
            <v>131316WH</v>
          </cell>
          <cell r="D658" t="str">
            <v>Gskt Flg Univ 11/2 Drop-In 1/8</v>
          </cell>
        </row>
        <row r="659">
          <cell r="C659" t="str">
            <v>131322WH</v>
          </cell>
          <cell r="D659" t="str">
            <v>Gskt Flg Univ 2 Drop-In 1/8</v>
          </cell>
        </row>
        <row r="660">
          <cell r="C660" t="str">
            <v>131323WH</v>
          </cell>
          <cell r="D660" t="str">
            <v>Gskt FLNG Oval 2 Full Face,1/8 Tk</v>
          </cell>
        </row>
        <row r="661">
          <cell r="C661" t="str">
            <v>131332WH</v>
          </cell>
          <cell r="D661" t="str">
            <v>Gskt FLNG 150 3 Full Face, Red Rubber, 1/8 Tk</v>
          </cell>
        </row>
        <row r="662">
          <cell r="C662" t="str">
            <v>131333WH</v>
          </cell>
          <cell r="D662" t="str">
            <v>Gskt FLNG 150 3 Ring 1/8Tk</v>
          </cell>
        </row>
        <row r="663">
          <cell r="C663" t="str">
            <v>131336WH</v>
          </cell>
          <cell r="D663" t="str">
            <v>Gskt FLNG 150 2 Full 1/8Tk Full Face, Red Rubber, 1/8 Tk</v>
          </cell>
        </row>
        <row r="664">
          <cell r="C664" t="str">
            <v>131337WH</v>
          </cell>
          <cell r="D664" t="str">
            <v>Gskt FLNG 300 2 Full 1/8Tk Full Face, Red Rubber, 1/8 Tk</v>
          </cell>
        </row>
        <row r="665">
          <cell r="C665" t="str">
            <v>131340WH</v>
          </cell>
          <cell r="D665" t="str">
            <v>Gskt FLNG 150 4 Full Face, Red Rubber, 1/8 Tk</v>
          </cell>
        </row>
        <row r="666">
          <cell r="C666" t="str">
            <v>131350WH</v>
          </cell>
          <cell r="D666" t="str">
            <v>Gskt FLNG 150 6 Full Face, Red Rubber, 1/8 Tk</v>
          </cell>
        </row>
        <row r="667">
          <cell r="C667" t="str">
            <v>131360WH</v>
          </cell>
          <cell r="D667" t="str">
            <v>Gskt FLNG 150 8 Full Face, Red Rubber, 1/8 Tk</v>
          </cell>
        </row>
        <row r="668">
          <cell r="C668" t="str">
            <v>131372WH</v>
          </cell>
          <cell r="D668" t="str">
            <v>Gskt FLNG 150 10 Full Face, Red Rubber, 1/8 Tk</v>
          </cell>
        </row>
        <row r="669">
          <cell r="C669" t="str">
            <v>131380WH</v>
          </cell>
          <cell r="D669" t="str">
            <v>Gskt FLNG 150 12 Full Face, Red Rubber, 1/8 Tk</v>
          </cell>
        </row>
        <row r="670">
          <cell r="C670" t="str">
            <v>131386WH</v>
          </cell>
          <cell r="D670" t="str">
            <v>Gskt Z-Plate Strainer 3&amp;4</v>
          </cell>
        </row>
        <row r="671">
          <cell r="C671" t="str">
            <v>151001WH</v>
          </cell>
          <cell r="D671" t="str">
            <v>Union Brs 0.75 1200Psi</v>
          </cell>
        </row>
        <row r="672">
          <cell r="C672" t="str">
            <v>151002WH</v>
          </cell>
          <cell r="D672" t="str">
            <v>CPLG Brs 0.75-XS</v>
          </cell>
        </row>
        <row r="673">
          <cell r="C673" t="str">
            <v>151003WH</v>
          </cell>
          <cell r="D673" t="str">
            <v>ELL Brs 90-0.75 1200Psi</v>
          </cell>
        </row>
        <row r="674">
          <cell r="C674" t="str">
            <v>151004WH</v>
          </cell>
          <cell r="D674" t="str">
            <v>Plug Brs Hex 0.75-XS</v>
          </cell>
        </row>
        <row r="675">
          <cell r="C675" t="str">
            <v>151005WH</v>
          </cell>
          <cell r="D675" t="str">
            <v>ELL Brs Str 45-0.25 1200Psi</v>
          </cell>
        </row>
        <row r="676">
          <cell r="C676" t="str">
            <v>151006WH</v>
          </cell>
          <cell r="D676" t="str">
            <v>Plug Brs Hex 0.25-XS</v>
          </cell>
        </row>
        <row r="677">
          <cell r="C677" t="str">
            <v>151007WH</v>
          </cell>
          <cell r="D677" t="str">
            <v>NPL Brs 0.75X 2.0-XS</v>
          </cell>
        </row>
        <row r="678">
          <cell r="C678" t="str">
            <v>151009WH</v>
          </cell>
          <cell r="D678" t="str">
            <v>NPL Brs 0.75X 5.5-XS</v>
          </cell>
        </row>
        <row r="679">
          <cell r="C679" t="str">
            <v>151011WH</v>
          </cell>
          <cell r="D679" t="str">
            <v>NPL Brs 0.75X 3.0-XS</v>
          </cell>
        </row>
        <row r="680">
          <cell r="C680" t="str">
            <v>151504WH</v>
          </cell>
          <cell r="D680" t="str">
            <v>NPL Brs 0.25X Close</v>
          </cell>
        </row>
        <row r="681">
          <cell r="C681" t="str">
            <v>151505WH</v>
          </cell>
          <cell r="D681" t="str">
            <v>ELL Brs 45-0.25</v>
          </cell>
        </row>
        <row r="682">
          <cell r="C682" t="str">
            <v>151514WH</v>
          </cell>
          <cell r="D682" t="str">
            <v>NPL Brs 0.375XClose</v>
          </cell>
        </row>
        <row r="683">
          <cell r="C683" t="str">
            <v>151520WH</v>
          </cell>
          <cell r="D683" t="str">
            <v>Union Brs 0.5</v>
          </cell>
        </row>
        <row r="684">
          <cell r="C684" t="str">
            <v>151525WH</v>
          </cell>
          <cell r="D684" t="str">
            <v>Valve Petcock Brs 0.25</v>
          </cell>
        </row>
        <row r="685">
          <cell r="C685" t="str">
            <v>151526WH</v>
          </cell>
          <cell r="D685" t="str">
            <v>TEE Brs 0.5</v>
          </cell>
        </row>
        <row r="686">
          <cell r="C686" t="str">
            <v>151528WH</v>
          </cell>
          <cell r="D686" t="str">
            <v>ELL Brs 90-.5</v>
          </cell>
        </row>
        <row r="687">
          <cell r="C687" t="str">
            <v>151530WH</v>
          </cell>
          <cell r="D687" t="str">
            <v>NPL Brs 0.5X Close</v>
          </cell>
        </row>
        <row r="688">
          <cell r="C688" t="str">
            <v>151531WH</v>
          </cell>
          <cell r="D688" t="str">
            <v>ELL Brs 90-0.25</v>
          </cell>
        </row>
        <row r="689">
          <cell r="C689" t="str">
            <v>151532WH</v>
          </cell>
          <cell r="D689" t="str">
            <v>NPL Brs 0.5X 2.0</v>
          </cell>
        </row>
        <row r="690">
          <cell r="C690" t="str">
            <v>151534WH</v>
          </cell>
          <cell r="D690" t="str">
            <v>NPL Brs 0.5X 2.5</v>
          </cell>
        </row>
        <row r="691">
          <cell r="C691" t="str">
            <v>151535WH</v>
          </cell>
          <cell r="D691" t="str">
            <v>Mars Rectangle Tag</v>
          </cell>
        </row>
        <row r="692">
          <cell r="C692" t="str">
            <v>151536WH</v>
          </cell>
          <cell r="D692" t="str">
            <v>NPL Brs 0.5X3.0</v>
          </cell>
        </row>
        <row r="693">
          <cell r="C693" t="str">
            <v>151537WH</v>
          </cell>
          <cell r="D693" t="str">
            <v>NPL Brs 0.5X3.5</v>
          </cell>
        </row>
        <row r="694">
          <cell r="C694" t="str">
            <v>151538WH</v>
          </cell>
          <cell r="D694" t="str">
            <v>NPL Brs 0.5X4.0</v>
          </cell>
        </row>
        <row r="695">
          <cell r="C695" t="str">
            <v>151539WH</v>
          </cell>
          <cell r="D695" t="str">
            <v>NPL Brs 0.5X5.0</v>
          </cell>
        </row>
        <row r="696">
          <cell r="C696" t="str">
            <v>151542WH</v>
          </cell>
          <cell r="D696" t="str">
            <v>Bush Brs NL Hex 0.5X0.25</v>
          </cell>
        </row>
        <row r="697">
          <cell r="C697" t="str">
            <v>151546WH</v>
          </cell>
          <cell r="D697" t="str">
            <v>NPL Brs 0.375X1.5</v>
          </cell>
        </row>
        <row r="698">
          <cell r="C698" t="str">
            <v>151547WH</v>
          </cell>
          <cell r="D698" t="str">
            <v>NPL Brs 0.375X2.5</v>
          </cell>
        </row>
        <row r="699">
          <cell r="C699" t="str">
            <v>151608WH</v>
          </cell>
          <cell r="D699" t="str">
            <v>Plug Brs Sqr 0.75</v>
          </cell>
        </row>
        <row r="700">
          <cell r="C700" t="str">
            <v>151620WH</v>
          </cell>
          <cell r="D700" t="str">
            <v>NPL Brs 0.75X Close</v>
          </cell>
        </row>
        <row r="701">
          <cell r="C701" t="str">
            <v>151706WH</v>
          </cell>
          <cell r="D701" t="str">
            <v>Union Brs 1.0</v>
          </cell>
        </row>
        <row r="702">
          <cell r="C702" t="str">
            <v>151708WH</v>
          </cell>
          <cell r="D702" t="str">
            <v>ELL Brs 45-1.0</v>
          </cell>
        </row>
        <row r="703">
          <cell r="C703" t="str">
            <v>151710WH</v>
          </cell>
          <cell r="D703" t="str">
            <v>ELL Brs 90-1.0</v>
          </cell>
        </row>
        <row r="704">
          <cell r="C704" t="str">
            <v>151711WH</v>
          </cell>
          <cell r="D704" t="str">
            <v>ELL Brs Srt 90-1</v>
          </cell>
        </row>
        <row r="705">
          <cell r="C705" t="str">
            <v>151712WH</v>
          </cell>
          <cell r="D705" t="str">
            <v>TEE Brs 1.0</v>
          </cell>
        </row>
        <row r="706">
          <cell r="C706" t="str">
            <v>151716WH</v>
          </cell>
          <cell r="D706" t="str">
            <v>TEE Brs Rdg 1X1X0.5</v>
          </cell>
        </row>
        <row r="707">
          <cell r="C707" t="str">
            <v>151720WH</v>
          </cell>
          <cell r="D707" t="str">
            <v>Bush Brs Hex 1X0.5</v>
          </cell>
        </row>
        <row r="708">
          <cell r="C708" t="str">
            <v>151727WH</v>
          </cell>
          <cell r="D708" t="str">
            <v>PLUG Brs Sqr 1 NL</v>
          </cell>
        </row>
        <row r="709">
          <cell r="C709" t="str">
            <v>151730WH</v>
          </cell>
          <cell r="D709" t="str">
            <v>NPL Brs 1.0XClose</v>
          </cell>
        </row>
        <row r="710">
          <cell r="C710" t="str">
            <v>151732WH</v>
          </cell>
          <cell r="D710" t="str">
            <v>NPL Brs 1.0X2.0</v>
          </cell>
        </row>
        <row r="711">
          <cell r="C711" t="str">
            <v>151734WH</v>
          </cell>
          <cell r="D711" t="str">
            <v>NPL Brs 1.0X3.0</v>
          </cell>
        </row>
        <row r="712">
          <cell r="C712" t="str">
            <v>151736WH</v>
          </cell>
          <cell r="D712" t="str">
            <v>NPL Brs 1.0X4.0</v>
          </cell>
        </row>
        <row r="713">
          <cell r="C713" t="str">
            <v>151737WH</v>
          </cell>
          <cell r="D713" t="str">
            <v>Npl Brs 1.0X6.0</v>
          </cell>
        </row>
        <row r="714">
          <cell r="C714" t="str">
            <v>151851WH</v>
          </cell>
          <cell r="D714" t="str">
            <v>ELL Brs Srt 90-1.5</v>
          </cell>
        </row>
        <row r="715">
          <cell r="C715" t="str">
            <v>151852WH</v>
          </cell>
          <cell r="D715" t="str">
            <v>Plug Brs NL Sqr 1.5</v>
          </cell>
        </row>
        <row r="716">
          <cell r="C716" t="str">
            <v>151853WH</v>
          </cell>
          <cell r="D716" t="str">
            <v>CPLG Brs 1.5</v>
          </cell>
        </row>
        <row r="717">
          <cell r="C717" t="str">
            <v>151863WH</v>
          </cell>
          <cell r="D717" t="str">
            <v>CPLG Brs Rdg 1.5X1</v>
          </cell>
        </row>
        <row r="718">
          <cell r="C718" t="str">
            <v>151870WH</v>
          </cell>
          <cell r="D718" t="str">
            <v>Adpt Brs Barb MNPT 1.5</v>
          </cell>
        </row>
        <row r="719">
          <cell r="C719" t="str">
            <v>151901WH</v>
          </cell>
          <cell r="D719" t="str">
            <v>CPLG Brs 2.0  CTS X MNPT - NL #74753-22</v>
          </cell>
        </row>
        <row r="720">
          <cell r="C720" t="str">
            <v>151902WH</v>
          </cell>
          <cell r="D720" t="str">
            <v>ELL Brs 90-2</v>
          </cell>
        </row>
        <row r="721">
          <cell r="C721" t="str">
            <v>151904WH</v>
          </cell>
          <cell r="D721" t="str">
            <v>Union Brs 2.0</v>
          </cell>
        </row>
        <row r="722">
          <cell r="C722" t="str">
            <v>151906WH</v>
          </cell>
          <cell r="D722" t="str">
            <v>Plug Brs Sqr 2</v>
          </cell>
        </row>
        <row r="723">
          <cell r="C723" t="str">
            <v>151908WH</v>
          </cell>
          <cell r="D723" t="str">
            <v>ELL Brs 45-2</v>
          </cell>
        </row>
        <row r="724">
          <cell r="C724" t="str">
            <v>151910WH</v>
          </cell>
          <cell r="D724" t="str">
            <v>TEE Brs 2 (Leaded)</v>
          </cell>
        </row>
        <row r="725">
          <cell r="C725" t="str">
            <v>151911WH</v>
          </cell>
          <cell r="D725" t="str">
            <v>Plug Brs NL Sqr 2</v>
          </cell>
        </row>
        <row r="726">
          <cell r="C726" t="str">
            <v>151914WH</v>
          </cell>
          <cell r="D726" t="str">
            <v>TEE Brs Rdg 2X1</v>
          </cell>
        </row>
        <row r="727">
          <cell r="C727" t="str">
            <v>151919WH</v>
          </cell>
          <cell r="D727" t="str">
            <v>CPLG Brs Rdg 2X1</v>
          </cell>
        </row>
        <row r="728">
          <cell r="C728" t="str">
            <v>151920WH</v>
          </cell>
          <cell r="D728" t="str">
            <v>Bush Brs Hex 2X1</v>
          </cell>
        </row>
        <row r="729">
          <cell r="C729" t="str">
            <v>151922WH</v>
          </cell>
          <cell r="D729" t="str">
            <v>Bush Brs Hex 2X1.5</v>
          </cell>
        </row>
        <row r="730">
          <cell r="C730" t="str">
            <v>151935WH</v>
          </cell>
          <cell r="D730" t="str">
            <v>ELL Brs Srt 90-2</v>
          </cell>
        </row>
        <row r="731">
          <cell r="C731" t="str">
            <v>151950WH</v>
          </cell>
          <cell r="D731" t="str">
            <v>NPL Brs 2.0XClose</v>
          </cell>
        </row>
        <row r="732">
          <cell r="C732" t="str">
            <v>151952WH</v>
          </cell>
          <cell r="D732" t="str">
            <v>NPL Brs 2.0X3.0</v>
          </cell>
        </row>
        <row r="733">
          <cell r="C733" t="str">
            <v>151954WH</v>
          </cell>
          <cell r="D733" t="str">
            <v>NPL Brs 2.0X4.0</v>
          </cell>
        </row>
        <row r="734">
          <cell r="C734" t="str">
            <v>151956WH</v>
          </cell>
          <cell r="D734" t="str">
            <v>NPL Brs 2.0X6.0</v>
          </cell>
        </row>
        <row r="735">
          <cell r="C735" t="str">
            <v>151957WH</v>
          </cell>
          <cell r="D735" t="str">
            <v>NPL Brs 2.0X8.0</v>
          </cell>
        </row>
        <row r="736">
          <cell r="C736" t="str">
            <v>151959WH</v>
          </cell>
          <cell r="D736" t="str">
            <v>Cross Brs 2</v>
          </cell>
        </row>
        <row r="737">
          <cell r="C737" t="str">
            <v>151960WH</v>
          </cell>
          <cell r="D737" t="str">
            <v>NPL Brs 2.5X4.0</v>
          </cell>
        </row>
        <row r="738">
          <cell r="C738" t="str">
            <v>151964WH</v>
          </cell>
          <cell r="D738" t="str">
            <v>Bush Brs Hex 2.5X2</v>
          </cell>
        </row>
        <row r="739">
          <cell r="C739" t="str">
            <v>151965WH</v>
          </cell>
          <cell r="D739" t="str">
            <v>NPL Brs 2.5X3.0</v>
          </cell>
        </row>
        <row r="740">
          <cell r="C740" t="str">
            <v>151966WH</v>
          </cell>
          <cell r="D740" t="str">
            <v>2.5 Brz Union</v>
          </cell>
        </row>
        <row r="741">
          <cell r="C741" t="str">
            <v>151968WH</v>
          </cell>
          <cell r="D741" t="str">
            <v>Bush Brs Hex 3X2</v>
          </cell>
        </row>
        <row r="742">
          <cell r="C742" t="str">
            <v>172006WH</v>
          </cell>
          <cell r="D742" t="str">
            <v>NPS PVC 6-Sdr35 / D 3034</v>
          </cell>
        </row>
        <row r="743">
          <cell r="C743" t="str">
            <v>172052WH</v>
          </cell>
          <cell r="D743" t="str">
            <v>Valve Y-Check PVC Sch80 4</v>
          </cell>
        </row>
        <row r="744">
          <cell r="C744" t="str">
            <v>172053WH</v>
          </cell>
          <cell r="D744" t="str">
            <v>Valve Y-Check PVC Sch80 3</v>
          </cell>
        </row>
        <row r="745">
          <cell r="C745" t="str">
            <v>172054WH</v>
          </cell>
          <cell r="D745" t="str">
            <v>Bulkhead Fitting Tank 3 - Shorter Version</v>
          </cell>
        </row>
        <row r="746">
          <cell r="C746" t="str">
            <v>172055WH</v>
          </cell>
          <cell r="D746" t="str">
            <v>Bulkhead Fitting Tank 1</v>
          </cell>
        </row>
        <row r="747">
          <cell r="C747" t="str">
            <v>172056WH</v>
          </cell>
          <cell r="D747" t="str">
            <v>Bulkhead Fitting Tank 1.5</v>
          </cell>
        </row>
        <row r="748">
          <cell r="C748" t="str">
            <v>172057WH</v>
          </cell>
          <cell r="D748" t="str">
            <v>Bulkhead Fitting Tank 2</v>
          </cell>
        </row>
        <row r="749">
          <cell r="C749" t="str">
            <v>172058WH</v>
          </cell>
          <cell r="D749" t="str">
            <v>Bulkhead Fitting Tank 3</v>
          </cell>
        </row>
        <row r="750">
          <cell r="C750" t="str">
            <v>172059WH</v>
          </cell>
          <cell r="D750" t="str">
            <v>Valve Y-Check PVC Sch80 2</v>
          </cell>
        </row>
        <row r="751">
          <cell r="C751" t="str">
            <v>172060WH</v>
          </cell>
          <cell r="D751" t="str">
            <v>Union PVC Sch80 2</v>
          </cell>
        </row>
        <row r="752">
          <cell r="C752" t="str">
            <v>172079WH</v>
          </cell>
          <cell r="D752" t="str">
            <v>NPL Blk 1.5X12.5 Sch80</v>
          </cell>
        </row>
        <row r="753">
          <cell r="C753" t="str">
            <v>172081WH</v>
          </cell>
          <cell r="D753" t="str">
            <v>NPL PVC 2.0X16.5 Sch80</v>
          </cell>
        </row>
        <row r="754">
          <cell r="C754" t="str">
            <v>172083WH</v>
          </cell>
          <cell r="D754" t="str">
            <v>NPS PVC 1.0X8.5 Sch80</v>
          </cell>
        </row>
        <row r="755">
          <cell r="C755" t="str">
            <v>172090WH</v>
          </cell>
          <cell r="D755" t="str">
            <v>NPL PVC 1.0X7.5 Sch80 Bev (Used on 3/4" Adapters)</v>
          </cell>
        </row>
        <row r="756">
          <cell r="C756" t="str">
            <v>172091WH</v>
          </cell>
          <cell r="D756" t="str">
            <v>NPL PVC 1.0X9.0 Sch80 Bev (Used on 3/4" Adapters)</v>
          </cell>
        </row>
        <row r="757">
          <cell r="C757" t="str">
            <v>172092WH</v>
          </cell>
          <cell r="D757" t="str">
            <v>NPL PVC 0.75X7.5 Sch80 Bev (Used on 5/8" Adapters)</v>
          </cell>
        </row>
        <row r="758">
          <cell r="C758" t="str">
            <v>172093WH</v>
          </cell>
          <cell r="D758" t="str">
            <v>NPL PVC 1.25X10.75 Sch80 Bev (Used on 1" Adapters)</v>
          </cell>
        </row>
        <row r="759">
          <cell r="C759" t="str">
            <v>172096WH</v>
          </cell>
          <cell r="D759" t="str">
            <v>Cap PVC 4 Sch40</v>
          </cell>
        </row>
        <row r="760">
          <cell r="C760" t="str">
            <v>172140WH</v>
          </cell>
          <cell r="D760" t="str">
            <v>ELL PVC 90-1.5-Sch80</v>
          </cell>
        </row>
        <row r="761">
          <cell r="C761" t="str">
            <v>192208WH</v>
          </cell>
          <cell r="D761" t="str">
            <v>CPLG Meter 0.75 NL Brz</v>
          </cell>
        </row>
        <row r="762">
          <cell r="C762" t="str">
            <v>212405WH</v>
          </cell>
          <cell r="D762" t="str">
            <v>FLNG Oval 2 CI</v>
          </cell>
        </row>
        <row r="763">
          <cell r="C763" t="str">
            <v>212444WH</v>
          </cell>
          <cell r="D763" t="str">
            <v>FLNG 4X3 NPT Steel Red Thd'd</v>
          </cell>
        </row>
        <row r="764">
          <cell r="C764" t="str">
            <v>212447WH</v>
          </cell>
          <cell r="D764" t="str">
            <v>FLNG Slip On Oval 2X1/2Tk</v>
          </cell>
        </row>
        <row r="765">
          <cell r="C765" t="str">
            <v>212450WH</v>
          </cell>
          <cell r="D765" t="str">
            <v>4X2 CI Companion Flange</v>
          </cell>
        </row>
        <row r="766">
          <cell r="C766" t="str">
            <v>212452WH</v>
          </cell>
          <cell r="D766" t="str">
            <v>2 Rd CI Companion Flange</v>
          </cell>
        </row>
        <row r="767">
          <cell r="C767" t="str">
            <v>212454WH</v>
          </cell>
          <cell r="D767" t="str">
            <v>3 Rd CI Companion Flange</v>
          </cell>
        </row>
        <row r="768">
          <cell r="C768" t="str">
            <v>212456WH</v>
          </cell>
          <cell r="D768" t="str">
            <v>4 Rd CI Companion Flange</v>
          </cell>
        </row>
        <row r="769">
          <cell r="C769" t="str">
            <v>212458WH</v>
          </cell>
          <cell r="D769" t="str">
            <v>6 Rd CI Companion Flange</v>
          </cell>
        </row>
        <row r="770">
          <cell r="C770" t="str">
            <v>212460WH</v>
          </cell>
          <cell r="D770" t="str">
            <v>8 Rd CI Companion Flange</v>
          </cell>
        </row>
        <row r="771">
          <cell r="C771" t="str">
            <v>212467WH</v>
          </cell>
          <cell r="D771" t="str">
            <v>FLNG Blk Slip  2-AWWA2D</v>
          </cell>
        </row>
        <row r="772">
          <cell r="C772" t="str">
            <v>212469WH</v>
          </cell>
          <cell r="D772" t="str">
            <v>FLNG Blk Slip  2.5-AWWA2D</v>
          </cell>
        </row>
        <row r="773">
          <cell r="C773" t="str">
            <v>212470WH</v>
          </cell>
          <cell r="D773" t="str">
            <v>FLNG Blk Slip  3-AWWA2D</v>
          </cell>
        </row>
        <row r="774">
          <cell r="C774" t="str">
            <v>212472WH</v>
          </cell>
          <cell r="D774" t="str">
            <v>FLNG Blk Slip  4-AWWA2D</v>
          </cell>
        </row>
        <row r="775">
          <cell r="C775" t="str">
            <v>212474WH</v>
          </cell>
          <cell r="D775" t="str">
            <v>FLNG Blk Slip  6-AWWA2D</v>
          </cell>
        </row>
        <row r="776">
          <cell r="C776" t="str">
            <v>212476WH</v>
          </cell>
          <cell r="D776" t="str">
            <v>FLNG Blk Slip  8-AWWA2D</v>
          </cell>
        </row>
        <row r="777">
          <cell r="C777" t="str">
            <v>212478WH</v>
          </cell>
          <cell r="D777" t="str">
            <v>FLNG Blk Slip 10-AWWA2D</v>
          </cell>
        </row>
        <row r="778">
          <cell r="C778" t="str">
            <v>212480WH</v>
          </cell>
          <cell r="D778" t="str">
            <v>FLNG Blk Slip 12-AWWA2D</v>
          </cell>
        </row>
        <row r="779">
          <cell r="C779" t="str">
            <v>212520WH</v>
          </cell>
          <cell r="D779" t="str">
            <v>Flg Thd 300#  2</v>
          </cell>
        </row>
        <row r="780">
          <cell r="C780" t="str">
            <v>212555WH</v>
          </cell>
          <cell r="D780" t="str">
            <v>FLNG Oval Slip-On 1.5X1/2 Tk</v>
          </cell>
        </row>
        <row r="781">
          <cell r="C781" t="str">
            <v>212562WH</v>
          </cell>
          <cell r="D781" t="str">
            <v>FLNG 3 150 lb Al</v>
          </cell>
        </row>
        <row r="782">
          <cell r="C782" t="str">
            <v>212571WH</v>
          </cell>
          <cell r="D782" t="str">
            <v>FLNG Filler 10 X 1</v>
          </cell>
        </row>
        <row r="783">
          <cell r="C783" t="str">
            <v>232601WH</v>
          </cell>
          <cell r="D783" t="str">
            <v>Bolt Hex SS  5/8-11X2 1/2</v>
          </cell>
        </row>
        <row r="784">
          <cell r="C784" t="str">
            <v>232602WH</v>
          </cell>
          <cell r="D784" t="str">
            <v>Nut Hex SS  5/8-11</v>
          </cell>
        </row>
        <row r="785">
          <cell r="C785" t="str">
            <v>232603WH</v>
          </cell>
          <cell r="D785" t="str">
            <v>Bolt Hex Zinc  5/8-11X2 1/2</v>
          </cell>
        </row>
        <row r="786">
          <cell r="C786" t="str">
            <v>232604WH</v>
          </cell>
          <cell r="D786" t="str">
            <v>Nut Hex Zinc  5/8-11</v>
          </cell>
        </row>
        <row r="787">
          <cell r="C787" t="str">
            <v>232605WH</v>
          </cell>
          <cell r="D787" t="str">
            <v>Bolt Hex SS  3/8-16X1 3/4</v>
          </cell>
        </row>
        <row r="788">
          <cell r="C788" t="str">
            <v>232606WH</v>
          </cell>
          <cell r="D788" t="str">
            <v>Nut Hex SS  3/8-16</v>
          </cell>
        </row>
        <row r="789">
          <cell r="C789" t="str">
            <v>232607WH</v>
          </cell>
          <cell r="D789" t="str">
            <v>Washer Flat Zinc SAE 5/8</v>
          </cell>
        </row>
        <row r="790">
          <cell r="C790" t="str">
            <v>232608WH</v>
          </cell>
          <cell r="D790" t="str">
            <v>Bolt Hex Zinc  5/8-11X3</v>
          </cell>
        </row>
        <row r="791">
          <cell r="C791" t="str">
            <v>232609WH</v>
          </cell>
          <cell r="D791" t="str">
            <v>Bolt Hex SS  3/8-16 X 1</v>
          </cell>
        </row>
        <row r="792">
          <cell r="C792" t="str">
            <v>232611WH</v>
          </cell>
          <cell r="D792" t="str">
            <v>Nut Hex SS 3/4</v>
          </cell>
        </row>
        <row r="793">
          <cell r="C793" t="str">
            <v>232647WH</v>
          </cell>
          <cell r="D793" t="str">
            <v>Ring Spiral Internal Light</v>
          </cell>
        </row>
        <row r="794">
          <cell r="C794" t="str">
            <v>232648WH</v>
          </cell>
          <cell r="D794" t="str">
            <v>Washer Lock SS 5/8</v>
          </cell>
        </row>
        <row r="795">
          <cell r="C795" t="str">
            <v>232649WH</v>
          </cell>
          <cell r="D795" t="str">
            <v>Nut SS 5/8-11 Acorn</v>
          </cell>
        </row>
        <row r="796">
          <cell r="C796" t="str">
            <v>232663WH</v>
          </cell>
          <cell r="D796" t="str">
            <v>5/16-24  X 12' All Thread</v>
          </cell>
        </row>
        <row r="797">
          <cell r="C797" t="str">
            <v>252606wh</v>
          </cell>
          <cell r="D797" t="str">
            <v>Bolt Hex SS  3/8-16X2</v>
          </cell>
        </row>
        <row r="798">
          <cell r="C798" t="str">
            <v>252804WH</v>
          </cell>
          <cell r="D798" t="str">
            <v>1.5 - 2 Kent Str Screen</v>
          </cell>
        </row>
        <row r="799">
          <cell r="C799" t="str">
            <v>252808WH</v>
          </cell>
          <cell r="D799" t="str">
            <v>Screen Strainer 4 Kent</v>
          </cell>
        </row>
        <row r="800">
          <cell r="C800" t="str">
            <v>252809WH</v>
          </cell>
          <cell r="D800" t="str">
            <v>Screen Strainer 3 Kent</v>
          </cell>
        </row>
        <row r="801">
          <cell r="C801" t="str">
            <v>252812WH</v>
          </cell>
          <cell r="D801" t="str">
            <v>Screen Strainer 6 Kent</v>
          </cell>
        </row>
        <row r="802">
          <cell r="C802" t="str">
            <v>252816WH</v>
          </cell>
          <cell r="D802" t="str">
            <v>O-Ring Cord 1/4 Co-250 BNA70</v>
          </cell>
        </row>
        <row r="803">
          <cell r="C803" t="str">
            <v>252822WH</v>
          </cell>
          <cell r="D803" t="str">
            <v>Gskt Cover Strainer 11/2</v>
          </cell>
        </row>
        <row r="804">
          <cell r="C804" t="str">
            <v>252823WH</v>
          </cell>
          <cell r="D804" t="str">
            <v>Top Plate Strainer  6</v>
          </cell>
        </row>
        <row r="805">
          <cell r="C805" t="str">
            <v>252824WH</v>
          </cell>
          <cell r="D805" t="str">
            <v>Gskt Cover Strainer 2</v>
          </cell>
        </row>
        <row r="806">
          <cell r="C806" t="str">
            <v>252831WH</v>
          </cell>
          <cell r="D806" t="str">
            <v>Gskt Top Brz Strainer 3</v>
          </cell>
        </row>
        <row r="807">
          <cell r="C807" t="str">
            <v>252844WH</v>
          </cell>
          <cell r="D807" t="str">
            <v>Gskt Top Brz Strainer 4</v>
          </cell>
        </row>
        <row r="808">
          <cell r="C808" t="str">
            <v>252847WH</v>
          </cell>
          <cell r="D808" t="str">
            <v>Washer Flat SS 5/16</v>
          </cell>
        </row>
        <row r="809">
          <cell r="C809" t="str">
            <v>252862WH</v>
          </cell>
          <cell r="D809" t="str">
            <v>Side Plate Strainer  6</v>
          </cell>
        </row>
        <row r="810">
          <cell r="C810" t="str">
            <v>252863WH</v>
          </cell>
          <cell r="D810" t="str">
            <v>U-Piece Bending Strainer  6</v>
          </cell>
        </row>
        <row r="811">
          <cell r="C811" t="str">
            <v>252864WH</v>
          </cell>
          <cell r="D811" t="str">
            <v>Screen Z-Plate Strainer  6</v>
          </cell>
        </row>
        <row r="812">
          <cell r="C812" t="str">
            <v>252865WH</v>
          </cell>
          <cell r="D812" t="str">
            <v>Letter Box Plate Strainer  6</v>
          </cell>
        </row>
        <row r="813">
          <cell r="C813" t="str">
            <v>252869WH</v>
          </cell>
          <cell r="D813" t="str">
            <v>Gskt Top Brz Strainer 6</v>
          </cell>
        </row>
        <row r="814">
          <cell r="C814" t="str">
            <v>252882WH</v>
          </cell>
          <cell r="D814" t="str">
            <v>Side Plate Strainer  8</v>
          </cell>
        </row>
        <row r="815">
          <cell r="C815" t="str">
            <v>252884WH</v>
          </cell>
          <cell r="D815" t="str">
            <v>Letter Box Plate Strainer  8</v>
          </cell>
        </row>
        <row r="816">
          <cell r="C816" t="str">
            <v>252886WH</v>
          </cell>
          <cell r="D816" t="str">
            <v>Screen Z-Plate Strainer  8</v>
          </cell>
        </row>
        <row r="817">
          <cell r="C817" t="str">
            <v>252887WH</v>
          </cell>
          <cell r="D817" t="str">
            <v>U-Piece Bending Strainer  8</v>
          </cell>
        </row>
        <row r="818">
          <cell r="C818" t="str">
            <v>252890WH</v>
          </cell>
          <cell r="D818" t="str">
            <v>Top Plate Strainer  3&amp;4</v>
          </cell>
        </row>
        <row r="819">
          <cell r="C819" t="str">
            <v>252891WH</v>
          </cell>
          <cell r="D819" t="str">
            <v>Letter Box Strainer  3&amp;4</v>
          </cell>
        </row>
        <row r="820">
          <cell r="C820" t="str">
            <v>252892WH</v>
          </cell>
          <cell r="D820" t="str">
            <v>Body Strainer 3</v>
          </cell>
        </row>
        <row r="821">
          <cell r="C821" t="str">
            <v>252893WH</v>
          </cell>
          <cell r="D821" t="str">
            <v>End Plate Strainer  3&amp;4</v>
          </cell>
        </row>
        <row r="822">
          <cell r="C822" t="str">
            <v>252894WH</v>
          </cell>
          <cell r="D822" t="str">
            <v>Screen Z-Plate Strainer  3</v>
          </cell>
        </row>
        <row r="823">
          <cell r="C823" t="str">
            <v>252895WH</v>
          </cell>
          <cell r="D823" t="str">
            <v>Screen Z-Plate Strainer  4</v>
          </cell>
        </row>
        <row r="824">
          <cell r="C824" t="str">
            <v>252897WH</v>
          </cell>
          <cell r="D824" t="str">
            <v>Body Strainer  4</v>
          </cell>
        </row>
        <row r="825">
          <cell r="C825" t="str">
            <v>252902WH</v>
          </cell>
          <cell r="D825" t="str">
            <v>Side Plate Strainer 10</v>
          </cell>
        </row>
        <row r="826">
          <cell r="C826" t="str">
            <v>252904WH</v>
          </cell>
          <cell r="D826" t="str">
            <v>Screen Z-Plate Strainer 10</v>
          </cell>
        </row>
        <row r="827">
          <cell r="C827" t="str">
            <v>252905WH</v>
          </cell>
          <cell r="D827" t="str">
            <v>U-Piece Bending Strainer 10</v>
          </cell>
        </row>
        <row r="828">
          <cell r="C828" t="str">
            <v>252907WH</v>
          </cell>
          <cell r="D828" t="str">
            <v>Letter Box Plate Strainer 10</v>
          </cell>
        </row>
        <row r="829">
          <cell r="C829" t="str">
            <v>252909WH</v>
          </cell>
          <cell r="D829" t="str">
            <v>Side Plate Sand Trap Str 10</v>
          </cell>
        </row>
        <row r="830">
          <cell r="C830" t="str">
            <v>252921WH</v>
          </cell>
          <cell r="D830" t="str">
            <v>Letter Box Plate Strainer 12</v>
          </cell>
        </row>
        <row r="831">
          <cell r="C831" t="str">
            <v>252922WH</v>
          </cell>
          <cell r="D831" t="str">
            <v>Side Plate Strainer 12</v>
          </cell>
        </row>
        <row r="832">
          <cell r="C832" t="str">
            <v>252924WH</v>
          </cell>
          <cell r="D832" t="str">
            <v>Screen Z-Plate Strainer 12</v>
          </cell>
        </row>
        <row r="833">
          <cell r="C833" t="str">
            <v>252926WH</v>
          </cell>
          <cell r="D833" t="str">
            <v>U-Piece Bending Strainer 12</v>
          </cell>
        </row>
        <row r="834">
          <cell r="C834" t="str">
            <v>252936WH</v>
          </cell>
          <cell r="D834" t="str">
            <v>Side Plate Sand Trap Str  4"</v>
          </cell>
        </row>
        <row r="835">
          <cell r="C835" t="str">
            <v>252937WH</v>
          </cell>
          <cell r="D835" t="str">
            <v>Side Plate Sand Trap Str  8</v>
          </cell>
        </row>
        <row r="836">
          <cell r="C836" t="str">
            <v>252946WH</v>
          </cell>
          <cell r="D836" t="str">
            <v>Side Plate Sand Trap Str  6</v>
          </cell>
        </row>
        <row r="837">
          <cell r="C837" t="str">
            <v>252957WH</v>
          </cell>
          <cell r="D837" t="str">
            <v>Side Plate Sand Trap Str 12</v>
          </cell>
        </row>
        <row r="838">
          <cell r="C838" t="str">
            <v>252962WH</v>
          </cell>
          <cell r="D838" t="str">
            <v>Top Plate Strainer 8</v>
          </cell>
        </row>
        <row r="839">
          <cell r="C839" t="str">
            <v>252963WH</v>
          </cell>
          <cell r="D839" t="str">
            <v>Top Plate Strainer 10</v>
          </cell>
        </row>
        <row r="840">
          <cell r="C840" t="str">
            <v>252964WH</v>
          </cell>
          <cell r="D840" t="str">
            <v>Top Plate Strainer 12</v>
          </cell>
        </row>
        <row r="841">
          <cell r="C841" t="str">
            <v>252966WH</v>
          </cell>
          <cell r="D841" t="str">
            <v>Y-Strainer Brs  0.5 FNPT X FNPT 50 Mesh</v>
          </cell>
        </row>
        <row r="842">
          <cell r="C842" t="str">
            <v>252967WH</v>
          </cell>
          <cell r="D842" t="str">
            <v>Y-Strainer Brz 1</v>
          </cell>
        </row>
        <row r="843">
          <cell r="C843" t="str">
            <v>252968WH</v>
          </cell>
          <cell r="D843" t="str">
            <v>Y-Strainer Brz  3/4</v>
          </cell>
        </row>
        <row r="844">
          <cell r="C844" t="str">
            <v>252972WH</v>
          </cell>
          <cell r="D844" t="str">
            <v>5/16 X 1 SS Hex Cap Screw</v>
          </cell>
        </row>
        <row r="845">
          <cell r="C845" t="str">
            <v>252975WH</v>
          </cell>
          <cell r="D845" t="str">
            <v>Washer Flat SS 3/8</v>
          </cell>
        </row>
        <row r="846">
          <cell r="C846" t="str">
            <v>252990WH</v>
          </cell>
          <cell r="D846" t="str">
            <v>Body Strainer Brz N/L 2</v>
          </cell>
        </row>
        <row r="847">
          <cell r="C847" t="str">
            <v>252991WH</v>
          </cell>
          <cell r="D847" t="str">
            <v>Cover Plate Strainer Brz N/L 2</v>
          </cell>
        </row>
        <row r="848">
          <cell r="C848" t="str">
            <v>252992WH</v>
          </cell>
          <cell r="D848" t="str">
            <v>Body Strainer Brz N/L 3</v>
          </cell>
        </row>
        <row r="849">
          <cell r="C849" t="str">
            <v>252993WH</v>
          </cell>
          <cell r="D849" t="str">
            <v>Cover Plate Strainer Brz N/L 3</v>
          </cell>
        </row>
        <row r="850">
          <cell r="C850" t="str">
            <v>252994WH</v>
          </cell>
          <cell r="D850" t="str">
            <v>Body Strainer Brz N/L 4</v>
          </cell>
        </row>
        <row r="851">
          <cell r="C851" t="str">
            <v>252995WH</v>
          </cell>
          <cell r="D851" t="str">
            <v>Cover Plate Strainer Brz N/L 4</v>
          </cell>
        </row>
        <row r="852">
          <cell r="C852" t="str">
            <v>252996WH</v>
          </cell>
          <cell r="D852" t="str">
            <v>Body Strainer Brz N/L 6</v>
          </cell>
        </row>
        <row r="853">
          <cell r="C853" t="str">
            <v>252997WH</v>
          </cell>
          <cell r="D853" t="str">
            <v>Cover Plate Strainer Brz N/L 6</v>
          </cell>
        </row>
        <row r="854">
          <cell r="C854" t="str">
            <v>252998WH</v>
          </cell>
          <cell r="D854" t="str">
            <v>Body Strainer Brz N/L 1.5</v>
          </cell>
        </row>
        <row r="855">
          <cell r="C855" t="str">
            <v>252999WH</v>
          </cell>
          <cell r="D855" t="str">
            <v>Cover Plate Strainer Brz N/L 1.5</v>
          </cell>
        </row>
        <row r="856">
          <cell r="C856" t="str">
            <v>2730011WH</v>
          </cell>
          <cell r="D856" t="str">
            <v>Moapa Valley 2 Side Tags</v>
          </cell>
        </row>
        <row r="857">
          <cell r="C857" t="str">
            <v>273010WH</v>
          </cell>
          <cell r="D857" t="str">
            <v>Mars Valve Lock W/ Strap</v>
          </cell>
        </row>
        <row r="858">
          <cell r="C858" t="str">
            <v>273022WH</v>
          </cell>
          <cell r="D858" t="str">
            <v>Mars Id Muni Code 1 Side</v>
          </cell>
        </row>
        <row r="859">
          <cell r="C859" t="str">
            <v>273038WH</v>
          </cell>
          <cell r="D859" t="str">
            <v>Union County Id Tag 2 Sides</v>
          </cell>
        </row>
        <row r="860">
          <cell r="C860" t="str">
            <v>273048WH</v>
          </cell>
          <cell r="D860" t="str">
            <v>VF4 Serial Plate</v>
          </cell>
        </row>
        <row r="861">
          <cell r="C861" t="str">
            <v>300008WH</v>
          </cell>
          <cell r="D861" t="str">
            <v>Washer Lock SS  3/8</v>
          </cell>
        </row>
        <row r="862">
          <cell r="C862" t="str">
            <v>300035WH</v>
          </cell>
          <cell r="D862" t="str">
            <v>1.5 True Union Ball Valve Sch 80 #VXEBV107</v>
          </cell>
        </row>
        <row r="863">
          <cell r="C863" t="str">
            <v>300036WH</v>
          </cell>
          <cell r="D863" t="str">
            <v>0.75 True Union Ball Valve Sch 80 # SXEBV104</v>
          </cell>
        </row>
        <row r="864">
          <cell r="C864" t="str">
            <v>300039WH</v>
          </cell>
          <cell r="D864" t="str">
            <v>Hay-05-290 C2251540LSS 25Sqf 40Gpm Micro Starclear Cart Sys W/ Hk</v>
          </cell>
        </row>
        <row r="865">
          <cell r="C865" t="str">
            <v>300043WH</v>
          </cell>
          <cell r="D865" t="str">
            <v>Hose Clamp SS #Ct250 LSS</v>
          </cell>
        </row>
        <row r="866">
          <cell r="C866" t="str">
            <v>300100WH</v>
          </cell>
          <cell r="D866" t="str">
            <v>O-Ring #327-70N Nitrile Rubber AS-568A-327</v>
          </cell>
        </row>
        <row r="867">
          <cell r="C867" t="str">
            <v>333441WH</v>
          </cell>
          <cell r="D867" t="str">
            <v>Lock Pin 3/8X1 1/2</v>
          </cell>
        </row>
        <row r="868">
          <cell r="C868" t="str">
            <v>37000WH</v>
          </cell>
          <cell r="D868" t="str">
            <v>Powder Coating Charge</v>
          </cell>
        </row>
        <row r="869">
          <cell r="C869" t="str">
            <v>380163E</v>
          </cell>
          <cell r="D869" t="str">
            <v>Battery , Lithium-3.6V/750-850Ma # 23957-0021</v>
          </cell>
        </row>
        <row r="870">
          <cell r="C870" t="str">
            <v>380234E</v>
          </cell>
          <cell r="D870" t="str">
            <v>Cable Null Modem DB9F/DB9F</v>
          </cell>
        </row>
        <row r="871">
          <cell r="C871" t="str">
            <v>380748WH</v>
          </cell>
          <cell r="D871" t="str">
            <v>Toughbook FZ-55CV302VM Panasonic  Insight</v>
          </cell>
        </row>
        <row r="872">
          <cell r="C872" t="str">
            <v>394000WH</v>
          </cell>
          <cell r="D872" t="str">
            <v>VF1 Overlay</v>
          </cell>
        </row>
        <row r="873">
          <cell r="C873" t="str">
            <v>394002WH</v>
          </cell>
          <cell r="D873" t="str">
            <v>VF1 Gpi Meter 113900-0027</v>
          </cell>
        </row>
        <row r="874">
          <cell r="C874" t="str">
            <v>394004WH</v>
          </cell>
          <cell r="D874" t="str">
            <v>Pressure Gauge - VF1 1-160 Psi Non-Filled</v>
          </cell>
        </row>
        <row r="875">
          <cell r="C875" t="str">
            <v>394005WH</v>
          </cell>
          <cell r="D875" t="str">
            <v>Adpt Cu Fsld MNPT 0.5X0.75</v>
          </cell>
        </row>
        <row r="876">
          <cell r="C876" t="str">
            <v>394007WH</v>
          </cell>
          <cell r="D876" t="str">
            <v>VF1 Al Inlet Fitting 1NPT</v>
          </cell>
        </row>
        <row r="877">
          <cell r="C877" t="str">
            <v>394008WH</v>
          </cell>
          <cell r="D877" t="str">
            <v>VF1 Al Outlet Fitting 1NPT</v>
          </cell>
        </row>
        <row r="878">
          <cell r="C878" t="str">
            <v>394009WH</v>
          </cell>
          <cell r="D878" t="str">
            <v>VF1 Case W/ Foam Liners 50026 (Ch126)</v>
          </cell>
        </row>
        <row r="879">
          <cell r="C879" t="str">
            <v>394017WH</v>
          </cell>
          <cell r="D879" t="str">
            <v>VF4 Screen For Inlet Fitting</v>
          </cell>
        </row>
        <row r="880">
          <cell r="C880" t="str">
            <v>394049WH</v>
          </cell>
          <cell r="D880" t="str">
            <v>Bearing 0.75 TCB-1 Replacement (Replaces CB-1) #900084</v>
          </cell>
        </row>
        <row r="881">
          <cell r="C881" t="str">
            <v>394050WH</v>
          </cell>
          <cell r="D881" t="str">
            <v>VF4 Universal Body Assy</v>
          </cell>
        </row>
        <row r="882">
          <cell r="C882" t="str">
            <v>394052WH</v>
          </cell>
          <cell r="D882" t="str">
            <v>ADPT Swivel 0.75 FHTX0.75 FIP</v>
          </cell>
        </row>
        <row r="883">
          <cell r="C883" t="str">
            <v>394059WH</v>
          </cell>
          <cell r="D883" t="str">
            <v>VF4 Leg Large</v>
          </cell>
        </row>
        <row r="884">
          <cell r="C884" t="str">
            <v>394069WH</v>
          </cell>
          <cell r="D884" t="str">
            <v>VF4 Leg Small</v>
          </cell>
        </row>
        <row r="885">
          <cell r="C885" t="str">
            <v>394140WH</v>
          </cell>
          <cell r="D885" t="str">
            <v>VF4 Rotor Turbine #900307</v>
          </cell>
        </row>
        <row r="886">
          <cell r="C886" t="str">
            <v>394151WH</v>
          </cell>
          <cell r="D886" t="str">
            <v>Battery For VF4 Lowside</v>
          </cell>
        </row>
        <row r="887">
          <cell r="C887" t="str">
            <v>400002SW</v>
          </cell>
          <cell r="D887" t="str">
            <v>Server (Hp Z2 G5)</v>
          </cell>
        </row>
        <row r="888">
          <cell r="C888" t="str">
            <v>400007SW</v>
          </cell>
          <cell r="D888" t="str">
            <v>Ipad</v>
          </cell>
        </row>
        <row r="889">
          <cell r="C889" t="str">
            <v>400008SW</v>
          </cell>
          <cell r="D889" t="str">
            <v>Ipad Lifeproof Case</v>
          </cell>
        </row>
        <row r="890">
          <cell r="C890" t="str">
            <v>400009SW</v>
          </cell>
          <cell r="D890" t="str">
            <v>Mouse Pad</v>
          </cell>
        </row>
        <row r="891">
          <cell r="C891" t="str">
            <v>400010SW</v>
          </cell>
          <cell r="D891" t="str">
            <v>Wireless Router</v>
          </cell>
        </row>
        <row r="892">
          <cell r="C892" t="str">
            <v>400015SW</v>
          </cell>
          <cell r="D892" t="str">
            <v>Netgear 4G Lte Modem Lb2120 Mobile Wifi</v>
          </cell>
        </row>
        <row r="893">
          <cell r="C893" t="str">
            <v>400052WH</v>
          </cell>
          <cell r="D893" t="str">
            <v>RCM 100G V1.5B Single (Gas)</v>
          </cell>
        </row>
        <row r="894">
          <cell r="C894" t="str">
            <v>400053WH</v>
          </cell>
          <cell r="D894" t="str">
            <v>Actuator Head 2      Dynaquip</v>
          </cell>
        </row>
        <row r="895">
          <cell r="C895" t="str">
            <v>400059WH</v>
          </cell>
          <cell r="D895" t="str">
            <v>Trolley Brake</v>
          </cell>
        </row>
        <row r="896">
          <cell r="C896" t="str">
            <v>400060WH</v>
          </cell>
          <cell r="D896" t="str">
            <v>Work Station 12 X 16 3/4 (Series 100, 300 , 500, 1000 &amp; 1200)</v>
          </cell>
        </row>
        <row r="897">
          <cell r="C897" t="str">
            <v>400065WH</v>
          </cell>
          <cell r="D897" t="str">
            <v>Work Station 12 X 43 (Series 10000)</v>
          </cell>
        </row>
        <row r="898">
          <cell r="C898" t="str">
            <v>400071E</v>
          </cell>
          <cell r="D898" t="str">
            <v>UPS Back Up w/AVR</v>
          </cell>
        </row>
        <row r="899">
          <cell r="C899" t="str">
            <v>400076WH</v>
          </cell>
          <cell r="D899" t="str">
            <v>2.5 X 25 Blk Nitrile M/F NST</v>
          </cell>
        </row>
        <row r="900">
          <cell r="C900" t="str">
            <v>4001004E</v>
          </cell>
          <cell r="D900" t="str">
            <v>Relay Board 8-Channel</v>
          </cell>
        </row>
        <row r="901">
          <cell r="C901" t="str">
            <v>4001018E</v>
          </cell>
          <cell r="D901" t="str">
            <v>Relay Base Magnecraft</v>
          </cell>
        </row>
        <row r="902">
          <cell r="C902" t="str">
            <v>4001022E</v>
          </cell>
          <cell r="D902" t="str">
            <v>Relay 4-Pole</v>
          </cell>
        </row>
        <row r="903">
          <cell r="C903" t="str">
            <v>4001030E</v>
          </cell>
          <cell r="D903" t="str">
            <v>Opto22 Output Relay</v>
          </cell>
        </row>
        <row r="904">
          <cell r="C904" t="str">
            <v>4001036E</v>
          </cell>
          <cell r="D904" t="str">
            <v>Relay Warrick Safe Circuit</v>
          </cell>
        </row>
        <row r="905">
          <cell r="C905" t="str">
            <v>4001044E</v>
          </cell>
          <cell r="D905" t="str">
            <v>Cable Display Port Shielded</v>
          </cell>
        </row>
        <row r="906">
          <cell r="C906" t="str">
            <v>4001045E</v>
          </cell>
          <cell r="D906" t="str">
            <v>Relay Octal Base</v>
          </cell>
        </row>
        <row r="907">
          <cell r="C907" t="str">
            <v>4001046E</v>
          </cell>
          <cell r="D907" t="str">
            <v>Relay Octal</v>
          </cell>
        </row>
        <row r="908">
          <cell r="C908" t="str">
            <v>4001073E</v>
          </cell>
          <cell r="D908" t="str">
            <v>Dual Channel Analog Card</v>
          </cell>
        </row>
        <row r="909">
          <cell r="C909" t="str">
            <v>4001074E</v>
          </cell>
          <cell r="D909" t="str">
            <v>Single Channel Analog Card 52959-1158</v>
          </cell>
        </row>
        <row r="910">
          <cell r="C910" t="str">
            <v>4001075E</v>
          </cell>
          <cell r="D910" t="str">
            <v>T101P3 120V Spst Outdoor Mechanical Timer-Plastic Box</v>
          </cell>
        </row>
        <row r="911">
          <cell r="C911" t="str">
            <v>4001076E</v>
          </cell>
          <cell r="D911" t="str">
            <v>Relay Power 120V</v>
          </cell>
        </row>
        <row r="912">
          <cell r="C912" t="str">
            <v>400122WH</v>
          </cell>
          <cell r="D912" t="str">
            <v>Bush Brs Hex 0.5X0.37</v>
          </cell>
        </row>
        <row r="913">
          <cell r="C913" t="str">
            <v>400124SW</v>
          </cell>
          <cell r="D913" t="str">
            <v>Alfa #Awus036Neh Wifi Adapter</v>
          </cell>
        </row>
        <row r="914">
          <cell r="C914" t="str">
            <v>400125E</v>
          </cell>
          <cell r="D914" t="str">
            <v>30 Pin ( Size 32 ) Female Insert</v>
          </cell>
        </row>
        <row r="915">
          <cell r="C915" t="str">
            <v>400127WH</v>
          </cell>
          <cell r="D915" t="str">
            <v>Diamond Plate 20X20 1/8 Thk</v>
          </cell>
        </row>
        <row r="916">
          <cell r="C916" t="str">
            <v>400141WH</v>
          </cell>
          <cell r="D916" t="str">
            <v>Bar Flt Stl   3/8 X10      Hr</v>
          </cell>
        </row>
        <row r="917">
          <cell r="C917" t="str">
            <v>400142WH</v>
          </cell>
          <cell r="D917" t="str">
            <v>Bar Flt Stl   0.25 X 6      Hr</v>
          </cell>
        </row>
        <row r="918">
          <cell r="C918" t="str">
            <v>400157WH</v>
          </cell>
          <cell r="D918" t="str">
            <v>Thredolet 1.5  # Fsolet 475059</v>
          </cell>
        </row>
        <row r="919">
          <cell r="C919" t="str">
            <v>400162E</v>
          </cell>
          <cell r="D919" t="str">
            <v>Cable 14 AWG 3 Conductor SOOW (B/W/G)</v>
          </cell>
        </row>
        <row r="920">
          <cell r="C920" t="str">
            <v>400163E</v>
          </cell>
          <cell r="D920" t="str">
            <v>Cord Cap Male, 20 AMP</v>
          </cell>
        </row>
        <row r="921">
          <cell r="C921" t="str">
            <v>400165WH</v>
          </cell>
          <cell r="D921" t="str">
            <v>Battery For VF4 Highside</v>
          </cell>
        </row>
        <row r="922">
          <cell r="C922" t="str">
            <v>400180WH</v>
          </cell>
          <cell r="D922" t="str">
            <v>Tank Screen 12 TATS01</v>
          </cell>
        </row>
        <row r="923">
          <cell r="C923" t="str">
            <v>400184E</v>
          </cell>
          <cell r="D923" t="str">
            <v>Starter Protection Thermal/Magnetic 4-6 AMP</v>
          </cell>
        </row>
        <row r="924">
          <cell r="C924" t="str">
            <v>400191E</v>
          </cell>
          <cell r="D924" t="str">
            <v>Conduit Chase Nipple 4"</v>
          </cell>
        </row>
        <row r="925">
          <cell r="C925" t="str">
            <v>400192E</v>
          </cell>
          <cell r="D925" t="str">
            <v>Conduit Plastic Bushing 4"</v>
          </cell>
        </row>
        <row r="926">
          <cell r="C926" t="str">
            <v>400193E</v>
          </cell>
          <cell r="D926" t="str">
            <v>Conduit Lock Nut 4"</v>
          </cell>
        </row>
        <row r="927">
          <cell r="C927" t="str">
            <v>400200SW</v>
          </cell>
          <cell r="D927" t="str">
            <v>Benfei Display Port To Vga Ada</v>
          </cell>
        </row>
        <row r="928">
          <cell r="C928" t="str">
            <v>4002015E</v>
          </cell>
          <cell r="D928" t="str">
            <v>Surge Protector 120V Atl Sci22035Ma15</v>
          </cell>
        </row>
        <row r="929">
          <cell r="C929" t="str">
            <v>400220WH</v>
          </cell>
          <cell r="D929" t="str">
            <v>2 Split Ring Hanger-Cu Pipe</v>
          </cell>
        </row>
        <row r="930">
          <cell r="C930" t="str">
            <v>400231WH</v>
          </cell>
          <cell r="D930" t="str">
            <v>Load Cell Kit 4MOD 10K# Ea W/Summing Box   Rl1600 Series, Part # 18135</v>
          </cell>
        </row>
        <row r="931">
          <cell r="C931" t="str">
            <v>400233WH</v>
          </cell>
          <cell r="D931" t="str">
            <v>Carbon Steel Safety Pin # 2Ujg5</v>
          </cell>
        </row>
        <row r="932">
          <cell r="C932" t="str">
            <v>400262E</v>
          </cell>
          <cell r="D932" t="str">
            <v>Breaker 2AMP</v>
          </cell>
        </row>
        <row r="933">
          <cell r="C933" t="str">
            <v>400265E</v>
          </cell>
          <cell r="D933" t="str">
            <v>Plate End &amp; Intermed 2 Cond Gray</v>
          </cell>
        </row>
        <row r="934">
          <cell r="C934" t="str">
            <v>400267E</v>
          </cell>
          <cell r="D934" t="str">
            <v>Plate End &amp; Intermed 3 Cond Gray</v>
          </cell>
        </row>
        <row r="935">
          <cell r="C935" t="str">
            <v>400268E</v>
          </cell>
          <cell r="D935" t="str">
            <v>Term Block 2-Cond Ground</v>
          </cell>
        </row>
        <row r="936">
          <cell r="C936" t="str">
            <v>400270WH</v>
          </cell>
          <cell r="D936" t="str">
            <v>GAUGE 2.5 Liquid Filled SS 300 Psi Pro201L-254H</v>
          </cell>
        </row>
        <row r="937">
          <cell r="C937" t="str">
            <v>400271SW</v>
          </cell>
          <cell r="D937" t="str">
            <v>USB to Serial Adapter Cable</v>
          </cell>
        </row>
        <row r="938">
          <cell r="C938" t="str">
            <v>400275WH</v>
          </cell>
          <cell r="D938" t="str">
            <v>Battery For VF4 Turbines Inc 3.6V / Aa X 3 Lithium</v>
          </cell>
        </row>
        <row r="939">
          <cell r="C939" t="str">
            <v>4003010E</v>
          </cell>
          <cell r="D939" t="str">
            <v>Cable Display port To HDMI 6 Ft</v>
          </cell>
        </row>
        <row r="940">
          <cell r="C940" t="str">
            <v>4003011E</v>
          </cell>
          <cell r="D940" t="str">
            <v>Paddle Actuated Flow Switch - Old Style Large Bench</v>
          </cell>
        </row>
        <row r="941">
          <cell r="C941" t="str">
            <v>4003012E</v>
          </cell>
          <cell r="D941" t="str">
            <v>Cable PPI for Truck Tester</v>
          </cell>
        </row>
        <row r="942">
          <cell r="C942" t="str">
            <v>4003018E</v>
          </cell>
          <cell r="D942" t="str">
            <v>PLC (for Truck Tester)</v>
          </cell>
        </row>
        <row r="943">
          <cell r="C943" t="str">
            <v>4004000E</v>
          </cell>
          <cell r="D943" t="str">
            <v>Light Pilot Green 30mm</v>
          </cell>
        </row>
        <row r="944">
          <cell r="C944" t="str">
            <v>4004001E</v>
          </cell>
          <cell r="D944" t="str">
            <v>Light Pilot Amber 30mm</v>
          </cell>
        </row>
        <row r="945">
          <cell r="C945" t="str">
            <v>4004004E</v>
          </cell>
          <cell r="D945" t="str">
            <v>Light LED Green</v>
          </cell>
        </row>
        <row r="946">
          <cell r="C946" t="str">
            <v>4004005E</v>
          </cell>
          <cell r="D946" t="str">
            <v>Light LED Red</v>
          </cell>
        </row>
        <row r="947">
          <cell r="C947" t="str">
            <v>4004007E</v>
          </cell>
          <cell r="D947" t="str">
            <v>Light LED Yellow</v>
          </cell>
        </row>
        <row r="948">
          <cell r="C948" t="str">
            <v>4004033E</v>
          </cell>
          <cell r="D948" t="str">
            <v>Switch Momentary 3-Position 30MM</v>
          </cell>
        </row>
        <row r="949">
          <cell r="C949" t="str">
            <v>4004036E</v>
          </cell>
          <cell r="D949" t="str">
            <v>Pushbutton Blue, 30 MM</v>
          </cell>
        </row>
        <row r="950">
          <cell r="C950" t="str">
            <v>4004037E</v>
          </cell>
          <cell r="D950" t="str">
            <v>Pushbutton White, 30 MM</v>
          </cell>
        </row>
        <row r="951">
          <cell r="C951" t="str">
            <v>4004039E</v>
          </cell>
          <cell r="D951" t="str">
            <v>Switch E-Stop</v>
          </cell>
        </row>
        <row r="952">
          <cell r="C952" t="str">
            <v>4004042E</v>
          </cell>
          <cell r="D952" t="str">
            <v>Switch Selector 2 Position 30mm</v>
          </cell>
        </row>
        <row r="953">
          <cell r="C953" t="str">
            <v>4004045E</v>
          </cell>
          <cell r="D953" t="str">
            <v>Contact Block NO/NC, Eaton</v>
          </cell>
        </row>
        <row r="954">
          <cell r="C954" t="str">
            <v>4004048E</v>
          </cell>
          <cell r="D954" t="str">
            <v>Contact Block NO Eaton</v>
          </cell>
        </row>
        <row r="955">
          <cell r="C955" t="str">
            <v>4004051E</v>
          </cell>
          <cell r="D955" t="str">
            <v>Contact Block NC Eaton</v>
          </cell>
        </row>
        <row r="956">
          <cell r="C956" t="str">
            <v>4004052E</v>
          </cell>
          <cell r="D956" t="str">
            <v>Contact Block NO</v>
          </cell>
        </row>
        <row r="957">
          <cell r="C957" t="str">
            <v>4004069E</v>
          </cell>
          <cell r="D957" t="str">
            <v>Switch Maintain 3-Position</v>
          </cell>
        </row>
        <row r="958">
          <cell r="C958" t="str">
            <v>4004072E</v>
          </cell>
          <cell r="D958" t="str">
            <v>Switch 2 Position Maintain</v>
          </cell>
        </row>
        <row r="959">
          <cell r="C959" t="str">
            <v>4004087E</v>
          </cell>
          <cell r="D959" t="str">
            <v>Contact Block NC</v>
          </cell>
        </row>
        <row r="960">
          <cell r="C960" t="str">
            <v>4004129E</v>
          </cell>
          <cell r="D960" t="str">
            <v>Pushbutton Blue</v>
          </cell>
        </row>
        <row r="961">
          <cell r="C961" t="str">
            <v>4004132E</v>
          </cell>
          <cell r="D961" t="str">
            <v>Pushbutton White</v>
          </cell>
        </row>
        <row r="962">
          <cell r="C962" t="str">
            <v>4004147E</v>
          </cell>
          <cell r="D962" t="str">
            <v>Pushbutton Red</v>
          </cell>
        </row>
        <row r="963">
          <cell r="C963" t="str">
            <v>4004150E</v>
          </cell>
          <cell r="D963" t="str">
            <v>Pushbutton Green</v>
          </cell>
        </row>
        <row r="964">
          <cell r="C964" t="str">
            <v>4005021E</v>
          </cell>
          <cell r="D964" t="str">
            <v>Encl 18 X 16 X 10 Nema 4 A181610CHQRFG</v>
          </cell>
        </row>
        <row r="965">
          <cell r="C965" t="str">
            <v>4005024E</v>
          </cell>
          <cell r="D965" t="str">
            <v>18 X 16 Backplate A18P16AL</v>
          </cell>
        </row>
        <row r="966">
          <cell r="C966" t="str">
            <v>4005054E</v>
          </cell>
          <cell r="D966" t="str">
            <v>Fan 4"</v>
          </cell>
        </row>
        <row r="967">
          <cell r="C967" t="str">
            <v>4005060E</v>
          </cell>
          <cell r="D967" t="str">
            <v>ENCL 10 X 8 X 6</v>
          </cell>
        </row>
        <row r="968">
          <cell r="C968" t="str">
            <v>4005063E</v>
          </cell>
          <cell r="D968" t="str">
            <v>Encl Panel  08 x 10</v>
          </cell>
        </row>
        <row r="969">
          <cell r="C969" t="str">
            <v>4005131E</v>
          </cell>
          <cell r="D969" t="str">
            <v>Switch Pendant Station Remote Box</v>
          </cell>
        </row>
        <row r="970">
          <cell r="C970" t="str">
            <v>400513WH</v>
          </cell>
          <cell r="D970" t="str">
            <v>CPLG Fernco 4X2</v>
          </cell>
        </row>
        <row r="971">
          <cell r="C971" t="str">
            <v>4005160E</v>
          </cell>
          <cell r="D971" t="str">
            <v>Encl 14 X 12 STAH</v>
          </cell>
        </row>
        <row r="972">
          <cell r="C972" t="str">
            <v>4005161E</v>
          </cell>
          <cell r="D972" t="str">
            <v>ENCL PANEL 14 X 12</v>
          </cell>
        </row>
        <row r="973">
          <cell r="C973" t="str">
            <v>4005187E</v>
          </cell>
          <cell r="D973" t="str">
            <v>Junction Box 3x3x6 PVC</v>
          </cell>
        </row>
        <row r="974">
          <cell r="C974" t="str">
            <v>400519WH</v>
          </cell>
          <cell r="D974" t="str">
            <v>Pan Bot 6-1200 Stl 14Ga 34X71  (2) Req'd Per 39 Wide Bench</v>
          </cell>
        </row>
        <row r="975">
          <cell r="C975" t="str">
            <v>4006010E</v>
          </cell>
          <cell r="D975" t="str">
            <v>Starter Box 3Hp 480V</v>
          </cell>
        </row>
        <row r="976">
          <cell r="C976" t="str">
            <v>4007006E</v>
          </cell>
          <cell r="D976" t="str">
            <v>Connector 24-Pin (SIZE 24), Male Insert</v>
          </cell>
        </row>
        <row r="977">
          <cell r="C977" t="str">
            <v>4007015E</v>
          </cell>
          <cell r="D977" t="str">
            <v>Connector 24-Pin (SIZE 24), Female Insert</v>
          </cell>
        </row>
        <row r="978">
          <cell r="C978" t="str">
            <v>4007024E</v>
          </cell>
          <cell r="D978" t="str">
            <v>Connector 24-Pin (SIZE 24), Panel Mount Receptacle</v>
          </cell>
        </row>
        <row r="979">
          <cell r="C979" t="str">
            <v>4007028E</v>
          </cell>
          <cell r="D979" t="str">
            <v>Size 18 Pipe Adapt Connector #97-3055-121-18002</v>
          </cell>
        </row>
        <row r="980">
          <cell r="C980" t="str">
            <v>4007039E</v>
          </cell>
          <cell r="D980" t="str">
            <v>Size 22 90 Deg Split Shell</v>
          </cell>
        </row>
        <row r="981">
          <cell r="C981" t="str">
            <v>4007042E</v>
          </cell>
          <cell r="D981" t="str">
            <v>Connector 24-Pin (SIZE 24), 90° Split Shell</v>
          </cell>
        </row>
        <row r="982">
          <cell r="C982" t="str">
            <v>4007051E</v>
          </cell>
          <cell r="D982" t="str">
            <v>Connector 24-Pin (SIZE 24), Cable Clamp</v>
          </cell>
        </row>
        <row r="983">
          <cell r="C983" t="str">
            <v>4007080E</v>
          </cell>
          <cell r="D983" t="str">
            <v>Connector 03-Pin, RF Pick-up for Truck Tester</v>
          </cell>
        </row>
        <row r="984">
          <cell r="C984" t="str">
            <v>4007084E</v>
          </cell>
          <cell r="D984" t="str">
            <v>Connector 07-Pin (SIZE 16), Receptacle Clamp</v>
          </cell>
        </row>
        <row r="985">
          <cell r="C985" t="str">
            <v>4007091E</v>
          </cell>
          <cell r="D985" t="str">
            <v>Connector Solenoid</v>
          </cell>
        </row>
        <row r="986">
          <cell r="C986" t="str">
            <v>4007093E</v>
          </cell>
          <cell r="D986" t="str">
            <v>Connector 07-Pin (SIZE 16), Panel Mount Receptacle</v>
          </cell>
        </row>
        <row r="987">
          <cell r="C987" t="str">
            <v>4007096E</v>
          </cell>
          <cell r="D987" t="str">
            <v>Connector 07-Pin (SIZE 16), Receptacle</v>
          </cell>
        </row>
        <row r="988">
          <cell r="C988" t="str">
            <v>4007097E</v>
          </cell>
          <cell r="D988" t="str">
            <v>Connector 07-Pin (SIZE 16), Female Insert</v>
          </cell>
        </row>
        <row r="989">
          <cell r="C989" t="str">
            <v>4007106E</v>
          </cell>
          <cell r="D989" t="str">
            <v>Connector 07-Pin (SIZE 16), Male Insert</v>
          </cell>
        </row>
        <row r="990">
          <cell r="C990" t="str">
            <v>4008000E</v>
          </cell>
          <cell r="D990" t="str">
            <v>Conduit Connector Sealtite 1.5 Straight</v>
          </cell>
        </row>
        <row r="991">
          <cell r="C991" t="str">
            <v>4008001E</v>
          </cell>
          <cell r="D991" t="str">
            <v>Conduit Sealtite 1.5</v>
          </cell>
        </row>
        <row r="992">
          <cell r="C992" t="str">
            <v>4008005E</v>
          </cell>
          <cell r="D992" t="str">
            <v>Conduit Connector Sealtite 1.5 90 °</v>
          </cell>
        </row>
        <row r="993">
          <cell r="C993" t="str">
            <v>4008006E</v>
          </cell>
          <cell r="D993" t="str">
            <v>Cord Grip .250-.375</v>
          </cell>
        </row>
        <row r="994">
          <cell r="C994" t="str">
            <v>4008008E</v>
          </cell>
          <cell r="D994" t="str">
            <v>Cord Grip .375-.500</v>
          </cell>
        </row>
        <row r="995">
          <cell r="C995" t="str">
            <v>4008011E</v>
          </cell>
          <cell r="D995" t="str">
            <v>3/4 Cord Grip 375 / 0.750 Arl Lpcg757</v>
          </cell>
        </row>
        <row r="996">
          <cell r="C996" t="str">
            <v>4008015E</v>
          </cell>
          <cell r="D996" t="str">
            <v>1 1 Hole Strap Crs-H 412</v>
          </cell>
        </row>
        <row r="997">
          <cell r="C997" t="str">
            <v>4008018E</v>
          </cell>
          <cell r="D997" t="str">
            <v>1/2 1 Hole Strap Crs-H 410</v>
          </cell>
        </row>
        <row r="998">
          <cell r="C998" t="str">
            <v>4008024E</v>
          </cell>
          <cell r="D998" t="str">
            <v>Conduit Sealtite 1.0</v>
          </cell>
        </row>
        <row r="999">
          <cell r="C999" t="str">
            <v>4008027E</v>
          </cell>
          <cell r="D999" t="str">
            <v>Conduit Connector Sealtite 1.0 90 °</v>
          </cell>
        </row>
        <row r="1000">
          <cell r="C1000" t="str">
            <v>4008030E</v>
          </cell>
          <cell r="D1000" t="str">
            <v>Conduit Connector Sealtite 1.0 Straight</v>
          </cell>
        </row>
        <row r="1001">
          <cell r="C1001" t="str">
            <v>4008033E</v>
          </cell>
          <cell r="D1001" t="str">
            <v>Wireway Metal 4 x 4 x 30</v>
          </cell>
        </row>
        <row r="1002">
          <cell r="C1002" t="str">
            <v>4008036E</v>
          </cell>
          <cell r="D1002" t="str">
            <v>Conduit Sealtite 0.5</v>
          </cell>
        </row>
        <row r="1003">
          <cell r="C1003" t="str">
            <v>4008037E</v>
          </cell>
          <cell r="D1003" t="str">
            <v>Tube Flex SS 5/16 SS</v>
          </cell>
        </row>
        <row r="1004">
          <cell r="C1004" t="str">
            <v>4008039E</v>
          </cell>
          <cell r="D1004" t="str">
            <v>Conduit Connector Sealtite 0.5 Straight</v>
          </cell>
        </row>
        <row r="1005">
          <cell r="C1005" t="str">
            <v>4008042E</v>
          </cell>
          <cell r="D1005" t="str">
            <v>Conduit Connector Sealtite 0.75 Straight</v>
          </cell>
        </row>
        <row r="1006">
          <cell r="C1006" t="str">
            <v>4008045E</v>
          </cell>
          <cell r="D1006" t="str">
            <v>Conduit Connector Sealtite 0.75 90 °</v>
          </cell>
        </row>
        <row r="1007">
          <cell r="C1007" t="str">
            <v>4008048E</v>
          </cell>
          <cell r="D1007" t="str">
            <v>Conduit Sealtite 0.75</v>
          </cell>
        </row>
        <row r="1008">
          <cell r="C1008" t="str">
            <v>4008057E</v>
          </cell>
          <cell r="D1008" t="str">
            <v>3/4 Emt 1 Hole Strap</v>
          </cell>
        </row>
        <row r="1009">
          <cell r="C1009" t="str">
            <v>4008081E</v>
          </cell>
          <cell r="D1009" t="str">
            <v>Conduit Connector Sealtite 0.5 90 °</v>
          </cell>
        </row>
        <row r="1010">
          <cell r="C1010" t="str">
            <v>4008096E</v>
          </cell>
          <cell r="D1010" t="str">
            <v>TEE Conduit Al 0.5</v>
          </cell>
        </row>
        <row r="1011">
          <cell r="C1011" t="str">
            <v>4008120E</v>
          </cell>
          <cell r="D1011" t="str">
            <v>Unistrut Post Base 4-Hole</v>
          </cell>
        </row>
        <row r="1012">
          <cell r="C1012" t="str">
            <v>4008136E</v>
          </cell>
          <cell r="D1012" t="str">
            <v>Cord Cap Male, 15 AMP</v>
          </cell>
        </row>
        <row r="1013">
          <cell r="C1013" t="str">
            <v>4008137E</v>
          </cell>
          <cell r="D1013" t="str">
            <v>Cord Cap Female</v>
          </cell>
        </row>
        <row r="1014">
          <cell r="C1014" t="str">
            <v>4008146E</v>
          </cell>
          <cell r="D1014" t="str">
            <v>Wireway 1X2</v>
          </cell>
        </row>
        <row r="1015">
          <cell r="C1015" t="str">
            <v>4008147E</v>
          </cell>
          <cell r="D1015" t="str">
            <v>Wireway Cover 1.0</v>
          </cell>
        </row>
        <row r="1016">
          <cell r="C1016" t="str">
            <v>4009002E</v>
          </cell>
          <cell r="D1016" t="str">
            <v>Fuse TRM 1 A, 250V</v>
          </cell>
        </row>
        <row r="1017">
          <cell r="C1017" t="str">
            <v>4009003E</v>
          </cell>
          <cell r="D1017" t="str">
            <v>Fuse ATMR 1 A, 600V</v>
          </cell>
        </row>
        <row r="1018">
          <cell r="C1018" t="str">
            <v>4009030E</v>
          </cell>
          <cell r="D1018" t="str">
            <v>Conduit Myers Hub 1.0</v>
          </cell>
        </row>
        <row r="1019">
          <cell r="C1019" t="str">
            <v>4009031E</v>
          </cell>
          <cell r="D1019" t="str">
            <v>Conduit Red Bushing 1 x 0.75</v>
          </cell>
        </row>
        <row r="1020">
          <cell r="C1020" t="str">
            <v>4009032E</v>
          </cell>
          <cell r="D1020" t="str">
            <v>Blank Plate SS</v>
          </cell>
        </row>
        <row r="1021">
          <cell r="C1021" t="str">
            <v>4009036E</v>
          </cell>
          <cell r="D1021" t="str">
            <v>Breaker 10AMP</v>
          </cell>
        </row>
        <row r="1022">
          <cell r="C1022" t="str">
            <v>4009042E</v>
          </cell>
          <cell r="D1022" t="str">
            <v>Breaker 20AMP</v>
          </cell>
        </row>
        <row r="1023">
          <cell r="C1023" t="str">
            <v>4010005E</v>
          </cell>
          <cell r="D1023" t="str">
            <v>Cable 16 AWG 03 Conductor SOOW (B/W/G)</v>
          </cell>
        </row>
        <row r="1024">
          <cell r="C1024" t="str">
            <v>4010021E</v>
          </cell>
          <cell r="D1024" t="str">
            <v>Cable 18 AWG 19 Conductor</v>
          </cell>
        </row>
        <row r="1025">
          <cell r="C1025" t="str">
            <v>4010024E</v>
          </cell>
          <cell r="D1025" t="str">
            <v>Cable 22 AWG 2 Conductor</v>
          </cell>
        </row>
        <row r="1026">
          <cell r="C1026" t="str">
            <v>4010027E</v>
          </cell>
          <cell r="D1026" t="str">
            <v>Cable 18 AWG 05 Conductor SOOW (B/W/G/R/O)</v>
          </cell>
        </row>
        <row r="1027">
          <cell r="C1027" t="str">
            <v>4010036E</v>
          </cell>
          <cell r="D1027" t="str">
            <v>Cable 22 AWG 6 Conductor</v>
          </cell>
        </row>
        <row r="1028">
          <cell r="C1028" t="str">
            <v>4010039E</v>
          </cell>
          <cell r="D1028" t="str">
            <v>Cable 22 AWG 4 Conductor</v>
          </cell>
        </row>
        <row r="1029">
          <cell r="C1029" t="str">
            <v>4010045E</v>
          </cell>
          <cell r="D1029" t="str">
            <v>Cable 18 AWG 04 Conductor SOOW (B/W/G/R)</v>
          </cell>
        </row>
        <row r="1030">
          <cell r="C1030" t="str">
            <v>4010046E</v>
          </cell>
          <cell r="D1030" t="str">
            <v>Cable Mini USB 10'</v>
          </cell>
        </row>
        <row r="1031">
          <cell r="C1031" t="str">
            <v>4010047E</v>
          </cell>
          <cell r="D1031" t="str">
            <v>Cable USB Extension 10'</v>
          </cell>
        </row>
        <row r="1032">
          <cell r="C1032" t="str">
            <v>4011006E</v>
          </cell>
          <cell r="D1032" t="str">
            <v>Capacitor 43-53 MFD Dayton#2ME</v>
          </cell>
        </row>
        <row r="1033">
          <cell r="C1033" t="str">
            <v>4011057E</v>
          </cell>
          <cell r="D1033" t="str">
            <v>Thermostat</v>
          </cell>
        </row>
        <row r="1034">
          <cell r="C1034" t="str">
            <v>4012000E</v>
          </cell>
          <cell r="D1034" t="str">
            <v>1310 Panel Mount Weight Ind.Scale Instrument Awto5-500210</v>
          </cell>
        </row>
        <row r="1035">
          <cell r="C1035" t="str">
            <v>4012006E</v>
          </cell>
          <cell r="D1035" t="str">
            <v>Load Cell Kit 3MOD  5K# Ea W/Summing Box Rl1600 Series, Part # 18122</v>
          </cell>
        </row>
        <row r="1036">
          <cell r="C1036" t="str">
            <v>4012009E</v>
          </cell>
          <cell r="D1036" t="str">
            <v>Load Cell Kit 3MOD 15K# Ea W/Summing Box Rl1600 Series, Part # 18124</v>
          </cell>
        </row>
        <row r="1037">
          <cell r="C1037" t="str">
            <v>4012012E</v>
          </cell>
          <cell r="D1037" t="str">
            <v>E-Prom Chip #Awt30-500151 For U18 Location On 1310 Awt30-500151</v>
          </cell>
        </row>
        <row r="1038">
          <cell r="C1038" t="str">
            <v>4012013E</v>
          </cell>
          <cell r="D1038" t="str">
            <v>E-Prom Chip #Awt30-500150 For U17 Location On 1310 Awt30-500150</v>
          </cell>
        </row>
        <row r="1039">
          <cell r="C1039" t="str">
            <v>4012015E</v>
          </cell>
          <cell r="D1039" t="str">
            <v>Load Cell Kit 4MOD 25K# Ea W/Summing Box   Rl1600 Series, Part # 18132</v>
          </cell>
        </row>
        <row r="1040">
          <cell r="C1040" t="str">
            <v>4012020E</v>
          </cell>
          <cell r="D1040" t="str">
            <v>1000 Lb. Deck Scale</v>
          </cell>
        </row>
        <row r="1041">
          <cell r="C1041" t="str">
            <v>4012022E</v>
          </cell>
          <cell r="D1041" t="str">
            <v>200 Lb Deck Scale W/ 25' Cable Avery Weigh Tronix  Bsn2020-200</v>
          </cell>
        </row>
        <row r="1042">
          <cell r="C1042" t="str">
            <v>4012023E</v>
          </cell>
          <cell r="D1042" t="str">
            <v>5000 Lb Deck Scale Awt05-505863 Dsl4848-05 Base</v>
          </cell>
        </row>
        <row r="1043">
          <cell r="C1043" t="str">
            <v>4012042E</v>
          </cell>
          <cell r="D1043" t="str">
            <v>One Additional Scale Card 52959-1018 For Two Scales</v>
          </cell>
        </row>
        <row r="1044">
          <cell r="C1044" t="str">
            <v>4013032E</v>
          </cell>
          <cell r="D1044" t="str">
            <v>Switch Flow Large Bench Return</v>
          </cell>
        </row>
        <row r="1045">
          <cell r="C1045" t="str">
            <v>4013227E</v>
          </cell>
          <cell r="D1045" t="str">
            <v>Transformer</v>
          </cell>
        </row>
        <row r="1046">
          <cell r="C1046" t="str">
            <v>4014079E</v>
          </cell>
          <cell r="D1046" t="str">
            <v>VF4, Electronics Pack For 0.75 Turbine</v>
          </cell>
        </row>
        <row r="1047">
          <cell r="C1047" t="str">
            <v>4014080E</v>
          </cell>
          <cell r="D1047" t="str">
            <v>Electronics Pack For 0.75 VF4 Turbine</v>
          </cell>
        </row>
        <row r="1048">
          <cell r="C1048" t="str">
            <v>4014085E</v>
          </cell>
          <cell r="D1048" t="str">
            <v>VF4, Electronics Pack For 3 Turbine</v>
          </cell>
        </row>
        <row r="1049">
          <cell r="C1049" t="str">
            <v>4014089E</v>
          </cell>
          <cell r="D1049" t="str">
            <v>Weight Transmitter 201 Indicator</v>
          </cell>
        </row>
        <row r="1050">
          <cell r="C1050" t="str">
            <v>4014092E</v>
          </cell>
          <cell r="D1050" t="str">
            <v>VFD DG1 VT,380-500V,20Hp, DG134023FBC21C</v>
          </cell>
        </row>
        <row r="1051">
          <cell r="C1051" t="str">
            <v>4014093E</v>
          </cell>
          <cell r="D1051" t="str">
            <v>VFD DG1 VT, 380-500V,7.5Hp, DG1349D0FBC21C</v>
          </cell>
        </row>
        <row r="1052">
          <cell r="C1052" t="str">
            <v>4014097E</v>
          </cell>
          <cell r="D1052" t="str">
            <v>Encl 36x30x16 Ritt</v>
          </cell>
        </row>
        <row r="1053">
          <cell r="C1053" t="str">
            <v>4014098E</v>
          </cell>
          <cell r="D1053" t="str">
            <v>Fan, Rittal</v>
          </cell>
        </row>
        <row r="1054">
          <cell r="C1054" t="str">
            <v>4014099E</v>
          </cell>
          <cell r="D1054" t="str">
            <v>Panel Filter, Rittal</v>
          </cell>
        </row>
        <row r="1055">
          <cell r="C1055" t="str">
            <v>4014100E</v>
          </cell>
          <cell r="D1055" t="str">
            <v>Fan Transformer - Large</v>
          </cell>
        </row>
        <row r="1056">
          <cell r="C1056" t="str">
            <v>414021WH</v>
          </cell>
          <cell r="D1056" t="str">
            <v>Exp Joint Double  6</v>
          </cell>
        </row>
        <row r="1057">
          <cell r="C1057" t="str">
            <v>414222WH</v>
          </cell>
          <cell r="D1057" t="str">
            <v>Exp Joint Single  8</v>
          </cell>
        </row>
        <row r="1058">
          <cell r="C1058" t="str">
            <v>414224WH</v>
          </cell>
          <cell r="D1058" t="str">
            <v>Exp Joint Single  4</v>
          </cell>
        </row>
        <row r="1059">
          <cell r="C1059" t="str">
            <v>414225WH</v>
          </cell>
          <cell r="D1059" t="str">
            <v>Exp Joint Single  3</v>
          </cell>
        </row>
        <row r="1060">
          <cell r="C1060" t="str">
            <v>424001WH</v>
          </cell>
          <cell r="D1060" t="str">
            <v>Work Station 12 X 33 (Series 2400)</v>
          </cell>
        </row>
        <row r="1061">
          <cell r="C1061" t="str">
            <v>424002WH</v>
          </cell>
          <cell r="D1061" t="str">
            <v>Work Station 12 X 38 (Series 3-500, 5-1000 &amp; 6-1200)</v>
          </cell>
        </row>
        <row r="1062">
          <cell r="C1062" t="str">
            <v>434003WH</v>
          </cell>
          <cell r="D1062" t="str">
            <v>Brass Automatic Vent Valve 1/4 Inlet Size #4A821</v>
          </cell>
        </row>
        <row r="1063">
          <cell r="C1063" t="str">
            <v>434317WH</v>
          </cell>
          <cell r="D1063" t="str">
            <v>R171218 #320C Clear Amber Body Incline Chemical Feeder</v>
          </cell>
        </row>
        <row r="1064">
          <cell r="C1064" t="str">
            <v>434335WH</v>
          </cell>
          <cell r="D1064" t="str">
            <v>Sight Glass Holder Poly/Top</v>
          </cell>
        </row>
        <row r="1065">
          <cell r="C1065" t="str">
            <v>434347WH</v>
          </cell>
          <cell r="D1065" t="str">
            <v>Pump   7.5Hp 230/460V 10SV8GH4F60</v>
          </cell>
        </row>
        <row r="1066">
          <cell r="C1066" t="str">
            <v>434351WH</v>
          </cell>
          <cell r="D1066" t="str">
            <v>Pump &amp; Pentair Canister W/ Fil</v>
          </cell>
        </row>
        <row r="1067">
          <cell r="C1067" t="str">
            <v>434365WH</v>
          </cell>
          <cell r="D1067" t="str">
            <v>Load Cell Kit 3MOD 10K# Ea W/Summing Box   Rl1600 Series, Part # 18123</v>
          </cell>
        </row>
        <row r="1068">
          <cell r="C1068" t="str">
            <v>434368WH</v>
          </cell>
          <cell r="D1068" t="str">
            <v>HP Computer Desktop</v>
          </cell>
        </row>
        <row r="1069">
          <cell r="C1069" t="str">
            <v>434369WH</v>
          </cell>
          <cell r="D1069" t="str">
            <v>Ink Jet Printer</v>
          </cell>
        </row>
        <row r="1070">
          <cell r="C1070" t="str">
            <v>434371WH</v>
          </cell>
          <cell r="D1070" t="str">
            <v>Pump, Liberty 1/2Hp P383XLE51</v>
          </cell>
        </row>
        <row r="1071">
          <cell r="C1071" t="str">
            <v>434399WH</v>
          </cell>
          <cell r="D1071" t="str">
            <v>Actuator A12-20A5-08Mc</v>
          </cell>
        </row>
        <row r="1072">
          <cell r="C1072" t="str">
            <v>434418WH</v>
          </cell>
          <cell r="D1072" t="str">
            <v>Valve 4 Modify Promation Actuator #P1.AMWOEM1</v>
          </cell>
        </row>
        <row r="1073">
          <cell r="C1073" t="str">
            <v>434473WH</v>
          </cell>
          <cell r="D1073" t="str">
            <v>1.5 Black Hose</v>
          </cell>
        </row>
        <row r="1074">
          <cell r="C1074" t="str">
            <v>434475WH</v>
          </cell>
          <cell r="D1074" t="str">
            <v>AMS202H 2 1/2 Single Sphere Exp Joints 150 Psi 4 Bolt</v>
          </cell>
        </row>
        <row r="1075">
          <cell r="C1075" t="str">
            <v>434504WH</v>
          </cell>
          <cell r="D1075" t="str">
            <v>O Bar Ace 0.5</v>
          </cell>
        </row>
        <row r="1076">
          <cell r="C1076" t="str">
            <v>434509WH</v>
          </cell>
          <cell r="D1076" t="str">
            <v>Adapter Male Cu 3</v>
          </cell>
        </row>
        <row r="1077">
          <cell r="C1077" t="str">
            <v>434517WH</v>
          </cell>
          <cell r="D1077" t="str">
            <v>CPLG Half SST 1 304SS</v>
          </cell>
        </row>
        <row r="1078">
          <cell r="C1078" t="str">
            <v>434544WH</v>
          </cell>
          <cell r="D1078" t="str">
            <v>Tank Poly 2500 Gal 95 X 91</v>
          </cell>
        </row>
        <row r="1079">
          <cell r="C1079" t="str">
            <v>434546WH</v>
          </cell>
          <cell r="D1079" t="str">
            <v>Tank Poly 6500 Gal 119 X 150</v>
          </cell>
        </row>
        <row r="1080">
          <cell r="C1080" t="str">
            <v>434558WH</v>
          </cell>
          <cell r="D1080" t="str">
            <v>Valve Solenoid 2-Way NC  0.5</v>
          </cell>
        </row>
        <row r="1081">
          <cell r="C1081" t="str">
            <v>434562WH</v>
          </cell>
          <cell r="D1081" t="str">
            <v>Valve Solenoid 2-Way NC 1</v>
          </cell>
        </row>
        <row r="1082">
          <cell r="C1082" t="str">
            <v>434565WH</v>
          </cell>
          <cell r="D1082" t="str">
            <v>Valve Butterfly Act  6 P3 Elec</v>
          </cell>
        </row>
        <row r="1083">
          <cell r="C1083" t="str">
            <v>434571WH</v>
          </cell>
          <cell r="D1083" t="str">
            <v>Exp Joint Double  3</v>
          </cell>
        </row>
        <row r="1084">
          <cell r="C1084" t="str">
            <v>434572WH</v>
          </cell>
          <cell r="D1084" t="str">
            <v>Exp Joint Double 10    Amt210</v>
          </cell>
        </row>
        <row r="1085">
          <cell r="C1085" t="str">
            <v>434574WH</v>
          </cell>
          <cell r="D1085" t="str">
            <v>Exp Joint Single 2.5 300Lb</v>
          </cell>
        </row>
        <row r="1086">
          <cell r="C1086" t="str">
            <v>434578WH</v>
          </cell>
          <cell r="D1086" t="str">
            <v>Exp Joint Single  2</v>
          </cell>
        </row>
        <row r="1087">
          <cell r="C1087" t="str">
            <v>434580WH</v>
          </cell>
          <cell r="D1087" t="str">
            <v>Exp Joint Double  4</v>
          </cell>
        </row>
        <row r="1088">
          <cell r="C1088" t="str">
            <v>434582WH</v>
          </cell>
          <cell r="D1088" t="str">
            <v>Valve Butterfly Man  4</v>
          </cell>
        </row>
        <row r="1089">
          <cell r="C1089" t="str">
            <v>434583WH</v>
          </cell>
          <cell r="D1089" t="str">
            <v>Tank Poly 4000 Gal 102 X 125</v>
          </cell>
        </row>
        <row r="1090">
          <cell r="C1090" t="str">
            <v>434584WH</v>
          </cell>
          <cell r="D1090" t="str">
            <v>Valve Butterfly Act  4 P1 Elec</v>
          </cell>
        </row>
        <row r="1091">
          <cell r="C1091" t="str">
            <v>434587WH</v>
          </cell>
          <cell r="D1091" t="str">
            <v>Pin Alignment SS 10-12FLNG</v>
          </cell>
        </row>
        <row r="1092">
          <cell r="C1092" t="str">
            <v>434589WH</v>
          </cell>
          <cell r="D1092" t="str">
            <v>Cylinders Avm D4699</v>
          </cell>
        </row>
        <row r="1093">
          <cell r="C1093" t="str">
            <v>434590WH</v>
          </cell>
          <cell r="D1093" t="str">
            <v>Exp Joint Double  8</v>
          </cell>
        </row>
        <row r="1094">
          <cell r="C1094" t="str">
            <v>434598WH</v>
          </cell>
          <cell r="D1094" t="str">
            <v>Valve Butterfly Man  8</v>
          </cell>
        </row>
        <row r="1095">
          <cell r="C1095" t="str">
            <v>434602WH</v>
          </cell>
          <cell r="D1095" t="str">
            <v>Exp Joint Double 12</v>
          </cell>
        </row>
        <row r="1096">
          <cell r="C1096" t="str">
            <v>434606WH</v>
          </cell>
          <cell r="D1096" t="str">
            <v>Gskt Adap 3.125ODx2.0625Idx0.125Tk</v>
          </cell>
        </row>
        <row r="1097">
          <cell r="C1097" t="str">
            <v>434608WH</v>
          </cell>
          <cell r="D1097" t="str">
            <v>Gauge 2.5 Liquid Filled SS Pro 201L-254F</v>
          </cell>
        </row>
        <row r="1098">
          <cell r="C1098" t="str">
            <v>434610WH</v>
          </cell>
          <cell r="D1098" t="str">
            <v>End Fitting Brs 1.5- 2</v>
          </cell>
        </row>
        <row r="1099">
          <cell r="C1099" t="str">
            <v>434611WH</v>
          </cell>
          <cell r="D1099" t="str">
            <v>Actuator Support</v>
          </cell>
        </row>
        <row r="1100">
          <cell r="C1100" t="str">
            <v>434612WH</v>
          </cell>
          <cell r="D1100" t="str">
            <v>Gskt Adap Meter Flat 1</v>
          </cell>
        </row>
        <row r="1101">
          <cell r="C1101" t="str">
            <v>434614WH</v>
          </cell>
          <cell r="D1101" t="str">
            <v>5/8 Meter Adapter</v>
          </cell>
        </row>
        <row r="1102">
          <cell r="C1102" t="str">
            <v>434615WH</v>
          </cell>
          <cell r="D1102" t="str">
            <v>Drive Back Supports  5/8-1</v>
          </cell>
        </row>
        <row r="1103">
          <cell r="C1103" t="str">
            <v>434616WH</v>
          </cell>
          <cell r="D1103" t="str">
            <v>3/4 Brz Meter Adapter</v>
          </cell>
        </row>
        <row r="1104">
          <cell r="C1104" t="str">
            <v>434617WH</v>
          </cell>
          <cell r="D1104" t="str">
            <v>1.5 Brz Adapter For Male Meter</v>
          </cell>
        </row>
        <row r="1105">
          <cell r="C1105" t="str">
            <v>434618WH</v>
          </cell>
          <cell r="D1105" t="str">
            <v>1 Meter Adapter</v>
          </cell>
        </row>
        <row r="1106">
          <cell r="C1106" t="str">
            <v>434619WH</v>
          </cell>
          <cell r="D1106" t="str">
            <v>ADPT 2 BRZ For Male Meter</v>
          </cell>
        </row>
        <row r="1107">
          <cell r="C1107" t="str">
            <v>434622WH</v>
          </cell>
          <cell r="D1107" t="str">
            <v>Gskt Adap Meter Flat  3/4</v>
          </cell>
        </row>
        <row r="1108">
          <cell r="C1108" t="str">
            <v>434625WH</v>
          </cell>
          <cell r="D1108" t="str">
            <v>1.5 - 2 Drive Back Support</v>
          </cell>
        </row>
        <row r="1109">
          <cell r="C1109" t="str">
            <v>434626WH</v>
          </cell>
          <cell r="D1109" t="str">
            <v>Gskt Adap Meter Flat  5/8</v>
          </cell>
        </row>
        <row r="1110">
          <cell r="C1110" t="str">
            <v>434627WH</v>
          </cell>
          <cell r="D1110" t="str">
            <v>5' Sight Glass #506 0.750 OD</v>
          </cell>
        </row>
        <row r="1111">
          <cell r="C1111" t="str">
            <v>434628WH</v>
          </cell>
          <cell r="D1111" t="str">
            <v>6' Sight Glass</v>
          </cell>
        </row>
        <row r="1112">
          <cell r="C1112" t="str">
            <v>434631WH</v>
          </cell>
          <cell r="D1112" t="str">
            <v>O-Ring #333-70N Nitrile Rubber</v>
          </cell>
        </row>
        <row r="1113">
          <cell r="C1113" t="str">
            <v>434633WH</v>
          </cell>
          <cell r="D1113" t="str">
            <v>Quick Pin 1/4 X 2 SS</v>
          </cell>
        </row>
        <row r="1114">
          <cell r="C1114" t="str">
            <v>434636WH</v>
          </cell>
          <cell r="D1114" t="str">
            <v>Draw Bar Brs 5/8-1</v>
          </cell>
        </row>
        <row r="1115">
          <cell r="C1115" t="str">
            <v>434638WH</v>
          </cell>
          <cell r="D1115" t="str">
            <v>Drive Bar Brs 5/8-1</v>
          </cell>
        </row>
        <row r="1116">
          <cell r="C1116" t="str">
            <v>434639WH</v>
          </cell>
          <cell r="D1116" t="str">
            <v>2X1 Reducing Adapter</v>
          </cell>
        </row>
        <row r="1117">
          <cell r="C1117" t="str">
            <v>434643WH</v>
          </cell>
          <cell r="D1117" t="str">
            <v>1.5-2 Brass Drive Bar</v>
          </cell>
        </row>
        <row r="1118">
          <cell r="C1118" t="str">
            <v>434645WH</v>
          </cell>
          <cell r="D1118" t="str">
            <v>Draw Bar Brs 1.5-2</v>
          </cell>
        </row>
        <row r="1119">
          <cell r="C1119" t="str">
            <v>434646WH</v>
          </cell>
          <cell r="D1119" t="str">
            <v>Gskt Adap Meter Back</v>
          </cell>
        </row>
        <row r="1120">
          <cell r="C1120" t="str">
            <v>434662WH</v>
          </cell>
          <cell r="D1120" t="str">
            <v>Adapter Male Cu 1.5</v>
          </cell>
        </row>
        <row r="1121">
          <cell r="C1121" t="str">
            <v>434664WH</v>
          </cell>
          <cell r="D1121" t="str">
            <v>1.5 Pipe Clamp</v>
          </cell>
        </row>
        <row r="1122">
          <cell r="C1122" t="str">
            <v>434668WH</v>
          </cell>
          <cell r="D1122" t="str">
            <v>Adapter Female Cu 1</v>
          </cell>
        </row>
        <row r="1123">
          <cell r="C1123" t="str">
            <v>434669WH</v>
          </cell>
          <cell r="D1123" t="str">
            <v>TEE Cu 1</v>
          </cell>
        </row>
        <row r="1124">
          <cell r="C1124" t="str">
            <v>434698WH</v>
          </cell>
          <cell r="D1124" t="str">
            <v>CPLG Cu 1</v>
          </cell>
        </row>
        <row r="1125">
          <cell r="C1125" t="str">
            <v>434700WH</v>
          </cell>
          <cell r="D1125" t="str">
            <v>Cu Ridg 1.0-L</v>
          </cell>
        </row>
        <row r="1126">
          <cell r="C1126" t="str">
            <v>434701WH</v>
          </cell>
          <cell r="D1126" t="str">
            <v>Cu Ridg 1.5-L</v>
          </cell>
        </row>
        <row r="1127">
          <cell r="C1127" t="str">
            <v>434708WH</v>
          </cell>
          <cell r="D1127" t="str">
            <v>CPLG Half SST 1.5 304SS</v>
          </cell>
        </row>
        <row r="1128">
          <cell r="C1128" t="str">
            <v>434712WH</v>
          </cell>
          <cell r="D1128" t="str">
            <v>Adapter Female Cu 0.5</v>
          </cell>
        </row>
        <row r="1129">
          <cell r="C1129" t="str">
            <v>434714WH</v>
          </cell>
          <cell r="D1129" t="str">
            <v>ELL Cu 45-0.5</v>
          </cell>
        </row>
        <row r="1130">
          <cell r="C1130" t="str">
            <v>434716WH</v>
          </cell>
          <cell r="D1130" t="str">
            <v>ELL Cu 90-0.5</v>
          </cell>
        </row>
        <row r="1131">
          <cell r="C1131" t="str">
            <v>434718WH</v>
          </cell>
          <cell r="D1131" t="str">
            <v>Adapter Male Cu 0.5</v>
          </cell>
        </row>
        <row r="1132">
          <cell r="C1132" t="str">
            <v>434720WH</v>
          </cell>
          <cell r="D1132" t="str">
            <v>Cu Ridg 0.5-L</v>
          </cell>
        </row>
        <row r="1133">
          <cell r="C1133" t="str">
            <v>434723WH</v>
          </cell>
          <cell r="D1133" t="str">
            <v>Cu Ridg 0.75-L</v>
          </cell>
        </row>
        <row r="1134">
          <cell r="C1134" t="str">
            <v>434736WH</v>
          </cell>
          <cell r="D1134" t="str">
            <v>ELL Cu 45-1</v>
          </cell>
        </row>
        <row r="1135">
          <cell r="C1135" t="str">
            <v>434738WH</v>
          </cell>
          <cell r="D1135" t="str">
            <v>ELL Cu 90-1</v>
          </cell>
        </row>
        <row r="1136">
          <cell r="C1136" t="str">
            <v>434740WH</v>
          </cell>
          <cell r="D1136" t="str">
            <v>Adapter Male Cu 1</v>
          </cell>
        </row>
        <row r="1137">
          <cell r="C1137" t="str">
            <v>434744WH</v>
          </cell>
          <cell r="D1137" t="str">
            <v>Hinged Split Ring Cu 1</v>
          </cell>
        </row>
        <row r="1138">
          <cell r="C1138" t="str">
            <v>434745WH</v>
          </cell>
          <cell r="D1138" t="str">
            <v>Tank Std SS Duplex 26OD Buy Tank Only</v>
          </cell>
        </row>
        <row r="1139">
          <cell r="C1139" t="str">
            <v>434746WH</v>
          </cell>
          <cell r="D1139" t="str">
            <v>2 Brass Barb X Mipt Adapter</v>
          </cell>
        </row>
        <row r="1140">
          <cell r="C1140" t="str">
            <v>434748WH</v>
          </cell>
          <cell r="D1140" t="str">
            <v>Ell Cu 45-2</v>
          </cell>
        </row>
        <row r="1141">
          <cell r="C1141" t="str">
            <v>434749WH</v>
          </cell>
          <cell r="D1141" t="str">
            <v>TEE Cu 2</v>
          </cell>
        </row>
        <row r="1142">
          <cell r="C1142" t="str">
            <v>434750WH</v>
          </cell>
          <cell r="D1142" t="str">
            <v>ELL Cu 90-2</v>
          </cell>
        </row>
        <row r="1143">
          <cell r="C1143" t="str">
            <v>434751WH</v>
          </cell>
          <cell r="D1143" t="str">
            <v>CPLG Cu 2</v>
          </cell>
        </row>
        <row r="1144">
          <cell r="C1144" t="str">
            <v>434752WH</v>
          </cell>
          <cell r="D1144" t="str">
            <v>Adapter Male Cu 2</v>
          </cell>
        </row>
        <row r="1145">
          <cell r="C1145" t="str">
            <v>434756WH</v>
          </cell>
          <cell r="D1145" t="str">
            <v>Cu Ridg 2.0-L</v>
          </cell>
        </row>
        <row r="1146">
          <cell r="C1146" t="str">
            <v>434758WH</v>
          </cell>
          <cell r="D1146" t="str">
            <v>Hose Clamp Bandit 2.75 ID SS #CP-11S</v>
          </cell>
        </row>
        <row r="1147">
          <cell r="C1147" t="str">
            <v>434759WH</v>
          </cell>
          <cell r="D1147" t="str">
            <v>CPLG Half SST 2 304SS</v>
          </cell>
        </row>
        <row r="1148">
          <cell r="C1148" t="str">
            <v>434760WH</v>
          </cell>
          <cell r="D1148" t="str">
            <v>CPLG Half SST 0.75 304SS</v>
          </cell>
        </row>
        <row r="1149">
          <cell r="C1149" t="str">
            <v>434762WH</v>
          </cell>
          <cell r="D1149" t="str">
            <v>Sight Glass Holder 0.75 BRS/BTM</v>
          </cell>
        </row>
        <row r="1150">
          <cell r="C1150" t="str">
            <v>434767WH</v>
          </cell>
          <cell r="D1150" t="str">
            <v>Union Cu Sweat 2</v>
          </cell>
        </row>
        <row r="1151">
          <cell r="C1151" t="str">
            <v>434772WH</v>
          </cell>
          <cell r="D1151" t="str">
            <v>TEE Cu 0.5</v>
          </cell>
        </row>
        <row r="1152">
          <cell r="C1152" t="str">
            <v>434774WH</v>
          </cell>
          <cell r="D1152" t="str">
            <v>Split Ring Clamp Stl 2</v>
          </cell>
        </row>
        <row r="1153">
          <cell r="C1153" t="str">
            <v>434780WH</v>
          </cell>
          <cell r="D1153" t="str">
            <v>Hose Black Rubber 2</v>
          </cell>
        </row>
        <row r="1154">
          <cell r="C1154" t="str">
            <v>434783WH</v>
          </cell>
          <cell r="D1154" t="str">
            <v>Work Station 24 X 29 (Large Bench)</v>
          </cell>
        </row>
        <row r="1155">
          <cell r="C1155" t="str">
            <v>434785WH</v>
          </cell>
          <cell r="D1155" t="str">
            <v>Pipe Clamp 1</v>
          </cell>
        </row>
        <row r="1156">
          <cell r="C1156" t="str">
            <v>434786WH</v>
          </cell>
          <cell r="D1156" t="str">
            <v>TEE Cu Rdg 2X1</v>
          </cell>
        </row>
        <row r="1157">
          <cell r="C1157" t="str">
            <v>434788WH</v>
          </cell>
          <cell r="D1157" t="str">
            <v>Adapter Female Cu 2</v>
          </cell>
        </row>
        <row r="1158">
          <cell r="C1158" t="str">
            <v>434790WH</v>
          </cell>
          <cell r="D1158" t="str">
            <v>Work Station 12 X 22 (Series 5000)</v>
          </cell>
        </row>
        <row r="1159">
          <cell r="C1159" t="str">
            <v>434802WH</v>
          </cell>
          <cell r="D1159" t="str">
            <v>5/8-1 Long Outboard Carrier</v>
          </cell>
        </row>
        <row r="1160">
          <cell r="C1160" t="str">
            <v>434804WH</v>
          </cell>
          <cell r="D1160" t="str">
            <v>5/8 - 1 Brass Center Carrier</v>
          </cell>
        </row>
        <row r="1161">
          <cell r="C1161" t="str">
            <v>434805WH</v>
          </cell>
          <cell r="D1161" t="str">
            <v>Outboard Carrier 5/8X1</v>
          </cell>
        </row>
        <row r="1162">
          <cell r="C1162" t="str">
            <v>434810WH</v>
          </cell>
          <cell r="D1162" t="str">
            <v>0.1 - 1.5 Rotometer 7331323043W 0.5 FNPT PVC SS VT 1.5Gpm</v>
          </cell>
        </row>
        <row r="1163">
          <cell r="C1163" t="str">
            <v>434812WH</v>
          </cell>
          <cell r="D1163" t="str">
            <v>5 - 60  Gpm Rotometer 7331323099W 2FNPT PVC SS VT 60Gpm</v>
          </cell>
        </row>
        <row r="1164">
          <cell r="C1164" t="str">
            <v>434816WH</v>
          </cell>
          <cell r="D1164" t="str">
            <v>1.5 - 18 Rotometer 7331323066W 1FNPT PVC SS VT 18Gpm</v>
          </cell>
        </row>
        <row r="1165">
          <cell r="C1165" t="str">
            <v>434817WH</v>
          </cell>
          <cell r="D1165" t="str">
            <v>15 - 150 Rotometer 73313203098W 2FNPT PVC SS VT 150Gpm</v>
          </cell>
        </row>
        <row r="1166">
          <cell r="C1166" t="str">
            <v>434820WH</v>
          </cell>
          <cell r="D1166" t="str">
            <v>1.5 - 2 Carrier Outboard</v>
          </cell>
        </row>
        <row r="1167">
          <cell r="C1167" t="str">
            <v>434822WH</v>
          </cell>
          <cell r="D1167" t="str">
            <v>Special 1.5-2" Outboard</v>
          </cell>
        </row>
        <row r="1168">
          <cell r="C1168" t="str">
            <v>434833WH</v>
          </cell>
          <cell r="D1168" t="str">
            <v>0.025-0.250 Rotometer</v>
          </cell>
        </row>
        <row r="1169">
          <cell r="C1169" t="str">
            <v>434834WH</v>
          </cell>
          <cell r="D1169" t="str">
            <v>11-113 Lph Rotometer</v>
          </cell>
        </row>
        <row r="1170">
          <cell r="C1170" t="str">
            <v>434849WH</v>
          </cell>
          <cell r="D1170" t="str">
            <v>Spool Roller 4In</v>
          </cell>
        </row>
        <row r="1171">
          <cell r="C1171" t="str">
            <v>434850WH</v>
          </cell>
          <cell r="D1171" t="str">
            <v>Pin Alignment SS  3- 4 FLNG</v>
          </cell>
        </row>
        <row r="1172">
          <cell r="C1172" t="str">
            <v>434851WH</v>
          </cell>
          <cell r="D1172" t="str">
            <v>Pin Alignment SS  6- 8 FLNG</v>
          </cell>
        </row>
        <row r="1173">
          <cell r="C1173" t="str">
            <v>434859WH</v>
          </cell>
          <cell r="D1173" t="str">
            <v>Pan Bot  2400 Stl 14Ga 29X71  (2) Req'd Per 34 Wide Bench</v>
          </cell>
        </row>
        <row r="1174">
          <cell r="C1174" t="str">
            <v>434869WH</v>
          </cell>
          <cell r="D1174" t="str">
            <v>Pan Bot  1000 Stl 14Ga 13X59.5  (2) Req'd Per 18 Wide Bench</v>
          </cell>
        </row>
        <row r="1175">
          <cell r="C1175" t="str">
            <v>434874WH</v>
          </cell>
          <cell r="D1175" t="str">
            <v>ELL Blk Weld 90Lr-10</v>
          </cell>
        </row>
        <row r="1176">
          <cell r="C1176" t="str">
            <v>434890WH</v>
          </cell>
          <cell r="D1176" t="str">
            <v>Pan Bot 5-1000 Stl 14Ga 34X59.5  (2) Req'd Per 39 Wide Bench</v>
          </cell>
        </row>
        <row r="1177">
          <cell r="C1177" t="str">
            <v>434898WH</v>
          </cell>
          <cell r="D1177" t="str">
            <v>ELL Blk Weld 45-6</v>
          </cell>
        </row>
        <row r="1178">
          <cell r="C1178" t="str">
            <v>434921WH</v>
          </cell>
          <cell r="D1178" t="str">
            <v>Adapter Female Cu 0.75</v>
          </cell>
        </row>
        <row r="1179">
          <cell r="C1179" t="str">
            <v>434970WH</v>
          </cell>
          <cell r="D1179" t="str">
            <v>ELL Cu Viega 90-2</v>
          </cell>
        </row>
        <row r="1180">
          <cell r="C1180" t="str">
            <v>434971WH</v>
          </cell>
          <cell r="D1180" t="str">
            <v>ELL Cu Viega 45-2</v>
          </cell>
        </row>
        <row r="1181">
          <cell r="C1181" t="str">
            <v>434972WH</v>
          </cell>
          <cell r="D1181" t="str">
            <v>CPLG Cu Viega 2</v>
          </cell>
        </row>
        <row r="1182">
          <cell r="C1182" t="str">
            <v>434973WH</v>
          </cell>
          <cell r="D1182" t="str">
            <v>Union Brz Viega 2</v>
          </cell>
        </row>
        <row r="1183">
          <cell r="C1183" t="str">
            <v>434974WH</v>
          </cell>
          <cell r="D1183" t="str">
            <v>Adpt Brz Viega MNPT 2X2</v>
          </cell>
        </row>
        <row r="1184">
          <cell r="C1184" t="str">
            <v>438020WH</v>
          </cell>
          <cell r="D1184" t="str">
            <v>Adapter Male Cu 0.75</v>
          </cell>
        </row>
        <row r="1185">
          <cell r="C1185" t="str">
            <v>438023WH</v>
          </cell>
          <cell r="D1185" t="str">
            <v>Union Cu 0.75</v>
          </cell>
        </row>
        <row r="1186">
          <cell r="C1186" t="str">
            <v>438025WH</v>
          </cell>
          <cell r="D1186" t="str">
            <v>ELL Cu Srt 90 - 0.75</v>
          </cell>
        </row>
        <row r="1187">
          <cell r="C1187" t="str">
            <v>438030WH</v>
          </cell>
          <cell r="D1187" t="str">
            <v>Pipe Clamp For Cu 0.5</v>
          </cell>
        </row>
        <row r="1188">
          <cell r="C1188" t="str">
            <v>438035WH</v>
          </cell>
          <cell r="D1188" t="str">
            <v>ELL Cu Srt 90-0.5</v>
          </cell>
        </row>
        <row r="1189">
          <cell r="C1189" t="str">
            <v>438036WH</v>
          </cell>
          <cell r="D1189" t="str">
            <v>Union Cu 0.5</v>
          </cell>
        </row>
        <row r="1190">
          <cell r="C1190" t="str">
            <v>438044WH</v>
          </cell>
          <cell r="D1190" t="str">
            <v>CPLG Cu 1/2</v>
          </cell>
        </row>
        <row r="1191">
          <cell r="C1191" t="str">
            <v>438095WH</v>
          </cell>
          <cell r="D1191" t="str">
            <v>VF4, Valve Butterfly Man 3 250# Rated CI</v>
          </cell>
        </row>
        <row r="1192">
          <cell r="C1192" t="str">
            <v>438096WH</v>
          </cell>
          <cell r="D1192" t="str">
            <v>Valve Butterfly Man 10</v>
          </cell>
        </row>
        <row r="1193">
          <cell r="C1193" t="str">
            <v>438103WH</v>
          </cell>
          <cell r="D1193" t="str">
            <v>Valve Ball  1/2 W/Act Dynaquip</v>
          </cell>
        </row>
        <row r="1194">
          <cell r="C1194" t="str">
            <v>438130WH</v>
          </cell>
          <cell r="D1194" t="str">
            <v>Valve Ball 1.5 W/Act Dynaquip</v>
          </cell>
        </row>
        <row r="1195">
          <cell r="C1195" t="str">
            <v>438131WH</v>
          </cell>
          <cell r="D1195" t="str">
            <v>Valve Ball 1    W/Act Dynaquip</v>
          </cell>
        </row>
        <row r="1196">
          <cell r="C1196" t="str">
            <v>438132E</v>
          </cell>
          <cell r="D1196" t="str">
            <v>Switch Aux For Dynaquip Valve</v>
          </cell>
        </row>
        <row r="1197">
          <cell r="C1197" t="str">
            <v>438138WH</v>
          </cell>
          <cell r="D1197" t="str">
            <v>Valve Ball 2    W/Act Dynaquip</v>
          </cell>
        </row>
        <row r="1198">
          <cell r="C1198" t="str">
            <v>438141WH</v>
          </cell>
          <cell r="D1198" t="str">
            <v>Carrier Bar Pin-Lng 1.5-2 SS</v>
          </cell>
        </row>
        <row r="1199">
          <cell r="C1199" t="str">
            <v>438142WH</v>
          </cell>
          <cell r="D1199" t="str">
            <v>Drive Bar Pin-Short 1.5-2 SS</v>
          </cell>
        </row>
        <row r="1200">
          <cell r="C1200" t="str">
            <v>438144WH</v>
          </cell>
          <cell r="D1200" t="str">
            <v>Reducer Cu 2 x 1</v>
          </cell>
        </row>
        <row r="1201">
          <cell r="C1201" t="str">
            <v>438156WH</v>
          </cell>
          <cell r="D1201" t="str">
            <v>Pump, Liberty 1/2Hp 405</v>
          </cell>
        </row>
        <row r="1202">
          <cell r="C1202" t="str">
            <v>438163WH</v>
          </cell>
          <cell r="D1202" t="str">
            <v>Valve Needle 0.5</v>
          </cell>
        </row>
        <row r="1203">
          <cell r="C1203" t="str">
            <v>438165WH</v>
          </cell>
          <cell r="D1203" t="str">
            <v>Reducer Cu 1 x 0.5</v>
          </cell>
        </row>
        <row r="1204">
          <cell r="C1204" t="str">
            <v>438168WH</v>
          </cell>
          <cell r="D1204" t="str">
            <v>Union Cu 1</v>
          </cell>
        </row>
        <row r="1205">
          <cell r="C1205" t="str">
            <v>438176WH</v>
          </cell>
          <cell r="D1205" t="str">
            <v>Adapter Male Cu 2.5</v>
          </cell>
        </row>
        <row r="1206">
          <cell r="C1206" t="str">
            <v>438253WH</v>
          </cell>
          <cell r="D1206" t="str">
            <v>Valve Check Wafer  3</v>
          </cell>
        </row>
        <row r="1207">
          <cell r="C1207" t="str">
            <v>438254WH</v>
          </cell>
          <cell r="D1207" t="str">
            <v>Valve Check Wafer  8</v>
          </cell>
        </row>
        <row r="1208">
          <cell r="C1208" t="str">
            <v>438335E</v>
          </cell>
          <cell r="D1208" t="str">
            <v>Wheel Swivel (Caster)</v>
          </cell>
        </row>
        <row r="1209">
          <cell r="C1209" t="str">
            <v>438339WH</v>
          </cell>
          <cell r="D1209" t="str">
            <v>Valve Butterfly Act  8 Bf1-080-8688 P4 Elec Actuator  P4-120N4</v>
          </cell>
        </row>
        <row r="1210">
          <cell r="C1210" t="str">
            <v>438361E</v>
          </cell>
          <cell r="D1210" t="str">
            <v>Monitor Touchscreen 17 "</v>
          </cell>
        </row>
        <row r="1211">
          <cell r="C1211" t="str">
            <v>438364E</v>
          </cell>
          <cell r="D1211" t="str">
            <v>Fan Vent/Filter 4"</v>
          </cell>
        </row>
        <row r="1212">
          <cell r="C1212" t="str">
            <v>438370WH</v>
          </cell>
          <cell r="D1212" t="str">
            <v>Unistrut 1 5/8 X 1 5/8 X 10</v>
          </cell>
        </row>
        <row r="1213">
          <cell r="C1213" t="str">
            <v>438371WH</v>
          </cell>
          <cell r="D1213" t="str">
            <v>Unistrut Strap Cu 2</v>
          </cell>
        </row>
        <row r="1214">
          <cell r="C1214" t="str">
            <v>438382WH</v>
          </cell>
          <cell r="D1214" t="str">
            <v>Cu Ridg 2.5-L</v>
          </cell>
        </row>
        <row r="1215">
          <cell r="C1215" t="str">
            <v>438400WH</v>
          </cell>
          <cell r="D1215" t="str">
            <v>NPL Brs 2.5X Close</v>
          </cell>
        </row>
        <row r="1216">
          <cell r="C1216" t="str">
            <v>438412WH</v>
          </cell>
          <cell r="D1216" t="str">
            <v>3/8 All Thread Zinc</v>
          </cell>
        </row>
        <row r="1217">
          <cell r="C1217" t="str">
            <v>438414E</v>
          </cell>
          <cell r="D1217" t="str">
            <v>Monitor Power Adapter</v>
          </cell>
        </row>
        <row r="1218">
          <cell r="C1218" t="str">
            <v>438419E</v>
          </cell>
          <cell r="D1218" t="str">
            <v>Monitor Touchscreen Bezel 17"</v>
          </cell>
        </row>
        <row r="1219">
          <cell r="C1219" t="str">
            <v>474979WH</v>
          </cell>
          <cell r="D1219" t="str">
            <v>HSS A36Hr 1.5X1.5X0.25</v>
          </cell>
        </row>
        <row r="1220">
          <cell r="C1220" t="str">
            <v>474981WH</v>
          </cell>
          <cell r="D1220" t="str">
            <v>HSS A36Hr 1.25X1.25X11Ga</v>
          </cell>
        </row>
        <row r="1221">
          <cell r="C1221" t="str">
            <v>474984WH</v>
          </cell>
          <cell r="D1221" t="str">
            <v>5X10X14 Ga SS(Brush)</v>
          </cell>
        </row>
        <row r="1222">
          <cell r="C1222" t="str">
            <v>474992WH</v>
          </cell>
          <cell r="D1222" t="str">
            <v>Angle Stl 1.5X1.5X3/16</v>
          </cell>
        </row>
        <row r="1223">
          <cell r="C1223" t="str">
            <v>474993WH</v>
          </cell>
          <cell r="D1223" t="str">
            <v>Channel C Stl 8 @ 13.75#/Ft</v>
          </cell>
        </row>
        <row r="1224">
          <cell r="C1224" t="str">
            <v>474999WH</v>
          </cell>
          <cell r="D1224" t="str">
            <v>Bar Flt Stl 0.25X8</v>
          </cell>
        </row>
        <row r="1225">
          <cell r="C1225" t="str">
            <v>475000WH</v>
          </cell>
          <cell r="D1225" t="str">
            <v>Bar Flt Stl 0.25X3</v>
          </cell>
        </row>
        <row r="1226">
          <cell r="C1226" t="str">
            <v>475002WH</v>
          </cell>
          <cell r="D1226" t="str">
            <v>Bar Flt Stl   1/4 X 1</v>
          </cell>
        </row>
        <row r="1227">
          <cell r="C1227" t="str">
            <v>475003WH</v>
          </cell>
          <cell r="D1227" t="str">
            <v>NPS Blk 0.75-Sch40</v>
          </cell>
        </row>
        <row r="1228">
          <cell r="C1228" t="str">
            <v>475004WH</v>
          </cell>
          <cell r="D1228" t="str">
            <v>Bar Flt Stl 0.25X2</v>
          </cell>
        </row>
        <row r="1229">
          <cell r="C1229" t="str">
            <v>475008WH</v>
          </cell>
          <cell r="D1229" t="str">
            <v>Bar Flt Stl 0.25X4</v>
          </cell>
        </row>
        <row r="1230">
          <cell r="C1230" t="str">
            <v>475009WH</v>
          </cell>
          <cell r="D1230" t="str">
            <v>HSS A36Hr 1.5X1.5X0.18</v>
          </cell>
        </row>
        <row r="1231">
          <cell r="C1231" t="str">
            <v>475010WH</v>
          </cell>
          <cell r="D1231" t="str">
            <v>HSS A513 1X1X11Ga</v>
          </cell>
        </row>
        <row r="1232">
          <cell r="C1232" t="str">
            <v>475011WH</v>
          </cell>
          <cell r="D1232" t="str">
            <v>HSS A513 1.25X1.25X16Ga</v>
          </cell>
        </row>
        <row r="1233">
          <cell r="C1233" t="str">
            <v>475013WH</v>
          </cell>
          <cell r="D1233" t="str">
            <v>Bar Flt SST 0.25X3</v>
          </cell>
        </row>
        <row r="1234">
          <cell r="C1234" t="str">
            <v>475016WH</v>
          </cell>
          <cell r="D1234" t="str">
            <v>HSS A36Hr 2X2X0.18</v>
          </cell>
        </row>
        <row r="1235">
          <cell r="C1235" t="str">
            <v>475017WH</v>
          </cell>
          <cell r="D1235" t="str">
            <v>Angle Stl 1   X 1   X 3/16</v>
          </cell>
        </row>
        <row r="1236">
          <cell r="C1236" t="str">
            <v>475018WH</v>
          </cell>
          <cell r="D1236" t="str">
            <v>Angle Stl 2   X 2   X 3/16</v>
          </cell>
        </row>
        <row r="1237">
          <cell r="C1237" t="str">
            <v>475019WH</v>
          </cell>
          <cell r="D1237" t="str">
            <v>Channel Bar Stl 2   X1   X3/16</v>
          </cell>
        </row>
        <row r="1238">
          <cell r="C1238" t="str">
            <v>475020WH</v>
          </cell>
          <cell r="D1238" t="str">
            <v>Channel C Stl 3 @ 4.1#/Ft</v>
          </cell>
        </row>
        <row r="1239">
          <cell r="C1239" t="str">
            <v>475022WH</v>
          </cell>
          <cell r="D1239" t="str">
            <v>Channel C Stl 5 @ 9.0#/Ft</v>
          </cell>
        </row>
        <row r="1240">
          <cell r="C1240" t="str">
            <v>475026WH</v>
          </cell>
          <cell r="D1240" t="str">
            <v>Bar Flt Stl   3/8 X 5</v>
          </cell>
        </row>
        <row r="1241">
          <cell r="C1241" t="str">
            <v>475027WH</v>
          </cell>
          <cell r="D1241" t="str">
            <v>O Bar A36Hr 0.37</v>
          </cell>
        </row>
        <row r="1242">
          <cell r="C1242" t="str">
            <v>475028WH</v>
          </cell>
          <cell r="D1242" t="str">
            <v>O Bar A36Hr 0.5</v>
          </cell>
        </row>
        <row r="1243">
          <cell r="C1243" t="str">
            <v>475033WH</v>
          </cell>
          <cell r="D1243" t="str">
            <v>5/8 All Thread Zinc</v>
          </cell>
        </row>
        <row r="1244">
          <cell r="C1244" t="str">
            <v>475034WH</v>
          </cell>
          <cell r="D1244" t="str">
            <v>HSS A36Hr 2.5X2.5X7Ga</v>
          </cell>
        </row>
        <row r="1245">
          <cell r="C1245" t="str">
            <v>475039WH</v>
          </cell>
          <cell r="D1245" t="str">
            <v>Bar Sq  Stl 2</v>
          </cell>
        </row>
        <row r="1246">
          <cell r="C1246" t="str">
            <v>475051WH</v>
          </cell>
          <cell r="D1246" t="str">
            <v>Sheet SS 304 11Ga 4X10</v>
          </cell>
        </row>
        <row r="1247">
          <cell r="C1247" t="str">
            <v>475069WH</v>
          </cell>
          <cell r="D1247" t="str">
            <v>NPS Blk 2.5-Sch40</v>
          </cell>
        </row>
        <row r="1248">
          <cell r="C1248" t="str">
            <v>475070WH</v>
          </cell>
          <cell r="D1248" t="str">
            <v>NPS Blk 2-Sch40</v>
          </cell>
        </row>
        <row r="1249">
          <cell r="C1249" t="str">
            <v>475072WH</v>
          </cell>
          <cell r="D1249" t="str">
            <v>NPS Blk 3-Sch40</v>
          </cell>
        </row>
        <row r="1250">
          <cell r="C1250" t="str">
            <v>475074WH</v>
          </cell>
          <cell r="D1250" t="str">
            <v>NPS Blk 6-Sch40</v>
          </cell>
        </row>
        <row r="1251">
          <cell r="C1251" t="str">
            <v>475078WH</v>
          </cell>
          <cell r="D1251" t="str">
            <v>NPS Blk 8-Sch40</v>
          </cell>
        </row>
        <row r="1252">
          <cell r="C1252" t="str">
            <v>475082WH</v>
          </cell>
          <cell r="D1252" t="str">
            <v>NPS Blk 1.5-Sch40</v>
          </cell>
        </row>
        <row r="1253">
          <cell r="C1253" t="str">
            <v>475083WH</v>
          </cell>
          <cell r="D1253" t="str">
            <v>Bar Flt SST  0.25 X 1</v>
          </cell>
        </row>
        <row r="1254">
          <cell r="C1254" t="str">
            <v>475087WH</v>
          </cell>
          <cell r="D1254" t="str">
            <v>23 X 23 X 1 Steel Plate Must Be Flat (No Warp)</v>
          </cell>
        </row>
        <row r="1255">
          <cell r="C1255" t="str">
            <v>475090WH</v>
          </cell>
          <cell r="D1255" t="str">
            <v>NPS Blk 4-Sch40</v>
          </cell>
        </row>
        <row r="1256">
          <cell r="C1256" t="str">
            <v>475091WH</v>
          </cell>
          <cell r="D1256" t="str">
            <v>HSS A36Hr 4X2X0.18</v>
          </cell>
        </row>
        <row r="1257">
          <cell r="C1257" t="str">
            <v>475092WH</v>
          </cell>
          <cell r="D1257" t="str">
            <v>NPS Blk 12-Sch40</v>
          </cell>
        </row>
        <row r="1258">
          <cell r="C1258" t="str">
            <v>475094WH</v>
          </cell>
          <cell r="D1258" t="str">
            <v>NPS Blk 10-Sch40</v>
          </cell>
        </row>
        <row r="1259">
          <cell r="C1259" t="str">
            <v>475101WH</v>
          </cell>
          <cell r="D1259" t="str">
            <v>NPS Tube 304SS 0.5-Sch40</v>
          </cell>
        </row>
        <row r="1260">
          <cell r="C1260" t="str">
            <v>475104WH</v>
          </cell>
          <cell r="D1260" t="str">
            <v>Rod SST  3/16 304 Plain</v>
          </cell>
        </row>
        <row r="1261">
          <cell r="C1261" t="str">
            <v>475106WH</v>
          </cell>
          <cell r="D1261" t="str">
            <v>Bar Flt SST 3/16X2 Brushed 304SS</v>
          </cell>
        </row>
        <row r="1262">
          <cell r="C1262" t="str">
            <v>475107WH</v>
          </cell>
          <cell r="D1262" t="str">
            <v>Angle SST 2X2X3/16 Matte</v>
          </cell>
        </row>
        <row r="1263">
          <cell r="C1263" t="str">
            <v>475108WH</v>
          </cell>
          <cell r="D1263" t="str">
            <v>NPS 304SS 0.75-Sch40</v>
          </cell>
        </row>
        <row r="1264">
          <cell r="C1264" t="str">
            <v>475110WH</v>
          </cell>
          <cell r="D1264" t="str">
            <v>O Bar 304SS 0.37</v>
          </cell>
        </row>
        <row r="1265">
          <cell r="C1265" t="str">
            <v>475111WH</v>
          </cell>
          <cell r="D1265" t="str">
            <v>1/2 SS All Thread</v>
          </cell>
        </row>
        <row r="1266">
          <cell r="C1266" t="str">
            <v>475114WH</v>
          </cell>
          <cell r="D1266" t="str">
            <v>O Bar 304L SS 1.0</v>
          </cell>
        </row>
        <row r="1267">
          <cell r="C1267" t="str">
            <v>475116WH</v>
          </cell>
          <cell r="D1267" t="str">
            <v>Bar Flt SST 3/16X3 Brushed</v>
          </cell>
        </row>
        <row r="1268">
          <cell r="C1268" t="str">
            <v>475119WH</v>
          </cell>
          <cell r="D1268" t="str">
            <v>Rod 304SS 0.75-10</v>
          </cell>
        </row>
        <row r="1269">
          <cell r="C1269" t="str">
            <v>475158WH</v>
          </cell>
          <cell r="D1269" t="str">
            <v>Bar Flt SST 1/4X4 Matte</v>
          </cell>
        </row>
        <row r="1270">
          <cell r="C1270" t="str">
            <v>475162WH</v>
          </cell>
          <cell r="D1270" t="str">
            <v>Bar Flt SST 1/8X1 Matte</v>
          </cell>
        </row>
        <row r="1271">
          <cell r="C1271" t="str">
            <v>475167WH</v>
          </cell>
          <cell r="D1271" t="str">
            <v>Channel C Stl 6 @ 8.2#/Ft</v>
          </cell>
        </row>
        <row r="1272">
          <cell r="C1272" t="str">
            <v>475169WH</v>
          </cell>
          <cell r="D1272" t="str">
            <v>HSS A36Hr 8X3X0.25</v>
          </cell>
        </row>
        <row r="1273">
          <cell r="C1273" t="str">
            <v>475170WH</v>
          </cell>
          <cell r="D1273" t="str">
            <v>Angle Alu 1   X 1   X 3/16</v>
          </cell>
        </row>
        <row r="1274">
          <cell r="C1274" t="str">
            <v>475171WH</v>
          </cell>
          <cell r="D1274" t="str">
            <v>HSS Alm 1.25X1.25X0.12</v>
          </cell>
        </row>
        <row r="1275">
          <cell r="C1275" t="str">
            <v>475175WH</v>
          </cell>
          <cell r="D1275" t="str">
            <v>Bar Flt SST 3/16X2 Matte</v>
          </cell>
        </row>
        <row r="1276">
          <cell r="C1276" t="str">
            <v>475176WH</v>
          </cell>
          <cell r="D1276" t="str">
            <v>Angle SST 3X3X1/4 T304</v>
          </cell>
        </row>
        <row r="1277">
          <cell r="C1277" t="str">
            <v>475204WH</v>
          </cell>
          <cell r="D1277" t="str">
            <v>O Bar PVC 4</v>
          </cell>
        </row>
        <row r="1278">
          <cell r="C1278" t="str">
            <v>475239WH</v>
          </cell>
          <cell r="D1278" t="str">
            <v>Bar Flt Stl  0.25X12 Hr A36</v>
          </cell>
        </row>
        <row r="1279">
          <cell r="C1279" t="str">
            <v>475390WH</v>
          </cell>
          <cell r="D1279" t="str">
            <v>HSS A36Hr 1.5X1.5X16Ga</v>
          </cell>
        </row>
        <row r="1280">
          <cell r="C1280" t="str">
            <v>475399WH</v>
          </cell>
          <cell r="D1280" t="str">
            <v>NPS PVC .75-Sch80</v>
          </cell>
        </row>
        <row r="1281">
          <cell r="C1281" t="str">
            <v>475403WH</v>
          </cell>
          <cell r="D1281" t="str">
            <v>NPS PVC 2.0-Sch80</v>
          </cell>
        </row>
        <row r="1282">
          <cell r="C1282" t="str">
            <v>475404WH</v>
          </cell>
          <cell r="D1282" t="str">
            <v>NPS PVC 1.5-Sch80</v>
          </cell>
        </row>
        <row r="1283">
          <cell r="C1283" t="str">
            <v>475405WH</v>
          </cell>
          <cell r="D1283" t="str">
            <v>NPS PVC 2.5-Sch80</v>
          </cell>
        </row>
        <row r="1284">
          <cell r="C1284" t="str">
            <v>475406WH</v>
          </cell>
          <cell r="D1284" t="str">
            <v>NPS PVC 4.0-Sch80</v>
          </cell>
        </row>
        <row r="1285">
          <cell r="C1285" t="str">
            <v>475408WH</v>
          </cell>
          <cell r="D1285" t="str">
            <v>NPS PVC 3.0-Sch80</v>
          </cell>
        </row>
        <row r="1286">
          <cell r="C1286" t="str">
            <v>475413WH</v>
          </cell>
          <cell r="D1286" t="str">
            <v>Bar Flt Stl 0.25X1.5</v>
          </cell>
        </row>
        <row r="1287">
          <cell r="C1287" t="str">
            <v>475434WH</v>
          </cell>
          <cell r="D1287" t="str">
            <v>NPS PVC 0.5-Sch80</v>
          </cell>
        </row>
        <row r="1288">
          <cell r="C1288" t="str">
            <v>475436WH</v>
          </cell>
          <cell r="D1288" t="str">
            <v>ELL PVC 90-2-Sch80</v>
          </cell>
        </row>
        <row r="1289">
          <cell r="C1289" t="str">
            <v>475443WH</v>
          </cell>
          <cell r="D1289" t="str">
            <v>Channel C Stl 5 @ 6.7#/Ft</v>
          </cell>
        </row>
        <row r="1290">
          <cell r="C1290" t="str">
            <v>475460WH</v>
          </cell>
          <cell r="D1290" t="str">
            <v>Angle Stl 3   X 3   X 3/16</v>
          </cell>
        </row>
        <row r="1291">
          <cell r="C1291" t="str">
            <v>475488WH</v>
          </cell>
          <cell r="D1291" t="str">
            <v>Angle Stl 4X4X0.25</v>
          </cell>
        </row>
        <row r="1292">
          <cell r="C1292" t="str">
            <v>475489WH</v>
          </cell>
          <cell r="D1292" t="str">
            <v>Angle Stl 6   X 6   X 3/8</v>
          </cell>
        </row>
        <row r="1293">
          <cell r="C1293" t="str">
            <v>475502WH</v>
          </cell>
          <cell r="D1293" t="str">
            <v>Sheet SS 304 14Ga 5X14 Brushed</v>
          </cell>
        </row>
        <row r="1294">
          <cell r="C1294" t="str">
            <v>476034WH</v>
          </cell>
          <cell r="D1294" t="str">
            <v>Tee PVC 2-Sch80</v>
          </cell>
        </row>
        <row r="1295">
          <cell r="C1295" t="str">
            <v>476037WH</v>
          </cell>
          <cell r="D1295" t="str">
            <v>Hose Assy Flex SS 4X60 Lg</v>
          </cell>
        </row>
        <row r="1296">
          <cell r="C1296" t="str">
            <v>476041WH</v>
          </cell>
          <cell r="D1296" t="str">
            <v>Cylinder Hydraulic  H6C-N2.0N-18.00S1.38TFS11</v>
          </cell>
        </row>
        <row r="1297">
          <cell r="C1297" t="str">
            <v>476042WH</v>
          </cell>
          <cell r="D1297" t="str">
            <v>Plumbing - Hyd/Pwr Unit 2 Cylinder Large Test Bench</v>
          </cell>
        </row>
        <row r="1298">
          <cell r="C1298" t="str">
            <v>476043WH</v>
          </cell>
          <cell r="D1298" t="str">
            <v>Hydraulic Power Unit - 2 Cylin</v>
          </cell>
        </row>
        <row r="1299">
          <cell r="C1299" t="str">
            <v>476058WH</v>
          </cell>
          <cell r="D1299" t="str">
            <v>ELL Blk Weld 90LR-4</v>
          </cell>
        </row>
        <row r="1300">
          <cell r="C1300" t="str">
            <v>476096WH</v>
          </cell>
          <cell r="D1300" t="str">
            <v>NPS Blk 5-Sch40</v>
          </cell>
        </row>
        <row r="1301">
          <cell r="C1301" t="str">
            <v>476127WH</v>
          </cell>
          <cell r="D1301" t="str">
            <v>Fan 8" Rittal</v>
          </cell>
        </row>
        <row r="1302">
          <cell r="C1302" t="str">
            <v>476128WH</v>
          </cell>
          <cell r="D1302" t="str">
            <v>Fan Filter 8" Rittal</v>
          </cell>
        </row>
        <row r="1303">
          <cell r="C1303" t="str">
            <v>476132E</v>
          </cell>
          <cell r="D1303" t="str">
            <v>VFD DG1 VT, 380-500V, 25Hp,  DG134031FBC21C</v>
          </cell>
        </row>
        <row r="1304">
          <cell r="C1304" t="str">
            <v>476132WH</v>
          </cell>
          <cell r="D1304" t="str">
            <v>Fan, Rittal</v>
          </cell>
        </row>
        <row r="1305">
          <cell r="C1305" t="str">
            <v>476133E</v>
          </cell>
          <cell r="D1305" t="str">
            <v>Panel Filter, Rittal</v>
          </cell>
        </row>
        <row r="1306">
          <cell r="C1306" t="str">
            <v>476135E</v>
          </cell>
          <cell r="D1306" t="str">
            <v>Encl 63x47x20 Ritt</v>
          </cell>
        </row>
        <row r="1307">
          <cell r="C1307" t="str">
            <v>476203E</v>
          </cell>
          <cell r="D1307" t="str">
            <v>Connector 07-Pin (SIZE 16), Cable Receptacle Socket</v>
          </cell>
        </row>
        <row r="1308">
          <cell r="C1308" t="str">
            <v>476205E</v>
          </cell>
          <cell r="D1308" t="str">
            <v>PLC Module (Console) -Unitronics Assembly</v>
          </cell>
        </row>
        <row r="1309">
          <cell r="C1309" t="str">
            <v>476206E</v>
          </cell>
          <cell r="D1309" t="str">
            <v>Relay Board New Style Used With 400908E</v>
          </cell>
        </row>
        <row r="1310">
          <cell r="C1310" t="str">
            <v>476209E</v>
          </cell>
          <cell r="D1310" t="str">
            <v>Wire 20-8 Gray A21802 18/2C Vntc O/Shield E2 600V Tc Ref-Acp-Rel-08A</v>
          </cell>
        </row>
        <row r="1311">
          <cell r="C1311" t="str">
            <v>476209WH</v>
          </cell>
          <cell r="D1311" t="str">
            <v>1 Cu Male Adapter C X MNPT</v>
          </cell>
        </row>
        <row r="1312">
          <cell r="C1312" t="str">
            <v>476210E</v>
          </cell>
          <cell r="D1312" t="str">
            <v>Wire 18-2 Strcu</v>
          </cell>
        </row>
        <row r="1313">
          <cell r="C1313" t="str">
            <v>476212E</v>
          </cell>
          <cell r="D1313" t="str">
            <v>Micro SDHC 16GB</v>
          </cell>
        </row>
        <row r="1314">
          <cell r="C1314" t="str">
            <v>476229WH</v>
          </cell>
          <cell r="D1314" t="str">
            <v>Rod 304SS 0.625-11 All Thread</v>
          </cell>
        </row>
        <row r="1315">
          <cell r="C1315" t="str">
            <v>476238WH</v>
          </cell>
          <cell r="D1315" t="str">
            <v>VF1 Al Inlet Fitting .75 NPT</v>
          </cell>
        </row>
        <row r="1316">
          <cell r="C1316" t="str">
            <v>476239WH</v>
          </cell>
          <cell r="D1316" t="str">
            <v>VF1 Al Outlet Fitting .75 NPT</v>
          </cell>
        </row>
        <row r="1317">
          <cell r="C1317" t="str">
            <v>476246E</v>
          </cell>
          <cell r="D1317" t="str">
            <v>VFD DG1 VT,208-240V,10Hp,DG132025FBC21C</v>
          </cell>
        </row>
        <row r="1318">
          <cell r="C1318" t="str">
            <v>476247E</v>
          </cell>
          <cell r="D1318" t="str">
            <v>VFD DG1 VT, 380-500V, 10Hp, DG134012FBC21C</v>
          </cell>
        </row>
        <row r="1319">
          <cell r="C1319" t="str">
            <v>476248WH</v>
          </cell>
          <cell r="D1319" t="str">
            <v>Replacement Lid, Pump, Liberty 1/2Hp P383XLE51  Part# K001128</v>
          </cell>
        </row>
        <row r="1320">
          <cell r="C1320" t="str">
            <v>476249WH</v>
          </cell>
          <cell r="D1320" t="str">
            <v>Pentair Replacement Cartridge Filter  - Large Chlorinator</v>
          </cell>
        </row>
        <row r="1321">
          <cell r="C1321" t="str">
            <v>476251WH</v>
          </cell>
          <cell r="D1321" t="str">
            <v>Rod Alm Tbe 0.62-11X9.25Lg</v>
          </cell>
        </row>
        <row r="1322">
          <cell r="C1322" t="str">
            <v>476252WH</v>
          </cell>
          <cell r="D1322" t="str">
            <v>Rod Alm Tbe 0.62-11X9.75Lg</v>
          </cell>
        </row>
        <row r="1323">
          <cell r="C1323" t="str">
            <v>476253E</v>
          </cell>
          <cell r="D1323" t="str">
            <v>Transmitter Manual Loop (VFD Speed Control)</v>
          </cell>
        </row>
        <row r="1324">
          <cell r="C1324" t="str">
            <v>476254WH</v>
          </cell>
          <cell r="D1324" t="str">
            <v>Pl A36 12X18X11Ga</v>
          </cell>
        </row>
        <row r="1325">
          <cell r="C1325" t="str">
            <v>476256E</v>
          </cell>
          <cell r="D1325" t="str">
            <v>3 Phase Contactor Non-Reversing, NO, 9A, 50-60Hz, 120V Coil</v>
          </cell>
        </row>
        <row r="1326">
          <cell r="C1326" t="str">
            <v>476257E</v>
          </cell>
          <cell r="D1326" t="str">
            <v>Electronic Timing Relay, Spdt</v>
          </cell>
        </row>
        <row r="1327">
          <cell r="C1327" t="str">
            <v>476260E</v>
          </cell>
          <cell r="D1327" t="str">
            <v>Starter Box Rotary Handle Mech</v>
          </cell>
        </row>
        <row r="1328">
          <cell r="C1328" t="str">
            <v>476261E</v>
          </cell>
          <cell r="D1328" t="str">
            <v>Starter Box, Xt Manual Motor P</v>
          </cell>
        </row>
        <row r="1329">
          <cell r="C1329" t="str">
            <v>476262E</v>
          </cell>
          <cell r="D1329" t="str">
            <v>Fuse ATMR 1.5 A, 600V</v>
          </cell>
        </row>
        <row r="1330">
          <cell r="C1330" t="str">
            <v>476263E</v>
          </cell>
          <cell r="D1330" t="str">
            <v>Fuse TRM 2.25 A, 250V</v>
          </cell>
        </row>
        <row r="1331">
          <cell r="C1331" t="str">
            <v>476264WH</v>
          </cell>
          <cell r="D1331" t="str">
            <v>Gskt Adap 3.000ODx1.656Idx0.125</v>
          </cell>
        </row>
        <row r="1332">
          <cell r="C1332" t="str">
            <v>476265WH</v>
          </cell>
          <cell r="D1332" t="str">
            <v>RCM Single Battery-Replacement</v>
          </cell>
        </row>
        <row r="1333">
          <cell r="C1333" t="str">
            <v>476266WH</v>
          </cell>
          <cell r="D1333" t="str">
            <v>RCM Dual Battery-Replacement</v>
          </cell>
        </row>
        <row r="1334">
          <cell r="C1334" t="str">
            <v>476269WH</v>
          </cell>
          <cell r="D1334" t="str">
            <v>Adapter Meter PVC 1.5  For Male Meter</v>
          </cell>
        </row>
        <row r="1335">
          <cell r="C1335" t="str">
            <v>476270WH</v>
          </cell>
          <cell r="D1335" t="str">
            <v>Adapter Meter PVC 2.0  For Male Meter</v>
          </cell>
        </row>
        <row r="1336">
          <cell r="C1336" t="str">
            <v>476271WH</v>
          </cell>
          <cell r="D1336" t="str">
            <v>Union 0.75 SS 300Psi</v>
          </cell>
        </row>
        <row r="1337">
          <cell r="C1337" t="str">
            <v>476272WH</v>
          </cell>
          <cell r="D1337" t="str">
            <v>Insert Mun-200 Probe-Delrin</v>
          </cell>
        </row>
        <row r="1338">
          <cell r="C1338" t="str">
            <v>476277WH</v>
          </cell>
          <cell r="D1338" t="str">
            <v>Gskt Adap 2.25ODx1.0625Idx0.125</v>
          </cell>
        </row>
        <row r="1339">
          <cell r="C1339" t="str">
            <v>476280SW</v>
          </cell>
          <cell r="D1339" t="str">
            <v>Router, Unitronics AT&amp;T</v>
          </cell>
        </row>
        <row r="1340">
          <cell r="C1340" t="str">
            <v>476281SW</v>
          </cell>
          <cell r="D1340" t="str">
            <v>Din Rail Kit For Router, Unitronics</v>
          </cell>
        </row>
        <row r="1341">
          <cell r="C1341" t="str">
            <v>476282SW</v>
          </cell>
          <cell r="D1341" t="str">
            <v>Router, Unitronics Verizon</v>
          </cell>
        </row>
        <row r="1342">
          <cell r="C1342" t="str">
            <v>476283WH</v>
          </cell>
          <cell r="D1342" t="str">
            <v>O-Ring #226-70N Nitrile Rubber</v>
          </cell>
        </row>
        <row r="1343">
          <cell r="C1343" t="str">
            <v>476284WH</v>
          </cell>
          <cell r="D1343" t="str">
            <v>Adpt Reducer 2 X 1 Brass W/Oring</v>
          </cell>
        </row>
        <row r="1344">
          <cell r="C1344" t="str">
            <v>476286E</v>
          </cell>
          <cell r="D1344" t="str">
            <v>10000 Lb Deck Scale - 6'X6' Model -10 1Lb Capacity-Resolution</v>
          </cell>
        </row>
        <row r="1345">
          <cell r="C1345" t="str">
            <v>476287WH</v>
          </cell>
          <cell r="D1345" t="str">
            <v>Repair Kit, Valve Solenoid 0.5</v>
          </cell>
        </row>
        <row r="1346">
          <cell r="C1346" t="str">
            <v>476288WH</v>
          </cell>
          <cell r="D1346" t="str">
            <v>Repair Kit, Valve Solenoid 1</v>
          </cell>
        </row>
        <row r="1347">
          <cell r="C1347" t="str">
            <v>476291WH</v>
          </cell>
          <cell r="D1347" t="str">
            <v>Bar Flt Stl   3/8 X 12 A36</v>
          </cell>
        </row>
        <row r="1348">
          <cell r="C1348" t="str">
            <v>476292E</v>
          </cell>
          <cell r="D1348" t="str">
            <v>Fan, Rittal # 3243110 Filter Fan 353Cfm, 115V, 50/60 Hz</v>
          </cell>
        </row>
        <row r="1349">
          <cell r="C1349" t="str">
            <v>476294E</v>
          </cell>
          <cell r="D1349" t="str">
            <v>Console Body 24</v>
          </cell>
        </row>
        <row r="1350">
          <cell r="C1350" t="str">
            <v>476295E</v>
          </cell>
          <cell r="D1350" t="str">
            <v>Console Top 24</v>
          </cell>
        </row>
        <row r="1351">
          <cell r="C1351" t="str">
            <v>476296E</v>
          </cell>
          <cell r="D1351" t="str">
            <v>Console Subpanel, Half  24</v>
          </cell>
        </row>
        <row r="1352">
          <cell r="C1352" t="str">
            <v>476297E</v>
          </cell>
          <cell r="D1352" t="str">
            <v>Console Desk, Writing  24</v>
          </cell>
        </row>
        <row r="1353">
          <cell r="C1353" t="str">
            <v>476297WH</v>
          </cell>
          <cell r="D1353" t="str">
            <v>Reducer Eccentric 3 X 2</v>
          </cell>
        </row>
        <row r="1354">
          <cell r="C1354" t="str">
            <v>476301WH</v>
          </cell>
          <cell r="D1354" t="str">
            <v>Dump Assembly, 1 10Gal Standalone</v>
          </cell>
        </row>
        <row r="1355">
          <cell r="C1355" t="str">
            <v>476305SW</v>
          </cell>
          <cell r="D1355" t="str">
            <v>SSD Internal 256Gb</v>
          </cell>
        </row>
        <row r="1356">
          <cell r="C1356" t="str">
            <v>476306WH</v>
          </cell>
          <cell r="D1356" t="str">
            <v>Cup, Stainless Steel Tb Drain Tray</v>
          </cell>
        </row>
        <row r="1357">
          <cell r="C1357" t="str">
            <v>476307WH</v>
          </cell>
          <cell r="D1357" t="str">
            <v>Tank Poly  825 Gal 60OD 73High</v>
          </cell>
        </row>
        <row r="1358">
          <cell r="C1358" t="str">
            <v>476308SW</v>
          </cell>
          <cell r="D1358" t="str">
            <v>Usb Multiport Adapter Amazon</v>
          </cell>
        </row>
        <row r="1359">
          <cell r="C1359" t="str">
            <v>476309WH</v>
          </cell>
          <cell r="D1359" t="str">
            <v>Adpt 1.5 Tapped Meter C715</v>
          </cell>
        </row>
        <row r="1360">
          <cell r="C1360" t="str">
            <v>476310WH</v>
          </cell>
          <cell r="D1360" t="str">
            <v>Adpt 2.0 Tapped Meter C715</v>
          </cell>
        </row>
        <row r="1361">
          <cell r="C1361" t="str">
            <v>476313WH</v>
          </cell>
          <cell r="D1361" t="str">
            <v>Gskt Adpt 3.06ODx1.72Idx0.25Tk</v>
          </cell>
        </row>
        <row r="1362">
          <cell r="C1362" t="str">
            <v>476314WH</v>
          </cell>
          <cell r="D1362" t="str">
            <v>Gskt Adpt 3.06ODx2.19Idx0.25Tk</v>
          </cell>
        </row>
        <row r="1363">
          <cell r="C1363" t="str">
            <v>476317WH</v>
          </cell>
          <cell r="D1363" t="str">
            <v>Valve Ball 1 W/Act Dynaquip 12V</v>
          </cell>
        </row>
        <row r="1364">
          <cell r="C1364" t="str">
            <v>476318WH</v>
          </cell>
          <cell r="D1364" t="str">
            <v>Valve Ball 0.5 W/Act Dynaquip 12V</v>
          </cell>
        </row>
        <row r="1365">
          <cell r="C1365" t="str">
            <v>476319WH</v>
          </cell>
          <cell r="D1365" t="str">
            <v>Bar Flt Stl 3/16X3</v>
          </cell>
        </row>
        <row r="1366">
          <cell r="C1366" t="str">
            <v>476320WH</v>
          </cell>
          <cell r="D1366" t="str">
            <v>Valve Solenoid 2-Way NC 1 12V</v>
          </cell>
        </row>
        <row r="1367">
          <cell r="C1367" t="str">
            <v>476321WH</v>
          </cell>
          <cell r="D1367" t="str">
            <v>Valve Solenoid 2-Way NC 0.5 12V</v>
          </cell>
        </row>
        <row r="1368">
          <cell r="C1368" t="str">
            <v>476322WH</v>
          </cell>
          <cell r="D1368" t="str">
            <v>Adpt 1.5" Tapd Meter C715 End</v>
          </cell>
        </row>
        <row r="1369">
          <cell r="C1369" t="str">
            <v>476323WH</v>
          </cell>
          <cell r="D1369" t="str">
            <v>Adpt 2.0" Tapd Meter C715 End</v>
          </cell>
        </row>
        <row r="1370">
          <cell r="C1370" t="str">
            <v>476327WH</v>
          </cell>
          <cell r="D1370" t="str">
            <v>SWITCH 12mm MOM NO</v>
          </cell>
        </row>
        <row r="1371">
          <cell r="C1371" t="str">
            <v>476328WH</v>
          </cell>
          <cell r="D1371" t="str">
            <v>Plug Brs Sqr 0.75 Leaded</v>
          </cell>
        </row>
        <row r="1372">
          <cell r="C1372" t="str">
            <v>476330SW</v>
          </cell>
          <cell r="D1372" t="str">
            <v>Power Supply, Din 24V</v>
          </cell>
        </row>
        <row r="1373">
          <cell r="C1373" t="str">
            <v>476331WH</v>
          </cell>
          <cell r="D1373" t="str">
            <v>VF4 Leg Small Inlet 0.1875 5052 Alum</v>
          </cell>
        </row>
        <row r="1374">
          <cell r="C1374" t="str">
            <v>476332WH</v>
          </cell>
          <cell r="D1374" t="str">
            <v>Trailer 8.5X14' - Test Bench System</v>
          </cell>
        </row>
        <row r="1375">
          <cell r="C1375" t="str">
            <v>476333WH</v>
          </cell>
          <cell r="D1375" t="str">
            <v>Adpt Male Cu Srt .75</v>
          </cell>
        </row>
        <row r="1376">
          <cell r="C1376" t="str">
            <v>476337WH</v>
          </cell>
          <cell r="D1376" t="str">
            <v>Thredolet 1/2</v>
          </cell>
        </row>
        <row r="1377">
          <cell r="C1377" t="str">
            <v>476338WH</v>
          </cell>
          <cell r="D1377" t="str">
            <v>Thredolet 1</v>
          </cell>
        </row>
        <row r="1378">
          <cell r="C1378" t="str">
            <v>476339WH</v>
          </cell>
          <cell r="D1378" t="str">
            <v>Cplg Brs 2.5</v>
          </cell>
        </row>
        <row r="1379">
          <cell r="C1379" t="str">
            <v>476340WH</v>
          </cell>
          <cell r="D1379" t="str">
            <v>Pump &amp; Pentair Canister w/ Filter 1HP</v>
          </cell>
        </row>
        <row r="1380">
          <cell r="C1380" t="str">
            <v>476344E</v>
          </cell>
          <cell r="D1380" t="str">
            <v>Encl 8X6X4 Hinge Carbon Steel, Nema 4</v>
          </cell>
        </row>
        <row r="1381">
          <cell r="C1381" t="str">
            <v>476346WH</v>
          </cell>
          <cell r="D1381" t="str">
            <v>Tank SS 2500gal 4Leg Buy</v>
          </cell>
        </row>
        <row r="1382">
          <cell r="C1382" t="str">
            <v>476347WH</v>
          </cell>
          <cell r="D1382" t="str">
            <v>Tank SS 1500gal 3Leg Buy</v>
          </cell>
        </row>
        <row r="1383">
          <cell r="C1383" t="str">
            <v>476349E</v>
          </cell>
          <cell r="D1383" t="str">
            <v>Green LED Signal Indicator 12-24V - VF-10</v>
          </cell>
        </row>
        <row r="1384">
          <cell r="C1384" t="str">
            <v>476351WH</v>
          </cell>
          <cell r="D1384" t="str">
            <v>1-1/2" Blk Steel Split Ring Clamp</v>
          </cell>
        </row>
        <row r="1385">
          <cell r="C1385" t="str">
            <v>476371E</v>
          </cell>
          <cell r="D1385" t="str">
            <v>PLC Module - VF-10 - Unitronics Assembly-</v>
          </cell>
        </row>
        <row r="1386">
          <cell r="C1386" t="str">
            <v>476372WH</v>
          </cell>
          <cell r="D1386" t="str">
            <v>Pump, 25Hp 230/460V Goulds Model 3196MTI 3x4-13</v>
          </cell>
        </row>
        <row r="1387">
          <cell r="C1387" t="str">
            <v>476373E</v>
          </cell>
          <cell r="D1387" t="str">
            <v>Weight Transmitter TLBMODBUSTCP</v>
          </cell>
        </row>
        <row r="1388">
          <cell r="C1388" t="str">
            <v>476374E</v>
          </cell>
          <cell r="D1388" t="str">
            <v>USB, Laumas Transmitter Connection</v>
          </cell>
        </row>
        <row r="1389">
          <cell r="C1389" t="str">
            <v>476375WH</v>
          </cell>
          <cell r="D1389" t="str">
            <v>HSS A500 6X4X.18</v>
          </cell>
        </row>
        <row r="1390">
          <cell r="C1390" t="str">
            <v>476376WH</v>
          </cell>
          <cell r="D1390" t="str">
            <v>Pump, 10Hp Pig Model 3196 Mti 4X6-10G/6V</v>
          </cell>
        </row>
        <row r="1391">
          <cell r="C1391" t="str">
            <v>476377WH</v>
          </cell>
          <cell r="D1391" t="str">
            <v>Valve V-Port Act .5 Elec</v>
          </cell>
        </row>
        <row r="1392">
          <cell r="C1392" t="str">
            <v>476378WH</v>
          </cell>
          <cell r="D1392" t="str">
            <v>Valve V-Port Act 1 Elec</v>
          </cell>
        </row>
        <row r="1393">
          <cell r="C1393" t="str">
            <v>476379WH</v>
          </cell>
          <cell r="D1393" t="str">
            <v>Valve V-Port Act 4 Elec</v>
          </cell>
        </row>
        <row r="1394">
          <cell r="C1394" t="str">
            <v>476380E</v>
          </cell>
          <cell r="D1394" t="str">
            <v>Power Supply 12/24VDC 3A Converter VF-10</v>
          </cell>
        </row>
        <row r="1395">
          <cell r="C1395" t="str">
            <v>476381E</v>
          </cell>
          <cell r="D1395" t="str">
            <v>Encl 16 X 20 X 6 - Mounting Plate Included</v>
          </cell>
        </row>
        <row r="1396">
          <cell r="C1396" t="str">
            <v>476382WH</v>
          </cell>
          <cell r="D1396" t="str">
            <v>O-Ring #406-70N Nitrile Rubber</v>
          </cell>
        </row>
        <row r="1397">
          <cell r="C1397" t="str">
            <v>476383WH</v>
          </cell>
          <cell r="D1397" t="str">
            <v>Tank Std SS 10Gal 8OD Buy</v>
          </cell>
        </row>
        <row r="1398">
          <cell r="C1398" t="str">
            <v>476384E</v>
          </cell>
          <cell r="D1398" t="str">
            <v>Fan Rittal 3237110</v>
          </cell>
        </row>
        <row r="1399">
          <cell r="C1399" t="str">
            <v>476385E</v>
          </cell>
          <cell r="D1399" t="str">
            <v>Fan Filter Rittal 3237200</v>
          </cell>
        </row>
        <row r="1400">
          <cell r="C1400" t="str">
            <v>476386WH</v>
          </cell>
          <cell r="D1400" t="str">
            <v>Union Brz Viega 1</v>
          </cell>
        </row>
        <row r="1401">
          <cell r="C1401" t="str">
            <v>476387WH</v>
          </cell>
          <cell r="D1401" t="str">
            <v>Adpt Brz Viega MNPT 1X1</v>
          </cell>
        </row>
        <row r="1402">
          <cell r="C1402" t="str">
            <v>476388WH</v>
          </cell>
          <cell r="D1402" t="str">
            <v>ELL Cu Viega 90-1</v>
          </cell>
        </row>
        <row r="1403">
          <cell r="C1403" t="str">
            <v>476389WH</v>
          </cell>
          <cell r="D1403" t="str">
            <v>ELL Cu Viega 45-1</v>
          </cell>
        </row>
        <row r="1404">
          <cell r="C1404" t="str">
            <v>476390WH</v>
          </cell>
          <cell r="D1404" t="str">
            <v>CPLG Cu Viega 1</v>
          </cell>
        </row>
        <row r="1405">
          <cell r="C1405" t="str">
            <v>476392WH</v>
          </cell>
          <cell r="D1405" t="str">
            <v>VF1 batteries (AAA)</v>
          </cell>
        </row>
        <row r="1406">
          <cell r="C1406" t="str">
            <v>476393WH</v>
          </cell>
          <cell r="D1406" t="str">
            <v>FLNG Slip On Oval 1-1/2-2X1/2Tk Option</v>
          </cell>
        </row>
        <row r="1407">
          <cell r="C1407" t="str">
            <v>476396WH</v>
          </cell>
          <cell r="D1407" t="str">
            <v>Thredolet 2 X 4 Run 3000 Lb Sa105 Stl For 4 Run Pipe</v>
          </cell>
        </row>
        <row r="1408">
          <cell r="C1408" t="str">
            <v>476397WH</v>
          </cell>
          <cell r="D1408" t="str">
            <v>6 X 3 X 3/16 Tubing</v>
          </cell>
        </row>
        <row r="1409">
          <cell r="C1409" t="str">
            <v>476405SW</v>
          </cell>
          <cell r="D1409" t="str">
            <v>VF-10, Dell Latitude 7220 Rugged Extreme Tablet 16GB</v>
          </cell>
        </row>
        <row r="1410">
          <cell r="C1410" t="str">
            <v>476406SW</v>
          </cell>
          <cell r="D1410" t="str">
            <v>VF-10, Dell Keyboard with Kickstand for Rugged Extreme Tablet</v>
          </cell>
        </row>
        <row r="1411">
          <cell r="C1411" t="str">
            <v>476407SW</v>
          </cell>
          <cell r="D1411" t="str">
            <v>VF-10, Dell Rotating Hand Strap for Rugged Extreme Tablets</v>
          </cell>
        </row>
        <row r="1412">
          <cell r="C1412" t="str">
            <v>476408E</v>
          </cell>
          <cell r="D1412" t="str">
            <v>Bimed cable gland, M16 x 1.5mm</v>
          </cell>
        </row>
        <row r="1413">
          <cell r="C1413" t="str">
            <v>476409E</v>
          </cell>
          <cell r="D1413" t="str">
            <v>Wire, White/Red 22/3C</v>
          </cell>
        </row>
        <row r="1414">
          <cell r="C1414" t="str">
            <v>476410E</v>
          </cell>
          <cell r="D1414" t="str">
            <v>Temperature Probe 1/4"x1/2" NPT 316SS 3 Wire Class A</v>
          </cell>
        </row>
        <row r="1415">
          <cell r="C1415" t="str">
            <v>476417WH</v>
          </cell>
          <cell r="D1415" t="str">
            <v>ELL Cu Srt 90-1</v>
          </cell>
        </row>
        <row r="1416">
          <cell r="C1416" t="str">
            <v>476418WH</v>
          </cell>
          <cell r="D1416" t="str">
            <v>Bush Brs Hex 2X1/2"</v>
          </cell>
        </row>
        <row r="1417">
          <cell r="C1417" t="str">
            <v>476419WH</v>
          </cell>
          <cell r="D1417" t="str">
            <v>Tee PVC 4-Sch80</v>
          </cell>
        </row>
        <row r="1418">
          <cell r="C1418" t="str">
            <v>476420WH</v>
          </cell>
          <cell r="D1418" t="str">
            <v>Cplg "S" PVC 4-Sch80</v>
          </cell>
        </row>
        <row r="1419">
          <cell r="C1419" t="str">
            <v>476421WH</v>
          </cell>
          <cell r="D1419" t="str">
            <v>Bush PVC SPIGxS 4X2-Sch80</v>
          </cell>
        </row>
        <row r="1420">
          <cell r="C1420" t="str">
            <v>476422WH</v>
          </cell>
          <cell r="D1420" t="str">
            <v>Bush PVC SPIGxFPT 2X1-Sch80</v>
          </cell>
        </row>
        <row r="1421">
          <cell r="C1421" t="str">
            <v>476423WH</v>
          </cell>
          <cell r="D1421" t="str">
            <v>Bush PVC SPIGxS 2X1-1/2-Sch80</v>
          </cell>
        </row>
        <row r="1422">
          <cell r="C1422" t="str">
            <v>476425WH</v>
          </cell>
          <cell r="D1422" t="str">
            <v>Unistrut 1 5/8 X 1 5/8 X 10 w/ 13/16" Slotted (shallow)</v>
          </cell>
        </row>
        <row r="1423">
          <cell r="C1423" t="str">
            <v>476427WH</v>
          </cell>
          <cell r="D1423" t="str">
            <v>U-Piece Bending  Sand Trap Strainer 4"</v>
          </cell>
        </row>
        <row r="1424">
          <cell r="C1424" t="str">
            <v>476428E</v>
          </cell>
          <cell r="D1424" t="str">
            <v>Encl  6X4X4 NEMA4X  VF-10</v>
          </cell>
        </row>
        <row r="1425">
          <cell r="C1425" t="str">
            <v>476429E</v>
          </cell>
          <cell r="D1425" t="str">
            <v>7 Way Wiring Harness VF-10</v>
          </cell>
        </row>
        <row r="1426">
          <cell r="C1426" t="str">
            <v>476430E</v>
          </cell>
          <cell r="D1426" t="str">
            <v>Pressure Switch 362.5 psig VF-10</v>
          </cell>
        </row>
        <row r="1427">
          <cell r="C1427" t="str">
            <v>476431E</v>
          </cell>
          <cell r="D1427" t="str">
            <v>Connection Cable VF-10</v>
          </cell>
        </row>
        <row r="1428">
          <cell r="C1428" t="str">
            <v>476432E</v>
          </cell>
          <cell r="D1428" t="str">
            <v>Protective Cover w/ Pressure Switch VF-10</v>
          </cell>
        </row>
        <row r="1429">
          <cell r="C1429" t="str">
            <v>476433SW</v>
          </cell>
          <cell r="D1429" t="str">
            <v>Power Invertor 12V to 110V - VF-10</v>
          </cell>
        </row>
        <row r="1430">
          <cell r="C1430" t="str">
            <v>476434SW</v>
          </cell>
          <cell r="D1430" t="str">
            <v>Long Range Bluetooth Adapter - VF-10</v>
          </cell>
        </row>
        <row r="1431">
          <cell r="C1431" t="str">
            <v>476435SW</v>
          </cell>
          <cell r="D1431" t="str">
            <v>Amphenol RP Plug to Jack - VF-10</v>
          </cell>
        </row>
        <row r="1432">
          <cell r="C1432" t="str">
            <v>476436SW</v>
          </cell>
          <cell r="D1432" t="str">
            <v>Linx Tech Bluetooth Antenna - VF-10</v>
          </cell>
        </row>
        <row r="1433">
          <cell r="C1433" t="str">
            <v>476437E</v>
          </cell>
          <cell r="D1433" t="str">
            <v>Battery, HMAX Lithium-3.6V/950Ma #TL-5101/S-BP</v>
          </cell>
        </row>
        <row r="1434">
          <cell r="C1434" t="str">
            <v>476440WH</v>
          </cell>
          <cell r="D1434" t="str">
            <v>NPS PVC 1.25-Sch80</v>
          </cell>
        </row>
        <row r="1435">
          <cell r="C1435" t="str">
            <v>476441WH</v>
          </cell>
          <cell r="D1435" t="str">
            <v>Bolt Hex Zinc  M6-1.0X18X8.8</v>
          </cell>
        </row>
        <row r="1436">
          <cell r="C1436" t="str">
            <v>476442WH</v>
          </cell>
          <cell r="D1436" t="str">
            <v>Replacement Filter, Hay-05-290 C2251540LSS</v>
          </cell>
        </row>
        <row r="1437">
          <cell r="C1437" t="str">
            <v>476443WH</v>
          </cell>
          <cell r="D1437" t="str">
            <v>Washer Flat Zinc SAE 6MM</v>
          </cell>
        </row>
        <row r="1438">
          <cell r="C1438" t="str">
            <v>476450WH</v>
          </cell>
          <cell r="D1438" t="str">
            <v>Cap Cu 1 - Gravity Feed</v>
          </cell>
        </row>
        <row r="1439">
          <cell r="C1439" t="str">
            <v>476451WH</v>
          </cell>
          <cell r="D1439" t="str">
            <v>Cplg Galv 1</v>
          </cell>
        </row>
        <row r="1440">
          <cell r="C1440" t="str">
            <v>476452WH</v>
          </cell>
          <cell r="D1440" t="str">
            <v>Bolt Hex Zinc GR-5  3/4-10X2 1/2</v>
          </cell>
        </row>
        <row r="1441">
          <cell r="C1441" t="str">
            <v>476453WH</v>
          </cell>
          <cell r="D1441" t="str">
            <v>Globe Valve 1 Brz (Thd'd)</v>
          </cell>
        </row>
        <row r="1442">
          <cell r="C1442" t="str">
            <v>476455SW</v>
          </cell>
          <cell r="D1442" t="str">
            <v>Linx Tech Dome Antenna - VF-10</v>
          </cell>
        </row>
        <row r="1443">
          <cell r="C1443" t="str">
            <v>476456SW</v>
          </cell>
          <cell r="D1443" t="str">
            <v>Taoglas Dome WiFi Ant - VF-10</v>
          </cell>
        </row>
        <row r="1444">
          <cell r="C1444" t="str">
            <v>476457WH</v>
          </cell>
          <cell r="D1444" t="str">
            <v>Upstream Vane with Shaft Assembly</v>
          </cell>
        </row>
        <row r="1445">
          <cell r="C1445" t="str">
            <v>476458WH</v>
          </cell>
          <cell r="D1445" t="str">
            <v>Spanner Wrench VF-10</v>
          </cell>
        </row>
        <row r="1446">
          <cell r="C1446" t="str">
            <v>476462E</v>
          </cell>
          <cell r="D1446" t="str">
            <v>Connector 2-Port 14-4 AWG Insulated</v>
          </cell>
        </row>
        <row r="1447">
          <cell r="C1447" t="str">
            <v>476463E</v>
          </cell>
          <cell r="D1447" t="str">
            <v>Connector 3-Port 14-4 AWG Insulated</v>
          </cell>
        </row>
        <row r="1448">
          <cell r="C1448" t="str">
            <v>476467E</v>
          </cell>
          <cell r="D1448" t="str">
            <v>Bimed cable gland, M20 x 1.5mm</v>
          </cell>
        </row>
        <row r="1449">
          <cell r="C1449" t="str">
            <v>476469SW</v>
          </cell>
          <cell r="D1449" t="str">
            <v>Ethernet Temp Switch 8-Port</v>
          </cell>
        </row>
        <row r="1450">
          <cell r="C1450" t="str">
            <v>476471WH</v>
          </cell>
          <cell r="D1450" t="str">
            <v>Union PVC SCH80 1.5</v>
          </cell>
        </row>
        <row r="1451">
          <cell r="C1451" t="str">
            <v>476472WH</v>
          </cell>
          <cell r="D1451" t="str">
            <v>ELL PVC 45-1.5-Sch80</v>
          </cell>
        </row>
        <row r="1452">
          <cell r="C1452" t="str">
            <v>476473WH</v>
          </cell>
          <cell r="D1452" t="str">
            <v>Adapter Male PVC Sch80 1.5</v>
          </cell>
        </row>
        <row r="1453">
          <cell r="C1453" t="str">
            <v>476474WH</v>
          </cell>
          <cell r="D1453" t="str">
            <v>ELL PVC 45 2 Sch80</v>
          </cell>
        </row>
        <row r="1454">
          <cell r="C1454" t="str">
            <v>476475WH</v>
          </cell>
          <cell r="D1454" t="str">
            <v>Rail Spacer, Small Test Bench (Buy)</v>
          </cell>
        </row>
        <row r="1455">
          <cell r="C1455" t="str">
            <v>476476WH</v>
          </cell>
          <cell r="D1455" t="str">
            <v>Cplg PVC Sch80 2</v>
          </cell>
        </row>
        <row r="1456">
          <cell r="C1456" t="str">
            <v>476477WH</v>
          </cell>
          <cell r="D1456" t="str">
            <v>Adapter Male PVC Sch80  3</v>
          </cell>
        </row>
        <row r="1457">
          <cell r="C1457" t="str">
            <v>476478WH</v>
          </cell>
          <cell r="D1457" t="str">
            <v>Cplg PVC Sch80 3</v>
          </cell>
        </row>
        <row r="1458">
          <cell r="C1458" t="str">
            <v>476479WH</v>
          </cell>
          <cell r="D1458" t="str">
            <v>Union PVC Sch80 3</v>
          </cell>
        </row>
        <row r="1459">
          <cell r="C1459" t="str">
            <v>476480WH</v>
          </cell>
          <cell r="D1459" t="str">
            <v>ELL PVC 45 3 Sch80</v>
          </cell>
        </row>
        <row r="1460">
          <cell r="C1460" t="str">
            <v>476481WH</v>
          </cell>
          <cell r="D1460" t="str">
            <v>Clevis Pin Zinc 7/16" X 2-14" - Actuator</v>
          </cell>
        </row>
        <row r="1461">
          <cell r="C1461" t="str">
            <v>476482WH</v>
          </cell>
          <cell r="D1461" t="str">
            <v>Cotter Pin .125 X 1-15/16" - Actuator</v>
          </cell>
        </row>
        <row r="1462">
          <cell r="C1462" t="str">
            <v>476483WH</v>
          </cell>
          <cell r="D1462" t="str">
            <v>Clamp, Repair SST Pipe 2-1/2 X 3</v>
          </cell>
        </row>
        <row r="1463">
          <cell r="C1463" t="str">
            <v>476484WH</v>
          </cell>
          <cell r="D1463" t="str">
            <v>Pipe, 6 304SS X 5.5 L</v>
          </cell>
        </row>
        <row r="1464">
          <cell r="C1464" t="str">
            <v>476485WH</v>
          </cell>
          <cell r="D1464" t="str">
            <v>Pipe, 3 304SS X 2.5 L</v>
          </cell>
        </row>
        <row r="1465">
          <cell r="C1465" t="str">
            <v>476486WH</v>
          </cell>
          <cell r="D1465" t="str">
            <v>FLNG 304SS Slip 6-150#</v>
          </cell>
        </row>
        <row r="1466">
          <cell r="C1466" t="str">
            <v>476487WH</v>
          </cell>
          <cell r="D1466" t="str">
            <v>FLNG 304SS Slip 3-150#</v>
          </cell>
        </row>
        <row r="1467">
          <cell r="C1467" t="str">
            <v>476488WH</v>
          </cell>
          <cell r="D1467" t="str">
            <v>Barb Adpt PVC 2 Sch40</v>
          </cell>
        </row>
        <row r="1468">
          <cell r="C1468" t="str">
            <v>476489WH</v>
          </cell>
          <cell r="D1468" t="str">
            <v>Adapter Male PVC Sch40  2</v>
          </cell>
        </row>
        <row r="1469">
          <cell r="C1469" t="str">
            <v>476490WH</v>
          </cell>
          <cell r="D1469" t="str">
            <v>Cplg PVC Sch40 2</v>
          </cell>
        </row>
        <row r="1470">
          <cell r="C1470" t="str">
            <v>476491WH</v>
          </cell>
          <cell r="D1470" t="str">
            <v>ELL PVC 90 2 Sch40</v>
          </cell>
        </row>
        <row r="1471">
          <cell r="C1471" t="str">
            <v>476492WH</v>
          </cell>
          <cell r="D1471" t="str">
            <v>Adapter Male PVC Sch40  2X1-1/2</v>
          </cell>
        </row>
        <row r="1472">
          <cell r="C1472" t="str">
            <v>476493WH</v>
          </cell>
          <cell r="D1472" t="str">
            <v>ELL PVC 45 2 Sch40</v>
          </cell>
        </row>
        <row r="1473">
          <cell r="C1473" t="str">
            <v>476494WH</v>
          </cell>
          <cell r="D1473" t="str">
            <v>Tee PVC 2 Sch40</v>
          </cell>
        </row>
        <row r="1474">
          <cell r="C1474" t="str">
            <v>476495WH</v>
          </cell>
          <cell r="D1474" t="str">
            <v>ELL 45 PVC 1-1/2 Sch40</v>
          </cell>
        </row>
        <row r="1475">
          <cell r="C1475" t="str">
            <v>476496WH</v>
          </cell>
          <cell r="D1475" t="str">
            <v>Cplg PVC 1-1/2 Sch40</v>
          </cell>
        </row>
        <row r="1476">
          <cell r="C1476" t="str">
            <v>476497WH</v>
          </cell>
          <cell r="D1476" t="str">
            <v>Tee PVC 1-1/2 Sch40</v>
          </cell>
        </row>
        <row r="1477">
          <cell r="C1477" t="str">
            <v>476498WH</v>
          </cell>
          <cell r="D1477" t="str">
            <v>ELL PVC 90 1-1/2 Sch40</v>
          </cell>
        </row>
        <row r="1478">
          <cell r="C1478" t="str">
            <v>476499WH</v>
          </cell>
          <cell r="D1478" t="str">
            <v>Adapter Male PVC Sch40 1-1/2</v>
          </cell>
        </row>
        <row r="1479">
          <cell r="C1479" t="str">
            <v>476500WH</v>
          </cell>
          <cell r="D1479" t="str">
            <v>Valve Check PVC Sch40 2</v>
          </cell>
        </row>
        <row r="1480">
          <cell r="C1480" t="str">
            <v>476501WH</v>
          </cell>
          <cell r="D1480" t="str">
            <v>Valve Check PVC Sch40 1-1/2</v>
          </cell>
        </row>
        <row r="1481">
          <cell r="C1481" t="str">
            <v>476502WH</v>
          </cell>
          <cell r="D1481" t="str">
            <v>Adapter Male PVC Sch40 3</v>
          </cell>
        </row>
        <row r="1482">
          <cell r="C1482" t="str">
            <v>476503WH</v>
          </cell>
          <cell r="D1482" t="str">
            <v>Bush PVC SPIGxS 3X2 Sch40</v>
          </cell>
        </row>
        <row r="1483">
          <cell r="C1483" t="str">
            <v>476504WH</v>
          </cell>
          <cell r="D1483" t="str">
            <v>Cap PVC 2 Sch40</v>
          </cell>
        </row>
        <row r="1484">
          <cell r="C1484" t="str">
            <v>476506WH</v>
          </cell>
          <cell r="D1484" t="str">
            <v>Barb Adpt PVC 1-1/2 Sch40</v>
          </cell>
        </row>
        <row r="1485">
          <cell r="C1485" t="str">
            <v>476507WH</v>
          </cell>
          <cell r="D1485" t="str">
            <v>ELL Srt PVC 90 1-1/2 Sch40 - Socket x MNPT</v>
          </cell>
        </row>
        <row r="1486">
          <cell r="C1486" t="str">
            <v>476508WH</v>
          </cell>
          <cell r="D1486" t="str">
            <v>Union PVC SCH40 1.5</v>
          </cell>
        </row>
        <row r="1487">
          <cell r="C1487" t="str">
            <v>476509WH</v>
          </cell>
          <cell r="D1487" t="str">
            <v>Adapter Male PVC Sch40 1</v>
          </cell>
        </row>
        <row r="1488">
          <cell r="C1488" t="str">
            <v>476510WH</v>
          </cell>
          <cell r="D1488" t="str">
            <v>ELL PVC 90 1 Sch40</v>
          </cell>
        </row>
        <row r="1489">
          <cell r="C1489" t="str">
            <v>476511WH</v>
          </cell>
          <cell r="D1489" t="str">
            <v>ELL PVC 45 1 Sch40</v>
          </cell>
        </row>
        <row r="1490">
          <cell r="C1490" t="str">
            <v>476512WH</v>
          </cell>
          <cell r="D1490" t="str">
            <v>Adapter Male PVC Sch40  1-1/2X1</v>
          </cell>
        </row>
        <row r="1491">
          <cell r="C1491" t="str">
            <v>476513WH</v>
          </cell>
          <cell r="D1491" t="str">
            <v>Fire Hose, White 2.5X25' - Al NH Cplgs</v>
          </cell>
        </row>
        <row r="1492">
          <cell r="C1492" t="str">
            <v>476515WH</v>
          </cell>
          <cell r="D1492" t="str">
            <v>Bush PVC SPIGxS 2X1-1/2 Sch40</v>
          </cell>
        </row>
        <row r="1493">
          <cell r="C1493" t="str">
            <v>476516WH</v>
          </cell>
          <cell r="D1493" t="str">
            <v>Union Socket PVC Sch40  2</v>
          </cell>
        </row>
        <row r="1494">
          <cell r="C1494" t="str">
            <v>476518WH</v>
          </cell>
          <cell r="D1494" t="str">
            <v>Bright White 2 Gallon Urethane Spray-On Truck Bed Liner Kit</v>
          </cell>
        </row>
        <row r="1495">
          <cell r="C1495" t="str">
            <v>476519WH</v>
          </cell>
          <cell r="D1495" t="str">
            <v>Trailer 5X8' - VF-10</v>
          </cell>
        </row>
        <row r="1496">
          <cell r="C1496" t="str">
            <v>476520WH</v>
          </cell>
          <cell r="D1496" t="str">
            <v>Bright White 1 Gallon Urethane Spray-On Truck Bed Liner Kit</v>
          </cell>
        </row>
        <row r="1497">
          <cell r="C1497" t="str">
            <v>476522E</v>
          </cell>
          <cell r="D1497" t="str">
            <v>Connector 3-Pin, Waterproof (Temp Sensor)</v>
          </cell>
        </row>
        <row r="1498">
          <cell r="C1498" t="str">
            <v>476525WH</v>
          </cell>
          <cell r="D1498" t="str">
            <v>Nueces County 2 Side Tags</v>
          </cell>
        </row>
        <row r="1499">
          <cell r="C1499" t="str">
            <v>476526WH</v>
          </cell>
          <cell r="D1499" t="str">
            <v>Float Stop, 15 - 150 Rotometer 73313203098W 2FNPT PVC SS VT 150Gpm</v>
          </cell>
        </row>
        <row r="1500">
          <cell r="C1500" t="str">
            <v>476527E</v>
          </cell>
          <cell r="D1500" t="str">
            <v>Trailer 7 way Light Connector Socket Harness</v>
          </cell>
        </row>
        <row r="1501">
          <cell r="C1501" t="str">
            <v>476528E</v>
          </cell>
          <cell r="D1501" t="str">
            <v>Trailer 7 way 15ft Cord Heavy Duty Harness Kit</v>
          </cell>
        </row>
        <row r="1502">
          <cell r="C1502" t="str">
            <v>476529SW</v>
          </cell>
          <cell r="D1502" t="str">
            <v>Fuse 4A, 125VDC</v>
          </cell>
        </row>
        <row r="1503">
          <cell r="C1503" t="str">
            <v>476530E</v>
          </cell>
          <cell r="D1503" t="str">
            <v>Ground Bar, 11 Terminal for VFD</v>
          </cell>
        </row>
        <row r="1504">
          <cell r="C1504" t="str">
            <v>476531E</v>
          </cell>
          <cell r="D1504" t="str">
            <v>Battery , (VFD) Real-Time Clock 1m</v>
          </cell>
        </row>
        <row r="1505">
          <cell r="C1505" t="str">
            <v>476532WH</v>
          </cell>
          <cell r="D1505" t="str">
            <v>Valve Butterfly Act  8 MESG035-120A0007 Elec Actuator (Mid Position)</v>
          </cell>
        </row>
        <row r="1506">
          <cell r="C1506" t="str">
            <v>476534WH</v>
          </cell>
          <cell r="D1506" t="str">
            <v>Hay-10-423 SP1540C (Lg System)</v>
          </cell>
        </row>
        <row r="1507">
          <cell r="C1507" t="str">
            <v>476536WH</v>
          </cell>
          <cell r="D1507" t="str">
            <v>3/8 All Thread SS</v>
          </cell>
        </row>
        <row r="1508">
          <cell r="C1508" t="str">
            <v>476537WH</v>
          </cell>
          <cell r="D1508" t="str">
            <v>Float Stop, Outlet 0.1 - 1.5 Rotometer 7331323043W 0.5 FNPT PVC SS VT 1.5Gpm</v>
          </cell>
        </row>
        <row r="1509">
          <cell r="C1509" t="str">
            <v>476538WH</v>
          </cell>
          <cell r="D1509" t="str">
            <v>Float Stop, Inlet 0.1 - 1.5 Rotometer 7331323043W 0.5 FNPT PVC SS VT 1.5Gpm</v>
          </cell>
        </row>
        <row r="1510">
          <cell r="C1510" t="str">
            <v>476539WH</v>
          </cell>
          <cell r="D1510" t="str">
            <v>Cross 304SS 2</v>
          </cell>
        </row>
        <row r="1511">
          <cell r="C1511" t="str">
            <v>476540E</v>
          </cell>
          <cell r="D1511" t="str">
            <v>Term Block 3-Cond Gray 6AWG</v>
          </cell>
        </row>
        <row r="1512">
          <cell r="C1512" t="str">
            <v>476541E</v>
          </cell>
          <cell r="D1512" t="str">
            <v>Plate End &amp; Intermed 3 Cond Gray 6AWG</v>
          </cell>
        </row>
        <row r="1513">
          <cell r="C1513" t="str">
            <v>476542WH</v>
          </cell>
          <cell r="D1513" t="str">
            <v>TEE Cu Rdg 1X1X0.5</v>
          </cell>
        </row>
        <row r="1514">
          <cell r="C1514" t="str">
            <v>476543WH</v>
          </cell>
          <cell r="D1514" t="str">
            <v>Repair Kit - Valve V-Port Act .5 Elec</v>
          </cell>
        </row>
        <row r="1515">
          <cell r="C1515" t="str">
            <v>476544WH</v>
          </cell>
          <cell r="D1515" t="str">
            <v>Repair Kit - Valve V-Port Act 1 Elec</v>
          </cell>
        </row>
        <row r="1516">
          <cell r="C1516" t="str">
            <v>476545WH</v>
          </cell>
          <cell r="D1516" t="str">
            <v>Repair Kit - Valve V-Port Act 4 Elec</v>
          </cell>
        </row>
        <row r="1517">
          <cell r="C1517" t="str">
            <v>476546WH</v>
          </cell>
          <cell r="D1517" t="str">
            <v>Nut Hex SS  3/8-16 Nylock</v>
          </cell>
        </row>
        <row r="1518">
          <cell r="C1518" t="str">
            <v>476547WH</v>
          </cell>
          <cell r="D1518" t="str">
            <v>Bolt Hex SS  3/8-16 X 1 Countersunk</v>
          </cell>
        </row>
        <row r="1519">
          <cell r="C1519" t="str">
            <v>476548E</v>
          </cell>
          <cell r="D1519" t="str">
            <v>Uni-I/O 10 Digital Inputs 2 Analog</v>
          </cell>
        </row>
        <row r="1520">
          <cell r="C1520" t="str">
            <v>476549E</v>
          </cell>
          <cell r="D1520" t="str">
            <v>Digital I/O Unit 8 Digital Inputs 8 Resistive</v>
          </cell>
        </row>
        <row r="1521">
          <cell r="C1521" t="str">
            <v>476550E</v>
          </cell>
          <cell r="D1521" t="str">
            <v>Uni-Com - 1XR S232</v>
          </cell>
        </row>
        <row r="1522">
          <cell r="C1522" t="str">
            <v>476551E</v>
          </cell>
          <cell r="D1522" t="str">
            <v>CPU for Panel</v>
          </cell>
        </row>
        <row r="1523">
          <cell r="C1523" t="str">
            <v>476552E</v>
          </cell>
          <cell r="D1523" t="str">
            <v>VF-10 Fan</v>
          </cell>
        </row>
        <row r="1524">
          <cell r="C1524" t="str">
            <v>476553E</v>
          </cell>
          <cell r="D1524" t="str">
            <v>VF-10 Filter</v>
          </cell>
        </row>
        <row r="1525">
          <cell r="C1525" t="str">
            <v>476555E</v>
          </cell>
          <cell r="D1525" t="str">
            <v>Filter Replacement Material , Console</v>
          </cell>
        </row>
        <row r="1526">
          <cell r="C1526" t="str">
            <v>476556WH</v>
          </cell>
          <cell r="D1526" t="str">
            <v>Bolt Hex SS  1/2-13 X 1-1/4</v>
          </cell>
        </row>
        <row r="1527">
          <cell r="C1527" t="str">
            <v>476557WH</v>
          </cell>
          <cell r="D1527" t="str">
            <v>Washer Flat SS 1/2 Neoprene EPDM</v>
          </cell>
        </row>
        <row r="1528">
          <cell r="C1528" t="str">
            <v>476558E</v>
          </cell>
          <cell r="D1528" t="str">
            <v>Conduit Myers Hub 1-1/4</v>
          </cell>
        </row>
        <row r="1529">
          <cell r="C1529" t="str">
            <v>476559E</v>
          </cell>
          <cell r="D1529" t="str">
            <v>Conduit Red Bushing 1-1/4 x 1</v>
          </cell>
        </row>
        <row r="1530">
          <cell r="C1530" t="str">
            <v>476560E</v>
          </cell>
          <cell r="D1530" t="str">
            <v>Conduit Red Bushing 1-1/4 x 3/4</v>
          </cell>
        </row>
        <row r="1531">
          <cell r="C1531" t="str">
            <v>476561WH</v>
          </cell>
          <cell r="D1531" t="str">
            <v>Washer Flat SS SAE 5/8</v>
          </cell>
        </row>
        <row r="1532">
          <cell r="C1532" t="str">
            <v>476562WH</v>
          </cell>
          <cell r="D1532" t="str">
            <v>Nut Jam SS  5/8-11</v>
          </cell>
        </row>
        <row r="1533">
          <cell r="C1533" t="str">
            <v>476563WH</v>
          </cell>
          <cell r="D1533" t="str">
            <v>Washer Flat SS 5/8</v>
          </cell>
        </row>
        <row r="1534">
          <cell r="C1534" t="str">
            <v>476564WH</v>
          </cell>
          <cell r="D1534" t="str">
            <v>Clevis Pin 1/2" X 2" - Actuator LG</v>
          </cell>
        </row>
        <row r="1535">
          <cell r="C1535" t="str">
            <v>476565WH</v>
          </cell>
          <cell r="D1535" t="str">
            <v>Plug SCH80 PVC Sqr 2</v>
          </cell>
        </row>
        <row r="1536">
          <cell r="C1536" t="str">
            <v>476566WH</v>
          </cell>
          <cell r="D1536" t="str">
            <v>Adpt Cu 1-1/2X2 CXF</v>
          </cell>
        </row>
        <row r="1537">
          <cell r="C1537" t="str">
            <v>476567SW</v>
          </cell>
          <cell r="D1537" t="str">
            <v>WiFi Card</v>
          </cell>
        </row>
        <row r="1538">
          <cell r="C1538" t="str">
            <v>476568WH</v>
          </cell>
          <cell r="D1538" t="str">
            <v>Valve V-Port Act .5 Elec 24V R &amp; D ONLY</v>
          </cell>
        </row>
        <row r="1539">
          <cell r="C1539" t="str">
            <v>476569WH</v>
          </cell>
          <cell r="D1539" t="str">
            <v>Valve V-Port Act 1 Elec 24V R &amp; D ONLY</v>
          </cell>
        </row>
        <row r="1540">
          <cell r="C1540" t="str">
            <v>476570WH</v>
          </cell>
          <cell r="D1540" t="str">
            <v>Valve V-Port Act 4 Elec 24V R &amp; D ONLY</v>
          </cell>
        </row>
        <row r="1541">
          <cell r="C1541" t="str">
            <v>476571WH</v>
          </cell>
          <cell r="D1541" t="str">
            <v>Tubing Outlet Guide, 15 - 150 Rotometer 73313203098W 2FNPT PVC SS VT 150Gpm</v>
          </cell>
        </row>
        <row r="1542">
          <cell r="C1542" t="str">
            <v>476572WH</v>
          </cell>
          <cell r="D1542" t="str">
            <v>Oring 15 - 150 Rotometer 73313203098W 2FNPT PVC SS VT 150Gpm</v>
          </cell>
        </row>
        <row r="1543">
          <cell r="C1543" t="str">
            <v>476573WH</v>
          </cell>
          <cell r="D1543" t="str">
            <v>Nut Hex SS  5/16</v>
          </cell>
        </row>
        <row r="1544">
          <cell r="C1544" t="str">
            <v>476574WH</v>
          </cell>
          <cell r="D1544" t="str">
            <v>Washer Lock SS  5/16</v>
          </cell>
        </row>
        <row r="1545">
          <cell r="C1545" t="str">
            <v>476575E</v>
          </cell>
          <cell r="D1545" t="str">
            <v>VFD, Unitronics, 380-500V, 25Hp</v>
          </cell>
        </row>
        <row r="1546">
          <cell r="C1546" t="str">
            <v>476576E</v>
          </cell>
          <cell r="D1546" t="str">
            <v>VFD, Unitronics, 380-500V, 60Hp</v>
          </cell>
        </row>
        <row r="1547">
          <cell r="C1547" t="str">
            <v>476577E</v>
          </cell>
          <cell r="D1547" t="str">
            <v>Conduit Red Bushing 1 x 1/2</v>
          </cell>
        </row>
        <row r="1548">
          <cell r="C1548" t="str">
            <v>476577WH</v>
          </cell>
          <cell r="D1548" t="str">
            <v>Gskt Flg 3 Drop-In, Red Rubber 1/8</v>
          </cell>
        </row>
        <row r="1549">
          <cell r="C1549" t="str">
            <v>476578WH</v>
          </cell>
          <cell r="D1549" t="str">
            <v>Gskt Flg 6 Drop-In, Red Rubber 1/8</v>
          </cell>
        </row>
        <row r="1550">
          <cell r="C1550" t="str">
            <v>476579WH</v>
          </cell>
          <cell r="D1550" t="str">
            <v>Outlet Guide Tubing PVC, 15 - 150 Rotometer 73313203098W 2FNPT PVC SS VT 150Gpm</v>
          </cell>
        </row>
        <row r="1551">
          <cell r="C1551" t="str">
            <v>476580WH</v>
          </cell>
          <cell r="D1551" t="str">
            <v>Bolt Hex Zinc  1/2-13 X 3-1/2</v>
          </cell>
        </row>
        <row r="1552">
          <cell r="C1552" t="str">
            <v>476581WH</v>
          </cell>
          <cell r="D1552" t="str">
            <v>Meter, Mounted Pulse Amplifier</v>
          </cell>
        </row>
        <row r="1553">
          <cell r="C1553" t="str">
            <v>476582WH</v>
          </cell>
          <cell r="D1553" t="str">
            <v>Coil Pick Up 900086</v>
          </cell>
        </row>
        <row r="1554">
          <cell r="C1554" t="str">
            <v>476583E</v>
          </cell>
          <cell r="D1554" t="str">
            <v>Conduit Connector Sealtite 1.25 Straight</v>
          </cell>
        </row>
        <row r="1555">
          <cell r="C1555" t="str">
            <v>476584E</v>
          </cell>
          <cell r="D1555" t="str">
            <v>Conduit Connector Sealtite 1.25 90 °</v>
          </cell>
        </row>
        <row r="1556">
          <cell r="C1556" t="str">
            <v>476585E</v>
          </cell>
          <cell r="D1556" t="str">
            <v>Conduit Sealtite 1.25</v>
          </cell>
        </row>
        <row r="1557">
          <cell r="C1557" t="str">
            <v>476587WH</v>
          </cell>
          <cell r="D1557" t="str">
            <v>Coil Pick Up 902147  - VF-10 (NEW)</v>
          </cell>
        </row>
        <row r="1558">
          <cell r="C1558" t="str">
            <v>476588WH</v>
          </cell>
          <cell r="D1558" t="str">
            <v>Socket Cap Screw SS  3/8-16X2</v>
          </cell>
        </row>
        <row r="1559">
          <cell r="C1559" t="str">
            <v>476589WH</v>
          </cell>
          <cell r="D1559" t="str">
            <v>Socket Cap Screw SS  3/8-16X1</v>
          </cell>
        </row>
        <row r="1560">
          <cell r="C1560" t="str">
            <v>476590WH</v>
          </cell>
          <cell r="D1560" t="str">
            <v>Valve Check Wafer  6 DFT</v>
          </cell>
        </row>
        <row r="1561">
          <cell r="C1561" t="str">
            <v>476591WH</v>
          </cell>
          <cell r="D1561" t="str">
            <v>Valve Check Wafer 3 DFT</v>
          </cell>
        </row>
        <row r="1562">
          <cell r="C1562" t="str">
            <v>476592WH</v>
          </cell>
          <cell r="D1562" t="str">
            <v>ELL Brz 90 thd'd-2.5</v>
          </cell>
        </row>
        <row r="1563">
          <cell r="C1563" t="str">
            <v>476593WH</v>
          </cell>
          <cell r="D1563" t="str">
            <v>Screw PPHMS SS  10-24 X 3/4</v>
          </cell>
        </row>
        <row r="1564">
          <cell r="C1564" t="str">
            <v>476595WH</v>
          </cell>
          <cell r="D1564" t="str">
            <v>Pump, 10Hp 208-230/460V  LC Series (PACO)</v>
          </cell>
        </row>
        <row r="1565">
          <cell r="C1565" t="str">
            <v>476596WH</v>
          </cell>
          <cell r="D1565" t="str">
            <v>Pump, 20Hp 208-230/460V LC Series (PACO)</v>
          </cell>
        </row>
        <row r="1566">
          <cell r="C1566" t="str">
            <v>476597WH</v>
          </cell>
          <cell r="D1566" t="str">
            <v>Pump, 60Hp 208-230/460V LC Series (PACO)</v>
          </cell>
        </row>
        <row r="1567">
          <cell r="C1567" t="str">
            <v>476600E</v>
          </cell>
          <cell r="D1567" t="str">
            <v>Conduit Red Bushing 3/4 x 1/2</v>
          </cell>
        </row>
        <row r="1568">
          <cell r="C1568" t="str">
            <v>476602WH</v>
          </cell>
          <cell r="D1568" t="str">
            <v>Flng Blk Slip 4-300#  RF A105</v>
          </cell>
        </row>
        <row r="1569">
          <cell r="C1569" t="str">
            <v>476603E</v>
          </cell>
          <cell r="D1569" t="str">
            <v>Relay Used on 476206E</v>
          </cell>
        </row>
        <row r="1570">
          <cell r="C1570" t="str">
            <v>476604WH</v>
          </cell>
          <cell r="D1570" t="str">
            <v>Nylok Nut SS  10-24 X 3/4</v>
          </cell>
        </row>
        <row r="1571">
          <cell r="C1571" t="str">
            <v>476605WH</v>
          </cell>
          <cell r="D1571" t="str">
            <v>Valve V-Tork Act 2 Elec, 3 piece</v>
          </cell>
        </row>
        <row r="1572">
          <cell r="C1572" t="str">
            <v>476606E</v>
          </cell>
          <cell r="D1572" t="str">
            <v>Conduit Red Bushing 3 x 1-1/2</v>
          </cell>
        </row>
        <row r="1573">
          <cell r="C1573" t="str">
            <v>476607E</v>
          </cell>
          <cell r="D1573" t="str">
            <v>Conduit Myers Hub 3</v>
          </cell>
        </row>
        <row r="1574">
          <cell r="C1574" t="str">
            <v>476608E</v>
          </cell>
          <cell r="D1574" t="str">
            <v>Connector 2-Port 2-6 AWG Insulated</v>
          </cell>
        </row>
        <row r="1575">
          <cell r="C1575" t="str">
            <v>476610WH</v>
          </cell>
          <cell r="D1575" t="str">
            <v>Nut Hex SS  12-24</v>
          </cell>
        </row>
        <row r="1576">
          <cell r="C1576" t="str">
            <v>476611WH</v>
          </cell>
          <cell r="D1576" t="str">
            <v>Bulkhead Fitting Tank 4</v>
          </cell>
        </row>
        <row r="1577">
          <cell r="C1577" t="str">
            <v>476612WH</v>
          </cell>
          <cell r="D1577" t="str">
            <v>ELL PVC 90 -1 - Sch80 - SOCxFPT</v>
          </cell>
        </row>
        <row r="1578">
          <cell r="C1578" t="str">
            <v>476613WH</v>
          </cell>
          <cell r="D1578" t="str">
            <v>Bush PVC SPIGxFPT 1X.75-Sch80</v>
          </cell>
        </row>
        <row r="1579">
          <cell r="C1579" t="str">
            <v>476614WH</v>
          </cell>
          <cell r="D1579" t="str">
            <v>ELL PVC 90 - .75 - Sch80 - ST MPTxFPT</v>
          </cell>
        </row>
        <row r="1580">
          <cell r="C1580" t="str">
            <v>477001WH</v>
          </cell>
          <cell r="D1580" t="str">
            <v>Pump,15Hp 208-230/460V 33SV32GK4F60</v>
          </cell>
        </row>
        <row r="1581">
          <cell r="C1581" t="str">
            <v>477049WH</v>
          </cell>
          <cell r="D1581" t="str">
            <v>Swivel Caster Locking Type 1200# Phenolic Wheel</v>
          </cell>
        </row>
        <row r="1582">
          <cell r="C1582" t="str">
            <v>477052WH</v>
          </cell>
          <cell r="D1582" t="str">
            <v>Bar Flt Stl   3/8 X 4      A36</v>
          </cell>
        </row>
        <row r="1583">
          <cell r="C1583" t="str">
            <v>477067WH</v>
          </cell>
          <cell r="D1583" t="str">
            <v>Pump, 3Hp 200-230/460V 6BF2H9A0</v>
          </cell>
        </row>
        <row r="1584">
          <cell r="C1584" t="str">
            <v>477079WH</v>
          </cell>
          <cell r="D1584" t="str">
            <v>Hose Assy Flex SS 4X48 Lg</v>
          </cell>
        </row>
        <row r="1585">
          <cell r="C1585" t="str">
            <v>477081WH</v>
          </cell>
          <cell r="D1585" t="str">
            <v>ELL PVC 90-3-Sch80</v>
          </cell>
        </row>
        <row r="1586">
          <cell r="C1586" t="str">
            <v>477082WH</v>
          </cell>
          <cell r="D1586" t="str">
            <v>Tee PVC 3-Sch80</v>
          </cell>
        </row>
        <row r="1587">
          <cell r="C1587" t="str">
            <v>477083WH</v>
          </cell>
          <cell r="D1587" t="str">
            <v>Bush PVC 3-Sch80X2</v>
          </cell>
        </row>
        <row r="1588">
          <cell r="C1588" t="str">
            <v>477091WH</v>
          </cell>
          <cell r="D1588" t="str">
            <v>CPLG Half Stl 1.25 150#</v>
          </cell>
        </row>
        <row r="1589">
          <cell r="C1589" t="str">
            <v>477094WH</v>
          </cell>
          <cell r="D1589" t="str">
            <v>Adapter Male PVC Sch80  2</v>
          </cell>
        </row>
        <row r="1590">
          <cell r="C1590" t="str">
            <v>477096WH</v>
          </cell>
          <cell r="D1590" t="str">
            <v>Bush Brs Hex 3X2.5</v>
          </cell>
        </row>
        <row r="1591">
          <cell r="C1591" t="str">
            <v>477134WH</v>
          </cell>
          <cell r="D1591" t="str">
            <v>Pan Bot 3- 500 Stl 14Ga 34X37 (2) Req'd Per 34 Wide Bench</v>
          </cell>
        </row>
        <row r="1592">
          <cell r="C1592" t="str">
            <v>477147WH</v>
          </cell>
          <cell r="D1592" t="str">
            <v>FLNG Blk Slip  2-150#</v>
          </cell>
        </row>
        <row r="1593">
          <cell r="C1593" t="str">
            <v>477156E</v>
          </cell>
          <cell r="D1593" t="str">
            <v>Conduit Flex SS 3/16</v>
          </cell>
        </row>
        <row r="1594">
          <cell r="C1594" t="str">
            <v>477176WH</v>
          </cell>
          <cell r="D1594" t="str">
            <v>Bolt Hex Zinc  3/4-10 X 3</v>
          </cell>
        </row>
        <row r="1595">
          <cell r="C1595" t="str">
            <v>477178WH</v>
          </cell>
          <cell r="D1595" t="str">
            <v>Nut Hex Zinc  3/4-10</v>
          </cell>
        </row>
        <row r="1596">
          <cell r="C1596" t="str">
            <v>477179WH</v>
          </cell>
          <cell r="D1596" t="str">
            <v>Washer Flat Zinc SAE 3/4</v>
          </cell>
        </row>
        <row r="1597">
          <cell r="C1597" t="str">
            <v>477180WH</v>
          </cell>
          <cell r="D1597" t="str">
            <v>Tee PVC 1.5-Sch80</v>
          </cell>
        </row>
        <row r="1598">
          <cell r="C1598" t="str">
            <v>477181WH</v>
          </cell>
          <cell r="D1598" t="str">
            <v>NPS PVC 1.5-Sch40</v>
          </cell>
        </row>
        <row r="1599">
          <cell r="C1599" t="str">
            <v>477182WH</v>
          </cell>
          <cell r="D1599" t="str">
            <v>Bolt Anchor  3/8 X 3   Zinc</v>
          </cell>
        </row>
        <row r="1600">
          <cell r="C1600" t="str">
            <v>477184WH</v>
          </cell>
          <cell r="D1600" t="str">
            <v>NPS PVC 2-Sch40</v>
          </cell>
        </row>
        <row r="1601">
          <cell r="C1601" t="str">
            <v>477192WH</v>
          </cell>
          <cell r="D1601" t="str">
            <v>Pump, 10Hp 208-230/460V 33SV21GJ4F60</v>
          </cell>
        </row>
        <row r="1602">
          <cell r="C1602" t="str">
            <v>477207WH</v>
          </cell>
          <cell r="D1602" t="str">
            <v>Thredolet 2 X 3 Run 3000 Lb Sa105 Stl For 3 Run Pipe</v>
          </cell>
        </row>
        <row r="1603">
          <cell r="C1603" t="str">
            <v>477225WH</v>
          </cell>
          <cell r="D1603" t="str">
            <v>Pump, 7.5Hp 230/460V  10SV9GH4F60</v>
          </cell>
        </row>
        <row r="1604">
          <cell r="C1604" t="str">
            <v>477227WH</v>
          </cell>
          <cell r="D1604" t="str">
            <v>Pump, 60Hp 230/460V 18BF2T9E0</v>
          </cell>
        </row>
        <row r="1605">
          <cell r="C1605" t="str">
            <v>477228WH</v>
          </cell>
          <cell r="D1605" t="str">
            <v>Pump, 20Hp 230/460V 14BF2N9F0</v>
          </cell>
        </row>
        <row r="1606">
          <cell r="C1606" t="str">
            <v>477234WH</v>
          </cell>
          <cell r="D1606" t="str">
            <v>NPL Brs 0.5X 4.5</v>
          </cell>
        </row>
        <row r="1607">
          <cell r="C1607" t="str">
            <v>477261E</v>
          </cell>
          <cell r="D1607" t="str">
            <v>Plate End &amp; Intermed 4 Cond Gray</v>
          </cell>
        </row>
        <row r="1608">
          <cell r="C1608" t="str">
            <v>477262E</v>
          </cell>
          <cell r="D1608" t="str">
            <v>Plate End and Intermediate Tri-Deck</v>
          </cell>
        </row>
        <row r="1609">
          <cell r="C1609" t="str">
            <v>477264E</v>
          </cell>
          <cell r="D1609" t="str">
            <v>Terminal Block Tri-Deck L/L/L</v>
          </cell>
        </row>
        <row r="1610">
          <cell r="C1610" t="str">
            <v>477265E</v>
          </cell>
          <cell r="D1610" t="str">
            <v>Terminal Block Tri-Deck GR/N/L</v>
          </cell>
        </row>
        <row r="1611">
          <cell r="C1611" t="str">
            <v>477266E</v>
          </cell>
          <cell r="D1611" t="str">
            <v>Term Block 4-Cond Gray</v>
          </cell>
        </row>
        <row r="1612">
          <cell r="C1612" t="str">
            <v>477267E</v>
          </cell>
          <cell r="D1612" t="str">
            <v>Term Block 4-Cond Brown</v>
          </cell>
        </row>
        <row r="1613">
          <cell r="C1613" t="str">
            <v>477268E</v>
          </cell>
          <cell r="D1613" t="str">
            <v>Term Block 4-Cond Ground</v>
          </cell>
        </row>
        <row r="1614">
          <cell r="C1614" t="str">
            <v>477269E</v>
          </cell>
          <cell r="D1614" t="str">
            <v>Switch Industrial Eco</v>
          </cell>
        </row>
        <row r="1615">
          <cell r="C1615" t="str">
            <v>477270E</v>
          </cell>
          <cell r="D1615" t="str">
            <v>Carrier Rail Steel</v>
          </cell>
        </row>
        <row r="1616">
          <cell r="C1616" t="str">
            <v>477272E</v>
          </cell>
          <cell r="D1616" t="str">
            <v>End Stop Screwless Wago</v>
          </cell>
        </row>
        <row r="1617">
          <cell r="C1617" t="str">
            <v>477273E</v>
          </cell>
          <cell r="D1617" t="str">
            <v>Term Block 3-Cond Gray</v>
          </cell>
        </row>
        <row r="1618">
          <cell r="C1618" t="str">
            <v>477274E</v>
          </cell>
          <cell r="D1618" t="str">
            <v>Term Block 2-Cond Gray</v>
          </cell>
        </row>
        <row r="1619">
          <cell r="C1619" t="str">
            <v>477314WH</v>
          </cell>
          <cell r="D1619" t="str">
            <v>Tee Blk Weld 6</v>
          </cell>
        </row>
        <row r="1620">
          <cell r="C1620" t="str">
            <v>477343E</v>
          </cell>
          <cell r="D1620" t="str">
            <v>VFD DG1 VT, 380-500V, 15Hp,DG134016FBC21C</v>
          </cell>
        </row>
        <row r="1621">
          <cell r="C1621" t="str">
            <v>477344E</v>
          </cell>
          <cell r="D1621" t="str">
            <v>VFD DG1 VT, 380-500V, 60Hp,  DG134072FNC21C</v>
          </cell>
        </row>
        <row r="1622">
          <cell r="C1622" t="str">
            <v>477346E</v>
          </cell>
          <cell r="D1622" t="str">
            <v>VFD DG1 VT, 208-240V, 7.5Hp, DG132017FBC21C</v>
          </cell>
        </row>
        <row r="1623">
          <cell r="C1623" t="str">
            <v>477347E</v>
          </cell>
          <cell r="D1623" t="str">
            <v>VFD DG1 VT, 208-240V, 15Hp, DG132031FBC21C</v>
          </cell>
        </row>
        <row r="1624">
          <cell r="C1624" t="str">
            <v>477348E</v>
          </cell>
          <cell r="D1624" t="str">
            <v>VFD DG1 VT, 208-240V, 20Hp,  DG132048FBC21C</v>
          </cell>
        </row>
        <row r="1625">
          <cell r="C1625" t="str">
            <v>477352E</v>
          </cell>
          <cell r="D1625" t="str">
            <v>Connector 06-Pin 7/8" Male Plug</v>
          </cell>
        </row>
        <row r="1626">
          <cell r="C1626" t="str">
            <v>477353E</v>
          </cell>
          <cell r="D1626" t="str">
            <v>Connector 06-PIN 7/8" Female Receptacle</v>
          </cell>
        </row>
        <row r="1627">
          <cell r="C1627" t="str">
            <v>477354E</v>
          </cell>
          <cell r="D1627" t="str">
            <v>Power Supply 24VDC 2A</v>
          </cell>
        </row>
        <row r="1628">
          <cell r="C1628" t="str">
            <v>477355E</v>
          </cell>
          <cell r="D1628" t="str">
            <v>Term Block Socket w/Mini Relay Switch 115VAC 6A</v>
          </cell>
        </row>
        <row r="1629">
          <cell r="C1629" t="str">
            <v>477364E</v>
          </cell>
          <cell r="D1629" t="str">
            <v>Term Block Socket w/Mini Relay Switch 24VDC 6A</v>
          </cell>
        </row>
        <row r="1630">
          <cell r="C1630" t="str">
            <v>477365WH</v>
          </cell>
          <cell r="D1630" t="str">
            <v>Plate CS Diamond 28X28 3/16</v>
          </cell>
        </row>
        <row r="1631">
          <cell r="C1631" t="str">
            <v>477366E</v>
          </cell>
          <cell r="D1631" t="str">
            <v>Encl  6 X 12 X 5 Ritt</v>
          </cell>
        </row>
        <row r="1632">
          <cell r="C1632" t="str">
            <v>477367E</v>
          </cell>
          <cell r="D1632" t="str">
            <v>Encl 48x36x16 Ritt</v>
          </cell>
        </row>
        <row r="1633">
          <cell r="C1633" t="str">
            <v>477373WH</v>
          </cell>
          <cell r="D1633" t="str">
            <v>Vane Horizontal SS 3</v>
          </cell>
        </row>
        <row r="1634">
          <cell r="C1634" t="str">
            <v>477374WH</v>
          </cell>
          <cell r="D1634" t="str">
            <v>Vane Vertical SS 3</v>
          </cell>
        </row>
        <row r="1635">
          <cell r="C1635" t="str">
            <v>477375WH</v>
          </cell>
          <cell r="D1635" t="str">
            <v>Vane Horizontal SS 4</v>
          </cell>
        </row>
        <row r="1636">
          <cell r="C1636" t="str">
            <v>477376WH</v>
          </cell>
          <cell r="D1636" t="str">
            <v>Vane Vertical SS 4</v>
          </cell>
        </row>
        <row r="1637">
          <cell r="C1637" t="str">
            <v>477377WH</v>
          </cell>
          <cell r="D1637" t="str">
            <v>Vane Horizontal SS 6</v>
          </cell>
        </row>
        <row r="1638">
          <cell r="C1638" t="str">
            <v>477378WH</v>
          </cell>
          <cell r="D1638" t="str">
            <v>Vane Vertical SS 6</v>
          </cell>
        </row>
        <row r="1639">
          <cell r="C1639" t="str">
            <v>477379WH</v>
          </cell>
          <cell r="D1639" t="str">
            <v>Vane Horizontal SS 8</v>
          </cell>
        </row>
        <row r="1640">
          <cell r="C1640" t="str">
            <v>477380WH</v>
          </cell>
          <cell r="D1640" t="str">
            <v>Vane Vertical SS 8</v>
          </cell>
        </row>
        <row r="1641">
          <cell r="C1641" t="str">
            <v>477381WH</v>
          </cell>
          <cell r="D1641" t="str">
            <v>Vane Horizontal SS 10</v>
          </cell>
        </row>
        <row r="1642">
          <cell r="C1642" t="str">
            <v>477382WH</v>
          </cell>
          <cell r="D1642" t="str">
            <v>Vane Vertical SS 10</v>
          </cell>
        </row>
        <row r="1643">
          <cell r="C1643" t="str">
            <v>477383WH</v>
          </cell>
          <cell r="D1643" t="str">
            <v>Vane Horizontal SS 12</v>
          </cell>
        </row>
        <row r="1644">
          <cell r="C1644" t="str">
            <v>477384WH</v>
          </cell>
          <cell r="D1644" t="str">
            <v>Vane Vertical SS 12</v>
          </cell>
        </row>
        <row r="1645">
          <cell r="C1645" t="str">
            <v>477394WH</v>
          </cell>
          <cell r="D1645" t="str">
            <v>Adapter Meter Poly  5/8</v>
          </cell>
        </row>
        <row r="1646">
          <cell r="C1646" t="str">
            <v>477395WH</v>
          </cell>
          <cell r="D1646" t="str">
            <v>Adapter Meter Poly  3/4</v>
          </cell>
        </row>
        <row r="1647">
          <cell r="C1647" t="str">
            <v>477396WH</v>
          </cell>
          <cell r="D1647" t="str">
            <v>Adapter Meter Poly 1</v>
          </cell>
        </row>
        <row r="1648">
          <cell r="C1648" t="str">
            <v>477400WH</v>
          </cell>
          <cell r="D1648" t="str">
            <v>Carrier Bar 14 Poly Machined</v>
          </cell>
        </row>
        <row r="1649">
          <cell r="C1649" t="str">
            <v>477401WH</v>
          </cell>
          <cell r="D1649" t="str">
            <v>Carrier Bar 19 Poly Machined</v>
          </cell>
        </row>
        <row r="1650">
          <cell r="C1650" t="str">
            <v>477402WH</v>
          </cell>
          <cell r="D1650" t="str">
            <v>Adapter Meter Advanced Bench</v>
          </cell>
        </row>
        <row r="1651">
          <cell r="C1651" t="str">
            <v>477406SW</v>
          </cell>
          <cell r="D1651" t="str">
            <v>SSD Internal 2.5 500GB</v>
          </cell>
        </row>
        <row r="1652">
          <cell r="C1652" t="str">
            <v>477407WH</v>
          </cell>
          <cell r="D1652" t="str">
            <v>Carrier Bar 14 Poly Mach Adv</v>
          </cell>
        </row>
        <row r="1653">
          <cell r="C1653" t="str">
            <v>477409SW</v>
          </cell>
          <cell r="D1653" t="str">
            <v>Ethernet Adap Usb 3.0 To Gigabit Amazon Rj45</v>
          </cell>
        </row>
        <row r="1654">
          <cell r="C1654" t="str">
            <v>477410WH</v>
          </cell>
          <cell r="D1654" t="str">
            <v>Bar Flt Alum  0.25X4</v>
          </cell>
        </row>
        <row r="1655">
          <cell r="C1655" t="str">
            <v>477411E</v>
          </cell>
          <cell r="D1655" t="str">
            <v>VFD DG1 VT, 208-240V, 30Hp Spl</v>
          </cell>
        </row>
        <row r="1656">
          <cell r="C1656" t="str">
            <v>477414WH</v>
          </cell>
          <cell r="D1656" t="str">
            <v>Shell Rolled 304SS 52ODX60LgX14Ga</v>
          </cell>
        </row>
        <row r="1657">
          <cell r="C1657" t="str">
            <v>477415WH</v>
          </cell>
          <cell r="D1657" t="str">
            <v>Cone 52ODX3DropX11Ga 304SS</v>
          </cell>
        </row>
        <row r="1658">
          <cell r="C1658" t="str">
            <v>477416WH</v>
          </cell>
          <cell r="D1658" t="str">
            <v>Ring Rolled 304SS 51.875OD X 2W X 0.188TK</v>
          </cell>
        </row>
        <row r="1659">
          <cell r="C1659" t="str">
            <v>477420WH</v>
          </cell>
          <cell r="D1659" t="str">
            <v>Adapter Meter PVC 1.5 Female</v>
          </cell>
        </row>
        <row r="1660">
          <cell r="C1660" t="str">
            <v>477421WH</v>
          </cell>
          <cell r="D1660" t="str">
            <v>Adapter Meter PVC 2 Female</v>
          </cell>
        </row>
        <row r="1661">
          <cell r="C1661" t="str">
            <v>477429E</v>
          </cell>
          <cell r="D1661" t="str">
            <v>Contact Block 2NO, Eaton</v>
          </cell>
        </row>
        <row r="1662">
          <cell r="C1662" t="str">
            <v>477436E</v>
          </cell>
          <cell r="D1662" t="str">
            <v>Encl 12 X 10 X 6 STAH</v>
          </cell>
        </row>
        <row r="1663">
          <cell r="C1663" t="str">
            <v>477437E</v>
          </cell>
          <cell r="D1663" t="str">
            <v>ENCL PANEL 12 X 10</v>
          </cell>
        </row>
        <row r="1664">
          <cell r="C1664" t="str">
            <v>477437WH</v>
          </cell>
          <cell r="D1664" t="str">
            <v>Adapter 2.0In FLNGd Meter</v>
          </cell>
        </row>
        <row r="1665">
          <cell r="C1665" t="str">
            <v>477438WH</v>
          </cell>
          <cell r="D1665" t="str">
            <v>Adapter 1.5In Thd'D Meter</v>
          </cell>
        </row>
        <row r="1666">
          <cell r="C1666" t="str">
            <v>477439WH</v>
          </cell>
          <cell r="D1666" t="str">
            <v>Adapter 2.0In Thd'D Meter</v>
          </cell>
        </row>
        <row r="1667">
          <cell r="C1667" t="str">
            <v>477454WH</v>
          </cell>
          <cell r="D1667" t="str">
            <v>4X2.5 Reducing Companion FLNG Class 150 Threaded All 130-040-000-Tap</v>
          </cell>
        </row>
        <row r="1668">
          <cell r="C1668" t="str">
            <v>477455WH</v>
          </cell>
          <cell r="D1668" t="str">
            <v>FLNG Thd 150#  2.5</v>
          </cell>
        </row>
        <row r="1669">
          <cell r="C1669" t="str">
            <v>477460WH</v>
          </cell>
          <cell r="D1669" t="str">
            <v>Pump, 20Hp 208-230/460V 33SV41GL4F60</v>
          </cell>
        </row>
        <row r="1670">
          <cell r="C1670" t="str">
            <v>477461WH</v>
          </cell>
          <cell r="D1670" t="str">
            <v>Pump, 10Hp 230/460V 10BF2L9A0</v>
          </cell>
        </row>
        <row r="1671">
          <cell r="C1671" t="str">
            <v>477477WH</v>
          </cell>
          <cell r="D1671" t="str">
            <v>Adapter End - 2.0In Thd'D X Fl</v>
          </cell>
        </row>
        <row r="1672">
          <cell r="C1672" t="str">
            <v>477478WH</v>
          </cell>
          <cell r="D1672" t="str">
            <v>O-Ring #331-70N Nitrile Rubber</v>
          </cell>
        </row>
        <row r="1673">
          <cell r="C1673" t="str">
            <v>477493WH</v>
          </cell>
          <cell r="D1673" t="str">
            <v>ELL PVC 90-4-Sch80</v>
          </cell>
        </row>
        <row r="1674">
          <cell r="C1674" t="str">
            <v>477511WH</v>
          </cell>
          <cell r="D1674" t="str">
            <v>Pump, 25Hp 230/460V 14BF2P9E0</v>
          </cell>
        </row>
        <row r="1675">
          <cell r="C1675" t="str">
            <v>477512WH</v>
          </cell>
          <cell r="D1675" t="str">
            <v>Exp Joint Single 2.5 150Lb  Api # Ams202H</v>
          </cell>
        </row>
        <row r="1676">
          <cell r="C1676" t="str">
            <v>477523WH</v>
          </cell>
          <cell r="D1676" t="str">
            <v>Socket Pollard Valve Key Soc 2 Sq F/ P545</v>
          </cell>
        </row>
        <row r="1677">
          <cell r="C1677" t="str">
            <v>477528WH</v>
          </cell>
          <cell r="D1677" t="str">
            <v>Set Screw 1/4-20X 0.531Lg 316S</v>
          </cell>
        </row>
        <row r="1678">
          <cell r="C1678" t="str">
            <v>477530SW</v>
          </cell>
          <cell r="D1678" t="str">
            <v>SSD Internal 2.5 120Gb</v>
          </cell>
        </row>
        <row r="1679">
          <cell r="C1679" t="str">
            <v>477532WH</v>
          </cell>
          <cell r="D1679" t="str">
            <v>End Panel Tray Drain 14Wx3H</v>
          </cell>
        </row>
        <row r="1680">
          <cell r="C1680" t="str">
            <v>477533WH</v>
          </cell>
          <cell r="D1680" t="str">
            <v>End Panel Tray Drain 14Wx4H</v>
          </cell>
        </row>
        <row r="1681">
          <cell r="C1681" t="str">
            <v>477536WH</v>
          </cell>
          <cell r="D1681" t="str">
            <v>Tray Drain Body 14X136 1200, 2400 &amp; 6-1200 Formed</v>
          </cell>
        </row>
        <row r="1682">
          <cell r="C1682" t="str">
            <v>477538WH</v>
          </cell>
          <cell r="D1682" t="str">
            <v>Tray Drain Body 19X136 6-1200 Formed</v>
          </cell>
        </row>
        <row r="1683">
          <cell r="C1683" t="str">
            <v>477539WH</v>
          </cell>
          <cell r="D1683" t="str">
            <v>End Panel Tray Drain 19Wx3H</v>
          </cell>
        </row>
        <row r="1684">
          <cell r="C1684" t="str">
            <v>477540WH</v>
          </cell>
          <cell r="D1684" t="str">
            <v>End Panel Tray Drain 19Wx4H</v>
          </cell>
        </row>
        <row r="1685">
          <cell r="C1685" t="str">
            <v>477542WH</v>
          </cell>
          <cell r="D1685" t="str">
            <v>Tray Drain Body 14X67.7 3-500</v>
          </cell>
        </row>
        <row r="1686">
          <cell r="C1686" t="str">
            <v>477548WH</v>
          </cell>
          <cell r="D1686" t="str">
            <v>Tray Drain Body 19X113 5-1000 Formed</v>
          </cell>
        </row>
        <row r="1687">
          <cell r="C1687" t="str">
            <v>477550WH</v>
          </cell>
          <cell r="D1687" t="str">
            <v>Tray Drain Body Largex120 Formed</v>
          </cell>
        </row>
        <row r="1688">
          <cell r="C1688" t="str">
            <v>477551WH</v>
          </cell>
          <cell r="D1688" t="str">
            <v>End Panel Tray Lg Bench Drain End</v>
          </cell>
        </row>
        <row r="1689">
          <cell r="C1689" t="str">
            <v>477552WH</v>
          </cell>
          <cell r="D1689" t="str">
            <v>End Panel Tray Drain Lg Bench Shallow End</v>
          </cell>
        </row>
        <row r="1690">
          <cell r="C1690" t="str">
            <v>477554WH</v>
          </cell>
          <cell r="D1690" t="str">
            <v>Tray Drain Body 14X113 1000/5-1000 Formed</v>
          </cell>
        </row>
        <row r="1691">
          <cell r="C1691" t="str">
            <v>477562WH</v>
          </cell>
          <cell r="D1691" t="str">
            <v>Tray Drain Body 14X43 Series-3 Formed</v>
          </cell>
        </row>
        <row r="1692">
          <cell r="C1692" t="str">
            <v>477586E</v>
          </cell>
          <cell r="D1692" t="str">
            <v>Encl 30X24X12 Ritt WM302412NC Wall Mounted Type Enclosure</v>
          </cell>
        </row>
        <row r="1693">
          <cell r="C1693" t="str">
            <v>477590WH</v>
          </cell>
          <cell r="D1693" t="str">
            <v>Cone 8ODX0.625Dropx14Ga 304SS</v>
          </cell>
        </row>
        <row r="1694">
          <cell r="C1694" t="str">
            <v>477595WH</v>
          </cell>
          <cell r="D1694" t="str">
            <v>Cap Leg SS 2Angle 45 Deg Cham</v>
          </cell>
        </row>
        <row r="1695">
          <cell r="C1695" t="str">
            <v>477614WH</v>
          </cell>
          <cell r="D1695" t="str">
            <v>Brkt Mtg Sight Glass Top Aluminum</v>
          </cell>
        </row>
        <row r="1696">
          <cell r="C1696" t="str">
            <v>477615WH</v>
          </cell>
          <cell r="D1696" t="str">
            <v>Brkt Mtg Sight Glass Bot Aluminum</v>
          </cell>
        </row>
        <row r="1697">
          <cell r="C1697" t="str">
            <v>477624WH</v>
          </cell>
          <cell r="D1697" t="str">
            <v>Draw Bar Drive End 5/8-1</v>
          </cell>
        </row>
        <row r="1698">
          <cell r="C1698" t="str">
            <v>477631WH</v>
          </cell>
          <cell r="D1698" t="str">
            <v>Wye PVC Rdcg 3X2</v>
          </cell>
        </row>
        <row r="1699">
          <cell r="C1699" t="str">
            <v>477675WH</v>
          </cell>
          <cell r="D1699" t="str">
            <v>Pipe 8X14Ga 304SS</v>
          </cell>
        </row>
        <row r="1700">
          <cell r="C1700" t="str">
            <v>477694WH</v>
          </cell>
          <cell r="D1700" t="str">
            <v>Tank Poly  825 Gal Richmond 60</v>
          </cell>
        </row>
        <row r="1701">
          <cell r="C1701" t="str">
            <v>477695WH</v>
          </cell>
          <cell r="D1701" t="str">
            <v>NPL Stl 0.5X1.125 Thd Galv Sch40</v>
          </cell>
        </row>
        <row r="1702">
          <cell r="C1702" t="str">
            <v>477706WH</v>
          </cell>
          <cell r="D1702" t="str">
            <v>Shell Rolled 304SS 26OD X 60Lg</v>
          </cell>
        </row>
        <row r="1703">
          <cell r="C1703" t="str">
            <v>477707WH</v>
          </cell>
          <cell r="D1703" t="str">
            <v>Cone 26OD X 2.0 Dropx14Ga 304SS</v>
          </cell>
        </row>
        <row r="1704">
          <cell r="C1704" t="str">
            <v>477708WH</v>
          </cell>
          <cell r="D1704" t="str">
            <v>Ring Rolled SST 25.88X2X0.1875</v>
          </cell>
        </row>
        <row r="1705">
          <cell r="C1705" t="str">
            <v>477716WH</v>
          </cell>
          <cell r="D1705" t="str">
            <v>Tank Poly 300 Gal Std 35OD</v>
          </cell>
        </row>
        <row r="1706">
          <cell r="C1706" t="str">
            <v>477720WH</v>
          </cell>
          <cell r="D1706" t="str">
            <v>Pan Bot 1200 Stl 14Ga 13X71  (2) Req'd Per 18 Wide Bench</v>
          </cell>
        </row>
        <row r="1707">
          <cell r="C1707" t="str">
            <v>477731WH</v>
          </cell>
          <cell r="D1707" t="str">
            <v>Pump Condensate 1/30Hp 115V Little Giant</v>
          </cell>
        </row>
        <row r="1708">
          <cell r="C1708" t="str">
            <v>477747WH</v>
          </cell>
          <cell r="D1708" t="str">
            <v>FLNG Thd 150# 3</v>
          </cell>
        </row>
        <row r="1709">
          <cell r="C1709" t="str">
            <v>477756WH</v>
          </cell>
          <cell r="D1709" t="str">
            <v>Tank Poly  825 Gal Milcrofton</v>
          </cell>
        </row>
        <row r="1710">
          <cell r="C1710" t="str">
            <v>477761WH</v>
          </cell>
          <cell r="D1710" t="str">
            <v>Pan Bot 300 Stl 14Ga 13X49</v>
          </cell>
        </row>
        <row r="1711">
          <cell r="C1711" t="str">
            <v>477768E</v>
          </cell>
          <cell r="D1711" t="str">
            <v>Relay Timer Dold Rk7817-81-61</v>
          </cell>
        </row>
        <row r="1712">
          <cell r="C1712" t="str">
            <v>477769E</v>
          </cell>
          <cell r="D1712" t="str">
            <v>Beacon Led Werma 46031060</v>
          </cell>
        </row>
        <row r="1713">
          <cell r="C1713" t="str">
            <v>477770E</v>
          </cell>
          <cell r="D1713" t="str">
            <v>Brkt Mtg Beacon Led Werma 2607</v>
          </cell>
        </row>
        <row r="1714">
          <cell r="C1714" t="str">
            <v>477771E</v>
          </cell>
          <cell r="D1714" t="str">
            <v>Cable Gland 3/8 Bimed Bspax-11</v>
          </cell>
        </row>
        <row r="1715">
          <cell r="C1715" t="str">
            <v>477774WH</v>
          </cell>
          <cell r="D1715" t="str">
            <v>Tee Snap PVC 1.5-Sch40 Spears 463-015 1.5 PVC Saddle OD X Soc Sch 40</v>
          </cell>
        </row>
        <row r="1716">
          <cell r="C1716" t="str">
            <v>477777WH</v>
          </cell>
          <cell r="D1716" t="str">
            <v>NPS PVC 0.5-Sch40</v>
          </cell>
        </row>
        <row r="1717">
          <cell r="C1717" t="str">
            <v>477784WH</v>
          </cell>
          <cell r="D1717" t="str">
            <v>Hinge SST 2' Long</v>
          </cell>
        </row>
        <row r="1718">
          <cell r="C1718" t="str">
            <v>477805WH</v>
          </cell>
          <cell r="D1718" t="str">
            <v>Generator, Honda Gas Powered 2200W-Mobile Test Unit</v>
          </cell>
        </row>
        <row r="1719">
          <cell r="C1719" t="str">
            <v>477809WH</v>
          </cell>
          <cell r="D1719" t="str">
            <v>Plate Operator/Discharge  6IN Large Bench</v>
          </cell>
        </row>
        <row r="1720">
          <cell r="C1720" t="str">
            <v>477810WH</v>
          </cell>
          <cell r="D1720" t="str">
            <v>Plate Operator/Discharge  8IN Large Bench</v>
          </cell>
        </row>
        <row r="1721">
          <cell r="C1721" t="str">
            <v>477811WH</v>
          </cell>
          <cell r="D1721" t="str">
            <v>Plate Operator/Discharge 10IN Large Bench</v>
          </cell>
        </row>
        <row r="1722">
          <cell r="C1722" t="str">
            <v>477842WH</v>
          </cell>
          <cell r="D1722" t="str">
            <v>Thredolet 2.5 X 3 - 3.5 Run 3000 Lb Sa105 Stl For 3 - 3.5 Run Pipe</v>
          </cell>
        </row>
        <row r="1723">
          <cell r="C1723" t="str">
            <v>477843WH</v>
          </cell>
          <cell r="D1723" t="str">
            <v>Thredolet 2.5 X 4 - 6 Run 3000 Lb Sa105 Stl For 4 - 6 Run Pipe</v>
          </cell>
        </row>
        <row r="1724">
          <cell r="C1724" t="str">
            <v>477844WH</v>
          </cell>
          <cell r="D1724" t="str">
            <v>Flng Blk Slip 6-150# B16.5 RF A105</v>
          </cell>
        </row>
        <row r="1725">
          <cell r="C1725" t="str">
            <v>477845WH</v>
          </cell>
          <cell r="D1725" t="str">
            <v>Flng Blk Slip 8-150# B16.5 RF A105</v>
          </cell>
        </row>
        <row r="1726">
          <cell r="C1726" t="str">
            <v>477922WH</v>
          </cell>
          <cell r="D1726" t="str">
            <v>Swivel Caster Non-Locking Type 1200# Phenolic Wheel</v>
          </cell>
        </row>
        <row r="1727">
          <cell r="C1727" t="str">
            <v>477937WH</v>
          </cell>
          <cell r="D1727" t="str">
            <v>Thredolet 2 X 6 Run 3000 Lb Sa105 Stl For 6 Run Pipe</v>
          </cell>
        </row>
        <row r="1728">
          <cell r="C1728" t="str">
            <v>477945WH</v>
          </cell>
          <cell r="D1728" t="str">
            <v>ELL Blk Weld 90SR-8 Std Wt</v>
          </cell>
        </row>
        <row r="1729">
          <cell r="C1729" t="str">
            <v>477950WH</v>
          </cell>
          <cell r="D1729" t="str">
            <v>Thredolet 2 X 8 Run 3000 LB SA105 STL For 8 Run Pipe</v>
          </cell>
        </row>
        <row r="1730">
          <cell r="C1730" t="str">
            <v>530001WH</v>
          </cell>
          <cell r="D1730" t="str">
            <v>Scale Calibration</v>
          </cell>
        </row>
        <row r="1731">
          <cell r="C1731" t="str">
            <v>997082WH</v>
          </cell>
          <cell r="D1731" t="str">
            <v>Machining Labor - Outsurce</v>
          </cell>
        </row>
        <row r="1732">
          <cell r="C1732" t="str">
            <v>F2060104WH</v>
          </cell>
          <cell r="D1732" t="str">
            <v>RCM Programmer</v>
          </cell>
        </row>
        <row r="1733">
          <cell r="C1733" t="str">
            <v>F2060117WH</v>
          </cell>
          <cell r="D1733" t="str">
            <v>RCM Cable</v>
          </cell>
        </row>
        <row r="1734">
          <cell r="C1734" t="str">
            <v>F2090970WH</v>
          </cell>
          <cell r="D1734" t="str">
            <v>3/4 Cts Mars Plastic Insert</v>
          </cell>
        </row>
        <row r="1735">
          <cell r="C1735" t="str">
            <v>F2090972WH</v>
          </cell>
          <cell r="D1735" t="str">
            <v>1 Cts Mars Plastic Insert</v>
          </cell>
        </row>
        <row r="1736">
          <cell r="C1736" t="str">
            <v>F2090980WH</v>
          </cell>
          <cell r="D1736" t="str">
            <v>Insert SS 3/4 CTS</v>
          </cell>
        </row>
        <row r="1737">
          <cell r="C1737" t="str">
            <v>F2090982WH</v>
          </cell>
          <cell r="D1737" t="str">
            <v>Insert SS 1 CTS</v>
          </cell>
        </row>
        <row r="1738">
          <cell r="C1738" t="str">
            <v>F2131301WH</v>
          </cell>
          <cell r="D1738" t="str">
            <v>Washer 3/4 Thin Fiber 1/16</v>
          </cell>
        </row>
        <row r="1739">
          <cell r="C1739" t="str">
            <v>F2131302WH</v>
          </cell>
          <cell r="D1739" t="str">
            <v>Washer 3/4 Fiber 1/8</v>
          </cell>
        </row>
        <row r="1740">
          <cell r="C1740" t="str">
            <v>F2131303WH</v>
          </cell>
          <cell r="D1740" t="str">
            <v>Washer 3/4 X 1/16 Rubber</v>
          </cell>
        </row>
        <row r="1741">
          <cell r="C1741" t="str">
            <v>F2131309WH</v>
          </cell>
          <cell r="D1741" t="str">
            <v>Washer 1 X 1/16 Rubber</v>
          </cell>
        </row>
        <row r="1742">
          <cell r="C1742" t="str">
            <v>F2131310WH</v>
          </cell>
          <cell r="D1742" t="str">
            <v>Washer 1 Rubber 1/8 Thk</v>
          </cell>
        </row>
        <row r="1743">
          <cell r="C1743" t="str">
            <v>F2131311WH</v>
          </cell>
          <cell r="D1743" t="str">
            <v>Washer 3/4 Fiber 1/32 Thk</v>
          </cell>
        </row>
        <row r="1744">
          <cell r="C1744" t="str">
            <v>F2131312WH</v>
          </cell>
          <cell r="D1744" t="str">
            <v>Washer 1 Fiber 1/16 Thk</v>
          </cell>
        </row>
        <row r="1745">
          <cell r="C1745" t="str">
            <v>F2131324WH</v>
          </cell>
          <cell r="D1745" t="str">
            <v>Washer 5/8 X 1/16 Thk Fiber</v>
          </cell>
        </row>
        <row r="1746">
          <cell r="C1746" t="str">
            <v>F2131325WH</v>
          </cell>
          <cell r="D1746" t="str">
            <v>Washer 5/8 Rubber 1/8 Thk</v>
          </cell>
        </row>
        <row r="1747">
          <cell r="C1747" t="str">
            <v>F2131326WH</v>
          </cell>
          <cell r="D1747" t="str">
            <v>Washer 5/8 X 1/16  Rubber</v>
          </cell>
        </row>
        <row r="1748">
          <cell r="C1748" t="str">
            <v>F2131328WH</v>
          </cell>
          <cell r="D1748" t="str">
            <v>Washer 1 X 1/8 Thk Fiber</v>
          </cell>
        </row>
        <row r="1749">
          <cell r="C1749" t="str">
            <v>F2131329WH</v>
          </cell>
          <cell r="D1749" t="str">
            <v>Washer 3/4 X 1/32 Thk Rubber</v>
          </cell>
        </row>
        <row r="1750">
          <cell r="C1750" t="str">
            <v>F2131338WH</v>
          </cell>
          <cell r="D1750" t="str">
            <v>Washer 1 X 1/32 Rubber</v>
          </cell>
        </row>
        <row r="1751">
          <cell r="C1751" t="str">
            <v>F2131353WH</v>
          </cell>
          <cell r="D1751" t="str">
            <v>Washer 1 1/2 X 1/8 Rubber</v>
          </cell>
        </row>
        <row r="1752">
          <cell r="C1752" t="str">
            <v>F2131365WH</v>
          </cell>
          <cell r="D1752" t="str">
            <v>Washer 2 Rubber  1/8 Thk</v>
          </cell>
        </row>
        <row r="1753">
          <cell r="C1753" t="str">
            <v>F2192231WH</v>
          </cell>
          <cell r="D1753" t="str">
            <v>1 NL Brz. Meter Coupling</v>
          </cell>
        </row>
        <row r="1754">
          <cell r="C1754" t="str">
            <v>F2192246WH</v>
          </cell>
          <cell r="D1754" t="str">
            <v>2 NL Meter Coupling</v>
          </cell>
        </row>
        <row r="1755">
          <cell r="C1755" t="str">
            <v>F2273002WH</v>
          </cell>
          <cell r="D1755" t="str">
            <v>3/4 &amp;  5/8  Mars Meter Seal</v>
          </cell>
        </row>
        <row r="1756">
          <cell r="C1756" t="str">
            <v>F2273012WH</v>
          </cell>
          <cell r="D1756" t="str">
            <v>Extra Strap Standard</v>
          </cell>
        </row>
        <row r="1757">
          <cell r="C1757" t="str">
            <v>F2273024WH</v>
          </cell>
          <cell r="D1757" t="str">
            <v>Mars ID Tag Muni Code 2 Side</v>
          </cell>
        </row>
        <row r="1758">
          <cell r="C1758" t="str">
            <v>F2293100WH</v>
          </cell>
          <cell r="D1758" t="str">
            <v>Drill Tap Super Tuff 0.75 CC</v>
          </cell>
        </row>
        <row r="1759">
          <cell r="C1759" t="str">
            <v>F2293102WH</v>
          </cell>
          <cell r="D1759" t="str">
            <v>Drill Tap Super Tuff 1 CC</v>
          </cell>
        </row>
        <row r="1760">
          <cell r="C1760" t="str">
            <v>F2293130WH</v>
          </cell>
          <cell r="D1760" t="str">
            <v>Drill Tap 1.5 CC</v>
          </cell>
        </row>
        <row r="1761">
          <cell r="C1761" t="str">
            <v>F2293140WH</v>
          </cell>
          <cell r="D1761" t="str">
            <v>Drill Tap 2 CC</v>
          </cell>
        </row>
        <row r="1762">
          <cell r="C1762" t="str">
            <v>F2353601WH</v>
          </cell>
          <cell r="D1762" t="str">
            <v>1/2"" 2.5 Oz Zinc Cap</v>
          </cell>
        </row>
        <row r="1763">
          <cell r="C1763" t="str">
            <v>F2353604WH</v>
          </cell>
          <cell r="D1763" t="str">
            <v>Zinc Cap 5/8 2.5 Oz</v>
          </cell>
        </row>
        <row r="1764">
          <cell r="C1764" t="str">
            <v>F2353608WH</v>
          </cell>
          <cell r="D1764" t="str">
            <v>Zinc Cap 3/4 2.5 Oz</v>
          </cell>
        </row>
        <row r="1765">
          <cell r="C1765" t="str">
            <v>F2353619WH</v>
          </cell>
          <cell r="D1765" t="str">
            <v>Zinc Cap 1/2 6 Oz</v>
          </cell>
        </row>
        <row r="1766">
          <cell r="C1766" t="str">
            <v>F2353622WH</v>
          </cell>
          <cell r="D1766" t="str">
            <v>Zinc Cap 5/8 6 Oz</v>
          </cell>
        </row>
        <row r="1767">
          <cell r="C1767" t="str">
            <v>F2353624WH</v>
          </cell>
          <cell r="D1767" t="str">
            <v>Zinc Cap 3/4 6 Oz</v>
          </cell>
        </row>
        <row r="1768">
          <cell r="C1768" t="str">
            <v>F2353626WH</v>
          </cell>
          <cell r="D1768" t="str">
            <v>Zinc Cap 7/8 6 Oz</v>
          </cell>
        </row>
        <row r="1769">
          <cell r="C1769" t="str">
            <v>F2353628WH</v>
          </cell>
          <cell r="D1769" t="str">
            <v>Zinc Cap 1 6 Oz</v>
          </cell>
        </row>
        <row r="1770">
          <cell r="C1770" t="str">
            <v>F2353630WH</v>
          </cell>
          <cell r="D1770" t="str">
            <v>Zinc Cap 1-1/8 6 Oz</v>
          </cell>
        </row>
        <row r="1771">
          <cell r="C1771" t="str">
            <v>F2353632WH</v>
          </cell>
          <cell r="D1771" t="str">
            <v>5/16 Roseville Spec Zinc Cap</v>
          </cell>
        </row>
        <row r="1772">
          <cell r="C1772" t="str">
            <v>F2353633WH</v>
          </cell>
          <cell r="D1772" t="str">
            <v>Zinc Cap 3/8 Roseville Spec</v>
          </cell>
        </row>
        <row r="1773">
          <cell r="C1773" t="str">
            <v>F2353634WH</v>
          </cell>
          <cell r="D1773" t="str">
            <v>Zinc Cap 1/2 Roseville Spec</v>
          </cell>
        </row>
        <row r="1774">
          <cell r="C1774" t="str">
            <v>F2353642WH</v>
          </cell>
          <cell r="D1774" t="str">
            <v>Zinc Cap 1-1/4 14 Oz</v>
          </cell>
        </row>
        <row r="1775">
          <cell r="C1775" t="str">
            <v>F2353644WH</v>
          </cell>
          <cell r="D1775" t="str">
            <v>Zinc Cap 1-1/2 14 Oz</v>
          </cell>
        </row>
        <row r="1776">
          <cell r="C1776" t="str">
            <v>F2394006WH</v>
          </cell>
          <cell r="D1776" t="str">
            <v>VF1 Upgrade #113900-28</v>
          </cell>
        </row>
        <row r="1777">
          <cell r="C1777" t="str">
            <v>F2394016WH</v>
          </cell>
          <cell r="D1777" t="str">
            <v>VF1 Batteries   Lithcr12600Se</v>
          </cell>
        </row>
        <row r="1778">
          <cell r="C1778" t="str">
            <v>F2394021WH</v>
          </cell>
          <cell r="D1778" t="str">
            <v>Cart VF-4</v>
          </cell>
        </row>
        <row r="1779">
          <cell r="C1779" t="str">
            <v>F2394025WH</v>
          </cell>
          <cell r="D1779" t="str">
            <v>Fire Hose 2.5X25'</v>
          </cell>
        </row>
        <row r="1780">
          <cell r="C1780" t="str">
            <v>F24010054E</v>
          </cell>
          <cell r="D1780" t="str">
            <v>4-22 Superior Essex Wire 10 Cm</v>
          </cell>
        </row>
        <row r="1781">
          <cell r="C1781" t="str">
            <v>F2434815WH</v>
          </cell>
          <cell r="D1781" t="str">
            <v>1310 Main Board Only AWT15-501241</v>
          </cell>
        </row>
        <row r="1782">
          <cell r="C1782"/>
          <cell r="D1782"/>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persons/person.xml><?xml version="1.0" encoding="utf-8"?>
<personList xmlns="http://schemas.microsoft.com/office/spreadsheetml/2018/threadedcomments" xmlns:x="http://schemas.openxmlformats.org/spreadsheetml/2006/main">
  <person displayName="Jeff Butt" id="{E0AA9D34-CBDE-4ADC-96B6-240FA77256E5}" userId="S::jbutt@marswater.com::d14ad414-063c-469d-bb26-9e4519b27722" providerId="AD"/>
  <person displayName="Jeremiah Schmidt" id="{8F9B98A6-8C71-46E3-B603-86CB6187929A}" userId="S::jschmidt@marswater.com::83fa74ed-24ef-4502-8e13-e3826c68cc78" providerId="AD"/>
  <person displayName="Michael Peterson" id="{0EAE0A71-A335-4017-AA90-44EC42676C50}" userId="S::mpeterson@marswater.com::60e5f111-91ac-4fb9-ac08-386ab58fc9a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47" dT="2021-03-30T19:36:30.55" personId="{8F9B98A6-8C71-46E3-B603-86CB6187929A}" id="{00F3D10F-D895-4755-9AD6-74639128722E}">
    <text>0 qty shipped or invoiced</text>
  </threadedComment>
  <threadedComment ref="Q51" dT="2021-03-30T19:36:44.10" personId="{8F9B98A6-8C71-46E3-B603-86CB6187929A}" id="{177116BA-7CB8-472A-B90A-2349B7772D39}">
    <text>0 qty shipped or invoiced</text>
  </threadedComment>
  <threadedComment ref="Q53" dT="2021-03-30T19:37:19.51" personId="{8F9B98A6-8C71-46E3-B603-86CB6187929A}" id="{21BCD900-CC0E-4588-A33C-9F1A33FB7170}">
    <text>0 qty shipped or invoiced</text>
  </threadedComment>
  <threadedComment ref="Q54" dT="2021-03-30T19:37:34.82" personId="{8F9B98A6-8C71-46E3-B603-86CB6187929A}" id="{53849B47-8093-4510-88E7-334BE15B0057}">
    <text>0 qty shipped or invoiced</text>
  </threadedComment>
  <threadedComment ref="Q55" dT="2021-03-30T19:37:47.44" personId="{8F9B98A6-8C71-46E3-B603-86CB6187929A}" id="{97ACA338-66F7-403D-BC05-A9CB7819592F}">
    <text>0 qty shipped or invoiced</text>
  </threadedComment>
  <threadedComment ref="Q56" dT="2021-03-30T19:37:59.65" personId="{8F9B98A6-8C71-46E3-B603-86CB6187929A}" id="{EA8A631F-C598-4D03-9965-F3733BAAB716}">
    <text>0 qty shipped or invoiced</text>
  </threadedComment>
  <threadedComment ref="Q59" dT="2021-03-30T19:36:04.60" personId="{8F9B98A6-8C71-46E3-B603-86CB6187929A}" id="{311E2626-DA40-4648-AEDE-69A5463FC0BF}">
    <text>Does not show qty shipped or unit cost on AR invoice history report</text>
  </threadedComment>
  <threadedComment ref="P774" dT="2022-06-03T16:59:41.88" personId="{E0AA9D34-CBDE-4ADC-96B6-240FA77256E5}" id="{64B9EBF5-46DD-456D-8149-0D7A2EF9EDB8}">
    <text xml:space="preserve">Why the discount on the M3?
</text>
  </threadedComment>
  <threadedComment ref="P774" dT="2022-06-03T16:59:48.49" personId="{E0AA9D34-CBDE-4ADC-96B6-240FA77256E5}" id="{86F3674A-FBC1-4453-8E68-DA6E95960BA5}" parentId="{64B9EBF5-46DD-456D-8149-0D7A2EF9EDB8}">
    <text xml:space="preserve">Oklahoma
</text>
  </threadedComment>
  <threadedComment ref="P774" dT="2022-06-03T17:10:17.80" personId="{8F9B98A6-8C71-46E3-B603-86CB6187929A}" id="{E192ADE7-35E5-4405-A762-8C26AB69DF82}" parentId="{64B9EBF5-46DD-456D-8149-0D7A2EF9EDB8}">
    <text>This was the discount approved on the final GPA. I will have to ask Mike Morgan for details.</text>
  </threadedComment>
  <threadedComment ref="P774" dT="2022-06-03T18:02:07.42" personId="{E0AA9D34-CBDE-4ADC-96B6-240FA77256E5}" id="{96740303-AF10-48A6-910C-2F44A93C8374}" parentId="{64B9EBF5-46DD-456D-8149-0D7A2EF9EDB8}">
    <text xml:space="preserve">No prob. I approved in Asana
</text>
  </threadedComment>
  <threadedComment ref="U910" dT="2022-10-11T10:46:34.24" personId="{8F9B98A6-8C71-46E3-B603-86CB6187929A}" id="{00424B65-B546-4A66-82CB-C76F0370D445}">
    <text>Scale $854.41</text>
  </threadedComment>
  <threadedComment ref="U913" dT="2022-09-26T18:10:53.28" personId="{0EAE0A71-A335-4017-AA90-44EC42676C50}" id="{33897BB2-4E3A-4A9D-933B-363ACBF163C5}">
    <text>scale calibration</text>
  </threadedComment>
  <threadedComment ref="U916" dT="2022-09-26T18:11:03.89" personId="{0EAE0A71-A335-4017-AA90-44EC42676C50}" id="{0E13B2DF-D172-47F3-8F5A-CD4620738B60}">
    <text>scale calibration</text>
  </threadedComment>
  <threadedComment ref="U917" dT="2022-09-26T18:11:49.00" personId="{0EAE0A71-A335-4017-AA90-44EC42676C50}" id="{30ADE010-7FFA-43C4-97C1-D27B7D879548}">
    <text>scale calibration</text>
  </threadedComment>
  <threadedComment ref="U945" dT="2022-10-19T13:58:47.90" personId="{8F9B98A6-8C71-46E3-B603-86CB6187929A}" id="{143B4D0B-EE48-49E6-8C30-630F3D695F0F}">
    <text>scale invoice</text>
  </threadedComment>
  <threadedComment ref="U946" dT="2022-10-24T19:07:29.21" personId="{8F9B98A6-8C71-46E3-B603-86CB6187929A}" id="{1AEA4FD7-7A99-40E7-B65F-D29715774134}">
    <text>Scale invoice</text>
  </threadedComment>
  <threadedComment ref="U969" dT="2022-11-15T14:21:30.42" personId="{8F9B98A6-8C71-46E3-B603-86CB6187929A}" id="{9DD1C98C-88F4-41D0-89FA-F6A747B353CA}">
    <text xml:space="preserve">Scale </text>
  </threadedComment>
  <threadedComment ref="U975" dT="2022-12-12T18:06:19.05" personId="{8F9B98A6-8C71-46E3-B603-86CB6187929A}" id="{72628ABC-9974-406C-8D74-185DF28DC20C}">
    <text>$1228.75 Scale</text>
  </threadedComment>
  <threadedComment ref="L998" dT="2023-02-03T18:26:02.47" personId="{8F9B98A6-8C71-46E3-B603-86CB6187929A}" id="{6984FCFA-F50E-40E2-99D9-BD3AE7926424}">
    <text>Pulled from INV961</text>
  </threadedComment>
  <threadedComment ref="P998" dT="2023-02-03T18:26:02.47" personId="{8F9B98A6-8C71-46E3-B603-86CB6187929A}" id="{0D0256CC-6628-4D26-886D-9F8A2D1E5E0D}">
    <text>Pulled from INV961</text>
  </threadedComment>
  <threadedComment ref="L1164" dT="2023-08-02T14:08:23.32" personId="{8F9B98A6-8C71-46E3-B603-86CB6187929A}" id="{12BE5968-EB3A-47F7-889E-FCFE7E389DD1}">
    <text>$1.23 variance due to rounding CY vs List Price on Proposal</text>
  </threadedComment>
  <threadedComment ref="L1201" dT="2023-09-20T16:45:44.19" personId="{8F9B98A6-8C71-46E3-B603-86CB6187929A}" id="{8E3CBA82-29B0-4340-BC58-7226E18E8552}">
    <text>Discounts in formula showing reductions</text>
  </threadedComment>
  <threadedComment ref="P1201" dT="2023-09-20T16:45:44.19" personId="{8F9B98A6-8C71-46E3-B603-86CB6187929A}" id="{424FAB2F-9F0D-4006-8A29-ED6EC3A4EFFF}">
    <text>Discounts in formula showing reductions</text>
  </threadedComment>
  <threadedComment ref="V1263" dT="2024-08-14T13:18:53.59" personId="{8F9B98A6-8C71-46E3-B603-86CB6187929A}" id="{C9961723-A6A7-4717-B805-E13F584F40C2}">
    <text>Added the 593.21 for additional shipment to CUC in August.</text>
  </threadedComment>
  <threadedComment ref="L1363" dT="2024-01-04T00:45:18.60" personId="{8F9B98A6-8C71-46E3-B603-86CB6187929A}" id="{8653A3DF-DD95-40D3-B421-68A63E6ED6D8}">
    <text>Not budgeted.</text>
  </threadedComment>
  <threadedComment ref="P1363" dT="2024-01-04T00:45:18.60" personId="{8F9B98A6-8C71-46E3-B603-86CB6187929A}" id="{2D3ECDC0-41F0-4088-A93D-7322ED6B8AEB}">
    <text>Not budgeted.</text>
  </threadedComment>
  <threadedComment ref="A1377" dT="2024-01-26T12:43:52.10" personId="{8F9B98A6-8C71-46E3-B603-86CB6187929A}" id="{E4BA8931-39F0-4FEE-A113-5B61E7194B95}">
    <text>4 of 4 for 2023</text>
  </threadedComment>
  <threadedComment ref="U1457" dT="2024-03-26T17:07:19.48" personId="{8F9B98A6-8C71-46E3-B603-86CB6187929A}" id="{C5E05A5F-19AA-421C-B655-AE72F7FD5F8D}">
    <text>Estimate for scale.</text>
  </threadedComment>
  <threadedComment ref="U1471" dT="2024-04-03T15:47:24.87" personId="{8F9B98A6-8C71-46E3-B603-86CB6187929A}" id="{C9FF1AAC-071F-4222-BE21-73374B29F4EB}">
    <text xml:space="preserve">Estimate for scale. </text>
  </threadedComment>
  <threadedComment ref="O1561" dT="2024-05-30T00:41:46.08" personId="{8F9B98A6-8C71-46E3-B603-86CB6187929A}" id="{DE179E10-4C94-43AA-BA68-F15BCB018965}">
    <text>Avg of last 2 MCCs.</text>
  </threadedComment>
  <threadedComment ref="O1564" dT="2024-05-30T00:52:02.30" personId="{8F9B98A6-8C71-46E3-B603-86CB6187929A}" id="{52CB7F04-37E6-4DF7-B1AD-3302FDCE5AE6}">
    <text>2021 MCC 75%</text>
  </threadedComment>
  <threadedComment ref="O1575" dT="2024-06-04T19:53:22.63" personId="{8F9B98A6-8C71-46E3-B603-86CB6187929A}" id="{7C76307B-00E0-4B41-8116-AD42169602F7}">
    <text>Avg from last two is 70%. 65% &amp; 76%.</text>
  </threadedComment>
  <threadedComment ref="O1578" dT="2024-05-30T00:41:46.08" personId="{8F9B98A6-8C71-46E3-B603-86CB6187929A}" id="{BB6ACA28-628F-4E1A-B45C-BC4712D7436E}">
    <text>Last MCC 74%. Only previous, as install was 2022.</text>
  </threadedComment>
  <threadedComment ref="O1589" dT="2024-06-29T16:32:24.15" personId="{8F9B98A6-8C71-46E3-B603-86CB6187929A}" id="{5712A49B-182F-4187-9ED8-6C7B24929919}">
    <text>Previous 83%</text>
  </threadedComment>
  <threadedComment ref="O1611" dT="2024-06-29T16:45:20.43" personId="{8F9B98A6-8C71-46E3-B603-86CB6187929A}" id="{8A03FECC-200D-49CF-A2D9-45E0860B9FD6}">
    <text>Avg 76%</text>
  </threadedComment>
  <threadedComment ref="O1615" dT="2024-06-29T16:45:50.99" personId="{8F9B98A6-8C71-46E3-B603-86CB6187929A}" id="{83D9F7AB-A868-40C6-A1C4-69664A73C5CF}">
    <text>Last 82%</text>
  </threadedComment>
  <threadedComment ref="O1619" dT="2024-06-29T16:46:54.27" personId="{8F9B98A6-8C71-46E3-B603-86CB6187929A}" id="{9397D1AD-5F41-4F96-BAC5-7CE2F2DDF3DA}">
    <text>Avg 64%</text>
  </threadedComment>
  <threadedComment ref="O1623" dT="2024-06-29T16:47:26.00" personId="{8F9B98A6-8C71-46E3-B603-86CB6187929A}" id="{483D6205-134D-499E-8342-9140AADDA076}">
    <text>Avg 70%. Last two were 61 and 66%, besides one performed in conjunction with VF-10 install.</text>
  </threadedComment>
  <threadedComment ref="O1626" dT="2024-08-07T12:23:38.97" personId="{8F9B98A6-8C71-46E3-B603-86CB6187929A}" id="{C54D78B0-9974-410F-9324-A7E2E57A5CD8}">
    <text>Avg is 60%. Two were at 55%.</text>
  </threadedComment>
  <threadedComment ref="O1631" dT="2024-08-07T19:15:36.49" personId="{8F9B98A6-8C71-46E3-B603-86CB6187929A}" id="{E3002251-C3E3-4305-A618-B260172A5F2E}">
    <text>Last MCC was 88%.</text>
  </threadedComment>
  <threadedComment ref="O1640" dT="2024-08-07T19:44:15.36" personId="{8F9B98A6-8C71-46E3-B603-86CB6187929A}" id="{B8F8BE67-AA5E-4DD4-82BD-B3D549B13520}">
    <text xml:space="preserve">Last was 71%. </text>
  </threadedComment>
  <threadedComment ref="O1651" dT="2024-09-05T12:06:51.71" personId="{8F9B98A6-8C71-46E3-B603-86CB6187929A}" id="{4C3175B5-716B-45B8-8823-A1DCD1750B24}">
    <text>Avg 86%</text>
  </threadedComment>
  <threadedComment ref="O1655" dT="2024-09-05T12:06:24.55" personId="{8F9B98A6-8C71-46E3-B603-86CB6187929A}" id="{45810D44-D9C9-4AA3-9908-529A00E6313F}">
    <text>Avg 84%</text>
  </threadedComment>
  <threadedComment ref="O1658" dT="2024-09-05T12:05:06.07" personId="{8F9B98A6-8C71-46E3-B603-86CB6187929A}" id="{32867E64-4135-476D-A8C4-FA03AC9280CE}">
    <text>Previous avg 61%. 2022 was two employees and 2023 had trip cancelled adding to expenses.</text>
  </threadedComment>
  <threadedComment ref="O1661" dT="2024-09-05T11:57:18.46" personId="{8F9B98A6-8C71-46E3-B603-86CB6187929A}" id="{F597373A-A809-42AA-8F4B-DFD327F50910}">
    <text>Previous 64%. Extra day for training.</text>
  </threadedComment>
  <threadedComment ref="O1678" dT="2024-09-05T11:31:41.36" personId="{8F9B98A6-8C71-46E3-B603-86CB6187929A}" id="{DB04FA79-3B40-4500-B10A-94953B08E36A}">
    <text>Last MCC 85%. Previous was two employees. Not apples to apples.</text>
  </threadedComment>
  <threadedComment ref="O1681" dT="2024-09-05T11:32:21.35" personId="{8F9B98A6-8C71-46E3-B603-86CB6187929A}" id="{05CB54ED-C16B-445F-877C-1029520C3325}">
    <text>Last two MCC's avg 77%.</text>
  </threadedComment>
  <threadedComment ref="O1684" dT="2024-09-05T11:32:21.35" personId="{8F9B98A6-8C71-46E3-B603-86CB6187929A}" id="{D4B48A67-511F-4B7B-B124-C19A5C0130C4}">
    <text>Avg last two years 78%.</text>
  </threadedComment>
  <threadedComment ref="O1687" dT="2024-09-05T11:32:21.35" personId="{8F9B98A6-8C71-46E3-B603-86CB6187929A}" id="{90188769-B846-42EB-A498-70FEA963C84A}">
    <text>2022 80%. 2023 Skewed at 49% as it required two scale calibrations.</text>
  </threadedComment>
  <threadedComment ref="O1690" dT="2024-09-30T12:17:01.98" personId="{8F9B98A6-8C71-46E3-B603-86CB6187929A}" id="{44B9FA2F-5224-4AEE-B0CF-60D9FD57063B}">
    <text>Last two avg 79%</text>
  </threadedComment>
  <threadedComment ref="O1693" dT="2024-09-30T12:17:40.52" personId="{8F9B98A6-8C71-46E3-B603-86CB6187929A}" id="{FDCFF3F5-E0ED-4EA8-AF8C-900BFC2549BC}">
    <text>Last two avg 67%</text>
  </threadedComment>
  <threadedComment ref="O1699" dT="2024-10-01T15:56:24.82" personId="{8F9B98A6-8C71-46E3-B603-86CB6187929A}" id="{4FF61216-A37E-4841-AFD9-60D8AD4C6B86}">
    <text>Previous yr was 52% when both performed together.</text>
  </threadedComment>
  <threadedComment ref="O1706" dT="2024-10-11T15:40:29.01" personId="{8F9B98A6-8C71-46E3-B603-86CB6187929A}" id="{08257722-1F2A-46AE-A593-4DBE67DC5874}">
    <text>2023 MCC was performed by one employee, 90% margin. 2022 was two employees, 86% margin.</text>
  </threadedComment>
  <threadedComment ref="O1727" dT="2024-10-16T10:54:12.38" personId="{8F9B98A6-8C71-46E3-B603-86CB6187929A}" id="{E08B137B-FAD6-42D4-83CF-11DD9C41DAAF}">
    <text>Avg 65% for last two.</text>
  </threadedComment>
  <threadedComment ref="O1730" dT="2024-10-16T10:54:12.38" personId="{8F9B98A6-8C71-46E3-B603-86CB6187929A}" id="{FB29C4C9-F99A-4657-ADD4-38605CB83615}">
    <text>Last year 77%.</text>
  </threadedComment>
  <threadedComment ref="O1733" dT="2024-10-23T22:24:32.33" personId="{8F9B98A6-8C71-46E3-B603-86CB6187929A}" id="{F88BAD50-75BA-481A-905A-2E8DF8CA8FE6}">
    <text>1st MCC since Install</text>
  </threadedComment>
  <threadedComment ref="O1743" dT="2024-10-30T17:58:57.99" personId="{8F9B98A6-8C71-46E3-B603-86CB6187929A}" id="{1BF512BA-01EC-4446-8B06-33834EF181AE}">
    <text>Last year avg 86%.</text>
  </threadedComment>
  <threadedComment ref="O1747" dT="2024-11-05T17:16:05.89" personId="{8F9B98A6-8C71-46E3-B603-86CB6187929A}" id="{ADCF2386-5651-4735-8494-AD659DA00126}">
    <text>Avg 90% of last few.</text>
  </threadedComment>
  <threadedComment ref="O1766" dT="2024-11-05T17:16:05.89" personId="{8F9B98A6-8C71-46E3-B603-86CB6187929A}" id="{2DB99CA1-ED42-43B8-AB71-89D96BEEBA29}">
    <text>Avg 86% on last two.</text>
  </threadedComment>
  <threadedComment ref="O1770" dT="2024-12-10T14:08:34.02" personId="{8F9B98A6-8C71-46E3-B603-86CB6187929A}" id="{1063CC30-BA6A-4B8E-9FCC-1995A40DFEC4}">
    <text>Previous 82%</text>
  </threadedComment>
  <threadedComment ref="O1773" dT="2024-11-05T17:16:05.89" personId="{8F9B98A6-8C71-46E3-B603-86CB6187929A}" id="{298365EE-F92B-4554-8E84-AA04CB15A36A}">
    <text>1st MCC. New TB last year.</text>
  </threadedComment>
  <threadedComment ref="U1781" dT="2024-12-17T19:46:11.49" personId="{8F9B98A6-8C71-46E3-B603-86CB6187929A}" id="{7BD76BD5-E6FA-44A9-B4B7-BA32B280D5B5}">
    <text>Fairbanks scale $2662.28</text>
  </threadedComment>
  <threadedComment ref="O1790" dT="2024-12-10T14:08:34.02" personId="{8F9B98A6-8C71-46E3-B603-86CB6187929A}" id="{814867C5-95A0-42B7-B908-069CCB6CFA57}">
    <text>Previous 85%</text>
  </threadedComment>
  <threadedComment ref="O1794" dT="2024-12-10T14:08:34.02" personId="{8F9B98A6-8C71-46E3-B603-86CB6187929A}" id="{44233246-B79A-40CB-836A-4DAE6B36C906}">
    <text>Previous 84%.</text>
  </threadedComment>
  <threadedComment ref="O1798" dT="2024-12-10T14:08:34.02" personId="{8F9B98A6-8C71-46E3-B603-86CB6187929A}" id="{79C5D42D-5DBD-46AD-81E0-0A0BEC7AB419}">
    <text xml:space="preserve">Previous 75%. </text>
  </threadedComment>
  <threadedComment ref="O1809" dT="2025-02-04T13:21:12.51" personId="{8F9B98A6-8C71-46E3-B603-86CB6187929A}" id="{8383B950-E4CD-44D2-BEA5-ADF9E076A57F}">
    <text>2024 Avg 71%. Ref MCC Margin Analysis Tab.</text>
  </threadedComment>
  <threadedComment ref="O1812" dT="2025-02-04T13:21:46.15" personId="{8F9B98A6-8C71-46E3-B603-86CB6187929A}" id="{A65EE8D4-6B64-417E-965E-5AABF1434770}">
    <text>1st MCC since install.</text>
  </threadedComment>
</ThreadedComments>
</file>

<file path=xl/threadedComments/threadedComment2.xml><?xml version="1.0" encoding="utf-8"?>
<ThreadedComments xmlns="http://schemas.microsoft.com/office/spreadsheetml/2018/threadedcomments" xmlns:x="http://schemas.openxmlformats.org/spreadsheetml/2006/main">
  <threadedComment ref="C45" dT="2025-09-19T13:57:51.12" personId="{8F9B98A6-8C71-46E3-B603-86CB6187929A}" id="{CA07B062-2D89-4648-9B9B-4A0BBD4E8B45}">
    <text>2020 Rev. Performed after COVID?</text>
  </threadedComment>
  <threadedComment ref="B1257" dT="2024-01-05T18:34:26.56" personId="{8F9B98A6-8C71-46E3-B603-86CB6187929A}" id="{E4538B4E-003F-45FD-BA69-9880CF73FD89}">
    <text>Return Visit to complete.</text>
  </threadedComment>
  <threadedComment ref="B1383" dT="2024-01-26T12:43:52.10" personId="{8F9B98A6-8C71-46E3-B603-86CB6187929A}" id="{351D9CA4-2D06-4332-ABCE-9A72858ABC7D}">
    <text>4 of 4 for 2023</text>
  </threadedComment>
</ThreadedComments>
</file>

<file path=xl/threadedComments/threadedComment3.xml><?xml version="1.0" encoding="utf-8"?>
<ThreadedComments xmlns="http://schemas.microsoft.com/office/spreadsheetml/2018/threadedcomments" xmlns:x="http://schemas.openxmlformats.org/spreadsheetml/2006/main">
  <threadedComment ref="D8" dT="2024-12-22T19:45:05.34" personId="{8F9B98A6-8C71-46E3-B603-86CB6187929A}" id="{890E6FAD-327B-46BD-8D63-0DC4C3EFD4F5}">
    <text>Shows sum of 2021 &amp; 22 on rev provided by JoDi.</text>
  </threadedComment>
  <threadedComment ref="J22" dT="2024-12-22T16:10:30.82" personId="{8F9B98A6-8C71-46E3-B603-86CB6187929A}" id="{09FC6CA6-AE0B-4E1B-8A05-6356BCD18A07}">
    <text>Goodwill Disc. Did not hit proper account to offset $59 for freight.</text>
  </threadedComment>
  <threadedComment ref="J40" dT="2024-12-22T16:05:23.73" personId="{8F9B98A6-8C71-46E3-B603-86CB6187929A}" id="{AA995294-8871-4A82-90E2-8DBEAC471F5D}">
    <text>M3IU - JE to record SW reinstall rev.</text>
  </threadedComment>
  <threadedComment ref="O51" dT="2024-12-22T16:28:16.85" personId="{8F9B98A6-8C71-46E3-B603-86CB6187929A}" id="{2EFAA541-7BE7-4E7C-B849-066B96589E6D}">
    <text xml:space="preserve">Prom Discount used - Not offsetting proper GL. SERV 4072.
</text>
  </threadedComment>
  <threadedComment ref="J52" dT="2024-12-22T19:30:42.32" personId="{8F9B98A6-8C71-46E3-B603-86CB6187929A}" id="{9AF5DE37-2460-4508-BAB5-49FF655324D8}">
    <text>No MCC performed to prove rev.</text>
  </threadedComment>
  <threadedComment ref="P64" dT="2024-12-22T19:05:50.85" personId="{8F9B98A6-8C71-46E3-B603-86CB6187929A}" id="{DA098D87-3C0B-48C9-B54A-F4FDD481D56B}">
    <text>Coded in NS as Upgrade, but should be New. 4041.</text>
  </threadedComment>
  <threadedComment ref="J77" dT="2024-12-22T16:21:13.55" personId="{8F9B98A6-8C71-46E3-B603-86CB6187929A}" id="{ECDBAB17-AADE-40B8-88AC-1E9662A124D4}">
    <text>Promotional Disc not offsetting correct GL.  Serv Call 4072.</text>
  </threadedComment>
  <threadedComment ref="J90" dT="2024-12-22T15:58:45.87" personId="{8F9B98A6-8C71-46E3-B603-86CB6187929A}" id="{7CB19774-19D4-4125-BA63-735D2D728EA3}">
    <text>No offsetting discount line. Should be $0.</text>
  </threadedComment>
  <threadedComment ref="P90" dT="2024-12-22T19:10:25.61" personId="{8F9B98A6-8C71-46E3-B603-86CB6187929A}" id="{7432E136-42D4-453E-B174-C3DD1DD4DE56}">
    <text xml:space="preserve">JE1347 correct disc and reallocate.
</text>
  </threadedComment>
  <threadedComment ref="J93" dT="2024-12-22T19:33:27.98" personId="{8F9B98A6-8C71-46E3-B603-86CB6187929A}" id="{976A9CAF-E22B-499B-A6A9-F4818D6A0F3D}">
    <text>No MCC performed to prove rev.</text>
  </threadedComment>
</ThreadedComments>
</file>

<file path=xl/threadedComments/threadedComment4.xml><?xml version="1.0" encoding="utf-8"?>
<ThreadedComments xmlns="http://schemas.microsoft.com/office/spreadsheetml/2018/threadedcomments" xmlns:x="http://schemas.openxmlformats.org/spreadsheetml/2006/main">
  <threadedComment ref="H48" dT="2021-03-30T19:36:30.55" personId="{8F9B98A6-8C71-46E3-B603-86CB6187929A}" id="{8ACD7B21-A55B-4063-87B3-F9C97840C367}">
    <text>0 qty shipped or invoiced</text>
  </threadedComment>
  <threadedComment ref="H52" dT="2021-03-30T19:36:44.10" personId="{8F9B98A6-8C71-46E3-B603-86CB6187929A}" id="{DA8B6E05-5CE3-414B-B1E6-31D6A5DEF2AA}">
    <text>0 qty shipped or invoiced</text>
  </threadedComment>
  <threadedComment ref="H54" dT="2021-03-30T19:37:19.51" personId="{8F9B98A6-8C71-46E3-B603-86CB6187929A}" id="{C18B59EE-497F-4B48-B136-ADDBBC6232EC}">
    <text>0 qty shipped or invoiced</text>
  </threadedComment>
  <threadedComment ref="H55" dT="2021-03-30T19:37:34.82" personId="{8F9B98A6-8C71-46E3-B603-86CB6187929A}" id="{CE456A0A-C596-49B2-8DBF-ED5CA03FA4B2}">
    <text>0 qty shipped or invoiced</text>
  </threadedComment>
  <threadedComment ref="H56" dT="2021-03-30T19:37:47.44" personId="{8F9B98A6-8C71-46E3-B603-86CB6187929A}" id="{78832981-B316-4534-874F-FA7760138A4D}">
    <text>0 qty shipped or invoiced</text>
  </threadedComment>
  <threadedComment ref="H57" dT="2021-03-30T19:37:59.65" personId="{8F9B98A6-8C71-46E3-B603-86CB6187929A}" id="{3A21939D-774E-49E3-9E3A-7C402E3F6C56}">
    <text>0 qty shipped or invoiced</text>
  </threadedComment>
  <threadedComment ref="H60" dT="2021-03-30T19:36:04.60" personId="{8F9B98A6-8C71-46E3-B603-86CB6187929A}" id="{0C647C90-4A4F-4243-9D31-AF432DAE4DA9}">
    <text>Does not show qty shipped or unit cost on AR invoice history report</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marscompany.sharepoint.com/sites/Finance/Shared%20Documents/Accounting/12%20-%20Inventory/TB%20Audit%20Monthly%20Report/Austin%20(Year%204%20of%205)" TargetMode="External"/><Relationship Id="rId18" Type="http://schemas.openxmlformats.org/officeDocument/2006/relationships/hyperlink" Target="https://marscompany.sharepoint.com/sites/Finance/Shared%20Documents/Accounting/12%20-%20Inventory/TB%20Audit%20Monthly%20Report/Trenton%20(Year%201%20of%204)" TargetMode="External"/><Relationship Id="rId26" Type="http://schemas.openxmlformats.org/officeDocument/2006/relationships/hyperlink" Target="https://marscompany.sharepoint.com/sites/Finance/Shared%20Documents/Accounting/12%20-%20Inventory/TB%20Audit%20Monthly%20Report/Seattle%20Console%20Upgrade%20&amp;%20MCC" TargetMode="External"/><Relationship Id="rId39" Type="http://schemas.openxmlformats.org/officeDocument/2006/relationships/hyperlink" Target="https://marscompany.sharepoint.com/sites/Finance/Shared%20Documents/Accounting/12%20-%20Inventory/TB%20Audit%20Monthly%20Report/LADWP%20(Year%201%20of%203)%202025" TargetMode="External"/><Relationship Id="rId21" Type="http://schemas.openxmlformats.org/officeDocument/2006/relationships/hyperlink" Target="https://marscompany.sharepoint.com/sites/Finance/Shared%20Documents/Accounting/12%20-%20Inventory/TB%20Audit%20Monthly%20Report/Aqua%20Penn%20(Year%203%20of%205)" TargetMode="External"/><Relationship Id="rId34" Type="http://schemas.openxmlformats.org/officeDocument/2006/relationships/hyperlink" Target="https://marscompany.sharepoint.com/sites/Finance/Shared%20Documents/Accounting/12%20-%20Inventory/TB%20Audit%20Monthly%20Report/Boston%20(Year%203%20of%205)" TargetMode="External"/><Relationship Id="rId42" Type="http://schemas.openxmlformats.org/officeDocument/2006/relationships/printerSettings" Target="../printerSettings/printerSettings1.bin"/><Relationship Id="rId7" Type="http://schemas.openxmlformats.org/officeDocument/2006/relationships/hyperlink" Target="https://marscompany.sharepoint.com/sites/Finance/Shared%20Documents/Accounting/12%20-%20Inventory/TB%20Audit%20Monthly%20Report/Alameda%20(Year%205%20of%205)" TargetMode="External"/><Relationship Id="rId2" Type="http://schemas.openxmlformats.org/officeDocument/2006/relationships/hyperlink" Target="https://3850636.app.netsuite.com/app/common/item/item.nl?id=4273" TargetMode="External"/><Relationship Id="rId16" Type="http://schemas.openxmlformats.org/officeDocument/2006/relationships/hyperlink" Target="https://marscompany.sharepoint.com/sites/Finance/Shared%20Documents/Accounting/12%20-%20Inventory/TB%20Audit%20Monthly%20Report/Highland%20Village%202025" TargetMode="External"/><Relationship Id="rId29" Type="http://schemas.openxmlformats.org/officeDocument/2006/relationships/hyperlink" Target="https://marscompany.sharepoint.com/sites/Finance/Shared%20Documents/Accounting/12%20-%20Inventory/TB%20Audit%20Monthly%20Report/Phoenix%20(Year%204%20of%207)" TargetMode="External"/><Relationship Id="rId1" Type="http://schemas.openxmlformats.org/officeDocument/2006/relationships/hyperlink" Target="https://3850636.app.netsuite.com/app/common/item/item.nl?id=4272" TargetMode="External"/><Relationship Id="rId6" Type="http://schemas.openxmlformats.org/officeDocument/2006/relationships/hyperlink" Target="https://marscompany.sharepoint.com/sites/Finance/Shared%20Documents/Accounting/12%20-%20Inventory/TB%20Audit%20Monthly%20Report/Penn%20State%20(Year%203%20of%205)" TargetMode="External"/><Relationship Id="rId11" Type="http://schemas.openxmlformats.org/officeDocument/2006/relationships/hyperlink" Target="https://marscompany.sharepoint.com/sites/Finance/Shared%20Documents/Accounting/12%20-%20Inventory/TB%20Audit%20Monthly%20Report/Detroit%20(Year%201%20of%205)" TargetMode="External"/><Relationship Id="rId24" Type="http://schemas.openxmlformats.org/officeDocument/2006/relationships/hyperlink" Target="https://3850636.app.netsuite.com/app/common/search/searchresults.nl?searchtype=Transaction&amp;CF_Transaction_APPLIEDTOTRANSACTIONtype=ANYOF&amp;CF_Transaction_APPLIEDTOTRANSACTION=1109587&amp;detail=CF_Transaction_APPLIEDTOTRANSACTION&amp;detailname=Sales+Order+%23SO7449" TargetMode="External"/><Relationship Id="rId32" Type="http://schemas.openxmlformats.org/officeDocument/2006/relationships/hyperlink" Target="https://marscompany.sharepoint.com/sites/Finance/Shared%20Documents/Accounting/12%20-%20Inventory/TB%20Audit%20Monthly%20Report/1010+M3+Recirc%202022%20-%20Emerald%20Coast%20FL%20-%20EQUIPMENT%20ONLY" TargetMode="External"/><Relationship Id="rId37" Type="http://schemas.openxmlformats.org/officeDocument/2006/relationships/hyperlink" Target="https://marscompany.sharepoint.com/sites/Finance/Shared%20Documents/Accounting/12%20-%20Inventory/TB%20Audit%20Monthly%20Report/Miami%202025" TargetMode="External"/><Relationship Id="rId40" Type="http://schemas.openxmlformats.org/officeDocument/2006/relationships/hyperlink" Target="https://marscompany.sharepoint.com/sites/Finance/Shared%20Documents/Accounting/12%20-%20Inventory/TB%20Audit%20Monthly%20Report/LADWP%20(Year%201%20of%203)%202025" TargetMode="External"/><Relationship Id="rId45" Type="http://schemas.microsoft.com/office/2017/10/relationships/threadedComment" Target="../threadedComments/threadedComment1.xml"/><Relationship Id="rId5" Type="http://schemas.openxmlformats.org/officeDocument/2006/relationships/hyperlink" Target="https://3850636.app.netsuite.com/app/common/item/item.nl?id=4275" TargetMode="External"/><Relationship Id="rId15" Type="http://schemas.openxmlformats.org/officeDocument/2006/relationships/hyperlink" Target="https://marscompany.sharepoint.com/sites/Finance/Shared%20Documents/Accounting/12%20-%20Inventory/TB%20Audit%20Monthly%20Report/Victoria%202025" TargetMode="External"/><Relationship Id="rId23" Type="http://schemas.openxmlformats.org/officeDocument/2006/relationships/hyperlink" Target="https://3850636.app.netsuite.com/app/common/search/searchresults.nl?searchtype=Transaction&amp;CF_Transaction_APPLIEDTOTRANSACTIONtype=ANYOF&amp;CF_Transaction_APPLIEDTOTRANSACTION=1109587&amp;detail=CF_Transaction_APPLIEDTOTRANSACTION&amp;detailname=Sales+Order+%23SO7449" TargetMode="External"/><Relationship Id="rId28" Type="http://schemas.openxmlformats.org/officeDocument/2006/relationships/hyperlink" Target="https://marscompany.sharepoint.com/sites/Finance/Shared%20Documents/Accounting/12%20-%20Inventory/TB%20Audit%20Monthly%20Report/MDC%20Year%203%20of%205)" TargetMode="External"/><Relationship Id="rId36" Type="http://schemas.openxmlformats.org/officeDocument/2006/relationships/hyperlink" Target="https://marscompany.sharepoint.com/sites/Finance/Shared%20Documents/Accounting/12%20-%20Inventory/TB%20Audit%20Monthly%20Report/Sarasota%20VF-10" TargetMode="External"/><Relationship Id="rId10" Type="http://schemas.openxmlformats.org/officeDocument/2006/relationships/hyperlink" Target="https://marscompany.sharepoint.com/sites/Finance/Shared%20Documents/Accounting/12%20-%20Inventory/TB%20Audit%20Monthly%20Report/San%20Diego%20(Year%202%20of%205)" TargetMode="External"/><Relationship Id="rId19" Type="http://schemas.openxmlformats.org/officeDocument/2006/relationships/hyperlink" Target="https://marscompany.sharepoint.com/sites/Finance/Shared%20Documents/Accounting/12%20-%20Inventory/TB%20Audit%20Monthly%20Report/Newport%20News%20(Year%204%20of%205)" TargetMode="External"/><Relationship Id="rId31" Type="http://schemas.openxmlformats.org/officeDocument/2006/relationships/hyperlink" Target="https://marscompany.sharepoint.com/sites/Finance/Shared%20Documents/Accounting/12%20-%20Inventory/TB%20Audit%20Monthly%20Report/1010+M3+Recirc%202025%20-%20Emerald%20Coast%20FL%20-%20INSTALL" TargetMode="External"/><Relationship Id="rId44" Type="http://schemas.openxmlformats.org/officeDocument/2006/relationships/comments" Target="../comments1.xml"/><Relationship Id="rId4" Type="http://schemas.openxmlformats.org/officeDocument/2006/relationships/hyperlink" Target="https://3850636.app.netsuite.com/app/common/item/item.nl?id=4274" TargetMode="External"/><Relationship Id="rId9" Type="http://schemas.openxmlformats.org/officeDocument/2006/relationships/hyperlink" Target="https://marscompany.sharepoint.com/sites/Finance/Shared%20Documents/Accounting/12%20-%20Inventory/TB%20Audit%20Monthly%20Report/WSSC%20(Year%201%20of%202)" TargetMode="External"/><Relationship Id="rId14" Type="http://schemas.openxmlformats.org/officeDocument/2006/relationships/hyperlink" Target="https://marscompany.sharepoint.com/sites/Finance/Shared%20Documents/Accounting/12%20-%20Inventory/TB%20Audit%20Monthly%20Report/Dallas%202400%20Repair" TargetMode="External"/><Relationship Id="rId22" Type="http://schemas.openxmlformats.org/officeDocument/2006/relationships/hyperlink" Target="https://marscompany.sharepoint.com/sites/Finance/Shared%20Documents/Accounting/12%20-%20Inventory/TB%20Audit%20Monthly%20Report/Dallas%2010000%20Upgrade" TargetMode="External"/><Relationship Id="rId27" Type="http://schemas.openxmlformats.org/officeDocument/2006/relationships/hyperlink" Target="https://marscompany.sharepoint.com/sites/Finance/Shared%20Documents/Accounting/12%20-%20Inventory/TB%20Audit%20Monthly%20Report/CD%252525252522A%20(Year%201%20of%205)" TargetMode="External"/><Relationship Id="rId30" Type="http://schemas.openxmlformats.org/officeDocument/2006/relationships/hyperlink" Target="https://marscompany.sharepoint.com/sites/Finance/Shared%20Documents/Accounting/12%20-%20Inventory/TB%20Audit%20Monthly%20Report/Polk%20Co.%20(Year%202%20of%205)" TargetMode="External"/><Relationship Id="rId35" Type="http://schemas.openxmlformats.org/officeDocument/2006/relationships/hyperlink" Target="https://marscompany.sharepoint.com/sites/Finance/Shared%20Documents/Accounting/12%20-%20Inventory/TB%20Audit%20Monthly%20Report/6-1200%20Console%20Upgrade%20+%20LB%20Console%20Upgrade%20+M3%202025%20Boston" TargetMode="External"/><Relationship Id="rId43" Type="http://schemas.openxmlformats.org/officeDocument/2006/relationships/vmlDrawing" Target="../drawings/vmlDrawing1.vml"/><Relationship Id="rId8" Type="http://schemas.openxmlformats.org/officeDocument/2006/relationships/hyperlink" Target="https://marscompany.sharepoint.com/sites/Finance/Shared%20Documents/Accounting/12%20-%20Inventory/TB%20Audit%20Monthly%20Report/EBMUD%20(Year%205%20of%205)" TargetMode="External"/><Relationship Id="rId3" Type="http://schemas.openxmlformats.org/officeDocument/2006/relationships/hyperlink" Target="https://3850636.app.netsuite.com/app/common/item/item.nl?id=4274" TargetMode="External"/><Relationship Id="rId12" Type="http://schemas.openxmlformats.org/officeDocument/2006/relationships/hyperlink" Target="https://marscompany.sharepoint.com/sites/Finance/Shared%20Documents/Accounting/12%20-%20Inventory/TB%20Audit%20Monthly%20Report/Rochester%20Hills%20(Year%205%20of%205)" TargetMode="External"/><Relationship Id="rId17" Type="http://schemas.openxmlformats.org/officeDocument/2006/relationships/hyperlink" Target="https://marscompany.sharepoint.com/sites/Finance/Shared%20Documents/Accounting/12%20-%20Inventory/TB%20Audit%20Monthly%20Report/Tallahassee%20(Year%203%20of%205)" TargetMode="External"/><Relationship Id="rId25" Type="http://schemas.openxmlformats.org/officeDocument/2006/relationships/hyperlink" Target="https://3850636.app.netsuite.com/app/common/search/searchresults.nl?searchtype=Transaction&amp;CF_Transaction_APPLIEDTOTRANSACTIONtype=ANYOF&amp;CF_Transaction_APPLIEDTOTRANSACTION=1109587&amp;detail=CF_Transaction_APPLIEDTOTRANSACTION&amp;detailname=Sales+Order+%23SO7449" TargetMode="External"/><Relationship Id="rId33" Type="http://schemas.openxmlformats.org/officeDocument/2006/relationships/hyperlink" Target="https://marscompany.sharepoint.com/sites/Finance/Shared%20Documents/Accounting/12%20-%20Inventory/TB%20Audit%20Monthly%20Report/Series%203-500%20/%20M3%20/%20ULF%20/%20Recirc%20-%202025%20-%20Casper" TargetMode="External"/><Relationship Id="rId38" Type="http://schemas.openxmlformats.org/officeDocument/2006/relationships/hyperlink" Target="https://marscompany.sharepoint.com/sites/Finance/Shared%20Documents/Accounting/12%20-%20Inventory/TB%20Audit%20Monthly%20Report/San%20Diego%20(Year%202%20of%205)%202025" TargetMode="External"/><Relationship Id="rId20" Type="http://schemas.openxmlformats.org/officeDocument/2006/relationships/hyperlink" Target="https://marscompany.sharepoint.com/sites/Finance/Shared%20Documents/Accounting/12%20-%20Inventory/TB%20Audit%20Monthly%20Report/Sarasota%20(Year%202%20of%205)" TargetMode="External"/><Relationship Id="rId41" Type="http://schemas.openxmlformats.org/officeDocument/2006/relationships/hyperlink" Target="https://marscompany.sharepoint.com/sites/Finance/Shared%20Documents/Accounting/12%20-%20Inventory/TB%20Audit%20Monthly%20Report/Chicago%202025" TargetMode="Externa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D1DA5-AD56-4A3E-AE38-8640A2BE5AB9}">
  <sheetPr>
    <tabColor rgb="FF00B0F0"/>
    <pageSetUpPr fitToPage="1"/>
  </sheetPr>
  <dimension ref="A1:XFB3030"/>
  <sheetViews>
    <sheetView tabSelected="1" zoomScaleNormal="100" workbookViewId="0">
      <pane xSplit="11" ySplit="4" topLeftCell="L2193" activePane="bottomRight" state="frozen"/>
      <selection pane="topRight" activeCell="H1" sqref="H1"/>
      <selection pane="bottomLeft" activeCell="A10" sqref="A10"/>
      <selection pane="bottomRight" activeCell="T2262" sqref="T2262"/>
    </sheetView>
  </sheetViews>
  <sheetFormatPr baseColWidth="10" defaultColWidth="8.5" defaultRowHeight="11.25" customHeight="1" outlineLevelRow="1" outlineLevelCol="1" x14ac:dyDescent="0.15"/>
  <cols>
    <col min="1" max="1" width="21.5" style="53" bestFit="1" customWidth="1"/>
    <col min="2" max="2" width="23.5" style="53" bestFit="1" customWidth="1"/>
    <col min="3" max="3" width="13.83203125" style="2" bestFit="1" customWidth="1"/>
    <col min="4" max="4" width="7.83203125" style="2" customWidth="1"/>
    <col min="5" max="5" width="14" style="274" customWidth="1"/>
    <col min="6" max="6" width="12.5" style="2" hidden="1" customWidth="1" outlineLevel="1"/>
    <col min="7" max="10" width="13.1640625" style="2" hidden="1" customWidth="1" outlineLevel="1"/>
    <col min="11" max="11" width="58.5" style="107" hidden="1" customWidth="1" outlineLevel="1"/>
    <col min="12" max="12" width="16.5" style="47" customWidth="1" collapsed="1"/>
    <col min="13" max="14" width="13.5" style="47" customWidth="1"/>
    <col min="15" max="15" width="12.5" style="46" customWidth="1"/>
    <col min="16" max="16" width="17.5" style="5" customWidth="1"/>
    <col min="17" max="17" width="9.6640625" style="2" hidden="1" customWidth="1" outlineLevel="1"/>
    <col min="18" max="18" width="11.5" style="5" hidden="1" customWidth="1" outlineLevel="1"/>
    <col min="19" max="19" width="12.5" style="5" hidden="1" customWidth="1" outlineLevel="1"/>
    <col min="20" max="20" width="11" style="5" hidden="1" customWidth="1" outlineLevel="1"/>
    <col min="21" max="21" width="9.5" style="5" hidden="1" customWidth="1" outlineLevel="1"/>
    <col min="22" max="22" width="10.5" style="5" hidden="1" customWidth="1" outlineLevel="1"/>
    <col min="23" max="23" width="13.1640625" style="26" customWidth="1" collapsed="1"/>
    <col min="24" max="24" width="18.1640625" style="8" hidden="1" customWidth="1" outlineLevel="1"/>
    <col min="25" max="25" width="16.1640625" style="46" hidden="1" customWidth="1" outlineLevel="1"/>
    <col min="26" max="26" width="14.6640625" style="5" bestFit="1" customWidth="1" collapsed="1"/>
    <col min="27" max="27" width="14.6640625" style="46" bestFit="1" customWidth="1"/>
    <col min="28" max="28" width="9.83203125" style="47" bestFit="1" customWidth="1"/>
    <col min="29" max="29" width="10.1640625" style="46" bestFit="1" customWidth="1"/>
    <col min="30" max="30" width="93.33203125" style="3" customWidth="1"/>
    <col min="31" max="32" width="8.5" style="3"/>
    <col min="33" max="33" width="11.1640625" style="6" bestFit="1" customWidth="1"/>
    <col min="34" max="34" width="9.1640625" style="3" bestFit="1" customWidth="1"/>
    <col min="35" max="16384" width="8.5" style="3"/>
  </cols>
  <sheetData>
    <row r="1" spans="1:33" ht="11.25" customHeight="1" thickBot="1" x14ac:dyDescent="0.2">
      <c r="A1" s="317" t="s">
        <v>0</v>
      </c>
      <c r="B1" s="54"/>
      <c r="C1" s="111"/>
      <c r="D1" s="111"/>
      <c r="E1" s="146"/>
      <c r="F1" s="111"/>
      <c r="G1" s="111"/>
      <c r="H1" s="111"/>
      <c r="I1" s="111"/>
      <c r="J1" s="111"/>
      <c r="K1" s="112"/>
      <c r="L1" s="120"/>
      <c r="M1" s="120"/>
      <c r="N1" s="120"/>
      <c r="O1" s="119"/>
      <c r="P1" s="117"/>
      <c r="Q1" s="111"/>
      <c r="R1" s="117"/>
      <c r="S1" s="117"/>
      <c r="T1" s="117"/>
      <c r="U1" s="117"/>
      <c r="V1" s="117"/>
      <c r="X1" s="118"/>
      <c r="Y1" s="119"/>
      <c r="Z1" s="117"/>
      <c r="AA1" s="119"/>
      <c r="AB1" s="120"/>
      <c r="AC1" s="119"/>
      <c r="AD1" s="110"/>
      <c r="AE1" s="110"/>
      <c r="AF1" s="110"/>
      <c r="AG1" s="121"/>
    </row>
    <row r="2" spans="1:33" ht="11.25" customHeight="1" thickBot="1" x14ac:dyDescent="0.2">
      <c r="C2" s="111"/>
      <c r="D2" s="111"/>
      <c r="E2" s="146"/>
      <c r="F2" s="111"/>
      <c r="G2" s="111"/>
      <c r="H2" s="111"/>
      <c r="I2" s="111"/>
      <c r="J2" s="111"/>
      <c r="K2" s="112"/>
      <c r="L2" s="251" t="s">
        <v>1</v>
      </c>
      <c r="M2" s="252"/>
      <c r="N2" s="253"/>
      <c r="O2" s="119"/>
      <c r="P2" s="257" t="s">
        <v>2</v>
      </c>
      <c r="Q2" s="258"/>
      <c r="R2" s="259"/>
      <c r="S2" s="259"/>
      <c r="T2" s="259"/>
      <c r="U2" s="259"/>
      <c r="V2" s="259"/>
      <c r="W2" s="260"/>
      <c r="X2" s="261"/>
      <c r="Y2" s="262"/>
      <c r="Z2" s="259"/>
      <c r="AA2" s="263"/>
      <c r="AB2" s="120"/>
      <c r="AC2" s="119"/>
      <c r="AD2" s="110"/>
      <c r="AE2" s="110"/>
      <c r="AF2" s="110"/>
      <c r="AG2" s="121"/>
    </row>
    <row r="3" spans="1:33" ht="11.25" customHeight="1" thickBot="1" x14ac:dyDescent="0.2">
      <c r="C3" s="111"/>
      <c r="D3" s="111"/>
      <c r="E3" s="146"/>
      <c r="F3" s="111"/>
      <c r="G3" s="111"/>
      <c r="H3" s="111"/>
      <c r="I3" s="111"/>
      <c r="J3" s="111"/>
      <c r="K3" s="112"/>
      <c r="L3" s="254" t="s">
        <v>3</v>
      </c>
      <c r="M3" s="255" t="s">
        <v>4</v>
      </c>
      <c r="N3" s="256" t="s">
        <v>5</v>
      </c>
      <c r="O3" s="119"/>
      <c r="P3" s="264" t="s">
        <v>3</v>
      </c>
      <c r="Q3" s="265" t="s">
        <v>4</v>
      </c>
      <c r="R3" s="266"/>
      <c r="S3" s="266"/>
      <c r="T3" s="266"/>
      <c r="U3" s="266"/>
      <c r="V3" s="266"/>
      <c r="W3" s="267" t="s">
        <v>4</v>
      </c>
      <c r="X3" s="268"/>
      <c r="Y3" s="269"/>
      <c r="Z3" s="270" t="s">
        <v>5</v>
      </c>
      <c r="AA3" s="271"/>
      <c r="AB3" s="120"/>
      <c r="AC3" s="119"/>
      <c r="AD3" s="110"/>
      <c r="AE3" s="110"/>
      <c r="AF3" s="110"/>
      <c r="AG3" s="121"/>
    </row>
    <row r="4" spans="1:33" s="13" customFormat="1" ht="11.25" customHeight="1" x14ac:dyDescent="0.15">
      <c r="A4" s="9" t="s">
        <v>6</v>
      </c>
      <c r="B4" s="9" t="s">
        <v>7</v>
      </c>
      <c r="C4" s="9" t="s">
        <v>8</v>
      </c>
      <c r="D4" s="9" t="s">
        <v>9</v>
      </c>
      <c r="E4" s="272" t="s">
        <v>10</v>
      </c>
      <c r="F4" s="9" t="s">
        <v>11</v>
      </c>
      <c r="G4" s="9" t="s">
        <v>12</v>
      </c>
      <c r="H4" s="9" t="s">
        <v>13</v>
      </c>
      <c r="I4" s="9" t="s">
        <v>14</v>
      </c>
      <c r="J4" s="9" t="s">
        <v>15</v>
      </c>
      <c r="K4" s="102" t="s">
        <v>16</v>
      </c>
      <c r="L4" s="10" t="s">
        <v>17</v>
      </c>
      <c r="M4" s="10" t="s">
        <v>18</v>
      </c>
      <c r="N4" s="10" t="s">
        <v>19</v>
      </c>
      <c r="O4" s="44" t="s">
        <v>20</v>
      </c>
      <c r="P4" s="10" t="s">
        <v>21</v>
      </c>
      <c r="Q4" s="9" t="s">
        <v>22</v>
      </c>
      <c r="R4" s="10" t="s">
        <v>23</v>
      </c>
      <c r="S4" s="10" t="s">
        <v>24</v>
      </c>
      <c r="T4" s="10" t="s">
        <v>25</v>
      </c>
      <c r="U4" s="10" t="s">
        <v>26</v>
      </c>
      <c r="V4" s="10" t="s">
        <v>27</v>
      </c>
      <c r="W4" s="10" t="s">
        <v>28</v>
      </c>
      <c r="X4" s="12" t="s">
        <v>29</v>
      </c>
      <c r="Y4" s="44" t="s">
        <v>30</v>
      </c>
      <c r="Z4" s="10" t="s">
        <v>31</v>
      </c>
      <c r="AA4" s="44" t="s">
        <v>32</v>
      </c>
      <c r="AB4" s="247" t="s">
        <v>33</v>
      </c>
      <c r="AC4" s="248" t="s">
        <v>34</v>
      </c>
      <c r="AD4" s="10" t="s">
        <v>35</v>
      </c>
      <c r="AG4" s="14"/>
    </row>
    <row r="5" spans="1:33" ht="11.25" customHeight="1" outlineLevel="1" x14ac:dyDescent="0.15">
      <c r="A5" s="110" t="s">
        <v>36</v>
      </c>
      <c r="B5" s="110"/>
      <c r="C5" s="111" t="s">
        <v>37</v>
      </c>
      <c r="D5" s="111">
        <v>2020</v>
      </c>
      <c r="E5" s="146">
        <v>43889</v>
      </c>
      <c r="F5" s="17">
        <v>160107</v>
      </c>
      <c r="G5" s="111" t="s">
        <v>38</v>
      </c>
      <c r="H5" s="111"/>
      <c r="I5" s="111">
        <v>1</v>
      </c>
      <c r="J5" s="111" t="s">
        <v>39</v>
      </c>
      <c r="K5" s="112" t="s">
        <v>40</v>
      </c>
      <c r="L5" s="120">
        <f>285779-1</f>
        <v>285778</v>
      </c>
      <c r="M5" s="120">
        <f t="shared" ref="M5:M12" si="0">L5*(1-O5)</f>
        <v>128600.09999999999</v>
      </c>
      <c r="N5" s="120">
        <f t="shared" ref="N5:N12" si="1">L5-M5</f>
        <v>157177.90000000002</v>
      </c>
      <c r="O5" s="119">
        <f>1-0.45</f>
        <v>0.55000000000000004</v>
      </c>
      <c r="P5" s="117">
        <v>100126.28</v>
      </c>
      <c r="Q5" s="111">
        <v>554</v>
      </c>
      <c r="R5" s="117">
        <f>29.5+19.5</f>
        <v>49</v>
      </c>
      <c r="S5" s="117">
        <f>1203.26+509.4</f>
        <v>1712.6599999999999</v>
      </c>
      <c r="T5" s="117">
        <v>0</v>
      </c>
      <c r="U5" s="117">
        <v>22484.52</v>
      </c>
      <c r="V5" s="117"/>
      <c r="W5" s="26">
        <f t="shared" ref="W5:W12" si="2">SUM(S5:V5)</f>
        <v>24197.18</v>
      </c>
      <c r="X5" s="118">
        <f t="shared" ref="X5:X17" si="3">IFERROR(S5/R5,"")</f>
        <v>34.952244897959183</v>
      </c>
      <c r="Y5" s="119">
        <f t="shared" ref="Y5:Y12" si="4">U5/P5</f>
        <v>0.22456162358174098</v>
      </c>
      <c r="Z5" s="117">
        <f t="shared" ref="Z5:Z12" si="5">P5-W5</f>
        <v>75929.100000000006</v>
      </c>
      <c r="AA5" s="119">
        <f t="shared" ref="AA5:AA12" si="6">Z5/P5</f>
        <v>0.75833337661201439</v>
      </c>
      <c r="AB5" s="120"/>
      <c r="AC5" s="119"/>
      <c r="AD5" s="117"/>
      <c r="AE5" s="110"/>
      <c r="AF5" s="110"/>
      <c r="AG5" s="121"/>
    </row>
    <row r="6" spans="1:33" ht="11.25" customHeight="1" outlineLevel="1" x14ac:dyDescent="0.15">
      <c r="A6" s="110" t="s">
        <v>36</v>
      </c>
      <c r="B6" s="110"/>
      <c r="C6" s="111" t="s">
        <v>37</v>
      </c>
      <c r="D6" s="111">
        <v>2020</v>
      </c>
      <c r="E6" s="146">
        <v>43889</v>
      </c>
      <c r="F6" s="17">
        <v>160107</v>
      </c>
      <c r="G6" s="111" t="s">
        <v>41</v>
      </c>
      <c r="H6" s="111"/>
      <c r="I6" s="111">
        <v>1</v>
      </c>
      <c r="J6" s="111" t="s">
        <v>39</v>
      </c>
      <c r="K6" s="112" t="s">
        <v>42</v>
      </c>
      <c r="L6" s="120">
        <v>0</v>
      </c>
      <c r="M6" s="120">
        <f t="shared" si="0"/>
        <v>0</v>
      </c>
      <c r="N6" s="120">
        <f t="shared" si="1"/>
        <v>0</v>
      </c>
      <c r="O6" s="119">
        <f>1-0.45</f>
        <v>0.55000000000000004</v>
      </c>
      <c r="P6" s="117">
        <v>126153.56</v>
      </c>
      <c r="Q6" s="111">
        <v>731</v>
      </c>
      <c r="R6" s="117">
        <f>24.5+23</f>
        <v>47.5</v>
      </c>
      <c r="S6" s="117">
        <f>1215.4+547.03</f>
        <v>1762.43</v>
      </c>
      <c r="T6" s="117">
        <v>0</v>
      </c>
      <c r="U6" s="117">
        <v>29128.1</v>
      </c>
      <c r="V6" s="117"/>
      <c r="W6" s="26">
        <f t="shared" si="2"/>
        <v>30890.53</v>
      </c>
      <c r="X6" s="118">
        <f t="shared" si="3"/>
        <v>37.103789473684209</v>
      </c>
      <c r="Y6" s="119">
        <f t="shared" si="4"/>
        <v>0.23089399934492533</v>
      </c>
      <c r="Z6" s="117">
        <f t="shared" si="5"/>
        <v>95263.03</v>
      </c>
      <c r="AA6" s="119">
        <f t="shared" si="6"/>
        <v>0.75513548725854429</v>
      </c>
      <c r="AB6" s="120"/>
      <c r="AC6" s="119"/>
      <c r="AD6" s="117"/>
      <c r="AE6" s="110"/>
      <c r="AF6" s="110"/>
      <c r="AG6" s="121"/>
    </row>
    <row r="7" spans="1:33" ht="11.25" customHeight="1" outlineLevel="1" x14ac:dyDescent="0.15">
      <c r="A7" s="110" t="s">
        <v>36</v>
      </c>
      <c r="B7" s="110"/>
      <c r="C7" s="111" t="s">
        <v>37</v>
      </c>
      <c r="D7" s="111">
        <v>2020</v>
      </c>
      <c r="E7" s="146">
        <v>43889</v>
      </c>
      <c r="F7" s="17">
        <v>160107</v>
      </c>
      <c r="G7" s="16">
        <v>220100119</v>
      </c>
      <c r="H7" s="16"/>
      <c r="I7" s="16"/>
      <c r="J7" s="16"/>
      <c r="K7" s="112" t="s">
        <v>43</v>
      </c>
      <c r="L7" s="120">
        <v>0</v>
      </c>
      <c r="M7" s="120">
        <f t="shared" si="0"/>
        <v>0</v>
      </c>
      <c r="N7" s="120">
        <f t="shared" si="1"/>
        <v>0</v>
      </c>
      <c r="O7" s="119">
        <f>1-0.45</f>
        <v>0.55000000000000004</v>
      </c>
      <c r="P7" s="117">
        <v>9800</v>
      </c>
      <c r="Q7" s="111">
        <v>881</v>
      </c>
      <c r="R7" s="117">
        <v>0</v>
      </c>
      <c r="S7" s="117">
        <v>0</v>
      </c>
      <c r="T7" s="117">
        <v>0</v>
      </c>
      <c r="U7" s="117">
        <v>10992.08</v>
      </c>
      <c r="V7" s="117"/>
      <c r="W7" s="26">
        <f t="shared" si="2"/>
        <v>10992.08</v>
      </c>
      <c r="X7" s="118" t="str">
        <f t="shared" si="3"/>
        <v/>
      </c>
      <c r="Y7" s="119">
        <f t="shared" si="4"/>
        <v>1.1216408163265306</v>
      </c>
      <c r="Z7" s="117">
        <f t="shared" si="5"/>
        <v>-1192.08</v>
      </c>
      <c r="AA7" s="119">
        <f t="shared" si="6"/>
        <v>-0.12164081632653061</v>
      </c>
      <c r="AB7" s="120"/>
      <c r="AC7" s="119"/>
      <c r="AD7" s="117"/>
      <c r="AE7" s="110"/>
      <c r="AF7" s="110"/>
      <c r="AG7" s="121"/>
    </row>
    <row r="8" spans="1:33" ht="11.25" customHeight="1" outlineLevel="1" x14ac:dyDescent="0.15">
      <c r="A8" s="110" t="s">
        <v>36</v>
      </c>
      <c r="B8" s="110"/>
      <c r="C8" s="111" t="s">
        <v>37</v>
      </c>
      <c r="D8" s="111">
        <v>2020</v>
      </c>
      <c r="E8" s="146">
        <v>43889</v>
      </c>
      <c r="F8" s="17">
        <v>160107</v>
      </c>
      <c r="G8" s="111" t="s">
        <v>44</v>
      </c>
      <c r="H8" s="111"/>
      <c r="I8" s="111"/>
      <c r="J8" s="111"/>
      <c r="K8" s="112" t="s">
        <v>45</v>
      </c>
      <c r="L8" s="219">
        <v>0</v>
      </c>
      <c r="M8" s="219">
        <f t="shared" si="0"/>
        <v>0</v>
      </c>
      <c r="N8" s="219">
        <f t="shared" si="1"/>
        <v>0</v>
      </c>
      <c r="O8" s="119">
        <f>1-0.45</f>
        <v>0.55000000000000004</v>
      </c>
      <c r="P8" s="132">
        <v>63250.96</v>
      </c>
      <c r="Q8" s="111">
        <v>556</v>
      </c>
      <c r="R8" s="132">
        <f>6.5+25+12.5</f>
        <v>44</v>
      </c>
      <c r="S8" s="132">
        <f>1018.16+416.14</f>
        <v>1434.3</v>
      </c>
      <c r="T8" s="132">
        <v>0</v>
      </c>
      <c r="U8" s="132">
        <v>17372.689999999999</v>
      </c>
      <c r="V8" s="132"/>
      <c r="W8" s="67">
        <f t="shared" si="2"/>
        <v>18806.989999999998</v>
      </c>
      <c r="X8" s="118">
        <f t="shared" si="3"/>
        <v>32.597727272727269</v>
      </c>
      <c r="Y8" s="119">
        <f t="shared" si="4"/>
        <v>0.27466286677704177</v>
      </c>
      <c r="Z8" s="117">
        <f t="shared" si="5"/>
        <v>44443.97</v>
      </c>
      <c r="AA8" s="119">
        <f t="shared" si="6"/>
        <v>0.70266079755943633</v>
      </c>
      <c r="AB8" s="120"/>
      <c r="AC8" s="119"/>
      <c r="AD8" s="117"/>
      <c r="AE8" s="110"/>
      <c r="AF8" s="110"/>
      <c r="AG8" s="121"/>
    </row>
    <row r="9" spans="1:33" ht="11.25" customHeight="1" outlineLevel="1" x14ac:dyDescent="0.15">
      <c r="A9" s="110" t="s">
        <v>36</v>
      </c>
      <c r="B9" s="110"/>
      <c r="C9" s="111" t="s">
        <v>37</v>
      </c>
      <c r="D9" s="111">
        <v>2020</v>
      </c>
      <c r="E9" s="146">
        <v>43889</v>
      </c>
      <c r="F9" s="17">
        <v>160107</v>
      </c>
      <c r="G9" s="16">
        <v>210500119</v>
      </c>
      <c r="H9" s="16"/>
      <c r="I9" s="16"/>
      <c r="J9" s="16"/>
      <c r="K9" s="112" t="s">
        <v>46</v>
      </c>
      <c r="L9" s="120">
        <v>0</v>
      </c>
      <c r="M9" s="120">
        <f t="shared" si="0"/>
        <v>0</v>
      </c>
      <c r="N9" s="120">
        <f t="shared" si="1"/>
        <v>0</v>
      </c>
      <c r="O9" s="119">
        <f>1-0.45</f>
        <v>0.55000000000000004</v>
      </c>
      <c r="P9" s="117">
        <v>19018</v>
      </c>
      <c r="Q9" s="111">
        <v>882</v>
      </c>
      <c r="R9" s="117">
        <v>0</v>
      </c>
      <c r="S9" s="117">
        <v>0</v>
      </c>
      <c r="T9" s="117">
        <v>0</v>
      </c>
      <c r="U9" s="117">
        <v>5056.01</v>
      </c>
      <c r="V9" s="117"/>
      <c r="W9" s="26">
        <f t="shared" si="2"/>
        <v>5056.01</v>
      </c>
      <c r="X9" s="118" t="str">
        <f t="shared" si="3"/>
        <v/>
      </c>
      <c r="Y9" s="119">
        <f t="shared" si="4"/>
        <v>0.26585392785781892</v>
      </c>
      <c r="Z9" s="117">
        <f t="shared" si="5"/>
        <v>13961.99</v>
      </c>
      <c r="AA9" s="119">
        <f t="shared" si="6"/>
        <v>0.73414607214218108</v>
      </c>
      <c r="AB9" s="120">
        <f t="shared" ref="AB9:AB12" si="7">M9-W9</f>
        <v>-5056.01</v>
      </c>
      <c r="AC9" s="135">
        <f t="shared" ref="AC9:AC12" si="8">AA9-O9</f>
        <v>0.18414607214218104</v>
      </c>
      <c r="AD9" s="117"/>
      <c r="AE9" s="110"/>
      <c r="AF9" s="110"/>
      <c r="AG9" s="121"/>
    </row>
    <row r="10" spans="1:33" ht="11.25" customHeight="1" outlineLevel="1" x14ac:dyDescent="0.15">
      <c r="A10" s="110" t="s">
        <v>36</v>
      </c>
      <c r="B10" s="110"/>
      <c r="C10" s="111" t="s">
        <v>47</v>
      </c>
      <c r="D10" s="111">
        <v>2020</v>
      </c>
      <c r="E10" s="146">
        <v>43889</v>
      </c>
      <c r="F10" s="17">
        <v>160107</v>
      </c>
      <c r="G10" s="16">
        <v>516121129</v>
      </c>
      <c r="H10" s="16"/>
      <c r="I10" s="16"/>
      <c r="J10" s="16"/>
      <c r="K10" s="112" t="s">
        <v>48</v>
      </c>
      <c r="L10" s="120">
        <v>29525</v>
      </c>
      <c r="M10" s="120">
        <f t="shared" si="0"/>
        <v>14762.5</v>
      </c>
      <c r="N10" s="120">
        <f t="shared" si="1"/>
        <v>14762.5</v>
      </c>
      <c r="O10" s="119">
        <f>1-0.5</f>
        <v>0.5</v>
      </c>
      <c r="P10" s="117">
        <v>29525</v>
      </c>
      <c r="Q10" s="111">
        <v>884</v>
      </c>
      <c r="R10" s="117">
        <v>165</v>
      </c>
      <c r="S10" s="117">
        <f>5100.15+2295.15</f>
        <v>7395.2999999999993</v>
      </c>
      <c r="T10" s="117">
        <v>5097.0200000000004</v>
      </c>
      <c r="U10" s="117">
        <v>3533.88</v>
      </c>
      <c r="V10" s="117"/>
      <c r="W10" s="26">
        <f t="shared" si="2"/>
        <v>16026.2</v>
      </c>
      <c r="X10" s="118">
        <f t="shared" si="3"/>
        <v>44.819999999999993</v>
      </c>
      <c r="Y10" s="119">
        <f t="shared" si="4"/>
        <v>0.11969110922946656</v>
      </c>
      <c r="Z10" s="117">
        <f t="shared" si="5"/>
        <v>13498.8</v>
      </c>
      <c r="AA10" s="119">
        <f t="shared" si="6"/>
        <v>0.45719898391193903</v>
      </c>
      <c r="AB10" s="120">
        <f t="shared" si="7"/>
        <v>-1263.7000000000007</v>
      </c>
      <c r="AC10" s="135">
        <f t="shared" si="8"/>
        <v>-4.2801016088060972E-2</v>
      </c>
      <c r="AD10" s="117"/>
      <c r="AE10" s="110"/>
      <c r="AF10" s="110"/>
      <c r="AG10" s="121"/>
    </row>
    <row r="11" spans="1:33" ht="11.25" customHeight="1" outlineLevel="1" x14ac:dyDescent="0.15">
      <c r="A11" s="110" t="s">
        <v>36</v>
      </c>
      <c r="B11" s="110"/>
      <c r="C11" s="111" t="s">
        <v>49</v>
      </c>
      <c r="D11" s="111">
        <v>2020</v>
      </c>
      <c r="E11" s="146">
        <v>43889</v>
      </c>
      <c r="F11" s="17">
        <v>160107</v>
      </c>
      <c r="G11" s="17" t="s">
        <v>50</v>
      </c>
      <c r="H11" s="17"/>
      <c r="I11" s="17"/>
      <c r="J11" s="17"/>
      <c r="K11" s="112" t="s">
        <v>51</v>
      </c>
      <c r="L11" s="120">
        <v>52528</v>
      </c>
      <c r="M11" s="120">
        <f t="shared" si="0"/>
        <v>1050.5600000000009</v>
      </c>
      <c r="N11" s="120">
        <f t="shared" si="1"/>
        <v>51477.440000000002</v>
      </c>
      <c r="O11" s="119">
        <f>1-0.02</f>
        <v>0.98</v>
      </c>
      <c r="P11" s="117">
        <v>19958</v>
      </c>
      <c r="Q11" s="111"/>
      <c r="R11" s="117"/>
      <c r="S11" s="117"/>
      <c r="T11" s="117"/>
      <c r="U11" s="117"/>
      <c r="V11" s="117"/>
      <c r="W11" s="26">
        <f t="shared" si="2"/>
        <v>0</v>
      </c>
      <c r="X11" s="118" t="str">
        <f t="shared" si="3"/>
        <v/>
      </c>
      <c r="Y11" s="119">
        <f t="shared" si="4"/>
        <v>0</v>
      </c>
      <c r="Z11" s="117">
        <f t="shared" si="5"/>
        <v>19958</v>
      </c>
      <c r="AA11" s="119">
        <f t="shared" si="6"/>
        <v>1</v>
      </c>
      <c r="AB11" s="120">
        <f t="shared" si="7"/>
        <v>1050.5600000000009</v>
      </c>
      <c r="AC11" s="135">
        <f t="shared" si="8"/>
        <v>2.0000000000000018E-2</v>
      </c>
      <c r="AD11" s="117"/>
      <c r="AE11" s="110"/>
      <c r="AF11" s="110"/>
      <c r="AG11" s="121"/>
    </row>
    <row r="12" spans="1:33" ht="11.25" customHeight="1" outlineLevel="1" x14ac:dyDescent="0.15">
      <c r="A12" s="110" t="s">
        <v>36</v>
      </c>
      <c r="B12" s="110"/>
      <c r="C12" s="111" t="s">
        <v>49</v>
      </c>
      <c r="D12" s="111">
        <v>2020</v>
      </c>
      <c r="E12" s="146">
        <v>43889</v>
      </c>
      <c r="F12" s="17">
        <v>160107</v>
      </c>
      <c r="G12" s="17">
        <v>616420129</v>
      </c>
      <c r="H12" s="17"/>
      <c r="I12" s="17"/>
      <c r="J12" s="17"/>
      <c r="K12" s="112" t="s">
        <v>52</v>
      </c>
      <c r="L12" s="219">
        <v>10000</v>
      </c>
      <c r="M12" s="219">
        <f t="shared" si="0"/>
        <v>5290</v>
      </c>
      <c r="N12" s="219">
        <f t="shared" si="1"/>
        <v>4710</v>
      </c>
      <c r="O12" s="119">
        <f>1-0.529</f>
        <v>0.47099999999999997</v>
      </c>
      <c r="P12" s="132">
        <v>10000</v>
      </c>
      <c r="Q12" s="111">
        <v>885</v>
      </c>
      <c r="R12" s="132">
        <v>33.5</v>
      </c>
      <c r="S12" s="132">
        <f>1035.49+465.99</f>
        <v>1501.48</v>
      </c>
      <c r="T12" s="132">
        <v>2058.91</v>
      </c>
      <c r="U12" s="132">
        <v>3320.38</v>
      </c>
      <c r="V12" s="132"/>
      <c r="W12" s="67">
        <f t="shared" si="2"/>
        <v>6880.77</v>
      </c>
      <c r="X12" s="118">
        <f t="shared" si="3"/>
        <v>44.820298507462688</v>
      </c>
      <c r="Y12" s="119">
        <f t="shared" si="4"/>
        <v>0.332038</v>
      </c>
      <c r="Z12" s="117">
        <f t="shared" si="5"/>
        <v>3119.2299999999996</v>
      </c>
      <c r="AA12" s="119">
        <f t="shared" si="6"/>
        <v>0.31192299999999995</v>
      </c>
      <c r="AB12" s="120">
        <f t="shared" si="7"/>
        <v>-1590.7700000000004</v>
      </c>
      <c r="AC12" s="135">
        <f t="shared" si="8"/>
        <v>-0.15907700000000002</v>
      </c>
      <c r="AD12" s="117"/>
      <c r="AE12" s="110"/>
      <c r="AF12" s="110"/>
      <c r="AG12" s="121"/>
    </row>
    <row r="13" spans="1:33" ht="11.25" customHeight="1" outlineLevel="1" x14ac:dyDescent="0.15">
      <c r="A13" s="110" t="s">
        <v>53</v>
      </c>
      <c r="B13" s="110"/>
      <c r="C13" s="111"/>
      <c r="D13" s="111">
        <v>2020</v>
      </c>
      <c r="E13" s="146">
        <v>43889</v>
      </c>
      <c r="F13" s="17"/>
      <c r="G13" s="111"/>
      <c r="H13" s="111"/>
      <c r="I13" s="111"/>
      <c r="J13" s="111"/>
      <c r="K13" s="112"/>
      <c r="L13" s="120"/>
      <c r="M13" s="120"/>
      <c r="N13" s="120"/>
      <c r="O13" s="119"/>
      <c r="P13" s="117"/>
      <c r="Q13" s="111"/>
      <c r="R13" s="117"/>
      <c r="S13" s="117"/>
      <c r="T13" s="117"/>
      <c r="U13" s="117"/>
      <c r="V13" s="117"/>
      <c r="X13" s="118" t="str">
        <f t="shared" si="3"/>
        <v/>
      </c>
      <c r="Y13" s="119"/>
      <c r="Z13" s="117"/>
      <c r="AA13" s="119"/>
      <c r="AB13" s="120"/>
      <c r="AC13" s="119"/>
      <c r="AD13" s="110"/>
      <c r="AE13" s="110"/>
      <c r="AF13" s="110"/>
      <c r="AG13" s="121"/>
    </row>
    <row r="14" spans="1:33" s="53" customFormat="1" ht="11.25" customHeight="1" outlineLevel="1" x14ac:dyDescent="0.15">
      <c r="A14" s="53" t="s">
        <v>36</v>
      </c>
      <c r="C14" s="54" t="s">
        <v>54</v>
      </c>
      <c r="D14" s="54">
        <v>2020</v>
      </c>
      <c r="E14" s="70">
        <v>43889</v>
      </c>
      <c r="F14" s="210"/>
      <c r="G14" s="54"/>
      <c r="H14" s="54"/>
      <c r="I14" s="54"/>
      <c r="J14" s="54"/>
      <c r="K14" s="106"/>
      <c r="L14" s="58">
        <f>SUM(L5:L13)</f>
        <v>377831</v>
      </c>
      <c r="M14" s="58">
        <f>SUM(M5:M13)</f>
        <v>149703.15999999997</v>
      </c>
      <c r="N14" s="58">
        <f>SUM(N5:N13)</f>
        <v>228127.84000000003</v>
      </c>
      <c r="O14" s="57">
        <f>((P5*O5)+(P6*O6)+(P7*O7)+(P8*O8)+(P9*O9)+(P10*O10))/P14</f>
        <v>0.50248375070600204</v>
      </c>
      <c r="P14" s="24">
        <f>SUM(P5:P13)</f>
        <v>377831.8</v>
      </c>
      <c r="Q14" s="111"/>
      <c r="R14" s="24">
        <f>SUM(R5:R13)</f>
        <v>339</v>
      </c>
      <c r="S14" s="24">
        <f>SUM(S5:S13)</f>
        <v>13806.169999999998</v>
      </c>
      <c r="T14" s="24">
        <f>SUM(T5:T13)</f>
        <v>7155.93</v>
      </c>
      <c r="U14" s="24">
        <f>SUM(U5:U13)</f>
        <v>91887.66</v>
      </c>
      <c r="V14" s="117"/>
      <c r="W14" s="25">
        <f>SUM(W5:W12)</f>
        <v>112849.76</v>
      </c>
      <c r="X14" s="118">
        <f t="shared" si="3"/>
        <v>40.726165191740407</v>
      </c>
      <c r="Y14" s="119">
        <f>U14/P14</f>
        <v>0.24319726396772323</v>
      </c>
      <c r="Z14" s="28">
        <f>P14-W14</f>
        <v>264982.03999999998</v>
      </c>
      <c r="AA14" s="57">
        <f>Z14/P14</f>
        <v>0.70132275790444321</v>
      </c>
      <c r="AB14" s="120">
        <f t="shared" ref="AB14:AB17" si="9">M14-W14</f>
        <v>36853.39999999998</v>
      </c>
      <c r="AC14" s="135">
        <f t="shared" ref="AC14:AC16" si="10">AA14-O14</f>
        <v>0.19883900719844116</v>
      </c>
      <c r="AD14" s="28"/>
      <c r="AG14" s="61"/>
    </row>
    <row r="15" spans="1:33" ht="11.25" customHeight="1" outlineLevel="1" x14ac:dyDescent="0.15">
      <c r="A15" s="110" t="s">
        <v>36</v>
      </c>
      <c r="B15" s="110"/>
      <c r="C15" s="111" t="s">
        <v>55</v>
      </c>
      <c r="D15" s="111">
        <v>2020</v>
      </c>
      <c r="E15" s="146">
        <v>43889</v>
      </c>
      <c r="F15" s="17">
        <v>160107</v>
      </c>
      <c r="G15" s="111" t="s">
        <v>56</v>
      </c>
      <c r="H15" s="111"/>
      <c r="I15" s="111"/>
      <c r="J15" s="111"/>
      <c r="K15" s="112" t="s">
        <v>57</v>
      </c>
      <c r="L15" s="219">
        <v>0</v>
      </c>
      <c r="M15" s="219">
        <v>0</v>
      </c>
      <c r="N15" s="219">
        <v>0</v>
      </c>
      <c r="O15" s="119">
        <v>0</v>
      </c>
      <c r="P15" s="132">
        <v>5500</v>
      </c>
      <c r="Q15" s="111">
        <v>883</v>
      </c>
      <c r="R15" s="132">
        <v>30.5</v>
      </c>
      <c r="S15" s="132">
        <f>838.75+377.59</f>
        <v>1216.3399999999999</v>
      </c>
      <c r="T15" s="132">
        <v>2289</v>
      </c>
      <c r="U15" s="132">
        <v>400</v>
      </c>
      <c r="V15" s="132"/>
      <c r="W15" s="67">
        <v>3905.34</v>
      </c>
      <c r="X15" s="118">
        <f t="shared" si="3"/>
        <v>39.879999999999995</v>
      </c>
      <c r="Y15" s="119">
        <f>U15/P15</f>
        <v>7.2727272727272724E-2</v>
      </c>
      <c r="Z15" s="117">
        <f>P15-W15</f>
        <v>1594.6599999999999</v>
      </c>
      <c r="AA15" s="119">
        <f>Z15/P15</f>
        <v>0.28993818181818182</v>
      </c>
      <c r="AB15" s="120">
        <f t="shared" si="9"/>
        <v>-3905.34</v>
      </c>
      <c r="AC15" s="135">
        <f t="shared" si="10"/>
        <v>0.28993818181818182</v>
      </c>
      <c r="AD15" s="117"/>
      <c r="AE15" s="110"/>
      <c r="AF15" s="110"/>
      <c r="AG15" s="121"/>
    </row>
    <row r="16" spans="1:33" ht="11.25" customHeight="1" outlineLevel="1" x14ac:dyDescent="0.15">
      <c r="A16" s="110" t="s">
        <v>36</v>
      </c>
      <c r="B16" s="110"/>
      <c r="C16" s="111" t="s">
        <v>58</v>
      </c>
      <c r="D16" s="111">
        <v>2020</v>
      </c>
      <c r="E16" s="146">
        <v>43889</v>
      </c>
      <c r="F16" s="17">
        <v>160107</v>
      </c>
      <c r="G16" s="17" t="s">
        <v>59</v>
      </c>
      <c r="H16" s="17"/>
      <c r="I16" s="17"/>
      <c r="J16" s="17"/>
      <c r="K16" s="103" t="s">
        <v>60</v>
      </c>
      <c r="L16" s="120"/>
      <c r="M16" s="120"/>
      <c r="N16" s="120"/>
      <c r="O16" s="119"/>
      <c r="P16" s="117">
        <f>21821+24003+26404+29044</f>
        <v>101272</v>
      </c>
      <c r="Q16" s="111"/>
      <c r="R16" s="117"/>
      <c r="S16" s="117"/>
      <c r="T16" s="117"/>
      <c r="U16" s="117"/>
      <c r="V16" s="117"/>
      <c r="X16" s="118" t="str">
        <f t="shared" si="3"/>
        <v/>
      </c>
      <c r="Y16" s="119"/>
      <c r="Z16" s="117"/>
      <c r="AA16" s="119"/>
      <c r="AB16" s="120">
        <f t="shared" si="9"/>
        <v>0</v>
      </c>
      <c r="AC16" s="135">
        <f t="shared" si="10"/>
        <v>0</v>
      </c>
      <c r="AD16" s="117"/>
      <c r="AE16" s="110"/>
      <c r="AF16" s="110"/>
      <c r="AG16" s="121"/>
    </row>
    <row r="17" spans="1:33" ht="11.25" customHeight="1" outlineLevel="1" x14ac:dyDescent="0.15">
      <c r="A17" s="110" t="s">
        <v>36</v>
      </c>
      <c r="B17" s="110"/>
      <c r="C17" s="111" t="s">
        <v>61</v>
      </c>
      <c r="D17" s="111">
        <v>2020</v>
      </c>
      <c r="E17" s="146">
        <v>43889</v>
      </c>
      <c r="F17" s="17">
        <v>160107</v>
      </c>
      <c r="G17" s="17" t="s">
        <v>62</v>
      </c>
      <c r="H17" s="17"/>
      <c r="I17" s="111" t="str">
        <f>MID(G17,3,1)</f>
        <v>1</v>
      </c>
      <c r="J17" s="111" t="s">
        <v>63</v>
      </c>
      <c r="K17" s="112" t="s">
        <v>64</v>
      </c>
      <c r="L17" s="120">
        <f>P17</f>
        <v>9680</v>
      </c>
      <c r="M17" s="120">
        <f>L17*0.3</f>
        <v>2904</v>
      </c>
      <c r="N17" s="120">
        <f>L17-M17</f>
        <v>6776</v>
      </c>
      <c r="O17" s="135">
        <f>N17/L17</f>
        <v>0.7</v>
      </c>
      <c r="P17" s="117">
        <v>9680</v>
      </c>
      <c r="Q17" s="111"/>
      <c r="R17" s="117"/>
      <c r="S17" s="117"/>
      <c r="T17" s="117"/>
      <c r="U17" s="117"/>
      <c r="V17" s="117"/>
      <c r="W17" s="26">
        <f>SUM(S17:V17)</f>
        <v>0</v>
      </c>
      <c r="X17" s="118" t="str">
        <f t="shared" si="3"/>
        <v/>
      </c>
      <c r="Y17" s="119"/>
      <c r="Z17" s="117">
        <f>P17-W17</f>
        <v>9680</v>
      </c>
      <c r="AA17" s="119">
        <f>Z17/P17</f>
        <v>1</v>
      </c>
      <c r="AB17" s="120">
        <f t="shared" si="9"/>
        <v>2904</v>
      </c>
      <c r="AC17" s="135">
        <f>AA17-O17</f>
        <v>0.30000000000000004</v>
      </c>
      <c r="AD17" s="117"/>
      <c r="AE17" s="110"/>
      <c r="AF17" s="110"/>
      <c r="AG17" s="121"/>
    </row>
    <row r="18" spans="1:33" ht="11.25" customHeight="1" outlineLevel="1" x14ac:dyDescent="0.15">
      <c r="A18" s="110" t="s">
        <v>53</v>
      </c>
      <c r="B18" s="110"/>
      <c r="C18" s="111"/>
      <c r="D18" s="111">
        <v>2020</v>
      </c>
      <c r="E18" s="146">
        <v>43889</v>
      </c>
      <c r="F18" s="17"/>
      <c r="G18" s="17"/>
      <c r="H18" s="17"/>
      <c r="I18" s="17"/>
      <c r="J18" s="17"/>
      <c r="K18" s="103"/>
      <c r="L18" s="120"/>
      <c r="M18" s="120"/>
      <c r="N18" s="120"/>
      <c r="O18" s="119"/>
      <c r="P18" s="117"/>
      <c r="Q18" s="111"/>
      <c r="R18" s="117"/>
      <c r="S18" s="117"/>
      <c r="T18" s="117"/>
      <c r="U18" s="117"/>
      <c r="V18" s="117"/>
      <c r="X18" s="118"/>
      <c r="Y18" s="119"/>
      <c r="Z18" s="117"/>
      <c r="AA18" s="119"/>
      <c r="AB18" s="120"/>
      <c r="AC18" s="119"/>
      <c r="AD18" s="117"/>
      <c r="AE18" s="110"/>
      <c r="AF18" s="110"/>
      <c r="AG18" s="121"/>
    </row>
    <row r="19" spans="1:33" s="53" customFormat="1" ht="11.25" customHeight="1" outlineLevel="1" x14ac:dyDescent="0.15">
      <c r="A19" s="53" t="s">
        <v>36</v>
      </c>
      <c r="C19" s="54" t="s">
        <v>65</v>
      </c>
      <c r="D19" s="54">
        <v>2020</v>
      </c>
      <c r="E19" s="70">
        <v>43889</v>
      </c>
      <c r="F19" s="54"/>
      <c r="G19" s="54"/>
      <c r="H19" s="54"/>
      <c r="I19" s="54"/>
      <c r="J19" s="54"/>
      <c r="K19" s="106"/>
      <c r="L19" s="58"/>
      <c r="M19" s="58"/>
      <c r="N19" s="58"/>
      <c r="O19" s="57"/>
      <c r="P19" s="25">
        <f>SUM(P14:P17)</f>
        <v>494283.8</v>
      </c>
      <c r="Q19" s="111"/>
      <c r="R19" s="25">
        <f>SUM(R14:R17)</f>
        <v>369.5</v>
      </c>
      <c r="S19" s="25">
        <f>SUM(S14:S17)</f>
        <v>15022.509999999998</v>
      </c>
      <c r="T19" s="25">
        <f>SUM(T14:T17)</f>
        <v>9444.93</v>
      </c>
      <c r="U19" s="25">
        <f>SUM(U14:U17)</f>
        <v>92287.66</v>
      </c>
      <c r="V19" s="117"/>
      <c r="W19" s="25">
        <f>SUM(S19:U19)</f>
        <v>116755.1</v>
      </c>
      <c r="X19" s="118">
        <f>IFERROR(S19/R19,"")</f>
        <v>40.656319350473609</v>
      </c>
      <c r="Y19" s="119"/>
      <c r="Z19" s="28"/>
      <c r="AA19" s="57"/>
      <c r="AB19" s="120">
        <f t="shared" ref="AB19:AB20" si="11">M19-W19</f>
        <v>-116755.1</v>
      </c>
      <c r="AC19" s="135">
        <f t="shared" ref="AC19:AC20" si="12">AA19-O19</f>
        <v>0</v>
      </c>
      <c r="AD19" s="28"/>
      <c r="AG19" s="61"/>
    </row>
    <row r="20" spans="1:33" s="53" customFormat="1" ht="11.25" customHeight="1" outlineLevel="1" x14ac:dyDescent="0.15">
      <c r="A20" s="53" t="s">
        <v>36</v>
      </c>
      <c r="C20" s="54" t="s">
        <v>66</v>
      </c>
      <c r="D20" s="54">
        <v>2020</v>
      </c>
      <c r="E20" s="70">
        <v>43889</v>
      </c>
      <c r="F20" s="54"/>
      <c r="G20" s="54"/>
      <c r="H20" s="54"/>
      <c r="I20" s="54"/>
      <c r="J20" s="54"/>
      <c r="K20" s="106"/>
      <c r="L20" s="93">
        <f>L5+L6+L7+L8+L9</f>
        <v>285778</v>
      </c>
      <c r="M20" s="93">
        <f>M5+M6+M7+M8+M9</f>
        <v>128600.09999999999</v>
      </c>
      <c r="N20" s="93">
        <f>N5+N6+N7+N8+N9</f>
        <v>157177.90000000002</v>
      </c>
      <c r="O20" s="57">
        <f>((P5*O5)+(P6*O6)+(P7*O7)+(P8*O8)+(P9*O9))/P20</f>
        <v>0.55000000000000004</v>
      </c>
      <c r="P20" s="64">
        <f>P5+P6+P7+P8+P9</f>
        <v>318348.79999999999</v>
      </c>
      <c r="Q20" s="111"/>
      <c r="R20" s="132">
        <f>R5+R6+R7+R8+R9</f>
        <v>140.5</v>
      </c>
      <c r="S20" s="132">
        <f>S5+S6+S7+S8+S9</f>
        <v>4909.3900000000003</v>
      </c>
      <c r="T20" s="132">
        <f>T5+T6+T7+T8+T9</f>
        <v>0</v>
      </c>
      <c r="U20" s="132">
        <f>U5+U6+U7+U8+U9</f>
        <v>85033.4</v>
      </c>
      <c r="V20" s="132"/>
      <c r="W20" s="68">
        <f>W5+W6+W7+W8+W9</f>
        <v>89942.79</v>
      </c>
      <c r="X20" s="118">
        <f>IFERROR(S20/R20,"")</f>
        <v>34.942277580071178</v>
      </c>
      <c r="Y20" s="119">
        <f>U20/P20</f>
        <v>0.26710765047645851</v>
      </c>
      <c r="Z20" s="28">
        <f>P20-W20</f>
        <v>228406.01</v>
      </c>
      <c r="AA20" s="57">
        <f>Z20/P20</f>
        <v>0.71747093125527728</v>
      </c>
      <c r="AB20" s="120">
        <f t="shared" si="11"/>
        <v>38657.31</v>
      </c>
      <c r="AC20" s="135">
        <f t="shared" si="12"/>
        <v>0.16747093125527723</v>
      </c>
      <c r="AD20" s="28"/>
      <c r="AG20" s="61"/>
    </row>
    <row r="21" spans="1:33" ht="11.25" customHeight="1" outlineLevel="1" x14ac:dyDescent="0.15">
      <c r="A21" s="124" t="s">
        <v>53</v>
      </c>
      <c r="B21" s="124"/>
      <c r="C21" s="124"/>
      <c r="D21" s="124"/>
      <c r="E21" s="273"/>
      <c r="F21" s="124"/>
      <c r="G21" s="124"/>
      <c r="H21" s="124"/>
      <c r="I21" s="124"/>
      <c r="J21" s="124"/>
      <c r="K21" s="125"/>
      <c r="L21" s="129"/>
      <c r="M21" s="129"/>
      <c r="N21" s="129"/>
      <c r="O21" s="128"/>
      <c r="P21" s="126"/>
      <c r="Q21" s="124"/>
      <c r="R21" s="126"/>
      <c r="S21" s="126"/>
      <c r="T21" s="126"/>
      <c r="U21" s="126"/>
      <c r="V21" s="126"/>
      <c r="W21" s="49"/>
      <c r="X21" s="127"/>
      <c r="Y21" s="128"/>
      <c r="Z21" s="126"/>
      <c r="AA21" s="128"/>
      <c r="AB21" s="129"/>
      <c r="AC21" s="128"/>
      <c r="AD21" s="130"/>
      <c r="AE21" s="110"/>
      <c r="AF21" s="110"/>
      <c r="AG21" s="121"/>
    </row>
    <row r="22" spans="1:33" ht="11.25" customHeight="1" outlineLevel="1" x14ac:dyDescent="0.15">
      <c r="A22" s="110" t="s">
        <v>67</v>
      </c>
      <c r="B22" s="110"/>
      <c r="C22" s="111" t="s">
        <v>37</v>
      </c>
      <c r="D22" s="111">
        <v>2020</v>
      </c>
      <c r="E22" s="146">
        <v>43889</v>
      </c>
      <c r="F22" s="17">
        <v>160104</v>
      </c>
      <c r="G22" s="16">
        <v>123051220</v>
      </c>
      <c r="H22" s="16"/>
      <c r="I22" s="16" t="str">
        <f>MID(G22,2,1)</f>
        <v>2</v>
      </c>
      <c r="J22" s="16" t="s">
        <v>68</v>
      </c>
      <c r="K22" s="112" t="s">
        <v>69</v>
      </c>
      <c r="L22" s="120"/>
      <c r="M22" s="120"/>
      <c r="N22" s="120"/>
      <c r="O22" s="119">
        <f>1-0.45</f>
        <v>0.55000000000000004</v>
      </c>
      <c r="P22" s="117">
        <v>44635</v>
      </c>
      <c r="Q22" s="111">
        <v>831</v>
      </c>
      <c r="R22" s="117">
        <f>13+14</f>
        <v>27</v>
      </c>
      <c r="S22" s="117">
        <f>688.08+309.7</f>
        <v>997.78</v>
      </c>
      <c r="T22" s="117"/>
      <c r="U22" s="117">
        <v>12206.78</v>
      </c>
      <c r="V22" s="117"/>
      <c r="W22" s="26">
        <f>SUM(S22:V22)</f>
        <v>13204.560000000001</v>
      </c>
      <c r="X22" s="118">
        <f t="shared" ref="X22:X30" si="13">IFERROR(S22/R22,"")</f>
        <v>36.954814814814817</v>
      </c>
      <c r="Y22" s="119">
        <f>U22/P22</f>
        <v>0.27348000448078863</v>
      </c>
      <c r="Z22" s="117">
        <f>P22-W22</f>
        <v>31430.44</v>
      </c>
      <c r="AA22" s="119">
        <f>Z22/P22</f>
        <v>0.7041657891788955</v>
      </c>
      <c r="AB22" s="120">
        <f t="shared" ref="AB22:AB24" si="14">M22-W22</f>
        <v>-13204.560000000001</v>
      </c>
      <c r="AC22" s="135">
        <f t="shared" ref="AC22:AC24" si="15">AA22-O22</f>
        <v>0.15416578917889545</v>
      </c>
      <c r="AD22" s="110"/>
      <c r="AE22" s="110"/>
      <c r="AF22" s="110"/>
      <c r="AG22" s="121"/>
    </row>
    <row r="23" spans="1:33" ht="11.25" customHeight="1" outlineLevel="1" x14ac:dyDescent="0.15">
      <c r="A23" s="110" t="s">
        <v>67</v>
      </c>
      <c r="B23" s="110"/>
      <c r="C23" s="111" t="s">
        <v>37</v>
      </c>
      <c r="D23" s="111">
        <v>2020</v>
      </c>
      <c r="E23" s="146">
        <v>43889</v>
      </c>
      <c r="F23" s="17">
        <v>160104</v>
      </c>
      <c r="G23" s="16">
        <v>220100210</v>
      </c>
      <c r="H23" s="16"/>
      <c r="I23" s="16"/>
      <c r="J23" s="16"/>
      <c r="K23" s="112" t="s">
        <v>43</v>
      </c>
      <c r="L23" s="219"/>
      <c r="M23" s="219"/>
      <c r="N23" s="219"/>
      <c r="O23" s="119">
        <f>1-0.45</f>
        <v>0.55000000000000004</v>
      </c>
      <c r="P23" s="132">
        <v>6600</v>
      </c>
      <c r="Q23" s="111">
        <v>832</v>
      </c>
      <c r="R23" s="132">
        <v>2</v>
      </c>
      <c r="S23" s="132">
        <f>54.08+24.34</f>
        <v>78.42</v>
      </c>
      <c r="T23" s="132"/>
      <c r="U23" s="132">
        <v>4539.4799999999996</v>
      </c>
      <c r="V23" s="132"/>
      <c r="W23" s="67">
        <f>SUM(S23:V23)</f>
        <v>4617.8999999999996</v>
      </c>
      <c r="X23" s="118">
        <f t="shared" si="13"/>
        <v>39.21</v>
      </c>
      <c r="Y23" s="119">
        <f>U23/P23</f>
        <v>0.68779999999999997</v>
      </c>
      <c r="Z23" s="117">
        <f>P23-W23</f>
        <v>1982.1000000000004</v>
      </c>
      <c r="AA23" s="119">
        <f>Z23/P23</f>
        <v>0.30031818181818187</v>
      </c>
      <c r="AB23" s="120">
        <f t="shared" si="14"/>
        <v>-4617.8999999999996</v>
      </c>
      <c r="AC23" s="135">
        <f t="shared" si="15"/>
        <v>-0.24968181818181817</v>
      </c>
      <c r="AD23" s="110"/>
      <c r="AE23" s="110"/>
      <c r="AF23" s="110"/>
      <c r="AG23" s="121"/>
    </row>
    <row r="24" spans="1:33" ht="11.25" customHeight="1" outlineLevel="1" x14ac:dyDescent="0.15">
      <c r="A24" s="110" t="s">
        <v>67</v>
      </c>
      <c r="B24" s="110"/>
      <c r="C24" s="111" t="s">
        <v>47</v>
      </c>
      <c r="D24" s="111">
        <v>2020</v>
      </c>
      <c r="E24" s="146">
        <v>43889</v>
      </c>
      <c r="F24" s="17">
        <v>160104</v>
      </c>
      <c r="G24" s="16">
        <v>523051120</v>
      </c>
      <c r="H24" s="16"/>
      <c r="I24" s="16"/>
      <c r="J24" s="16"/>
      <c r="K24" s="112" t="s">
        <v>70</v>
      </c>
      <c r="L24" s="120"/>
      <c r="M24" s="120"/>
      <c r="N24" s="120"/>
      <c r="O24" s="119">
        <f>1-0.45</f>
        <v>0.55000000000000004</v>
      </c>
      <c r="P24" s="117">
        <v>15965</v>
      </c>
      <c r="Q24" s="111">
        <v>833</v>
      </c>
      <c r="R24" s="117">
        <v>41</v>
      </c>
      <c r="S24" s="117">
        <f>1267.31+570.31</f>
        <v>1837.62</v>
      </c>
      <c r="T24" s="117">
        <v>2158.9699999999998</v>
      </c>
      <c r="U24" s="117"/>
      <c r="V24" s="117"/>
      <c r="W24" s="26">
        <f>SUM(S24:V24)</f>
        <v>3996.5899999999997</v>
      </c>
      <c r="X24" s="118">
        <f t="shared" si="13"/>
        <v>44.82</v>
      </c>
      <c r="Y24" s="119">
        <f>U24/P24</f>
        <v>0</v>
      </c>
      <c r="Z24" s="117">
        <f>P24-W24</f>
        <v>11968.41</v>
      </c>
      <c r="AA24" s="119">
        <f>Z24/P24</f>
        <v>0.74966551832132788</v>
      </c>
      <c r="AB24" s="120">
        <f t="shared" si="14"/>
        <v>-3996.5899999999997</v>
      </c>
      <c r="AC24" s="135">
        <f t="shared" si="15"/>
        <v>0.19966551832132784</v>
      </c>
      <c r="AD24" s="110"/>
      <c r="AE24" s="110"/>
      <c r="AF24" s="110"/>
      <c r="AG24" s="121"/>
    </row>
    <row r="25" spans="1:33" ht="11.25" customHeight="1" outlineLevel="1" x14ac:dyDescent="0.15">
      <c r="A25" s="110" t="s">
        <v>53</v>
      </c>
      <c r="B25" s="110"/>
      <c r="C25" s="111"/>
      <c r="D25" s="111">
        <v>2020</v>
      </c>
      <c r="E25" s="146">
        <v>43889</v>
      </c>
      <c r="F25" s="17"/>
      <c r="G25" s="111"/>
      <c r="H25" s="111"/>
      <c r="I25" s="111"/>
      <c r="J25" s="111"/>
      <c r="K25" s="112"/>
      <c r="L25" s="120"/>
      <c r="M25" s="120"/>
      <c r="N25" s="120"/>
      <c r="O25" s="119"/>
      <c r="P25" s="117"/>
      <c r="Q25" s="111"/>
      <c r="R25" s="117"/>
      <c r="S25" s="117"/>
      <c r="T25" s="117"/>
      <c r="U25" s="117"/>
      <c r="V25" s="117"/>
      <c r="X25" s="118" t="str">
        <f t="shared" si="13"/>
        <v/>
      </c>
      <c r="Y25" s="119"/>
      <c r="Z25" s="117"/>
      <c r="AA25" s="119"/>
      <c r="AB25" s="120"/>
      <c r="AC25" s="119"/>
      <c r="AD25" s="110"/>
      <c r="AE25" s="110"/>
      <c r="AF25" s="110"/>
      <c r="AG25" s="121"/>
    </row>
    <row r="26" spans="1:33" s="53" customFormat="1" ht="11.25" customHeight="1" outlineLevel="1" x14ac:dyDescent="0.15">
      <c r="A26" s="53" t="s">
        <v>67</v>
      </c>
      <c r="C26" s="54" t="s">
        <v>54</v>
      </c>
      <c r="D26" s="54">
        <v>2020</v>
      </c>
      <c r="E26" s="70">
        <v>43889</v>
      </c>
      <c r="F26" s="210">
        <v>160104</v>
      </c>
      <c r="G26" s="54"/>
      <c r="H26" s="54"/>
      <c r="I26" s="54"/>
      <c r="J26" s="54"/>
      <c r="K26" s="106"/>
      <c r="L26" s="93"/>
      <c r="M26" s="93"/>
      <c r="N26" s="93"/>
      <c r="O26" s="57">
        <f>((P22*O22)+(P23*O23)+(P24*O24))/P26</f>
        <v>0.55000000000000004</v>
      </c>
      <c r="P26" s="25">
        <f>SUM(P22:P25)</f>
        <v>67200</v>
      </c>
      <c r="Q26" s="111"/>
      <c r="R26" s="25">
        <f>SUM(R22:R25)</f>
        <v>70</v>
      </c>
      <c r="S26" s="25">
        <f>SUM(S22:S25)</f>
        <v>2913.8199999999997</v>
      </c>
      <c r="T26" s="25">
        <f>SUM(T22:T25)</f>
        <v>2158.9699999999998</v>
      </c>
      <c r="U26" s="25">
        <f>SUM(U22:U25)</f>
        <v>16746.260000000002</v>
      </c>
      <c r="V26" s="132"/>
      <c r="W26" s="25">
        <f>SUM(W22:W25)</f>
        <v>21819.05</v>
      </c>
      <c r="X26" s="118">
        <f t="shared" si="13"/>
        <v>41.625999999999998</v>
      </c>
      <c r="Y26" s="119">
        <f>U26/P26</f>
        <v>0.24920029761904766</v>
      </c>
      <c r="Z26" s="28">
        <f>P26-W26</f>
        <v>45380.95</v>
      </c>
      <c r="AA26" s="57">
        <f>Z26/P26</f>
        <v>0.67531175595238091</v>
      </c>
      <c r="AB26" s="120">
        <f t="shared" ref="AB26:AB27" si="16">M26-W26</f>
        <v>-21819.05</v>
      </c>
      <c r="AC26" s="135">
        <f t="shared" ref="AC26:AC27" si="17">AA26-O26</f>
        <v>0.12531175595238087</v>
      </c>
      <c r="AG26" s="61"/>
    </row>
    <row r="27" spans="1:33" ht="11.25" customHeight="1" outlineLevel="1" x14ac:dyDescent="0.15">
      <c r="A27" s="110" t="s">
        <v>67</v>
      </c>
      <c r="B27" s="110"/>
      <c r="C27" s="111" t="s">
        <v>55</v>
      </c>
      <c r="D27" s="111">
        <v>2020</v>
      </c>
      <c r="E27" s="146">
        <v>43889</v>
      </c>
      <c r="F27" s="17">
        <v>160104</v>
      </c>
      <c r="G27" s="111" t="s">
        <v>56</v>
      </c>
      <c r="H27" s="111"/>
      <c r="I27" s="111"/>
      <c r="J27" s="111"/>
      <c r="K27" s="112" t="s">
        <v>71</v>
      </c>
      <c r="L27" s="120"/>
      <c r="M27" s="120"/>
      <c r="N27" s="120"/>
      <c r="O27" s="119">
        <v>0</v>
      </c>
      <c r="P27" s="117">
        <v>6500</v>
      </c>
      <c r="Q27" s="111">
        <v>834</v>
      </c>
      <c r="R27" s="117">
        <v>8</v>
      </c>
      <c r="S27" s="117">
        <f>220+99.04</f>
        <v>319.04000000000002</v>
      </c>
      <c r="T27" s="117">
        <v>1448.35</v>
      </c>
      <c r="U27" s="117">
        <v>269.64999999999998</v>
      </c>
      <c r="V27" s="117"/>
      <c r="W27" s="26">
        <v>2037.04</v>
      </c>
      <c r="X27" s="118">
        <f t="shared" si="13"/>
        <v>39.880000000000003</v>
      </c>
      <c r="Y27" s="119">
        <f>U27/P27</f>
        <v>4.1484615384615384E-2</v>
      </c>
      <c r="Z27" s="117">
        <f>P27-W27</f>
        <v>4462.96</v>
      </c>
      <c r="AA27" s="119">
        <f>Z27/P27</f>
        <v>0.68660923076923075</v>
      </c>
      <c r="AB27" s="120">
        <f t="shared" si="16"/>
        <v>-2037.04</v>
      </c>
      <c r="AC27" s="135">
        <f t="shared" si="17"/>
        <v>0.68660923076923075</v>
      </c>
      <c r="AD27" s="110"/>
      <c r="AE27" s="110"/>
      <c r="AF27" s="110"/>
      <c r="AG27" s="121"/>
    </row>
    <row r="28" spans="1:33" ht="11.25" customHeight="1" outlineLevel="1" x14ac:dyDescent="0.15">
      <c r="A28" s="110" t="s">
        <v>53</v>
      </c>
      <c r="B28" s="110"/>
      <c r="C28" s="111"/>
      <c r="D28" s="111">
        <v>2020</v>
      </c>
      <c r="E28" s="146">
        <v>43889</v>
      </c>
      <c r="F28" s="17"/>
      <c r="G28" s="111"/>
      <c r="H28" s="111"/>
      <c r="I28" s="111"/>
      <c r="J28" s="111"/>
      <c r="K28" s="112"/>
      <c r="L28" s="120"/>
      <c r="M28" s="120"/>
      <c r="N28" s="120"/>
      <c r="O28" s="119"/>
      <c r="P28" s="117"/>
      <c r="Q28" s="111"/>
      <c r="R28" s="117"/>
      <c r="S28" s="117"/>
      <c r="T28" s="117"/>
      <c r="U28" s="117"/>
      <c r="V28" s="117"/>
      <c r="X28" s="118" t="str">
        <f t="shared" si="13"/>
        <v/>
      </c>
      <c r="Y28" s="119"/>
      <c r="Z28" s="117"/>
      <c r="AA28" s="119"/>
      <c r="AB28" s="120"/>
      <c r="AC28" s="119"/>
      <c r="AD28" s="110"/>
      <c r="AE28" s="110"/>
      <c r="AF28" s="110"/>
      <c r="AG28" s="121"/>
    </row>
    <row r="29" spans="1:33" s="53" customFormat="1" ht="11.25" customHeight="1" outlineLevel="1" x14ac:dyDescent="0.15">
      <c r="A29" s="53" t="s">
        <v>67</v>
      </c>
      <c r="C29" s="54" t="s">
        <v>65</v>
      </c>
      <c r="D29" s="54">
        <v>2020</v>
      </c>
      <c r="E29" s="70">
        <v>43889</v>
      </c>
      <c r="F29" s="54"/>
      <c r="G29" s="54"/>
      <c r="H29" s="54"/>
      <c r="I29" s="54"/>
      <c r="J29" s="54"/>
      <c r="K29" s="106"/>
      <c r="L29" s="93"/>
      <c r="M29" s="93"/>
      <c r="N29" s="93"/>
      <c r="O29" s="57"/>
      <c r="P29" s="24">
        <f>SUM(P26:P27)</f>
        <v>73700</v>
      </c>
      <c r="Q29" s="111"/>
      <c r="R29" s="24">
        <f>SUM(R26:R27)</f>
        <v>78</v>
      </c>
      <c r="S29" s="24">
        <f>SUM(S26:S27)</f>
        <v>3232.8599999999997</v>
      </c>
      <c r="T29" s="24">
        <f>SUM(T26:T27)</f>
        <v>3607.3199999999997</v>
      </c>
      <c r="U29" s="24">
        <f>SUM(U26:U27)</f>
        <v>17015.910000000003</v>
      </c>
      <c r="V29" s="132"/>
      <c r="W29" s="25">
        <f>SUM(S29:U29)</f>
        <v>23856.090000000004</v>
      </c>
      <c r="X29" s="118">
        <f t="shared" si="13"/>
        <v>41.446923076923071</v>
      </c>
      <c r="Y29" s="119"/>
      <c r="Z29" s="28"/>
      <c r="AA29" s="57"/>
      <c r="AB29" s="120">
        <f t="shared" ref="AB29:AB30" si="18">M29-W29</f>
        <v>-23856.090000000004</v>
      </c>
      <c r="AC29" s="135">
        <f t="shared" ref="AC29:AC30" si="19">AA29-O29</f>
        <v>0</v>
      </c>
      <c r="AG29" s="61"/>
    </row>
    <row r="30" spans="1:33" s="53" customFormat="1" ht="11.25" customHeight="1" outlineLevel="1" x14ac:dyDescent="0.15">
      <c r="A30" s="53" t="s">
        <v>67</v>
      </c>
      <c r="C30" s="54" t="s">
        <v>66</v>
      </c>
      <c r="D30" s="54">
        <v>2020</v>
      </c>
      <c r="E30" s="70">
        <v>43889</v>
      </c>
      <c r="F30" s="54"/>
      <c r="G30" s="54"/>
      <c r="H30" s="54"/>
      <c r="I30" s="54"/>
      <c r="J30" s="54"/>
      <c r="K30" s="106"/>
      <c r="L30" s="58"/>
      <c r="M30" s="58"/>
      <c r="N30" s="58"/>
      <c r="O30" s="57">
        <f>((P22*O22)+(P23*O23)+(P24*O24))/P30</f>
        <v>0.55000000000000004</v>
      </c>
      <c r="P30" s="28">
        <f>P22+P23+P24</f>
        <v>67200</v>
      </c>
      <c r="Q30" s="111"/>
      <c r="R30" s="117">
        <f>R22+R23+R24</f>
        <v>70</v>
      </c>
      <c r="S30" s="117">
        <f>S22+S23+S24</f>
        <v>2913.8199999999997</v>
      </c>
      <c r="T30" s="117">
        <f>T22+T23+T24</f>
        <v>2158.9699999999998</v>
      </c>
      <c r="U30" s="117">
        <f>U22+U23+U24</f>
        <v>16746.260000000002</v>
      </c>
      <c r="V30" s="117"/>
      <c r="W30" s="62">
        <f>W22+W23+W24</f>
        <v>21819.05</v>
      </c>
      <c r="X30" s="118">
        <f t="shared" si="13"/>
        <v>41.625999999999998</v>
      </c>
      <c r="Y30" s="119">
        <f>U30/P30</f>
        <v>0.24920029761904766</v>
      </c>
      <c r="Z30" s="28">
        <f>P30-W30</f>
        <v>45380.95</v>
      </c>
      <c r="AA30" s="57">
        <f>Z30/P30</f>
        <v>0.67531175595238091</v>
      </c>
      <c r="AB30" s="120">
        <f t="shared" si="18"/>
        <v>-21819.05</v>
      </c>
      <c r="AC30" s="135">
        <f t="shared" si="19"/>
        <v>0.12531175595238087</v>
      </c>
      <c r="AG30" s="61"/>
    </row>
    <row r="31" spans="1:33" ht="11.25" customHeight="1" outlineLevel="1" x14ac:dyDescent="0.15">
      <c r="A31" s="124" t="s">
        <v>53</v>
      </c>
      <c r="B31" s="124"/>
      <c r="C31" s="124"/>
      <c r="D31" s="124"/>
      <c r="E31" s="273"/>
      <c r="F31" s="124"/>
      <c r="G31" s="124"/>
      <c r="H31" s="124"/>
      <c r="I31" s="124"/>
      <c r="J31" s="124"/>
      <c r="K31" s="125"/>
      <c r="L31" s="129"/>
      <c r="M31" s="129"/>
      <c r="N31" s="129"/>
      <c r="O31" s="128"/>
      <c r="P31" s="126"/>
      <c r="Q31" s="124"/>
      <c r="R31" s="126"/>
      <c r="S31" s="126"/>
      <c r="T31" s="126"/>
      <c r="U31" s="126"/>
      <c r="V31" s="126"/>
      <c r="W31" s="49"/>
      <c r="X31" s="127"/>
      <c r="Y31" s="128"/>
      <c r="Z31" s="126"/>
      <c r="AA31" s="128"/>
      <c r="AB31" s="129"/>
      <c r="AC31" s="128"/>
      <c r="AD31" s="130"/>
      <c r="AE31" s="110"/>
      <c r="AF31" s="110"/>
      <c r="AG31" s="121"/>
    </row>
    <row r="32" spans="1:33" ht="11.25" customHeight="1" outlineLevel="1" x14ac:dyDescent="0.15">
      <c r="A32" s="110" t="s">
        <v>72</v>
      </c>
      <c r="B32" s="110"/>
      <c r="C32" s="111" t="s">
        <v>37</v>
      </c>
      <c r="D32" s="111">
        <v>2020</v>
      </c>
      <c r="E32" s="146">
        <v>43982</v>
      </c>
      <c r="F32" s="17">
        <v>160594</v>
      </c>
      <c r="G32" s="16">
        <v>125100120</v>
      </c>
      <c r="H32" s="16"/>
      <c r="I32" s="16" t="str">
        <f>MID(G32,2,1)</f>
        <v>2</v>
      </c>
      <c r="J32" s="16" t="s">
        <v>68</v>
      </c>
      <c r="K32" s="112" t="s">
        <v>73</v>
      </c>
      <c r="L32" s="120"/>
      <c r="M32" s="120"/>
      <c r="N32" s="120"/>
      <c r="O32" s="119">
        <f>1-0.45</f>
        <v>0.55000000000000004</v>
      </c>
      <c r="P32" s="117">
        <v>110058.37</v>
      </c>
      <c r="Q32" s="111">
        <v>886</v>
      </c>
      <c r="R32" s="117">
        <f>14+52</f>
        <v>66</v>
      </c>
      <c r="S32" s="117">
        <f>1766.09+794.88</f>
        <v>2560.9699999999998</v>
      </c>
      <c r="T32" s="117"/>
      <c r="U32" s="117">
        <v>27639.17</v>
      </c>
      <c r="V32" s="117"/>
      <c r="W32" s="26">
        <f t="shared" ref="W32:W37" si="20">SUM(S32:V32)</f>
        <v>30200.14</v>
      </c>
      <c r="X32" s="118">
        <f t="shared" ref="X32:X44" si="21">IFERROR(S32/R32,"")</f>
        <v>38.802575757575752</v>
      </c>
      <c r="Y32" s="119">
        <f t="shared" ref="Y32:Y37" si="22">U32/P32</f>
        <v>0.25113192208825191</v>
      </c>
      <c r="Z32" s="117">
        <f t="shared" ref="Z32:Z37" si="23">P32-W32</f>
        <v>79858.23</v>
      </c>
      <c r="AA32" s="119">
        <f t="shared" ref="AA32:AA37" si="24">Z32/P32</f>
        <v>0.72559887993979921</v>
      </c>
      <c r="AB32" s="120">
        <f t="shared" ref="AB32:AB37" si="25">M32-W32</f>
        <v>-30200.14</v>
      </c>
      <c r="AC32" s="135">
        <f t="shared" ref="AC32:AC37" si="26">AA32-O32</f>
        <v>0.17559887993979917</v>
      </c>
      <c r="AD32" s="110"/>
      <c r="AE32" s="110"/>
      <c r="AF32" s="110"/>
      <c r="AG32" s="121"/>
    </row>
    <row r="33" spans="1:33" ht="11.25" customHeight="1" outlineLevel="1" x14ac:dyDescent="0.15">
      <c r="A33" s="110" t="s">
        <v>72</v>
      </c>
      <c r="B33" s="110"/>
      <c r="C33" s="111" t="s">
        <v>37</v>
      </c>
      <c r="D33" s="111">
        <v>2020</v>
      </c>
      <c r="E33" s="146">
        <v>43982</v>
      </c>
      <c r="F33" s="17">
        <v>160594</v>
      </c>
      <c r="G33" s="16">
        <v>220100110</v>
      </c>
      <c r="H33" s="16"/>
      <c r="I33" s="16"/>
      <c r="J33" s="16"/>
      <c r="K33" s="112" t="s">
        <v>74</v>
      </c>
      <c r="L33" s="219"/>
      <c r="M33" s="219"/>
      <c r="N33" s="219"/>
      <c r="O33" s="119">
        <f>1-0.45</f>
        <v>0.55000000000000004</v>
      </c>
      <c r="P33" s="132">
        <v>6600</v>
      </c>
      <c r="Q33" s="111">
        <v>887</v>
      </c>
      <c r="R33" s="132"/>
      <c r="S33" s="132"/>
      <c r="T33" s="132"/>
      <c r="U33" s="132">
        <v>7885.36</v>
      </c>
      <c r="V33" s="132"/>
      <c r="W33" s="67">
        <f t="shared" si="20"/>
        <v>7885.36</v>
      </c>
      <c r="X33" s="118" t="str">
        <f t="shared" si="21"/>
        <v/>
      </c>
      <c r="Y33" s="119">
        <f t="shared" si="22"/>
        <v>1.1947515151515151</v>
      </c>
      <c r="Z33" s="117">
        <f t="shared" si="23"/>
        <v>-1285.3599999999997</v>
      </c>
      <c r="AA33" s="119">
        <f t="shared" si="24"/>
        <v>-0.19475151515151509</v>
      </c>
      <c r="AB33" s="120">
        <f t="shared" si="25"/>
        <v>-7885.36</v>
      </c>
      <c r="AC33" s="135">
        <f t="shared" si="26"/>
        <v>-0.74475151515151516</v>
      </c>
      <c r="AD33" s="110"/>
      <c r="AE33" s="110"/>
      <c r="AF33" s="110"/>
      <c r="AG33" s="121"/>
    </row>
    <row r="34" spans="1:33" ht="11.25" customHeight="1" outlineLevel="1" x14ac:dyDescent="0.15">
      <c r="A34" s="110" t="s">
        <v>72</v>
      </c>
      <c r="B34" s="110"/>
      <c r="C34" s="111" t="s">
        <v>37</v>
      </c>
      <c r="D34" s="111">
        <v>2020</v>
      </c>
      <c r="E34" s="146">
        <v>43982</v>
      </c>
      <c r="F34" s="17">
        <v>160594</v>
      </c>
      <c r="G34" s="16">
        <v>210500110</v>
      </c>
      <c r="H34" s="16"/>
      <c r="I34" s="16"/>
      <c r="J34" s="16"/>
      <c r="K34" s="112" t="s">
        <v>75</v>
      </c>
      <c r="L34" s="120"/>
      <c r="M34" s="120"/>
      <c r="N34" s="120"/>
      <c r="O34" s="119">
        <f>1-0.45</f>
        <v>0.55000000000000004</v>
      </c>
      <c r="P34" s="117">
        <v>15000</v>
      </c>
      <c r="Q34" s="111">
        <v>888</v>
      </c>
      <c r="R34" s="117"/>
      <c r="S34" s="117"/>
      <c r="T34" s="117"/>
      <c r="U34" s="117">
        <v>5028.47</v>
      </c>
      <c r="V34" s="117"/>
      <c r="W34" s="26">
        <f t="shared" si="20"/>
        <v>5028.47</v>
      </c>
      <c r="X34" s="118" t="str">
        <f t="shared" si="21"/>
        <v/>
      </c>
      <c r="Y34" s="119">
        <f t="shared" si="22"/>
        <v>0.33523133333333333</v>
      </c>
      <c r="Z34" s="117">
        <f t="shared" si="23"/>
        <v>9971.5299999999988</v>
      </c>
      <c r="AA34" s="119">
        <f t="shared" si="24"/>
        <v>0.66476866666666656</v>
      </c>
      <c r="AB34" s="120">
        <f t="shared" si="25"/>
        <v>-5028.47</v>
      </c>
      <c r="AC34" s="135">
        <f t="shared" si="26"/>
        <v>0.11476866666666652</v>
      </c>
      <c r="AD34" s="110"/>
      <c r="AE34" s="110"/>
      <c r="AF34" s="110"/>
      <c r="AG34" s="121"/>
    </row>
    <row r="35" spans="1:33" ht="11.25" customHeight="1" outlineLevel="1" x14ac:dyDescent="0.15">
      <c r="A35" s="110" t="s">
        <v>72</v>
      </c>
      <c r="B35" s="110"/>
      <c r="C35" s="111" t="s">
        <v>37</v>
      </c>
      <c r="D35" s="111">
        <v>2020</v>
      </c>
      <c r="E35" s="146">
        <v>43982</v>
      </c>
      <c r="F35" s="17">
        <v>160594</v>
      </c>
      <c r="G35" s="16">
        <v>210010110</v>
      </c>
      <c r="H35" s="16"/>
      <c r="I35" s="16"/>
      <c r="J35" s="16"/>
      <c r="K35" s="112" t="s">
        <v>76</v>
      </c>
      <c r="L35" s="120"/>
      <c r="M35" s="120"/>
      <c r="N35" s="120"/>
      <c r="O35" s="119">
        <f>1-0.45</f>
        <v>0.55000000000000004</v>
      </c>
      <c r="P35" s="117">
        <v>8760</v>
      </c>
      <c r="Q35" s="111">
        <v>889</v>
      </c>
      <c r="R35" s="117">
        <v>1</v>
      </c>
      <c r="S35" s="117">
        <f>27.04+12.17</f>
        <v>39.21</v>
      </c>
      <c r="T35" s="117"/>
      <c r="U35" s="117">
        <v>1361.01</v>
      </c>
      <c r="V35" s="117"/>
      <c r="W35" s="26">
        <f t="shared" si="20"/>
        <v>1400.22</v>
      </c>
      <c r="X35" s="118">
        <f t="shared" si="21"/>
        <v>39.21</v>
      </c>
      <c r="Y35" s="119">
        <f t="shared" si="22"/>
        <v>0.15536643835616437</v>
      </c>
      <c r="Z35" s="117">
        <f t="shared" si="23"/>
        <v>7359.78</v>
      </c>
      <c r="AA35" s="119">
        <f t="shared" si="24"/>
        <v>0.84015753424657535</v>
      </c>
      <c r="AB35" s="120">
        <f t="shared" si="25"/>
        <v>-1400.22</v>
      </c>
      <c r="AC35" s="135">
        <f t="shared" si="26"/>
        <v>0.29015753424657531</v>
      </c>
      <c r="AD35" s="110"/>
      <c r="AE35" s="110"/>
      <c r="AF35" s="110"/>
      <c r="AG35" s="121"/>
    </row>
    <row r="36" spans="1:33" ht="11.25" customHeight="1" outlineLevel="1" x14ac:dyDescent="0.15">
      <c r="A36" s="110" t="s">
        <v>72</v>
      </c>
      <c r="B36" s="110"/>
      <c r="C36" s="111" t="s">
        <v>47</v>
      </c>
      <c r="D36" s="111">
        <v>2020</v>
      </c>
      <c r="E36" s="146">
        <v>43982</v>
      </c>
      <c r="F36" s="17">
        <v>160594</v>
      </c>
      <c r="G36" s="16">
        <v>525100120</v>
      </c>
      <c r="H36" s="16"/>
      <c r="I36" s="16"/>
      <c r="J36" s="16"/>
      <c r="K36" s="112" t="s">
        <v>70</v>
      </c>
      <c r="L36" s="219"/>
      <c r="M36" s="219"/>
      <c r="N36" s="219"/>
      <c r="O36" s="119">
        <f>1-0.45</f>
        <v>0.55000000000000004</v>
      </c>
      <c r="P36" s="132">
        <v>14920</v>
      </c>
      <c r="Q36" s="111">
        <v>890</v>
      </c>
      <c r="R36" s="132">
        <v>100.75</v>
      </c>
      <c r="S36" s="132">
        <f>3114.21+1401.46</f>
        <v>4515.67</v>
      </c>
      <c r="T36" s="132">
        <v>6342.27</v>
      </c>
      <c r="U36" s="132">
        <v>1608.3</v>
      </c>
      <c r="V36" s="132"/>
      <c r="W36" s="67">
        <f t="shared" si="20"/>
        <v>12466.24</v>
      </c>
      <c r="X36" s="118">
        <f t="shared" si="21"/>
        <v>44.820545905707199</v>
      </c>
      <c r="Y36" s="119">
        <f t="shared" si="22"/>
        <v>0.10779490616621984</v>
      </c>
      <c r="Z36" s="117">
        <f t="shared" si="23"/>
        <v>2453.7600000000002</v>
      </c>
      <c r="AA36" s="119">
        <f t="shared" si="24"/>
        <v>0.16446112600536195</v>
      </c>
      <c r="AB36" s="120">
        <f t="shared" si="25"/>
        <v>-12466.24</v>
      </c>
      <c r="AC36" s="135">
        <f t="shared" si="26"/>
        <v>-0.3855388739946381</v>
      </c>
      <c r="AD36" s="110"/>
      <c r="AE36" s="110"/>
      <c r="AF36" s="110"/>
      <c r="AG36" s="121"/>
    </row>
    <row r="37" spans="1:33" ht="11.25" customHeight="1" outlineLevel="1" x14ac:dyDescent="0.15">
      <c r="A37" s="110" t="s">
        <v>72</v>
      </c>
      <c r="B37" s="110"/>
      <c r="C37" s="111" t="s">
        <v>49</v>
      </c>
      <c r="D37" s="111">
        <v>2020</v>
      </c>
      <c r="E37" s="146">
        <v>43982</v>
      </c>
      <c r="F37" s="17">
        <v>160594</v>
      </c>
      <c r="G37" s="17">
        <v>626520120</v>
      </c>
      <c r="H37" s="17"/>
      <c r="I37" s="17"/>
      <c r="J37" s="17"/>
      <c r="K37" s="112" t="s">
        <v>77</v>
      </c>
      <c r="L37" s="120"/>
      <c r="M37" s="120"/>
      <c r="N37" s="120"/>
      <c r="O37" s="119">
        <f>1-0.529</f>
        <v>0.47099999999999997</v>
      </c>
      <c r="P37" s="117">
        <v>6655</v>
      </c>
      <c r="Q37" s="111">
        <v>891</v>
      </c>
      <c r="R37" s="117">
        <v>16</v>
      </c>
      <c r="S37" s="117">
        <f>628.48+282.88</f>
        <v>911.36</v>
      </c>
      <c r="T37" s="117">
        <v>1351.34</v>
      </c>
      <c r="U37" s="117">
        <v>2322.7399999999998</v>
      </c>
      <c r="V37" s="117"/>
      <c r="W37" s="26">
        <f t="shared" si="20"/>
        <v>4585.4399999999996</v>
      </c>
      <c r="X37" s="118">
        <f t="shared" si="21"/>
        <v>56.96</v>
      </c>
      <c r="Y37" s="119">
        <f t="shared" si="22"/>
        <v>0.34902178812922613</v>
      </c>
      <c r="Z37" s="117">
        <f t="shared" si="23"/>
        <v>2069.5600000000004</v>
      </c>
      <c r="AA37" s="119">
        <f t="shared" si="24"/>
        <v>0.3109782118707739</v>
      </c>
      <c r="AB37" s="120">
        <f t="shared" si="25"/>
        <v>-4585.4399999999996</v>
      </c>
      <c r="AC37" s="135">
        <f t="shared" si="26"/>
        <v>-0.16002178812922607</v>
      </c>
      <c r="AD37" s="110"/>
      <c r="AE37" s="110"/>
      <c r="AF37" s="110"/>
      <c r="AG37" s="121"/>
    </row>
    <row r="38" spans="1:33" ht="11.25" customHeight="1" outlineLevel="1" x14ac:dyDescent="0.15">
      <c r="A38" s="110" t="s">
        <v>53</v>
      </c>
      <c r="B38" s="110"/>
      <c r="C38" s="111"/>
      <c r="D38" s="111">
        <v>2020</v>
      </c>
      <c r="E38" s="146">
        <v>43982</v>
      </c>
      <c r="F38" s="17"/>
      <c r="G38" s="111"/>
      <c r="H38" s="111"/>
      <c r="I38" s="111"/>
      <c r="J38" s="111"/>
      <c r="K38" s="112"/>
      <c r="L38" s="120"/>
      <c r="M38" s="120"/>
      <c r="N38" s="120"/>
      <c r="O38" s="119"/>
      <c r="P38" s="117"/>
      <c r="Q38" s="111"/>
      <c r="R38" s="117"/>
      <c r="S38" s="117"/>
      <c r="T38" s="117"/>
      <c r="U38" s="117"/>
      <c r="V38" s="117"/>
      <c r="X38" s="118" t="str">
        <f t="shared" si="21"/>
        <v/>
      </c>
      <c r="Y38" s="119"/>
      <c r="Z38" s="117"/>
      <c r="AA38" s="119"/>
      <c r="AB38" s="120"/>
      <c r="AC38" s="119"/>
      <c r="AD38" s="110"/>
      <c r="AE38" s="110"/>
      <c r="AF38" s="110"/>
      <c r="AG38" s="121"/>
    </row>
    <row r="39" spans="1:33" s="53" customFormat="1" ht="11.25" customHeight="1" outlineLevel="1" x14ac:dyDescent="0.15">
      <c r="A39" s="53" t="s">
        <v>72</v>
      </c>
      <c r="C39" s="54" t="s">
        <v>54</v>
      </c>
      <c r="D39" s="54">
        <v>2020</v>
      </c>
      <c r="E39" s="70">
        <v>43982</v>
      </c>
      <c r="F39" s="210"/>
      <c r="G39" s="54"/>
      <c r="H39" s="54"/>
      <c r="I39" s="54"/>
      <c r="J39" s="54"/>
      <c r="K39" s="106"/>
      <c r="L39" s="58"/>
      <c r="M39" s="58"/>
      <c r="N39" s="58"/>
      <c r="O39" s="57">
        <f>((P32*O32)+(P33*O33)+(P34*O34)+(P35*O35))/P39</f>
        <v>0.47674854532626859</v>
      </c>
      <c r="P39" s="24">
        <f>SUM(P32:P37)</f>
        <v>161993.37</v>
      </c>
      <c r="Q39" s="111"/>
      <c r="R39" s="24">
        <f>SUM(R32:R37)</f>
        <v>183.75</v>
      </c>
      <c r="S39" s="24">
        <f>SUM(S32:S37)</f>
        <v>8027.21</v>
      </c>
      <c r="T39" s="24">
        <f>SUM(T32:T37)</f>
        <v>7693.6100000000006</v>
      </c>
      <c r="U39" s="24">
        <f>SUM(U32:U37)</f>
        <v>45845.05</v>
      </c>
      <c r="V39" s="117"/>
      <c r="W39" s="25">
        <f>SUM(W32:W38)</f>
        <v>61565.87</v>
      </c>
      <c r="X39" s="118">
        <f t="shared" si="21"/>
        <v>43.685496598639453</v>
      </c>
      <c r="Y39" s="119">
        <f>U39/P39</f>
        <v>0.28300571807352365</v>
      </c>
      <c r="Z39" s="28">
        <f>P39-W39</f>
        <v>100427.5</v>
      </c>
      <c r="AA39" s="57">
        <f>Z39/P39</f>
        <v>0.61994821146075296</v>
      </c>
      <c r="AB39" s="120">
        <f t="shared" ref="AB39:AB41" si="27">M39-W39</f>
        <v>-61565.87</v>
      </c>
      <c r="AC39" s="135">
        <f t="shared" ref="AC39:AC41" si="28">AA39-O39</f>
        <v>0.14319966613448437</v>
      </c>
      <c r="AG39" s="61"/>
    </row>
    <row r="40" spans="1:33" ht="11.25" customHeight="1" outlineLevel="1" x14ac:dyDescent="0.15">
      <c r="A40" s="110" t="s">
        <v>72</v>
      </c>
      <c r="B40" s="110"/>
      <c r="C40" s="111" t="s">
        <v>55</v>
      </c>
      <c r="D40" s="111">
        <v>2020</v>
      </c>
      <c r="E40" s="146">
        <v>43982</v>
      </c>
      <c r="F40" s="17">
        <v>160594</v>
      </c>
      <c r="G40" s="111" t="s">
        <v>56</v>
      </c>
      <c r="H40" s="111"/>
      <c r="I40" s="111"/>
      <c r="J40" s="111"/>
      <c r="K40" s="112" t="s">
        <v>71</v>
      </c>
      <c r="L40" s="120"/>
      <c r="M40" s="120"/>
      <c r="N40" s="120"/>
      <c r="O40" s="119">
        <v>0</v>
      </c>
      <c r="P40" s="117">
        <v>5210</v>
      </c>
      <c r="Q40" s="111">
        <v>892</v>
      </c>
      <c r="R40" s="117">
        <v>18</v>
      </c>
      <c r="S40" s="117">
        <f>495+222.84</f>
        <v>717.84</v>
      </c>
      <c r="T40" s="117">
        <v>2509.92</v>
      </c>
      <c r="U40" s="117">
        <v>645.13</v>
      </c>
      <c r="V40" s="117"/>
      <c r="W40" s="26">
        <f>SUM(S40:V40)</f>
        <v>3872.8900000000003</v>
      </c>
      <c r="X40" s="118">
        <f t="shared" si="21"/>
        <v>39.880000000000003</v>
      </c>
      <c r="Y40" s="119">
        <f>U40/P40</f>
        <v>0.12382533589251439</v>
      </c>
      <c r="Z40" s="117">
        <f>P40-W40</f>
        <v>1337.1099999999997</v>
      </c>
      <c r="AA40" s="119">
        <f>Z40/P40</f>
        <v>0.25664299424184256</v>
      </c>
      <c r="AB40" s="120">
        <f t="shared" si="27"/>
        <v>-3872.8900000000003</v>
      </c>
      <c r="AC40" s="135">
        <f t="shared" si="28"/>
        <v>0.25664299424184256</v>
      </c>
      <c r="AD40" s="110"/>
      <c r="AE40" s="110"/>
      <c r="AF40" s="110"/>
      <c r="AG40" s="121"/>
    </row>
    <row r="41" spans="1:33" ht="11.25" customHeight="1" outlineLevel="1" x14ac:dyDescent="0.15">
      <c r="A41" s="110" t="s">
        <v>72</v>
      </c>
      <c r="B41" s="110"/>
      <c r="C41" s="111" t="s">
        <v>58</v>
      </c>
      <c r="D41" s="111">
        <v>2020</v>
      </c>
      <c r="E41" s="146">
        <v>43982</v>
      </c>
      <c r="F41" s="17">
        <v>160594</v>
      </c>
      <c r="G41" s="17" t="s">
        <v>78</v>
      </c>
      <c r="H41" s="17"/>
      <c r="I41" s="17"/>
      <c r="J41" s="17"/>
      <c r="K41" s="112"/>
      <c r="L41" s="219"/>
      <c r="M41" s="219"/>
      <c r="N41" s="219"/>
      <c r="O41" s="119"/>
      <c r="P41" s="132">
        <v>9979</v>
      </c>
      <c r="Q41" s="111"/>
      <c r="R41" s="132"/>
      <c r="S41" s="132"/>
      <c r="T41" s="132"/>
      <c r="U41" s="132"/>
      <c r="V41" s="132"/>
      <c r="W41" s="67"/>
      <c r="X41" s="118" t="str">
        <f t="shared" si="21"/>
        <v/>
      </c>
      <c r="Y41" s="119"/>
      <c r="Z41" s="117"/>
      <c r="AA41" s="119"/>
      <c r="AB41" s="120">
        <f t="shared" si="27"/>
        <v>0</v>
      </c>
      <c r="AC41" s="135">
        <f t="shared" si="28"/>
        <v>0</v>
      </c>
      <c r="AD41" s="110"/>
      <c r="AE41" s="110"/>
      <c r="AF41" s="110"/>
      <c r="AG41" s="121"/>
    </row>
    <row r="42" spans="1:33" ht="11.25" customHeight="1" outlineLevel="1" x14ac:dyDescent="0.15">
      <c r="A42" s="110" t="s">
        <v>53</v>
      </c>
      <c r="B42" s="110"/>
      <c r="C42" s="111"/>
      <c r="D42" s="111">
        <v>2020</v>
      </c>
      <c r="E42" s="146">
        <v>43982</v>
      </c>
      <c r="F42" s="17"/>
      <c r="G42" s="111"/>
      <c r="H42" s="111"/>
      <c r="I42" s="111"/>
      <c r="J42" s="111"/>
      <c r="K42" s="112"/>
      <c r="L42" s="120"/>
      <c r="M42" s="120"/>
      <c r="N42" s="120"/>
      <c r="O42" s="119"/>
      <c r="P42" s="117"/>
      <c r="Q42" s="111"/>
      <c r="R42" s="117"/>
      <c r="S42" s="117"/>
      <c r="T42" s="117"/>
      <c r="U42" s="117"/>
      <c r="V42" s="117"/>
      <c r="X42" s="118" t="str">
        <f t="shared" si="21"/>
        <v/>
      </c>
      <c r="Y42" s="119"/>
      <c r="Z42" s="117"/>
      <c r="AA42" s="119"/>
      <c r="AB42" s="120"/>
      <c r="AC42" s="119"/>
      <c r="AD42" s="110"/>
      <c r="AE42" s="110"/>
      <c r="AF42" s="110"/>
      <c r="AG42" s="121"/>
    </row>
    <row r="43" spans="1:33" s="53" customFormat="1" ht="11.25" customHeight="1" outlineLevel="1" x14ac:dyDescent="0.15">
      <c r="A43" s="53" t="s">
        <v>72</v>
      </c>
      <c r="C43" s="54" t="s">
        <v>65</v>
      </c>
      <c r="D43" s="54">
        <v>2020</v>
      </c>
      <c r="E43" s="70">
        <v>43982</v>
      </c>
      <c r="F43" s="54"/>
      <c r="G43" s="54"/>
      <c r="H43" s="54"/>
      <c r="I43" s="54"/>
      <c r="J43" s="54"/>
      <c r="K43" s="106"/>
      <c r="L43" s="58"/>
      <c r="M43" s="58"/>
      <c r="N43" s="58"/>
      <c r="O43" s="57"/>
      <c r="P43" s="24">
        <f>SUM(P39:P42)</f>
        <v>177182.37</v>
      </c>
      <c r="Q43" s="111"/>
      <c r="R43" s="24">
        <f>SUM(R39:R42)</f>
        <v>201.75</v>
      </c>
      <c r="S43" s="24">
        <f>SUM(S39:S42)</f>
        <v>8745.0499999999993</v>
      </c>
      <c r="T43" s="24">
        <f>SUM(T39:T42)</f>
        <v>10203.530000000001</v>
      </c>
      <c r="U43" s="24">
        <f>SUM(U39:U42)</f>
        <v>46490.18</v>
      </c>
      <c r="V43" s="117"/>
      <c r="W43" s="25">
        <f>SUM(S43:U43)</f>
        <v>65438.76</v>
      </c>
      <c r="X43" s="118">
        <f t="shared" si="21"/>
        <v>43.345972738537789</v>
      </c>
      <c r="Y43" s="119"/>
      <c r="Z43" s="28"/>
      <c r="AA43" s="57"/>
      <c r="AB43" s="120">
        <f t="shared" ref="AB43:AB44" si="29">M43-W43</f>
        <v>-65438.76</v>
      </c>
      <c r="AC43" s="135">
        <f t="shared" ref="AC43:AC44" si="30">AA43-O43</f>
        <v>0</v>
      </c>
      <c r="AG43" s="61"/>
    </row>
    <row r="44" spans="1:33" s="53" customFormat="1" ht="11.25" customHeight="1" outlineLevel="1" x14ac:dyDescent="0.15">
      <c r="A44" s="53" t="s">
        <v>72</v>
      </c>
      <c r="C44" s="54" t="s">
        <v>66</v>
      </c>
      <c r="D44" s="54">
        <v>2020</v>
      </c>
      <c r="E44" s="70">
        <v>43982</v>
      </c>
      <c r="F44" s="54"/>
      <c r="G44" s="54"/>
      <c r="H44" s="54"/>
      <c r="I44" s="54"/>
      <c r="J44" s="54"/>
      <c r="K44" s="106"/>
      <c r="L44" s="58"/>
      <c r="M44" s="58"/>
      <c r="N44" s="58"/>
      <c r="O44" s="57">
        <f>((P32*O32)+(P33*O33)+(P34*O34)+(P35*O35))/P44</f>
        <v>0.55000000000000004</v>
      </c>
      <c r="P44" s="28">
        <f>P32+P33+P34+P35</f>
        <v>140418.37</v>
      </c>
      <c r="Q44" s="111"/>
      <c r="R44" s="117">
        <f>R32+R33+R34+R35</f>
        <v>67</v>
      </c>
      <c r="S44" s="117">
        <f>S32+S33+S34+S35</f>
        <v>2600.1799999999998</v>
      </c>
      <c r="T44" s="117">
        <f>T32+T33+T34+T35</f>
        <v>0</v>
      </c>
      <c r="U44" s="117">
        <f>U32+U33+U34+U35</f>
        <v>41914.01</v>
      </c>
      <c r="V44" s="117"/>
      <c r="W44" s="62">
        <f>W32+W33+W34+W35</f>
        <v>44514.19</v>
      </c>
      <c r="X44" s="118">
        <f t="shared" si="21"/>
        <v>38.808656716417907</v>
      </c>
      <c r="Y44" s="119">
        <f>U44/P44</f>
        <v>0.29849377969563384</v>
      </c>
      <c r="Z44" s="28">
        <f>P44-W44</f>
        <v>95904.18</v>
      </c>
      <c r="AA44" s="57">
        <f>Z44/P44</f>
        <v>0.682988842556711</v>
      </c>
      <c r="AB44" s="120">
        <f t="shared" si="29"/>
        <v>-44514.19</v>
      </c>
      <c r="AC44" s="135">
        <f t="shared" si="30"/>
        <v>0.13298884255671095</v>
      </c>
      <c r="AG44" s="61"/>
    </row>
    <row r="45" spans="1:33" ht="11.25" customHeight="1" outlineLevel="1" x14ac:dyDescent="0.15">
      <c r="A45" s="124" t="s">
        <v>53</v>
      </c>
      <c r="B45" s="124"/>
      <c r="C45" s="124"/>
      <c r="D45" s="124"/>
      <c r="E45" s="273"/>
      <c r="F45" s="124"/>
      <c r="G45" s="124"/>
      <c r="H45" s="124"/>
      <c r="I45" s="124"/>
      <c r="J45" s="124"/>
      <c r="K45" s="125"/>
      <c r="L45" s="220"/>
      <c r="M45" s="220"/>
      <c r="N45" s="220"/>
      <c r="O45" s="128"/>
      <c r="P45" s="225"/>
      <c r="Q45" s="124"/>
      <c r="R45" s="225"/>
      <c r="S45" s="225"/>
      <c r="T45" s="225"/>
      <c r="U45" s="225"/>
      <c r="V45" s="225"/>
      <c r="W45" s="230"/>
      <c r="X45" s="127"/>
      <c r="Y45" s="128"/>
      <c r="Z45" s="126"/>
      <c r="AA45" s="128"/>
      <c r="AB45" s="129"/>
      <c r="AC45" s="128"/>
      <c r="AD45" s="130"/>
      <c r="AE45" s="110"/>
      <c r="AF45" s="110"/>
      <c r="AG45" s="121"/>
    </row>
    <row r="46" spans="1:33" ht="11.25" customHeight="1" outlineLevel="1" x14ac:dyDescent="0.15">
      <c r="A46" s="110" t="s">
        <v>79</v>
      </c>
      <c r="B46" s="110"/>
      <c r="C46" s="111" t="s">
        <v>37</v>
      </c>
      <c r="D46" s="111">
        <v>2020</v>
      </c>
      <c r="E46" s="146">
        <v>43982</v>
      </c>
      <c r="F46" s="17">
        <v>160500</v>
      </c>
      <c r="G46" s="16">
        <v>925000310</v>
      </c>
      <c r="H46" s="16"/>
      <c r="I46" s="16"/>
      <c r="J46" s="16"/>
      <c r="K46" s="112" t="s">
        <v>80</v>
      </c>
      <c r="L46" s="120"/>
      <c r="M46" s="120"/>
      <c r="N46" s="120"/>
      <c r="O46" s="119">
        <f t="shared" ref="O46:O56" si="31">1-0.45</f>
        <v>0.55000000000000004</v>
      </c>
      <c r="P46" s="117">
        <v>22074</v>
      </c>
      <c r="Q46" s="111">
        <v>901</v>
      </c>
      <c r="R46" s="117">
        <v>8</v>
      </c>
      <c r="S46" s="117">
        <f>192.32+86.56</f>
        <v>278.88</v>
      </c>
      <c r="T46" s="131"/>
      <c r="U46" s="117">
        <v>16593.88</v>
      </c>
      <c r="V46" s="117"/>
      <c r="W46" s="26">
        <f t="shared" ref="W46:W56" si="32">SUM(S46:V46)</f>
        <v>16872.760000000002</v>
      </c>
      <c r="X46" s="118">
        <f t="shared" ref="X46:X66" si="33">IFERROR(S46/R46,"")</f>
        <v>34.86</v>
      </c>
      <c r="Y46" s="119">
        <f t="shared" ref="Y46:Y56" si="34">U46/P46</f>
        <v>0.75173869710972185</v>
      </c>
      <c r="Z46" s="117">
        <f t="shared" ref="Z46:Z56" si="35">P46-W46</f>
        <v>5201.239999999998</v>
      </c>
      <c r="AA46" s="119">
        <f t="shared" ref="AA46:AA56" si="36">Z46/P46</f>
        <v>0.23562743499139249</v>
      </c>
      <c r="AB46" s="120">
        <f t="shared" ref="AB46:AB56" si="37">M46-W46</f>
        <v>-16872.760000000002</v>
      </c>
      <c r="AC46" s="135">
        <f t="shared" ref="AC46:AC56" si="38">AA46-O46</f>
        <v>-0.31437256500860755</v>
      </c>
      <c r="AD46" s="110"/>
      <c r="AE46" s="110"/>
      <c r="AF46" s="110"/>
      <c r="AG46" s="121"/>
    </row>
    <row r="47" spans="1:33" ht="11.25" customHeight="1" outlineLevel="1" x14ac:dyDescent="0.15">
      <c r="A47" s="110" t="s">
        <v>79</v>
      </c>
      <c r="B47" s="110"/>
      <c r="C47" s="111" t="s">
        <v>47</v>
      </c>
      <c r="D47" s="111">
        <v>2020</v>
      </c>
      <c r="E47" s="146">
        <v>43982</v>
      </c>
      <c r="F47" s="17">
        <v>160500</v>
      </c>
      <c r="G47" s="16">
        <v>525000210</v>
      </c>
      <c r="H47" s="16"/>
      <c r="I47" s="16"/>
      <c r="J47" s="16"/>
      <c r="K47" s="112" t="s">
        <v>81</v>
      </c>
      <c r="L47" s="120"/>
      <c r="M47" s="120"/>
      <c r="N47" s="120"/>
      <c r="O47" s="119">
        <f t="shared" si="31"/>
        <v>0.55000000000000004</v>
      </c>
      <c r="P47" s="117">
        <v>7860</v>
      </c>
      <c r="Q47" s="111">
        <v>902</v>
      </c>
      <c r="R47" s="117">
        <v>92.5</v>
      </c>
      <c r="S47" s="117">
        <f>2859.22+1286.72</f>
        <v>4145.9399999999996</v>
      </c>
      <c r="T47" s="131">
        <v>2314.84</v>
      </c>
      <c r="U47" s="117">
        <v>1545.15</v>
      </c>
      <c r="V47" s="117"/>
      <c r="W47" s="26">
        <f t="shared" si="32"/>
        <v>8005.93</v>
      </c>
      <c r="X47" s="118">
        <f t="shared" si="33"/>
        <v>44.820972972972967</v>
      </c>
      <c r="Y47" s="119">
        <f t="shared" si="34"/>
        <v>0.19658396946564888</v>
      </c>
      <c r="Z47" s="117">
        <f t="shared" si="35"/>
        <v>-145.93000000000029</v>
      </c>
      <c r="AA47" s="119">
        <f t="shared" si="36"/>
        <v>-1.8566157760814286E-2</v>
      </c>
      <c r="AB47" s="120">
        <f t="shared" si="37"/>
        <v>-8005.93</v>
      </c>
      <c r="AC47" s="135">
        <f t="shared" si="38"/>
        <v>-0.56856615776081432</v>
      </c>
      <c r="AD47" s="110"/>
      <c r="AE47" s="110"/>
      <c r="AF47" s="110"/>
      <c r="AG47" s="121"/>
    </row>
    <row r="48" spans="1:33" ht="11.25" customHeight="1" outlineLevel="1" x14ac:dyDescent="0.15">
      <c r="A48" s="110" t="s">
        <v>79</v>
      </c>
      <c r="B48" s="110"/>
      <c r="C48" s="111" t="s">
        <v>37</v>
      </c>
      <c r="D48" s="111">
        <v>2020</v>
      </c>
      <c r="E48" s="146">
        <v>43982</v>
      </c>
      <c r="F48" s="17">
        <v>160500</v>
      </c>
      <c r="G48" s="16">
        <v>220100110</v>
      </c>
      <c r="H48" s="16"/>
      <c r="I48" s="16"/>
      <c r="J48" s="16"/>
      <c r="K48" s="112" t="s">
        <v>74</v>
      </c>
      <c r="L48" s="120"/>
      <c r="M48" s="120"/>
      <c r="N48" s="120"/>
      <c r="O48" s="119">
        <f t="shared" si="31"/>
        <v>0.55000000000000004</v>
      </c>
      <c r="P48" s="117">
        <v>6600</v>
      </c>
      <c r="Q48" s="111">
        <v>903</v>
      </c>
      <c r="R48" s="117"/>
      <c r="S48" s="117"/>
      <c r="T48" s="131"/>
      <c r="U48" s="117">
        <v>7996.56</v>
      </c>
      <c r="V48" s="117"/>
      <c r="W48" s="26">
        <f t="shared" si="32"/>
        <v>7996.56</v>
      </c>
      <c r="X48" s="118" t="str">
        <f t="shared" si="33"/>
        <v/>
      </c>
      <c r="Y48" s="119">
        <f t="shared" si="34"/>
        <v>1.2116</v>
      </c>
      <c r="Z48" s="117">
        <f t="shared" si="35"/>
        <v>-1396.5600000000004</v>
      </c>
      <c r="AA48" s="119">
        <f t="shared" si="36"/>
        <v>-0.21160000000000007</v>
      </c>
      <c r="AB48" s="120">
        <f t="shared" si="37"/>
        <v>-7996.56</v>
      </c>
      <c r="AC48" s="135">
        <f t="shared" si="38"/>
        <v>-0.76160000000000005</v>
      </c>
      <c r="AD48" s="110"/>
      <c r="AE48" s="110"/>
      <c r="AF48" s="110"/>
      <c r="AG48" s="121"/>
    </row>
    <row r="49" spans="1:33" ht="11.25" customHeight="1" outlineLevel="1" x14ac:dyDescent="0.15">
      <c r="A49" s="110" t="s">
        <v>79</v>
      </c>
      <c r="B49" s="110"/>
      <c r="C49" s="111" t="s">
        <v>37</v>
      </c>
      <c r="D49" s="111">
        <v>2020</v>
      </c>
      <c r="E49" s="146">
        <v>43982</v>
      </c>
      <c r="F49" s="17">
        <v>160500</v>
      </c>
      <c r="G49" s="16">
        <v>210500110</v>
      </c>
      <c r="H49" s="16"/>
      <c r="I49" s="16"/>
      <c r="J49" s="16"/>
      <c r="K49" s="112" t="s">
        <v>82</v>
      </c>
      <c r="L49" s="120"/>
      <c r="M49" s="120"/>
      <c r="N49" s="120"/>
      <c r="O49" s="119">
        <f t="shared" si="31"/>
        <v>0.55000000000000004</v>
      </c>
      <c r="P49" s="117">
        <v>15000</v>
      </c>
      <c r="Q49" s="111">
        <v>904</v>
      </c>
      <c r="R49" s="117"/>
      <c r="S49" s="117"/>
      <c r="T49" s="131"/>
      <c r="U49" s="117">
        <v>6055.97</v>
      </c>
      <c r="V49" s="117"/>
      <c r="W49" s="26">
        <f t="shared" si="32"/>
        <v>6055.97</v>
      </c>
      <c r="X49" s="118" t="str">
        <f t="shared" si="33"/>
        <v/>
      </c>
      <c r="Y49" s="119">
        <f t="shared" si="34"/>
        <v>0.40373133333333333</v>
      </c>
      <c r="Z49" s="117">
        <f t="shared" si="35"/>
        <v>8944.0299999999988</v>
      </c>
      <c r="AA49" s="119">
        <f t="shared" si="36"/>
        <v>0.59626866666666656</v>
      </c>
      <c r="AB49" s="120">
        <f t="shared" si="37"/>
        <v>-6055.97</v>
      </c>
      <c r="AC49" s="135">
        <f t="shared" si="38"/>
        <v>4.6268666666666514E-2</v>
      </c>
      <c r="AD49" s="110"/>
      <c r="AE49" s="110"/>
      <c r="AF49" s="110"/>
      <c r="AG49" s="121"/>
    </row>
    <row r="50" spans="1:33" ht="11.25" customHeight="1" outlineLevel="1" x14ac:dyDescent="0.15">
      <c r="A50" s="110" t="s">
        <v>79</v>
      </c>
      <c r="B50" s="110"/>
      <c r="C50" s="111" t="s">
        <v>37</v>
      </c>
      <c r="D50" s="111">
        <v>2020</v>
      </c>
      <c r="E50" s="146">
        <v>43982</v>
      </c>
      <c r="F50" s="17">
        <v>160500</v>
      </c>
      <c r="G50" s="16">
        <v>910100310</v>
      </c>
      <c r="H50" s="16"/>
      <c r="I50" s="16"/>
      <c r="J50" s="16"/>
      <c r="K50" s="112" t="s">
        <v>83</v>
      </c>
      <c r="L50" s="120"/>
      <c r="M50" s="120"/>
      <c r="N50" s="120"/>
      <c r="O50" s="119">
        <f t="shared" si="31"/>
        <v>0.55000000000000004</v>
      </c>
      <c r="P50" s="117">
        <v>42924</v>
      </c>
      <c r="Q50" s="111">
        <v>905</v>
      </c>
      <c r="R50" s="117">
        <v>5</v>
      </c>
      <c r="S50" s="117">
        <f>120.2+54.1</f>
        <v>174.3</v>
      </c>
      <c r="T50" s="131"/>
      <c r="U50" s="117">
        <v>8995.19</v>
      </c>
      <c r="V50" s="117"/>
      <c r="W50" s="26">
        <f t="shared" si="32"/>
        <v>9169.49</v>
      </c>
      <c r="X50" s="118">
        <f t="shared" si="33"/>
        <v>34.86</v>
      </c>
      <c r="Y50" s="119">
        <f t="shared" si="34"/>
        <v>0.20956085173795547</v>
      </c>
      <c r="Z50" s="117">
        <f t="shared" si="35"/>
        <v>33754.51</v>
      </c>
      <c r="AA50" s="119">
        <f t="shared" si="36"/>
        <v>0.78637848290000933</v>
      </c>
      <c r="AB50" s="120">
        <f t="shared" si="37"/>
        <v>-9169.49</v>
      </c>
      <c r="AC50" s="135">
        <f t="shared" si="38"/>
        <v>0.23637848290000929</v>
      </c>
      <c r="AD50" s="110"/>
      <c r="AE50" s="110"/>
      <c r="AF50" s="110"/>
      <c r="AG50" s="121"/>
    </row>
    <row r="51" spans="1:33" ht="11.25" customHeight="1" outlineLevel="1" x14ac:dyDescent="0.15">
      <c r="A51" s="110" t="s">
        <v>79</v>
      </c>
      <c r="B51" s="110"/>
      <c r="C51" s="111" t="s">
        <v>47</v>
      </c>
      <c r="D51" s="111">
        <v>2020</v>
      </c>
      <c r="E51" s="146">
        <v>43982</v>
      </c>
      <c r="F51" s="17">
        <v>160500</v>
      </c>
      <c r="G51" s="16">
        <v>510100210</v>
      </c>
      <c r="H51" s="16"/>
      <c r="I51" s="16"/>
      <c r="J51" s="16"/>
      <c r="K51" s="112" t="s">
        <v>81</v>
      </c>
      <c r="L51" s="120"/>
      <c r="M51" s="120"/>
      <c r="N51" s="120"/>
      <c r="O51" s="119">
        <f t="shared" si="31"/>
        <v>0.55000000000000004</v>
      </c>
      <c r="P51" s="117">
        <v>7840</v>
      </c>
      <c r="Q51" s="111">
        <v>906</v>
      </c>
      <c r="R51" s="117">
        <v>77.75</v>
      </c>
      <c r="S51" s="117">
        <f>2403.29+1081.54</f>
        <v>3484.83</v>
      </c>
      <c r="T51" s="131">
        <v>2171</v>
      </c>
      <c r="U51" s="117">
        <v>767.23</v>
      </c>
      <c r="V51" s="117"/>
      <c r="W51" s="26">
        <f t="shared" si="32"/>
        <v>6423.0599999999995</v>
      </c>
      <c r="X51" s="118">
        <f t="shared" si="33"/>
        <v>44.820964630225077</v>
      </c>
      <c r="Y51" s="119">
        <f t="shared" si="34"/>
        <v>9.7860969387755098E-2</v>
      </c>
      <c r="Z51" s="117">
        <f t="shared" si="35"/>
        <v>1416.9400000000005</v>
      </c>
      <c r="AA51" s="119">
        <f t="shared" si="36"/>
        <v>0.18073214285714292</v>
      </c>
      <c r="AB51" s="120">
        <f t="shared" si="37"/>
        <v>-6423.0599999999995</v>
      </c>
      <c r="AC51" s="135">
        <f t="shared" si="38"/>
        <v>-0.36926785714285715</v>
      </c>
      <c r="AD51" s="110"/>
      <c r="AE51" s="110"/>
      <c r="AF51" s="110"/>
      <c r="AG51" s="121"/>
    </row>
    <row r="52" spans="1:33" ht="11.25" customHeight="1" outlineLevel="1" x14ac:dyDescent="0.15">
      <c r="A52" s="110" t="s">
        <v>79</v>
      </c>
      <c r="B52" s="110"/>
      <c r="C52" s="111" t="s">
        <v>37</v>
      </c>
      <c r="D52" s="111">
        <v>2020</v>
      </c>
      <c r="E52" s="146">
        <v>43982</v>
      </c>
      <c r="F52" s="17">
        <v>160500</v>
      </c>
      <c r="G52" s="16">
        <v>940000310</v>
      </c>
      <c r="H52" s="16"/>
      <c r="I52" s="16"/>
      <c r="J52" s="16"/>
      <c r="K52" s="112" t="s">
        <v>84</v>
      </c>
      <c r="L52" s="219"/>
      <c r="M52" s="219"/>
      <c r="N52" s="219"/>
      <c r="O52" s="119">
        <f t="shared" si="31"/>
        <v>0.55000000000000004</v>
      </c>
      <c r="P52" s="132">
        <v>42924</v>
      </c>
      <c r="Q52" s="111">
        <v>907</v>
      </c>
      <c r="R52" s="132">
        <v>5.5</v>
      </c>
      <c r="S52" s="132">
        <f>132.22+59.51</f>
        <v>191.73</v>
      </c>
      <c r="T52" s="154"/>
      <c r="U52" s="132">
        <v>9545.98</v>
      </c>
      <c r="V52" s="132"/>
      <c r="W52" s="67">
        <f t="shared" si="32"/>
        <v>9737.7099999999991</v>
      </c>
      <c r="X52" s="118">
        <f t="shared" si="33"/>
        <v>34.86</v>
      </c>
      <c r="Y52" s="119">
        <f t="shared" si="34"/>
        <v>0.22239260087596682</v>
      </c>
      <c r="Z52" s="117">
        <f t="shared" si="35"/>
        <v>33186.29</v>
      </c>
      <c r="AA52" s="119">
        <f t="shared" si="36"/>
        <v>0.77314066722579444</v>
      </c>
      <c r="AB52" s="120">
        <f t="shared" si="37"/>
        <v>-9737.7099999999991</v>
      </c>
      <c r="AC52" s="135">
        <f t="shared" si="38"/>
        <v>0.2231406672257944</v>
      </c>
      <c r="AD52" s="110"/>
      <c r="AE52" s="110"/>
      <c r="AF52" s="110"/>
      <c r="AG52" s="121"/>
    </row>
    <row r="53" spans="1:33" ht="11.25" customHeight="1" outlineLevel="1" x14ac:dyDescent="0.15">
      <c r="A53" s="110" t="s">
        <v>79</v>
      </c>
      <c r="B53" s="110"/>
      <c r="C53" s="111" t="s">
        <v>47</v>
      </c>
      <c r="D53" s="111">
        <v>2020</v>
      </c>
      <c r="E53" s="146">
        <v>43982</v>
      </c>
      <c r="F53" s="17">
        <v>160500</v>
      </c>
      <c r="G53" s="16">
        <v>540000210</v>
      </c>
      <c r="H53" s="16"/>
      <c r="I53" s="16"/>
      <c r="J53" s="16"/>
      <c r="K53" s="112" t="s">
        <v>81</v>
      </c>
      <c r="L53" s="120"/>
      <c r="M53" s="120"/>
      <c r="N53" s="120"/>
      <c r="O53" s="119">
        <f t="shared" si="31"/>
        <v>0.55000000000000004</v>
      </c>
      <c r="P53" s="117">
        <v>7840</v>
      </c>
      <c r="Q53" s="111">
        <v>908</v>
      </c>
      <c r="R53" s="117">
        <v>146.25</v>
      </c>
      <c r="S53" s="117">
        <f>4520.62+2034.37</f>
        <v>6554.99</v>
      </c>
      <c r="T53" s="131">
        <v>2296.2600000000002</v>
      </c>
      <c r="U53" s="117">
        <v>1912.12</v>
      </c>
      <c r="V53" s="117"/>
      <c r="W53" s="26">
        <f t="shared" si="32"/>
        <v>10763.369999999999</v>
      </c>
      <c r="X53" s="118">
        <f t="shared" si="33"/>
        <v>44.820444444444441</v>
      </c>
      <c r="Y53" s="119">
        <f t="shared" si="34"/>
        <v>0.24389285714285713</v>
      </c>
      <c r="Z53" s="117">
        <f t="shared" si="35"/>
        <v>-2923.369999999999</v>
      </c>
      <c r="AA53" s="119">
        <f t="shared" si="36"/>
        <v>-0.37287882653061211</v>
      </c>
      <c r="AB53" s="120">
        <f t="shared" si="37"/>
        <v>-10763.369999999999</v>
      </c>
      <c r="AC53" s="135">
        <f t="shared" si="38"/>
        <v>-0.92287882653061215</v>
      </c>
      <c r="AD53" s="110"/>
      <c r="AE53" s="110"/>
      <c r="AF53" s="110"/>
      <c r="AG53" s="121"/>
    </row>
    <row r="54" spans="1:33" ht="11.25" customHeight="1" outlineLevel="1" x14ac:dyDescent="0.15">
      <c r="A54" s="110" t="s">
        <v>79</v>
      </c>
      <c r="B54" s="110"/>
      <c r="C54" s="111" t="s">
        <v>49</v>
      </c>
      <c r="D54" s="111">
        <v>2020</v>
      </c>
      <c r="E54" s="146">
        <v>43982</v>
      </c>
      <c r="F54" s="17">
        <v>160500</v>
      </c>
      <c r="G54" s="16">
        <v>616420120</v>
      </c>
      <c r="H54" s="16"/>
      <c r="I54" s="16"/>
      <c r="J54" s="16"/>
      <c r="K54" s="112" t="s">
        <v>85</v>
      </c>
      <c r="L54" s="120"/>
      <c r="M54" s="120"/>
      <c r="N54" s="120"/>
      <c r="O54" s="119">
        <f t="shared" si="31"/>
        <v>0.55000000000000004</v>
      </c>
      <c r="P54" s="117">
        <v>6655</v>
      </c>
      <c r="Q54" s="111">
        <v>909</v>
      </c>
      <c r="R54" s="117">
        <v>16</v>
      </c>
      <c r="S54" s="117">
        <f>628.48+282.88</f>
        <v>911.36</v>
      </c>
      <c r="T54" s="131">
        <v>960</v>
      </c>
      <c r="U54" s="117">
        <v>1045.75</v>
      </c>
      <c r="V54" s="117"/>
      <c r="W54" s="26">
        <f t="shared" si="32"/>
        <v>2917.11</v>
      </c>
      <c r="X54" s="118">
        <f t="shared" si="33"/>
        <v>56.96</v>
      </c>
      <c r="Y54" s="119">
        <f t="shared" si="34"/>
        <v>0.15713749060856499</v>
      </c>
      <c r="Z54" s="117">
        <f t="shared" si="35"/>
        <v>3737.89</v>
      </c>
      <c r="AA54" s="119">
        <f t="shared" si="36"/>
        <v>0.56166641622839963</v>
      </c>
      <c r="AB54" s="120">
        <f t="shared" si="37"/>
        <v>-2917.11</v>
      </c>
      <c r="AC54" s="135">
        <f t="shared" si="38"/>
        <v>1.166641622839959E-2</v>
      </c>
      <c r="AD54" s="110"/>
      <c r="AE54" s="110"/>
      <c r="AF54" s="110"/>
      <c r="AG54" s="121"/>
    </row>
    <row r="55" spans="1:33" ht="11.25" customHeight="1" outlineLevel="1" x14ac:dyDescent="0.15">
      <c r="A55" s="110" t="s">
        <v>79</v>
      </c>
      <c r="B55" s="110"/>
      <c r="C55" s="111" t="s">
        <v>49</v>
      </c>
      <c r="D55" s="111">
        <v>2020</v>
      </c>
      <c r="E55" s="146">
        <v>43982</v>
      </c>
      <c r="F55" s="17">
        <v>160500</v>
      </c>
      <c r="G55" s="16">
        <v>626420120</v>
      </c>
      <c r="H55" s="16"/>
      <c r="I55" s="16"/>
      <c r="J55" s="16"/>
      <c r="K55" s="112" t="s">
        <v>85</v>
      </c>
      <c r="L55" s="120"/>
      <c r="M55" s="120"/>
      <c r="N55" s="120"/>
      <c r="O55" s="119">
        <f t="shared" si="31"/>
        <v>0.55000000000000004</v>
      </c>
      <c r="P55" s="117">
        <v>6655</v>
      </c>
      <c r="Q55" s="111">
        <v>910</v>
      </c>
      <c r="R55" s="117">
        <v>16</v>
      </c>
      <c r="S55" s="117">
        <f>628.48+282.88</f>
        <v>911.36</v>
      </c>
      <c r="T55" s="131">
        <v>960</v>
      </c>
      <c r="U55" s="117">
        <v>1045.76</v>
      </c>
      <c r="V55" s="117"/>
      <c r="W55" s="26">
        <f t="shared" si="32"/>
        <v>2917.12</v>
      </c>
      <c r="X55" s="118">
        <f t="shared" si="33"/>
        <v>56.96</v>
      </c>
      <c r="Y55" s="119">
        <f t="shared" si="34"/>
        <v>0.1571389932381668</v>
      </c>
      <c r="Z55" s="117">
        <f t="shared" si="35"/>
        <v>3737.88</v>
      </c>
      <c r="AA55" s="119">
        <f t="shared" si="36"/>
        <v>0.56166491359879789</v>
      </c>
      <c r="AB55" s="120">
        <f t="shared" si="37"/>
        <v>-2917.12</v>
      </c>
      <c r="AC55" s="135">
        <f t="shared" si="38"/>
        <v>1.1664913598797844E-2</v>
      </c>
      <c r="AD55" s="110"/>
      <c r="AE55" s="110"/>
      <c r="AF55" s="110"/>
      <c r="AG55" s="121"/>
    </row>
    <row r="56" spans="1:33" ht="11.25" customHeight="1" outlineLevel="1" x14ac:dyDescent="0.15">
      <c r="A56" s="110" t="s">
        <v>79</v>
      </c>
      <c r="B56" s="110"/>
      <c r="C56" s="111" t="s">
        <v>49</v>
      </c>
      <c r="D56" s="111">
        <v>2020</v>
      </c>
      <c r="E56" s="146">
        <v>43982</v>
      </c>
      <c r="F56" s="17">
        <v>160500</v>
      </c>
      <c r="G56" s="16">
        <v>646620120</v>
      </c>
      <c r="H56" s="16"/>
      <c r="I56" s="16"/>
      <c r="J56" s="16"/>
      <c r="K56" s="112" t="s">
        <v>85</v>
      </c>
      <c r="L56" s="120"/>
      <c r="M56" s="120"/>
      <c r="N56" s="120"/>
      <c r="O56" s="119">
        <f t="shared" si="31"/>
        <v>0.55000000000000004</v>
      </c>
      <c r="P56" s="117">
        <v>19965</v>
      </c>
      <c r="Q56" s="111">
        <v>911</v>
      </c>
      <c r="R56" s="117">
        <v>16</v>
      </c>
      <c r="S56" s="117">
        <f>628.48+282.88</f>
        <v>911.36</v>
      </c>
      <c r="T56" s="131">
        <v>998.41</v>
      </c>
      <c r="U56" s="117">
        <v>2399.4499999999998</v>
      </c>
      <c r="V56" s="117"/>
      <c r="W56" s="26">
        <f t="shared" si="32"/>
        <v>4309.2199999999993</v>
      </c>
      <c r="X56" s="118">
        <f t="shared" si="33"/>
        <v>56.96</v>
      </c>
      <c r="Y56" s="119">
        <f t="shared" si="34"/>
        <v>0.12018281993488604</v>
      </c>
      <c r="Z56" s="117">
        <f t="shared" si="35"/>
        <v>15655.78</v>
      </c>
      <c r="AA56" s="119">
        <f t="shared" si="36"/>
        <v>0.78416128224392689</v>
      </c>
      <c r="AB56" s="120">
        <f t="shared" si="37"/>
        <v>-4309.2199999999993</v>
      </c>
      <c r="AC56" s="135">
        <f t="shared" si="38"/>
        <v>0.23416128224392685</v>
      </c>
      <c r="AD56" s="110"/>
      <c r="AE56" s="110"/>
      <c r="AF56" s="110"/>
      <c r="AG56" s="121"/>
    </row>
    <row r="57" spans="1:33" ht="11.25" customHeight="1" outlineLevel="1" x14ac:dyDescent="0.15">
      <c r="A57" s="110" t="s">
        <v>53</v>
      </c>
      <c r="B57" s="110"/>
      <c r="C57" s="111"/>
      <c r="D57" s="111">
        <v>2020</v>
      </c>
      <c r="E57" s="146">
        <v>43982</v>
      </c>
      <c r="F57" s="17"/>
      <c r="G57" s="111"/>
      <c r="H57" s="111"/>
      <c r="I57" s="111"/>
      <c r="J57" s="111"/>
      <c r="K57" s="112"/>
      <c r="L57" s="120"/>
      <c r="M57" s="120"/>
      <c r="N57" s="120"/>
      <c r="O57" s="119"/>
      <c r="P57" s="117"/>
      <c r="Q57" s="111"/>
      <c r="R57" s="117"/>
      <c r="S57" s="117"/>
      <c r="T57" s="117"/>
      <c r="U57" s="117"/>
      <c r="V57" s="117"/>
      <c r="X57" s="118" t="str">
        <f t="shared" si="33"/>
        <v/>
      </c>
      <c r="Y57" s="119"/>
      <c r="Z57" s="117"/>
      <c r="AA57" s="119"/>
      <c r="AB57" s="120"/>
      <c r="AC57" s="119"/>
      <c r="AD57" s="110"/>
      <c r="AE57" s="110"/>
      <c r="AF57" s="110"/>
      <c r="AG57" s="121"/>
    </row>
    <row r="58" spans="1:33" s="53" customFormat="1" ht="11.25" customHeight="1" outlineLevel="1" x14ac:dyDescent="0.15">
      <c r="A58" s="53" t="s">
        <v>79</v>
      </c>
      <c r="C58" s="54" t="s">
        <v>54</v>
      </c>
      <c r="D58" s="54">
        <v>2020</v>
      </c>
      <c r="E58" s="70">
        <v>43982</v>
      </c>
      <c r="F58" s="210">
        <v>160500</v>
      </c>
      <c r="G58" s="54"/>
      <c r="H58" s="54"/>
      <c r="I58" s="54"/>
      <c r="J58" s="54"/>
      <c r="K58" s="106"/>
      <c r="L58" s="93"/>
      <c r="M58" s="93"/>
      <c r="N58" s="93"/>
      <c r="O58" s="57">
        <f>((P46*O46)+(P48*O48)+(P49*O49)+(P50*O50)+(P52*O52))/P58</f>
        <v>0.38230249494196</v>
      </c>
      <c r="P58" s="24">
        <f>SUM(P46:P56)</f>
        <v>186337</v>
      </c>
      <c r="Q58" s="111"/>
      <c r="R58" s="24">
        <f>SUM(R46:R56)</f>
        <v>383</v>
      </c>
      <c r="S58" s="24">
        <f>SUM(S46:S52)</f>
        <v>8275.68</v>
      </c>
      <c r="T58" s="24">
        <f>SUM(T46:T52)</f>
        <v>4485.84</v>
      </c>
      <c r="U58" s="24">
        <f>SUM(U46:U56)</f>
        <v>57903.040000000008</v>
      </c>
      <c r="V58" s="132"/>
      <c r="W58" s="25">
        <f>SUM(W46:W52)</f>
        <v>64261.479999999996</v>
      </c>
      <c r="X58" s="118">
        <f t="shared" si="33"/>
        <v>21.60751958224543</v>
      </c>
      <c r="Y58" s="119">
        <f>U58/P58</f>
        <v>0.31074365262937587</v>
      </c>
      <c r="Z58" s="28">
        <f>P58-W58</f>
        <v>122075.52</v>
      </c>
      <c r="AA58" s="57">
        <f>Z58/P58</f>
        <v>0.65513301169386651</v>
      </c>
      <c r="AB58" s="120">
        <f t="shared" ref="AB58:AB60" si="39">M58-W58</f>
        <v>-64261.479999999996</v>
      </c>
      <c r="AC58" s="135">
        <f t="shared" ref="AC58:AC60" si="40">AA58-O58</f>
        <v>0.2728305167519065</v>
      </c>
      <c r="AG58" s="61"/>
    </row>
    <row r="59" spans="1:33" ht="11.25" customHeight="1" outlineLevel="1" x14ac:dyDescent="0.15">
      <c r="A59" s="110" t="s">
        <v>79</v>
      </c>
      <c r="B59" s="110"/>
      <c r="C59" s="111" t="s">
        <v>55</v>
      </c>
      <c r="D59" s="111">
        <v>2020</v>
      </c>
      <c r="E59" s="146">
        <v>43982</v>
      </c>
      <c r="F59" s="17">
        <v>160500</v>
      </c>
      <c r="G59" s="111" t="s">
        <v>56</v>
      </c>
      <c r="H59" s="111"/>
      <c r="I59" s="111"/>
      <c r="J59" s="111"/>
      <c r="K59" s="112" t="s">
        <v>71</v>
      </c>
      <c r="L59" s="120"/>
      <c r="M59" s="120"/>
      <c r="N59" s="120"/>
      <c r="O59" s="119">
        <v>0</v>
      </c>
      <c r="P59" s="131">
        <v>7860</v>
      </c>
      <c r="Q59" s="111">
        <v>912</v>
      </c>
      <c r="R59" s="117">
        <v>46.5</v>
      </c>
      <c r="S59" s="117">
        <f>1278.75+575.67</f>
        <v>1854.42</v>
      </c>
      <c r="T59" s="117">
        <v>5091.62</v>
      </c>
      <c r="U59" s="117">
        <v>806.07</v>
      </c>
      <c r="V59" s="117"/>
      <c r="W59" s="26">
        <f>SUM(S59:U59)</f>
        <v>7752.11</v>
      </c>
      <c r="X59" s="118">
        <f t="shared" si="33"/>
        <v>39.880000000000003</v>
      </c>
      <c r="Y59" s="119">
        <f>U59/P59</f>
        <v>0.10255343511450382</v>
      </c>
      <c r="Z59" s="117">
        <f>P59-W59</f>
        <v>107.89000000000033</v>
      </c>
      <c r="AA59" s="119">
        <f>Z59/P59</f>
        <v>1.3726463104325742E-2</v>
      </c>
      <c r="AB59" s="120">
        <f t="shared" si="39"/>
        <v>-7752.11</v>
      </c>
      <c r="AC59" s="135">
        <f t="shared" si="40"/>
        <v>1.3726463104325742E-2</v>
      </c>
      <c r="AD59" s="110"/>
      <c r="AE59" s="110"/>
      <c r="AF59" s="110"/>
      <c r="AG59" s="121"/>
    </row>
    <row r="60" spans="1:33" ht="11.25" customHeight="1" outlineLevel="1" x14ac:dyDescent="0.15">
      <c r="A60" s="110" t="s">
        <v>79</v>
      </c>
      <c r="B60" s="110"/>
      <c r="C60" s="111" t="s">
        <v>58</v>
      </c>
      <c r="D60" s="111">
        <v>2020</v>
      </c>
      <c r="E60" s="146">
        <v>43982</v>
      </c>
      <c r="F60" s="17">
        <v>160500</v>
      </c>
      <c r="G60" s="17" t="s">
        <v>50</v>
      </c>
      <c r="H60" s="17"/>
      <c r="I60" s="17"/>
      <c r="J60" s="17"/>
      <c r="K60" s="112" t="s">
        <v>86</v>
      </c>
      <c r="L60" s="120"/>
      <c r="M60" s="120"/>
      <c r="N60" s="120"/>
      <c r="O60" s="119"/>
      <c r="P60" s="117">
        <v>17194</v>
      </c>
      <c r="Q60" s="111"/>
      <c r="R60" s="117"/>
      <c r="S60" s="117"/>
      <c r="T60" s="117"/>
      <c r="U60" s="117"/>
      <c r="V60" s="117"/>
      <c r="X60" s="118" t="str">
        <f t="shared" si="33"/>
        <v/>
      </c>
      <c r="Y60" s="119"/>
      <c r="Z60" s="117"/>
      <c r="AA60" s="119"/>
      <c r="AB60" s="120">
        <f t="shared" si="39"/>
        <v>0</v>
      </c>
      <c r="AC60" s="135">
        <f t="shared" si="40"/>
        <v>0</v>
      </c>
      <c r="AD60" s="110"/>
      <c r="AE60" s="110"/>
      <c r="AF60" s="110"/>
      <c r="AG60" s="121"/>
    </row>
    <row r="61" spans="1:33" ht="11.25" customHeight="1" outlineLevel="1" x14ac:dyDescent="0.15">
      <c r="A61" s="110" t="s">
        <v>79</v>
      </c>
      <c r="B61" s="110"/>
      <c r="C61" s="111" t="s">
        <v>58</v>
      </c>
      <c r="D61" s="111">
        <v>2020</v>
      </c>
      <c r="E61" s="146">
        <v>43982</v>
      </c>
      <c r="F61" s="17">
        <v>160500</v>
      </c>
      <c r="G61" s="17" t="s">
        <v>87</v>
      </c>
      <c r="H61" s="17"/>
      <c r="I61" s="17"/>
      <c r="J61" s="17"/>
      <c r="K61" s="112" t="s">
        <v>86</v>
      </c>
      <c r="L61" s="120"/>
      <c r="M61" s="120"/>
      <c r="N61" s="120"/>
      <c r="O61" s="119"/>
      <c r="P61" s="117">
        <v>17194</v>
      </c>
      <c r="Q61" s="111"/>
      <c r="R61" s="117"/>
      <c r="S61" s="117"/>
      <c r="T61" s="117"/>
      <c r="U61" s="117"/>
      <c r="V61" s="117"/>
      <c r="X61" s="118" t="str">
        <f t="shared" si="33"/>
        <v/>
      </c>
      <c r="Y61" s="119"/>
      <c r="Z61" s="117"/>
      <c r="AA61" s="119"/>
      <c r="AB61" s="120"/>
      <c r="AC61" s="119"/>
      <c r="AD61" s="110"/>
      <c r="AE61" s="110"/>
      <c r="AF61" s="110"/>
      <c r="AG61" s="121"/>
    </row>
    <row r="62" spans="1:33" ht="11.25" customHeight="1" outlineLevel="1" x14ac:dyDescent="0.15">
      <c r="A62" s="110" t="s">
        <v>79</v>
      </c>
      <c r="B62" s="110"/>
      <c r="C62" s="111" t="s">
        <v>58</v>
      </c>
      <c r="D62" s="111">
        <v>2020</v>
      </c>
      <c r="E62" s="146">
        <v>43982</v>
      </c>
      <c r="F62" s="17">
        <v>160500</v>
      </c>
      <c r="G62" s="17" t="s">
        <v>88</v>
      </c>
      <c r="H62" s="17"/>
      <c r="I62" s="17"/>
      <c r="J62" s="17"/>
      <c r="K62" s="112" t="s">
        <v>86</v>
      </c>
      <c r="L62" s="219"/>
      <c r="M62" s="219"/>
      <c r="N62" s="219"/>
      <c r="O62" s="119"/>
      <c r="P62" s="132">
        <v>15543</v>
      </c>
      <c r="Q62" s="111"/>
      <c r="R62" s="132"/>
      <c r="S62" s="132"/>
      <c r="T62" s="132"/>
      <c r="U62" s="132"/>
      <c r="V62" s="132"/>
      <c r="W62" s="67"/>
      <c r="X62" s="118" t="str">
        <f t="shared" si="33"/>
        <v/>
      </c>
      <c r="Y62" s="119"/>
      <c r="Z62" s="117"/>
      <c r="AA62" s="119"/>
      <c r="AB62" s="120"/>
      <c r="AC62" s="119"/>
      <c r="AD62" s="110"/>
      <c r="AE62" s="110"/>
      <c r="AF62" s="110"/>
      <c r="AG62" s="121"/>
    </row>
    <row r="63" spans="1:33" ht="11.25" customHeight="1" outlineLevel="1" x14ac:dyDescent="0.15">
      <c r="A63" s="110" t="s">
        <v>79</v>
      </c>
      <c r="B63" s="110"/>
      <c r="C63" s="111" t="s">
        <v>61</v>
      </c>
      <c r="D63" s="111">
        <v>2020</v>
      </c>
      <c r="E63" s="146">
        <v>43982</v>
      </c>
      <c r="F63" s="17">
        <v>160500</v>
      </c>
      <c r="G63" s="17" t="s">
        <v>89</v>
      </c>
      <c r="H63" s="17"/>
      <c r="I63" s="111" t="str">
        <f>MID(G63,3,1)</f>
        <v>1</v>
      </c>
      <c r="J63" s="111" t="str">
        <f>IF(I63="1","Small/Medium","Large")</f>
        <v>Small/Medium</v>
      </c>
      <c r="K63" s="112" t="s">
        <v>64</v>
      </c>
      <c r="L63" s="120">
        <f>P63</f>
        <v>9680</v>
      </c>
      <c r="M63" s="120">
        <f>L63*0.3</f>
        <v>2904</v>
      </c>
      <c r="N63" s="120">
        <f>L63-M63</f>
        <v>6776</v>
      </c>
      <c r="O63" s="135">
        <f>N63/L63</f>
        <v>0.7</v>
      </c>
      <c r="P63" s="117">
        <v>9680</v>
      </c>
      <c r="Q63" s="111"/>
      <c r="R63" s="117"/>
      <c r="S63" s="117"/>
      <c r="T63" s="117"/>
      <c r="U63" s="117"/>
      <c r="V63" s="117"/>
      <c r="W63" s="26">
        <f>SUM(S63:V63)</f>
        <v>0</v>
      </c>
      <c r="X63" s="118" t="str">
        <f t="shared" si="33"/>
        <v/>
      </c>
      <c r="Y63" s="119"/>
      <c r="Z63" s="117">
        <f>P63-W63</f>
        <v>9680</v>
      </c>
      <c r="AA63" s="119">
        <f>Z63/P63</f>
        <v>1</v>
      </c>
      <c r="AB63" s="120">
        <f t="shared" ref="AB63:AB66" si="41">M63-W63</f>
        <v>2904</v>
      </c>
      <c r="AC63" s="135">
        <f t="shared" ref="AC63:AC66" si="42">AA63-O63</f>
        <v>0.30000000000000004</v>
      </c>
      <c r="AD63" s="110"/>
      <c r="AE63" s="110"/>
      <c r="AF63" s="110"/>
      <c r="AG63" s="121"/>
    </row>
    <row r="64" spans="1:33" ht="11.25" customHeight="1" outlineLevel="1" x14ac:dyDescent="0.15">
      <c r="A64" s="110" t="s">
        <v>79</v>
      </c>
      <c r="B64" s="110"/>
      <c r="C64" s="111" t="s">
        <v>61</v>
      </c>
      <c r="D64" s="111">
        <v>2020</v>
      </c>
      <c r="E64" s="146">
        <v>43982</v>
      </c>
      <c r="F64" s="17">
        <v>160500</v>
      </c>
      <c r="G64" s="17" t="s">
        <v>90</v>
      </c>
      <c r="H64" s="17"/>
      <c r="I64" s="111" t="str">
        <f>MID(G64,3,1)</f>
        <v>2</v>
      </c>
      <c r="J64" s="111" t="str">
        <f>IF(I64="1","Small/Medium","Large")</f>
        <v>Large</v>
      </c>
      <c r="K64" s="112" t="s">
        <v>64</v>
      </c>
      <c r="L64" s="120">
        <f>P64</f>
        <v>9680</v>
      </c>
      <c r="M64" s="120">
        <f>L64*0.3</f>
        <v>2904</v>
      </c>
      <c r="N64" s="120">
        <f>L64-M64</f>
        <v>6776</v>
      </c>
      <c r="O64" s="135">
        <f>N64/L64</f>
        <v>0.7</v>
      </c>
      <c r="P64" s="117">
        <v>9680</v>
      </c>
      <c r="Q64" s="111"/>
      <c r="R64" s="117"/>
      <c r="S64" s="117"/>
      <c r="T64" s="117"/>
      <c r="U64" s="117"/>
      <c r="V64" s="117"/>
      <c r="W64" s="26">
        <f>SUM(S64:V64)</f>
        <v>0</v>
      </c>
      <c r="X64" s="118" t="str">
        <f t="shared" si="33"/>
        <v/>
      </c>
      <c r="Y64" s="119"/>
      <c r="Z64" s="117">
        <f>P64-W64</f>
        <v>9680</v>
      </c>
      <c r="AA64" s="119">
        <f>Z64/P64</f>
        <v>1</v>
      </c>
      <c r="AB64" s="120">
        <f t="shared" si="41"/>
        <v>2904</v>
      </c>
      <c r="AC64" s="135">
        <f t="shared" si="42"/>
        <v>0.30000000000000004</v>
      </c>
      <c r="AD64" s="110"/>
      <c r="AE64" s="110"/>
      <c r="AF64" s="110"/>
      <c r="AG64" s="121"/>
    </row>
    <row r="65" spans="1:33" s="53" customFormat="1" ht="11.25" customHeight="1" outlineLevel="1" x14ac:dyDescent="0.15">
      <c r="A65" s="53" t="s">
        <v>79</v>
      </c>
      <c r="C65" s="54" t="s">
        <v>65</v>
      </c>
      <c r="D65" s="54">
        <v>2020</v>
      </c>
      <c r="E65" s="70">
        <v>43982</v>
      </c>
      <c r="F65" s="54"/>
      <c r="G65" s="198"/>
      <c r="H65" s="198"/>
      <c r="I65" s="198"/>
      <c r="J65" s="198"/>
      <c r="K65" s="106"/>
      <c r="L65" s="58"/>
      <c r="M65" s="58"/>
      <c r="N65" s="58"/>
      <c r="O65" s="57"/>
      <c r="P65" s="24">
        <f>SUM(P58:P64)</f>
        <v>263488</v>
      </c>
      <c r="Q65" s="111"/>
      <c r="R65" s="24">
        <f>SUM(R58:R64)</f>
        <v>429.5</v>
      </c>
      <c r="S65" s="24">
        <f>SUM(S58:S64)</f>
        <v>10130.1</v>
      </c>
      <c r="T65" s="24">
        <f>SUM(T58:T64)</f>
        <v>9577.4599999999991</v>
      </c>
      <c r="U65" s="24">
        <f>SUM(U58:U64)</f>
        <v>58709.110000000008</v>
      </c>
      <c r="V65" s="117"/>
      <c r="W65" s="25">
        <f>SUM(S65:U65)</f>
        <v>78416.670000000013</v>
      </c>
      <c r="X65" s="118">
        <f t="shared" si="33"/>
        <v>23.585797438882423</v>
      </c>
      <c r="Y65" s="119"/>
      <c r="Z65" s="28"/>
      <c r="AA65" s="57"/>
      <c r="AB65" s="120">
        <f t="shared" si="41"/>
        <v>-78416.670000000013</v>
      </c>
      <c r="AC65" s="135">
        <f t="shared" si="42"/>
        <v>0</v>
      </c>
      <c r="AG65" s="61"/>
    </row>
    <row r="66" spans="1:33" s="53" customFormat="1" ht="11.25" customHeight="1" outlineLevel="1" x14ac:dyDescent="0.15">
      <c r="A66" s="53" t="s">
        <v>79</v>
      </c>
      <c r="C66" s="54" t="s">
        <v>66</v>
      </c>
      <c r="D66" s="54">
        <v>2020</v>
      </c>
      <c r="E66" s="70">
        <v>43982</v>
      </c>
      <c r="F66" s="54"/>
      <c r="G66" s="54"/>
      <c r="H66" s="54"/>
      <c r="I66" s="54"/>
      <c r="J66" s="54"/>
      <c r="K66" s="106"/>
      <c r="L66" s="93"/>
      <c r="M66" s="93"/>
      <c r="N66" s="93"/>
      <c r="O66" s="57">
        <f>((P45*O45)+(P46*O46)+(P48*O48)+(P49*O49)+(P50*O50)+(P52*O52))/P66</f>
        <v>0.55000000000000004</v>
      </c>
      <c r="P66" s="64">
        <f>P46+P48+P49+P50+P52</f>
        <v>129522</v>
      </c>
      <c r="Q66" s="111"/>
      <c r="R66" s="132">
        <f>R46+R48+R49+R50+R52</f>
        <v>18.5</v>
      </c>
      <c r="S66" s="132">
        <f>S46+S48+S49+S50+S52</f>
        <v>644.91</v>
      </c>
      <c r="T66" s="132">
        <f>T46+T48+T49+T50+T52</f>
        <v>0</v>
      </c>
      <c r="U66" s="132">
        <f>U46+U48+U49+U50+U52</f>
        <v>49187.58</v>
      </c>
      <c r="V66" s="132"/>
      <c r="W66" s="68">
        <f>W46+W48+W49+W50+W52</f>
        <v>49832.490000000005</v>
      </c>
      <c r="X66" s="118">
        <f t="shared" si="33"/>
        <v>34.86</v>
      </c>
      <c r="Y66" s="119">
        <f>U66/P66</f>
        <v>0.37976235697410482</v>
      </c>
      <c r="Z66" s="28">
        <f>P66-W66</f>
        <v>79689.509999999995</v>
      </c>
      <c r="AA66" s="57">
        <f>Z66/P66</f>
        <v>0.61525848890535961</v>
      </c>
      <c r="AB66" s="120">
        <f t="shared" si="41"/>
        <v>-49832.490000000005</v>
      </c>
      <c r="AC66" s="135">
        <f t="shared" si="42"/>
        <v>6.5258488905359568E-2</v>
      </c>
      <c r="AG66" s="61"/>
    </row>
    <row r="67" spans="1:33" ht="11.25" customHeight="1" outlineLevel="1" x14ac:dyDescent="0.15">
      <c r="A67" s="124" t="s">
        <v>53</v>
      </c>
      <c r="B67" s="124"/>
      <c r="C67" s="124"/>
      <c r="D67" s="124"/>
      <c r="E67" s="273"/>
      <c r="F67" s="124"/>
      <c r="G67" s="124"/>
      <c r="H67" s="124"/>
      <c r="I67" s="124"/>
      <c r="J67" s="124"/>
      <c r="K67" s="125"/>
      <c r="L67" s="129"/>
      <c r="M67" s="129"/>
      <c r="N67" s="129"/>
      <c r="O67" s="128"/>
      <c r="P67" s="126"/>
      <c r="Q67" s="124"/>
      <c r="R67" s="126"/>
      <c r="S67" s="126"/>
      <c r="T67" s="126"/>
      <c r="U67" s="126"/>
      <c r="V67" s="126"/>
      <c r="W67" s="49"/>
      <c r="X67" s="127"/>
      <c r="Y67" s="128"/>
      <c r="Z67" s="126"/>
      <c r="AA67" s="128"/>
      <c r="AB67" s="129"/>
      <c r="AC67" s="128"/>
      <c r="AD67" s="130"/>
      <c r="AE67" s="110"/>
      <c r="AF67" s="110"/>
      <c r="AG67" s="121"/>
    </row>
    <row r="68" spans="1:33" ht="11.25" customHeight="1" outlineLevel="1" x14ac:dyDescent="0.15">
      <c r="A68" s="110" t="s">
        <v>91</v>
      </c>
      <c r="B68" s="110"/>
      <c r="C68" s="111" t="s">
        <v>49</v>
      </c>
      <c r="D68" s="111">
        <v>2020</v>
      </c>
      <c r="E68" s="146">
        <v>43982</v>
      </c>
      <c r="F68" s="17">
        <v>160463</v>
      </c>
      <c r="G68" s="17">
        <v>616200120</v>
      </c>
      <c r="H68" s="17"/>
      <c r="I68" s="17"/>
      <c r="J68" s="17"/>
      <c r="K68" s="112" t="s">
        <v>77</v>
      </c>
      <c r="L68" s="120"/>
      <c r="M68" s="120"/>
      <c r="N68" s="120"/>
      <c r="O68" s="119">
        <f>1-0.529</f>
        <v>0.47099999999999997</v>
      </c>
      <c r="P68" s="117">
        <v>6584.76</v>
      </c>
      <c r="Q68" s="111">
        <v>921</v>
      </c>
      <c r="R68" s="117">
        <v>32</v>
      </c>
      <c r="S68" s="117">
        <f>1256.96+565.76</f>
        <v>1822.72</v>
      </c>
      <c r="T68" s="117">
        <v>718</v>
      </c>
      <c r="U68" s="117"/>
      <c r="V68" s="117"/>
      <c r="W68" s="26">
        <f t="shared" ref="W68:W73" si="43">SUM(S68:V68)</f>
        <v>2540.7200000000003</v>
      </c>
      <c r="X68" s="118">
        <f t="shared" ref="X68:X81" si="44">IFERROR(S68/R68,"")</f>
        <v>56.96</v>
      </c>
      <c r="Y68" s="119">
        <f t="shared" ref="Y68:Y73" si="45">U68/P68</f>
        <v>0</v>
      </c>
      <c r="Z68" s="117">
        <f t="shared" ref="Z68:Z73" si="46">P68-W68</f>
        <v>4044.04</v>
      </c>
      <c r="AA68" s="119">
        <f t="shared" ref="AA68:AA73" si="47">Z68/P68</f>
        <v>0.61415146489773353</v>
      </c>
      <c r="AB68" s="120">
        <f t="shared" ref="AB68:AB73" si="48">M68-W68</f>
        <v>-2540.7200000000003</v>
      </c>
      <c r="AC68" s="135">
        <f t="shared" ref="AC68:AC73" si="49">AA68-O68</f>
        <v>0.14315146489773356</v>
      </c>
      <c r="AD68" s="110"/>
      <c r="AE68" s="110"/>
      <c r="AF68" s="110"/>
      <c r="AG68" s="121"/>
    </row>
    <row r="69" spans="1:33" ht="11.25" customHeight="1" outlineLevel="1" x14ac:dyDescent="0.15">
      <c r="A69" s="110" t="s">
        <v>91</v>
      </c>
      <c r="B69" s="110"/>
      <c r="C69" s="111" t="s">
        <v>49</v>
      </c>
      <c r="D69" s="111">
        <v>2020</v>
      </c>
      <c r="E69" s="146">
        <v>43982</v>
      </c>
      <c r="F69" s="17">
        <v>160463</v>
      </c>
      <c r="G69" s="17">
        <v>646200120</v>
      </c>
      <c r="H69" s="17"/>
      <c r="I69" s="17"/>
      <c r="J69" s="17"/>
      <c r="K69" s="112" t="s">
        <v>77</v>
      </c>
      <c r="L69" s="120"/>
      <c r="M69" s="120"/>
      <c r="N69" s="120"/>
      <c r="O69" s="119">
        <f>1-0.529</f>
        <v>0.47099999999999997</v>
      </c>
      <c r="P69" s="117">
        <v>17535.240000000002</v>
      </c>
      <c r="Q69" s="111">
        <v>922</v>
      </c>
      <c r="R69" s="117">
        <v>32</v>
      </c>
      <c r="S69" s="117">
        <f>1256.96+565.76</f>
        <v>1822.72</v>
      </c>
      <c r="T69" s="117">
        <v>1453.05</v>
      </c>
      <c r="U69" s="117"/>
      <c r="V69" s="117"/>
      <c r="W69" s="26">
        <f t="shared" si="43"/>
        <v>3275.77</v>
      </c>
      <c r="X69" s="118">
        <f t="shared" si="44"/>
        <v>56.96</v>
      </c>
      <c r="Y69" s="119">
        <f t="shared" si="45"/>
        <v>0</v>
      </c>
      <c r="Z69" s="117">
        <f t="shared" si="46"/>
        <v>14259.470000000001</v>
      </c>
      <c r="AA69" s="119">
        <f t="shared" si="47"/>
        <v>0.8131893261797386</v>
      </c>
      <c r="AB69" s="120">
        <f t="shared" si="48"/>
        <v>-3275.77</v>
      </c>
      <c r="AC69" s="135">
        <f t="shared" si="49"/>
        <v>0.34218932617973863</v>
      </c>
      <c r="AD69" s="110"/>
      <c r="AE69" s="110"/>
      <c r="AF69" s="110"/>
      <c r="AG69" s="121"/>
    </row>
    <row r="70" spans="1:33" ht="11.25" customHeight="1" outlineLevel="1" x14ac:dyDescent="0.15">
      <c r="A70" s="110" t="s">
        <v>91</v>
      </c>
      <c r="B70" s="110"/>
      <c r="C70" s="111" t="s">
        <v>47</v>
      </c>
      <c r="D70" s="111">
        <v>2020</v>
      </c>
      <c r="E70" s="146">
        <v>43982</v>
      </c>
      <c r="F70" s="17">
        <v>160463</v>
      </c>
      <c r="G70" s="16">
        <v>514121220</v>
      </c>
      <c r="H70" s="16"/>
      <c r="I70" s="16"/>
      <c r="J70" s="16"/>
      <c r="K70" s="112" t="s">
        <v>92</v>
      </c>
      <c r="L70" s="219"/>
      <c r="M70" s="219"/>
      <c r="N70" s="219"/>
      <c r="O70" s="119">
        <f>1-0.45</f>
        <v>0.55000000000000004</v>
      </c>
      <c r="P70" s="132">
        <v>7840</v>
      </c>
      <c r="Q70" s="111">
        <v>924</v>
      </c>
      <c r="R70" s="132">
        <v>51.25</v>
      </c>
      <c r="S70" s="132">
        <f>1584.15+712.9</f>
        <v>2297.0500000000002</v>
      </c>
      <c r="T70" s="132">
        <v>784.79</v>
      </c>
      <c r="U70" s="132">
        <v>1800.99</v>
      </c>
      <c r="V70" s="132"/>
      <c r="W70" s="67">
        <f t="shared" si="43"/>
        <v>4882.83</v>
      </c>
      <c r="X70" s="118">
        <f t="shared" si="44"/>
        <v>44.820487804878056</v>
      </c>
      <c r="Y70" s="119">
        <f t="shared" si="45"/>
        <v>0.22971811224489797</v>
      </c>
      <c r="Z70" s="117">
        <f t="shared" si="46"/>
        <v>2957.17</v>
      </c>
      <c r="AA70" s="119">
        <f t="shared" si="47"/>
        <v>0.37719005102040815</v>
      </c>
      <c r="AB70" s="120">
        <f t="shared" si="48"/>
        <v>-4882.83</v>
      </c>
      <c r="AC70" s="135">
        <f t="shared" si="49"/>
        <v>-0.1728099489795919</v>
      </c>
      <c r="AD70" s="110"/>
      <c r="AE70" s="110"/>
      <c r="AF70" s="110"/>
      <c r="AG70" s="121"/>
    </row>
    <row r="71" spans="1:33" ht="11.25" customHeight="1" outlineLevel="1" x14ac:dyDescent="0.15">
      <c r="A71" s="110" t="s">
        <v>91</v>
      </c>
      <c r="B71" s="110"/>
      <c r="C71" s="111" t="s">
        <v>37</v>
      </c>
      <c r="D71" s="111">
        <v>2020</v>
      </c>
      <c r="E71" s="146">
        <v>43982</v>
      </c>
      <c r="F71" s="17">
        <v>160463</v>
      </c>
      <c r="G71" s="16">
        <v>910000310</v>
      </c>
      <c r="H71" s="16"/>
      <c r="I71" s="16"/>
      <c r="J71" s="16"/>
      <c r="K71" s="112" t="s">
        <v>93</v>
      </c>
      <c r="L71" s="120"/>
      <c r="M71" s="120"/>
      <c r="N71" s="120"/>
      <c r="O71" s="119">
        <f>1-0.45</f>
        <v>0.55000000000000004</v>
      </c>
      <c r="P71" s="117">
        <v>43674</v>
      </c>
      <c r="Q71" s="111">
        <v>919</v>
      </c>
      <c r="R71" s="117">
        <v>8</v>
      </c>
      <c r="S71" s="117">
        <f>192.32+86.56</f>
        <v>278.88</v>
      </c>
      <c r="T71" s="117"/>
      <c r="U71" s="117">
        <v>8870.52</v>
      </c>
      <c r="V71" s="117"/>
      <c r="W71" s="26">
        <f t="shared" si="43"/>
        <v>9149.4</v>
      </c>
      <c r="X71" s="118">
        <f t="shared" si="44"/>
        <v>34.86</v>
      </c>
      <c r="Y71" s="119">
        <f t="shared" si="45"/>
        <v>0.20310756972111554</v>
      </c>
      <c r="Z71" s="117">
        <f t="shared" si="46"/>
        <v>34524.6</v>
      </c>
      <c r="AA71" s="119">
        <f t="shared" si="47"/>
        <v>0.79050693776617664</v>
      </c>
      <c r="AB71" s="120">
        <f t="shared" si="48"/>
        <v>-9149.4</v>
      </c>
      <c r="AC71" s="135">
        <f t="shared" si="49"/>
        <v>0.2405069377661766</v>
      </c>
      <c r="AD71" s="110"/>
      <c r="AE71" s="110"/>
      <c r="AF71" s="110"/>
      <c r="AG71" s="121"/>
    </row>
    <row r="72" spans="1:33" ht="11.25" customHeight="1" outlineLevel="1" x14ac:dyDescent="0.15">
      <c r="A72" s="110" t="s">
        <v>91</v>
      </c>
      <c r="B72" s="110"/>
      <c r="C72" s="111" t="s">
        <v>47</v>
      </c>
      <c r="D72" s="111">
        <v>2020</v>
      </c>
      <c r="E72" s="146">
        <v>43982</v>
      </c>
      <c r="F72" s="17">
        <v>160463</v>
      </c>
      <c r="G72" s="16">
        <v>540000210</v>
      </c>
      <c r="H72" s="16"/>
      <c r="I72" s="16"/>
      <c r="J72" s="16"/>
      <c r="K72" s="112" t="s">
        <v>92</v>
      </c>
      <c r="L72" s="120"/>
      <c r="M72" s="120"/>
      <c r="N72" s="120"/>
      <c r="O72" s="119">
        <f>1-0.45</f>
        <v>0.55000000000000004</v>
      </c>
      <c r="P72" s="117">
        <v>7840</v>
      </c>
      <c r="Q72" s="111">
        <v>925</v>
      </c>
      <c r="R72" s="117">
        <v>50</v>
      </c>
      <c r="S72" s="117">
        <f>1545.51+695.51</f>
        <v>2241.02</v>
      </c>
      <c r="T72" s="117">
        <v>1612.83</v>
      </c>
      <c r="U72" s="117">
        <v>3217.03</v>
      </c>
      <c r="V72" s="117"/>
      <c r="W72" s="26">
        <f t="shared" si="43"/>
        <v>7070.88</v>
      </c>
      <c r="X72" s="118">
        <f t="shared" si="44"/>
        <v>44.820399999999999</v>
      </c>
      <c r="Y72" s="119">
        <f t="shared" si="45"/>
        <v>0.41033545918367348</v>
      </c>
      <c r="Z72" s="117">
        <f t="shared" si="46"/>
        <v>769.11999999999989</v>
      </c>
      <c r="AA72" s="119">
        <f t="shared" si="47"/>
        <v>9.8102040816326522E-2</v>
      </c>
      <c r="AB72" s="120">
        <f t="shared" si="48"/>
        <v>-7070.88</v>
      </c>
      <c r="AC72" s="135">
        <f t="shared" si="49"/>
        <v>-0.45189795918367354</v>
      </c>
      <c r="AD72" s="110"/>
      <c r="AE72" s="110"/>
      <c r="AF72" s="110"/>
      <c r="AG72" s="121"/>
    </row>
    <row r="73" spans="1:33" ht="11.25" customHeight="1" outlineLevel="1" x14ac:dyDescent="0.15">
      <c r="A73" s="110" t="s">
        <v>91</v>
      </c>
      <c r="B73" s="110"/>
      <c r="C73" s="111" t="s">
        <v>37</v>
      </c>
      <c r="D73" s="111">
        <v>2020</v>
      </c>
      <c r="E73" s="146">
        <v>43982</v>
      </c>
      <c r="F73" s="17">
        <v>160463</v>
      </c>
      <c r="G73" s="16">
        <v>940000310</v>
      </c>
      <c r="H73" s="16"/>
      <c r="I73" s="16"/>
      <c r="J73" s="16"/>
      <c r="K73" s="112" t="s">
        <v>94</v>
      </c>
      <c r="L73" s="120"/>
      <c r="M73" s="120"/>
      <c r="N73" s="120"/>
      <c r="O73" s="119">
        <f>1-0.45</f>
        <v>0.55000000000000004</v>
      </c>
      <c r="P73" s="117">
        <v>43674</v>
      </c>
      <c r="Q73" s="111">
        <v>920</v>
      </c>
      <c r="R73" s="117"/>
      <c r="S73" s="117">
        <v>0</v>
      </c>
      <c r="T73" s="117">
        <v>0</v>
      </c>
      <c r="U73" s="117">
        <v>9600.8700000000008</v>
      </c>
      <c r="V73" s="117"/>
      <c r="W73" s="26">
        <f t="shared" si="43"/>
        <v>9600.8700000000008</v>
      </c>
      <c r="X73" s="118" t="str">
        <f t="shared" si="44"/>
        <v/>
      </c>
      <c r="Y73" s="119">
        <f t="shared" si="45"/>
        <v>0.21983033383706554</v>
      </c>
      <c r="Z73" s="117">
        <f t="shared" si="46"/>
        <v>34073.129999999997</v>
      </c>
      <c r="AA73" s="119">
        <f t="shared" si="47"/>
        <v>0.78016966616293437</v>
      </c>
      <c r="AB73" s="120">
        <f t="shared" si="48"/>
        <v>-9600.8700000000008</v>
      </c>
      <c r="AC73" s="135">
        <f t="shared" si="49"/>
        <v>0.23016966616293433</v>
      </c>
      <c r="AD73" s="110"/>
      <c r="AE73" s="110"/>
      <c r="AF73" s="110"/>
      <c r="AG73" s="121"/>
    </row>
    <row r="74" spans="1:33" ht="11.25" customHeight="1" outlineLevel="1" x14ac:dyDescent="0.15">
      <c r="A74" s="110" t="s">
        <v>53</v>
      </c>
      <c r="B74" s="110"/>
      <c r="C74" s="111"/>
      <c r="D74" s="111">
        <v>2020</v>
      </c>
      <c r="E74" s="146">
        <v>43982</v>
      </c>
      <c r="F74" s="17"/>
      <c r="G74" s="111"/>
      <c r="H74" s="111"/>
      <c r="I74" s="111"/>
      <c r="J74" s="111"/>
      <c r="K74" s="112"/>
      <c r="L74" s="120"/>
      <c r="M74" s="120"/>
      <c r="N74" s="120"/>
      <c r="O74" s="119"/>
      <c r="P74" s="117"/>
      <c r="Q74" s="111"/>
      <c r="R74" s="117"/>
      <c r="S74" s="117"/>
      <c r="T74" s="117"/>
      <c r="U74" s="117"/>
      <c r="V74" s="117"/>
      <c r="X74" s="118" t="str">
        <f t="shared" si="44"/>
        <v/>
      </c>
      <c r="Y74" s="119"/>
      <c r="Z74" s="117"/>
      <c r="AA74" s="119"/>
      <c r="AB74" s="120"/>
      <c r="AC74" s="119"/>
      <c r="AD74" s="110"/>
      <c r="AE74" s="110"/>
      <c r="AF74" s="110"/>
      <c r="AG74" s="121"/>
    </row>
    <row r="75" spans="1:33" s="53" customFormat="1" ht="11.25" customHeight="1" outlineLevel="1" x14ac:dyDescent="0.15">
      <c r="A75" s="53" t="s">
        <v>91</v>
      </c>
      <c r="C75" s="54" t="s">
        <v>54</v>
      </c>
      <c r="D75" s="54">
        <v>2020</v>
      </c>
      <c r="E75" s="70">
        <v>43982</v>
      </c>
      <c r="F75" s="210"/>
      <c r="G75" s="54"/>
      <c r="H75" s="54"/>
      <c r="I75" s="54"/>
      <c r="J75" s="54"/>
      <c r="K75" s="106"/>
      <c r="L75" s="58"/>
      <c r="M75" s="58"/>
      <c r="N75" s="58"/>
      <c r="O75" s="57">
        <f>((P71*O71)+(P73*O73))/P75</f>
        <v>0.37783842451316579</v>
      </c>
      <c r="P75" s="24">
        <f>SUM(P68:P74)</f>
        <v>127148</v>
      </c>
      <c r="Q75" s="111"/>
      <c r="R75" s="24">
        <f>SUM(R68:R74)</f>
        <v>173.25</v>
      </c>
      <c r="S75" s="24">
        <f>SUM(S68:S74)</f>
        <v>8462.39</v>
      </c>
      <c r="T75" s="24">
        <f>SUM(T68:T74)</f>
        <v>4568.67</v>
      </c>
      <c r="U75" s="24">
        <f>SUM(U68:U74)</f>
        <v>23489.410000000003</v>
      </c>
      <c r="V75" s="117"/>
      <c r="W75" s="25">
        <f>SUM(W68:W74)</f>
        <v>36520.47</v>
      </c>
      <c r="X75" s="118">
        <f t="shared" si="44"/>
        <v>48.84496392496392</v>
      </c>
      <c r="Y75" s="119">
        <f>U75/P75</f>
        <v>0.18474069588196435</v>
      </c>
      <c r="Z75" s="28">
        <f>P75-W75</f>
        <v>90627.53</v>
      </c>
      <c r="AA75" s="57">
        <f>Z75/P75</f>
        <v>0.71277196652719665</v>
      </c>
      <c r="AB75" s="120">
        <f t="shared" ref="AB75:AB78" si="50">M75-W75</f>
        <v>-36520.47</v>
      </c>
      <c r="AC75" s="135">
        <f t="shared" ref="AC75:AC78" si="51">AA75-O75</f>
        <v>0.33493354201403086</v>
      </c>
      <c r="AG75" s="61"/>
    </row>
    <row r="76" spans="1:33" ht="11.25" customHeight="1" outlineLevel="1" x14ac:dyDescent="0.15">
      <c r="A76" s="110" t="s">
        <v>91</v>
      </c>
      <c r="B76" s="110"/>
      <c r="C76" s="111" t="s">
        <v>55</v>
      </c>
      <c r="D76" s="111">
        <v>2020</v>
      </c>
      <c r="E76" s="146">
        <v>43982</v>
      </c>
      <c r="F76" s="17">
        <v>160463</v>
      </c>
      <c r="G76" s="111" t="s">
        <v>56</v>
      </c>
      <c r="H76" s="111"/>
      <c r="I76" s="111"/>
      <c r="J76" s="111"/>
      <c r="K76" s="112" t="s">
        <v>71</v>
      </c>
      <c r="L76" s="120"/>
      <c r="M76" s="120"/>
      <c r="N76" s="120"/>
      <c r="O76" s="119">
        <v>0</v>
      </c>
      <c r="P76" s="117">
        <v>6240</v>
      </c>
      <c r="Q76" s="111">
        <v>923</v>
      </c>
      <c r="R76" s="117">
        <v>4</v>
      </c>
      <c r="S76" s="117">
        <f>110+49.52</f>
        <v>159.52000000000001</v>
      </c>
      <c r="T76" s="117">
        <v>1036.1300000000001</v>
      </c>
      <c r="U76" s="117">
        <v>254.56</v>
      </c>
      <c r="V76" s="132"/>
      <c r="W76" s="26">
        <f>SUM(S76:U76)</f>
        <v>1450.21</v>
      </c>
      <c r="X76" s="118">
        <f t="shared" si="44"/>
        <v>39.880000000000003</v>
      </c>
      <c r="Y76" s="119">
        <f>U76/P76</f>
        <v>4.0794871794871797E-2</v>
      </c>
      <c r="Z76" s="117">
        <f>P76-W76</f>
        <v>4789.79</v>
      </c>
      <c r="AA76" s="119">
        <f>Z76/P76</f>
        <v>0.76759455128205123</v>
      </c>
      <c r="AB76" s="120">
        <f t="shared" si="50"/>
        <v>-1450.21</v>
      </c>
      <c r="AC76" s="135">
        <f t="shared" si="51"/>
        <v>0.76759455128205123</v>
      </c>
      <c r="AD76" s="110"/>
      <c r="AE76" s="110"/>
      <c r="AF76" s="110"/>
      <c r="AG76" s="121"/>
    </row>
    <row r="77" spans="1:33" ht="11.25" customHeight="1" outlineLevel="1" x14ac:dyDescent="0.15">
      <c r="A77" s="110" t="s">
        <v>91</v>
      </c>
      <c r="B77" s="110"/>
      <c r="C77" s="111" t="s">
        <v>58</v>
      </c>
      <c r="D77" s="111">
        <v>2020</v>
      </c>
      <c r="E77" s="146">
        <v>43982</v>
      </c>
      <c r="F77" s="17">
        <v>160463</v>
      </c>
      <c r="G77" s="17" t="s">
        <v>95</v>
      </c>
      <c r="H77" s="17"/>
      <c r="I77" s="17"/>
      <c r="J77" s="17"/>
      <c r="K77" s="112" t="s">
        <v>86</v>
      </c>
      <c r="L77" s="120"/>
      <c r="M77" s="120"/>
      <c r="N77" s="120"/>
      <c r="O77" s="119"/>
      <c r="P77" s="117">
        <v>25625.74</v>
      </c>
      <c r="Q77" s="111"/>
      <c r="R77" s="117"/>
      <c r="S77" s="117"/>
      <c r="T77" s="117"/>
      <c r="U77" s="117"/>
      <c r="V77" s="117"/>
      <c r="X77" s="118" t="str">
        <f t="shared" si="44"/>
        <v/>
      </c>
      <c r="Y77" s="119"/>
      <c r="Z77" s="117"/>
      <c r="AA77" s="119"/>
      <c r="AB77" s="120">
        <f t="shared" si="50"/>
        <v>0</v>
      </c>
      <c r="AC77" s="135">
        <f t="shared" si="51"/>
        <v>0</v>
      </c>
      <c r="AD77" s="110"/>
      <c r="AE77" s="110"/>
      <c r="AF77" s="110"/>
      <c r="AG77" s="121"/>
    </row>
    <row r="78" spans="1:33" ht="11.25" customHeight="1" outlineLevel="1" x14ac:dyDescent="0.15">
      <c r="A78" s="110" t="s">
        <v>91</v>
      </c>
      <c r="B78" s="110"/>
      <c r="C78" s="111" t="s">
        <v>58</v>
      </c>
      <c r="D78" s="111">
        <v>2020</v>
      </c>
      <c r="E78" s="146">
        <v>43982</v>
      </c>
      <c r="F78" s="17">
        <v>160463</v>
      </c>
      <c r="G78" s="17" t="s">
        <v>96</v>
      </c>
      <c r="H78" s="17"/>
      <c r="I78" s="17"/>
      <c r="J78" s="17"/>
      <c r="K78" s="112" t="s">
        <v>86</v>
      </c>
      <c r="L78" s="219"/>
      <c r="M78" s="219"/>
      <c r="N78" s="219"/>
      <c r="O78" s="119"/>
      <c r="P78" s="132">
        <v>9602.26</v>
      </c>
      <c r="Q78" s="111"/>
      <c r="R78" s="132"/>
      <c r="S78" s="132"/>
      <c r="T78" s="132"/>
      <c r="U78" s="132"/>
      <c r="V78" s="132"/>
      <c r="W78" s="67"/>
      <c r="X78" s="118" t="str">
        <f t="shared" si="44"/>
        <v/>
      </c>
      <c r="Y78" s="119"/>
      <c r="Z78" s="117"/>
      <c r="AA78" s="119"/>
      <c r="AB78" s="120">
        <f t="shared" si="50"/>
        <v>0</v>
      </c>
      <c r="AC78" s="135">
        <f t="shared" si="51"/>
        <v>0</v>
      </c>
      <c r="AD78" s="110"/>
      <c r="AE78" s="110"/>
      <c r="AF78" s="110"/>
      <c r="AG78" s="121"/>
    </row>
    <row r="79" spans="1:33" ht="11.25" customHeight="1" outlineLevel="1" x14ac:dyDescent="0.15">
      <c r="A79" s="110" t="s">
        <v>53</v>
      </c>
      <c r="B79" s="110"/>
      <c r="C79" s="111"/>
      <c r="D79" s="111">
        <v>2020</v>
      </c>
      <c r="E79" s="146">
        <v>43982</v>
      </c>
      <c r="F79" s="17"/>
      <c r="G79" s="111"/>
      <c r="H79" s="111"/>
      <c r="I79" s="111"/>
      <c r="J79" s="111"/>
      <c r="K79" s="112"/>
      <c r="L79" s="120"/>
      <c r="M79" s="120"/>
      <c r="N79" s="120"/>
      <c r="O79" s="119"/>
      <c r="P79" s="117"/>
      <c r="Q79" s="111"/>
      <c r="R79" s="117"/>
      <c r="S79" s="117"/>
      <c r="T79" s="117"/>
      <c r="U79" s="117"/>
      <c r="V79" s="117"/>
      <c r="X79" s="118" t="str">
        <f t="shared" si="44"/>
        <v/>
      </c>
      <c r="Y79" s="119"/>
      <c r="Z79" s="117"/>
      <c r="AA79" s="119"/>
      <c r="AB79" s="120"/>
      <c r="AC79" s="119"/>
      <c r="AD79" s="110"/>
      <c r="AE79" s="110"/>
      <c r="AF79" s="110"/>
      <c r="AG79" s="121"/>
    </row>
    <row r="80" spans="1:33" s="53" customFormat="1" ht="11.25" customHeight="1" outlineLevel="1" x14ac:dyDescent="0.15">
      <c r="A80" s="53" t="s">
        <v>91</v>
      </c>
      <c r="C80" s="54" t="s">
        <v>65</v>
      </c>
      <c r="D80" s="54">
        <v>2020</v>
      </c>
      <c r="E80" s="70">
        <v>43982</v>
      </c>
      <c r="F80" s="54"/>
      <c r="G80" s="54"/>
      <c r="H80" s="54"/>
      <c r="I80" s="54"/>
      <c r="J80" s="54"/>
      <c r="K80" s="106"/>
      <c r="L80" s="58"/>
      <c r="M80" s="58"/>
      <c r="N80" s="58"/>
      <c r="O80" s="57"/>
      <c r="P80" s="25">
        <f>SUM(P75:P79)</f>
        <v>168616</v>
      </c>
      <c r="Q80" s="111"/>
      <c r="R80" s="25">
        <f>SUM(R75:R79)</f>
        <v>177.25</v>
      </c>
      <c r="S80" s="25">
        <f>SUM(S75:S79)</f>
        <v>8621.91</v>
      </c>
      <c r="T80" s="25">
        <f>SUM(T75:T79)</f>
        <v>5604.8</v>
      </c>
      <c r="U80" s="25">
        <f>SUM(U75:U79)</f>
        <v>23743.970000000005</v>
      </c>
      <c r="V80" s="117"/>
      <c r="W80" s="25">
        <f>SUM(S80:U80)</f>
        <v>37970.680000000008</v>
      </c>
      <c r="X80" s="118">
        <f t="shared" si="44"/>
        <v>48.642651622002823</v>
      </c>
      <c r="Y80" s="119">
        <f>U80/P80</f>
        <v>0.14081682639844384</v>
      </c>
      <c r="Z80" s="28">
        <f>P80-W80</f>
        <v>130645.31999999999</v>
      </c>
      <c r="AA80" s="57">
        <f>Z80/P80</f>
        <v>0.77480974521990786</v>
      </c>
      <c r="AB80" s="120">
        <f t="shared" ref="AB80:AB81" si="52">M80-W80</f>
        <v>-37970.680000000008</v>
      </c>
      <c r="AC80" s="135">
        <f t="shared" ref="AC80:AC81" si="53">AA80-O80</f>
        <v>0.77480974521990786</v>
      </c>
      <c r="AG80" s="61"/>
    </row>
    <row r="81" spans="1:33" s="53" customFormat="1" ht="11.25" customHeight="1" outlineLevel="1" x14ac:dyDescent="0.15">
      <c r="A81" s="53" t="s">
        <v>91</v>
      </c>
      <c r="C81" s="54" t="s">
        <v>66</v>
      </c>
      <c r="D81" s="54">
        <v>2020</v>
      </c>
      <c r="E81" s="70">
        <v>43982</v>
      </c>
      <c r="F81" s="54"/>
      <c r="G81" s="54"/>
      <c r="H81" s="54"/>
      <c r="I81" s="54"/>
      <c r="J81" s="54"/>
      <c r="K81" s="106"/>
      <c r="L81" s="58"/>
      <c r="M81" s="58"/>
      <c r="N81" s="58"/>
      <c r="O81" s="57">
        <f>((P71*O71)+(P73*O73))/P81</f>
        <v>0.55000000000000004</v>
      </c>
      <c r="P81" s="28">
        <f>P71+P73</f>
        <v>87348</v>
      </c>
      <c r="Q81" s="111"/>
      <c r="R81" s="117">
        <f>R71+R73</f>
        <v>8</v>
      </c>
      <c r="S81" s="117">
        <f>S71+S73</f>
        <v>278.88</v>
      </c>
      <c r="T81" s="117">
        <f>T71+T73</f>
        <v>0</v>
      </c>
      <c r="U81" s="117">
        <f>U71+U73</f>
        <v>18471.39</v>
      </c>
      <c r="V81" s="117"/>
      <c r="W81" s="62">
        <f>W71+W73</f>
        <v>18750.27</v>
      </c>
      <c r="X81" s="118">
        <f t="shared" si="44"/>
        <v>34.86</v>
      </c>
      <c r="Y81" s="119">
        <f>U81/P81</f>
        <v>0.21146895177909053</v>
      </c>
      <c r="Z81" s="28">
        <f>P81-W81</f>
        <v>68597.73</v>
      </c>
      <c r="AA81" s="57">
        <f>Z81/P81</f>
        <v>0.78533830196455556</v>
      </c>
      <c r="AB81" s="120">
        <f t="shared" si="52"/>
        <v>-18750.27</v>
      </c>
      <c r="AC81" s="135">
        <f t="shared" si="53"/>
        <v>0.23533830196455552</v>
      </c>
      <c r="AG81" s="61"/>
    </row>
    <row r="82" spans="1:33" ht="11.25" customHeight="1" outlineLevel="1" x14ac:dyDescent="0.15">
      <c r="A82" s="124" t="s">
        <v>53</v>
      </c>
      <c r="B82" s="124"/>
      <c r="C82" s="124"/>
      <c r="D82" s="124"/>
      <c r="E82" s="273"/>
      <c r="F82" s="124"/>
      <c r="G82" s="124"/>
      <c r="H82" s="124"/>
      <c r="I82" s="124"/>
      <c r="J82" s="124"/>
      <c r="K82" s="125"/>
      <c r="L82" s="220"/>
      <c r="M82" s="220"/>
      <c r="N82" s="220"/>
      <c r="O82" s="128"/>
      <c r="P82" s="225"/>
      <c r="Q82" s="124"/>
      <c r="R82" s="225"/>
      <c r="S82" s="225"/>
      <c r="T82" s="225"/>
      <c r="U82" s="225"/>
      <c r="V82" s="225"/>
      <c r="W82" s="230"/>
      <c r="X82" s="127"/>
      <c r="Y82" s="128"/>
      <c r="Z82" s="126"/>
      <c r="AA82" s="128"/>
      <c r="AB82" s="129"/>
      <c r="AC82" s="128"/>
      <c r="AD82" s="130"/>
      <c r="AE82" s="110"/>
      <c r="AF82" s="110"/>
      <c r="AG82" s="121"/>
    </row>
    <row r="83" spans="1:33" ht="11.25" customHeight="1" outlineLevel="1" x14ac:dyDescent="0.15">
      <c r="A83" s="110" t="s">
        <v>97</v>
      </c>
      <c r="B83" s="110"/>
      <c r="C83" s="111" t="s">
        <v>37</v>
      </c>
      <c r="D83" s="111">
        <v>2020</v>
      </c>
      <c r="E83" s="197">
        <v>43920</v>
      </c>
      <c r="F83" s="17">
        <v>160339</v>
      </c>
      <c r="G83" s="16">
        <v>123050120</v>
      </c>
      <c r="H83" s="16"/>
      <c r="I83" s="16" t="str">
        <f>MID(G83,2,1)</f>
        <v>2</v>
      </c>
      <c r="J83" s="16" t="s">
        <v>68</v>
      </c>
      <c r="K83" s="112" t="s">
        <v>98</v>
      </c>
      <c r="L83" s="120"/>
      <c r="M83" s="120"/>
      <c r="N83" s="120"/>
      <c r="O83" s="119">
        <f>1-0.45</f>
        <v>0.55000000000000004</v>
      </c>
      <c r="P83" s="117">
        <v>21873</v>
      </c>
      <c r="Q83" s="111">
        <v>893</v>
      </c>
      <c r="R83" s="117">
        <f>18+32+4</f>
        <v>54</v>
      </c>
      <c r="S83" s="117">
        <f>1365.96+614.8</f>
        <v>1980.76</v>
      </c>
      <c r="T83" s="117"/>
      <c r="U83" s="117">
        <v>20639.05</v>
      </c>
      <c r="V83" s="117"/>
      <c r="W83" s="26">
        <f>SUM(S83:V83)</f>
        <v>22619.809999999998</v>
      </c>
      <c r="X83" s="118">
        <f t="shared" ref="X83:X96" si="54">IFERROR(S83/R83,"")</f>
        <v>36.680740740740738</v>
      </c>
      <c r="Y83" s="119">
        <f>U83/P83</f>
        <v>0.94358569926393265</v>
      </c>
      <c r="Z83" s="117">
        <f>P83-W83</f>
        <v>-746.80999999999767</v>
      </c>
      <c r="AA83" s="119">
        <f>Z83/P83</f>
        <v>-3.414300736067287E-2</v>
      </c>
      <c r="AB83" s="120">
        <f t="shared" ref="AB83:AB86" si="55">M83-W83</f>
        <v>-22619.809999999998</v>
      </c>
      <c r="AC83" s="135">
        <f t="shared" ref="AC83:AC86" si="56">AA83-O83</f>
        <v>-0.58414300736067293</v>
      </c>
      <c r="AD83" s="110"/>
      <c r="AE83" s="110"/>
      <c r="AF83" s="110"/>
      <c r="AG83" s="121"/>
    </row>
    <row r="84" spans="1:33" ht="11.25" customHeight="1" outlineLevel="1" x14ac:dyDescent="0.15">
      <c r="A84" s="110" t="s">
        <v>97</v>
      </c>
      <c r="B84" s="110"/>
      <c r="C84" s="111" t="s">
        <v>37</v>
      </c>
      <c r="D84" s="111">
        <v>2020</v>
      </c>
      <c r="E84" s="197">
        <v>43920</v>
      </c>
      <c r="F84" s="17">
        <v>160339</v>
      </c>
      <c r="G84" s="16">
        <v>220100110</v>
      </c>
      <c r="H84" s="16"/>
      <c r="I84" s="16"/>
      <c r="J84" s="16"/>
      <c r="K84" s="112" t="s">
        <v>74</v>
      </c>
      <c r="L84" s="120"/>
      <c r="M84" s="120"/>
      <c r="N84" s="120"/>
      <c r="O84" s="119">
        <f>1-0.45</f>
        <v>0.55000000000000004</v>
      </c>
      <c r="P84" s="117">
        <v>4900</v>
      </c>
      <c r="Q84" s="111">
        <v>894</v>
      </c>
      <c r="R84" s="117">
        <v>0</v>
      </c>
      <c r="S84" s="117">
        <v>0</v>
      </c>
      <c r="T84" s="117"/>
      <c r="U84" s="117">
        <v>7871.31</v>
      </c>
      <c r="V84" s="117"/>
      <c r="W84" s="26">
        <f>SUM(S84:V84)</f>
        <v>7871.31</v>
      </c>
      <c r="X84" s="118" t="str">
        <f t="shared" si="54"/>
        <v/>
      </c>
      <c r="Y84" s="119">
        <f>U84/P84</f>
        <v>1.6063897959183675</v>
      </c>
      <c r="Z84" s="117">
        <f>P84-W84</f>
        <v>-2971.3100000000004</v>
      </c>
      <c r="AA84" s="119">
        <f>Z84/P84</f>
        <v>-0.60638979591836739</v>
      </c>
      <c r="AB84" s="120">
        <f t="shared" si="55"/>
        <v>-7871.31</v>
      </c>
      <c r="AC84" s="135">
        <f t="shared" si="56"/>
        <v>-1.1563897959183675</v>
      </c>
      <c r="AD84" s="110"/>
      <c r="AE84" s="110"/>
      <c r="AF84" s="110"/>
      <c r="AG84" s="121"/>
    </row>
    <row r="85" spans="1:33" ht="11.25" customHeight="1" outlineLevel="1" x14ac:dyDescent="0.15">
      <c r="A85" s="110" t="s">
        <v>97</v>
      </c>
      <c r="B85" s="110"/>
      <c r="C85" s="111" t="s">
        <v>47</v>
      </c>
      <c r="D85" s="111">
        <v>2020</v>
      </c>
      <c r="E85" s="197">
        <v>43920</v>
      </c>
      <c r="F85" s="17">
        <v>160339</v>
      </c>
      <c r="G85" s="16">
        <v>523050120</v>
      </c>
      <c r="H85" s="16"/>
      <c r="I85" s="16"/>
      <c r="J85" s="16"/>
      <c r="K85" s="112" t="s">
        <v>92</v>
      </c>
      <c r="L85" s="219"/>
      <c r="M85" s="219"/>
      <c r="N85" s="219"/>
      <c r="O85" s="119">
        <f>1-0.45</f>
        <v>0.55000000000000004</v>
      </c>
      <c r="P85" s="132">
        <v>11255</v>
      </c>
      <c r="Q85" s="111">
        <v>895</v>
      </c>
      <c r="R85" s="132">
        <v>92</v>
      </c>
      <c r="S85" s="132">
        <f>2843.72+1279.72</f>
        <v>4123.4399999999996</v>
      </c>
      <c r="T85" s="132">
        <v>4019.86</v>
      </c>
      <c r="U85" s="132">
        <v>928.32</v>
      </c>
      <c r="V85" s="132"/>
      <c r="W85" s="67">
        <f>SUM(S85:V85)</f>
        <v>9071.619999999999</v>
      </c>
      <c r="X85" s="118">
        <f t="shared" si="54"/>
        <v>44.819999999999993</v>
      </c>
      <c r="Y85" s="119">
        <f>U85/P85</f>
        <v>8.2480675255442032E-2</v>
      </c>
      <c r="Z85" s="117">
        <f>P85-W85</f>
        <v>2183.380000000001</v>
      </c>
      <c r="AA85" s="119">
        <f>Z85/P85</f>
        <v>0.19399200355397611</v>
      </c>
      <c r="AB85" s="120">
        <f t="shared" si="55"/>
        <v>-9071.619999999999</v>
      </c>
      <c r="AC85" s="135">
        <f t="shared" si="56"/>
        <v>-0.35600799644602393</v>
      </c>
      <c r="AD85" s="110"/>
      <c r="AE85" s="110"/>
      <c r="AF85" s="110"/>
      <c r="AG85" s="121"/>
    </row>
    <row r="86" spans="1:33" ht="11.25" customHeight="1" outlineLevel="1" x14ac:dyDescent="0.15">
      <c r="A86" s="110" t="s">
        <v>97</v>
      </c>
      <c r="B86" s="110"/>
      <c r="C86" s="111" t="s">
        <v>99</v>
      </c>
      <c r="D86" s="111">
        <v>2020</v>
      </c>
      <c r="E86" s="197">
        <v>43920</v>
      </c>
      <c r="F86" s="17">
        <v>160339</v>
      </c>
      <c r="G86" s="17">
        <v>626620120</v>
      </c>
      <c r="H86" s="17"/>
      <c r="I86" s="17"/>
      <c r="J86" s="17"/>
      <c r="K86" s="112" t="s">
        <v>100</v>
      </c>
      <c r="L86" s="120"/>
      <c r="M86" s="120"/>
      <c r="N86" s="120"/>
      <c r="O86" s="119">
        <f>1-0.529</f>
        <v>0.47099999999999997</v>
      </c>
      <c r="P86" s="117">
        <v>6155</v>
      </c>
      <c r="Q86" s="111">
        <v>896</v>
      </c>
      <c r="R86" s="117">
        <v>16</v>
      </c>
      <c r="S86" s="117">
        <f>628.48+282.88</f>
        <v>911.36</v>
      </c>
      <c r="T86" s="117">
        <v>892.56</v>
      </c>
      <c r="U86" s="117">
        <v>2203.89</v>
      </c>
      <c r="V86" s="117"/>
      <c r="W86" s="26">
        <f>SUM(S86:V86)</f>
        <v>4007.81</v>
      </c>
      <c r="X86" s="118">
        <f t="shared" si="54"/>
        <v>56.96</v>
      </c>
      <c r="Y86" s="119">
        <f>U86/P86</f>
        <v>0.35806498781478469</v>
      </c>
      <c r="Z86" s="117">
        <f>P86-W86</f>
        <v>2147.19</v>
      </c>
      <c r="AA86" s="119">
        <f>Z86/P86</f>
        <v>0.34885296506904956</v>
      </c>
      <c r="AB86" s="120">
        <f t="shared" si="55"/>
        <v>-4007.81</v>
      </c>
      <c r="AC86" s="135">
        <f t="shared" si="56"/>
        <v>-0.12214703493095042</v>
      </c>
      <c r="AD86" s="110"/>
      <c r="AE86" s="110"/>
      <c r="AF86" s="110"/>
      <c r="AG86" s="121"/>
    </row>
    <row r="87" spans="1:33" ht="11.25" customHeight="1" outlineLevel="1" x14ac:dyDescent="0.15">
      <c r="A87" s="110" t="s">
        <v>53</v>
      </c>
      <c r="B87" s="110"/>
      <c r="C87" s="111"/>
      <c r="D87" s="111">
        <v>2020</v>
      </c>
      <c r="E87" s="146">
        <v>43920</v>
      </c>
      <c r="F87" s="17"/>
      <c r="G87" s="111"/>
      <c r="H87" s="111"/>
      <c r="I87" s="111"/>
      <c r="J87" s="111"/>
      <c r="K87" s="112"/>
      <c r="L87" s="120"/>
      <c r="M87" s="120"/>
      <c r="N87" s="120"/>
      <c r="O87" s="119"/>
      <c r="P87" s="117"/>
      <c r="Q87" s="111"/>
      <c r="R87" s="117"/>
      <c r="S87" s="117"/>
      <c r="T87" s="117"/>
      <c r="U87" s="117"/>
      <c r="V87" s="117"/>
      <c r="X87" s="118" t="str">
        <f t="shared" si="54"/>
        <v/>
      </c>
      <c r="Y87" s="119"/>
      <c r="Z87" s="117"/>
      <c r="AA87" s="119"/>
      <c r="AB87" s="120"/>
      <c r="AC87" s="119"/>
      <c r="AD87" s="110"/>
      <c r="AE87" s="110"/>
      <c r="AF87" s="110"/>
      <c r="AG87" s="121"/>
    </row>
    <row r="88" spans="1:33" ht="11.25" customHeight="1" outlineLevel="1" x14ac:dyDescent="0.15">
      <c r="A88" s="110" t="s">
        <v>53</v>
      </c>
      <c r="B88" s="110"/>
      <c r="C88" s="111"/>
      <c r="D88" s="111">
        <v>2020</v>
      </c>
      <c r="E88" s="146">
        <v>43920</v>
      </c>
      <c r="F88" s="17"/>
      <c r="G88" s="111"/>
      <c r="H88" s="111"/>
      <c r="I88" s="111"/>
      <c r="J88" s="111"/>
      <c r="K88" s="112"/>
      <c r="L88" s="219"/>
      <c r="M88" s="219"/>
      <c r="N88" s="219"/>
      <c r="O88" s="119"/>
      <c r="P88" s="132"/>
      <c r="Q88" s="111"/>
      <c r="R88" s="132"/>
      <c r="S88" s="132"/>
      <c r="T88" s="132"/>
      <c r="U88" s="132"/>
      <c r="V88" s="132"/>
      <c r="W88" s="67"/>
      <c r="X88" s="118" t="str">
        <f t="shared" si="54"/>
        <v/>
      </c>
      <c r="Y88" s="119"/>
      <c r="Z88" s="117"/>
      <c r="AA88" s="119"/>
      <c r="AB88" s="120"/>
      <c r="AC88" s="119"/>
      <c r="AD88" s="110"/>
      <c r="AE88" s="110"/>
      <c r="AF88" s="110"/>
      <c r="AG88" s="121"/>
    </row>
    <row r="89" spans="1:33" s="53" customFormat="1" ht="11.25" customHeight="1" outlineLevel="1" x14ac:dyDescent="0.15">
      <c r="A89" s="53" t="s">
        <v>97</v>
      </c>
      <c r="C89" s="54" t="s">
        <v>54</v>
      </c>
      <c r="D89" s="54">
        <v>2020</v>
      </c>
      <c r="E89" s="70">
        <v>43920</v>
      </c>
      <c r="F89" s="210"/>
      <c r="G89" s="54"/>
      <c r="H89" s="54"/>
      <c r="I89" s="54"/>
      <c r="J89" s="54"/>
      <c r="K89" s="106"/>
      <c r="L89" s="58"/>
      <c r="M89" s="58"/>
      <c r="N89" s="58"/>
      <c r="O89" s="57">
        <f>((P83*O83)+(P84*O84))/P89</f>
        <v>0.33327637326573573</v>
      </c>
      <c r="P89" s="25">
        <f>SUM(P83:P88)</f>
        <v>44183</v>
      </c>
      <c r="Q89" s="111"/>
      <c r="R89" s="25">
        <f>SUM(R83:R87)</f>
        <v>162</v>
      </c>
      <c r="S89" s="25">
        <f>SUM(S83:S87)</f>
        <v>7015.5599999999995</v>
      </c>
      <c r="T89" s="25">
        <f>SUM(T83:T87)</f>
        <v>4912.42</v>
      </c>
      <c r="U89" s="25">
        <f>SUM(U83:U87)</f>
        <v>31642.57</v>
      </c>
      <c r="V89" s="117"/>
      <c r="W89" s="25">
        <f>SUM(W83:W88)</f>
        <v>43570.549999999996</v>
      </c>
      <c r="X89" s="118">
        <f t="shared" si="54"/>
        <v>43.305925925925919</v>
      </c>
      <c r="Y89" s="119">
        <f>U89/P89</f>
        <v>0.71617069913767739</v>
      </c>
      <c r="Z89" s="28">
        <f>P89-W89</f>
        <v>612.45000000000437</v>
      </c>
      <c r="AA89" s="57">
        <f>Z89/P89</f>
        <v>1.3861666251725876E-2</v>
      </c>
      <c r="AB89" s="120">
        <f t="shared" ref="AB89:AB96" si="57">M89-W89</f>
        <v>-43570.549999999996</v>
      </c>
      <c r="AC89" s="135">
        <f t="shared" ref="AC89:AC96" si="58">AA89-O89</f>
        <v>-0.31941470701400987</v>
      </c>
      <c r="AG89" s="61"/>
    </row>
    <row r="90" spans="1:33" ht="11.25" customHeight="1" outlineLevel="1" x14ac:dyDescent="0.15">
      <c r="A90" s="110" t="s">
        <v>97</v>
      </c>
      <c r="B90" s="110"/>
      <c r="C90" s="111" t="s">
        <v>55</v>
      </c>
      <c r="D90" s="111">
        <v>2020</v>
      </c>
      <c r="E90" s="146">
        <v>43920</v>
      </c>
      <c r="F90" s="17">
        <v>160339</v>
      </c>
      <c r="G90" s="111" t="s">
        <v>56</v>
      </c>
      <c r="H90" s="111"/>
      <c r="I90" s="111"/>
      <c r="J90" s="111"/>
      <c r="K90" s="112" t="s">
        <v>71</v>
      </c>
      <c r="L90" s="120"/>
      <c r="M90" s="120"/>
      <c r="N90" s="120"/>
      <c r="O90" s="119">
        <v>0</v>
      </c>
      <c r="P90" s="117">
        <v>4000</v>
      </c>
      <c r="Q90" s="111">
        <v>897</v>
      </c>
      <c r="R90" s="117">
        <v>4</v>
      </c>
      <c r="S90" s="117">
        <f>110+49.52</f>
        <v>159.52000000000001</v>
      </c>
      <c r="T90" s="117">
        <v>269.64999999999998</v>
      </c>
      <c r="U90" s="117">
        <v>4082.94</v>
      </c>
      <c r="V90" s="117"/>
      <c r="W90" s="26">
        <f>SUM(S90:U90)</f>
        <v>4512.1099999999997</v>
      </c>
      <c r="X90" s="118">
        <f t="shared" si="54"/>
        <v>39.880000000000003</v>
      </c>
      <c r="Y90" s="119">
        <f>U90/P90</f>
        <v>1.0207349999999999</v>
      </c>
      <c r="Z90" s="117">
        <f>P90-W90</f>
        <v>-512.10999999999967</v>
      </c>
      <c r="AA90" s="119">
        <f>Z90/P90</f>
        <v>-0.12802749999999991</v>
      </c>
      <c r="AB90" s="120">
        <f t="shared" si="57"/>
        <v>-4512.1099999999997</v>
      </c>
      <c r="AC90" s="135">
        <f t="shared" si="58"/>
        <v>-0.12802749999999991</v>
      </c>
      <c r="AD90" s="110"/>
      <c r="AE90" s="110"/>
      <c r="AF90" s="110"/>
      <c r="AG90" s="121"/>
    </row>
    <row r="91" spans="1:33" ht="11.25" customHeight="1" outlineLevel="1" x14ac:dyDescent="0.15">
      <c r="A91" s="110" t="s">
        <v>97</v>
      </c>
      <c r="B91" s="110"/>
      <c r="C91" s="111" t="s">
        <v>61</v>
      </c>
      <c r="D91" s="111">
        <v>2020</v>
      </c>
      <c r="E91" s="197">
        <v>43920</v>
      </c>
      <c r="F91" s="17">
        <v>160339</v>
      </c>
      <c r="G91" s="17" t="s">
        <v>101</v>
      </c>
      <c r="H91" s="17"/>
      <c r="I91" s="111" t="str">
        <f>MID(G91,3,1)</f>
        <v>1</v>
      </c>
      <c r="J91" s="111" t="str">
        <f>IF(I91="1","Small/Medium","Large")</f>
        <v>Small/Medium</v>
      </c>
      <c r="K91" s="112" t="s">
        <v>102</v>
      </c>
      <c r="L91" s="219">
        <f>P91</f>
        <v>9680</v>
      </c>
      <c r="M91" s="219">
        <f>L91*0.3</f>
        <v>2904</v>
      </c>
      <c r="N91" s="219">
        <f>L91-M91</f>
        <v>6776</v>
      </c>
      <c r="O91" s="135">
        <f>N91/L91</f>
        <v>0.7</v>
      </c>
      <c r="P91" s="132">
        <v>9680</v>
      </c>
      <c r="Q91" s="111"/>
      <c r="R91" s="132"/>
      <c r="S91" s="132"/>
      <c r="T91" s="132"/>
      <c r="U91" s="132"/>
      <c r="V91" s="132"/>
      <c r="W91" s="67">
        <f>SUM(S91:V91)</f>
        <v>0</v>
      </c>
      <c r="X91" s="118" t="str">
        <f t="shared" si="54"/>
        <v/>
      </c>
      <c r="Y91" s="119"/>
      <c r="Z91" s="117">
        <f>P91-W91</f>
        <v>9680</v>
      </c>
      <c r="AA91" s="119">
        <f>Z91/P91</f>
        <v>1</v>
      </c>
      <c r="AB91" s="120">
        <f t="shared" si="57"/>
        <v>2904</v>
      </c>
      <c r="AC91" s="135">
        <f t="shared" si="58"/>
        <v>0.30000000000000004</v>
      </c>
      <c r="AD91" s="110"/>
      <c r="AE91" s="110"/>
      <c r="AF91" s="110"/>
      <c r="AG91" s="121"/>
    </row>
    <row r="92" spans="1:33" ht="11.25" customHeight="1" outlineLevel="1" x14ac:dyDescent="0.15">
      <c r="A92" s="110" t="s">
        <v>97</v>
      </c>
      <c r="B92" s="110"/>
      <c r="C92" s="111" t="s">
        <v>58</v>
      </c>
      <c r="D92" s="111">
        <v>2020</v>
      </c>
      <c r="E92" s="146">
        <v>43920</v>
      </c>
      <c r="F92" s="17">
        <v>160339</v>
      </c>
      <c r="G92" s="17" t="s">
        <v>103</v>
      </c>
      <c r="H92" s="17"/>
      <c r="I92" s="17"/>
      <c r="J92" s="17"/>
      <c r="K92" s="112" t="s">
        <v>104</v>
      </c>
      <c r="L92" s="120"/>
      <c r="M92" s="120"/>
      <c r="N92" s="120"/>
      <c r="O92" s="119"/>
      <c r="P92" s="117">
        <v>9979</v>
      </c>
      <c r="Q92" s="111"/>
      <c r="R92" s="117"/>
      <c r="S92" s="117"/>
      <c r="T92" s="117"/>
      <c r="U92" s="117"/>
      <c r="V92" s="117"/>
      <c r="X92" s="118" t="str">
        <f t="shared" si="54"/>
        <v/>
      </c>
      <c r="Y92" s="119"/>
      <c r="Z92" s="117"/>
      <c r="AA92" s="119"/>
      <c r="AB92" s="120">
        <f t="shared" si="57"/>
        <v>0</v>
      </c>
      <c r="AC92" s="135">
        <f t="shared" si="58"/>
        <v>0</v>
      </c>
      <c r="AD92" s="110"/>
      <c r="AE92" s="110"/>
      <c r="AF92" s="110"/>
      <c r="AG92" s="121"/>
    </row>
    <row r="93" spans="1:33" ht="11.25" customHeight="1" outlineLevel="1" x14ac:dyDescent="0.15">
      <c r="A93" s="110" t="s">
        <v>97</v>
      </c>
      <c r="B93" s="110"/>
      <c r="C93" s="111" t="s">
        <v>58</v>
      </c>
      <c r="D93" s="111">
        <v>2020</v>
      </c>
      <c r="E93" s="146">
        <v>43920</v>
      </c>
      <c r="F93" s="17">
        <v>160339</v>
      </c>
      <c r="G93" s="17" t="s">
        <v>103</v>
      </c>
      <c r="H93" s="17"/>
      <c r="I93" s="17"/>
      <c r="J93" s="17"/>
      <c r="K93" s="112" t="s">
        <v>105</v>
      </c>
      <c r="L93" s="120"/>
      <c r="M93" s="120"/>
      <c r="N93" s="120"/>
      <c r="O93" s="119"/>
      <c r="P93" s="117">
        <v>10977</v>
      </c>
      <c r="Q93" s="111"/>
      <c r="R93" s="117"/>
      <c r="S93" s="117"/>
      <c r="T93" s="117"/>
      <c r="U93" s="117"/>
      <c r="V93" s="117"/>
      <c r="X93" s="118" t="str">
        <f t="shared" si="54"/>
        <v/>
      </c>
      <c r="Y93" s="119"/>
      <c r="Z93" s="117"/>
      <c r="AA93" s="119"/>
      <c r="AB93" s="120">
        <f t="shared" si="57"/>
        <v>0</v>
      </c>
      <c r="AC93" s="135">
        <f t="shared" si="58"/>
        <v>0</v>
      </c>
      <c r="AD93" s="110"/>
      <c r="AE93" s="110"/>
      <c r="AF93" s="110"/>
      <c r="AG93" s="121"/>
    </row>
    <row r="94" spans="1:33" ht="11.25" customHeight="1" outlineLevel="1" x14ac:dyDescent="0.15">
      <c r="A94" s="110" t="s">
        <v>97</v>
      </c>
      <c r="B94" s="110"/>
      <c r="C94" s="111"/>
      <c r="D94" s="111">
        <v>2020</v>
      </c>
      <c r="E94" s="146">
        <v>43920</v>
      </c>
      <c r="F94" s="111"/>
      <c r="G94" s="111"/>
      <c r="H94" s="111"/>
      <c r="I94" s="111"/>
      <c r="J94" s="111"/>
      <c r="K94" s="112" t="s">
        <v>106</v>
      </c>
      <c r="L94" s="120"/>
      <c r="M94" s="120"/>
      <c r="N94" s="120"/>
      <c r="O94" s="119"/>
      <c r="P94" s="117">
        <v>6228.46</v>
      </c>
      <c r="Q94" s="111"/>
      <c r="R94" s="117"/>
      <c r="S94" s="117"/>
      <c r="T94" s="117"/>
      <c r="U94" s="117"/>
      <c r="V94" s="117"/>
      <c r="X94" s="118" t="str">
        <f t="shared" si="54"/>
        <v/>
      </c>
      <c r="Y94" s="119"/>
      <c r="Z94" s="117"/>
      <c r="AA94" s="119"/>
      <c r="AB94" s="120">
        <f t="shared" si="57"/>
        <v>0</v>
      </c>
      <c r="AC94" s="135">
        <f t="shared" si="58"/>
        <v>0</v>
      </c>
      <c r="AD94" s="110"/>
      <c r="AE94" s="110"/>
      <c r="AF94" s="110"/>
      <c r="AG94" s="121"/>
    </row>
    <row r="95" spans="1:33" s="53" customFormat="1" ht="11.25" customHeight="1" outlineLevel="1" x14ac:dyDescent="0.15">
      <c r="A95" s="53" t="s">
        <v>97</v>
      </c>
      <c r="C95" s="54" t="s">
        <v>65</v>
      </c>
      <c r="D95" s="54">
        <v>2020</v>
      </c>
      <c r="E95" s="70">
        <v>43920</v>
      </c>
      <c r="F95" s="54"/>
      <c r="G95" s="54"/>
      <c r="H95" s="54"/>
      <c r="I95" s="54"/>
      <c r="J95" s="54"/>
      <c r="K95" s="106"/>
      <c r="L95" s="93"/>
      <c r="M95" s="93"/>
      <c r="N95" s="93"/>
      <c r="O95" s="57"/>
      <c r="P95" s="25">
        <f>SUM(P89:P94)</f>
        <v>85047.46</v>
      </c>
      <c r="Q95" s="111"/>
      <c r="R95" s="25">
        <f>SUM(R89:R94)</f>
        <v>166</v>
      </c>
      <c r="S95" s="25">
        <f>SUM(S89:S94)</f>
        <v>7175.08</v>
      </c>
      <c r="T95" s="25">
        <f>SUM(T89:T94)</f>
        <v>5182.07</v>
      </c>
      <c r="U95" s="25">
        <f>SUM(U89:U94)</f>
        <v>35725.51</v>
      </c>
      <c r="V95" s="132"/>
      <c r="W95" s="25">
        <f>SUM(S95:U95)</f>
        <v>48082.66</v>
      </c>
      <c r="X95" s="118">
        <f t="shared" si="54"/>
        <v>43.223373493975906</v>
      </c>
      <c r="Y95" s="119">
        <f>U95/P95</f>
        <v>0.42006557279899953</v>
      </c>
      <c r="Z95" s="28">
        <f>P95-W95</f>
        <v>36964.800000000003</v>
      </c>
      <c r="AA95" s="57">
        <f>Z95/P95</f>
        <v>0.4346373189746055</v>
      </c>
      <c r="AB95" s="120">
        <f t="shared" si="57"/>
        <v>-48082.66</v>
      </c>
      <c r="AC95" s="135">
        <f t="shared" si="58"/>
        <v>0.4346373189746055</v>
      </c>
      <c r="AG95" s="61"/>
    </row>
    <row r="96" spans="1:33" s="53" customFormat="1" ht="11.25" customHeight="1" outlineLevel="1" x14ac:dyDescent="0.15">
      <c r="A96" s="53" t="s">
        <v>97</v>
      </c>
      <c r="C96" s="54" t="s">
        <v>66</v>
      </c>
      <c r="D96" s="54">
        <v>2020</v>
      </c>
      <c r="E96" s="70">
        <v>43920</v>
      </c>
      <c r="F96" s="54"/>
      <c r="G96" s="54"/>
      <c r="H96" s="54"/>
      <c r="I96" s="54"/>
      <c r="J96" s="54"/>
      <c r="K96" s="106"/>
      <c r="L96" s="58"/>
      <c r="M96" s="58"/>
      <c r="N96" s="58"/>
      <c r="O96" s="57">
        <f>((P83*O83)+(P84*O84))/P96</f>
        <v>0.55000000000000004</v>
      </c>
      <c r="P96" s="28">
        <f>P83+P84</f>
        <v>26773</v>
      </c>
      <c r="Q96" s="111"/>
      <c r="R96" s="117">
        <f>R83+R84</f>
        <v>54</v>
      </c>
      <c r="S96" s="117">
        <f>S83+S84</f>
        <v>1980.76</v>
      </c>
      <c r="T96" s="117">
        <f>T83+T84</f>
        <v>0</v>
      </c>
      <c r="U96" s="117">
        <f>U83+U84</f>
        <v>28510.36</v>
      </c>
      <c r="V96" s="117"/>
      <c r="W96" s="62">
        <f>W83+W84</f>
        <v>30491.119999999999</v>
      </c>
      <c r="X96" s="118">
        <f t="shared" si="54"/>
        <v>36.680740740740738</v>
      </c>
      <c r="Y96" s="119">
        <f>U96/P96</f>
        <v>1.0648922421842901</v>
      </c>
      <c r="Z96" s="28">
        <f>P96-W96</f>
        <v>-3718.119999999999</v>
      </c>
      <c r="AA96" s="57">
        <f>Z96/P96</f>
        <v>-0.13887573301460424</v>
      </c>
      <c r="AB96" s="120">
        <f t="shared" si="57"/>
        <v>-30491.119999999999</v>
      </c>
      <c r="AC96" s="135">
        <f t="shared" si="58"/>
        <v>-0.68887573301460425</v>
      </c>
      <c r="AG96" s="61"/>
    </row>
    <row r="97" spans="1:33" ht="11.25" customHeight="1" outlineLevel="1" x14ac:dyDescent="0.15">
      <c r="A97" s="124" t="s">
        <v>53</v>
      </c>
      <c r="B97" s="124"/>
      <c r="C97" s="124"/>
      <c r="D97" s="124"/>
      <c r="E97" s="273"/>
      <c r="F97" s="124"/>
      <c r="G97" s="124"/>
      <c r="H97" s="124"/>
      <c r="I97" s="124"/>
      <c r="J97" s="124"/>
      <c r="K97" s="125"/>
      <c r="L97" s="129"/>
      <c r="M97" s="129"/>
      <c r="N97" s="129"/>
      <c r="O97" s="128"/>
      <c r="P97" s="126"/>
      <c r="Q97" s="124"/>
      <c r="R97" s="126"/>
      <c r="S97" s="126"/>
      <c r="T97" s="126"/>
      <c r="U97" s="126"/>
      <c r="V97" s="126"/>
      <c r="W97" s="49"/>
      <c r="X97" s="127"/>
      <c r="Y97" s="128"/>
      <c r="Z97" s="126"/>
      <c r="AA97" s="128"/>
      <c r="AB97" s="129"/>
      <c r="AC97" s="128"/>
      <c r="AD97" s="130"/>
      <c r="AE97" s="110"/>
      <c r="AF97" s="110"/>
      <c r="AG97" s="121"/>
    </row>
    <row r="98" spans="1:33" ht="11.25" customHeight="1" outlineLevel="1" x14ac:dyDescent="0.15">
      <c r="A98" s="110" t="s">
        <v>107</v>
      </c>
      <c r="B98" s="110"/>
      <c r="C98" s="111" t="s">
        <v>37</v>
      </c>
      <c r="D98" s="111">
        <v>2020</v>
      </c>
      <c r="E98" s="146">
        <v>44043</v>
      </c>
      <c r="F98" s="17">
        <v>160994</v>
      </c>
      <c r="G98" s="16">
        <v>110010210</v>
      </c>
      <c r="H98" s="16"/>
      <c r="I98" s="16" t="str">
        <f>MID(G98,2,1)</f>
        <v>1</v>
      </c>
      <c r="J98" s="111" t="s">
        <v>39</v>
      </c>
      <c r="K98" s="112" t="s">
        <v>108</v>
      </c>
      <c r="L98" s="219"/>
      <c r="M98" s="219"/>
      <c r="N98" s="219"/>
      <c r="O98" s="119">
        <f>1-0.45</f>
        <v>0.55000000000000004</v>
      </c>
      <c r="P98" s="132">
        <v>15796</v>
      </c>
      <c r="Q98" s="111">
        <v>978</v>
      </c>
      <c r="R98" s="132">
        <f>12.5+11.5+4+2</f>
        <v>30</v>
      </c>
      <c r="S98" s="132">
        <f>779.4+350.79</f>
        <v>1130.19</v>
      </c>
      <c r="T98" s="132">
        <v>0</v>
      </c>
      <c r="U98" s="132">
        <v>7294.14</v>
      </c>
      <c r="V98" s="132"/>
      <c r="W98" s="67">
        <f>SUM(S98:V98)</f>
        <v>8424.33</v>
      </c>
      <c r="X98" s="118">
        <f t="shared" ref="X98:X103" si="59">IFERROR(S98/R98,"")</f>
        <v>37.673000000000002</v>
      </c>
      <c r="Y98" s="119">
        <f>U98/P98</f>
        <v>0.46177133451506713</v>
      </c>
      <c r="Z98" s="117">
        <f>P98-W98</f>
        <v>7371.67</v>
      </c>
      <c r="AA98" s="119">
        <f>Z98/P98</f>
        <v>0.46667953912382881</v>
      </c>
      <c r="AB98" s="120">
        <f t="shared" ref="AB98:AB100" si="60">M98-W98</f>
        <v>-8424.33</v>
      </c>
      <c r="AC98" s="135">
        <f t="shared" ref="AC98:AC100" si="61">AA98-O98</f>
        <v>-8.3320460876171232E-2</v>
      </c>
      <c r="AD98" s="110"/>
      <c r="AE98" s="110"/>
      <c r="AF98" s="110"/>
      <c r="AG98" s="121"/>
    </row>
    <row r="99" spans="1:33" ht="11.25" customHeight="1" outlineLevel="1" x14ac:dyDescent="0.15">
      <c r="A99" s="110" t="s">
        <v>107</v>
      </c>
      <c r="B99" s="110"/>
      <c r="C99" s="111" t="s">
        <v>37</v>
      </c>
      <c r="D99" s="111">
        <v>2020</v>
      </c>
      <c r="E99" s="146">
        <v>44043</v>
      </c>
      <c r="F99" s="17">
        <v>160994</v>
      </c>
      <c r="G99" s="16">
        <v>220100210</v>
      </c>
      <c r="H99" s="16"/>
      <c r="I99" s="16"/>
      <c r="J99" s="16"/>
      <c r="K99" s="112" t="s">
        <v>74</v>
      </c>
      <c r="L99" s="120"/>
      <c r="M99" s="120"/>
      <c r="N99" s="120"/>
      <c r="O99" s="119">
        <f>1-0.45</f>
        <v>0.55000000000000004</v>
      </c>
      <c r="P99" s="117">
        <v>5999</v>
      </c>
      <c r="Q99" s="111">
        <v>979</v>
      </c>
      <c r="R99" s="117">
        <v>3</v>
      </c>
      <c r="S99" s="117">
        <f>81.12+36.51</f>
        <v>117.63</v>
      </c>
      <c r="T99" s="117"/>
      <c r="U99" s="117">
        <v>7800.67</v>
      </c>
      <c r="V99" s="117"/>
      <c r="W99" s="26">
        <f>SUM(S99:V99)</f>
        <v>7918.3</v>
      </c>
      <c r="X99" s="118">
        <f t="shared" si="59"/>
        <v>39.21</v>
      </c>
      <c r="Y99" s="119">
        <f>U99/P99</f>
        <v>1.3003283880646774</v>
      </c>
      <c r="Z99" s="117">
        <f>P99-W99</f>
        <v>-1919.3000000000002</v>
      </c>
      <c r="AA99" s="119">
        <f>Z99/P99</f>
        <v>-0.31993665610935157</v>
      </c>
      <c r="AB99" s="120">
        <f t="shared" si="60"/>
        <v>-7918.3</v>
      </c>
      <c r="AC99" s="135">
        <f t="shared" si="61"/>
        <v>-0.86993665610935156</v>
      </c>
      <c r="AD99" s="110"/>
      <c r="AE99" s="110"/>
      <c r="AF99" s="110"/>
      <c r="AG99" s="121"/>
    </row>
    <row r="100" spans="1:33" ht="11.25" customHeight="1" outlineLevel="1" x14ac:dyDescent="0.15">
      <c r="A100" s="110" t="s">
        <v>107</v>
      </c>
      <c r="B100" s="110"/>
      <c r="C100" s="111" t="s">
        <v>47</v>
      </c>
      <c r="D100" s="111">
        <v>2020</v>
      </c>
      <c r="E100" s="146">
        <v>44043</v>
      </c>
      <c r="F100" s="17">
        <v>160994</v>
      </c>
      <c r="G100" s="16">
        <v>510010110</v>
      </c>
      <c r="H100" s="16"/>
      <c r="I100" s="16"/>
      <c r="J100" s="16"/>
      <c r="K100" s="112" t="s">
        <v>92</v>
      </c>
      <c r="L100" s="120"/>
      <c r="M100" s="120"/>
      <c r="N100" s="120"/>
      <c r="O100" s="119">
        <f>1-0.45</f>
        <v>0.55000000000000004</v>
      </c>
      <c r="P100" s="117">
        <v>4995</v>
      </c>
      <c r="Q100" s="111">
        <v>980</v>
      </c>
      <c r="R100" s="117">
        <v>32</v>
      </c>
      <c r="S100" s="117">
        <f>989.12+445.12</f>
        <v>1434.24</v>
      </c>
      <c r="T100" s="117">
        <v>1438.81</v>
      </c>
      <c r="U100" s="117"/>
      <c r="V100" s="117"/>
      <c r="W100" s="26">
        <f>SUM(S100:V100)</f>
        <v>2873.05</v>
      </c>
      <c r="X100" s="118">
        <f t="shared" si="59"/>
        <v>44.82</v>
      </c>
      <c r="Y100" s="119">
        <f>U100/P100</f>
        <v>0</v>
      </c>
      <c r="Z100" s="117">
        <f>P100-W100</f>
        <v>2121.9499999999998</v>
      </c>
      <c r="AA100" s="119">
        <f>Z100/P100</f>
        <v>0.42481481481481476</v>
      </c>
      <c r="AB100" s="120">
        <f t="shared" si="60"/>
        <v>-2873.05</v>
      </c>
      <c r="AC100" s="135">
        <f t="shared" si="61"/>
        <v>-0.12518518518518529</v>
      </c>
      <c r="AD100" s="110"/>
      <c r="AE100" s="110"/>
      <c r="AF100" s="110"/>
      <c r="AG100" s="121"/>
    </row>
    <row r="101" spans="1:33" ht="11.25" customHeight="1" outlineLevel="1" x14ac:dyDescent="0.15">
      <c r="A101" s="110" t="s">
        <v>53</v>
      </c>
      <c r="B101" s="110"/>
      <c r="C101" s="111"/>
      <c r="D101" s="111">
        <v>2020</v>
      </c>
      <c r="E101" s="146">
        <v>44043</v>
      </c>
      <c r="F101" s="17"/>
      <c r="G101" s="111"/>
      <c r="H101" s="111"/>
      <c r="I101" s="111"/>
      <c r="J101" s="111"/>
      <c r="K101" s="112"/>
      <c r="L101" s="219"/>
      <c r="M101" s="219"/>
      <c r="N101" s="219"/>
      <c r="O101" s="119"/>
      <c r="P101" s="132"/>
      <c r="Q101" s="111"/>
      <c r="R101" s="132"/>
      <c r="S101" s="132"/>
      <c r="T101" s="132"/>
      <c r="U101" s="132"/>
      <c r="V101" s="132"/>
      <c r="W101" s="67"/>
      <c r="X101" s="118" t="str">
        <f t="shared" si="59"/>
        <v/>
      </c>
      <c r="Y101" s="119"/>
      <c r="Z101" s="117"/>
      <c r="AA101" s="119"/>
      <c r="AB101" s="120"/>
      <c r="AC101" s="119"/>
      <c r="AD101" s="110"/>
      <c r="AE101" s="110"/>
      <c r="AF101" s="110"/>
      <c r="AG101" s="121"/>
    </row>
    <row r="102" spans="1:33" s="53" customFormat="1" ht="11.25" customHeight="1" outlineLevel="1" x14ac:dyDescent="0.15">
      <c r="A102" s="53" t="s">
        <v>107</v>
      </c>
      <c r="C102" s="54" t="s">
        <v>54</v>
      </c>
      <c r="D102" s="54">
        <v>2020</v>
      </c>
      <c r="E102" s="70">
        <v>44043</v>
      </c>
      <c r="F102" s="210"/>
      <c r="G102" s="54"/>
      <c r="H102" s="54"/>
      <c r="I102" s="54"/>
      <c r="J102" s="54"/>
      <c r="K102" s="106"/>
      <c r="L102" s="58"/>
      <c r="M102" s="58"/>
      <c r="N102" s="58"/>
      <c r="O102" s="57">
        <f>((P98*O98)+(P99*O99))/P102</f>
        <v>0.44745240761478172</v>
      </c>
      <c r="P102" s="24">
        <f>SUM(P98:P101)</f>
        <v>26790</v>
      </c>
      <c r="Q102" s="111"/>
      <c r="R102" s="24">
        <f>SUM(R98:R101)</f>
        <v>65</v>
      </c>
      <c r="S102" s="24">
        <f>SUM(S98:S101)</f>
        <v>2682.0600000000004</v>
      </c>
      <c r="T102" s="24">
        <f>SUM(T98:T101)</f>
        <v>1438.81</v>
      </c>
      <c r="U102" s="24">
        <f>SUM(U98:U101)</f>
        <v>15094.810000000001</v>
      </c>
      <c r="V102" s="117"/>
      <c r="W102" s="25">
        <f>SUM(W98:W101)</f>
        <v>19215.68</v>
      </c>
      <c r="X102" s="118">
        <f t="shared" si="59"/>
        <v>41.262461538461544</v>
      </c>
      <c r="Y102" s="119">
        <f>U102/P102</f>
        <v>0.56344942142590526</v>
      </c>
      <c r="Z102" s="28">
        <f>P102-W102</f>
        <v>7574.32</v>
      </c>
      <c r="AA102" s="57">
        <f>Z102/P102</f>
        <v>0.28272937663307202</v>
      </c>
      <c r="AB102" s="120">
        <f t="shared" ref="AB102:AB103" si="62">M102-W102</f>
        <v>-19215.68</v>
      </c>
      <c r="AC102" s="135">
        <f t="shared" ref="AC102:AC103" si="63">AA102-O102</f>
        <v>-0.16472303098170971</v>
      </c>
      <c r="AG102" s="61"/>
    </row>
    <row r="103" spans="1:33" ht="11.25" customHeight="1" outlineLevel="1" x14ac:dyDescent="0.15">
      <c r="A103" s="110" t="s">
        <v>107</v>
      </c>
      <c r="B103" s="110"/>
      <c r="C103" s="111" t="s">
        <v>55</v>
      </c>
      <c r="D103" s="111">
        <v>2020</v>
      </c>
      <c r="E103" s="146">
        <v>44043</v>
      </c>
      <c r="F103" s="17">
        <v>160994</v>
      </c>
      <c r="G103" s="111" t="s">
        <v>56</v>
      </c>
      <c r="H103" s="111"/>
      <c r="I103" s="111"/>
      <c r="J103" s="111"/>
      <c r="K103" s="112" t="s">
        <v>71</v>
      </c>
      <c r="L103" s="120"/>
      <c r="M103" s="120"/>
      <c r="N103" s="120"/>
      <c r="O103" s="119">
        <v>0</v>
      </c>
      <c r="P103" s="117">
        <v>1000</v>
      </c>
      <c r="Q103" s="111">
        <v>981</v>
      </c>
      <c r="R103" s="117">
        <v>5.5</v>
      </c>
      <c r="S103" s="117">
        <f>151.25+68.09</f>
        <v>219.34</v>
      </c>
      <c r="T103" s="117">
        <v>776.4</v>
      </c>
      <c r="U103" s="117"/>
      <c r="V103" s="117"/>
      <c r="W103" s="26">
        <f>SUM(S103:U103)</f>
        <v>995.74</v>
      </c>
      <c r="X103" s="118">
        <f t="shared" si="59"/>
        <v>39.880000000000003</v>
      </c>
      <c r="Y103" s="119">
        <f>U103/P103</f>
        <v>0</v>
      </c>
      <c r="Z103" s="117">
        <f>P103-W103</f>
        <v>4.2599999999999909</v>
      </c>
      <c r="AA103" s="119">
        <f>Z103/P103</f>
        <v>4.2599999999999912E-3</v>
      </c>
      <c r="AB103" s="120">
        <f t="shared" si="62"/>
        <v>-995.74</v>
      </c>
      <c r="AC103" s="135">
        <f t="shared" si="63"/>
        <v>4.2599999999999912E-3</v>
      </c>
      <c r="AD103" s="110"/>
      <c r="AE103" s="110"/>
      <c r="AF103" s="110"/>
      <c r="AG103" s="121"/>
    </row>
    <row r="104" spans="1:33" ht="11.25" customHeight="1" outlineLevel="1" x14ac:dyDescent="0.15">
      <c r="A104" s="110" t="s">
        <v>53</v>
      </c>
      <c r="B104" s="110"/>
      <c r="C104" s="111"/>
      <c r="D104" s="111">
        <v>2020</v>
      </c>
      <c r="E104" s="146">
        <v>44043</v>
      </c>
      <c r="F104" s="17"/>
      <c r="G104" s="111"/>
      <c r="H104" s="111"/>
      <c r="I104" s="111"/>
      <c r="J104" s="111"/>
      <c r="K104" s="112"/>
      <c r="L104" s="219"/>
      <c r="M104" s="219"/>
      <c r="N104" s="219"/>
      <c r="O104" s="119"/>
      <c r="P104" s="132"/>
      <c r="Q104" s="111"/>
      <c r="R104" s="132"/>
      <c r="S104" s="132"/>
      <c r="T104" s="132"/>
      <c r="U104" s="132"/>
      <c r="V104" s="132"/>
      <c r="W104" s="67"/>
      <c r="X104" s="118"/>
      <c r="Y104" s="119"/>
      <c r="Z104" s="117"/>
      <c r="AA104" s="119"/>
      <c r="AB104" s="120"/>
      <c r="AC104" s="119"/>
      <c r="AD104" s="110"/>
      <c r="AE104" s="110"/>
      <c r="AF104" s="110"/>
      <c r="AG104" s="121"/>
    </row>
    <row r="105" spans="1:33" s="53" customFormat="1" ht="11.25" customHeight="1" outlineLevel="1" x14ac:dyDescent="0.15">
      <c r="A105" s="53" t="s">
        <v>107</v>
      </c>
      <c r="C105" s="54" t="s">
        <v>65</v>
      </c>
      <c r="D105" s="54">
        <v>2020</v>
      </c>
      <c r="E105" s="70">
        <v>44043</v>
      </c>
      <c r="F105" s="54"/>
      <c r="G105" s="54"/>
      <c r="H105" s="54"/>
      <c r="I105" s="54"/>
      <c r="J105" s="54"/>
      <c r="K105" s="106"/>
      <c r="L105" s="58"/>
      <c r="M105" s="58"/>
      <c r="N105" s="58"/>
      <c r="O105" s="57"/>
      <c r="P105" s="25">
        <f>SUM(P102:P103)</f>
        <v>27790</v>
      </c>
      <c r="Q105" s="111"/>
      <c r="R105" s="25">
        <f>SUM(R102:R103)</f>
        <v>70.5</v>
      </c>
      <c r="S105" s="25">
        <f>SUM(S102:S103)</f>
        <v>2901.4000000000005</v>
      </c>
      <c r="T105" s="25">
        <f>SUM(T102:T103)</f>
        <v>2215.21</v>
      </c>
      <c r="U105" s="25">
        <f>SUM(U102:U103)</f>
        <v>15094.810000000001</v>
      </c>
      <c r="V105" s="117"/>
      <c r="W105" s="25">
        <f>SUM(S105:U105)</f>
        <v>20211.420000000002</v>
      </c>
      <c r="X105" s="118">
        <f>IFERROR(S105/R105,"")</f>
        <v>41.154609929078021</v>
      </c>
      <c r="Y105" s="119">
        <f>U105/P105</f>
        <v>0.54317416336811808</v>
      </c>
      <c r="Z105" s="28">
        <f>P105-W105</f>
        <v>7578.5799999999981</v>
      </c>
      <c r="AA105" s="57">
        <f>Z105/P105</f>
        <v>0.27270888808924065</v>
      </c>
      <c r="AB105" s="120">
        <f t="shared" ref="AB105:AB106" si="64">M105-W105</f>
        <v>-20211.420000000002</v>
      </c>
      <c r="AC105" s="135">
        <f t="shared" ref="AC105:AC106" si="65">AA105-O105</f>
        <v>0.27270888808924065</v>
      </c>
      <c r="AG105" s="61"/>
    </row>
    <row r="106" spans="1:33" s="53" customFormat="1" ht="11.25" customHeight="1" outlineLevel="1" x14ac:dyDescent="0.15">
      <c r="A106" s="53" t="s">
        <v>107</v>
      </c>
      <c r="C106" s="54" t="s">
        <v>66</v>
      </c>
      <c r="D106" s="54">
        <v>2020</v>
      </c>
      <c r="E106" s="70">
        <v>44043</v>
      </c>
      <c r="F106" s="54"/>
      <c r="G106" s="54"/>
      <c r="H106" s="54"/>
      <c r="I106" s="54"/>
      <c r="J106" s="54"/>
      <c r="K106" s="106"/>
      <c r="L106" s="58"/>
      <c r="M106" s="58"/>
      <c r="N106" s="58"/>
      <c r="O106" s="57">
        <f>((P98*O98)+(P99*O99))/P106</f>
        <v>0.55000000000000004</v>
      </c>
      <c r="P106" s="28">
        <f>P98+P99</f>
        <v>21795</v>
      </c>
      <c r="Q106" s="111"/>
      <c r="R106" s="117">
        <f>R98+R99</f>
        <v>33</v>
      </c>
      <c r="S106" s="117">
        <f>S98+S99</f>
        <v>1247.8200000000002</v>
      </c>
      <c r="T106" s="117">
        <f>T98+T99</f>
        <v>0</v>
      </c>
      <c r="U106" s="117">
        <f>U98+U99</f>
        <v>15094.810000000001</v>
      </c>
      <c r="V106" s="117"/>
      <c r="W106" s="62">
        <f>W98+W99</f>
        <v>16342.630000000001</v>
      </c>
      <c r="X106" s="118">
        <f>IFERROR(S106/R106,"")</f>
        <v>37.81272727272728</v>
      </c>
      <c r="Y106" s="119">
        <f>U106/P106</f>
        <v>0.69258132599220013</v>
      </c>
      <c r="Z106" s="28">
        <f>P106-W106</f>
        <v>5452.369999999999</v>
      </c>
      <c r="AA106" s="57">
        <f>Z106/P106</f>
        <v>0.25016609314062854</v>
      </c>
      <c r="AB106" s="120">
        <f t="shared" si="64"/>
        <v>-16342.630000000001</v>
      </c>
      <c r="AC106" s="135">
        <f t="shared" si="65"/>
        <v>-0.2998339068593715</v>
      </c>
      <c r="AG106" s="61"/>
    </row>
    <row r="107" spans="1:33" ht="11.25" customHeight="1" outlineLevel="1" x14ac:dyDescent="0.15">
      <c r="A107" s="124" t="s">
        <v>53</v>
      </c>
      <c r="B107" s="124"/>
      <c r="C107" s="124"/>
      <c r="D107" s="124"/>
      <c r="E107" s="273"/>
      <c r="F107" s="124"/>
      <c r="G107" s="124"/>
      <c r="H107" s="124"/>
      <c r="I107" s="124"/>
      <c r="J107" s="124"/>
      <c r="K107" s="125"/>
      <c r="L107" s="129"/>
      <c r="M107" s="129"/>
      <c r="N107" s="129"/>
      <c r="O107" s="128"/>
      <c r="P107" s="126"/>
      <c r="Q107" s="124"/>
      <c r="R107" s="126"/>
      <c r="S107" s="126"/>
      <c r="T107" s="126"/>
      <c r="U107" s="126"/>
      <c r="V107" s="126"/>
      <c r="W107" s="49"/>
      <c r="X107" s="127"/>
      <c r="Y107" s="128"/>
      <c r="Z107" s="126"/>
      <c r="AA107" s="128"/>
      <c r="AB107" s="129"/>
      <c r="AC107" s="128"/>
      <c r="AD107" s="130"/>
      <c r="AE107" s="110"/>
      <c r="AF107" s="110"/>
      <c r="AG107" s="121"/>
    </row>
    <row r="108" spans="1:33" ht="11.25" customHeight="1" outlineLevel="1" x14ac:dyDescent="0.15">
      <c r="A108" s="110" t="s">
        <v>109</v>
      </c>
      <c r="B108" s="110"/>
      <c r="C108" s="111" t="s">
        <v>37</v>
      </c>
      <c r="D108" s="111">
        <v>2020</v>
      </c>
      <c r="E108" s="146">
        <v>44043</v>
      </c>
      <c r="F108" s="17">
        <v>160988</v>
      </c>
      <c r="G108" s="16">
        <v>122050120</v>
      </c>
      <c r="H108" s="16"/>
      <c r="I108" s="16" t="str">
        <f>MID(G108,2,1)</f>
        <v>2</v>
      </c>
      <c r="J108" s="16" t="s">
        <v>68</v>
      </c>
      <c r="K108" s="112" t="s">
        <v>110</v>
      </c>
      <c r="L108" s="219"/>
      <c r="M108" s="219"/>
      <c r="N108" s="219"/>
      <c r="O108" s="119">
        <f t="shared" ref="O108:O113" si="66">1-0.45</f>
        <v>0.55000000000000004</v>
      </c>
      <c r="P108" s="132">
        <v>64668</v>
      </c>
      <c r="Q108" s="111">
        <v>937</v>
      </c>
      <c r="R108" s="132">
        <f>39.5+35+4.5</f>
        <v>79</v>
      </c>
      <c r="S108" s="132">
        <f>2033.19+915.12</f>
        <v>2948.31</v>
      </c>
      <c r="T108" s="132"/>
      <c r="U108" s="132">
        <v>20549.23</v>
      </c>
      <c r="V108" s="132"/>
      <c r="W108" s="67">
        <f t="shared" ref="W108:W113" si="67">SUM(S108:V108)</f>
        <v>23497.54</v>
      </c>
      <c r="X108" s="118">
        <f t="shared" ref="X108:X120" si="68">IFERROR(S108/R108,"")</f>
        <v>37.320379746835442</v>
      </c>
      <c r="Y108" s="119">
        <f t="shared" ref="Y108:Y113" si="69">U108/P108</f>
        <v>0.31776504608152406</v>
      </c>
      <c r="Z108" s="117">
        <f t="shared" ref="Z108:Z113" si="70">P108-W108</f>
        <v>41170.46</v>
      </c>
      <c r="AA108" s="119">
        <f t="shared" ref="AA108:AA113" si="71">Z108/P108</f>
        <v>0.63664347126863363</v>
      </c>
      <c r="AB108" s="120">
        <f t="shared" ref="AB108:AB120" si="72">M108-W108</f>
        <v>-23497.54</v>
      </c>
      <c r="AC108" s="135">
        <f t="shared" ref="AC108:AC120" si="73">AA108-O108</f>
        <v>8.6643471268633587E-2</v>
      </c>
      <c r="AD108" s="110"/>
      <c r="AE108" s="110"/>
      <c r="AF108" s="110"/>
      <c r="AG108" s="121"/>
    </row>
    <row r="109" spans="1:33" ht="11.25" customHeight="1" outlineLevel="1" x14ac:dyDescent="0.15">
      <c r="A109" s="110" t="s">
        <v>109</v>
      </c>
      <c r="B109" s="110"/>
      <c r="C109" s="111" t="s">
        <v>37</v>
      </c>
      <c r="D109" s="111">
        <v>2020</v>
      </c>
      <c r="E109" s="146">
        <v>44043</v>
      </c>
      <c r="F109" s="17">
        <v>160988</v>
      </c>
      <c r="G109" s="16">
        <v>318000100</v>
      </c>
      <c r="H109" s="16"/>
      <c r="I109" s="16"/>
      <c r="J109" s="16"/>
      <c r="K109" s="112" t="s">
        <v>111</v>
      </c>
      <c r="L109" s="120"/>
      <c r="M109" s="120"/>
      <c r="N109" s="120"/>
      <c r="O109" s="119">
        <f t="shared" si="66"/>
        <v>0.55000000000000004</v>
      </c>
      <c r="P109" s="117">
        <v>32644</v>
      </c>
      <c r="Q109" s="111">
        <v>938</v>
      </c>
      <c r="R109" s="117">
        <f>13+32.25</f>
        <v>45.25</v>
      </c>
      <c r="S109" s="117">
        <f>1126.81+507.18</f>
        <v>1633.99</v>
      </c>
      <c r="T109" s="117"/>
      <c r="U109" s="117">
        <v>12151.99</v>
      </c>
      <c r="V109" s="117"/>
      <c r="W109" s="26">
        <f t="shared" si="67"/>
        <v>13785.98</v>
      </c>
      <c r="X109" s="118">
        <f t="shared" si="68"/>
        <v>36.110276243093921</v>
      </c>
      <c r="Y109" s="119">
        <f t="shared" si="69"/>
        <v>0.37225799534370785</v>
      </c>
      <c r="Z109" s="117">
        <f t="shared" si="70"/>
        <v>18858.02</v>
      </c>
      <c r="AA109" s="119">
        <f t="shared" si="71"/>
        <v>0.57768717068986641</v>
      </c>
      <c r="AB109" s="120">
        <f t="shared" si="72"/>
        <v>-13785.98</v>
      </c>
      <c r="AC109" s="135">
        <f t="shared" si="73"/>
        <v>2.7687170689866369E-2</v>
      </c>
      <c r="AD109" s="110"/>
      <c r="AE109" s="110"/>
      <c r="AF109" s="110"/>
      <c r="AG109" s="121"/>
    </row>
    <row r="110" spans="1:33" ht="11.25" customHeight="1" outlineLevel="1" x14ac:dyDescent="0.15">
      <c r="A110" s="110" t="s">
        <v>109</v>
      </c>
      <c r="B110" s="110"/>
      <c r="C110" s="111" t="s">
        <v>37</v>
      </c>
      <c r="D110" s="111">
        <v>2020</v>
      </c>
      <c r="E110" s="146">
        <v>44043</v>
      </c>
      <c r="F110" s="17">
        <v>160988</v>
      </c>
      <c r="G110" s="16">
        <v>215000110</v>
      </c>
      <c r="H110" s="16"/>
      <c r="I110" s="16"/>
      <c r="J110" s="16"/>
      <c r="K110" s="112" t="s">
        <v>75</v>
      </c>
      <c r="L110" s="120"/>
      <c r="M110" s="120"/>
      <c r="N110" s="120"/>
      <c r="O110" s="119">
        <f t="shared" si="66"/>
        <v>0.55000000000000004</v>
      </c>
      <c r="P110" s="117">
        <v>13520</v>
      </c>
      <c r="Q110" s="111">
        <v>939</v>
      </c>
      <c r="R110" s="117">
        <f>0.5+3</f>
        <v>3.5</v>
      </c>
      <c r="S110" s="117">
        <f>83.3+37.5</f>
        <v>120.8</v>
      </c>
      <c r="T110" s="117"/>
      <c r="U110" s="117">
        <v>7902.99</v>
      </c>
      <c r="V110" s="117"/>
      <c r="W110" s="26">
        <f t="shared" si="67"/>
        <v>8023.79</v>
      </c>
      <c r="X110" s="118">
        <f t="shared" si="68"/>
        <v>34.514285714285712</v>
      </c>
      <c r="Y110" s="119">
        <f t="shared" si="69"/>
        <v>0.58454068047337282</v>
      </c>
      <c r="Z110" s="117">
        <f t="shared" si="70"/>
        <v>5496.21</v>
      </c>
      <c r="AA110" s="119">
        <f t="shared" si="71"/>
        <v>0.4065244082840237</v>
      </c>
      <c r="AB110" s="120">
        <f t="shared" si="72"/>
        <v>-8023.79</v>
      </c>
      <c r="AC110" s="135">
        <f t="shared" si="73"/>
        <v>-0.14347559171597635</v>
      </c>
      <c r="AD110" s="110"/>
      <c r="AE110" s="110"/>
      <c r="AF110" s="110"/>
      <c r="AG110" s="121"/>
    </row>
    <row r="111" spans="1:33" ht="11.25" customHeight="1" outlineLevel="1" x14ac:dyDescent="0.15">
      <c r="A111" s="110" t="s">
        <v>109</v>
      </c>
      <c r="B111" s="110"/>
      <c r="C111" s="111" t="s">
        <v>37</v>
      </c>
      <c r="D111" s="111">
        <v>2020</v>
      </c>
      <c r="E111" s="146">
        <v>44043</v>
      </c>
      <c r="F111" s="17">
        <v>160988</v>
      </c>
      <c r="G111" s="16">
        <v>512040120</v>
      </c>
      <c r="H111" s="16"/>
      <c r="I111" s="16"/>
      <c r="J111" s="16"/>
      <c r="K111" s="112" t="s">
        <v>112</v>
      </c>
      <c r="L111" s="219"/>
      <c r="M111" s="219"/>
      <c r="N111" s="219"/>
      <c r="O111" s="119">
        <f t="shared" si="66"/>
        <v>0.55000000000000004</v>
      </c>
      <c r="P111" s="132">
        <f>5000</f>
        <v>5000</v>
      </c>
      <c r="Q111" s="111">
        <v>941</v>
      </c>
      <c r="R111" s="132">
        <v>0</v>
      </c>
      <c r="S111" s="132">
        <v>0</v>
      </c>
      <c r="T111" s="132"/>
      <c r="U111" s="132">
        <v>0</v>
      </c>
      <c r="V111" s="132"/>
      <c r="W111" s="67">
        <f t="shared" si="67"/>
        <v>0</v>
      </c>
      <c r="X111" s="118" t="str">
        <f t="shared" si="68"/>
        <v/>
      </c>
      <c r="Y111" s="119">
        <f t="shared" si="69"/>
        <v>0</v>
      </c>
      <c r="Z111" s="117">
        <f t="shared" si="70"/>
        <v>5000</v>
      </c>
      <c r="AA111" s="119">
        <f t="shared" si="71"/>
        <v>1</v>
      </c>
      <c r="AB111" s="120">
        <f t="shared" si="72"/>
        <v>0</v>
      </c>
      <c r="AC111" s="135">
        <f t="shared" si="73"/>
        <v>0.44999999999999996</v>
      </c>
      <c r="AD111" s="110"/>
      <c r="AE111" s="110"/>
      <c r="AF111" s="110"/>
      <c r="AG111" s="121"/>
    </row>
    <row r="112" spans="1:33" ht="11.25" customHeight="1" outlineLevel="1" x14ac:dyDescent="0.15">
      <c r="A112" s="110" t="s">
        <v>109</v>
      </c>
      <c r="B112" s="110"/>
      <c r="C112" s="111" t="s">
        <v>47</v>
      </c>
      <c r="D112" s="111">
        <v>2020</v>
      </c>
      <c r="E112" s="146">
        <v>44043</v>
      </c>
      <c r="F112" s="17">
        <v>160988</v>
      </c>
      <c r="G112" s="16">
        <v>512050120</v>
      </c>
      <c r="H112" s="16"/>
      <c r="I112" s="16"/>
      <c r="J112" s="16"/>
      <c r="K112" s="112" t="s">
        <v>92</v>
      </c>
      <c r="L112" s="120"/>
      <c r="M112" s="120"/>
      <c r="N112" s="120"/>
      <c r="O112" s="119">
        <f t="shared" si="66"/>
        <v>0.55000000000000004</v>
      </c>
      <c r="P112" s="117">
        <v>29918</v>
      </c>
      <c r="Q112" s="111">
        <v>942</v>
      </c>
      <c r="R112" s="117">
        <v>162</v>
      </c>
      <c r="S112" s="117">
        <f>5007.42+2253.42</f>
        <v>7260.84</v>
      </c>
      <c r="T112" s="117">
        <v>5193.16</v>
      </c>
      <c r="U112" s="117">
        <v>25327.09</v>
      </c>
      <c r="V112" s="117"/>
      <c r="W112" s="26">
        <f t="shared" si="67"/>
        <v>37781.089999999997</v>
      </c>
      <c r="X112" s="118">
        <f t="shared" si="68"/>
        <v>44.82</v>
      </c>
      <c r="Y112" s="119">
        <f t="shared" si="69"/>
        <v>0.84655023731532852</v>
      </c>
      <c r="Z112" s="117">
        <f t="shared" si="70"/>
        <v>-7863.0899999999965</v>
      </c>
      <c r="AA112" s="119">
        <f t="shared" si="71"/>
        <v>-0.26282137843438719</v>
      </c>
      <c r="AB112" s="120">
        <f t="shared" si="72"/>
        <v>-37781.089999999997</v>
      </c>
      <c r="AC112" s="135">
        <f t="shared" si="73"/>
        <v>-0.81282137843438718</v>
      </c>
      <c r="AD112" s="110"/>
      <c r="AE112" s="110"/>
      <c r="AF112" s="110"/>
      <c r="AG112" s="121"/>
    </row>
    <row r="113" spans="1:33" ht="11.25" customHeight="1" outlineLevel="1" x14ac:dyDescent="0.15">
      <c r="A113" s="110" t="s">
        <v>109</v>
      </c>
      <c r="B113" s="110"/>
      <c r="C113" s="111" t="s">
        <v>37</v>
      </c>
      <c r="D113" s="111">
        <v>2020</v>
      </c>
      <c r="E113" s="146">
        <v>44043</v>
      </c>
      <c r="F113" s="17">
        <v>160988</v>
      </c>
      <c r="G113" s="16">
        <v>220100110</v>
      </c>
      <c r="H113" s="16"/>
      <c r="I113" s="16"/>
      <c r="J113" s="16"/>
      <c r="K113" s="112" t="s">
        <v>74</v>
      </c>
      <c r="L113" s="120"/>
      <c r="M113" s="120"/>
      <c r="N113" s="120"/>
      <c r="O113" s="119">
        <f t="shared" si="66"/>
        <v>0.55000000000000004</v>
      </c>
      <c r="P113" s="117">
        <v>6600</v>
      </c>
      <c r="Q113" s="111">
        <v>940</v>
      </c>
      <c r="R113" s="117">
        <f>0.5+2.5</f>
        <v>3</v>
      </c>
      <c r="S113" s="117">
        <f>71.67+32.27</f>
        <v>103.94</v>
      </c>
      <c r="T113" s="117"/>
      <c r="U113" s="117">
        <v>4662.1099999999997</v>
      </c>
      <c r="V113" s="117"/>
      <c r="W113" s="26">
        <f t="shared" si="67"/>
        <v>4766.0499999999993</v>
      </c>
      <c r="X113" s="118">
        <f t="shared" si="68"/>
        <v>34.646666666666668</v>
      </c>
      <c r="Y113" s="119">
        <f t="shared" si="69"/>
        <v>0.70638030303030297</v>
      </c>
      <c r="Z113" s="117">
        <f t="shared" si="70"/>
        <v>1833.9500000000007</v>
      </c>
      <c r="AA113" s="119">
        <f t="shared" si="71"/>
        <v>0.27787121212121224</v>
      </c>
      <c r="AB113" s="120">
        <f t="shared" si="72"/>
        <v>-4766.0499999999993</v>
      </c>
      <c r="AC113" s="135">
        <f t="shared" si="73"/>
        <v>-0.2721287878787878</v>
      </c>
      <c r="AD113" s="110"/>
      <c r="AE113" s="110"/>
      <c r="AF113" s="110"/>
      <c r="AG113" s="121"/>
    </row>
    <row r="114" spans="1:33" s="53" customFormat="1" ht="11.25" customHeight="1" outlineLevel="1" x14ac:dyDescent="0.15">
      <c r="A114" s="53" t="s">
        <v>109</v>
      </c>
      <c r="C114" s="54" t="s">
        <v>54</v>
      </c>
      <c r="D114" s="54">
        <v>2020</v>
      </c>
      <c r="E114" s="70">
        <v>44043</v>
      </c>
      <c r="F114" s="210">
        <v>160988</v>
      </c>
      <c r="G114" s="54"/>
      <c r="H114" s="54"/>
      <c r="I114" s="54"/>
      <c r="J114" s="54"/>
      <c r="K114" s="106"/>
      <c r="L114" s="93"/>
      <c r="M114" s="93"/>
      <c r="N114" s="93"/>
      <c r="O114" s="57">
        <f>((P108*O108)+(P109*O109)+(P110*O110)+(P111*O111)+(P113*O113))/P114</f>
        <v>0.44199277978339352</v>
      </c>
      <c r="P114" s="25">
        <f>SUM(P108:P113)</f>
        <v>152350</v>
      </c>
      <c r="Q114" s="111"/>
      <c r="R114" s="25">
        <f>SUM(R108:R113)</f>
        <v>292.75</v>
      </c>
      <c r="S114" s="25">
        <f>SUM(S108:S113)</f>
        <v>12067.880000000001</v>
      </c>
      <c r="T114" s="25">
        <f>SUM(T108:T113)</f>
        <v>5193.16</v>
      </c>
      <c r="U114" s="25">
        <f>SUM(U108:U113)</f>
        <v>70593.41</v>
      </c>
      <c r="V114" s="132"/>
      <c r="W114" s="25">
        <f>SUM(W108:W113)</f>
        <v>87854.45</v>
      </c>
      <c r="X114" s="118">
        <f t="shared" si="68"/>
        <v>41.222476515798469</v>
      </c>
      <c r="Y114" s="119">
        <f>U114/P114</f>
        <v>0.46336337381030523</v>
      </c>
      <c r="Z114" s="28">
        <f>P114-W114</f>
        <v>64495.55</v>
      </c>
      <c r="AA114" s="57">
        <f>Z114/P114</f>
        <v>0.42333803741384973</v>
      </c>
      <c r="AB114" s="120">
        <f t="shared" si="72"/>
        <v>-87854.45</v>
      </c>
      <c r="AC114" s="135">
        <f t="shared" si="73"/>
        <v>-1.8654742369543786E-2</v>
      </c>
      <c r="AG114" s="61"/>
    </row>
    <row r="115" spans="1:33" ht="11.25" customHeight="1" outlineLevel="1" x14ac:dyDescent="0.15">
      <c r="A115" s="110" t="s">
        <v>109</v>
      </c>
      <c r="B115" s="110"/>
      <c r="C115" s="111" t="s">
        <v>55</v>
      </c>
      <c r="D115" s="111">
        <v>2020</v>
      </c>
      <c r="E115" s="146">
        <v>44043</v>
      </c>
      <c r="F115" s="17">
        <v>160988</v>
      </c>
      <c r="G115" s="111" t="s">
        <v>56</v>
      </c>
      <c r="H115" s="111"/>
      <c r="I115" s="111"/>
      <c r="J115" s="111"/>
      <c r="K115" s="112" t="s">
        <v>71</v>
      </c>
      <c r="L115" s="120"/>
      <c r="M115" s="120"/>
      <c r="N115" s="120"/>
      <c r="O115" s="119">
        <v>0</v>
      </c>
      <c r="P115" s="117">
        <v>5500</v>
      </c>
      <c r="Q115" s="111">
        <v>944</v>
      </c>
      <c r="R115" s="117">
        <v>27</v>
      </c>
      <c r="S115" s="117">
        <f>742.5+334.26</f>
        <v>1076.76</v>
      </c>
      <c r="T115" s="117">
        <v>3784.47</v>
      </c>
      <c r="U115" s="117">
        <v>374.41</v>
      </c>
      <c r="V115" s="117"/>
      <c r="W115" s="26">
        <f>SUM(S115:U115)</f>
        <v>5235.6399999999994</v>
      </c>
      <c r="X115" s="118">
        <f t="shared" si="68"/>
        <v>39.880000000000003</v>
      </c>
      <c r="Y115" s="119">
        <f>U115/P115</f>
        <v>6.8074545454545457E-2</v>
      </c>
      <c r="Z115" s="117">
        <f>P115-W115</f>
        <v>264.36000000000058</v>
      </c>
      <c r="AA115" s="119">
        <f>Z115/P115</f>
        <v>4.8065454545454654E-2</v>
      </c>
      <c r="AB115" s="120">
        <f t="shared" si="72"/>
        <v>-5235.6399999999994</v>
      </c>
      <c r="AC115" s="135">
        <f t="shared" si="73"/>
        <v>4.8065454545454654E-2</v>
      </c>
      <c r="AD115" s="110"/>
      <c r="AE115" s="110"/>
      <c r="AF115" s="110"/>
      <c r="AG115" s="121"/>
    </row>
    <row r="116" spans="1:33" ht="11.25" customHeight="1" outlineLevel="1" x14ac:dyDescent="0.15">
      <c r="A116" s="110" t="s">
        <v>109</v>
      </c>
      <c r="B116" s="110"/>
      <c r="C116" s="111" t="s">
        <v>58</v>
      </c>
      <c r="D116" s="111">
        <v>2020</v>
      </c>
      <c r="E116" s="146">
        <v>44043</v>
      </c>
      <c r="F116" s="17">
        <v>160988</v>
      </c>
      <c r="G116" s="17">
        <v>616500120</v>
      </c>
      <c r="H116" s="17"/>
      <c r="I116" s="17"/>
      <c r="J116" s="17"/>
      <c r="K116" s="112" t="s">
        <v>104</v>
      </c>
      <c r="L116" s="120"/>
      <c r="M116" s="120"/>
      <c r="N116" s="120"/>
      <c r="O116" s="119"/>
      <c r="P116" s="117">
        <v>7321</v>
      </c>
      <c r="Q116" s="111">
        <v>943</v>
      </c>
      <c r="R116" s="117">
        <v>16</v>
      </c>
      <c r="S116" s="117">
        <f>628.48+282.88</f>
        <v>911.36</v>
      </c>
      <c r="T116" s="117">
        <v>1855.92</v>
      </c>
      <c r="U116" s="117">
        <v>1133.8699999999999</v>
      </c>
      <c r="V116" s="117"/>
      <c r="W116" s="26">
        <f>SUM(S116:V116)</f>
        <v>3901.15</v>
      </c>
      <c r="X116" s="118">
        <f t="shared" si="68"/>
        <v>56.96</v>
      </c>
      <c r="Y116" s="119"/>
      <c r="Z116" s="117"/>
      <c r="AA116" s="119"/>
      <c r="AB116" s="120">
        <f t="shared" si="72"/>
        <v>-3901.15</v>
      </c>
      <c r="AC116" s="135">
        <f t="shared" si="73"/>
        <v>0</v>
      </c>
      <c r="AD116" s="110"/>
      <c r="AE116" s="110"/>
      <c r="AF116" s="110"/>
      <c r="AG116" s="121"/>
    </row>
    <row r="117" spans="1:33" ht="11.25" customHeight="1" outlineLevel="1" x14ac:dyDescent="0.15">
      <c r="A117" s="110" t="s">
        <v>109</v>
      </c>
      <c r="B117" s="110"/>
      <c r="C117" s="111" t="s">
        <v>58</v>
      </c>
      <c r="D117" s="111">
        <v>2020</v>
      </c>
      <c r="E117" s="146">
        <v>44043</v>
      </c>
      <c r="F117" s="17">
        <v>160988</v>
      </c>
      <c r="G117" s="17" t="s">
        <v>113</v>
      </c>
      <c r="H117" s="17"/>
      <c r="I117" s="17"/>
      <c r="J117" s="17"/>
      <c r="K117" s="112" t="s">
        <v>105</v>
      </c>
      <c r="L117" s="120"/>
      <c r="M117" s="120"/>
      <c r="N117" s="120"/>
      <c r="O117" s="119"/>
      <c r="P117" s="117">
        <v>10991</v>
      </c>
      <c r="Q117" s="111"/>
      <c r="R117" s="117"/>
      <c r="S117" s="117"/>
      <c r="T117" s="117"/>
      <c r="U117" s="117"/>
      <c r="V117" s="117"/>
      <c r="X117" s="118" t="str">
        <f t="shared" si="68"/>
        <v/>
      </c>
      <c r="Y117" s="119"/>
      <c r="Z117" s="117"/>
      <c r="AA117" s="119"/>
      <c r="AB117" s="120">
        <f t="shared" si="72"/>
        <v>0</v>
      </c>
      <c r="AC117" s="135">
        <f t="shared" si="73"/>
        <v>0</v>
      </c>
      <c r="AD117" s="110"/>
      <c r="AE117" s="110"/>
      <c r="AF117" s="110"/>
      <c r="AG117" s="121"/>
    </row>
    <row r="118" spans="1:33" ht="11.25" customHeight="1" outlineLevel="1" x14ac:dyDescent="0.15">
      <c r="A118" s="110" t="s">
        <v>109</v>
      </c>
      <c r="B118" s="110"/>
      <c r="C118" s="111"/>
      <c r="D118" s="111">
        <v>2020</v>
      </c>
      <c r="E118" s="146">
        <v>44043</v>
      </c>
      <c r="F118" s="111"/>
      <c r="G118" s="111"/>
      <c r="H118" s="111"/>
      <c r="I118" s="111"/>
      <c r="J118" s="111"/>
      <c r="K118" s="112" t="s">
        <v>114</v>
      </c>
      <c r="L118" s="120"/>
      <c r="M118" s="120"/>
      <c r="N118" s="120"/>
      <c r="O118" s="119"/>
      <c r="P118" s="117">
        <v>28800</v>
      </c>
      <c r="Q118" s="111"/>
      <c r="R118" s="117"/>
      <c r="S118" s="117"/>
      <c r="T118" s="117"/>
      <c r="U118" s="117"/>
      <c r="V118" s="117"/>
      <c r="W118" s="26">
        <f>SUM(S118:V118)</f>
        <v>0</v>
      </c>
      <c r="X118" s="118" t="str">
        <f t="shared" si="68"/>
        <v/>
      </c>
      <c r="Y118" s="119"/>
      <c r="Z118" s="117"/>
      <c r="AA118" s="119"/>
      <c r="AB118" s="120">
        <f t="shared" si="72"/>
        <v>0</v>
      </c>
      <c r="AC118" s="135">
        <f t="shared" si="73"/>
        <v>0</v>
      </c>
      <c r="AD118" s="110"/>
      <c r="AE118" s="110"/>
      <c r="AF118" s="110"/>
      <c r="AG118" s="121"/>
    </row>
    <row r="119" spans="1:33" s="53" customFormat="1" ht="11.25" customHeight="1" outlineLevel="1" x14ac:dyDescent="0.15">
      <c r="A119" s="53" t="s">
        <v>109</v>
      </c>
      <c r="C119" s="54" t="s">
        <v>65</v>
      </c>
      <c r="D119" s="54">
        <v>2020</v>
      </c>
      <c r="E119" s="70">
        <v>44043</v>
      </c>
      <c r="F119" s="54"/>
      <c r="G119" s="54"/>
      <c r="H119" s="54"/>
      <c r="I119" s="54"/>
      <c r="J119" s="54"/>
      <c r="K119" s="106"/>
      <c r="L119" s="58"/>
      <c r="M119" s="58"/>
      <c r="N119" s="58"/>
      <c r="O119" s="57"/>
      <c r="P119" s="25">
        <f>SUM(P114:P118)</f>
        <v>204962</v>
      </c>
      <c r="Q119" s="111"/>
      <c r="R119" s="25">
        <f>SUM(R114:R118)</f>
        <v>335.75</v>
      </c>
      <c r="S119" s="25">
        <f>SUM(S114:S118)</f>
        <v>14056.000000000002</v>
      </c>
      <c r="T119" s="25">
        <f>SUM(T114:T118)</f>
        <v>10833.55</v>
      </c>
      <c r="U119" s="25">
        <f>SUM(U114:U118)</f>
        <v>72101.69</v>
      </c>
      <c r="V119" s="117"/>
      <c r="W119" s="25">
        <f>SUM(S119:U119)</f>
        <v>96991.24</v>
      </c>
      <c r="X119" s="118">
        <f t="shared" si="68"/>
        <v>41.864482501861509</v>
      </c>
      <c r="Y119" s="119">
        <f>U119/P119</f>
        <v>0.35178076911817802</v>
      </c>
      <c r="Z119" s="28">
        <f>P119-W119</f>
        <v>107970.76</v>
      </c>
      <c r="AA119" s="57">
        <f>Z119/P119</f>
        <v>0.5267842819644617</v>
      </c>
      <c r="AB119" s="120">
        <f t="shared" si="72"/>
        <v>-96991.24</v>
      </c>
      <c r="AC119" s="135">
        <f t="shared" si="73"/>
        <v>0.5267842819644617</v>
      </c>
      <c r="AG119" s="61"/>
    </row>
    <row r="120" spans="1:33" s="53" customFormat="1" ht="11.25" customHeight="1" outlineLevel="1" x14ac:dyDescent="0.15">
      <c r="A120" s="53" t="s">
        <v>109</v>
      </c>
      <c r="C120" s="54" t="s">
        <v>66</v>
      </c>
      <c r="D120" s="54">
        <v>2020</v>
      </c>
      <c r="E120" s="70">
        <v>44043</v>
      </c>
      <c r="F120" s="54"/>
      <c r="G120" s="54"/>
      <c r="H120" s="54"/>
      <c r="I120" s="54"/>
      <c r="J120" s="54"/>
      <c r="K120" s="106"/>
      <c r="L120" s="58"/>
      <c r="M120" s="58"/>
      <c r="N120" s="58"/>
      <c r="O120" s="57">
        <f>((P108*O108)+(P109*O109)+(P110*O110)+(P113*O113))/P120</f>
        <v>0.55000000000000004</v>
      </c>
      <c r="P120" s="28">
        <f>P108+P109+P110+P113</f>
        <v>117432</v>
      </c>
      <c r="Q120" s="111"/>
      <c r="R120" s="117">
        <f>R108+R109+R110+R113</f>
        <v>130.75</v>
      </c>
      <c r="S120" s="117">
        <f>S108+S109+S110+S113</f>
        <v>4807.04</v>
      </c>
      <c r="T120" s="117">
        <f>T108+T109+T110+T113</f>
        <v>0</v>
      </c>
      <c r="U120" s="117">
        <f>U108+U109+U110+U113</f>
        <v>45266.32</v>
      </c>
      <c r="V120" s="117"/>
      <c r="W120" s="62">
        <f>W108+W109+W110+W113</f>
        <v>50073.36</v>
      </c>
      <c r="X120" s="118">
        <f t="shared" si="68"/>
        <v>36.765124282982789</v>
      </c>
      <c r="Y120" s="119">
        <f>U120/P120</f>
        <v>0.38546835615505143</v>
      </c>
      <c r="Z120" s="28">
        <f>Z108+Z109+Z110+Z113</f>
        <v>67358.64</v>
      </c>
      <c r="AA120" s="57">
        <f>Z120/P120</f>
        <v>0.57359697527079501</v>
      </c>
      <c r="AB120" s="120">
        <f t="shared" si="72"/>
        <v>-50073.36</v>
      </c>
      <c r="AC120" s="135">
        <f t="shared" si="73"/>
        <v>2.3596975270794962E-2</v>
      </c>
      <c r="AG120" s="61"/>
    </row>
    <row r="121" spans="1:33" ht="11.25" customHeight="1" outlineLevel="1" x14ac:dyDescent="0.15">
      <c r="A121" s="124" t="s">
        <v>53</v>
      </c>
      <c r="B121" s="124"/>
      <c r="C121" s="124"/>
      <c r="D121" s="124"/>
      <c r="E121" s="273"/>
      <c r="F121" s="124"/>
      <c r="G121" s="124"/>
      <c r="H121" s="124"/>
      <c r="I121" s="124"/>
      <c r="J121" s="124"/>
      <c r="K121" s="125"/>
      <c r="L121" s="220"/>
      <c r="M121" s="220"/>
      <c r="N121" s="220"/>
      <c r="O121" s="128"/>
      <c r="P121" s="225"/>
      <c r="Q121" s="124"/>
      <c r="R121" s="225"/>
      <c r="S121" s="225"/>
      <c r="T121" s="225"/>
      <c r="U121" s="225"/>
      <c r="V121" s="225"/>
      <c r="W121" s="230"/>
      <c r="X121" s="127"/>
      <c r="Y121" s="128"/>
      <c r="Z121" s="126"/>
      <c r="AA121" s="128"/>
      <c r="AB121" s="129"/>
      <c r="AC121" s="128"/>
      <c r="AD121" s="130"/>
      <c r="AE121" s="110"/>
      <c r="AF121" s="110"/>
      <c r="AG121" s="121"/>
    </row>
    <row r="122" spans="1:33" ht="11.25" customHeight="1" outlineLevel="1" x14ac:dyDescent="0.15">
      <c r="A122" s="110" t="s">
        <v>115</v>
      </c>
      <c r="B122" s="110"/>
      <c r="C122" s="111" t="s">
        <v>37</v>
      </c>
      <c r="D122" s="111">
        <v>2020</v>
      </c>
      <c r="E122" s="146">
        <v>44104</v>
      </c>
      <c r="F122" s="17">
        <v>161302</v>
      </c>
      <c r="G122" s="16">
        <v>140000119</v>
      </c>
      <c r="H122" s="16"/>
      <c r="I122" s="16" t="str">
        <f>MID(G122,2,1)</f>
        <v>4</v>
      </c>
      <c r="J122" s="16" t="s">
        <v>116</v>
      </c>
      <c r="K122" s="112" t="s">
        <v>117</v>
      </c>
      <c r="L122" s="120"/>
      <c r="M122" s="120"/>
      <c r="N122" s="120"/>
      <c r="O122" s="119">
        <f>1-0.45</f>
        <v>0.55000000000000004</v>
      </c>
      <c r="P122" s="117">
        <v>151230</v>
      </c>
      <c r="Q122" s="111">
        <v>857</v>
      </c>
      <c r="R122" s="117">
        <f>35.5+41.5+172.3+18</f>
        <v>267.3</v>
      </c>
      <c r="S122" s="117">
        <f>7192.44+3236.73</f>
        <v>10429.17</v>
      </c>
      <c r="T122" s="117"/>
      <c r="U122" s="117">
        <v>59033.86</v>
      </c>
      <c r="V122" s="117"/>
      <c r="W122" s="26">
        <f>SUM(S122:V122)</f>
        <v>69463.03</v>
      </c>
      <c r="X122" s="118">
        <f t="shared" ref="X122:X133" si="74">IFERROR(S122/R122,"")</f>
        <v>39.016722783389447</v>
      </c>
      <c r="Y122" s="119">
        <f>U122/P122</f>
        <v>0.39035813000066127</v>
      </c>
      <c r="Z122" s="117">
        <f>P122-W122</f>
        <v>81766.97</v>
      </c>
      <c r="AA122" s="119">
        <f>Z122/P122</f>
        <v>0.54067956093367719</v>
      </c>
      <c r="AB122" s="120">
        <f t="shared" ref="AB122:AB124" si="75">M122-W122</f>
        <v>-69463.03</v>
      </c>
      <c r="AC122" s="135">
        <f t="shared" ref="AC122:AC124" si="76">AA122-O122</f>
        <v>-9.3204390663228498E-3</v>
      </c>
      <c r="AD122" s="110"/>
      <c r="AE122" s="110"/>
      <c r="AF122" s="110"/>
      <c r="AG122" s="121"/>
    </row>
    <row r="123" spans="1:33" ht="11.25" customHeight="1" outlineLevel="1" x14ac:dyDescent="0.15">
      <c r="A123" s="110" t="s">
        <v>115</v>
      </c>
      <c r="B123" s="110"/>
      <c r="C123" s="111" t="s">
        <v>37</v>
      </c>
      <c r="D123" s="111">
        <v>2020</v>
      </c>
      <c r="E123" s="146">
        <v>44104</v>
      </c>
      <c r="F123" s="17">
        <v>161302</v>
      </c>
      <c r="G123" s="16">
        <v>220100119</v>
      </c>
      <c r="H123" s="16"/>
      <c r="I123" s="16"/>
      <c r="J123" s="16"/>
      <c r="K123" s="112" t="s">
        <v>74</v>
      </c>
      <c r="L123" s="120"/>
      <c r="M123" s="120"/>
      <c r="N123" s="120"/>
      <c r="O123" s="119">
        <f>1-0.45</f>
        <v>0.55000000000000004</v>
      </c>
      <c r="P123" s="117">
        <v>4900</v>
      </c>
      <c r="Q123" s="111">
        <v>858</v>
      </c>
      <c r="R123" s="117"/>
      <c r="S123" s="117"/>
      <c r="T123" s="117"/>
      <c r="U123" s="117">
        <v>9409.3799999999992</v>
      </c>
      <c r="V123" s="117"/>
      <c r="W123" s="26">
        <f>SUM(S123:V123)</f>
        <v>9409.3799999999992</v>
      </c>
      <c r="X123" s="118" t="str">
        <f t="shared" si="74"/>
        <v/>
      </c>
      <c r="Y123" s="119">
        <f>U123/P123</f>
        <v>1.920281632653061</v>
      </c>
      <c r="Z123" s="117">
        <f>P123-W123</f>
        <v>-4509.3799999999992</v>
      </c>
      <c r="AA123" s="119">
        <f>Z123/P123</f>
        <v>-0.92028163265306107</v>
      </c>
      <c r="AB123" s="120">
        <f t="shared" si="75"/>
        <v>-9409.3799999999992</v>
      </c>
      <c r="AC123" s="135">
        <f t="shared" si="76"/>
        <v>-1.470281632653061</v>
      </c>
      <c r="AD123" s="110"/>
      <c r="AE123" s="110"/>
      <c r="AF123" s="110"/>
      <c r="AG123" s="121"/>
    </row>
    <row r="124" spans="1:33" ht="11.25" customHeight="1" outlineLevel="1" x14ac:dyDescent="0.15">
      <c r="A124" s="110" t="s">
        <v>115</v>
      </c>
      <c r="B124" s="110"/>
      <c r="C124" s="111" t="s">
        <v>49</v>
      </c>
      <c r="D124" s="111">
        <v>2020</v>
      </c>
      <c r="E124" s="146">
        <v>44104</v>
      </c>
      <c r="F124" s="17">
        <v>161302</v>
      </c>
      <c r="G124" s="17">
        <v>616220129</v>
      </c>
      <c r="H124" s="17"/>
      <c r="I124" s="17"/>
      <c r="J124" s="17"/>
      <c r="K124" s="112" t="s">
        <v>100</v>
      </c>
      <c r="L124" s="120"/>
      <c r="M124" s="120"/>
      <c r="N124" s="120"/>
      <c r="O124" s="119">
        <f>1-0.529</f>
        <v>0.47099999999999997</v>
      </c>
      <c r="P124" s="132">
        <v>10981</v>
      </c>
      <c r="Q124" s="111">
        <v>859</v>
      </c>
      <c r="R124" s="117">
        <f>8+8</f>
        <v>16</v>
      </c>
      <c r="S124" s="117">
        <f>314.24+141.44+314.24+141.44</f>
        <v>911.36000000000013</v>
      </c>
      <c r="T124" s="117">
        <f>996.13+996.14</f>
        <v>1992.27</v>
      </c>
      <c r="U124" s="117">
        <f>1910.83+1088.6</f>
        <v>2999.43</v>
      </c>
      <c r="V124" s="117"/>
      <c r="W124" s="26">
        <f>SUM(S124:V124)</f>
        <v>5903.0599999999995</v>
      </c>
      <c r="X124" s="118">
        <f t="shared" si="74"/>
        <v>56.960000000000008</v>
      </c>
      <c r="Y124" s="119">
        <f>U124/P124</f>
        <v>0.27314725434841997</v>
      </c>
      <c r="Z124" s="117">
        <f>P124-W124</f>
        <v>5077.9400000000005</v>
      </c>
      <c r="AA124" s="119">
        <f>Z124/P124</f>
        <v>0.46242965121573631</v>
      </c>
      <c r="AB124" s="120">
        <f t="shared" si="75"/>
        <v>-5903.0599999999995</v>
      </c>
      <c r="AC124" s="135">
        <f t="shared" si="76"/>
        <v>-8.5703487842636594E-3</v>
      </c>
      <c r="AD124" s="110"/>
      <c r="AE124" s="110"/>
      <c r="AF124" s="110"/>
      <c r="AG124" s="121"/>
    </row>
    <row r="125" spans="1:33" ht="11.25" customHeight="1" outlineLevel="1" x14ac:dyDescent="0.15">
      <c r="A125" s="110" t="s">
        <v>115</v>
      </c>
      <c r="B125" s="110"/>
      <c r="C125" s="111" t="s">
        <v>49</v>
      </c>
      <c r="D125" s="111">
        <v>2020</v>
      </c>
      <c r="E125" s="146">
        <v>44104</v>
      </c>
      <c r="F125" s="17">
        <v>161302</v>
      </c>
      <c r="G125" s="17">
        <v>626220129</v>
      </c>
      <c r="H125" s="17"/>
      <c r="I125" s="17"/>
      <c r="J125" s="17"/>
      <c r="K125" s="112" t="s">
        <v>100</v>
      </c>
      <c r="L125" s="120"/>
      <c r="M125" s="120"/>
      <c r="N125" s="120"/>
      <c r="O125" s="119"/>
      <c r="P125" s="132"/>
      <c r="Q125" s="111">
        <v>860</v>
      </c>
      <c r="R125" s="117"/>
      <c r="S125" s="117"/>
      <c r="T125" s="117"/>
      <c r="U125" s="117"/>
      <c r="V125" s="117"/>
      <c r="X125" s="118" t="str">
        <f t="shared" si="74"/>
        <v/>
      </c>
      <c r="Y125" s="119"/>
      <c r="Z125" s="117"/>
      <c r="AA125" s="119"/>
      <c r="AB125" s="120"/>
      <c r="AC125" s="119"/>
      <c r="AD125" s="110"/>
      <c r="AE125" s="110"/>
      <c r="AF125" s="110"/>
      <c r="AG125" s="121"/>
    </row>
    <row r="126" spans="1:33" ht="11.25" customHeight="1" outlineLevel="1" x14ac:dyDescent="0.15">
      <c r="A126" s="110" t="s">
        <v>115</v>
      </c>
      <c r="B126" s="110"/>
      <c r="C126" s="111" t="s">
        <v>49</v>
      </c>
      <c r="D126" s="111">
        <v>2020</v>
      </c>
      <c r="E126" s="146">
        <v>44104</v>
      </c>
      <c r="F126" s="17">
        <v>161302</v>
      </c>
      <c r="G126" s="111">
        <v>646620129</v>
      </c>
      <c r="H126" s="111"/>
      <c r="I126" s="111"/>
      <c r="J126" s="111"/>
      <c r="K126" s="112" t="s">
        <v>52</v>
      </c>
      <c r="L126" s="120"/>
      <c r="M126" s="120"/>
      <c r="N126" s="120"/>
      <c r="O126" s="119">
        <f>1-0.529</f>
        <v>0.47099999999999997</v>
      </c>
      <c r="P126" s="117">
        <v>15830</v>
      </c>
      <c r="Q126" s="111">
        <v>861</v>
      </c>
      <c r="R126" s="117">
        <v>16</v>
      </c>
      <c r="S126" s="117">
        <f>628.48+282.88</f>
        <v>911.36</v>
      </c>
      <c r="T126" s="117">
        <v>1256.93</v>
      </c>
      <c r="U126" s="117">
        <v>1166.24</v>
      </c>
      <c r="V126" s="117"/>
      <c r="W126" s="26">
        <f>SUM(S126:V126)</f>
        <v>3334.5299999999997</v>
      </c>
      <c r="X126" s="118">
        <f t="shared" si="74"/>
        <v>56.96</v>
      </c>
      <c r="Y126" s="119">
        <f>U126/P126</f>
        <v>7.3672773215413767E-2</v>
      </c>
      <c r="Z126" s="117">
        <f>P126-W126</f>
        <v>12495.470000000001</v>
      </c>
      <c r="AA126" s="119">
        <f>Z126/P126</f>
        <v>0.78935375868603919</v>
      </c>
      <c r="AB126" s="120">
        <f t="shared" ref="AB126:AB129" si="77">M126-W126</f>
        <v>-3334.5299999999997</v>
      </c>
      <c r="AC126" s="135">
        <f t="shared" ref="AC126:AC129" si="78">AA126-O126</f>
        <v>0.31835375868603921</v>
      </c>
      <c r="AD126" s="110"/>
      <c r="AE126" s="110"/>
      <c r="AF126" s="110"/>
      <c r="AG126" s="121"/>
    </row>
    <row r="127" spans="1:33" ht="11.25" customHeight="1" outlineLevel="1" x14ac:dyDescent="0.15">
      <c r="A127" s="110" t="s">
        <v>115</v>
      </c>
      <c r="B127" s="110"/>
      <c r="C127" s="111" t="s">
        <v>37</v>
      </c>
      <c r="D127" s="111">
        <v>2020</v>
      </c>
      <c r="E127" s="146">
        <v>44104</v>
      </c>
      <c r="F127" s="17">
        <v>161302</v>
      </c>
      <c r="G127" s="16">
        <v>215000119</v>
      </c>
      <c r="H127" s="16"/>
      <c r="I127" s="16"/>
      <c r="J127" s="16"/>
      <c r="K127" s="112" t="s">
        <v>118</v>
      </c>
      <c r="L127" s="219"/>
      <c r="M127" s="219"/>
      <c r="N127" s="219"/>
      <c r="O127" s="119">
        <f>1-0.45</f>
        <v>0.55000000000000004</v>
      </c>
      <c r="P127" s="132">
        <v>55000</v>
      </c>
      <c r="Q127" s="111">
        <v>863</v>
      </c>
      <c r="R127" s="132"/>
      <c r="S127" s="132"/>
      <c r="T127" s="132">
        <v>5250</v>
      </c>
      <c r="U127" s="132">
        <v>25225.95</v>
      </c>
      <c r="V127" s="132"/>
      <c r="W127" s="67">
        <f>SUM(S127:V127)</f>
        <v>30475.95</v>
      </c>
      <c r="X127" s="118" t="str">
        <f t="shared" si="74"/>
        <v/>
      </c>
      <c r="Y127" s="119">
        <f>U127/P127</f>
        <v>0.45865363636363637</v>
      </c>
      <c r="Z127" s="117">
        <f>P127-W127</f>
        <v>24524.05</v>
      </c>
      <c r="AA127" s="119">
        <f>Z127/P127</f>
        <v>0.44589181818181817</v>
      </c>
      <c r="AB127" s="120">
        <f t="shared" si="77"/>
        <v>-30475.95</v>
      </c>
      <c r="AC127" s="135">
        <f t="shared" si="78"/>
        <v>-0.10410818181818188</v>
      </c>
      <c r="AD127" s="110"/>
      <c r="AE127" s="110"/>
      <c r="AF127" s="110"/>
      <c r="AG127" s="121"/>
    </row>
    <row r="128" spans="1:33" ht="11.25" customHeight="1" outlineLevel="1" x14ac:dyDescent="0.15">
      <c r="A128" s="110" t="s">
        <v>115</v>
      </c>
      <c r="B128" s="110"/>
      <c r="C128" s="111" t="s">
        <v>37</v>
      </c>
      <c r="D128" s="111">
        <v>2020</v>
      </c>
      <c r="E128" s="146">
        <v>44104</v>
      </c>
      <c r="F128" s="17">
        <v>161302</v>
      </c>
      <c r="G128" s="16">
        <v>347000909</v>
      </c>
      <c r="H128" s="16"/>
      <c r="I128" s="16"/>
      <c r="J128" s="16"/>
      <c r="K128" s="112" t="s">
        <v>119</v>
      </c>
      <c r="L128" s="120"/>
      <c r="M128" s="120"/>
      <c r="N128" s="120"/>
      <c r="O128" s="119">
        <f>1-0.45</f>
        <v>0.55000000000000004</v>
      </c>
      <c r="P128" s="117">
        <v>93316</v>
      </c>
      <c r="Q128" s="111">
        <v>864</v>
      </c>
      <c r="R128" s="117">
        <f>17.75+62.5+12.5</f>
        <v>92.75</v>
      </c>
      <c r="S128" s="117">
        <f>2326.09+1046.92</f>
        <v>3373.01</v>
      </c>
      <c r="T128" s="117">
        <v>5250</v>
      </c>
      <c r="U128" s="117">
        <v>80239.34</v>
      </c>
      <c r="V128" s="117"/>
      <c r="W128" s="26">
        <f>SUM(S128:V128)</f>
        <v>88862.349999999991</v>
      </c>
      <c r="X128" s="118">
        <f t="shared" si="74"/>
        <v>36.366684636118599</v>
      </c>
      <c r="Y128" s="119">
        <f>U128/P128</f>
        <v>0.85986690385357278</v>
      </c>
      <c r="Z128" s="117">
        <f>P128-W128</f>
        <v>4453.6500000000087</v>
      </c>
      <c r="AA128" s="119">
        <f>Z128/P128</f>
        <v>4.7726542072099198E-2</v>
      </c>
      <c r="AB128" s="120">
        <f t="shared" si="77"/>
        <v>-88862.349999999991</v>
      </c>
      <c r="AC128" s="135">
        <f t="shared" si="78"/>
        <v>-0.5022734579279009</v>
      </c>
      <c r="AD128" s="110"/>
      <c r="AE128" s="110"/>
      <c r="AF128" s="110"/>
      <c r="AG128" s="121"/>
    </row>
    <row r="129" spans="1:33" ht="11.25" customHeight="1" outlineLevel="1" x14ac:dyDescent="0.15">
      <c r="A129" s="110" t="s">
        <v>115</v>
      </c>
      <c r="B129" s="110"/>
      <c r="C129" s="111" t="s">
        <v>47</v>
      </c>
      <c r="D129" s="111">
        <v>2020</v>
      </c>
      <c r="E129" s="146">
        <v>44104</v>
      </c>
      <c r="F129" s="17">
        <v>161302</v>
      </c>
      <c r="G129" s="16">
        <v>540000119</v>
      </c>
      <c r="H129" s="16"/>
      <c r="I129" s="16"/>
      <c r="J129" s="16"/>
      <c r="K129" s="112" t="s">
        <v>120</v>
      </c>
      <c r="L129" s="120"/>
      <c r="M129" s="120"/>
      <c r="N129" s="120"/>
      <c r="O129" s="119">
        <f>1-0.45</f>
        <v>0.55000000000000004</v>
      </c>
      <c r="P129" s="117">
        <v>108303</v>
      </c>
      <c r="Q129" s="111">
        <v>879</v>
      </c>
      <c r="R129" s="117">
        <v>660</v>
      </c>
      <c r="S129" s="117">
        <f>20400.7+9180.7</f>
        <v>29581.4</v>
      </c>
      <c r="T129" s="117">
        <v>20199.13</v>
      </c>
      <c r="U129" s="117">
        <v>5742.71</v>
      </c>
      <c r="V129" s="117"/>
      <c r="W129" s="26">
        <f>SUM(S129:V129)</f>
        <v>55523.24</v>
      </c>
      <c r="X129" s="118">
        <f t="shared" si="74"/>
        <v>44.82030303030303</v>
      </c>
      <c r="Y129" s="119">
        <f>U129/P129</f>
        <v>5.3024477622965201E-2</v>
      </c>
      <c r="Z129" s="117">
        <f>P129-W129</f>
        <v>52779.76</v>
      </c>
      <c r="AA129" s="119">
        <f>Z129/P129</f>
        <v>0.48733423820208122</v>
      </c>
      <c r="AB129" s="120">
        <f t="shared" si="77"/>
        <v>-55523.24</v>
      </c>
      <c r="AC129" s="135">
        <f t="shared" si="78"/>
        <v>-6.2665761797918829E-2</v>
      </c>
      <c r="AD129" s="110"/>
      <c r="AE129" s="110"/>
      <c r="AF129" s="110"/>
      <c r="AG129" s="121"/>
    </row>
    <row r="130" spans="1:33" ht="11.25" customHeight="1" outlineLevel="1" x14ac:dyDescent="0.15">
      <c r="A130" s="110" t="s">
        <v>53</v>
      </c>
      <c r="B130" s="110"/>
      <c r="C130" s="111"/>
      <c r="D130" s="111">
        <v>2020</v>
      </c>
      <c r="E130" s="146">
        <v>44104</v>
      </c>
      <c r="F130" s="17"/>
      <c r="G130" s="111"/>
      <c r="H130" s="111"/>
      <c r="I130" s="111"/>
      <c r="J130" s="111"/>
      <c r="K130" s="112"/>
      <c r="L130" s="120"/>
      <c r="M130" s="120"/>
      <c r="N130" s="120"/>
      <c r="O130" s="119"/>
      <c r="P130" s="117"/>
      <c r="Q130" s="111"/>
      <c r="R130" s="117"/>
      <c r="S130" s="117"/>
      <c r="T130" s="117"/>
      <c r="U130" s="117"/>
      <c r="V130" s="117"/>
      <c r="X130" s="118" t="str">
        <f t="shared" si="74"/>
        <v/>
      </c>
      <c r="Y130" s="119"/>
      <c r="Z130" s="117"/>
      <c r="AA130" s="119"/>
      <c r="AB130" s="120"/>
      <c r="AC130" s="119"/>
      <c r="AD130" s="110"/>
      <c r="AE130" s="110"/>
      <c r="AF130" s="110"/>
      <c r="AG130" s="121"/>
    </row>
    <row r="131" spans="1:33" s="53" customFormat="1" ht="11.25" customHeight="1" outlineLevel="1" x14ac:dyDescent="0.15">
      <c r="A131" s="53" t="s">
        <v>115</v>
      </c>
      <c r="C131" s="54" t="s">
        <v>54</v>
      </c>
      <c r="D131" s="54">
        <v>2020</v>
      </c>
      <c r="E131" s="70">
        <v>44104</v>
      </c>
      <c r="F131" s="210"/>
      <c r="G131" s="54"/>
      <c r="H131" s="54"/>
      <c r="I131" s="54"/>
      <c r="J131" s="54"/>
      <c r="K131" s="106"/>
      <c r="L131" s="93"/>
      <c r="M131" s="93"/>
      <c r="N131" s="93"/>
      <c r="O131" s="57">
        <f>((P122*O122)+(P123*O123)+(P127*O127)+(P128*O128))/P131</f>
        <v>0.38093843843843839</v>
      </c>
      <c r="P131" s="25">
        <f>SUM(P122:P129)</f>
        <v>439560</v>
      </c>
      <c r="Q131" s="111"/>
      <c r="R131" s="25">
        <f>SUM(R122:R129)</f>
        <v>1052.05</v>
      </c>
      <c r="S131" s="25">
        <f>SUM(S122:S129)</f>
        <v>45206.3</v>
      </c>
      <c r="T131" s="25">
        <f>SUM(T122:T129)</f>
        <v>33948.33</v>
      </c>
      <c r="U131" s="25">
        <f>SUM(U122:U129)</f>
        <v>183816.91</v>
      </c>
      <c r="V131" s="132"/>
      <c r="W131" s="25">
        <f>SUM(W122:W129)</f>
        <v>262971.53999999998</v>
      </c>
      <c r="X131" s="118">
        <f t="shared" si="74"/>
        <v>42.969725773489856</v>
      </c>
      <c r="Y131" s="119">
        <f>U131/P131</f>
        <v>0.41818388843388843</v>
      </c>
      <c r="Z131" s="28">
        <f>P131-W131</f>
        <v>176588.46000000002</v>
      </c>
      <c r="AA131" s="57">
        <f>Z131/P131</f>
        <v>0.4017391482391483</v>
      </c>
      <c r="AB131" s="120">
        <f t="shared" ref="AB131:AB133" si="79">M131-W131</f>
        <v>-262971.53999999998</v>
      </c>
      <c r="AC131" s="135">
        <f t="shared" ref="AC131:AC133" si="80">AA131-O131</f>
        <v>2.0800709800709916E-2</v>
      </c>
      <c r="AG131" s="61"/>
    </row>
    <row r="132" spans="1:33" ht="11.25" customHeight="1" outlineLevel="1" x14ac:dyDescent="0.15">
      <c r="A132" s="110" t="s">
        <v>115</v>
      </c>
      <c r="B132" s="110"/>
      <c r="C132" s="111" t="s">
        <v>55</v>
      </c>
      <c r="D132" s="111">
        <v>2020</v>
      </c>
      <c r="E132" s="146">
        <v>44104</v>
      </c>
      <c r="F132" s="17">
        <v>161302</v>
      </c>
      <c r="G132" s="111" t="s">
        <v>56</v>
      </c>
      <c r="H132" s="111"/>
      <c r="I132" s="111"/>
      <c r="J132" s="111"/>
      <c r="K132" s="112" t="s">
        <v>71</v>
      </c>
      <c r="L132" s="120"/>
      <c r="M132" s="120"/>
      <c r="N132" s="120"/>
      <c r="O132" s="119">
        <v>0</v>
      </c>
      <c r="P132" s="117">
        <v>11200</v>
      </c>
      <c r="Q132" s="111">
        <v>862</v>
      </c>
      <c r="R132" s="117">
        <v>105.5</v>
      </c>
      <c r="S132" s="117">
        <f>2901.25+1306.09</f>
        <v>4207.34</v>
      </c>
      <c r="T132" s="117">
        <v>5250.14</v>
      </c>
      <c r="U132" s="117">
        <v>5140</v>
      </c>
      <c r="V132" s="117"/>
      <c r="W132" s="26">
        <f>SUM(S132:U132)</f>
        <v>14597.48</v>
      </c>
      <c r="X132" s="118">
        <f t="shared" si="74"/>
        <v>39.880000000000003</v>
      </c>
      <c r="Y132" s="119">
        <f>U132/P132</f>
        <v>0.45892857142857141</v>
      </c>
      <c r="Z132" s="117">
        <f>P132-W132</f>
        <v>-3397.4799999999996</v>
      </c>
      <c r="AA132" s="119">
        <f>Z132/P132</f>
        <v>-0.30334642857142852</v>
      </c>
      <c r="AB132" s="120">
        <f t="shared" si="79"/>
        <v>-14597.48</v>
      </c>
      <c r="AC132" s="135">
        <f t="shared" si="80"/>
        <v>-0.30334642857142852</v>
      </c>
      <c r="AD132" s="110"/>
      <c r="AE132" s="110"/>
      <c r="AF132" s="110"/>
      <c r="AG132" s="121"/>
    </row>
    <row r="133" spans="1:33" ht="11.25" customHeight="1" outlineLevel="1" x14ac:dyDescent="0.15">
      <c r="A133" s="110" t="s">
        <v>115</v>
      </c>
      <c r="B133" s="110"/>
      <c r="C133" s="111"/>
      <c r="D133" s="111">
        <v>2020</v>
      </c>
      <c r="E133" s="146">
        <v>44104</v>
      </c>
      <c r="F133" s="17">
        <v>161302</v>
      </c>
      <c r="G133" s="111"/>
      <c r="H133" s="111"/>
      <c r="I133" s="111"/>
      <c r="J133" s="111"/>
      <c r="K133" s="112" t="s">
        <v>114</v>
      </c>
      <c r="L133" s="120"/>
      <c r="M133" s="120"/>
      <c r="N133" s="120"/>
      <c r="O133" s="119"/>
      <c r="P133" s="117">
        <v>31970</v>
      </c>
      <c r="Q133" s="111"/>
      <c r="R133" s="117"/>
      <c r="S133" s="117"/>
      <c r="T133" s="117"/>
      <c r="U133" s="117"/>
      <c r="V133" s="117"/>
      <c r="X133" s="118" t="str">
        <f t="shared" si="74"/>
        <v/>
      </c>
      <c r="Y133" s="119"/>
      <c r="Z133" s="117"/>
      <c r="AA133" s="119"/>
      <c r="AB133" s="120">
        <f t="shared" si="79"/>
        <v>0</v>
      </c>
      <c r="AC133" s="135">
        <f t="shared" si="80"/>
        <v>0</v>
      </c>
      <c r="AD133" s="110"/>
      <c r="AE133" s="110"/>
      <c r="AF133" s="110"/>
      <c r="AG133" s="121"/>
    </row>
    <row r="134" spans="1:33" ht="11.25" customHeight="1" outlineLevel="1" x14ac:dyDescent="0.15">
      <c r="A134" s="110" t="s">
        <v>53</v>
      </c>
      <c r="B134" s="110"/>
      <c r="C134" s="111"/>
      <c r="D134" s="111">
        <v>2020</v>
      </c>
      <c r="E134" s="146">
        <v>44104</v>
      </c>
      <c r="F134" s="17"/>
      <c r="G134" s="111"/>
      <c r="H134" s="111"/>
      <c r="I134" s="111"/>
      <c r="J134" s="111"/>
      <c r="K134" s="112"/>
      <c r="L134" s="219"/>
      <c r="M134" s="219"/>
      <c r="N134" s="219"/>
      <c r="O134" s="119"/>
      <c r="P134" s="132"/>
      <c r="Q134" s="111"/>
      <c r="R134" s="132"/>
      <c r="S134" s="132"/>
      <c r="T134" s="132"/>
      <c r="U134" s="132"/>
      <c r="V134" s="132"/>
      <c r="W134" s="67"/>
      <c r="X134" s="118"/>
      <c r="Y134" s="119"/>
      <c r="Z134" s="117"/>
      <c r="AA134" s="119"/>
      <c r="AB134" s="120"/>
      <c r="AC134" s="119"/>
      <c r="AD134" s="110"/>
      <c r="AE134" s="110"/>
      <c r="AF134" s="110"/>
      <c r="AG134" s="121"/>
    </row>
    <row r="135" spans="1:33" s="53" customFormat="1" ht="11.25" customHeight="1" outlineLevel="1" x14ac:dyDescent="0.15">
      <c r="A135" s="53" t="s">
        <v>115</v>
      </c>
      <c r="C135" s="54" t="s">
        <v>65</v>
      </c>
      <c r="D135" s="54">
        <v>2020</v>
      </c>
      <c r="E135" s="70">
        <v>44104</v>
      </c>
      <c r="F135" s="54"/>
      <c r="G135" s="54"/>
      <c r="H135" s="54"/>
      <c r="I135" s="54"/>
      <c r="J135" s="54"/>
      <c r="K135" s="106"/>
      <c r="L135" s="58"/>
      <c r="M135" s="58"/>
      <c r="N135" s="58"/>
      <c r="O135" s="57"/>
      <c r="P135" s="24">
        <f>SUM(P131:P133)</f>
        <v>482730</v>
      </c>
      <c r="Q135" s="111"/>
      <c r="R135" s="24">
        <f>SUM(R131:R133)</f>
        <v>1157.55</v>
      </c>
      <c r="S135" s="24">
        <f>SUM(S131:S133)</f>
        <v>49413.64</v>
      </c>
      <c r="T135" s="24">
        <f>SUM(T131:T133)</f>
        <v>39198.47</v>
      </c>
      <c r="U135" s="24">
        <f>SUM(U131:U133)</f>
        <v>188956.91</v>
      </c>
      <c r="V135" s="117"/>
      <c r="W135" s="25">
        <f>SUM(S135:U135)</f>
        <v>277569.02</v>
      </c>
      <c r="X135" s="118">
        <f>IFERROR(S135/R135,"")</f>
        <v>42.688125782903548</v>
      </c>
      <c r="Y135" s="119">
        <f>U135/P135</f>
        <v>0.39143394858409464</v>
      </c>
      <c r="Z135" s="28">
        <f>P135-W135</f>
        <v>205160.97999999998</v>
      </c>
      <c r="AA135" s="57">
        <f>Z135/P135</f>
        <v>0.42500151223251087</v>
      </c>
      <c r="AB135" s="120">
        <f t="shared" ref="AB135:AB136" si="81">M135-W135</f>
        <v>-277569.02</v>
      </c>
      <c r="AC135" s="135">
        <f t="shared" ref="AC135:AC136" si="82">AA135-O135</f>
        <v>0.42500151223251087</v>
      </c>
      <c r="AG135" s="61"/>
    </row>
    <row r="136" spans="1:33" s="53" customFormat="1" ht="11.25" customHeight="1" outlineLevel="1" x14ac:dyDescent="0.15">
      <c r="A136" s="53" t="s">
        <v>115</v>
      </c>
      <c r="C136" s="54" t="s">
        <v>66</v>
      </c>
      <c r="D136" s="54">
        <v>2020</v>
      </c>
      <c r="E136" s="70">
        <v>44104</v>
      </c>
      <c r="F136" s="54"/>
      <c r="G136" s="54"/>
      <c r="H136" s="54"/>
      <c r="I136" s="54"/>
      <c r="J136" s="54"/>
      <c r="K136" s="106"/>
      <c r="L136" s="58"/>
      <c r="M136" s="58"/>
      <c r="N136" s="58"/>
      <c r="O136" s="57">
        <f>((P122*O122)+(P123*O123)+(P127*O127)+(P128*O128))/P136</f>
        <v>0.54999999999999993</v>
      </c>
      <c r="P136" s="28">
        <f>SUM(P122,P123,P127,P128)</f>
        <v>304446</v>
      </c>
      <c r="Q136" s="111"/>
      <c r="R136" s="117">
        <f>SUM(R122,R123,R127,R128)</f>
        <v>360.05</v>
      </c>
      <c r="S136" s="117">
        <f>SUM(S122,S123,S127,S128)</f>
        <v>13802.18</v>
      </c>
      <c r="T136" s="117">
        <f>SUM(T122,T123,T127,T128)</f>
        <v>10500</v>
      </c>
      <c r="U136" s="117">
        <f>SUM(U122,U123,U127,U128)</f>
        <v>173908.53</v>
      </c>
      <c r="V136" s="117"/>
      <c r="W136" s="62">
        <f>SUM(W122,W123,W127,W128)</f>
        <v>198210.71</v>
      </c>
      <c r="X136" s="118">
        <f>IFERROR(S136/R136,"")</f>
        <v>38.33406471323427</v>
      </c>
      <c r="Y136" s="119">
        <f>U136/P136</f>
        <v>0.57122947911944977</v>
      </c>
      <c r="Z136" s="28">
        <f>Z122+Z128</f>
        <v>86220.62000000001</v>
      </c>
      <c r="AA136" s="57">
        <f>Z136/P136</f>
        <v>0.28320496902570574</v>
      </c>
      <c r="AB136" s="120">
        <f t="shared" si="81"/>
        <v>-198210.71</v>
      </c>
      <c r="AC136" s="135">
        <f t="shared" si="82"/>
        <v>-0.26679503097429419</v>
      </c>
      <c r="AG136" s="61"/>
    </row>
    <row r="137" spans="1:33" ht="11.25" customHeight="1" outlineLevel="1" x14ac:dyDescent="0.15">
      <c r="A137" s="124" t="s">
        <v>53</v>
      </c>
      <c r="B137" s="124"/>
      <c r="C137" s="124"/>
      <c r="D137" s="124"/>
      <c r="E137" s="273"/>
      <c r="F137" s="124"/>
      <c r="G137" s="124"/>
      <c r="H137" s="124"/>
      <c r="I137" s="124"/>
      <c r="J137" s="124"/>
      <c r="K137" s="125"/>
      <c r="L137" s="220"/>
      <c r="M137" s="220"/>
      <c r="N137" s="220"/>
      <c r="O137" s="128"/>
      <c r="P137" s="225"/>
      <c r="Q137" s="124"/>
      <c r="R137" s="225"/>
      <c r="S137" s="225"/>
      <c r="T137" s="225"/>
      <c r="U137" s="225"/>
      <c r="V137" s="225"/>
      <c r="W137" s="230"/>
      <c r="X137" s="127"/>
      <c r="Y137" s="128"/>
      <c r="Z137" s="126"/>
      <c r="AA137" s="128"/>
      <c r="AB137" s="129"/>
      <c r="AC137" s="128"/>
      <c r="AD137" s="130"/>
      <c r="AE137" s="110"/>
      <c r="AF137" s="110"/>
      <c r="AG137" s="121"/>
    </row>
    <row r="138" spans="1:33" ht="11.25" customHeight="1" outlineLevel="1" x14ac:dyDescent="0.15">
      <c r="A138" s="110" t="s">
        <v>121</v>
      </c>
      <c r="B138" s="110"/>
      <c r="C138" s="111" t="s">
        <v>37</v>
      </c>
      <c r="D138" s="111">
        <v>2020</v>
      </c>
      <c r="E138" s="146">
        <v>44104</v>
      </c>
      <c r="F138" s="17">
        <v>161303</v>
      </c>
      <c r="G138" s="16">
        <v>125101120</v>
      </c>
      <c r="H138" s="16"/>
      <c r="I138" s="16" t="str">
        <f>MID(G138,2,1)</f>
        <v>2</v>
      </c>
      <c r="J138" s="16" t="s">
        <v>68</v>
      </c>
      <c r="K138" s="112" t="s">
        <v>122</v>
      </c>
      <c r="L138" s="120"/>
      <c r="M138" s="120"/>
      <c r="N138" s="120"/>
      <c r="O138" s="119">
        <f>1-0.45</f>
        <v>0.55000000000000004</v>
      </c>
      <c r="P138" s="117">
        <v>80059</v>
      </c>
      <c r="Q138" s="111">
        <v>969</v>
      </c>
      <c r="R138" s="117">
        <f>23.5+27</f>
        <v>50.5</v>
      </c>
      <c r="S138" s="117">
        <f>1284.52+578.15</f>
        <v>1862.67</v>
      </c>
      <c r="T138" s="117"/>
      <c r="U138" s="117">
        <v>19412.09</v>
      </c>
      <c r="V138" s="117"/>
      <c r="W138" s="26">
        <f>SUM(S138:V138)</f>
        <v>21274.760000000002</v>
      </c>
      <c r="X138" s="118">
        <f t="shared" ref="X138:X149" si="83">IFERROR(S138/R138,"")</f>
        <v>36.884554455445546</v>
      </c>
      <c r="Y138" s="119">
        <f>U138/P138</f>
        <v>0.24247230167751282</v>
      </c>
      <c r="Z138" s="117">
        <f>P138-W138</f>
        <v>58784.24</v>
      </c>
      <c r="AA138" s="119">
        <f>Z138/P138</f>
        <v>0.73426148215690923</v>
      </c>
      <c r="AB138" s="120">
        <f t="shared" ref="AB138:AB142" si="84">M138-W138</f>
        <v>-21274.760000000002</v>
      </c>
      <c r="AC138" s="135">
        <f t="shared" ref="AC138:AC142" si="85">AA138-O138</f>
        <v>0.18426148215690918</v>
      </c>
      <c r="AD138" s="110"/>
      <c r="AE138" s="110"/>
      <c r="AF138" s="110"/>
      <c r="AG138" s="121"/>
    </row>
    <row r="139" spans="1:33" ht="11.25" customHeight="1" outlineLevel="1" x14ac:dyDescent="0.15">
      <c r="A139" s="110" t="s">
        <v>121</v>
      </c>
      <c r="B139" s="110"/>
      <c r="C139" s="111" t="s">
        <v>37</v>
      </c>
      <c r="D139" s="111">
        <v>2020</v>
      </c>
      <c r="E139" s="146">
        <v>44104</v>
      </c>
      <c r="F139" s="17">
        <v>161303</v>
      </c>
      <c r="G139" s="16">
        <v>220100110</v>
      </c>
      <c r="H139" s="16"/>
      <c r="I139" s="16"/>
      <c r="J139" s="16"/>
      <c r="K139" s="112" t="s">
        <v>74</v>
      </c>
      <c r="L139" s="120"/>
      <c r="M139" s="120"/>
      <c r="N139" s="120"/>
      <c r="O139" s="119">
        <f>1-0.45</f>
        <v>0.55000000000000004</v>
      </c>
      <c r="P139" s="117">
        <v>7000</v>
      </c>
      <c r="Q139" s="111">
        <v>970</v>
      </c>
      <c r="R139" s="117">
        <v>2.5</v>
      </c>
      <c r="S139" s="117">
        <f>67.6+30.43</f>
        <v>98.03</v>
      </c>
      <c r="T139" s="117"/>
      <c r="U139" s="117">
        <v>9409.3799999999992</v>
      </c>
      <c r="V139" s="117"/>
      <c r="W139" s="26">
        <f>SUM(S139:V139)</f>
        <v>9507.41</v>
      </c>
      <c r="X139" s="118">
        <f t="shared" si="83"/>
        <v>39.212000000000003</v>
      </c>
      <c r="Y139" s="119">
        <f>U139/P139</f>
        <v>1.3441971428571426</v>
      </c>
      <c r="Z139" s="117">
        <f>P139-W139</f>
        <v>-2507.41</v>
      </c>
      <c r="AA139" s="119">
        <f>Z139/P139</f>
        <v>-0.35820142857142856</v>
      </c>
      <c r="AB139" s="120">
        <f t="shared" si="84"/>
        <v>-9507.41</v>
      </c>
      <c r="AC139" s="135">
        <f t="shared" si="85"/>
        <v>-0.9082014285714286</v>
      </c>
      <c r="AD139" s="110"/>
      <c r="AE139" s="110"/>
      <c r="AF139" s="110"/>
      <c r="AG139" s="121"/>
    </row>
    <row r="140" spans="1:33" ht="11.25" customHeight="1" outlineLevel="1" x14ac:dyDescent="0.15">
      <c r="A140" s="110" t="s">
        <v>121</v>
      </c>
      <c r="B140" s="110"/>
      <c r="C140" s="111" t="s">
        <v>37</v>
      </c>
      <c r="D140" s="111">
        <v>2020</v>
      </c>
      <c r="E140" s="146">
        <v>44104</v>
      </c>
      <c r="F140" s="17">
        <v>161303</v>
      </c>
      <c r="G140" s="16">
        <v>925101220</v>
      </c>
      <c r="H140" s="16"/>
      <c r="I140" s="16"/>
      <c r="J140" s="16"/>
      <c r="K140" s="112" t="s">
        <v>123</v>
      </c>
      <c r="L140" s="219"/>
      <c r="M140" s="219"/>
      <c r="N140" s="219"/>
      <c r="O140" s="119">
        <f>1-0.45</f>
        <v>0.55000000000000004</v>
      </c>
      <c r="P140" s="132">
        <v>12000</v>
      </c>
      <c r="Q140" s="111">
        <v>971</v>
      </c>
      <c r="R140" s="132"/>
      <c r="S140" s="132"/>
      <c r="T140" s="132"/>
      <c r="U140" s="132">
        <v>4916.7</v>
      </c>
      <c r="V140" s="132"/>
      <c r="W140" s="67">
        <f>SUM(S140:V140)</f>
        <v>4916.7</v>
      </c>
      <c r="X140" s="118" t="str">
        <f t="shared" si="83"/>
        <v/>
      </c>
      <c r="Y140" s="119">
        <f>U140/P140</f>
        <v>0.40972500000000001</v>
      </c>
      <c r="Z140" s="117">
        <f>P140-W140</f>
        <v>7083.3</v>
      </c>
      <c r="AA140" s="119">
        <f>Z140/P140</f>
        <v>0.59027499999999999</v>
      </c>
      <c r="AB140" s="120">
        <f t="shared" si="84"/>
        <v>-4916.7</v>
      </c>
      <c r="AC140" s="135">
        <f t="shared" si="85"/>
        <v>4.027499999999995E-2</v>
      </c>
      <c r="AD140" s="110"/>
      <c r="AE140" s="110"/>
      <c r="AF140" s="110"/>
      <c r="AG140" s="121"/>
    </row>
    <row r="141" spans="1:33" ht="11.25" customHeight="1" outlineLevel="1" x14ac:dyDescent="0.15">
      <c r="A141" s="110" t="s">
        <v>121</v>
      </c>
      <c r="B141" s="110"/>
      <c r="C141" s="111" t="s">
        <v>47</v>
      </c>
      <c r="D141" s="111">
        <v>2020</v>
      </c>
      <c r="E141" s="146">
        <v>44104</v>
      </c>
      <c r="F141" s="17">
        <v>161303</v>
      </c>
      <c r="G141" s="16">
        <v>525101120</v>
      </c>
      <c r="H141" s="16"/>
      <c r="I141" s="16"/>
      <c r="J141" s="16"/>
      <c r="K141" s="112" t="s">
        <v>120</v>
      </c>
      <c r="L141" s="120"/>
      <c r="M141" s="120"/>
      <c r="N141" s="120"/>
      <c r="O141" s="119">
        <f>1-0.45</f>
        <v>0.55000000000000004</v>
      </c>
      <c r="P141" s="117">
        <v>12775</v>
      </c>
      <c r="Q141" s="111">
        <v>972</v>
      </c>
      <c r="R141" s="117">
        <v>219</v>
      </c>
      <c r="S141" s="117">
        <f>6769.32+3046.32</f>
        <v>9815.64</v>
      </c>
      <c r="T141" s="117">
        <v>6856.2</v>
      </c>
      <c r="U141" s="117">
        <f>947.81</f>
        <v>947.81</v>
      </c>
      <c r="V141" s="117"/>
      <c r="W141" s="26">
        <f>SUM(S141:V141)</f>
        <v>17619.650000000001</v>
      </c>
      <c r="X141" s="118">
        <f t="shared" si="83"/>
        <v>44.820273972602735</v>
      </c>
      <c r="Y141" s="119">
        <f>U141/P141</f>
        <v>7.4192563600782774E-2</v>
      </c>
      <c r="Z141" s="117">
        <f>P141-W141</f>
        <v>-4844.6500000000015</v>
      </c>
      <c r="AA141" s="119">
        <f>Z141/P141</f>
        <v>-0.379228962818004</v>
      </c>
      <c r="AB141" s="120">
        <f t="shared" si="84"/>
        <v>-17619.650000000001</v>
      </c>
      <c r="AC141" s="135">
        <f t="shared" si="85"/>
        <v>-0.92922896281800405</v>
      </c>
      <c r="AD141" s="110"/>
      <c r="AE141" s="110"/>
      <c r="AF141" s="110"/>
      <c r="AG141" s="121"/>
    </row>
    <row r="142" spans="1:33" ht="11.25" customHeight="1" outlineLevel="1" x14ac:dyDescent="0.15">
      <c r="A142" s="110" t="s">
        <v>121</v>
      </c>
      <c r="B142" s="110"/>
      <c r="C142" s="111" t="s">
        <v>49</v>
      </c>
      <c r="D142" s="111">
        <v>2020</v>
      </c>
      <c r="E142" s="146">
        <v>44104</v>
      </c>
      <c r="F142" s="17">
        <v>161303</v>
      </c>
      <c r="G142" s="17">
        <v>625120020</v>
      </c>
      <c r="H142" s="17"/>
      <c r="I142" s="17"/>
      <c r="J142" s="17"/>
      <c r="K142" s="112" t="s">
        <v>52</v>
      </c>
      <c r="L142" s="120"/>
      <c r="M142" s="120"/>
      <c r="N142" s="120"/>
      <c r="O142" s="119">
        <f>1-0.529</f>
        <v>0.47099999999999997</v>
      </c>
      <c r="P142" s="117">
        <f>6000+3000</f>
        <v>9000</v>
      </c>
      <c r="Q142" s="111">
        <v>973</v>
      </c>
      <c r="R142" s="117">
        <v>16</v>
      </c>
      <c r="S142" s="117">
        <f>628.48+282.88</f>
        <v>911.36</v>
      </c>
      <c r="T142" s="117">
        <v>1607.62</v>
      </c>
      <c r="U142" s="117">
        <v>2673.32</v>
      </c>
      <c r="V142" s="117"/>
      <c r="W142" s="26">
        <f>SUM(S142:V142)</f>
        <v>5192.3</v>
      </c>
      <c r="X142" s="118">
        <f t="shared" si="83"/>
        <v>56.96</v>
      </c>
      <c r="Y142" s="119">
        <f>U142/P142</f>
        <v>0.29703555555555555</v>
      </c>
      <c r="Z142" s="117">
        <f>P142-W142</f>
        <v>3807.7</v>
      </c>
      <c r="AA142" s="119">
        <f>Z142/P142</f>
        <v>0.42307777777777777</v>
      </c>
      <c r="AB142" s="120">
        <f t="shared" si="84"/>
        <v>-5192.3</v>
      </c>
      <c r="AC142" s="135">
        <f t="shared" si="85"/>
        <v>-4.7922222222222199E-2</v>
      </c>
      <c r="AD142" s="110"/>
      <c r="AE142" s="110"/>
      <c r="AF142" s="110"/>
      <c r="AG142" s="121"/>
    </row>
    <row r="143" spans="1:33" ht="11.25" customHeight="1" outlineLevel="1" x14ac:dyDescent="0.15">
      <c r="A143" s="110" t="s">
        <v>53</v>
      </c>
      <c r="B143" s="110"/>
      <c r="C143" s="111"/>
      <c r="D143" s="111">
        <v>2020</v>
      </c>
      <c r="E143" s="146">
        <v>44104</v>
      </c>
      <c r="F143" s="17"/>
      <c r="G143" s="111"/>
      <c r="H143" s="111"/>
      <c r="I143" s="111"/>
      <c r="J143" s="111"/>
      <c r="K143" s="112"/>
      <c r="L143" s="120"/>
      <c r="M143" s="120"/>
      <c r="N143" s="120"/>
      <c r="O143" s="119"/>
      <c r="P143" s="117"/>
      <c r="Q143" s="111"/>
      <c r="R143" s="117"/>
      <c r="S143" s="117"/>
      <c r="T143" s="117"/>
      <c r="U143" s="117"/>
      <c r="V143" s="117"/>
      <c r="X143" s="118" t="str">
        <f t="shared" si="83"/>
        <v/>
      </c>
      <c r="Y143" s="119"/>
      <c r="Z143" s="117"/>
      <c r="AA143" s="119"/>
      <c r="AB143" s="120"/>
      <c r="AC143" s="119"/>
      <c r="AD143" s="110"/>
      <c r="AE143" s="110"/>
      <c r="AF143" s="110"/>
      <c r="AG143" s="121"/>
    </row>
    <row r="144" spans="1:33" s="53" customFormat="1" ht="11.25" customHeight="1" outlineLevel="1" x14ac:dyDescent="0.15">
      <c r="A144" s="53" t="s">
        <v>121</v>
      </c>
      <c r="C144" s="54" t="s">
        <v>54</v>
      </c>
      <c r="D144" s="54">
        <v>2020</v>
      </c>
      <c r="E144" s="70">
        <v>44104</v>
      </c>
      <c r="F144" s="210"/>
      <c r="G144" s="54"/>
      <c r="H144" s="54"/>
      <c r="I144" s="54"/>
      <c r="J144" s="54"/>
      <c r="K144" s="106"/>
      <c r="L144" s="93"/>
      <c r="M144" s="93"/>
      <c r="N144" s="93"/>
      <c r="O144" s="57">
        <f>((P138*O138)+(P139*O139)+(P140*O140))/P144</f>
        <v>0.45088675372825532</v>
      </c>
      <c r="P144" s="24">
        <f>SUM(P138:P143)</f>
        <v>120834</v>
      </c>
      <c r="Q144" s="111"/>
      <c r="R144" s="24">
        <f>SUM(R138:R142)</f>
        <v>288</v>
      </c>
      <c r="S144" s="24">
        <f>SUM(S138:S142)</f>
        <v>12687.7</v>
      </c>
      <c r="T144" s="24">
        <f>SUM(T138:T142)</f>
        <v>8463.82</v>
      </c>
      <c r="U144" s="24">
        <f>SUM(U138:U142)</f>
        <v>37359.299999999996</v>
      </c>
      <c r="V144" s="132"/>
      <c r="W144" s="25">
        <f>SUM(W138:W143)</f>
        <v>58510.820000000007</v>
      </c>
      <c r="X144" s="118">
        <f t="shared" si="83"/>
        <v>44.054513888888891</v>
      </c>
      <c r="Y144" s="119">
        <f>U144/P144</f>
        <v>0.30917870797954217</v>
      </c>
      <c r="Z144" s="28">
        <f>P144-W144</f>
        <v>62323.179999999993</v>
      </c>
      <c r="AA144" s="57">
        <f>Z144/P144</f>
        <v>0.51577519572305797</v>
      </c>
      <c r="AB144" s="120">
        <f t="shared" ref="AB144:AB146" si="86">M144-W144</f>
        <v>-58510.820000000007</v>
      </c>
      <c r="AC144" s="135">
        <f t="shared" ref="AC144:AC146" si="87">AA144-O144</f>
        <v>6.4888441994802648E-2</v>
      </c>
      <c r="AG144" s="61"/>
    </row>
    <row r="145" spans="1:33" ht="11.25" customHeight="1" outlineLevel="1" x14ac:dyDescent="0.15">
      <c r="A145" s="110" t="s">
        <v>121</v>
      </c>
      <c r="B145" s="110"/>
      <c r="C145" s="111" t="s">
        <v>55</v>
      </c>
      <c r="D145" s="111">
        <v>2020</v>
      </c>
      <c r="E145" s="146">
        <v>44104</v>
      </c>
      <c r="F145" s="17">
        <v>161303</v>
      </c>
      <c r="G145" s="111" t="s">
        <v>56</v>
      </c>
      <c r="H145" s="111"/>
      <c r="I145" s="111"/>
      <c r="J145" s="111"/>
      <c r="K145" s="112" t="s">
        <v>71</v>
      </c>
      <c r="L145" s="120"/>
      <c r="M145" s="120"/>
      <c r="N145" s="120"/>
      <c r="O145" s="119">
        <v>0</v>
      </c>
      <c r="P145" s="117">
        <v>4000</v>
      </c>
      <c r="Q145" s="111">
        <v>974</v>
      </c>
      <c r="R145" s="117">
        <v>16.5</v>
      </c>
      <c r="S145" s="117">
        <f>453.75+204.27</f>
        <v>658.02</v>
      </c>
      <c r="T145" s="117">
        <v>3584.56</v>
      </c>
      <c r="U145" s="117">
        <v>5</v>
      </c>
      <c r="V145" s="117"/>
      <c r="W145" s="26">
        <f>SUM(S145:V145)</f>
        <v>4247.58</v>
      </c>
      <c r="X145" s="118">
        <f t="shared" si="83"/>
        <v>39.879999999999995</v>
      </c>
      <c r="Y145" s="119">
        <f>U145/P145</f>
        <v>1.25E-3</v>
      </c>
      <c r="Z145" s="117">
        <f>P145-W145</f>
        <v>-247.57999999999993</v>
      </c>
      <c r="AA145" s="119">
        <f>Z145/P145</f>
        <v>-6.1894999999999985E-2</v>
      </c>
      <c r="AB145" s="120">
        <f t="shared" si="86"/>
        <v>-4247.58</v>
      </c>
      <c r="AC145" s="135">
        <f t="shared" si="87"/>
        <v>-6.1894999999999985E-2</v>
      </c>
      <c r="AD145" s="110"/>
      <c r="AE145" s="110"/>
      <c r="AF145" s="110"/>
      <c r="AG145" s="121"/>
    </row>
    <row r="146" spans="1:33" ht="11.25" customHeight="1" outlineLevel="1" x14ac:dyDescent="0.15">
      <c r="A146" s="110" t="s">
        <v>121</v>
      </c>
      <c r="B146" s="110"/>
      <c r="C146" s="111"/>
      <c r="D146" s="111">
        <v>2020</v>
      </c>
      <c r="E146" s="146">
        <v>44104</v>
      </c>
      <c r="F146" s="17">
        <v>161303</v>
      </c>
      <c r="G146" s="17" t="s">
        <v>124</v>
      </c>
      <c r="H146" s="17"/>
      <c r="I146" s="17"/>
      <c r="J146" s="17"/>
      <c r="K146" s="112" t="s">
        <v>86</v>
      </c>
      <c r="L146" s="120"/>
      <c r="M146" s="120"/>
      <c r="N146" s="120"/>
      <c r="O146" s="119"/>
      <c r="P146" s="117"/>
      <c r="Q146" s="111"/>
      <c r="R146" s="117"/>
      <c r="S146" s="117"/>
      <c r="T146" s="117"/>
      <c r="U146" s="117"/>
      <c r="V146" s="117"/>
      <c r="X146" s="118" t="str">
        <f t="shared" si="83"/>
        <v/>
      </c>
      <c r="Y146" s="119"/>
      <c r="Z146" s="117"/>
      <c r="AA146" s="119"/>
      <c r="AB146" s="120">
        <f t="shared" si="86"/>
        <v>0</v>
      </c>
      <c r="AC146" s="135">
        <f t="shared" si="87"/>
        <v>0</v>
      </c>
      <c r="AD146" s="110"/>
      <c r="AE146" s="110"/>
      <c r="AF146" s="110"/>
      <c r="AG146" s="121"/>
    </row>
    <row r="147" spans="1:33" ht="11.25" customHeight="1" outlineLevel="1" x14ac:dyDescent="0.15">
      <c r="A147" s="110" t="s">
        <v>53</v>
      </c>
      <c r="B147" s="110"/>
      <c r="C147" s="111"/>
      <c r="D147" s="111">
        <v>2020</v>
      </c>
      <c r="E147" s="146">
        <v>44104</v>
      </c>
      <c r="F147" s="17"/>
      <c r="G147" s="111"/>
      <c r="H147" s="111"/>
      <c r="I147" s="111"/>
      <c r="J147" s="111"/>
      <c r="K147" s="112"/>
      <c r="L147" s="219"/>
      <c r="M147" s="219"/>
      <c r="N147" s="219"/>
      <c r="O147" s="119"/>
      <c r="P147" s="132"/>
      <c r="Q147" s="111"/>
      <c r="R147" s="132"/>
      <c r="S147" s="132"/>
      <c r="T147" s="132"/>
      <c r="U147" s="132"/>
      <c r="V147" s="132"/>
      <c r="W147" s="67"/>
      <c r="X147" s="118" t="str">
        <f t="shared" si="83"/>
        <v/>
      </c>
      <c r="Y147" s="119"/>
      <c r="Z147" s="117"/>
      <c r="AA147" s="119"/>
      <c r="AB147" s="120"/>
      <c r="AC147" s="119"/>
      <c r="AD147" s="110"/>
      <c r="AE147" s="110"/>
      <c r="AF147" s="110"/>
      <c r="AG147" s="121"/>
    </row>
    <row r="148" spans="1:33" s="53" customFormat="1" ht="11.25" customHeight="1" outlineLevel="1" x14ac:dyDescent="0.15">
      <c r="A148" s="53" t="s">
        <v>121</v>
      </c>
      <c r="C148" s="54" t="s">
        <v>65</v>
      </c>
      <c r="D148" s="54">
        <v>2020</v>
      </c>
      <c r="E148" s="70">
        <v>44104</v>
      </c>
      <c r="F148" s="54"/>
      <c r="G148" s="54"/>
      <c r="H148" s="54"/>
      <c r="I148" s="54"/>
      <c r="J148" s="54"/>
      <c r="K148" s="106"/>
      <c r="L148" s="58"/>
      <c r="M148" s="58"/>
      <c r="N148" s="58"/>
      <c r="O148" s="57"/>
      <c r="P148" s="25">
        <f>SUM(P144:P145)</f>
        <v>124834</v>
      </c>
      <c r="Q148" s="111"/>
      <c r="R148" s="25">
        <f>SUM(R144:R145)</f>
        <v>304.5</v>
      </c>
      <c r="S148" s="25">
        <f>SUM(S144:S145)</f>
        <v>13345.720000000001</v>
      </c>
      <c r="T148" s="25">
        <f>SUM(T144:T145)</f>
        <v>12048.38</v>
      </c>
      <c r="U148" s="25">
        <f>SUM(U144:U145)</f>
        <v>37364.299999999996</v>
      </c>
      <c r="V148" s="117"/>
      <c r="W148" s="25">
        <f>SUM(S148:U148)</f>
        <v>62758.399999999994</v>
      </c>
      <c r="X148" s="118">
        <f t="shared" si="83"/>
        <v>43.828308702791468</v>
      </c>
      <c r="Y148" s="119">
        <f>U148/P148</f>
        <v>0.29931188618485344</v>
      </c>
      <c r="Z148" s="28">
        <f>P148-W148</f>
        <v>62075.600000000006</v>
      </c>
      <c r="AA148" s="57">
        <f>Z148/P148</f>
        <v>0.49726516814329436</v>
      </c>
      <c r="AB148" s="120">
        <f t="shared" ref="AB148:AB149" si="88">M148-W148</f>
        <v>-62758.399999999994</v>
      </c>
      <c r="AC148" s="135">
        <f t="shared" ref="AC148:AC149" si="89">AA148-O148</f>
        <v>0.49726516814329436</v>
      </c>
      <c r="AG148" s="61"/>
    </row>
    <row r="149" spans="1:33" s="53" customFormat="1" ht="11.25" customHeight="1" outlineLevel="1" x14ac:dyDescent="0.15">
      <c r="A149" s="53" t="s">
        <v>121</v>
      </c>
      <c r="C149" s="54" t="s">
        <v>66</v>
      </c>
      <c r="D149" s="54">
        <v>2020</v>
      </c>
      <c r="E149" s="70">
        <v>44104</v>
      </c>
      <c r="F149" s="54"/>
      <c r="G149" s="54"/>
      <c r="H149" s="54"/>
      <c r="I149" s="54"/>
      <c r="J149" s="54"/>
      <c r="K149" s="106"/>
      <c r="L149" s="58"/>
      <c r="M149" s="58"/>
      <c r="N149" s="58"/>
      <c r="O149" s="57">
        <f>((P138*O138)+(P139*O139)+(P140*O140))/P149</f>
        <v>0.55000000000000004</v>
      </c>
      <c r="P149" s="28">
        <f>P138+P139+P140</f>
        <v>99059</v>
      </c>
      <c r="Q149" s="111"/>
      <c r="R149" s="117">
        <f>R138+R139+R140</f>
        <v>53</v>
      </c>
      <c r="S149" s="117">
        <f>S138+S139+S140</f>
        <v>1960.7</v>
      </c>
      <c r="T149" s="117">
        <f>T138+T139+T140</f>
        <v>0</v>
      </c>
      <c r="U149" s="117">
        <f>U138+U139+U140</f>
        <v>33738.17</v>
      </c>
      <c r="V149" s="117"/>
      <c r="W149" s="62">
        <f>W138+W139+W140</f>
        <v>35698.870000000003</v>
      </c>
      <c r="X149" s="118">
        <f t="shared" si="83"/>
        <v>36.994339622641512</v>
      </c>
      <c r="Y149" s="119">
        <f>U149/P149</f>
        <v>0.34058662009509483</v>
      </c>
      <c r="Z149" s="28">
        <f>Z138+Z139+Z140</f>
        <v>63360.130000000005</v>
      </c>
      <c r="AA149" s="57">
        <f>Z149/P149</f>
        <v>0.63962012537982416</v>
      </c>
      <c r="AB149" s="120">
        <f t="shared" si="88"/>
        <v>-35698.870000000003</v>
      </c>
      <c r="AC149" s="135">
        <f t="shared" si="89"/>
        <v>8.9620125379824112E-2</v>
      </c>
      <c r="AG149" s="61"/>
    </row>
    <row r="150" spans="1:33" ht="11.25" customHeight="1" outlineLevel="1" x14ac:dyDescent="0.15">
      <c r="A150" s="124" t="s">
        <v>53</v>
      </c>
      <c r="B150" s="124"/>
      <c r="C150" s="124"/>
      <c r="D150" s="124"/>
      <c r="E150" s="273"/>
      <c r="F150" s="124"/>
      <c r="G150" s="124"/>
      <c r="H150" s="124"/>
      <c r="I150" s="124"/>
      <c r="J150" s="124"/>
      <c r="K150" s="125"/>
      <c r="L150" s="220"/>
      <c r="M150" s="220"/>
      <c r="N150" s="220"/>
      <c r="O150" s="128"/>
      <c r="P150" s="225"/>
      <c r="Q150" s="124"/>
      <c r="R150" s="225"/>
      <c r="S150" s="225"/>
      <c r="T150" s="225"/>
      <c r="U150" s="225"/>
      <c r="V150" s="225"/>
      <c r="W150" s="230"/>
      <c r="X150" s="127"/>
      <c r="Y150" s="128"/>
      <c r="Z150" s="126"/>
      <c r="AA150" s="128"/>
      <c r="AB150" s="129"/>
      <c r="AC150" s="128"/>
      <c r="AD150" s="130"/>
      <c r="AE150" s="110"/>
      <c r="AF150" s="110"/>
      <c r="AG150" s="121"/>
    </row>
    <row r="151" spans="1:33" ht="11.25" customHeight="1" outlineLevel="1" x14ac:dyDescent="0.15">
      <c r="A151" s="110" t="s">
        <v>125</v>
      </c>
      <c r="B151" s="110"/>
      <c r="C151" s="111" t="s">
        <v>37</v>
      </c>
      <c r="D151" s="111">
        <v>2020</v>
      </c>
      <c r="E151" s="146">
        <v>44165</v>
      </c>
      <c r="F151" s="17">
        <v>161769</v>
      </c>
      <c r="G151" s="16">
        <v>125101120</v>
      </c>
      <c r="H151" s="16"/>
      <c r="I151" s="16" t="str">
        <f>MID(G151,2,1)</f>
        <v>2</v>
      </c>
      <c r="J151" s="16" t="s">
        <v>68</v>
      </c>
      <c r="K151" s="112" t="s">
        <v>122</v>
      </c>
      <c r="L151" s="120"/>
      <c r="M151" s="120"/>
      <c r="N151" s="120"/>
      <c r="O151" s="119">
        <f>1-0.45</f>
        <v>0.55000000000000004</v>
      </c>
      <c r="P151" s="131">
        <v>114844</v>
      </c>
      <c r="Q151" s="111">
        <v>992</v>
      </c>
      <c r="R151" s="117">
        <f>16+12+2.5</f>
        <v>30.5</v>
      </c>
      <c r="S151" s="117">
        <f>779.27+350.76</f>
        <v>1130.03</v>
      </c>
      <c r="T151" s="117"/>
      <c r="U151" s="117">
        <v>25592.35</v>
      </c>
      <c r="V151" s="117"/>
      <c r="W151" s="26">
        <f t="shared" ref="W151:W157" si="90">SUM(S151:V151)</f>
        <v>26722.379999999997</v>
      </c>
      <c r="X151" s="118">
        <f t="shared" ref="X151:X164" si="91">IFERROR(S151/R151,"")</f>
        <v>37.05016393442623</v>
      </c>
      <c r="Y151" s="119">
        <f t="shared" ref="Y151:Y157" si="92">U151/P151</f>
        <v>0.22284446727735013</v>
      </c>
      <c r="Z151" s="117">
        <f t="shared" ref="Z151:Z157" si="93">P151-W151</f>
        <v>88121.62</v>
      </c>
      <c r="AA151" s="119">
        <f t="shared" ref="AA151:AA157" si="94">Z151/P151</f>
        <v>0.76731583713559259</v>
      </c>
      <c r="AB151" s="120">
        <f t="shared" ref="AB151:AB157" si="95">M151-W151</f>
        <v>-26722.379999999997</v>
      </c>
      <c r="AC151" s="135">
        <f t="shared" ref="AC151:AC157" si="96">AA151-O151</f>
        <v>0.21731583713559255</v>
      </c>
      <c r="AD151" s="110"/>
      <c r="AE151" s="110"/>
      <c r="AF151" s="110"/>
      <c r="AG151" s="121"/>
    </row>
    <row r="152" spans="1:33" ht="11.25" customHeight="1" outlineLevel="1" x14ac:dyDescent="0.15">
      <c r="A152" s="110" t="s">
        <v>125</v>
      </c>
      <c r="B152" s="110"/>
      <c r="C152" s="111" t="s">
        <v>47</v>
      </c>
      <c r="D152" s="111">
        <v>2020</v>
      </c>
      <c r="E152" s="146">
        <v>44165</v>
      </c>
      <c r="F152" s="17">
        <v>161769</v>
      </c>
      <c r="G152" s="16">
        <v>525101120</v>
      </c>
      <c r="H152" s="16"/>
      <c r="I152" s="16"/>
      <c r="J152" s="16"/>
      <c r="K152" s="112" t="s">
        <v>120</v>
      </c>
      <c r="L152" s="120"/>
      <c r="M152" s="120"/>
      <c r="N152" s="120"/>
      <c r="O152" s="119">
        <f>1-0.45</f>
        <v>0.55000000000000004</v>
      </c>
      <c r="P152" s="117">
        <v>28605</v>
      </c>
      <c r="Q152" s="111">
        <v>993</v>
      </c>
      <c r="R152" s="117">
        <v>124.5</v>
      </c>
      <c r="S152" s="117">
        <f>3848.3+1731.8</f>
        <v>5580.1</v>
      </c>
      <c r="T152" s="117">
        <v>4794.26</v>
      </c>
      <c r="U152" s="117">
        <v>1536.85</v>
      </c>
      <c r="V152" s="117"/>
      <c r="W152" s="26">
        <f t="shared" si="90"/>
        <v>11911.210000000001</v>
      </c>
      <c r="X152" s="118">
        <f t="shared" si="91"/>
        <v>44.820080321285147</v>
      </c>
      <c r="Y152" s="119">
        <f t="shared" si="92"/>
        <v>5.3726621220066419E-2</v>
      </c>
      <c r="Z152" s="117">
        <f t="shared" si="93"/>
        <v>16693.79</v>
      </c>
      <c r="AA152" s="119">
        <f t="shared" si="94"/>
        <v>0.58359692361475268</v>
      </c>
      <c r="AB152" s="120">
        <f t="shared" si="95"/>
        <v>-11911.210000000001</v>
      </c>
      <c r="AC152" s="135">
        <f t="shared" si="96"/>
        <v>3.3596923614752638E-2</v>
      </c>
      <c r="AD152" s="110"/>
      <c r="AE152" s="110"/>
      <c r="AF152" s="110"/>
      <c r="AG152" s="121"/>
    </row>
    <row r="153" spans="1:33" ht="11.25" customHeight="1" outlineLevel="1" x14ac:dyDescent="0.15">
      <c r="A153" s="110" t="s">
        <v>125</v>
      </c>
      <c r="B153" s="110"/>
      <c r="C153" s="111" t="s">
        <v>37</v>
      </c>
      <c r="D153" s="111">
        <v>2020</v>
      </c>
      <c r="E153" s="146">
        <v>44165</v>
      </c>
      <c r="F153" s="17">
        <v>161769</v>
      </c>
      <c r="G153" s="16">
        <v>925101420</v>
      </c>
      <c r="H153" s="16"/>
      <c r="I153" s="16"/>
      <c r="J153" s="16"/>
      <c r="K153" s="112" t="s">
        <v>123</v>
      </c>
      <c r="L153" s="120"/>
      <c r="M153" s="120"/>
      <c r="N153" s="120"/>
      <c r="O153" s="119">
        <f>1-0.45</f>
        <v>0.55000000000000004</v>
      </c>
      <c r="P153" s="117">
        <v>10250</v>
      </c>
      <c r="Q153" s="111">
        <v>994</v>
      </c>
      <c r="R153" s="117"/>
      <c r="S153" s="117"/>
      <c r="T153" s="117"/>
      <c r="U153" s="117">
        <v>1441.74</v>
      </c>
      <c r="V153" s="117"/>
      <c r="W153" s="26">
        <f t="shared" si="90"/>
        <v>1441.74</v>
      </c>
      <c r="X153" s="118" t="str">
        <f t="shared" si="91"/>
        <v/>
      </c>
      <c r="Y153" s="119">
        <f t="shared" si="92"/>
        <v>0.14065756097560975</v>
      </c>
      <c r="Z153" s="117">
        <f t="shared" si="93"/>
        <v>8808.26</v>
      </c>
      <c r="AA153" s="119">
        <f t="shared" si="94"/>
        <v>0.85934243902439023</v>
      </c>
      <c r="AB153" s="120">
        <f t="shared" si="95"/>
        <v>-1441.74</v>
      </c>
      <c r="AC153" s="135">
        <f t="shared" si="96"/>
        <v>0.30934243902439018</v>
      </c>
      <c r="AD153" s="110"/>
      <c r="AE153" s="110"/>
      <c r="AF153" s="110"/>
      <c r="AG153" s="121"/>
    </row>
    <row r="154" spans="1:33" ht="11.25" customHeight="1" outlineLevel="1" x14ac:dyDescent="0.15">
      <c r="A154" s="110" t="s">
        <v>125</v>
      </c>
      <c r="B154" s="110"/>
      <c r="C154" s="111" t="s">
        <v>49</v>
      </c>
      <c r="D154" s="111">
        <v>2020</v>
      </c>
      <c r="E154" s="146">
        <v>44165</v>
      </c>
      <c r="F154" s="17">
        <v>161769</v>
      </c>
      <c r="G154" s="17">
        <v>626420120</v>
      </c>
      <c r="H154" s="17"/>
      <c r="I154" s="17"/>
      <c r="J154" s="17"/>
      <c r="K154" s="112" t="s">
        <v>52</v>
      </c>
      <c r="L154" s="120"/>
      <c r="M154" s="120"/>
      <c r="N154" s="120"/>
      <c r="O154" s="119">
        <f>1-0.529</f>
        <v>0.47099999999999997</v>
      </c>
      <c r="P154" s="117">
        <v>7321</v>
      </c>
      <c r="Q154" s="111">
        <v>995</v>
      </c>
      <c r="R154" s="117">
        <v>40</v>
      </c>
      <c r="S154" s="117">
        <f>1571.2+707.2</f>
        <v>2278.4</v>
      </c>
      <c r="T154" s="117">
        <f>639.96</f>
        <v>639.96</v>
      </c>
      <c r="U154" s="117">
        <v>2631.25</v>
      </c>
      <c r="V154" s="117"/>
      <c r="W154" s="26">
        <f t="shared" si="90"/>
        <v>5549.6100000000006</v>
      </c>
      <c r="X154" s="118">
        <f t="shared" si="91"/>
        <v>56.96</v>
      </c>
      <c r="Y154" s="119">
        <f t="shared" si="92"/>
        <v>0.35941128261166505</v>
      </c>
      <c r="Z154" s="117">
        <f t="shared" si="93"/>
        <v>1771.3899999999994</v>
      </c>
      <c r="AA154" s="119">
        <f t="shared" si="94"/>
        <v>0.24196011473842363</v>
      </c>
      <c r="AB154" s="120">
        <f t="shared" si="95"/>
        <v>-5549.6100000000006</v>
      </c>
      <c r="AC154" s="135">
        <f t="shared" si="96"/>
        <v>-0.22903988526157634</v>
      </c>
      <c r="AD154" s="110"/>
      <c r="AE154" s="110"/>
      <c r="AF154" s="110"/>
      <c r="AG154" s="121"/>
    </row>
    <row r="155" spans="1:33" ht="11.25" customHeight="1" outlineLevel="1" x14ac:dyDescent="0.15">
      <c r="A155" s="110" t="s">
        <v>125</v>
      </c>
      <c r="B155" s="110"/>
      <c r="C155" s="111" t="s">
        <v>37</v>
      </c>
      <c r="D155" s="111">
        <v>2020</v>
      </c>
      <c r="E155" s="146">
        <v>44165</v>
      </c>
      <c r="F155" s="17">
        <v>161769</v>
      </c>
      <c r="G155" s="16">
        <v>310300200</v>
      </c>
      <c r="H155" s="16"/>
      <c r="I155" s="16"/>
      <c r="J155" s="16"/>
      <c r="K155" s="112" t="s">
        <v>126</v>
      </c>
      <c r="L155" s="120"/>
      <c r="M155" s="120"/>
      <c r="N155" s="120"/>
      <c r="O155" s="119">
        <f>1-0.45</f>
        <v>0.55000000000000004</v>
      </c>
      <c r="P155" s="117">
        <v>29314</v>
      </c>
      <c r="Q155" s="111">
        <v>996</v>
      </c>
      <c r="R155" s="117">
        <f>5+35.5</f>
        <v>40.5</v>
      </c>
      <c r="S155" s="117">
        <f>988.62+444.96</f>
        <v>1433.58</v>
      </c>
      <c r="T155" s="117"/>
      <c r="U155" s="117">
        <v>9883.43</v>
      </c>
      <c r="V155" s="117"/>
      <c r="W155" s="26">
        <f t="shared" si="90"/>
        <v>11317.01</v>
      </c>
      <c r="X155" s="118">
        <f t="shared" si="91"/>
        <v>35.397037037037038</v>
      </c>
      <c r="Y155" s="119">
        <f t="shared" si="92"/>
        <v>0.3371573309681381</v>
      </c>
      <c r="Z155" s="117">
        <f t="shared" si="93"/>
        <v>17996.989999999998</v>
      </c>
      <c r="AA155" s="119">
        <f t="shared" si="94"/>
        <v>0.61393839121238991</v>
      </c>
      <c r="AB155" s="120">
        <f t="shared" si="95"/>
        <v>-11317.01</v>
      </c>
      <c r="AC155" s="135">
        <f t="shared" si="96"/>
        <v>6.3938391212389867E-2</v>
      </c>
      <c r="AD155" s="110"/>
      <c r="AE155" s="110"/>
      <c r="AF155" s="110"/>
      <c r="AG155" s="121"/>
    </row>
    <row r="156" spans="1:33" ht="11.25" customHeight="1" outlineLevel="1" x14ac:dyDescent="0.15">
      <c r="A156" s="110" t="s">
        <v>125</v>
      </c>
      <c r="B156" s="110"/>
      <c r="C156" s="111" t="s">
        <v>37</v>
      </c>
      <c r="D156" s="111">
        <v>2020</v>
      </c>
      <c r="E156" s="146">
        <v>44165</v>
      </c>
      <c r="F156" s="17">
        <v>161769</v>
      </c>
      <c r="G156" s="16">
        <v>210010110</v>
      </c>
      <c r="H156" s="16"/>
      <c r="I156" s="16"/>
      <c r="J156" s="16"/>
      <c r="K156" s="112" t="s">
        <v>76</v>
      </c>
      <c r="L156" s="219"/>
      <c r="M156" s="219"/>
      <c r="N156" s="219"/>
      <c r="O156" s="119">
        <f>1-0.45</f>
        <v>0.55000000000000004</v>
      </c>
      <c r="P156" s="132">
        <v>4400</v>
      </c>
      <c r="Q156" s="111">
        <v>997</v>
      </c>
      <c r="R156" s="132"/>
      <c r="S156" s="132"/>
      <c r="T156" s="132"/>
      <c r="U156" s="132">
        <v>1565.84</v>
      </c>
      <c r="V156" s="132"/>
      <c r="W156" s="67">
        <f t="shared" si="90"/>
        <v>1565.84</v>
      </c>
      <c r="X156" s="118" t="str">
        <f t="shared" si="91"/>
        <v/>
      </c>
      <c r="Y156" s="119">
        <f t="shared" si="92"/>
        <v>0.35587272727272723</v>
      </c>
      <c r="Z156" s="117">
        <f t="shared" si="93"/>
        <v>2834.16</v>
      </c>
      <c r="AA156" s="119">
        <f t="shared" si="94"/>
        <v>0.64412727272727266</v>
      </c>
      <c r="AB156" s="120">
        <f t="shared" si="95"/>
        <v>-1565.84</v>
      </c>
      <c r="AC156" s="135">
        <f t="shared" si="96"/>
        <v>9.4127272727272615E-2</v>
      </c>
      <c r="AD156" s="110"/>
      <c r="AE156" s="110"/>
      <c r="AF156" s="110"/>
      <c r="AG156" s="121"/>
    </row>
    <row r="157" spans="1:33" ht="11.25" customHeight="1" outlineLevel="1" x14ac:dyDescent="0.15">
      <c r="A157" s="110" t="s">
        <v>125</v>
      </c>
      <c r="B157" s="110"/>
      <c r="C157" s="111" t="s">
        <v>37</v>
      </c>
      <c r="D157" s="111">
        <v>2020</v>
      </c>
      <c r="E157" s="146">
        <v>44165</v>
      </c>
      <c r="F157" s="17">
        <v>161769</v>
      </c>
      <c r="G157" s="16">
        <v>220100110</v>
      </c>
      <c r="H157" s="16"/>
      <c r="I157" s="16"/>
      <c r="J157" s="16"/>
      <c r="K157" s="112" t="s">
        <v>74</v>
      </c>
      <c r="L157" s="120"/>
      <c r="M157" s="120"/>
      <c r="N157" s="120"/>
      <c r="O157" s="119">
        <f>1-0.45</f>
        <v>0.55000000000000004</v>
      </c>
      <c r="P157" s="117">
        <v>7600</v>
      </c>
      <c r="Q157" s="111">
        <v>998</v>
      </c>
      <c r="R157" s="117"/>
      <c r="S157" s="117"/>
      <c r="T157" s="117"/>
      <c r="U157" s="117">
        <v>8077.12</v>
      </c>
      <c r="V157" s="117"/>
      <c r="W157" s="26">
        <f t="shared" si="90"/>
        <v>8077.12</v>
      </c>
      <c r="X157" s="118" t="str">
        <f t="shared" si="91"/>
        <v/>
      </c>
      <c r="Y157" s="119">
        <f t="shared" si="92"/>
        <v>1.062778947368421</v>
      </c>
      <c r="Z157" s="117">
        <f t="shared" si="93"/>
        <v>-477.11999999999989</v>
      </c>
      <c r="AA157" s="119">
        <f t="shared" si="94"/>
        <v>-6.2778947368421031E-2</v>
      </c>
      <c r="AB157" s="120">
        <f t="shared" si="95"/>
        <v>-8077.12</v>
      </c>
      <c r="AC157" s="135">
        <f t="shared" si="96"/>
        <v>-0.61277894736842109</v>
      </c>
      <c r="AD157" s="110"/>
      <c r="AE157" s="110"/>
      <c r="AF157" s="110"/>
      <c r="AG157" s="121"/>
    </row>
    <row r="158" spans="1:33" ht="11.25" customHeight="1" outlineLevel="1" x14ac:dyDescent="0.15">
      <c r="A158" s="110" t="s">
        <v>53</v>
      </c>
      <c r="B158" s="110"/>
      <c r="C158" s="111"/>
      <c r="D158" s="111">
        <v>2020</v>
      </c>
      <c r="E158" s="146">
        <v>44165</v>
      </c>
      <c r="F158" s="17"/>
      <c r="G158" s="111"/>
      <c r="H158" s="111"/>
      <c r="I158" s="111"/>
      <c r="J158" s="111"/>
      <c r="K158" s="112"/>
      <c r="L158" s="120"/>
      <c r="M158" s="120"/>
      <c r="N158" s="120"/>
      <c r="O158" s="119"/>
      <c r="P158" s="117"/>
      <c r="Q158" s="111"/>
      <c r="R158" s="117"/>
      <c r="S158" s="117"/>
      <c r="T158" s="117"/>
      <c r="U158" s="117"/>
      <c r="V158" s="117"/>
      <c r="X158" s="118" t="str">
        <f t="shared" si="91"/>
        <v/>
      </c>
      <c r="Y158" s="119"/>
      <c r="Z158" s="117"/>
      <c r="AA158" s="119"/>
      <c r="AB158" s="120"/>
      <c r="AC158" s="119"/>
      <c r="AD158" s="110"/>
      <c r="AE158" s="110"/>
      <c r="AF158" s="110"/>
      <c r="AG158" s="121"/>
    </row>
    <row r="159" spans="1:33" s="53" customFormat="1" ht="11.25" customHeight="1" outlineLevel="1" x14ac:dyDescent="0.15">
      <c r="A159" s="53" t="s">
        <v>125</v>
      </c>
      <c r="C159" s="54" t="s">
        <v>54</v>
      </c>
      <c r="D159" s="54">
        <v>2020</v>
      </c>
      <c r="E159" s="70">
        <v>44165</v>
      </c>
      <c r="F159" s="210"/>
      <c r="G159" s="54"/>
      <c r="H159" s="54"/>
      <c r="I159" s="54"/>
      <c r="J159" s="54"/>
      <c r="K159" s="106"/>
      <c r="L159" s="93"/>
      <c r="M159" s="93"/>
      <c r="N159" s="93"/>
      <c r="O159" s="57">
        <f>((P151*O151)+(P153*O153)+(P155*O155)+(P156*O156)+(P157*O157))/P159</f>
        <v>0.45234315537675335</v>
      </c>
      <c r="P159" s="24">
        <f>SUM(P151:P158)</f>
        <v>202334</v>
      </c>
      <c r="Q159" s="111"/>
      <c r="R159" s="24">
        <f>SUM(R151:R157)</f>
        <v>235.5</v>
      </c>
      <c r="S159" s="24">
        <f>SUM(S151:S157)</f>
        <v>10422.11</v>
      </c>
      <c r="T159" s="24">
        <f>SUM(T151:T157)</f>
        <v>5434.22</v>
      </c>
      <c r="U159" s="24">
        <f>SUM(U151:U157)</f>
        <v>50728.579999999994</v>
      </c>
      <c r="V159" s="132"/>
      <c r="W159" s="25">
        <f>SUM(W151:W157)</f>
        <v>66584.909999999989</v>
      </c>
      <c r="X159" s="118">
        <f t="shared" si="91"/>
        <v>44.25524416135881</v>
      </c>
      <c r="Y159" s="119">
        <f>U159/P159</f>
        <v>0.25071703223383118</v>
      </c>
      <c r="Z159" s="28">
        <f>P159-W159</f>
        <v>135749.09000000003</v>
      </c>
      <c r="AA159" s="57">
        <f>Z159/P159</f>
        <v>0.6709158618917237</v>
      </c>
      <c r="AB159" s="120">
        <f t="shared" ref="AB159:AB161" si="97">M159-W159</f>
        <v>-66584.909999999989</v>
      </c>
      <c r="AC159" s="135">
        <f t="shared" ref="AC159:AC161" si="98">AA159-O159</f>
        <v>0.21857270651497035</v>
      </c>
      <c r="AG159" s="61"/>
    </row>
    <row r="160" spans="1:33" ht="11.25" customHeight="1" outlineLevel="1" x14ac:dyDescent="0.15">
      <c r="A160" s="110" t="s">
        <v>125</v>
      </c>
      <c r="B160" s="110"/>
      <c r="C160" s="111" t="s">
        <v>55</v>
      </c>
      <c r="D160" s="111">
        <v>2020</v>
      </c>
      <c r="E160" s="146">
        <v>44165</v>
      </c>
      <c r="F160" s="17">
        <v>161769</v>
      </c>
      <c r="G160" s="111" t="s">
        <v>56</v>
      </c>
      <c r="H160" s="111"/>
      <c r="I160" s="111"/>
      <c r="J160" s="111"/>
      <c r="K160" s="112" t="s">
        <v>71</v>
      </c>
      <c r="L160" s="120"/>
      <c r="M160" s="120"/>
      <c r="N160" s="120"/>
      <c r="O160" s="119">
        <v>0</v>
      </c>
      <c r="P160" s="117">
        <v>3500</v>
      </c>
      <c r="Q160" s="111">
        <v>999</v>
      </c>
      <c r="R160" s="117">
        <v>19</v>
      </c>
      <c r="S160" s="117">
        <f>522.5+235.22</f>
        <v>757.72</v>
      </c>
      <c r="T160" s="117">
        <f>4717.03+65.6</f>
        <v>4782.63</v>
      </c>
      <c r="U160" s="117"/>
      <c r="V160" s="117"/>
      <c r="W160" s="26">
        <f>SUM(S160:V160)</f>
        <v>5540.35</v>
      </c>
      <c r="X160" s="118">
        <f t="shared" si="91"/>
        <v>39.880000000000003</v>
      </c>
      <c r="Y160" s="119">
        <f>U160/P160</f>
        <v>0</v>
      </c>
      <c r="Z160" s="117">
        <f>P160-W160</f>
        <v>-2040.3500000000004</v>
      </c>
      <c r="AA160" s="119">
        <f>Z160/P160</f>
        <v>-0.58295714285714295</v>
      </c>
      <c r="AB160" s="120">
        <f t="shared" si="97"/>
        <v>-5540.35</v>
      </c>
      <c r="AC160" s="135">
        <f t="shared" si="98"/>
        <v>-0.58295714285714295</v>
      </c>
      <c r="AD160" s="110"/>
      <c r="AE160" s="110"/>
      <c r="AF160" s="110"/>
      <c r="AG160" s="121"/>
    </row>
    <row r="161" spans="1:33" ht="11.25" customHeight="1" outlineLevel="1" x14ac:dyDescent="0.15">
      <c r="A161" s="110" t="s">
        <v>125</v>
      </c>
      <c r="B161" s="110"/>
      <c r="C161" s="111" t="s">
        <v>58</v>
      </c>
      <c r="D161" s="111">
        <v>2020</v>
      </c>
      <c r="E161" s="146">
        <v>44165</v>
      </c>
      <c r="F161" s="17">
        <v>161769</v>
      </c>
      <c r="G161" s="111" t="s">
        <v>87</v>
      </c>
      <c r="H161" s="111"/>
      <c r="I161" s="111"/>
      <c r="J161" s="111"/>
      <c r="K161" s="112" t="s">
        <v>86</v>
      </c>
      <c r="L161" s="120"/>
      <c r="M161" s="120"/>
      <c r="N161" s="120"/>
      <c r="O161" s="119"/>
      <c r="P161" s="117">
        <v>41269</v>
      </c>
      <c r="Q161" s="111"/>
      <c r="R161" s="117"/>
      <c r="S161" s="117"/>
      <c r="T161" s="117"/>
      <c r="U161" s="117"/>
      <c r="V161" s="117"/>
      <c r="X161" s="118" t="str">
        <f t="shared" si="91"/>
        <v/>
      </c>
      <c r="Y161" s="119"/>
      <c r="Z161" s="117"/>
      <c r="AA161" s="119"/>
      <c r="AB161" s="120">
        <f t="shared" si="97"/>
        <v>0</v>
      </c>
      <c r="AC161" s="135">
        <f t="shared" si="98"/>
        <v>0</v>
      </c>
      <c r="AD161" s="110"/>
      <c r="AE161" s="110"/>
      <c r="AF161" s="110"/>
      <c r="AG161" s="121"/>
    </row>
    <row r="162" spans="1:33" ht="11.25" customHeight="1" outlineLevel="1" x14ac:dyDescent="0.15">
      <c r="A162" s="110" t="s">
        <v>53</v>
      </c>
      <c r="B162" s="110"/>
      <c r="C162" s="111"/>
      <c r="D162" s="111">
        <v>2020</v>
      </c>
      <c r="E162" s="146">
        <v>44165</v>
      </c>
      <c r="F162" s="17"/>
      <c r="G162" s="111"/>
      <c r="H162" s="111"/>
      <c r="I162" s="111"/>
      <c r="J162" s="111"/>
      <c r="K162" s="112"/>
      <c r="L162" s="120"/>
      <c r="M162" s="120"/>
      <c r="N162" s="120"/>
      <c r="O162" s="119"/>
      <c r="P162" s="117"/>
      <c r="Q162" s="111"/>
      <c r="R162" s="117"/>
      <c r="S162" s="117"/>
      <c r="T162" s="117"/>
      <c r="U162" s="117"/>
      <c r="V162" s="117"/>
      <c r="X162" s="118" t="str">
        <f t="shared" si="91"/>
        <v/>
      </c>
      <c r="Y162" s="119"/>
      <c r="Z162" s="117"/>
      <c r="AA162" s="119"/>
      <c r="AB162" s="120"/>
      <c r="AC162" s="119"/>
      <c r="AD162" s="110"/>
      <c r="AE162" s="110"/>
      <c r="AF162" s="110"/>
      <c r="AG162" s="121"/>
    </row>
    <row r="163" spans="1:33" s="53" customFormat="1" ht="11.25" customHeight="1" outlineLevel="1" x14ac:dyDescent="0.15">
      <c r="A163" s="53" t="s">
        <v>125</v>
      </c>
      <c r="C163" s="54" t="s">
        <v>65</v>
      </c>
      <c r="D163" s="54">
        <v>2020</v>
      </c>
      <c r="E163" s="70">
        <v>44165</v>
      </c>
      <c r="F163" s="54"/>
      <c r="G163" s="54"/>
      <c r="H163" s="54"/>
      <c r="I163" s="54"/>
      <c r="J163" s="54"/>
      <c r="K163" s="106"/>
      <c r="L163" s="58"/>
      <c r="M163" s="58"/>
      <c r="N163" s="58"/>
      <c r="O163" s="57">
        <v>0.55000000000000004</v>
      </c>
      <c r="P163" s="25">
        <f>SUM(P159:P161)</f>
        <v>247103</v>
      </c>
      <c r="Q163" s="111"/>
      <c r="R163" s="25">
        <f>SUM(R159:R161)</f>
        <v>254.5</v>
      </c>
      <c r="S163" s="25">
        <f>SUM(S159:S161)</f>
        <v>11179.83</v>
      </c>
      <c r="T163" s="25">
        <f>SUM(T159:T161)</f>
        <v>10216.85</v>
      </c>
      <c r="U163" s="25">
        <f>SUM(U159:U161)</f>
        <v>50728.579999999994</v>
      </c>
      <c r="V163" s="117"/>
      <c r="W163" s="25">
        <f>SUM(S163:U163)</f>
        <v>72125.259999999995</v>
      </c>
      <c r="X163" s="118">
        <f t="shared" si="91"/>
        <v>43.92860510805501</v>
      </c>
      <c r="Y163" s="119">
        <f>U163/P163</f>
        <v>0.20529325827691283</v>
      </c>
      <c r="Z163" s="28">
        <f>P163-W163</f>
        <v>174977.74</v>
      </c>
      <c r="AA163" s="57">
        <f>Z163/P163</f>
        <v>0.70811661533854298</v>
      </c>
      <c r="AB163" s="120">
        <f t="shared" ref="AB163:AB164" si="99">M163-W163</f>
        <v>-72125.259999999995</v>
      </c>
      <c r="AC163" s="135">
        <f t="shared" ref="AC163:AC164" si="100">AA163-O163</f>
        <v>0.15811661533854293</v>
      </c>
      <c r="AG163" s="61"/>
    </row>
    <row r="164" spans="1:33" s="53" customFormat="1" ht="11.25" customHeight="1" outlineLevel="1" x14ac:dyDescent="0.15">
      <c r="A164" s="53" t="s">
        <v>125</v>
      </c>
      <c r="C164" s="54" t="s">
        <v>66</v>
      </c>
      <c r="D164" s="54">
        <v>2020</v>
      </c>
      <c r="E164" s="70">
        <v>44165</v>
      </c>
      <c r="F164" s="54"/>
      <c r="G164" s="54"/>
      <c r="H164" s="54"/>
      <c r="I164" s="54"/>
      <c r="J164" s="54"/>
      <c r="K164" s="106"/>
      <c r="L164" s="58"/>
      <c r="M164" s="58"/>
      <c r="N164" s="58"/>
      <c r="O164" s="57">
        <f>((P151*O151)+(P153*O153)+(P155*O155)+(P156*O156)+(P157*O157))/P164</f>
        <v>0.55000000000000004</v>
      </c>
      <c r="P164" s="28">
        <f>SUM(P151,P153,P155,P156,P157)</f>
        <v>166408</v>
      </c>
      <c r="Q164" s="111"/>
      <c r="R164" s="117">
        <f>SUM(R151,R153,R155,R156,R157)</f>
        <v>71</v>
      </c>
      <c r="S164" s="117">
        <f>SUM(S151,S153,S155,S156,S157)</f>
        <v>2563.6099999999997</v>
      </c>
      <c r="T164" s="117">
        <f>SUM(T151,T153,T155,T156,T157)</f>
        <v>0</v>
      </c>
      <c r="U164" s="117">
        <f>SUM(U151,U153,U155,U156,U157)</f>
        <v>46560.480000000003</v>
      </c>
      <c r="V164" s="117"/>
      <c r="W164" s="62">
        <f>SUM(W151,W153,W155,W156,W157)</f>
        <v>49124.09</v>
      </c>
      <c r="X164" s="118">
        <f t="shared" si="91"/>
        <v>36.107183098591541</v>
      </c>
      <c r="Y164" s="119">
        <f>U164/P164</f>
        <v>0.27979712513821453</v>
      </c>
      <c r="Z164" s="28">
        <f>Z151+Z156</f>
        <v>90955.78</v>
      </c>
      <c r="AA164" s="57">
        <f>Z164/P164</f>
        <v>0.54658297677996248</v>
      </c>
      <c r="AB164" s="120">
        <f t="shared" si="99"/>
        <v>-49124.09</v>
      </c>
      <c r="AC164" s="135">
        <f t="shared" si="100"/>
        <v>-3.4170232200375628E-3</v>
      </c>
      <c r="AG164" s="61"/>
    </row>
    <row r="165" spans="1:33" ht="11.25" customHeight="1" outlineLevel="1" x14ac:dyDescent="0.15">
      <c r="A165" s="124" t="s">
        <v>53</v>
      </c>
      <c r="B165" s="124"/>
      <c r="C165" s="124"/>
      <c r="D165" s="124"/>
      <c r="E165" s="273"/>
      <c r="F165" s="124"/>
      <c r="G165" s="124"/>
      <c r="H165" s="124"/>
      <c r="I165" s="124"/>
      <c r="J165" s="124"/>
      <c r="K165" s="125"/>
      <c r="L165" s="220"/>
      <c r="M165" s="220"/>
      <c r="N165" s="220"/>
      <c r="O165" s="128"/>
      <c r="P165" s="225"/>
      <c r="Q165" s="124"/>
      <c r="R165" s="225"/>
      <c r="S165" s="225"/>
      <c r="T165" s="225"/>
      <c r="U165" s="225"/>
      <c r="V165" s="225"/>
      <c r="W165" s="230"/>
      <c r="X165" s="127"/>
      <c r="Y165" s="128"/>
      <c r="Z165" s="126"/>
      <c r="AA165" s="128"/>
      <c r="AB165" s="129"/>
      <c r="AC165" s="128"/>
      <c r="AD165" s="130"/>
      <c r="AE165" s="110"/>
      <c r="AF165" s="110"/>
      <c r="AG165" s="121"/>
    </row>
    <row r="166" spans="1:33" ht="11.25" customHeight="1" outlineLevel="1" x14ac:dyDescent="0.15">
      <c r="A166" s="110" t="s">
        <v>127</v>
      </c>
      <c r="B166" s="110"/>
      <c r="C166" s="111" t="s">
        <v>37</v>
      </c>
      <c r="D166" s="111">
        <v>2020</v>
      </c>
      <c r="E166" s="146">
        <v>44165</v>
      </c>
      <c r="F166" s="17">
        <v>161768</v>
      </c>
      <c r="G166" s="16">
        <v>140000110</v>
      </c>
      <c r="H166" s="16"/>
      <c r="I166" s="16" t="str">
        <f>MID(G166,2,1)</f>
        <v>4</v>
      </c>
      <c r="J166" s="16" t="s">
        <v>116</v>
      </c>
      <c r="K166" s="112" t="s">
        <v>128</v>
      </c>
      <c r="L166" s="120"/>
      <c r="M166" s="120"/>
      <c r="N166" s="120"/>
      <c r="O166" s="119">
        <f>1-0.45</f>
        <v>0.55000000000000004</v>
      </c>
      <c r="P166" s="131">
        <v>152154</v>
      </c>
      <c r="Q166" s="111">
        <v>1000</v>
      </c>
      <c r="R166" s="117">
        <f>6+69.5+106</f>
        <v>181.5</v>
      </c>
      <c r="S166" s="117">
        <f>4747.02+2136.3</f>
        <v>6883.3200000000006</v>
      </c>
      <c r="T166" s="117"/>
      <c r="U166" s="117">
        <v>50401.26</v>
      </c>
      <c r="V166" s="117"/>
      <c r="W166" s="26">
        <f t="shared" ref="W166:W174" si="101">SUM(S166:V166)</f>
        <v>57284.58</v>
      </c>
      <c r="X166" s="118">
        <f t="shared" ref="X166:X182" si="102">IFERROR(S166/R166,"")</f>
        <v>37.92462809917356</v>
      </c>
      <c r="Y166" s="119">
        <f t="shared" ref="Y166:Y174" si="103">U166/P166</f>
        <v>0.3312516266414291</v>
      </c>
      <c r="Z166" s="117">
        <f t="shared" ref="Z166:Z174" si="104">P166-W166</f>
        <v>94869.42</v>
      </c>
      <c r="AA166" s="119">
        <f t="shared" ref="AA166:AA174" si="105">Z166/P166</f>
        <v>0.6235092077763319</v>
      </c>
      <c r="AB166" s="120">
        <f t="shared" ref="AB166:AB174" si="106">M166-W166</f>
        <v>-57284.58</v>
      </c>
      <c r="AC166" s="135">
        <f t="shared" ref="AC166:AC174" si="107">AA166-O166</f>
        <v>7.3509207776331853E-2</v>
      </c>
      <c r="AD166" s="110"/>
      <c r="AE166" s="110"/>
      <c r="AF166" s="110"/>
      <c r="AG166" s="121"/>
    </row>
    <row r="167" spans="1:33" ht="11.25" customHeight="1" outlineLevel="1" x14ac:dyDescent="0.15">
      <c r="A167" s="110" t="s">
        <v>127</v>
      </c>
      <c r="B167" s="110"/>
      <c r="C167" s="111" t="s">
        <v>47</v>
      </c>
      <c r="D167" s="111">
        <v>2020</v>
      </c>
      <c r="E167" s="146">
        <v>44165</v>
      </c>
      <c r="F167" s="17">
        <v>161768</v>
      </c>
      <c r="G167" s="16">
        <v>540000110</v>
      </c>
      <c r="H167" s="16"/>
      <c r="I167" s="16"/>
      <c r="J167" s="16"/>
      <c r="K167" s="112" t="s">
        <v>120</v>
      </c>
      <c r="L167" s="120"/>
      <c r="M167" s="120"/>
      <c r="N167" s="120"/>
      <c r="O167" s="119">
        <f>1-0.45</f>
        <v>0.55000000000000004</v>
      </c>
      <c r="P167" s="117">
        <v>18700</v>
      </c>
      <c r="Q167" s="111">
        <v>1001</v>
      </c>
      <c r="R167" s="117">
        <v>110</v>
      </c>
      <c r="S167" s="117">
        <f>3400.11+1530.11</f>
        <v>4930.22</v>
      </c>
      <c r="T167" s="117">
        <v>5354.86</v>
      </c>
      <c r="U167" s="117">
        <v>1881.83</v>
      </c>
      <c r="V167" s="117"/>
      <c r="W167" s="26">
        <f t="shared" si="101"/>
        <v>12166.91</v>
      </c>
      <c r="X167" s="118">
        <f t="shared" si="102"/>
        <v>44.820181818181823</v>
      </c>
      <c r="Y167" s="119">
        <f t="shared" si="103"/>
        <v>0.10063262032085561</v>
      </c>
      <c r="Z167" s="117">
        <f t="shared" si="104"/>
        <v>6533.09</v>
      </c>
      <c r="AA167" s="119">
        <f t="shared" si="105"/>
        <v>0.34936310160427808</v>
      </c>
      <c r="AB167" s="120">
        <f t="shared" si="106"/>
        <v>-12166.91</v>
      </c>
      <c r="AC167" s="135">
        <f t="shared" si="107"/>
        <v>-0.20063689839572196</v>
      </c>
      <c r="AD167" s="110"/>
      <c r="AE167" s="110"/>
      <c r="AF167" s="110"/>
      <c r="AG167" s="121"/>
    </row>
    <row r="168" spans="1:33" ht="11.25" customHeight="1" outlineLevel="1" x14ac:dyDescent="0.15">
      <c r="A168" s="110" t="s">
        <v>127</v>
      </c>
      <c r="B168" s="110"/>
      <c r="C168" s="111" t="s">
        <v>37</v>
      </c>
      <c r="D168" s="111">
        <v>2020</v>
      </c>
      <c r="E168" s="146">
        <v>44165</v>
      </c>
      <c r="F168" s="17">
        <v>161768</v>
      </c>
      <c r="G168" s="16">
        <v>125100120</v>
      </c>
      <c r="H168" s="16"/>
      <c r="I168" s="16" t="str">
        <f>MID(G168,2,1)</f>
        <v>2</v>
      </c>
      <c r="J168" s="16" t="s">
        <v>68</v>
      </c>
      <c r="K168" s="112" t="s">
        <v>122</v>
      </c>
      <c r="L168" s="120"/>
      <c r="M168" s="120"/>
      <c r="N168" s="120"/>
      <c r="O168" s="119">
        <f>1-0.45</f>
        <v>0.55000000000000004</v>
      </c>
      <c r="P168" s="117">
        <v>129634</v>
      </c>
      <c r="Q168" s="111">
        <v>1002</v>
      </c>
      <c r="R168" s="117">
        <f>12+10</f>
        <v>22</v>
      </c>
      <c r="S168" s="117">
        <f>564.88+254.25</f>
        <v>819.13</v>
      </c>
      <c r="T168" s="117"/>
      <c r="U168" s="117">
        <v>27141.99</v>
      </c>
      <c r="V168" s="117"/>
      <c r="W168" s="26">
        <f t="shared" si="101"/>
        <v>27961.120000000003</v>
      </c>
      <c r="X168" s="118">
        <f t="shared" si="102"/>
        <v>37.233181818181819</v>
      </c>
      <c r="Y168" s="119">
        <f t="shared" si="103"/>
        <v>0.20937400681919868</v>
      </c>
      <c r="Z168" s="117">
        <f t="shared" si="104"/>
        <v>101672.88</v>
      </c>
      <c r="AA168" s="119">
        <f t="shared" si="105"/>
        <v>0.78430720335714399</v>
      </c>
      <c r="AB168" s="120">
        <f t="shared" si="106"/>
        <v>-27961.120000000003</v>
      </c>
      <c r="AC168" s="135">
        <f t="shared" si="107"/>
        <v>0.23430720335714394</v>
      </c>
      <c r="AD168" s="110"/>
      <c r="AE168" s="110"/>
      <c r="AF168" s="110"/>
      <c r="AG168" s="121"/>
    </row>
    <row r="169" spans="1:33" ht="11.25" customHeight="1" outlineLevel="1" x14ac:dyDescent="0.15">
      <c r="A169" s="110" t="s">
        <v>127</v>
      </c>
      <c r="B169" s="110"/>
      <c r="C169" s="111" t="s">
        <v>47</v>
      </c>
      <c r="D169" s="111">
        <v>2020</v>
      </c>
      <c r="E169" s="146">
        <v>44165</v>
      </c>
      <c r="F169" s="17">
        <v>161768</v>
      </c>
      <c r="G169" s="16">
        <v>525100120</v>
      </c>
      <c r="H169" s="16"/>
      <c r="I169" s="16"/>
      <c r="J169" s="16"/>
      <c r="K169" s="112" t="s">
        <v>120</v>
      </c>
      <c r="L169" s="120"/>
      <c r="M169" s="120"/>
      <c r="N169" s="120"/>
      <c r="O169" s="119">
        <f>1-0.45</f>
        <v>0.55000000000000004</v>
      </c>
      <c r="P169" s="117">
        <v>9250</v>
      </c>
      <c r="Q169" s="111">
        <v>1003</v>
      </c>
      <c r="R169" s="117">
        <v>84</v>
      </c>
      <c r="S169" s="117">
        <f>2596.44+1168.44</f>
        <v>3764.88</v>
      </c>
      <c r="T169" s="117">
        <v>2684.37</v>
      </c>
      <c r="U169" s="117">
        <v>256.10000000000002</v>
      </c>
      <c r="V169" s="117"/>
      <c r="W169" s="26">
        <f t="shared" si="101"/>
        <v>6705.35</v>
      </c>
      <c r="X169" s="118">
        <f t="shared" si="102"/>
        <v>44.82</v>
      </c>
      <c r="Y169" s="119">
        <f t="shared" si="103"/>
        <v>2.768648648648649E-2</v>
      </c>
      <c r="Z169" s="117">
        <f t="shared" si="104"/>
        <v>2544.6499999999996</v>
      </c>
      <c r="AA169" s="119">
        <f t="shared" si="105"/>
        <v>0.27509729729729726</v>
      </c>
      <c r="AB169" s="120">
        <f t="shared" si="106"/>
        <v>-6705.35</v>
      </c>
      <c r="AC169" s="135">
        <f t="shared" si="107"/>
        <v>-0.27490270270270278</v>
      </c>
      <c r="AD169" s="110"/>
      <c r="AE169" s="110"/>
      <c r="AF169" s="110"/>
      <c r="AG169" s="121"/>
    </row>
    <row r="170" spans="1:33" ht="11.25" customHeight="1" outlineLevel="1" x14ac:dyDescent="0.15">
      <c r="A170" s="110" t="s">
        <v>127</v>
      </c>
      <c r="B170" s="110"/>
      <c r="C170" s="111" t="s">
        <v>99</v>
      </c>
      <c r="D170" s="111">
        <v>2020</v>
      </c>
      <c r="E170" s="146">
        <v>44165</v>
      </c>
      <c r="F170" s="17">
        <v>161768</v>
      </c>
      <c r="G170" s="17">
        <v>626420121</v>
      </c>
      <c r="H170" s="17"/>
      <c r="I170" s="17"/>
      <c r="J170" s="17"/>
      <c r="K170" s="112" t="s">
        <v>100</v>
      </c>
      <c r="L170" s="120"/>
      <c r="M170" s="120"/>
      <c r="N170" s="120"/>
      <c r="O170" s="119">
        <f>1-0.529</f>
        <v>0.47099999999999997</v>
      </c>
      <c r="P170" s="117">
        <v>7321</v>
      </c>
      <c r="Q170" s="111">
        <v>1004</v>
      </c>
      <c r="R170" s="117">
        <v>16</v>
      </c>
      <c r="S170" s="117">
        <f>628.48+282.88</f>
        <v>911.36</v>
      </c>
      <c r="T170" s="117">
        <v>426.21</v>
      </c>
      <c r="U170" s="117">
        <v>1094.45</v>
      </c>
      <c r="V170" s="117"/>
      <c r="W170" s="26">
        <f t="shared" si="101"/>
        <v>2432.02</v>
      </c>
      <c r="X170" s="118">
        <f t="shared" si="102"/>
        <v>56.96</v>
      </c>
      <c r="Y170" s="119">
        <f t="shared" si="103"/>
        <v>0.14949460456221828</v>
      </c>
      <c r="Z170" s="117">
        <f t="shared" si="104"/>
        <v>4888.9799999999996</v>
      </c>
      <c r="AA170" s="119">
        <f t="shared" si="105"/>
        <v>0.66780221281245722</v>
      </c>
      <c r="AB170" s="120">
        <f t="shared" si="106"/>
        <v>-2432.02</v>
      </c>
      <c r="AC170" s="135">
        <f t="shared" si="107"/>
        <v>0.19680221281245724</v>
      </c>
      <c r="AD170" s="110"/>
      <c r="AE170" s="110"/>
      <c r="AF170" s="110"/>
      <c r="AG170" s="121"/>
    </row>
    <row r="171" spans="1:33" ht="11.25" customHeight="1" outlineLevel="1" x14ac:dyDescent="0.15">
      <c r="A171" s="110" t="s">
        <v>127</v>
      </c>
      <c r="B171" s="110"/>
      <c r="C171" s="111" t="s">
        <v>99</v>
      </c>
      <c r="D171" s="111">
        <v>2020</v>
      </c>
      <c r="E171" s="146">
        <v>44165</v>
      </c>
      <c r="F171" s="17">
        <v>161768</v>
      </c>
      <c r="G171" s="17">
        <v>646620121</v>
      </c>
      <c r="H171" s="17"/>
      <c r="I171" s="17"/>
      <c r="J171" s="17"/>
      <c r="K171" s="112" t="s">
        <v>100</v>
      </c>
      <c r="L171" s="219"/>
      <c r="M171" s="219"/>
      <c r="N171" s="219"/>
      <c r="O171" s="119">
        <f>1-0.529</f>
        <v>0.47099999999999997</v>
      </c>
      <c r="P171" s="132">
        <v>7321</v>
      </c>
      <c r="Q171" s="111">
        <v>1005</v>
      </c>
      <c r="R171" s="132">
        <v>16</v>
      </c>
      <c r="S171" s="132">
        <f>628.48+282.88</f>
        <v>911.36</v>
      </c>
      <c r="T171" s="132">
        <v>827.34</v>
      </c>
      <c r="U171" s="132">
        <v>2281.0700000000002</v>
      </c>
      <c r="V171" s="132"/>
      <c r="W171" s="67">
        <f t="shared" si="101"/>
        <v>4019.7700000000004</v>
      </c>
      <c r="X171" s="118">
        <f t="shared" si="102"/>
        <v>56.96</v>
      </c>
      <c r="Y171" s="119">
        <f t="shared" si="103"/>
        <v>0.31157901925966403</v>
      </c>
      <c r="Z171" s="117">
        <f t="shared" si="104"/>
        <v>3301.2299999999996</v>
      </c>
      <c r="AA171" s="119">
        <f t="shared" si="105"/>
        <v>0.45092610299139457</v>
      </c>
      <c r="AB171" s="120">
        <f t="shared" si="106"/>
        <v>-4019.7700000000004</v>
      </c>
      <c r="AC171" s="135">
        <f t="shared" si="107"/>
        <v>-2.0073897008605401E-2</v>
      </c>
      <c r="AD171" s="110"/>
      <c r="AE171" s="110"/>
      <c r="AF171" s="110"/>
      <c r="AG171" s="121"/>
    </row>
    <row r="172" spans="1:33" ht="11.25" customHeight="1" outlineLevel="1" x14ac:dyDescent="0.15">
      <c r="A172" s="110" t="s">
        <v>127</v>
      </c>
      <c r="B172" s="110"/>
      <c r="C172" s="111" t="s">
        <v>37</v>
      </c>
      <c r="D172" s="111">
        <v>2020</v>
      </c>
      <c r="E172" s="146">
        <v>44165</v>
      </c>
      <c r="F172" s="17">
        <v>161768</v>
      </c>
      <c r="G172" s="16">
        <v>220100110</v>
      </c>
      <c r="H172" s="16"/>
      <c r="I172" s="16"/>
      <c r="J172" s="16"/>
      <c r="K172" s="112" t="s">
        <v>74</v>
      </c>
      <c r="L172" s="120"/>
      <c r="M172" s="120"/>
      <c r="N172" s="120"/>
      <c r="O172" s="119">
        <f>1-0.45</f>
        <v>0.55000000000000004</v>
      </c>
      <c r="P172" s="117">
        <v>7600</v>
      </c>
      <c r="Q172" s="111">
        <v>1006</v>
      </c>
      <c r="R172" s="117"/>
      <c r="S172" s="117"/>
      <c r="T172" s="117"/>
      <c r="U172" s="117">
        <v>11258.71</v>
      </c>
      <c r="V172" s="117"/>
      <c r="W172" s="26">
        <f t="shared" si="101"/>
        <v>11258.71</v>
      </c>
      <c r="X172" s="118" t="str">
        <f t="shared" si="102"/>
        <v/>
      </c>
      <c r="Y172" s="119">
        <f t="shared" si="103"/>
        <v>1.4814092105263157</v>
      </c>
      <c r="Z172" s="117">
        <f t="shared" si="104"/>
        <v>-3658.7099999999991</v>
      </c>
      <c r="AA172" s="119">
        <f t="shared" si="105"/>
        <v>-0.48140921052631569</v>
      </c>
      <c r="AB172" s="120">
        <f t="shared" si="106"/>
        <v>-11258.71</v>
      </c>
      <c r="AC172" s="135">
        <f t="shared" si="107"/>
        <v>-1.0314092105263157</v>
      </c>
      <c r="AD172" s="110"/>
      <c r="AE172" s="110"/>
      <c r="AF172" s="110"/>
      <c r="AG172" s="121"/>
    </row>
    <row r="173" spans="1:33" ht="11.25" customHeight="1" outlineLevel="1" x14ac:dyDescent="0.15">
      <c r="A173" s="110" t="s">
        <v>127</v>
      </c>
      <c r="B173" s="110"/>
      <c r="C173" s="111" t="s">
        <v>37</v>
      </c>
      <c r="D173" s="111">
        <v>2020</v>
      </c>
      <c r="E173" s="146">
        <v>44165</v>
      </c>
      <c r="F173" s="17">
        <v>161768</v>
      </c>
      <c r="G173" s="16">
        <v>210500110</v>
      </c>
      <c r="H173" s="16"/>
      <c r="I173" s="16"/>
      <c r="J173" s="16"/>
      <c r="K173" s="112" t="s">
        <v>75</v>
      </c>
      <c r="L173" s="120"/>
      <c r="M173" s="120"/>
      <c r="N173" s="120"/>
      <c r="O173" s="119">
        <f>1-0.45</f>
        <v>0.55000000000000004</v>
      </c>
      <c r="P173" s="117">
        <v>15000</v>
      </c>
      <c r="Q173" s="111">
        <v>1007</v>
      </c>
      <c r="R173" s="117"/>
      <c r="S173" s="117"/>
      <c r="T173" s="117"/>
      <c r="U173" s="117">
        <v>5247.82</v>
      </c>
      <c r="V173" s="117"/>
      <c r="W173" s="26">
        <f t="shared" si="101"/>
        <v>5247.82</v>
      </c>
      <c r="X173" s="118" t="str">
        <f t="shared" si="102"/>
        <v/>
      </c>
      <c r="Y173" s="119">
        <f t="shared" si="103"/>
        <v>0.34985466666666665</v>
      </c>
      <c r="Z173" s="117">
        <f t="shared" si="104"/>
        <v>9752.18</v>
      </c>
      <c r="AA173" s="119">
        <f t="shared" si="105"/>
        <v>0.65014533333333335</v>
      </c>
      <c r="AB173" s="120">
        <f t="shared" si="106"/>
        <v>-5247.82</v>
      </c>
      <c r="AC173" s="135">
        <f t="shared" si="107"/>
        <v>0.10014533333333331</v>
      </c>
      <c r="AD173" s="110"/>
      <c r="AE173" s="110"/>
      <c r="AF173" s="110"/>
      <c r="AG173" s="121"/>
    </row>
    <row r="174" spans="1:33" ht="11.25" customHeight="1" outlineLevel="1" x14ac:dyDescent="0.15">
      <c r="A174" s="110" t="s">
        <v>127</v>
      </c>
      <c r="B174" s="110"/>
      <c r="C174" s="111" t="s">
        <v>37</v>
      </c>
      <c r="D174" s="111">
        <v>2020</v>
      </c>
      <c r="E174" s="146">
        <v>44165</v>
      </c>
      <c r="F174" s="17">
        <v>161768</v>
      </c>
      <c r="G174" s="16">
        <v>211500110</v>
      </c>
      <c r="H174" s="16"/>
      <c r="I174" s="16"/>
      <c r="J174" s="16"/>
      <c r="K174" s="112" t="s">
        <v>129</v>
      </c>
      <c r="L174" s="120"/>
      <c r="M174" s="120"/>
      <c r="N174" s="120"/>
      <c r="O174" s="119">
        <f>1-0.45</f>
        <v>0.55000000000000004</v>
      </c>
      <c r="P174" s="117">
        <v>25615</v>
      </c>
      <c r="Q174" s="111">
        <v>1008</v>
      </c>
      <c r="R174" s="117"/>
      <c r="S174" s="117"/>
      <c r="T174" s="117">
        <v>1500</v>
      </c>
      <c r="U174" s="117">
        <v>13778.19</v>
      </c>
      <c r="V174" s="117"/>
      <c r="W174" s="26">
        <f t="shared" si="101"/>
        <v>15278.19</v>
      </c>
      <c r="X174" s="118" t="str">
        <f t="shared" si="102"/>
        <v/>
      </c>
      <c r="Y174" s="119">
        <f t="shared" si="103"/>
        <v>0.53789537380441155</v>
      </c>
      <c r="Z174" s="117">
        <f t="shared" si="104"/>
        <v>10336.81</v>
      </c>
      <c r="AA174" s="119">
        <f t="shared" si="105"/>
        <v>0.40354518836619169</v>
      </c>
      <c r="AB174" s="120">
        <f t="shared" si="106"/>
        <v>-15278.19</v>
      </c>
      <c r="AC174" s="135">
        <f t="shared" si="107"/>
        <v>-0.14645481163380836</v>
      </c>
      <c r="AD174" s="110"/>
      <c r="AE174" s="110"/>
      <c r="AF174" s="110"/>
      <c r="AG174" s="121"/>
    </row>
    <row r="175" spans="1:33" ht="11.25" customHeight="1" outlineLevel="1" x14ac:dyDescent="0.15">
      <c r="A175" s="110" t="s">
        <v>53</v>
      </c>
      <c r="B175" s="110"/>
      <c r="C175" s="111"/>
      <c r="D175" s="111">
        <v>2020</v>
      </c>
      <c r="E175" s="146">
        <v>44165</v>
      </c>
      <c r="F175" s="17"/>
      <c r="G175" s="111"/>
      <c r="H175" s="111"/>
      <c r="I175" s="111"/>
      <c r="J175" s="111"/>
      <c r="K175" s="112"/>
      <c r="L175" s="219"/>
      <c r="M175" s="219"/>
      <c r="N175" s="219"/>
      <c r="O175" s="119"/>
      <c r="P175" s="132"/>
      <c r="Q175" s="111"/>
      <c r="R175" s="132"/>
      <c r="S175" s="132"/>
      <c r="T175" s="132"/>
      <c r="U175" s="132"/>
      <c r="V175" s="132"/>
      <c r="W175" s="67"/>
      <c r="X175" s="118" t="str">
        <f t="shared" si="102"/>
        <v/>
      </c>
      <c r="Y175" s="119"/>
      <c r="Z175" s="117"/>
      <c r="AA175" s="119"/>
      <c r="AB175" s="120"/>
      <c r="AC175" s="119"/>
      <c r="AD175" s="110"/>
      <c r="AE175" s="110"/>
      <c r="AF175" s="110"/>
      <c r="AG175" s="121"/>
    </row>
    <row r="176" spans="1:33" s="53" customFormat="1" ht="11.25" customHeight="1" outlineLevel="1" x14ac:dyDescent="0.15">
      <c r="A176" s="53" t="s">
        <v>127</v>
      </c>
      <c r="C176" s="54" t="s">
        <v>54</v>
      </c>
      <c r="D176" s="54">
        <v>2020</v>
      </c>
      <c r="E176" s="70">
        <v>44165</v>
      </c>
      <c r="F176" s="210"/>
      <c r="G176" s="54"/>
      <c r="H176" s="54"/>
      <c r="I176" s="54"/>
      <c r="J176" s="54"/>
      <c r="K176" s="106"/>
      <c r="L176" s="58"/>
      <c r="M176" s="58"/>
      <c r="N176" s="58"/>
      <c r="O176" s="57">
        <f>((P166*O166)+(P168*O168)+(P172*O172)+(P173*O173)+(P174*O174))/P176</f>
        <v>0.48712851755928027</v>
      </c>
      <c r="P176" s="24">
        <f>SUM(P166:P174)</f>
        <v>372595</v>
      </c>
      <c r="Q176" s="111"/>
      <c r="R176" s="24">
        <f>SUM(R166:R174)</f>
        <v>429.5</v>
      </c>
      <c r="S176" s="24">
        <f>SUM(S166:S174)</f>
        <v>18220.27</v>
      </c>
      <c r="T176" s="24">
        <f>SUM(T166:T174)</f>
        <v>10792.779999999999</v>
      </c>
      <c r="U176" s="24">
        <f>SUM(U166:U174)</f>
        <v>113341.42000000001</v>
      </c>
      <c r="V176" s="117"/>
      <c r="W176" s="25">
        <f>SUM(W166:W174)</f>
        <v>142354.47000000003</v>
      </c>
      <c r="X176" s="118">
        <f t="shared" si="102"/>
        <v>42.422048894062861</v>
      </c>
      <c r="Y176" s="119">
        <f>U176/P176</f>
        <v>0.30419468860290666</v>
      </c>
      <c r="Z176" s="28">
        <f>P176-W176</f>
        <v>230240.52999999997</v>
      </c>
      <c r="AA176" s="57">
        <f>Z176/P176</f>
        <v>0.6179377876783102</v>
      </c>
      <c r="AB176" s="120">
        <f t="shared" ref="AB176:AB179" si="108">M176-W176</f>
        <v>-142354.47000000003</v>
      </c>
      <c r="AC176" s="135">
        <f t="shared" ref="AC176:AC179" si="109">AA176-O176</f>
        <v>0.13080927011902993</v>
      </c>
      <c r="AG176" s="61"/>
    </row>
    <row r="177" spans="1:33" ht="11.25" customHeight="1" outlineLevel="1" x14ac:dyDescent="0.15">
      <c r="A177" s="110" t="s">
        <v>127</v>
      </c>
      <c r="B177" s="110"/>
      <c r="C177" s="111" t="s">
        <v>55</v>
      </c>
      <c r="D177" s="111">
        <v>2020</v>
      </c>
      <c r="E177" s="146">
        <v>44165</v>
      </c>
      <c r="F177" s="17">
        <v>161768</v>
      </c>
      <c r="G177" s="111" t="s">
        <v>56</v>
      </c>
      <c r="H177" s="111"/>
      <c r="I177" s="111"/>
      <c r="J177" s="111"/>
      <c r="K177" s="112" t="s">
        <v>71</v>
      </c>
      <c r="L177" s="120"/>
      <c r="M177" s="120"/>
      <c r="N177" s="120"/>
      <c r="O177" s="119">
        <v>0</v>
      </c>
      <c r="P177" s="117">
        <v>11836</v>
      </c>
      <c r="Q177" s="111">
        <v>1009</v>
      </c>
      <c r="R177" s="117">
        <v>30</v>
      </c>
      <c r="S177" s="117">
        <f>825+371.4</f>
        <v>1196.4000000000001</v>
      </c>
      <c r="T177" s="117">
        <f>21118.72+13.25</f>
        <v>21131.97</v>
      </c>
      <c r="U177" s="117">
        <v>0</v>
      </c>
      <c r="V177" s="117"/>
      <c r="W177" s="26">
        <f>SUM(S177:V177)</f>
        <v>22328.370000000003</v>
      </c>
      <c r="X177" s="118">
        <f t="shared" si="102"/>
        <v>39.880000000000003</v>
      </c>
      <c r="Y177" s="119">
        <f>U177/P177</f>
        <v>0</v>
      </c>
      <c r="Z177" s="117">
        <f>P177-W177</f>
        <v>-10492.370000000003</v>
      </c>
      <c r="AA177" s="119">
        <f>Z177/P177</f>
        <v>-0.88647938492734057</v>
      </c>
      <c r="AB177" s="120">
        <f t="shared" si="108"/>
        <v>-22328.370000000003</v>
      </c>
      <c r="AC177" s="135">
        <f t="shared" si="109"/>
        <v>-0.88647938492734057</v>
      </c>
      <c r="AD177" s="110"/>
      <c r="AE177" s="110"/>
      <c r="AF177" s="110"/>
      <c r="AG177" s="121"/>
    </row>
    <row r="178" spans="1:33" ht="11.25" customHeight="1" outlineLevel="1" x14ac:dyDescent="0.15">
      <c r="A178" s="110" t="s">
        <v>127</v>
      </c>
      <c r="B178" s="110"/>
      <c r="C178" s="111" t="s">
        <v>58</v>
      </c>
      <c r="D178" s="111">
        <v>2020</v>
      </c>
      <c r="E178" s="146">
        <v>44165</v>
      </c>
      <c r="F178" s="17">
        <v>161768</v>
      </c>
      <c r="G178" s="17" t="s">
        <v>130</v>
      </c>
      <c r="H178" s="17"/>
      <c r="I178" s="17"/>
      <c r="J178" s="17"/>
      <c r="K178" s="112" t="s">
        <v>131</v>
      </c>
      <c r="L178" s="219"/>
      <c r="M178" s="219"/>
      <c r="N178" s="219"/>
      <c r="O178" s="119"/>
      <c r="P178" s="132">
        <v>7322</v>
      </c>
      <c r="Q178" s="111"/>
      <c r="R178" s="132"/>
      <c r="S178" s="132"/>
      <c r="T178" s="132"/>
      <c r="U178" s="132"/>
      <c r="V178" s="132"/>
      <c r="W178" s="67"/>
      <c r="X178" s="118" t="str">
        <f t="shared" si="102"/>
        <v/>
      </c>
      <c r="Y178" s="119"/>
      <c r="Z178" s="117"/>
      <c r="AA178" s="119"/>
      <c r="AB178" s="120">
        <f t="shared" si="108"/>
        <v>0</v>
      </c>
      <c r="AC178" s="135">
        <f t="shared" si="109"/>
        <v>0</v>
      </c>
      <c r="AD178" s="110"/>
      <c r="AE178" s="110"/>
      <c r="AF178" s="110"/>
      <c r="AG178" s="121"/>
    </row>
    <row r="179" spans="1:33" ht="11.25" customHeight="1" outlineLevel="1" x14ac:dyDescent="0.15">
      <c r="A179" s="110" t="s">
        <v>127</v>
      </c>
      <c r="B179" s="110"/>
      <c r="C179" s="111" t="s">
        <v>58</v>
      </c>
      <c r="D179" s="111">
        <v>2020</v>
      </c>
      <c r="E179" s="146">
        <v>44165</v>
      </c>
      <c r="F179" s="17">
        <v>161768</v>
      </c>
      <c r="G179" s="17" t="s">
        <v>132</v>
      </c>
      <c r="H179" s="17"/>
      <c r="I179" s="17"/>
      <c r="J179" s="17"/>
      <c r="K179" s="112" t="s">
        <v>133</v>
      </c>
      <c r="L179" s="120"/>
      <c r="M179" s="120"/>
      <c r="N179" s="120"/>
      <c r="O179" s="119"/>
      <c r="P179" s="117">
        <v>7650</v>
      </c>
      <c r="Q179" s="111"/>
      <c r="R179" s="117"/>
      <c r="S179" s="117"/>
      <c r="T179" s="117"/>
      <c r="U179" s="117"/>
      <c r="V179" s="117"/>
      <c r="X179" s="118" t="str">
        <f t="shared" si="102"/>
        <v/>
      </c>
      <c r="Y179" s="119"/>
      <c r="Z179" s="117"/>
      <c r="AA179" s="119"/>
      <c r="AB179" s="120">
        <f t="shared" si="108"/>
        <v>0</v>
      </c>
      <c r="AC179" s="135">
        <f t="shared" si="109"/>
        <v>0</v>
      </c>
      <c r="AD179" s="110"/>
      <c r="AE179" s="110"/>
      <c r="AF179" s="110"/>
      <c r="AG179" s="121"/>
    </row>
    <row r="180" spans="1:33" ht="11.25" customHeight="1" outlineLevel="1" x14ac:dyDescent="0.15">
      <c r="A180" s="110" t="s">
        <v>53</v>
      </c>
      <c r="B180" s="110"/>
      <c r="C180" s="111"/>
      <c r="D180" s="111">
        <v>2020</v>
      </c>
      <c r="E180" s="146">
        <v>44165</v>
      </c>
      <c r="F180" s="111"/>
      <c r="G180" s="111"/>
      <c r="H180" s="111"/>
      <c r="I180" s="111"/>
      <c r="J180" s="111"/>
      <c r="K180" s="112"/>
      <c r="L180" s="120"/>
      <c r="M180" s="120"/>
      <c r="N180" s="120"/>
      <c r="O180" s="119"/>
      <c r="P180" s="117"/>
      <c r="Q180" s="111"/>
      <c r="R180" s="117"/>
      <c r="S180" s="117"/>
      <c r="T180" s="117"/>
      <c r="U180" s="117"/>
      <c r="V180" s="117"/>
      <c r="X180" s="118" t="str">
        <f t="shared" si="102"/>
        <v/>
      </c>
      <c r="Y180" s="119"/>
      <c r="Z180" s="117"/>
      <c r="AA180" s="119"/>
      <c r="AB180" s="120"/>
      <c r="AC180" s="119"/>
      <c r="AD180" s="110"/>
      <c r="AE180" s="110"/>
      <c r="AF180" s="110"/>
      <c r="AG180" s="121"/>
    </row>
    <row r="181" spans="1:33" s="53" customFormat="1" ht="11.25" customHeight="1" outlineLevel="1" x14ac:dyDescent="0.15">
      <c r="A181" s="53" t="s">
        <v>127</v>
      </c>
      <c r="C181" s="54" t="s">
        <v>65</v>
      </c>
      <c r="D181" s="54">
        <v>2020</v>
      </c>
      <c r="E181" s="70">
        <v>44165</v>
      </c>
      <c r="F181" s="54"/>
      <c r="G181" s="54"/>
      <c r="H181" s="54"/>
      <c r="I181" s="54"/>
      <c r="J181" s="54"/>
      <c r="K181" s="106"/>
      <c r="L181" s="58"/>
      <c r="M181" s="58"/>
      <c r="N181" s="58"/>
      <c r="O181" s="57"/>
      <c r="P181" s="25">
        <f>SUM(P176:P179)</f>
        <v>399403</v>
      </c>
      <c r="Q181" s="111"/>
      <c r="R181" s="25">
        <f>SUM(R176:R179)</f>
        <v>459.5</v>
      </c>
      <c r="S181" s="25">
        <f>SUM(S176:S179)</f>
        <v>19416.670000000002</v>
      </c>
      <c r="T181" s="25">
        <f>SUM(T176:T179)</f>
        <v>31924.75</v>
      </c>
      <c r="U181" s="25">
        <f>SUM(U176:U179)</f>
        <v>113341.42000000001</v>
      </c>
      <c r="V181" s="117"/>
      <c r="W181" s="25">
        <f>SUM(S181:U181)</f>
        <v>164682.84000000003</v>
      </c>
      <c r="X181" s="118">
        <f t="shared" si="102"/>
        <v>42.256082698585423</v>
      </c>
      <c r="Y181" s="119">
        <f>U181/P181</f>
        <v>0.28377708730279944</v>
      </c>
      <c r="Z181" s="28">
        <f>P181-W181</f>
        <v>234720.15999999997</v>
      </c>
      <c r="AA181" s="57">
        <f>Z181/P181</f>
        <v>0.58767750868170743</v>
      </c>
      <c r="AB181" s="120">
        <f t="shared" ref="AB181:AB182" si="110">M181-W181</f>
        <v>-164682.84000000003</v>
      </c>
      <c r="AC181" s="135">
        <f t="shared" ref="AC181:AC182" si="111">AA181-O181</f>
        <v>0.58767750868170743</v>
      </c>
      <c r="AG181" s="61"/>
    </row>
    <row r="182" spans="1:33" s="53" customFormat="1" ht="11.25" customHeight="1" outlineLevel="1" x14ac:dyDescent="0.15">
      <c r="A182" s="53" t="s">
        <v>127</v>
      </c>
      <c r="C182" s="54" t="s">
        <v>66</v>
      </c>
      <c r="D182" s="54">
        <v>2020</v>
      </c>
      <c r="E182" s="70">
        <v>44165</v>
      </c>
      <c r="F182" s="54"/>
      <c r="G182" s="54"/>
      <c r="H182" s="54"/>
      <c r="I182" s="54"/>
      <c r="J182" s="54"/>
      <c r="K182" s="106"/>
      <c r="L182" s="93"/>
      <c r="M182" s="93"/>
      <c r="N182" s="93"/>
      <c r="O182" s="57">
        <f>((P166*O166)+(P168*O168)+(P172*O172)+(P173*O173)+(P174*O174))/P182</f>
        <v>0.55000000000000004</v>
      </c>
      <c r="P182" s="64">
        <f>P166+P168+P172+P173+P174</f>
        <v>330003</v>
      </c>
      <c r="Q182" s="111"/>
      <c r="R182" s="132">
        <f>R166+R168+R172+R173+R174</f>
        <v>203.5</v>
      </c>
      <c r="S182" s="132">
        <f>S166+S168+S172+S173+S174</f>
        <v>7702.4500000000007</v>
      </c>
      <c r="T182" s="132">
        <f>T166+T168+T172+T173+T174</f>
        <v>1500</v>
      </c>
      <c r="U182" s="132">
        <f>U166+U168+U172+U173+U174</f>
        <v>107827.97</v>
      </c>
      <c r="V182" s="132"/>
      <c r="W182" s="68">
        <f>W166+W168+W172+W173+W174</f>
        <v>117030.42000000001</v>
      </c>
      <c r="X182" s="118">
        <f t="shared" si="102"/>
        <v>37.849877149877152</v>
      </c>
      <c r="Y182" s="119">
        <f>U182/P182</f>
        <v>0.32674845380193512</v>
      </c>
      <c r="Z182" s="28">
        <f>Z166+Z168+Z172+Z173+Z174</f>
        <v>212972.58</v>
      </c>
      <c r="AA182" s="57">
        <f>Z182/P182</f>
        <v>0.64536558758556739</v>
      </c>
      <c r="AB182" s="120">
        <f t="shared" si="110"/>
        <v>-117030.42000000001</v>
      </c>
      <c r="AC182" s="135">
        <f t="shared" si="111"/>
        <v>9.5365587585567346E-2</v>
      </c>
      <c r="AG182" s="61"/>
    </row>
    <row r="183" spans="1:33" ht="11.25" customHeight="1" outlineLevel="1" x14ac:dyDescent="0.15">
      <c r="A183" s="124" t="s">
        <v>53</v>
      </c>
      <c r="B183" s="124"/>
      <c r="C183" s="124"/>
      <c r="D183" s="124"/>
      <c r="E183" s="273"/>
      <c r="F183" s="124"/>
      <c r="G183" s="124"/>
      <c r="H183" s="124"/>
      <c r="I183" s="124"/>
      <c r="J183" s="124"/>
      <c r="K183" s="125"/>
      <c r="L183" s="129"/>
      <c r="M183" s="129"/>
      <c r="N183" s="129"/>
      <c r="O183" s="128"/>
      <c r="P183" s="126"/>
      <c r="Q183" s="124"/>
      <c r="R183" s="126"/>
      <c r="S183" s="126"/>
      <c r="T183" s="126"/>
      <c r="U183" s="126"/>
      <c r="V183" s="126"/>
      <c r="W183" s="49"/>
      <c r="X183" s="127"/>
      <c r="Y183" s="128"/>
      <c r="Z183" s="126"/>
      <c r="AA183" s="128"/>
      <c r="AB183" s="129"/>
      <c r="AC183" s="128"/>
      <c r="AD183" s="130"/>
      <c r="AE183" s="110"/>
      <c r="AF183" s="110"/>
      <c r="AG183" s="121"/>
    </row>
    <row r="184" spans="1:33" ht="11.25" customHeight="1" outlineLevel="1" x14ac:dyDescent="0.15">
      <c r="A184" s="110" t="s">
        <v>134</v>
      </c>
      <c r="B184" s="110"/>
      <c r="C184" s="111" t="s">
        <v>37</v>
      </c>
      <c r="D184" s="111">
        <v>2020</v>
      </c>
      <c r="E184" s="146">
        <v>44196</v>
      </c>
      <c r="F184" s="111">
        <v>161809</v>
      </c>
      <c r="G184" s="133">
        <v>110051210</v>
      </c>
      <c r="H184" s="133"/>
      <c r="I184" s="16" t="str">
        <f>MID(G184,2,1)</f>
        <v>1</v>
      </c>
      <c r="J184" s="111" t="s">
        <v>39</v>
      </c>
      <c r="K184" s="112" t="s">
        <v>135</v>
      </c>
      <c r="L184" s="120"/>
      <c r="M184" s="120"/>
      <c r="N184" s="120"/>
      <c r="O184" s="119">
        <f>1-0.45</f>
        <v>0.55000000000000004</v>
      </c>
      <c r="P184" s="134">
        <v>32310.240000000002</v>
      </c>
      <c r="Q184" s="20">
        <v>1022</v>
      </c>
      <c r="R184" s="134">
        <f>13.5+18.5</f>
        <v>32</v>
      </c>
      <c r="S184" s="117">
        <v>1174.25</v>
      </c>
      <c r="T184" s="117"/>
      <c r="U184" s="134">
        <v>8913.85</v>
      </c>
      <c r="V184" s="117"/>
      <c r="W184" s="26">
        <f>SUM(S184:V184)</f>
        <v>10088.1</v>
      </c>
      <c r="X184" s="118">
        <f t="shared" ref="X184:X191" si="112">IFERROR(S184/R184,"")</f>
        <v>36.6953125</v>
      </c>
      <c r="Y184" s="119">
        <f>U184/P184</f>
        <v>0.27588312559733386</v>
      </c>
      <c r="Z184" s="117">
        <f>P184-W184</f>
        <v>22222.14</v>
      </c>
      <c r="AA184" s="119">
        <f>Z184/P184</f>
        <v>0.68777390697190732</v>
      </c>
      <c r="AB184" s="120">
        <f t="shared" ref="AB184:AB185" si="113">M184-W184</f>
        <v>-10088.1</v>
      </c>
      <c r="AC184" s="135">
        <f t="shared" ref="AC184:AC185" si="114">AA184-O184</f>
        <v>0.13777390697190728</v>
      </c>
      <c r="AD184" s="110"/>
      <c r="AE184" s="110"/>
      <c r="AF184" s="110"/>
      <c r="AG184" s="121"/>
    </row>
    <row r="185" spans="1:33" ht="11.25" customHeight="1" outlineLevel="1" x14ac:dyDescent="0.15">
      <c r="A185" s="110" t="s">
        <v>134</v>
      </c>
      <c r="B185" s="110"/>
      <c r="C185" s="111" t="s">
        <v>37</v>
      </c>
      <c r="D185" s="111">
        <v>2020</v>
      </c>
      <c r="E185" s="146">
        <v>44196</v>
      </c>
      <c r="F185" s="111">
        <v>161809</v>
      </c>
      <c r="G185" s="20">
        <v>220100210</v>
      </c>
      <c r="H185" s="20"/>
      <c r="I185" s="20"/>
      <c r="J185" s="20"/>
      <c r="K185" s="104" t="s">
        <v>136</v>
      </c>
      <c r="L185" s="219"/>
      <c r="M185" s="219"/>
      <c r="N185" s="219"/>
      <c r="O185" s="119">
        <f>1-0.45</f>
        <v>0.55000000000000004</v>
      </c>
      <c r="P185" s="226">
        <v>7576.76</v>
      </c>
      <c r="Q185" s="20">
        <v>1024</v>
      </c>
      <c r="R185" s="226">
        <f>0</f>
        <v>0</v>
      </c>
      <c r="S185" s="132"/>
      <c r="T185" s="132"/>
      <c r="U185" s="226">
        <v>4279.99</v>
      </c>
      <c r="V185" s="132"/>
      <c r="W185" s="67">
        <f>SUM(S185:V185)</f>
        <v>4279.99</v>
      </c>
      <c r="X185" s="118" t="str">
        <f t="shared" si="112"/>
        <v/>
      </c>
      <c r="Y185" s="119">
        <f>U185/P185</f>
        <v>0.5648839345577793</v>
      </c>
      <c r="Z185" s="117">
        <f>P185-W185</f>
        <v>3296.7700000000004</v>
      </c>
      <c r="AA185" s="119">
        <f>Z185/P185</f>
        <v>0.43511606544222076</v>
      </c>
      <c r="AB185" s="120">
        <f t="shared" si="113"/>
        <v>-4279.99</v>
      </c>
      <c r="AC185" s="135">
        <f t="shared" si="114"/>
        <v>-0.11488393455777929</v>
      </c>
      <c r="AD185" s="110"/>
      <c r="AE185" s="110"/>
      <c r="AF185" s="110"/>
      <c r="AG185" s="121"/>
    </row>
    <row r="186" spans="1:33" ht="11.25" customHeight="1" outlineLevel="1" x14ac:dyDescent="0.15">
      <c r="A186" s="110" t="s">
        <v>53</v>
      </c>
      <c r="B186" s="110"/>
      <c r="C186" s="111"/>
      <c r="D186" s="111">
        <v>2020</v>
      </c>
      <c r="E186" s="146">
        <v>44196</v>
      </c>
      <c r="F186" s="111"/>
      <c r="G186" s="133"/>
      <c r="H186" s="133"/>
      <c r="I186" s="133"/>
      <c r="J186" s="133"/>
      <c r="K186" s="112"/>
      <c r="L186" s="120"/>
      <c r="M186" s="120"/>
      <c r="N186" s="120"/>
      <c r="O186" s="119"/>
      <c r="P186" s="117"/>
      <c r="Q186" s="111"/>
      <c r="R186" s="117"/>
      <c r="S186" s="117"/>
      <c r="T186" s="117"/>
      <c r="U186" s="117"/>
      <c r="V186" s="117"/>
      <c r="X186" s="118" t="str">
        <f t="shared" si="112"/>
        <v/>
      </c>
      <c r="Y186" s="119"/>
      <c r="Z186" s="117"/>
      <c r="AA186" s="119"/>
      <c r="AB186" s="120"/>
      <c r="AC186" s="119"/>
      <c r="AD186" s="110"/>
      <c r="AE186" s="110"/>
      <c r="AF186" s="110"/>
      <c r="AG186" s="121"/>
    </row>
    <row r="187" spans="1:33" s="53" customFormat="1" ht="11.25" customHeight="1" outlineLevel="1" x14ac:dyDescent="0.15">
      <c r="A187" s="53" t="s">
        <v>134</v>
      </c>
      <c r="C187" s="54" t="s">
        <v>54</v>
      </c>
      <c r="D187" s="54">
        <v>2020</v>
      </c>
      <c r="E187" s="70">
        <v>44196</v>
      </c>
      <c r="F187" s="54"/>
      <c r="G187" s="199"/>
      <c r="H187" s="199"/>
      <c r="I187" s="199"/>
      <c r="J187" s="199"/>
      <c r="K187" s="106"/>
      <c r="L187" s="58"/>
      <c r="M187" s="58"/>
      <c r="N187" s="58"/>
      <c r="O187" s="57">
        <f>((P184*O184)+(P185*O185))/P187</f>
        <v>0.55000000000000004</v>
      </c>
      <c r="P187" s="25">
        <f>SUM(P184:P185)</f>
        <v>39887</v>
      </c>
      <c r="Q187" s="111"/>
      <c r="R187" s="25">
        <f>SUM(R184:R185)</f>
        <v>32</v>
      </c>
      <c r="S187" s="25">
        <f>SUM(S184:S185)</f>
        <v>1174.25</v>
      </c>
      <c r="T187" s="25">
        <f>SUM(T184:T185)</f>
        <v>0</v>
      </c>
      <c r="U187" s="25">
        <f>SUM(U184:U185)</f>
        <v>13193.84</v>
      </c>
      <c r="V187" s="117"/>
      <c r="W187" s="25">
        <f>SUM(W184:W185)</f>
        <v>14368.09</v>
      </c>
      <c r="X187" s="118">
        <f t="shared" si="112"/>
        <v>36.6953125</v>
      </c>
      <c r="Y187" s="119">
        <f>U187/P187</f>
        <v>0.33078045478476698</v>
      </c>
      <c r="Z187" s="28">
        <f>P187-W187</f>
        <v>25518.91</v>
      </c>
      <c r="AA187" s="57">
        <f>Z187/P187</f>
        <v>0.6397801288640409</v>
      </c>
      <c r="AB187" s="120">
        <f t="shared" ref="AB187:AB188" si="115">M187-W187</f>
        <v>-14368.09</v>
      </c>
      <c r="AC187" s="135">
        <f t="shared" ref="AC187:AC188" si="116">AA187-O187</f>
        <v>8.9780128864040853E-2</v>
      </c>
      <c r="AG187" s="61"/>
    </row>
    <row r="188" spans="1:33" ht="11.25" customHeight="1" outlineLevel="1" x14ac:dyDescent="0.15">
      <c r="A188" s="110" t="s">
        <v>134</v>
      </c>
      <c r="B188" s="110"/>
      <c r="C188" s="111" t="s">
        <v>55</v>
      </c>
      <c r="D188" s="111">
        <v>2020</v>
      </c>
      <c r="E188" s="146">
        <v>44196</v>
      </c>
      <c r="F188" s="111">
        <v>161809</v>
      </c>
      <c r="G188" s="111" t="s">
        <v>56</v>
      </c>
      <c r="H188" s="111"/>
      <c r="I188" s="111"/>
      <c r="J188" s="111"/>
      <c r="K188" s="112" t="s">
        <v>71</v>
      </c>
      <c r="L188" s="120"/>
      <c r="M188" s="120"/>
      <c r="N188" s="120"/>
      <c r="O188" s="119">
        <v>0</v>
      </c>
      <c r="P188" s="134">
        <v>3500</v>
      </c>
      <c r="Q188" s="20">
        <v>1023</v>
      </c>
      <c r="R188" s="134">
        <f>6</f>
        <v>6</v>
      </c>
      <c r="S188" s="117">
        <v>239.28</v>
      </c>
      <c r="T188" s="134">
        <v>2058.62</v>
      </c>
      <c r="U188" s="134"/>
      <c r="V188" s="117"/>
      <c r="W188" s="26">
        <f>SUM(S188:V188)</f>
        <v>2297.9</v>
      </c>
      <c r="X188" s="118">
        <f t="shared" si="112"/>
        <v>39.880000000000003</v>
      </c>
      <c r="Y188" s="119">
        <f>U188/P188</f>
        <v>0</v>
      </c>
      <c r="Z188" s="117">
        <f>P188-W188</f>
        <v>1202.0999999999999</v>
      </c>
      <c r="AA188" s="119">
        <f>Z188/P188</f>
        <v>0.34345714285714285</v>
      </c>
      <c r="AB188" s="120">
        <f t="shared" si="115"/>
        <v>-2297.9</v>
      </c>
      <c r="AC188" s="135">
        <f t="shared" si="116"/>
        <v>0.34345714285714285</v>
      </c>
      <c r="AD188" s="110"/>
      <c r="AE188" s="110"/>
      <c r="AF188" s="110"/>
      <c r="AG188" s="121"/>
    </row>
    <row r="189" spans="1:33" ht="11.25" customHeight="1" outlineLevel="1" x14ac:dyDescent="0.15">
      <c r="A189" s="110" t="s">
        <v>53</v>
      </c>
      <c r="B189" s="110"/>
      <c r="C189" s="111"/>
      <c r="D189" s="111">
        <v>2020</v>
      </c>
      <c r="E189" s="146">
        <v>44196</v>
      </c>
      <c r="F189" s="111"/>
      <c r="G189" s="133"/>
      <c r="H189" s="133"/>
      <c r="I189" s="133"/>
      <c r="J189" s="133"/>
      <c r="K189" s="112"/>
      <c r="L189" s="219"/>
      <c r="M189" s="219"/>
      <c r="N189" s="219"/>
      <c r="O189" s="119"/>
      <c r="P189" s="132"/>
      <c r="Q189" s="111"/>
      <c r="R189" s="132"/>
      <c r="S189" s="132"/>
      <c r="T189" s="132"/>
      <c r="U189" s="132"/>
      <c r="V189" s="132"/>
      <c r="W189" s="67"/>
      <c r="X189" s="118" t="str">
        <f t="shared" si="112"/>
        <v/>
      </c>
      <c r="Y189" s="119"/>
      <c r="Z189" s="117"/>
      <c r="AA189" s="119"/>
      <c r="AB189" s="120"/>
      <c r="AC189" s="119"/>
      <c r="AD189" s="110"/>
      <c r="AE189" s="110"/>
      <c r="AF189" s="110"/>
      <c r="AG189" s="121"/>
    </row>
    <row r="190" spans="1:33" s="53" customFormat="1" ht="11.25" customHeight="1" outlineLevel="1" x14ac:dyDescent="0.15">
      <c r="A190" s="53" t="s">
        <v>134</v>
      </c>
      <c r="C190" s="54" t="s">
        <v>65</v>
      </c>
      <c r="D190" s="54">
        <v>2020</v>
      </c>
      <c r="E190" s="70">
        <v>44196</v>
      </c>
      <c r="F190" s="54"/>
      <c r="G190" s="54"/>
      <c r="H190" s="54"/>
      <c r="I190" s="54"/>
      <c r="J190" s="54"/>
      <c r="K190" s="106"/>
      <c r="L190" s="58"/>
      <c r="M190" s="58"/>
      <c r="N190" s="58"/>
      <c r="O190" s="57">
        <v>0.55000000000000004</v>
      </c>
      <c r="P190" s="25">
        <f>SUM(P187:P188)</f>
        <v>43387</v>
      </c>
      <c r="Q190" s="111"/>
      <c r="R190" s="25">
        <f>SUM(R187:R188)</f>
        <v>38</v>
      </c>
      <c r="S190" s="25">
        <f>SUM(S187:S188)</f>
        <v>1413.53</v>
      </c>
      <c r="T190" s="25">
        <f>SUM(T187:T188)</f>
        <v>2058.62</v>
      </c>
      <c r="U190" s="25">
        <f>SUM(U187:U188)</f>
        <v>13193.84</v>
      </c>
      <c r="V190" s="117"/>
      <c r="W190" s="25">
        <f>SUM(S190:U190)</f>
        <v>16665.989999999998</v>
      </c>
      <c r="X190" s="118">
        <f t="shared" si="112"/>
        <v>37.198157894736845</v>
      </c>
      <c r="Y190" s="119">
        <f>U190/P190</f>
        <v>0.3040966188028672</v>
      </c>
      <c r="Z190" s="28">
        <f>P190-W190</f>
        <v>26721.010000000002</v>
      </c>
      <c r="AA190" s="57">
        <f>Z190/P190</f>
        <v>0.61587595362666236</v>
      </c>
      <c r="AB190" s="120">
        <f t="shared" ref="AB190:AB191" si="117">M190-W190</f>
        <v>-16665.989999999998</v>
      </c>
      <c r="AC190" s="135">
        <f t="shared" ref="AC190:AC191" si="118">AA190-O190</f>
        <v>6.587595362666232E-2</v>
      </c>
      <c r="AG190" s="61"/>
    </row>
    <row r="191" spans="1:33" s="53" customFormat="1" ht="11.25" customHeight="1" outlineLevel="1" x14ac:dyDescent="0.15">
      <c r="A191" s="53" t="s">
        <v>134</v>
      </c>
      <c r="C191" s="54" t="s">
        <v>66</v>
      </c>
      <c r="D191" s="54">
        <v>2020</v>
      </c>
      <c r="E191" s="70">
        <v>44196</v>
      </c>
      <c r="F191" s="54"/>
      <c r="G191" s="54"/>
      <c r="H191" s="54"/>
      <c r="I191" s="54"/>
      <c r="J191" s="54"/>
      <c r="K191" s="106"/>
      <c r="L191" s="58"/>
      <c r="M191" s="58"/>
      <c r="N191" s="58"/>
      <c r="O191" s="57">
        <f>((P184*O184)+(P185*O185))/P191</f>
        <v>0.55000000000000004</v>
      </c>
      <c r="P191" s="28">
        <f>SUM(P184:P185)</f>
        <v>39887</v>
      </c>
      <c r="Q191" s="111"/>
      <c r="R191" s="117">
        <f>SUM(R184:R185)</f>
        <v>32</v>
      </c>
      <c r="S191" s="117">
        <f>SUM(S184:S185)</f>
        <v>1174.25</v>
      </c>
      <c r="T191" s="117">
        <f>SUM(T184:T185)</f>
        <v>0</v>
      </c>
      <c r="U191" s="117">
        <f>SUM(U184:U185)</f>
        <v>13193.84</v>
      </c>
      <c r="V191" s="117"/>
      <c r="W191" s="62">
        <f>SUM(W184:W185)</f>
        <v>14368.09</v>
      </c>
      <c r="X191" s="118">
        <f t="shared" si="112"/>
        <v>36.6953125</v>
      </c>
      <c r="Y191" s="119">
        <f>U191/P191</f>
        <v>0.33078045478476698</v>
      </c>
      <c r="Z191" s="28">
        <f>SUM(Z184:Z185)</f>
        <v>25518.91</v>
      </c>
      <c r="AA191" s="57">
        <f>Z191/P191</f>
        <v>0.6397801288640409</v>
      </c>
      <c r="AB191" s="120">
        <f t="shared" si="117"/>
        <v>-14368.09</v>
      </c>
      <c r="AC191" s="135">
        <f t="shared" si="118"/>
        <v>8.9780128864040853E-2</v>
      </c>
      <c r="AG191" s="61"/>
    </row>
    <row r="192" spans="1:33" ht="11.25" customHeight="1" outlineLevel="1" x14ac:dyDescent="0.15">
      <c r="A192" s="124" t="s">
        <v>53</v>
      </c>
      <c r="B192" s="124"/>
      <c r="C192" s="124"/>
      <c r="D192" s="124"/>
      <c r="E192" s="273"/>
      <c r="F192" s="124"/>
      <c r="G192" s="124"/>
      <c r="H192" s="124"/>
      <c r="I192" s="124"/>
      <c r="J192" s="124"/>
      <c r="K192" s="125"/>
      <c r="L192" s="220"/>
      <c r="M192" s="220"/>
      <c r="N192" s="220"/>
      <c r="O192" s="128"/>
      <c r="P192" s="225"/>
      <c r="Q192" s="124"/>
      <c r="R192" s="225"/>
      <c r="S192" s="225"/>
      <c r="T192" s="225"/>
      <c r="U192" s="225"/>
      <c r="V192" s="225"/>
      <c r="W192" s="230"/>
      <c r="X192" s="127"/>
      <c r="Y192" s="128"/>
      <c r="Z192" s="126"/>
      <c r="AA192" s="128"/>
      <c r="AB192" s="129"/>
      <c r="AC192" s="128"/>
      <c r="AD192" s="130"/>
      <c r="AE192" s="110"/>
      <c r="AF192" s="110"/>
      <c r="AG192" s="121"/>
    </row>
    <row r="193" spans="1:33" ht="11.25" customHeight="1" outlineLevel="1" x14ac:dyDescent="0.15">
      <c r="A193" s="21" t="s">
        <v>137</v>
      </c>
      <c r="B193" s="21"/>
      <c r="C193" s="111" t="s">
        <v>37</v>
      </c>
      <c r="D193" s="111">
        <v>2020</v>
      </c>
      <c r="E193" s="146">
        <v>44196</v>
      </c>
      <c r="F193" s="111">
        <v>161810</v>
      </c>
      <c r="G193" s="111">
        <v>110121120</v>
      </c>
      <c r="H193" s="111"/>
      <c r="I193" s="16" t="str">
        <f>MID(G193,2,1)</f>
        <v>1</v>
      </c>
      <c r="J193" s="111" t="s">
        <v>39</v>
      </c>
      <c r="K193" s="105" t="s">
        <v>138</v>
      </c>
      <c r="L193" s="120"/>
      <c r="M193" s="120"/>
      <c r="N193" s="120"/>
      <c r="O193" s="119">
        <v>0.55000000000000004</v>
      </c>
      <c r="P193" s="30">
        <v>158139</v>
      </c>
      <c r="Q193" s="111">
        <v>954</v>
      </c>
      <c r="R193" s="117">
        <f>33.5+28+6</f>
        <v>67.5</v>
      </c>
      <c r="S193" s="117">
        <f>1743.9+784.9</f>
        <v>2528.8000000000002</v>
      </c>
      <c r="T193" s="117"/>
      <c r="U193" s="117">
        <v>22880.79</v>
      </c>
      <c r="V193" s="117"/>
      <c r="W193" s="26">
        <f t="shared" ref="W193:W205" si="119">SUM(S193:U193)</f>
        <v>25409.59</v>
      </c>
      <c r="X193" s="118">
        <f t="shared" ref="X193:X212" si="120">IFERROR(S193/R193,"")</f>
        <v>37.463703703703708</v>
      </c>
      <c r="Y193" s="119">
        <f t="shared" ref="Y193:Y205" si="121">U193/P193</f>
        <v>0.1446878379147459</v>
      </c>
      <c r="Z193" s="117">
        <f t="shared" ref="Z193:Z205" si="122">P193-W193</f>
        <v>132729.41</v>
      </c>
      <c r="AA193" s="119">
        <f t="shared" ref="AA193:AA205" si="123">Z193/P193</f>
        <v>0.83932116682159363</v>
      </c>
      <c r="AB193" s="120">
        <f t="shared" ref="AB193:AB205" si="124">M193-W193</f>
        <v>-25409.59</v>
      </c>
      <c r="AC193" s="135">
        <f t="shared" ref="AC193:AC205" si="125">AA193-O193</f>
        <v>0.28932116682159359</v>
      </c>
      <c r="AD193" s="110"/>
      <c r="AE193" s="110"/>
      <c r="AF193" s="110"/>
      <c r="AG193" s="121"/>
    </row>
    <row r="194" spans="1:33" ht="11.25" customHeight="1" outlineLevel="1" x14ac:dyDescent="0.15">
      <c r="A194" s="21" t="s">
        <v>137</v>
      </c>
      <c r="B194" s="21"/>
      <c r="C194" s="111" t="s">
        <v>47</v>
      </c>
      <c r="D194" s="111">
        <v>2020</v>
      </c>
      <c r="E194" s="146">
        <v>44196</v>
      </c>
      <c r="F194" s="111">
        <v>161810</v>
      </c>
      <c r="G194" s="111">
        <v>510121120</v>
      </c>
      <c r="H194" s="111"/>
      <c r="I194" s="111"/>
      <c r="J194" s="111"/>
      <c r="K194" s="105" t="s">
        <v>48</v>
      </c>
      <c r="L194" s="120"/>
      <c r="M194" s="120"/>
      <c r="N194" s="120"/>
      <c r="O194" s="119">
        <v>0.55000000000000004</v>
      </c>
      <c r="P194" s="30">
        <v>43875</v>
      </c>
      <c r="Q194" s="111">
        <v>955</v>
      </c>
      <c r="R194" s="117">
        <v>128</v>
      </c>
      <c r="S194" s="117">
        <f>3956.48+1780.48</f>
        <v>5736.96</v>
      </c>
      <c r="T194" s="117">
        <v>4882.8</v>
      </c>
      <c r="U194" s="117">
        <v>771.96</v>
      </c>
      <c r="V194" s="117"/>
      <c r="W194" s="26">
        <f t="shared" si="119"/>
        <v>11391.720000000001</v>
      </c>
      <c r="X194" s="118">
        <f t="shared" si="120"/>
        <v>44.82</v>
      </c>
      <c r="Y194" s="119">
        <f t="shared" si="121"/>
        <v>1.7594529914529915E-2</v>
      </c>
      <c r="Z194" s="117">
        <f t="shared" si="122"/>
        <v>32483.279999999999</v>
      </c>
      <c r="AA194" s="119">
        <f t="shared" si="123"/>
        <v>0.74035965811965809</v>
      </c>
      <c r="AB194" s="120">
        <f t="shared" si="124"/>
        <v>-11391.720000000001</v>
      </c>
      <c r="AC194" s="135">
        <f t="shared" si="125"/>
        <v>0.19035965811965805</v>
      </c>
      <c r="AD194" s="110"/>
      <c r="AE194" s="110"/>
      <c r="AF194" s="110"/>
      <c r="AG194" s="121"/>
    </row>
    <row r="195" spans="1:33" ht="11.25" customHeight="1" outlineLevel="1" x14ac:dyDescent="0.15">
      <c r="A195" s="21" t="s">
        <v>137</v>
      </c>
      <c r="B195" s="21"/>
      <c r="C195" s="111" t="s">
        <v>37</v>
      </c>
      <c r="D195" s="111">
        <v>2020</v>
      </c>
      <c r="E195" s="146">
        <v>44196</v>
      </c>
      <c r="F195" s="111">
        <v>161810</v>
      </c>
      <c r="G195" s="111">
        <v>910121320</v>
      </c>
      <c r="H195" s="111"/>
      <c r="I195" s="111"/>
      <c r="J195" s="111"/>
      <c r="K195" s="105" t="s">
        <v>139</v>
      </c>
      <c r="L195" s="120"/>
      <c r="M195" s="120"/>
      <c r="N195" s="120"/>
      <c r="O195" s="119">
        <v>0.55000000000000004</v>
      </c>
      <c r="P195" s="30">
        <v>43674</v>
      </c>
      <c r="Q195" s="111">
        <v>956</v>
      </c>
      <c r="R195" s="117">
        <v>3.5</v>
      </c>
      <c r="S195" s="117">
        <f>84.14+37.87</f>
        <v>122.00999999999999</v>
      </c>
      <c r="T195" s="117"/>
      <c r="U195" s="117">
        <v>9613.2099999999991</v>
      </c>
      <c r="V195" s="117"/>
      <c r="W195" s="26">
        <f t="shared" si="119"/>
        <v>9735.2199999999993</v>
      </c>
      <c r="X195" s="118">
        <f t="shared" si="120"/>
        <v>34.86</v>
      </c>
      <c r="Y195" s="119">
        <f t="shared" si="121"/>
        <v>0.22011288180610888</v>
      </c>
      <c r="Z195" s="117">
        <f t="shared" si="122"/>
        <v>33938.78</v>
      </c>
      <c r="AA195" s="119">
        <f t="shared" si="123"/>
        <v>0.77709346521958145</v>
      </c>
      <c r="AB195" s="120">
        <f t="shared" si="124"/>
        <v>-9735.2199999999993</v>
      </c>
      <c r="AC195" s="135">
        <f t="shared" si="125"/>
        <v>0.2270934652195814</v>
      </c>
      <c r="AD195" s="110"/>
      <c r="AE195" s="110"/>
      <c r="AF195" s="110"/>
      <c r="AG195" s="121"/>
    </row>
    <row r="196" spans="1:33" ht="11.25" customHeight="1" outlineLevel="1" x14ac:dyDescent="0.15">
      <c r="A196" s="21" t="s">
        <v>137</v>
      </c>
      <c r="B196" s="21"/>
      <c r="C196" s="111" t="s">
        <v>47</v>
      </c>
      <c r="D196" s="111">
        <v>2020</v>
      </c>
      <c r="E196" s="146">
        <v>44196</v>
      </c>
      <c r="F196" s="111">
        <v>161810</v>
      </c>
      <c r="G196" s="111">
        <v>510121220</v>
      </c>
      <c r="H196" s="111"/>
      <c r="I196" s="111"/>
      <c r="J196" s="111"/>
      <c r="K196" s="105" t="s">
        <v>48</v>
      </c>
      <c r="L196" s="219"/>
      <c r="M196" s="219"/>
      <c r="N196" s="219"/>
      <c r="O196" s="119">
        <v>0.55000000000000004</v>
      </c>
      <c r="P196" s="227">
        <v>7840</v>
      </c>
      <c r="Q196" s="111">
        <v>957</v>
      </c>
      <c r="R196" s="132">
        <v>1.5</v>
      </c>
      <c r="S196" s="132">
        <f>46.37+20.87</f>
        <v>67.239999999999995</v>
      </c>
      <c r="T196" s="132"/>
      <c r="U196" s="132">
        <v>178.51</v>
      </c>
      <c r="V196" s="132"/>
      <c r="W196" s="67">
        <f t="shared" si="119"/>
        <v>245.75</v>
      </c>
      <c r="X196" s="118">
        <f t="shared" si="120"/>
        <v>44.826666666666661</v>
      </c>
      <c r="Y196" s="119">
        <f t="shared" si="121"/>
        <v>2.2769132653061224E-2</v>
      </c>
      <c r="Z196" s="117">
        <f t="shared" si="122"/>
        <v>7594.25</v>
      </c>
      <c r="AA196" s="119">
        <f t="shared" si="123"/>
        <v>0.96865433673469392</v>
      </c>
      <c r="AB196" s="120">
        <f t="shared" si="124"/>
        <v>-245.75</v>
      </c>
      <c r="AC196" s="135">
        <f t="shared" si="125"/>
        <v>0.41865433673469388</v>
      </c>
      <c r="AD196" s="110"/>
      <c r="AE196" s="110"/>
      <c r="AF196" s="110"/>
      <c r="AG196" s="121"/>
    </row>
    <row r="197" spans="1:33" ht="11.25" customHeight="1" outlineLevel="1" x14ac:dyDescent="0.15">
      <c r="A197" s="21" t="s">
        <v>137</v>
      </c>
      <c r="B197" s="21"/>
      <c r="C197" s="111" t="s">
        <v>37</v>
      </c>
      <c r="D197" s="111">
        <v>2020</v>
      </c>
      <c r="E197" s="146">
        <v>44196</v>
      </c>
      <c r="F197" s="111">
        <v>161810</v>
      </c>
      <c r="G197" s="111">
        <v>940000310</v>
      </c>
      <c r="H197" s="111"/>
      <c r="I197" s="111"/>
      <c r="J197" s="111"/>
      <c r="K197" s="105" t="s">
        <v>140</v>
      </c>
      <c r="L197" s="120"/>
      <c r="M197" s="120"/>
      <c r="N197" s="120"/>
      <c r="O197" s="119">
        <v>0.55000000000000004</v>
      </c>
      <c r="P197" s="30">
        <v>43674</v>
      </c>
      <c r="Q197" s="111">
        <v>958</v>
      </c>
      <c r="R197" s="117"/>
      <c r="S197" s="117"/>
      <c r="T197" s="117"/>
      <c r="U197" s="117">
        <v>9574.31</v>
      </c>
      <c r="V197" s="117"/>
      <c r="W197" s="26">
        <f t="shared" si="119"/>
        <v>9574.31</v>
      </c>
      <c r="X197" s="118" t="str">
        <f t="shared" si="120"/>
        <v/>
      </c>
      <c r="Y197" s="119">
        <f t="shared" si="121"/>
        <v>0.21922219169299811</v>
      </c>
      <c r="Z197" s="117">
        <f t="shared" si="122"/>
        <v>34099.69</v>
      </c>
      <c r="AA197" s="119">
        <f t="shared" si="123"/>
        <v>0.78077780830700194</v>
      </c>
      <c r="AB197" s="120">
        <f t="shared" si="124"/>
        <v>-9574.31</v>
      </c>
      <c r="AC197" s="135">
        <f t="shared" si="125"/>
        <v>0.2307778083070019</v>
      </c>
      <c r="AD197" s="110"/>
      <c r="AE197" s="110"/>
      <c r="AF197" s="110"/>
      <c r="AG197" s="121"/>
    </row>
    <row r="198" spans="1:33" ht="11.25" customHeight="1" outlineLevel="1" x14ac:dyDescent="0.15">
      <c r="A198" s="21" t="s">
        <v>137</v>
      </c>
      <c r="B198" s="21"/>
      <c r="C198" s="111" t="s">
        <v>47</v>
      </c>
      <c r="D198" s="111">
        <v>2020</v>
      </c>
      <c r="E198" s="146">
        <v>44196</v>
      </c>
      <c r="F198" s="111">
        <v>161810</v>
      </c>
      <c r="G198" s="111">
        <v>540000210</v>
      </c>
      <c r="H198" s="111"/>
      <c r="I198" s="111"/>
      <c r="J198" s="111"/>
      <c r="K198" s="105" t="s">
        <v>48</v>
      </c>
      <c r="L198" s="120"/>
      <c r="M198" s="120"/>
      <c r="N198" s="120"/>
      <c r="O198" s="119">
        <v>0.55000000000000004</v>
      </c>
      <c r="P198" s="30">
        <v>7840</v>
      </c>
      <c r="Q198" s="111">
        <v>959</v>
      </c>
      <c r="R198" s="117">
        <v>83</v>
      </c>
      <c r="S198" s="117">
        <f>2565.53+1154.53</f>
        <v>3720.0600000000004</v>
      </c>
      <c r="T198" s="117">
        <v>4882.93</v>
      </c>
      <c r="U198" s="117">
        <v>108.58</v>
      </c>
      <c r="V198" s="117"/>
      <c r="W198" s="26">
        <f t="shared" si="119"/>
        <v>8711.5700000000015</v>
      </c>
      <c r="X198" s="118">
        <f t="shared" si="120"/>
        <v>44.820000000000007</v>
      </c>
      <c r="Y198" s="119">
        <f t="shared" si="121"/>
        <v>1.3849489795918367E-2</v>
      </c>
      <c r="Z198" s="117">
        <f t="shared" si="122"/>
        <v>-871.57000000000153</v>
      </c>
      <c r="AA198" s="119">
        <f t="shared" si="123"/>
        <v>-0.11116964285714305</v>
      </c>
      <c r="AB198" s="120">
        <f t="shared" si="124"/>
        <v>-8711.5700000000015</v>
      </c>
      <c r="AC198" s="135">
        <f t="shared" si="125"/>
        <v>-0.66116964285714308</v>
      </c>
      <c r="AD198" s="110"/>
      <c r="AE198" s="110"/>
      <c r="AF198" s="110"/>
      <c r="AG198" s="121"/>
    </row>
    <row r="199" spans="1:33" ht="11.25" customHeight="1" outlineLevel="1" x14ac:dyDescent="0.15">
      <c r="A199" s="21" t="s">
        <v>137</v>
      </c>
      <c r="B199" s="21"/>
      <c r="C199" s="111" t="s">
        <v>37</v>
      </c>
      <c r="D199" s="111">
        <v>2020</v>
      </c>
      <c r="E199" s="146">
        <v>44196</v>
      </c>
      <c r="F199" s="111">
        <v>161810</v>
      </c>
      <c r="G199" s="111">
        <v>925000320</v>
      </c>
      <c r="H199" s="111"/>
      <c r="I199" s="111"/>
      <c r="J199" s="111"/>
      <c r="K199" s="105" t="s">
        <v>141</v>
      </c>
      <c r="L199" s="219"/>
      <c r="M199" s="219"/>
      <c r="N199" s="219"/>
      <c r="O199" s="119">
        <v>0.55000000000000004</v>
      </c>
      <c r="P199" s="227">
        <v>43674</v>
      </c>
      <c r="Q199" s="111">
        <v>960</v>
      </c>
      <c r="R199" s="132"/>
      <c r="S199" s="132"/>
      <c r="T199" s="132"/>
      <c r="U199" s="132">
        <v>9623.6</v>
      </c>
      <c r="V199" s="132"/>
      <c r="W199" s="67">
        <f t="shared" si="119"/>
        <v>9623.6</v>
      </c>
      <c r="X199" s="118" t="str">
        <f t="shared" si="120"/>
        <v/>
      </c>
      <c r="Y199" s="119">
        <f t="shared" si="121"/>
        <v>0.22035078078490636</v>
      </c>
      <c r="Z199" s="117">
        <f t="shared" si="122"/>
        <v>34050.400000000001</v>
      </c>
      <c r="AA199" s="119">
        <f t="shared" si="123"/>
        <v>0.77964921921509367</v>
      </c>
      <c r="AB199" s="120">
        <f t="shared" si="124"/>
        <v>-9623.6</v>
      </c>
      <c r="AC199" s="135">
        <f t="shared" si="125"/>
        <v>0.22964921921509363</v>
      </c>
      <c r="AD199" s="110"/>
      <c r="AE199" s="110"/>
      <c r="AF199" s="110"/>
      <c r="AG199" s="121"/>
    </row>
    <row r="200" spans="1:33" ht="11.25" customHeight="1" outlineLevel="1" x14ac:dyDescent="0.15">
      <c r="A200" s="21" t="s">
        <v>137</v>
      </c>
      <c r="B200" s="21"/>
      <c r="C200" s="111" t="s">
        <v>47</v>
      </c>
      <c r="D200" s="111">
        <v>2020</v>
      </c>
      <c r="E200" s="146">
        <v>44196</v>
      </c>
      <c r="F200" s="111">
        <v>161810</v>
      </c>
      <c r="G200" s="111">
        <v>525000220</v>
      </c>
      <c r="H200" s="111"/>
      <c r="I200" s="111"/>
      <c r="J200" s="111"/>
      <c r="K200" s="105" t="s">
        <v>48</v>
      </c>
      <c r="L200" s="120"/>
      <c r="M200" s="120"/>
      <c r="N200" s="120"/>
      <c r="O200" s="119">
        <v>0.55000000000000004</v>
      </c>
      <c r="P200" s="30">
        <v>22230</v>
      </c>
      <c r="Q200" s="111">
        <v>961</v>
      </c>
      <c r="R200" s="117">
        <v>1.5</v>
      </c>
      <c r="S200" s="117">
        <f>46.37+20.87</f>
        <v>67.239999999999995</v>
      </c>
      <c r="T200" s="117"/>
      <c r="U200" s="117">
        <v>79.290000000000006</v>
      </c>
      <c r="V200" s="117"/>
      <c r="W200" s="26">
        <f t="shared" si="119"/>
        <v>146.53</v>
      </c>
      <c r="X200" s="118">
        <f t="shared" si="120"/>
        <v>44.826666666666661</v>
      </c>
      <c r="Y200" s="119">
        <f t="shared" si="121"/>
        <v>3.5668016194331988E-3</v>
      </c>
      <c r="Z200" s="117">
        <f t="shared" si="122"/>
        <v>22083.47</v>
      </c>
      <c r="AA200" s="119">
        <f t="shared" si="123"/>
        <v>0.993408457040036</v>
      </c>
      <c r="AB200" s="120">
        <f t="shared" si="124"/>
        <v>-146.53</v>
      </c>
      <c r="AC200" s="135">
        <f t="shared" si="125"/>
        <v>0.44340845704003595</v>
      </c>
      <c r="AD200" s="110"/>
      <c r="AE200" s="110"/>
      <c r="AF200" s="110"/>
      <c r="AG200" s="121"/>
    </row>
    <row r="201" spans="1:33" ht="11.25" customHeight="1" outlineLevel="1" x14ac:dyDescent="0.15">
      <c r="A201" s="21" t="s">
        <v>137</v>
      </c>
      <c r="B201" s="21"/>
      <c r="C201" s="111" t="s">
        <v>37</v>
      </c>
      <c r="D201" s="111">
        <v>2020</v>
      </c>
      <c r="E201" s="146">
        <v>44196</v>
      </c>
      <c r="F201" s="111">
        <v>161810</v>
      </c>
      <c r="G201" s="111">
        <v>310800200</v>
      </c>
      <c r="H201" s="111"/>
      <c r="I201" s="111"/>
      <c r="J201" s="111"/>
      <c r="K201" s="105" t="s">
        <v>142</v>
      </c>
      <c r="L201" s="120"/>
      <c r="M201" s="120"/>
      <c r="N201" s="120"/>
      <c r="O201" s="119">
        <v>0.55000000000000004</v>
      </c>
      <c r="P201" s="30">
        <v>63251</v>
      </c>
      <c r="Q201" s="111">
        <v>963</v>
      </c>
      <c r="R201" s="117">
        <v>12.75</v>
      </c>
      <c r="S201" s="117">
        <f>316.26+142.34</f>
        <v>458.6</v>
      </c>
      <c r="T201" s="117"/>
      <c r="U201" s="117">
        <v>7179.58</v>
      </c>
      <c r="V201" s="117"/>
      <c r="W201" s="26">
        <f t="shared" si="119"/>
        <v>7638.18</v>
      </c>
      <c r="X201" s="118">
        <f t="shared" si="120"/>
        <v>35.968627450980392</v>
      </c>
      <c r="Y201" s="119">
        <f t="shared" si="121"/>
        <v>0.11350935163080425</v>
      </c>
      <c r="Z201" s="117">
        <f t="shared" si="122"/>
        <v>55612.82</v>
      </c>
      <c r="AA201" s="119">
        <f t="shared" si="123"/>
        <v>0.87924017011588751</v>
      </c>
      <c r="AB201" s="120">
        <f t="shared" si="124"/>
        <v>-7638.18</v>
      </c>
      <c r="AC201" s="135">
        <f t="shared" si="125"/>
        <v>0.32924017011588746</v>
      </c>
      <c r="AD201" s="110"/>
      <c r="AE201" s="110"/>
      <c r="AF201" s="110"/>
      <c r="AG201" s="121"/>
    </row>
    <row r="202" spans="1:33" ht="11.25" customHeight="1" outlineLevel="1" x14ac:dyDescent="0.15">
      <c r="A202" s="21" t="s">
        <v>137</v>
      </c>
      <c r="B202" s="21"/>
      <c r="C202" s="111" t="s">
        <v>37</v>
      </c>
      <c r="D202" s="111">
        <v>2020</v>
      </c>
      <c r="E202" s="146">
        <v>44196</v>
      </c>
      <c r="F202" s="111">
        <v>161810</v>
      </c>
      <c r="G202" s="111">
        <v>910121220</v>
      </c>
      <c r="H202" s="111"/>
      <c r="I202" s="111"/>
      <c r="J202" s="111"/>
      <c r="K202" s="105" t="s">
        <v>139</v>
      </c>
      <c r="L202" s="219"/>
      <c r="M202" s="219"/>
      <c r="N202" s="219"/>
      <c r="O202" s="119">
        <v>0.55000000000000004</v>
      </c>
      <c r="P202" s="227">
        <v>10280</v>
      </c>
      <c r="Q202" s="111">
        <v>964</v>
      </c>
      <c r="R202" s="132">
        <v>1</v>
      </c>
      <c r="S202" s="132">
        <f>27.04+12.17</f>
        <v>39.21</v>
      </c>
      <c r="T202" s="132"/>
      <c r="U202" s="132">
        <v>5981.35</v>
      </c>
      <c r="V202" s="132"/>
      <c r="W202" s="67">
        <f t="shared" si="119"/>
        <v>6020.56</v>
      </c>
      <c r="X202" s="118">
        <f t="shared" si="120"/>
        <v>39.21</v>
      </c>
      <c r="Y202" s="119">
        <f t="shared" si="121"/>
        <v>0.5818433852140078</v>
      </c>
      <c r="Z202" s="117">
        <f t="shared" si="122"/>
        <v>4259.4399999999996</v>
      </c>
      <c r="AA202" s="119">
        <f t="shared" si="123"/>
        <v>0.41434241245136183</v>
      </c>
      <c r="AB202" s="120">
        <f t="shared" si="124"/>
        <v>-6020.56</v>
      </c>
      <c r="AC202" s="135">
        <f t="shared" si="125"/>
        <v>-0.13565758754863821</v>
      </c>
      <c r="AD202" s="110"/>
      <c r="AE202" s="110"/>
      <c r="AF202" s="110"/>
      <c r="AG202" s="121"/>
    </row>
    <row r="203" spans="1:33" ht="11.25" customHeight="1" outlineLevel="1" x14ac:dyDescent="0.15">
      <c r="A203" s="21" t="s">
        <v>137</v>
      </c>
      <c r="B203" s="21"/>
      <c r="C203" s="111" t="s">
        <v>47</v>
      </c>
      <c r="D203" s="111">
        <v>2020</v>
      </c>
      <c r="E203" s="146">
        <v>44196</v>
      </c>
      <c r="F203" s="111">
        <v>161810</v>
      </c>
      <c r="G203" s="111">
        <v>510120220</v>
      </c>
      <c r="H203" s="111"/>
      <c r="I203" s="111"/>
      <c r="J203" s="111"/>
      <c r="K203" s="105" t="s">
        <v>48</v>
      </c>
      <c r="L203" s="120"/>
      <c r="M203" s="120"/>
      <c r="N203" s="120"/>
      <c r="O203" s="119">
        <v>0.55000000000000004</v>
      </c>
      <c r="P203" s="30">
        <v>7843</v>
      </c>
      <c r="Q203" s="111">
        <v>965</v>
      </c>
      <c r="R203" s="117">
        <v>540.5</v>
      </c>
      <c r="S203" s="117">
        <f>16706.87+7518.37</f>
        <v>24225.239999999998</v>
      </c>
      <c r="T203" s="117">
        <v>23520.49</v>
      </c>
      <c r="U203" s="117">
        <v>3914.4</v>
      </c>
      <c r="V203" s="117"/>
      <c r="W203" s="26">
        <f t="shared" si="119"/>
        <v>51660.13</v>
      </c>
      <c r="X203" s="118">
        <f t="shared" si="120"/>
        <v>44.820055504162809</v>
      </c>
      <c r="Y203" s="119">
        <f t="shared" si="121"/>
        <v>0.49909473415784777</v>
      </c>
      <c r="Z203" s="117">
        <f t="shared" si="122"/>
        <v>-43817.13</v>
      </c>
      <c r="AA203" s="119">
        <f t="shared" si="123"/>
        <v>-5.5867818436822638</v>
      </c>
      <c r="AB203" s="120">
        <f t="shared" si="124"/>
        <v>-51660.13</v>
      </c>
      <c r="AC203" s="135">
        <f t="shared" si="125"/>
        <v>-6.1367818436822636</v>
      </c>
      <c r="AD203" s="110"/>
      <c r="AE203" s="110"/>
      <c r="AF203" s="110"/>
      <c r="AG203" s="121"/>
    </row>
    <row r="204" spans="1:33" ht="11.25" customHeight="1" outlineLevel="1" x14ac:dyDescent="0.15">
      <c r="A204" s="21" t="s">
        <v>137</v>
      </c>
      <c r="B204" s="21"/>
      <c r="C204" s="111" t="s">
        <v>37</v>
      </c>
      <c r="D204" s="111">
        <v>2020</v>
      </c>
      <c r="E204" s="146">
        <v>44196</v>
      </c>
      <c r="F204" s="111">
        <v>161810</v>
      </c>
      <c r="G204" s="111">
        <v>925001220</v>
      </c>
      <c r="H204" s="111"/>
      <c r="I204" s="111"/>
      <c r="J204" s="111"/>
      <c r="K204" s="105" t="s">
        <v>143</v>
      </c>
      <c r="L204" s="120"/>
      <c r="M204" s="120"/>
      <c r="N204" s="120"/>
      <c r="O204" s="119">
        <v>0.55000000000000004</v>
      </c>
      <c r="P204" s="30">
        <v>17280</v>
      </c>
      <c r="Q204" s="111">
        <v>967</v>
      </c>
      <c r="R204" s="117">
        <v>2</v>
      </c>
      <c r="S204" s="117">
        <f>54.08+24.34</f>
        <v>78.42</v>
      </c>
      <c r="T204" s="117"/>
      <c r="U204" s="117">
        <v>7659.66</v>
      </c>
      <c r="V204" s="117"/>
      <c r="W204" s="26">
        <f t="shared" si="119"/>
        <v>7738.08</v>
      </c>
      <c r="X204" s="118">
        <f t="shared" si="120"/>
        <v>39.21</v>
      </c>
      <c r="Y204" s="119">
        <f t="shared" si="121"/>
        <v>0.44326736111111109</v>
      </c>
      <c r="Z204" s="117">
        <f t="shared" si="122"/>
        <v>9541.92</v>
      </c>
      <c r="AA204" s="119">
        <f t="shared" si="123"/>
        <v>0.55219444444444443</v>
      </c>
      <c r="AB204" s="120">
        <f t="shared" si="124"/>
        <v>-7738.08</v>
      </c>
      <c r="AC204" s="135">
        <f t="shared" si="125"/>
        <v>2.1944444444443878E-3</v>
      </c>
      <c r="AD204" s="110"/>
      <c r="AE204" s="110"/>
      <c r="AF204" s="110"/>
      <c r="AG204" s="121"/>
    </row>
    <row r="205" spans="1:33" ht="11.25" customHeight="1" outlineLevel="1" x14ac:dyDescent="0.15">
      <c r="A205" s="21" t="s">
        <v>137</v>
      </c>
      <c r="B205" s="21"/>
      <c r="C205" s="111" t="s">
        <v>49</v>
      </c>
      <c r="D205" s="111">
        <v>2020</v>
      </c>
      <c r="E205" s="146">
        <v>44196</v>
      </c>
      <c r="F205" s="111">
        <v>161810</v>
      </c>
      <c r="G205" s="111">
        <v>616220120</v>
      </c>
      <c r="H205" s="111"/>
      <c r="I205" s="111"/>
      <c r="J205" s="111"/>
      <c r="K205" s="105" t="s">
        <v>144</v>
      </c>
      <c r="L205" s="219"/>
      <c r="M205" s="219"/>
      <c r="N205" s="219"/>
      <c r="O205" s="119">
        <v>0.47099999999999997</v>
      </c>
      <c r="P205" s="227">
        <v>6655</v>
      </c>
      <c r="Q205" s="111">
        <v>968</v>
      </c>
      <c r="R205" s="132">
        <v>56</v>
      </c>
      <c r="S205" s="132">
        <f>2199.68+990.08</f>
        <v>3189.7599999999998</v>
      </c>
      <c r="T205" s="132">
        <v>4523.3999999999996</v>
      </c>
      <c r="U205" s="132">
        <v>31.6</v>
      </c>
      <c r="V205" s="132"/>
      <c r="W205" s="67">
        <f t="shared" si="119"/>
        <v>7744.76</v>
      </c>
      <c r="X205" s="118">
        <f t="shared" si="120"/>
        <v>56.959999999999994</v>
      </c>
      <c r="Y205" s="119">
        <f t="shared" si="121"/>
        <v>4.7483095416979712E-3</v>
      </c>
      <c r="Z205" s="117">
        <f t="shared" si="122"/>
        <v>-1089.7600000000002</v>
      </c>
      <c r="AA205" s="119">
        <f t="shared" si="123"/>
        <v>-0.1637505634861007</v>
      </c>
      <c r="AB205" s="120">
        <f t="shared" si="124"/>
        <v>-7744.76</v>
      </c>
      <c r="AC205" s="135">
        <f t="shared" si="125"/>
        <v>-0.63475056348610071</v>
      </c>
      <c r="AD205" s="110"/>
      <c r="AE205" s="110"/>
      <c r="AF205" s="110"/>
      <c r="AG205" s="121"/>
    </row>
    <row r="206" spans="1:33" ht="11.25" customHeight="1" outlineLevel="1" x14ac:dyDescent="0.15">
      <c r="A206" s="110" t="s">
        <v>53</v>
      </c>
      <c r="B206" s="110"/>
      <c r="C206" s="111"/>
      <c r="D206" s="111">
        <v>2020</v>
      </c>
      <c r="E206" s="146">
        <v>44196</v>
      </c>
      <c r="F206" s="111"/>
      <c r="G206" s="111"/>
      <c r="H206" s="111"/>
      <c r="I206" s="111"/>
      <c r="J206" s="111"/>
      <c r="K206" s="112"/>
      <c r="L206" s="120"/>
      <c r="M206" s="120"/>
      <c r="N206" s="120"/>
      <c r="O206" s="119"/>
      <c r="P206" s="117"/>
      <c r="Q206" s="111"/>
      <c r="R206" s="117"/>
      <c r="S206" s="117"/>
      <c r="T206" s="117"/>
      <c r="U206" s="117"/>
      <c r="V206" s="117"/>
      <c r="X206" s="118" t="str">
        <f t="shared" si="120"/>
        <v/>
      </c>
      <c r="Y206" s="119"/>
      <c r="Z206" s="117"/>
      <c r="AA206" s="119"/>
      <c r="AB206" s="120"/>
      <c r="AC206" s="119"/>
      <c r="AD206" s="110"/>
      <c r="AE206" s="110"/>
      <c r="AF206" s="110"/>
      <c r="AG206" s="121"/>
    </row>
    <row r="207" spans="1:33" s="53" customFormat="1" ht="11.25" customHeight="1" outlineLevel="1" x14ac:dyDescent="0.15">
      <c r="A207" s="53" t="s">
        <v>53</v>
      </c>
      <c r="C207" s="54" t="s">
        <v>54</v>
      </c>
      <c r="D207" s="54">
        <v>2020</v>
      </c>
      <c r="E207" s="70">
        <v>44196</v>
      </c>
      <c r="F207" s="54"/>
      <c r="G207" s="54"/>
      <c r="H207" s="54"/>
      <c r="I207" s="54"/>
      <c r="J207" s="54"/>
      <c r="K207" s="106"/>
      <c r="L207" s="58"/>
      <c r="M207" s="58"/>
      <c r="N207" s="58"/>
      <c r="O207" s="57">
        <v>0.55000000000000004</v>
      </c>
      <c r="P207" s="24">
        <f>SUM(P193:P205)</f>
        <v>476255</v>
      </c>
      <c r="Q207" s="111"/>
      <c r="R207" s="24">
        <f>SUM(R193:R205)</f>
        <v>897.25</v>
      </c>
      <c r="S207" s="24">
        <f>SUM(S193:S205)</f>
        <v>40233.54</v>
      </c>
      <c r="T207" s="24">
        <f>SUM(T193:T205)</f>
        <v>37809.620000000003</v>
      </c>
      <c r="U207" s="24">
        <f>SUM(U193:U205)</f>
        <v>77596.840000000011</v>
      </c>
      <c r="V207" s="117"/>
      <c r="W207" s="25">
        <f>SUM(S207:U207)</f>
        <v>155640</v>
      </c>
      <c r="X207" s="118">
        <f t="shared" si="120"/>
        <v>44.84094733909167</v>
      </c>
      <c r="Y207" s="119">
        <f>U207/P207</f>
        <v>0.16293128681063718</v>
      </c>
      <c r="Z207" s="28">
        <f>P207-W207</f>
        <v>320615</v>
      </c>
      <c r="AA207" s="57">
        <f>Z207/P207</f>
        <v>0.67320028136187549</v>
      </c>
      <c r="AB207" s="58"/>
      <c r="AC207" s="57"/>
      <c r="AG207" s="61"/>
    </row>
    <row r="208" spans="1:33" ht="11.25" customHeight="1" outlineLevel="1" x14ac:dyDescent="0.15">
      <c r="A208" s="21" t="s">
        <v>137</v>
      </c>
      <c r="B208" s="21"/>
      <c r="C208" s="111" t="s">
        <v>55</v>
      </c>
      <c r="D208" s="111">
        <v>2020</v>
      </c>
      <c r="E208" s="146">
        <v>44196</v>
      </c>
      <c r="F208" s="111">
        <v>161810</v>
      </c>
      <c r="G208" s="111" t="s">
        <v>56</v>
      </c>
      <c r="H208" s="111"/>
      <c r="I208" s="111"/>
      <c r="J208" s="111"/>
      <c r="K208" s="112" t="s">
        <v>71</v>
      </c>
      <c r="L208" s="120"/>
      <c r="M208" s="120"/>
      <c r="N208" s="120"/>
      <c r="O208" s="119">
        <v>0</v>
      </c>
      <c r="P208" s="117">
        <v>7840</v>
      </c>
      <c r="Q208" s="111">
        <v>962</v>
      </c>
      <c r="R208" s="117">
        <v>55.5</v>
      </c>
      <c r="S208" s="117">
        <f>1526.25+687.09</f>
        <v>2213.34</v>
      </c>
      <c r="T208" s="117">
        <v>13923.54</v>
      </c>
      <c r="U208" s="117">
        <v>174.56</v>
      </c>
      <c r="V208" s="117"/>
      <c r="W208" s="26">
        <f>SUM(S208:U208)</f>
        <v>16311.44</v>
      </c>
      <c r="X208" s="118">
        <f t="shared" si="120"/>
        <v>39.880000000000003</v>
      </c>
      <c r="Y208" s="119">
        <f>U208/P208</f>
        <v>2.226530612244898E-2</v>
      </c>
      <c r="Z208" s="117">
        <f>P208-W208</f>
        <v>-8471.44</v>
      </c>
      <c r="AA208" s="119">
        <f>Z208/P208</f>
        <v>-1.0805408163265307</v>
      </c>
      <c r="AB208" s="120">
        <f t="shared" ref="AB208:AB209" si="126">M208-W208</f>
        <v>-16311.44</v>
      </c>
      <c r="AC208" s="135">
        <f t="shared" ref="AC208:AC209" si="127">AA208-O208</f>
        <v>-1.0805408163265307</v>
      </c>
      <c r="AD208" s="110"/>
      <c r="AE208" s="110"/>
      <c r="AF208" s="110"/>
      <c r="AG208" s="121"/>
    </row>
    <row r="209" spans="1:33" ht="11.25" customHeight="1" outlineLevel="1" x14ac:dyDescent="0.15">
      <c r="A209" s="21" t="s">
        <v>137</v>
      </c>
      <c r="B209" s="21"/>
      <c r="C209" s="111" t="s">
        <v>61</v>
      </c>
      <c r="D209" s="111">
        <v>2020</v>
      </c>
      <c r="E209" s="146">
        <v>44196</v>
      </c>
      <c r="F209" s="111">
        <v>161810</v>
      </c>
      <c r="G209" s="17">
        <v>811110110</v>
      </c>
      <c r="H209" s="17"/>
      <c r="I209" s="111" t="str">
        <f>MID(G209,2,1)</f>
        <v>1</v>
      </c>
      <c r="J209" s="111" t="str">
        <f>IF(I209="1","Small/Medium","Large")</f>
        <v>Small/Medium</v>
      </c>
      <c r="K209" s="105" t="s">
        <v>145</v>
      </c>
      <c r="L209" s="219"/>
      <c r="M209" s="219"/>
      <c r="N209" s="219"/>
      <c r="O209" s="119"/>
      <c r="P209" s="132">
        <v>25600</v>
      </c>
      <c r="Q209" s="111"/>
      <c r="R209" s="132"/>
      <c r="S209" s="132"/>
      <c r="T209" s="132"/>
      <c r="U209" s="132"/>
      <c r="V209" s="132"/>
      <c r="W209" s="67"/>
      <c r="X209" s="118" t="str">
        <f t="shared" si="120"/>
        <v/>
      </c>
      <c r="Y209" s="119"/>
      <c r="Z209" s="117"/>
      <c r="AA209" s="119"/>
      <c r="AB209" s="120">
        <f t="shared" si="126"/>
        <v>0</v>
      </c>
      <c r="AC209" s="135">
        <f t="shared" si="127"/>
        <v>0</v>
      </c>
      <c r="AD209" s="110"/>
      <c r="AE209" s="110"/>
      <c r="AF209" s="110"/>
      <c r="AG209" s="121"/>
    </row>
    <row r="210" spans="1:33" ht="11.25" customHeight="1" outlineLevel="1" x14ac:dyDescent="0.15">
      <c r="A210" s="110" t="s">
        <v>53</v>
      </c>
      <c r="B210" s="110"/>
      <c r="C210" s="111"/>
      <c r="D210" s="111">
        <v>2020</v>
      </c>
      <c r="E210" s="146">
        <v>44196</v>
      </c>
      <c r="F210" s="111"/>
      <c r="G210" s="111"/>
      <c r="H210" s="111"/>
      <c r="I210" s="111"/>
      <c r="J210" s="111"/>
      <c r="K210" s="112"/>
      <c r="L210" s="120"/>
      <c r="M210" s="120"/>
      <c r="N210" s="120"/>
      <c r="O210" s="119"/>
      <c r="P210" s="117"/>
      <c r="Q210" s="111"/>
      <c r="R210" s="117"/>
      <c r="S210" s="117"/>
      <c r="T210" s="117"/>
      <c r="U210" s="117"/>
      <c r="V210" s="117"/>
      <c r="X210" s="118" t="str">
        <f t="shared" si="120"/>
        <v/>
      </c>
      <c r="Y210" s="119"/>
      <c r="Z210" s="117"/>
      <c r="AA210" s="119"/>
      <c r="AB210" s="120"/>
      <c r="AC210" s="119"/>
      <c r="AD210" s="110"/>
      <c r="AE210" s="110"/>
      <c r="AF210" s="110"/>
      <c r="AG210" s="121"/>
    </row>
    <row r="211" spans="1:33" s="53" customFormat="1" ht="11.25" customHeight="1" outlineLevel="1" x14ac:dyDescent="0.15">
      <c r="A211" s="200" t="s">
        <v>137</v>
      </c>
      <c r="B211" s="200"/>
      <c r="C211" s="54" t="s">
        <v>65</v>
      </c>
      <c r="D211" s="54">
        <v>2020</v>
      </c>
      <c r="E211" s="70">
        <v>44196</v>
      </c>
      <c r="F211" s="54"/>
      <c r="G211" s="54"/>
      <c r="H211" s="54"/>
      <c r="I211" s="54"/>
      <c r="J211" s="54"/>
      <c r="K211" s="106"/>
      <c r="L211" s="58"/>
      <c r="M211" s="58"/>
      <c r="N211" s="58"/>
      <c r="O211" s="57"/>
      <c r="P211" s="24">
        <f>SUM(P207:P209)</f>
        <v>509695</v>
      </c>
      <c r="Q211" s="111"/>
      <c r="R211" s="24">
        <f>SUM(R207:R209)</f>
        <v>952.75</v>
      </c>
      <c r="S211" s="24">
        <f>SUM(S207:S209)</f>
        <v>42446.880000000005</v>
      </c>
      <c r="T211" s="24">
        <f>SUM(T207:T209)</f>
        <v>51733.16</v>
      </c>
      <c r="U211" s="24">
        <f>SUM(U207:U209)</f>
        <v>77771.400000000009</v>
      </c>
      <c r="V211" s="117"/>
      <c r="W211" s="25">
        <f>SUM(S211:U211)</f>
        <v>171951.44</v>
      </c>
      <c r="X211" s="118">
        <f t="shared" si="120"/>
        <v>44.551960115455266</v>
      </c>
      <c r="Y211" s="119">
        <f>U211/P211</f>
        <v>0.15258419250728378</v>
      </c>
      <c r="Z211" s="28">
        <f>P211-W211</f>
        <v>337743.56</v>
      </c>
      <c r="AA211" s="57">
        <f>Z211/P211</f>
        <v>0.66263855835352514</v>
      </c>
      <c r="AB211" s="120">
        <f t="shared" ref="AB211:AB213" si="128">M211-W211</f>
        <v>-171951.44</v>
      </c>
      <c r="AC211" s="135">
        <f t="shared" ref="AC211:AC213" si="129">AA211-O211</f>
        <v>0.66263855835352514</v>
      </c>
      <c r="AG211" s="61"/>
    </row>
    <row r="212" spans="1:33" s="53" customFormat="1" ht="11.25" customHeight="1" outlineLevel="1" x14ac:dyDescent="0.15">
      <c r="A212" s="200" t="s">
        <v>137</v>
      </c>
      <c r="B212" s="200"/>
      <c r="C212" s="54" t="s">
        <v>66</v>
      </c>
      <c r="D212" s="54">
        <v>2020</v>
      </c>
      <c r="E212" s="70">
        <v>44196</v>
      </c>
      <c r="F212" s="54"/>
      <c r="G212" s="54"/>
      <c r="H212" s="54"/>
      <c r="I212" s="54"/>
      <c r="J212" s="54"/>
      <c r="K212" s="106"/>
      <c r="L212" s="93"/>
      <c r="M212" s="93"/>
      <c r="N212" s="93"/>
      <c r="O212" s="57">
        <f>((P193*O193)+(P195*O195)+(P197*O197)+(P199*O199)+(P201*O201)+(P202*O202)+(P204*O204))/P212</f>
        <v>0.55000000000000004</v>
      </c>
      <c r="P212" s="64">
        <f>SUM(P193,P195,P197,P199,P201,P202,P204)</f>
        <v>379972</v>
      </c>
      <c r="Q212" s="111"/>
      <c r="R212" s="132">
        <f>SUM(R193,R195,R197,R199,R201,R202,R204)</f>
        <v>86.75</v>
      </c>
      <c r="S212" s="132">
        <f>SUM(S193,S195,S197,S199,S201,S202,S204)</f>
        <v>3227.0400000000004</v>
      </c>
      <c r="T212" s="132">
        <f>SUM(T193,T195,T197,T199,T201,T202,T204)</f>
        <v>0</v>
      </c>
      <c r="U212" s="132">
        <f>SUM(U193,U195,U197,U199,U201,U202,U204)</f>
        <v>72512.5</v>
      </c>
      <c r="V212" s="132"/>
      <c r="W212" s="68">
        <f>SUM(W193,W195,W197,W199,W201,W202,W204)</f>
        <v>75739.539999999994</v>
      </c>
      <c r="X212" s="118">
        <f t="shared" si="120"/>
        <v>37.199308357348706</v>
      </c>
      <c r="Y212" s="119">
        <f>U212/P212</f>
        <v>0.19083643005274073</v>
      </c>
      <c r="Z212" s="28">
        <f>SUM(Z193,Z195,Z197,Z199,Z201,Z202,Z204)</f>
        <v>304232.45999999996</v>
      </c>
      <c r="AA212" s="57">
        <f>Z212/P212</f>
        <v>0.80067073363300445</v>
      </c>
      <c r="AB212" s="120">
        <f t="shared" si="128"/>
        <v>-75739.539999999994</v>
      </c>
      <c r="AC212" s="135">
        <f t="shared" si="129"/>
        <v>0.25067073363300441</v>
      </c>
      <c r="AG212" s="61"/>
    </row>
    <row r="213" spans="1:33" ht="11.25" customHeight="1" x14ac:dyDescent="0.15">
      <c r="A213" s="124" t="s">
        <v>146</v>
      </c>
      <c r="B213" s="124"/>
      <c r="C213" s="124"/>
      <c r="D213" s="124"/>
      <c r="E213" s="273"/>
      <c r="F213" s="124"/>
      <c r="G213" s="124"/>
      <c r="H213" s="124"/>
      <c r="I213" s="124"/>
      <c r="J213" s="124"/>
      <c r="K213" s="125"/>
      <c r="L213" s="129"/>
      <c r="M213" s="129"/>
      <c r="N213" s="129"/>
      <c r="O213" s="128"/>
      <c r="P213" s="129"/>
      <c r="Q213" s="124"/>
      <c r="R213" s="129"/>
      <c r="S213" s="129"/>
      <c r="T213" s="129"/>
      <c r="U213" s="129"/>
      <c r="V213" s="126"/>
      <c r="W213" s="49"/>
      <c r="X213" s="127"/>
      <c r="Y213" s="128"/>
      <c r="Z213" s="126"/>
      <c r="AA213" s="128"/>
      <c r="AB213" s="120">
        <f t="shared" si="128"/>
        <v>0</v>
      </c>
      <c r="AC213" s="135">
        <f t="shared" si="129"/>
        <v>0</v>
      </c>
      <c r="AD213" s="137"/>
      <c r="AE213" s="110"/>
      <c r="AF213" s="110"/>
      <c r="AG213" s="121"/>
    </row>
    <row r="214" spans="1:33" ht="11.25" customHeight="1" x14ac:dyDescent="0.15">
      <c r="A214" s="110" t="s">
        <v>53</v>
      </c>
      <c r="B214" s="110"/>
      <c r="C214" s="110"/>
      <c r="D214" s="111">
        <v>2020</v>
      </c>
      <c r="E214" s="146">
        <v>44196</v>
      </c>
      <c r="F214" s="111"/>
      <c r="G214" s="110"/>
      <c r="H214" s="110"/>
      <c r="I214" s="110"/>
      <c r="J214" s="110"/>
      <c r="K214" s="112"/>
      <c r="L214" s="120"/>
      <c r="M214" s="120"/>
      <c r="N214" s="120"/>
      <c r="O214" s="119"/>
      <c r="P214" s="117"/>
      <c r="Q214" s="110"/>
      <c r="R214" s="117"/>
      <c r="S214" s="117"/>
      <c r="T214" s="117"/>
      <c r="U214" s="117"/>
      <c r="V214" s="117"/>
      <c r="X214" s="118" t="str">
        <f t="shared" ref="X214:X226" si="130">IFERROR(S214/R214,"")</f>
        <v/>
      </c>
      <c r="Y214" s="119"/>
      <c r="Z214" s="117"/>
      <c r="AA214" s="119"/>
      <c r="AB214" s="120"/>
      <c r="AC214" s="119"/>
      <c r="AD214" s="110"/>
      <c r="AE214" s="110"/>
      <c r="AF214" s="110"/>
      <c r="AG214" s="121"/>
    </row>
    <row r="215" spans="1:33" ht="11.25" customHeight="1" x14ac:dyDescent="0.15">
      <c r="A215" s="110" t="s">
        <v>147</v>
      </c>
      <c r="B215" s="110"/>
      <c r="C215" s="111" t="s">
        <v>37</v>
      </c>
      <c r="D215" s="111">
        <v>2020</v>
      </c>
      <c r="E215" s="146">
        <v>43861</v>
      </c>
      <c r="F215" s="111">
        <v>161957</v>
      </c>
      <c r="G215" s="20">
        <v>115100120</v>
      </c>
      <c r="H215" s="20"/>
      <c r="I215" s="16" t="str">
        <f>MID(G215,2,1)</f>
        <v>1</v>
      </c>
      <c r="J215" s="111" t="s">
        <v>39</v>
      </c>
      <c r="K215" s="104" t="s">
        <v>148</v>
      </c>
      <c r="L215" s="120"/>
      <c r="M215" s="120"/>
      <c r="N215" s="120"/>
      <c r="O215" s="135">
        <f>1-0.45</f>
        <v>0.55000000000000004</v>
      </c>
      <c r="P215" s="134">
        <v>120642</v>
      </c>
      <c r="Q215" s="20">
        <v>1044</v>
      </c>
      <c r="R215" s="134">
        <v>72.5</v>
      </c>
      <c r="S215" s="134">
        <f>1800.95+810.59</f>
        <v>2611.54</v>
      </c>
      <c r="T215" s="134"/>
      <c r="U215" s="134">
        <v>26890.45</v>
      </c>
      <c r="V215" s="134"/>
      <c r="W215" s="34">
        <f>SUM(S215:U215)</f>
        <v>29501.99</v>
      </c>
      <c r="X215" s="118">
        <f t="shared" si="130"/>
        <v>36.021241379310347</v>
      </c>
      <c r="Y215" s="135">
        <f>U215/P215</f>
        <v>0.22289459723810945</v>
      </c>
      <c r="Z215" s="134">
        <f>P215-W215</f>
        <v>91140.01</v>
      </c>
      <c r="AA215" s="135">
        <f>Z215/P215</f>
        <v>0.75545838099500995</v>
      </c>
      <c r="AB215" s="120">
        <f t="shared" ref="AB215:AB219" si="131">M215-W215</f>
        <v>-29501.99</v>
      </c>
      <c r="AC215" s="135">
        <f t="shared" ref="AC215:AC219" si="132">AA215-O215</f>
        <v>0.2054583809950099</v>
      </c>
      <c r="AD215" s="110"/>
      <c r="AE215" s="110"/>
      <c r="AF215" s="110"/>
      <c r="AG215" s="121"/>
    </row>
    <row r="216" spans="1:33" ht="11.25" customHeight="1" x14ac:dyDescent="0.15">
      <c r="A216" s="110" t="s">
        <v>147</v>
      </c>
      <c r="B216" s="110"/>
      <c r="C216" s="111" t="s">
        <v>37</v>
      </c>
      <c r="D216" s="111">
        <v>2020</v>
      </c>
      <c r="E216" s="146">
        <v>43861</v>
      </c>
      <c r="F216" s="111">
        <v>161957</v>
      </c>
      <c r="G216" s="20">
        <v>925100420</v>
      </c>
      <c r="H216" s="20"/>
      <c r="I216" s="20"/>
      <c r="J216" s="20"/>
      <c r="K216" s="104" t="s">
        <v>149</v>
      </c>
      <c r="L216" s="120"/>
      <c r="M216" s="120"/>
      <c r="N216" s="120"/>
      <c r="O216" s="135">
        <f>1-0.45</f>
        <v>0.55000000000000004</v>
      </c>
      <c r="P216" s="134">
        <v>13840</v>
      </c>
      <c r="Q216" s="20">
        <v>1045</v>
      </c>
      <c r="R216" s="134"/>
      <c r="S216" s="134"/>
      <c r="T216" s="134"/>
      <c r="U216" s="134">
        <v>1440.47</v>
      </c>
      <c r="V216" s="134"/>
      <c r="W216" s="34">
        <f>SUM(S216:U216)</f>
        <v>1440.47</v>
      </c>
      <c r="X216" s="118" t="str">
        <f t="shared" si="130"/>
        <v/>
      </c>
      <c r="Y216" s="135">
        <f>U216/P216</f>
        <v>0.10408020231213873</v>
      </c>
      <c r="Z216" s="134">
        <f>P216-W216</f>
        <v>12399.53</v>
      </c>
      <c r="AA216" s="135">
        <f>Z216/P216</f>
        <v>0.89591979768786134</v>
      </c>
      <c r="AB216" s="120">
        <f t="shared" si="131"/>
        <v>-1440.47</v>
      </c>
      <c r="AC216" s="135">
        <f t="shared" si="132"/>
        <v>0.3459197976878613</v>
      </c>
      <c r="AD216" s="110"/>
      <c r="AE216" s="110"/>
      <c r="AF216" s="110"/>
      <c r="AG216" s="121"/>
    </row>
    <row r="217" spans="1:33" ht="11.25" customHeight="1" x14ac:dyDescent="0.15">
      <c r="A217" s="110" t="s">
        <v>147</v>
      </c>
      <c r="B217" s="110"/>
      <c r="C217" s="111" t="s">
        <v>37</v>
      </c>
      <c r="D217" s="111">
        <v>2020</v>
      </c>
      <c r="E217" s="146">
        <v>43861</v>
      </c>
      <c r="F217" s="111">
        <v>161957</v>
      </c>
      <c r="G217" s="20">
        <v>310800200</v>
      </c>
      <c r="H217" s="20"/>
      <c r="I217" s="20"/>
      <c r="J217" s="20"/>
      <c r="K217" s="104" t="s">
        <v>142</v>
      </c>
      <c r="L217" s="120"/>
      <c r="M217" s="120"/>
      <c r="N217" s="120"/>
      <c r="O217" s="135">
        <f>1-0.45</f>
        <v>0.55000000000000004</v>
      </c>
      <c r="P217" s="134">
        <v>34334</v>
      </c>
      <c r="Q217" s="20">
        <v>1046</v>
      </c>
      <c r="R217" s="134">
        <v>27</v>
      </c>
      <c r="S217" s="134">
        <f>667.08+300.25</f>
        <v>967.33</v>
      </c>
      <c r="T217" s="134"/>
      <c r="U217" s="134">
        <v>11489.79</v>
      </c>
      <c r="V217" s="134"/>
      <c r="W217" s="34">
        <f>SUM(S217:U217)</f>
        <v>12457.12</v>
      </c>
      <c r="X217" s="118">
        <f t="shared" si="130"/>
        <v>35.827037037037037</v>
      </c>
      <c r="Y217" s="135">
        <f>U217/P217</f>
        <v>0.33464757965864744</v>
      </c>
      <c r="Z217" s="134">
        <f>P217-W217</f>
        <v>21876.879999999997</v>
      </c>
      <c r="AA217" s="135">
        <f>Z217/P217</f>
        <v>0.63717830721733548</v>
      </c>
      <c r="AB217" s="120">
        <f t="shared" si="131"/>
        <v>-12457.12</v>
      </c>
      <c r="AC217" s="135">
        <f t="shared" si="132"/>
        <v>8.7178307217335438E-2</v>
      </c>
      <c r="AD217" s="110"/>
      <c r="AE217" s="110"/>
      <c r="AF217" s="110"/>
      <c r="AG217" s="121"/>
    </row>
    <row r="218" spans="1:33" ht="11.25" customHeight="1" x14ac:dyDescent="0.15">
      <c r="A218" s="110" t="s">
        <v>147</v>
      </c>
      <c r="B218" s="110"/>
      <c r="C218" s="111" t="s">
        <v>47</v>
      </c>
      <c r="D218" s="111">
        <v>2020</v>
      </c>
      <c r="E218" s="146">
        <v>43861</v>
      </c>
      <c r="F218" s="111">
        <v>161957</v>
      </c>
      <c r="G218" s="20">
        <v>515100120</v>
      </c>
      <c r="H218" s="20"/>
      <c r="I218" s="20"/>
      <c r="J218" s="20"/>
      <c r="K218" s="104" t="s">
        <v>48</v>
      </c>
      <c r="L218" s="120"/>
      <c r="M218" s="120"/>
      <c r="N218" s="120"/>
      <c r="O218" s="135">
        <f>1-0.45</f>
        <v>0.55000000000000004</v>
      </c>
      <c r="P218" s="134">
        <v>38250</v>
      </c>
      <c r="Q218" s="20">
        <v>1047</v>
      </c>
      <c r="R218" s="134">
        <v>57.5</v>
      </c>
      <c r="S218" s="134">
        <f>1777.33+799.83</f>
        <v>2577.16</v>
      </c>
      <c r="T218" s="134">
        <v>5516.15</v>
      </c>
      <c r="U218" s="134">
        <v>3728.23</v>
      </c>
      <c r="V218" s="134"/>
      <c r="W218" s="34">
        <f>SUM(S218:U218)</f>
        <v>11821.539999999999</v>
      </c>
      <c r="X218" s="118">
        <f t="shared" si="130"/>
        <v>44.820173913043476</v>
      </c>
      <c r="Y218" s="135">
        <f>U218/P218</f>
        <v>9.7470065359477123E-2</v>
      </c>
      <c r="Z218" s="134">
        <f>P218-W218</f>
        <v>26428.46</v>
      </c>
      <c r="AA218" s="135">
        <f>Z218/P218</f>
        <v>0.69094013071895422</v>
      </c>
      <c r="AB218" s="120">
        <f t="shared" si="131"/>
        <v>-11821.539999999999</v>
      </c>
      <c r="AC218" s="135">
        <f t="shared" si="132"/>
        <v>0.14094013071895417</v>
      </c>
      <c r="AD218" s="110"/>
      <c r="AE218" s="110"/>
      <c r="AF218" s="110"/>
      <c r="AG218" s="121"/>
    </row>
    <row r="219" spans="1:33" ht="11.25" customHeight="1" x14ac:dyDescent="0.15">
      <c r="A219" s="110" t="s">
        <v>147</v>
      </c>
      <c r="B219" s="110"/>
      <c r="C219" s="111" t="s">
        <v>49</v>
      </c>
      <c r="D219" s="111">
        <v>2020</v>
      </c>
      <c r="E219" s="146">
        <v>43861</v>
      </c>
      <c r="F219" s="111">
        <v>161957</v>
      </c>
      <c r="G219" s="20">
        <v>616520120</v>
      </c>
      <c r="H219" s="20"/>
      <c r="I219" s="20"/>
      <c r="J219" s="20"/>
      <c r="K219" s="104" t="s">
        <v>144</v>
      </c>
      <c r="L219" s="120"/>
      <c r="M219" s="120"/>
      <c r="N219" s="120"/>
      <c r="O219" s="135">
        <f>1-0.529</f>
        <v>0.47099999999999997</v>
      </c>
      <c r="P219" s="134">
        <v>7321</v>
      </c>
      <c r="Q219" s="20">
        <v>1048</v>
      </c>
      <c r="R219" s="134">
        <v>32</v>
      </c>
      <c r="S219" s="134">
        <f>1256.96+565.76</f>
        <v>1822.72</v>
      </c>
      <c r="T219" s="134">
        <v>1345.56</v>
      </c>
      <c r="U219" s="134">
        <v>2566.41</v>
      </c>
      <c r="V219" s="134"/>
      <c r="W219" s="34">
        <f>SUM(S219:U219)</f>
        <v>5734.69</v>
      </c>
      <c r="X219" s="118">
        <f t="shared" si="130"/>
        <v>56.96</v>
      </c>
      <c r="Y219" s="135">
        <f>U219/P219</f>
        <v>0.35055456904794424</v>
      </c>
      <c r="Z219" s="134">
        <f>P219-W219</f>
        <v>1586.3100000000004</v>
      </c>
      <c r="AA219" s="135">
        <f>Z219/P219</f>
        <v>0.21667941538041258</v>
      </c>
      <c r="AB219" s="120">
        <f t="shared" si="131"/>
        <v>-5734.69</v>
      </c>
      <c r="AC219" s="135">
        <f t="shared" si="132"/>
        <v>-0.2543205846195874</v>
      </c>
      <c r="AD219" s="110"/>
      <c r="AE219" s="110"/>
      <c r="AF219" s="110"/>
      <c r="AG219" s="121"/>
    </row>
    <row r="220" spans="1:33" ht="11.25" customHeight="1" x14ac:dyDescent="0.15">
      <c r="A220" s="110" t="s">
        <v>53</v>
      </c>
      <c r="B220" s="110"/>
      <c r="C220" s="111"/>
      <c r="D220" s="111">
        <v>2020</v>
      </c>
      <c r="E220" s="146">
        <v>43861</v>
      </c>
      <c r="F220" s="111"/>
      <c r="G220" s="20"/>
      <c r="H220" s="20"/>
      <c r="I220" s="20"/>
      <c r="J220" s="20"/>
      <c r="K220" s="104"/>
      <c r="L220" s="120"/>
      <c r="M220" s="120"/>
      <c r="N220" s="120"/>
      <c r="O220" s="135"/>
      <c r="P220" s="134"/>
      <c r="Q220" s="20"/>
      <c r="R220" s="134"/>
      <c r="S220" s="134"/>
      <c r="T220" s="134"/>
      <c r="U220" s="134"/>
      <c r="V220" s="134"/>
      <c r="W220" s="34"/>
      <c r="X220" s="118" t="str">
        <f t="shared" si="130"/>
        <v/>
      </c>
      <c r="Y220" s="135"/>
      <c r="Z220" s="134"/>
      <c r="AA220" s="135"/>
      <c r="AB220" s="136"/>
      <c r="AC220" s="135"/>
      <c r="AD220" s="110"/>
      <c r="AE220" s="110"/>
      <c r="AF220" s="110"/>
      <c r="AG220" s="121"/>
    </row>
    <row r="221" spans="1:33" s="53" customFormat="1" ht="11.25" customHeight="1" x14ac:dyDescent="0.15">
      <c r="A221" s="53" t="s">
        <v>147</v>
      </c>
      <c r="C221" s="54" t="s">
        <v>54</v>
      </c>
      <c r="D221" s="54">
        <v>2020</v>
      </c>
      <c r="E221" s="70">
        <v>43861</v>
      </c>
      <c r="F221" s="54"/>
      <c r="G221" s="55"/>
      <c r="H221" s="55"/>
      <c r="I221" s="55"/>
      <c r="J221" s="55"/>
      <c r="K221" s="201"/>
      <c r="L221" s="58"/>
      <c r="M221" s="58"/>
      <c r="N221" s="58"/>
      <c r="O221" s="59">
        <f>((P215*O215)+(P216*O216)+(P217*O217))/P221</f>
        <v>0.4330896929384711</v>
      </c>
      <c r="P221" s="32">
        <f>SUM(P215:P219)</f>
        <v>214387</v>
      </c>
      <c r="Q221" s="20"/>
      <c r="R221" s="32">
        <f>SUM(R215:R219)</f>
        <v>189</v>
      </c>
      <c r="S221" s="32">
        <f>SUM(S215:S219)</f>
        <v>7978.75</v>
      </c>
      <c r="T221" s="32">
        <f>SUM(T215:T219)</f>
        <v>6861.7099999999991</v>
      </c>
      <c r="U221" s="32">
        <f>SUM(U215:U219)</f>
        <v>46115.350000000006</v>
      </c>
      <c r="V221" s="134"/>
      <c r="W221" s="33">
        <f>SUM(W215:W219)</f>
        <v>60955.810000000005</v>
      </c>
      <c r="X221" s="118">
        <f t="shared" si="130"/>
        <v>42.215608465608469</v>
      </c>
      <c r="Y221" s="135">
        <f>U221/P221</f>
        <v>0.21510329450946189</v>
      </c>
      <c r="Z221" s="202">
        <f>P221-W221</f>
        <v>153431.19</v>
      </c>
      <c r="AA221" s="59">
        <f>Z221/P221</f>
        <v>0.71567394478209967</v>
      </c>
      <c r="AB221" s="120">
        <f t="shared" ref="AB221:AB223" si="133">M221-W221</f>
        <v>-60955.810000000005</v>
      </c>
      <c r="AC221" s="135">
        <f t="shared" ref="AC221:AC223" si="134">AA221-O221</f>
        <v>0.28258425184362856</v>
      </c>
      <c r="AG221" s="61"/>
    </row>
    <row r="222" spans="1:33" ht="11.25" customHeight="1" x14ac:dyDescent="0.15">
      <c r="A222" s="110" t="s">
        <v>147</v>
      </c>
      <c r="B222" s="110"/>
      <c r="C222" s="111" t="s">
        <v>55</v>
      </c>
      <c r="D222" s="111">
        <v>2020</v>
      </c>
      <c r="E222" s="146">
        <v>43861</v>
      </c>
      <c r="F222" s="111">
        <v>161957</v>
      </c>
      <c r="G222" s="111" t="s">
        <v>56</v>
      </c>
      <c r="H222" s="111"/>
      <c r="I222" s="111"/>
      <c r="J222" s="111"/>
      <c r="K222" s="112" t="s">
        <v>71</v>
      </c>
      <c r="L222" s="120"/>
      <c r="M222" s="120"/>
      <c r="N222" s="120"/>
      <c r="O222" s="135"/>
      <c r="P222" s="134">
        <v>6744</v>
      </c>
      <c r="Q222" s="20">
        <v>1049</v>
      </c>
      <c r="R222" s="134">
        <v>31</v>
      </c>
      <c r="S222" s="134">
        <f>852.5+383.78</f>
        <v>1236.28</v>
      </c>
      <c r="T222" s="134">
        <v>4727.7</v>
      </c>
      <c r="U222" s="134"/>
      <c r="V222" s="134"/>
      <c r="W222" s="34">
        <f>SUM(S222:T222)</f>
        <v>5963.98</v>
      </c>
      <c r="X222" s="118">
        <f t="shared" si="130"/>
        <v>39.880000000000003</v>
      </c>
      <c r="Y222" s="135">
        <f>U222/P222</f>
        <v>0</v>
      </c>
      <c r="Z222" s="134">
        <f>P222-W222</f>
        <v>780.02000000000044</v>
      </c>
      <c r="AA222" s="135">
        <f>Z222/P222</f>
        <v>0.11566132858837491</v>
      </c>
      <c r="AB222" s="120">
        <f t="shared" si="133"/>
        <v>-5963.98</v>
      </c>
      <c r="AC222" s="135">
        <f t="shared" si="134"/>
        <v>0.11566132858837491</v>
      </c>
      <c r="AD222" s="110"/>
      <c r="AE222" s="110"/>
      <c r="AF222" s="110"/>
      <c r="AG222" s="121"/>
    </row>
    <row r="223" spans="1:33" ht="11.25" customHeight="1" x14ac:dyDescent="0.15">
      <c r="A223" s="110" t="s">
        <v>147</v>
      </c>
      <c r="B223" s="110"/>
      <c r="C223" s="111" t="s">
        <v>58</v>
      </c>
      <c r="D223" s="111">
        <v>2020</v>
      </c>
      <c r="E223" s="146">
        <v>43861</v>
      </c>
      <c r="F223" s="111">
        <v>161957</v>
      </c>
      <c r="G223" s="20" t="s">
        <v>150</v>
      </c>
      <c r="H223" s="20"/>
      <c r="I223" s="20"/>
      <c r="J223" s="20"/>
      <c r="K223" s="104" t="s">
        <v>151</v>
      </c>
      <c r="L223" s="120"/>
      <c r="M223" s="120"/>
      <c r="N223" s="120"/>
      <c r="O223" s="135"/>
      <c r="P223" s="134">
        <v>10991</v>
      </c>
      <c r="Q223" s="20"/>
      <c r="R223" s="134"/>
      <c r="S223" s="134"/>
      <c r="T223" s="134"/>
      <c r="U223" s="134"/>
      <c r="V223" s="134"/>
      <c r="W223" s="34"/>
      <c r="X223" s="118" t="str">
        <f t="shared" si="130"/>
        <v/>
      </c>
      <c r="Y223" s="135"/>
      <c r="Z223" s="134"/>
      <c r="AA223" s="135"/>
      <c r="AB223" s="120">
        <f t="shared" si="133"/>
        <v>0</v>
      </c>
      <c r="AC223" s="135">
        <f t="shared" si="134"/>
        <v>0</v>
      </c>
      <c r="AD223" s="110"/>
      <c r="AE223" s="110"/>
      <c r="AF223" s="110"/>
      <c r="AG223" s="121"/>
    </row>
    <row r="224" spans="1:33" ht="11.25" customHeight="1" x14ac:dyDescent="0.15">
      <c r="A224" s="110" t="s">
        <v>53</v>
      </c>
      <c r="B224" s="110"/>
      <c r="C224" s="111"/>
      <c r="D224" s="111">
        <v>2020</v>
      </c>
      <c r="E224" s="146">
        <v>43861</v>
      </c>
      <c r="F224" s="111"/>
      <c r="G224" s="20"/>
      <c r="H224" s="20"/>
      <c r="I224" s="20"/>
      <c r="J224" s="20"/>
      <c r="K224" s="104"/>
      <c r="L224" s="120"/>
      <c r="M224" s="120"/>
      <c r="N224" s="120"/>
      <c r="O224" s="135"/>
      <c r="P224" s="134"/>
      <c r="Q224" s="20"/>
      <c r="R224" s="134"/>
      <c r="S224" s="134"/>
      <c r="T224" s="134"/>
      <c r="U224" s="134"/>
      <c r="V224" s="134"/>
      <c r="W224" s="34"/>
      <c r="X224" s="118" t="str">
        <f t="shared" si="130"/>
        <v/>
      </c>
      <c r="Y224" s="135"/>
      <c r="Z224" s="134"/>
      <c r="AA224" s="135"/>
      <c r="AB224" s="136"/>
      <c r="AC224" s="135"/>
      <c r="AD224" s="110"/>
      <c r="AE224" s="110"/>
      <c r="AF224" s="110"/>
      <c r="AG224" s="121"/>
    </row>
    <row r="225" spans="1:33" s="53" customFormat="1" ht="11.25" customHeight="1" x14ac:dyDescent="0.15">
      <c r="A225" s="53" t="s">
        <v>147</v>
      </c>
      <c r="C225" s="54" t="s">
        <v>65</v>
      </c>
      <c r="D225" s="54">
        <v>2020</v>
      </c>
      <c r="E225" s="70">
        <v>43861</v>
      </c>
      <c r="F225" s="54"/>
      <c r="G225" s="55"/>
      <c r="H225" s="55"/>
      <c r="I225" s="55"/>
      <c r="J225" s="55"/>
      <c r="K225" s="201"/>
      <c r="L225" s="58"/>
      <c r="M225" s="58"/>
      <c r="N225" s="58"/>
      <c r="O225" s="59">
        <v>0.55000000000000004</v>
      </c>
      <c r="P225" s="32">
        <f>SUM(P221:P223)</f>
        <v>232122</v>
      </c>
      <c r="Q225" s="20"/>
      <c r="R225" s="32">
        <f>SUM(R221:R223)</f>
        <v>220</v>
      </c>
      <c r="S225" s="32">
        <f>SUM(S221:S223)</f>
        <v>9215.0300000000007</v>
      </c>
      <c r="T225" s="32">
        <f>SUM(T221:T223)</f>
        <v>11589.41</v>
      </c>
      <c r="U225" s="32">
        <f>SUM(U221:U223)</f>
        <v>46115.350000000006</v>
      </c>
      <c r="V225" s="134"/>
      <c r="W225" s="33">
        <f>SUM(S225:U225)</f>
        <v>66919.790000000008</v>
      </c>
      <c r="X225" s="118">
        <f t="shared" si="130"/>
        <v>41.886500000000005</v>
      </c>
      <c r="Y225" s="135">
        <f>U225/P225</f>
        <v>0.19866858807006663</v>
      </c>
      <c r="Z225" s="202">
        <f>P225-W225</f>
        <v>165202.21</v>
      </c>
      <c r="AA225" s="59">
        <f>Z225/P225</f>
        <v>0.71170423311879094</v>
      </c>
      <c r="AB225" s="120">
        <f t="shared" ref="AB225:AB226" si="135">M225-W225</f>
        <v>-66919.790000000008</v>
      </c>
      <c r="AC225" s="135">
        <f t="shared" ref="AC225:AC226" si="136">AA225-O225</f>
        <v>0.1617042331187909</v>
      </c>
      <c r="AG225" s="61"/>
    </row>
    <row r="226" spans="1:33" s="53" customFormat="1" ht="11.25" customHeight="1" x14ac:dyDescent="0.15">
      <c r="A226" s="53" t="s">
        <v>147</v>
      </c>
      <c r="C226" s="54" t="s">
        <v>66</v>
      </c>
      <c r="D226" s="54">
        <v>2020</v>
      </c>
      <c r="E226" s="70">
        <v>43861</v>
      </c>
      <c r="F226" s="54"/>
      <c r="G226" s="55"/>
      <c r="H226" s="55"/>
      <c r="I226" s="55"/>
      <c r="J226" s="55"/>
      <c r="K226" s="201"/>
      <c r="L226" s="58"/>
      <c r="M226" s="58"/>
      <c r="N226" s="58"/>
      <c r="O226" s="59">
        <f>((P215*O215)+(P216*O216)+(P217*O217))/P226</f>
        <v>0.55000000000000004</v>
      </c>
      <c r="P226" s="217">
        <f>SUM(P215:P217)</f>
        <v>168816</v>
      </c>
      <c r="Q226" s="20"/>
      <c r="R226" s="226">
        <f>SUM(R215:R217)</f>
        <v>99.5</v>
      </c>
      <c r="S226" s="226">
        <f>SUM(S215:S217)</f>
        <v>3578.87</v>
      </c>
      <c r="T226" s="226">
        <f>SUM(T215:T217)</f>
        <v>0</v>
      </c>
      <c r="U226" s="226">
        <f>SUM(U215:U217)</f>
        <v>39820.710000000006</v>
      </c>
      <c r="V226" s="134"/>
      <c r="W226" s="218">
        <f>W215+W216+W217</f>
        <v>43399.58</v>
      </c>
      <c r="X226" s="118">
        <f t="shared" si="130"/>
        <v>35.968542713567835</v>
      </c>
      <c r="Y226" s="135">
        <f>U226/P226</f>
        <v>0.23588232158089284</v>
      </c>
      <c r="Z226" s="208">
        <f>Z215+Z216+Z217</f>
        <v>125416.41999999998</v>
      </c>
      <c r="AA226" s="59">
        <f>Z226/P226</f>
        <v>0.74291785138849387</v>
      </c>
      <c r="AB226" s="120">
        <f t="shared" si="135"/>
        <v>-43399.58</v>
      </c>
      <c r="AC226" s="135">
        <f t="shared" si="136"/>
        <v>0.19291785138849382</v>
      </c>
      <c r="AG226" s="61"/>
    </row>
    <row r="227" spans="1:33" ht="11.25" customHeight="1" x14ac:dyDescent="0.15">
      <c r="A227" s="124" t="s">
        <v>53</v>
      </c>
      <c r="B227" s="124"/>
      <c r="C227" s="124"/>
      <c r="D227" s="124"/>
      <c r="E227" s="273"/>
      <c r="F227" s="124"/>
      <c r="G227" s="124"/>
      <c r="H227" s="124"/>
      <c r="I227" s="124"/>
      <c r="J227" s="124"/>
      <c r="K227" s="125"/>
      <c r="L227" s="129"/>
      <c r="M227" s="129"/>
      <c r="N227" s="129"/>
      <c r="O227" s="128"/>
      <c r="P227" s="129"/>
      <c r="Q227" s="124"/>
      <c r="R227" s="129"/>
      <c r="S227" s="129"/>
      <c r="T227" s="129"/>
      <c r="U227" s="129"/>
      <c r="V227" s="126"/>
      <c r="W227" s="49"/>
      <c r="X227" s="127"/>
      <c r="Y227" s="128"/>
      <c r="Z227" s="126"/>
      <c r="AA227" s="128"/>
      <c r="AB227" s="129"/>
      <c r="AC227" s="128"/>
      <c r="AD227" s="137"/>
      <c r="AE227" s="110"/>
      <c r="AF227" s="110"/>
      <c r="AG227" s="121"/>
    </row>
    <row r="228" spans="1:33" ht="11.25" customHeight="1" x14ac:dyDescent="0.15">
      <c r="A228" s="110" t="s">
        <v>152</v>
      </c>
      <c r="B228" s="110"/>
      <c r="C228" s="111" t="s">
        <v>37</v>
      </c>
      <c r="D228" s="111">
        <v>2020</v>
      </c>
      <c r="E228" s="146">
        <v>43861</v>
      </c>
      <c r="F228" s="161">
        <v>162073</v>
      </c>
      <c r="G228" s="20">
        <v>123051120</v>
      </c>
      <c r="H228" s="20"/>
      <c r="I228" s="16" t="str">
        <f>MID(G228,2,1)</f>
        <v>2</v>
      </c>
      <c r="J228" s="16" t="s">
        <v>68</v>
      </c>
      <c r="K228" s="104" t="s">
        <v>153</v>
      </c>
      <c r="L228" s="120"/>
      <c r="M228" s="120"/>
      <c r="N228" s="120"/>
      <c r="O228" s="135">
        <f>1-0.45</f>
        <v>0.55000000000000004</v>
      </c>
      <c r="P228" s="139">
        <v>118493</v>
      </c>
      <c r="Q228" s="20">
        <v>1054</v>
      </c>
      <c r="R228" s="139">
        <v>67.5</v>
      </c>
      <c r="S228" s="139">
        <f>1645.2+740.48</f>
        <v>2385.6800000000003</v>
      </c>
      <c r="T228" s="139"/>
      <c r="U228" s="139">
        <v>23217.75</v>
      </c>
      <c r="V228" s="139"/>
      <c r="W228" s="50">
        <f t="shared" ref="W228:W233" si="137">SUM(S228:U228)</f>
        <v>25603.43</v>
      </c>
      <c r="X228" s="118">
        <f t="shared" ref="X228:X238" si="138">IFERROR(S228/R228,"")</f>
        <v>35.343407407407412</v>
      </c>
      <c r="Y228" s="135">
        <f t="shared" ref="Y228:Y233" si="139">U228/P228</f>
        <v>0.19594195437705181</v>
      </c>
      <c r="Z228" s="139">
        <f t="shared" ref="Z228:Z233" si="140">P228-W228</f>
        <v>92889.57</v>
      </c>
      <c r="AA228" s="135">
        <f t="shared" ref="AA228:AA233" si="141">Z228/P228</f>
        <v>0.78392453562657716</v>
      </c>
      <c r="AB228" s="120">
        <f t="shared" ref="AB228:AB233" si="142">M228-W228</f>
        <v>-25603.43</v>
      </c>
      <c r="AC228" s="135">
        <f t="shared" ref="AC228:AC233" si="143">AA228-O228</f>
        <v>0.23392453562657711</v>
      </c>
      <c r="AD228" s="110"/>
      <c r="AE228" s="110"/>
      <c r="AF228" s="110"/>
      <c r="AG228" s="121"/>
    </row>
    <row r="229" spans="1:33" ht="11.25" customHeight="1" x14ac:dyDescent="0.15">
      <c r="A229" s="110" t="s">
        <v>152</v>
      </c>
      <c r="B229" s="110"/>
      <c r="C229" s="111" t="s">
        <v>37</v>
      </c>
      <c r="D229" s="111">
        <v>2020</v>
      </c>
      <c r="E229" s="146">
        <v>43861</v>
      </c>
      <c r="F229" s="161">
        <v>162073</v>
      </c>
      <c r="G229" s="20">
        <v>310800200</v>
      </c>
      <c r="H229" s="20"/>
      <c r="I229" s="20"/>
      <c r="J229" s="20"/>
      <c r="K229" s="104" t="s">
        <v>142</v>
      </c>
      <c r="L229" s="120"/>
      <c r="M229" s="120"/>
      <c r="N229" s="120"/>
      <c r="O229" s="135">
        <f>1-0.45</f>
        <v>0.55000000000000004</v>
      </c>
      <c r="P229" s="139">
        <v>37767</v>
      </c>
      <c r="Q229" s="111">
        <v>1055</v>
      </c>
      <c r="R229" s="140">
        <v>33</v>
      </c>
      <c r="S229" s="140">
        <f>811.32+365.17</f>
        <v>1176.49</v>
      </c>
      <c r="T229" s="140"/>
      <c r="U229" s="140">
        <v>10183.34</v>
      </c>
      <c r="V229" s="140"/>
      <c r="W229" s="50">
        <f t="shared" si="137"/>
        <v>11359.83</v>
      </c>
      <c r="X229" s="118">
        <f t="shared" si="138"/>
        <v>35.651212121212119</v>
      </c>
      <c r="Y229" s="135">
        <f t="shared" si="139"/>
        <v>0.26963592554346388</v>
      </c>
      <c r="Z229" s="139">
        <f t="shared" si="140"/>
        <v>26407.17</v>
      </c>
      <c r="AA229" s="135">
        <f t="shared" si="141"/>
        <v>0.69921280482961312</v>
      </c>
      <c r="AB229" s="120">
        <f t="shared" si="142"/>
        <v>-11359.83</v>
      </c>
      <c r="AC229" s="135">
        <f t="shared" si="143"/>
        <v>0.14921280482961308</v>
      </c>
      <c r="AD229" s="110"/>
      <c r="AE229" s="110"/>
      <c r="AF229" s="110"/>
      <c r="AG229" s="121"/>
    </row>
    <row r="230" spans="1:33" ht="11.25" customHeight="1" x14ac:dyDescent="0.15">
      <c r="A230" s="110" t="s">
        <v>152</v>
      </c>
      <c r="B230" s="110"/>
      <c r="C230" s="111" t="s">
        <v>47</v>
      </c>
      <c r="D230" s="111">
        <v>2020</v>
      </c>
      <c r="E230" s="146">
        <v>43861</v>
      </c>
      <c r="F230" s="161">
        <v>162073</v>
      </c>
      <c r="G230" s="20">
        <v>523051120</v>
      </c>
      <c r="H230" s="20"/>
      <c r="I230" s="20"/>
      <c r="J230" s="20"/>
      <c r="K230" s="104" t="s">
        <v>48</v>
      </c>
      <c r="L230" s="120"/>
      <c r="M230" s="120"/>
      <c r="N230" s="120"/>
      <c r="O230" s="135">
        <f>1-0.45</f>
        <v>0.55000000000000004</v>
      </c>
      <c r="P230" s="139">
        <v>35490</v>
      </c>
      <c r="Q230" s="111">
        <v>1056</v>
      </c>
      <c r="R230" s="140">
        <v>127</v>
      </c>
      <c r="S230" s="140">
        <f>3925.58+1766.58</f>
        <v>5692.16</v>
      </c>
      <c r="T230" s="140">
        <v>5144.3999999999996</v>
      </c>
      <c r="U230" s="140">
        <v>2622.04</v>
      </c>
      <c r="V230" s="140"/>
      <c r="W230" s="50">
        <f t="shared" si="137"/>
        <v>13458.599999999999</v>
      </c>
      <c r="X230" s="118">
        <f t="shared" si="138"/>
        <v>44.820157480314961</v>
      </c>
      <c r="Y230" s="135">
        <f t="shared" si="139"/>
        <v>7.3881093265708644E-2</v>
      </c>
      <c r="Z230" s="139">
        <f t="shared" si="140"/>
        <v>22031.4</v>
      </c>
      <c r="AA230" s="135">
        <f t="shared" si="141"/>
        <v>0.62077768385460697</v>
      </c>
      <c r="AB230" s="120">
        <f t="shared" si="142"/>
        <v>-13458.599999999999</v>
      </c>
      <c r="AC230" s="135">
        <f t="shared" si="143"/>
        <v>7.0777683854606921E-2</v>
      </c>
      <c r="AD230" s="110"/>
      <c r="AE230" s="110"/>
      <c r="AF230" s="110"/>
      <c r="AG230" s="121"/>
    </row>
    <row r="231" spans="1:33" ht="11.25" customHeight="1" x14ac:dyDescent="0.15">
      <c r="A231" s="110" t="s">
        <v>152</v>
      </c>
      <c r="B231" s="110"/>
      <c r="C231" s="111" t="s">
        <v>49</v>
      </c>
      <c r="D231" s="111">
        <v>2020</v>
      </c>
      <c r="E231" s="146">
        <v>43861</v>
      </c>
      <c r="F231" s="161">
        <v>162073</v>
      </c>
      <c r="G231" s="20">
        <v>626520120</v>
      </c>
      <c r="H231" s="20"/>
      <c r="I231" s="20"/>
      <c r="J231" s="20"/>
      <c r="K231" s="104" t="s">
        <v>144</v>
      </c>
      <c r="L231" s="120"/>
      <c r="M231" s="120"/>
      <c r="N231" s="120"/>
      <c r="O231" s="135">
        <f>1-0.529</f>
        <v>0.47099999999999997</v>
      </c>
      <c r="P231" s="139">
        <v>7321</v>
      </c>
      <c r="Q231" s="111">
        <v>1057</v>
      </c>
      <c r="R231" s="140">
        <v>16</v>
      </c>
      <c r="S231" s="140">
        <f>628.48+282.88</f>
        <v>911.36</v>
      </c>
      <c r="T231" s="140">
        <v>1618.3</v>
      </c>
      <c r="U231" s="140">
        <v>2605.64</v>
      </c>
      <c r="V231" s="140"/>
      <c r="W231" s="50">
        <f t="shared" si="137"/>
        <v>5135.2999999999993</v>
      </c>
      <c r="X231" s="118">
        <f t="shared" si="138"/>
        <v>56.96</v>
      </c>
      <c r="Y231" s="135">
        <f t="shared" si="139"/>
        <v>0.35591312662204616</v>
      </c>
      <c r="Z231" s="139">
        <f t="shared" si="140"/>
        <v>2185.7000000000007</v>
      </c>
      <c r="AA231" s="135">
        <f t="shared" si="141"/>
        <v>0.29855211036743623</v>
      </c>
      <c r="AB231" s="120">
        <f t="shared" si="142"/>
        <v>-5135.2999999999993</v>
      </c>
      <c r="AC231" s="135">
        <f t="shared" si="143"/>
        <v>-0.17244788963256374</v>
      </c>
      <c r="AD231" s="110"/>
      <c r="AE231" s="110"/>
      <c r="AF231" s="110"/>
      <c r="AG231" s="121"/>
    </row>
    <row r="232" spans="1:33" ht="11.25" customHeight="1" x14ac:dyDescent="0.15">
      <c r="A232" s="110" t="s">
        <v>152</v>
      </c>
      <c r="B232" s="110"/>
      <c r="C232" s="111" t="s">
        <v>37</v>
      </c>
      <c r="D232" s="111">
        <v>2020</v>
      </c>
      <c r="E232" s="146">
        <v>43861</v>
      </c>
      <c r="F232" s="161">
        <v>162073</v>
      </c>
      <c r="G232" s="111">
        <v>220100110</v>
      </c>
      <c r="H232" s="111"/>
      <c r="I232" s="111"/>
      <c r="J232" s="111"/>
      <c r="K232" s="104" t="s">
        <v>136</v>
      </c>
      <c r="L232" s="120"/>
      <c r="M232" s="120"/>
      <c r="N232" s="120"/>
      <c r="O232" s="135">
        <f>1-0.45</f>
        <v>0.55000000000000004</v>
      </c>
      <c r="P232" s="139">
        <v>15000</v>
      </c>
      <c r="Q232" s="111">
        <v>1059</v>
      </c>
      <c r="R232" s="140"/>
      <c r="S232" s="140"/>
      <c r="T232" s="140"/>
      <c r="U232" s="140">
        <v>6568.72</v>
      </c>
      <c r="V232" s="140"/>
      <c r="W232" s="50">
        <f t="shared" si="137"/>
        <v>6568.72</v>
      </c>
      <c r="X232" s="118" t="str">
        <f t="shared" si="138"/>
        <v/>
      </c>
      <c r="Y232" s="135">
        <f t="shared" si="139"/>
        <v>0.43791466666666667</v>
      </c>
      <c r="Z232" s="139">
        <f t="shared" si="140"/>
        <v>8431.2799999999988</v>
      </c>
      <c r="AA232" s="135">
        <f t="shared" si="141"/>
        <v>0.56208533333333321</v>
      </c>
      <c r="AB232" s="120">
        <f t="shared" si="142"/>
        <v>-6568.72</v>
      </c>
      <c r="AC232" s="135">
        <f t="shared" si="143"/>
        <v>1.208533333333317E-2</v>
      </c>
      <c r="AD232" s="110"/>
      <c r="AE232" s="110"/>
      <c r="AF232" s="110"/>
      <c r="AG232" s="121"/>
    </row>
    <row r="233" spans="1:33" ht="11.25" customHeight="1" x14ac:dyDescent="0.15">
      <c r="A233" s="110" t="s">
        <v>152</v>
      </c>
      <c r="B233" s="110"/>
      <c r="C233" s="111" t="s">
        <v>37</v>
      </c>
      <c r="D233" s="111">
        <v>2020</v>
      </c>
      <c r="E233" s="146">
        <v>43861</v>
      </c>
      <c r="F233" s="161">
        <v>162073</v>
      </c>
      <c r="G233" s="111">
        <v>210500110</v>
      </c>
      <c r="H233" s="111"/>
      <c r="I233" s="111"/>
      <c r="J233" s="111"/>
      <c r="K233" s="104" t="s">
        <v>154</v>
      </c>
      <c r="L233" s="219"/>
      <c r="M233" s="219"/>
      <c r="N233" s="219"/>
      <c r="O233" s="222">
        <f>1-0.45</f>
        <v>0.55000000000000004</v>
      </c>
      <c r="P233" s="224">
        <v>15000</v>
      </c>
      <c r="Q233" s="111">
        <v>1060</v>
      </c>
      <c r="R233" s="228"/>
      <c r="S233" s="221"/>
      <c r="T233" s="221"/>
      <c r="U233" s="221">
        <v>7004.47</v>
      </c>
      <c r="V233" s="221"/>
      <c r="W233" s="232">
        <f t="shared" si="137"/>
        <v>7004.47</v>
      </c>
      <c r="X233" s="118" t="str">
        <f t="shared" si="138"/>
        <v/>
      </c>
      <c r="Y233" s="135">
        <f t="shared" si="139"/>
        <v>0.46696466666666669</v>
      </c>
      <c r="Z233" s="139">
        <f t="shared" si="140"/>
        <v>7995.53</v>
      </c>
      <c r="AA233" s="135">
        <f t="shared" si="141"/>
        <v>0.53303533333333331</v>
      </c>
      <c r="AB233" s="120">
        <f t="shared" si="142"/>
        <v>-7004.47</v>
      </c>
      <c r="AC233" s="135">
        <f t="shared" si="143"/>
        <v>-1.6964666666666739E-2</v>
      </c>
      <c r="AD233" s="110"/>
      <c r="AE233" s="110"/>
      <c r="AF233" s="110"/>
      <c r="AG233" s="121"/>
    </row>
    <row r="234" spans="1:33" ht="11.25" customHeight="1" x14ac:dyDescent="0.15">
      <c r="A234" s="110" t="s">
        <v>53</v>
      </c>
      <c r="B234" s="110"/>
      <c r="C234" s="111"/>
      <c r="D234" s="111">
        <v>2020</v>
      </c>
      <c r="E234" s="146">
        <v>43861</v>
      </c>
      <c r="F234" s="111"/>
      <c r="G234" s="20"/>
      <c r="H234" s="20"/>
      <c r="I234" s="20"/>
      <c r="J234" s="20"/>
      <c r="K234" s="112"/>
      <c r="L234" s="120"/>
      <c r="M234" s="120"/>
      <c r="N234" s="120"/>
      <c r="O234" s="119"/>
      <c r="P234" s="139"/>
      <c r="Q234" s="111"/>
      <c r="R234" s="140"/>
      <c r="S234" s="140"/>
      <c r="T234" s="140"/>
      <c r="U234" s="140"/>
      <c r="V234" s="140"/>
      <c r="W234" s="37"/>
      <c r="X234" s="118" t="str">
        <f t="shared" si="138"/>
        <v/>
      </c>
      <c r="Y234" s="119"/>
      <c r="Z234" s="140"/>
      <c r="AA234" s="119"/>
      <c r="AB234" s="120"/>
      <c r="AC234" s="119"/>
      <c r="AD234" s="110"/>
      <c r="AE234" s="110"/>
      <c r="AF234" s="110"/>
      <c r="AG234" s="121"/>
    </row>
    <row r="235" spans="1:33" s="53" customFormat="1" ht="11.25" customHeight="1" x14ac:dyDescent="0.15">
      <c r="A235" s="53" t="s">
        <v>152</v>
      </c>
      <c r="C235" s="54" t="s">
        <v>54</v>
      </c>
      <c r="D235" s="54">
        <v>2020</v>
      </c>
      <c r="E235" s="70">
        <v>43861</v>
      </c>
      <c r="F235" s="54"/>
      <c r="G235" s="55"/>
      <c r="H235" s="55"/>
      <c r="I235" s="55"/>
      <c r="J235" s="55"/>
      <c r="K235" s="106"/>
      <c r="L235" s="58"/>
      <c r="M235" s="58"/>
      <c r="N235" s="58"/>
      <c r="O235" s="59">
        <f>((P228*O228)+(P229*O229)+(P230*O230)+(P231*O231))/P235</f>
        <v>0.47544512836631447</v>
      </c>
      <c r="P235" s="32">
        <f>SUM(P228:P233)</f>
        <v>229071</v>
      </c>
      <c r="Q235" s="111"/>
      <c r="R235" s="32">
        <f>SUM(R228:R233)</f>
        <v>243.5</v>
      </c>
      <c r="S235" s="32">
        <f>SUM(S228:S233)</f>
        <v>10165.69</v>
      </c>
      <c r="T235" s="32">
        <f>SUM(T228:T233)</f>
        <v>6762.7</v>
      </c>
      <c r="U235" s="32">
        <f>SUM(U228:U233)</f>
        <v>52201.96</v>
      </c>
      <c r="V235" s="134"/>
      <c r="W235" s="33">
        <f>SUM(W228:W233)</f>
        <v>69130.350000000006</v>
      </c>
      <c r="X235" s="118">
        <f t="shared" si="138"/>
        <v>41.748213552361399</v>
      </c>
      <c r="Y235" s="135">
        <f>U235/P235</f>
        <v>0.22788550274805627</v>
      </c>
      <c r="Z235" s="202">
        <f>P235-W235</f>
        <v>159940.65</v>
      </c>
      <c r="AA235" s="59">
        <f>Z235/P235</f>
        <v>0.69821430910067184</v>
      </c>
      <c r="AB235" s="120">
        <f t="shared" ref="AB235:AB246" si="144">M235-W235</f>
        <v>-69130.350000000006</v>
      </c>
      <c r="AC235" s="135">
        <f t="shared" ref="AC235:AC246" si="145">AA235-O235</f>
        <v>0.22276918073435736</v>
      </c>
      <c r="AG235" s="61"/>
    </row>
    <row r="236" spans="1:33" ht="11.25" customHeight="1" x14ac:dyDescent="0.15">
      <c r="A236" s="110" t="s">
        <v>152</v>
      </c>
      <c r="B236" s="110"/>
      <c r="C236" s="111" t="s">
        <v>55</v>
      </c>
      <c r="D236" s="111">
        <v>2020</v>
      </c>
      <c r="E236" s="146">
        <v>43861</v>
      </c>
      <c r="F236" s="161">
        <v>162073</v>
      </c>
      <c r="G236" s="111" t="s">
        <v>56</v>
      </c>
      <c r="H236" s="111"/>
      <c r="I236" s="111"/>
      <c r="J236" s="111"/>
      <c r="K236" s="112" t="s">
        <v>71</v>
      </c>
      <c r="L236" s="120"/>
      <c r="M236" s="120"/>
      <c r="N236" s="120"/>
      <c r="O236" s="135"/>
      <c r="P236" s="139">
        <v>8574</v>
      </c>
      <c r="Q236" s="111">
        <v>1058</v>
      </c>
      <c r="R236" s="140">
        <v>24</v>
      </c>
      <c r="S236" s="140">
        <f>660+297.12</f>
        <v>957.12</v>
      </c>
      <c r="T236" s="140">
        <v>10412.44</v>
      </c>
      <c r="U236" s="140"/>
      <c r="V236" s="140"/>
      <c r="W236" s="37">
        <f>SUM(S236:U236)</f>
        <v>11369.560000000001</v>
      </c>
      <c r="X236" s="118">
        <f t="shared" si="138"/>
        <v>39.880000000000003</v>
      </c>
      <c r="Y236" s="135">
        <f>U236/P236</f>
        <v>0</v>
      </c>
      <c r="Z236" s="37">
        <f>P236-W236</f>
        <v>-2795.5600000000013</v>
      </c>
      <c r="AA236" s="135">
        <f>Z236/P236</f>
        <v>-0.32605085141124346</v>
      </c>
      <c r="AB236" s="120">
        <f t="shared" si="144"/>
        <v>-11369.560000000001</v>
      </c>
      <c r="AC236" s="135">
        <f t="shared" si="145"/>
        <v>-0.32605085141124346</v>
      </c>
      <c r="AD236" s="110"/>
      <c r="AE236" s="110"/>
      <c r="AF236" s="110"/>
      <c r="AG236" s="121"/>
    </row>
    <row r="237" spans="1:33" ht="11.25" customHeight="1" x14ac:dyDescent="0.15">
      <c r="A237" s="110" t="s">
        <v>152</v>
      </c>
      <c r="B237" s="110"/>
      <c r="C237" s="111" t="s">
        <v>58</v>
      </c>
      <c r="D237" s="111">
        <v>2020</v>
      </c>
      <c r="E237" s="146">
        <v>43861</v>
      </c>
      <c r="F237" s="161">
        <v>162073</v>
      </c>
      <c r="G237" s="20" t="s">
        <v>78</v>
      </c>
      <c r="H237" s="20"/>
      <c r="I237" s="20"/>
      <c r="J237" s="20"/>
      <c r="K237" s="112" t="s">
        <v>155</v>
      </c>
      <c r="L237" s="120"/>
      <c r="M237" s="120"/>
      <c r="N237" s="120"/>
      <c r="O237" s="135"/>
      <c r="P237" s="139">
        <v>10991</v>
      </c>
      <c r="Q237" s="111"/>
      <c r="R237" s="140"/>
      <c r="S237" s="140"/>
      <c r="T237" s="140"/>
      <c r="U237" s="140"/>
      <c r="V237" s="140"/>
      <c r="W237" s="37"/>
      <c r="X237" s="118" t="str">
        <f t="shared" si="138"/>
        <v/>
      </c>
      <c r="Y237" s="135"/>
      <c r="Z237" s="37"/>
      <c r="AA237" s="135"/>
      <c r="AB237" s="120">
        <f t="shared" si="144"/>
        <v>0</v>
      </c>
      <c r="AC237" s="135">
        <f t="shared" si="145"/>
        <v>0</v>
      </c>
      <c r="AD237" s="110"/>
      <c r="AE237" s="110"/>
      <c r="AF237" s="110"/>
      <c r="AG237" s="121"/>
    </row>
    <row r="238" spans="1:33" ht="11.25" customHeight="1" x14ac:dyDescent="0.15">
      <c r="A238" s="110" t="s">
        <v>152</v>
      </c>
      <c r="B238" s="110"/>
      <c r="C238" s="111" t="s">
        <v>156</v>
      </c>
      <c r="D238" s="111">
        <v>2020</v>
      </c>
      <c r="E238" s="146">
        <v>43861</v>
      </c>
      <c r="F238" s="161">
        <v>162073</v>
      </c>
      <c r="G238" s="20" t="s">
        <v>157</v>
      </c>
      <c r="H238" s="20"/>
      <c r="I238" s="20"/>
      <c r="J238" s="20"/>
      <c r="K238" s="112" t="s">
        <v>158</v>
      </c>
      <c r="L238" s="120"/>
      <c r="M238" s="120"/>
      <c r="N238" s="120"/>
      <c r="O238" s="119"/>
      <c r="P238" s="117">
        <v>10894.38</v>
      </c>
      <c r="Q238" s="111"/>
      <c r="R238" s="140"/>
      <c r="S238" s="140"/>
      <c r="T238" s="140"/>
      <c r="U238" s="140"/>
      <c r="V238" s="140"/>
      <c r="W238" s="37">
        <v>6930.22</v>
      </c>
      <c r="X238" s="118" t="str">
        <f t="shared" si="138"/>
        <v/>
      </c>
      <c r="Y238" s="135"/>
      <c r="Z238" s="37">
        <f t="shared" ref="Z238:Z245" si="146">P238-W238</f>
        <v>3964.1599999999989</v>
      </c>
      <c r="AA238" s="135">
        <f t="shared" ref="AA238:AA246" si="147">Z238/P238</f>
        <v>0.36387201474521719</v>
      </c>
      <c r="AB238" s="120">
        <f t="shared" si="144"/>
        <v>-6930.22</v>
      </c>
      <c r="AC238" s="135">
        <f t="shared" si="145"/>
        <v>0.36387201474521719</v>
      </c>
      <c r="AD238" s="110"/>
      <c r="AE238" s="110"/>
      <c r="AF238" s="110"/>
      <c r="AG238" s="121"/>
    </row>
    <row r="239" spans="1:33" ht="11.25" customHeight="1" x14ac:dyDescent="0.15">
      <c r="A239" s="110" t="s">
        <v>152</v>
      </c>
      <c r="B239" s="110"/>
      <c r="C239" s="111" t="s">
        <v>159</v>
      </c>
      <c r="D239" s="111">
        <v>2020</v>
      </c>
      <c r="E239" s="146">
        <v>43861</v>
      </c>
      <c r="F239" s="161">
        <v>162073</v>
      </c>
      <c r="G239" s="20" t="s">
        <v>160</v>
      </c>
      <c r="H239" s="20"/>
      <c r="I239" s="20"/>
      <c r="J239" s="20"/>
      <c r="K239" s="112" t="s">
        <v>161</v>
      </c>
      <c r="L239" s="120"/>
      <c r="M239" s="120"/>
      <c r="N239" s="120"/>
      <c r="O239" s="119"/>
      <c r="P239" s="117">
        <v>172.85</v>
      </c>
      <c r="Q239" s="111"/>
      <c r="R239" s="140"/>
      <c r="S239" s="140"/>
      <c r="T239" s="140"/>
      <c r="U239" s="140"/>
      <c r="V239" s="140"/>
      <c r="W239" s="37">
        <v>119.59</v>
      </c>
      <c r="X239" s="118"/>
      <c r="Y239" s="135"/>
      <c r="Z239" s="37">
        <f t="shared" si="146"/>
        <v>53.259999999999991</v>
      </c>
      <c r="AA239" s="135">
        <f t="shared" si="147"/>
        <v>0.30812843505929993</v>
      </c>
      <c r="AB239" s="120">
        <f t="shared" si="144"/>
        <v>-119.59</v>
      </c>
      <c r="AC239" s="135">
        <f t="shared" si="145"/>
        <v>0.30812843505929993</v>
      </c>
      <c r="AD239" s="110"/>
      <c r="AE239" s="110"/>
      <c r="AF239" s="110"/>
      <c r="AG239" s="121"/>
    </row>
    <row r="240" spans="1:33" ht="11.25" customHeight="1" x14ac:dyDescent="0.15">
      <c r="A240" s="110" t="s">
        <v>152</v>
      </c>
      <c r="B240" s="110"/>
      <c r="C240" s="111" t="s">
        <v>156</v>
      </c>
      <c r="D240" s="111">
        <v>2020</v>
      </c>
      <c r="E240" s="146">
        <v>43861</v>
      </c>
      <c r="F240" s="161">
        <v>162073</v>
      </c>
      <c r="G240" s="20" t="s">
        <v>162</v>
      </c>
      <c r="H240" s="20"/>
      <c r="I240" s="20"/>
      <c r="J240" s="20"/>
      <c r="K240" s="112" t="s">
        <v>163</v>
      </c>
      <c r="L240" s="219"/>
      <c r="M240" s="219"/>
      <c r="N240" s="219"/>
      <c r="O240" s="163"/>
      <c r="P240" s="132">
        <v>260.07</v>
      </c>
      <c r="Q240" s="111"/>
      <c r="R240" s="221"/>
      <c r="S240" s="221"/>
      <c r="T240" s="221"/>
      <c r="U240" s="221"/>
      <c r="V240" s="221"/>
      <c r="W240" s="233">
        <v>179.88</v>
      </c>
      <c r="X240" s="118"/>
      <c r="Y240" s="135"/>
      <c r="Z240" s="37">
        <f t="shared" si="146"/>
        <v>80.19</v>
      </c>
      <c r="AA240" s="135">
        <f t="shared" si="147"/>
        <v>0.3083400622909217</v>
      </c>
      <c r="AB240" s="120">
        <f t="shared" si="144"/>
        <v>-179.88</v>
      </c>
      <c r="AC240" s="135">
        <f t="shared" si="145"/>
        <v>0.3083400622909217</v>
      </c>
      <c r="AD240" s="110"/>
      <c r="AE240" s="110"/>
      <c r="AF240" s="110"/>
      <c r="AG240" s="121"/>
    </row>
    <row r="241" spans="1:33" ht="11.25" customHeight="1" x14ac:dyDescent="0.15">
      <c r="A241" s="110" t="s">
        <v>152</v>
      </c>
      <c r="B241" s="110"/>
      <c r="C241" s="111" t="s">
        <v>164</v>
      </c>
      <c r="D241" s="111">
        <v>2020</v>
      </c>
      <c r="E241" s="146">
        <v>43861</v>
      </c>
      <c r="F241" s="161">
        <v>162073</v>
      </c>
      <c r="G241" s="20" t="s">
        <v>165</v>
      </c>
      <c r="H241" s="20"/>
      <c r="I241" s="20"/>
      <c r="J241" s="20"/>
      <c r="K241" s="112" t="s">
        <v>166</v>
      </c>
      <c r="L241" s="120"/>
      <c r="M241" s="120"/>
      <c r="N241" s="120"/>
      <c r="O241" s="119"/>
      <c r="P241" s="117">
        <v>63.93</v>
      </c>
      <c r="Q241" s="111"/>
      <c r="R241" s="140"/>
      <c r="S241" s="140"/>
      <c r="T241" s="140"/>
      <c r="U241" s="140"/>
      <c r="V241" s="140"/>
      <c r="W241" s="37">
        <v>40.51</v>
      </c>
      <c r="X241" s="118"/>
      <c r="Y241" s="135"/>
      <c r="Z241" s="37">
        <f t="shared" si="146"/>
        <v>23.42</v>
      </c>
      <c r="AA241" s="135">
        <f t="shared" si="147"/>
        <v>0.36633818238698579</v>
      </c>
      <c r="AB241" s="120">
        <f t="shared" si="144"/>
        <v>-40.51</v>
      </c>
      <c r="AC241" s="135">
        <f t="shared" si="145"/>
        <v>0.36633818238698579</v>
      </c>
      <c r="AD241" s="110"/>
      <c r="AE241" s="110"/>
      <c r="AF241" s="110"/>
      <c r="AG241" s="121"/>
    </row>
    <row r="242" spans="1:33" ht="11.25" customHeight="1" x14ac:dyDescent="0.15">
      <c r="A242" s="110" t="s">
        <v>152</v>
      </c>
      <c r="B242" s="110"/>
      <c r="C242" s="111" t="s">
        <v>164</v>
      </c>
      <c r="D242" s="111">
        <v>2020</v>
      </c>
      <c r="E242" s="146">
        <v>43861</v>
      </c>
      <c r="F242" s="161">
        <v>162073</v>
      </c>
      <c r="G242" s="20" t="s">
        <v>167</v>
      </c>
      <c r="H242" s="20"/>
      <c r="I242" s="20"/>
      <c r="J242" s="20"/>
      <c r="K242" s="112" t="s">
        <v>168</v>
      </c>
      <c r="L242" s="120"/>
      <c r="M242" s="120"/>
      <c r="N242" s="120"/>
      <c r="O242" s="119"/>
      <c r="P242" s="117">
        <v>69.14</v>
      </c>
      <c r="Q242" s="111"/>
      <c r="R242" s="140"/>
      <c r="S242" s="140"/>
      <c r="T242" s="140"/>
      <c r="U242" s="140"/>
      <c r="V242" s="140"/>
      <c r="W242" s="37">
        <v>45.84</v>
      </c>
      <c r="X242" s="118"/>
      <c r="Y242" s="135"/>
      <c r="Z242" s="37">
        <f t="shared" si="146"/>
        <v>23.299999999999997</v>
      </c>
      <c r="AA242" s="135">
        <f t="shared" si="147"/>
        <v>0.33699739658663574</v>
      </c>
      <c r="AB242" s="120">
        <f t="shared" si="144"/>
        <v>-45.84</v>
      </c>
      <c r="AC242" s="135">
        <f t="shared" si="145"/>
        <v>0.33699739658663574</v>
      </c>
      <c r="AD242" s="110"/>
      <c r="AE242" s="110"/>
      <c r="AF242" s="110"/>
      <c r="AG242" s="121"/>
    </row>
    <row r="243" spans="1:33" ht="11.25" customHeight="1" x14ac:dyDescent="0.15">
      <c r="A243" s="110" t="s">
        <v>152</v>
      </c>
      <c r="B243" s="110"/>
      <c r="C243" s="111" t="s">
        <v>159</v>
      </c>
      <c r="D243" s="111">
        <v>2020</v>
      </c>
      <c r="E243" s="146">
        <v>43861</v>
      </c>
      <c r="F243" s="161">
        <v>162073</v>
      </c>
      <c r="G243" s="20" t="s">
        <v>169</v>
      </c>
      <c r="H243" s="20"/>
      <c r="I243" s="20"/>
      <c r="J243" s="20"/>
      <c r="K243" s="112" t="s">
        <v>170</v>
      </c>
      <c r="L243" s="120"/>
      <c r="M243" s="120"/>
      <c r="N243" s="120"/>
      <c r="O243" s="119"/>
      <c r="P243" s="117">
        <v>71.069999999999993</v>
      </c>
      <c r="Q243" s="111"/>
      <c r="R243" s="140"/>
      <c r="S243" s="140"/>
      <c r="T243" s="140"/>
      <c r="U243" s="140"/>
      <c r="V243" s="140"/>
      <c r="W243" s="37">
        <v>46.91</v>
      </c>
      <c r="X243" s="118"/>
      <c r="Y243" s="135"/>
      <c r="Z243" s="37">
        <f t="shared" si="146"/>
        <v>24.159999999999997</v>
      </c>
      <c r="AA243" s="135">
        <f t="shared" si="147"/>
        <v>0.33994653158857463</v>
      </c>
      <c r="AB243" s="120">
        <f t="shared" si="144"/>
        <v>-46.91</v>
      </c>
      <c r="AC243" s="135">
        <f t="shared" si="145"/>
        <v>0.33994653158857463</v>
      </c>
      <c r="AD243" s="110"/>
      <c r="AE243" s="110"/>
      <c r="AF243" s="110"/>
      <c r="AG243" s="121"/>
    </row>
    <row r="244" spans="1:33" ht="11.25" customHeight="1" x14ac:dyDescent="0.15">
      <c r="A244" s="110" t="s">
        <v>152</v>
      </c>
      <c r="B244" s="110"/>
      <c r="C244" s="111" t="s">
        <v>171</v>
      </c>
      <c r="D244" s="111">
        <v>2020</v>
      </c>
      <c r="E244" s="146">
        <v>43861</v>
      </c>
      <c r="F244" s="161">
        <v>162073</v>
      </c>
      <c r="G244" s="20" t="s">
        <v>172</v>
      </c>
      <c r="H244" s="20"/>
      <c r="I244" s="20"/>
      <c r="J244" s="20"/>
      <c r="K244" s="112" t="s">
        <v>173</v>
      </c>
      <c r="L244" s="120"/>
      <c r="M244" s="120"/>
      <c r="N244" s="120"/>
      <c r="O244" s="119"/>
      <c r="P244" s="117">
        <v>408.19</v>
      </c>
      <c r="Q244" s="111"/>
      <c r="R244" s="140"/>
      <c r="S244" s="140"/>
      <c r="T244" s="140"/>
      <c r="U244" s="140"/>
      <c r="V244" s="140"/>
      <c r="W244" s="37">
        <v>194.16</v>
      </c>
      <c r="X244" s="118"/>
      <c r="Y244" s="135"/>
      <c r="Z244" s="37">
        <f t="shared" si="146"/>
        <v>214.03</v>
      </c>
      <c r="AA244" s="135">
        <f t="shared" si="147"/>
        <v>0.52433915578529611</v>
      </c>
      <c r="AB244" s="120">
        <f t="shared" si="144"/>
        <v>-194.16</v>
      </c>
      <c r="AC244" s="135">
        <f t="shared" si="145"/>
        <v>0.52433915578529611</v>
      </c>
      <c r="AD244" s="110"/>
      <c r="AE244" s="110"/>
      <c r="AF244" s="110"/>
      <c r="AG244" s="121"/>
    </row>
    <row r="245" spans="1:33" s="53" customFormat="1" ht="11.25" customHeight="1" x14ac:dyDescent="0.15">
      <c r="A245" s="53" t="s">
        <v>152</v>
      </c>
      <c r="C245" s="54" t="s">
        <v>65</v>
      </c>
      <c r="D245" s="54">
        <v>2020</v>
      </c>
      <c r="E245" s="70">
        <v>43861</v>
      </c>
      <c r="F245" s="211"/>
      <c r="G245" s="55"/>
      <c r="H245" s="55"/>
      <c r="I245" s="55"/>
      <c r="J245" s="55"/>
      <c r="K245" s="106"/>
      <c r="L245" s="93"/>
      <c r="M245" s="93"/>
      <c r="N245" s="93"/>
      <c r="O245" s="73"/>
      <c r="P245" s="38">
        <f>SUM(P235:P244)</f>
        <v>260575.63000000003</v>
      </c>
      <c r="Q245" s="111"/>
      <c r="R245" s="38">
        <f>SUM(R235:R244)</f>
        <v>267.5</v>
      </c>
      <c r="S245" s="38">
        <f>SUM(S235:S244)</f>
        <v>11122.810000000001</v>
      </c>
      <c r="T245" s="38">
        <f>SUM(T235:T244)</f>
        <v>17175.14</v>
      </c>
      <c r="U245" s="38">
        <f>SUM(U235:U244)</f>
        <v>52201.96</v>
      </c>
      <c r="V245" s="221"/>
      <c r="W245" s="51">
        <f>SUM(S245:U245)</f>
        <v>80499.91</v>
      </c>
      <c r="X245" s="118">
        <f>IFERROR(S245/R245,"")</f>
        <v>41.580598130841125</v>
      </c>
      <c r="Y245" s="119">
        <f>U245/P245</f>
        <v>0.20033323914442802</v>
      </c>
      <c r="Z245" s="203">
        <f t="shared" si="146"/>
        <v>180075.72000000003</v>
      </c>
      <c r="AA245" s="57">
        <f t="shared" si="147"/>
        <v>0.69106892306084033</v>
      </c>
      <c r="AB245" s="120">
        <f t="shared" si="144"/>
        <v>-80499.91</v>
      </c>
      <c r="AC245" s="135">
        <f t="shared" si="145"/>
        <v>0.69106892306084033</v>
      </c>
      <c r="AG245" s="61"/>
    </row>
    <row r="246" spans="1:33" s="53" customFormat="1" ht="11.25" customHeight="1" x14ac:dyDescent="0.15">
      <c r="A246" s="53" t="s">
        <v>152</v>
      </c>
      <c r="C246" s="54" t="s">
        <v>66</v>
      </c>
      <c r="D246" s="54">
        <v>2020</v>
      </c>
      <c r="E246" s="70">
        <v>43861</v>
      </c>
      <c r="F246" s="211"/>
      <c r="G246" s="55"/>
      <c r="H246" s="55"/>
      <c r="I246" s="55"/>
      <c r="J246" s="55"/>
      <c r="K246" s="106"/>
      <c r="L246" s="58"/>
      <c r="M246" s="58"/>
      <c r="N246" s="58"/>
      <c r="O246" s="57">
        <f>((P228*O228)+(P229*O229)+(P232*O232)+(P233*O233))/P246</f>
        <v>0.55000000000000004</v>
      </c>
      <c r="P246" s="203">
        <f>SUM(P228,P229,P232,P233)</f>
        <v>186260</v>
      </c>
      <c r="Q246" s="111"/>
      <c r="R246" s="140">
        <f>SUM(R228,R229,R232,R233)</f>
        <v>100.5</v>
      </c>
      <c r="S246" s="140">
        <f>SUM(S228,S229,S232,S233)</f>
        <v>3562.17</v>
      </c>
      <c r="T246" s="140">
        <f>SUM(T228,T229,T232,T233)</f>
        <v>0</v>
      </c>
      <c r="U246" s="140">
        <f>SUM(U228,U229,U232,U233)</f>
        <v>46974.28</v>
      </c>
      <c r="V246" s="140"/>
      <c r="W246" s="209">
        <f>W228+W229+W232+W233</f>
        <v>50536.450000000004</v>
      </c>
      <c r="X246" s="118">
        <f>IFERROR(S246/R246,"")</f>
        <v>35.4444776119403</v>
      </c>
      <c r="Y246" s="119">
        <f>U246/P246</f>
        <v>0.25219735853108555</v>
      </c>
      <c r="Z246" s="209">
        <f>Z228+Z229+Z232+Z233</f>
        <v>135723.55000000002</v>
      </c>
      <c r="AA246" s="57">
        <f t="shared" si="147"/>
        <v>0.72867792333297554</v>
      </c>
      <c r="AB246" s="120">
        <f t="shared" si="144"/>
        <v>-50536.450000000004</v>
      </c>
      <c r="AC246" s="135">
        <f t="shared" si="145"/>
        <v>0.1786779233329755</v>
      </c>
      <c r="AG246" s="61"/>
    </row>
    <row r="247" spans="1:33" ht="11.25" customHeight="1" x14ac:dyDescent="0.15">
      <c r="A247" s="130" t="s">
        <v>53</v>
      </c>
      <c r="B247" s="130"/>
      <c r="C247" s="124"/>
      <c r="D247" s="124"/>
      <c r="E247" s="273"/>
      <c r="F247" s="124"/>
      <c r="G247" s="124"/>
      <c r="H247" s="124"/>
      <c r="I247" s="124"/>
      <c r="J247" s="124"/>
      <c r="K247" s="125"/>
      <c r="L247" s="129"/>
      <c r="M247" s="129"/>
      <c r="N247" s="129"/>
      <c r="O247" s="128"/>
      <c r="P247" s="129"/>
      <c r="Q247" s="124"/>
      <c r="R247" s="129"/>
      <c r="S247" s="129"/>
      <c r="T247" s="129"/>
      <c r="U247" s="129"/>
      <c r="V247" s="126"/>
      <c r="W247" s="49"/>
      <c r="X247" s="127"/>
      <c r="Y247" s="128"/>
      <c r="Z247" s="126"/>
      <c r="AA247" s="128"/>
      <c r="AB247" s="129"/>
      <c r="AC247" s="128"/>
      <c r="AD247" s="137"/>
      <c r="AE247" s="110"/>
      <c r="AF247" s="110"/>
      <c r="AG247" s="121"/>
    </row>
    <row r="248" spans="1:33" ht="11.25" customHeight="1" x14ac:dyDescent="0.15">
      <c r="A248" s="110" t="s">
        <v>174</v>
      </c>
      <c r="B248" s="110"/>
      <c r="C248" s="111" t="s">
        <v>175</v>
      </c>
      <c r="D248" s="111">
        <v>2021</v>
      </c>
      <c r="E248" s="146">
        <v>44286</v>
      </c>
      <c r="F248" s="111">
        <v>161958</v>
      </c>
      <c r="G248" s="111">
        <v>811002100</v>
      </c>
      <c r="H248" s="111">
        <v>4101</v>
      </c>
      <c r="I248" s="111" t="str">
        <f>MID(G248,2,1)</f>
        <v>1</v>
      </c>
      <c r="J248" s="111" t="str">
        <f>IF(I248="1","Small/Medium","Large")</f>
        <v>Small/Medium</v>
      </c>
      <c r="K248" s="147" t="s">
        <v>145</v>
      </c>
      <c r="L248" s="153">
        <f>P248</f>
        <v>5904</v>
      </c>
      <c r="M248" s="120">
        <f>L248*0.3</f>
        <v>1771.2</v>
      </c>
      <c r="N248" s="120">
        <f>L248-M248</f>
        <v>4132.8</v>
      </c>
      <c r="O248" s="150">
        <v>0.7</v>
      </c>
      <c r="P248" s="153">
        <v>5904</v>
      </c>
      <c r="Q248" s="111">
        <v>986</v>
      </c>
      <c r="R248" s="153">
        <v>10.75</v>
      </c>
      <c r="S248" s="153">
        <f>321.21+144.59</f>
        <v>465.79999999999995</v>
      </c>
      <c r="T248" s="153">
        <v>563.86</v>
      </c>
      <c r="U248" s="153">
        <v>493</v>
      </c>
      <c r="V248" s="131"/>
      <c r="W248" s="42">
        <f>SUM(S248:U248)</f>
        <v>1522.6599999999999</v>
      </c>
      <c r="X248" s="149">
        <f>S248/R248</f>
        <v>43.330232558139528</v>
      </c>
      <c r="Y248" s="150">
        <f>U248/P248</f>
        <v>8.3502710027100274E-2</v>
      </c>
      <c r="Z248" s="131">
        <f>P248-W248</f>
        <v>4381.34</v>
      </c>
      <c r="AA248" s="150">
        <f>Z248/P248</f>
        <v>0.74209688346883473</v>
      </c>
      <c r="AB248" s="120">
        <f t="shared" ref="AB248:AB250" si="148">M248-W248</f>
        <v>248.54000000000019</v>
      </c>
      <c r="AC248" s="135">
        <f t="shared" ref="AC248:AC250" si="149">AA248-O248</f>
        <v>4.2096883468834778E-2</v>
      </c>
      <c r="AD248" s="151"/>
      <c r="AE248" s="110"/>
      <c r="AF248" s="110"/>
      <c r="AG248" s="152"/>
    </row>
    <row r="249" spans="1:33" ht="11.25" customHeight="1" x14ac:dyDescent="0.15">
      <c r="A249" s="110" t="s">
        <v>174</v>
      </c>
      <c r="B249" s="110"/>
      <c r="C249" s="111" t="s">
        <v>175</v>
      </c>
      <c r="D249" s="111">
        <v>2021</v>
      </c>
      <c r="E249" s="146">
        <v>44286</v>
      </c>
      <c r="F249" s="111">
        <v>161958</v>
      </c>
      <c r="G249" s="111">
        <v>821002110</v>
      </c>
      <c r="H249" s="111">
        <v>4101</v>
      </c>
      <c r="I249" s="111" t="str">
        <f>MID(G249,2,1)</f>
        <v>2</v>
      </c>
      <c r="J249" s="111" t="str">
        <f>IF(I249="1","Small/Medium","Large")</f>
        <v>Large</v>
      </c>
      <c r="K249" s="147" t="s">
        <v>176</v>
      </c>
      <c r="L249" s="148">
        <f>P249</f>
        <v>10964.2</v>
      </c>
      <c r="M249" s="120">
        <f>L249*0.3</f>
        <v>3289.26</v>
      </c>
      <c r="N249" s="120">
        <f>L249-M249</f>
        <v>7674.9400000000005</v>
      </c>
      <c r="O249" s="150">
        <v>0.7</v>
      </c>
      <c r="P249" s="148">
        <v>10964.2</v>
      </c>
      <c r="Q249" s="111">
        <v>987</v>
      </c>
      <c r="R249" s="148">
        <v>10.75</v>
      </c>
      <c r="S249" s="148">
        <f>321.21+144.59</f>
        <v>465.79999999999995</v>
      </c>
      <c r="T249" s="148">
        <v>1047.17</v>
      </c>
      <c r="U249" s="148">
        <v>848.5</v>
      </c>
      <c r="V249" s="131"/>
      <c r="W249" s="52">
        <f>SUM(S249:U249)</f>
        <v>2361.4700000000003</v>
      </c>
      <c r="X249" s="149">
        <f>S249/R249</f>
        <v>43.330232558139528</v>
      </c>
      <c r="Y249" s="150">
        <f>U249/P249</f>
        <v>7.7388227139234961E-2</v>
      </c>
      <c r="Z249" s="131">
        <f>P249-W249</f>
        <v>8602.73</v>
      </c>
      <c r="AA249" s="150">
        <f>Z249/P249</f>
        <v>0.78461994491162135</v>
      </c>
      <c r="AB249" s="120">
        <f t="shared" si="148"/>
        <v>927.79</v>
      </c>
      <c r="AC249" s="135">
        <f t="shared" si="149"/>
        <v>8.4619944911621392E-2</v>
      </c>
      <c r="AD249" s="151"/>
      <c r="AE249" s="110"/>
      <c r="AF249" s="110"/>
      <c r="AG249" s="152"/>
    </row>
    <row r="250" spans="1:33" s="53" customFormat="1" ht="11.25" customHeight="1" x14ac:dyDescent="0.15">
      <c r="A250" s="53" t="s">
        <v>174</v>
      </c>
      <c r="C250" s="54" t="s">
        <v>177</v>
      </c>
      <c r="D250" s="54">
        <v>2021</v>
      </c>
      <c r="E250" s="70">
        <v>44286</v>
      </c>
      <c r="F250" s="54"/>
      <c r="G250" s="54"/>
      <c r="H250" s="54"/>
      <c r="I250" s="54"/>
      <c r="J250" s="54"/>
      <c r="K250" s="106"/>
      <c r="L250" s="109"/>
      <c r="M250" s="109"/>
      <c r="N250" s="109"/>
      <c r="O250" s="115"/>
      <c r="P250" s="39">
        <f>SUM(P248:P249)</f>
        <v>16868.2</v>
      </c>
      <c r="Q250" s="111"/>
      <c r="R250" s="39">
        <f>SUM(R248:R249)</f>
        <v>21.5</v>
      </c>
      <c r="S250" s="39">
        <f>SUM(S248:S249)</f>
        <v>931.59999999999991</v>
      </c>
      <c r="T250" s="39">
        <f>SUM(T248:T249)</f>
        <v>1611.0300000000002</v>
      </c>
      <c r="U250" s="39">
        <f>SUM(U248:U249)</f>
        <v>1341.5</v>
      </c>
      <c r="V250" s="131"/>
      <c r="W250" s="40">
        <f>SUM(S250:U250)</f>
        <v>3884.13</v>
      </c>
      <c r="X250" s="149">
        <f>S250/R250</f>
        <v>43.330232558139528</v>
      </c>
      <c r="Y250" s="150">
        <f>U250/P250</f>
        <v>7.9528343273141178E-2</v>
      </c>
      <c r="Z250" s="116">
        <f>P250-W250</f>
        <v>12984.07</v>
      </c>
      <c r="AA250" s="115">
        <f>Z250/P250</f>
        <v>0.76973654568952221</v>
      </c>
      <c r="AB250" s="120">
        <f t="shared" si="148"/>
        <v>-3884.13</v>
      </c>
      <c r="AC250" s="135">
        <f t="shared" si="149"/>
        <v>0.76973654568952221</v>
      </c>
      <c r="AD250" s="204"/>
      <c r="AG250" s="205"/>
    </row>
    <row r="251" spans="1:33" ht="11.25" customHeight="1" x14ac:dyDescent="0.15">
      <c r="A251" s="130" t="s">
        <v>53</v>
      </c>
      <c r="B251" s="130"/>
      <c r="C251" s="124"/>
      <c r="D251" s="124"/>
      <c r="E251" s="273"/>
      <c r="F251" s="124"/>
      <c r="G251" s="124"/>
      <c r="H251" s="124"/>
      <c r="I251" s="124"/>
      <c r="J251" s="124"/>
      <c r="K251" s="125"/>
      <c r="L251" s="129"/>
      <c r="M251" s="129"/>
      <c r="N251" s="129"/>
      <c r="O251" s="128"/>
      <c r="P251" s="129"/>
      <c r="Q251" s="124"/>
      <c r="R251" s="129"/>
      <c r="S251" s="129"/>
      <c r="T251" s="129"/>
      <c r="U251" s="129"/>
      <c r="V251" s="126"/>
      <c r="W251" s="49"/>
      <c r="X251" s="127"/>
      <c r="Y251" s="128"/>
      <c r="Z251" s="126"/>
      <c r="AA251" s="128"/>
      <c r="AB251" s="129"/>
      <c r="AC251" s="128"/>
      <c r="AD251" s="137"/>
      <c r="AE251" s="110"/>
      <c r="AF251" s="110"/>
      <c r="AG251" s="121"/>
    </row>
    <row r="252" spans="1:33" ht="11.25" customHeight="1" x14ac:dyDescent="0.15">
      <c r="A252" s="110" t="s">
        <v>36</v>
      </c>
      <c r="B252" s="110"/>
      <c r="C252" s="111" t="s">
        <v>175</v>
      </c>
      <c r="D252" s="111">
        <v>2021</v>
      </c>
      <c r="E252" s="146">
        <v>44227</v>
      </c>
      <c r="F252" s="111">
        <v>162078</v>
      </c>
      <c r="G252" s="111">
        <v>810000111</v>
      </c>
      <c r="H252" s="111">
        <v>4111</v>
      </c>
      <c r="I252" s="111" t="str">
        <f>MID(G252,2,1)</f>
        <v>1</v>
      </c>
      <c r="J252" s="111" t="str">
        <f>IF(I252="1","Small/Medium","Large")</f>
        <v>Small/Medium</v>
      </c>
      <c r="K252" s="147" t="s">
        <v>145</v>
      </c>
      <c r="L252" s="148">
        <f>P252</f>
        <v>14760</v>
      </c>
      <c r="M252" s="120">
        <f>L252*0.3</f>
        <v>4428</v>
      </c>
      <c r="N252" s="120">
        <f>L252-M252</f>
        <v>10332</v>
      </c>
      <c r="O252" s="150">
        <v>0.7</v>
      </c>
      <c r="P252" s="153">
        <v>14760</v>
      </c>
      <c r="Q252" s="111">
        <v>1067</v>
      </c>
      <c r="R252" s="153">
        <v>45.5</v>
      </c>
      <c r="S252" s="153">
        <f>1359.54+611.98</f>
        <v>1971.52</v>
      </c>
      <c r="T252" s="153">
        <v>910.66</v>
      </c>
      <c r="U252" s="153">
        <v>361</v>
      </c>
      <c r="V252" s="131"/>
      <c r="W252" s="52">
        <f>SUM(S252:U252)</f>
        <v>3243.18</v>
      </c>
      <c r="X252" s="149">
        <f>S252/R252</f>
        <v>43.330109890109888</v>
      </c>
      <c r="Y252" s="150">
        <f>U252/P252</f>
        <v>2.44579945799458E-2</v>
      </c>
      <c r="Z252" s="131">
        <f>P252-W252</f>
        <v>11516.82</v>
      </c>
      <c r="AA252" s="150">
        <f>Z252/P252</f>
        <v>0.78027235772357717</v>
      </c>
      <c r="AB252" s="120">
        <f t="shared" ref="AB252:AB253" si="150">M252-W252</f>
        <v>1184.8200000000002</v>
      </c>
      <c r="AC252" s="135">
        <f t="shared" ref="AC252:AC253" si="151">AA252-O252</f>
        <v>8.0272357723577215E-2</v>
      </c>
      <c r="AD252" s="151"/>
      <c r="AE252" s="110"/>
      <c r="AF252" s="110"/>
      <c r="AG252" s="152"/>
    </row>
    <row r="253" spans="1:33" s="53" customFormat="1" ht="11.25" customHeight="1" x14ac:dyDescent="0.15">
      <c r="A253" s="53" t="s">
        <v>36</v>
      </c>
      <c r="C253" s="54" t="s">
        <v>177</v>
      </c>
      <c r="D253" s="54">
        <v>2021</v>
      </c>
      <c r="E253" s="70">
        <v>44227</v>
      </c>
      <c r="F253" s="54"/>
      <c r="G253" s="54"/>
      <c r="H253" s="54"/>
      <c r="I253" s="54"/>
      <c r="J253" s="54"/>
      <c r="K253" s="106"/>
      <c r="L253" s="109"/>
      <c r="M253" s="109"/>
      <c r="N253" s="109"/>
      <c r="O253" s="115"/>
      <c r="P253" s="39">
        <f>SUM(P252)</f>
        <v>14760</v>
      </c>
      <c r="Q253" s="111"/>
      <c r="R253" s="39">
        <f>SUM(R252)</f>
        <v>45.5</v>
      </c>
      <c r="S253" s="39">
        <f>SUM(S252)</f>
        <v>1971.52</v>
      </c>
      <c r="T253" s="39">
        <f>SUM(T252)</f>
        <v>910.66</v>
      </c>
      <c r="U253" s="39">
        <f>SUM(U252)</f>
        <v>361</v>
      </c>
      <c r="V253" s="131"/>
      <c r="W253" s="40">
        <f>SUM(S253:U253)</f>
        <v>3243.18</v>
      </c>
      <c r="X253" s="149">
        <f>S253/R253</f>
        <v>43.330109890109888</v>
      </c>
      <c r="Y253" s="150">
        <f>U253/P253</f>
        <v>2.44579945799458E-2</v>
      </c>
      <c r="Z253" s="116">
        <f>P253-W253</f>
        <v>11516.82</v>
      </c>
      <c r="AA253" s="115">
        <f>Z253/P253</f>
        <v>0.78027235772357717</v>
      </c>
      <c r="AB253" s="120">
        <f t="shared" si="150"/>
        <v>-3243.18</v>
      </c>
      <c r="AC253" s="135">
        <f t="shared" si="151"/>
        <v>0.78027235772357717</v>
      </c>
      <c r="AD253" s="204"/>
      <c r="AG253" s="205"/>
    </row>
    <row r="254" spans="1:33" ht="11.25" customHeight="1" x14ac:dyDescent="0.15">
      <c r="A254" s="130" t="s">
        <v>53</v>
      </c>
      <c r="B254" s="130"/>
      <c r="C254" s="124"/>
      <c r="D254" s="124"/>
      <c r="E254" s="273"/>
      <c r="F254" s="124"/>
      <c r="G254" s="124"/>
      <c r="H254" s="124"/>
      <c r="I254" s="124"/>
      <c r="J254" s="124"/>
      <c r="K254" s="125"/>
      <c r="L254" s="129"/>
      <c r="M254" s="129"/>
      <c r="N254" s="129"/>
      <c r="O254" s="128"/>
      <c r="P254" s="129"/>
      <c r="Q254" s="124"/>
      <c r="R254" s="129"/>
      <c r="S254" s="129"/>
      <c r="T254" s="129"/>
      <c r="U254" s="129"/>
      <c r="V254" s="126"/>
      <c r="W254" s="49"/>
      <c r="X254" s="127"/>
      <c r="Y254" s="128"/>
      <c r="Z254" s="126"/>
      <c r="AA254" s="128"/>
      <c r="AB254" s="129"/>
      <c r="AC254" s="128"/>
      <c r="AD254" s="137"/>
      <c r="AE254" s="110"/>
      <c r="AF254" s="110"/>
      <c r="AG254" s="121"/>
    </row>
    <row r="255" spans="1:33" ht="11.25" customHeight="1" x14ac:dyDescent="0.15">
      <c r="A255" s="110" t="s">
        <v>178</v>
      </c>
      <c r="B255" s="110"/>
      <c r="C255" s="111" t="s">
        <v>175</v>
      </c>
      <c r="D255" s="111">
        <v>2021</v>
      </c>
      <c r="E255" s="146">
        <v>44227</v>
      </c>
      <c r="F255" s="111">
        <v>162079</v>
      </c>
      <c r="G255" s="111">
        <v>811000111</v>
      </c>
      <c r="H255" s="111">
        <v>4101</v>
      </c>
      <c r="I255" s="111" t="str">
        <f>MID(G255,2,1)</f>
        <v>1</v>
      </c>
      <c r="J255" s="111" t="str">
        <f>IF(I255="1","Small/Medium","Large")</f>
        <v>Small/Medium</v>
      </c>
      <c r="K255" s="147" t="s">
        <v>145</v>
      </c>
      <c r="L255" s="153">
        <f>P255</f>
        <v>20512</v>
      </c>
      <c r="M255" s="120">
        <f>L255*0.3</f>
        <v>6153.5999999999995</v>
      </c>
      <c r="N255" s="120">
        <f>L255-M255</f>
        <v>14358.400000000001</v>
      </c>
      <c r="O255" s="156">
        <v>0.7</v>
      </c>
      <c r="P255" s="153">
        <v>20512</v>
      </c>
      <c r="Q255" s="111">
        <v>1076</v>
      </c>
      <c r="R255" s="153">
        <v>69</v>
      </c>
      <c r="S255" s="153">
        <f>2061.72+928.06</f>
        <v>2989.7799999999997</v>
      </c>
      <c r="T255" s="153">
        <v>1592.19</v>
      </c>
      <c r="U255" s="153">
        <v>0</v>
      </c>
      <c r="V255" s="154"/>
      <c r="W255" s="42">
        <f>SUM(S255:U255)</f>
        <v>4581.9699999999993</v>
      </c>
      <c r="X255" s="155">
        <f>S255/R255</f>
        <v>43.330144927536232</v>
      </c>
      <c r="Y255" s="156">
        <f>U255/P255</f>
        <v>0</v>
      </c>
      <c r="Z255" s="154">
        <f>P255-W255</f>
        <v>15930.03</v>
      </c>
      <c r="AA255" s="156">
        <f>Z255/P255</f>
        <v>0.77662002730109203</v>
      </c>
      <c r="AB255" s="120">
        <f t="shared" ref="AB255:AB256" si="152">M255-W255</f>
        <v>1571.63</v>
      </c>
      <c r="AC255" s="135">
        <f t="shared" ref="AC255:AC256" si="153">AA255-O255</f>
        <v>7.6620027301092075E-2</v>
      </c>
      <c r="AD255" s="157"/>
      <c r="AE255" s="110"/>
      <c r="AF255" s="110"/>
      <c r="AG255" s="158"/>
    </row>
    <row r="256" spans="1:33" s="53" customFormat="1" ht="11.25" customHeight="1" x14ac:dyDescent="0.15">
      <c r="A256" s="53" t="s">
        <v>178</v>
      </c>
      <c r="C256" s="54" t="s">
        <v>177</v>
      </c>
      <c r="D256" s="54">
        <v>2021</v>
      </c>
      <c r="E256" s="70">
        <v>44227</v>
      </c>
      <c r="F256" s="54"/>
      <c r="G256" s="54"/>
      <c r="H256" s="54"/>
      <c r="I256" s="54"/>
      <c r="J256" s="54"/>
      <c r="K256" s="106"/>
      <c r="L256" s="109"/>
      <c r="M256" s="109"/>
      <c r="N256" s="109"/>
      <c r="O256" s="94"/>
      <c r="P256" s="39">
        <f>SUM(P255)</f>
        <v>20512</v>
      </c>
      <c r="Q256" s="111"/>
      <c r="R256" s="39">
        <f>SUM(R255)</f>
        <v>69</v>
      </c>
      <c r="S256" s="39">
        <f>SUM(S255)</f>
        <v>2989.7799999999997</v>
      </c>
      <c r="T256" s="39">
        <f>SUM(T255)</f>
        <v>1592.19</v>
      </c>
      <c r="U256" s="39">
        <f>SUM(U255)</f>
        <v>0</v>
      </c>
      <c r="V256" s="131"/>
      <c r="W256" s="40">
        <f>SUM(S256:U256)</f>
        <v>4581.9699999999993</v>
      </c>
      <c r="X256" s="155">
        <f>S256/R256</f>
        <v>43.330144927536232</v>
      </c>
      <c r="Y256" s="156">
        <f>U256/P256</f>
        <v>0</v>
      </c>
      <c r="Z256" s="206">
        <f>P256-W256</f>
        <v>15930.03</v>
      </c>
      <c r="AA256" s="94">
        <f>Z256/P256</f>
        <v>0.77662002730109203</v>
      </c>
      <c r="AB256" s="120">
        <f t="shared" si="152"/>
        <v>-4581.9699999999993</v>
      </c>
      <c r="AC256" s="135">
        <f t="shared" si="153"/>
        <v>0.77662002730109203</v>
      </c>
      <c r="AD256" s="204"/>
      <c r="AG256" s="205"/>
    </row>
    <row r="257" spans="1:33" ht="11.25" customHeight="1" x14ac:dyDescent="0.15">
      <c r="A257" s="130" t="s">
        <v>53</v>
      </c>
      <c r="B257" s="130"/>
      <c r="C257" s="124"/>
      <c r="D257" s="124"/>
      <c r="E257" s="273"/>
      <c r="F257" s="124"/>
      <c r="G257" s="124"/>
      <c r="H257" s="124"/>
      <c r="I257" s="124"/>
      <c r="J257" s="124"/>
      <c r="K257" s="125"/>
      <c r="L257" s="129"/>
      <c r="M257" s="129"/>
      <c r="N257" s="129"/>
      <c r="O257" s="128"/>
      <c r="P257" s="129"/>
      <c r="Q257" s="124"/>
      <c r="R257" s="129"/>
      <c r="S257" s="129"/>
      <c r="T257" s="129"/>
      <c r="U257" s="129"/>
      <c r="V257" s="126"/>
      <c r="W257" s="49"/>
      <c r="X257" s="127"/>
      <c r="Y257" s="128"/>
      <c r="Z257" s="126"/>
      <c r="AA257" s="128"/>
      <c r="AB257" s="129"/>
      <c r="AC257" s="128"/>
      <c r="AD257" s="137"/>
      <c r="AE257" s="110"/>
      <c r="AF257" s="110"/>
      <c r="AG257" s="121"/>
    </row>
    <row r="258" spans="1:33" ht="11.25" customHeight="1" x14ac:dyDescent="0.15">
      <c r="A258" s="110" t="s">
        <v>179</v>
      </c>
      <c r="B258" s="110"/>
      <c r="C258" s="111" t="s">
        <v>180</v>
      </c>
      <c r="D258" s="111">
        <v>2021</v>
      </c>
      <c r="E258" s="146">
        <v>44286</v>
      </c>
      <c r="F258" s="111">
        <v>162287</v>
      </c>
      <c r="G258" s="20">
        <v>910100311</v>
      </c>
      <c r="H258" s="20"/>
      <c r="I258" s="20"/>
      <c r="J258" s="20"/>
      <c r="K258" s="112" t="s">
        <v>181</v>
      </c>
      <c r="L258" s="120">
        <v>58674</v>
      </c>
      <c r="M258" s="120">
        <v>10000</v>
      </c>
      <c r="N258" s="120">
        <f>L258-M258</f>
        <v>48674</v>
      </c>
      <c r="O258" s="135">
        <f>N258/L258</f>
        <v>0.82956675870061691</v>
      </c>
      <c r="P258" s="117">
        <v>58674</v>
      </c>
      <c r="Q258" s="111">
        <v>1085</v>
      </c>
      <c r="R258" s="117">
        <v>8</v>
      </c>
      <c r="S258" s="117">
        <f>247.29+111.29</f>
        <v>358.58</v>
      </c>
      <c r="T258" s="117"/>
      <c r="U258" s="117">
        <v>9994.7999999999993</v>
      </c>
      <c r="V258" s="117"/>
      <c r="W258" s="26">
        <f>SUM(S258:U258)</f>
        <v>10353.379999999999</v>
      </c>
      <c r="X258" s="118">
        <f t="shared" ref="X258:X265" si="154">IFERROR(S258/R258,"")</f>
        <v>44.822499999999998</v>
      </c>
      <c r="Y258" s="119">
        <f>U258/P258</f>
        <v>0.17034461601390735</v>
      </c>
      <c r="Z258" s="117">
        <f>P258-W258</f>
        <v>48320.62</v>
      </c>
      <c r="AA258" s="119">
        <f>Z258/P258</f>
        <v>0.82354398881957946</v>
      </c>
      <c r="AB258" s="120">
        <f t="shared" ref="AB258:AB265" si="155">M258-W258</f>
        <v>-353.3799999999992</v>
      </c>
      <c r="AC258" s="135">
        <f t="shared" ref="AC258:AC263" si="156">AA258-O258</f>
        <v>-6.0227698810374486E-3</v>
      </c>
      <c r="AD258" s="159" t="s">
        <v>182</v>
      </c>
      <c r="AE258" s="110"/>
      <c r="AF258" s="110"/>
      <c r="AG258" s="121"/>
    </row>
    <row r="259" spans="1:33" ht="11.25" customHeight="1" x14ac:dyDescent="0.15">
      <c r="A259" s="110" t="s">
        <v>179</v>
      </c>
      <c r="B259" s="110"/>
      <c r="C259" s="111" t="s">
        <v>47</v>
      </c>
      <c r="D259" s="111">
        <v>2021</v>
      </c>
      <c r="E259" s="146">
        <v>44286</v>
      </c>
      <c r="F259" s="111">
        <v>162287</v>
      </c>
      <c r="G259" s="20">
        <v>510101111</v>
      </c>
      <c r="H259" s="20"/>
      <c r="I259" s="20"/>
      <c r="J259" s="20"/>
      <c r="K259" s="112" t="s">
        <v>81</v>
      </c>
      <c r="L259" s="120">
        <v>7840</v>
      </c>
      <c r="M259" s="120">
        <v>3920</v>
      </c>
      <c r="N259" s="120">
        <f>L259-M259</f>
        <v>3920</v>
      </c>
      <c r="O259" s="135">
        <f>N259/L259</f>
        <v>0.5</v>
      </c>
      <c r="P259" s="117">
        <v>7840</v>
      </c>
      <c r="Q259" s="111">
        <v>1086</v>
      </c>
      <c r="R259" s="117">
        <v>65</v>
      </c>
      <c r="S259" s="117">
        <f>2009.15+904.15</f>
        <v>2913.3</v>
      </c>
      <c r="T259" s="117">
        <v>3067.86</v>
      </c>
      <c r="U259" s="117">
        <v>1374.86</v>
      </c>
      <c r="V259" s="117"/>
      <c r="W259" s="26">
        <f>SUM(S259:U259)</f>
        <v>7356.0199999999995</v>
      </c>
      <c r="X259" s="118">
        <f t="shared" si="154"/>
        <v>44.82</v>
      </c>
      <c r="Y259" s="119">
        <f>U259/P259</f>
        <v>0.17536479591836734</v>
      </c>
      <c r="Z259" s="117">
        <f>P259-W259</f>
        <v>483.98000000000047</v>
      </c>
      <c r="AA259" s="119">
        <f>Z259/P259</f>
        <v>6.1732142857142916E-2</v>
      </c>
      <c r="AB259" s="120">
        <f t="shared" si="155"/>
        <v>-3436.0199999999995</v>
      </c>
      <c r="AC259" s="135">
        <f t="shared" si="156"/>
        <v>-0.4382678571428571</v>
      </c>
      <c r="AD259" s="159" t="s">
        <v>183</v>
      </c>
      <c r="AE259" s="110"/>
      <c r="AF259" s="110"/>
      <c r="AG259" s="121"/>
    </row>
    <row r="260" spans="1:33" s="53" customFormat="1" ht="11.25" customHeight="1" x14ac:dyDescent="0.15">
      <c r="A260" s="53" t="s">
        <v>179</v>
      </c>
      <c r="C260" s="54" t="s">
        <v>54</v>
      </c>
      <c r="D260" s="54">
        <v>2021</v>
      </c>
      <c r="E260" s="70">
        <v>44286</v>
      </c>
      <c r="F260" s="54"/>
      <c r="G260" s="55"/>
      <c r="H260" s="55"/>
      <c r="I260" s="55"/>
      <c r="J260" s="55"/>
      <c r="K260" s="106"/>
      <c r="L260" s="25">
        <f>SUM(L258:L259)</f>
        <v>66514</v>
      </c>
      <c r="M260" s="25">
        <f>SUM(M258:M259)</f>
        <v>13920</v>
      </c>
      <c r="N260" s="25">
        <f>SUM(N258:N259)</f>
        <v>52594</v>
      </c>
      <c r="O260" s="59">
        <f>N260/L260</f>
        <v>0.79072075051868784</v>
      </c>
      <c r="P260" s="24">
        <f>SUM(P258:P259)</f>
        <v>66514</v>
      </c>
      <c r="Q260" s="54"/>
      <c r="R260" s="24">
        <f>SUM(R258:R259)</f>
        <v>73</v>
      </c>
      <c r="S260" s="24">
        <f>SUM(S258:S259)</f>
        <v>3271.88</v>
      </c>
      <c r="T260" s="24">
        <f>SUM(T258:T259)</f>
        <v>3067.86</v>
      </c>
      <c r="U260" s="24">
        <f>SUM(U258:U259)</f>
        <v>11369.66</v>
      </c>
      <c r="V260" s="28"/>
      <c r="W260" s="25">
        <f>SUM(S260:U260)</f>
        <v>17709.400000000001</v>
      </c>
      <c r="X260" s="56">
        <f t="shared" si="154"/>
        <v>44.820273972602742</v>
      </c>
      <c r="Y260" s="57">
        <f>U260/P260</f>
        <v>0.17093634422828277</v>
      </c>
      <c r="Z260" s="28">
        <f>P260-W260</f>
        <v>48804.6</v>
      </c>
      <c r="AA260" s="57">
        <f>Z260/P260</f>
        <v>0.73374928586462995</v>
      </c>
      <c r="AB260" s="120">
        <f t="shared" si="155"/>
        <v>-3789.4000000000015</v>
      </c>
      <c r="AC260" s="135">
        <f t="shared" si="156"/>
        <v>-5.6971464654057891E-2</v>
      </c>
      <c r="AD260" s="60"/>
      <c r="AG260" s="61"/>
    </row>
    <row r="261" spans="1:33" ht="11.25" customHeight="1" x14ac:dyDescent="0.15">
      <c r="A261" s="110" t="s">
        <v>179</v>
      </c>
      <c r="B261" s="110"/>
      <c r="C261" s="111" t="s">
        <v>55</v>
      </c>
      <c r="D261" s="111">
        <v>2021</v>
      </c>
      <c r="E261" s="146">
        <v>44286</v>
      </c>
      <c r="F261" s="111">
        <v>162287</v>
      </c>
      <c r="G261" s="111" t="s">
        <v>56</v>
      </c>
      <c r="H261" s="111"/>
      <c r="I261" s="111"/>
      <c r="J261" s="111"/>
      <c r="K261" s="112" t="s">
        <v>71</v>
      </c>
      <c r="L261" s="120">
        <v>10880</v>
      </c>
      <c r="M261" s="120">
        <v>5440</v>
      </c>
      <c r="N261" s="120">
        <f>L261-M261</f>
        <v>5440</v>
      </c>
      <c r="O261" s="135">
        <f>N261/L261</f>
        <v>0.5</v>
      </c>
      <c r="P261" s="117">
        <v>10880</v>
      </c>
      <c r="Q261" s="111">
        <v>1087</v>
      </c>
      <c r="R261" s="117">
        <v>3</v>
      </c>
      <c r="S261" s="117">
        <f>82.5+37.14</f>
        <v>119.64</v>
      </c>
      <c r="T261" s="117">
        <v>1160.71</v>
      </c>
      <c r="U261" s="117"/>
      <c r="V261" s="117"/>
      <c r="W261" s="26">
        <f>SUM(S261:U261)</f>
        <v>1280.3500000000001</v>
      </c>
      <c r="X261" s="118">
        <f t="shared" si="154"/>
        <v>39.880000000000003</v>
      </c>
      <c r="Y261" s="119">
        <f>U261/P261</f>
        <v>0</v>
      </c>
      <c r="Z261" s="117">
        <f>P261-W261</f>
        <v>9599.65</v>
      </c>
      <c r="AA261" s="119">
        <f>Z261/P261</f>
        <v>0.88232077205882353</v>
      </c>
      <c r="AB261" s="120">
        <f t="shared" si="155"/>
        <v>4159.6499999999996</v>
      </c>
      <c r="AC261" s="135">
        <f t="shared" si="156"/>
        <v>0.38232077205882353</v>
      </c>
      <c r="AD261" s="159"/>
      <c r="AE261" s="110"/>
      <c r="AF261" s="110"/>
      <c r="AG261" s="121"/>
    </row>
    <row r="262" spans="1:33" ht="11.25" customHeight="1" x14ac:dyDescent="0.15">
      <c r="A262" s="110" t="s">
        <v>179</v>
      </c>
      <c r="B262" s="110"/>
      <c r="C262" s="111" t="s">
        <v>58</v>
      </c>
      <c r="D262" s="111">
        <v>2021</v>
      </c>
      <c r="E262" s="146">
        <v>44286</v>
      </c>
      <c r="F262" s="111">
        <v>162287</v>
      </c>
      <c r="G262" s="20" t="s">
        <v>184</v>
      </c>
      <c r="H262" s="20"/>
      <c r="I262" s="20"/>
      <c r="J262" s="20"/>
      <c r="K262" s="112" t="s">
        <v>185</v>
      </c>
      <c r="L262" s="120">
        <f>P262</f>
        <v>25462</v>
      </c>
      <c r="M262" s="120"/>
      <c r="N262" s="120"/>
      <c r="O262" s="119"/>
      <c r="P262" s="117">
        <v>25462</v>
      </c>
      <c r="Q262" s="111"/>
      <c r="R262" s="117"/>
      <c r="S262" s="117"/>
      <c r="T262" s="117"/>
      <c r="U262" s="117"/>
      <c r="V262" s="117"/>
      <c r="X262" s="118" t="str">
        <f t="shared" si="154"/>
        <v/>
      </c>
      <c r="Y262" s="119"/>
      <c r="Z262" s="117"/>
      <c r="AA262" s="119"/>
      <c r="AB262" s="120">
        <f t="shared" si="155"/>
        <v>0</v>
      </c>
      <c r="AC262" s="135">
        <f t="shared" si="156"/>
        <v>0</v>
      </c>
      <c r="AD262" s="110"/>
      <c r="AE262" s="110"/>
      <c r="AF262" s="110"/>
      <c r="AG262" s="121"/>
    </row>
    <row r="263" spans="1:33" ht="11.25" customHeight="1" x14ac:dyDescent="0.15">
      <c r="A263" s="110" t="s">
        <v>179</v>
      </c>
      <c r="B263" s="110"/>
      <c r="C263" s="111" t="s">
        <v>61</v>
      </c>
      <c r="D263" s="111">
        <v>2021</v>
      </c>
      <c r="E263" s="146">
        <v>44286</v>
      </c>
      <c r="F263" s="111">
        <v>162287</v>
      </c>
      <c r="G263" s="111" t="s">
        <v>186</v>
      </c>
      <c r="H263" s="111"/>
      <c r="I263" s="111" t="str">
        <f>MID(G263,3,1)</f>
        <v>1</v>
      </c>
      <c r="J263" s="111" t="str">
        <f>IF(I263="1","Small/Medium","Large")</f>
        <v>Small/Medium</v>
      </c>
      <c r="K263" s="112" t="s">
        <v>102</v>
      </c>
      <c r="L263" s="120">
        <v>9680</v>
      </c>
      <c r="M263" s="120">
        <f>L263*0.3</f>
        <v>2904</v>
      </c>
      <c r="N263" s="120">
        <f>L263-M263</f>
        <v>6776</v>
      </c>
      <c r="O263" s="135">
        <f>N263/L263</f>
        <v>0.7</v>
      </c>
      <c r="P263" s="117">
        <v>9680</v>
      </c>
      <c r="Q263" s="111"/>
      <c r="R263" s="117"/>
      <c r="S263" s="117"/>
      <c r="T263" s="117"/>
      <c r="U263" s="117"/>
      <c r="V263" s="117"/>
      <c r="W263" s="26">
        <f>SUM(S263:V263)</f>
        <v>0</v>
      </c>
      <c r="X263" s="118" t="str">
        <f t="shared" si="154"/>
        <v/>
      </c>
      <c r="Y263" s="119">
        <f>U263/P263</f>
        <v>0</v>
      </c>
      <c r="Z263" s="117">
        <f>P263-W263</f>
        <v>9680</v>
      </c>
      <c r="AA263" s="119">
        <f>Z263/P263</f>
        <v>1</v>
      </c>
      <c r="AB263" s="120">
        <f t="shared" si="155"/>
        <v>2904</v>
      </c>
      <c r="AC263" s="135">
        <f t="shared" si="156"/>
        <v>0.30000000000000004</v>
      </c>
      <c r="AD263" s="110"/>
      <c r="AE263" s="110"/>
      <c r="AF263" s="110"/>
      <c r="AG263" s="121"/>
    </row>
    <row r="264" spans="1:33" s="53" customFormat="1" ht="11.25" customHeight="1" x14ac:dyDescent="0.15">
      <c r="A264" s="53" t="s">
        <v>179</v>
      </c>
      <c r="C264" s="54" t="s">
        <v>65</v>
      </c>
      <c r="D264" s="54">
        <v>2021</v>
      </c>
      <c r="E264" s="70">
        <v>44286</v>
      </c>
      <c r="F264" s="54"/>
      <c r="G264" s="54"/>
      <c r="H264" s="54"/>
      <c r="I264" s="54"/>
      <c r="J264" s="54"/>
      <c r="K264" s="106"/>
      <c r="L264" s="24">
        <f>SUM(L260:L263)</f>
        <v>112536</v>
      </c>
      <c r="M264" s="24">
        <f>SUM(M260:M263)</f>
        <v>22264</v>
      </c>
      <c r="N264" s="24">
        <f>SUM(N260:N263)</f>
        <v>64810</v>
      </c>
      <c r="O264" s="59">
        <f>N264/L264</f>
        <v>0.57590459941707539</v>
      </c>
      <c r="P264" s="24">
        <f>SUM(P260:P263)</f>
        <v>112536</v>
      </c>
      <c r="Q264" s="54"/>
      <c r="R264" s="24">
        <f>SUM(R260:R263)</f>
        <v>76</v>
      </c>
      <c r="S264" s="24">
        <f>SUM(S260:S263)</f>
        <v>3391.52</v>
      </c>
      <c r="T264" s="24">
        <f>SUM(T260:T263)</f>
        <v>4228.57</v>
      </c>
      <c r="U264" s="24">
        <f>SUM(U260:U263)</f>
        <v>11369.66</v>
      </c>
      <c r="V264" s="28"/>
      <c r="W264" s="24">
        <f>SUM(W260:W263)</f>
        <v>18989.75</v>
      </c>
      <c r="X264" s="56">
        <f t="shared" si="154"/>
        <v>44.625263157894736</v>
      </c>
      <c r="Y264" s="57">
        <f>U264/P264</f>
        <v>0.10103131442382882</v>
      </c>
      <c r="Z264" s="28">
        <f>P264-W264</f>
        <v>93546.25</v>
      </c>
      <c r="AA264" s="57">
        <f>Z264/P264</f>
        <v>0.83125622023174806</v>
      </c>
      <c r="AB264" s="120">
        <f t="shared" si="155"/>
        <v>3274.25</v>
      </c>
      <c r="AC264" s="59">
        <f>AA264-O264</f>
        <v>0.25535162081467266</v>
      </c>
      <c r="AG264" s="61"/>
    </row>
    <row r="265" spans="1:33" s="53" customFormat="1" ht="11.25" customHeight="1" x14ac:dyDescent="0.15">
      <c r="A265" s="53" t="s">
        <v>179</v>
      </c>
      <c r="C265" s="54" t="s">
        <v>177</v>
      </c>
      <c r="D265" s="54">
        <v>2021</v>
      </c>
      <c r="E265" s="70">
        <v>44286</v>
      </c>
      <c r="F265" s="54"/>
      <c r="G265" s="54"/>
      <c r="H265" s="54"/>
      <c r="I265" s="54"/>
      <c r="J265" s="54"/>
      <c r="K265" s="106"/>
      <c r="L265" s="93"/>
      <c r="M265" s="93"/>
      <c r="N265" s="93"/>
      <c r="O265" s="73">
        <f>(P258*O258)/P265</f>
        <v>0.82956675870061691</v>
      </c>
      <c r="P265" s="64">
        <f>P258</f>
        <v>58674</v>
      </c>
      <c r="Q265" s="54"/>
      <c r="R265" s="64">
        <f>R258</f>
        <v>8</v>
      </c>
      <c r="S265" s="64">
        <f>S258</f>
        <v>358.58</v>
      </c>
      <c r="T265" s="64">
        <f>T258</f>
        <v>0</v>
      </c>
      <c r="U265" s="64">
        <f>U258</f>
        <v>9994.7999999999993</v>
      </c>
      <c r="V265" s="64"/>
      <c r="W265" s="68">
        <f>W258</f>
        <v>10353.379999999999</v>
      </c>
      <c r="X265" s="56">
        <f t="shared" si="154"/>
        <v>44.822499999999998</v>
      </c>
      <c r="Y265" s="57">
        <f>U265/P265</f>
        <v>0.17034461601390735</v>
      </c>
      <c r="Z265" s="28">
        <f>Z258</f>
        <v>48320.62</v>
      </c>
      <c r="AA265" s="57">
        <f>Z265/P265</f>
        <v>0.82354398881957946</v>
      </c>
      <c r="AB265" s="120">
        <f t="shared" si="155"/>
        <v>-10353.379999999999</v>
      </c>
      <c r="AC265" s="59">
        <f>AA265-O265</f>
        <v>-6.0227698810374486E-3</v>
      </c>
      <c r="AG265" s="61"/>
    </row>
    <row r="266" spans="1:33" ht="11.25" customHeight="1" x14ac:dyDescent="0.15">
      <c r="A266" s="130" t="s">
        <v>53</v>
      </c>
      <c r="B266" s="130"/>
      <c r="C266" s="124"/>
      <c r="D266" s="124"/>
      <c r="E266" s="273"/>
      <c r="F266" s="124"/>
      <c r="G266" s="124"/>
      <c r="H266" s="124"/>
      <c r="I266" s="124"/>
      <c r="J266" s="124"/>
      <c r="K266" s="125"/>
      <c r="L266" s="129"/>
      <c r="M266" s="129"/>
      <c r="N266" s="129"/>
      <c r="O266" s="128"/>
      <c r="P266" s="129"/>
      <c r="Q266" s="124"/>
      <c r="R266" s="129"/>
      <c r="S266" s="129"/>
      <c r="T266" s="129"/>
      <c r="U266" s="129"/>
      <c r="V266" s="126"/>
      <c r="W266" s="49"/>
      <c r="X266" s="127"/>
      <c r="Y266" s="128"/>
      <c r="Z266" s="126"/>
      <c r="AA266" s="128"/>
      <c r="AB266" s="129"/>
      <c r="AC266" s="128"/>
      <c r="AD266" s="137"/>
      <c r="AE266" s="110"/>
      <c r="AF266" s="110"/>
      <c r="AG266" s="121"/>
    </row>
    <row r="267" spans="1:33" ht="11.25" customHeight="1" x14ac:dyDescent="0.15">
      <c r="A267" s="110" t="s">
        <v>187</v>
      </c>
      <c r="B267" s="110"/>
      <c r="C267" s="111" t="s">
        <v>37</v>
      </c>
      <c r="D267" s="111">
        <v>2021</v>
      </c>
      <c r="E267" s="146">
        <v>44286</v>
      </c>
      <c r="F267" s="111">
        <v>162311</v>
      </c>
      <c r="G267" s="111">
        <v>110241221</v>
      </c>
      <c r="H267" s="111"/>
      <c r="I267" s="16" t="str">
        <f>MID(G267,2,1)</f>
        <v>1</v>
      </c>
      <c r="J267" s="111" t="s">
        <v>39</v>
      </c>
      <c r="K267" s="122" t="s">
        <v>188</v>
      </c>
      <c r="L267" s="219">
        <f>P267</f>
        <v>80598</v>
      </c>
      <c r="M267" s="219">
        <v>32662</v>
      </c>
      <c r="N267" s="219">
        <f>L267-M267</f>
        <v>47936</v>
      </c>
      <c r="O267" s="135">
        <f t="shared" ref="O267:O273" si="157">N267/L267</f>
        <v>0.59475421226333158</v>
      </c>
      <c r="P267" s="132">
        <v>80598</v>
      </c>
      <c r="Q267" s="111">
        <v>1098</v>
      </c>
      <c r="R267" s="132">
        <f>26.5+32.5+6</f>
        <v>65</v>
      </c>
      <c r="S267" s="132">
        <f>1637.42+736.99</f>
        <v>2374.41</v>
      </c>
      <c r="T267" s="132"/>
      <c r="U267" s="132">
        <v>16936.810000000001</v>
      </c>
      <c r="V267" s="132"/>
      <c r="W267" s="67">
        <f>SUM(S267:U267)</f>
        <v>19311.22</v>
      </c>
      <c r="X267" s="118">
        <f t="shared" ref="X267:X273" si="158">IFERROR(S267/R267,"")</f>
        <v>36.529384615384615</v>
      </c>
      <c r="Y267" s="119">
        <f t="shared" ref="Y267:Y273" si="159">U267/P267</f>
        <v>0.21013933348222041</v>
      </c>
      <c r="Z267" s="117">
        <f t="shared" ref="Z267:Z272" si="160">P267-W267</f>
        <v>61286.78</v>
      </c>
      <c r="AA267" s="119">
        <f t="shared" ref="AA267:AA273" si="161">Z267/P267</f>
        <v>0.7604007543611504</v>
      </c>
      <c r="AB267" s="120">
        <f t="shared" ref="AB267:AB274" si="162">M267-W267</f>
        <v>13350.779999999999</v>
      </c>
      <c r="AC267" s="135">
        <f t="shared" ref="AC267:AC274" si="163">AA267-O267</f>
        <v>0.16564654209781882</v>
      </c>
      <c r="AD267" s="110"/>
      <c r="AE267" s="110"/>
      <c r="AF267" s="110"/>
      <c r="AG267" s="121"/>
    </row>
    <row r="268" spans="1:33" ht="11.25" customHeight="1" x14ac:dyDescent="0.15">
      <c r="A268" s="110" t="s">
        <v>187</v>
      </c>
      <c r="B268" s="110"/>
      <c r="C268" s="111" t="s">
        <v>37</v>
      </c>
      <c r="D268" s="111">
        <v>2021</v>
      </c>
      <c r="E268" s="146">
        <v>44286</v>
      </c>
      <c r="F268" s="111">
        <v>162311</v>
      </c>
      <c r="G268" s="111">
        <v>210010211</v>
      </c>
      <c r="H268" s="111"/>
      <c r="I268" s="111"/>
      <c r="J268" s="111"/>
      <c r="K268" s="122" t="s">
        <v>189</v>
      </c>
      <c r="L268" s="120">
        <f>P268</f>
        <v>5760</v>
      </c>
      <c r="M268" s="120">
        <v>1500</v>
      </c>
      <c r="N268" s="120">
        <f>L268-M268</f>
        <v>4260</v>
      </c>
      <c r="O268" s="135">
        <f t="shared" si="157"/>
        <v>0.73958333333333337</v>
      </c>
      <c r="P268" s="117">
        <v>5760</v>
      </c>
      <c r="Q268" s="111">
        <v>1099</v>
      </c>
      <c r="R268" s="117"/>
      <c r="S268" s="117"/>
      <c r="T268" s="117"/>
      <c r="U268" s="117">
        <v>1345.28</v>
      </c>
      <c r="V268" s="117"/>
      <c r="W268" s="26">
        <f>SUM(S268:U268)</f>
        <v>1345.28</v>
      </c>
      <c r="X268" s="118" t="str">
        <f t="shared" si="158"/>
        <v/>
      </c>
      <c r="Y268" s="119">
        <f t="shared" si="159"/>
        <v>0.23355555555555554</v>
      </c>
      <c r="Z268" s="117">
        <f t="shared" si="160"/>
        <v>4414.72</v>
      </c>
      <c r="AA268" s="119">
        <f t="shared" si="161"/>
        <v>0.76644444444444448</v>
      </c>
      <c r="AB268" s="120">
        <f t="shared" si="162"/>
        <v>154.72000000000003</v>
      </c>
      <c r="AC268" s="135">
        <f t="shared" si="163"/>
        <v>2.6861111111111113E-2</v>
      </c>
      <c r="AD268" s="110"/>
      <c r="AE268" s="110"/>
      <c r="AF268" s="110"/>
      <c r="AG268" s="121"/>
    </row>
    <row r="269" spans="1:33" ht="11.25" customHeight="1" x14ac:dyDescent="0.15">
      <c r="A269" s="110" t="s">
        <v>187</v>
      </c>
      <c r="B269" s="110"/>
      <c r="C269" s="111" t="s">
        <v>37</v>
      </c>
      <c r="D269" s="111">
        <v>2021</v>
      </c>
      <c r="E269" s="146">
        <v>44286</v>
      </c>
      <c r="F269" s="111">
        <v>162311</v>
      </c>
      <c r="G269" s="111">
        <v>210100211</v>
      </c>
      <c r="H269" s="111"/>
      <c r="I269" s="111"/>
      <c r="J269" s="111"/>
      <c r="K269" s="112" t="s">
        <v>190</v>
      </c>
      <c r="L269" s="120">
        <f>P269</f>
        <v>6930</v>
      </c>
      <c r="M269" s="120">
        <v>6188.68</v>
      </c>
      <c r="N269" s="120">
        <f>L269-M269</f>
        <v>741.31999999999971</v>
      </c>
      <c r="O269" s="135">
        <f t="shared" si="157"/>
        <v>0.10697258297258293</v>
      </c>
      <c r="P269" s="117">
        <v>6930</v>
      </c>
      <c r="Q269" s="111">
        <v>1100</v>
      </c>
      <c r="R269" s="117"/>
      <c r="S269" s="117"/>
      <c r="T269" s="117"/>
      <c r="U269" s="117">
        <v>2601.63</v>
      </c>
      <c r="V269" s="117"/>
      <c r="W269" s="26">
        <f>SUM(S269:U269)</f>
        <v>2601.63</v>
      </c>
      <c r="X269" s="118" t="str">
        <f t="shared" si="158"/>
        <v/>
      </c>
      <c r="Y269" s="63">
        <f t="shared" si="159"/>
        <v>0.37541558441558442</v>
      </c>
      <c r="Z269" s="26">
        <f t="shared" si="160"/>
        <v>4328.37</v>
      </c>
      <c r="AA269" s="63">
        <f t="shared" si="161"/>
        <v>0.62458441558441558</v>
      </c>
      <c r="AB269" s="120">
        <f t="shared" si="162"/>
        <v>3587.05</v>
      </c>
      <c r="AC269" s="135">
        <f t="shared" si="163"/>
        <v>0.51761183261183263</v>
      </c>
      <c r="AD269" s="159"/>
      <c r="AE269" s="110"/>
      <c r="AF269" s="110"/>
      <c r="AG269" s="121"/>
    </row>
    <row r="270" spans="1:33" ht="11.25" customHeight="1" x14ac:dyDescent="0.15">
      <c r="A270" s="110" t="s">
        <v>187</v>
      </c>
      <c r="B270" s="110"/>
      <c r="C270" s="111" t="s">
        <v>47</v>
      </c>
      <c r="D270" s="111">
        <v>2021</v>
      </c>
      <c r="E270" s="146">
        <v>44286</v>
      </c>
      <c r="F270" s="111">
        <v>162311</v>
      </c>
      <c r="G270" s="111">
        <v>510241121</v>
      </c>
      <c r="H270" s="111"/>
      <c r="I270" s="111"/>
      <c r="J270" s="111"/>
      <c r="K270" s="122" t="s">
        <v>191</v>
      </c>
      <c r="L270" s="120">
        <f>P270</f>
        <v>18638</v>
      </c>
      <c r="M270" s="120">
        <v>8215</v>
      </c>
      <c r="N270" s="120">
        <f>L270-M270</f>
        <v>10423</v>
      </c>
      <c r="O270" s="135">
        <f t="shared" si="157"/>
        <v>0.55923382337160643</v>
      </c>
      <c r="P270" s="117">
        <v>18638</v>
      </c>
      <c r="Q270" s="111">
        <v>1101</v>
      </c>
      <c r="R270" s="117">
        <v>83</v>
      </c>
      <c r="S270" s="117">
        <f>2565.53+1154.53</f>
        <v>3720.0600000000004</v>
      </c>
      <c r="T270" s="117">
        <v>3726.28</v>
      </c>
      <c r="U270" s="117">
        <v>14</v>
      </c>
      <c r="V270" s="117"/>
      <c r="W270" s="26">
        <f>SUM(S270:U270)</f>
        <v>7460.34</v>
      </c>
      <c r="X270" s="118">
        <f t="shared" si="158"/>
        <v>44.820000000000007</v>
      </c>
      <c r="Y270" s="119">
        <f t="shared" si="159"/>
        <v>7.5115355724863185E-4</v>
      </c>
      <c r="Z270" s="117">
        <f t="shared" si="160"/>
        <v>11177.66</v>
      </c>
      <c r="AA270" s="119">
        <f t="shared" si="161"/>
        <v>0.59972421933683873</v>
      </c>
      <c r="AB270" s="120">
        <f t="shared" si="162"/>
        <v>754.65999999999985</v>
      </c>
      <c r="AC270" s="135">
        <f t="shared" si="163"/>
        <v>4.0490395965232295E-2</v>
      </c>
      <c r="AD270" s="159"/>
      <c r="AE270" s="110"/>
      <c r="AF270" s="110"/>
      <c r="AG270" s="121"/>
    </row>
    <row r="271" spans="1:33" s="53" customFormat="1" ht="11.25" customHeight="1" x14ac:dyDescent="0.15">
      <c r="A271" s="53" t="s">
        <v>187</v>
      </c>
      <c r="C271" s="54" t="s">
        <v>54</v>
      </c>
      <c r="D271" s="54">
        <v>2021</v>
      </c>
      <c r="E271" s="70">
        <v>44286</v>
      </c>
      <c r="F271" s="54"/>
      <c r="G271" s="54"/>
      <c r="H271" s="54"/>
      <c r="I271" s="54"/>
      <c r="J271" s="54"/>
      <c r="K271" s="106"/>
      <c r="L271" s="92">
        <f>SUM(L267:L270)</f>
        <v>111926</v>
      </c>
      <c r="M271" s="92">
        <f>SUM(M267:M270)</f>
        <v>48565.68</v>
      </c>
      <c r="N271" s="92">
        <f>SUM(N267:N270)</f>
        <v>63360.32</v>
      </c>
      <c r="O271" s="59">
        <f t="shared" si="157"/>
        <v>0.56609116737844645</v>
      </c>
      <c r="P271" s="24">
        <f>SUM(P267:P270)</f>
        <v>111926</v>
      </c>
      <c r="Q271" s="54"/>
      <c r="R271" s="24">
        <f>SUM(R267:R270)</f>
        <v>148</v>
      </c>
      <c r="S271" s="24">
        <f>SUM(S267:S270)</f>
        <v>6094.47</v>
      </c>
      <c r="T271" s="24">
        <f>SUM(T267:T270)</f>
        <v>3726.28</v>
      </c>
      <c r="U271" s="24">
        <f>SUM(U267:U270)</f>
        <v>20897.72</v>
      </c>
      <c r="V271" s="28"/>
      <c r="W271" s="24">
        <f>SUM(W267:W270)</f>
        <v>30718.47</v>
      </c>
      <c r="X271" s="56">
        <f t="shared" si="158"/>
        <v>41.178851351351355</v>
      </c>
      <c r="Y271" s="57">
        <f t="shared" si="159"/>
        <v>0.18671014777620928</v>
      </c>
      <c r="Z271" s="28">
        <f t="shared" si="160"/>
        <v>81207.53</v>
      </c>
      <c r="AA271" s="57">
        <f t="shared" si="161"/>
        <v>0.72554661115379804</v>
      </c>
      <c r="AB271" s="120">
        <f t="shared" si="162"/>
        <v>17847.21</v>
      </c>
      <c r="AC271" s="59">
        <f t="shared" si="163"/>
        <v>0.15945544377535159</v>
      </c>
      <c r="AG271" s="61"/>
    </row>
    <row r="272" spans="1:33" ht="11.25" customHeight="1" x14ac:dyDescent="0.15">
      <c r="A272" s="110" t="s">
        <v>187</v>
      </c>
      <c r="B272" s="110"/>
      <c r="C272" s="111" t="s">
        <v>55</v>
      </c>
      <c r="D272" s="111">
        <v>2021</v>
      </c>
      <c r="E272" s="146">
        <v>44286</v>
      </c>
      <c r="F272" s="111">
        <v>162311</v>
      </c>
      <c r="G272" s="111" t="s">
        <v>56</v>
      </c>
      <c r="H272" s="111"/>
      <c r="I272" s="111"/>
      <c r="J272" s="111"/>
      <c r="K272" s="112" t="s">
        <v>71</v>
      </c>
      <c r="L272" s="120">
        <f>P272</f>
        <v>8184</v>
      </c>
      <c r="M272" s="120">
        <v>4056</v>
      </c>
      <c r="N272" s="120">
        <f>L272-M272</f>
        <v>4128</v>
      </c>
      <c r="O272" s="135">
        <f t="shared" si="157"/>
        <v>0.50439882697947214</v>
      </c>
      <c r="P272" s="117">
        <v>8184</v>
      </c>
      <c r="Q272" s="111">
        <v>1102</v>
      </c>
      <c r="R272" s="117">
        <v>12</v>
      </c>
      <c r="S272" s="117">
        <f>330+148.56</f>
        <v>478.56</v>
      </c>
      <c r="T272" s="117">
        <v>4148.63</v>
      </c>
      <c r="U272" s="117"/>
      <c r="V272" s="117"/>
      <c r="W272" s="26">
        <f>SUM(S272:U272)</f>
        <v>4627.1900000000005</v>
      </c>
      <c r="X272" s="118">
        <f t="shared" si="158"/>
        <v>39.880000000000003</v>
      </c>
      <c r="Y272" s="119">
        <f t="shared" si="159"/>
        <v>0</v>
      </c>
      <c r="Z272" s="117">
        <f t="shared" si="160"/>
        <v>3556.8099999999995</v>
      </c>
      <c r="AA272" s="119">
        <f t="shared" si="161"/>
        <v>0.43460532746823061</v>
      </c>
      <c r="AB272" s="120">
        <f t="shared" si="162"/>
        <v>-571.19000000000051</v>
      </c>
      <c r="AC272" s="135">
        <f t="shared" si="163"/>
        <v>-6.979349951124153E-2</v>
      </c>
      <c r="AD272" s="110" t="s">
        <v>192</v>
      </c>
      <c r="AE272" s="110"/>
      <c r="AF272" s="110"/>
      <c r="AG272" s="121"/>
    </row>
    <row r="273" spans="1:33" s="53" customFormat="1" ht="11.25" customHeight="1" x14ac:dyDescent="0.15">
      <c r="A273" s="53" t="s">
        <v>187</v>
      </c>
      <c r="C273" s="54" t="s">
        <v>65</v>
      </c>
      <c r="D273" s="54">
        <v>2021</v>
      </c>
      <c r="E273" s="70">
        <v>44286</v>
      </c>
      <c r="F273" s="54"/>
      <c r="G273" s="54"/>
      <c r="H273" s="54"/>
      <c r="I273" s="54"/>
      <c r="J273" s="54"/>
      <c r="K273" s="106"/>
      <c r="L273" s="92">
        <f>SUM(L271:L272)</f>
        <v>120110</v>
      </c>
      <c r="M273" s="92">
        <f>SUM(M271:M272)</f>
        <v>52621.68</v>
      </c>
      <c r="N273" s="92">
        <f>SUM(N271:N272)</f>
        <v>67488.320000000007</v>
      </c>
      <c r="O273" s="59">
        <f t="shared" si="157"/>
        <v>0.5618876030305554</v>
      </c>
      <c r="P273" s="24">
        <f>SUM(P271:P272)</f>
        <v>120110</v>
      </c>
      <c r="Q273" s="54"/>
      <c r="R273" s="24">
        <f>SUM(R271:R272)</f>
        <v>160</v>
      </c>
      <c r="S273" s="24">
        <f>SUM(S271:S272)</f>
        <v>6573.0300000000007</v>
      </c>
      <c r="T273" s="24">
        <f>SUM(T271:T272)</f>
        <v>7874.91</v>
      </c>
      <c r="U273" s="24">
        <f>SUM(U271:U272)</f>
        <v>20897.72</v>
      </c>
      <c r="V273" s="28"/>
      <c r="W273" s="25">
        <f>SUM(W271:W272)</f>
        <v>35345.660000000003</v>
      </c>
      <c r="X273" s="56">
        <f t="shared" si="158"/>
        <v>41.081437500000007</v>
      </c>
      <c r="Y273" s="57">
        <f t="shared" si="159"/>
        <v>0.17398817750395471</v>
      </c>
      <c r="Z273" s="64">
        <f>SUM(Z271:Z272)</f>
        <v>84764.34</v>
      </c>
      <c r="AA273" s="57">
        <f t="shared" si="161"/>
        <v>0.70572258762800766</v>
      </c>
      <c r="AB273" s="120">
        <f t="shared" si="162"/>
        <v>17276.019999999997</v>
      </c>
      <c r="AC273" s="59">
        <f t="shared" si="163"/>
        <v>0.14383498459745225</v>
      </c>
      <c r="AG273" s="61"/>
    </row>
    <row r="274" spans="1:33" s="53" customFormat="1" ht="11.25" customHeight="1" x14ac:dyDescent="0.15">
      <c r="A274" s="53" t="s">
        <v>187</v>
      </c>
      <c r="C274" s="54" t="s">
        <v>177</v>
      </c>
      <c r="D274" s="54">
        <v>2021</v>
      </c>
      <c r="E274" s="70">
        <v>44286</v>
      </c>
      <c r="F274" s="54"/>
      <c r="G274" s="54"/>
      <c r="H274" s="54"/>
      <c r="I274" s="54"/>
      <c r="J274" s="54"/>
      <c r="K274" s="106"/>
      <c r="L274" s="58"/>
      <c r="M274" s="58"/>
      <c r="N274" s="58"/>
      <c r="O274" s="65">
        <v>0.55000000000000004</v>
      </c>
      <c r="P274" s="28">
        <v>93288</v>
      </c>
      <c r="Q274" s="54"/>
      <c r="R274" s="28">
        <v>65</v>
      </c>
      <c r="S274" s="28">
        <v>2374.41</v>
      </c>
      <c r="T274" s="28">
        <v>0</v>
      </c>
      <c r="U274" s="28">
        <v>20883.72</v>
      </c>
      <c r="V274" s="28"/>
      <c r="W274" s="62">
        <v>23258.13</v>
      </c>
      <c r="X274" s="56">
        <v>36.529384615384615</v>
      </c>
      <c r="Y274" s="65">
        <v>0.22386287625418061</v>
      </c>
      <c r="Z274" s="62">
        <v>70029.87</v>
      </c>
      <c r="AA274" s="65">
        <v>0.75068465397478767</v>
      </c>
      <c r="AB274" s="120">
        <f t="shared" si="162"/>
        <v>-23258.13</v>
      </c>
      <c r="AC274" s="59">
        <f t="shared" si="163"/>
        <v>0.20068465397478763</v>
      </c>
      <c r="AG274" s="61"/>
    </row>
    <row r="275" spans="1:33" ht="11.25" customHeight="1" x14ac:dyDescent="0.15">
      <c r="A275" s="130" t="s">
        <v>53</v>
      </c>
      <c r="B275" s="130"/>
      <c r="C275" s="124"/>
      <c r="D275" s="124"/>
      <c r="E275" s="273"/>
      <c r="F275" s="124"/>
      <c r="G275" s="124"/>
      <c r="H275" s="124"/>
      <c r="I275" s="124"/>
      <c r="J275" s="124"/>
      <c r="K275" s="125"/>
      <c r="L275" s="129"/>
      <c r="M275" s="129"/>
      <c r="N275" s="129"/>
      <c r="O275" s="128"/>
      <c r="P275" s="220"/>
      <c r="Q275" s="124"/>
      <c r="R275" s="220"/>
      <c r="S275" s="220"/>
      <c r="T275" s="220"/>
      <c r="U275" s="220"/>
      <c r="V275" s="126"/>
      <c r="W275" s="230"/>
      <c r="X275" s="45"/>
      <c r="Y275" s="128"/>
      <c r="Z275" s="126"/>
      <c r="AA275" s="128"/>
      <c r="AB275" s="129"/>
      <c r="AC275" s="128"/>
      <c r="AD275" s="137"/>
      <c r="AE275" s="110"/>
      <c r="AF275" s="110"/>
      <c r="AG275" s="121"/>
    </row>
    <row r="276" spans="1:33" ht="11.25" customHeight="1" x14ac:dyDescent="0.15">
      <c r="A276" s="110" t="s">
        <v>137</v>
      </c>
      <c r="B276" s="110"/>
      <c r="C276" s="111" t="s">
        <v>175</v>
      </c>
      <c r="D276" s="111">
        <v>2021</v>
      </c>
      <c r="E276" s="146">
        <v>44286</v>
      </c>
      <c r="F276" s="111">
        <v>162343</v>
      </c>
      <c r="G276" s="111">
        <v>811101111</v>
      </c>
      <c r="H276" s="111">
        <v>4101</v>
      </c>
      <c r="I276" s="111" t="str">
        <f>MID(G276,2,1)</f>
        <v>1</v>
      </c>
      <c r="J276" s="111" t="str">
        <f>IF(I276="1","Small/Medium","Large")</f>
        <v>Small/Medium</v>
      </c>
      <c r="K276" s="147" t="s">
        <v>145</v>
      </c>
      <c r="L276" s="120">
        <f>P276</f>
        <v>6773.33</v>
      </c>
      <c r="M276" s="120">
        <f>L276*0.3</f>
        <v>2031.9989999999998</v>
      </c>
      <c r="N276" s="120">
        <f>L276-M276</f>
        <v>4741.3310000000001</v>
      </c>
      <c r="O276" s="119">
        <f>N276/L276</f>
        <v>0.70000000000000007</v>
      </c>
      <c r="P276" s="117">
        <v>6773.33</v>
      </c>
      <c r="Q276" s="111">
        <v>1069</v>
      </c>
      <c r="R276" s="117">
        <v>26</v>
      </c>
      <c r="S276" s="117">
        <f>776.88+349.7</f>
        <v>1126.58</v>
      </c>
      <c r="T276" s="117">
        <v>581.36</v>
      </c>
      <c r="U276" s="117">
        <v>295.49</v>
      </c>
      <c r="V276" s="117"/>
      <c r="W276" s="26">
        <f>SUM(S276:U276)</f>
        <v>2003.43</v>
      </c>
      <c r="X276" s="118">
        <f>S276/R276</f>
        <v>43.33</v>
      </c>
      <c r="Y276" s="119">
        <f>U276/P276</f>
        <v>4.3625513595233069E-2</v>
      </c>
      <c r="Z276" s="117">
        <f>P276-W276</f>
        <v>4769.8999999999996</v>
      </c>
      <c r="AA276" s="119">
        <f>Z276/P276</f>
        <v>0.70421786624894989</v>
      </c>
      <c r="AB276" s="120">
        <f t="shared" ref="AB276:AB280" si="164">M276-W276</f>
        <v>28.568999999999733</v>
      </c>
      <c r="AC276" s="135">
        <f>AA276-O276</f>
        <v>4.2178662489498198E-3</v>
      </c>
      <c r="AD276" s="110"/>
      <c r="AE276" s="110"/>
      <c r="AF276" s="110"/>
      <c r="AG276" s="121"/>
    </row>
    <row r="277" spans="1:33" ht="11.25" customHeight="1" x14ac:dyDescent="0.15">
      <c r="A277" s="110" t="s">
        <v>137</v>
      </c>
      <c r="B277" s="110"/>
      <c r="C277" s="111" t="s">
        <v>175</v>
      </c>
      <c r="D277" s="111">
        <v>2021</v>
      </c>
      <c r="E277" s="146">
        <v>44286</v>
      </c>
      <c r="F277" s="111">
        <v>162343</v>
      </c>
      <c r="G277" s="111">
        <v>811101111</v>
      </c>
      <c r="H277" s="111">
        <v>4101</v>
      </c>
      <c r="I277" s="111" t="str">
        <f>MID(G277,2,1)</f>
        <v>1</v>
      </c>
      <c r="J277" s="111" t="str">
        <f>IF(I277="1","Small/Medium","Large")</f>
        <v>Small/Medium</v>
      </c>
      <c r="K277" s="147" t="s">
        <v>145</v>
      </c>
      <c r="L277" s="219">
        <f>P277</f>
        <v>6773.33</v>
      </c>
      <c r="M277" s="219">
        <f>L277*0.3</f>
        <v>2031.9989999999998</v>
      </c>
      <c r="N277" s="219">
        <f>L277-M277</f>
        <v>4741.3310000000001</v>
      </c>
      <c r="O277" s="119">
        <f>N277/L277</f>
        <v>0.70000000000000007</v>
      </c>
      <c r="P277" s="132">
        <v>6773.33</v>
      </c>
      <c r="Q277" s="111">
        <v>1073</v>
      </c>
      <c r="R277" s="132">
        <v>9.5</v>
      </c>
      <c r="S277" s="132">
        <f>283.86+127.78</f>
        <v>411.64</v>
      </c>
      <c r="T277" s="132">
        <v>581.36</v>
      </c>
      <c r="U277" s="132">
        <v>295.49</v>
      </c>
      <c r="V277" s="132"/>
      <c r="W277" s="67">
        <f>SUM(S277:U277)</f>
        <v>1288.49</v>
      </c>
      <c r="X277" s="118">
        <f>S277/R277</f>
        <v>43.33052631578947</v>
      </c>
      <c r="Y277" s="119">
        <f>U277/P277</f>
        <v>4.3625513595233069E-2</v>
      </c>
      <c r="Z277" s="117">
        <f>P277-W277</f>
        <v>5484.84</v>
      </c>
      <c r="AA277" s="119">
        <f>Z277/P277</f>
        <v>0.80977008354826951</v>
      </c>
      <c r="AB277" s="120">
        <f t="shared" si="164"/>
        <v>743.50899999999979</v>
      </c>
      <c r="AC277" s="135">
        <f>AA277-O277</f>
        <v>0.10977008354826945</v>
      </c>
      <c r="AD277" s="110"/>
      <c r="AE277" s="110"/>
      <c r="AF277" s="110"/>
      <c r="AG277" s="121"/>
    </row>
    <row r="278" spans="1:33" ht="11.25" customHeight="1" x14ac:dyDescent="0.15">
      <c r="A278" s="110" t="s">
        <v>137</v>
      </c>
      <c r="B278" s="110"/>
      <c r="C278" s="111" t="s">
        <v>175</v>
      </c>
      <c r="D278" s="111">
        <v>2021</v>
      </c>
      <c r="E278" s="146">
        <v>44286</v>
      </c>
      <c r="F278" s="111">
        <v>162343</v>
      </c>
      <c r="G278" s="111">
        <v>821101111</v>
      </c>
      <c r="H278" s="111">
        <v>4101</v>
      </c>
      <c r="I278" s="111" t="str">
        <f>MID(G278,2,1)</f>
        <v>2</v>
      </c>
      <c r="J278" s="111" t="str">
        <f>IF(I278="1","Small/Medium","Large")</f>
        <v>Large</v>
      </c>
      <c r="K278" s="147" t="s">
        <v>176</v>
      </c>
      <c r="L278" s="120">
        <f>P278</f>
        <v>20320</v>
      </c>
      <c r="M278" s="120">
        <f>L278*0.3</f>
        <v>6096</v>
      </c>
      <c r="N278" s="120">
        <f>L278-M278</f>
        <v>14224</v>
      </c>
      <c r="O278" s="119">
        <f>N278/L278</f>
        <v>0.7</v>
      </c>
      <c r="P278" s="117">
        <f>P280*0.5</f>
        <v>20320</v>
      </c>
      <c r="Q278" s="111">
        <v>1071</v>
      </c>
      <c r="R278" s="117">
        <v>34.5</v>
      </c>
      <c r="S278" s="117">
        <f>1030.86+464.04</f>
        <v>1494.8999999999999</v>
      </c>
      <c r="T278" s="117">
        <v>3948.13</v>
      </c>
      <c r="U278" s="117">
        <v>488.01</v>
      </c>
      <c r="V278" s="117"/>
      <c r="W278" s="26">
        <f>SUM(S278:U278)</f>
        <v>5931.04</v>
      </c>
      <c r="X278" s="118">
        <f>S278/R278</f>
        <v>43.330434782608691</v>
      </c>
      <c r="Y278" s="119">
        <f>U278/P278</f>
        <v>2.4016240157480315E-2</v>
      </c>
      <c r="Z278" s="117">
        <f>P278-W278</f>
        <v>14388.96</v>
      </c>
      <c r="AA278" s="119">
        <f>Z278/P278</f>
        <v>0.7081181102362204</v>
      </c>
      <c r="AB278" s="120">
        <f t="shared" si="164"/>
        <v>164.96000000000004</v>
      </c>
      <c r="AC278" s="135">
        <f>AA278-O278</f>
        <v>8.1181102362204438E-3</v>
      </c>
      <c r="AD278" s="110"/>
      <c r="AE278" s="110"/>
      <c r="AF278" s="110"/>
      <c r="AG278" s="121"/>
    </row>
    <row r="279" spans="1:33" ht="11.25" customHeight="1" x14ac:dyDescent="0.15">
      <c r="A279" s="110" t="s">
        <v>137</v>
      </c>
      <c r="B279" s="110"/>
      <c r="C279" s="111" t="s">
        <v>175</v>
      </c>
      <c r="D279" s="111">
        <v>2021</v>
      </c>
      <c r="E279" s="146">
        <v>44286</v>
      </c>
      <c r="F279" s="111">
        <v>162343</v>
      </c>
      <c r="G279" s="111">
        <v>811101111</v>
      </c>
      <c r="H279" s="111">
        <v>4101</v>
      </c>
      <c r="I279" s="111" t="str">
        <f>MID(G279,2,1)</f>
        <v>1</v>
      </c>
      <c r="J279" s="111" t="str">
        <f>IF(I279="1","Small/Medium","Large")</f>
        <v>Small/Medium</v>
      </c>
      <c r="K279" s="147" t="s">
        <v>145</v>
      </c>
      <c r="L279" s="120">
        <f>P279</f>
        <v>6773.33</v>
      </c>
      <c r="M279" s="120">
        <f>L279*0.3</f>
        <v>2031.9989999999998</v>
      </c>
      <c r="N279" s="120">
        <f>L279-M279</f>
        <v>4741.3310000000001</v>
      </c>
      <c r="O279" s="119">
        <f>N279/L279</f>
        <v>0.70000000000000007</v>
      </c>
      <c r="P279" s="117">
        <v>6773.33</v>
      </c>
      <c r="Q279" s="111">
        <v>1074</v>
      </c>
      <c r="R279" s="117">
        <v>9</v>
      </c>
      <c r="S279" s="117">
        <f>268.92+121.05</f>
        <v>389.97</v>
      </c>
      <c r="T279" s="117">
        <v>581.36</v>
      </c>
      <c r="U279" s="117">
        <v>295.48</v>
      </c>
      <c r="V279" s="117"/>
      <c r="W279" s="26">
        <f>SUM(S279:U279)</f>
        <v>1266.81</v>
      </c>
      <c r="X279" s="118">
        <f>S279/R279</f>
        <v>43.330000000000005</v>
      </c>
      <c r="Y279" s="119">
        <f>U279/P279</f>
        <v>4.3624037216553752E-2</v>
      </c>
      <c r="Z279" s="117">
        <f>P279-W279</f>
        <v>5506.52</v>
      </c>
      <c r="AA279" s="119">
        <f>Z279/P279</f>
        <v>0.81297087252503575</v>
      </c>
      <c r="AB279" s="120">
        <f t="shared" si="164"/>
        <v>765.18899999999985</v>
      </c>
      <c r="AC279" s="135">
        <f>AA279-O279</f>
        <v>0.11297087252503568</v>
      </c>
      <c r="AD279" s="110"/>
      <c r="AE279" s="110"/>
      <c r="AF279" s="110"/>
      <c r="AG279" s="121"/>
    </row>
    <row r="280" spans="1:33" s="53" customFormat="1" ht="11.25" customHeight="1" x14ac:dyDescent="0.15">
      <c r="A280" s="53" t="s">
        <v>137</v>
      </c>
      <c r="C280" s="54" t="s">
        <v>177</v>
      </c>
      <c r="D280" s="54">
        <v>2021</v>
      </c>
      <c r="E280" s="70">
        <v>44286</v>
      </c>
      <c r="F280" s="54"/>
      <c r="G280" s="54"/>
      <c r="H280" s="54"/>
      <c r="I280" s="54"/>
      <c r="J280" s="54"/>
      <c r="K280" s="106"/>
      <c r="L280" s="58"/>
      <c r="M280" s="58"/>
      <c r="N280" s="58"/>
      <c r="O280" s="57"/>
      <c r="P280" s="24">
        <v>40640</v>
      </c>
      <c r="Q280" s="54"/>
      <c r="R280" s="24">
        <f>SUM(R276:R279)</f>
        <v>79</v>
      </c>
      <c r="S280" s="24">
        <f>SUM(S276:S279)</f>
        <v>3423.09</v>
      </c>
      <c r="T280" s="24">
        <f>SUM(T276:T279)</f>
        <v>5692.21</v>
      </c>
      <c r="U280" s="24">
        <f>SUM(U276:U279)</f>
        <v>1374.47</v>
      </c>
      <c r="V280" s="28"/>
      <c r="W280" s="25">
        <f>SUM(S280:U280)</f>
        <v>10489.769999999999</v>
      </c>
      <c r="X280" s="56">
        <f>S280/R280</f>
        <v>43.330253164556964</v>
      </c>
      <c r="Y280" s="57">
        <f>U280/P280</f>
        <v>3.3820620078740156E-2</v>
      </c>
      <c r="Z280" s="28">
        <f>P280-W280</f>
        <v>30150.230000000003</v>
      </c>
      <c r="AA280" s="57">
        <f>Z280/P280</f>
        <v>0.74188558070866151</v>
      </c>
      <c r="AB280" s="120">
        <f t="shared" si="164"/>
        <v>-10489.769999999999</v>
      </c>
      <c r="AC280" s="59"/>
      <c r="AG280" s="61"/>
    </row>
    <row r="281" spans="1:33" ht="11.25" customHeight="1" x14ac:dyDescent="0.15">
      <c r="A281" s="130" t="s">
        <v>53</v>
      </c>
      <c r="B281" s="130"/>
      <c r="C281" s="124"/>
      <c r="D281" s="124"/>
      <c r="E281" s="273"/>
      <c r="F281" s="124"/>
      <c r="G281" s="124"/>
      <c r="H281" s="124"/>
      <c r="I281" s="124"/>
      <c r="J281" s="124"/>
      <c r="K281" s="125"/>
      <c r="L281" s="129"/>
      <c r="M281" s="129"/>
      <c r="N281" s="129"/>
      <c r="O281" s="128"/>
      <c r="P281" s="129"/>
      <c r="Q281" s="124"/>
      <c r="R281" s="129"/>
      <c r="S281" s="129"/>
      <c r="T281" s="129"/>
      <c r="U281" s="129"/>
      <c r="V281" s="126"/>
      <c r="W281" s="49"/>
      <c r="X281" s="45"/>
      <c r="Y281" s="128"/>
      <c r="Z281" s="126"/>
      <c r="AA281" s="128"/>
      <c r="AB281" s="129"/>
      <c r="AC281" s="128"/>
      <c r="AD281" s="137"/>
      <c r="AE281" s="110"/>
      <c r="AF281" s="110"/>
      <c r="AG281" s="121"/>
    </row>
    <row r="282" spans="1:33" ht="11.25" customHeight="1" x14ac:dyDescent="0.15">
      <c r="A282" s="110" t="s">
        <v>193</v>
      </c>
      <c r="B282" s="110"/>
      <c r="C282" s="111" t="s">
        <v>175</v>
      </c>
      <c r="D282" s="111">
        <v>2021</v>
      </c>
      <c r="E282" s="146">
        <v>44286</v>
      </c>
      <c r="F282" s="111">
        <v>162345</v>
      </c>
      <c r="G282" s="111">
        <v>811002011</v>
      </c>
      <c r="H282" s="111">
        <v>4101</v>
      </c>
      <c r="I282" s="111" t="str">
        <f>MID(G282,2,1)</f>
        <v>1</v>
      </c>
      <c r="J282" s="111" t="str">
        <f>IF(I282="1","Small/Medium","Large")</f>
        <v>Small/Medium</v>
      </c>
      <c r="K282" s="147" t="s">
        <v>145</v>
      </c>
      <c r="L282" s="219">
        <f>P282</f>
        <v>15400</v>
      </c>
      <c r="M282" s="219">
        <f>L282*0.3</f>
        <v>4620</v>
      </c>
      <c r="N282" s="219">
        <f>L282-M282</f>
        <v>10780</v>
      </c>
      <c r="O282" s="119">
        <f>N282/L282</f>
        <v>0.7</v>
      </c>
      <c r="P282" s="132">
        <v>15400</v>
      </c>
      <c r="Q282" s="111">
        <v>1108</v>
      </c>
      <c r="R282" s="132">
        <v>28</v>
      </c>
      <c r="S282" s="132">
        <f>836.64+376.6</f>
        <v>1213.24</v>
      </c>
      <c r="T282" s="132">
        <v>2116.08</v>
      </c>
      <c r="U282" s="132">
        <v>351.6</v>
      </c>
      <c r="V282" s="132"/>
      <c r="W282" s="67">
        <f>SUM(S282:U282)</f>
        <v>3680.9199999999996</v>
      </c>
      <c r="X282" s="118">
        <f>S282/R282</f>
        <v>43.33</v>
      </c>
      <c r="Y282" s="119">
        <f>U282/P282</f>
        <v>2.2831168831168834E-2</v>
      </c>
      <c r="Z282" s="117">
        <f>P282-W282</f>
        <v>11719.08</v>
      </c>
      <c r="AA282" s="119">
        <f>Z282/P282</f>
        <v>0.76097922077922076</v>
      </c>
      <c r="AB282" s="120">
        <f t="shared" ref="AB282:AB283" si="165">M282-W282</f>
        <v>939.08000000000038</v>
      </c>
      <c r="AC282" s="135">
        <f>AA282-O282</f>
        <v>6.09792207792208E-2</v>
      </c>
      <c r="AD282" s="110"/>
      <c r="AE282" s="110"/>
      <c r="AF282" s="110"/>
      <c r="AG282" s="121"/>
    </row>
    <row r="283" spans="1:33" s="53" customFormat="1" ht="11.25" customHeight="1" x14ac:dyDescent="0.15">
      <c r="A283" s="53" t="s">
        <v>193</v>
      </c>
      <c r="C283" s="54" t="s">
        <v>177</v>
      </c>
      <c r="D283" s="54">
        <v>2021</v>
      </c>
      <c r="E283" s="70">
        <v>44286</v>
      </c>
      <c r="F283" s="54"/>
      <c r="G283" s="54"/>
      <c r="H283" s="54"/>
      <c r="I283" s="54"/>
      <c r="J283" s="54"/>
      <c r="K283" s="106"/>
      <c r="L283" s="58"/>
      <c r="M283" s="58"/>
      <c r="N283" s="58"/>
      <c r="O283" s="57"/>
      <c r="P283" s="24">
        <f>SUM(P282)</f>
        <v>15400</v>
      </c>
      <c r="Q283" s="54"/>
      <c r="R283" s="24">
        <f>SUM(R282)</f>
        <v>28</v>
      </c>
      <c r="S283" s="24">
        <f>SUM(S282)</f>
        <v>1213.24</v>
      </c>
      <c r="T283" s="24">
        <f>SUM(T282)</f>
        <v>2116.08</v>
      </c>
      <c r="U283" s="24">
        <f>SUM(U282)</f>
        <v>351.6</v>
      </c>
      <c r="V283" s="28"/>
      <c r="W283" s="25">
        <f>SUM(S283:U283)</f>
        <v>3680.9199999999996</v>
      </c>
      <c r="X283" s="56">
        <f>S283/R283</f>
        <v>43.33</v>
      </c>
      <c r="Y283" s="57">
        <f>U283/P283</f>
        <v>2.2831168831168834E-2</v>
      </c>
      <c r="Z283" s="28">
        <f>P283-W283</f>
        <v>11719.08</v>
      </c>
      <c r="AA283" s="57">
        <f>Z283/P283</f>
        <v>0.76097922077922076</v>
      </c>
      <c r="AB283" s="120">
        <f t="shared" si="165"/>
        <v>-3680.9199999999996</v>
      </c>
      <c r="AC283" s="59"/>
      <c r="AG283" s="61"/>
    </row>
    <row r="284" spans="1:33" ht="11.25" customHeight="1" x14ac:dyDescent="0.15">
      <c r="A284" s="130" t="s">
        <v>53</v>
      </c>
      <c r="B284" s="130"/>
      <c r="C284" s="124"/>
      <c r="D284" s="124"/>
      <c r="E284" s="273"/>
      <c r="F284" s="124"/>
      <c r="G284" s="124"/>
      <c r="H284" s="124"/>
      <c r="I284" s="124"/>
      <c r="J284" s="124"/>
      <c r="K284" s="125"/>
      <c r="L284" s="129"/>
      <c r="M284" s="129"/>
      <c r="N284" s="129"/>
      <c r="O284" s="128"/>
      <c r="P284" s="129"/>
      <c r="Q284" s="124"/>
      <c r="R284" s="129"/>
      <c r="S284" s="129"/>
      <c r="T284" s="129"/>
      <c r="U284" s="129"/>
      <c r="V284" s="126"/>
      <c r="W284" s="49"/>
      <c r="X284" s="45"/>
      <c r="Y284" s="128"/>
      <c r="Z284" s="126"/>
      <c r="AA284" s="128"/>
      <c r="AB284" s="129"/>
      <c r="AC284" s="128"/>
      <c r="AD284" s="137"/>
      <c r="AE284" s="110"/>
      <c r="AF284" s="110"/>
      <c r="AG284" s="121"/>
    </row>
    <row r="285" spans="1:33" ht="11.25" customHeight="1" x14ac:dyDescent="0.15">
      <c r="A285" s="110" t="s">
        <v>194</v>
      </c>
      <c r="B285" s="110"/>
      <c r="C285" s="111" t="s">
        <v>175</v>
      </c>
      <c r="D285" s="111">
        <v>2021</v>
      </c>
      <c r="E285" s="146">
        <v>44286</v>
      </c>
      <c r="F285" s="111">
        <v>162344</v>
      </c>
      <c r="G285" s="111">
        <v>810002011</v>
      </c>
      <c r="H285" s="111">
        <v>4111</v>
      </c>
      <c r="I285" s="111" t="str">
        <f>MID(G285,2,1)</f>
        <v>1</v>
      </c>
      <c r="J285" s="111" t="str">
        <f>IF(I285="1","Small/Medium","Large")</f>
        <v>Small/Medium</v>
      </c>
      <c r="K285" s="147" t="s">
        <v>145</v>
      </c>
      <c r="L285" s="219">
        <f>P285</f>
        <v>6943</v>
      </c>
      <c r="M285" s="219">
        <f>L285*0.3</f>
        <v>2082.9</v>
      </c>
      <c r="N285" s="219">
        <f>L285-M285</f>
        <v>4860.1000000000004</v>
      </c>
      <c r="O285" s="119">
        <f>N285/L285</f>
        <v>0.70000000000000007</v>
      </c>
      <c r="P285" s="132">
        <v>6943</v>
      </c>
      <c r="Q285" s="111">
        <v>1109</v>
      </c>
      <c r="R285" s="132">
        <v>40</v>
      </c>
      <c r="S285" s="132">
        <f>1195.2+538.02</f>
        <v>1733.22</v>
      </c>
      <c r="T285" s="132">
        <v>727.55</v>
      </c>
      <c r="U285" s="132">
        <v>177.89</v>
      </c>
      <c r="V285" s="132"/>
      <c r="W285" s="67">
        <f>SUM(S285:U285)</f>
        <v>2638.66</v>
      </c>
      <c r="X285" s="118">
        <f>S285/R285</f>
        <v>43.330500000000001</v>
      </c>
      <c r="Y285" s="119">
        <f>U285/P285</f>
        <v>2.5621489269768111E-2</v>
      </c>
      <c r="Z285" s="117">
        <f>P285-W285</f>
        <v>4304.34</v>
      </c>
      <c r="AA285" s="119">
        <f>Z285/P285</f>
        <v>0.61995391041336601</v>
      </c>
      <c r="AB285" s="120">
        <f t="shared" ref="AB285:AB287" si="166">M285-W285</f>
        <v>-555.75999999999976</v>
      </c>
      <c r="AC285" s="135">
        <f>AA285-O285</f>
        <v>-8.0046089586634062E-2</v>
      </c>
      <c r="AD285" s="110" t="s">
        <v>183</v>
      </c>
      <c r="AE285" s="110"/>
      <c r="AF285" s="110"/>
      <c r="AG285" s="121"/>
    </row>
    <row r="286" spans="1:33" ht="11.25" customHeight="1" x14ac:dyDescent="0.15">
      <c r="A286" s="110" t="s">
        <v>194</v>
      </c>
      <c r="B286" s="110"/>
      <c r="C286" s="111" t="s">
        <v>175</v>
      </c>
      <c r="D286" s="111">
        <v>2021</v>
      </c>
      <c r="E286" s="146">
        <v>44286</v>
      </c>
      <c r="F286" s="111">
        <v>162344</v>
      </c>
      <c r="G286" s="111">
        <v>820002011</v>
      </c>
      <c r="H286" s="111">
        <v>4111</v>
      </c>
      <c r="I286" s="111" t="str">
        <f>MID(G286,2,1)</f>
        <v>2</v>
      </c>
      <c r="J286" s="111" t="str">
        <f>IF(I286="1","Small/Medium","Large")</f>
        <v>Large</v>
      </c>
      <c r="K286" s="147" t="s">
        <v>176</v>
      </c>
      <c r="L286" s="120">
        <f>P286</f>
        <v>12894.5</v>
      </c>
      <c r="M286" s="120">
        <f>L286*0.3</f>
        <v>3868.35</v>
      </c>
      <c r="N286" s="120">
        <f>L286-M286</f>
        <v>9026.15</v>
      </c>
      <c r="O286" s="119">
        <f>N286/L286</f>
        <v>0.7</v>
      </c>
      <c r="P286" s="117">
        <v>12894.5</v>
      </c>
      <c r="Q286" s="111">
        <v>1110</v>
      </c>
      <c r="R286" s="117">
        <v>21.5</v>
      </c>
      <c r="S286" s="117">
        <f>642.42+289.18</f>
        <v>931.59999999999991</v>
      </c>
      <c r="T286" s="117">
        <v>1351.15</v>
      </c>
      <c r="U286" s="117">
        <v>330.38</v>
      </c>
      <c r="V286" s="117"/>
      <c r="W286" s="26">
        <f>SUM(S286:U286)</f>
        <v>2613.13</v>
      </c>
      <c r="X286" s="118">
        <f>S286/R286</f>
        <v>43.330232558139528</v>
      </c>
      <c r="Y286" s="119">
        <f>U286/P286</f>
        <v>2.5621776726511301E-2</v>
      </c>
      <c r="Z286" s="117">
        <f>P286-W286</f>
        <v>10281.369999999999</v>
      </c>
      <c r="AA286" s="119">
        <f>Z286/P286</f>
        <v>0.7973453798130985</v>
      </c>
      <c r="AB286" s="120">
        <f t="shared" si="166"/>
        <v>1255.2199999999998</v>
      </c>
      <c r="AC286" s="135">
        <f>AA286-O286</f>
        <v>9.7345379813098543E-2</v>
      </c>
      <c r="AD286" s="110"/>
      <c r="AE286" s="110"/>
      <c r="AF286" s="110"/>
      <c r="AG286" s="121"/>
    </row>
    <row r="287" spans="1:33" s="53" customFormat="1" ht="11.25" customHeight="1" x14ac:dyDescent="0.15">
      <c r="A287" s="53" t="s">
        <v>194</v>
      </c>
      <c r="C287" s="54" t="s">
        <v>177</v>
      </c>
      <c r="D287" s="54">
        <v>2021</v>
      </c>
      <c r="E287" s="70">
        <v>44286</v>
      </c>
      <c r="F287" s="54"/>
      <c r="G287" s="54"/>
      <c r="H287" s="54"/>
      <c r="I287" s="54"/>
      <c r="J287" s="54"/>
      <c r="K287" s="106"/>
      <c r="L287" s="24">
        <f>SUBTOTAL(9,L285:L286)</f>
        <v>19837.5</v>
      </c>
      <c r="M287" s="24">
        <f t="shared" ref="M287:N287" si="167">SUBTOTAL(9,M285:M286)</f>
        <v>5951.25</v>
      </c>
      <c r="N287" s="24">
        <f t="shared" si="167"/>
        <v>13886.25</v>
      </c>
      <c r="O287" s="57">
        <f>N287/L287</f>
        <v>0.7</v>
      </c>
      <c r="P287" s="24">
        <f>SUM(P285:P286)</f>
        <v>19837.5</v>
      </c>
      <c r="Q287" s="54"/>
      <c r="R287" s="24">
        <f>SUM(R285:R286)</f>
        <v>61.5</v>
      </c>
      <c r="S287" s="24">
        <f>SUM(S285:S286)</f>
        <v>2664.8199999999997</v>
      </c>
      <c r="T287" s="24">
        <f>SUM(T285:T286)</f>
        <v>2078.6999999999998</v>
      </c>
      <c r="U287" s="24">
        <f>SUM(U285:U286)</f>
        <v>508.27</v>
      </c>
      <c r="V287" s="28"/>
      <c r="W287" s="25">
        <f>SUM(S287:U287)</f>
        <v>5251.7899999999991</v>
      </c>
      <c r="X287" s="56">
        <f>S287/R287</f>
        <v>43.330406504065039</v>
      </c>
      <c r="Y287" s="57">
        <f>U287/P287</f>
        <v>2.5621676118462507E-2</v>
      </c>
      <c r="Z287" s="28">
        <f>P287-W287</f>
        <v>14585.710000000001</v>
      </c>
      <c r="AA287" s="57">
        <f>Z287/P287</f>
        <v>0.73525948330182744</v>
      </c>
      <c r="AB287" s="120">
        <f t="shared" si="166"/>
        <v>699.46000000000095</v>
      </c>
      <c r="AC287" s="59"/>
      <c r="AG287" s="61"/>
    </row>
    <row r="288" spans="1:33" ht="11.25" customHeight="1" x14ac:dyDescent="0.15">
      <c r="A288" s="130" t="s">
        <v>53</v>
      </c>
      <c r="B288" s="130"/>
      <c r="C288" s="124"/>
      <c r="D288" s="124"/>
      <c r="E288" s="273"/>
      <c r="F288" s="124"/>
      <c r="G288" s="124"/>
      <c r="H288" s="124"/>
      <c r="I288" s="124"/>
      <c r="J288" s="124"/>
      <c r="K288" s="125"/>
      <c r="L288" s="129"/>
      <c r="M288" s="129"/>
      <c r="N288" s="129"/>
      <c r="O288" s="128"/>
      <c r="P288" s="129"/>
      <c r="Q288" s="124"/>
      <c r="R288" s="129"/>
      <c r="S288" s="129"/>
      <c r="T288" s="129"/>
      <c r="U288" s="129"/>
      <c r="V288" s="126"/>
      <c r="W288" s="49"/>
      <c r="X288" s="45"/>
      <c r="Y288" s="128"/>
      <c r="Z288" s="126"/>
      <c r="AA288" s="128"/>
      <c r="AB288" s="129"/>
      <c r="AC288" s="128"/>
      <c r="AD288" s="137"/>
      <c r="AE288" s="110"/>
      <c r="AF288" s="110"/>
      <c r="AG288" s="121"/>
    </row>
    <row r="289" spans="1:33" ht="11.25" customHeight="1" x14ac:dyDescent="0.15">
      <c r="A289" s="110" t="s">
        <v>97</v>
      </c>
      <c r="B289" s="110"/>
      <c r="C289" s="111" t="s">
        <v>175</v>
      </c>
      <c r="D289" s="111">
        <v>2021</v>
      </c>
      <c r="E289" s="146">
        <v>44286</v>
      </c>
      <c r="F289" s="111">
        <v>162315</v>
      </c>
      <c r="G289" s="111">
        <v>811001011</v>
      </c>
      <c r="H289" s="111">
        <v>4101</v>
      </c>
      <c r="I289" s="111" t="str">
        <f>MID(G289,2,1)</f>
        <v>1</v>
      </c>
      <c r="J289" s="111" t="str">
        <f>IF(I289="1","Small/Medium","Large")</f>
        <v>Small/Medium</v>
      </c>
      <c r="K289" s="147" t="s">
        <v>145</v>
      </c>
      <c r="L289" s="120">
        <f>P289</f>
        <v>13907</v>
      </c>
      <c r="M289" s="120">
        <f>L289*0.3</f>
        <v>4172.0999999999995</v>
      </c>
      <c r="N289" s="120">
        <f>L289-M289</f>
        <v>9734.9000000000015</v>
      </c>
      <c r="O289" s="119">
        <f>N289/L289</f>
        <v>0.70000000000000007</v>
      </c>
      <c r="P289" s="117">
        <v>13907</v>
      </c>
      <c r="Q289" s="111">
        <v>1077</v>
      </c>
      <c r="R289" s="117">
        <v>43.5</v>
      </c>
      <c r="S289" s="117">
        <f>1299.78+585.09</f>
        <v>1884.87</v>
      </c>
      <c r="T289" s="117">
        <v>1714.5</v>
      </c>
      <c r="U289" s="117">
        <v>397</v>
      </c>
      <c r="V289" s="117"/>
      <c r="W289" s="26">
        <f>SUM(S289:U289)</f>
        <v>3996.37</v>
      </c>
      <c r="X289" s="118">
        <f>S289/R289</f>
        <v>43.330344827586202</v>
      </c>
      <c r="Y289" s="119">
        <f>U289/P289</f>
        <v>2.8546775005392967E-2</v>
      </c>
      <c r="Z289" s="117">
        <f>P289-W289</f>
        <v>9910.630000000001</v>
      </c>
      <c r="AA289" s="119">
        <f>Z289/P289</f>
        <v>0.71263608254835697</v>
      </c>
      <c r="AB289" s="120">
        <f t="shared" ref="AB289:AB290" si="168">M289-W289</f>
        <v>175.72999999999956</v>
      </c>
      <c r="AC289" s="135">
        <f>AA289-O289</f>
        <v>1.2636082548356908E-2</v>
      </c>
      <c r="AD289" s="110"/>
      <c r="AE289" s="110"/>
      <c r="AF289" s="110"/>
      <c r="AG289" s="121"/>
    </row>
    <row r="290" spans="1:33" s="53" customFormat="1" ht="11.25" customHeight="1" x14ac:dyDescent="0.15">
      <c r="A290" s="53" t="s">
        <v>97</v>
      </c>
      <c r="C290" s="54" t="s">
        <v>177</v>
      </c>
      <c r="D290" s="54">
        <v>2021</v>
      </c>
      <c r="E290" s="70">
        <v>44286</v>
      </c>
      <c r="F290" s="54"/>
      <c r="G290" s="54"/>
      <c r="H290" s="54"/>
      <c r="I290" s="54"/>
      <c r="J290" s="54"/>
      <c r="K290" s="106"/>
      <c r="L290" s="93"/>
      <c r="M290" s="93"/>
      <c r="N290" s="93"/>
      <c r="O290" s="73"/>
      <c r="P290" s="25">
        <f>SUM(P289)</f>
        <v>13907</v>
      </c>
      <c r="Q290" s="54"/>
      <c r="R290" s="25">
        <f>SUM(R289)</f>
        <v>43.5</v>
      </c>
      <c r="S290" s="25">
        <f>SUM(S289)</f>
        <v>1884.87</v>
      </c>
      <c r="T290" s="25">
        <f>SUM(T289)</f>
        <v>1714.5</v>
      </c>
      <c r="U290" s="25">
        <f>SUM(U289)</f>
        <v>397</v>
      </c>
      <c r="V290" s="64"/>
      <c r="W290" s="25">
        <f>SUM(S290:U290)</f>
        <v>3996.37</v>
      </c>
      <c r="X290" s="56">
        <f>S290/R290</f>
        <v>43.330344827586202</v>
      </c>
      <c r="Y290" s="57">
        <f>U290/P290</f>
        <v>2.8546775005392967E-2</v>
      </c>
      <c r="Z290" s="28">
        <f>P290-W290</f>
        <v>9910.630000000001</v>
      </c>
      <c r="AA290" s="57">
        <f>Z290/P290</f>
        <v>0.71263608254835697</v>
      </c>
      <c r="AB290" s="120">
        <f t="shared" si="168"/>
        <v>-3996.37</v>
      </c>
      <c r="AC290" s="59"/>
      <c r="AG290" s="61"/>
    </row>
    <row r="291" spans="1:33" ht="11.25" customHeight="1" x14ac:dyDescent="0.15">
      <c r="A291" s="130" t="s">
        <v>53</v>
      </c>
      <c r="B291" s="130"/>
      <c r="C291" s="124"/>
      <c r="D291" s="124"/>
      <c r="E291" s="273"/>
      <c r="F291" s="124"/>
      <c r="G291" s="124"/>
      <c r="H291" s="124"/>
      <c r="I291" s="124"/>
      <c r="J291" s="124"/>
      <c r="K291" s="125"/>
      <c r="L291" s="129"/>
      <c r="M291" s="129"/>
      <c r="N291" s="129"/>
      <c r="O291" s="128"/>
      <c r="P291" s="129"/>
      <c r="Q291" s="124"/>
      <c r="R291" s="129"/>
      <c r="S291" s="129"/>
      <c r="T291" s="129"/>
      <c r="U291" s="129"/>
      <c r="V291" s="126"/>
      <c r="W291" s="49"/>
      <c r="X291" s="45"/>
      <c r="Y291" s="128"/>
      <c r="Z291" s="126"/>
      <c r="AA291" s="128"/>
      <c r="AB291" s="129"/>
      <c r="AC291" s="128"/>
      <c r="AD291" s="137"/>
      <c r="AE291" s="110"/>
      <c r="AF291" s="110"/>
      <c r="AG291" s="121"/>
    </row>
    <row r="292" spans="1:33" ht="11.25" customHeight="1" x14ac:dyDescent="0.15">
      <c r="A292" s="110" t="s">
        <v>195</v>
      </c>
      <c r="B292" s="110"/>
      <c r="C292" s="111" t="s">
        <v>175</v>
      </c>
      <c r="D292" s="111">
        <v>2021</v>
      </c>
      <c r="E292" s="146">
        <v>44286</v>
      </c>
      <c r="F292" s="111">
        <v>162314</v>
      </c>
      <c r="G292" s="111">
        <v>810101021</v>
      </c>
      <c r="H292" s="111">
        <v>4111</v>
      </c>
      <c r="I292" s="111" t="str">
        <f>MID(G292,2,1)</f>
        <v>1</v>
      </c>
      <c r="J292" s="111" t="str">
        <f>IF(I292="1","Small/Medium","Large")</f>
        <v>Small/Medium</v>
      </c>
      <c r="K292" s="147" t="s">
        <v>145</v>
      </c>
      <c r="L292" s="120">
        <f>P292</f>
        <v>3500</v>
      </c>
      <c r="M292" s="120">
        <f>L292*0.3</f>
        <v>1050</v>
      </c>
      <c r="N292" s="120">
        <f>L292-M292</f>
        <v>2450</v>
      </c>
      <c r="O292" s="119">
        <f>N292/L292</f>
        <v>0.7</v>
      </c>
      <c r="P292" s="132">
        <v>3500</v>
      </c>
      <c r="Q292" s="111">
        <v>1070</v>
      </c>
      <c r="R292" s="132">
        <v>26.5</v>
      </c>
      <c r="S292" s="132">
        <f>791.82+356.43</f>
        <v>1148.25</v>
      </c>
      <c r="T292" s="132">
        <v>716.81</v>
      </c>
      <c r="U292" s="132">
        <v>0</v>
      </c>
      <c r="V292" s="117"/>
      <c r="W292" s="67">
        <f>SUM(S292:U292)</f>
        <v>1865.06</v>
      </c>
      <c r="X292" s="118">
        <f>S292/R292</f>
        <v>43.330188679245282</v>
      </c>
      <c r="Y292" s="119">
        <f>U292/P292</f>
        <v>0</v>
      </c>
      <c r="Z292" s="117">
        <f>P292-W292</f>
        <v>1634.94</v>
      </c>
      <c r="AA292" s="119">
        <f>Z292/P292</f>
        <v>0.46712571428571431</v>
      </c>
      <c r="AB292" s="120">
        <f t="shared" ref="AB292:AB294" si="169">M292-W292</f>
        <v>-815.06</v>
      </c>
      <c r="AC292" s="135">
        <f>AA292-O292</f>
        <v>-0.23287428571428564</v>
      </c>
      <c r="AD292" s="110" t="s">
        <v>183</v>
      </c>
      <c r="AE292" s="110"/>
      <c r="AF292" s="110"/>
      <c r="AG292" s="121"/>
    </row>
    <row r="293" spans="1:33" ht="11.25" customHeight="1" x14ac:dyDescent="0.15">
      <c r="A293" s="110" t="s">
        <v>195</v>
      </c>
      <c r="B293" s="110"/>
      <c r="C293" s="111" t="s">
        <v>175</v>
      </c>
      <c r="D293" s="111">
        <v>2021</v>
      </c>
      <c r="E293" s="146">
        <v>44286</v>
      </c>
      <c r="F293" s="111">
        <v>162314</v>
      </c>
      <c r="G293" s="111">
        <v>821101111</v>
      </c>
      <c r="H293" s="111">
        <v>4101</v>
      </c>
      <c r="I293" s="111" t="str">
        <f>MID(G293,2,1)</f>
        <v>2</v>
      </c>
      <c r="J293" s="111" t="str">
        <f>IF(I293="1","Small/Medium","Large")</f>
        <v>Large</v>
      </c>
      <c r="K293" s="147" t="s">
        <v>176</v>
      </c>
      <c r="L293" s="120">
        <f>P293</f>
        <v>6500</v>
      </c>
      <c r="M293" s="120">
        <f>L293*0.3</f>
        <v>1950</v>
      </c>
      <c r="N293" s="120">
        <f>L293-M293</f>
        <v>4550</v>
      </c>
      <c r="O293" s="119">
        <f>N293/L293</f>
        <v>0.7</v>
      </c>
      <c r="P293" s="117">
        <v>6500</v>
      </c>
      <c r="Q293" s="111">
        <v>1075</v>
      </c>
      <c r="R293" s="117">
        <v>26.5</v>
      </c>
      <c r="S293" s="117">
        <f>791.82+356.43</f>
        <v>1148.25</v>
      </c>
      <c r="T293" s="117">
        <v>1384.19</v>
      </c>
      <c r="U293" s="117">
        <v>73.14</v>
      </c>
      <c r="V293" s="117"/>
      <c r="W293" s="26">
        <f>SUM(S293:U293)</f>
        <v>2605.58</v>
      </c>
      <c r="X293" s="118">
        <f>S293/R293</f>
        <v>43.330188679245282</v>
      </c>
      <c r="Y293" s="119">
        <f>U293/P293</f>
        <v>1.1252307692307692E-2</v>
      </c>
      <c r="Z293" s="117">
        <f>P293-W293</f>
        <v>3894.42</v>
      </c>
      <c r="AA293" s="119">
        <f>Z293/P293</f>
        <v>0.5991415384615385</v>
      </c>
      <c r="AB293" s="120">
        <f t="shared" si="169"/>
        <v>-655.57999999999993</v>
      </c>
      <c r="AC293" s="135">
        <f>AA293-O293</f>
        <v>-0.10085846153846145</v>
      </c>
      <c r="AD293" s="110" t="s">
        <v>183</v>
      </c>
      <c r="AE293" s="110"/>
      <c r="AF293" s="110"/>
      <c r="AG293" s="121"/>
    </row>
    <row r="294" spans="1:33" s="53" customFormat="1" ht="11.25" customHeight="1" x14ac:dyDescent="0.15">
      <c r="A294" s="53" t="s">
        <v>195</v>
      </c>
      <c r="C294" s="54" t="s">
        <v>177</v>
      </c>
      <c r="D294" s="54">
        <v>2021</v>
      </c>
      <c r="E294" s="70">
        <v>44286</v>
      </c>
      <c r="F294" s="54"/>
      <c r="G294" s="54"/>
      <c r="H294" s="54"/>
      <c r="I294" s="54"/>
      <c r="J294" s="54"/>
      <c r="K294" s="106"/>
      <c r="L294" s="58"/>
      <c r="M294" s="58"/>
      <c r="N294" s="58"/>
      <c r="O294" s="57"/>
      <c r="P294" s="24">
        <f>SUM(P292:P293)</f>
        <v>10000</v>
      </c>
      <c r="Q294" s="54"/>
      <c r="R294" s="24">
        <f>SUM(R292:R293)</f>
        <v>53</v>
      </c>
      <c r="S294" s="24">
        <f>SUM(S292:S293)</f>
        <v>2296.5</v>
      </c>
      <c r="T294" s="24">
        <f>SUM(T292:T293)</f>
        <v>2101</v>
      </c>
      <c r="U294" s="24">
        <f>SUM(U292:U293)</f>
        <v>73.14</v>
      </c>
      <c r="V294" s="28"/>
      <c r="W294" s="25">
        <f>SUM(S294:U294)</f>
        <v>4470.6400000000003</v>
      </c>
      <c r="X294" s="56">
        <f>S294/R294</f>
        <v>43.330188679245282</v>
      </c>
      <c r="Y294" s="57">
        <f>U294/P294</f>
        <v>7.3140000000000002E-3</v>
      </c>
      <c r="Z294" s="28">
        <f>P294-W294</f>
        <v>5529.36</v>
      </c>
      <c r="AA294" s="57">
        <f>Z294/P294</f>
        <v>0.55293599999999998</v>
      </c>
      <c r="AB294" s="120">
        <f t="shared" si="169"/>
        <v>-4470.6400000000003</v>
      </c>
      <c r="AC294" s="59"/>
      <c r="AG294" s="61"/>
    </row>
    <row r="295" spans="1:33" ht="11.25" customHeight="1" x14ac:dyDescent="0.15">
      <c r="A295" s="130" t="s">
        <v>53</v>
      </c>
      <c r="B295" s="130"/>
      <c r="C295" s="124"/>
      <c r="D295" s="124"/>
      <c r="E295" s="273"/>
      <c r="F295" s="124"/>
      <c r="G295" s="124"/>
      <c r="H295" s="124"/>
      <c r="I295" s="124"/>
      <c r="J295" s="124"/>
      <c r="K295" s="125"/>
      <c r="L295" s="129"/>
      <c r="M295" s="129"/>
      <c r="N295" s="129"/>
      <c r="O295" s="128"/>
      <c r="P295" s="220"/>
      <c r="Q295" s="124"/>
      <c r="R295" s="220"/>
      <c r="S295" s="220"/>
      <c r="T295" s="220"/>
      <c r="U295" s="220"/>
      <c r="V295" s="126"/>
      <c r="W295" s="230"/>
      <c r="X295" s="45"/>
      <c r="Y295" s="128"/>
      <c r="Z295" s="126"/>
      <c r="AA295" s="128"/>
      <c r="AB295" s="129"/>
      <c r="AC295" s="128"/>
      <c r="AD295" s="137"/>
      <c r="AE295" s="110"/>
      <c r="AF295" s="110"/>
      <c r="AG295" s="121"/>
    </row>
    <row r="296" spans="1:33" ht="11.25" customHeight="1" x14ac:dyDescent="0.15">
      <c r="A296" s="110" t="s">
        <v>196</v>
      </c>
      <c r="B296" s="110"/>
      <c r="C296" s="111" t="s">
        <v>175</v>
      </c>
      <c r="D296" s="111">
        <v>2021</v>
      </c>
      <c r="E296" s="146">
        <v>44286</v>
      </c>
      <c r="F296" s="111">
        <v>162313</v>
      </c>
      <c r="G296" s="111">
        <v>810002011</v>
      </c>
      <c r="H296" s="111">
        <v>4111</v>
      </c>
      <c r="I296" s="111" t="str">
        <f>MID(G296,2,1)</f>
        <v>1</v>
      </c>
      <c r="J296" s="111" t="str">
        <f>IF(I296="1","Small/Medium","Large")</f>
        <v>Small/Medium</v>
      </c>
      <c r="K296" s="147" t="s">
        <v>145</v>
      </c>
      <c r="L296" s="120">
        <f>P296</f>
        <v>17424</v>
      </c>
      <c r="M296" s="120">
        <f>L296*0.3</f>
        <v>5227.2</v>
      </c>
      <c r="N296" s="120">
        <f>L296-M296</f>
        <v>12196.8</v>
      </c>
      <c r="O296" s="119">
        <f>N296/L296</f>
        <v>0.7</v>
      </c>
      <c r="P296" s="117">
        <v>17424</v>
      </c>
      <c r="Q296" s="111">
        <v>1083</v>
      </c>
      <c r="R296" s="117">
        <v>21</v>
      </c>
      <c r="S296" s="117">
        <f>627.48+282.45</f>
        <v>909.93000000000006</v>
      </c>
      <c r="T296" s="117">
        <v>1256.1400000000001</v>
      </c>
      <c r="U296" s="117">
        <v>1228.6500000000001</v>
      </c>
      <c r="V296" s="117"/>
      <c r="W296" s="26">
        <f>SUM(S296:U296)</f>
        <v>3394.7200000000003</v>
      </c>
      <c r="X296" s="118">
        <f>S296/R296</f>
        <v>43.330000000000005</v>
      </c>
      <c r="Y296" s="119">
        <f>U296/P296</f>
        <v>7.0514807162534443E-2</v>
      </c>
      <c r="Z296" s="117">
        <f>P296-W296</f>
        <v>14029.279999999999</v>
      </c>
      <c r="AA296" s="119">
        <f>Z296/P296</f>
        <v>0.80516988062442596</v>
      </c>
      <c r="AB296" s="120">
        <f t="shared" ref="AB296:AB297" si="170">M296-W296</f>
        <v>1832.4799999999996</v>
      </c>
      <c r="AC296" s="135">
        <f>AA296-O296</f>
        <v>0.105169880624426</v>
      </c>
      <c r="AD296" s="110"/>
      <c r="AE296" s="110"/>
      <c r="AF296" s="110"/>
      <c r="AG296" s="121"/>
    </row>
    <row r="297" spans="1:33" s="53" customFormat="1" ht="11.25" customHeight="1" x14ac:dyDescent="0.15">
      <c r="A297" s="53" t="s">
        <v>196</v>
      </c>
      <c r="C297" s="54" t="s">
        <v>177</v>
      </c>
      <c r="D297" s="54">
        <v>2021</v>
      </c>
      <c r="E297" s="70">
        <v>44286</v>
      </c>
      <c r="F297" s="54"/>
      <c r="G297" s="54"/>
      <c r="H297" s="54"/>
      <c r="I297" s="54"/>
      <c r="J297" s="54"/>
      <c r="K297" s="106"/>
      <c r="L297" s="58"/>
      <c r="M297" s="58"/>
      <c r="N297" s="58"/>
      <c r="O297" s="57"/>
      <c r="P297" s="24">
        <f>SUM(P296)</f>
        <v>17424</v>
      </c>
      <c r="Q297" s="54"/>
      <c r="R297" s="24">
        <f>SUM(R296)</f>
        <v>21</v>
      </c>
      <c r="S297" s="24">
        <f>SUM(S296)</f>
        <v>909.93000000000006</v>
      </c>
      <c r="T297" s="24">
        <f>SUM(T296)</f>
        <v>1256.1400000000001</v>
      </c>
      <c r="U297" s="24">
        <f>SUM(U296)</f>
        <v>1228.6500000000001</v>
      </c>
      <c r="V297" s="28"/>
      <c r="W297" s="25">
        <f>SUM(S297:U297)</f>
        <v>3394.7200000000003</v>
      </c>
      <c r="X297" s="56">
        <f>S297/R297</f>
        <v>43.330000000000005</v>
      </c>
      <c r="Y297" s="57">
        <f>U297/P297</f>
        <v>7.0514807162534443E-2</v>
      </c>
      <c r="Z297" s="28">
        <f>P297-W297</f>
        <v>14029.279999999999</v>
      </c>
      <c r="AA297" s="57">
        <f>Z297/P297</f>
        <v>0.80516988062442596</v>
      </c>
      <c r="AB297" s="120">
        <f t="shared" si="170"/>
        <v>-3394.7200000000003</v>
      </c>
      <c r="AC297" s="59"/>
      <c r="AG297" s="61"/>
    </row>
    <row r="298" spans="1:33" ht="11.25" customHeight="1" x14ac:dyDescent="0.15">
      <c r="A298" s="130" t="s">
        <v>53</v>
      </c>
      <c r="B298" s="130"/>
      <c r="C298" s="124"/>
      <c r="D298" s="124"/>
      <c r="E298" s="273"/>
      <c r="F298" s="124"/>
      <c r="G298" s="124"/>
      <c r="H298" s="124"/>
      <c r="I298" s="124"/>
      <c r="J298" s="124"/>
      <c r="K298" s="125"/>
      <c r="L298" s="129"/>
      <c r="M298" s="129"/>
      <c r="N298" s="129"/>
      <c r="O298" s="128"/>
      <c r="P298" s="129"/>
      <c r="Q298" s="124"/>
      <c r="R298" s="129"/>
      <c r="S298" s="129"/>
      <c r="T298" s="129"/>
      <c r="U298" s="129"/>
      <c r="V298" s="126"/>
      <c r="W298" s="49"/>
      <c r="X298" s="45"/>
      <c r="Y298" s="128"/>
      <c r="Z298" s="126"/>
      <c r="AA298" s="128"/>
      <c r="AB298" s="129"/>
      <c r="AC298" s="128"/>
      <c r="AD298" s="137"/>
      <c r="AE298" s="110"/>
      <c r="AF298" s="110"/>
      <c r="AG298" s="121"/>
    </row>
    <row r="299" spans="1:33" ht="11.25" customHeight="1" x14ac:dyDescent="0.15">
      <c r="A299" s="110" t="s">
        <v>197</v>
      </c>
      <c r="B299" s="110"/>
      <c r="C299" s="111" t="s">
        <v>175</v>
      </c>
      <c r="D299" s="111">
        <v>2021</v>
      </c>
      <c r="E299" s="146">
        <v>44227</v>
      </c>
      <c r="F299" s="111">
        <v>162180</v>
      </c>
      <c r="G299" s="111">
        <v>821003111</v>
      </c>
      <c r="H299" s="111">
        <v>4101</v>
      </c>
      <c r="I299" s="111" t="str">
        <f>MID(G299,2,1)</f>
        <v>2</v>
      </c>
      <c r="J299" s="111" t="str">
        <f>IF(I299="1","Small/Medium","Large")</f>
        <v>Large</v>
      </c>
      <c r="K299" s="147" t="s">
        <v>176</v>
      </c>
      <c r="L299" s="219">
        <f>P299</f>
        <v>13576</v>
      </c>
      <c r="M299" s="219">
        <f>L299*0.3</f>
        <v>4072.7999999999997</v>
      </c>
      <c r="N299" s="219">
        <f>L299-M299</f>
        <v>9503.2000000000007</v>
      </c>
      <c r="O299" s="163">
        <f>N299/L299</f>
        <v>0.70000000000000007</v>
      </c>
      <c r="P299" s="132">
        <v>13576</v>
      </c>
      <c r="Q299" s="111">
        <v>1078</v>
      </c>
      <c r="R299" s="132">
        <v>56.5</v>
      </c>
      <c r="S299" s="132">
        <f>1688.22+759.93</f>
        <v>2448.15</v>
      </c>
      <c r="T299" s="132">
        <v>2646.15</v>
      </c>
      <c r="U299" s="132">
        <v>1022.5</v>
      </c>
      <c r="V299" s="132"/>
      <c r="W299" s="67">
        <f>SUM(S299:U299)</f>
        <v>6116.8</v>
      </c>
      <c r="X299" s="118">
        <f>S299/R299</f>
        <v>43.330088495575225</v>
      </c>
      <c r="Y299" s="119">
        <f>U299/P299</f>
        <v>7.5316735415439012E-2</v>
      </c>
      <c r="Z299" s="117">
        <f>P299-W299</f>
        <v>7459.2</v>
      </c>
      <c r="AA299" s="119">
        <f>Z299/P299</f>
        <v>0.54944018856806132</v>
      </c>
      <c r="AB299" s="120">
        <f t="shared" ref="AB299:AB300" si="171">M299-W299</f>
        <v>-2044.0000000000005</v>
      </c>
      <c r="AC299" s="135">
        <f>AA299-O299</f>
        <v>-0.15055981143193875</v>
      </c>
      <c r="AD299" s="110" t="s">
        <v>183</v>
      </c>
      <c r="AE299" s="110"/>
      <c r="AF299" s="110"/>
      <c r="AG299" s="121"/>
    </row>
    <row r="300" spans="1:33" s="53" customFormat="1" ht="11.25" customHeight="1" x14ac:dyDescent="0.15">
      <c r="A300" s="53" t="s">
        <v>197</v>
      </c>
      <c r="C300" s="54" t="s">
        <v>177</v>
      </c>
      <c r="D300" s="54">
        <v>2021</v>
      </c>
      <c r="E300" s="70">
        <v>44227</v>
      </c>
      <c r="F300" s="54"/>
      <c r="G300" s="54"/>
      <c r="H300" s="54"/>
      <c r="I300" s="54"/>
      <c r="J300" s="54"/>
      <c r="K300" s="106"/>
      <c r="L300" s="58"/>
      <c r="M300" s="58"/>
      <c r="N300" s="58"/>
      <c r="O300" s="57"/>
      <c r="P300" s="25">
        <f>SUM(P299)</f>
        <v>13576</v>
      </c>
      <c r="Q300" s="54"/>
      <c r="R300" s="25">
        <f>SUM(R299)</f>
        <v>56.5</v>
      </c>
      <c r="S300" s="25">
        <f>SUM(S299)</f>
        <v>2448.15</v>
      </c>
      <c r="T300" s="25">
        <f>SUM(T299)</f>
        <v>2646.15</v>
      </c>
      <c r="U300" s="25">
        <f>SUM(U299)</f>
        <v>1022.5</v>
      </c>
      <c r="V300" s="28"/>
      <c r="W300" s="25">
        <f>SUM(S300:U300)</f>
        <v>6116.8</v>
      </c>
      <c r="X300" s="56">
        <f>S300/R300</f>
        <v>43.330088495575225</v>
      </c>
      <c r="Y300" s="57">
        <f>U300/P300</f>
        <v>7.5316735415439012E-2</v>
      </c>
      <c r="Z300" s="28">
        <f>P300-W300</f>
        <v>7459.2</v>
      </c>
      <c r="AA300" s="57">
        <f>Z300/P300</f>
        <v>0.54944018856806132</v>
      </c>
      <c r="AB300" s="120">
        <f t="shared" si="171"/>
        <v>-6116.8</v>
      </c>
      <c r="AC300" s="59"/>
      <c r="AG300" s="61"/>
    </row>
    <row r="301" spans="1:33" ht="11.25" customHeight="1" x14ac:dyDescent="0.15">
      <c r="A301" s="130" t="s">
        <v>53</v>
      </c>
      <c r="B301" s="130"/>
      <c r="C301" s="124"/>
      <c r="D301" s="124"/>
      <c r="E301" s="273"/>
      <c r="F301" s="124"/>
      <c r="G301" s="124"/>
      <c r="H301" s="124"/>
      <c r="I301" s="124"/>
      <c r="J301" s="124"/>
      <c r="K301" s="125"/>
      <c r="L301" s="129"/>
      <c r="M301" s="129"/>
      <c r="N301" s="129"/>
      <c r="O301" s="128"/>
      <c r="P301" s="129"/>
      <c r="Q301" s="124"/>
      <c r="R301" s="129"/>
      <c r="S301" s="129"/>
      <c r="T301" s="129"/>
      <c r="U301" s="129"/>
      <c r="V301" s="126"/>
      <c r="W301" s="49"/>
      <c r="X301" s="45"/>
      <c r="Y301" s="128"/>
      <c r="Z301" s="126"/>
      <c r="AA301" s="128"/>
      <c r="AB301" s="129"/>
      <c r="AC301" s="128"/>
      <c r="AD301" s="137"/>
      <c r="AE301" s="110"/>
      <c r="AF301" s="110"/>
      <c r="AG301" s="121"/>
    </row>
    <row r="302" spans="1:33" ht="11.25" customHeight="1" x14ac:dyDescent="0.15">
      <c r="A302" s="110" t="s">
        <v>198</v>
      </c>
      <c r="B302" s="110"/>
      <c r="C302" s="111" t="s">
        <v>175</v>
      </c>
      <c r="D302" s="111">
        <v>2021</v>
      </c>
      <c r="E302" s="146">
        <v>44286</v>
      </c>
      <c r="F302" s="111">
        <v>162312</v>
      </c>
      <c r="G302" s="111">
        <v>821001111</v>
      </c>
      <c r="H302" s="111">
        <v>4101</v>
      </c>
      <c r="I302" s="111" t="str">
        <f>MID(G302,2,1)</f>
        <v>2</v>
      </c>
      <c r="J302" s="111" t="str">
        <f>IF(I302="1","Small/Medium","Large")</f>
        <v>Large</v>
      </c>
      <c r="K302" s="147" t="s">
        <v>176</v>
      </c>
      <c r="L302" s="120">
        <f>P302</f>
        <v>16951.349999999999</v>
      </c>
      <c r="M302" s="120">
        <f>L302*0.3</f>
        <v>5085.4049999999997</v>
      </c>
      <c r="N302" s="120">
        <f>L302-M302</f>
        <v>11865.945</v>
      </c>
      <c r="O302" s="119">
        <f>N302/L302</f>
        <v>0.70000000000000007</v>
      </c>
      <c r="P302" s="117">
        <v>16951.349999999999</v>
      </c>
      <c r="Q302" s="111">
        <v>1079</v>
      </c>
      <c r="R302" s="117">
        <v>20</v>
      </c>
      <c r="S302" s="117">
        <f>597.6+269</f>
        <v>866.6</v>
      </c>
      <c r="T302" s="117">
        <v>1213.18</v>
      </c>
      <c r="U302" s="117">
        <v>573.92999999999995</v>
      </c>
      <c r="V302" s="117"/>
      <c r="W302" s="26">
        <f>SUM(S302:U302)</f>
        <v>2653.71</v>
      </c>
      <c r="X302" s="118">
        <f>S302/R302</f>
        <v>43.33</v>
      </c>
      <c r="Y302" s="119">
        <f>U302/P302</f>
        <v>3.3857480377669037E-2</v>
      </c>
      <c r="Z302" s="117">
        <f>P302-W302</f>
        <v>14297.64</v>
      </c>
      <c r="AA302" s="119">
        <f>Z302/P302</f>
        <v>0.84345140652514405</v>
      </c>
      <c r="AB302" s="120">
        <f t="shared" ref="AB302:AB304" si="172">M302-W302</f>
        <v>2431.6949999999997</v>
      </c>
      <c r="AC302" s="135">
        <f>AA302-O302</f>
        <v>0.14345140652514399</v>
      </c>
      <c r="AD302" s="110"/>
      <c r="AE302" s="110"/>
      <c r="AF302" s="110"/>
      <c r="AG302" s="121"/>
    </row>
    <row r="303" spans="1:33" ht="11.25" customHeight="1" x14ac:dyDescent="0.15">
      <c r="A303" s="110" t="s">
        <v>198</v>
      </c>
      <c r="B303" s="110"/>
      <c r="C303" s="111" t="s">
        <v>175</v>
      </c>
      <c r="D303" s="111">
        <v>2021</v>
      </c>
      <c r="E303" s="146">
        <v>44286</v>
      </c>
      <c r="F303" s="111">
        <v>162312</v>
      </c>
      <c r="G303" s="111">
        <v>811001111</v>
      </c>
      <c r="H303" s="111">
        <v>4101</v>
      </c>
      <c r="I303" s="111" t="str">
        <f>MID(G303,2,1)</f>
        <v>1</v>
      </c>
      <c r="J303" s="111" t="str">
        <f>IF(I303="1","Small/Medium","Large")</f>
        <v>Small/Medium</v>
      </c>
      <c r="K303" s="147" t="s">
        <v>145</v>
      </c>
      <c r="L303" s="120">
        <f>P303</f>
        <v>9128</v>
      </c>
      <c r="M303" s="120">
        <f>L303*0.3</f>
        <v>2738.4</v>
      </c>
      <c r="N303" s="120">
        <f>L303-M303</f>
        <v>6389.6</v>
      </c>
      <c r="O303" s="119">
        <f>N303/L303</f>
        <v>0.70000000000000007</v>
      </c>
      <c r="P303" s="117">
        <v>9128</v>
      </c>
      <c r="Q303" s="111">
        <v>1080</v>
      </c>
      <c r="R303" s="117">
        <v>8</v>
      </c>
      <c r="S303" s="117">
        <f>239.04+107.6</f>
        <v>346.64</v>
      </c>
      <c r="T303" s="117">
        <v>561.76</v>
      </c>
      <c r="U303" s="117">
        <v>243.6</v>
      </c>
      <c r="V303" s="117"/>
      <c r="W303" s="26">
        <f>SUM(S303:U303)</f>
        <v>1152</v>
      </c>
      <c r="X303" s="118">
        <f>S303/R303</f>
        <v>43.33</v>
      </c>
      <c r="Y303" s="119">
        <f>U303/P303</f>
        <v>2.6687116564417177E-2</v>
      </c>
      <c r="Z303" s="117">
        <f>P303-W303</f>
        <v>7976</v>
      </c>
      <c r="AA303" s="119">
        <f>Z303/P303</f>
        <v>0.873794916739702</v>
      </c>
      <c r="AB303" s="120">
        <f t="shared" si="172"/>
        <v>1586.4</v>
      </c>
      <c r="AC303" s="135">
        <f>AA303-O303</f>
        <v>0.17379491673970193</v>
      </c>
      <c r="AD303" s="110"/>
      <c r="AE303" s="110"/>
      <c r="AF303" s="110"/>
      <c r="AG303" s="121"/>
    </row>
    <row r="304" spans="1:33" s="53" customFormat="1" ht="11.25" customHeight="1" x14ac:dyDescent="0.15">
      <c r="A304" s="53" t="s">
        <v>198</v>
      </c>
      <c r="C304" s="54" t="s">
        <v>177</v>
      </c>
      <c r="D304" s="54">
        <v>2021</v>
      </c>
      <c r="E304" s="70">
        <v>44286</v>
      </c>
      <c r="F304" s="54"/>
      <c r="G304" s="54"/>
      <c r="H304" s="54"/>
      <c r="I304" s="54"/>
      <c r="J304" s="54"/>
      <c r="K304" s="106"/>
      <c r="L304" s="93"/>
      <c r="M304" s="93"/>
      <c r="N304" s="93"/>
      <c r="O304" s="73"/>
      <c r="P304" s="25">
        <f>SUM(P302:P303)</f>
        <v>26079.35</v>
      </c>
      <c r="Q304" s="54"/>
      <c r="R304" s="25">
        <f>SUM(R302:R303)</f>
        <v>28</v>
      </c>
      <c r="S304" s="25">
        <f>SUM(S302:S303)</f>
        <v>1213.24</v>
      </c>
      <c r="T304" s="25">
        <f>SUM(T302:T303)</f>
        <v>1774.94</v>
      </c>
      <c r="U304" s="25">
        <f>SUM(U302:U303)</f>
        <v>817.53</v>
      </c>
      <c r="V304" s="64"/>
      <c r="W304" s="25">
        <f>SUM(S304:U304)</f>
        <v>3805.71</v>
      </c>
      <c r="X304" s="56">
        <f>S304/R304</f>
        <v>43.33</v>
      </c>
      <c r="Y304" s="57">
        <f>U304/P304</f>
        <v>3.1347790493244654E-2</v>
      </c>
      <c r="Z304" s="28">
        <f>P304-W304</f>
        <v>22273.64</v>
      </c>
      <c r="AA304" s="57">
        <f>Z304/P304</f>
        <v>0.85407189979811615</v>
      </c>
      <c r="AB304" s="120">
        <f t="shared" si="172"/>
        <v>-3805.71</v>
      </c>
      <c r="AC304" s="59"/>
      <c r="AG304" s="61"/>
    </row>
    <row r="305" spans="1:33" ht="11.25" customHeight="1" x14ac:dyDescent="0.15">
      <c r="A305" s="130" t="s">
        <v>53</v>
      </c>
      <c r="B305" s="130"/>
      <c r="C305" s="124"/>
      <c r="D305" s="124"/>
      <c r="E305" s="273"/>
      <c r="F305" s="124"/>
      <c r="G305" s="124"/>
      <c r="H305" s="124"/>
      <c r="I305" s="124"/>
      <c r="J305" s="124"/>
      <c r="K305" s="125"/>
      <c r="L305" s="129"/>
      <c r="M305" s="129"/>
      <c r="N305" s="129"/>
      <c r="O305" s="128"/>
      <c r="P305" s="129"/>
      <c r="Q305" s="124"/>
      <c r="R305" s="129"/>
      <c r="S305" s="129"/>
      <c r="T305" s="129"/>
      <c r="U305" s="129"/>
      <c r="V305" s="126"/>
      <c r="W305" s="49"/>
      <c r="X305" s="45"/>
      <c r="Y305" s="128"/>
      <c r="Z305" s="126"/>
      <c r="AA305" s="128"/>
      <c r="AB305" s="129"/>
      <c r="AC305" s="128"/>
      <c r="AD305" s="137"/>
      <c r="AE305" s="110"/>
      <c r="AF305" s="110"/>
      <c r="AG305" s="121"/>
    </row>
    <row r="306" spans="1:33" ht="11.25" customHeight="1" x14ac:dyDescent="0.15">
      <c r="A306" s="110" t="s">
        <v>199</v>
      </c>
      <c r="B306" s="110"/>
      <c r="C306" s="111" t="s">
        <v>175</v>
      </c>
      <c r="D306" s="111">
        <v>2021</v>
      </c>
      <c r="E306" s="146">
        <v>44316</v>
      </c>
      <c r="F306" s="111">
        <v>162489</v>
      </c>
      <c r="G306" s="111">
        <v>811002111</v>
      </c>
      <c r="H306" s="111">
        <v>4101</v>
      </c>
      <c r="I306" s="111" t="str">
        <f>MID(G306,2,1)</f>
        <v>1</v>
      </c>
      <c r="J306" s="111" t="str">
        <f>IF(I306="1","Small/Medium","Large")</f>
        <v>Small/Medium</v>
      </c>
      <c r="K306" s="147" t="s">
        <v>145</v>
      </c>
      <c r="L306" s="120">
        <f>P306</f>
        <v>16217</v>
      </c>
      <c r="M306" s="120">
        <f>L306*0.3</f>
        <v>4865.0999999999995</v>
      </c>
      <c r="N306" s="120">
        <f>L306-M306</f>
        <v>11351.900000000001</v>
      </c>
      <c r="O306" s="119">
        <f>N306/L306</f>
        <v>0.70000000000000007</v>
      </c>
      <c r="P306" s="117">
        <v>16217</v>
      </c>
      <c r="Q306" s="111">
        <v>1128</v>
      </c>
      <c r="R306" s="117">
        <v>16</v>
      </c>
      <c r="S306" s="117">
        <f>478.08+215.2</f>
        <v>693.28</v>
      </c>
      <c r="T306" s="117">
        <v>708.45</v>
      </c>
      <c r="U306" s="117">
        <v>215.19</v>
      </c>
      <c r="V306" s="117"/>
      <c r="W306" s="26">
        <f>SUM(S306:U306)</f>
        <v>1616.92</v>
      </c>
      <c r="X306" s="118">
        <f>S306/R306</f>
        <v>43.33</v>
      </c>
      <c r="Y306" s="119">
        <f>U306/P306</f>
        <v>1.3269408645248813E-2</v>
      </c>
      <c r="Z306" s="117">
        <f>P306-W306</f>
        <v>14600.08</v>
      </c>
      <c r="AA306" s="119">
        <f>Z306/P306</f>
        <v>0.90029475242029966</v>
      </c>
      <c r="AB306" s="120">
        <f t="shared" ref="AB306:AB308" si="173">M306-W306</f>
        <v>3248.1799999999994</v>
      </c>
      <c r="AC306" s="135">
        <f>AA306-O306</f>
        <v>0.20029475242029959</v>
      </c>
      <c r="AD306" s="110"/>
      <c r="AE306" s="110"/>
      <c r="AF306" s="110"/>
      <c r="AG306" s="121"/>
    </row>
    <row r="307" spans="1:33" ht="11.25" customHeight="1" x14ac:dyDescent="0.15">
      <c r="A307" s="110" t="s">
        <v>199</v>
      </c>
      <c r="B307" s="110"/>
      <c r="C307" s="111" t="s">
        <v>175</v>
      </c>
      <c r="D307" s="111">
        <v>2021</v>
      </c>
      <c r="E307" s="146">
        <v>44316</v>
      </c>
      <c r="F307" s="111">
        <v>162489</v>
      </c>
      <c r="G307" s="111">
        <v>821002111</v>
      </c>
      <c r="H307" s="111">
        <v>4101</v>
      </c>
      <c r="I307" s="111" t="str">
        <f>MID(G307,2,1)</f>
        <v>2</v>
      </c>
      <c r="J307" s="111" t="str">
        <f>IF(I307="1","Small/Medium","Large")</f>
        <v>Large</v>
      </c>
      <c r="K307" s="147" t="s">
        <v>176</v>
      </c>
      <c r="L307" s="120">
        <f>P307</f>
        <v>16217</v>
      </c>
      <c r="M307" s="120">
        <f>L307*0.3</f>
        <v>4865.0999999999995</v>
      </c>
      <c r="N307" s="120">
        <f>L307-M307</f>
        <v>11351.900000000001</v>
      </c>
      <c r="O307" s="119">
        <f>N307/L307</f>
        <v>0.70000000000000007</v>
      </c>
      <c r="P307" s="117">
        <v>16217</v>
      </c>
      <c r="Q307" s="111">
        <v>1129</v>
      </c>
      <c r="R307" s="117">
        <v>16</v>
      </c>
      <c r="S307" s="117">
        <f>478.08+215.2</f>
        <v>693.28</v>
      </c>
      <c r="T307" s="117">
        <v>707.44</v>
      </c>
      <c r="U307" s="117">
        <v>215.19</v>
      </c>
      <c r="V307" s="117"/>
      <c r="W307" s="26">
        <f>SUM(S307:U307)</f>
        <v>1615.91</v>
      </c>
      <c r="X307" s="118">
        <f>S307/R307</f>
        <v>43.33</v>
      </c>
      <c r="Y307" s="119">
        <f>U307/P307</f>
        <v>1.3269408645248813E-2</v>
      </c>
      <c r="Z307" s="117">
        <f>P307-W307</f>
        <v>14601.09</v>
      </c>
      <c r="AA307" s="119">
        <f>Z307/P307</f>
        <v>0.90035703274341738</v>
      </c>
      <c r="AB307" s="120">
        <f t="shared" si="173"/>
        <v>3249.1899999999996</v>
      </c>
      <c r="AC307" s="135">
        <f>AA307-O307</f>
        <v>0.20035703274341732</v>
      </c>
      <c r="AD307" s="110"/>
      <c r="AE307" s="110"/>
      <c r="AF307" s="110"/>
      <c r="AG307" s="121"/>
    </row>
    <row r="308" spans="1:33" s="53" customFormat="1" ht="11.25" customHeight="1" x14ac:dyDescent="0.15">
      <c r="A308" s="53" t="s">
        <v>199</v>
      </c>
      <c r="C308" s="54" t="s">
        <v>177</v>
      </c>
      <c r="D308" s="54">
        <v>2021</v>
      </c>
      <c r="E308" s="70">
        <v>44316</v>
      </c>
      <c r="F308" s="54"/>
      <c r="G308" s="54"/>
      <c r="H308" s="54"/>
      <c r="I308" s="54"/>
      <c r="J308" s="54"/>
      <c r="K308" s="106"/>
      <c r="L308" s="58"/>
      <c r="M308" s="58"/>
      <c r="N308" s="58"/>
      <c r="O308" s="57"/>
      <c r="P308" s="24">
        <f>SUM(P306:P307)</f>
        <v>32434</v>
      </c>
      <c r="Q308" s="54"/>
      <c r="R308" s="24">
        <f>SUM(R306:R307)</f>
        <v>32</v>
      </c>
      <c r="S308" s="24">
        <f>SUM(S306:S307)</f>
        <v>1386.56</v>
      </c>
      <c r="T308" s="24">
        <f>SUM(T306:T307)</f>
        <v>1415.89</v>
      </c>
      <c r="U308" s="24">
        <f>SUM(U306:U307)</f>
        <v>430.38</v>
      </c>
      <c r="V308" s="28"/>
      <c r="W308" s="25">
        <f>SUM(S308:U308)</f>
        <v>3232.83</v>
      </c>
      <c r="X308" s="56">
        <f>S308/R308</f>
        <v>43.33</v>
      </c>
      <c r="Y308" s="57">
        <f>U308/P308</f>
        <v>1.3269408645248813E-2</v>
      </c>
      <c r="Z308" s="28">
        <f>P308-W308</f>
        <v>29201.17</v>
      </c>
      <c r="AA308" s="57">
        <f>Z308/P308</f>
        <v>0.90032589258185847</v>
      </c>
      <c r="AB308" s="120">
        <f t="shared" si="173"/>
        <v>-3232.83</v>
      </c>
      <c r="AC308" s="59"/>
      <c r="AG308" s="61"/>
    </row>
    <row r="309" spans="1:33" ht="11.25" customHeight="1" x14ac:dyDescent="0.15">
      <c r="A309" s="130" t="s">
        <v>53</v>
      </c>
      <c r="B309" s="130"/>
      <c r="C309" s="124"/>
      <c r="D309" s="124"/>
      <c r="E309" s="273"/>
      <c r="F309" s="124"/>
      <c r="G309" s="124"/>
      <c r="H309" s="124"/>
      <c r="I309" s="124"/>
      <c r="J309" s="124"/>
      <c r="K309" s="125"/>
      <c r="L309" s="129"/>
      <c r="M309" s="129"/>
      <c r="N309" s="129"/>
      <c r="O309" s="128"/>
      <c r="P309" s="129"/>
      <c r="Q309" s="124"/>
      <c r="R309" s="129"/>
      <c r="S309" s="129"/>
      <c r="T309" s="129"/>
      <c r="U309" s="129"/>
      <c r="V309" s="126"/>
      <c r="W309" s="49"/>
      <c r="X309" s="45"/>
      <c r="Y309" s="128"/>
      <c r="Z309" s="126"/>
      <c r="AA309" s="128"/>
      <c r="AB309" s="129"/>
      <c r="AC309" s="128"/>
      <c r="AD309" s="137"/>
      <c r="AE309" s="110"/>
      <c r="AF309" s="110"/>
      <c r="AG309" s="121"/>
    </row>
    <row r="310" spans="1:33" ht="11.25" customHeight="1" x14ac:dyDescent="0.15">
      <c r="A310" s="110" t="s">
        <v>174</v>
      </c>
      <c r="B310" s="110"/>
      <c r="C310" s="111" t="s">
        <v>175</v>
      </c>
      <c r="D310" s="111">
        <v>2021</v>
      </c>
      <c r="E310" s="146">
        <v>44316</v>
      </c>
      <c r="F310" s="111">
        <v>162491</v>
      </c>
      <c r="G310" s="111">
        <v>811002111</v>
      </c>
      <c r="H310" s="111">
        <v>4101</v>
      </c>
      <c r="I310" s="111" t="str">
        <f>MID(G310,2,1)</f>
        <v>1</v>
      </c>
      <c r="J310" s="111" t="str">
        <f>IF(I310="1","Small/Medium","Large")</f>
        <v>Small/Medium</v>
      </c>
      <c r="K310" s="147" t="s">
        <v>145</v>
      </c>
      <c r="L310" s="120">
        <f>P310</f>
        <v>5904</v>
      </c>
      <c r="M310" s="120">
        <f>L310*0.3</f>
        <v>1771.2</v>
      </c>
      <c r="N310" s="120">
        <f>L310-M310</f>
        <v>4132.8</v>
      </c>
      <c r="O310" s="119">
        <f>N310/L310</f>
        <v>0.70000000000000007</v>
      </c>
      <c r="P310" s="148">
        <v>5904</v>
      </c>
      <c r="Q310" s="111">
        <v>1134</v>
      </c>
      <c r="R310" s="117">
        <v>11</v>
      </c>
      <c r="S310" s="117">
        <f>328.68+147.95</f>
        <v>476.63</v>
      </c>
      <c r="T310" s="117">
        <v>582.57000000000005</v>
      </c>
      <c r="U310" s="117"/>
      <c r="V310" s="117"/>
      <c r="W310" s="26">
        <f>SUM(S310:U310)</f>
        <v>1059.2</v>
      </c>
      <c r="X310" s="118">
        <f>S310/R310</f>
        <v>43.33</v>
      </c>
      <c r="Y310" s="119">
        <f>U310/P310</f>
        <v>0</v>
      </c>
      <c r="Z310" s="117">
        <f>P310-W310</f>
        <v>4844.8</v>
      </c>
      <c r="AA310" s="119">
        <f>Z310/P310</f>
        <v>0.82059620596205962</v>
      </c>
      <c r="AB310" s="120">
        <f t="shared" ref="AB310:AB312" si="174">M310-W310</f>
        <v>712</v>
      </c>
      <c r="AC310" s="135">
        <f>AA310-O310</f>
        <v>0.12059620596205956</v>
      </c>
      <c r="AD310" s="110"/>
      <c r="AE310" s="110"/>
      <c r="AF310" s="110"/>
      <c r="AG310" s="121"/>
    </row>
    <row r="311" spans="1:33" ht="11.25" customHeight="1" x14ac:dyDescent="0.15">
      <c r="A311" s="110" t="s">
        <v>174</v>
      </c>
      <c r="B311" s="110"/>
      <c r="C311" s="111" t="s">
        <v>175</v>
      </c>
      <c r="D311" s="111">
        <v>2021</v>
      </c>
      <c r="E311" s="146">
        <v>44316</v>
      </c>
      <c r="F311" s="111">
        <v>162491</v>
      </c>
      <c r="G311" s="111">
        <v>821002111</v>
      </c>
      <c r="H311" s="111">
        <v>4101</v>
      </c>
      <c r="I311" s="111" t="str">
        <f>MID(G311,2,1)</f>
        <v>2</v>
      </c>
      <c r="J311" s="111" t="str">
        <f>IF(I311="1","Small/Medium","Large")</f>
        <v>Large</v>
      </c>
      <c r="K311" s="147" t="s">
        <v>176</v>
      </c>
      <c r="L311" s="120">
        <f>P311</f>
        <v>10964.2</v>
      </c>
      <c r="M311" s="120">
        <f>L311*0.3</f>
        <v>3289.26</v>
      </c>
      <c r="N311" s="120">
        <f>L311-M311</f>
        <v>7674.9400000000005</v>
      </c>
      <c r="O311" s="119">
        <f>N311/L311</f>
        <v>0.7</v>
      </c>
      <c r="P311" s="148">
        <v>10964.2</v>
      </c>
      <c r="Q311" s="111">
        <v>1135</v>
      </c>
      <c r="R311" s="117">
        <v>17</v>
      </c>
      <c r="S311" s="117">
        <f>507.96+228.65</f>
        <v>736.61</v>
      </c>
      <c r="T311" s="117">
        <v>1081.93</v>
      </c>
      <c r="U311" s="117"/>
      <c r="V311" s="117"/>
      <c r="W311" s="26">
        <f>SUM(S311:U311)</f>
        <v>1818.54</v>
      </c>
      <c r="X311" s="118">
        <f>S311/R311</f>
        <v>43.33</v>
      </c>
      <c r="Y311" s="119">
        <f>U311/P311</f>
        <v>0</v>
      </c>
      <c r="Z311" s="117">
        <f>P311-W311</f>
        <v>9145.66</v>
      </c>
      <c r="AA311" s="119">
        <f>Z311/P311</f>
        <v>0.83413837762901066</v>
      </c>
      <c r="AB311" s="120">
        <f t="shared" si="174"/>
        <v>1470.7200000000003</v>
      </c>
      <c r="AC311" s="135">
        <f>AA311-O311</f>
        <v>0.13413837762901071</v>
      </c>
      <c r="AD311" s="110"/>
      <c r="AE311" s="110"/>
      <c r="AF311" s="110"/>
      <c r="AG311" s="121"/>
    </row>
    <row r="312" spans="1:33" s="53" customFormat="1" ht="11.25" customHeight="1" x14ac:dyDescent="0.15">
      <c r="A312" s="53" t="s">
        <v>174</v>
      </c>
      <c r="C312" s="54" t="s">
        <v>177</v>
      </c>
      <c r="D312" s="54">
        <v>2021</v>
      </c>
      <c r="E312" s="70">
        <v>44316</v>
      </c>
      <c r="F312" s="54"/>
      <c r="G312" s="54"/>
      <c r="H312" s="54"/>
      <c r="I312" s="54"/>
      <c r="J312" s="54"/>
      <c r="K312" s="106"/>
      <c r="L312" s="58"/>
      <c r="M312" s="58"/>
      <c r="N312" s="58"/>
      <c r="O312" s="57"/>
      <c r="P312" s="39">
        <f>SUM(P310:P311)</f>
        <v>16868.2</v>
      </c>
      <c r="Q312" s="66"/>
      <c r="R312" s="24">
        <f>SUM(R310:R311)</f>
        <v>28</v>
      </c>
      <c r="S312" s="24">
        <f>SUM(S310:S311)</f>
        <v>1213.24</v>
      </c>
      <c r="T312" s="24">
        <f>SUM(T310:T311)</f>
        <v>1664.5</v>
      </c>
      <c r="U312" s="24">
        <f>SUM(U310:U311)</f>
        <v>0</v>
      </c>
      <c r="V312" s="28"/>
      <c r="W312" s="24">
        <f>SUM(W310:W311)</f>
        <v>2877.74</v>
      </c>
      <c r="X312" s="56">
        <f>S312/R312</f>
        <v>43.33</v>
      </c>
      <c r="Y312" s="57">
        <f>U312/P312</f>
        <v>0</v>
      </c>
      <c r="Z312" s="28">
        <f>P312-W312</f>
        <v>13990.460000000001</v>
      </c>
      <c r="AA312" s="57">
        <f>Z312/P312</f>
        <v>0.82939851317864388</v>
      </c>
      <c r="AB312" s="120">
        <f t="shared" si="174"/>
        <v>-2877.74</v>
      </c>
      <c r="AC312" s="59"/>
      <c r="AG312" s="61"/>
    </row>
    <row r="313" spans="1:33" ht="11.25" customHeight="1" x14ac:dyDescent="0.15">
      <c r="A313" s="130" t="s">
        <v>53</v>
      </c>
      <c r="B313" s="130"/>
      <c r="C313" s="124"/>
      <c r="D313" s="124"/>
      <c r="E313" s="273"/>
      <c r="F313" s="124"/>
      <c r="G313" s="124"/>
      <c r="H313" s="124"/>
      <c r="I313" s="124"/>
      <c r="J313" s="124"/>
      <c r="K313" s="125"/>
      <c r="L313" s="129"/>
      <c r="M313" s="129"/>
      <c r="N313" s="129"/>
      <c r="O313" s="128"/>
      <c r="P313" s="129"/>
      <c r="Q313" s="124"/>
      <c r="R313" s="129"/>
      <c r="S313" s="129"/>
      <c r="T313" s="129"/>
      <c r="U313" s="129"/>
      <c r="V313" s="126"/>
      <c r="W313" s="49"/>
      <c r="X313" s="45"/>
      <c r="Y313" s="128"/>
      <c r="Z313" s="126"/>
      <c r="AA313" s="128"/>
      <c r="AB313" s="129"/>
      <c r="AC313" s="128"/>
      <c r="AD313" s="137"/>
      <c r="AE313" s="110"/>
      <c r="AF313" s="110"/>
      <c r="AG313" s="121"/>
    </row>
    <row r="314" spans="1:33" ht="11.25" customHeight="1" x14ac:dyDescent="0.15">
      <c r="A314" s="110" t="s">
        <v>200</v>
      </c>
      <c r="B314" s="110"/>
      <c r="C314" s="111" t="s">
        <v>175</v>
      </c>
      <c r="D314" s="111">
        <v>2021</v>
      </c>
      <c r="E314" s="146">
        <v>44316</v>
      </c>
      <c r="F314" s="161">
        <v>162371</v>
      </c>
      <c r="G314" s="111">
        <v>810000111</v>
      </c>
      <c r="H314" s="111">
        <v>4111</v>
      </c>
      <c r="I314" s="111" t="str">
        <f>MID(G314,2,1)</f>
        <v>1</v>
      </c>
      <c r="J314" s="111" t="str">
        <f>IF(I314="1","Small/Medium","Large")</f>
        <v>Small/Medium</v>
      </c>
      <c r="K314" s="147" t="s">
        <v>145</v>
      </c>
      <c r="L314" s="120">
        <f>P314</f>
        <v>9116</v>
      </c>
      <c r="M314" s="120">
        <f>L314*0.3</f>
        <v>2734.7999999999997</v>
      </c>
      <c r="N314" s="120">
        <f>L314-M314</f>
        <v>6381.2000000000007</v>
      </c>
      <c r="O314" s="119">
        <f>N314/L314</f>
        <v>0.70000000000000007</v>
      </c>
      <c r="P314" s="117">
        <v>9116</v>
      </c>
      <c r="Q314" s="111">
        <v>1142</v>
      </c>
      <c r="R314" s="117">
        <v>12</v>
      </c>
      <c r="S314" s="117">
        <f>358.56+161.4</f>
        <v>519.96</v>
      </c>
      <c r="T314" s="117">
        <v>647.94000000000005</v>
      </c>
      <c r="U314" s="117">
        <v>716.94</v>
      </c>
      <c r="V314" s="117"/>
      <c r="W314" s="26">
        <f>SUM(S314:U314)</f>
        <v>1884.8400000000001</v>
      </c>
      <c r="X314" s="118">
        <f>S314/R314</f>
        <v>43.330000000000005</v>
      </c>
      <c r="Y314" s="119">
        <f>U314/P314</f>
        <v>7.8646336112329976E-2</v>
      </c>
      <c r="Z314" s="117">
        <f>P314-W314</f>
        <v>7231.16</v>
      </c>
      <c r="AA314" s="119">
        <f>Z314/P314</f>
        <v>0.79323826239578765</v>
      </c>
      <c r="AB314" s="120">
        <f t="shared" ref="AB314:AB315" si="175">M314-W314</f>
        <v>849.95999999999958</v>
      </c>
      <c r="AC314" s="135">
        <f>AA314-O314</f>
        <v>9.3238262395787586E-2</v>
      </c>
      <c r="AD314" s="110"/>
      <c r="AE314" s="110"/>
      <c r="AF314" s="110"/>
      <c r="AG314" s="121"/>
    </row>
    <row r="315" spans="1:33" s="53" customFormat="1" ht="11.25" customHeight="1" x14ac:dyDescent="0.15">
      <c r="A315" s="53" t="s">
        <v>200</v>
      </c>
      <c r="C315" s="54" t="s">
        <v>177</v>
      </c>
      <c r="D315" s="54">
        <v>2021</v>
      </c>
      <c r="E315" s="70">
        <v>44316</v>
      </c>
      <c r="F315" s="54"/>
      <c r="G315" s="54"/>
      <c r="H315" s="54"/>
      <c r="I315" s="54"/>
      <c r="J315" s="54"/>
      <c r="K315" s="106"/>
      <c r="L315" s="58"/>
      <c r="M315" s="58"/>
      <c r="N315" s="58"/>
      <c r="O315" s="57"/>
      <c r="P315" s="24">
        <f>SUM(P314)</f>
        <v>9116</v>
      </c>
      <c r="Q315" s="54"/>
      <c r="R315" s="28">
        <v>12</v>
      </c>
      <c r="S315" s="28">
        <f>358.56+161.4</f>
        <v>519.96</v>
      </c>
      <c r="T315" s="28">
        <v>647.94000000000005</v>
      </c>
      <c r="U315" s="28">
        <v>716.94</v>
      </c>
      <c r="V315" s="28"/>
      <c r="W315" s="25">
        <f>SUM(S315:U315)</f>
        <v>1884.8400000000001</v>
      </c>
      <c r="X315" s="56">
        <f>S315/R315</f>
        <v>43.330000000000005</v>
      </c>
      <c r="Y315" s="57">
        <f>U315/P315</f>
        <v>7.8646336112329976E-2</v>
      </c>
      <c r="Z315" s="28">
        <f>P315-W315</f>
        <v>7231.16</v>
      </c>
      <c r="AA315" s="57">
        <f>Z315/P315</f>
        <v>0.79323826239578765</v>
      </c>
      <c r="AB315" s="120">
        <f t="shared" si="175"/>
        <v>-1884.8400000000001</v>
      </c>
      <c r="AC315" s="59"/>
      <c r="AG315" s="61"/>
    </row>
    <row r="316" spans="1:33" ht="11.25" customHeight="1" x14ac:dyDescent="0.15">
      <c r="A316" s="130" t="s">
        <v>53</v>
      </c>
      <c r="B316" s="130"/>
      <c r="C316" s="124"/>
      <c r="D316" s="124"/>
      <c r="E316" s="273"/>
      <c r="F316" s="124"/>
      <c r="G316" s="124"/>
      <c r="H316" s="124"/>
      <c r="I316" s="124"/>
      <c r="J316" s="124"/>
      <c r="K316" s="125"/>
      <c r="L316" s="129"/>
      <c r="M316" s="129"/>
      <c r="N316" s="129"/>
      <c r="O316" s="128"/>
      <c r="P316" s="129"/>
      <c r="Q316" s="124"/>
      <c r="R316" s="129"/>
      <c r="S316" s="129"/>
      <c r="T316" s="129"/>
      <c r="U316" s="129"/>
      <c r="V316" s="126"/>
      <c r="W316" s="49"/>
      <c r="X316" s="45"/>
      <c r="Y316" s="128"/>
      <c r="Z316" s="126"/>
      <c r="AA316" s="128"/>
      <c r="AB316" s="129"/>
      <c r="AC316" s="128"/>
      <c r="AD316" s="137"/>
      <c r="AE316" s="110"/>
      <c r="AF316" s="110"/>
      <c r="AG316" s="121"/>
    </row>
    <row r="317" spans="1:33" ht="11.25" customHeight="1" x14ac:dyDescent="0.15">
      <c r="A317" s="110" t="s">
        <v>199</v>
      </c>
      <c r="B317" s="110"/>
      <c r="C317" s="111" t="s">
        <v>201</v>
      </c>
      <c r="D317" s="111">
        <v>2021</v>
      </c>
      <c r="E317" s="146">
        <v>44316</v>
      </c>
      <c r="F317" s="111">
        <v>162563</v>
      </c>
      <c r="G317" s="111" t="s">
        <v>202</v>
      </c>
      <c r="H317" s="111"/>
      <c r="I317" s="111"/>
      <c r="J317" s="111"/>
      <c r="K317" s="112" t="s">
        <v>203</v>
      </c>
      <c r="L317" s="120">
        <v>1584</v>
      </c>
      <c r="M317" s="120">
        <f>L317*0.35</f>
        <v>554.4</v>
      </c>
      <c r="N317" s="120">
        <f>L317-M317</f>
        <v>1029.5999999999999</v>
      </c>
      <c r="O317" s="119">
        <f>N317/L317</f>
        <v>0.64999999999999991</v>
      </c>
      <c r="P317" s="117">
        <v>1583.78</v>
      </c>
      <c r="Q317" s="111">
        <v>1165</v>
      </c>
      <c r="R317" s="117">
        <v>0</v>
      </c>
      <c r="S317" s="117">
        <v>455.8</v>
      </c>
      <c r="T317" s="117">
        <v>11.4</v>
      </c>
      <c r="U317" s="117">
        <v>220.12</v>
      </c>
      <c r="V317" s="117"/>
      <c r="W317" s="26">
        <f>SUM(S317:U317)</f>
        <v>687.31999999999994</v>
      </c>
      <c r="X317" s="118">
        <v>0</v>
      </c>
      <c r="Y317" s="119">
        <f>U317/P317</f>
        <v>0.13898394979100634</v>
      </c>
      <c r="Z317" s="117">
        <f>P317-W317</f>
        <v>896.46</v>
      </c>
      <c r="AA317" s="119">
        <f>Z317/P317</f>
        <v>0.56602558436146433</v>
      </c>
      <c r="AB317" s="120">
        <f t="shared" ref="AB317:AB318" si="176">M317-W317</f>
        <v>-132.91999999999996</v>
      </c>
      <c r="AC317" s="135">
        <f>AA317-O317</f>
        <v>-8.3974415638535582E-2</v>
      </c>
      <c r="AD317" s="110"/>
      <c r="AE317" s="110"/>
      <c r="AF317" s="110"/>
      <c r="AG317" s="121"/>
    </row>
    <row r="318" spans="1:33" s="53" customFormat="1" ht="11.25" customHeight="1" x14ac:dyDescent="0.15">
      <c r="A318" s="53" t="s">
        <v>199</v>
      </c>
      <c r="C318" s="54" t="s">
        <v>177</v>
      </c>
      <c r="D318" s="54">
        <v>2021</v>
      </c>
      <c r="E318" s="70">
        <v>44316</v>
      </c>
      <c r="F318" s="54"/>
      <c r="G318" s="54"/>
      <c r="H318" s="54"/>
      <c r="I318" s="54"/>
      <c r="J318" s="54"/>
      <c r="K318" s="106"/>
      <c r="L318" s="58"/>
      <c r="M318" s="58"/>
      <c r="N318" s="58"/>
      <c r="O318" s="57"/>
      <c r="P318" s="24">
        <f>SUM(P317)</f>
        <v>1583.78</v>
      </c>
      <c r="Q318" s="64"/>
      <c r="R318" s="64">
        <f>SUM(R317)</f>
        <v>0</v>
      </c>
      <c r="S318" s="64">
        <f>SUM(S317)</f>
        <v>455.8</v>
      </c>
      <c r="T318" s="64">
        <f>SUM(T317)</f>
        <v>11.4</v>
      </c>
      <c r="U318" s="64">
        <f>SUM(U317)</f>
        <v>220.12</v>
      </c>
      <c r="V318" s="117"/>
      <c r="W318" s="25">
        <f>SUM(S318:U318)</f>
        <v>687.31999999999994</v>
      </c>
      <c r="X318" s="56">
        <v>0</v>
      </c>
      <c r="Y318" s="57">
        <f>U318/P318</f>
        <v>0.13898394979100634</v>
      </c>
      <c r="Z318" s="28">
        <f>P318-W318</f>
        <v>896.46</v>
      </c>
      <c r="AA318" s="57">
        <f>Z318/P318</f>
        <v>0.56602558436146433</v>
      </c>
      <c r="AB318" s="120">
        <f t="shared" si="176"/>
        <v>-687.31999999999994</v>
      </c>
      <c r="AC318" s="59"/>
      <c r="AG318" s="61"/>
    </row>
    <row r="319" spans="1:33" ht="11.25" customHeight="1" x14ac:dyDescent="0.15">
      <c r="A319" s="130" t="s">
        <v>53</v>
      </c>
      <c r="B319" s="130"/>
      <c r="C319" s="124"/>
      <c r="D319" s="124"/>
      <c r="E319" s="273"/>
      <c r="F319" s="124"/>
      <c r="G319" s="124"/>
      <c r="H319" s="124"/>
      <c r="I319" s="124"/>
      <c r="J319" s="124"/>
      <c r="K319" s="125"/>
      <c r="L319" s="129"/>
      <c r="M319" s="129"/>
      <c r="N319" s="129"/>
      <c r="O319" s="128"/>
      <c r="P319" s="220"/>
      <c r="Q319" s="124"/>
      <c r="R319" s="220"/>
      <c r="S319" s="220"/>
      <c r="T319" s="220"/>
      <c r="U319" s="220"/>
      <c r="V319" s="126"/>
      <c r="W319" s="230"/>
      <c r="X319" s="45"/>
      <c r="Y319" s="128"/>
      <c r="Z319" s="126"/>
      <c r="AA319" s="128"/>
      <c r="AB319" s="129"/>
      <c r="AC319" s="128"/>
      <c r="AD319" s="137"/>
      <c r="AE319" s="110"/>
      <c r="AF319" s="110"/>
      <c r="AG319" s="121"/>
    </row>
    <row r="320" spans="1:33" ht="11.25" customHeight="1" x14ac:dyDescent="0.15">
      <c r="A320" s="110" t="s">
        <v>204</v>
      </c>
      <c r="B320" s="110"/>
      <c r="C320" s="111" t="s">
        <v>180</v>
      </c>
      <c r="D320" s="111">
        <v>2021</v>
      </c>
      <c r="E320" s="146">
        <v>44316</v>
      </c>
      <c r="F320" s="111"/>
      <c r="G320" s="111">
        <v>925100321</v>
      </c>
      <c r="H320" s="111"/>
      <c r="I320" s="111"/>
      <c r="J320" s="111"/>
      <c r="K320" s="112" t="s">
        <v>205</v>
      </c>
      <c r="L320" s="132">
        <v>49596</v>
      </c>
      <c r="M320" s="219"/>
      <c r="N320" s="219"/>
      <c r="O320" s="163"/>
      <c r="P320" s="132">
        <v>49596</v>
      </c>
      <c r="Q320" s="111">
        <v>1145</v>
      </c>
      <c r="R320" s="132">
        <v>6.5</v>
      </c>
      <c r="S320" s="132">
        <f>156.26+70.33</f>
        <v>226.58999999999997</v>
      </c>
      <c r="T320" s="132">
        <v>0</v>
      </c>
      <c r="U320" s="132">
        <v>9496.6299999999992</v>
      </c>
      <c r="V320" s="132"/>
      <c r="W320" s="67">
        <f>SUM(S320:U320)</f>
        <v>9723.2199999999993</v>
      </c>
      <c r="X320" s="118">
        <f>S320/R320</f>
        <v>34.86</v>
      </c>
      <c r="Y320" s="119">
        <f>U320/P320</f>
        <v>0.19147975643197029</v>
      </c>
      <c r="Z320" s="117">
        <f>P320-W320</f>
        <v>39872.78</v>
      </c>
      <c r="AA320" s="119">
        <f>Z320/P320</f>
        <v>0.80395152834906036</v>
      </c>
      <c r="AB320" s="120">
        <f t="shared" ref="AB320:AB327" si="177">M320-W320</f>
        <v>-9723.2199999999993</v>
      </c>
      <c r="AC320" s="135"/>
      <c r="AD320" s="110"/>
      <c r="AE320" s="110"/>
      <c r="AF320" s="110"/>
      <c r="AG320" s="121"/>
    </row>
    <row r="321" spans="1:33" ht="11.25" customHeight="1" x14ac:dyDescent="0.15">
      <c r="A321" s="110" t="s">
        <v>204</v>
      </c>
      <c r="B321" s="110"/>
      <c r="C321" s="111" t="s">
        <v>47</v>
      </c>
      <c r="D321" s="111">
        <v>2021</v>
      </c>
      <c r="E321" s="146">
        <v>44316</v>
      </c>
      <c r="F321" s="111"/>
      <c r="G321" s="111">
        <v>525100221</v>
      </c>
      <c r="H321" s="111"/>
      <c r="I321" s="111"/>
      <c r="J321" s="111"/>
      <c r="K321" s="112" t="s">
        <v>206</v>
      </c>
      <c r="L321" s="117">
        <v>7840</v>
      </c>
      <c r="M321" s="120"/>
      <c r="N321" s="120"/>
      <c r="O321" s="119"/>
      <c r="P321" s="117">
        <v>7840</v>
      </c>
      <c r="Q321" s="111">
        <v>1146</v>
      </c>
      <c r="R321" s="117">
        <v>42.5</v>
      </c>
      <c r="S321" s="117">
        <f>1313.7+591.2</f>
        <v>1904.9</v>
      </c>
      <c r="T321" s="117">
        <v>2023.27</v>
      </c>
      <c r="U321" s="117">
        <v>485</v>
      </c>
      <c r="V321" s="117"/>
      <c r="W321" s="26">
        <f>SUM(S321:U321)</f>
        <v>4413.17</v>
      </c>
      <c r="X321" s="118">
        <f>S321/R321</f>
        <v>44.821176470588235</v>
      </c>
      <c r="Y321" s="119">
        <f>U321/P321</f>
        <v>6.1862244897959183E-2</v>
      </c>
      <c r="Z321" s="117">
        <f>P321-W321</f>
        <v>3426.83</v>
      </c>
      <c r="AA321" s="119">
        <f>Z321/P321</f>
        <v>0.43709566326530613</v>
      </c>
      <c r="AB321" s="120">
        <f t="shared" si="177"/>
        <v>-4413.17</v>
      </c>
      <c r="AC321" s="119"/>
      <c r="AD321" s="110"/>
      <c r="AE321" s="110"/>
      <c r="AF321" s="110"/>
      <c r="AG321" s="121"/>
    </row>
    <row r="322" spans="1:33" ht="11.25" customHeight="1" x14ac:dyDescent="0.15">
      <c r="A322" s="110" t="s">
        <v>204</v>
      </c>
      <c r="B322" s="110"/>
      <c r="C322" s="111" t="s">
        <v>49</v>
      </c>
      <c r="D322" s="111">
        <v>2021</v>
      </c>
      <c r="E322" s="146">
        <v>44316</v>
      </c>
      <c r="F322" s="111"/>
      <c r="G322" s="111">
        <v>626620021</v>
      </c>
      <c r="H322" s="111"/>
      <c r="I322" s="111"/>
      <c r="J322" s="111"/>
      <c r="K322" s="112" t="s">
        <v>207</v>
      </c>
      <c r="L322" s="117">
        <v>8045</v>
      </c>
      <c r="M322" s="120"/>
      <c r="N322" s="120"/>
      <c r="O322" s="119"/>
      <c r="P322" s="117">
        <v>8045</v>
      </c>
      <c r="Q322" s="111">
        <v>1148</v>
      </c>
      <c r="R322" s="117">
        <v>34.5</v>
      </c>
      <c r="S322" s="117">
        <f>1355.16+609.96</f>
        <v>1965.1200000000001</v>
      </c>
      <c r="T322" s="117">
        <v>1733.16</v>
      </c>
      <c r="U322" s="117">
        <v>0</v>
      </c>
      <c r="V322" s="117"/>
      <c r="W322" s="26">
        <f>SUM(S322:U322)</f>
        <v>3698.28</v>
      </c>
      <c r="X322" s="118">
        <f>S322/R322</f>
        <v>56.96</v>
      </c>
      <c r="Y322" s="119">
        <f>U322/P322</f>
        <v>0</v>
      </c>
      <c r="Z322" s="117">
        <f>P322-W322</f>
        <v>4346.7199999999993</v>
      </c>
      <c r="AA322" s="119">
        <f>Z322/P322</f>
        <v>0.54030080795525159</v>
      </c>
      <c r="AB322" s="120">
        <f t="shared" si="177"/>
        <v>-3698.28</v>
      </c>
      <c r="AC322" s="119"/>
      <c r="AD322" s="110"/>
      <c r="AE322" s="110"/>
      <c r="AF322" s="110"/>
      <c r="AG322" s="121"/>
    </row>
    <row r="323" spans="1:33" s="53" customFormat="1" ht="11.25" customHeight="1" x14ac:dyDescent="0.15">
      <c r="A323" s="53" t="s">
        <v>204</v>
      </c>
      <c r="C323" s="54" t="s">
        <v>54</v>
      </c>
      <c r="D323" s="54">
        <v>2021</v>
      </c>
      <c r="E323" s="70">
        <v>44316</v>
      </c>
      <c r="F323" s="54"/>
      <c r="G323" s="54"/>
      <c r="H323" s="54"/>
      <c r="I323" s="54"/>
      <c r="J323" s="54"/>
      <c r="K323" s="106"/>
      <c r="L323" s="24">
        <f>SUM(L320:L322)</f>
        <v>65481</v>
      </c>
      <c r="M323" s="93"/>
      <c r="N323" s="93"/>
      <c r="O323" s="73"/>
      <c r="P323" s="24">
        <f>SUM(P320:P322)</f>
        <v>65481</v>
      </c>
      <c r="Q323" s="54"/>
      <c r="R323" s="24">
        <f>SUM(R320:R322)</f>
        <v>83.5</v>
      </c>
      <c r="S323" s="24">
        <f>SUM(S320:S322)</f>
        <v>4096.6100000000006</v>
      </c>
      <c r="T323" s="24">
        <f>SUM(T320:T322)</f>
        <v>3756.4300000000003</v>
      </c>
      <c r="U323" s="24">
        <f>SUM(U320:U322)</f>
        <v>9981.6299999999992</v>
      </c>
      <c r="V323" s="64"/>
      <c r="W323" s="25">
        <f>SUM(S323:U323)</f>
        <v>17834.669999999998</v>
      </c>
      <c r="X323" s="56">
        <f>S323/R323</f>
        <v>49.061197604790429</v>
      </c>
      <c r="Y323" s="57">
        <f>U323/P323</f>
        <v>0.15243551564575983</v>
      </c>
      <c r="Z323" s="28">
        <f>P323-W323</f>
        <v>47646.33</v>
      </c>
      <c r="AA323" s="57">
        <f>Z323/P323</f>
        <v>0.72763595546799842</v>
      </c>
      <c r="AB323" s="120">
        <f t="shared" si="177"/>
        <v>-17834.669999999998</v>
      </c>
      <c r="AC323" s="57"/>
      <c r="AG323" s="61"/>
    </row>
    <row r="324" spans="1:33" ht="11.25" customHeight="1" x14ac:dyDescent="0.15">
      <c r="A324" s="110" t="s">
        <v>204</v>
      </c>
      <c r="B324" s="110"/>
      <c r="C324" s="111" t="s">
        <v>55</v>
      </c>
      <c r="D324" s="111">
        <v>2021</v>
      </c>
      <c r="E324" s="146">
        <v>44316</v>
      </c>
      <c r="F324" s="111"/>
      <c r="G324" s="111" t="s">
        <v>56</v>
      </c>
      <c r="H324" s="111"/>
      <c r="I324" s="111"/>
      <c r="J324" s="111"/>
      <c r="K324" s="112" t="s">
        <v>71</v>
      </c>
      <c r="L324" s="117">
        <v>3120</v>
      </c>
      <c r="M324" s="120"/>
      <c r="N324" s="120"/>
      <c r="O324" s="119"/>
      <c r="P324" s="117">
        <v>3120</v>
      </c>
      <c r="Q324" s="111">
        <v>1147</v>
      </c>
      <c r="R324" s="117">
        <v>1.5</v>
      </c>
      <c r="S324" s="117">
        <f>41.25+18.57</f>
        <v>59.82</v>
      </c>
      <c r="T324" s="117">
        <v>1648.8</v>
      </c>
      <c r="U324" s="117"/>
      <c r="V324" s="117"/>
      <c r="W324" s="26">
        <f>SUM(S324:U324)</f>
        <v>1708.62</v>
      </c>
      <c r="X324" s="118">
        <f>S324/R324</f>
        <v>39.880000000000003</v>
      </c>
      <c r="Y324" s="119">
        <f>U324/P324</f>
        <v>0</v>
      </c>
      <c r="Z324" s="117">
        <f>P324-W324</f>
        <v>1411.38</v>
      </c>
      <c r="AA324" s="119">
        <f>Z324/P324</f>
        <v>0.45236538461538467</v>
      </c>
      <c r="AB324" s="120">
        <f t="shared" si="177"/>
        <v>-1708.62</v>
      </c>
      <c r="AC324" s="119"/>
      <c r="AD324" s="110"/>
      <c r="AE324" s="110"/>
      <c r="AF324" s="110"/>
      <c r="AG324" s="121"/>
    </row>
    <row r="325" spans="1:33" ht="11.25" customHeight="1" x14ac:dyDescent="0.15">
      <c r="A325" s="110" t="s">
        <v>204</v>
      </c>
      <c r="B325" s="110"/>
      <c r="C325" s="111" t="s">
        <v>58</v>
      </c>
      <c r="D325" s="111">
        <v>2021</v>
      </c>
      <c r="E325" s="146">
        <v>44316</v>
      </c>
      <c r="F325" s="111"/>
      <c r="G325" s="111" t="s">
        <v>208</v>
      </c>
      <c r="H325" s="111"/>
      <c r="I325" s="111"/>
      <c r="J325" s="111"/>
      <c r="K325" s="112" t="s">
        <v>209</v>
      </c>
      <c r="L325" s="117">
        <v>7743</v>
      </c>
      <c r="M325" s="120"/>
      <c r="N325" s="120"/>
      <c r="O325" s="119"/>
      <c r="P325" s="117">
        <v>7743</v>
      </c>
      <c r="Q325" s="111"/>
      <c r="R325" s="117"/>
      <c r="S325" s="117"/>
      <c r="T325" s="117"/>
      <c r="U325" s="117"/>
      <c r="V325" s="117"/>
      <c r="X325" s="118"/>
      <c r="Y325" s="119"/>
      <c r="Z325" s="117"/>
      <c r="AA325" s="119"/>
      <c r="AB325" s="120">
        <f t="shared" si="177"/>
        <v>0</v>
      </c>
      <c r="AC325" s="119"/>
      <c r="AD325" s="110"/>
      <c r="AE325" s="110"/>
      <c r="AF325" s="110"/>
      <c r="AG325" s="121"/>
    </row>
    <row r="326" spans="1:33" s="53" customFormat="1" ht="11.25" customHeight="1" x14ac:dyDescent="0.15">
      <c r="A326" s="53" t="s">
        <v>204</v>
      </c>
      <c r="C326" s="54" t="s">
        <v>65</v>
      </c>
      <c r="D326" s="54">
        <v>2021</v>
      </c>
      <c r="E326" s="70">
        <v>44316</v>
      </c>
      <c r="F326" s="54"/>
      <c r="G326" s="54"/>
      <c r="H326" s="54"/>
      <c r="I326" s="54"/>
      <c r="J326" s="54"/>
      <c r="K326" s="106"/>
      <c r="L326" s="24">
        <f>SUM(L323:L325)</f>
        <v>76344</v>
      </c>
      <c r="M326" s="58"/>
      <c r="N326" s="58"/>
      <c r="O326" s="57"/>
      <c r="P326" s="24">
        <f>SUM(P323:P325)</f>
        <v>76344</v>
      </c>
      <c r="Q326" s="64"/>
      <c r="R326" s="24">
        <f>SUM(R323:R324)</f>
        <v>85</v>
      </c>
      <c r="S326" s="24">
        <f>SUM(S323:S324)</f>
        <v>4156.43</v>
      </c>
      <c r="T326" s="24">
        <f>SUM(T323:T324)</f>
        <v>5405.2300000000005</v>
      </c>
      <c r="U326" s="24">
        <f>SUM(U323:U324)</f>
        <v>9981.6299999999992</v>
      </c>
      <c r="V326" s="28"/>
      <c r="W326" s="25">
        <f>SUM(S326:U326)</f>
        <v>19543.29</v>
      </c>
      <c r="X326" s="56">
        <f>S326/R326</f>
        <v>48.899176470588237</v>
      </c>
      <c r="Y326" s="57">
        <f>U326/P326</f>
        <v>0.13074544168500471</v>
      </c>
      <c r="Z326" s="28">
        <f>P326-W326</f>
        <v>56800.71</v>
      </c>
      <c r="AA326" s="57">
        <f>Z326/P326</f>
        <v>0.7440101383212826</v>
      </c>
      <c r="AB326" s="120">
        <f t="shared" si="177"/>
        <v>-19543.29</v>
      </c>
      <c r="AC326" s="57"/>
      <c r="AG326" s="61"/>
    </row>
    <row r="327" spans="1:33" s="53" customFormat="1" ht="11.25" customHeight="1" x14ac:dyDescent="0.15">
      <c r="A327" s="53" t="s">
        <v>204</v>
      </c>
      <c r="C327" s="54" t="s">
        <v>177</v>
      </c>
      <c r="D327" s="54">
        <v>2021</v>
      </c>
      <c r="E327" s="70">
        <v>44316</v>
      </c>
      <c r="F327" s="54"/>
      <c r="G327" s="54"/>
      <c r="H327" s="54"/>
      <c r="I327" s="54"/>
      <c r="J327" s="54"/>
      <c r="K327" s="106"/>
      <c r="L327" s="58"/>
      <c r="M327" s="58"/>
      <c r="N327" s="58"/>
      <c r="O327" s="57"/>
      <c r="P327" s="28">
        <f>SUM(P320)</f>
        <v>49596</v>
      </c>
      <c r="Q327" s="28"/>
      <c r="R327" s="28">
        <f>SUM(R320)</f>
        <v>6.5</v>
      </c>
      <c r="S327" s="28">
        <f>SUM(S320)</f>
        <v>226.58999999999997</v>
      </c>
      <c r="T327" s="28">
        <f>SUM(T320)</f>
        <v>0</v>
      </c>
      <c r="U327" s="28">
        <f>SUM(U320)</f>
        <v>9496.6299999999992</v>
      </c>
      <c r="V327" s="28"/>
      <c r="W327" s="28">
        <f>SUM(W320)</f>
        <v>9723.2199999999993</v>
      </c>
      <c r="X327" s="56">
        <f>S327/R327</f>
        <v>34.86</v>
      </c>
      <c r="Y327" s="57">
        <f>U327/P327</f>
        <v>0.19147975643197029</v>
      </c>
      <c r="Z327" s="28">
        <f>P327-W327</f>
        <v>39872.78</v>
      </c>
      <c r="AA327" s="57">
        <f>Z327/P327</f>
        <v>0.80395152834906036</v>
      </c>
      <c r="AB327" s="120">
        <f t="shared" si="177"/>
        <v>-9723.2199999999993</v>
      </c>
      <c r="AC327" s="57"/>
      <c r="AG327" s="61"/>
    </row>
    <row r="328" spans="1:33" ht="11.25" customHeight="1" x14ac:dyDescent="0.15">
      <c r="A328" s="130" t="s">
        <v>53</v>
      </c>
      <c r="B328" s="130"/>
      <c r="C328" s="124"/>
      <c r="D328" s="124"/>
      <c r="E328" s="273"/>
      <c r="F328" s="124"/>
      <c r="G328" s="124"/>
      <c r="H328" s="124"/>
      <c r="I328" s="124"/>
      <c r="J328" s="124"/>
      <c r="K328" s="125"/>
      <c r="L328" s="129"/>
      <c r="M328" s="129"/>
      <c r="N328" s="129"/>
      <c r="O328" s="128"/>
      <c r="P328" s="129"/>
      <c r="Q328" s="124"/>
      <c r="R328" s="129"/>
      <c r="S328" s="129"/>
      <c r="T328" s="129"/>
      <c r="U328" s="129"/>
      <c r="V328" s="126"/>
      <c r="W328" s="49"/>
      <c r="X328" s="45"/>
      <c r="Y328" s="128"/>
      <c r="Z328" s="126"/>
      <c r="AA328" s="128"/>
      <c r="AB328" s="129"/>
      <c r="AC328" s="128"/>
      <c r="AD328" s="137"/>
      <c r="AE328" s="110"/>
      <c r="AF328" s="110"/>
      <c r="AG328" s="121"/>
    </row>
    <row r="329" spans="1:33" ht="11.25" customHeight="1" x14ac:dyDescent="0.15">
      <c r="A329" s="110" t="s">
        <v>210</v>
      </c>
      <c r="B329" s="110"/>
      <c r="C329" s="111" t="s">
        <v>180</v>
      </c>
      <c r="D329" s="111">
        <v>2021</v>
      </c>
      <c r="E329" s="146">
        <v>44316</v>
      </c>
      <c r="F329" s="111"/>
      <c r="G329" s="111">
        <v>910100111</v>
      </c>
      <c r="H329" s="111"/>
      <c r="I329" s="111"/>
      <c r="J329" s="111"/>
      <c r="K329" s="112" t="s">
        <v>211</v>
      </c>
      <c r="L329" s="117">
        <v>11773</v>
      </c>
      <c r="M329" s="120"/>
      <c r="N329" s="120"/>
      <c r="O329" s="119"/>
      <c r="P329" s="117">
        <v>11773</v>
      </c>
      <c r="Q329" s="111">
        <v>1149</v>
      </c>
      <c r="R329" s="117">
        <v>3.5</v>
      </c>
      <c r="S329" s="117">
        <f>94.64+42.6</f>
        <v>137.24</v>
      </c>
      <c r="T329" s="117">
        <v>0</v>
      </c>
      <c r="U329" s="117">
        <v>3169.78</v>
      </c>
      <c r="V329" s="117"/>
      <c r="W329" s="26">
        <f>SUM(S329:U329)</f>
        <v>3307.0200000000004</v>
      </c>
      <c r="X329" s="118">
        <f>S329/R329</f>
        <v>39.211428571428577</v>
      </c>
      <c r="Y329" s="119">
        <f>U329/P329</f>
        <v>0.26924148475324899</v>
      </c>
      <c r="Z329" s="117">
        <f t="shared" ref="Z329:Z335" si="178">P329-W329</f>
        <v>8465.98</v>
      </c>
      <c r="AA329" s="119">
        <f t="shared" ref="AA329:AA335" si="179">Z329/P329</f>
        <v>0.71910133355984029</v>
      </c>
      <c r="AB329" s="120">
        <f t="shared" ref="AB329:AB335" si="180">M329-W329</f>
        <v>-3307.0200000000004</v>
      </c>
      <c r="AC329" s="119"/>
      <c r="AD329" s="110"/>
      <c r="AE329" s="110"/>
      <c r="AF329" s="110"/>
      <c r="AG329" s="121"/>
    </row>
    <row r="330" spans="1:33" ht="11.25" customHeight="1" x14ac:dyDescent="0.15">
      <c r="A330" s="110" t="s">
        <v>210</v>
      </c>
      <c r="B330" s="110"/>
      <c r="C330" s="111" t="s">
        <v>47</v>
      </c>
      <c r="D330" s="111">
        <v>2021</v>
      </c>
      <c r="E330" s="146">
        <v>44316</v>
      </c>
      <c r="F330" s="111"/>
      <c r="G330" s="111">
        <v>510100211</v>
      </c>
      <c r="H330" s="111"/>
      <c r="I330" s="111"/>
      <c r="J330" s="111"/>
      <c r="K330" s="112" t="s">
        <v>212</v>
      </c>
      <c r="L330" s="117">
        <v>8627</v>
      </c>
      <c r="M330" s="120"/>
      <c r="N330" s="120"/>
      <c r="O330" s="119"/>
      <c r="P330" s="117">
        <v>8627</v>
      </c>
      <c r="Q330" s="111">
        <v>1150</v>
      </c>
      <c r="R330" s="117">
        <v>60</v>
      </c>
      <c r="S330" s="117">
        <f>1854.6+834.6</f>
        <v>2689.2</v>
      </c>
      <c r="T330" s="117">
        <v>1904.76</v>
      </c>
      <c r="U330" s="117">
        <v>0</v>
      </c>
      <c r="V330" s="117"/>
      <c r="W330" s="26">
        <f>SUM(S330:U330)</f>
        <v>4593.96</v>
      </c>
      <c r="X330" s="118">
        <f>S330/R330</f>
        <v>44.82</v>
      </c>
      <c r="Y330" s="119">
        <f>U330/P330</f>
        <v>0</v>
      </c>
      <c r="Z330" s="117">
        <f t="shared" si="178"/>
        <v>4033.04</v>
      </c>
      <c r="AA330" s="119">
        <f t="shared" si="179"/>
        <v>0.46749043700011589</v>
      </c>
      <c r="AB330" s="120">
        <f t="shared" si="180"/>
        <v>-4593.96</v>
      </c>
      <c r="AC330" s="119"/>
      <c r="AD330" s="110"/>
      <c r="AE330" s="110"/>
      <c r="AF330" s="110"/>
      <c r="AG330" s="121"/>
    </row>
    <row r="331" spans="1:33" s="53" customFormat="1" ht="11.25" customHeight="1" x14ac:dyDescent="0.15">
      <c r="A331" s="53" t="s">
        <v>210</v>
      </c>
      <c r="C331" s="54" t="s">
        <v>54</v>
      </c>
      <c r="D331" s="54">
        <v>2021</v>
      </c>
      <c r="E331" s="70">
        <v>44316</v>
      </c>
      <c r="F331" s="54"/>
      <c r="G331" s="54"/>
      <c r="H331" s="54"/>
      <c r="I331" s="54"/>
      <c r="J331" s="54"/>
      <c r="K331" s="106"/>
      <c r="L331" s="24">
        <f>SUM(L329:L330)</f>
        <v>20400</v>
      </c>
      <c r="M331" s="58"/>
      <c r="N331" s="58"/>
      <c r="O331" s="57"/>
      <c r="P331" s="24">
        <f>SUM(P329:P330)</f>
        <v>20400</v>
      </c>
      <c r="Q331" s="64"/>
      <c r="R331" s="24">
        <f>SUM(R329:R330)</f>
        <v>63.5</v>
      </c>
      <c r="S331" s="24">
        <f>SUM(S329:S330)</f>
        <v>2826.4399999999996</v>
      </c>
      <c r="T331" s="24">
        <f>SUM(T329:T330)</f>
        <v>1904.76</v>
      </c>
      <c r="U331" s="24">
        <f>SUM(U329:U330)</f>
        <v>3169.78</v>
      </c>
      <c r="V331" s="28"/>
      <c r="W331" s="25">
        <f>SUM(S331:U331)</f>
        <v>7900.98</v>
      </c>
      <c r="X331" s="56">
        <f>S331/R331</f>
        <v>44.510866141732279</v>
      </c>
      <c r="Y331" s="57">
        <f>U331/P331</f>
        <v>0.15538137254901963</v>
      </c>
      <c r="Z331" s="28">
        <f t="shared" si="178"/>
        <v>12499.02</v>
      </c>
      <c r="AA331" s="57">
        <f t="shared" si="179"/>
        <v>0.61269705882352943</v>
      </c>
      <c r="AB331" s="120">
        <f t="shared" si="180"/>
        <v>-7900.98</v>
      </c>
      <c r="AC331" s="57"/>
      <c r="AG331" s="61"/>
    </row>
    <row r="332" spans="1:33" ht="11.25" customHeight="1" x14ac:dyDescent="0.15">
      <c r="A332" s="110" t="s">
        <v>210</v>
      </c>
      <c r="B332" s="110"/>
      <c r="C332" s="111" t="s">
        <v>55</v>
      </c>
      <c r="D332" s="111">
        <v>2021</v>
      </c>
      <c r="E332" s="146">
        <v>44316</v>
      </c>
      <c r="F332" s="111"/>
      <c r="G332" s="111" t="s">
        <v>56</v>
      </c>
      <c r="H332" s="111"/>
      <c r="I332" s="111"/>
      <c r="J332" s="111"/>
      <c r="K332" s="112" t="s">
        <v>71</v>
      </c>
      <c r="L332" s="117">
        <v>3432</v>
      </c>
      <c r="M332" s="120"/>
      <c r="N332" s="120"/>
      <c r="O332" s="119"/>
      <c r="P332" s="117">
        <v>3432</v>
      </c>
      <c r="Q332" s="111">
        <v>1151</v>
      </c>
      <c r="R332" s="117">
        <v>4</v>
      </c>
      <c r="S332" s="117">
        <f>110+49.52</f>
        <v>159.52000000000001</v>
      </c>
      <c r="T332" s="117">
        <v>815.01</v>
      </c>
      <c r="U332" s="117">
        <v>146.38</v>
      </c>
      <c r="V332" s="117"/>
      <c r="W332" s="67">
        <f>SUM(S332:U332)</f>
        <v>1120.9099999999999</v>
      </c>
      <c r="X332" s="118">
        <f>S332/R332</f>
        <v>39.880000000000003</v>
      </c>
      <c r="Y332" s="119">
        <f>U332/P332</f>
        <v>4.2651515151515149E-2</v>
      </c>
      <c r="Z332" s="117">
        <f t="shared" si="178"/>
        <v>2311.09</v>
      </c>
      <c r="AA332" s="119">
        <f t="shared" si="179"/>
        <v>0.67339452214452222</v>
      </c>
      <c r="AB332" s="120">
        <f t="shared" si="180"/>
        <v>-1120.9099999999999</v>
      </c>
      <c r="AC332" s="119"/>
      <c r="AD332" s="110"/>
      <c r="AE332" s="110"/>
      <c r="AF332" s="110"/>
      <c r="AG332" s="121"/>
    </row>
    <row r="333" spans="1:33" ht="11.25" customHeight="1" x14ac:dyDescent="0.15">
      <c r="A333" s="110" t="s">
        <v>210</v>
      </c>
      <c r="B333" s="110"/>
      <c r="C333" s="111" t="s">
        <v>61</v>
      </c>
      <c r="D333" s="111">
        <v>2021</v>
      </c>
      <c r="E333" s="146">
        <v>44316</v>
      </c>
      <c r="F333" s="111"/>
      <c r="G333" s="111" t="s">
        <v>213</v>
      </c>
      <c r="H333" s="111"/>
      <c r="I333" s="111" t="str">
        <f>MID(G333,3,1)</f>
        <v>1</v>
      </c>
      <c r="J333" s="111" t="str">
        <f>IF(I333="1","Small/Medium","Large")</f>
        <v>Small/Medium</v>
      </c>
      <c r="K333" s="112" t="s">
        <v>102</v>
      </c>
      <c r="L333" s="117">
        <v>9116</v>
      </c>
      <c r="M333" s="120">
        <f>L333*0.3</f>
        <v>2734.7999999999997</v>
      </c>
      <c r="N333" s="120">
        <f>L333-M333</f>
        <v>6381.2000000000007</v>
      </c>
      <c r="O333" s="119">
        <f>N333/L333</f>
        <v>0.70000000000000007</v>
      </c>
      <c r="P333" s="117">
        <v>9116</v>
      </c>
      <c r="Q333" s="111"/>
      <c r="R333" s="117"/>
      <c r="S333" s="117"/>
      <c r="T333" s="117"/>
      <c r="U333" s="117"/>
      <c r="V333" s="117"/>
      <c r="W333" s="26">
        <f>SUM(S333:V333)</f>
        <v>0</v>
      </c>
      <c r="X333" s="56"/>
      <c r="Y333" s="57"/>
      <c r="Z333" s="117">
        <f t="shared" si="178"/>
        <v>9116</v>
      </c>
      <c r="AA333" s="119">
        <f t="shared" si="179"/>
        <v>1</v>
      </c>
      <c r="AB333" s="120">
        <f t="shared" si="180"/>
        <v>2734.7999999999997</v>
      </c>
      <c r="AC333" s="135">
        <f>AA333-O333</f>
        <v>0.29999999999999993</v>
      </c>
      <c r="AD333" s="110"/>
      <c r="AE333" s="110"/>
      <c r="AF333" s="110"/>
      <c r="AG333" s="121"/>
    </row>
    <row r="334" spans="1:33" s="53" customFormat="1" ht="11.25" customHeight="1" x14ac:dyDescent="0.15">
      <c r="A334" s="53" t="s">
        <v>210</v>
      </c>
      <c r="C334" s="54" t="s">
        <v>65</v>
      </c>
      <c r="D334" s="54">
        <v>2021</v>
      </c>
      <c r="E334" s="70">
        <v>44316</v>
      </c>
      <c r="F334" s="54"/>
      <c r="G334" s="54"/>
      <c r="H334" s="54"/>
      <c r="I334" s="54"/>
      <c r="J334" s="54"/>
      <c r="K334" s="106"/>
      <c r="L334" s="24">
        <f>SUM(L331:L333)</f>
        <v>32948</v>
      </c>
      <c r="M334" s="58"/>
      <c r="N334" s="58"/>
      <c r="O334" s="57"/>
      <c r="P334" s="24">
        <f>SUM(P331:P333)</f>
        <v>32948</v>
      </c>
      <c r="Q334" s="54"/>
      <c r="R334" s="24">
        <f>SUM(R331:R333)</f>
        <v>67.5</v>
      </c>
      <c r="S334" s="24">
        <f>SUM(S331:S333)</f>
        <v>2985.9599999999996</v>
      </c>
      <c r="T334" s="24">
        <f>SUM(T331:T333)</f>
        <v>2719.77</v>
      </c>
      <c r="U334" s="24">
        <f>SUM(U331:U333)</f>
        <v>3316.1600000000003</v>
      </c>
      <c r="V334" s="64"/>
      <c r="W334" s="24">
        <f>SUM(W331:W333)</f>
        <v>9021.89</v>
      </c>
      <c r="X334" s="56">
        <f>S334/R334</f>
        <v>44.236444444444437</v>
      </c>
      <c r="Y334" s="57">
        <f>U334/P334</f>
        <v>0.10064829428189875</v>
      </c>
      <c r="Z334" s="28">
        <f t="shared" si="178"/>
        <v>23926.11</v>
      </c>
      <c r="AA334" s="57">
        <f t="shared" si="179"/>
        <v>0.7261779167172514</v>
      </c>
      <c r="AB334" s="120">
        <f t="shared" si="180"/>
        <v>-9021.89</v>
      </c>
      <c r="AC334" s="57"/>
      <c r="AG334" s="61"/>
    </row>
    <row r="335" spans="1:33" s="53" customFormat="1" ht="11.25" customHeight="1" x14ac:dyDescent="0.15">
      <c r="A335" s="53" t="s">
        <v>210</v>
      </c>
      <c r="C335" s="54" t="s">
        <v>177</v>
      </c>
      <c r="D335" s="54">
        <v>2021</v>
      </c>
      <c r="E335" s="70">
        <v>44316</v>
      </c>
      <c r="F335" s="54"/>
      <c r="G335" s="54"/>
      <c r="H335" s="54"/>
      <c r="I335" s="54"/>
      <c r="J335" s="54"/>
      <c r="K335" s="106"/>
      <c r="L335" s="58"/>
      <c r="M335" s="58"/>
      <c r="N335" s="58"/>
      <c r="O335" s="57"/>
      <c r="P335" s="28">
        <f>SUM(P329)</f>
        <v>11773</v>
      </c>
      <c r="Q335" s="28"/>
      <c r="R335" s="28">
        <f>SUM(R329)</f>
        <v>3.5</v>
      </c>
      <c r="S335" s="28">
        <f>SUM(S329)</f>
        <v>137.24</v>
      </c>
      <c r="T335" s="28">
        <f>SUM(T329)</f>
        <v>0</v>
      </c>
      <c r="U335" s="28">
        <f>SUM(U329)</f>
        <v>3169.78</v>
      </c>
      <c r="V335" s="28"/>
      <c r="W335" s="28">
        <f>SUM(W329)</f>
        <v>3307.0200000000004</v>
      </c>
      <c r="X335" s="56">
        <f>S335/R335</f>
        <v>39.211428571428577</v>
      </c>
      <c r="Y335" s="57">
        <f>U335/P335</f>
        <v>0.26924148475324899</v>
      </c>
      <c r="Z335" s="28">
        <f t="shared" si="178"/>
        <v>8465.98</v>
      </c>
      <c r="AA335" s="57">
        <f t="shared" si="179"/>
        <v>0.71910133355984029</v>
      </c>
      <c r="AB335" s="120">
        <f t="shared" si="180"/>
        <v>-3307.0200000000004</v>
      </c>
      <c r="AC335" s="57"/>
      <c r="AG335" s="61"/>
    </row>
    <row r="336" spans="1:33" ht="11.25" customHeight="1" x14ac:dyDescent="0.15">
      <c r="A336" s="130" t="s">
        <v>53</v>
      </c>
      <c r="B336" s="130"/>
      <c r="C336" s="124"/>
      <c r="D336" s="124"/>
      <c r="E336" s="273"/>
      <c r="F336" s="124"/>
      <c r="G336" s="124"/>
      <c r="H336" s="124"/>
      <c r="I336" s="124"/>
      <c r="J336" s="124"/>
      <c r="K336" s="125"/>
      <c r="L336" s="129"/>
      <c r="M336" s="129"/>
      <c r="N336" s="129"/>
      <c r="O336" s="128"/>
      <c r="P336" s="129"/>
      <c r="Q336" s="124"/>
      <c r="R336" s="129"/>
      <c r="S336" s="129"/>
      <c r="T336" s="129"/>
      <c r="U336" s="129"/>
      <c r="V336" s="126"/>
      <c r="W336" s="49"/>
      <c r="X336" s="45"/>
      <c r="Y336" s="128"/>
      <c r="Z336" s="126"/>
      <c r="AA336" s="128"/>
      <c r="AB336" s="129"/>
      <c r="AC336" s="128"/>
      <c r="AD336" s="137"/>
      <c r="AE336" s="110"/>
      <c r="AF336" s="110"/>
      <c r="AG336" s="121"/>
    </row>
    <row r="337" spans="1:33" ht="11.25" customHeight="1" x14ac:dyDescent="0.15">
      <c r="A337" s="110" t="s">
        <v>214</v>
      </c>
      <c r="B337" s="110"/>
      <c r="C337" s="111" t="s">
        <v>175</v>
      </c>
      <c r="D337" s="111">
        <v>2021</v>
      </c>
      <c r="E337" s="146">
        <v>44347</v>
      </c>
      <c r="F337" s="111"/>
      <c r="G337" s="111">
        <v>811202111</v>
      </c>
      <c r="H337" s="111">
        <v>4101</v>
      </c>
      <c r="I337" s="111" t="str">
        <f>MID(G337,2,1)</f>
        <v>1</v>
      </c>
      <c r="J337" s="111" t="str">
        <f>IF(I337="1","Small/Medium","Large")</f>
        <v>Small/Medium</v>
      </c>
      <c r="K337" s="147" t="s">
        <v>145</v>
      </c>
      <c r="L337" s="117">
        <v>6528.55</v>
      </c>
      <c r="M337" s="120">
        <f>L337*0.3</f>
        <v>1958.5650000000001</v>
      </c>
      <c r="N337" s="120">
        <f>L337-M337</f>
        <v>4569.9850000000006</v>
      </c>
      <c r="O337" s="119">
        <f>N337/L337</f>
        <v>0.70000000000000007</v>
      </c>
      <c r="P337" s="117">
        <v>6528.55</v>
      </c>
      <c r="Q337" s="111">
        <v>1166</v>
      </c>
      <c r="R337" s="117">
        <v>22</v>
      </c>
      <c r="S337" s="117">
        <f>657.36+295.91</f>
        <v>953.27</v>
      </c>
      <c r="T337" s="117">
        <v>1651.8</v>
      </c>
      <c r="U337" s="117">
        <v>542.27</v>
      </c>
      <c r="V337" s="117">
        <f>14.39+5</f>
        <v>19.39</v>
      </c>
      <c r="W337" s="26">
        <f>SUM(S337:V337)</f>
        <v>3166.7299999999996</v>
      </c>
      <c r="X337" s="118">
        <f>S337/R337</f>
        <v>43.330454545454543</v>
      </c>
      <c r="Y337" s="119">
        <f>U337/P337</f>
        <v>8.3061322958390443E-2</v>
      </c>
      <c r="Z337" s="117">
        <f>P337-W337</f>
        <v>3361.8200000000006</v>
      </c>
      <c r="AA337" s="119">
        <f>Z337/P337</f>
        <v>0.51494129630622432</v>
      </c>
      <c r="AB337" s="120">
        <f t="shared" ref="AB337:AB339" si="181">M337-W337</f>
        <v>-1208.1649999999995</v>
      </c>
      <c r="AC337" s="135">
        <f>AA337-O337</f>
        <v>-0.18505870369377575</v>
      </c>
      <c r="AD337" s="110"/>
      <c r="AE337" s="110"/>
      <c r="AF337" s="110"/>
      <c r="AG337" s="121"/>
    </row>
    <row r="338" spans="1:33" ht="11.25" customHeight="1" x14ac:dyDescent="0.15">
      <c r="A338" s="110" t="s">
        <v>214</v>
      </c>
      <c r="B338" s="110"/>
      <c r="C338" s="111" t="s">
        <v>175</v>
      </c>
      <c r="D338" s="111">
        <v>2021</v>
      </c>
      <c r="E338" s="146">
        <v>44347</v>
      </c>
      <c r="F338" s="111"/>
      <c r="G338" s="111">
        <v>821202111</v>
      </c>
      <c r="H338" s="111">
        <v>4101</v>
      </c>
      <c r="I338" s="111" t="str">
        <f>MID(G338,2,1)</f>
        <v>2</v>
      </c>
      <c r="J338" s="111" t="str">
        <f>IF(I338="1","Small/Medium","Large")</f>
        <v>Large</v>
      </c>
      <c r="K338" s="147" t="s">
        <v>176</v>
      </c>
      <c r="L338" s="117">
        <v>12124.45</v>
      </c>
      <c r="M338" s="120">
        <f>L338*0.3</f>
        <v>3637.335</v>
      </c>
      <c r="N338" s="120">
        <f>L338-M338</f>
        <v>8487.1150000000016</v>
      </c>
      <c r="O338" s="119">
        <f>N338/L338</f>
        <v>0.70000000000000007</v>
      </c>
      <c r="P338" s="117">
        <v>12124.45</v>
      </c>
      <c r="Q338" s="111">
        <v>1167</v>
      </c>
      <c r="R338" s="117">
        <v>38</v>
      </c>
      <c r="S338" s="117">
        <f>1135.44+511.1</f>
        <v>1646.54</v>
      </c>
      <c r="T338" s="117">
        <v>3067.63</v>
      </c>
      <c r="U338" s="117">
        <v>703.61</v>
      </c>
      <c r="V338" s="117"/>
      <c r="W338" s="26">
        <f>SUM(S338:V338)</f>
        <v>5417.78</v>
      </c>
      <c r="X338" s="118">
        <f>S338/R338</f>
        <v>43.33</v>
      </c>
      <c r="Y338" s="119">
        <f>U338/P338</f>
        <v>5.803232311568772E-2</v>
      </c>
      <c r="Z338" s="117">
        <f>P338-W338</f>
        <v>6706.670000000001</v>
      </c>
      <c r="AA338" s="119">
        <f>Z338/P338</f>
        <v>0.55315251413466182</v>
      </c>
      <c r="AB338" s="120">
        <f t="shared" si="181"/>
        <v>-1780.4449999999997</v>
      </c>
      <c r="AC338" s="135">
        <f>AA338-O338</f>
        <v>-0.14684748586533825</v>
      </c>
      <c r="AD338" s="110"/>
      <c r="AE338" s="110"/>
      <c r="AF338" s="110"/>
      <c r="AG338" s="121"/>
    </row>
    <row r="339" spans="1:33" s="53" customFormat="1" ht="11.25" customHeight="1" x14ac:dyDescent="0.15">
      <c r="A339" s="53" t="s">
        <v>214</v>
      </c>
      <c r="C339" s="54" t="s">
        <v>177</v>
      </c>
      <c r="D339" s="54">
        <v>2021</v>
      </c>
      <c r="E339" s="70">
        <v>44347</v>
      </c>
      <c r="F339" s="54"/>
      <c r="G339" s="54"/>
      <c r="H339" s="54"/>
      <c r="I339" s="54"/>
      <c r="J339" s="54"/>
      <c r="K339" s="106"/>
      <c r="L339" s="93"/>
      <c r="M339" s="93"/>
      <c r="N339" s="93"/>
      <c r="O339" s="57"/>
      <c r="P339" s="24">
        <f>SUM(P337:P338)</f>
        <v>18653</v>
      </c>
      <c r="Q339" s="111"/>
      <c r="R339" s="24">
        <f>SUM(R337:R338)</f>
        <v>60</v>
      </c>
      <c r="S339" s="24">
        <f>SUM(S337:S338)</f>
        <v>2599.81</v>
      </c>
      <c r="T339" s="24">
        <f>SUM(T337:T338)</f>
        <v>4719.43</v>
      </c>
      <c r="U339" s="24">
        <f>SUM(U337:U338)</f>
        <v>1245.8800000000001</v>
      </c>
      <c r="V339" s="132"/>
      <c r="W339" s="25">
        <f>SUM(S339:V339)</f>
        <v>8565.119999999999</v>
      </c>
      <c r="X339" s="56">
        <f>S339/R339</f>
        <v>43.330166666666663</v>
      </c>
      <c r="Y339" s="57">
        <f>U339/P339</f>
        <v>6.6792473060633684E-2</v>
      </c>
      <c r="Z339" s="28">
        <f>P339-W339</f>
        <v>10087.880000000001</v>
      </c>
      <c r="AA339" s="57">
        <f>Z339/P339</f>
        <v>0.54081809896531396</v>
      </c>
      <c r="AB339" s="120">
        <f t="shared" si="181"/>
        <v>-8565.119999999999</v>
      </c>
      <c r="AC339" s="57"/>
      <c r="AG339" s="61"/>
    </row>
    <row r="340" spans="1:33" ht="11.25" customHeight="1" x14ac:dyDescent="0.15">
      <c r="A340" s="130" t="s">
        <v>53</v>
      </c>
      <c r="B340" s="130"/>
      <c r="C340" s="124"/>
      <c r="D340" s="124"/>
      <c r="E340" s="273"/>
      <c r="F340" s="124"/>
      <c r="G340" s="124"/>
      <c r="H340" s="124"/>
      <c r="I340" s="124"/>
      <c r="J340" s="124"/>
      <c r="K340" s="125"/>
      <c r="L340" s="129"/>
      <c r="M340" s="129"/>
      <c r="N340" s="129"/>
      <c r="O340" s="128"/>
      <c r="P340" s="220"/>
      <c r="Q340" s="124"/>
      <c r="R340" s="220"/>
      <c r="S340" s="220"/>
      <c r="T340" s="220"/>
      <c r="U340" s="220"/>
      <c r="V340" s="126"/>
      <c r="W340" s="230"/>
      <c r="X340" s="45"/>
      <c r="Y340" s="128"/>
      <c r="Z340" s="126"/>
      <c r="AA340" s="128"/>
      <c r="AB340" s="129"/>
      <c r="AC340" s="128"/>
      <c r="AD340" s="137"/>
      <c r="AE340" s="110"/>
      <c r="AF340" s="110"/>
      <c r="AG340" s="121"/>
    </row>
    <row r="341" spans="1:33" ht="11.25" customHeight="1" x14ac:dyDescent="0.15">
      <c r="A341" s="110" t="s">
        <v>214</v>
      </c>
      <c r="B341" s="110"/>
      <c r="C341" s="111" t="s">
        <v>201</v>
      </c>
      <c r="D341" s="111">
        <v>2021</v>
      </c>
      <c r="E341" s="146">
        <v>44347</v>
      </c>
      <c r="F341" s="111"/>
      <c r="G341" s="111" t="s">
        <v>202</v>
      </c>
      <c r="H341" s="111"/>
      <c r="I341" s="111"/>
      <c r="J341" s="111"/>
      <c r="K341" s="112" t="s">
        <v>203</v>
      </c>
      <c r="L341" s="120"/>
      <c r="M341" s="120"/>
      <c r="N341" s="120"/>
      <c r="O341" s="119"/>
      <c r="P341" s="117">
        <v>390.28</v>
      </c>
      <c r="Q341" s="111">
        <v>1169</v>
      </c>
      <c r="R341" s="117">
        <v>1</v>
      </c>
      <c r="S341" s="117">
        <f>29.88+13.45</f>
        <v>43.33</v>
      </c>
      <c r="T341" s="117">
        <v>0</v>
      </c>
      <c r="U341" s="117">
        <v>263.7</v>
      </c>
      <c r="V341" s="117"/>
      <c r="W341" s="26">
        <f>SUM(S341:U341)</f>
        <v>307.02999999999997</v>
      </c>
      <c r="X341" s="118">
        <f>S341/R341</f>
        <v>43.33</v>
      </c>
      <c r="Y341" s="119">
        <f>U341/P341</f>
        <v>0.67566875064056575</v>
      </c>
      <c r="Z341" s="117">
        <f>P341-W341</f>
        <v>83.25</v>
      </c>
      <c r="AA341" s="119">
        <f>Z341/P341</f>
        <v>0.21330839397355747</v>
      </c>
      <c r="AB341" s="120">
        <f t="shared" ref="AB341:AB342" si="182">M341-W341</f>
        <v>-307.02999999999997</v>
      </c>
      <c r="AC341" s="119"/>
      <c r="AD341" s="110"/>
      <c r="AE341" s="110"/>
      <c r="AF341" s="110"/>
      <c r="AG341" s="121"/>
    </row>
    <row r="342" spans="1:33" s="53" customFormat="1" ht="11.25" customHeight="1" x14ac:dyDescent="0.15">
      <c r="A342" s="53" t="s">
        <v>214</v>
      </c>
      <c r="C342" s="54" t="s">
        <v>177</v>
      </c>
      <c r="D342" s="54">
        <v>2021</v>
      </c>
      <c r="E342" s="70">
        <v>44347</v>
      </c>
      <c r="F342" s="54"/>
      <c r="G342" s="54"/>
      <c r="H342" s="54"/>
      <c r="I342" s="54"/>
      <c r="J342" s="54"/>
      <c r="K342" s="106"/>
      <c r="L342" s="58"/>
      <c r="M342" s="58"/>
      <c r="N342" s="58"/>
      <c r="O342" s="57"/>
      <c r="P342" s="24">
        <f>SUM(P341)</f>
        <v>390.28</v>
      </c>
      <c r="Q342" s="64"/>
      <c r="R342" s="64">
        <f>SUM(R341)</f>
        <v>1</v>
      </c>
      <c r="S342" s="64">
        <f>SUM(S341)</f>
        <v>43.33</v>
      </c>
      <c r="T342" s="64">
        <f>SUM(T341)</f>
        <v>0</v>
      </c>
      <c r="U342" s="64">
        <f>SUM(U341)</f>
        <v>263.7</v>
      </c>
      <c r="V342" s="117"/>
      <c r="W342" s="25">
        <f>SUM(S342:U342)</f>
        <v>307.02999999999997</v>
      </c>
      <c r="X342" s="56">
        <f>S342/R342</f>
        <v>43.33</v>
      </c>
      <c r="Y342" s="57">
        <f>U342/P342</f>
        <v>0.67566875064056575</v>
      </c>
      <c r="Z342" s="28">
        <f>P342-W342</f>
        <v>83.25</v>
      </c>
      <c r="AA342" s="57">
        <f>Z342/P342</f>
        <v>0.21330839397355747</v>
      </c>
      <c r="AB342" s="120">
        <f t="shared" si="182"/>
        <v>-307.02999999999997</v>
      </c>
      <c r="AC342" s="57"/>
      <c r="AG342" s="61"/>
    </row>
    <row r="343" spans="1:33" ht="11.25" customHeight="1" x14ac:dyDescent="0.15">
      <c r="A343" s="130" t="s">
        <v>53</v>
      </c>
      <c r="B343" s="130"/>
      <c r="C343" s="124"/>
      <c r="D343" s="124"/>
      <c r="E343" s="273"/>
      <c r="F343" s="124"/>
      <c r="G343" s="124"/>
      <c r="H343" s="124"/>
      <c r="I343" s="124"/>
      <c r="J343" s="124"/>
      <c r="K343" s="125"/>
      <c r="L343" s="129"/>
      <c r="M343" s="129"/>
      <c r="N343" s="129"/>
      <c r="O343" s="128"/>
      <c r="P343" s="129"/>
      <c r="Q343" s="124"/>
      <c r="R343" s="129"/>
      <c r="S343" s="129"/>
      <c r="T343" s="129"/>
      <c r="U343" s="129"/>
      <c r="V343" s="126"/>
      <c r="W343" s="49"/>
      <c r="X343" s="45"/>
      <c r="Y343" s="128"/>
      <c r="Z343" s="126"/>
      <c r="AA343" s="128"/>
      <c r="AB343" s="129"/>
      <c r="AC343" s="128"/>
      <c r="AD343" s="137"/>
      <c r="AE343" s="110"/>
      <c r="AF343" s="110"/>
      <c r="AG343" s="121"/>
    </row>
    <row r="344" spans="1:33" ht="11.25" customHeight="1" x14ac:dyDescent="0.15">
      <c r="A344" s="110" t="s">
        <v>127</v>
      </c>
      <c r="B344" s="110"/>
      <c r="C344" s="111" t="s">
        <v>37</v>
      </c>
      <c r="D344" s="111">
        <v>2021</v>
      </c>
      <c r="E344" s="146">
        <v>44347</v>
      </c>
      <c r="F344" s="111"/>
      <c r="G344" s="111">
        <v>322500301</v>
      </c>
      <c r="H344" s="111"/>
      <c r="I344" s="111"/>
      <c r="J344" s="111"/>
      <c r="K344" s="112" t="s">
        <v>215</v>
      </c>
      <c r="L344" s="120">
        <v>101314</v>
      </c>
      <c r="M344" s="120">
        <v>45424</v>
      </c>
      <c r="N344" s="120">
        <v>55890</v>
      </c>
      <c r="O344" s="119">
        <v>0.55000000000000004</v>
      </c>
      <c r="P344" s="117">
        <v>101314</v>
      </c>
      <c r="Q344" s="111">
        <v>1119</v>
      </c>
      <c r="R344" s="117">
        <v>28.5</v>
      </c>
      <c r="S344" s="117">
        <f>743.64+334.71</f>
        <v>1078.3499999999999</v>
      </c>
      <c r="T344" s="117">
        <v>0</v>
      </c>
      <c r="U344" s="117">
        <v>61913.56</v>
      </c>
      <c r="V344" s="117"/>
      <c r="W344" s="26">
        <f>SUM(S344:U344)</f>
        <v>62991.909999999996</v>
      </c>
      <c r="X344" s="118">
        <f t="shared" ref="X344:X349" si="183">S344/R344</f>
        <v>37.836842105263152</v>
      </c>
      <c r="Y344" s="119">
        <f t="shared" ref="Y344:Y349" si="184">U344/P344</f>
        <v>0.61110567147679484</v>
      </c>
      <c r="Z344" s="117">
        <f t="shared" ref="Z344:Z349" si="185">P344-W344</f>
        <v>38322.090000000004</v>
      </c>
      <c r="AA344" s="119">
        <f t="shared" ref="AA344:AA349" si="186">Z344/P344</f>
        <v>0.37825068598614214</v>
      </c>
      <c r="AB344" s="120">
        <f t="shared" ref="AB344:AB349" si="187">M344-W344</f>
        <v>-17567.909999999996</v>
      </c>
      <c r="AC344" s="119">
        <v>-0.17</v>
      </c>
      <c r="AD344" s="110" t="s">
        <v>216</v>
      </c>
      <c r="AE344" s="110" t="s">
        <v>217</v>
      </c>
      <c r="AF344" s="110"/>
      <c r="AG344" s="121"/>
    </row>
    <row r="345" spans="1:33" ht="11.25" customHeight="1" x14ac:dyDescent="0.15">
      <c r="A345" s="110" t="s">
        <v>127</v>
      </c>
      <c r="B345" s="110"/>
      <c r="C345" s="111" t="s">
        <v>47</v>
      </c>
      <c r="D345" s="111">
        <v>2021</v>
      </c>
      <c r="E345" s="146">
        <v>44347</v>
      </c>
      <c r="F345" s="111"/>
      <c r="G345" s="111">
        <v>540000111</v>
      </c>
      <c r="H345" s="111"/>
      <c r="I345" s="111"/>
      <c r="J345" s="111"/>
      <c r="K345" s="112" t="s">
        <v>218</v>
      </c>
      <c r="L345" s="120">
        <v>20435</v>
      </c>
      <c r="M345" s="120">
        <v>9690</v>
      </c>
      <c r="N345" s="120">
        <v>10745</v>
      </c>
      <c r="O345" s="119">
        <v>0.53</v>
      </c>
      <c r="P345" s="132">
        <v>20435</v>
      </c>
      <c r="Q345" s="111">
        <v>1120</v>
      </c>
      <c r="R345" s="132">
        <v>152</v>
      </c>
      <c r="S345" s="132">
        <f>4698.33+2114.33</f>
        <v>6812.66</v>
      </c>
      <c r="T345" s="132">
        <v>6496.02</v>
      </c>
      <c r="U345" s="132">
        <v>3410.55</v>
      </c>
      <c r="V345" s="117"/>
      <c r="W345" s="67">
        <f>SUM(S345:U345)</f>
        <v>16719.23</v>
      </c>
      <c r="X345" s="118">
        <f t="shared" si="183"/>
        <v>44.820131578947368</v>
      </c>
      <c r="Y345" s="119">
        <f t="shared" si="184"/>
        <v>0.16689747981404454</v>
      </c>
      <c r="Z345" s="117">
        <f t="shared" si="185"/>
        <v>3715.7700000000004</v>
      </c>
      <c r="AA345" s="119">
        <f t="shared" si="186"/>
        <v>0.18183361879128948</v>
      </c>
      <c r="AB345" s="120">
        <f t="shared" si="187"/>
        <v>-7029.23</v>
      </c>
      <c r="AC345" s="119">
        <v>-0.38</v>
      </c>
      <c r="AD345" s="110" t="s">
        <v>219</v>
      </c>
      <c r="AE345" s="110" t="s">
        <v>220</v>
      </c>
      <c r="AF345" s="110"/>
      <c r="AG345" s="121"/>
    </row>
    <row r="346" spans="1:33" s="53" customFormat="1" ht="11.25" customHeight="1" x14ac:dyDescent="0.15">
      <c r="A346" s="53" t="s">
        <v>127</v>
      </c>
      <c r="C346" s="54" t="s">
        <v>54</v>
      </c>
      <c r="D346" s="54">
        <v>2021</v>
      </c>
      <c r="E346" s="70">
        <v>44347</v>
      </c>
      <c r="F346" s="54"/>
      <c r="G346" s="54"/>
      <c r="H346" s="54"/>
      <c r="I346" s="54"/>
      <c r="J346" s="54"/>
      <c r="K346" s="106"/>
      <c r="L346" s="92">
        <v>121749</v>
      </c>
      <c r="M346" s="92">
        <v>55114</v>
      </c>
      <c r="N346" s="92">
        <v>66635</v>
      </c>
      <c r="O346" s="57">
        <v>0.55000000000000004</v>
      </c>
      <c r="P346" s="24">
        <f>SUM(P344:P345)</f>
        <v>121749</v>
      </c>
      <c r="Q346" s="54"/>
      <c r="R346" s="24">
        <f>SUM(R344:R345)</f>
        <v>180.5</v>
      </c>
      <c r="S346" s="24">
        <f>SUM(S344:S345)</f>
        <v>7891.01</v>
      </c>
      <c r="T346" s="24">
        <f>SUM(T344:T345)</f>
        <v>6496.02</v>
      </c>
      <c r="U346" s="24">
        <f>SUM(U344:U345)</f>
        <v>65324.11</v>
      </c>
      <c r="V346" s="28"/>
      <c r="W346" s="25">
        <f>SUM(S346:U346)</f>
        <v>79711.14</v>
      </c>
      <c r="X346" s="56">
        <f t="shared" si="183"/>
        <v>43.717506925207758</v>
      </c>
      <c r="Y346" s="57">
        <f t="shared" si="184"/>
        <v>0.53654740490681652</v>
      </c>
      <c r="Z346" s="28">
        <f t="shared" si="185"/>
        <v>42037.86</v>
      </c>
      <c r="AA346" s="57">
        <f t="shared" si="186"/>
        <v>0.34528300027104947</v>
      </c>
      <c r="AB346" s="120">
        <f t="shared" si="187"/>
        <v>-24597.14</v>
      </c>
      <c r="AC346" s="57">
        <v>-0.2</v>
      </c>
      <c r="AG346" s="61"/>
    </row>
    <row r="347" spans="1:33" ht="11.25" customHeight="1" x14ac:dyDescent="0.15">
      <c r="A347" s="110" t="s">
        <v>127</v>
      </c>
      <c r="B347" s="110"/>
      <c r="C347" s="111" t="s">
        <v>55</v>
      </c>
      <c r="D347" s="111">
        <v>2021</v>
      </c>
      <c r="E347" s="146">
        <v>44347</v>
      </c>
      <c r="F347" s="111"/>
      <c r="G347" s="111" t="s">
        <v>56</v>
      </c>
      <c r="H347" s="111"/>
      <c r="I347" s="111"/>
      <c r="J347" s="111"/>
      <c r="K347" s="112" t="s">
        <v>71</v>
      </c>
      <c r="L347" s="120">
        <v>11836</v>
      </c>
      <c r="M347" s="120">
        <v>5918</v>
      </c>
      <c r="N347" s="120">
        <v>5918</v>
      </c>
      <c r="O347" s="119">
        <v>0.5</v>
      </c>
      <c r="P347" s="117">
        <v>11836</v>
      </c>
      <c r="Q347" s="111">
        <v>1121</v>
      </c>
      <c r="R347" s="117">
        <v>9</v>
      </c>
      <c r="S347" s="117">
        <f>247.5+111.42</f>
        <v>358.92</v>
      </c>
      <c r="T347" s="117">
        <v>0</v>
      </c>
      <c r="U347" s="117">
        <v>27.84</v>
      </c>
      <c r="V347" s="117">
        <v>12978.19</v>
      </c>
      <c r="W347" s="69">
        <f>SUM(S347:V347)</f>
        <v>13364.95</v>
      </c>
      <c r="X347" s="118">
        <f t="shared" si="183"/>
        <v>39.880000000000003</v>
      </c>
      <c r="Y347" s="119">
        <f t="shared" si="184"/>
        <v>2.3521459952686717E-3</v>
      </c>
      <c r="Z347" s="117">
        <f t="shared" si="185"/>
        <v>-1528.9500000000007</v>
      </c>
      <c r="AA347" s="119">
        <f t="shared" si="186"/>
        <v>-0.12917793173369388</v>
      </c>
      <c r="AB347" s="120">
        <f t="shared" si="187"/>
        <v>-7446.9500000000007</v>
      </c>
      <c r="AC347" s="119">
        <v>-0.56999999999999995</v>
      </c>
      <c r="AD347" s="110" t="s">
        <v>221</v>
      </c>
      <c r="AE347" s="110"/>
      <c r="AF347" s="110"/>
      <c r="AG347" s="121"/>
    </row>
    <row r="348" spans="1:33" s="53" customFormat="1" ht="11.25" customHeight="1" x14ac:dyDescent="0.15">
      <c r="A348" s="53" t="s">
        <v>127</v>
      </c>
      <c r="C348" s="54" t="s">
        <v>65</v>
      </c>
      <c r="D348" s="54">
        <v>2021</v>
      </c>
      <c r="E348" s="70">
        <v>44347</v>
      </c>
      <c r="F348" s="54"/>
      <c r="G348" s="54"/>
      <c r="H348" s="54"/>
      <c r="I348" s="54"/>
      <c r="J348" s="54"/>
      <c r="K348" s="106"/>
      <c r="L348" s="92">
        <v>133585</v>
      </c>
      <c r="M348" s="92">
        <v>61032</v>
      </c>
      <c r="N348" s="92">
        <v>72553</v>
      </c>
      <c r="O348" s="57">
        <v>0.54</v>
      </c>
      <c r="P348" s="24">
        <f>SUM(P346:P347)</f>
        <v>133585</v>
      </c>
      <c r="Q348" s="64"/>
      <c r="R348" s="24">
        <f>SUM(R346:R347)</f>
        <v>189.5</v>
      </c>
      <c r="S348" s="24">
        <f>SUM(S346:S347)</f>
        <v>8249.93</v>
      </c>
      <c r="T348" s="24">
        <f>SUM(T346:T347)</f>
        <v>6496.02</v>
      </c>
      <c r="U348" s="24">
        <f>SUM(U346:U347)</f>
        <v>65351.95</v>
      </c>
      <c r="V348" s="28"/>
      <c r="W348" s="25">
        <f>SUM(S348:U348)</f>
        <v>80097.899999999994</v>
      </c>
      <c r="X348" s="56">
        <f t="shared" si="183"/>
        <v>43.535250659630606</v>
      </c>
      <c r="Y348" s="57">
        <f t="shared" si="184"/>
        <v>0.48921622936706965</v>
      </c>
      <c r="Z348" s="28">
        <f t="shared" si="185"/>
        <v>53487.100000000006</v>
      </c>
      <c r="AA348" s="57">
        <f t="shared" si="186"/>
        <v>0.4003974997192799</v>
      </c>
      <c r="AB348" s="120">
        <f t="shared" si="187"/>
        <v>-19065.899999999994</v>
      </c>
      <c r="AC348" s="57">
        <v>-0.23</v>
      </c>
      <c r="AG348" s="61"/>
    </row>
    <row r="349" spans="1:33" s="53" customFormat="1" ht="11.25" customHeight="1" x14ac:dyDescent="0.15">
      <c r="A349" s="53" t="s">
        <v>127</v>
      </c>
      <c r="C349" s="54" t="s">
        <v>177</v>
      </c>
      <c r="D349" s="54">
        <v>2021</v>
      </c>
      <c r="E349" s="70">
        <v>44347</v>
      </c>
      <c r="F349" s="54"/>
      <c r="G349" s="54"/>
      <c r="H349" s="54"/>
      <c r="I349" s="54"/>
      <c r="J349" s="54"/>
      <c r="K349" s="106"/>
      <c r="L349" s="58"/>
      <c r="M349" s="58"/>
      <c r="N349" s="58"/>
      <c r="O349" s="57"/>
      <c r="P349" s="64">
        <f>P344</f>
        <v>101314</v>
      </c>
      <c r="Q349" s="28"/>
      <c r="R349" s="64">
        <f>R344</f>
        <v>28.5</v>
      </c>
      <c r="S349" s="64">
        <f>S344</f>
        <v>1078.3499999999999</v>
      </c>
      <c r="T349" s="64">
        <f>T344</f>
        <v>0</v>
      </c>
      <c r="U349" s="64">
        <f>U344</f>
        <v>61913.56</v>
      </c>
      <c r="V349" s="28"/>
      <c r="W349" s="68">
        <f>SUM(S349:U349)</f>
        <v>62991.909999999996</v>
      </c>
      <c r="X349" s="56">
        <f t="shared" si="183"/>
        <v>37.836842105263152</v>
      </c>
      <c r="Y349" s="57">
        <f t="shared" si="184"/>
        <v>0.61110567147679484</v>
      </c>
      <c r="Z349" s="28">
        <f t="shared" si="185"/>
        <v>38322.090000000004</v>
      </c>
      <c r="AA349" s="57">
        <f t="shared" si="186"/>
        <v>0.37825068598614214</v>
      </c>
      <c r="AB349" s="120">
        <f t="shared" si="187"/>
        <v>-62991.909999999996</v>
      </c>
      <c r="AC349" s="57"/>
      <c r="AG349" s="61"/>
    </row>
    <row r="350" spans="1:33" ht="11.25" customHeight="1" x14ac:dyDescent="0.15">
      <c r="A350" s="130" t="s">
        <v>53</v>
      </c>
      <c r="B350" s="130"/>
      <c r="C350" s="124"/>
      <c r="D350" s="124"/>
      <c r="E350" s="273"/>
      <c r="F350" s="124"/>
      <c r="G350" s="124"/>
      <c r="H350" s="124"/>
      <c r="I350" s="124"/>
      <c r="J350" s="124"/>
      <c r="K350" s="125"/>
      <c r="L350" s="129"/>
      <c r="M350" s="129"/>
      <c r="N350" s="129"/>
      <c r="O350" s="128"/>
      <c r="P350" s="129"/>
      <c r="Q350" s="124"/>
      <c r="R350" s="129"/>
      <c r="S350" s="129"/>
      <c r="T350" s="129"/>
      <c r="U350" s="129"/>
      <c r="V350" s="126"/>
      <c r="W350" s="49"/>
      <c r="X350" s="45"/>
      <c r="Y350" s="128"/>
      <c r="Z350" s="126"/>
      <c r="AA350" s="128"/>
      <c r="AB350" s="129"/>
      <c r="AC350" s="128"/>
      <c r="AD350" s="137"/>
      <c r="AE350" s="110"/>
      <c r="AF350" s="110"/>
      <c r="AG350" s="121"/>
    </row>
    <row r="351" spans="1:33" ht="11.25" customHeight="1" x14ac:dyDescent="0.15">
      <c r="A351" s="110" t="s">
        <v>222</v>
      </c>
      <c r="B351" s="110"/>
      <c r="C351" s="111" t="s">
        <v>201</v>
      </c>
      <c r="D351" s="111">
        <v>2021</v>
      </c>
      <c r="E351" s="146">
        <v>44347</v>
      </c>
      <c r="F351" s="111"/>
      <c r="G351" s="111" t="s">
        <v>202</v>
      </c>
      <c r="H351" s="111"/>
      <c r="I351" s="111"/>
      <c r="J351" s="111"/>
      <c r="K351" s="112" t="s">
        <v>203</v>
      </c>
      <c r="L351" s="120">
        <v>571</v>
      </c>
      <c r="M351" s="120">
        <f>L351*0.35</f>
        <v>199.85</v>
      </c>
      <c r="N351" s="120">
        <f>L351-M351</f>
        <v>371.15</v>
      </c>
      <c r="O351" s="119">
        <f>N351/L351</f>
        <v>0.64999999999999991</v>
      </c>
      <c r="P351" s="117">
        <v>570.80999999999995</v>
      </c>
      <c r="Q351" s="111">
        <v>1180</v>
      </c>
      <c r="R351" s="117">
        <v>0</v>
      </c>
      <c r="S351" s="117">
        <v>0</v>
      </c>
      <c r="T351" s="117"/>
      <c r="U351" s="117">
        <v>378.47</v>
      </c>
      <c r="V351" s="117">
        <v>10.45</v>
      </c>
      <c r="W351" s="26">
        <f>SUM(S351:V351)</f>
        <v>388.92</v>
      </c>
      <c r="X351" s="118">
        <v>0</v>
      </c>
      <c r="Y351" s="119">
        <f>U351/P351</f>
        <v>0.66304024106094861</v>
      </c>
      <c r="Z351" s="117">
        <f>P351-W351</f>
        <v>181.88999999999993</v>
      </c>
      <c r="AA351" s="119">
        <f>Z351/P351</f>
        <v>0.31865244126767217</v>
      </c>
      <c r="AB351" s="120">
        <f t="shared" ref="AB351:AB352" si="188">M351-W351</f>
        <v>-189.07000000000002</v>
      </c>
      <c r="AC351" s="135">
        <f>AA351-O351</f>
        <v>-0.33134755873232774</v>
      </c>
      <c r="AD351" s="110"/>
      <c r="AE351" s="110"/>
      <c r="AF351" s="110"/>
      <c r="AG351" s="121"/>
    </row>
    <row r="352" spans="1:33" s="53" customFormat="1" ht="11.25" customHeight="1" x14ac:dyDescent="0.15">
      <c r="A352" s="53" t="s">
        <v>222</v>
      </c>
      <c r="C352" s="54" t="s">
        <v>177</v>
      </c>
      <c r="D352" s="54">
        <v>2021</v>
      </c>
      <c r="E352" s="70">
        <v>44347</v>
      </c>
      <c r="F352" s="54"/>
      <c r="G352" s="54"/>
      <c r="H352" s="54"/>
      <c r="I352" s="54"/>
      <c r="J352" s="54"/>
      <c r="K352" s="106"/>
      <c r="L352" s="58"/>
      <c r="M352" s="58"/>
      <c r="N352" s="58"/>
      <c r="O352" s="57"/>
      <c r="P352" s="24">
        <f>SUM(P351)</f>
        <v>570.80999999999995</v>
      </c>
      <c r="Q352" s="111"/>
      <c r="R352" s="24">
        <f t="shared" ref="R352:W352" si="189">SUM(R351)</f>
        <v>0</v>
      </c>
      <c r="S352" s="24">
        <f t="shared" si="189"/>
        <v>0</v>
      </c>
      <c r="T352" s="24">
        <f t="shared" si="189"/>
        <v>0</v>
      </c>
      <c r="U352" s="24">
        <f t="shared" si="189"/>
        <v>378.47</v>
      </c>
      <c r="V352" s="24">
        <f t="shared" si="189"/>
        <v>10.45</v>
      </c>
      <c r="W352" s="24">
        <f t="shared" si="189"/>
        <v>388.92</v>
      </c>
      <c r="X352" s="56">
        <v>0</v>
      </c>
      <c r="Y352" s="57">
        <f>U352/P352</f>
        <v>0.66304024106094861</v>
      </c>
      <c r="Z352" s="28">
        <f>P352-W352</f>
        <v>181.88999999999993</v>
      </c>
      <c r="AA352" s="57">
        <f>Z352/P352</f>
        <v>0.31865244126767217</v>
      </c>
      <c r="AB352" s="120">
        <f t="shared" si="188"/>
        <v>-388.92</v>
      </c>
      <c r="AC352" s="57"/>
      <c r="AG352" s="61"/>
    </row>
    <row r="353" spans="1:33" ht="11.25" customHeight="1" x14ac:dyDescent="0.15">
      <c r="A353" s="130" t="s">
        <v>53</v>
      </c>
      <c r="B353" s="130"/>
      <c r="C353" s="124"/>
      <c r="D353" s="124"/>
      <c r="E353" s="273"/>
      <c r="F353" s="124"/>
      <c r="G353" s="124"/>
      <c r="H353" s="124"/>
      <c r="I353" s="124"/>
      <c r="J353" s="124"/>
      <c r="K353" s="125"/>
      <c r="L353" s="129"/>
      <c r="M353" s="129"/>
      <c r="N353" s="129"/>
      <c r="O353" s="128"/>
      <c r="P353" s="129"/>
      <c r="Q353" s="124"/>
      <c r="R353" s="129"/>
      <c r="S353" s="129"/>
      <c r="T353" s="129"/>
      <c r="U353" s="129"/>
      <c r="V353" s="126"/>
      <c r="W353" s="49"/>
      <c r="X353" s="45"/>
      <c r="Y353" s="128"/>
      <c r="Z353" s="126"/>
      <c r="AA353" s="128"/>
      <c r="AB353" s="129"/>
      <c r="AC353" s="128"/>
      <c r="AD353" s="137"/>
      <c r="AE353" s="110"/>
      <c r="AF353" s="110"/>
      <c r="AG353" s="121"/>
    </row>
    <row r="354" spans="1:33" ht="11.25" customHeight="1" x14ac:dyDescent="0.15">
      <c r="A354" s="110" t="s">
        <v>223</v>
      </c>
      <c r="B354" s="110"/>
      <c r="C354" s="111" t="s">
        <v>49</v>
      </c>
      <c r="D354" s="111">
        <v>2021</v>
      </c>
      <c r="E354" s="146">
        <v>44347</v>
      </c>
      <c r="F354" s="111"/>
      <c r="G354" s="111">
        <v>617220121</v>
      </c>
      <c r="H354" s="111"/>
      <c r="I354" s="111"/>
      <c r="J354" s="111"/>
      <c r="K354" s="112" t="s">
        <v>224</v>
      </c>
      <c r="L354" s="120"/>
      <c r="M354" s="120"/>
      <c r="N354" s="120"/>
      <c r="O354" s="119"/>
      <c r="P354" s="117">
        <v>7321</v>
      </c>
      <c r="Q354" s="111">
        <v>1153</v>
      </c>
      <c r="R354" s="117">
        <v>8</v>
      </c>
      <c r="S354" s="117">
        <f>314.24+141.44</f>
        <v>455.68</v>
      </c>
      <c r="T354" s="117">
        <v>1176.75</v>
      </c>
      <c r="U354" s="117">
        <v>418.95</v>
      </c>
      <c r="V354" s="117"/>
      <c r="W354" s="26">
        <f t="shared" ref="W354:W365" si="190">SUM(S354:V354)</f>
        <v>2051.38</v>
      </c>
      <c r="X354" s="118">
        <f>S354/R354</f>
        <v>56.96</v>
      </c>
      <c r="Y354" s="119">
        <f t="shared" ref="Y354:Y365" si="191">U354/P354</f>
        <v>5.7225788826663022E-2</v>
      </c>
      <c r="Z354" s="117">
        <f t="shared" ref="Z354:Z365" si="192">P354-W354</f>
        <v>5269.62</v>
      </c>
      <c r="AA354" s="119">
        <f t="shared" ref="AA354:AA365" si="193">Z354/P354</f>
        <v>0.71979510995765605</v>
      </c>
      <c r="AB354" s="120">
        <f t="shared" ref="AB354:AB369" si="194">M354-W354</f>
        <v>-2051.38</v>
      </c>
      <c r="AC354" s="119"/>
      <c r="AD354" s="110"/>
      <c r="AE354" s="110"/>
      <c r="AF354" s="110"/>
      <c r="AG354" s="121"/>
    </row>
    <row r="355" spans="1:33" ht="11.25" customHeight="1" x14ac:dyDescent="0.15">
      <c r="A355" s="110" t="s">
        <v>223</v>
      </c>
      <c r="B355" s="110"/>
      <c r="C355" s="111" t="s">
        <v>49</v>
      </c>
      <c r="D355" s="111">
        <v>2021</v>
      </c>
      <c r="E355" s="146">
        <v>44347</v>
      </c>
      <c r="F355" s="111"/>
      <c r="G355" s="111">
        <v>647220121</v>
      </c>
      <c r="H355" s="111"/>
      <c r="I355" s="111"/>
      <c r="J355" s="111"/>
      <c r="K355" s="112" t="s">
        <v>224</v>
      </c>
      <c r="L355" s="120"/>
      <c r="M355" s="120"/>
      <c r="N355" s="120"/>
      <c r="O355" s="119"/>
      <c r="P355" s="117">
        <v>21962</v>
      </c>
      <c r="Q355" s="111">
        <v>1154</v>
      </c>
      <c r="R355" s="117">
        <v>9</v>
      </c>
      <c r="S355" s="117">
        <f>353.52+159.12</f>
        <v>512.64</v>
      </c>
      <c r="T355" s="117">
        <v>1176.75</v>
      </c>
      <c r="U355" s="117">
        <v>811.52</v>
      </c>
      <c r="V355" s="117"/>
      <c r="W355" s="26">
        <f t="shared" si="190"/>
        <v>2500.91</v>
      </c>
      <c r="X355" s="162">
        <f t="shared" ref="X355:X365" si="195">IFERROR(S355/R355,"-")</f>
        <v>56.96</v>
      </c>
      <c r="Y355" s="119">
        <f t="shared" si="191"/>
        <v>3.6951097349968126E-2</v>
      </c>
      <c r="Z355" s="117">
        <f t="shared" si="192"/>
        <v>19461.09</v>
      </c>
      <c r="AA355" s="119">
        <f t="shared" si="193"/>
        <v>0.88612558054821966</v>
      </c>
      <c r="AB355" s="120">
        <f t="shared" si="194"/>
        <v>-2500.91</v>
      </c>
      <c r="AC355" s="119"/>
      <c r="AD355" s="110"/>
      <c r="AE355" s="110"/>
      <c r="AF355" s="110"/>
      <c r="AG355" s="121"/>
    </row>
    <row r="356" spans="1:33" ht="11.25" customHeight="1" x14ac:dyDescent="0.15">
      <c r="A356" s="110" t="s">
        <v>223</v>
      </c>
      <c r="B356" s="110"/>
      <c r="C356" s="111" t="s">
        <v>180</v>
      </c>
      <c r="D356" s="111">
        <v>2021</v>
      </c>
      <c r="E356" s="146">
        <v>44347</v>
      </c>
      <c r="F356" s="111"/>
      <c r="G356" s="111">
        <v>910120321</v>
      </c>
      <c r="H356" s="111"/>
      <c r="I356" s="111"/>
      <c r="J356" s="111"/>
      <c r="K356" s="112" t="s">
        <v>225</v>
      </c>
      <c r="L356" s="219"/>
      <c r="M356" s="219"/>
      <c r="N356" s="219"/>
      <c r="O356" s="119"/>
      <c r="P356" s="132">
        <v>38621.800000000003</v>
      </c>
      <c r="Q356" s="111">
        <v>1155</v>
      </c>
      <c r="R356" s="132">
        <v>0</v>
      </c>
      <c r="S356" s="132">
        <v>0</v>
      </c>
      <c r="T356" s="132">
        <v>0</v>
      </c>
      <c r="U356" s="132">
        <v>10621.02</v>
      </c>
      <c r="V356" s="132"/>
      <c r="W356" s="67">
        <f t="shared" si="190"/>
        <v>10621.02</v>
      </c>
      <c r="X356" s="162" t="str">
        <f t="shared" si="195"/>
        <v>-</v>
      </c>
      <c r="Y356" s="119">
        <f t="shared" si="191"/>
        <v>0.27500064730281859</v>
      </c>
      <c r="Z356" s="117">
        <f t="shared" si="192"/>
        <v>28000.780000000002</v>
      </c>
      <c r="AA356" s="119">
        <f t="shared" si="193"/>
        <v>0.72499935269718141</v>
      </c>
      <c r="AB356" s="120">
        <f t="shared" si="194"/>
        <v>-10621.02</v>
      </c>
      <c r="AC356" s="119"/>
      <c r="AD356" s="110"/>
      <c r="AE356" s="110"/>
      <c r="AF356" s="110"/>
      <c r="AG356" s="121"/>
    </row>
    <row r="357" spans="1:33" ht="11.25" customHeight="1" x14ac:dyDescent="0.15">
      <c r="A357" s="110" t="s">
        <v>223</v>
      </c>
      <c r="B357" s="110"/>
      <c r="C357" s="111" t="s">
        <v>180</v>
      </c>
      <c r="D357" s="111">
        <v>2021</v>
      </c>
      <c r="E357" s="146">
        <v>44347</v>
      </c>
      <c r="F357" s="111"/>
      <c r="G357" s="111">
        <v>940000311</v>
      </c>
      <c r="H357" s="111"/>
      <c r="I357" s="111"/>
      <c r="J357" s="111"/>
      <c r="K357" s="112" t="s">
        <v>226</v>
      </c>
      <c r="L357" s="120"/>
      <c r="M357" s="120"/>
      <c r="N357" s="120"/>
      <c r="O357" s="119"/>
      <c r="P357" s="117">
        <v>71724.2</v>
      </c>
      <c r="Q357" s="111">
        <v>1156</v>
      </c>
      <c r="R357" s="117">
        <v>0</v>
      </c>
      <c r="S357" s="117">
        <v>0</v>
      </c>
      <c r="T357" s="117">
        <v>0</v>
      </c>
      <c r="U357" s="117">
        <v>9202.8700000000008</v>
      </c>
      <c r="V357" s="117"/>
      <c r="W357" s="26">
        <f t="shared" si="190"/>
        <v>9202.8700000000008</v>
      </c>
      <c r="X357" s="162" t="str">
        <f t="shared" si="195"/>
        <v>-</v>
      </c>
      <c r="Y357" s="119">
        <f t="shared" si="191"/>
        <v>0.128309134155557</v>
      </c>
      <c r="Z357" s="117">
        <f t="shared" si="192"/>
        <v>62521.329999999994</v>
      </c>
      <c r="AA357" s="119">
        <f t="shared" si="193"/>
        <v>0.871690865844443</v>
      </c>
      <c r="AB357" s="120">
        <f t="shared" si="194"/>
        <v>-9202.8700000000008</v>
      </c>
      <c r="AC357" s="119"/>
      <c r="AD357" s="110"/>
      <c r="AE357" s="110"/>
      <c r="AF357" s="110"/>
      <c r="AG357" s="121"/>
    </row>
    <row r="358" spans="1:33" ht="11.25" customHeight="1" x14ac:dyDescent="0.15">
      <c r="A358" s="110" t="s">
        <v>223</v>
      </c>
      <c r="B358" s="110"/>
      <c r="C358" s="111" t="s">
        <v>201</v>
      </c>
      <c r="D358" s="111">
        <v>2021</v>
      </c>
      <c r="E358" s="146">
        <v>44347</v>
      </c>
      <c r="F358" s="111"/>
      <c r="G358" s="111" t="s">
        <v>202</v>
      </c>
      <c r="H358" s="111"/>
      <c r="I358" s="111"/>
      <c r="J358" s="111"/>
      <c r="K358" s="112" t="s">
        <v>203</v>
      </c>
      <c r="L358" s="120"/>
      <c r="M358" s="120"/>
      <c r="N358" s="120"/>
      <c r="O358" s="119"/>
      <c r="P358" s="117">
        <v>12500</v>
      </c>
      <c r="Q358" s="111">
        <v>1158</v>
      </c>
      <c r="R358" s="117">
        <v>39</v>
      </c>
      <c r="S358" s="117">
        <f>1165.32+524.56</f>
        <v>1689.8799999999999</v>
      </c>
      <c r="T358" s="117">
        <v>1701.2</v>
      </c>
      <c r="U358" s="117">
        <v>6077.02</v>
      </c>
      <c r="V358" s="117"/>
      <c r="W358" s="26">
        <f t="shared" si="190"/>
        <v>9468.1</v>
      </c>
      <c r="X358" s="162">
        <f t="shared" si="195"/>
        <v>43.330256410256411</v>
      </c>
      <c r="Y358" s="119">
        <f t="shared" si="191"/>
        <v>0.48616160000000003</v>
      </c>
      <c r="Z358" s="117">
        <f t="shared" si="192"/>
        <v>3031.8999999999996</v>
      </c>
      <c r="AA358" s="119">
        <f t="shared" si="193"/>
        <v>0.24255199999999996</v>
      </c>
      <c r="AB358" s="120">
        <f t="shared" si="194"/>
        <v>-9468.1</v>
      </c>
      <c r="AC358" s="119"/>
      <c r="AD358" s="110"/>
      <c r="AE358" s="110"/>
      <c r="AF358" s="110"/>
      <c r="AG358" s="121"/>
    </row>
    <row r="359" spans="1:33" ht="11.25" customHeight="1" x14ac:dyDescent="0.15">
      <c r="A359" s="110" t="s">
        <v>223</v>
      </c>
      <c r="B359" s="110"/>
      <c r="C359" s="111" t="s">
        <v>180</v>
      </c>
      <c r="D359" s="111">
        <v>2021</v>
      </c>
      <c r="E359" s="146">
        <v>44347</v>
      </c>
      <c r="F359" s="111"/>
      <c r="G359" s="111">
        <v>910120121</v>
      </c>
      <c r="H359" s="111"/>
      <c r="I359" s="111"/>
      <c r="J359" s="111"/>
      <c r="K359" s="112" t="s">
        <v>225</v>
      </c>
      <c r="L359" s="120"/>
      <c r="M359" s="120"/>
      <c r="N359" s="120"/>
      <c r="O359" s="119"/>
      <c r="P359" s="117">
        <v>15280</v>
      </c>
      <c r="Q359" s="111">
        <v>1159</v>
      </c>
      <c r="R359" s="117">
        <v>0</v>
      </c>
      <c r="S359" s="117">
        <v>0</v>
      </c>
      <c r="T359" s="117">
        <v>0</v>
      </c>
      <c r="U359" s="117">
        <v>5201.82</v>
      </c>
      <c r="V359" s="117"/>
      <c r="W359" s="26">
        <f t="shared" si="190"/>
        <v>5201.82</v>
      </c>
      <c r="X359" s="162" t="str">
        <f t="shared" si="195"/>
        <v>-</v>
      </c>
      <c r="Y359" s="119">
        <f t="shared" si="191"/>
        <v>0.34043324607329839</v>
      </c>
      <c r="Z359" s="117">
        <f t="shared" si="192"/>
        <v>10078.18</v>
      </c>
      <c r="AA359" s="119">
        <f t="shared" si="193"/>
        <v>0.65956675392670161</v>
      </c>
      <c r="AB359" s="120">
        <f t="shared" si="194"/>
        <v>-5201.82</v>
      </c>
      <c r="AC359" s="119"/>
      <c r="AD359" s="110"/>
      <c r="AE359" s="110"/>
      <c r="AF359" s="110"/>
      <c r="AG359" s="121"/>
    </row>
    <row r="360" spans="1:33" ht="11.25" customHeight="1" x14ac:dyDescent="0.15">
      <c r="A360" s="110" t="s">
        <v>223</v>
      </c>
      <c r="B360" s="110"/>
      <c r="C360" s="111" t="s">
        <v>47</v>
      </c>
      <c r="D360" s="111">
        <v>2021</v>
      </c>
      <c r="E360" s="146">
        <v>44347</v>
      </c>
      <c r="F360" s="111"/>
      <c r="G360" s="111">
        <v>510120221</v>
      </c>
      <c r="H360" s="111"/>
      <c r="I360" s="111"/>
      <c r="J360" s="111"/>
      <c r="K360" s="112" t="s">
        <v>227</v>
      </c>
      <c r="L360" s="219"/>
      <c r="M360" s="219"/>
      <c r="N360" s="219"/>
      <c r="O360" s="119"/>
      <c r="P360" s="132">
        <v>7843</v>
      </c>
      <c r="Q360" s="111">
        <v>1160</v>
      </c>
      <c r="R360" s="132">
        <v>35.5</v>
      </c>
      <c r="S360" s="132">
        <f>1097.31+493.81</f>
        <v>1591.12</v>
      </c>
      <c r="T360" s="132">
        <v>1095.07</v>
      </c>
      <c r="U360" s="132">
        <v>164.84</v>
      </c>
      <c r="V360" s="132"/>
      <c r="W360" s="67">
        <f t="shared" si="190"/>
        <v>2851.0299999999997</v>
      </c>
      <c r="X360" s="162">
        <f t="shared" si="195"/>
        <v>44.820281690140845</v>
      </c>
      <c r="Y360" s="119">
        <f t="shared" si="191"/>
        <v>2.1017467805686599E-2</v>
      </c>
      <c r="Z360" s="117">
        <f t="shared" si="192"/>
        <v>4991.97</v>
      </c>
      <c r="AA360" s="119">
        <f t="shared" si="193"/>
        <v>0.63648731352798682</v>
      </c>
      <c r="AB360" s="120">
        <f t="shared" si="194"/>
        <v>-2851.0299999999997</v>
      </c>
      <c r="AC360" s="119"/>
      <c r="AD360" s="110"/>
      <c r="AE360" s="110"/>
      <c r="AF360" s="110"/>
      <c r="AG360" s="121"/>
    </row>
    <row r="361" spans="1:33" ht="11.25" customHeight="1" x14ac:dyDescent="0.15">
      <c r="A361" s="110" t="s">
        <v>223</v>
      </c>
      <c r="B361" s="110"/>
      <c r="C361" s="111" t="s">
        <v>47</v>
      </c>
      <c r="D361" s="111">
        <v>2021</v>
      </c>
      <c r="E361" s="146">
        <v>44347</v>
      </c>
      <c r="F361" s="111"/>
      <c r="G361" s="111">
        <v>540000211</v>
      </c>
      <c r="H361" s="111"/>
      <c r="I361" s="111"/>
      <c r="J361" s="111"/>
      <c r="K361" s="112" t="s">
        <v>228</v>
      </c>
      <c r="L361" s="120"/>
      <c r="M361" s="120"/>
      <c r="N361" s="120"/>
      <c r="O361" s="119"/>
      <c r="P361" s="117">
        <v>10192</v>
      </c>
      <c r="Q361" s="111">
        <v>1161</v>
      </c>
      <c r="R361" s="117">
        <v>89.5</v>
      </c>
      <c r="S361" s="117">
        <f>2766.47+1244.97</f>
        <v>4011.4399999999996</v>
      </c>
      <c r="T361" s="117">
        <v>3519.89</v>
      </c>
      <c r="U361" s="117">
        <v>508.51</v>
      </c>
      <c r="V361" s="117"/>
      <c r="W361" s="26">
        <f t="shared" si="190"/>
        <v>8039.84</v>
      </c>
      <c r="X361" s="162">
        <f t="shared" si="195"/>
        <v>44.820558659217873</v>
      </c>
      <c r="Y361" s="119">
        <f t="shared" si="191"/>
        <v>4.9893053375196235E-2</v>
      </c>
      <c r="Z361" s="117">
        <f t="shared" si="192"/>
        <v>2152.16</v>
      </c>
      <c r="AA361" s="119">
        <f t="shared" si="193"/>
        <v>0.21116169544740973</v>
      </c>
      <c r="AB361" s="120">
        <f t="shared" si="194"/>
        <v>-8039.84</v>
      </c>
      <c r="AC361" s="119"/>
      <c r="AD361" s="110"/>
      <c r="AE361" s="110"/>
      <c r="AF361" s="110"/>
      <c r="AG361" s="121"/>
    </row>
    <row r="362" spans="1:33" ht="11.25" customHeight="1" x14ac:dyDescent="0.15">
      <c r="A362" s="110" t="s">
        <v>223</v>
      </c>
      <c r="B362" s="110"/>
      <c r="C362" s="111" t="s">
        <v>47</v>
      </c>
      <c r="D362" s="111">
        <v>2021</v>
      </c>
      <c r="E362" s="146">
        <v>44347</v>
      </c>
      <c r="F362" s="111"/>
      <c r="G362" s="111">
        <v>510120221</v>
      </c>
      <c r="H362" s="111"/>
      <c r="I362" s="111"/>
      <c r="J362" s="111"/>
      <c r="K362" s="112" t="s">
        <v>227</v>
      </c>
      <c r="L362" s="120"/>
      <c r="M362" s="120"/>
      <c r="N362" s="120"/>
      <c r="O362" s="119"/>
      <c r="P362" s="117">
        <v>5488</v>
      </c>
      <c r="Q362" s="111">
        <v>1162</v>
      </c>
      <c r="R362" s="117">
        <v>20</v>
      </c>
      <c r="S362" s="117">
        <f>618.21+278.21</f>
        <v>896.42000000000007</v>
      </c>
      <c r="T362" s="117">
        <v>1660.73</v>
      </c>
      <c r="U362" s="117">
        <v>125.65</v>
      </c>
      <c r="V362" s="117"/>
      <c r="W362" s="26">
        <f t="shared" si="190"/>
        <v>2682.8</v>
      </c>
      <c r="X362" s="162">
        <f t="shared" si="195"/>
        <v>44.821000000000005</v>
      </c>
      <c r="Y362" s="119">
        <f t="shared" si="191"/>
        <v>2.2895408163265307E-2</v>
      </c>
      <c r="Z362" s="117">
        <f t="shared" si="192"/>
        <v>2805.2</v>
      </c>
      <c r="AA362" s="119">
        <f t="shared" si="193"/>
        <v>0.51115160349854227</v>
      </c>
      <c r="AB362" s="120">
        <f t="shared" si="194"/>
        <v>-2682.8</v>
      </c>
      <c r="AC362" s="119"/>
      <c r="AD362" s="110"/>
      <c r="AE362" s="110"/>
      <c r="AF362" s="110"/>
      <c r="AG362" s="121"/>
    </row>
    <row r="363" spans="1:33" s="53" customFormat="1" ht="11.25" customHeight="1" x14ac:dyDescent="0.15">
      <c r="A363" s="53" t="s">
        <v>223</v>
      </c>
      <c r="C363" s="54" t="s">
        <v>54</v>
      </c>
      <c r="D363" s="54">
        <v>2021</v>
      </c>
      <c r="E363" s="70">
        <v>44347</v>
      </c>
      <c r="F363" s="54"/>
      <c r="G363" s="54"/>
      <c r="H363" s="54"/>
      <c r="I363" s="54"/>
      <c r="J363" s="54"/>
      <c r="K363" s="106"/>
      <c r="L363" s="93"/>
      <c r="M363" s="93"/>
      <c r="N363" s="93"/>
      <c r="O363" s="57"/>
      <c r="P363" s="24">
        <f>SUM(P354:P362)</f>
        <v>190932</v>
      </c>
      <c r="Q363" s="24"/>
      <c r="R363" s="24">
        <f>SUM(R354:R362)</f>
        <v>201</v>
      </c>
      <c r="S363" s="24">
        <f>SUM(S354:S362)</f>
        <v>9157.1799999999985</v>
      </c>
      <c r="T363" s="24">
        <f>SUM(T354:T362)</f>
        <v>10330.39</v>
      </c>
      <c r="U363" s="24">
        <f>SUM(U354:U362)</f>
        <v>33132.200000000004</v>
      </c>
      <c r="V363" s="24">
        <f>SUM(V354:V362)</f>
        <v>0</v>
      </c>
      <c r="W363" s="25">
        <f t="shared" si="190"/>
        <v>52619.770000000004</v>
      </c>
      <c r="X363" s="71">
        <f t="shared" si="195"/>
        <v>45.558109452736311</v>
      </c>
      <c r="Y363" s="57">
        <f t="shared" si="191"/>
        <v>0.17352879559214801</v>
      </c>
      <c r="Z363" s="28">
        <f t="shared" si="192"/>
        <v>138312.22999999998</v>
      </c>
      <c r="AA363" s="57">
        <f t="shared" si="193"/>
        <v>0.72440570464877541</v>
      </c>
      <c r="AB363" s="120">
        <f t="shared" si="194"/>
        <v>-52619.770000000004</v>
      </c>
      <c r="AC363" s="57"/>
      <c r="AG363" s="61"/>
    </row>
    <row r="364" spans="1:33" ht="11.25" customHeight="1" x14ac:dyDescent="0.15">
      <c r="A364" s="110" t="s">
        <v>223</v>
      </c>
      <c r="B364" s="110"/>
      <c r="C364" s="111" t="s">
        <v>55</v>
      </c>
      <c r="D364" s="111">
        <v>2021</v>
      </c>
      <c r="E364" s="146">
        <v>44347</v>
      </c>
      <c r="F364" s="111"/>
      <c r="G364" s="111" t="s">
        <v>56</v>
      </c>
      <c r="H364" s="111"/>
      <c r="I364" s="111"/>
      <c r="J364" s="111"/>
      <c r="K364" s="112" t="s">
        <v>71</v>
      </c>
      <c r="L364" s="120"/>
      <c r="M364" s="120"/>
      <c r="N364" s="120"/>
      <c r="O364" s="119"/>
      <c r="P364" s="117">
        <v>6240</v>
      </c>
      <c r="Q364" s="111">
        <v>1157</v>
      </c>
      <c r="R364" s="117">
        <v>4.5</v>
      </c>
      <c r="S364" s="117">
        <f>123.75+55.71</f>
        <v>179.46</v>
      </c>
      <c r="T364" s="117">
        <v>0</v>
      </c>
      <c r="U364" s="117">
        <v>189.74</v>
      </c>
      <c r="V364" s="117">
        <v>2199.41</v>
      </c>
      <c r="W364" s="26">
        <f t="shared" si="190"/>
        <v>2568.6099999999997</v>
      </c>
      <c r="X364" s="162">
        <f t="shared" si="195"/>
        <v>39.880000000000003</v>
      </c>
      <c r="Y364" s="119">
        <f t="shared" si="191"/>
        <v>3.0407051282051283E-2</v>
      </c>
      <c r="Z364" s="117">
        <f t="shared" si="192"/>
        <v>3671.3900000000003</v>
      </c>
      <c r="AA364" s="119">
        <f t="shared" si="193"/>
        <v>0.58836378205128215</v>
      </c>
      <c r="AB364" s="120">
        <f t="shared" si="194"/>
        <v>-2568.6099999999997</v>
      </c>
      <c r="AC364" s="119"/>
      <c r="AD364" s="110"/>
      <c r="AE364" s="110"/>
      <c r="AF364" s="110"/>
      <c r="AG364" s="121"/>
    </row>
    <row r="365" spans="1:33" ht="11.25" customHeight="1" x14ac:dyDescent="0.15">
      <c r="A365" s="110" t="s">
        <v>223</v>
      </c>
      <c r="B365" s="110"/>
      <c r="C365" s="111" t="s">
        <v>55</v>
      </c>
      <c r="D365" s="111">
        <v>2021</v>
      </c>
      <c r="E365" s="146">
        <v>44347</v>
      </c>
      <c r="F365" s="111"/>
      <c r="G365" s="111" t="s">
        <v>56</v>
      </c>
      <c r="H365" s="111"/>
      <c r="I365" s="111"/>
      <c r="J365" s="111"/>
      <c r="K365" s="112" t="s">
        <v>71</v>
      </c>
      <c r="L365" s="120"/>
      <c r="M365" s="120"/>
      <c r="N365" s="120"/>
      <c r="O365" s="119"/>
      <c r="P365" s="117">
        <v>3120</v>
      </c>
      <c r="Q365" s="111">
        <v>1163</v>
      </c>
      <c r="R365" s="117">
        <v>1</v>
      </c>
      <c r="S365" s="117">
        <f>27.5+12.38</f>
        <v>39.880000000000003</v>
      </c>
      <c r="T365" s="117"/>
      <c r="U365" s="117">
        <v>189.74</v>
      </c>
      <c r="V365" s="117">
        <v>1267.3</v>
      </c>
      <c r="W365" s="26">
        <f t="shared" si="190"/>
        <v>1496.92</v>
      </c>
      <c r="X365" s="162">
        <f t="shared" si="195"/>
        <v>39.880000000000003</v>
      </c>
      <c r="Y365" s="119">
        <f t="shared" si="191"/>
        <v>6.0814102564102565E-2</v>
      </c>
      <c r="Z365" s="117">
        <f t="shared" si="192"/>
        <v>1623.08</v>
      </c>
      <c r="AA365" s="119">
        <f t="shared" si="193"/>
        <v>0.52021794871794869</v>
      </c>
      <c r="AB365" s="120">
        <f t="shared" si="194"/>
        <v>-1496.92</v>
      </c>
      <c r="AC365" s="119"/>
      <c r="AD365" s="110"/>
      <c r="AE365" s="110"/>
      <c r="AF365" s="110"/>
      <c r="AG365" s="121"/>
    </row>
    <row r="366" spans="1:33" ht="11.25" customHeight="1" x14ac:dyDescent="0.15">
      <c r="A366" s="110" t="s">
        <v>223</v>
      </c>
      <c r="B366" s="110"/>
      <c r="C366" s="111" t="s">
        <v>58</v>
      </c>
      <c r="D366" s="111">
        <v>2021</v>
      </c>
      <c r="E366" s="146">
        <v>44347</v>
      </c>
      <c r="F366" s="111"/>
      <c r="G366" s="111" t="s">
        <v>229</v>
      </c>
      <c r="H366" s="111"/>
      <c r="I366" s="111"/>
      <c r="J366" s="111"/>
      <c r="K366" s="112" t="s">
        <v>209</v>
      </c>
      <c r="L366" s="219"/>
      <c r="M366" s="219"/>
      <c r="N366" s="219"/>
      <c r="O366" s="119"/>
      <c r="P366" s="132">
        <v>9151</v>
      </c>
      <c r="Q366" s="111"/>
      <c r="R366" s="132"/>
      <c r="S366" s="132"/>
      <c r="T366" s="132"/>
      <c r="U366" s="132"/>
      <c r="V366" s="132"/>
      <c r="W366" s="67"/>
      <c r="X366" s="162"/>
      <c r="Y366" s="119"/>
      <c r="Z366" s="117"/>
      <c r="AA366" s="119"/>
      <c r="AB366" s="120">
        <f t="shared" si="194"/>
        <v>0</v>
      </c>
      <c r="AC366" s="119"/>
      <c r="AD366" s="110"/>
      <c r="AE366" s="110"/>
      <c r="AF366" s="110"/>
      <c r="AG366" s="121"/>
    </row>
    <row r="367" spans="1:33" ht="11.25" customHeight="1" x14ac:dyDescent="0.15">
      <c r="A367" s="110" t="s">
        <v>223</v>
      </c>
      <c r="B367" s="110"/>
      <c r="C367" s="111" t="s">
        <v>58</v>
      </c>
      <c r="D367" s="111">
        <v>2021</v>
      </c>
      <c r="E367" s="146">
        <v>44347</v>
      </c>
      <c r="F367" s="111"/>
      <c r="G367" s="111" t="s">
        <v>230</v>
      </c>
      <c r="H367" s="111"/>
      <c r="I367" s="111"/>
      <c r="J367" s="111"/>
      <c r="K367" s="112" t="s">
        <v>209</v>
      </c>
      <c r="L367" s="120"/>
      <c r="M367" s="120"/>
      <c r="N367" s="120"/>
      <c r="O367" s="119"/>
      <c r="P367" s="117">
        <v>27452</v>
      </c>
      <c r="Q367" s="111"/>
      <c r="R367" s="117"/>
      <c r="S367" s="117"/>
      <c r="T367" s="117"/>
      <c r="U367" s="117"/>
      <c r="V367" s="117"/>
      <c r="X367" s="162"/>
      <c r="Y367" s="119"/>
      <c r="Z367" s="117"/>
      <c r="AA367" s="119"/>
      <c r="AB367" s="120">
        <f t="shared" si="194"/>
        <v>0</v>
      </c>
      <c r="AC367" s="119"/>
      <c r="AD367" s="110"/>
      <c r="AE367" s="110"/>
      <c r="AF367" s="110"/>
      <c r="AG367" s="121"/>
    </row>
    <row r="368" spans="1:33" s="53" customFormat="1" ht="11.25" customHeight="1" x14ac:dyDescent="0.15">
      <c r="A368" s="53" t="s">
        <v>223</v>
      </c>
      <c r="C368" s="54" t="s">
        <v>65</v>
      </c>
      <c r="D368" s="54">
        <v>2021</v>
      </c>
      <c r="E368" s="70">
        <v>44347</v>
      </c>
      <c r="F368" s="54"/>
      <c r="G368" s="54"/>
      <c r="H368" s="54"/>
      <c r="I368" s="54"/>
      <c r="J368" s="54"/>
      <c r="K368" s="106"/>
      <c r="L368" s="58"/>
      <c r="M368" s="58"/>
      <c r="N368" s="58"/>
      <c r="O368" s="57"/>
      <c r="P368" s="24">
        <f>SUM(P363:P367)</f>
        <v>236895</v>
      </c>
      <c r="Q368" s="28"/>
      <c r="R368" s="24">
        <f>SUM(R363:R367)</f>
        <v>206.5</v>
      </c>
      <c r="S368" s="24">
        <f>SUM(S363:S367)</f>
        <v>9376.5199999999968</v>
      </c>
      <c r="T368" s="24">
        <f>SUM(T363:T367)</f>
        <v>10330.39</v>
      </c>
      <c r="U368" s="24">
        <f>SUM(U363:U367)</f>
        <v>33511.68</v>
      </c>
      <c r="V368" s="24">
        <f>SUM(V363:V367)</f>
        <v>3466.71</v>
      </c>
      <c r="W368" s="25">
        <f>SUM(S368:V368)</f>
        <v>56685.299999999996</v>
      </c>
      <c r="X368" s="71">
        <f>IFERROR(S368/R368,"-")</f>
        <v>45.406876513317172</v>
      </c>
      <c r="Y368" s="57">
        <f>U368/P368</f>
        <v>0.14146216678275186</v>
      </c>
      <c r="Z368" s="28">
        <f>P368-W368</f>
        <v>180209.7</v>
      </c>
      <c r="AA368" s="57">
        <f>Z368/P368</f>
        <v>0.76071550687013234</v>
      </c>
      <c r="AB368" s="120">
        <f t="shared" si="194"/>
        <v>-56685.299999999996</v>
      </c>
      <c r="AC368" s="57"/>
      <c r="AG368" s="61"/>
    </row>
    <row r="369" spans="1:33" s="53" customFormat="1" ht="11.25" customHeight="1" x14ac:dyDescent="0.15">
      <c r="A369" s="53" t="s">
        <v>223</v>
      </c>
      <c r="C369" s="54" t="s">
        <v>177</v>
      </c>
      <c r="D369" s="54">
        <v>2021</v>
      </c>
      <c r="E369" s="70">
        <v>44347</v>
      </c>
      <c r="F369" s="54"/>
      <c r="G369" s="54"/>
      <c r="H369" s="54"/>
      <c r="I369" s="54"/>
      <c r="J369" s="54"/>
      <c r="K369" s="106"/>
      <c r="L369" s="58"/>
      <c r="M369" s="58"/>
      <c r="N369" s="58"/>
      <c r="O369" s="57"/>
      <c r="P369" s="28">
        <f>SUM(P356:P357,P359)</f>
        <v>125626</v>
      </c>
      <c r="Q369" s="28"/>
      <c r="R369" s="28">
        <f t="shared" ref="R369:W369" si="196">SUM(R356:R357,R359)</f>
        <v>0</v>
      </c>
      <c r="S369" s="28">
        <f t="shared" si="196"/>
        <v>0</v>
      </c>
      <c r="T369" s="28">
        <f t="shared" si="196"/>
        <v>0</v>
      </c>
      <c r="U369" s="28">
        <f t="shared" si="196"/>
        <v>25025.71</v>
      </c>
      <c r="V369" s="28">
        <f t="shared" si="196"/>
        <v>0</v>
      </c>
      <c r="W369" s="28">
        <f t="shared" si="196"/>
        <v>25025.71</v>
      </c>
      <c r="X369" s="71" t="str">
        <f>IFERROR(S369/R369,"-")</f>
        <v>-</v>
      </c>
      <c r="Y369" s="57">
        <f>U369/P369</f>
        <v>0.19920804610510562</v>
      </c>
      <c r="Z369" s="28">
        <f>P369-W369</f>
        <v>100600.29000000001</v>
      </c>
      <c r="AA369" s="57">
        <f>Z369/P369</f>
        <v>0.80079195389489444</v>
      </c>
      <c r="AB369" s="120">
        <f t="shared" si="194"/>
        <v>-25025.71</v>
      </c>
      <c r="AC369" s="57"/>
      <c r="AG369" s="61"/>
    </row>
    <row r="370" spans="1:33" ht="11.25" customHeight="1" x14ac:dyDescent="0.15">
      <c r="A370" s="130" t="s">
        <v>53</v>
      </c>
      <c r="B370" s="130"/>
      <c r="C370" s="124"/>
      <c r="D370" s="124"/>
      <c r="E370" s="273"/>
      <c r="F370" s="124"/>
      <c r="G370" s="124"/>
      <c r="H370" s="124"/>
      <c r="I370" s="124"/>
      <c r="J370" s="124"/>
      <c r="K370" s="125"/>
      <c r="L370" s="129"/>
      <c r="M370" s="129"/>
      <c r="N370" s="129"/>
      <c r="O370" s="128"/>
      <c r="P370" s="129"/>
      <c r="Q370" s="124"/>
      <c r="R370" s="129"/>
      <c r="S370" s="129"/>
      <c r="T370" s="129"/>
      <c r="U370" s="129"/>
      <c r="V370" s="126"/>
      <c r="W370" s="49"/>
      <c r="X370" s="45"/>
      <c r="Y370" s="128"/>
      <c r="Z370" s="126"/>
      <c r="AA370" s="128"/>
      <c r="AB370" s="129"/>
      <c r="AC370" s="128"/>
      <c r="AD370" s="137"/>
      <c r="AE370" s="110"/>
      <c r="AF370" s="110"/>
      <c r="AG370" s="121"/>
    </row>
    <row r="371" spans="1:33" ht="11.25" customHeight="1" x14ac:dyDescent="0.15">
      <c r="A371" s="110" t="s">
        <v>231</v>
      </c>
      <c r="B371" s="110"/>
      <c r="C371" s="111" t="s">
        <v>201</v>
      </c>
      <c r="D371" s="111">
        <v>2021</v>
      </c>
      <c r="E371" s="146">
        <v>44377</v>
      </c>
      <c r="F371" s="111"/>
      <c r="G371" s="111" t="s">
        <v>202</v>
      </c>
      <c r="H371" s="111"/>
      <c r="I371" s="111"/>
      <c r="J371" s="111"/>
      <c r="K371" s="112" t="s">
        <v>203</v>
      </c>
      <c r="L371" s="120"/>
      <c r="M371" s="120"/>
      <c r="N371" s="120"/>
      <c r="O371" s="119"/>
      <c r="P371" s="117">
        <v>16253.11</v>
      </c>
      <c r="Q371" s="111">
        <v>1168</v>
      </c>
      <c r="R371" s="117">
        <v>127.5</v>
      </c>
      <c r="S371" s="117">
        <f>3809.7+1714.9</f>
        <v>5524.6</v>
      </c>
      <c r="T371" s="117">
        <f>6015.58-V371</f>
        <v>5421.3</v>
      </c>
      <c r="U371" s="117">
        <v>5423.57</v>
      </c>
      <c r="V371" s="117">
        <f>594.28</f>
        <v>594.28</v>
      </c>
      <c r="W371" s="26">
        <f>SUM(S371:V371)</f>
        <v>16963.75</v>
      </c>
      <c r="X371" s="118">
        <f>S371/R371</f>
        <v>43.330196078431378</v>
      </c>
      <c r="Y371" s="119">
        <f>U371/P371</f>
        <v>0.33369428989282662</v>
      </c>
      <c r="Z371" s="117">
        <f>P371-W371</f>
        <v>-710.63999999999942</v>
      </c>
      <c r="AA371" s="119">
        <f>Z371/P371</f>
        <v>-4.3723324336080872E-2</v>
      </c>
      <c r="AB371" s="120">
        <f t="shared" ref="AB371:AB372" si="197">M371-W371</f>
        <v>-16963.75</v>
      </c>
      <c r="AC371" s="119"/>
      <c r="AD371" s="110" t="s">
        <v>232</v>
      </c>
      <c r="AE371" s="110"/>
      <c r="AF371" s="110"/>
      <c r="AG371" s="121"/>
    </row>
    <row r="372" spans="1:33" s="53" customFormat="1" ht="11.25" customHeight="1" x14ac:dyDescent="0.15">
      <c r="A372" s="53" t="s">
        <v>231</v>
      </c>
      <c r="C372" s="54" t="s">
        <v>177</v>
      </c>
      <c r="D372" s="54">
        <v>2021</v>
      </c>
      <c r="E372" s="70">
        <v>44377</v>
      </c>
      <c r="F372" s="54"/>
      <c r="G372" s="54"/>
      <c r="H372" s="54"/>
      <c r="I372" s="54"/>
      <c r="J372" s="54"/>
      <c r="K372" s="106"/>
      <c r="L372" s="58"/>
      <c r="M372" s="58"/>
      <c r="N372" s="58"/>
      <c r="O372" s="57"/>
      <c r="P372" s="24">
        <f>SUM(P371)</f>
        <v>16253.11</v>
      </c>
      <c r="Q372" s="24"/>
      <c r="R372" s="24">
        <f>SUM(R371)</f>
        <v>127.5</v>
      </c>
      <c r="S372" s="24">
        <f>SUM(S371)</f>
        <v>5524.6</v>
      </c>
      <c r="T372" s="24">
        <f>SUM(T371)</f>
        <v>5421.3</v>
      </c>
      <c r="U372" s="24">
        <f>SUM(U371)</f>
        <v>5423.57</v>
      </c>
      <c r="V372" s="24"/>
      <c r="W372" s="24">
        <f>SUM(W371)</f>
        <v>16963.75</v>
      </c>
      <c r="X372" s="56"/>
      <c r="Y372" s="57"/>
      <c r="Z372" s="28"/>
      <c r="AA372" s="57"/>
      <c r="AB372" s="120">
        <f t="shared" si="197"/>
        <v>-16963.75</v>
      </c>
      <c r="AC372" s="57"/>
      <c r="AG372" s="61"/>
    </row>
    <row r="373" spans="1:33" ht="11.25" customHeight="1" x14ac:dyDescent="0.15">
      <c r="A373" s="130" t="s">
        <v>53</v>
      </c>
      <c r="B373" s="130"/>
      <c r="C373" s="124"/>
      <c r="D373" s="124"/>
      <c r="E373" s="273"/>
      <c r="F373" s="124"/>
      <c r="G373" s="124"/>
      <c r="H373" s="124"/>
      <c r="I373" s="124"/>
      <c r="J373" s="124"/>
      <c r="K373" s="125"/>
      <c r="L373" s="129"/>
      <c r="M373" s="129"/>
      <c r="N373" s="129"/>
      <c r="O373" s="128"/>
      <c r="P373" s="129"/>
      <c r="Q373" s="124"/>
      <c r="R373" s="129"/>
      <c r="S373" s="129"/>
      <c r="T373" s="129"/>
      <c r="U373" s="129"/>
      <c r="V373" s="126"/>
      <c r="W373" s="49"/>
      <c r="X373" s="45"/>
      <c r="Y373" s="128"/>
      <c r="Z373" s="126"/>
      <c r="AA373" s="128"/>
      <c r="AB373" s="129"/>
      <c r="AC373" s="128"/>
      <c r="AD373" s="137"/>
      <c r="AE373" s="110"/>
      <c r="AF373" s="110"/>
      <c r="AG373" s="121"/>
    </row>
    <row r="374" spans="1:33" ht="11.25" customHeight="1" x14ac:dyDescent="0.15">
      <c r="A374" s="110" t="s">
        <v>233</v>
      </c>
      <c r="B374" s="110"/>
      <c r="C374" s="111" t="s">
        <v>175</v>
      </c>
      <c r="D374" s="111">
        <v>2021</v>
      </c>
      <c r="E374" s="146">
        <v>44377</v>
      </c>
      <c r="F374" s="111"/>
      <c r="G374" s="111">
        <v>811101011</v>
      </c>
      <c r="H374" s="111">
        <v>4101</v>
      </c>
      <c r="I374" s="111" t="str">
        <f>MID(G374,2,1)</f>
        <v>1</v>
      </c>
      <c r="J374" s="111" t="str">
        <f>IF(I374="1","Small/Medium","Large")</f>
        <v>Small/Medium</v>
      </c>
      <c r="K374" s="147" t="s">
        <v>145</v>
      </c>
      <c r="L374" s="117">
        <v>25403</v>
      </c>
      <c r="M374" s="120">
        <f>L374*0.3</f>
        <v>7620.9</v>
      </c>
      <c r="N374" s="120">
        <f>L374-M374</f>
        <v>17782.099999999999</v>
      </c>
      <c r="O374" s="119">
        <f>N374/L374</f>
        <v>0.7</v>
      </c>
      <c r="P374" s="117">
        <v>25403</v>
      </c>
      <c r="Q374" s="111">
        <v>1084</v>
      </c>
      <c r="R374" s="117">
        <v>55</v>
      </c>
      <c r="S374" s="117">
        <f>1643.4+739.76</f>
        <v>2383.16</v>
      </c>
      <c r="T374" s="117">
        <v>3814.53</v>
      </c>
      <c r="U374" s="117">
        <v>396.5</v>
      </c>
      <c r="V374" s="117"/>
      <c r="W374" s="26">
        <f>SUM(S374:V374)</f>
        <v>6594.1900000000005</v>
      </c>
      <c r="X374" s="118">
        <f>S374/R374</f>
        <v>43.330181818181813</v>
      </c>
      <c r="Y374" s="119">
        <f>U374/P374</f>
        <v>1.5608392709522497E-2</v>
      </c>
      <c r="Z374" s="117">
        <f>P374-W374</f>
        <v>18808.809999999998</v>
      </c>
      <c r="AA374" s="119">
        <f>Z374/P374</f>
        <v>0.74041687989607519</v>
      </c>
      <c r="AB374" s="120">
        <f t="shared" ref="AB374:AB375" si="198">M374-W374</f>
        <v>1026.7099999999991</v>
      </c>
      <c r="AC374" s="135">
        <f>AA374-O374</f>
        <v>4.0416879896075231E-2</v>
      </c>
      <c r="AD374" s="110"/>
      <c r="AE374" s="110"/>
      <c r="AF374" s="110"/>
      <c r="AG374" s="121"/>
    </row>
    <row r="375" spans="1:33" s="53" customFormat="1" ht="11.25" customHeight="1" x14ac:dyDescent="0.15">
      <c r="A375" s="53" t="s">
        <v>233</v>
      </c>
      <c r="C375" s="54" t="s">
        <v>177</v>
      </c>
      <c r="D375" s="54">
        <v>2021</v>
      </c>
      <c r="E375" s="70">
        <v>44377</v>
      </c>
      <c r="F375" s="54"/>
      <c r="G375" s="54"/>
      <c r="H375" s="54"/>
      <c r="I375" s="54"/>
      <c r="J375" s="54"/>
      <c r="K375" s="106"/>
      <c r="L375" s="58"/>
      <c r="M375" s="58"/>
      <c r="N375" s="58"/>
      <c r="O375" s="57"/>
      <c r="P375" s="24">
        <f>SUM(P374)</f>
        <v>25403</v>
      </c>
      <c r="Q375" s="24"/>
      <c r="R375" s="24">
        <f>SUM(R374)</f>
        <v>55</v>
      </c>
      <c r="S375" s="24">
        <f>SUM(S374)</f>
        <v>2383.16</v>
      </c>
      <c r="T375" s="24">
        <f>SUM(T374)</f>
        <v>3814.53</v>
      </c>
      <c r="U375" s="24">
        <f>SUM(U374)</f>
        <v>396.5</v>
      </c>
      <c r="V375" s="24"/>
      <c r="W375" s="24">
        <f>SUM(W374)</f>
        <v>6594.1900000000005</v>
      </c>
      <c r="X375" s="56">
        <f>S375/R375</f>
        <v>43.330181818181813</v>
      </c>
      <c r="Y375" s="57">
        <f>U375/P375</f>
        <v>1.5608392709522497E-2</v>
      </c>
      <c r="Z375" s="28">
        <f>P375-W375</f>
        <v>18808.809999999998</v>
      </c>
      <c r="AA375" s="57">
        <f>Z375/P375</f>
        <v>0.74041687989607519</v>
      </c>
      <c r="AB375" s="120">
        <f t="shared" si="198"/>
        <v>-6594.1900000000005</v>
      </c>
      <c r="AC375" s="57"/>
      <c r="AG375" s="61"/>
    </row>
    <row r="376" spans="1:33" ht="11.25" customHeight="1" x14ac:dyDescent="0.15">
      <c r="A376" s="130" t="s">
        <v>53</v>
      </c>
      <c r="B376" s="130"/>
      <c r="C376" s="124"/>
      <c r="D376" s="124"/>
      <c r="E376" s="273"/>
      <c r="F376" s="124"/>
      <c r="G376" s="124"/>
      <c r="H376" s="124"/>
      <c r="I376" s="124"/>
      <c r="J376" s="124"/>
      <c r="K376" s="125"/>
      <c r="L376" s="129"/>
      <c r="M376" s="129"/>
      <c r="N376" s="129"/>
      <c r="O376" s="128"/>
      <c r="P376" s="129"/>
      <c r="Q376" s="124"/>
      <c r="R376" s="129"/>
      <c r="S376" s="129"/>
      <c r="T376" s="129"/>
      <c r="U376" s="129"/>
      <c r="V376" s="126"/>
      <c r="W376" s="49"/>
      <c r="X376" s="45"/>
      <c r="Y376" s="128"/>
      <c r="Z376" s="126"/>
      <c r="AA376" s="128"/>
      <c r="AB376" s="129"/>
      <c r="AC376" s="128"/>
      <c r="AD376" s="137"/>
      <c r="AE376" s="110"/>
      <c r="AF376" s="110"/>
      <c r="AG376" s="121"/>
    </row>
    <row r="377" spans="1:33" ht="11.25" customHeight="1" x14ac:dyDescent="0.15">
      <c r="A377" s="110" t="s">
        <v>179</v>
      </c>
      <c r="B377" s="110"/>
      <c r="C377" s="111" t="s">
        <v>201</v>
      </c>
      <c r="D377" s="111">
        <v>2021</v>
      </c>
      <c r="E377" s="146">
        <v>44377</v>
      </c>
      <c r="F377" s="111"/>
      <c r="G377" s="111" t="s">
        <v>202</v>
      </c>
      <c r="H377" s="111"/>
      <c r="I377" s="111"/>
      <c r="J377" s="111"/>
      <c r="K377" s="112" t="s">
        <v>203</v>
      </c>
      <c r="L377" s="120"/>
      <c r="M377" s="120"/>
      <c r="N377" s="120"/>
      <c r="O377" s="119"/>
      <c r="P377" s="117">
        <v>0</v>
      </c>
      <c r="Q377" s="111">
        <v>1195</v>
      </c>
      <c r="R377" s="117">
        <v>24</v>
      </c>
      <c r="S377" s="117">
        <f>717.12+322.8</f>
        <v>1039.92</v>
      </c>
      <c r="T377" s="117">
        <v>2041.31</v>
      </c>
      <c r="U377" s="117">
        <v>2278.02</v>
      </c>
      <c r="V377" s="117"/>
      <c r="W377" s="26">
        <f>SUM(S377:V377)</f>
        <v>5359.25</v>
      </c>
      <c r="X377" s="118">
        <f>S377/R377</f>
        <v>43.330000000000005</v>
      </c>
      <c r="Y377" s="119" t="s">
        <v>234</v>
      </c>
      <c r="Z377" s="117">
        <f>P377-W377</f>
        <v>-5359.25</v>
      </c>
      <c r="AA377" s="119">
        <v>-1</v>
      </c>
      <c r="AB377" s="120">
        <f t="shared" ref="AB377:AB378" si="199">M377-W377</f>
        <v>-5359.25</v>
      </c>
      <c r="AC377" s="119"/>
      <c r="AD377" s="110" t="s">
        <v>235</v>
      </c>
      <c r="AE377" s="110"/>
      <c r="AF377" s="110"/>
      <c r="AG377" s="121"/>
    </row>
    <row r="378" spans="1:33" ht="11.25" customHeight="1" x14ac:dyDescent="0.15">
      <c r="A378" s="53" t="s">
        <v>179</v>
      </c>
      <c r="C378" s="54" t="s">
        <v>177</v>
      </c>
      <c r="D378" s="111">
        <v>2021</v>
      </c>
      <c r="E378" s="146">
        <v>44377</v>
      </c>
      <c r="F378" s="111"/>
      <c r="G378" s="111"/>
      <c r="H378" s="111"/>
      <c r="I378" s="111"/>
      <c r="J378" s="111"/>
      <c r="K378" s="112"/>
      <c r="L378" s="120"/>
      <c r="M378" s="120"/>
      <c r="N378" s="120"/>
      <c r="O378" s="119"/>
      <c r="P378" s="24">
        <f>SUM(P377)</f>
        <v>0</v>
      </c>
      <c r="Q378" s="24"/>
      <c r="R378" s="24">
        <f>SUM(R377)</f>
        <v>24</v>
      </c>
      <c r="S378" s="24">
        <f>SUM(S377)</f>
        <v>1039.92</v>
      </c>
      <c r="T378" s="24">
        <f>SUM(T377)</f>
        <v>2041.31</v>
      </c>
      <c r="U378" s="24">
        <f>SUM(U377)</f>
        <v>2278.02</v>
      </c>
      <c r="V378" s="24"/>
      <c r="W378" s="24">
        <f>SUM(W377)</f>
        <v>5359.25</v>
      </c>
      <c r="X378" s="61">
        <f>SUM(X377)</f>
        <v>43.330000000000005</v>
      </c>
      <c r="Y378" s="119" t="s">
        <v>234</v>
      </c>
      <c r="Z378" s="28">
        <f>SUM(Z377)</f>
        <v>-5359.25</v>
      </c>
      <c r="AA378" s="57">
        <f>SUM(AA377)</f>
        <v>-1</v>
      </c>
      <c r="AB378" s="120">
        <f t="shared" si="199"/>
        <v>-5359.25</v>
      </c>
      <c r="AC378" s="119"/>
      <c r="AD378" s="110"/>
      <c r="AE378" s="110"/>
      <c r="AF378" s="110"/>
      <c r="AG378" s="121"/>
    </row>
    <row r="379" spans="1:33" ht="11.25" customHeight="1" x14ac:dyDescent="0.15">
      <c r="A379" s="130" t="s">
        <v>53</v>
      </c>
      <c r="B379" s="130"/>
      <c r="C379" s="124"/>
      <c r="D379" s="124"/>
      <c r="E379" s="273"/>
      <c r="F379" s="124"/>
      <c r="G379" s="124"/>
      <c r="H379" s="124"/>
      <c r="I379" s="124"/>
      <c r="J379" s="124"/>
      <c r="K379" s="125"/>
      <c r="L379" s="129"/>
      <c r="M379" s="129"/>
      <c r="N379" s="129"/>
      <c r="O379" s="128"/>
      <c r="P379" s="129"/>
      <c r="Q379" s="124"/>
      <c r="R379" s="129"/>
      <c r="S379" s="129"/>
      <c r="T379" s="129"/>
      <c r="U379" s="129"/>
      <c r="V379" s="126"/>
      <c r="W379" s="49"/>
      <c r="X379" s="45"/>
      <c r="Y379" s="128"/>
      <c r="Z379" s="126"/>
      <c r="AA379" s="128"/>
      <c r="AB379" s="129"/>
      <c r="AC379" s="128"/>
      <c r="AD379" s="137"/>
      <c r="AE379" s="110"/>
      <c r="AF379" s="110"/>
      <c r="AG379" s="121"/>
    </row>
    <row r="380" spans="1:33" ht="11.25" customHeight="1" x14ac:dyDescent="0.15">
      <c r="A380" s="110" t="s">
        <v>199</v>
      </c>
      <c r="B380" s="110"/>
      <c r="C380" s="111" t="s">
        <v>201</v>
      </c>
      <c r="D380" s="111">
        <v>2021</v>
      </c>
      <c r="E380" s="146">
        <v>44377</v>
      </c>
      <c r="F380" s="111"/>
      <c r="G380" s="111" t="s">
        <v>202</v>
      </c>
      <c r="H380" s="111"/>
      <c r="I380" s="111"/>
      <c r="J380" s="111"/>
      <c r="K380" s="112" t="s">
        <v>203</v>
      </c>
      <c r="L380" s="120"/>
      <c r="M380" s="120"/>
      <c r="N380" s="120"/>
      <c r="O380" s="119"/>
      <c r="P380" s="117">
        <v>2000</v>
      </c>
      <c r="Q380" s="111">
        <v>1179</v>
      </c>
      <c r="R380" s="117">
        <v>18</v>
      </c>
      <c r="S380" s="117">
        <f>537.84+242.1</f>
        <v>779.94</v>
      </c>
      <c r="T380" s="117">
        <v>1036.5999999999999</v>
      </c>
      <c r="U380" s="117">
        <v>0</v>
      </c>
      <c r="V380" s="117">
        <v>0</v>
      </c>
      <c r="W380" s="26">
        <f>SUM(S380:V380)</f>
        <v>1816.54</v>
      </c>
      <c r="X380" s="118">
        <f>S380/R380</f>
        <v>43.330000000000005</v>
      </c>
      <c r="Y380" s="119" t="s">
        <v>234</v>
      </c>
      <c r="Z380" s="117">
        <f>P380-W380</f>
        <v>183.46000000000004</v>
      </c>
      <c r="AA380" s="119">
        <f>Z380/P380</f>
        <v>9.173000000000002E-2</v>
      </c>
      <c r="AB380" s="120">
        <f t="shared" ref="AB380:AB381" si="200">M380-W380</f>
        <v>-1816.54</v>
      </c>
      <c r="AC380" s="119"/>
      <c r="AD380" s="110" t="s">
        <v>236</v>
      </c>
      <c r="AE380" s="110"/>
      <c r="AF380" s="110"/>
      <c r="AG380" s="121"/>
    </row>
    <row r="381" spans="1:33" s="53" customFormat="1" ht="11.25" customHeight="1" x14ac:dyDescent="0.15">
      <c r="A381" s="53" t="s">
        <v>199</v>
      </c>
      <c r="C381" s="54" t="s">
        <v>177</v>
      </c>
      <c r="D381" s="54">
        <v>2021</v>
      </c>
      <c r="E381" s="70">
        <v>44377</v>
      </c>
      <c r="F381" s="54"/>
      <c r="G381" s="54"/>
      <c r="H381" s="54"/>
      <c r="I381" s="54"/>
      <c r="J381" s="54"/>
      <c r="K381" s="106"/>
      <c r="L381" s="58"/>
      <c r="M381" s="58"/>
      <c r="N381" s="58"/>
      <c r="O381" s="57"/>
      <c r="P381" s="24">
        <f>SUM(P380)</f>
        <v>2000</v>
      </c>
      <c r="Q381" s="24"/>
      <c r="R381" s="24">
        <f t="shared" ref="R381:X381" si="201">SUM(R380)</f>
        <v>18</v>
      </c>
      <c r="S381" s="24">
        <f t="shared" si="201"/>
        <v>779.94</v>
      </c>
      <c r="T381" s="24">
        <f t="shared" si="201"/>
        <v>1036.5999999999999</v>
      </c>
      <c r="U381" s="24">
        <f t="shared" si="201"/>
        <v>0</v>
      </c>
      <c r="V381" s="24">
        <f t="shared" si="201"/>
        <v>0</v>
      </c>
      <c r="W381" s="24">
        <f t="shared" si="201"/>
        <v>1816.54</v>
      </c>
      <c r="X381" s="72">
        <f t="shared" si="201"/>
        <v>43.330000000000005</v>
      </c>
      <c r="Y381" s="73" t="s">
        <v>234</v>
      </c>
      <c r="Z381" s="64">
        <f>SUM(Z380)</f>
        <v>183.46000000000004</v>
      </c>
      <c r="AA381" s="57">
        <f>Z381/P381</f>
        <v>9.173000000000002E-2</v>
      </c>
      <c r="AB381" s="120">
        <f t="shared" si="200"/>
        <v>-1816.54</v>
      </c>
      <c r="AC381" s="57"/>
      <c r="AG381" s="61"/>
    </row>
    <row r="382" spans="1:33" ht="11.25" customHeight="1" x14ac:dyDescent="0.15">
      <c r="A382" s="130" t="s">
        <v>53</v>
      </c>
      <c r="B382" s="130"/>
      <c r="C382" s="124"/>
      <c r="D382" s="124"/>
      <c r="E382" s="273"/>
      <c r="F382" s="124"/>
      <c r="G382" s="124"/>
      <c r="H382" s="124"/>
      <c r="I382" s="124"/>
      <c r="J382" s="124"/>
      <c r="K382" s="125"/>
      <c r="L382" s="129"/>
      <c r="M382" s="129"/>
      <c r="N382" s="129"/>
      <c r="O382" s="128"/>
      <c r="P382" s="129"/>
      <c r="Q382" s="124"/>
      <c r="R382" s="129"/>
      <c r="S382" s="129"/>
      <c r="T382" s="129"/>
      <c r="U382" s="129"/>
      <c r="V382" s="126"/>
      <c r="W382" s="49"/>
      <c r="X382" s="45"/>
      <c r="Y382" s="128"/>
      <c r="Z382" s="126"/>
      <c r="AA382" s="128"/>
      <c r="AB382" s="129"/>
      <c r="AC382" s="128"/>
      <c r="AD382" s="137"/>
      <c r="AE382" s="110"/>
      <c r="AF382" s="110"/>
      <c r="AG382" s="121"/>
    </row>
    <row r="383" spans="1:33" ht="11.25" customHeight="1" x14ac:dyDescent="0.15">
      <c r="A383" s="110" t="s">
        <v>237</v>
      </c>
      <c r="B383" s="110"/>
      <c r="C383" s="111" t="s">
        <v>201</v>
      </c>
      <c r="D383" s="111">
        <v>2021</v>
      </c>
      <c r="E383" s="146">
        <v>44377</v>
      </c>
      <c r="F383" s="111"/>
      <c r="G383" s="111" t="s">
        <v>202</v>
      </c>
      <c r="H383" s="111"/>
      <c r="I383" s="111"/>
      <c r="J383" s="111"/>
      <c r="K383" s="112" t="s">
        <v>203</v>
      </c>
      <c r="L383" s="219"/>
      <c r="M383" s="219"/>
      <c r="N383" s="219"/>
      <c r="O383" s="119"/>
      <c r="P383" s="132">
        <v>0</v>
      </c>
      <c r="Q383" s="111">
        <v>1178</v>
      </c>
      <c r="R383" s="132">
        <v>18</v>
      </c>
      <c r="S383" s="132">
        <f>556.38+250.38</f>
        <v>806.76</v>
      </c>
      <c r="T383" s="132">
        <v>2290.71</v>
      </c>
      <c r="U383" s="132">
        <v>0</v>
      </c>
      <c r="V383" s="132">
        <v>0</v>
      </c>
      <c r="W383" s="67">
        <f>SUM(S383:V383)</f>
        <v>3097.4700000000003</v>
      </c>
      <c r="X383" s="118">
        <f>S383/R383</f>
        <v>44.82</v>
      </c>
      <c r="Y383" s="119" t="s">
        <v>234</v>
      </c>
      <c r="Z383" s="117">
        <f>P383-W383</f>
        <v>-3097.4700000000003</v>
      </c>
      <c r="AA383" s="119">
        <v>-1</v>
      </c>
      <c r="AB383" s="120">
        <f t="shared" ref="AB383:AB384" si="202">M383-W383</f>
        <v>-3097.4700000000003</v>
      </c>
      <c r="AC383" s="119"/>
      <c r="AD383" s="110" t="s">
        <v>238</v>
      </c>
      <c r="AE383" s="110"/>
      <c r="AF383" s="110"/>
      <c r="AG383" s="121"/>
    </row>
    <row r="384" spans="1:33" s="53" customFormat="1" ht="11.25" customHeight="1" x14ac:dyDescent="0.15">
      <c r="A384" s="53" t="s">
        <v>237</v>
      </c>
      <c r="C384" s="54" t="s">
        <v>177</v>
      </c>
      <c r="D384" s="54">
        <v>2021</v>
      </c>
      <c r="E384" s="70">
        <v>44377</v>
      </c>
      <c r="F384" s="54"/>
      <c r="G384" s="54"/>
      <c r="H384" s="54"/>
      <c r="I384" s="54"/>
      <c r="J384" s="54"/>
      <c r="K384" s="106"/>
      <c r="L384" s="58"/>
      <c r="M384" s="58"/>
      <c r="N384" s="58"/>
      <c r="O384" s="57"/>
      <c r="P384" s="24">
        <f>SUM(P383)</f>
        <v>0</v>
      </c>
      <c r="Q384" s="24"/>
      <c r="R384" s="24">
        <f t="shared" ref="R384:W384" si="203">SUM(R383)</f>
        <v>18</v>
      </c>
      <c r="S384" s="24">
        <f t="shared" si="203"/>
        <v>806.76</v>
      </c>
      <c r="T384" s="24">
        <f t="shared" si="203"/>
        <v>2290.71</v>
      </c>
      <c r="U384" s="24">
        <f t="shared" si="203"/>
        <v>0</v>
      </c>
      <c r="V384" s="24">
        <f t="shared" si="203"/>
        <v>0</v>
      </c>
      <c r="W384" s="24">
        <f t="shared" si="203"/>
        <v>3097.4700000000003</v>
      </c>
      <c r="X384" s="56">
        <f>S384/R384</f>
        <v>44.82</v>
      </c>
      <c r="Y384" s="119" t="s">
        <v>234</v>
      </c>
      <c r="Z384" s="28">
        <f>SUM(Z383)</f>
        <v>-3097.4700000000003</v>
      </c>
      <c r="AA384" s="57">
        <v>-1</v>
      </c>
      <c r="AB384" s="120">
        <f t="shared" si="202"/>
        <v>-3097.4700000000003</v>
      </c>
      <c r="AC384" s="57"/>
      <c r="AG384" s="61"/>
    </row>
    <row r="385" spans="1:33" ht="11.25" customHeight="1" x14ac:dyDescent="0.15">
      <c r="A385" s="130" t="s">
        <v>53</v>
      </c>
      <c r="B385" s="130"/>
      <c r="C385" s="124"/>
      <c r="D385" s="124"/>
      <c r="E385" s="273"/>
      <c r="F385" s="124"/>
      <c r="G385" s="124"/>
      <c r="H385" s="124"/>
      <c r="I385" s="124"/>
      <c r="J385" s="124"/>
      <c r="K385" s="125"/>
      <c r="L385" s="129"/>
      <c r="M385" s="129"/>
      <c r="N385" s="129"/>
      <c r="O385" s="128"/>
      <c r="P385" s="129"/>
      <c r="Q385" s="124"/>
      <c r="R385" s="129"/>
      <c r="S385" s="129"/>
      <c r="T385" s="129"/>
      <c r="U385" s="129"/>
      <c r="V385" s="126"/>
      <c r="W385" s="49"/>
      <c r="X385" s="45"/>
      <c r="Y385" s="128"/>
      <c r="Z385" s="126"/>
      <c r="AA385" s="128"/>
      <c r="AB385" s="129"/>
      <c r="AC385" s="128"/>
      <c r="AD385" s="137"/>
      <c r="AE385" s="110"/>
      <c r="AF385" s="110"/>
      <c r="AG385" s="121"/>
    </row>
    <row r="386" spans="1:33" ht="11.25" customHeight="1" x14ac:dyDescent="0.15">
      <c r="A386" s="110" t="s">
        <v>239</v>
      </c>
      <c r="B386" s="110"/>
      <c r="C386" s="111" t="s">
        <v>37</v>
      </c>
      <c r="D386" s="111">
        <v>2021</v>
      </c>
      <c r="E386" s="146">
        <v>44377</v>
      </c>
      <c r="F386" s="111"/>
      <c r="G386" s="111">
        <v>110101111</v>
      </c>
      <c r="H386" s="111"/>
      <c r="I386" s="16" t="str">
        <f>MID(G386,2,1)</f>
        <v>1</v>
      </c>
      <c r="J386" s="111" t="s">
        <v>39</v>
      </c>
      <c r="K386" s="112" t="s">
        <v>240</v>
      </c>
      <c r="L386" s="120">
        <f t="shared" ref="L386:L396" si="204">P386</f>
        <v>107970</v>
      </c>
      <c r="M386" s="120">
        <f>(31133.81+3000)-8127.25</f>
        <v>26006.559999999998</v>
      </c>
      <c r="N386" s="120">
        <f t="shared" ref="N386:N396" si="205">L386-M386</f>
        <v>81963.44</v>
      </c>
      <c r="O386" s="119">
        <f t="shared" ref="O386:O396" si="206">N386/L386</f>
        <v>0.75913161063258316</v>
      </c>
      <c r="P386" s="117">
        <v>107970</v>
      </c>
      <c r="Q386" s="111">
        <v>1173</v>
      </c>
      <c r="R386" s="117">
        <f>29.5+5</f>
        <v>34.5</v>
      </c>
      <c r="S386" s="117">
        <f>844.38+380.04</f>
        <v>1224.42</v>
      </c>
      <c r="T386" s="117">
        <v>0</v>
      </c>
      <c r="U386" s="117">
        <v>19302.02</v>
      </c>
      <c r="V386" s="117">
        <v>0</v>
      </c>
      <c r="W386" s="26">
        <f>SUM(S386:V386)</f>
        <v>20526.440000000002</v>
      </c>
      <c r="X386" s="118">
        <f>IFERROR(S386/R386,"0")</f>
        <v>35.490434782608695</v>
      </c>
      <c r="Y386" s="119">
        <f t="shared" ref="Y386:Y392" si="207">U386/P386</f>
        <v>0.17877206631471707</v>
      </c>
      <c r="Z386" s="117">
        <f t="shared" ref="Z386:Z392" si="208">P386-W386</f>
        <v>87443.56</v>
      </c>
      <c r="AA386" s="119">
        <f t="shared" ref="AA386:AA392" si="209">Z386/P386</f>
        <v>0.80988756135963691</v>
      </c>
      <c r="AB386" s="120">
        <f t="shared" ref="AB386:AB396" si="210">M386-W386</f>
        <v>5480.1199999999953</v>
      </c>
      <c r="AC386" s="119">
        <f t="shared" ref="AC386:AC396" si="211">AA386-O386</f>
        <v>5.0755950727053745E-2</v>
      </c>
      <c r="AD386" s="110" t="s">
        <v>241</v>
      </c>
      <c r="AE386" s="110"/>
      <c r="AF386" s="110"/>
      <c r="AG386" s="121"/>
    </row>
    <row r="387" spans="1:33" ht="11.25" customHeight="1" x14ac:dyDescent="0.15">
      <c r="A387" s="110" t="s">
        <v>239</v>
      </c>
      <c r="B387" s="110"/>
      <c r="C387" s="111" t="s">
        <v>37</v>
      </c>
      <c r="D387" s="111">
        <v>2021</v>
      </c>
      <c r="E387" s="146">
        <v>44377</v>
      </c>
      <c r="F387" s="111"/>
      <c r="G387" s="111">
        <v>220100111</v>
      </c>
      <c r="H387" s="111"/>
      <c r="I387" s="111"/>
      <c r="J387" s="111"/>
      <c r="K387" s="112" t="s">
        <v>242</v>
      </c>
      <c r="L387" s="120">
        <f t="shared" si="204"/>
        <v>15000</v>
      </c>
      <c r="M387" s="120">
        <v>8127.25</v>
      </c>
      <c r="N387" s="120">
        <f t="shared" si="205"/>
        <v>6872.75</v>
      </c>
      <c r="O387" s="119">
        <f t="shared" si="206"/>
        <v>0.45818333333333333</v>
      </c>
      <c r="P387" s="117">
        <v>15000</v>
      </c>
      <c r="Q387" s="111">
        <v>1194</v>
      </c>
      <c r="R387" s="117">
        <v>0</v>
      </c>
      <c r="S387" s="117">
        <v>0</v>
      </c>
      <c r="T387" s="117">
        <v>0</v>
      </c>
      <c r="U387" s="117">
        <v>9618.5</v>
      </c>
      <c r="V387" s="117">
        <v>0</v>
      </c>
      <c r="W387" s="26">
        <f>SUM(S387:V387)</f>
        <v>9618.5</v>
      </c>
      <c r="X387" s="118" t="str">
        <f t="shared" ref="X387:X392" si="212">IFERROR(S387/R387,"")</f>
        <v/>
      </c>
      <c r="Y387" s="119">
        <f t="shared" si="207"/>
        <v>0.64123333333333332</v>
      </c>
      <c r="Z387" s="117">
        <f t="shared" si="208"/>
        <v>5381.5</v>
      </c>
      <c r="AA387" s="119">
        <f t="shared" si="209"/>
        <v>0.35876666666666668</v>
      </c>
      <c r="AB387" s="120">
        <f t="shared" si="210"/>
        <v>-1491.25</v>
      </c>
      <c r="AC387" s="119">
        <f t="shared" si="211"/>
        <v>-9.9416666666666653E-2</v>
      </c>
      <c r="AD387" s="110" t="s">
        <v>243</v>
      </c>
      <c r="AE387" s="110"/>
      <c r="AF387" s="110"/>
      <c r="AG387" s="121"/>
    </row>
    <row r="388" spans="1:33" ht="11.25" customHeight="1" x14ac:dyDescent="0.15">
      <c r="A388" s="110" t="s">
        <v>239</v>
      </c>
      <c r="B388" s="110"/>
      <c r="C388" s="111" t="s">
        <v>37</v>
      </c>
      <c r="D388" s="111">
        <v>2021</v>
      </c>
      <c r="E388" s="146">
        <v>44377</v>
      </c>
      <c r="F388" s="111"/>
      <c r="G388" s="111">
        <v>910101411</v>
      </c>
      <c r="H388" s="111"/>
      <c r="I388" s="111"/>
      <c r="J388" s="111"/>
      <c r="K388" s="112" t="s">
        <v>244</v>
      </c>
      <c r="L388" s="120">
        <f t="shared" si="204"/>
        <v>13840</v>
      </c>
      <c r="M388" s="120">
        <v>4700</v>
      </c>
      <c r="N388" s="120">
        <f t="shared" si="205"/>
        <v>9140</v>
      </c>
      <c r="O388" s="119">
        <f t="shared" si="206"/>
        <v>0.66040462427745661</v>
      </c>
      <c r="P388" s="117">
        <v>13840</v>
      </c>
      <c r="Q388" s="111">
        <v>1174</v>
      </c>
      <c r="R388" s="117">
        <v>0</v>
      </c>
      <c r="S388" s="117">
        <v>0</v>
      </c>
      <c r="T388" s="117">
        <v>0</v>
      </c>
      <c r="U388" s="117">
        <v>2986.36</v>
      </c>
      <c r="V388" s="117">
        <v>0</v>
      </c>
      <c r="W388" s="26">
        <f>SUM(S388:V388)</f>
        <v>2986.36</v>
      </c>
      <c r="X388" s="118" t="str">
        <f t="shared" si="212"/>
        <v/>
      </c>
      <c r="Y388" s="119">
        <f t="shared" si="207"/>
        <v>0.21577745664739886</v>
      </c>
      <c r="Z388" s="117">
        <f t="shared" si="208"/>
        <v>10853.64</v>
      </c>
      <c r="AA388" s="119">
        <f t="shared" si="209"/>
        <v>0.78422254335260111</v>
      </c>
      <c r="AB388" s="120">
        <f t="shared" si="210"/>
        <v>1713.6399999999999</v>
      </c>
      <c r="AC388" s="119">
        <f t="shared" si="211"/>
        <v>0.1238179190751445</v>
      </c>
      <c r="AD388" s="110" t="s">
        <v>245</v>
      </c>
      <c r="AE388" s="110"/>
      <c r="AF388" s="110"/>
      <c r="AG388" s="121"/>
    </row>
    <row r="389" spans="1:33" ht="11.25" customHeight="1" x14ac:dyDescent="0.15">
      <c r="A389" s="110" t="s">
        <v>239</v>
      </c>
      <c r="B389" s="110"/>
      <c r="C389" s="111" t="s">
        <v>47</v>
      </c>
      <c r="D389" s="111">
        <v>2021</v>
      </c>
      <c r="E389" s="146">
        <v>44377</v>
      </c>
      <c r="F389" s="111"/>
      <c r="G389" s="111">
        <v>510101111</v>
      </c>
      <c r="H389" s="111"/>
      <c r="I389" s="111"/>
      <c r="J389" s="111"/>
      <c r="K389" s="112" t="s">
        <v>81</v>
      </c>
      <c r="L389" s="219">
        <f t="shared" si="204"/>
        <v>22580</v>
      </c>
      <c r="M389" s="219">
        <v>11290</v>
      </c>
      <c r="N389" s="219">
        <f t="shared" si="205"/>
        <v>11290</v>
      </c>
      <c r="O389" s="119">
        <f t="shared" si="206"/>
        <v>0.5</v>
      </c>
      <c r="P389" s="132">
        <v>22580</v>
      </c>
      <c r="Q389" s="111">
        <v>1175</v>
      </c>
      <c r="R389" s="132">
        <v>98.5</v>
      </c>
      <c r="S389" s="132">
        <f>3044.64+1370.14</f>
        <v>4414.78</v>
      </c>
      <c r="T389" s="132">
        <v>4032.5</v>
      </c>
      <c r="U389" s="132">
        <v>727.94</v>
      </c>
      <c r="V389" s="132">
        <v>0</v>
      </c>
      <c r="W389" s="67">
        <f>SUM(S389:V389)</f>
        <v>9175.2199999999993</v>
      </c>
      <c r="X389" s="118">
        <f t="shared" si="212"/>
        <v>44.820101522842634</v>
      </c>
      <c r="Y389" s="119">
        <f t="shared" si="207"/>
        <v>3.2238263950398582E-2</v>
      </c>
      <c r="Z389" s="117">
        <f t="shared" si="208"/>
        <v>13404.78</v>
      </c>
      <c r="AA389" s="119">
        <f t="shared" si="209"/>
        <v>0.59365721877767941</v>
      </c>
      <c r="AB389" s="120">
        <f t="shared" si="210"/>
        <v>2114.7800000000007</v>
      </c>
      <c r="AC389" s="119">
        <f t="shared" si="211"/>
        <v>9.3657218777679407E-2</v>
      </c>
      <c r="AD389" s="110"/>
      <c r="AE389" s="110"/>
      <c r="AF389" s="110"/>
      <c r="AG389" s="121"/>
    </row>
    <row r="390" spans="1:33" ht="11.25" customHeight="1" x14ac:dyDescent="0.15">
      <c r="A390" s="110" t="s">
        <v>239</v>
      </c>
      <c r="B390" s="110"/>
      <c r="C390" s="111" t="s">
        <v>49</v>
      </c>
      <c r="D390" s="111">
        <v>2021</v>
      </c>
      <c r="E390" s="146">
        <v>44377</v>
      </c>
      <c r="F390" s="111"/>
      <c r="G390" s="111">
        <v>616520121</v>
      </c>
      <c r="H390" s="111"/>
      <c r="I390" s="111"/>
      <c r="J390" s="111"/>
      <c r="K390" s="112" t="s">
        <v>85</v>
      </c>
      <c r="L390" s="120">
        <f t="shared" si="204"/>
        <v>8053</v>
      </c>
      <c r="M390" s="120">
        <v>4026.5</v>
      </c>
      <c r="N390" s="120">
        <f t="shared" si="205"/>
        <v>4026.5</v>
      </c>
      <c r="O390" s="119">
        <f t="shared" si="206"/>
        <v>0.5</v>
      </c>
      <c r="P390" s="117">
        <v>8053</v>
      </c>
      <c r="Q390" s="111">
        <v>1177</v>
      </c>
      <c r="R390" s="117">
        <v>24</v>
      </c>
      <c r="S390" s="117">
        <f>942.72+424.32</f>
        <v>1367.04</v>
      </c>
      <c r="T390" s="117">
        <v>1878.2</v>
      </c>
      <c r="U390" s="117">
        <v>1886.12</v>
      </c>
      <c r="V390" s="117"/>
      <c r="W390" s="26">
        <f>SUM(S390:V390)</f>
        <v>5131.3599999999997</v>
      </c>
      <c r="X390" s="118">
        <f t="shared" si="212"/>
        <v>56.96</v>
      </c>
      <c r="Y390" s="119">
        <f t="shared" si="207"/>
        <v>0.23421333664472865</v>
      </c>
      <c r="Z390" s="117">
        <f t="shared" si="208"/>
        <v>2921.6400000000003</v>
      </c>
      <c r="AA390" s="119">
        <f t="shared" si="209"/>
        <v>0.3628014404569726</v>
      </c>
      <c r="AB390" s="120">
        <f t="shared" si="210"/>
        <v>-1104.8599999999997</v>
      </c>
      <c r="AC390" s="119">
        <f t="shared" si="211"/>
        <v>-0.1371985595430274</v>
      </c>
      <c r="AD390" s="110" t="s">
        <v>246</v>
      </c>
      <c r="AE390" s="110"/>
      <c r="AF390" s="110"/>
      <c r="AG390" s="121"/>
    </row>
    <row r="391" spans="1:33" s="53" customFormat="1" ht="11.25" customHeight="1" x14ac:dyDescent="0.15">
      <c r="A391" s="53" t="s">
        <v>239</v>
      </c>
      <c r="C391" s="54" t="s">
        <v>54</v>
      </c>
      <c r="D391" s="54">
        <v>2021</v>
      </c>
      <c r="E391" s="70">
        <v>44377</v>
      </c>
      <c r="F391" s="54"/>
      <c r="G391" s="54"/>
      <c r="H391" s="54"/>
      <c r="I391" s="54"/>
      <c r="J391" s="54"/>
      <c r="K391" s="106"/>
      <c r="L391" s="92">
        <f t="shared" si="204"/>
        <v>167443</v>
      </c>
      <c r="M391" s="92">
        <f>SUM(M386:M390)</f>
        <v>54150.31</v>
      </c>
      <c r="N391" s="92">
        <f t="shared" si="205"/>
        <v>113292.69</v>
      </c>
      <c r="O391" s="74">
        <f t="shared" si="206"/>
        <v>0.67660451616370942</v>
      </c>
      <c r="P391" s="24">
        <f>SUM(P386:P390)</f>
        <v>167443</v>
      </c>
      <c r="Q391" s="24"/>
      <c r="R391" s="24">
        <f t="shared" ref="R391:W391" si="213">SUM(R386:R390)</f>
        <v>157</v>
      </c>
      <c r="S391" s="24">
        <f t="shared" si="213"/>
        <v>7006.24</v>
      </c>
      <c r="T391" s="24">
        <f t="shared" si="213"/>
        <v>5910.7</v>
      </c>
      <c r="U391" s="24">
        <f t="shared" si="213"/>
        <v>34520.94</v>
      </c>
      <c r="V391" s="24">
        <f t="shared" si="213"/>
        <v>0</v>
      </c>
      <c r="W391" s="24">
        <f t="shared" si="213"/>
        <v>47437.880000000005</v>
      </c>
      <c r="X391" s="56">
        <f t="shared" si="212"/>
        <v>44.62573248407643</v>
      </c>
      <c r="Y391" s="57">
        <f t="shared" si="207"/>
        <v>0.20616532193044798</v>
      </c>
      <c r="Z391" s="28">
        <f t="shared" si="208"/>
        <v>120005.12</v>
      </c>
      <c r="AA391" s="57">
        <f t="shared" si="209"/>
        <v>0.71669236695472482</v>
      </c>
      <c r="AB391" s="120">
        <f t="shared" si="210"/>
        <v>6712.429999999993</v>
      </c>
      <c r="AC391" s="57">
        <f t="shared" si="211"/>
        <v>4.00878507910154E-2</v>
      </c>
      <c r="AG391" s="61"/>
    </row>
    <row r="392" spans="1:33" ht="11.25" customHeight="1" x14ac:dyDescent="0.15">
      <c r="A392" s="110" t="s">
        <v>239</v>
      </c>
      <c r="B392" s="110"/>
      <c r="C392" s="111" t="s">
        <v>55</v>
      </c>
      <c r="D392" s="111">
        <v>2021</v>
      </c>
      <c r="E392" s="146">
        <v>44377</v>
      </c>
      <c r="F392" s="111"/>
      <c r="G392" s="111" t="s">
        <v>56</v>
      </c>
      <c r="H392" s="111"/>
      <c r="I392" s="111"/>
      <c r="J392" s="111"/>
      <c r="K392" s="112" t="s">
        <v>71</v>
      </c>
      <c r="L392" s="120">
        <f t="shared" si="204"/>
        <v>7712</v>
      </c>
      <c r="M392" s="120">
        <v>3856</v>
      </c>
      <c r="N392" s="120">
        <f t="shared" si="205"/>
        <v>3856</v>
      </c>
      <c r="O392" s="119">
        <f t="shared" si="206"/>
        <v>0.5</v>
      </c>
      <c r="P392" s="117">
        <v>7712</v>
      </c>
      <c r="Q392" s="111">
        <v>1176</v>
      </c>
      <c r="R392" s="117">
        <v>16.5</v>
      </c>
      <c r="S392" s="117">
        <f>453.75+204.27</f>
        <v>658.02</v>
      </c>
      <c r="T392" s="117">
        <v>0</v>
      </c>
      <c r="U392" s="117">
        <v>641.69000000000005</v>
      </c>
      <c r="V392" s="117">
        <v>4703.13</v>
      </c>
      <c r="W392" s="26">
        <f>SUM(S392:V392)</f>
        <v>6002.84</v>
      </c>
      <c r="X392" s="118">
        <f t="shared" si="212"/>
        <v>39.879999999999995</v>
      </c>
      <c r="Y392" s="119">
        <f t="shared" si="207"/>
        <v>8.3206690871369296E-2</v>
      </c>
      <c r="Z392" s="117">
        <f t="shared" si="208"/>
        <v>1709.1599999999999</v>
      </c>
      <c r="AA392" s="119">
        <f t="shared" si="209"/>
        <v>0.22162344398340247</v>
      </c>
      <c r="AB392" s="120">
        <f t="shared" si="210"/>
        <v>-2146.84</v>
      </c>
      <c r="AC392" s="119">
        <f t="shared" si="211"/>
        <v>-0.2783765560165975</v>
      </c>
      <c r="AD392" s="110" t="s">
        <v>247</v>
      </c>
      <c r="AE392" s="110"/>
      <c r="AF392" s="110"/>
      <c r="AG392" s="121"/>
    </row>
    <row r="393" spans="1:33" ht="11.25" customHeight="1" x14ac:dyDescent="0.15">
      <c r="A393" s="53" t="s">
        <v>239</v>
      </c>
      <c r="C393" s="111" t="s">
        <v>248</v>
      </c>
      <c r="D393" s="111">
        <v>2021</v>
      </c>
      <c r="E393" s="146">
        <v>44377</v>
      </c>
      <c r="F393" s="111"/>
      <c r="G393" s="111" t="s">
        <v>249</v>
      </c>
      <c r="H393" s="111"/>
      <c r="I393" s="111"/>
      <c r="J393" s="111"/>
      <c r="K393" s="112" t="s">
        <v>250</v>
      </c>
      <c r="L393" s="219">
        <f t="shared" si="204"/>
        <v>9362</v>
      </c>
      <c r="M393" s="219">
        <v>4681.03</v>
      </c>
      <c r="N393" s="219">
        <f t="shared" si="205"/>
        <v>4680.97</v>
      </c>
      <c r="O393" s="119">
        <f t="shared" si="206"/>
        <v>0.49999679555650506</v>
      </c>
      <c r="P393" s="132">
        <v>9362</v>
      </c>
      <c r="Q393" s="111"/>
      <c r="R393" s="132"/>
      <c r="S393" s="132"/>
      <c r="T393" s="132"/>
      <c r="U393" s="132"/>
      <c r="V393" s="132"/>
      <c r="W393" s="67">
        <f>SUM(S393:V393)</f>
        <v>0</v>
      </c>
      <c r="X393" s="118"/>
      <c r="Y393" s="119"/>
      <c r="Z393" s="117"/>
      <c r="AA393" s="119"/>
      <c r="AB393" s="120">
        <f t="shared" si="210"/>
        <v>4681.03</v>
      </c>
      <c r="AC393" s="119">
        <f t="shared" si="211"/>
        <v>-0.49999679555650506</v>
      </c>
      <c r="AD393" s="110" t="s">
        <v>251</v>
      </c>
      <c r="AE393" s="110"/>
      <c r="AF393" s="110"/>
      <c r="AG393" s="121"/>
    </row>
    <row r="394" spans="1:33" ht="11.25" customHeight="1" x14ac:dyDescent="0.15">
      <c r="A394" s="110" t="s">
        <v>239</v>
      </c>
      <c r="B394" s="110"/>
      <c r="C394" s="111" t="s">
        <v>58</v>
      </c>
      <c r="D394" s="111">
        <v>2021</v>
      </c>
      <c r="E394" s="146">
        <v>44377</v>
      </c>
      <c r="F394" s="111"/>
      <c r="G394" s="111" t="s">
        <v>252</v>
      </c>
      <c r="H394" s="111"/>
      <c r="I394" s="111"/>
      <c r="J394" s="111"/>
      <c r="K394" s="112" t="s">
        <v>209</v>
      </c>
      <c r="L394" s="120">
        <f t="shared" si="204"/>
        <v>12086</v>
      </c>
      <c r="M394" s="120">
        <v>1208.5999999999999</v>
      </c>
      <c r="N394" s="120">
        <f t="shared" si="205"/>
        <v>10877.4</v>
      </c>
      <c r="O394" s="119">
        <f t="shared" si="206"/>
        <v>0.9</v>
      </c>
      <c r="P394" s="117">
        <v>12086</v>
      </c>
      <c r="Q394" s="111"/>
      <c r="R394" s="117"/>
      <c r="S394" s="117"/>
      <c r="T394" s="117"/>
      <c r="U394" s="117"/>
      <c r="V394" s="117"/>
      <c r="W394" s="26">
        <f>SUM(S394:V394)</f>
        <v>0</v>
      </c>
      <c r="X394" s="118"/>
      <c r="Y394" s="119"/>
      <c r="Z394" s="117"/>
      <c r="AA394" s="119"/>
      <c r="AB394" s="120">
        <f t="shared" si="210"/>
        <v>1208.5999999999999</v>
      </c>
      <c r="AC394" s="119">
        <f t="shared" si="211"/>
        <v>-0.9</v>
      </c>
      <c r="AD394" s="110"/>
      <c r="AE394" s="110"/>
      <c r="AF394" s="110"/>
      <c r="AG394" s="121"/>
    </row>
    <row r="395" spans="1:33" s="53" customFormat="1" ht="11.25" customHeight="1" x14ac:dyDescent="0.15">
      <c r="A395" s="53" t="s">
        <v>239</v>
      </c>
      <c r="C395" s="54" t="s">
        <v>65</v>
      </c>
      <c r="D395" s="54">
        <v>2021</v>
      </c>
      <c r="E395" s="70">
        <v>44377</v>
      </c>
      <c r="F395" s="54"/>
      <c r="G395" s="54"/>
      <c r="H395" s="54"/>
      <c r="I395" s="54"/>
      <c r="J395" s="54"/>
      <c r="K395" s="106"/>
      <c r="L395" s="92">
        <f t="shared" si="204"/>
        <v>196603</v>
      </c>
      <c r="M395" s="92">
        <f>SUM(M391:M394)</f>
        <v>63895.939999999995</v>
      </c>
      <c r="N395" s="92">
        <f t="shared" si="205"/>
        <v>132707.06</v>
      </c>
      <c r="O395" s="74">
        <f t="shared" si="206"/>
        <v>0.67500017802373313</v>
      </c>
      <c r="P395" s="24">
        <f>SUM(P391:P394)</f>
        <v>196603</v>
      </c>
      <c r="Q395" s="24"/>
      <c r="R395" s="24">
        <f>SUM(R391:R394)</f>
        <v>173.5</v>
      </c>
      <c r="S395" s="24">
        <f>SUM(S391:S394)</f>
        <v>7664.26</v>
      </c>
      <c r="T395" s="24">
        <f>SUM(T391:T394)</f>
        <v>5910.7</v>
      </c>
      <c r="U395" s="24">
        <f>SUM(U391:U394)</f>
        <v>35162.630000000005</v>
      </c>
      <c r="V395" s="24">
        <f>SUM(V391:V394)</f>
        <v>4703.13</v>
      </c>
      <c r="W395" s="25">
        <f>SUM(S395:V395)</f>
        <v>53440.72</v>
      </c>
      <c r="X395" s="56">
        <f>IFERROR(S395/R395,"")</f>
        <v>44.174409221902017</v>
      </c>
      <c r="Y395" s="57">
        <f>U395/P395</f>
        <v>0.17885093309868111</v>
      </c>
      <c r="Z395" s="28">
        <f>P395-W395</f>
        <v>143162.28</v>
      </c>
      <c r="AA395" s="57">
        <f>Z395/P395</f>
        <v>0.72817952930524965</v>
      </c>
      <c r="AB395" s="120">
        <f t="shared" si="210"/>
        <v>10455.219999999994</v>
      </c>
      <c r="AC395" s="57">
        <f t="shared" si="211"/>
        <v>5.3179351281516518E-2</v>
      </c>
      <c r="AG395" s="61"/>
    </row>
    <row r="396" spans="1:33" s="53" customFormat="1" ht="11.25" customHeight="1" x14ac:dyDescent="0.15">
      <c r="A396" s="53" t="s">
        <v>239</v>
      </c>
      <c r="C396" s="54" t="s">
        <v>177</v>
      </c>
      <c r="D396" s="54">
        <v>2021</v>
      </c>
      <c r="E396" s="70">
        <v>44377</v>
      </c>
      <c r="F396" s="54"/>
      <c r="G396" s="54"/>
      <c r="H396" s="54"/>
      <c r="I396" s="54"/>
      <c r="J396" s="54"/>
      <c r="K396" s="106"/>
      <c r="L396" s="93">
        <f t="shared" si="204"/>
        <v>136810</v>
      </c>
      <c r="M396" s="93">
        <f>SUM(M386:M388)</f>
        <v>38833.81</v>
      </c>
      <c r="N396" s="93">
        <f t="shared" si="205"/>
        <v>97976.19</v>
      </c>
      <c r="O396" s="57">
        <f t="shared" si="206"/>
        <v>0.71614786930779917</v>
      </c>
      <c r="P396" s="64">
        <f>SUM(P386:P388)</f>
        <v>136810</v>
      </c>
      <c r="Q396" s="64"/>
      <c r="R396" s="64">
        <f t="shared" ref="R396:W396" si="214">SUM(R386:R388)</f>
        <v>34.5</v>
      </c>
      <c r="S396" s="64">
        <f t="shared" si="214"/>
        <v>1224.42</v>
      </c>
      <c r="T396" s="64">
        <f t="shared" si="214"/>
        <v>0</v>
      </c>
      <c r="U396" s="64">
        <f t="shared" si="214"/>
        <v>31906.880000000001</v>
      </c>
      <c r="V396" s="64">
        <f t="shared" si="214"/>
        <v>0</v>
      </c>
      <c r="W396" s="64">
        <f t="shared" si="214"/>
        <v>33131.300000000003</v>
      </c>
      <c r="X396" s="56">
        <f>IFERROR(S396/R396,"")</f>
        <v>35.490434782608695</v>
      </c>
      <c r="Y396" s="57">
        <f>U396/P396</f>
        <v>0.23322037862729333</v>
      </c>
      <c r="Z396" s="28">
        <f>P396-W396</f>
        <v>103678.7</v>
      </c>
      <c r="AA396" s="57">
        <f>Z396/P396</f>
        <v>0.75782983700021922</v>
      </c>
      <c r="AB396" s="120">
        <f t="shared" si="210"/>
        <v>5702.5099999999948</v>
      </c>
      <c r="AC396" s="57">
        <f t="shared" si="211"/>
        <v>4.1681967692420052E-2</v>
      </c>
      <c r="AG396" s="61"/>
    </row>
    <row r="397" spans="1:33" ht="11.25" customHeight="1" x14ac:dyDescent="0.15">
      <c r="A397" s="130" t="s">
        <v>53</v>
      </c>
      <c r="B397" s="130"/>
      <c r="C397" s="124"/>
      <c r="D397" s="124"/>
      <c r="E397" s="273"/>
      <c r="F397" s="124"/>
      <c r="G397" s="124"/>
      <c r="H397" s="124"/>
      <c r="I397" s="124"/>
      <c r="J397" s="124"/>
      <c r="K397" s="125"/>
      <c r="L397" s="129"/>
      <c r="M397" s="129"/>
      <c r="N397" s="129"/>
      <c r="O397" s="128"/>
      <c r="P397" s="220"/>
      <c r="Q397" s="124"/>
      <c r="R397" s="220"/>
      <c r="S397" s="220"/>
      <c r="T397" s="220"/>
      <c r="U397" s="220"/>
      <c r="V397" s="126"/>
      <c r="W397" s="230"/>
      <c r="X397" s="45"/>
      <c r="Y397" s="128"/>
      <c r="Z397" s="126"/>
      <c r="AA397" s="128"/>
      <c r="AB397" s="129"/>
      <c r="AC397" s="128"/>
      <c r="AD397" s="137"/>
      <c r="AE397" s="110"/>
      <c r="AF397" s="110"/>
      <c r="AG397" s="121"/>
    </row>
    <row r="398" spans="1:33" ht="11.25" customHeight="1" x14ac:dyDescent="0.15">
      <c r="A398" s="110" t="s">
        <v>253</v>
      </c>
      <c r="B398" s="110"/>
      <c r="C398" s="111" t="s">
        <v>37</v>
      </c>
      <c r="D398" s="111">
        <v>2021</v>
      </c>
      <c r="E398" s="146">
        <v>44408</v>
      </c>
      <c r="F398" s="111"/>
      <c r="G398" s="111">
        <v>125101211</v>
      </c>
      <c r="H398" s="111"/>
      <c r="I398" s="16" t="str">
        <f>MID(G398,2,1)</f>
        <v>2</v>
      </c>
      <c r="J398" s="16" t="s">
        <v>68</v>
      </c>
      <c r="K398" s="112" t="s">
        <v>254</v>
      </c>
      <c r="L398" s="117">
        <f>67542-SUM(L399:L401)</f>
        <v>34687.995966871167</v>
      </c>
      <c r="M398" s="120">
        <f>36708-(SUM(M399:M401))</f>
        <v>25210.46</v>
      </c>
      <c r="N398" s="120">
        <f t="shared" ref="N398:N406" si="215">L398-M398</f>
        <v>9477.5359668711681</v>
      </c>
      <c r="O398" s="119">
        <f t="shared" ref="O398:O406" si="216">N398/L398</f>
        <v>0.27322235553540497</v>
      </c>
      <c r="P398" s="117">
        <v>29542</v>
      </c>
      <c r="Q398" s="111">
        <v>1187</v>
      </c>
      <c r="R398" s="117">
        <f>15+21</f>
        <v>36</v>
      </c>
      <c r="S398" s="117">
        <f>910.44+409.78</f>
        <v>1320.22</v>
      </c>
      <c r="T398" s="117">
        <v>0</v>
      </c>
      <c r="U398" s="117">
        <v>11610.04</v>
      </c>
      <c r="V398" s="117">
        <v>0</v>
      </c>
      <c r="W398" s="26">
        <f>SUM(S398:V398)</f>
        <v>12930.26</v>
      </c>
      <c r="X398" s="118">
        <f t="shared" ref="X398:X406" si="217">IFERROR(S398/R398,"")</f>
        <v>36.672777777777782</v>
      </c>
      <c r="Y398" s="119">
        <f t="shared" ref="Y398:Y406" si="218">U398/P398</f>
        <v>0.393001150903798</v>
      </c>
      <c r="Z398" s="117">
        <f t="shared" ref="Z398:Z406" si="219">P398-W398</f>
        <v>16611.739999999998</v>
      </c>
      <c r="AA398" s="119">
        <f t="shared" ref="AA398:AA406" si="220">Z398/P398</f>
        <v>0.56230925462054016</v>
      </c>
      <c r="AB398" s="120">
        <f t="shared" ref="AB398:AB406" si="221">M398-W398</f>
        <v>12280.199999999999</v>
      </c>
      <c r="AC398" s="119">
        <f t="shared" ref="AC398:AC406" si="222">AA398-O398</f>
        <v>0.28908689908513518</v>
      </c>
      <c r="AD398" s="110" t="s">
        <v>255</v>
      </c>
      <c r="AE398" s="110"/>
      <c r="AF398" s="110"/>
      <c r="AG398" s="121"/>
    </row>
    <row r="399" spans="1:33" ht="11.25" customHeight="1" x14ac:dyDescent="0.15">
      <c r="A399" s="110" t="s">
        <v>253</v>
      </c>
      <c r="B399" s="110"/>
      <c r="C399" s="111" t="s">
        <v>37</v>
      </c>
      <c r="D399" s="111">
        <v>2021</v>
      </c>
      <c r="E399" s="146">
        <v>44408</v>
      </c>
      <c r="F399" s="111"/>
      <c r="G399" s="111">
        <v>210010211</v>
      </c>
      <c r="H399" s="111"/>
      <c r="I399" s="111"/>
      <c r="J399" s="111"/>
      <c r="K399" s="112" t="s">
        <v>256</v>
      </c>
      <c r="L399" s="117">
        <v>4304.2821519870567</v>
      </c>
      <c r="M399" s="120">
        <v>1502.95</v>
      </c>
      <c r="N399" s="120">
        <f t="shared" si="215"/>
        <v>2801.3321519870569</v>
      </c>
      <c r="O399" s="119">
        <f t="shared" si="216"/>
        <v>0.65082447039254432</v>
      </c>
      <c r="P399" s="117">
        <v>8000</v>
      </c>
      <c r="Q399" s="111">
        <v>1188</v>
      </c>
      <c r="R399" s="117">
        <v>0</v>
      </c>
      <c r="S399" s="117">
        <v>0</v>
      </c>
      <c r="T399" s="117">
        <v>0</v>
      </c>
      <c r="U399" s="131">
        <v>1396.42</v>
      </c>
      <c r="V399" s="117"/>
      <c r="W399" s="26">
        <f>SUM(S399:V399)</f>
        <v>1396.42</v>
      </c>
      <c r="X399" s="118" t="str">
        <f t="shared" si="217"/>
        <v/>
      </c>
      <c r="Y399" s="119">
        <f t="shared" si="218"/>
        <v>0.1745525</v>
      </c>
      <c r="Z399" s="117">
        <f t="shared" si="219"/>
        <v>6603.58</v>
      </c>
      <c r="AA399" s="119">
        <f t="shared" si="220"/>
        <v>0.8254475</v>
      </c>
      <c r="AB399" s="120">
        <f t="shared" si="221"/>
        <v>106.52999999999997</v>
      </c>
      <c r="AC399" s="119">
        <f t="shared" si="222"/>
        <v>0.17462302960745568</v>
      </c>
      <c r="AD399" s="110" t="s">
        <v>257</v>
      </c>
      <c r="AE399" s="110"/>
      <c r="AF399" s="110"/>
      <c r="AG399" s="121"/>
    </row>
    <row r="400" spans="1:33" ht="11.25" customHeight="1" x14ac:dyDescent="0.15">
      <c r="A400" s="110" t="s">
        <v>253</v>
      </c>
      <c r="B400" s="110"/>
      <c r="C400" s="111" t="s">
        <v>37</v>
      </c>
      <c r="D400" s="111">
        <v>2021</v>
      </c>
      <c r="E400" s="146">
        <v>44408</v>
      </c>
      <c r="F400" s="111"/>
      <c r="G400" s="111">
        <v>210100211</v>
      </c>
      <c r="H400" s="111"/>
      <c r="I400" s="111"/>
      <c r="J400" s="111"/>
      <c r="K400" s="112" t="s">
        <v>258</v>
      </c>
      <c r="L400" s="117">
        <v>8542.5561650438467</v>
      </c>
      <c r="M400" s="120">
        <v>2990.12</v>
      </c>
      <c r="N400" s="120">
        <f t="shared" si="215"/>
        <v>5552.4361650438468</v>
      </c>
      <c r="O400" s="119">
        <f t="shared" si="216"/>
        <v>0.64997362121708069</v>
      </c>
      <c r="P400" s="117">
        <v>15000</v>
      </c>
      <c r="Q400" s="111">
        <v>1189</v>
      </c>
      <c r="R400" s="117">
        <v>0</v>
      </c>
      <c r="S400" s="117">
        <v>0</v>
      </c>
      <c r="T400" s="117">
        <v>0</v>
      </c>
      <c r="U400" s="117">
        <v>3288.79</v>
      </c>
      <c r="V400" s="117"/>
      <c r="W400" s="26">
        <f>SUM(S400:V400)</f>
        <v>3288.79</v>
      </c>
      <c r="X400" s="118" t="str">
        <f t="shared" si="217"/>
        <v/>
      </c>
      <c r="Y400" s="119">
        <f t="shared" si="218"/>
        <v>0.21925266666666665</v>
      </c>
      <c r="Z400" s="117">
        <f t="shared" si="219"/>
        <v>11711.21</v>
      </c>
      <c r="AA400" s="119">
        <f t="shared" si="220"/>
        <v>0.78074733333333324</v>
      </c>
      <c r="AB400" s="120">
        <f t="shared" si="221"/>
        <v>-298.67000000000007</v>
      </c>
      <c r="AC400" s="119">
        <f t="shared" si="222"/>
        <v>0.13077371211625255</v>
      </c>
      <c r="AD400" s="110" t="s">
        <v>259</v>
      </c>
      <c r="AE400" s="110"/>
      <c r="AF400" s="110"/>
      <c r="AG400" s="121"/>
    </row>
    <row r="401" spans="1:33" ht="11.25" customHeight="1" x14ac:dyDescent="0.15">
      <c r="A401" s="110" t="s">
        <v>253</v>
      </c>
      <c r="B401" s="110"/>
      <c r="C401" s="111" t="s">
        <v>37</v>
      </c>
      <c r="D401" s="111">
        <v>2021</v>
      </c>
      <c r="E401" s="146">
        <v>44408</v>
      </c>
      <c r="F401" s="111"/>
      <c r="G401" s="111">
        <v>210500211</v>
      </c>
      <c r="H401" s="111"/>
      <c r="I401" s="111"/>
      <c r="J401" s="111"/>
      <c r="K401" s="112" t="s">
        <v>260</v>
      </c>
      <c r="L401" s="117">
        <v>20007.16571609793</v>
      </c>
      <c r="M401" s="120">
        <v>7004.47</v>
      </c>
      <c r="N401" s="120">
        <f t="shared" si="215"/>
        <v>13002.695716097929</v>
      </c>
      <c r="O401" s="119">
        <f t="shared" si="216"/>
        <v>0.64990193516695138</v>
      </c>
      <c r="P401" s="117">
        <v>15000</v>
      </c>
      <c r="Q401" s="111">
        <v>1190</v>
      </c>
      <c r="R401" s="117">
        <v>0</v>
      </c>
      <c r="S401" s="117">
        <v>0</v>
      </c>
      <c r="T401" s="117">
        <v>0</v>
      </c>
      <c r="U401" s="117">
        <v>5083.5</v>
      </c>
      <c r="V401" s="117"/>
      <c r="W401" s="26">
        <f>SUM(S401:V401)</f>
        <v>5083.5</v>
      </c>
      <c r="X401" s="118" t="str">
        <f t="shared" si="217"/>
        <v/>
      </c>
      <c r="Y401" s="119">
        <f t="shared" si="218"/>
        <v>0.33889999999999998</v>
      </c>
      <c r="Z401" s="117">
        <f t="shared" si="219"/>
        <v>9916.5</v>
      </c>
      <c r="AA401" s="119">
        <f t="shared" si="220"/>
        <v>0.66110000000000002</v>
      </c>
      <c r="AB401" s="120">
        <f t="shared" si="221"/>
        <v>1920.9700000000003</v>
      </c>
      <c r="AC401" s="119">
        <f t="shared" si="222"/>
        <v>1.1198064833048638E-2</v>
      </c>
      <c r="AD401" s="110"/>
      <c r="AE401" s="110"/>
      <c r="AF401" s="110"/>
      <c r="AG401" s="121"/>
    </row>
    <row r="402" spans="1:33" ht="11.25" customHeight="1" x14ac:dyDescent="0.15">
      <c r="A402" s="110" t="s">
        <v>253</v>
      </c>
      <c r="B402" s="110"/>
      <c r="C402" s="111" t="s">
        <v>37</v>
      </c>
      <c r="D402" s="111">
        <v>2021</v>
      </c>
      <c r="E402" s="146">
        <v>44408</v>
      </c>
      <c r="F402" s="111"/>
      <c r="G402" s="111">
        <v>510051111</v>
      </c>
      <c r="H402" s="111"/>
      <c r="I402" s="111"/>
      <c r="J402" s="111"/>
      <c r="K402" s="112" t="s">
        <v>261</v>
      </c>
      <c r="L402" s="117">
        <v>9313</v>
      </c>
      <c r="M402" s="120">
        <v>3725</v>
      </c>
      <c r="N402" s="120">
        <f t="shared" si="215"/>
        <v>5588</v>
      </c>
      <c r="O402" s="119">
        <f t="shared" si="216"/>
        <v>0.60002147535702777</v>
      </c>
      <c r="P402" s="117">
        <v>9313</v>
      </c>
      <c r="Q402" s="111">
        <v>1191</v>
      </c>
      <c r="R402" s="117">
        <v>81</v>
      </c>
      <c r="S402" s="117">
        <f>2503.71+1126.71</f>
        <v>3630.42</v>
      </c>
      <c r="T402" s="117">
        <v>3572.11</v>
      </c>
      <c r="U402" s="117">
        <v>1299.3699999999999</v>
      </c>
      <c r="V402" s="117">
        <v>0</v>
      </c>
      <c r="W402" s="26">
        <f>SUM(S402:V402)</f>
        <v>8501.9000000000015</v>
      </c>
      <c r="X402" s="118">
        <f t="shared" si="217"/>
        <v>44.82</v>
      </c>
      <c r="Y402" s="119">
        <f t="shared" si="218"/>
        <v>0.1395221733061312</v>
      </c>
      <c r="Z402" s="117">
        <f t="shared" si="219"/>
        <v>811.09999999999854</v>
      </c>
      <c r="AA402" s="119">
        <f t="shared" si="220"/>
        <v>8.7093310426285681E-2</v>
      </c>
      <c r="AB402" s="120">
        <f t="shared" si="221"/>
        <v>-4776.9000000000015</v>
      </c>
      <c r="AC402" s="119">
        <f t="shared" si="222"/>
        <v>-0.51292816493074211</v>
      </c>
      <c r="AD402" s="110" t="s">
        <v>262</v>
      </c>
      <c r="AE402" s="110"/>
      <c r="AF402" s="110"/>
      <c r="AG402" s="121"/>
    </row>
    <row r="403" spans="1:33" s="53" customFormat="1" ht="11.25" customHeight="1" x14ac:dyDescent="0.15">
      <c r="A403" s="53" t="s">
        <v>253</v>
      </c>
      <c r="C403" s="54" t="s">
        <v>54</v>
      </c>
      <c r="D403" s="54">
        <v>2021</v>
      </c>
      <c r="E403" s="70">
        <v>44408</v>
      </c>
      <c r="F403" s="54"/>
      <c r="G403" s="54"/>
      <c r="H403" s="54"/>
      <c r="I403" s="54"/>
      <c r="J403" s="54"/>
      <c r="K403" s="106"/>
      <c r="L403" s="24">
        <f>SUM(L398:L402)</f>
        <v>76855</v>
      </c>
      <c r="M403" s="24">
        <f>SUM(M398:M402)</f>
        <v>40433</v>
      </c>
      <c r="N403" s="92">
        <f t="shared" si="215"/>
        <v>36422</v>
      </c>
      <c r="O403" s="74">
        <f t="shared" si="216"/>
        <v>0.47390540628456185</v>
      </c>
      <c r="P403" s="24">
        <f>SUM(P398:P402)</f>
        <v>76855</v>
      </c>
      <c r="Q403" s="24"/>
      <c r="R403" s="24">
        <f t="shared" ref="R403:W403" si="223">SUM(R398:R402)</f>
        <v>117</v>
      </c>
      <c r="S403" s="24">
        <f t="shared" si="223"/>
        <v>4950.6400000000003</v>
      </c>
      <c r="T403" s="24">
        <f t="shared" si="223"/>
        <v>3572.11</v>
      </c>
      <c r="U403" s="24">
        <f t="shared" si="223"/>
        <v>22678.12</v>
      </c>
      <c r="V403" s="24">
        <f t="shared" si="223"/>
        <v>0</v>
      </c>
      <c r="W403" s="24">
        <f t="shared" si="223"/>
        <v>31200.870000000003</v>
      </c>
      <c r="X403" s="56">
        <f t="shared" si="217"/>
        <v>42.313162393162393</v>
      </c>
      <c r="Y403" s="57">
        <f t="shared" si="218"/>
        <v>0.29507670288205062</v>
      </c>
      <c r="Z403" s="28">
        <f t="shared" si="219"/>
        <v>45654.13</v>
      </c>
      <c r="AA403" s="57">
        <f t="shared" si="220"/>
        <v>0.59402940602433152</v>
      </c>
      <c r="AB403" s="120">
        <f t="shared" si="221"/>
        <v>9232.1299999999974</v>
      </c>
      <c r="AC403" s="57">
        <f t="shared" si="222"/>
        <v>0.12012399973976967</v>
      </c>
      <c r="AG403" s="61"/>
    </row>
    <row r="404" spans="1:33" ht="11.25" customHeight="1" x14ac:dyDescent="0.15">
      <c r="A404" s="110" t="s">
        <v>253</v>
      </c>
      <c r="B404" s="110"/>
      <c r="C404" s="111" t="s">
        <v>55</v>
      </c>
      <c r="D404" s="111">
        <v>2021</v>
      </c>
      <c r="E404" s="146">
        <v>44408</v>
      </c>
      <c r="F404" s="111"/>
      <c r="G404" s="111" t="s">
        <v>56</v>
      </c>
      <c r="H404" s="111"/>
      <c r="I404" s="111"/>
      <c r="J404" s="111"/>
      <c r="K404" s="112" t="s">
        <v>71</v>
      </c>
      <c r="L404" s="132">
        <v>8112</v>
      </c>
      <c r="M404" s="132">
        <v>4056</v>
      </c>
      <c r="N404" s="219">
        <f t="shared" si="215"/>
        <v>4056</v>
      </c>
      <c r="O404" s="119">
        <f t="shared" si="216"/>
        <v>0.5</v>
      </c>
      <c r="P404" s="132">
        <v>8112</v>
      </c>
      <c r="Q404" s="111">
        <v>1192</v>
      </c>
      <c r="R404" s="132">
        <v>16</v>
      </c>
      <c r="S404" s="132">
        <f>440+198.08</f>
        <v>638.08000000000004</v>
      </c>
      <c r="T404" s="132">
        <v>0</v>
      </c>
      <c r="U404" s="132">
        <v>641.69000000000005</v>
      </c>
      <c r="V404" s="132">
        <v>4833</v>
      </c>
      <c r="W404" s="67">
        <f>SUM(S404:V404)</f>
        <v>6112.77</v>
      </c>
      <c r="X404" s="118">
        <f t="shared" si="217"/>
        <v>39.880000000000003</v>
      </c>
      <c r="Y404" s="119">
        <f t="shared" si="218"/>
        <v>7.9103796844181465E-2</v>
      </c>
      <c r="Z404" s="117">
        <f t="shared" si="219"/>
        <v>1999.2299999999996</v>
      </c>
      <c r="AA404" s="119">
        <f t="shared" si="220"/>
        <v>0.24645340236686386</v>
      </c>
      <c r="AB404" s="120">
        <f t="shared" si="221"/>
        <v>-2056.7700000000004</v>
      </c>
      <c r="AC404" s="119">
        <f t="shared" si="222"/>
        <v>-0.25354659763313614</v>
      </c>
      <c r="AD404" s="110" t="s">
        <v>263</v>
      </c>
      <c r="AE404" s="110"/>
      <c r="AF404" s="110"/>
      <c r="AG404" s="121"/>
    </row>
    <row r="405" spans="1:33" s="53" customFormat="1" ht="11.25" customHeight="1" x14ac:dyDescent="0.15">
      <c r="A405" s="53" t="s">
        <v>253</v>
      </c>
      <c r="C405" s="54" t="s">
        <v>65</v>
      </c>
      <c r="D405" s="54">
        <v>2021</v>
      </c>
      <c r="E405" s="70">
        <v>44408</v>
      </c>
      <c r="F405" s="54"/>
      <c r="G405" s="54"/>
      <c r="H405" s="54"/>
      <c r="I405" s="54"/>
      <c r="J405" s="54"/>
      <c r="K405" s="106"/>
      <c r="L405" s="24">
        <f>SUM(L403:L404)</f>
        <v>84967</v>
      </c>
      <c r="M405" s="48">
        <f>SUM(M403:M404)</f>
        <v>44489</v>
      </c>
      <c r="N405" s="92">
        <f t="shared" si="215"/>
        <v>40478</v>
      </c>
      <c r="O405" s="74">
        <f t="shared" si="216"/>
        <v>0.47639671872609368</v>
      </c>
      <c r="P405" s="24">
        <f>SUM(P403:P404)</f>
        <v>84967</v>
      </c>
      <c r="Q405" s="24"/>
      <c r="R405" s="24">
        <f t="shared" ref="R405:W405" si="224">SUM(R403:R404)</f>
        <v>133</v>
      </c>
      <c r="S405" s="24">
        <f t="shared" si="224"/>
        <v>5588.72</v>
      </c>
      <c r="T405" s="24">
        <f t="shared" si="224"/>
        <v>3572.11</v>
      </c>
      <c r="U405" s="24">
        <f t="shared" si="224"/>
        <v>23319.809999999998</v>
      </c>
      <c r="V405" s="24">
        <f t="shared" si="224"/>
        <v>4833</v>
      </c>
      <c r="W405" s="24">
        <f t="shared" si="224"/>
        <v>37313.64</v>
      </c>
      <c r="X405" s="56">
        <f t="shared" si="217"/>
        <v>42.020451127819548</v>
      </c>
      <c r="Y405" s="57">
        <f t="shared" si="218"/>
        <v>0.27445725987736413</v>
      </c>
      <c r="Z405" s="28">
        <f t="shared" si="219"/>
        <v>47653.36</v>
      </c>
      <c r="AA405" s="76">
        <f t="shared" si="220"/>
        <v>0.56084550472536399</v>
      </c>
      <c r="AB405" s="120">
        <f t="shared" si="221"/>
        <v>7175.3600000000006</v>
      </c>
      <c r="AC405" s="57">
        <f t="shared" si="222"/>
        <v>8.4448785999270304E-2</v>
      </c>
      <c r="AG405" s="61"/>
    </row>
    <row r="406" spans="1:33" s="53" customFormat="1" ht="11.25" customHeight="1" x14ac:dyDescent="0.15">
      <c r="A406" s="53" t="s">
        <v>253</v>
      </c>
      <c r="C406" s="54" t="s">
        <v>177</v>
      </c>
      <c r="D406" s="54">
        <v>2021</v>
      </c>
      <c r="E406" s="70">
        <v>44408</v>
      </c>
      <c r="F406" s="54"/>
      <c r="G406" s="54"/>
      <c r="H406" s="54"/>
      <c r="I406" s="54"/>
      <c r="J406" s="54"/>
      <c r="K406" s="106"/>
      <c r="L406" s="28">
        <f>SUM(L398:L401)</f>
        <v>67542</v>
      </c>
      <c r="M406" s="48">
        <f>SUM(M398:M401)</f>
        <v>36708</v>
      </c>
      <c r="N406" s="93">
        <f t="shared" si="215"/>
        <v>30834</v>
      </c>
      <c r="O406" s="73">
        <f t="shared" si="216"/>
        <v>0.45651594563382786</v>
      </c>
      <c r="P406" s="28">
        <f>SUM(P398:P401)</f>
        <v>67542</v>
      </c>
      <c r="Q406" s="28"/>
      <c r="R406" s="28">
        <f t="shared" ref="R406:W406" si="225">SUM(R398:R401)</f>
        <v>36</v>
      </c>
      <c r="S406" s="28">
        <f t="shared" si="225"/>
        <v>1320.22</v>
      </c>
      <c r="T406" s="28">
        <f t="shared" si="225"/>
        <v>0</v>
      </c>
      <c r="U406" s="28">
        <f t="shared" si="225"/>
        <v>21378.75</v>
      </c>
      <c r="V406" s="28">
        <f t="shared" si="225"/>
        <v>0</v>
      </c>
      <c r="W406" s="28">
        <f t="shared" si="225"/>
        <v>22698.97</v>
      </c>
      <c r="X406" s="56">
        <f t="shared" si="217"/>
        <v>36.672777777777782</v>
      </c>
      <c r="Y406" s="57">
        <f t="shared" si="218"/>
        <v>0.31652527316336504</v>
      </c>
      <c r="Z406" s="28">
        <f t="shared" si="219"/>
        <v>44843.03</v>
      </c>
      <c r="AA406" s="57">
        <f t="shared" si="220"/>
        <v>0.66392807438334667</v>
      </c>
      <c r="AB406" s="120">
        <f t="shared" si="221"/>
        <v>14009.029999999999</v>
      </c>
      <c r="AC406" s="57">
        <f t="shared" si="222"/>
        <v>0.20741212874951881</v>
      </c>
      <c r="AG406" s="61"/>
    </row>
    <row r="407" spans="1:33" ht="11.25" customHeight="1" x14ac:dyDescent="0.15">
      <c r="A407" s="130" t="s">
        <v>53</v>
      </c>
      <c r="B407" s="130"/>
      <c r="C407" s="124"/>
      <c r="D407" s="124"/>
      <c r="E407" s="273"/>
      <c r="F407" s="124"/>
      <c r="G407" s="124"/>
      <c r="H407" s="124"/>
      <c r="I407" s="124"/>
      <c r="J407" s="124"/>
      <c r="K407" s="125"/>
      <c r="L407" s="129"/>
      <c r="M407" s="129"/>
      <c r="N407" s="129"/>
      <c r="O407" s="128"/>
      <c r="P407" s="129"/>
      <c r="Q407" s="124"/>
      <c r="R407" s="129"/>
      <c r="S407" s="129"/>
      <c r="T407" s="129"/>
      <c r="U407" s="129"/>
      <c r="V407" s="126"/>
      <c r="W407" s="49"/>
      <c r="X407" s="45"/>
      <c r="Y407" s="128"/>
      <c r="Z407" s="126"/>
      <c r="AA407" s="128"/>
      <c r="AB407" s="129"/>
      <c r="AC407" s="128"/>
      <c r="AD407" s="137"/>
      <c r="AE407" s="110"/>
      <c r="AF407" s="110"/>
      <c r="AG407" s="121"/>
    </row>
    <row r="408" spans="1:33" ht="11.25" customHeight="1" x14ac:dyDescent="0.15">
      <c r="A408" s="110" t="s">
        <v>264</v>
      </c>
      <c r="B408" s="110"/>
      <c r="C408" s="111" t="s">
        <v>37</v>
      </c>
      <c r="D408" s="111">
        <v>2021</v>
      </c>
      <c r="E408" s="146">
        <v>44408</v>
      </c>
      <c r="F408" s="111"/>
      <c r="G408" s="111">
        <v>125101121</v>
      </c>
      <c r="H408" s="111"/>
      <c r="I408" s="16" t="str">
        <f>MID(G408,2,1)</f>
        <v>2</v>
      </c>
      <c r="J408" s="16" t="s">
        <v>68</v>
      </c>
      <c r="K408" s="112" t="s">
        <v>265</v>
      </c>
      <c r="L408" s="117">
        <v>80848</v>
      </c>
      <c r="M408" s="120">
        <f>40165-M409</f>
        <v>32582.6</v>
      </c>
      <c r="N408" s="120">
        <f t="shared" ref="N408:N413" si="226">L408-M408</f>
        <v>48265.4</v>
      </c>
      <c r="O408" s="119">
        <f t="shared" ref="O408:O418" si="227">N408/L408</f>
        <v>0.59698941223035817</v>
      </c>
      <c r="P408" s="117">
        <v>80844</v>
      </c>
      <c r="Q408" s="111">
        <v>1181</v>
      </c>
      <c r="R408" s="117">
        <f>18.5+93</f>
        <v>111.5</v>
      </c>
      <c r="S408" s="117">
        <f>2735.96+1231.42</f>
        <v>3967.38</v>
      </c>
      <c r="T408" s="117">
        <v>0</v>
      </c>
      <c r="U408" s="117">
        <v>27257.98</v>
      </c>
      <c r="V408" s="117">
        <v>0</v>
      </c>
      <c r="W408" s="26">
        <f t="shared" ref="W408:W413" si="228">SUM(S408:V408)</f>
        <v>31225.360000000001</v>
      </c>
      <c r="X408" s="118">
        <f t="shared" ref="X408:X415" si="229">IFERROR(S408/R408,"")</f>
        <v>35.581883408071747</v>
      </c>
      <c r="Y408" s="119">
        <f t="shared" ref="Y408:Y415" si="230">U408/P408</f>
        <v>0.33716763148780365</v>
      </c>
      <c r="Z408" s="117">
        <f t="shared" ref="Z408:Z415" si="231">P408-W408</f>
        <v>49618.64</v>
      </c>
      <c r="AA408" s="119">
        <f t="shared" ref="AA408:AA415" si="232">Z408/P408</f>
        <v>0.61375785463361532</v>
      </c>
      <c r="AB408" s="120">
        <f t="shared" ref="AB408:AB418" si="233">M408-W408</f>
        <v>1357.239999999998</v>
      </c>
      <c r="AC408" s="119">
        <f>AA408-O408</f>
        <v>1.6768442403257144E-2</v>
      </c>
      <c r="AD408" s="110"/>
      <c r="AE408" s="110"/>
      <c r="AF408" s="110"/>
      <c r="AG408" s="121"/>
    </row>
    <row r="409" spans="1:33" ht="11.25" customHeight="1" x14ac:dyDescent="0.15">
      <c r="A409" s="110" t="s">
        <v>264</v>
      </c>
      <c r="B409" s="110"/>
      <c r="C409" s="111" t="s">
        <v>37</v>
      </c>
      <c r="D409" s="111">
        <v>2021</v>
      </c>
      <c r="E409" s="146">
        <v>44408</v>
      </c>
      <c r="F409" s="111"/>
      <c r="G409" s="111">
        <v>220100111</v>
      </c>
      <c r="H409" s="111"/>
      <c r="I409" s="111"/>
      <c r="J409" s="111"/>
      <c r="K409" s="112" t="s">
        <v>242</v>
      </c>
      <c r="L409" s="132">
        <v>15000</v>
      </c>
      <c r="M409" s="219">
        <v>7582.4</v>
      </c>
      <c r="N409" s="219">
        <f t="shared" si="226"/>
        <v>7417.6</v>
      </c>
      <c r="O409" s="163">
        <f t="shared" si="227"/>
        <v>0.49450666666666671</v>
      </c>
      <c r="P409" s="132">
        <v>15000</v>
      </c>
      <c r="Q409" s="111">
        <v>1182</v>
      </c>
      <c r="R409" s="132">
        <v>0</v>
      </c>
      <c r="S409" s="132">
        <v>0</v>
      </c>
      <c r="T409" s="132">
        <v>0</v>
      </c>
      <c r="U409" s="132">
        <v>9650.2800000000007</v>
      </c>
      <c r="V409" s="132">
        <v>0</v>
      </c>
      <c r="W409" s="67">
        <f t="shared" si="228"/>
        <v>9650.2800000000007</v>
      </c>
      <c r="X409" s="118" t="str">
        <f t="shared" si="229"/>
        <v/>
      </c>
      <c r="Y409" s="119">
        <f t="shared" si="230"/>
        <v>0.64335200000000003</v>
      </c>
      <c r="Z409" s="117">
        <f t="shared" si="231"/>
        <v>5349.7199999999993</v>
      </c>
      <c r="AA409" s="119">
        <f t="shared" si="232"/>
        <v>0.35664799999999997</v>
      </c>
      <c r="AB409" s="120">
        <f t="shared" si="233"/>
        <v>-2067.880000000001</v>
      </c>
      <c r="AC409" s="119">
        <f>AA409-O409</f>
        <v>-0.13785866666666674</v>
      </c>
      <c r="AD409" s="110" t="s">
        <v>243</v>
      </c>
      <c r="AE409" s="110"/>
      <c r="AF409" s="110"/>
      <c r="AG409" s="121"/>
    </row>
    <row r="410" spans="1:33" ht="11.25" customHeight="1" x14ac:dyDescent="0.15">
      <c r="A410" s="110" t="s">
        <v>264</v>
      </c>
      <c r="B410" s="110"/>
      <c r="C410" s="111" t="s">
        <v>37</v>
      </c>
      <c r="D410" s="111">
        <v>2021</v>
      </c>
      <c r="E410" s="146">
        <v>44408</v>
      </c>
      <c r="F410" s="111"/>
      <c r="G410" s="111">
        <v>210500111</v>
      </c>
      <c r="H410" s="111"/>
      <c r="I410" s="111"/>
      <c r="J410" s="111"/>
      <c r="K410" s="112" t="s">
        <v>266</v>
      </c>
      <c r="L410" s="117">
        <v>15000</v>
      </c>
      <c r="M410" s="120">
        <v>7005</v>
      </c>
      <c r="N410" s="120">
        <f t="shared" si="226"/>
        <v>7995</v>
      </c>
      <c r="O410" s="119">
        <f t="shared" si="227"/>
        <v>0.53300000000000003</v>
      </c>
      <c r="P410" s="117">
        <v>15000</v>
      </c>
      <c r="Q410" s="111">
        <v>1183</v>
      </c>
      <c r="R410" s="117">
        <v>0</v>
      </c>
      <c r="S410" s="117">
        <v>0</v>
      </c>
      <c r="T410" s="117">
        <v>0</v>
      </c>
      <c r="U410" s="117">
        <v>6971.25</v>
      </c>
      <c r="V410" s="117">
        <v>0</v>
      </c>
      <c r="W410" s="26">
        <f t="shared" si="228"/>
        <v>6971.25</v>
      </c>
      <c r="X410" s="118" t="str">
        <f t="shared" si="229"/>
        <v/>
      </c>
      <c r="Y410" s="119">
        <f t="shared" si="230"/>
        <v>0.46475</v>
      </c>
      <c r="Z410" s="117">
        <f t="shared" si="231"/>
        <v>8028.75</v>
      </c>
      <c r="AA410" s="119">
        <f t="shared" si="232"/>
        <v>0.53525</v>
      </c>
      <c r="AB410" s="120">
        <f t="shared" si="233"/>
        <v>33.75</v>
      </c>
      <c r="AC410" s="119">
        <f>AA410-O410</f>
        <v>2.2499999999999742E-3</v>
      </c>
      <c r="AD410" s="110"/>
      <c r="AE410" s="110"/>
      <c r="AF410" s="110"/>
      <c r="AG410" s="121"/>
    </row>
    <row r="411" spans="1:33" ht="11.25" customHeight="1" x14ac:dyDescent="0.15">
      <c r="A411" s="110" t="s">
        <v>264</v>
      </c>
      <c r="B411" s="110"/>
      <c r="C411" s="111" t="s">
        <v>37</v>
      </c>
      <c r="D411" s="111">
        <v>2021</v>
      </c>
      <c r="E411" s="146">
        <v>44408</v>
      </c>
      <c r="F411" s="111"/>
      <c r="G411" s="111">
        <v>310800201</v>
      </c>
      <c r="H411" s="111"/>
      <c r="I411" s="111"/>
      <c r="J411" s="111"/>
      <c r="K411" s="112" t="s">
        <v>267</v>
      </c>
      <c r="L411" s="117">
        <v>25656</v>
      </c>
      <c r="M411" s="120">
        <v>11317</v>
      </c>
      <c r="N411" s="120">
        <f t="shared" si="226"/>
        <v>14339</v>
      </c>
      <c r="O411" s="119">
        <f t="shared" si="227"/>
        <v>0.55889460555035864</v>
      </c>
      <c r="P411" s="117">
        <v>25656</v>
      </c>
      <c r="Q411" s="111">
        <v>1184</v>
      </c>
      <c r="R411" s="117">
        <f>14+17.5</f>
        <v>31.5</v>
      </c>
      <c r="S411" s="117">
        <f>799.26+359.74</f>
        <v>1159</v>
      </c>
      <c r="T411" s="117">
        <v>0</v>
      </c>
      <c r="U411" s="117">
        <v>11432.73</v>
      </c>
      <c r="V411" s="117">
        <v>0</v>
      </c>
      <c r="W411" s="26">
        <f t="shared" si="228"/>
        <v>12591.73</v>
      </c>
      <c r="X411" s="118">
        <f t="shared" si="229"/>
        <v>36.793650793650791</v>
      </c>
      <c r="Y411" s="119">
        <f t="shared" si="230"/>
        <v>0.44561623012160895</v>
      </c>
      <c r="Z411" s="117">
        <f t="shared" si="231"/>
        <v>13064.27</v>
      </c>
      <c r="AA411" s="119">
        <f t="shared" si="232"/>
        <v>0.50920915185531657</v>
      </c>
      <c r="AB411" s="120">
        <f t="shared" si="233"/>
        <v>-1274.7299999999996</v>
      </c>
      <c r="AC411" s="119">
        <f>AA411-O411</f>
        <v>-4.968545369504207E-2</v>
      </c>
      <c r="AD411" s="110"/>
      <c r="AE411" s="110"/>
      <c r="AF411" s="110"/>
      <c r="AG411" s="121"/>
    </row>
    <row r="412" spans="1:33" ht="11.25" customHeight="1" x14ac:dyDescent="0.15">
      <c r="A412" s="110" t="s">
        <v>264</v>
      </c>
      <c r="B412" s="110"/>
      <c r="C412" s="111" t="s">
        <v>37</v>
      </c>
      <c r="D412" s="111">
        <v>2021</v>
      </c>
      <c r="E412" s="146">
        <v>44408</v>
      </c>
      <c r="F412" s="111"/>
      <c r="G412" s="111">
        <v>525101121</v>
      </c>
      <c r="H412" s="111"/>
      <c r="I412" s="111"/>
      <c r="J412" s="111"/>
      <c r="K412" s="112" t="s">
        <v>268</v>
      </c>
      <c r="L412" s="117">
        <v>19000</v>
      </c>
      <c r="M412" s="120">
        <v>19665</v>
      </c>
      <c r="N412" s="120">
        <f t="shared" si="226"/>
        <v>-665</v>
      </c>
      <c r="O412" s="119">
        <f t="shared" si="227"/>
        <v>-3.5000000000000003E-2</v>
      </c>
      <c r="P412" s="132">
        <v>19000</v>
      </c>
      <c r="Q412" s="111">
        <v>1185</v>
      </c>
      <c r="R412" s="132">
        <v>47</v>
      </c>
      <c r="S412" s="132">
        <f>1452.77+653.77</f>
        <v>2106.54</v>
      </c>
      <c r="T412" s="132">
        <v>4604.66</v>
      </c>
      <c r="U412" s="132">
        <v>1742.21</v>
      </c>
      <c r="V412" s="132">
        <v>0</v>
      </c>
      <c r="W412" s="67">
        <f t="shared" si="228"/>
        <v>8453.41</v>
      </c>
      <c r="X412" s="118">
        <f t="shared" si="229"/>
        <v>44.82</v>
      </c>
      <c r="Y412" s="119">
        <f t="shared" si="230"/>
        <v>9.1695263157894738E-2</v>
      </c>
      <c r="Z412" s="117">
        <f t="shared" si="231"/>
        <v>10546.59</v>
      </c>
      <c r="AA412" s="119">
        <f t="shared" si="232"/>
        <v>0.55508368421052634</v>
      </c>
      <c r="AB412" s="120">
        <f t="shared" si="233"/>
        <v>11211.59</v>
      </c>
      <c r="AC412" s="119">
        <f>AA412+O412</f>
        <v>0.52008368421052631</v>
      </c>
      <c r="AD412" s="110" t="s">
        <v>269</v>
      </c>
      <c r="AE412" s="110"/>
      <c r="AF412" s="110"/>
      <c r="AG412" s="121"/>
    </row>
    <row r="413" spans="1:33" ht="11.25" customHeight="1" x14ac:dyDescent="0.15">
      <c r="A413" s="110" t="s">
        <v>264</v>
      </c>
      <c r="B413" s="110"/>
      <c r="C413" s="111" t="s">
        <v>49</v>
      </c>
      <c r="D413" s="111">
        <v>2021</v>
      </c>
      <c r="E413" s="146">
        <v>44408</v>
      </c>
      <c r="F413" s="111"/>
      <c r="G413" s="111">
        <v>626320121</v>
      </c>
      <c r="H413" s="111"/>
      <c r="I413" s="111"/>
      <c r="J413" s="111"/>
      <c r="K413" s="112" t="s">
        <v>270</v>
      </c>
      <c r="L413" s="117">
        <v>3500</v>
      </c>
      <c r="M413" s="120">
        <v>1750</v>
      </c>
      <c r="N413" s="120">
        <f t="shared" si="226"/>
        <v>1750</v>
      </c>
      <c r="O413" s="119">
        <f t="shared" si="227"/>
        <v>0.5</v>
      </c>
      <c r="P413" s="117">
        <v>3500</v>
      </c>
      <c r="Q413" s="111">
        <v>1186</v>
      </c>
      <c r="R413" s="117">
        <v>64</v>
      </c>
      <c r="S413" s="117">
        <f>2513.92+1131.52</f>
        <v>3645.44</v>
      </c>
      <c r="T413" s="117">
        <v>3149.97</v>
      </c>
      <c r="U413" s="117">
        <v>2127.75</v>
      </c>
      <c r="V413" s="117">
        <v>0</v>
      </c>
      <c r="W413" s="26">
        <f t="shared" si="228"/>
        <v>8923.16</v>
      </c>
      <c r="X413" s="118">
        <f t="shared" si="229"/>
        <v>56.96</v>
      </c>
      <c r="Y413" s="119">
        <f t="shared" si="230"/>
        <v>0.60792857142857137</v>
      </c>
      <c r="Z413" s="117">
        <f t="shared" si="231"/>
        <v>-5423.16</v>
      </c>
      <c r="AA413" s="119">
        <f t="shared" si="232"/>
        <v>-1.5494742857142856</v>
      </c>
      <c r="AB413" s="120">
        <f t="shared" si="233"/>
        <v>-7173.16</v>
      </c>
      <c r="AC413" s="119">
        <f t="shared" ref="AC413:AC418" si="234">AA413-O413</f>
        <v>-2.0494742857142856</v>
      </c>
      <c r="AD413" s="110" t="s">
        <v>271</v>
      </c>
      <c r="AE413" s="110"/>
      <c r="AF413" s="110"/>
      <c r="AG413" s="121"/>
    </row>
    <row r="414" spans="1:33" s="53" customFormat="1" ht="11.25" customHeight="1" x14ac:dyDescent="0.15">
      <c r="A414" s="53" t="s">
        <v>264</v>
      </c>
      <c r="C414" s="54" t="s">
        <v>54</v>
      </c>
      <c r="D414" s="54">
        <v>2021</v>
      </c>
      <c r="E414" s="70">
        <v>44408</v>
      </c>
      <c r="F414" s="54"/>
      <c r="G414" s="54"/>
      <c r="H414" s="54"/>
      <c r="I414" s="54"/>
      <c r="J414" s="54"/>
      <c r="K414" s="106"/>
      <c r="L414" s="24">
        <f>SUM(L408:L413)</f>
        <v>159004</v>
      </c>
      <c r="M414" s="24">
        <f>SUM(M408:M413)</f>
        <v>79902</v>
      </c>
      <c r="N414" s="24">
        <f>SUM(N408:N413)</f>
        <v>79102</v>
      </c>
      <c r="O414" s="74">
        <f t="shared" si="227"/>
        <v>0.49748434001660335</v>
      </c>
      <c r="P414" s="24">
        <f>SUM(P408:P413)</f>
        <v>159000</v>
      </c>
      <c r="Q414" s="24"/>
      <c r="R414" s="24">
        <f t="shared" ref="R414:W414" si="235">SUM(R408:R413)</f>
        <v>254</v>
      </c>
      <c r="S414" s="24">
        <f t="shared" si="235"/>
        <v>10878.36</v>
      </c>
      <c r="T414" s="24">
        <f t="shared" si="235"/>
        <v>7754.6299999999992</v>
      </c>
      <c r="U414" s="24">
        <f t="shared" si="235"/>
        <v>59182.200000000004</v>
      </c>
      <c r="V414" s="24">
        <f t="shared" si="235"/>
        <v>0</v>
      </c>
      <c r="W414" s="24">
        <f t="shared" si="235"/>
        <v>77815.19</v>
      </c>
      <c r="X414" s="56">
        <f t="shared" si="229"/>
        <v>42.828188976377952</v>
      </c>
      <c r="Y414" s="57">
        <f t="shared" si="230"/>
        <v>0.37221509433962269</v>
      </c>
      <c r="Z414" s="28">
        <f t="shared" si="231"/>
        <v>81184.81</v>
      </c>
      <c r="AA414" s="57">
        <f t="shared" si="232"/>
        <v>0.51059628930817613</v>
      </c>
      <c r="AB414" s="120">
        <f t="shared" si="233"/>
        <v>2086.8099999999977</v>
      </c>
      <c r="AC414" s="57">
        <f t="shared" si="234"/>
        <v>1.3111949291572778E-2</v>
      </c>
      <c r="AG414" s="61"/>
    </row>
    <row r="415" spans="1:33" ht="11.25" customHeight="1" x14ac:dyDescent="0.15">
      <c r="A415" s="110" t="s">
        <v>264</v>
      </c>
      <c r="B415" s="110"/>
      <c r="C415" s="111" t="s">
        <v>55</v>
      </c>
      <c r="D415" s="111">
        <v>2021</v>
      </c>
      <c r="E415" s="146">
        <v>44408</v>
      </c>
      <c r="F415" s="111"/>
      <c r="G415" s="111" t="s">
        <v>56</v>
      </c>
      <c r="H415" s="111"/>
      <c r="I415" s="111"/>
      <c r="J415" s="111"/>
      <c r="K415" s="112" t="s">
        <v>71</v>
      </c>
      <c r="L415" s="117">
        <v>7082</v>
      </c>
      <c r="M415" s="120">
        <v>0</v>
      </c>
      <c r="N415" s="120">
        <f>L415-M415</f>
        <v>7082</v>
      </c>
      <c r="O415" s="163">
        <f t="shared" si="227"/>
        <v>1</v>
      </c>
      <c r="P415" s="132">
        <v>4156</v>
      </c>
      <c r="Q415" s="111">
        <v>1193</v>
      </c>
      <c r="R415" s="132">
        <v>22</v>
      </c>
      <c r="S415" s="132">
        <f>605+272.36</f>
        <v>877.36</v>
      </c>
      <c r="T415" s="132">
        <v>0</v>
      </c>
      <c r="U415" s="132">
        <v>1299.77</v>
      </c>
      <c r="V415" s="132">
        <v>5327.22</v>
      </c>
      <c r="W415" s="67">
        <f>SUM(S415:V415)</f>
        <v>7504.35</v>
      </c>
      <c r="X415" s="118">
        <f t="shared" si="229"/>
        <v>39.880000000000003</v>
      </c>
      <c r="Y415" s="119">
        <f t="shared" si="230"/>
        <v>0.31274542829643887</v>
      </c>
      <c r="Z415" s="117">
        <f t="shared" si="231"/>
        <v>-3348.3500000000004</v>
      </c>
      <c r="AA415" s="119">
        <f t="shared" si="232"/>
        <v>-0.80566650625601544</v>
      </c>
      <c r="AB415" s="120">
        <f t="shared" si="233"/>
        <v>-7504.35</v>
      </c>
      <c r="AC415" s="119">
        <f t="shared" si="234"/>
        <v>-1.8056665062560153</v>
      </c>
      <c r="AD415" s="110" t="s">
        <v>272</v>
      </c>
      <c r="AE415" s="110"/>
      <c r="AF415" s="110"/>
      <c r="AG415" s="121"/>
    </row>
    <row r="416" spans="1:33" ht="11.25" customHeight="1" x14ac:dyDescent="0.15">
      <c r="A416" s="110" t="s">
        <v>264</v>
      </c>
      <c r="B416" s="110"/>
      <c r="C416" s="111" t="s">
        <v>58</v>
      </c>
      <c r="D416" s="111">
        <v>2021</v>
      </c>
      <c r="E416" s="146">
        <v>44408</v>
      </c>
      <c r="F416" s="111"/>
      <c r="G416" s="111" t="s">
        <v>273</v>
      </c>
      <c r="H416" s="111"/>
      <c r="I416" s="111"/>
      <c r="J416" s="111"/>
      <c r="K416" s="112" t="s">
        <v>209</v>
      </c>
      <c r="L416" s="117">
        <v>42283</v>
      </c>
      <c r="M416" s="120">
        <v>3221</v>
      </c>
      <c r="N416" s="120">
        <f>L416-M416</f>
        <v>39062</v>
      </c>
      <c r="O416" s="164">
        <f t="shared" si="227"/>
        <v>0.92382281295083135</v>
      </c>
      <c r="P416" s="117">
        <v>42283</v>
      </c>
      <c r="Q416" s="111"/>
      <c r="R416" s="117"/>
      <c r="S416" s="117"/>
      <c r="T416" s="117"/>
      <c r="U416" s="117"/>
      <c r="V416" s="117"/>
      <c r="X416" s="118"/>
      <c r="Y416" s="119"/>
      <c r="Z416" s="117"/>
      <c r="AA416" s="119"/>
      <c r="AB416" s="120">
        <f t="shared" si="233"/>
        <v>3221</v>
      </c>
      <c r="AC416" s="119">
        <f t="shared" si="234"/>
        <v>-0.92382281295083135</v>
      </c>
      <c r="AD416" s="110" t="s">
        <v>274</v>
      </c>
      <c r="AE416" s="110"/>
      <c r="AF416" s="110"/>
      <c r="AG416" s="121"/>
    </row>
    <row r="417" spans="1:33" s="53" customFormat="1" ht="11.25" customHeight="1" x14ac:dyDescent="0.15">
      <c r="A417" s="53" t="s">
        <v>264</v>
      </c>
      <c r="C417" s="54" t="s">
        <v>65</v>
      </c>
      <c r="D417" s="54">
        <v>2021</v>
      </c>
      <c r="E417" s="70">
        <v>44408</v>
      </c>
      <c r="F417" s="54"/>
      <c r="G417" s="54"/>
      <c r="H417" s="54"/>
      <c r="I417" s="54"/>
      <c r="J417" s="54"/>
      <c r="K417" s="106"/>
      <c r="L417" s="24">
        <f>SUM(L414:L416)</f>
        <v>208369</v>
      </c>
      <c r="M417" s="92">
        <f>SUM(M414:M416)</f>
        <v>83123</v>
      </c>
      <c r="N417" s="92">
        <f>SUM(N414:N416)</f>
        <v>125246</v>
      </c>
      <c r="O417" s="74">
        <f t="shared" si="227"/>
        <v>0.60107789546429646</v>
      </c>
      <c r="P417" s="24">
        <f>SUM(P414:P416)</f>
        <v>205439</v>
      </c>
      <c r="Q417" s="24"/>
      <c r="R417" s="24">
        <f t="shared" ref="R417:W417" si="236">SUM(R414:R416)</f>
        <v>276</v>
      </c>
      <c r="S417" s="24">
        <f t="shared" si="236"/>
        <v>11755.720000000001</v>
      </c>
      <c r="T417" s="24">
        <f t="shared" si="236"/>
        <v>7754.6299999999992</v>
      </c>
      <c r="U417" s="24">
        <f t="shared" si="236"/>
        <v>60481.97</v>
      </c>
      <c r="V417" s="24">
        <f t="shared" si="236"/>
        <v>5327.22</v>
      </c>
      <c r="W417" s="24">
        <f t="shared" si="236"/>
        <v>85319.540000000008</v>
      </c>
      <c r="X417" s="118">
        <f>IFERROR(S417/R417,"")</f>
        <v>42.593188405797108</v>
      </c>
      <c r="Y417" s="119">
        <f>U417/P417</f>
        <v>0.29440354557800613</v>
      </c>
      <c r="Z417" s="28">
        <f>P417-W417</f>
        <v>120119.45999999999</v>
      </c>
      <c r="AA417" s="57">
        <f>Z417/P417</f>
        <v>0.58469647924688106</v>
      </c>
      <c r="AB417" s="120">
        <f t="shared" si="233"/>
        <v>-2196.5400000000081</v>
      </c>
      <c r="AC417" s="57">
        <f t="shared" si="234"/>
        <v>-1.6381416217415401E-2</v>
      </c>
      <c r="AG417" s="61"/>
    </row>
    <row r="418" spans="1:33" s="53" customFormat="1" ht="11.25" customHeight="1" x14ac:dyDescent="0.15">
      <c r="A418" s="53" t="s">
        <v>264</v>
      </c>
      <c r="C418" s="54" t="s">
        <v>177</v>
      </c>
      <c r="D418" s="54">
        <v>2021</v>
      </c>
      <c r="E418" s="70">
        <v>44408</v>
      </c>
      <c r="F418" s="54"/>
      <c r="G418" s="54"/>
      <c r="H418" s="54"/>
      <c r="I418" s="54"/>
      <c r="J418" s="54"/>
      <c r="K418" s="106"/>
      <c r="L418" s="28">
        <f>SUM(L408:L411)</f>
        <v>136504</v>
      </c>
      <c r="M418" s="28">
        <f>SUM(M408:M411)</f>
        <v>58487</v>
      </c>
      <c r="N418" s="28">
        <f>SUM(N408:N411)</f>
        <v>78017</v>
      </c>
      <c r="O418" s="73">
        <f t="shared" si="227"/>
        <v>0.5715363652347184</v>
      </c>
      <c r="P418" s="28">
        <f>SUM(P408:P411)</f>
        <v>136500</v>
      </c>
      <c r="Q418" s="28"/>
      <c r="R418" s="28">
        <f t="shared" ref="R418:W418" si="237">SUM(R408:R411)</f>
        <v>143</v>
      </c>
      <c r="S418" s="28">
        <f t="shared" si="237"/>
        <v>5126.38</v>
      </c>
      <c r="T418" s="28">
        <f t="shared" si="237"/>
        <v>0</v>
      </c>
      <c r="U418" s="28">
        <f t="shared" si="237"/>
        <v>55312.240000000005</v>
      </c>
      <c r="V418" s="28">
        <f t="shared" si="237"/>
        <v>0</v>
      </c>
      <c r="W418" s="28">
        <f t="shared" si="237"/>
        <v>60438.619999999995</v>
      </c>
      <c r="X418" s="118">
        <f>IFERROR(S418/R418,"")</f>
        <v>35.84881118881119</v>
      </c>
      <c r="Y418" s="119">
        <f>U418/P418</f>
        <v>0.40521787545787552</v>
      </c>
      <c r="Z418" s="28">
        <f>P418-W418</f>
        <v>76061.38</v>
      </c>
      <c r="AA418" s="57">
        <f>Z418/P418</f>
        <v>0.55722622710622716</v>
      </c>
      <c r="AB418" s="120">
        <f t="shared" si="233"/>
        <v>-1951.6199999999953</v>
      </c>
      <c r="AC418" s="57">
        <f t="shared" si="234"/>
        <v>-1.4310138128491245E-2</v>
      </c>
      <c r="AG418" s="61"/>
    </row>
    <row r="419" spans="1:33" ht="11.25" customHeight="1" x14ac:dyDescent="0.15">
      <c r="A419" s="130" t="s">
        <v>53</v>
      </c>
      <c r="B419" s="130"/>
      <c r="C419" s="124"/>
      <c r="D419" s="124"/>
      <c r="E419" s="273"/>
      <c r="F419" s="124"/>
      <c r="G419" s="124"/>
      <c r="H419" s="124"/>
      <c r="I419" s="124"/>
      <c r="J419" s="124"/>
      <c r="K419" s="125"/>
      <c r="L419" s="129"/>
      <c r="M419" s="129"/>
      <c r="N419" s="129"/>
      <c r="O419" s="128"/>
      <c r="P419" s="129"/>
      <c r="Q419" s="124"/>
      <c r="R419" s="129"/>
      <c r="S419" s="129"/>
      <c r="T419" s="129"/>
      <c r="U419" s="129"/>
      <c r="V419" s="126"/>
      <c r="W419" s="49"/>
      <c r="X419" s="45"/>
      <c r="Y419" s="128"/>
      <c r="Z419" s="126"/>
      <c r="AA419" s="128"/>
      <c r="AB419" s="129"/>
      <c r="AC419" s="128"/>
      <c r="AD419" s="137"/>
      <c r="AE419" s="110"/>
      <c r="AF419" s="110"/>
      <c r="AG419" s="121"/>
    </row>
    <row r="420" spans="1:33" ht="11.25" customHeight="1" x14ac:dyDescent="0.15">
      <c r="A420" s="110" t="s">
        <v>115</v>
      </c>
      <c r="B420" s="110"/>
      <c r="C420" s="111" t="s">
        <v>201</v>
      </c>
      <c r="D420" s="111">
        <v>2021</v>
      </c>
      <c r="E420" s="146">
        <v>44408</v>
      </c>
      <c r="F420" s="111"/>
      <c r="G420" s="111" t="s">
        <v>202</v>
      </c>
      <c r="H420" s="111"/>
      <c r="I420" s="111"/>
      <c r="J420" s="111"/>
      <c r="K420" s="112" t="s">
        <v>203</v>
      </c>
      <c r="L420" s="117">
        <v>5000</v>
      </c>
      <c r="M420" s="120"/>
      <c r="N420" s="120"/>
      <c r="O420" s="119"/>
      <c r="P420" s="117">
        <v>5000</v>
      </c>
      <c r="Q420" s="111">
        <v>1198</v>
      </c>
      <c r="R420" s="117">
        <v>15.5</v>
      </c>
      <c r="S420" s="117">
        <f>387.5+174.38</f>
        <v>561.88</v>
      </c>
      <c r="T420" s="117">
        <f>1041.52-V420</f>
        <v>911.56</v>
      </c>
      <c r="U420" s="117">
        <v>535</v>
      </c>
      <c r="V420" s="117">
        <v>129.96</v>
      </c>
      <c r="W420" s="26">
        <f>SUM(S420:V420)</f>
        <v>2138.4</v>
      </c>
      <c r="X420" s="118">
        <f>S420/R420</f>
        <v>36.250322580645161</v>
      </c>
      <c r="Y420" s="119">
        <f>U420/P420</f>
        <v>0.107</v>
      </c>
      <c r="Z420" s="117">
        <f>P420-W420</f>
        <v>2861.6</v>
      </c>
      <c r="AA420" s="119">
        <f>Z420/P420</f>
        <v>0.57231999999999994</v>
      </c>
      <c r="AB420" s="120">
        <f t="shared" ref="AB420:AB421" si="238">M420-W420</f>
        <v>-2138.4</v>
      </c>
      <c r="AC420" s="119"/>
      <c r="AD420" s="110"/>
      <c r="AE420" s="110"/>
      <c r="AF420" s="110"/>
      <c r="AG420" s="121"/>
    </row>
    <row r="421" spans="1:33" s="53" customFormat="1" ht="11.25" customHeight="1" x14ac:dyDescent="0.15">
      <c r="A421" s="53" t="s">
        <v>115</v>
      </c>
      <c r="C421" s="54" t="s">
        <v>177</v>
      </c>
      <c r="D421" s="54">
        <v>2021</v>
      </c>
      <c r="E421" s="70">
        <v>44408</v>
      </c>
      <c r="F421" s="54"/>
      <c r="G421" s="54"/>
      <c r="H421" s="54"/>
      <c r="I421" s="54"/>
      <c r="J421" s="54"/>
      <c r="K421" s="106"/>
      <c r="L421" s="24">
        <f>L420</f>
        <v>5000</v>
      </c>
      <c r="M421" s="93"/>
      <c r="N421" s="93"/>
      <c r="O421" s="73"/>
      <c r="P421" s="24">
        <f>P420</f>
        <v>5000</v>
      </c>
      <c r="Q421" s="24"/>
      <c r="R421" s="24">
        <f t="shared" ref="R421:W421" si="239">R420</f>
        <v>15.5</v>
      </c>
      <c r="S421" s="24">
        <f t="shared" si="239"/>
        <v>561.88</v>
      </c>
      <c r="T421" s="24">
        <f t="shared" si="239"/>
        <v>911.56</v>
      </c>
      <c r="U421" s="24">
        <f t="shared" si="239"/>
        <v>535</v>
      </c>
      <c r="V421" s="24">
        <f t="shared" si="239"/>
        <v>129.96</v>
      </c>
      <c r="W421" s="24">
        <f t="shared" si="239"/>
        <v>2138.4</v>
      </c>
      <c r="X421" s="72">
        <f>SUM(X420)</f>
        <v>36.250322580645161</v>
      </c>
      <c r="Y421" s="119">
        <f>U421/P421</f>
        <v>0.107</v>
      </c>
      <c r="Z421" s="64">
        <f>SUM(Z420)</f>
        <v>2861.6</v>
      </c>
      <c r="AA421" s="57">
        <f>Z421/P421</f>
        <v>0.57231999999999994</v>
      </c>
      <c r="AB421" s="120">
        <f t="shared" si="238"/>
        <v>-2138.4</v>
      </c>
      <c r="AC421" s="57"/>
      <c r="AG421" s="61"/>
    </row>
    <row r="422" spans="1:33" ht="11.25" customHeight="1" x14ac:dyDescent="0.15">
      <c r="A422" s="130" t="s">
        <v>53</v>
      </c>
      <c r="B422" s="130"/>
      <c r="C422" s="124"/>
      <c r="D422" s="124"/>
      <c r="E422" s="273"/>
      <c r="F422" s="124"/>
      <c r="G422" s="124"/>
      <c r="H422" s="124"/>
      <c r="I422" s="124"/>
      <c r="J422" s="124"/>
      <c r="K422" s="125"/>
      <c r="L422" s="129"/>
      <c r="M422" s="129"/>
      <c r="N422" s="129"/>
      <c r="O422" s="128"/>
      <c r="P422" s="129"/>
      <c r="Q422" s="124"/>
      <c r="R422" s="129"/>
      <c r="S422" s="129"/>
      <c r="T422" s="129"/>
      <c r="U422" s="129"/>
      <c r="V422" s="126"/>
      <c r="W422" s="49"/>
      <c r="X422" s="45"/>
      <c r="Y422" s="128"/>
      <c r="Z422" s="126"/>
      <c r="AA422" s="128"/>
      <c r="AB422" s="129"/>
      <c r="AC422" s="128"/>
      <c r="AD422" s="137"/>
      <c r="AE422" s="110"/>
      <c r="AF422" s="110"/>
      <c r="AG422" s="121"/>
    </row>
    <row r="423" spans="1:33" ht="11.25" customHeight="1" x14ac:dyDescent="0.15">
      <c r="A423" s="110" t="s">
        <v>109</v>
      </c>
      <c r="B423" s="110"/>
      <c r="C423" s="111" t="s">
        <v>175</v>
      </c>
      <c r="D423" s="111">
        <v>2021</v>
      </c>
      <c r="E423" s="146">
        <v>44408</v>
      </c>
      <c r="F423" s="111"/>
      <c r="G423" s="111">
        <v>811002111</v>
      </c>
      <c r="H423" s="111">
        <v>4101</v>
      </c>
      <c r="I423" s="111" t="str">
        <f>MID(G423,2,1)</f>
        <v>1</v>
      </c>
      <c r="J423" s="111" t="str">
        <f>IF(I423="1","Small/Medium","Large")</f>
        <v>Small/Medium</v>
      </c>
      <c r="K423" s="147" t="s">
        <v>145</v>
      </c>
      <c r="L423" s="117">
        <v>10905</v>
      </c>
      <c r="M423" s="120">
        <f>L423*0.3</f>
        <v>3271.5</v>
      </c>
      <c r="N423" s="120">
        <f>L423-M423</f>
        <v>7633.5</v>
      </c>
      <c r="O423" s="119">
        <f>N423/L423</f>
        <v>0.7</v>
      </c>
      <c r="P423" s="117">
        <v>10905</v>
      </c>
      <c r="Q423" s="111">
        <v>1199</v>
      </c>
      <c r="R423" s="117">
        <v>22</v>
      </c>
      <c r="S423" s="117">
        <f>657.36+295.9</f>
        <v>953.26</v>
      </c>
      <c r="T423" s="117">
        <v>862.29</v>
      </c>
      <c r="U423" s="117">
        <v>0</v>
      </c>
      <c r="V423" s="117">
        <v>0</v>
      </c>
      <c r="W423" s="26">
        <f>SUM(S423:V423)</f>
        <v>1815.55</v>
      </c>
      <c r="X423" s="118">
        <f>S423/R423</f>
        <v>43.33</v>
      </c>
      <c r="Y423" s="119">
        <f>U423/P423</f>
        <v>0</v>
      </c>
      <c r="Z423" s="117">
        <f>P423-W423</f>
        <v>9089.4500000000007</v>
      </c>
      <c r="AA423" s="119">
        <f>Z423/P423</f>
        <v>0.83351215038972959</v>
      </c>
      <c r="AB423" s="120">
        <f t="shared" ref="AB423:AB424" si="240">M423-W423</f>
        <v>1455.95</v>
      </c>
      <c r="AC423" s="119">
        <f>AA423-O423</f>
        <v>0.13351215038972963</v>
      </c>
      <c r="AD423" s="110"/>
      <c r="AE423" s="110"/>
      <c r="AF423" s="110"/>
      <c r="AG423" s="121"/>
    </row>
    <row r="424" spans="1:33" s="53" customFormat="1" ht="11.25" customHeight="1" x14ac:dyDescent="0.15">
      <c r="A424" s="53" t="s">
        <v>109</v>
      </c>
      <c r="C424" s="54" t="s">
        <v>177</v>
      </c>
      <c r="D424" s="54">
        <v>2021</v>
      </c>
      <c r="E424" s="70">
        <v>44408</v>
      </c>
      <c r="F424" s="54"/>
      <c r="G424" s="54"/>
      <c r="H424" s="54"/>
      <c r="I424" s="54"/>
      <c r="J424" s="54"/>
      <c r="K424" s="106"/>
      <c r="L424" s="24">
        <f>L423</f>
        <v>10905</v>
      </c>
      <c r="M424" s="92">
        <f>L424*0.3</f>
        <v>3271.5</v>
      </c>
      <c r="N424" s="92">
        <f>L424-M424</f>
        <v>7633.5</v>
      </c>
      <c r="O424" s="74">
        <f>N424/L424</f>
        <v>0.7</v>
      </c>
      <c r="P424" s="24">
        <f>P423</f>
        <v>10905</v>
      </c>
      <c r="Q424" s="24"/>
      <c r="R424" s="24">
        <f t="shared" ref="R424:W424" si="241">R423</f>
        <v>22</v>
      </c>
      <c r="S424" s="24">
        <f t="shared" si="241"/>
        <v>953.26</v>
      </c>
      <c r="T424" s="24">
        <f t="shared" si="241"/>
        <v>862.29</v>
      </c>
      <c r="U424" s="24">
        <f t="shared" si="241"/>
        <v>0</v>
      </c>
      <c r="V424" s="24">
        <f t="shared" si="241"/>
        <v>0</v>
      </c>
      <c r="W424" s="24">
        <f t="shared" si="241"/>
        <v>1815.55</v>
      </c>
      <c r="X424" s="72">
        <f>SUM(X423)</f>
        <v>43.33</v>
      </c>
      <c r="Y424" s="119">
        <f>U424/P424</f>
        <v>0</v>
      </c>
      <c r="Z424" s="64">
        <f>SUM(Z423)</f>
        <v>9089.4500000000007</v>
      </c>
      <c r="AA424" s="57">
        <f>Z424/P424</f>
        <v>0.83351215038972959</v>
      </c>
      <c r="AB424" s="120">
        <f t="shared" si="240"/>
        <v>1455.95</v>
      </c>
      <c r="AC424" s="57">
        <f>AA424-O424</f>
        <v>0.13351215038972963</v>
      </c>
      <c r="AG424" s="61"/>
    </row>
    <row r="425" spans="1:33" ht="11.25" customHeight="1" x14ac:dyDescent="0.15">
      <c r="A425" s="130" t="s">
        <v>53</v>
      </c>
      <c r="B425" s="130"/>
      <c r="C425" s="124"/>
      <c r="D425" s="124"/>
      <c r="E425" s="273"/>
      <c r="F425" s="124"/>
      <c r="G425" s="124"/>
      <c r="H425" s="124"/>
      <c r="I425" s="124"/>
      <c r="J425" s="124"/>
      <c r="K425" s="125"/>
      <c r="L425" s="129"/>
      <c r="M425" s="129"/>
      <c r="N425" s="129"/>
      <c r="O425" s="128"/>
      <c r="P425" s="220"/>
      <c r="Q425" s="124"/>
      <c r="R425" s="220"/>
      <c r="S425" s="220"/>
      <c r="T425" s="220"/>
      <c r="U425" s="220"/>
      <c r="V425" s="126"/>
      <c r="W425" s="230"/>
      <c r="X425" s="45"/>
      <c r="Y425" s="128"/>
      <c r="Z425" s="126"/>
      <c r="AA425" s="128"/>
      <c r="AB425" s="129"/>
      <c r="AC425" s="128"/>
      <c r="AD425" s="137"/>
      <c r="AE425" s="110"/>
      <c r="AF425" s="110"/>
      <c r="AG425" s="121"/>
    </row>
    <row r="426" spans="1:33" ht="11.25" customHeight="1" x14ac:dyDescent="0.15">
      <c r="A426" s="110" t="s">
        <v>179</v>
      </c>
      <c r="B426" s="110"/>
      <c r="C426" s="111" t="s">
        <v>175</v>
      </c>
      <c r="D426" s="111">
        <v>2020</v>
      </c>
      <c r="E426" s="146">
        <v>44408</v>
      </c>
      <c r="F426" s="111"/>
      <c r="G426" s="111">
        <v>811000111</v>
      </c>
      <c r="H426" s="111">
        <v>4101</v>
      </c>
      <c r="I426" s="111" t="str">
        <f>MID(G426,2,1)</f>
        <v>1</v>
      </c>
      <c r="J426" s="111" t="str">
        <f>IF(I426="1","Small/Medium","Large")</f>
        <v>Small/Medium</v>
      </c>
      <c r="K426" s="147" t="s">
        <v>145</v>
      </c>
      <c r="L426" s="117">
        <v>9680</v>
      </c>
      <c r="M426" s="120">
        <f>L426*0.3</f>
        <v>2904</v>
      </c>
      <c r="N426" s="120">
        <f>L426-M426</f>
        <v>6776</v>
      </c>
      <c r="O426" s="119">
        <f>N426/L426</f>
        <v>0.7</v>
      </c>
      <c r="P426" s="117">
        <v>9680</v>
      </c>
      <c r="Q426" s="111">
        <v>1211</v>
      </c>
      <c r="R426" s="117">
        <v>27.5</v>
      </c>
      <c r="S426" s="117">
        <f>821.7+369.89</f>
        <v>1191.5900000000001</v>
      </c>
      <c r="T426" s="117">
        <f>2251.43-V426</f>
        <v>1925.4499999999998</v>
      </c>
      <c r="U426" s="117">
        <v>382.04</v>
      </c>
      <c r="V426" s="117">
        <f>320.98+5</f>
        <v>325.98</v>
      </c>
      <c r="W426" s="26">
        <f>SUM(S426:V426)</f>
        <v>3825.06</v>
      </c>
      <c r="X426" s="118">
        <f>S426/R426</f>
        <v>43.330545454545458</v>
      </c>
      <c r="Y426" s="119">
        <f>U426/P426</f>
        <v>3.9466942148760335E-2</v>
      </c>
      <c r="Z426" s="117">
        <f>P426-W426</f>
        <v>5854.9400000000005</v>
      </c>
      <c r="AA426" s="119">
        <f>Z426/P426</f>
        <v>0.60484917355371903</v>
      </c>
      <c r="AB426" s="120">
        <f t="shared" ref="AB426:AB427" si="242">M426-W426</f>
        <v>-921.06</v>
      </c>
      <c r="AC426" s="119">
        <f>AA426-O426</f>
        <v>-9.5150826446280923E-2</v>
      </c>
      <c r="AD426" s="110" t="s">
        <v>275</v>
      </c>
      <c r="AE426" s="110"/>
      <c r="AF426" s="110"/>
      <c r="AG426" s="121"/>
    </row>
    <row r="427" spans="1:33" s="53" customFormat="1" ht="11.25" customHeight="1" x14ac:dyDescent="0.15">
      <c r="A427" s="53" t="s">
        <v>179</v>
      </c>
      <c r="C427" s="54" t="s">
        <v>177</v>
      </c>
      <c r="D427" s="54">
        <v>2021</v>
      </c>
      <c r="E427" s="70">
        <v>44408</v>
      </c>
      <c r="F427" s="54"/>
      <c r="G427" s="54"/>
      <c r="H427" s="54"/>
      <c r="I427" s="54"/>
      <c r="J427" s="54"/>
      <c r="K427" s="106"/>
      <c r="L427" s="24">
        <f>L426</f>
        <v>9680</v>
      </c>
      <c r="M427" s="92">
        <f>L427*0.3</f>
        <v>2904</v>
      </c>
      <c r="N427" s="92">
        <f>L427-M427</f>
        <v>6776</v>
      </c>
      <c r="O427" s="74">
        <f>N427/L427</f>
        <v>0.7</v>
      </c>
      <c r="P427" s="24">
        <f>P426</f>
        <v>9680</v>
      </c>
      <c r="Q427" s="24"/>
      <c r="R427" s="24">
        <f t="shared" ref="R427:W427" si="243">R426</f>
        <v>27.5</v>
      </c>
      <c r="S427" s="24">
        <f t="shared" si="243"/>
        <v>1191.5900000000001</v>
      </c>
      <c r="T427" s="24">
        <f t="shared" si="243"/>
        <v>1925.4499999999998</v>
      </c>
      <c r="U427" s="24">
        <f t="shared" si="243"/>
        <v>382.04</v>
      </c>
      <c r="V427" s="24">
        <f t="shared" si="243"/>
        <v>325.98</v>
      </c>
      <c r="W427" s="24">
        <f t="shared" si="243"/>
        <v>3825.06</v>
      </c>
      <c r="X427" s="72">
        <f>SUM(X426)</f>
        <v>43.330545454545458</v>
      </c>
      <c r="Y427" s="57">
        <f>U427/P427</f>
        <v>3.9466942148760335E-2</v>
      </c>
      <c r="Z427" s="64">
        <f>SUM(Z426)</f>
        <v>5854.9400000000005</v>
      </c>
      <c r="AA427" s="57">
        <f>Z427/P427</f>
        <v>0.60484917355371903</v>
      </c>
      <c r="AB427" s="120">
        <f t="shared" si="242"/>
        <v>-921.06</v>
      </c>
      <c r="AC427" s="57">
        <f>AA427-O427</f>
        <v>-9.5150826446280923E-2</v>
      </c>
      <c r="AG427" s="61"/>
    </row>
    <row r="428" spans="1:33" ht="11.25" customHeight="1" x14ac:dyDescent="0.15">
      <c r="A428" s="130" t="s">
        <v>53</v>
      </c>
      <c r="B428" s="130"/>
      <c r="C428" s="124"/>
      <c r="D428" s="124"/>
      <c r="E428" s="273"/>
      <c r="F428" s="124"/>
      <c r="G428" s="124"/>
      <c r="H428" s="124"/>
      <c r="I428" s="124"/>
      <c r="J428" s="124"/>
      <c r="K428" s="125"/>
      <c r="L428" s="129"/>
      <c r="M428" s="129"/>
      <c r="N428" s="129"/>
      <c r="O428" s="128"/>
      <c r="P428" s="129"/>
      <c r="Q428" s="124"/>
      <c r="R428" s="129"/>
      <c r="S428" s="129"/>
      <c r="T428" s="129"/>
      <c r="U428" s="129"/>
      <c r="V428" s="126"/>
      <c r="W428" s="49"/>
      <c r="X428" s="45"/>
      <c r="Y428" s="128"/>
      <c r="Z428" s="126"/>
      <c r="AA428" s="128"/>
      <c r="AB428" s="129"/>
      <c r="AC428" s="128"/>
      <c r="AD428" s="137"/>
      <c r="AE428" s="110"/>
      <c r="AF428" s="110"/>
      <c r="AG428" s="121"/>
    </row>
    <row r="429" spans="1:33" ht="11.25" customHeight="1" x14ac:dyDescent="0.15">
      <c r="A429" s="110" t="s">
        <v>231</v>
      </c>
      <c r="B429" s="110"/>
      <c r="C429" s="111" t="s">
        <v>201</v>
      </c>
      <c r="D429" s="111">
        <v>2021</v>
      </c>
      <c r="E429" s="146">
        <v>44439</v>
      </c>
      <c r="F429" s="111"/>
      <c r="G429" s="111" t="s">
        <v>202</v>
      </c>
      <c r="H429" s="111"/>
      <c r="I429" s="111"/>
      <c r="J429" s="111"/>
      <c r="K429" s="112" t="s">
        <v>203</v>
      </c>
      <c r="L429" s="117">
        <v>2000</v>
      </c>
      <c r="M429" s="120"/>
      <c r="N429" s="120"/>
      <c r="O429" s="119"/>
      <c r="P429" s="117">
        <v>2000</v>
      </c>
      <c r="Q429" s="111"/>
      <c r="R429" s="117">
        <v>29.5</v>
      </c>
      <c r="S429" s="117">
        <f>737.5+331.88</f>
        <v>1069.3800000000001</v>
      </c>
      <c r="T429" s="117">
        <f>1930.31-V429</f>
        <v>1796.1399999999999</v>
      </c>
      <c r="U429" s="117">
        <v>0</v>
      </c>
      <c r="V429" s="117">
        <v>134.16999999999999</v>
      </c>
      <c r="W429" s="26">
        <f>SUM(S429:V429)</f>
        <v>2999.69</v>
      </c>
      <c r="X429" s="118">
        <f>S429/R429</f>
        <v>36.250169491525426</v>
      </c>
      <c r="Y429" s="119">
        <f>U429/P429</f>
        <v>0</v>
      </c>
      <c r="Z429" s="117">
        <f>P429-W429</f>
        <v>-999.69</v>
      </c>
      <c r="AA429" s="119">
        <f>Z429/P429</f>
        <v>-0.49984500000000004</v>
      </c>
      <c r="AB429" s="120">
        <f t="shared" ref="AB429:AB430" si="244">M429-W429</f>
        <v>-2999.69</v>
      </c>
      <c r="AC429" s="119"/>
      <c r="AD429" s="110" t="s">
        <v>276</v>
      </c>
      <c r="AE429" s="110"/>
      <c r="AF429" s="110"/>
      <c r="AG429" s="121"/>
    </row>
    <row r="430" spans="1:33" s="53" customFormat="1" ht="11.25" customHeight="1" x14ac:dyDescent="0.15">
      <c r="A430" s="53" t="s">
        <v>231</v>
      </c>
      <c r="C430" s="54" t="s">
        <v>177</v>
      </c>
      <c r="D430" s="54">
        <v>2021</v>
      </c>
      <c r="E430" s="70">
        <v>44439</v>
      </c>
      <c r="F430" s="54"/>
      <c r="G430" s="54"/>
      <c r="H430" s="54"/>
      <c r="I430" s="54"/>
      <c r="J430" s="54"/>
      <c r="K430" s="106"/>
      <c r="L430" s="24">
        <f>L429</f>
        <v>2000</v>
      </c>
      <c r="M430" s="93"/>
      <c r="N430" s="93"/>
      <c r="O430" s="57"/>
      <c r="P430" s="24">
        <f>P429</f>
        <v>2000</v>
      </c>
      <c r="Q430" s="24"/>
      <c r="R430" s="24">
        <f t="shared" ref="R430:W430" si="245">R429</f>
        <v>29.5</v>
      </c>
      <c r="S430" s="24">
        <f t="shared" si="245"/>
        <v>1069.3800000000001</v>
      </c>
      <c r="T430" s="24">
        <f t="shared" si="245"/>
        <v>1796.1399999999999</v>
      </c>
      <c r="U430" s="24">
        <f t="shared" si="245"/>
        <v>0</v>
      </c>
      <c r="V430" s="24">
        <f t="shared" si="245"/>
        <v>134.16999999999999</v>
      </c>
      <c r="W430" s="24">
        <f t="shared" si="245"/>
        <v>2999.69</v>
      </c>
      <c r="X430" s="72">
        <f>SUM(X429)</f>
        <v>36.250169491525426</v>
      </c>
      <c r="Y430" s="57">
        <f>U430/P430</f>
        <v>0</v>
      </c>
      <c r="Z430" s="64">
        <f>SUM(Z429)</f>
        <v>-999.69</v>
      </c>
      <c r="AA430" s="57">
        <f>Z430/P430</f>
        <v>-0.49984500000000004</v>
      </c>
      <c r="AB430" s="120">
        <f t="shared" si="244"/>
        <v>-2999.69</v>
      </c>
      <c r="AC430" s="57"/>
      <c r="AG430" s="61"/>
    </row>
    <row r="431" spans="1:33" ht="11.25" customHeight="1" x14ac:dyDescent="0.15">
      <c r="A431" s="130" t="s">
        <v>53</v>
      </c>
      <c r="B431" s="130"/>
      <c r="C431" s="124"/>
      <c r="D431" s="124"/>
      <c r="E431" s="273"/>
      <c r="F431" s="124"/>
      <c r="G431" s="124"/>
      <c r="H431" s="124"/>
      <c r="I431" s="124"/>
      <c r="J431" s="124"/>
      <c r="K431" s="125"/>
      <c r="L431" s="129"/>
      <c r="M431" s="129"/>
      <c r="N431" s="129"/>
      <c r="O431" s="128"/>
      <c r="P431" s="129"/>
      <c r="Q431" s="124"/>
      <c r="R431" s="129"/>
      <c r="S431" s="129"/>
      <c r="T431" s="129"/>
      <c r="U431" s="129"/>
      <c r="V431" s="126"/>
      <c r="W431" s="49"/>
      <c r="X431" s="45"/>
      <c r="Y431" s="128"/>
      <c r="Z431" s="126"/>
      <c r="AA431" s="128"/>
      <c r="AB431" s="129"/>
      <c r="AC431" s="128"/>
      <c r="AD431" s="137"/>
      <c r="AE431" s="110"/>
      <c r="AF431" s="110"/>
      <c r="AG431" s="121"/>
    </row>
    <row r="432" spans="1:33" ht="11.25" customHeight="1" x14ac:dyDescent="0.15">
      <c r="A432" s="110" t="s">
        <v>277</v>
      </c>
      <c r="B432" s="110"/>
      <c r="C432" s="111" t="s">
        <v>180</v>
      </c>
      <c r="D432" s="111">
        <v>2021</v>
      </c>
      <c r="E432" s="146">
        <v>44439</v>
      </c>
      <c r="F432" s="111"/>
      <c r="G432" s="111">
        <v>910241321</v>
      </c>
      <c r="H432" s="111"/>
      <c r="I432" s="111"/>
      <c r="J432" s="111"/>
      <c r="K432" s="112" t="s">
        <v>139</v>
      </c>
      <c r="L432" s="117">
        <v>43674</v>
      </c>
      <c r="M432" s="120">
        <v>13500</v>
      </c>
      <c r="N432" s="120">
        <f t="shared" ref="N432:N443" si="246">L432-M432</f>
        <v>30174</v>
      </c>
      <c r="O432" s="119">
        <f t="shared" ref="O432:O443" si="247">N432/L432</f>
        <v>0.69089160598983379</v>
      </c>
      <c r="P432" s="117">
        <v>43674</v>
      </c>
      <c r="Q432" s="111">
        <v>1200</v>
      </c>
      <c r="R432" s="117">
        <v>0</v>
      </c>
      <c r="S432" s="117">
        <v>0</v>
      </c>
      <c r="T432" s="117">
        <v>0</v>
      </c>
      <c r="U432" s="117">
        <v>11053.36</v>
      </c>
      <c r="V432" s="117">
        <v>0</v>
      </c>
      <c r="W432" s="26">
        <f>SUM(S432:V432)</f>
        <v>11053.36</v>
      </c>
      <c r="X432" s="118" t="str">
        <f t="shared" ref="X432:X443" si="248">IFERROR(S432/R432,"")</f>
        <v/>
      </c>
      <c r="Y432" s="119">
        <f t="shared" ref="Y432:Y437" si="249">U432/P432</f>
        <v>0.25308787837157121</v>
      </c>
      <c r="Z432" s="117">
        <f t="shared" ref="Z432:Z439" si="250">P432-W432</f>
        <v>32620.639999999999</v>
      </c>
      <c r="AA432" s="119">
        <f t="shared" ref="AA432:AA439" si="251">Z432/P432</f>
        <v>0.74691212162842879</v>
      </c>
      <c r="AB432" s="120">
        <f t="shared" ref="AB432:AB443" si="252">M432-W432</f>
        <v>2446.6399999999994</v>
      </c>
      <c r="AC432" s="119">
        <f t="shared" ref="AC432:AC443" si="253">AA432-O432</f>
        <v>5.6020515638595003E-2</v>
      </c>
      <c r="AD432" s="110"/>
      <c r="AE432" s="110"/>
      <c r="AF432" s="110"/>
      <c r="AG432" s="121"/>
    </row>
    <row r="433" spans="1:33" ht="11.25" customHeight="1" x14ac:dyDescent="0.15">
      <c r="A433" s="110" t="s">
        <v>277</v>
      </c>
      <c r="B433" s="110"/>
      <c r="C433" s="111" t="s">
        <v>180</v>
      </c>
      <c r="D433" s="111">
        <v>2021</v>
      </c>
      <c r="E433" s="146">
        <v>44439</v>
      </c>
      <c r="F433" s="111"/>
      <c r="G433" s="111">
        <v>940000311</v>
      </c>
      <c r="H433" s="111"/>
      <c r="I433" s="111"/>
      <c r="J433" s="111"/>
      <c r="K433" s="112" t="s">
        <v>278</v>
      </c>
      <c r="L433" s="117">
        <v>43674</v>
      </c>
      <c r="M433" s="120">
        <v>13500</v>
      </c>
      <c r="N433" s="120">
        <f t="shared" si="246"/>
        <v>30174</v>
      </c>
      <c r="O433" s="119">
        <f t="shared" si="247"/>
        <v>0.69089160598983379</v>
      </c>
      <c r="P433" s="117">
        <v>43674</v>
      </c>
      <c r="Q433" s="111">
        <v>1201</v>
      </c>
      <c r="R433" s="117">
        <v>0</v>
      </c>
      <c r="S433" s="117">
        <v>0</v>
      </c>
      <c r="T433" s="117">
        <v>0</v>
      </c>
      <c r="U433" s="117">
        <v>11485.9</v>
      </c>
      <c r="V433" s="117"/>
      <c r="W433" s="26">
        <f>SUM(S433:V433)</f>
        <v>11485.9</v>
      </c>
      <c r="X433" s="118" t="str">
        <f t="shared" si="248"/>
        <v/>
      </c>
      <c r="Y433" s="119">
        <f t="shared" si="249"/>
        <v>0.26299171131565691</v>
      </c>
      <c r="Z433" s="117">
        <f t="shared" si="250"/>
        <v>32188.1</v>
      </c>
      <c r="AA433" s="119">
        <f t="shared" si="251"/>
        <v>0.73700828868434309</v>
      </c>
      <c r="AB433" s="120">
        <f t="shared" si="252"/>
        <v>2014.1000000000004</v>
      </c>
      <c r="AC433" s="119">
        <f t="shared" si="253"/>
        <v>4.6116682694509303E-2</v>
      </c>
      <c r="AD433" s="110"/>
      <c r="AE433" s="110"/>
      <c r="AF433" s="110"/>
      <c r="AG433" s="121"/>
    </row>
    <row r="434" spans="1:33" ht="11.25" customHeight="1" x14ac:dyDescent="0.15">
      <c r="A434" s="110" t="s">
        <v>277</v>
      </c>
      <c r="B434" s="110"/>
      <c r="C434" s="111" t="s">
        <v>279</v>
      </c>
      <c r="D434" s="111">
        <v>2021</v>
      </c>
      <c r="E434" s="146">
        <v>44439</v>
      </c>
      <c r="F434" s="111"/>
      <c r="G434" s="111">
        <v>510241221</v>
      </c>
      <c r="H434" s="111"/>
      <c r="I434" s="111"/>
      <c r="J434" s="111"/>
      <c r="K434" s="112" t="s">
        <v>280</v>
      </c>
      <c r="L434" s="117">
        <v>5488</v>
      </c>
      <c r="M434" s="120">
        <v>1800</v>
      </c>
      <c r="N434" s="120">
        <f t="shared" si="246"/>
        <v>3688</v>
      </c>
      <c r="O434" s="119">
        <f t="shared" si="247"/>
        <v>0.67201166180758021</v>
      </c>
      <c r="P434" s="117">
        <v>5488</v>
      </c>
      <c r="Q434" s="111">
        <v>1202</v>
      </c>
      <c r="R434" s="117">
        <v>52.5</v>
      </c>
      <c r="S434" s="117">
        <f>1622.78+730.28</f>
        <v>2353.06</v>
      </c>
      <c r="T434" s="117">
        <v>2569.62</v>
      </c>
      <c r="U434" s="117">
        <v>736.58</v>
      </c>
      <c r="V434" s="117">
        <v>0</v>
      </c>
      <c r="W434" s="26">
        <f>SUM(S434:V434)</f>
        <v>5659.26</v>
      </c>
      <c r="X434" s="118">
        <f t="shared" si="248"/>
        <v>44.820190476190476</v>
      </c>
      <c r="Y434" s="119">
        <f t="shared" si="249"/>
        <v>0.13421647230320702</v>
      </c>
      <c r="Z434" s="117">
        <f t="shared" si="250"/>
        <v>-171.26000000000022</v>
      </c>
      <c r="AA434" s="119">
        <f t="shared" si="251"/>
        <v>-3.1206268221574383E-2</v>
      </c>
      <c r="AB434" s="120">
        <f t="shared" si="252"/>
        <v>-3859.26</v>
      </c>
      <c r="AC434" s="119">
        <f t="shared" si="253"/>
        <v>-0.70321793002915456</v>
      </c>
      <c r="AD434" s="110"/>
      <c r="AE434" s="110"/>
      <c r="AF434" s="110"/>
      <c r="AG434" s="121"/>
    </row>
    <row r="435" spans="1:33" ht="11.25" customHeight="1" x14ac:dyDescent="0.15">
      <c r="A435" s="110" t="s">
        <v>277</v>
      </c>
      <c r="B435" s="110"/>
      <c r="C435" s="111" t="s">
        <v>279</v>
      </c>
      <c r="D435" s="111">
        <v>2021</v>
      </c>
      <c r="E435" s="146">
        <v>44439</v>
      </c>
      <c r="F435" s="111"/>
      <c r="G435" s="111">
        <v>540000211</v>
      </c>
      <c r="H435" s="111"/>
      <c r="I435" s="111"/>
      <c r="J435" s="111"/>
      <c r="K435" s="112" t="s">
        <v>281</v>
      </c>
      <c r="L435" s="117">
        <v>10192</v>
      </c>
      <c r="M435" s="120">
        <v>3500</v>
      </c>
      <c r="N435" s="120">
        <f t="shared" si="246"/>
        <v>6692</v>
      </c>
      <c r="O435" s="119">
        <f t="shared" si="247"/>
        <v>0.65659340659340659</v>
      </c>
      <c r="P435" s="117">
        <v>10192</v>
      </c>
      <c r="Q435" s="111">
        <v>1203</v>
      </c>
      <c r="R435" s="117">
        <v>54</v>
      </c>
      <c r="S435" s="117">
        <f>1669.14+751.14</f>
        <v>2420.2800000000002</v>
      </c>
      <c r="T435" s="117">
        <v>2615.84</v>
      </c>
      <c r="U435" s="117">
        <v>1222.9000000000001</v>
      </c>
      <c r="V435" s="117"/>
      <c r="W435" s="26">
        <f>SUM(S435:V435)</f>
        <v>6259.02</v>
      </c>
      <c r="X435" s="118">
        <f t="shared" si="248"/>
        <v>44.82</v>
      </c>
      <c r="Y435" s="119">
        <f t="shared" si="249"/>
        <v>0.11998626373626374</v>
      </c>
      <c r="Z435" s="117">
        <f t="shared" si="250"/>
        <v>3932.9799999999996</v>
      </c>
      <c r="AA435" s="119">
        <f t="shared" si="251"/>
        <v>0.38588893249607531</v>
      </c>
      <c r="AB435" s="120">
        <f t="shared" si="252"/>
        <v>-2759.0200000000004</v>
      </c>
      <c r="AC435" s="119">
        <f t="shared" si="253"/>
        <v>-0.27070447409733128</v>
      </c>
      <c r="AD435" s="110"/>
      <c r="AE435" s="110"/>
      <c r="AF435" s="110"/>
      <c r="AG435" s="121"/>
    </row>
    <row r="436" spans="1:33" s="53" customFormat="1" ht="11.25" customHeight="1" x14ac:dyDescent="0.15">
      <c r="A436" s="53" t="s">
        <v>277</v>
      </c>
      <c r="C436" s="54" t="s">
        <v>54</v>
      </c>
      <c r="D436" s="54">
        <v>2021</v>
      </c>
      <c r="E436" s="70">
        <v>44439</v>
      </c>
      <c r="F436" s="54"/>
      <c r="G436" s="54"/>
      <c r="H436" s="54"/>
      <c r="I436" s="54"/>
      <c r="J436" s="54"/>
      <c r="K436" s="106"/>
      <c r="L436" s="24">
        <f>SUM(L432:L435)</f>
        <v>103028</v>
      </c>
      <c r="M436" s="24">
        <f>SUM(M432:M435)</f>
        <v>32300</v>
      </c>
      <c r="N436" s="92">
        <f t="shared" si="246"/>
        <v>70728</v>
      </c>
      <c r="O436" s="74">
        <f t="shared" si="247"/>
        <v>0.68649299219629611</v>
      </c>
      <c r="P436" s="24">
        <f>SUM(P432:P435)</f>
        <v>103028</v>
      </c>
      <c r="Q436" s="24"/>
      <c r="R436" s="24">
        <f t="shared" ref="R436:W436" si="254">SUM(R432:R435)</f>
        <v>106.5</v>
      </c>
      <c r="S436" s="24">
        <f t="shared" si="254"/>
        <v>4773.34</v>
      </c>
      <c r="T436" s="24">
        <f t="shared" si="254"/>
        <v>5185.46</v>
      </c>
      <c r="U436" s="24">
        <f t="shared" si="254"/>
        <v>24498.740000000005</v>
      </c>
      <c r="V436" s="24">
        <f t="shared" si="254"/>
        <v>0</v>
      </c>
      <c r="W436" s="24">
        <f t="shared" si="254"/>
        <v>34457.540000000008</v>
      </c>
      <c r="X436" s="56">
        <f t="shared" si="248"/>
        <v>44.820093896713615</v>
      </c>
      <c r="Y436" s="57">
        <f t="shared" si="249"/>
        <v>0.23778720347866605</v>
      </c>
      <c r="Z436" s="28">
        <f t="shared" si="250"/>
        <v>68570.459999999992</v>
      </c>
      <c r="AA436" s="57">
        <f t="shared" si="251"/>
        <v>0.66555169468493991</v>
      </c>
      <c r="AB436" s="120">
        <f t="shared" si="252"/>
        <v>-2157.5400000000081</v>
      </c>
      <c r="AC436" s="57">
        <f t="shared" si="253"/>
        <v>-2.0941297511356205E-2</v>
      </c>
      <c r="AG436" s="61"/>
    </row>
    <row r="437" spans="1:33" ht="11.25" customHeight="1" x14ac:dyDescent="0.15">
      <c r="A437" s="110" t="s">
        <v>277</v>
      </c>
      <c r="B437" s="110"/>
      <c r="C437" s="111" t="s">
        <v>55</v>
      </c>
      <c r="D437" s="111">
        <v>2021</v>
      </c>
      <c r="E437" s="146">
        <v>44439</v>
      </c>
      <c r="F437" s="111"/>
      <c r="G437" s="111" t="s">
        <v>56</v>
      </c>
      <c r="H437" s="111"/>
      <c r="I437" s="111"/>
      <c r="J437" s="111"/>
      <c r="K437" s="112" t="s">
        <v>71</v>
      </c>
      <c r="L437" s="117">
        <v>6240</v>
      </c>
      <c r="M437" s="120">
        <v>3700</v>
      </c>
      <c r="N437" s="120">
        <f t="shared" si="246"/>
        <v>2540</v>
      </c>
      <c r="O437" s="119">
        <f t="shared" si="247"/>
        <v>0.40705128205128205</v>
      </c>
      <c r="P437" s="117">
        <v>6240</v>
      </c>
      <c r="Q437" s="111">
        <v>1204</v>
      </c>
      <c r="R437" s="117">
        <v>12.5</v>
      </c>
      <c r="S437" s="117">
        <f>343.75+154.75</f>
        <v>498.5</v>
      </c>
      <c r="T437" s="117">
        <v>0</v>
      </c>
      <c r="U437" s="117">
        <v>534.65</v>
      </c>
      <c r="V437" s="117">
        <v>2933.37</v>
      </c>
      <c r="W437" s="26">
        <f>SUM(S437:V437)</f>
        <v>3966.52</v>
      </c>
      <c r="X437" s="118">
        <f t="shared" si="248"/>
        <v>39.880000000000003</v>
      </c>
      <c r="Y437" s="119">
        <f t="shared" si="249"/>
        <v>8.5681089743589733E-2</v>
      </c>
      <c r="Z437" s="117">
        <f t="shared" si="250"/>
        <v>2273.48</v>
      </c>
      <c r="AA437" s="119">
        <f t="shared" si="251"/>
        <v>0.36433974358974358</v>
      </c>
      <c r="AB437" s="120">
        <f t="shared" si="252"/>
        <v>-266.52</v>
      </c>
      <c r="AC437" s="119">
        <f t="shared" si="253"/>
        <v>-4.2711538461538467E-2</v>
      </c>
      <c r="AD437" s="110"/>
      <c r="AE437" s="110"/>
      <c r="AF437" s="110"/>
      <c r="AG437" s="121"/>
    </row>
    <row r="438" spans="1:33" ht="11.25" customHeight="1" x14ac:dyDescent="0.15">
      <c r="A438" s="110" t="s">
        <v>277</v>
      </c>
      <c r="B438" s="110"/>
      <c r="C438" s="111" t="s">
        <v>61</v>
      </c>
      <c r="D438" s="111">
        <v>2021</v>
      </c>
      <c r="E438" s="146">
        <v>44439</v>
      </c>
      <c r="F438" s="111"/>
      <c r="G438" s="111" t="s">
        <v>282</v>
      </c>
      <c r="H438" s="111"/>
      <c r="I438" s="111" t="str">
        <f>MID(G438,3,1)</f>
        <v>2</v>
      </c>
      <c r="J438" s="111" t="str">
        <f>IF(I438="1","Small/Medium","Large")</f>
        <v>Large</v>
      </c>
      <c r="K438" s="112" t="s">
        <v>102</v>
      </c>
      <c r="L438" s="117">
        <v>16840</v>
      </c>
      <c r="M438" s="120">
        <f>L438*0.5</f>
        <v>8420</v>
      </c>
      <c r="N438" s="120">
        <f t="shared" si="246"/>
        <v>8420</v>
      </c>
      <c r="O438" s="163">
        <f t="shared" si="247"/>
        <v>0.5</v>
      </c>
      <c r="P438" s="117">
        <v>16840</v>
      </c>
      <c r="Q438" s="111"/>
      <c r="R438" s="117"/>
      <c r="S438" s="117"/>
      <c r="T438" s="117"/>
      <c r="U438" s="117"/>
      <c r="V438" s="117"/>
      <c r="W438" s="26">
        <f>SUM(S438:V438)</f>
        <v>0</v>
      </c>
      <c r="X438" s="118" t="str">
        <f t="shared" si="248"/>
        <v/>
      </c>
      <c r="Y438" s="119"/>
      <c r="Z438" s="117">
        <f t="shared" si="250"/>
        <v>16840</v>
      </c>
      <c r="AA438" s="119">
        <f t="shared" si="251"/>
        <v>1</v>
      </c>
      <c r="AB438" s="120">
        <f t="shared" si="252"/>
        <v>8420</v>
      </c>
      <c r="AC438" s="119">
        <f t="shared" si="253"/>
        <v>0.5</v>
      </c>
      <c r="AD438" s="110" t="s">
        <v>283</v>
      </c>
      <c r="AE438" s="110"/>
      <c r="AF438" s="110"/>
      <c r="AG438" s="121"/>
    </row>
    <row r="439" spans="1:33" ht="11.25" customHeight="1" x14ac:dyDescent="0.15">
      <c r="A439" s="110" t="s">
        <v>277</v>
      </c>
      <c r="B439" s="110"/>
      <c r="C439" s="111" t="s">
        <v>61</v>
      </c>
      <c r="D439" s="111">
        <v>2021</v>
      </c>
      <c r="E439" s="146">
        <v>44439</v>
      </c>
      <c r="F439" s="111"/>
      <c r="G439" s="111" t="s">
        <v>284</v>
      </c>
      <c r="H439" s="111"/>
      <c r="I439" s="111" t="str">
        <f>MID(G439,3,1)</f>
        <v>1</v>
      </c>
      <c r="J439" s="111" t="str">
        <f>IF(I439="1","Small/Medium","Large")</f>
        <v>Small/Medium</v>
      </c>
      <c r="K439" s="112" t="s">
        <v>102</v>
      </c>
      <c r="L439" s="132">
        <v>12537</v>
      </c>
      <c r="M439" s="219">
        <f>L439*0.5</f>
        <v>6268.5</v>
      </c>
      <c r="N439" s="219">
        <f t="shared" si="246"/>
        <v>6268.5</v>
      </c>
      <c r="O439" s="163">
        <f t="shared" si="247"/>
        <v>0.5</v>
      </c>
      <c r="P439" s="132">
        <v>12537</v>
      </c>
      <c r="Q439" s="111"/>
      <c r="R439" s="132"/>
      <c r="S439" s="132"/>
      <c r="T439" s="132"/>
      <c r="U439" s="132"/>
      <c r="V439" s="132"/>
      <c r="W439" s="67">
        <f>SUM(S439:V439)</f>
        <v>0</v>
      </c>
      <c r="X439" s="118" t="str">
        <f t="shared" si="248"/>
        <v/>
      </c>
      <c r="Y439" s="119"/>
      <c r="Z439" s="117">
        <f t="shared" si="250"/>
        <v>12537</v>
      </c>
      <c r="AA439" s="119">
        <f t="shared" si="251"/>
        <v>1</v>
      </c>
      <c r="AB439" s="120">
        <f t="shared" si="252"/>
        <v>6268.5</v>
      </c>
      <c r="AC439" s="119">
        <f t="shared" si="253"/>
        <v>0.5</v>
      </c>
      <c r="AD439" s="110" t="s">
        <v>283</v>
      </c>
      <c r="AE439" s="110"/>
      <c r="AF439" s="110"/>
      <c r="AG439" s="121"/>
    </row>
    <row r="440" spans="1:33" ht="11.25" customHeight="1" x14ac:dyDescent="0.15">
      <c r="A440" s="110" t="s">
        <v>277</v>
      </c>
      <c r="B440" s="110"/>
      <c r="C440" s="111" t="s">
        <v>58</v>
      </c>
      <c r="D440" s="111">
        <v>2021</v>
      </c>
      <c r="E440" s="146">
        <v>44439</v>
      </c>
      <c r="F440" s="111"/>
      <c r="G440" s="111" t="s">
        <v>285</v>
      </c>
      <c r="H440" s="111"/>
      <c r="I440" s="111"/>
      <c r="J440" s="111"/>
      <c r="K440" s="112" t="s">
        <v>286</v>
      </c>
      <c r="L440" s="117">
        <v>20129</v>
      </c>
      <c r="M440" s="120">
        <f>L440*0.1</f>
        <v>2012.9</v>
      </c>
      <c r="N440" s="120">
        <f t="shared" si="246"/>
        <v>18116.099999999999</v>
      </c>
      <c r="O440" s="119">
        <f t="shared" si="247"/>
        <v>0.89999999999999991</v>
      </c>
      <c r="P440" s="117">
        <v>20129</v>
      </c>
      <c r="Q440" s="111"/>
      <c r="R440" s="117"/>
      <c r="S440" s="117"/>
      <c r="T440" s="117"/>
      <c r="U440" s="117"/>
      <c r="V440" s="117"/>
      <c r="W440" s="26">
        <f>SUM(S440:V440)</f>
        <v>0</v>
      </c>
      <c r="X440" s="118" t="str">
        <f t="shared" si="248"/>
        <v/>
      </c>
      <c r="Y440" s="119"/>
      <c r="Z440" s="117"/>
      <c r="AA440" s="119"/>
      <c r="AB440" s="120">
        <f t="shared" si="252"/>
        <v>2012.9</v>
      </c>
      <c r="AC440" s="119">
        <f t="shared" si="253"/>
        <v>-0.89999999999999991</v>
      </c>
      <c r="AD440" s="110" t="s">
        <v>274</v>
      </c>
      <c r="AE440" s="110"/>
      <c r="AF440" s="110"/>
      <c r="AG440" s="121"/>
    </row>
    <row r="441" spans="1:33" ht="11.25" customHeight="1" x14ac:dyDescent="0.15">
      <c r="A441" s="110" t="s">
        <v>277</v>
      </c>
      <c r="B441" s="110"/>
      <c r="C441" s="111" t="s">
        <v>58</v>
      </c>
      <c r="D441" s="111">
        <v>2021</v>
      </c>
      <c r="E441" s="146">
        <v>44439</v>
      </c>
      <c r="F441" s="111"/>
      <c r="G441" s="111" t="s">
        <v>287</v>
      </c>
      <c r="H441" s="111"/>
      <c r="I441" s="111"/>
      <c r="J441" s="111"/>
      <c r="K441" s="112" t="s">
        <v>288</v>
      </c>
      <c r="L441" s="117">
        <v>22137</v>
      </c>
      <c r="M441" s="120">
        <f>L441*0.1</f>
        <v>2213.7000000000003</v>
      </c>
      <c r="N441" s="120">
        <f t="shared" si="246"/>
        <v>19923.3</v>
      </c>
      <c r="O441" s="119">
        <f t="shared" si="247"/>
        <v>0.9</v>
      </c>
      <c r="P441" s="117">
        <v>22137</v>
      </c>
      <c r="Q441" s="111"/>
      <c r="R441" s="117"/>
      <c r="S441" s="117"/>
      <c r="T441" s="117"/>
      <c r="U441" s="117"/>
      <c r="V441" s="117"/>
      <c r="W441" s="26">
        <f>SUM(S441:V441)</f>
        <v>0</v>
      </c>
      <c r="X441" s="118" t="str">
        <f t="shared" si="248"/>
        <v/>
      </c>
      <c r="Y441" s="119"/>
      <c r="Z441" s="117"/>
      <c r="AA441" s="119"/>
      <c r="AB441" s="120">
        <f t="shared" si="252"/>
        <v>2213.7000000000003</v>
      </c>
      <c r="AC441" s="119">
        <f t="shared" si="253"/>
        <v>-0.9</v>
      </c>
      <c r="AD441" s="110" t="s">
        <v>274</v>
      </c>
      <c r="AE441" s="110"/>
      <c r="AF441" s="110"/>
      <c r="AG441" s="121"/>
    </row>
    <row r="442" spans="1:33" s="53" customFormat="1" ht="11.25" customHeight="1" x14ac:dyDescent="0.15">
      <c r="A442" s="53" t="s">
        <v>277</v>
      </c>
      <c r="C442" s="54" t="s">
        <v>65</v>
      </c>
      <c r="D442" s="54">
        <v>2021</v>
      </c>
      <c r="E442" s="70">
        <v>44439</v>
      </c>
      <c r="F442" s="54"/>
      <c r="G442" s="54"/>
      <c r="H442" s="54"/>
      <c r="I442" s="54"/>
      <c r="J442" s="54"/>
      <c r="K442" s="106"/>
      <c r="L442" s="24">
        <f>SUM(L436:L441)</f>
        <v>180911</v>
      </c>
      <c r="M442" s="24">
        <f>L442*0.3</f>
        <v>54273.299999999996</v>
      </c>
      <c r="N442" s="92">
        <f t="shared" si="246"/>
        <v>126637.70000000001</v>
      </c>
      <c r="O442" s="74">
        <f t="shared" si="247"/>
        <v>0.70000000000000007</v>
      </c>
      <c r="P442" s="24">
        <f>SUM(P436:P441)</f>
        <v>180911</v>
      </c>
      <c r="Q442" s="24"/>
      <c r="R442" s="24">
        <f t="shared" ref="R442:W442" si="255">SUM(R436:R441)</f>
        <v>119</v>
      </c>
      <c r="S442" s="24">
        <f t="shared" si="255"/>
        <v>5271.84</v>
      </c>
      <c r="T442" s="24">
        <f t="shared" si="255"/>
        <v>5185.46</v>
      </c>
      <c r="U442" s="24">
        <f t="shared" si="255"/>
        <v>25033.390000000007</v>
      </c>
      <c r="V442" s="24">
        <f t="shared" si="255"/>
        <v>2933.37</v>
      </c>
      <c r="W442" s="24">
        <f t="shared" si="255"/>
        <v>38424.060000000005</v>
      </c>
      <c r="X442" s="118">
        <f t="shared" si="248"/>
        <v>44.301176470588238</v>
      </c>
      <c r="Y442" s="57">
        <f>U442/P442</f>
        <v>0.13837406238426633</v>
      </c>
      <c r="Z442" s="28">
        <f>P442-W442</f>
        <v>142486.94</v>
      </c>
      <c r="AA442" s="57">
        <f>Z442/P442</f>
        <v>0.78760793981571053</v>
      </c>
      <c r="AB442" s="120">
        <f t="shared" si="252"/>
        <v>15849.239999999991</v>
      </c>
      <c r="AC442" s="57">
        <f t="shared" si="253"/>
        <v>8.7607939815710467E-2</v>
      </c>
      <c r="AG442" s="61"/>
    </row>
    <row r="443" spans="1:33" s="53" customFormat="1" ht="11.25" customHeight="1" x14ac:dyDescent="0.15">
      <c r="A443" s="53" t="s">
        <v>277</v>
      </c>
      <c r="C443" s="54" t="s">
        <v>177</v>
      </c>
      <c r="D443" s="54">
        <v>2021</v>
      </c>
      <c r="E443" s="70">
        <v>44439</v>
      </c>
      <c r="F443" s="54"/>
      <c r="G443" s="54"/>
      <c r="H443" s="54"/>
      <c r="I443" s="54"/>
      <c r="J443" s="54"/>
      <c r="K443" s="106"/>
      <c r="L443" s="64">
        <f>SUM(L432:L433)</f>
        <v>87348</v>
      </c>
      <c r="M443" s="58">
        <f>L443*0.35</f>
        <v>30571.8</v>
      </c>
      <c r="N443" s="58">
        <f t="shared" si="246"/>
        <v>56776.2</v>
      </c>
      <c r="O443" s="57">
        <f t="shared" si="247"/>
        <v>0.64999999999999991</v>
      </c>
      <c r="P443" s="64">
        <f>SUM(P432:P433)</f>
        <v>87348</v>
      </c>
      <c r="Q443" s="64"/>
      <c r="R443" s="64">
        <f t="shared" ref="R443:W443" si="256">SUM(R432:R433)</f>
        <v>0</v>
      </c>
      <c r="S443" s="64">
        <f t="shared" si="256"/>
        <v>0</v>
      </c>
      <c r="T443" s="64">
        <f t="shared" si="256"/>
        <v>0</v>
      </c>
      <c r="U443" s="64">
        <f t="shared" si="256"/>
        <v>22539.260000000002</v>
      </c>
      <c r="V443" s="64">
        <f t="shared" si="256"/>
        <v>0</v>
      </c>
      <c r="W443" s="64">
        <f t="shared" si="256"/>
        <v>22539.260000000002</v>
      </c>
      <c r="X443" s="118" t="str">
        <f t="shared" si="248"/>
        <v/>
      </c>
      <c r="Y443" s="119">
        <f>U443/P443</f>
        <v>0.25803979484361406</v>
      </c>
      <c r="Z443" s="28">
        <f>P443-W443</f>
        <v>64808.74</v>
      </c>
      <c r="AA443" s="57">
        <f>Z443/P443</f>
        <v>0.74196020515638594</v>
      </c>
      <c r="AB443" s="120">
        <f t="shared" si="252"/>
        <v>8032.5399999999972</v>
      </c>
      <c r="AC443" s="57">
        <f t="shared" si="253"/>
        <v>9.1960205156386032E-2</v>
      </c>
      <c r="AG443" s="61"/>
    </row>
    <row r="444" spans="1:33" ht="11.25" customHeight="1" x14ac:dyDescent="0.15">
      <c r="A444" s="130" t="s">
        <v>53</v>
      </c>
      <c r="B444" s="130"/>
      <c r="C444" s="124"/>
      <c r="D444" s="124"/>
      <c r="E444" s="273"/>
      <c r="F444" s="124"/>
      <c r="G444" s="124"/>
      <c r="H444" s="124"/>
      <c r="I444" s="124"/>
      <c r="J444" s="124"/>
      <c r="K444" s="125"/>
      <c r="L444" s="129"/>
      <c r="M444" s="129"/>
      <c r="N444" s="129"/>
      <c r="O444" s="128"/>
      <c r="P444" s="129"/>
      <c r="Q444" s="124"/>
      <c r="R444" s="129"/>
      <c r="S444" s="129"/>
      <c r="T444" s="129"/>
      <c r="U444" s="129"/>
      <c r="V444" s="126"/>
      <c r="W444" s="49"/>
      <c r="X444" s="45"/>
      <c r="Y444" s="128"/>
      <c r="Z444" s="126"/>
      <c r="AA444" s="128"/>
      <c r="AB444" s="129"/>
      <c r="AC444" s="128"/>
      <c r="AD444" s="137"/>
      <c r="AE444" s="110"/>
      <c r="AF444" s="110"/>
      <c r="AG444" s="121"/>
    </row>
    <row r="445" spans="1:33" ht="11.25" customHeight="1" x14ac:dyDescent="0.15">
      <c r="A445" s="110" t="s">
        <v>277</v>
      </c>
      <c r="B445" s="110"/>
      <c r="C445" s="111" t="s">
        <v>175</v>
      </c>
      <c r="D445" s="111">
        <v>2021</v>
      </c>
      <c r="E445" s="146">
        <v>44439</v>
      </c>
      <c r="F445" s="111"/>
      <c r="G445" s="111">
        <v>820101111</v>
      </c>
      <c r="H445" s="111">
        <v>4111</v>
      </c>
      <c r="I445" s="111" t="str">
        <f>MID(G445,2,1)</f>
        <v>2</v>
      </c>
      <c r="J445" s="111" t="str">
        <f>IF(I445="1","Small/Medium","Large")</f>
        <v>Large</v>
      </c>
      <c r="K445" s="147" t="s">
        <v>176</v>
      </c>
      <c r="L445" s="117">
        <v>16840</v>
      </c>
      <c r="M445" s="120">
        <f>L445*0.3</f>
        <v>5052</v>
      </c>
      <c r="N445" s="120">
        <f>L445-M445</f>
        <v>11788</v>
      </c>
      <c r="O445" s="119">
        <f>N445/L445</f>
        <v>0.7</v>
      </c>
      <c r="P445" s="117">
        <v>16840</v>
      </c>
      <c r="Q445" s="111">
        <v>1205</v>
      </c>
      <c r="R445" s="117">
        <v>28</v>
      </c>
      <c r="S445" s="117">
        <f>836.64+376.6</f>
        <v>1213.24</v>
      </c>
      <c r="T445" s="117">
        <f>1685.57-V445</f>
        <v>1572.3</v>
      </c>
      <c r="U445" s="117">
        <v>0</v>
      </c>
      <c r="V445" s="117">
        <v>113.27</v>
      </c>
      <c r="W445" s="26">
        <f>SUM(S445:V445)</f>
        <v>2898.81</v>
      </c>
      <c r="X445" s="118">
        <f>IFERROR(S445/R445,"")</f>
        <v>43.33</v>
      </c>
      <c r="Y445" s="119">
        <f>U445/P445</f>
        <v>0</v>
      </c>
      <c r="Z445" s="117">
        <f>P445-W445</f>
        <v>13941.19</v>
      </c>
      <c r="AA445" s="119">
        <f>Z445/P445</f>
        <v>0.82786163895486942</v>
      </c>
      <c r="AB445" s="120">
        <f t="shared" ref="AB445:AB447" si="257">M445-W445</f>
        <v>2153.19</v>
      </c>
      <c r="AC445" s="119">
        <f>AA445-O445</f>
        <v>0.12786163895486946</v>
      </c>
      <c r="AD445" s="110"/>
      <c r="AE445" s="110"/>
      <c r="AF445" s="110"/>
      <c r="AG445" s="121"/>
    </row>
    <row r="446" spans="1:33" ht="11.25" customHeight="1" x14ac:dyDescent="0.15">
      <c r="A446" s="110" t="s">
        <v>277</v>
      </c>
      <c r="B446" s="110"/>
      <c r="C446" s="111" t="s">
        <v>175</v>
      </c>
      <c r="D446" s="111">
        <v>2021</v>
      </c>
      <c r="E446" s="146">
        <v>44439</v>
      </c>
      <c r="F446" s="111"/>
      <c r="G446" s="111">
        <v>810101111</v>
      </c>
      <c r="H446" s="111">
        <v>4111</v>
      </c>
      <c r="I446" s="111" t="str">
        <f>MID(G446,2,1)</f>
        <v>1</v>
      </c>
      <c r="J446" s="111" t="str">
        <f>IF(I446="1","Small/Medium","Large")</f>
        <v>Small/Medium</v>
      </c>
      <c r="K446" s="147" t="s">
        <v>145</v>
      </c>
      <c r="L446" s="117">
        <v>12537</v>
      </c>
      <c r="M446" s="120">
        <f>L446*0.3</f>
        <v>3761.1</v>
      </c>
      <c r="N446" s="120">
        <f>L446-M446</f>
        <v>8775.9</v>
      </c>
      <c r="O446" s="119">
        <f>N446/L446</f>
        <v>0.7</v>
      </c>
      <c r="P446" s="117">
        <v>12537</v>
      </c>
      <c r="Q446" s="111">
        <v>1206</v>
      </c>
      <c r="R446" s="117">
        <v>26</v>
      </c>
      <c r="S446" s="117">
        <f>776.88+349.7</f>
        <v>1126.58</v>
      </c>
      <c r="T446" s="117">
        <v>1502.44</v>
      </c>
      <c r="U446" s="117">
        <v>23.67</v>
      </c>
      <c r="V446" s="117"/>
      <c r="W446" s="26">
        <f>SUM(S446:V446)</f>
        <v>2652.69</v>
      </c>
      <c r="X446" s="118">
        <f>IFERROR(S446/R446,"")</f>
        <v>43.33</v>
      </c>
      <c r="Y446" s="119">
        <f>U446/P446</f>
        <v>1.8880114860014359E-3</v>
      </c>
      <c r="Z446" s="117">
        <f>P446-W446</f>
        <v>9884.31</v>
      </c>
      <c r="AA446" s="119">
        <f>Z446/P446</f>
        <v>0.78841110313472118</v>
      </c>
      <c r="AB446" s="120">
        <f t="shared" si="257"/>
        <v>1108.4099999999999</v>
      </c>
      <c r="AC446" s="119">
        <f>AA446-O446</f>
        <v>8.8411103134721225E-2</v>
      </c>
      <c r="AD446" s="110"/>
      <c r="AE446" s="110"/>
      <c r="AF446" s="110"/>
      <c r="AG446" s="121"/>
    </row>
    <row r="447" spans="1:33" s="53" customFormat="1" ht="11.25" customHeight="1" x14ac:dyDescent="0.15">
      <c r="A447" s="53" t="s">
        <v>277</v>
      </c>
      <c r="C447" s="54" t="s">
        <v>177</v>
      </c>
      <c r="D447" s="54">
        <v>2021</v>
      </c>
      <c r="E447" s="70">
        <v>44439</v>
      </c>
      <c r="F447" s="54"/>
      <c r="G447" s="54"/>
      <c r="H447" s="54"/>
      <c r="I447" s="54"/>
      <c r="J447" s="54"/>
      <c r="K447" s="106"/>
      <c r="L447" s="24">
        <f>SUM(L445:L446)</f>
        <v>29377</v>
      </c>
      <c r="M447" s="92">
        <f>L447*0.3</f>
        <v>8813.1</v>
      </c>
      <c r="N447" s="92">
        <f>L447-M447</f>
        <v>20563.900000000001</v>
      </c>
      <c r="O447" s="74">
        <f>N447/L447</f>
        <v>0.70000000000000007</v>
      </c>
      <c r="P447" s="24">
        <f>SUM(P445:P446)</f>
        <v>29377</v>
      </c>
      <c r="Q447" s="24"/>
      <c r="R447" s="24">
        <f t="shared" ref="R447:W447" si="258">SUM(R445:R446)</f>
        <v>54</v>
      </c>
      <c r="S447" s="24">
        <f t="shared" si="258"/>
        <v>2339.8199999999997</v>
      </c>
      <c r="T447" s="24">
        <f t="shared" si="258"/>
        <v>3074.74</v>
      </c>
      <c r="U447" s="24">
        <f t="shared" si="258"/>
        <v>23.67</v>
      </c>
      <c r="V447" s="24">
        <f t="shared" si="258"/>
        <v>113.27</v>
      </c>
      <c r="W447" s="24">
        <f t="shared" si="258"/>
        <v>5551.5</v>
      </c>
      <c r="X447" s="56">
        <f>IFERROR(S447/R447,"")</f>
        <v>43.329999999999991</v>
      </c>
      <c r="Y447" s="57">
        <f>U447/P447</f>
        <v>8.0573237566803973E-4</v>
      </c>
      <c r="Z447" s="28">
        <f>P447-W447</f>
        <v>23825.5</v>
      </c>
      <c r="AA447" s="57">
        <f>Z447/P447</f>
        <v>0.81102563229737545</v>
      </c>
      <c r="AB447" s="120">
        <f t="shared" si="257"/>
        <v>3261.6000000000004</v>
      </c>
      <c r="AC447" s="57">
        <f>AA447-O447</f>
        <v>0.11102563229737539</v>
      </c>
      <c r="AG447" s="61"/>
    </row>
    <row r="448" spans="1:33" ht="11.25" customHeight="1" x14ac:dyDescent="0.15">
      <c r="A448" s="130" t="s">
        <v>53</v>
      </c>
      <c r="B448" s="130"/>
      <c r="C448" s="124"/>
      <c r="D448" s="124"/>
      <c r="E448" s="273"/>
      <c r="F448" s="124"/>
      <c r="G448" s="124"/>
      <c r="H448" s="124"/>
      <c r="I448" s="124"/>
      <c r="J448" s="124"/>
      <c r="K448" s="125"/>
      <c r="L448" s="129"/>
      <c r="M448" s="129"/>
      <c r="N448" s="129"/>
      <c r="O448" s="128"/>
      <c r="P448" s="129"/>
      <c r="Q448" s="124"/>
      <c r="R448" s="129"/>
      <c r="S448" s="129"/>
      <c r="T448" s="129"/>
      <c r="U448" s="129"/>
      <c r="V448" s="126"/>
      <c r="W448" s="49"/>
      <c r="X448" s="45"/>
      <c r="Y448" s="128"/>
      <c r="Z448" s="126"/>
      <c r="AA448" s="128"/>
      <c r="AB448" s="129"/>
      <c r="AC448" s="128"/>
      <c r="AD448" s="137"/>
      <c r="AE448" s="110"/>
      <c r="AF448" s="110"/>
      <c r="AG448" s="121"/>
    </row>
    <row r="449" spans="1:33" ht="11.25" customHeight="1" x14ac:dyDescent="0.15">
      <c r="A449" s="110" t="s">
        <v>137</v>
      </c>
      <c r="B449" s="110"/>
      <c r="C449" s="111" t="s">
        <v>175</v>
      </c>
      <c r="D449" s="111">
        <v>2021</v>
      </c>
      <c r="E449" s="146">
        <v>44439</v>
      </c>
      <c r="F449" s="111"/>
      <c r="G449" s="111">
        <v>820101111</v>
      </c>
      <c r="H449" s="111">
        <v>4111</v>
      </c>
      <c r="I449" s="111" t="str">
        <f>MID(G449,2,1)</f>
        <v>2</v>
      </c>
      <c r="J449" s="111" t="str">
        <f>IF(I449="1","Small/Medium","Large")</f>
        <v>Large</v>
      </c>
      <c r="K449" s="147" t="s">
        <v>176</v>
      </c>
      <c r="L449" s="132">
        <v>20003</v>
      </c>
      <c r="M449" s="219">
        <f>L449*0.3</f>
        <v>6000.9</v>
      </c>
      <c r="N449" s="219">
        <f>L449-M449</f>
        <v>14002.1</v>
      </c>
      <c r="O449" s="119">
        <f>N449/L449</f>
        <v>0.70000000000000007</v>
      </c>
      <c r="P449" s="132">
        <v>20003</v>
      </c>
      <c r="Q449" s="111">
        <v>1207</v>
      </c>
      <c r="R449" s="132">
        <v>40</v>
      </c>
      <c r="S449" s="132">
        <f>1195.2+538</f>
        <v>1733.2</v>
      </c>
      <c r="T449" s="132">
        <f>3411.36-V449</f>
        <v>2875.44</v>
      </c>
      <c r="U449" s="132">
        <v>2933.07</v>
      </c>
      <c r="V449" s="132">
        <f>10+525.92</f>
        <v>535.91999999999996</v>
      </c>
      <c r="W449" s="67">
        <f>SUM(S449:V449)</f>
        <v>8077.630000000001</v>
      </c>
      <c r="X449" s="118">
        <f>IFERROR(S449/R449,"")</f>
        <v>43.33</v>
      </c>
      <c r="Y449" s="119">
        <f>U449/P449</f>
        <v>0.14663150527420887</v>
      </c>
      <c r="Z449" s="117">
        <f>P449-W449</f>
        <v>11925.369999999999</v>
      </c>
      <c r="AA449" s="119">
        <f>Z449/P449</f>
        <v>0.59617907313902907</v>
      </c>
      <c r="AB449" s="120">
        <f t="shared" ref="AB449:AB451" si="259">M449-W449</f>
        <v>-2076.7300000000014</v>
      </c>
      <c r="AC449" s="119">
        <f>AA449-O449</f>
        <v>-0.103820926860971</v>
      </c>
      <c r="AD449" s="110" t="s">
        <v>289</v>
      </c>
      <c r="AE449" s="110"/>
      <c r="AF449" s="110"/>
      <c r="AG449" s="121"/>
    </row>
    <row r="450" spans="1:33" ht="11.25" customHeight="1" x14ac:dyDescent="0.15">
      <c r="A450" s="110" t="s">
        <v>137</v>
      </c>
      <c r="B450" s="110"/>
      <c r="C450" s="111" t="s">
        <v>175</v>
      </c>
      <c r="D450" s="111">
        <v>2021</v>
      </c>
      <c r="E450" s="146">
        <v>44439</v>
      </c>
      <c r="F450" s="111"/>
      <c r="G450" s="111">
        <v>810101111</v>
      </c>
      <c r="H450" s="111">
        <v>4111</v>
      </c>
      <c r="I450" s="111" t="str">
        <f>MID(G450,2,1)</f>
        <v>1</v>
      </c>
      <c r="J450" s="111" t="str">
        <f>IF(I450="1","Small/Medium","Large")</f>
        <v>Small/Medium</v>
      </c>
      <c r="K450" s="147" t="s">
        <v>145</v>
      </c>
      <c r="L450" s="117">
        <v>20002</v>
      </c>
      <c r="M450" s="120">
        <f>L450*0.3</f>
        <v>6000.5999999999995</v>
      </c>
      <c r="N450" s="120">
        <f>L450-M450</f>
        <v>14001.400000000001</v>
      </c>
      <c r="O450" s="119">
        <f>N450/L450</f>
        <v>0.70000000000000007</v>
      </c>
      <c r="P450" s="117">
        <v>20002</v>
      </c>
      <c r="Q450" s="111">
        <v>1208</v>
      </c>
      <c r="R450" s="117">
        <v>40</v>
      </c>
      <c r="S450" s="117">
        <f>S449</f>
        <v>1733.2</v>
      </c>
      <c r="T450" s="117">
        <v>2875.45</v>
      </c>
      <c r="U450" s="117">
        <v>1102.0999999999999</v>
      </c>
      <c r="V450" s="117">
        <v>0</v>
      </c>
      <c r="W450" s="26">
        <f>SUM(S450:V450)</f>
        <v>5710.75</v>
      </c>
      <c r="X450" s="118">
        <f>IFERROR(S450/R450,"")</f>
        <v>43.33</v>
      </c>
      <c r="Y450" s="119">
        <f>U450/P450</f>
        <v>5.5099490050994897E-2</v>
      </c>
      <c r="Z450" s="117">
        <f>P450-W450</f>
        <v>14291.25</v>
      </c>
      <c r="AA450" s="119">
        <f>Z450/P450</f>
        <v>0.7144910508949105</v>
      </c>
      <c r="AB450" s="120">
        <f t="shared" si="259"/>
        <v>289.84999999999945</v>
      </c>
      <c r="AC450" s="119">
        <f>AA450-O450</f>
        <v>1.4491050894910429E-2</v>
      </c>
      <c r="AD450" s="110"/>
      <c r="AE450" s="110"/>
      <c r="AF450" s="110"/>
      <c r="AG450" s="121"/>
    </row>
    <row r="451" spans="1:33" s="53" customFormat="1" ht="11.25" customHeight="1" x14ac:dyDescent="0.15">
      <c r="A451" s="53" t="s">
        <v>137</v>
      </c>
      <c r="C451" s="54" t="s">
        <v>177</v>
      </c>
      <c r="D451" s="54">
        <v>2021</v>
      </c>
      <c r="E451" s="70">
        <v>44439</v>
      </c>
      <c r="F451" s="54"/>
      <c r="G451" s="54"/>
      <c r="H451" s="54"/>
      <c r="I451" s="54"/>
      <c r="J451" s="54"/>
      <c r="K451" s="106"/>
      <c r="L451" s="24">
        <f>SUM(L449:L450)</f>
        <v>40005</v>
      </c>
      <c r="M451" s="92">
        <f>L451*0.3</f>
        <v>12001.5</v>
      </c>
      <c r="N451" s="92">
        <f>L451-M451</f>
        <v>28003.5</v>
      </c>
      <c r="O451" s="74">
        <f>N451/L451</f>
        <v>0.7</v>
      </c>
      <c r="P451" s="24">
        <f>SUM(P449:P450)</f>
        <v>40005</v>
      </c>
      <c r="Q451" s="24"/>
      <c r="R451" s="24">
        <f t="shared" ref="R451:W451" si="260">SUM(R449:R450)</f>
        <v>80</v>
      </c>
      <c r="S451" s="24">
        <f t="shared" si="260"/>
        <v>3466.4</v>
      </c>
      <c r="T451" s="24">
        <f t="shared" si="260"/>
        <v>5750.8899999999994</v>
      </c>
      <c r="U451" s="24">
        <f t="shared" si="260"/>
        <v>4035.17</v>
      </c>
      <c r="V451" s="24">
        <f t="shared" si="260"/>
        <v>535.91999999999996</v>
      </c>
      <c r="W451" s="24">
        <f t="shared" si="260"/>
        <v>13788.380000000001</v>
      </c>
      <c r="X451" s="56">
        <f>IFERROR(S451/R451,"")</f>
        <v>43.33</v>
      </c>
      <c r="Y451" s="57">
        <f>U451/P451</f>
        <v>0.10086664166979127</v>
      </c>
      <c r="Z451" s="28">
        <f>P451-W451</f>
        <v>26216.62</v>
      </c>
      <c r="AA451" s="57">
        <f>Z451/P451</f>
        <v>0.65533358330208724</v>
      </c>
      <c r="AB451" s="120">
        <f t="shared" si="259"/>
        <v>-1786.880000000001</v>
      </c>
      <c r="AC451" s="57">
        <f>AA451-O451</f>
        <v>-4.4666416697912714E-2</v>
      </c>
      <c r="AG451" s="61"/>
    </row>
    <row r="452" spans="1:33" ht="11.25" customHeight="1" x14ac:dyDescent="0.15">
      <c r="A452" s="130" t="s">
        <v>53</v>
      </c>
      <c r="B452" s="130"/>
      <c r="C452" s="124"/>
      <c r="D452" s="124"/>
      <c r="E452" s="273"/>
      <c r="F452" s="124"/>
      <c r="G452" s="124"/>
      <c r="H452" s="124"/>
      <c r="I452" s="124"/>
      <c r="J452" s="124"/>
      <c r="K452" s="125"/>
      <c r="L452" s="129"/>
      <c r="M452" s="129"/>
      <c r="N452" s="129"/>
      <c r="O452" s="128"/>
      <c r="P452" s="129"/>
      <c r="Q452" s="124"/>
      <c r="R452" s="129"/>
      <c r="S452" s="129"/>
      <c r="T452" s="129"/>
      <c r="U452" s="129"/>
      <c r="V452" s="126"/>
      <c r="W452" s="49"/>
      <c r="X452" s="45"/>
      <c r="Y452" s="128"/>
      <c r="Z452" s="126"/>
      <c r="AA452" s="128"/>
      <c r="AB452" s="129"/>
      <c r="AC452" s="128"/>
      <c r="AD452" s="137"/>
      <c r="AE452" s="110"/>
      <c r="AF452" s="110"/>
      <c r="AG452" s="121"/>
    </row>
    <row r="453" spans="1:33" ht="11.25" customHeight="1" x14ac:dyDescent="0.15">
      <c r="A453" s="110" t="s">
        <v>174</v>
      </c>
      <c r="B453" s="110"/>
      <c r="C453" s="111" t="s">
        <v>175</v>
      </c>
      <c r="D453" s="111">
        <v>2021</v>
      </c>
      <c r="E453" s="146">
        <v>44439</v>
      </c>
      <c r="F453" s="111"/>
      <c r="G453" s="111">
        <v>811002111</v>
      </c>
      <c r="H453" s="111">
        <v>4101</v>
      </c>
      <c r="I453" s="111" t="str">
        <f>MID(G453,2,1)</f>
        <v>1</v>
      </c>
      <c r="J453" s="111" t="str">
        <f>IF(I453="1","Small/Medium","Large")</f>
        <v>Small/Medium</v>
      </c>
      <c r="K453" s="147" t="s">
        <v>145</v>
      </c>
      <c r="L453" s="148">
        <v>5904</v>
      </c>
      <c r="M453" s="120">
        <f>L453*0.3</f>
        <v>1771.2</v>
      </c>
      <c r="N453" s="120">
        <f>L453-M453</f>
        <v>4132.8</v>
      </c>
      <c r="O453" s="119">
        <f>N453/L453</f>
        <v>0.70000000000000007</v>
      </c>
      <c r="P453" s="148">
        <v>5904</v>
      </c>
      <c r="Q453" s="111">
        <v>1209</v>
      </c>
      <c r="R453" s="117">
        <v>35.5</v>
      </c>
      <c r="S453" s="117">
        <f>1060.74+477.48</f>
        <v>1538.22</v>
      </c>
      <c r="T453" s="117">
        <v>1305.27</v>
      </c>
      <c r="U453" s="117">
        <v>290</v>
      </c>
      <c r="V453" s="117">
        <v>0</v>
      </c>
      <c r="W453" s="26">
        <f>SUM(S453:V453)</f>
        <v>3133.49</v>
      </c>
      <c r="X453" s="118">
        <f>IFERROR(S453/R453,"")</f>
        <v>43.330140845070424</v>
      </c>
      <c r="Y453" s="119">
        <f>U453/P453</f>
        <v>4.9119241192411921E-2</v>
      </c>
      <c r="Z453" s="117">
        <f>P453-W453</f>
        <v>2770.51</v>
      </c>
      <c r="AA453" s="119">
        <f>Z453/P453</f>
        <v>0.4692598238482385</v>
      </c>
      <c r="AB453" s="120">
        <f t="shared" ref="AB453:AB455" si="261">M453-W453</f>
        <v>-1362.2899999999997</v>
      </c>
      <c r="AC453" s="119">
        <f>AA453-O453</f>
        <v>-0.23074017615176157</v>
      </c>
      <c r="AD453" s="110" t="s">
        <v>290</v>
      </c>
      <c r="AE453" s="110"/>
      <c r="AF453" s="110"/>
      <c r="AG453" s="121"/>
    </row>
    <row r="454" spans="1:33" ht="11.25" customHeight="1" x14ac:dyDescent="0.15">
      <c r="A454" s="110" t="s">
        <v>174</v>
      </c>
      <c r="B454" s="110"/>
      <c r="C454" s="111" t="s">
        <v>175</v>
      </c>
      <c r="D454" s="111">
        <v>2021</v>
      </c>
      <c r="E454" s="146">
        <v>44439</v>
      </c>
      <c r="F454" s="111"/>
      <c r="G454" s="111">
        <v>821002111</v>
      </c>
      <c r="H454" s="111">
        <v>4101</v>
      </c>
      <c r="I454" s="111" t="str">
        <f>MID(G454,2,1)</f>
        <v>2</v>
      </c>
      <c r="J454" s="111" t="str">
        <f>IF(I454="1","Small/Medium","Large")</f>
        <v>Large</v>
      </c>
      <c r="K454" s="147" t="s">
        <v>176</v>
      </c>
      <c r="L454" s="148">
        <v>10964.2</v>
      </c>
      <c r="M454" s="120">
        <f>L454*0.3</f>
        <v>3289.26</v>
      </c>
      <c r="N454" s="120">
        <f>L454-M454</f>
        <v>7674.9400000000005</v>
      </c>
      <c r="O454" s="119">
        <f>N454/L454</f>
        <v>0.7</v>
      </c>
      <c r="P454" s="148">
        <v>10964.2</v>
      </c>
      <c r="Q454" s="111">
        <v>1210</v>
      </c>
      <c r="R454" s="117">
        <v>35.5</v>
      </c>
      <c r="S454" s="117">
        <f>1060.74+477.48</f>
        <v>1538.22</v>
      </c>
      <c r="T454" s="117">
        <v>2424.08</v>
      </c>
      <c r="U454" s="117">
        <v>540</v>
      </c>
      <c r="V454" s="117"/>
      <c r="W454" s="26">
        <f>SUM(S454:V454)</f>
        <v>4502.3</v>
      </c>
      <c r="X454" s="118">
        <f>IFERROR(S454/R454,"")</f>
        <v>43.330140845070424</v>
      </c>
      <c r="Y454" s="119">
        <f>U454/P454</f>
        <v>4.9251199357910287E-2</v>
      </c>
      <c r="Z454" s="117">
        <f>P454-W454</f>
        <v>6461.9000000000005</v>
      </c>
      <c r="AA454" s="119">
        <f>Z454/P454</f>
        <v>0.58936356505718612</v>
      </c>
      <c r="AB454" s="120">
        <f t="shared" si="261"/>
        <v>-1213.04</v>
      </c>
      <c r="AC454" s="119">
        <f>AA454-O454</f>
        <v>-0.11063643494281383</v>
      </c>
      <c r="AD454" s="110" t="s">
        <v>290</v>
      </c>
      <c r="AE454" s="110"/>
      <c r="AF454" s="110"/>
      <c r="AG454" s="121"/>
    </row>
    <row r="455" spans="1:33" s="53" customFormat="1" ht="11.25" customHeight="1" x14ac:dyDescent="0.15">
      <c r="A455" s="53" t="s">
        <v>174</v>
      </c>
      <c r="C455" s="54" t="s">
        <v>177</v>
      </c>
      <c r="D455" s="54">
        <v>2021</v>
      </c>
      <c r="E455" s="70">
        <v>44439</v>
      </c>
      <c r="F455" s="54"/>
      <c r="G455" s="54"/>
      <c r="H455" s="54"/>
      <c r="I455" s="54"/>
      <c r="J455" s="54"/>
      <c r="K455" s="106"/>
      <c r="L455" s="39">
        <f>SUM(L453:L454)</f>
        <v>16868.2</v>
      </c>
      <c r="M455" s="92">
        <f>L455*0.3</f>
        <v>5060.46</v>
      </c>
      <c r="N455" s="92">
        <f>L455-M455</f>
        <v>11807.740000000002</v>
      </c>
      <c r="O455" s="74">
        <f>N455/L455</f>
        <v>0.70000000000000007</v>
      </c>
      <c r="P455" s="39">
        <f>SUM(P453:P454)</f>
        <v>16868.2</v>
      </c>
      <c r="Q455" s="39"/>
      <c r="R455" s="39">
        <f t="shared" ref="R455:W455" si="262">SUM(R453:R454)</f>
        <v>71</v>
      </c>
      <c r="S455" s="39">
        <f t="shared" si="262"/>
        <v>3076.44</v>
      </c>
      <c r="T455" s="39">
        <f t="shared" si="262"/>
        <v>3729.35</v>
      </c>
      <c r="U455" s="39">
        <f t="shared" si="262"/>
        <v>830</v>
      </c>
      <c r="V455" s="39">
        <f t="shared" si="262"/>
        <v>0</v>
      </c>
      <c r="W455" s="39">
        <f t="shared" si="262"/>
        <v>7635.79</v>
      </c>
      <c r="X455" s="56">
        <f>IFERROR(S455/R455,"")</f>
        <v>43.330140845070424</v>
      </c>
      <c r="Y455" s="57">
        <f>U455/P455</f>
        <v>4.9205012983009451E-2</v>
      </c>
      <c r="Z455" s="28">
        <f>P455-W455</f>
        <v>9232.41</v>
      </c>
      <c r="AA455" s="57">
        <f>Z455/P455</f>
        <v>0.54732633001742925</v>
      </c>
      <c r="AB455" s="120">
        <f t="shared" si="261"/>
        <v>-2575.33</v>
      </c>
      <c r="AC455" s="57">
        <f>AA455-O455</f>
        <v>-0.15267366998257081</v>
      </c>
      <c r="AG455" s="61"/>
    </row>
    <row r="456" spans="1:33" ht="11.25" customHeight="1" x14ac:dyDescent="0.15">
      <c r="A456" s="130" t="s">
        <v>53</v>
      </c>
      <c r="B456" s="130"/>
      <c r="C456" s="124"/>
      <c r="D456" s="124"/>
      <c r="E456" s="273"/>
      <c r="F456" s="124"/>
      <c r="G456" s="124"/>
      <c r="H456" s="124"/>
      <c r="I456" s="124"/>
      <c r="J456" s="124"/>
      <c r="K456" s="125"/>
      <c r="L456" s="129"/>
      <c r="M456" s="129"/>
      <c r="N456" s="129"/>
      <c r="O456" s="128"/>
      <c r="P456" s="129"/>
      <c r="Q456" s="124"/>
      <c r="R456" s="129"/>
      <c r="S456" s="129"/>
      <c r="T456" s="129"/>
      <c r="U456" s="129"/>
      <c r="V456" s="126"/>
      <c r="W456" s="49"/>
      <c r="X456" s="45"/>
      <c r="Y456" s="128"/>
      <c r="Z456" s="126"/>
      <c r="AA456" s="128"/>
      <c r="AB456" s="129"/>
      <c r="AC456" s="128"/>
      <c r="AD456" s="137"/>
      <c r="AE456" s="110"/>
      <c r="AF456" s="110"/>
      <c r="AG456" s="121"/>
    </row>
    <row r="457" spans="1:33" ht="11.25" customHeight="1" x14ac:dyDescent="0.15">
      <c r="A457" s="110" t="s">
        <v>179</v>
      </c>
      <c r="B457" s="110"/>
      <c r="C457" s="111" t="s">
        <v>175</v>
      </c>
      <c r="D457" s="111">
        <v>2021</v>
      </c>
      <c r="E457" s="146">
        <v>44439</v>
      </c>
      <c r="F457" s="111"/>
      <c r="G457" s="111">
        <v>811000111</v>
      </c>
      <c r="H457" s="111">
        <v>4101</v>
      </c>
      <c r="I457" s="111" t="str">
        <f>MID(G457,2,1)</f>
        <v>1</v>
      </c>
      <c r="J457" s="111" t="str">
        <f>IF(I457="1","Small/Medium","Large")</f>
        <v>Small/Medium</v>
      </c>
      <c r="K457" s="147" t="s">
        <v>145</v>
      </c>
      <c r="L457" s="117">
        <v>9680</v>
      </c>
      <c r="M457" s="120">
        <f>L457*0.3</f>
        <v>2904</v>
      </c>
      <c r="N457" s="120">
        <f>L457-M457</f>
        <v>6776</v>
      </c>
      <c r="O457" s="119">
        <f>N457/L457</f>
        <v>0.7</v>
      </c>
      <c r="P457" s="117">
        <v>9680</v>
      </c>
      <c r="Q457" s="111">
        <v>1211</v>
      </c>
      <c r="R457" s="117">
        <v>27.5</v>
      </c>
      <c r="S457" s="117">
        <f>821.7+369.89</f>
        <v>1191.5900000000001</v>
      </c>
      <c r="T457" s="117">
        <f>2268.43-V457</f>
        <v>1925.4499999999998</v>
      </c>
      <c r="U457" s="117">
        <v>923.31</v>
      </c>
      <c r="V457" s="117">
        <f>5+337.98</f>
        <v>342.98</v>
      </c>
      <c r="W457" s="26">
        <f>SUM(S457:V457)</f>
        <v>4383.33</v>
      </c>
      <c r="X457" s="118">
        <f>IFERROR(S457/R457,"")</f>
        <v>43.330545454545458</v>
      </c>
      <c r="Y457" s="119">
        <f>U457/P457</f>
        <v>9.5383264462809911E-2</v>
      </c>
      <c r="Z457" s="117">
        <f>P457-W457</f>
        <v>5296.67</v>
      </c>
      <c r="AA457" s="119">
        <f>Z457/P457</f>
        <v>0.54717665289256201</v>
      </c>
      <c r="AB457" s="120">
        <f t="shared" ref="AB457:AB458" si="263">M457-W457</f>
        <v>-1479.33</v>
      </c>
      <c r="AC457" s="119">
        <f>AA457-O457</f>
        <v>-0.15282334710743795</v>
      </c>
      <c r="AD457" s="110" t="s">
        <v>291</v>
      </c>
      <c r="AE457" s="110"/>
      <c r="AF457" s="110"/>
      <c r="AG457" s="121"/>
    </row>
    <row r="458" spans="1:33" s="53" customFormat="1" ht="11.25" customHeight="1" x14ac:dyDescent="0.15">
      <c r="A458" s="53" t="s">
        <v>179</v>
      </c>
      <c r="C458" s="54" t="s">
        <v>177</v>
      </c>
      <c r="D458" s="54">
        <v>2021</v>
      </c>
      <c r="E458" s="70">
        <v>44439</v>
      </c>
      <c r="F458" s="54"/>
      <c r="G458" s="54"/>
      <c r="H458" s="54"/>
      <c r="I458" s="54"/>
      <c r="J458" s="54"/>
      <c r="K458" s="106"/>
      <c r="L458" s="39">
        <f>SUM(L456:L457)</f>
        <v>9680</v>
      </c>
      <c r="M458" s="92">
        <f>L458*0.3</f>
        <v>2904</v>
      </c>
      <c r="N458" s="92">
        <f>L458-M458</f>
        <v>6776</v>
      </c>
      <c r="O458" s="74">
        <f>N458/L458</f>
        <v>0.7</v>
      </c>
      <c r="P458" s="39">
        <f>SUM(P456:P457)</f>
        <v>9680</v>
      </c>
      <c r="Q458" s="39"/>
      <c r="R458" s="39">
        <f t="shared" ref="R458:W458" si="264">SUM(R456:R457)</f>
        <v>27.5</v>
      </c>
      <c r="S458" s="39">
        <f t="shared" si="264"/>
        <v>1191.5900000000001</v>
      </c>
      <c r="T458" s="39">
        <f t="shared" si="264"/>
        <v>1925.4499999999998</v>
      </c>
      <c r="U458" s="39">
        <f t="shared" si="264"/>
        <v>923.31</v>
      </c>
      <c r="V458" s="39">
        <f t="shared" si="264"/>
        <v>342.98</v>
      </c>
      <c r="W458" s="39">
        <f t="shared" si="264"/>
        <v>4383.33</v>
      </c>
      <c r="X458" s="56">
        <f>IFERROR(S458/R458,"")</f>
        <v>43.330545454545458</v>
      </c>
      <c r="Y458" s="57">
        <f>U458/P458</f>
        <v>9.5383264462809911E-2</v>
      </c>
      <c r="Z458" s="28">
        <f>P458-W458</f>
        <v>5296.67</v>
      </c>
      <c r="AA458" s="57">
        <f>Z458/P458</f>
        <v>0.54717665289256201</v>
      </c>
      <c r="AB458" s="120">
        <f t="shared" si="263"/>
        <v>-1479.33</v>
      </c>
      <c r="AC458" s="57">
        <f>AA458-O458</f>
        <v>-0.15282334710743795</v>
      </c>
      <c r="AG458" s="61"/>
    </row>
    <row r="459" spans="1:33" ht="11.25" customHeight="1" x14ac:dyDescent="0.15">
      <c r="A459" s="130" t="s">
        <v>53</v>
      </c>
      <c r="B459" s="130"/>
      <c r="C459" s="124"/>
      <c r="D459" s="124"/>
      <c r="E459" s="273"/>
      <c r="F459" s="124"/>
      <c r="G459" s="124"/>
      <c r="H459" s="124"/>
      <c r="I459" s="124"/>
      <c r="J459" s="124"/>
      <c r="K459" s="125"/>
      <c r="L459" s="129"/>
      <c r="M459" s="129"/>
      <c r="N459" s="129"/>
      <c r="O459" s="128"/>
      <c r="P459" s="129"/>
      <c r="Q459" s="124"/>
      <c r="R459" s="129"/>
      <c r="S459" s="129"/>
      <c r="T459" s="129"/>
      <c r="U459" s="129"/>
      <c r="V459" s="126"/>
      <c r="W459" s="49"/>
      <c r="X459" s="45"/>
      <c r="Y459" s="128"/>
      <c r="Z459" s="126"/>
      <c r="AA459" s="128"/>
      <c r="AB459" s="129"/>
      <c r="AC459" s="160"/>
      <c r="AD459" s="137"/>
      <c r="AE459" s="110"/>
      <c r="AF459" s="110"/>
      <c r="AG459" s="121"/>
    </row>
    <row r="460" spans="1:33" ht="11.25" customHeight="1" x14ac:dyDescent="0.15">
      <c r="A460" s="110" t="s">
        <v>292</v>
      </c>
      <c r="B460" s="110"/>
      <c r="C460" s="111" t="s">
        <v>175</v>
      </c>
      <c r="D460" s="111">
        <v>2021</v>
      </c>
      <c r="E460" s="146">
        <v>44439</v>
      </c>
      <c r="F460" s="111"/>
      <c r="G460" s="111">
        <v>810001101</v>
      </c>
      <c r="H460" s="111">
        <v>4111</v>
      </c>
      <c r="I460" s="111" t="str">
        <f>MID(G460,2,1)</f>
        <v>1</v>
      </c>
      <c r="J460" s="111" t="str">
        <f>IF(I460="1","Small/Medium","Large")</f>
        <v>Small/Medium</v>
      </c>
      <c r="K460" s="147" t="s">
        <v>145</v>
      </c>
      <c r="L460" s="117">
        <v>7500</v>
      </c>
      <c r="M460" s="120">
        <f>L460*0.3</f>
        <v>2250</v>
      </c>
      <c r="N460" s="120">
        <f>L460-M460</f>
        <v>5250</v>
      </c>
      <c r="O460" s="119">
        <f>N460/L460</f>
        <v>0.7</v>
      </c>
      <c r="P460" s="117">
        <v>7870</v>
      </c>
      <c r="Q460" s="111">
        <v>1138</v>
      </c>
      <c r="R460" s="117">
        <v>34</v>
      </c>
      <c r="S460" s="117">
        <f>1015.92+457.3</f>
        <v>1473.22</v>
      </c>
      <c r="T460" s="117">
        <f>2360.53-V460</f>
        <v>2280.8000000000002</v>
      </c>
      <c r="U460" s="117">
        <v>0</v>
      </c>
      <c r="V460" s="117">
        <v>79.73</v>
      </c>
      <c r="W460" s="26">
        <f>SUM(S460:V460)</f>
        <v>3833.7500000000005</v>
      </c>
      <c r="X460" s="118">
        <f>IFERROR(S460/R460,"")</f>
        <v>43.33</v>
      </c>
      <c r="Y460" s="119">
        <f>U460/P460</f>
        <v>0</v>
      </c>
      <c r="Z460" s="117">
        <f>P460-W460</f>
        <v>4036.2499999999995</v>
      </c>
      <c r="AA460" s="119">
        <f>Z460/P460</f>
        <v>0.51286531130876745</v>
      </c>
      <c r="AB460" s="120">
        <f t="shared" ref="AB460:AB461" si="265">M460-W460</f>
        <v>-1583.7500000000005</v>
      </c>
      <c r="AC460" s="119">
        <f>AA460-O460</f>
        <v>-0.18713468869123251</v>
      </c>
      <c r="AD460" s="110" t="s">
        <v>293</v>
      </c>
      <c r="AE460" s="110"/>
      <c r="AF460" s="110"/>
      <c r="AG460" s="121"/>
    </row>
    <row r="461" spans="1:33" s="53" customFormat="1" ht="11.25" customHeight="1" x14ac:dyDescent="0.15">
      <c r="A461" s="53" t="s">
        <v>292</v>
      </c>
      <c r="C461" s="54" t="s">
        <v>177</v>
      </c>
      <c r="D461" s="54">
        <v>2021</v>
      </c>
      <c r="E461" s="70">
        <v>44439</v>
      </c>
      <c r="F461" s="54"/>
      <c r="G461" s="54"/>
      <c r="H461" s="54"/>
      <c r="I461" s="54"/>
      <c r="J461" s="54"/>
      <c r="K461" s="106"/>
      <c r="L461" s="39">
        <f>SUM(L460)</f>
        <v>7500</v>
      </c>
      <c r="M461" s="92">
        <f>L461*0.3</f>
        <v>2250</v>
      </c>
      <c r="N461" s="92">
        <f>L461-M461</f>
        <v>5250</v>
      </c>
      <c r="O461" s="74">
        <f>N461/L461</f>
        <v>0.7</v>
      </c>
      <c r="P461" s="39">
        <f>SUM(P460)</f>
        <v>7870</v>
      </c>
      <c r="Q461" s="39"/>
      <c r="R461" s="39">
        <f t="shared" ref="R461:W461" si="266">SUM(R460)</f>
        <v>34</v>
      </c>
      <c r="S461" s="39">
        <f t="shared" si="266"/>
        <v>1473.22</v>
      </c>
      <c r="T461" s="39">
        <f t="shared" si="266"/>
        <v>2280.8000000000002</v>
      </c>
      <c r="U461" s="39">
        <f t="shared" si="266"/>
        <v>0</v>
      </c>
      <c r="V461" s="39">
        <f t="shared" si="266"/>
        <v>79.73</v>
      </c>
      <c r="W461" s="39">
        <f t="shared" si="266"/>
        <v>3833.7500000000005</v>
      </c>
      <c r="X461" s="56">
        <f>IFERROR(S461/R461,"")</f>
        <v>43.33</v>
      </c>
      <c r="Y461" s="57">
        <f>U461/P461</f>
        <v>0</v>
      </c>
      <c r="Z461" s="28">
        <f>P461-W461</f>
        <v>4036.2499999999995</v>
      </c>
      <c r="AA461" s="57">
        <f>Z461/P461</f>
        <v>0.51286531130876745</v>
      </c>
      <c r="AB461" s="120">
        <f t="shared" si="265"/>
        <v>-1583.7500000000005</v>
      </c>
      <c r="AC461" s="57">
        <f>AA461-O461</f>
        <v>-0.18713468869123251</v>
      </c>
      <c r="AD461" s="53" t="s">
        <v>293</v>
      </c>
      <c r="AG461" s="61"/>
    </row>
    <row r="462" spans="1:33" ht="11.25" customHeight="1" x14ac:dyDescent="0.15">
      <c r="A462" s="130" t="s">
        <v>53</v>
      </c>
      <c r="B462" s="130"/>
      <c r="C462" s="124"/>
      <c r="D462" s="124"/>
      <c r="E462" s="273"/>
      <c r="F462" s="124"/>
      <c r="G462" s="124"/>
      <c r="H462" s="124"/>
      <c r="I462" s="124"/>
      <c r="J462" s="124"/>
      <c r="K462" s="125"/>
      <c r="L462" s="129"/>
      <c r="M462" s="129"/>
      <c r="N462" s="129"/>
      <c r="O462" s="128"/>
      <c r="P462" s="129"/>
      <c r="Q462" s="124"/>
      <c r="R462" s="129"/>
      <c r="S462" s="129"/>
      <c r="T462" s="129"/>
      <c r="U462" s="129"/>
      <c r="V462" s="126"/>
      <c r="W462" s="49"/>
      <c r="X462" s="45"/>
      <c r="Y462" s="128"/>
      <c r="Z462" s="126"/>
      <c r="AA462" s="128"/>
      <c r="AB462" s="129"/>
      <c r="AC462" s="160"/>
      <c r="AD462" s="137"/>
      <c r="AE462" s="110"/>
      <c r="AF462" s="110"/>
      <c r="AG462" s="121"/>
    </row>
    <row r="463" spans="1:33" ht="11.25" customHeight="1" x14ac:dyDescent="0.15">
      <c r="A463" s="110" t="s">
        <v>294</v>
      </c>
      <c r="B463" s="110"/>
      <c r="C463" s="111" t="s">
        <v>175</v>
      </c>
      <c r="D463" s="111">
        <v>2021</v>
      </c>
      <c r="E463" s="146">
        <v>44439</v>
      </c>
      <c r="F463" s="111"/>
      <c r="G463" s="111">
        <v>821003111</v>
      </c>
      <c r="H463" s="111">
        <v>4101</v>
      </c>
      <c r="I463" s="111" t="str">
        <f>MID(G463,2,1)</f>
        <v>2</v>
      </c>
      <c r="J463" s="111" t="str">
        <f>IF(I463="1","Small/Medium","Large")</f>
        <v>Large</v>
      </c>
      <c r="K463" s="147" t="s">
        <v>176</v>
      </c>
      <c r="L463" s="117">
        <v>7500</v>
      </c>
      <c r="M463" s="120">
        <f>L463*0.3</f>
        <v>2250</v>
      </c>
      <c r="N463" s="120">
        <f>L463-M463</f>
        <v>5250</v>
      </c>
      <c r="O463" s="119">
        <f>N463/L463</f>
        <v>0.7</v>
      </c>
      <c r="P463" s="117">
        <v>8171.8</v>
      </c>
      <c r="Q463" s="111">
        <v>1139</v>
      </c>
      <c r="R463" s="117">
        <v>32</v>
      </c>
      <c r="S463" s="117">
        <f>956.16+430.41</f>
        <v>1386.57</v>
      </c>
      <c r="T463" s="117">
        <v>1884.28</v>
      </c>
      <c r="U463" s="117">
        <v>329.68</v>
      </c>
      <c r="V463" s="117">
        <v>0</v>
      </c>
      <c r="W463" s="26">
        <f>SUM(S463:V463)</f>
        <v>3600.5299999999997</v>
      </c>
      <c r="X463" s="118">
        <f>IFERROR(S463/R463,"")</f>
        <v>43.330312499999998</v>
      </c>
      <c r="Y463" s="119">
        <f>U463/P463</f>
        <v>4.0343620744511616E-2</v>
      </c>
      <c r="Z463" s="117">
        <f>P463-W463</f>
        <v>4571.2700000000004</v>
      </c>
      <c r="AA463" s="119">
        <f>Z463/P463</f>
        <v>0.55939572676766447</v>
      </c>
      <c r="AB463" s="120">
        <f t="shared" ref="AB463:AB465" si="267">M463-W463</f>
        <v>-1350.5299999999997</v>
      </c>
      <c r="AC463" s="119">
        <f>AA463-O463</f>
        <v>-0.14060427323233549</v>
      </c>
      <c r="AD463" s="110" t="s">
        <v>295</v>
      </c>
      <c r="AE463" s="110"/>
      <c r="AF463" s="110"/>
      <c r="AG463" s="121"/>
    </row>
    <row r="464" spans="1:33" ht="11.25" customHeight="1" x14ac:dyDescent="0.15">
      <c r="A464" s="110" t="s">
        <v>294</v>
      </c>
      <c r="B464" s="110"/>
      <c r="C464" s="111" t="s">
        <v>175</v>
      </c>
      <c r="D464" s="111">
        <v>2021</v>
      </c>
      <c r="E464" s="146">
        <v>44439</v>
      </c>
      <c r="F464" s="111"/>
      <c r="G464" s="111">
        <v>811003111</v>
      </c>
      <c r="H464" s="111">
        <v>4101</v>
      </c>
      <c r="I464" s="111" t="str">
        <f>MID(G464,2,1)</f>
        <v>1</v>
      </c>
      <c r="J464" s="111" t="str">
        <f>IF(I464="1","Small/Medium","Large")</f>
        <v>Small/Medium</v>
      </c>
      <c r="K464" s="147" t="s">
        <v>145</v>
      </c>
      <c r="L464" s="117">
        <v>7500</v>
      </c>
      <c r="M464" s="120">
        <f>L464*0.3</f>
        <v>2250</v>
      </c>
      <c r="N464" s="120">
        <f>L464-M464</f>
        <v>5250</v>
      </c>
      <c r="O464" s="119">
        <f>N464/L464</f>
        <v>0.7</v>
      </c>
      <c r="P464" s="117">
        <v>4400.2</v>
      </c>
      <c r="Q464" s="111">
        <v>1140</v>
      </c>
      <c r="R464" s="117">
        <v>27.5</v>
      </c>
      <c r="S464" s="117">
        <f>821.7+369.88</f>
        <v>1191.58</v>
      </c>
      <c r="T464" s="117">
        <v>1014.61</v>
      </c>
      <c r="U464" s="117">
        <v>177.52</v>
      </c>
      <c r="V464" s="117"/>
      <c r="W464" s="26">
        <f>SUM(S464:V464)</f>
        <v>2383.71</v>
      </c>
      <c r="X464" s="118">
        <f>IFERROR(S464/R464,"")</f>
        <v>43.330181818181813</v>
      </c>
      <c r="Y464" s="119">
        <f>U464/P464</f>
        <v>4.0343620744511616E-2</v>
      </c>
      <c r="Z464" s="117">
        <f>P464-W464</f>
        <v>2016.4899999999998</v>
      </c>
      <c r="AA464" s="119">
        <f>Z464/P464</f>
        <v>0.45827235125676102</v>
      </c>
      <c r="AB464" s="120">
        <f t="shared" si="267"/>
        <v>-133.71000000000004</v>
      </c>
      <c r="AC464" s="119">
        <f>AA464-O464</f>
        <v>-0.24172764874323893</v>
      </c>
      <c r="AD464" s="110" t="s">
        <v>295</v>
      </c>
      <c r="AE464" s="110"/>
      <c r="AF464" s="110"/>
      <c r="AG464" s="121"/>
    </row>
    <row r="465" spans="1:33" s="53" customFormat="1" ht="11.25" customHeight="1" x14ac:dyDescent="0.15">
      <c r="A465" s="53" t="s">
        <v>294</v>
      </c>
      <c r="C465" s="54" t="s">
        <v>177</v>
      </c>
      <c r="D465" s="54">
        <v>2021</v>
      </c>
      <c r="E465" s="70">
        <v>44439</v>
      </c>
      <c r="F465" s="54"/>
      <c r="G465" s="54"/>
      <c r="H465" s="54"/>
      <c r="I465" s="54"/>
      <c r="J465" s="54"/>
      <c r="K465" s="106"/>
      <c r="L465" s="39">
        <f>SUM(L464)</f>
        <v>7500</v>
      </c>
      <c r="M465" s="92">
        <f>L465*0.3</f>
        <v>2250</v>
      </c>
      <c r="N465" s="92">
        <f>L465-M465</f>
        <v>5250</v>
      </c>
      <c r="O465" s="74">
        <f>N465/L465</f>
        <v>0.7</v>
      </c>
      <c r="P465" s="39">
        <f>SUM(P463:P464)</f>
        <v>12572</v>
      </c>
      <c r="Q465" s="39"/>
      <c r="R465" s="39">
        <f t="shared" ref="R465:W465" si="268">SUM(R463:R464)</f>
        <v>59.5</v>
      </c>
      <c r="S465" s="39">
        <f t="shared" si="268"/>
        <v>2578.1499999999996</v>
      </c>
      <c r="T465" s="39">
        <f t="shared" si="268"/>
        <v>2898.89</v>
      </c>
      <c r="U465" s="39">
        <f t="shared" si="268"/>
        <v>507.20000000000005</v>
      </c>
      <c r="V465" s="39">
        <f t="shared" si="268"/>
        <v>0</v>
      </c>
      <c r="W465" s="39">
        <f t="shared" si="268"/>
        <v>5984.24</v>
      </c>
      <c r="X465" s="56">
        <f>IFERROR(S465/R465,"")</f>
        <v>43.330252100840333</v>
      </c>
      <c r="Y465" s="57">
        <f>U465/P465</f>
        <v>4.0343620744511616E-2</v>
      </c>
      <c r="Z465" s="28">
        <f>P465-W465</f>
        <v>6587.76</v>
      </c>
      <c r="AA465" s="57">
        <f>Z465/P465</f>
        <v>0.52400254533884827</v>
      </c>
      <c r="AB465" s="120">
        <f t="shared" si="267"/>
        <v>-3734.24</v>
      </c>
      <c r="AC465" s="57">
        <f>AA465-O465</f>
        <v>-0.17599745466115169</v>
      </c>
      <c r="AG465" s="61"/>
    </row>
    <row r="466" spans="1:33" ht="11.25" customHeight="1" x14ac:dyDescent="0.15">
      <c r="A466" s="130" t="s">
        <v>53</v>
      </c>
      <c r="B466" s="130"/>
      <c r="C466" s="124"/>
      <c r="D466" s="124"/>
      <c r="E466" s="273"/>
      <c r="F466" s="124"/>
      <c r="G466" s="124"/>
      <c r="H466" s="124"/>
      <c r="I466" s="124"/>
      <c r="J466" s="124"/>
      <c r="K466" s="125"/>
      <c r="L466" s="129"/>
      <c r="M466" s="129"/>
      <c r="N466" s="129"/>
      <c r="O466" s="128"/>
      <c r="P466" s="129"/>
      <c r="Q466" s="124"/>
      <c r="R466" s="129"/>
      <c r="S466" s="129"/>
      <c r="T466" s="129"/>
      <c r="U466" s="129"/>
      <c r="V466" s="126"/>
      <c r="W466" s="49"/>
      <c r="X466" s="45"/>
      <c r="Y466" s="128"/>
      <c r="Z466" s="126"/>
      <c r="AA466" s="128"/>
      <c r="AB466" s="129"/>
      <c r="AC466" s="160"/>
      <c r="AD466" s="137"/>
      <c r="AE466" s="110"/>
      <c r="AF466" s="110"/>
      <c r="AG466" s="121"/>
    </row>
    <row r="467" spans="1:33" ht="11.25" customHeight="1" x14ac:dyDescent="0.15">
      <c r="A467" s="110" t="s">
        <v>296</v>
      </c>
      <c r="B467" s="110"/>
      <c r="C467" s="111" t="s">
        <v>201</v>
      </c>
      <c r="D467" s="111">
        <v>2021</v>
      </c>
      <c r="E467" s="146">
        <v>44439</v>
      </c>
      <c r="F467" s="111"/>
      <c r="G467" s="111" t="s">
        <v>202</v>
      </c>
      <c r="H467" s="111"/>
      <c r="I467" s="111"/>
      <c r="J467" s="111"/>
      <c r="K467" s="112" t="s">
        <v>203</v>
      </c>
      <c r="L467" s="117"/>
      <c r="M467" s="120"/>
      <c r="N467" s="120"/>
      <c r="O467" s="119"/>
      <c r="P467" s="117">
        <v>0</v>
      </c>
      <c r="Q467" s="111">
        <v>1220</v>
      </c>
      <c r="R467" s="117">
        <v>32.25</v>
      </c>
      <c r="S467" s="117">
        <f>881.25+396.56</f>
        <v>1277.81</v>
      </c>
      <c r="T467" s="117">
        <v>2823.68</v>
      </c>
      <c r="U467" s="117">
        <v>4301</v>
      </c>
      <c r="V467" s="117">
        <v>80.680000000000007</v>
      </c>
      <c r="W467" s="26">
        <f>SUM(S467:V467)</f>
        <v>8483.17</v>
      </c>
      <c r="X467" s="118">
        <f>IFERROR(S467/R467,"")</f>
        <v>39.622015503875964</v>
      </c>
      <c r="Y467" s="119">
        <v>0</v>
      </c>
      <c r="Z467" s="117">
        <f>P467-W467</f>
        <v>-8483.17</v>
      </c>
      <c r="AA467" s="119">
        <v>-1</v>
      </c>
      <c r="AB467" s="120">
        <f t="shared" ref="AB467:AB468" si="269">M467-W467</f>
        <v>-8483.17</v>
      </c>
      <c r="AC467" s="119"/>
      <c r="AD467" s="110" t="s">
        <v>297</v>
      </c>
      <c r="AE467" s="110"/>
      <c r="AF467" s="110"/>
      <c r="AG467" s="121"/>
    </row>
    <row r="468" spans="1:33" s="53" customFormat="1" ht="11.25" customHeight="1" x14ac:dyDescent="0.15">
      <c r="A468" s="53" t="s">
        <v>296</v>
      </c>
      <c r="C468" s="54" t="s">
        <v>177</v>
      </c>
      <c r="D468" s="54">
        <v>2021</v>
      </c>
      <c r="E468" s="70">
        <v>44439</v>
      </c>
      <c r="F468" s="54"/>
      <c r="G468" s="54"/>
      <c r="H468" s="54"/>
      <c r="I468" s="54"/>
      <c r="J468" s="54"/>
      <c r="K468" s="106"/>
      <c r="L468" s="41"/>
      <c r="M468" s="93"/>
      <c r="N468" s="93"/>
      <c r="O468" s="73"/>
      <c r="P468" s="39">
        <f>SUM(P467)</f>
        <v>0</v>
      </c>
      <c r="Q468" s="39"/>
      <c r="R468" s="39">
        <f t="shared" ref="R468:W468" si="270">SUM(R467)</f>
        <v>32.25</v>
      </c>
      <c r="S468" s="39">
        <f t="shared" si="270"/>
        <v>1277.81</v>
      </c>
      <c r="T468" s="39">
        <f t="shared" si="270"/>
        <v>2823.68</v>
      </c>
      <c r="U468" s="39">
        <f t="shared" si="270"/>
        <v>4301</v>
      </c>
      <c r="V468" s="39">
        <f t="shared" si="270"/>
        <v>80.680000000000007</v>
      </c>
      <c r="W468" s="39">
        <f t="shared" si="270"/>
        <v>8483.17</v>
      </c>
      <c r="X468" s="56">
        <f>IFERROR(S468/R468,"")</f>
        <v>39.622015503875964</v>
      </c>
      <c r="Y468" s="57">
        <v>0</v>
      </c>
      <c r="Z468" s="28">
        <f>P468-W468</f>
        <v>-8483.17</v>
      </c>
      <c r="AA468" s="57">
        <v>-1</v>
      </c>
      <c r="AB468" s="120">
        <f t="shared" si="269"/>
        <v>-8483.17</v>
      </c>
      <c r="AC468" s="57"/>
      <c r="AG468" s="61"/>
    </row>
    <row r="469" spans="1:33" ht="11.25" customHeight="1" x14ac:dyDescent="0.15">
      <c r="A469" s="130" t="s">
        <v>53</v>
      </c>
      <c r="B469" s="130"/>
      <c r="C469" s="124"/>
      <c r="D469" s="124"/>
      <c r="E469" s="273"/>
      <c r="F469" s="124"/>
      <c r="G469" s="124"/>
      <c r="H469" s="124"/>
      <c r="I469" s="124"/>
      <c r="J469" s="124"/>
      <c r="K469" s="125"/>
      <c r="L469" s="129"/>
      <c r="M469" s="129"/>
      <c r="N469" s="129"/>
      <c r="O469" s="128"/>
      <c r="P469" s="129"/>
      <c r="Q469" s="124"/>
      <c r="R469" s="129"/>
      <c r="S469" s="129"/>
      <c r="T469" s="129"/>
      <c r="U469" s="129"/>
      <c r="V469" s="126"/>
      <c r="W469" s="49"/>
      <c r="X469" s="45"/>
      <c r="Y469" s="128"/>
      <c r="Z469" s="126"/>
      <c r="AA469" s="128"/>
      <c r="AB469" s="129"/>
      <c r="AC469" s="160"/>
      <c r="AD469" s="137"/>
      <c r="AE469" s="110"/>
      <c r="AF469" s="110"/>
      <c r="AG469" s="121"/>
    </row>
    <row r="470" spans="1:33" ht="11.25" customHeight="1" x14ac:dyDescent="0.15">
      <c r="A470" s="110" t="s">
        <v>264</v>
      </c>
      <c r="B470" s="110"/>
      <c r="C470" s="111" t="s">
        <v>201</v>
      </c>
      <c r="D470" s="111">
        <v>2021</v>
      </c>
      <c r="E470" s="146">
        <v>44439</v>
      </c>
      <c r="F470" s="111"/>
      <c r="G470" s="111" t="s">
        <v>202</v>
      </c>
      <c r="H470" s="111"/>
      <c r="I470" s="111"/>
      <c r="J470" s="111"/>
      <c r="K470" s="112" t="s">
        <v>203</v>
      </c>
      <c r="L470" s="219"/>
      <c r="M470" s="219"/>
      <c r="N470" s="219"/>
      <c r="O470" s="163"/>
      <c r="P470" s="132">
        <v>0</v>
      </c>
      <c r="Q470" s="111">
        <v>1221</v>
      </c>
      <c r="R470" s="132">
        <v>37</v>
      </c>
      <c r="S470" s="132">
        <f>925+416.25</f>
        <v>1341.25</v>
      </c>
      <c r="T470" s="132">
        <v>1674.21</v>
      </c>
      <c r="U470" s="132">
        <v>11.08</v>
      </c>
      <c r="V470" s="132">
        <v>0</v>
      </c>
      <c r="W470" s="67">
        <f>SUM(S470:V470)</f>
        <v>3026.54</v>
      </c>
      <c r="X470" s="118">
        <f>IFERROR(S470/R470,"")</f>
        <v>36.25</v>
      </c>
      <c r="Y470" s="119">
        <v>0</v>
      </c>
      <c r="Z470" s="117">
        <f>P470-W470</f>
        <v>-3026.54</v>
      </c>
      <c r="AA470" s="119">
        <v>-1</v>
      </c>
      <c r="AB470" s="120">
        <f t="shared" ref="AB470:AB471" si="271">M470-W470</f>
        <v>-3026.54</v>
      </c>
      <c r="AC470" s="119"/>
      <c r="AD470" s="110" t="s">
        <v>297</v>
      </c>
      <c r="AE470" s="110"/>
      <c r="AF470" s="110"/>
      <c r="AG470" s="121"/>
    </row>
    <row r="471" spans="1:33" s="53" customFormat="1" ht="11.25" customHeight="1" x14ac:dyDescent="0.15">
      <c r="A471" s="53" t="s">
        <v>264</v>
      </c>
      <c r="C471" s="54" t="s">
        <v>177</v>
      </c>
      <c r="D471" s="54">
        <v>2021</v>
      </c>
      <c r="E471" s="70">
        <v>44439</v>
      </c>
      <c r="F471" s="54"/>
      <c r="G471" s="54"/>
      <c r="H471" s="54"/>
      <c r="I471" s="54"/>
      <c r="J471" s="54"/>
      <c r="K471" s="106"/>
      <c r="L471" s="58"/>
      <c r="M471" s="58"/>
      <c r="N471" s="58"/>
      <c r="O471" s="57"/>
      <c r="P471" s="39">
        <f>SUM(P470)</f>
        <v>0</v>
      </c>
      <c r="Q471" s="39"/>
      <c r="R471" s="39">
        <f t="shared" ref="R471:W471" si="272">SUM(R470)</f>
        <v>37</v>
      </c>
      <c r="S471" s="39">
        <f t="shared" si="272"/>
        <v>1341.25</v>
      </c>
      <c r="T471" s="39">
        <f t="shared" si="272"/>
        <v>1674.21</v>
      </c>
      <c r="U471" s="39">
        <f t="shared" si="272"/>
        <v>11.08</v>
      </c>
      <c r="V471" s="39">
        <f t="shared" si="272"/>
        <v>0</v>
      </c>
      <c r="W471" s="39">
        <f t="shared" si="272"/>
        <v>3026.54</v>
      </c>
      <c r="X471" s="56">
        <f>IFERROR(S471/R471,"")</f>
        <v>36.25</v>
      </c>
      <c r="Y471" s="57">
        <v>0</v>
      </c>
      <c r="Z471" s="28">
        <f>P471-W471</f>
        <v>-3026.54</v>
      </c>
      <c r="AA471" s="57">
        <v>-1</v>
      </c>
      <c r="AB471" s="120">
        <f t="shared" si="271"/>
        <v>-3026.54</v>
      </c>
      <c r="AC471" s="57"/>
      <c r="AG471" s="61"/>
    </row>
    <row r="472" spans="1:33" ht="11.25" customHeight="1" x14ac:dyDescent="0.15">
      <c r="A472" s="130" t="s">
        <v>53</v>
      </c>
      <c r="B472" s="130"/>
      <c r="C472" s="124"/>
      <c r="D472" s="124"/>
      <c r="E472" s="273"/>
      <c r="F472" s="124"/>
      <c r="G472" s="124"/>
      <c r="H472" s="124"/>
      <c r="I472" s="124"/>
      <c r="J472" s="124"/>
      <c r="K472" s="125"/>
      <c r="L472" s="129"/>
      <c r="M472" s="129"/>
      <c r="N472" s="129"/>
      <c r="O472" s="128"/>
      <c r="P472" s="129"/>
      <c r="Q472" s="124"/>
      <c r="R472" s="129"/>
      <c r="S472" s="129"/>
      <c r="T472" s="129"/>
      <c r="U472" s="129"/>
      <c r="V472" s="126"/>
      <c r="W472" s="49"/>
      <c r="X472" s="45"/>
      <c r="Y472" s="128"/>
      <c r="Z472" s="126"/>
      <c r="AA472" s="128"/>
      <c r="AB472" s="129"/>
      <c r="AC472" s="160"/>
      <c r="AD472" s="137"/>
      <c r="AE472" s="110"/>
      <c r="AF472" s="110"/>
      <c r="AG472" s="121"/>
    </row>
    <row r="473" spans="1:33" ht="11.25" customHeight="1" x14ac:dyDescent="0.15">
      <c r="A473" s="110" t="s">
        <v>296</v>
      </c>
      <c r="B473" s="110"/>
      <c r="C473" s="111" t="s">
        <v>175</v>
      </c>
      <c r="D473" s="111">
        <v>2021</v>
      </c>
      <c r="E473" s="146">
        <v>44439</v>
      </c>
      <c r="F473" s="111"/>
      <c r="G473" s="111">
        <v>811002111</v>
      </c>
      <c r="H473" s="111">
        <v>4101</v>
      </c>
      <c r="I473" s="111" t="str">
        <f>MID(G473,2,1)</f>
        <v>1</v>
      </c>
      <c r="J473" s="111" t="str">
        <f>IF(I473="1","Small/Medium","Large")</f>
        <v>Small/Medium</v>
      </c>
      <c r="K473" s="147" t="s">
        <v>145</v>
      </c>
      <c r="L473" s="117">
        <v>11240</v>
      </c>
      <c r="M473" s="120">
        <f>L473*0.3</f>
        <v>3372</v>
      </c>
      <c r="N473" s="120">
        <f>L473-M473</f>
        <v>7868</v>
      </c>
      <c r="O473" s="119">
        <f>N473/L473</f>
        <v>0.7</v>
      </c>
      <c r="P473" s="117">
        <v>11240</v>
      </c>
      <c r="Q473" s="111">
        <v>1225</v>
      </c>
      <c r="R473" s="117">
        <v>16</v>
      </c>
      <c r="S473" s="117">
        <f>478.08+215.21</f>
        <v>693.29</v>
      </c>
      <c r="T473" s="117">
        <v>645.79999999999995</v>
      </c>
      <c r="U473" s="117">
        <v>113.75</v>
      </c>
      <c r="V473" s="117">
        <v>0</v>
      </c>
      <c r="W473" s="26">
        <f>SUM(S473:V473)</f>
        <v>1452.84</v>
      </c>
      <c r="X473" s="118">
        <f>IFERROR(S473/R473,"")</f>
        <v>43.330624999999998</v>
      </c>
      <c r="Y473" s="119">
        <f>U473/P473</f>
        <v>1.0120106761565837E-2</v>
      </c>
      <c r="Z473" s="117">
        <f>P473-W473</f>
        <v>9787.16</v>
      </c>
      <c r="AA473" s="119">
        <f>Z473/P473</f>
        <v>0.87074377224199284</v>
      </c>
      <c r="AB473" s="120">
        <f t="shared" ref="AB473:AB475" si="273">M473-W473</f>
        <v>1919.16</v>
      </c>
      <c r="AC473" s="119">
        <f>AA473-O473</f>
        <v>0.17074377224199289</v>
      </c>
      <c r="AD473" s="110" t="s">
        <v>298</v>
      </c>
      <c r="AE473" s="110"/>
      <c r="AF473" s="110"/>
      <c r="AG473" s="121"/>
    </row>
    <row r="474" spans="1:33" ht="11.25" customHeight="1" x14ac:dyDescent="0.15">
      <c r="A474" s="110" t="s">
        <v>296</v>
      </c>
      <c r="B474" s="110"/>
      <c r="C474" s="111" t="s">
        <v>175</v>
      </c>
      <c r="D474" s="111">
        <v>2021</v>
      </c>
      <c r="E474" s="146">
        <v>44439</v>
      </c>
      <c r="F474" s="111"/>
      <c r="G474" s="111">
        <v>821002111</v>
      </c>
      <c r="H474" s="111">
        <v>4101</v>
      </c>
      <c r="I474" s="111" t="str">
        <f>MID(G474,2,1)</f>
        <v>2</v>
      </c>
      <c r="J474" s="111" t="str">
        <f>IF(I474="1","Small/Medium","Large")</f>
        <v>Large</v>
      </c>
      <c r="K474" s="147" t="s">
        <v>176</v>
      </c>
      <c r="L474" s="117">
        <v>20874.75</v>
      </c>
      <c r="M474" s="120">
        <f>L474*0.3</f>
        <v>6262.4250000000002</v>
      </c>
      <c r="N474" s="120">
        <f>L474-M474</f>
        <v>14612.325000000001</v>
      </c>
      <c r="O474" s="119">
        <f>N474/L474</f>
        <v>0.70000000000000007</v>
      </c>
      <c r="P474" s="132">
        <v>20874.75</v>
      </c>
      <c r="Q474" s="111">
        <v>1226</v>
      </c>
      <c r="R474" s="132">
        <v>14.5</v>
      </c>
      <c r="S474" s="132">
        <f>433.26+195.03</f>
        <v>628.29</v>
      </c>
      <c r="T474" s="132">
        <v>665.38</v>
      </c>
      <c r="U474" s="132">
        <v>211.25</v>
      </c>
      <c r="V474" s="117"/>
      <c r="W474" s="67">
        <f>SUM(S474:V474)</f>
        <v>1504.92</v>
      </c>
      <c r="X474" s="118">
        <f>IFERROR(S474/R474,"")</f>
        <v>43.330344827586202</v>
      </c>
      <c r="Y474" s="119">
        <f>U474/P474</f>
        <v>1.0119881675229644E-2</v>
      </c>
      <c r="Z474" s="117">
        <f>P474-W474</f>
        <v>19369.830000000002</v>
      </c>
      <c r="AA474" s="119">
        <f>Z474/P474</f>
        <v>0.92790716056479727</v>
      </c>
      <c r="AB474" s="120">
        <f t="shared" si="273"/>
        <v>4757.5050000000001</v>
      </c>
      <c r="AC474" s="119">
        <f>AA474-O474</f>
        <v>0.22790716056479721</v>
      </c>
      <c r="AD474" s="110" t="s">
        <v>298</v>
      </c>
      <c r="AE474" s="110"/>
      <c r="AF474" s="110"/>
      <c r="AG474" s="121"/>
    </row>
    <row r="475" spans="1:33" s="53" customFormat="1" ht="11.25" customHeight="1" x14ac:dyDescent="0.15">
      <c r="A475" s="53" t="s">
        <v>296</v>
      </c>
      <c r="C475" s="54" t="s">
        <v>177</v>
      </c>
      <c r="D475" s="54">
        <v>2021</v>
      </c>
      <c r="E475" s="70">
        <v>44439</v>
      </c>
      <c r="F475" s="54"/>
      <c r="G475" s="54"/>
      <c r="H475" s="54"/>
      <c r="I475" s="54"/>
      <c r="J475" s="54"/>
      <c r="K475" s="106"/>
      <c r="L475" s="39">
        <f>SUM(L473:L474)</f>
        <v>32114.75</v>
      </c>
      <c r="M475" s="92">
        <f>L475*0.3</f>
        <v>9634.4249999999993</v>
      </c>
      <c r="N475" s="92">
        <f>L475-M475</f>
        <v>22480.325000000001</v>
      </c>
      <c r="O475" s="74">
        <f>N475/L475</f>
        <v>0.70000000000000007</v>
      </c>
      <c r="P475" s="39">
        <f>SUM(P473:P474)</f>
        <v>32114.75</v>
      </c>
      <c r="Q475" s="39"/>
      <c r="R475" s="39">
        <f t="shared" ref="R475:W475" si="274">SUM(R473:R474)</f>
        <v>30.5</v>
      </c>
      <c r="S475" s="39">
        <f t="shared" si="274"/>
        <v>1321.58</v>
      </c>
      <c r="T475" s="39">
        <f t="shared" si="274"/>
        <v>1311.1799999999998</v>
      </c>
      <c r="U475" s="39">
        <f t="shared" si="274"/>
        <v>325</v>
      </c>
      <c r="V475" s="39">
        <f t="shared" si="274"/>
        <v>0</v>
      </c>
      <c r="W475" s="24">
        <f t="shared" si="274"/>
        <v>2957.76</v>
      </c>
      <c r="X475" s="56">
        <f>IFERROR(S475/R475,"")</f>
        <v>43.330491803278683</v>
      </c>
      <c r="Y475" s="57">
        <f>U475/P475</f>
        <v>1.0119960454308378E-2</v>
      </c>
      <c r="Z475" s="28">
        <f>P475-W475</f>
        <v>29156.989999999998</v>
      </c>
      <c r="AA475" s="57">
        <f>Z475/P475</f>
        <v>0.90790026389743028</v>
      </c>
      <c r="AB475" s="120">
        <f t="shared" si="273"/>
        <v>6676.6649999999991</v>
      </c>
      <c r="AC475" s="57">
        <f>AA475-O475</f>
        <v>0.20790026389743022</v>
      </c>
      <c r="AG475" s="61"/>
    </row>
    <row r="476" spans="1:33" ht="11.25" customHeight="1" x14ac:dyDescent="0.15">
      <c r="A476" s="130" t="s">
        <v>53</v>
      </c>
      <c r="B476" s="130"/>
      <c r="C476" s="124"/>
      <c r="D476" s="124"/>
      <c r="E476" s="273"/>
      <c r="F476" s="124"/>
      <c r="G476" s="124"/>
      <c r="H476" s="124"/>
      <c r="I476" s="124"/>
      <c r="J476" s="124"/>
      <c r="K476" s="125"/>
      <c r="L476" s="129"/>
      <c r="M476" s="129"/>
      <c r="N476" s="129"/>
      <c r="O476" s="128"/>
      <c r="P476" s="129"/>
      <c r="Q476" s="124"/>
      <c r="R476" s="129"/>
      <c r="S476" s="129"/>
      <c r="T476" s="129"/>
      <c r="U476" s="129"/>
      <c r="V476" s="126"/>
      <c r="W476" s="49"/>
      <c r="X476" s="45"/>
      <c r="Y476" s="128"/>
      <c r="Z476" s="126"/>
      <c r="AA476" s="128"/>
      <c r="AB476" s="129"/>
      <c r="AC476" s="160"/>
      <c r="AD476" s="137"/>
      <c r="AE476" s="110"/>
      <c r="AF476" s="110"/>
      <c r="AG476" s="121"/>
    </row>
    <row r="477" spans="1:33" ht="11.25" customHeight="1" x14ac:dyDescent="0.15">
      <c r="A477" s="110" t="s">
        <v>299</v>
      </c>
      <c r="B477" s="110"/>
      <c r="C477" s="111" t="s">
        <v>175</v>
      </c>
      <c r="D477" s="111">
        <v>2021</v>
      </c>
      <c r="E477" s="146">
        <v>44439</v>
      </c>
      <c r="F477" s="111"/>
      <c r="G477" s="111">
        <v>810000011</v>
      </c>
      <c r="H477" s="111">
        <v>4111</v>
      </c>
      <c r="I477" s="111" t="str">
        <f>MID(G477,2,1)</f>
        <v>1</v>
      </c>
      <c r="J477" s="111" t="str">
        <f>IF(I477="1","Small/Medium","Large")</f>
        <v>Small/Medium</v>
      </c>
      <c r="K477" s="147" t="s">
        <v>145</v>
      </c>
      <c r="L477" s="132">
        <v>9558</v>
      </c>
      <c r="M477" s="219">
        <f>L477*0.3</f>
        <v>2867.4</v>
      </c>
      <c r="N477" s="219">
        <f>L477-M477</f>
        <v>6690.6</v>
      </c>
      <c r="O477" s="119">
        <f>N477/L477</f>
        <v>0.70000000000000007</v>
      </c>
      <c r="P477" s="132">
        <v>9558</v>
      </c>
      <c r="Q477" s="111">
        <v>1233</v>
      </c>
      <c r="R477" s="132">
        <v>34</v>
      </c>
      <c r="S477" s="132">
        <f>1015.92+457.3</f>
        <v>1473.22</v>
      </c>
      <c r="T477" s="132">
        <v>859.92</v>
      </c>
      <c r="U477" s="132">
        <v>72.959999999999994</v>
      </c>
      <c r="V477" s="132">
        <v>0</v>
      </c>
      <c r="W477" s="67">
        <f>SUM(S477:V477)</f>
        <v>2406.1</v>
      </c>
      <c r="X477" s="118">
        <f>IFERROR(S477/R477,"")</f>
        <v>43.33</v>
      </c>
      <c r="Y477" s="119">
        <f>U477/P477</f>
        <v>7.6333961079723782E-3</v>
      </c>
      <c r="Z477" s="117">
        <f>P477-W477</f>
        <v>7151.9</v>
      </c>
      <c r="AA477" s="119">
        <f>Z477/P477</f>
        <v>0.7482632349863988</v>
      </c>
      <c r="AB477" s="120">
        <f t="shared" ref="AB477:AB478" si="275">M477-W477</f>
        <v>461.30000000000018</v>
      </c>
      <c r="AC477" s="119">
        <f>AA477-O477</f>
        <v>4.8263234986398729E-2</v>
      </c>
      <c r="AD477" s="110" t="s">
        <v>300</v>
      </c>
      <c r="AE477" s="110"/>
      <c r="AF477" s="110"/>
      <c r="AG477" s="121"/>
    </row>
    <row r="478" spans="1:33" s="53" customFormat="1" ht="11.25" customHeight="1" x14ac:dyDescent="0.15">
      <c r="A478" s="53" t="s">
        <v>299</v>
      </c>
      <c r="C478" s="54" t="s">
        <v>177</v>
      </c>
      <c r="D478" s="54">
        <v>2021</v>
      </c>
      <c r="E478" s="70">
        <v>44439</v>
      </c>
      <c r="F478" s="54"/>
      <c r="G478" s="54"/>
      <c r="H478" s="54"/>
      <c r="I478" s="54"/>
      <c r="J478" s="54"/>
      <c r="K478" s="106"/>
      <c r="L478" s="39">
        <f>SUM(L477)</f>
        <v>9558</v>
      </c>
      <c r="M478" s="92">
        <f>L478*0.3</f>
        <v>2867.4</v>
      </c>
      <c r="N478" s="92">
        <f>L478-M478</f>
        <v>6690.6</v>
      </c>
      <c r="O478" s="74">
        <f>N478/L478</f>
        <v>0.70000000000000007</v>
      </c>
      <c r="P478" s="39">
        <f>SUM(P477)</f>
        <v>9558</v>
      </c>
      <c r="Q478" s="39"/>
      <c r="R478" s="39">
        <f t="shared" ref="R478:W478" si="276">SUM(R477)</f>
        <v>34</v>
      </c>
      <c r="S478" s="39">
        <f t="shared" si="276"/>
        <v>1473.22</v>
      </c>
      <c r="T478" s="39">
        <f t="shared" si="276"/>
        <v>859.92</v>
      </c>
      <c r="U478" s="39">
        <f t="shared" si="276"/>
        <v>72.959999999999994</v>
      </c>
      <c r="V478" s="39">
        <f t="shared" si="276"/>
        <v>0</v>
      </c>
      <c r="W478" s="39">
        <f t="shared" si="276"/>
        <v>2406.1</v>
      </c>
      <c r="X478" s="56">
        <f>IFERROR(S478/R478,"")</f>
        <v>43.33</v>
      </c>
      <c r="Y478" s="57">
        <f>U478/P478</f>
        <v>7.6333961079723782E-3</v>
      </c>
      <c r="Z478" s="28">
        <f>P478-W478</f>
        <v>7151.9</v>
      </c>
      <c r="AA478" s="57">
        <f>Z478/P478</f>
        <v>0.7482632349863988</v>
      </c>
      <c r="AB478" s="120">
        <f t="shared" si="275"/>
        <v>461.30000000000018</v>
      </c>
      <c r="AC478" s="57">
        <f>AA478-O478</f>
        <v>4.8263234986398729E-2</v>
      </c>
      <c r="AG478" s="61"/>
    </row>
    <row r="479" spans="1:33" ht="11.25" customHeight="1" x14ac:dyDescent="0.15">
      <c r="A479" s="130" t="s">
        <v>53</v>
      </c>
      <c r="B479" s="130"/>
      <c r="C479" s="124"/>
      <c r="D479" s="124"/>
      <c r="E479" s="273"/>
      <c r="F479" s="124"/>
      <c r="G479" s="124"/>
      <c r="H479" s="124"/>
      <c r="I479" s="124"/>
      <c r="J479" s="124"/>
      <c r="K479" s="125"/>
      <c r="L479" s="129"/>
      <c r="M479" s="129"/>
      <c r="N479" s="129"/>
      <c r="O479" s="128"/>
      <c r="P479" s="129"/>
      <c r="Q479" s="124"/>
      <c r="R479" s="129"/>
      <c r="S479" s="129"/>
      <c r="T479" s="129"/>
      <c r="U479" s="129"/>
      <c r="V479" s="126"/>
      <c r="W479" s="49"/>
      <c r="X479" s="45"/>
      <c r="Y479" s="128"/>
      <c r="Z479" s="126"/>
      <c r="AA479" s="128"/>
      <c r="AB479" s="129"/>
      <c r="AC479" s="160"/>
      <c r="AD479" s="137"/>
      <c r="AE479" s="110"/>
      <c r="AF479" s="110"/>
      <c r="AG479" s="121"/>
    </row>
    <row r="480" spans="1:33" ht="11.25" customHeight="1" x14ac:dyDescent="0.15">
      <c r="A480" s="110" t="s">
        <v>301</v>
      </c>
      <c r="B480" s="110"/>
      <c r="C480" s="111" t="s">
        <v>47</v>
      </c>
      <c r="D480" s="111">
        <v>2021</v>
      </c>
      <c r="E480" s="146">
        <v>44439</v>
      </c>
      <c r="F480" s="111"/>
      <c r="G480" s="111">
        <v>523050321</v>
      </c>
      <c r="H480" s="111"/>
      <c r="I480" s="111"/>
      <c r="J480" s="111"/>
      <c r="K480" s="112" t="s">
        <v>302</v>
      </c>
      <c r="L480" s="117">
        <v>6250</v>
      </c>
      <c r="M480" s="120">
        <v>2188</v>
      </c>
      <c r="N480" s="120">
        <f t="shared" ref="N480:N488" si="277">L480-M480</f>
        <v>4062</v>
      </c>
      <c r="O480" s="119">
        <f t="shared" ref="O480:O488" si="278">N480/L480</f>
        <v>0.64992000000000005</v>
      </c>
      <c r="P480" s="117">
        <v>6250</v>
      </c>
      <c r="Q480" s="111">
        <v>1215</v>
      </c>
      <c r="R480" s="117">
        <v>10</v>
      </c>
      <c r="S480" s="117">
        <f>309.11+139.11</f>
        <v>448.22</v>
      </c>
      <c r="T480" s="117">
        <v>0</v>
      </c>
      <c r="U480" s="117">
        <v>0</v>
      </c>
      <c r="V480" s="117">
        <v>0</v>
      </c>
      <c r="W480" s="26">
        <f>SUM(S480:V480)</f>
        <v>448.22</v>
      </c>
      <c r="X480" s="118">
        <f t="shared" ref="X480:X488" si="279">IFERROR(S480/R480,"")</f>
        <v>44.822000000000003</v>
      </c>
      <c r="Y480" s="119">
        <f t="shared" ref="Y480:Y485" si="280">U480/P480</f>
        <v>0</v>
      </c>
      <c r="Z480" s="117">
        <f t="shared" ref="Z480:Z485" si="281">P480-W480</f>
        <v>5801.78</v>
      </c>
      <c r="AA480" s="119">
        <f t="shared" ref="AA480:AA485" si="282">Z480/P480</f>
        <v>0.92828479999999991</v>
      </c>
      <c r="AB480" s="120">
        <f t="shared" ref="AB480:AB488" si="283">M480-W480</f>
        <v>1739.78</v>
      </c>
      <c r="AC480" s="119">
        <f t="shared" ref="AC480:AC488" si="284">AA480-O480</f>
        <v>0.27836479999999986</v>
      </c>
      <c r="AD480" s="110"/>
      <c r="AE480" s="110"/>
      <c r="AF480" s="110"/>
      <c r="AG480" s="121"/>
    </row>
    <row r="481" spans="1:33" ht="11.25" customHeight="1" x14ac:dyDescent="0.15">
      <c r="A481" s="110" t="s">
        <v>301</v>
      </c>
      <c r="B481" s="110"/>
      <c r="C481" s="111" t="s">
        <v>180</v>
      </c>
      <c r="D481" s="111">
        <v>2021</v>
      </c>
      <c r="E481" s="146">
        <v>44439</v>
      </c>
      <c r="F481" s="111"/>
      <c r="G481" s="111">
        <v>923050421</v>
      </c>
      <c r="H481" s="111"/>
      <c r="I481" s="111"/>
      <c r="J481" s="111"/>
      <c r="K481" s="112" t="s">
        <v>303</v>
      </c>
      <c r="L481" s="132">
        <v>16857</v>
      </c>
      <c r="M481" s="219">
        <v>8983.85</v>
      </c>
      <c r="N481" s="219">
        <f t="shared" si="277"/>
        <v>7873.15</v>
      </c>
      <c r="O481" s="119">
        <f t="shared" si="278"/>
        <v>0.46705522928160403</v>
      </c>
      <c r="P481" s="132">
        <v>16857</v>
      </c>
      <c r="Q481" s="111">
        <v>1216</v>
      </c>
      <c r="R481" s="132">
        <v>0</v>
      </c>
      <c r="S481" s="132">
        <v>0</v>
      </c>
      <c r="T481" s="132">
        <v>0</v>
      </c>
      <c r="U481" s="132">
        <v>5743.31</v>
      </c>
      <c r="V481" s="132"/>
      <c r="W481" s="67">
        <f>SUM(S481:V481)</f>
        <v>5743.31</v>
      </c>
      <c r="X481" s="118" t="str">
        <f t="shared" si="279"/>
        <v/>
      </c>
      <c r="Y481" s="119">
        <f t="shared" si="280"/>
        <v>0.34070771786201581</v>
      </c>
      <c r="Z481" s="117">
        <f t="shared" si="281"/>
        <v>11113.689999999999</v>
      </c>
      <c r="AA481" s="119">
        <f t="shared" si="282"/>
        <v>0.65929228213798419</v>
      </c>
      <c r="AB481" s="120">
        <f t="shared" si="283"/>
        <v>3240.54</v>
      </c>
      <c r="AC481" s="119">
        <f t="shared" si="284"/>
        <v>0.19223705285638015</v>
      </c>
      <c r="AD481" s="110" t="s">
        <v>304</v>
      </c>
      <c r="AE481" s="110"/>
      <c r="AF481" s="110"/>
      <c r="AG481" s="121"/>
    </row>
    <row r="482" spans="1:33" ht="11.25" customHeight="1" x14ac:dyDescent="0.15">
      <c r="A482" s="110" t="s">
        <v>301</v>
      </c>
      <c r="B482" s="110"/>
      <c r="C482" s="111" t="s">
        <v>37</v>
      </c>
      <c r="D482" s="111">
        <v>2021</v>
      </c>
      <c r="E482" s="146">
        <v>44439</v>
      </c>
      <c r="F482" s="111"/>
      <c r="G482" s="111">
        <v>310800201</v>
      </c>
      <c r="H482" s="111"/>
      <c r="I482" s="111"/>
      <c r="J482" s="111"/>
      <c r="K482" s="112" t="s">
        <v>305</v>
      </c>
      <c r="L482" s="117">
        <v>46543</v>
      </c>
      <c r="M482" s="120">
        <v>11359.83</v>
      </c>
      <c r="N482" s="120">
        <f t="shared" si="277"/>
        <v>35183.17</v>
      </c>
      <c r="O482" s="119">
        <f t="shared" si="278"/>
        <v>0.75592828137421308</v>
      </c>
      <c r="P482" s="117">
        <v>46543</v>
      </c>
      <c r="Q482" s="111">
        <v>1217</v>
      </c>
      <c r="R482" s="117">
        <v>14.5</v>
      </c>
      <c r="S482" s="117">
        <f>351.58+158.24</f>
        <v>509.82</v>
      </c>
      <c r="T482" s="117">
        <v>0</v>
      </c>
      <c r="U482" s="117">
        <v>10066.52</v>
      </c>
      <c r="V482" s="117">
        <v>0</v>
      </c>
      <c r="W482" s="26">
        <f>SUM(S482:V482)</f>
        <v>10576.34</v>
      </c>
      <c r="X482" s="118">
        <f t="shared" si="279"/>
        <v>35.159999999999997</v>
      </c>
      <c r="Y482" s="119">
        <f t="shared" si="280"/>
        <v>0.21628429624218465</v>
      </c>
      <c r="Z482" s="117">
        <f t="shared" si="281"/>
        <v>35966.660000000003</v>
      </c>
      <c r="AA482" s="119">
        <f t="shared" si="282"/>
        <v>0.77276196205659287</v>
      </c>
      <c r="AB482" s="120">
        <f t="shared" si="283"/>
        <v>783.48999999999978</v>
      </c>
      <c r="AC482" s="119">
        <f t="shared" si="284"/>
        <v>1.6833680682379781E-2</v>
      </c>
      <c r="AD482" s="110"/>
      <c r="AE482" s="110"/>
      <c r="AF482" s="110"/>
      <c r="AG482" s="121"/>
    </row>
    <row r="483" spans="1:33" ht="11.25" customHeight="1" x14ac:dyDescent="0.15">
      <c r="A483" s="110" t="s">
        <v>301</v>
      </c>
      <c r="B483" s="110"/>
      <c r="C483" s="111" t="s">
        <v>47</v>
      </c>
      <c r="D483" s="111">
        <v>2021</v>
      </c>
      <c r="E483" s="146">
        <v>44439</v>
      </c>
      <c r="F483" s="111"/>
      <c r="G483" s="111">
        <v>523050121</v>
      </c>
      <c r="H483" s="111"/>
      <c r="I483" s="111"/>
      <c r="J483" s="111"/>
      <c r="K483" s="112" t="s">
        <v>81</v>
      </c>
      <c r="L483" s="117">
        <v>28829</v>
      </c>
      <c r="M483" s="120">
        <v>11265.11</v>
      </c>
      <c r="N483" s="120">
        <f t="shared" si="277"/>
        <v>17563.89</v>
      </c>
      <c r="O483" s="119">
        <f t="shared" si="278"/>
        <v>0.60924381698983665</v>
      </c>
      <c r="P483" s="117">
        <v>28829</v>
      </c>
      <c r="Q483" s="111">
        <v>1218</v>
      </c>
      <c r="R483" s="117">
        <v>117.5</v>
      </c>
      <c r="S483" s="117">
        <f>3631.93+1634.43</f>
        <v>5266.36</v>
      </c>
      <c r="T483" s="117">
        <v>2882.03</v>
      </c>
      <c r="U483" s="117">
        <v>2256.88</v>
      </c>
      <c r="V483" s="117"/>
      <c r="W483" s="26">
        <f>SUM(S483:V483)</f>
        <v>10405.27</v>
      </c>
      <c r="X483" s="118">
        <f t="shared" si="279"/>
        <v>44.820085106382976</v>
      </c>
      <c r="Y483" s="119">
        <f t="shared" si="280"/>
        <v>7.8285060182455166E-2</v>
      </c>
      <c r="Z483" s="117">
        <f t="shared" si="281"/>
        <v>18423.73</v>
      </c>
      <c r="AA483" s="119">
        <f t="shared" si="282"/>
        <v>0.63906933990079429</v>
      </c>
      <c r="AB483" s="120">
        <f t="shared" si="283"/>
        <v>859.84000000000015</v>
      </c>
      <c r="AC483" s="119">
        <f t="shared" si="284"/>
        <v>2.9825522910957636E-2</v>
      </c>
      <c r="AD483" s="110"/>
      <c r="AE483" s="110"/>
      <c r="AF483" s="110"/>
      <c r="AG483" s="121"/>
    </row>
    <row r="484" spans="1:33" s="53" customFormat="1" ht="11.25" customHeight="1" x14ac:dyDescent="0.15">
      <c r="A484" s="53" t="s">
        <v>301</v>
      </c>
      <c r="C484" s="54" t="s">
        <v>54</v>
      </c>
      <c r="D484" s="54">
        <v>2021</v>
      </c>
      <c r="E484" s="70">
        <v>44439</v>
      </c>
      <c r="F484" s="54"/>
      <c r="G484" s="54"/>
      <c r="H484" s="54"/>
      <c r="I484" s="54"/>
      <c r="J484" s="54"/>
      <c r="K484" s="106"/>
      <c r="L484" s="24">
        <f>SUM(L480:L483)</f>
        <v>98479</v>
      </c>
      <c r="M484" s="92">
        <f>SUM(M480:M483)</f>
        <v>33796.79</v>
      </c>
      <c r="N484" s="92">
        <f t="shared" si="277"/>
        <v>64682.21</v>
      </c>
      <c r="O484" s="74">
        <f t="shared" si="278"/>
        <v>0.65681221377146393</v>
      </c>
      <c r="P484" s="24">
        <f>SUM(P480:P483)</f>
        <v>98479</v>
      </c>
      <c r="Q484" s="24"/>
      <c r="R484" s="24">
        <f t="shared" ref="R484:W484" si="285">SUM(R480:R483)</f>
        <v>142</v>
      </c>
      <c r="S484" s="24">
        <f t="shared" si="285"/>
        <v>6224.4</v>
      </c>
      <c r="T484" s="24">
        <f t="shared" si="285"/>
        <v>2882.03</v>
      </c>
      <c r="U484" s="24">
        <f t="shared" si="285"/>
        <v>18066.710000000003</v>
      </c>
      <c r="V484" s="24">
        <f t="shared" si="285"/>
        <v>0</v>
      </c>
      <c r="W484" s="24">
        <f t="shared" si="285"/>
        <v>27173.140000000003</v>
      </c>
      <c r="X484" s="56">
        <f t="shared" si="279"/>
        <v>43.833802816901404</v>
      </c>
      <c r="Y484" s="57">
        <f t="shared" si="280"/>
        <v>0.18345748839854184</v>
      </c>
      <c r="Z484" s="28">
        <f t="shared" si="281"/>
        <v>71305.86</v>
      </c>
      <c r="AA484" s="57">
        <f t="shared" si="282"/>
        <v>0.72407173102895039</v>
      </c>
      <c r="AB484" s="120">
        <f t="shared" si="283"/>
        <v>6623.6499999999978</v>
      </c>
      <c r="AC484" s="57">
        <f t="shared" si="284"/>
        <v>6.7259517257486467E-2</v>
      </c>
      <c r="AG484" s="61"/>
    </row>
    <row r="485" spans="1:33" ht="11.25" customHeight="1" x14ac:dyDescent="0.15">
      <c r="A485" s="110" t="s">
        <v>301</v>
      </c>
      <c r="B485" s="110"/>
      <c r="C485" s="111" t="s">
        <v>55</v>
      </c>
      <c r="D485" s="111">
        <v>2021</v>
      </c>
      <c r="E485" s="146">
        <v>44439</v>
      </c>
      <c r="F485" s="111"/>
      <c r="G485" s="111" t="s">
        <v>56</v>
      </c>
      <c r="H485" s="111"/>
      <c r="I485" s="111"/>
      <c r="J485" s="111"/>
      <c r="K485" s="112" t="s">
        <v>71</v>
      </c>
      <c r="L485" s="117">
        <v>1960</v>
      </c>
      <c r="M485" s="120">
        <v>470.64</v>
      </c>
      <c r="N485" s="120">
        <f t="shared" si="277"/>
        <v>1489.3600000000001</v>
      </c>
      <c r="O485" s="119">
        <f t="shared" si="278"/>
        <v>0.75987755102040822</v>
      </c>
      <c r="P485" s="117">
        <v>1960</v>
      </c>
      <c r="Q485" s="111">
        <v>1219</v>
      </c>
      <c r="R485" s="117">
        <v>5</v>
      </c>
      <c r="S485" s="117">
        <f>137.5+61.9</f>
        <v>199.4</v>
      </c>
      <c r="T485" s="117">
        <v>342.91</v>
      </c>
      <c r="U485" s="117">
        <v>0</v>
      </c>
      <c r="V485" s="117">
        <v>0</v>
      </c>
      <c r="W485" s="26">
        <f>SUM(S485:V485)</f>
        <v>542.31000000000006</v>
      </c>
      <c r="X485" s="118">
        <f t="shared" si="279"/>
        <v>39.880000000000003</v>
      </c>
      <c r="Y485" s="119">
        <f t="shared" si="280"/>
        <v>0</v>
      </c>
      <c r="Z485" s="117">
        <f t="shared" si="281"/>
        <v>1417.69</v>
      </c>
      <c r="AA485" s="119">
        <f t="shared" si="282"/>
        <v>0.7233112244897959</v>
      </c>
      <c r="AB485" s="120">
        <f t="shared" si="283"/>
        <v>-71.670000000000073</v>
      </c>
      <c r="AC485" s="119">
        <f t="shared" si="284"/>
        <v>-3.6566326530612314E-2</v>
      </c>
      <c r="AD485" s="110"/>
      <c r="AE485" s="110"/>
      <c r="AF485" s="110"/>
      <c r="AG485" s="121"/>
    </row>
    <row r="486" spans="1:33" ht="11.25" customHeight="1" x14ac:dyDescent="0.15">
      <c r="A486" s="53" t="s">
        <v>301</v>
      </c>
      <c r="C486" s="111" t="s">
        <v>248</v>
      </c>
      <c r="D486" s="111">
        <v>2021</v>
      </c>
      <c r="E486" s="146">
        <v>44439</v>
      </c>
      <c r="F486" s="111"/>
      <c r="G486" s="111" t="s">
        <v>249</v>
      </c>
      <c r="H486" s="111"/>
      <c r="I486" s="111"/>
      <c r="J486" s="111"/>
      <c r="K486" s="112" t="s">
        <v>250</v>
      </c>
      <c r="L486" s="117">
        <v>6337</v>
      </c>
      <c r="M486" s="120">
        <v>3168.68</v>
      </c>
      <c r="N486" s="120">
        <f t="shared" si="277"/>
        <v>3168.32</v>
      </c>
      <c r="O486" s="119">
        <f t="shared" si="278"/>
        <v>0.49997159539214142</v>
      </c>
      <c r="P486" s="117">
        <v>6337</v>
      </c>
      <c r="Q486" s="111"/>
      <c r="R486" s="117"/>
      <c r="S486" s="117"/>
      <c r="T486" s="117"/>
      <c r="U486" s="117"/>
      <c r="V486" s="117"/>
      <c r="X486" s="118" t="str">
        <f t="shared" si="279"/>
        <v/>
      </c>
      <c r="Y486" s="119"/>
      <c r="Z486" s="117"/>
      <c r="AA486" s="119"/>
      <c r="AB486" s="120">
        <f t="shared" si="283"/>
        <v>3168.68</v>
      </c>
      <c r="AC486" s="119">
        <f t="shared" si="284"/>
        <v>-0.49997159539214142</v>
      </c>
      <c r="AD486" s="110"/>
      <c r="AE486" s="110"/>
      <c r="AF486" s="110"/>
      <c r="AG486" s="121"/>
    </row>
    <row r="487" spans="1:33" s="53" customFormat="1" ht="11.25" customHeight="1" x14ac:dyDescent="0.15">
      <c r="A487" s="53" t="s">
        <v>301</v>
      </c>
      <c r="C487" s="54" t="s">
        <v>65</v>
      </c>
      <c r="D487" s="54">
        <v>2021</v>
      </c>
      <c r="E487" s="70">
        <v>44439</v>
      </c>
      <c r="F487" s="54"/>
      <c r="G487" s="54"/>
      <c r="H487" s="54"/>
      <c r="I487" s="54"/>
      <c r="J487" s="54"/>
      <c r="K487" s="106"/>
      <c r="L487" s="24">
        <f>SUM(L484:L486)</f>
        <v>106776</v>
      </c>
      <c r="M487" s="92">
        <f>SUM(M484:M486)</f>
        <v>37436.11</v>
      </c>
      <c r="N487" s="92">
        <f t="shared" si="277"/>
        <v>69339.89</v>
      </c>
      <c r="O487" s="74">
        <f t="shared" si="278"/>
        <v>0.64939583801603351</v>
      </c>
      <c r="P487" s="24">
        <f>SUM(P484:P486)</f>
        <v>106776</v>
      </c>
      <c r="Q487" s="24"/>
      <c r="R487" s="24">
        <f t="shared" ref="R487:W487" si="286">SUM(R484:R486)</f>
        <v>147</v>
      </c>
      <c r="S487" s="24">
        <f t="shared" si="286"/>
        <v>6423.7999999999993</v>
      </c>
      <c r="T487" s="24">
        <f t="shared" si="286"/>
        <v>3224.94</v>
      </c>
      <c r="U487" s="24">
        <f t="shared" si="286"/>
        <v>18066.710000000003</v>
      </c>
      <c r="V487" s="24">
        <f t="shared" si="286"/>
        <v>0</v>
      </c>
      <c r="W487" s="24">
        <f t="shared" si="286"/>
        <v>27715.450000000004</v>
      </c>
      <c r="X487" s="56">
        <f t="shared" si="279"/>
        <v>43.699319727891151</v>
      </c>
      <c r="Y487" s="57">
        <f>U487/P487</f>
        <v>0.16920197422641794</v>
      </c>
      <c r="Z487" s="28">
        <f>P487-W487</f>
        <v>79060.549999999988</v>
      </c>
      <c r="AA487" s="57">
        <f>Z487/P487</f>
        <v>0.74043371169551198</v>
      </c>
      <c r="AB487" s="120">
        <f t="shared" si="283"/>
        <v>9720.6599999999962</v>
      </c>
      <c r="AC487" s="57">
        <f t="shared" si="284"/>
        <v>9.1037873679478465E-2</v>
      </c>
      <c r="AG487" s="61"/>
    </row>
    <row r="488" spans="1:33" s="53" customFormat="1" ht="11.25" customHeight="1" x14ac:dyDescent="0.15">
      <c r="A488" s="53" t="s">
        <v>301</v>
      </c>
      <c r="C488" s="54" t="s">
        <v>177</v>
      </c>
      <c r="D488" s="54">
        <v>2021</v>
      </c>
      <c r="E488" s="70">
        <v>44439</v>
      </c>
      <c r="F488" s="54"/>
      <c r="G488" s="54"/>
      <c r="H488" s="54"/>
      <c r="I488" s="54"/>
      <c r="J488" s="54"/>
      <c r="K488" s="106"/>
      <c r="L488" s="24">
        <f>SUM(L481:L482)</f>
        <v>63400</v>
      </c>
      <c r="M488" s="92">
        <f>SUM(M481:M482)</f>
        <v>20343.68</v>
      </c>
      <c r="N488" s="92">
        <f t="shared" si="277"/>
        <v>43056.32</v>
      </c>
      <c r="O488" s="74">
        <f t="shared" si="278"/>
        <v>0.67912176656151424</v>
      </c>
      <c r="P488" s="64">
        <f>SUM(P481:P482)</f>
        <v>63400</v>
      </c>
      <c r="Q488" s="64"/>
      <c r="R488" s="64">
        <f t="shared" ref="R488:W488" si="287">SUM(R481:R482)</f>
        <v>14.5</v>
      </c>
      <c r="S488" s="64">
        <f t="shared" si="287"/>
        <v>509.82</v>
      </c>
      <c r="T488" s="64">
        <f t="shared" si="287"/>
        <v>0</v>
      </c>
      <c r="U488" s="64">
        <f t="shared" si="287"/>
        <v>15809.830000000002</v>
      </c>
      <c r="V488" s="64">
        <f t="shared" si="287"/>
        <v>0</v>
      </c>
      <c r="W488" s="64">
        <f t="shared" si="287"/>
        <v>16319.650000000001</v>
      </c>
      <c r="X488" s="56">
        <f t="shared" si="279"/>
        <v>35.159999999999997</v>
      </c>
      <c r="Y488" s="57">
        <f>U488/P488</f>
        <v>0.24936640378548899</v>
      </c>
      <c r="Z488" s="28">
        <f>P488-W488</f>
        <v>47080.35</v>
      </c>
      <c r="AA488" s="57">
        <f>Z488/P488</f>
        <v>0.74259227129337535</v>
      </c>
      <c r="AB488" s="120">
        <f t="shared" si="283"/>
        <v>4024.0299999999988</v>
      </c>
      <c r="AC488" s="57">
        <f t="shared" si="284"/>
        <v>6.347050473186111E-2</v>
      </c>
      <c r="AG488" s="61"/>
    </row>
    <row r="489" spans="1:33" ht="11.25" customHeight="1" x14ac:dyDescent="0.15">
      <c r="A489" s="130" t="s">
        <v>53</v>
      </c>
      <c r="B489" s="130"/>
      <c r="C489" s="124"/>
      <c r="D489" s="124"/>
      <c r="E489" s="273"/>
      <c r="F489" s="124"/>
      <c r="G489" s="124"/>
      <c r="H489" s="124"/>
      <c r="I489" s="124"/>
      <c r="J489" s="124"/>
      <c r="K489" s="125"/>
      <c r="L489" s="129"/>
      <c r="M489" s="129"/>
      <c r="N489" s="129"/>
      <c r="O489" s="128"/>
      <c r="P489" s="129"/>
      <c r="Q489" s="124"/>
      <c r="R489" s="129"/>
      <c r="S489" s="129"/>
      <c r="T489" s="129"/>
      <c r="U489" s="129"/>
      <c r="V489" s="126"/>
      <c r="W489" s="49"/>
      <c r="X489" s="45"/>
      <c r="Y489" s="128"/>
      <c r="Z489" s="126"/>
      <c r="AA489" s="128"/>
      <c r="AB489" s="129"/>
      <c r="AC489" s="160"/>
      <c r="AD489" s="137"/>
      <c r="AE489" s="110"/>
      <c r="AF489" s="110"/>
      <c r="AG489" s="121"/>
    </row>
    <row r="490" spans="1:33" ht="11.25" customHeight="1" x14ac:dyDescent="0.15">
      <c r="A490" s="110" t="s">
        <v>306</v>
      </c>
      <c r="B490" s="110"/>
      <c r="C490" s="111" t="s">
        <v>175</v>
      </c>
      <c r="D490" s="111">
        <v>2021</v>
      </c>
      <c r="E490" s="146">
        <v>44469</v>
      </c>
      <c r="F490" s="111"/>
      <c r="G490" s="111">
        <v>810000111</v>
      </c>
      <c r="H490" s="111">
        <v>4111</v>
      </c>
      <c r="I490" s="111" t="str">
        <f>MID(G490,2,1)</f>
        <v>1</v>
      </c>
      <c r="J490" s="111" t="str">
        <f>IF(I490="1","Small/Medium","Large")</f>
        <v>Small/Medium</v>
      </c>
      <c r="K490" s="147" t="s">
        <v>145</v>
      </c>
      <c r="L490" s="132">
        <v>10964.2</v>
      </c>
      <c r="M490" s="219">
        <f>L490*0.3</f>
        <v>3289.26</v>
      </c>
      <c r="N490" s="219">
        <f>L490-M490</f>
        <v>7674.9400000000005</v>
      </c>
      <c r="O490" s="119">
        <f>N490/L490</f>
        <v>0.7</v>
      </c>
      <c r="P490" s="132">
        <v>10964.2</v>
      </c>
      <c r="Q490" s="111">
        <v>1136</v>
      </c>
      <c r="R490" s="132">
        <v>57.5</v>
      </c>
      <c r="S490" s="132">
        <f>1718.1+773.38</f>
        <v>2491.48</v>
      </c>
      <c r="T490" s="132">
        <f>2388.62-V490-49.32</f>
        <v>1966.16</v>
      </c>
      <c r="U490" s="132">
        <f>367.82+49.32</f>
        <v>417.14</v>
      </c>
      <c r="V490" s="132">
        <f>10+363.14</f>
        <v>373.14</v>
      </c>
      <c r="W490" s="67">
        <f>SUM(S490:V490)</f>
        <v>5247.920000000001</v>
      </c>
      <c r="X490" s="118">
        <f>IFERROR(S490/R490,"")</f>
        <v>43.33008695652174</v>
      </c>
      <c r="Y490" s="119">
        <f>U490/P490</f>
        <v>3.8045639444738329E-2</v>
      </c>
      <c r="Z490" s="117">
        <f>P490-W490</f>
        <v>5716.28</v>
      </c>
      <c r="AA490" s="119">
        <f>Z490/P490</f>
        <v>0.52135860345488039</v>
      </c>
      <c r="AB490" s="120">
        <f t="shared" ref="AB490:AB492" si="288">M490-W490</f>
        <v>-1958.6600000000008</v>
      </c>
      <c r="AC490" s="119">
        <f>AA490-O490</f>
        <v>-0.17864139654511957</v>
      </c>
      <c r="AD490" s="110" t="s">
        <v>295</v>
      </c>
      <c r="AE490" s="110"/>
      <c r="AF490" s="110"/>
      <c r="AG490" s="121"/>
    </row>
    <row r="491" spans="1:33" ht="11.25" customHeight="1" x14ac:dyDescent="0.15">
      <c r="A491" s="110" t="s">
        <v>306</v>
      </c>
      <c r="B491" s="110"/>
      <c r="C491" s="111" t="s">
        <v>175</v>
      </c>
      <c r="D491" s="111">
        <v>2021</v>
      </c>
      <c r="E491" s="146">
        <v>44469</v>
      </c>
      <c r="F491" s="111"/>
      <c r="G491" s="111">
        <v>820000111</v>
      </c>
      <c r="H491" s="111">
        <v>4111</v>
      </c>
      <c r="I491" s="111" t="str">
        <f>MID(G491,2,1)</f>
        <v>2</v>
      </c>
      <c r="J491" s="111" t="str">
        <f>IF(I491="1","Small/Medium","Large")</f>
        <v>Large</v>
      </c>
      <c r="K491" s="147" t="s">
        <v>176</v>
      </c>
      <c r="L491" s="117">
        <v>5903.7999999999993</v>
      </c>
      <c r="M491" s="120">
        <f>L491*0.3</f>
        <v>1771.1399999999996</v>
      </c>
      <c r="N491" s="120">
        <f>L491-M491</f>
        <v>4132.66</v>
      </c>
      <c r="O491" s="119">
        <f>N491/L491</f>
        <v>0.70000000000000007</v>
      </c>
      <c r="P491" s="117">
        <v>5903.7999999999993</v>
      </c>
      <c r="Q491" s="111">
        <v>1137</v>
      </c>
      <c r="R491" s="117">
        <v>18</v>
      </c>
      <c r="S491" s="117">
        <f>537.84+242.1</f>
        <v>779.94</v>
      </c>
      <c r="T491" s="117">
        <v>1085.19</v>
      </c>
      <c r="U491" s="117">
        <v>591.5</v>
      </c>
      <c r="V491" s="117">
        <v>0</v>
      </c>
      <c r="W491" s="26">
        <f>SUM(S491:V491)</f>
        <v>2456.63</v>
      </c>
      <c r="X491" s="118">
        <f>IFERROR(S491/R491,"")</f>
        <v>43.330000000000005</v>
      </c>
      <c r="Y491" s="119">
        <f>U491/P491</f>
        <v>0.1001897083234527</v>
      </c>
      <c r="Z491" s="117">
        <f>P491-W491</f>
        <v>3447.1699999999992</v>
      </c>
      <c r="AA491" s="119">
        <f>Z491/P491</f>
        <v>0.58389003692537</v>
      </c>
      <c r="AB491" s="120">
        <f t="shared" si="288"/>
        <v>-685.49000000000046</v>
      </c>
      <c r="AC491" s="119">
        <f>AA491-O491</f>
        <v>-0.11610996307463006</v>
      </c>
      <c r="AD491" s="110" t="s">
        <v>295</v>
      </c>
      <c r="AE491" s="110"/>
      <c r="AF491" s="110"/>
      <c r="AG491" s="121"/>
    </row>
    <row r="492" spans="1:33" s="53" customFormat="1" ht="11.25" customHeight="1" x14ac:dyDescent="0.15">
      <c r="A492" s="53" t="s">
        <v>306</v>
      </c>
      <c r="C492" s="54" t="s">
        <v>177</v>
      </c>
      <c r="D492" s="54">
        <v>2021</v>
      </c>
      <c r="E492" s="70">
        <v>44469</v>
      </c>
      <c r="F492" s="54"/>
      <c r="G492" s="54"/>
      <c r="H492" s="54"/>
      <c r="I492" s="54"/>
      <c r="J492" s="54"/>
      <c r="K492" s="106"/>
      <c r="L492" s="24">
        <f>SUM(L490:L491)</f>
        <v>16868</v>
      </c>
      <c r="M492" s="92">
        <f>L492*0.3</f>
        <v>5060.3999999999996</v>
      </c>
      <c r="N492" s="92">
        <f>L492-M492</f>
        <v>11807.6</v>
      </c>
      <c r="O492" s="74">
        <f>N492/L492</f>
        <v>0.70000000000000007</v>
      </c>
      <c r="P492" s="24">
        <f>SUM(P490:P491)</f>
        <v>16868</v>
      </c>
      <c r="Q492" s="24"/>
      <c r="R492" s="24">
        <f t="shared" ref="R492:W492" si="289">SUM(R490:R491)</f>
        <v>75.5</v>
      </c>
      <c r="S492" s="24">
        <f t="shared" si="289"/>
        <v>3271.42</v>
      </c>
      <c r="T492" s="24">
        <f t="shared" si="289"/>
        <v>3051.3500000000004</v>
      </c>
      <c r="U492" s="24">
        <f t="shared" si="289"/>
        <v>1008.64</v>
      </c>
      <c r="V492" s="24">
        <f t="shared" si="289"/>
        <v>373.14</v>
      </c>
      <c r="W492" s="24">
        <f t="shared" si="289"/>
        <v>7704.5500000000011</v>
      </c>
      <c r="X492" s="56">
        <f>IFERROR(S492/R492,"")</f>
        <v>43.330066225165567</v>
      </c>
      <c r="Y492" s="57">
        <f>U492/P492</f>
        <v>5.9796063552288357E-2</v>
      </c>
      <c r="Z492" s="28">
        <f>P492-W492</f>
        <v>9163.4499999999989</v>
      </c>
      <c r="AA492" s="57">
        <f>Z492/P492</f>
        <v>0.54324460516955175</v>
      </c>
      <c r="AB492" s="120">
        <f t="shared" si="288"/>
        <v>-2644.1500000000015</v>
      </c>
      <c r="AC492" s="57">
        <f>AA492-O492</f>
        <v>-0.15675539483044831</v>
      </c>
      <c r="AG492" s="61"/>
    </row>
    <row r="493" spans="1:33" ht="11.25" customHeight="1" x14ac:dyDescent="0.15">
      <c r="A493" s="130" t="s">
        <v>53</v>
      </c>
      <c r="B493" s="130"/>
      <c r="C493" s="124"/>
      <c r="D493" s="124"/>
      <c r="E493" s="273"/>
      <c r="F493" s="124"/>
      <c r="G493" s="124"/>
      <c r="H493" s="124"/>
      <c r="I493" s="124"/>
      <c r="J493" s="124"/>
      <c r="K493" s="125"/>
      <c r="L493" s="129"/>
      <c r="M493" s="129"/>
      <c r="N493" s="129"/>
      <c r="O493" s="128"/>
      <c r="P493" s="220"/>
      <c r="Q493" s="124"/>
      <c r="R493" s="220"/>
      <c r="S493" s="220"/>
      <c r="T493" s="220"/>
      <c r="U493" s="220"/>
      <c r="V493" s="126"/>
      <c r="W493" s="230"/>
      <c r="X493" s="45"/>
      <c r="Y493" s="128"/>
      <c r="Z493" s="126"/>
      <c r="AA493" s="128"/>
      <c r="AB493" s="129"/>
      <c r="AC493" s="160"/>
      <c r="AD493" s="137"/>
      <c r="AE493" s="110"/>
      <c r="AF493" s="110"/>
      <c r="AG493" s="121"/>
    </row>
    <row r="494" spans="1:33" ht="11.25" customHeight="1" x14ac:dyDescent="0.15">
      <c r="A494" s="110" t="s">
        <v>307</v>
      </c>
      <c r="B494" s="110"/>
      <c r="C494" s="111" t="s">
        <v>175</v>
      </c>
      <c r="D494" s="111">
        <v>2021</v>
      </c>
      <c r="E494" s="146">
        <v>44439</v>
      </c>
      <c r="F494" s="111"/>
      <c r="G494" s="111">
        <v>811002111</v>
      </c>
      <c r="H494" s="111">
        <v>4101</v>
      </c>
      <c r="I494" s="111" t="str">
        <f>MID(G494,2,1)</f>
        <v>1</v>
      </c>
      <c r="J494" s="111" t="str">
        <f>IF(I494="1","Small/Medium","Large")</f>
        <v>Small/Medium</v>
      </c>
      <c r="K494" s="147" t="s">
        <v>145</v>
      </c>
      <c r="L494" s="117">
        <v>29746</v>
      </c>
      <c r="M494" s="120">
        <f>L494*0.3</f>
        <v>8923.7999999999993</v>
      </c>
      <c r="N494" s="120">
        <f>L494-M494</f>
        <v>20822.2</v>
      </c>
      <c r="O494" s="119">
        <f>N494/L494</f>
        <v>0.70000000000000007</v>
      </c>
      <c r="P494" s="132">
        <v>29746</v>
      </c>
      <c r="Q494" s="111">
        <v>1234</v>
      </c>
      <c r="R494" s="132">
        <v>28</v>
      </c>
      <c r="S494" s="132">
        <f>836.64+376.61</f>
        <v>1213.25</v>
      </c>
      <c r="T494" s="132">
        <v>928.78</v>
      </c>
      <c r="U494" s="132">
        <v>342.4</v>
      </c>
      <c r="V494" s="117">
        <v>0</v>
      </c>
      <c r="W494" s="67">
        <f>SUM(S494:V494)</f>
        <v>2484.4299999999998</v>
      </c>
      <c r="X494" s="118">
        <f>IFERROR(S494/R494,"")</f>
        <v>43.330357142857146</v>
      </c>
      <c r="Y494" s="119">
        <f>U494/P494</f>
        <v>1.1510791366906473E-2</v>
      </c>
      <c r="Z494" s="117">
        <f>P494-W494</f>
        <v>27261.57</v>
      </c>
      <c r="AA494" s="119">
        <f>Z494/P494</f>
        <v>0.91647851812008341</v>
      </c>
      <c r="AB494" s="120">
        <f t="shared" ref="AB494:AB495" si="290">M494-W494</f>
        <v>6439.369999999999</v>
      </c>
      <c r="AC494" s="119">
        <f>AA494-O494</f>
        <v>0.21647851812008334</v>
      </c>
      <c r="AD494" s="110" t="s">
        <v>298</v>
      </c>
      <c r="AE494" s="110"/>
      <c r="AF494" s="110"/>
      <c r="AG494" s="121"/>
    </row>
    <row r="495" spans="1:33" s="53" customFormat="1" ht="11.25" customHeight="1" x14ac:dyDescent="0.15">
      <c r="A495" s="53" t="s">
        <v>307</v>
      </c>
      <c r="C495" s="54" t="s">
        <v>177</v>
      </c>
      <c r="D495" s="54">
        <v>2021</v>
      </c>
      <c r="E495" s="70">
        <v>44439</v>
      </c>
      <c r="F495" s="54"/>
      <c r="G495" s="54"/>
      <c r="H495" s="54"/>
      <c r="I495" s="54"/>
      <c r="J495" s="54"/>
      <c r="K495" s="106"/>
      <c r="L495" s="39">
        <f>SUM(L494)</f>
        <v>29746</v>
      </c>
      <c r="M495" s="92">
        <f>L495*0.3</f>
        <v>8923.7999999999993</v>
      </c>
      <c r="N495" s="92">
        <f>L495-M495</f>
        <v>20822.2</v>
      </c>
      <c r="O495" s="74">
        <f>N495/L495</f>
        <v>0.70000000000000007</v>
      </c>
      <c r="P495" s="39">
        <f>SUM(P494)</f>
        <v>29746</v>
      </c>
      <c r="Q495" s="39"/>
      <c r="R495" s="39">
        <f t="shared" ref="R495:W495" si="291">SUM(R494)</f>
        <v>28</v>
      </c>
      <c r="S495" s="39">
        <f t="shared" si="291"/>
        <v>1213.25</v>
      </c>
      <c r="T495" s="39">
        <f t="shared" si="291"/>
        <v>928.78</v>
      </c>
      <c r="U495" s="39">
        <f t="shared" si="291"/>
        <v>342.4</v>
      </c>
      <c r="V495" s="39">
        <f t="shared" si="291"/>
        <v>0</v>
      </c>
      <c r="W495" s="39">
        <f t="shared" si="291"/>
        <v>2484.4299999999998</v>
      </c>
      <c r="X495" s="56">
        <f>IFERROR(S495/R495,"")</f>
        <v>43.330357142857146</v>
      </c>
      <c r="Y495" s="57">
        <f>U495/P495</f>
        <v>1.1510791366906473E-2</v>
      </c>
      <c r="Z495" s="28">
        <f>P495-W495</f>
        <v>27261.57</v>
      </c>
      <c r="AA495" s="57">
        <f>Z495/P495</f>
        <v>0.91647851812008341</v>
      </c>
      <c r="AB495" s="120">
        <f t="shared" si="290"/>
        <v>6439.369999999999</v>
      </c>
      <c r="AC495" s="57">
        <f>AA495-O495</f>
        <v>0.21647851812008334</v>
      </c>
      <c r="AG495" s="61"/>
    </row>
    <row r="496" spans="1:33" ht="11.25" customHeight="1" x14ac:dyDescent="0.15">
      <c r="A496" s="130" t="s">
        <v>53</v>
      </c>
      <c r="B496" s="130"/>
      <c r="C496" s="124"/>
      <c r="D496" s="124"/>
      <c r="E496" s="273"/>
      <c r="F496" s="124"/>
      <c r="G496" s="124"/>
      <c r="H496" s="124"/>
      <c r="I496" s="124"/>
      <c r="J496" s="124"/>
      <c r="K496" s="125"/>
      <c r="L496" s="129"/>
      <c r="M496" s="129"/>
      <c r="N496" s="129"/>
      <c r="O496" s="128"/>
      <c r="P496" s="129"/>
      <c r="Q496" s="124"/>
      <c r="R496" s="129"/>
      <c r="S496" s="129"/>
      <c r="T496" s="129"/>
      <c r="U496" s="129"/>
      <c r="V496" s="126"/>
      <c r="W496" s="49"/>
      <c r="X496" s="45"/>
      <c r="Y496" s="128"/>
      <c r="Z496" s="126"/>
      <c r="AA496" s="128"/>
      <c r="AB496" s="129"/>
      <c r="AC496" s="160"/>
      <c r="AD496" s="137"/>
      <c r="AE496" s="110"/>
      <c r="AF496" s="110"/>
      <c r="AG496" s="121"/>
    </row>
    <row r="497" spans="1:33" ht="11.25" customHeight="1" x14ac:dyDescent="0.15">
      <c r="A497" s="110" t="s">
        <v>308</v>
      </c>
      <c r="B497" s="110"/>
      <c r="C497" s="111" t="s">
        <v>175</v>
      </c>
      <c r="D497" s="111">
        <v>2021</v>
      </c>
      <c r="E497" s="146">
        <v>44439</v>
      </c>
      <c r="F497" s="111"/>
      <c r="G497" s="111">
        <v>811003111</v>
      </c>
      <c r="H497" s="111">
        <v>4101</v>
      </c>
      <c r="I497" s="111" t="str">
        <f>MID(G497,2,1)</f>
        <v>1</v>
      </c>
      <c r="J497" s="111" t="str">
        <f>IF(I497="1","Small/Medium","Large")</f>
        <v>Small/Medium</v>
      </c>
      <c r="K497" s="147" t="s">
        <v>145</v>
      </c>
      <c r="L497" s="117">
        <v>22177.399999999998</v>
      </c>
      <c r="M497" s="120">
        <f>L497*0.3</f>
        <v>6653.2199999999993</v>
      </c>
      <c r="N497" s="120">
        <f>L497-M497</f>
        <v>15524.179999999998</v>
      </c>
      <c r="O497" s="119">
        <f>N497/L497</f>
        <v>0.7</v>
      </c>
      <c r="P497" s="117">
        <v>22177.399999999998</v>
      </c>
      <c r="Q497" s="111">
        <v>1143</v>
      </c>
      <c r="R497" s="117">
        <v>19.5</v>
      </c>
      <c r="S497" s="117">
        <f>582.66+262.28</f>
        <v>844.93999999999994</v>
      </c>
      <c r="T497" s="117">
        <v>535.92999999999995</v>
      </c>
      <c r="U497" s="117">
        <f>580.25-377.16</f>
        <v>203.08999999999997</v>
      </c>
      <c r="V497" s="117">
        <v>0</v>
      </c>
      <c r="W497" s="26">
        <f>SUM(S497:V497)</f>
        <v>1583.9599999999998</v>
      </c>
      <c r="X497" s="118">
        <f>IFERROR(S497/R497,"")</f>
        <v>43.330256410256411</v>
      </c>
      <c r="Y497" s="119">
        <f>U497/P497</f>
        <v>9.1575207192908098E-3</v>
      </c>
      <c r="Z497" s="117">
        <f>P497-W497</f>
        <v>20593.439999999999</v>
      </c>
      <c r="AA497" s="119">
        <f>Z497/P497</f>
        <v>0.92857774130421067</v>
      </c>
      <c r="AB497" s="120">
        <f t="shared" ref="AB497:AB499" si="292">M497-W497</f>
        <v>5069.2599999999993</v>
      </c>
      <c r="AC497" s="119">
        <f>AA497-O497</f>
        <v>0.22857774130421071</v>
      </c>
      <c r="AD497" s="110" t="s">
        <v>298</v>
      </c>
      <c r="AE497" s="110"/>
      <c r="AF497" s="110"/>
      <c r="AG497" s="121"/>
    </row>
    <row r="498" spans="1:33" ht="11.25" customHeight="1" x14ac:dyDescent="0.15">
      <c r="A498" s="110" t="s">
        <v>308</v>
      </c>
      <c r="B498" s="110"/>
      <c r="C498" s="111" t="s">
        <v>175</v>
      </c>
      <c r="D498" s="111">
        <v>2021</v>
      </c>
      <c r="E498" s="146">
        <v>44439</v>
      </c>
      <c r="F498" s="111"/>
      <c r="G498" s="111">
        <v>821003111</v>
      </c>
      <c r="H498" s="111">
        <v>4101</v>
      </c>
      <c r="I498" s="111" t="str">
        <f>MID(G498,2,1)</f>
        <v>2</v>
      </c>
      <c r="J498" s="111" t="str">
        <f>IF(I498="1","Small/Medium","Large")</f>
        <v>Large</v>
      </c>
      <c r="K498" s="147" t="s">
        <v>176</v>
      </c>
      <c r="L498" s="132">
        <v>41186.600000000006</v>
      </c>
      <c r="M498" s="219">
        <f>L498*0.3</f>
        <v>12355.980000000001</v>
      </c>
      <c r="N498" s="219">
        <f>L498-M498</f>
        <v>28830.620000000003</v>
      </c>
      <c r="O498" s="119">
        <f>N498/L498</f>
        <v>0.7</v>
      </c>
      <c r="P498" s="132">
        <v>41186.600000000006</v>
      </c>
      <c r="Q498" s="111">
        <v>1144</v>
      </c>
      <c r="R498" s="132">
        <v>12</v>
      </c>
      <c r="S498" s="132">
        <f>358.56+161.4</f>
        <v>519.96</v>
      </c>
      <c r="T498" s="132">
        <v>798.54</v>
      </c>
      <c r="U498" s="132">
        <v>377.16</v>
      </c>
      <c r="V498" s="132">
        <v>0</v>
      </c>
      <c r="W498" s="67">
        <f>SUM(S498:V498)</f>
        <v>1695.66</v>
      </c>
      <c r="X498" s="118">
        <f>IFERROR(S498/R498,"")</f>
        <v>43.330000000000005</v>
      </c>
      <c r="Y498" s="119">
        <f>U498/P498</f>
        <v>9.1573472925660284E-3</v>
      </c>
      <c r="Z498" s="117">
        <f>P498-W498</f>
        <v>39490.94</v>
      </c>
      <c r="AA498" s="119">
        <f>Z498/P498</f>
        <v>0.95882981358014496</v>
      </c>
      <c r="AB498" s="120">
        <f t="shared" si="292"/>
        <v>10660.320000000002</v>
      </c>
      <c r="AC498" s="119">
        <f>AA498-O498</f>
        <v>0.25882981358014501</v>
      </c>
      <c r="AD498" s="110" t="s">
        <v>298</v>
      </c>
      <c r="AE498" s="110"/>
      <c r="AF498" s="110"/>
      <c r="AG498" s="121"/>
    </row>
    <row r="499" spans="1:33" s="53" customFormat="1" ht="11.25" customHeight="1" x14ac:dyDescent="0.15">
      <c r="A499" s="53" t="s">
        <v>308</v>
      </c>
      <c r="C499" s="54" t="s">
        <v>177</v>
      </c>
      <c r="D499" s="54">
        <v>2021</v>
      </c>
      <c r="E499" s="70">
        <v>44439</v>
      </c>
      <c r="F499" s="54"/>
      <c r="G499" s="54"/>
      <c r="H499" s="54"/>
      <c r="I499" s="54"/>
      <c r="J499" s="54"/>
      <c r="K499" s="106"/>
      <c r="L499" s="24">
        <f>SUM(L497:L498)</f>
        <v>63364</v>
      </c>
      <c r="M499" s="92">
        <f>L499*0.3</f>
        <v>19009.2</v>
      </c>
      <c r="N499" s="92">
        <f>L499-M499</f>
        <v>44354.8</v>
      </c>
      <c r="O499" s="74">
        <f>N499/L499</f>
        <v>0.70000000000000007</v>
      </c>
      <c r="P499" s="24">
        <f>SUM(P497:P498)</f>
        <v>63364</v>
      </c>
      <c r="Q499" s="91"/>
      <c r="R499" s="24">
        <f t="shared" ref="R499:W499" si="293">SUM(R497:R498)</f>
        <v>31.5</v>
      </c>
      <c r="S499" s="24">
        <f t="shared" si="293"/>
        <v>1364.9</v>
      </c>
      <c r="T499" s="24">
        <f t="shared" si="293"/>
        <v>1334.4699999999998</v>
      </c>
      <c r="U499" s="24">
        <f t="shared" si="293"/>
        <v>580.25</v>
      </c>
      <c r="V499" s="24">
        <f t="shared" si="293"/>
        <v>0</v>
      </c>
      <c r="W499" s="25">
        <f t="shared" si="293"/>
        <v>3279.62</v>
      </c>
      <c r="X499" s="56">
        <f>IFERROR(S499/R499,"")</f>
        <v>43.330158730158736</v>
      </c>
      <c r="Y499" s="57">
        <f>U499/P499</f>
        <v>9.157407991919702E-3</v>
      </c>
      <c r="Z499" s="28">
        <f>P499-W499</f>
        <v>60084.38</v>
      </c>
      <c r="AA499" s="57">
        <f>Z499/P499</f>
        <v>0.94824158828356786</v>
      </c>
      <c r="AB499" s="120">
        <f t="shared" si="292"/>
        <v>15729.580000000002</v>
      </c>
      <c r="AC499" s="57">
        <f>AA499-O499</f>
        <v>0.24824158828356779</v>
      </c>
      <c r="AG499" s="61"/>
    </row>
    <row r="500" spans="1:33" ht="11.25" customHeight="1" x14ac:dyDescent="0.15">
      <c r="A500" s="130" t="s">
        <v>53</v>
      </c>
      <c r="B500" s="130"/>
      <c r="C500" s="124"/>
      <c r="D500" s="124"/>
      <c r="E500" s="273"/>
      <c r="F500" s="124"/>
      <c r="G500" s="124"/>
      <c r="H500" s="124"/>
      <c r="I500" s="124"/>
      <c r="J500" s="124"/>
      <c r="K500" s="125"/>
      <c r="L500" s="129"/>
      <c r="M500" s="129"/>
      <c r="N500" s="129"/>
      <c r="O500" s="128"/>
      <c r="P500" s="129"/>
      <c r="Q500" s="124"/>
      <c r="R500" s="129"/>
      <c r="S500" s="129"/>
      <c r="T500" s="129"/>
      <c r="U500" s="129"/>
      <c r="V500" s="126"/>
      <c r="W500" s="49"/>
      <c r="X500" s="45"/>
      <c r="Y500" s="128"/>
      <c r="Z500" s="126"/>
      <c r="AA500" s="128"/>
      <c r="AB500" s="129"/>
      <c r="AC500" s="160"/>
      <c r="AD500" s="137"/>
      <c r="AE500" s="110"/>
      <c r="AF500" s="110"/>
      <c r="AG500" s="121"/>
    </row>
    <row r="501" spans="1:33" ht="11.25" customHeight="1" x14ac:dyDescent="0.15">
      <c r="A501" s="110" t="s">
        <v>294</v>
      </c>
      <c r="B501" s="110"/>
      <c r="C501" s="111" t="s">
        <v>201</v>
      </c>
      <c r="D501" s="111">
        <v>2021</v>
      </c>
      <c r="E501" s="146">
        <v>44469</v>
      </c>
      <c r="F501" s="111"/>
      <c r="G501" s="111" t="s">
        <v>202</v>
      </c>
      <c r="H501" s="111"/>
      <c r="I501" s="111"/>
      <c r="J501" s="111"/>
      <c r="K501" s="112" t="s">
        <v>203</v>
      </c>
      <c r="L501" s="117">
        <v>2000</v>
      </c>
      <c r="M501" s="140">
        <f>L501*0.35</f>
        <v>700</v>
      </c>
      <c r="N501" s="140">
        <f>L501-M501</f>
        <v>1300</v>
      </c>
      <c r="O501" s="119">
        <f>N501/L501</f>
        <v>0.65</v>
      </c>
      <c r="P501" s="117">
        <v>2000</v>
      </c>
      <c r="Q501" s="111">
        <v>1245</v>
      </c>
      <c r="R501" s="117">
        <v>37</v>
      </c>
      <c r="S501" s="117">
        <f>925+416.25</f>
        <v>1341.25</v>
      </c>
      <c r="T501" s="117">
        <v>1940.93</v>
      </c>
      <c r="U501" s="117">
        <v>746.27</v>
      </c>
      <c r="V501" s="117">
        <v>871.96</v>
      </c>
      <c r="W501" s="26">
        <f>SUM(S501:V501)</f>
        <v>4900.41</v>
      </c>
      <c r="X501" s="118">
        <f>IFERROR(S501/R501,"")</f>
        <v>36.25</v>
      </c>
      <c r="Y501" s="119">
        <f>U501/P501</f>
        <v>0.37313499999999999</v>
      </c>
      <c r="Z501" s="117">
        <f>P501-W501</f>
        <v>-2900.41</v>
      </c>
      <c r="AA501" s="119">
        <f>Z501/P501</f>
        <v>-1.450205</v>
      </c>
      <c r="AB501" s="120">
        <f t="shared" ref="AB501:AB504" si="294">M501-W501</f>
        <v>-4200.41</v>
      </c>
      <c r="AC501" s="119">
        <f>AA501-O501</f>
        <v>-2.1002049999999999</v>
      </c>
      <c r="AD501" s="110" t="s">
        <v>309</v>
      </c>
      <c r="AE501" s="110"/>
      <c r="AF501" s="110"/>
      <c r="AG501" s="121"/>
    </row>
    <row r="502" spans="1:33" ht="11.25" customHeight="1" x14ac:dyDescent="0.15">
      <c r="A502" s="110" t="s">
        <v>294</v>
      </c>
      <c r="B502" s="110"/>
      <c r="C502" s="111" t="s">
        <v>164</v>
      </c>
      <c r="D502" s="111">
        <v>2021</v>
      </c>
      <c r="E502" s="146">
        <v>44469</v>
      </c>
      <c r="F502" s="111"/>
      <c r="G502" s="111" t="s">
        <v>310</v>
      </c>
      <c r="H502" s="111"/>
      <c r="I502" s="111"/>
      <c r="J502" s="111"/>
      <c r="K502" s="112" t="s">
        <v>311</v>
      </c>
      <c r="L502" s="132">
        <v>1534.29</v>
      </c>
      <c r="M502" s="221">
        <f>L502*0.35</f>
        <v>537.00149999999996</v>
      </c>
      <c r="N502" s="221">
        <f>L502-M502</f>
        <v>997.2885</v>
      </c>
      <c r="O502" s="163">
        <f>N502/L502</f>
        <v>0.65</v>
      </c>
      <c r="P502" s="132">
        <v>1534.29</v>
      </c>
      <c r="Q502" s="111"/>
      <c r="R502" s="132"/>
      <c r="S502" s="132"/>
      <c r="T502" s="132"/>
      <c r="U502" s="132"/>
      <c r="V502" s="132"/>
      <c r="W502" s="67">
        <v>533.65</v>
      </c>
      <c r="X502" s="118" t="str">
        <f>IFERROR(S502/R502,"")</f>
        <v/>
      </c>
      <c r="Y502" s="119">
        <f>U502/P502</f>
        <v>0</v>
      </c>
      <c r="Z502" s="117">
        <f>P502-W502</f>
        <v>1000.64</v>
      </c>
      <c r="AA502" s="119">
        <f>Z502/P502</f>
        <v>0.65218439799516392</v>
      </c>
      <c r="AB502" s="120">
        <f t="shared" si="294"/>
        <v>3.3514999999999873</v>
      </c>
      <c r="AC502" s="119">
        <f>AA502-O502</f>
        <v>2.1843979951639003E-3</v>
      </c>
      <c r="AD502" s="110"/>
      <c r="AE502" s="110"/>
      <c r="AF502" s="110"/>
      <c r="AG502" s="121"/>
    </row>
    <row r="503" spans="1:33" ht="11.25" customHeight="1" x14ac:dyDescent="0.15">
      <c r="A503" s="110" t="s">
        <v>294</v>
      </c>
      <c r="B503" s="110"/>
      <c r="C503" s="111" t="s">
        <v>164</v>
      </c>
      <c r="D503" s="111">
        <v>2021</v>
      </c>
      <c r="E503" s="146">
        <v>44469</v>
      </c>
      <c r="F503" s="111"/>
      <c r="G503" s="111" t="s">
        <v>312</v>
      </c>
      <c r="H503" s="111"/>
      <c r="I503" s="111"/>
      <c r="J503" s="111"/>
      <c r="K503" s="112" t="s">
        <v>313</v>
      </c>
      <c r="L503" s="117">
        <v>1664.63</v>
      </c>
      <c r="M503" s="140">
        <f>L503*0.35</f>
        <v>582.62049999999999</v>
      </c>
      <c r="N503" s="140">
        <f>L503-M503</f>
        <v>1082.0095000000001</v>
      </c>
      <c r="O503" s="119">
        <f>N503/L503</f>
        <v>0.65</v>
      </c>
      <c r="P503" s="117">
        <v>1664.63</v>
      </c>
      <c r="Q503" s="111"/>
      <c r="R503" s="117"/>
      <c r="S503" s="117"/>
      <c r="T503" s="117"/>
      <c r="U503" s="117"/>
      <c r="V503" s="117"/>
      <c r="W503" s="26">
        <v>507.89</v>
      </c>
      <c r="X503" s="118" t="str">
        <f>IFERROR(S503/R503,"")</f>
        <v/>
      </c>
      <c r="Y503" s="119">
        <f>U503/P503</f>
        <v>0</v>
      </c>
      <c r="Z503" s="117">
        <f>P503-W503</f>
        <v>1156.7400000000002</v>
      </c>
      <c r="AA503" s="119">
        <f>Z503/P503</f>
        <v>0.69489315944083685</v>
      </c>
      <c r="AB503" s="120">
        <f t="shared" si="294"/>
        <v>74.730500000000006</v>
      </c>
      <c r="AC503" s="119">
        <f>AA503-O503</f>
        <v>4.4893159440836827E-2</v>
      </c>
      <c r="AD503" s="110"/>
      <c r="AE503" s="110"/>
      <c r="AF503" s="110"/>
      <c r="AG503" s="121"/>
    </row>
    <row r="504" spans="1:33" s="53" customFormat="1" ht="11.25" customHeight="1" x14ac:dyDescent="0.15">
      <c r="A504" s="53" t="s">
        <v>294</v>
      </c>
      <c r="C504" s="54" t="s">
        <v>177</v>
      </c>
      <c r="D504" s="54">
        <v>2021</v>
      </c>
      <c r="E504" s="70">
        <v>44469</v>
      </c>
      <c r="F504" s="54"/>
      <c r="G504" s="54"/>
      <c r="H504" s="54"/>
      <c r="I504" s="54"/>
      <c r="J504" s="54"/>
      <c r="K504" s="106"/>
      <c r="L504" s="24">
        <f>SUM(L501:L503)</f>
        <v>5198.92</v>
      </c>
      <c r="M504" s="38">
        <f>L504*0.35</f>
        <v>1819.6219999999998</v>
      </c>
      <c r="N504" s="38">
        <f>L504-M504</f>
        <v>3379.2980000000002</v>
      </c>
      <c r="O504" s="74">
        <f>N504/L504</f>
        <v>0.65</v>
      </c>
      <c r="P504" s="24">
        <f>SUM(P501:P503)</f>
        <v>5198.92</v>
      </c>
      <c r="Q504" s="91"/>
      <c r="R504" s="24">
        <f>SUM(R501)</f>
        <v>37</v>
      </c>
      <c r="S504" s="24">
        <f>SUM(S501)</f>
        <v>1341.25</v>
      </c>
      <c r="T504" s="24">
        <f>SUM(T501)</f>
        <v>1940.93</v>
      </c>
      <c r="U504" s="24">
        <f>SUM(U501)</f>
        <v>746.27</v>
      </c>
      <c r="V504" s="24">
        <f>SUM(V501)</f>
        <v>871.96</v>
      </c>
      <c r="W504" s="25">
        <f>W501</f>
        <v>4900.41</v>
      </c>
      <c r="X504" s="56">
        <f>IFERROR(S504/R504,"")</f>
        <v>36.25</v>
      </c>
      <c r="Y504" s="57">
        <f>U504/P504</f>
        <v>0.14354327437236963</v>
      </c>
      <c r="Z504" s="28">
        <f>P504-W504</f>
        <v>298.51000000000022</v>
      </c>
      <c r="AA504" s="57">
        <f>Z504/P504</f>
        <v>5.7417694444230769E-2</v>
      </c>
      <c r="AB504" s="120">
        <f t="shared" si="294"/>
        <v>-3080.788</v>
      </c>
      <c r="AC504" s="57">
        <f>AA504-O504</f>
        <v>-0.5925823055557693</v>
      </c>
      <c r="AG504" s="61"/>
    </row>
    <row r="505" spans="1:33" ht="11.25" customHeight="1" x14ac:dyDescent="0.15">
      <c r="A505" s="130" t="s">
        <v>53</v>
      </c>
      <c r="B505" s="130"/>
      <c r="C505" s="124"/>
      <c r="D505" s="124"/>
      <c r="E505" s="273"/>
      <c r="F505" s="124"/>
      <c r="G505" s="124"/>
      <c r="H505" s="124"/>
      <c r="I505" s="124"/>
      <c r="J505" s="124"/>
      <c r="K505" s="125"/>
      <c r="L505" s="129"/>
      <c r="M505" s="129"/>
      <c r="N505" s="129"/>
      <c r="O505" s="128"/>
      <c r="P505" s="129"/>
      <c r="Q505" s="124"/>
      <c r="R505" s="129"/>
      <c r="S505" s="129"/>
      <c r="T505" s="129"/>
      <c r="U505" s="129"/>
      <c r="V505" s="126"/>
      <c r="W505" s="49"/>
      <c r="X505" s="45"/>
      <c r="Y505" s="128"/>
      <c r="Z505" s="126"/>
      <c r="AA505" s="128"/>
      <c r="AB505" s="129"/>
      <c r="AC505" s="160"/>
      <c r="AD505" s="137"/>
      <c r="AE505" s="110"/>
      <c r="AF505" s="110"/>
      <c r="AG505" s="121"/>
    </row>
    <row r="506" spans="1:33" ht="11.25" customHeight="1" x14ac:dyDescent="0.15">
      <c r="A506" s="110" t="s">
        <v>231</v>
      </c>
      <c r="B506" s="110"/>
      <c r="C506" s="111" t="s">
        <v>175</v>
      </c>
      <c r="D506" s="111">
        <v>2021</v>
      </c>
      <c r="E506" s="146">
        <v>44439</v>
      </c>
      <c r="F506" s="111"/>
      <c r="G506" s="111">
        <v>811000111</v>
      </c>
      <c r="H506" s="111">
        <v>4101</v>
      </c>
      <c r="I506" s="111" t="str">
        <f>MID(G506,2,1)</f>
        <v>1</v>
      </c>
      <c r="J506" s="111" t="str">
        <f>IF(I506="1","Small/Medium","Large")</f>
        <v>Small/Medium</v>
      </c>
      <c r="K506" s="147" t="s">
        <v>145</v>
      </c>
      <c r="L506" s="117">
        <v>10964.2</v>
      </c>
      <c r="M506" s="120">
        <f>L506*0.3</f>
        <v>3289.26</v>
      </c>
      <c r="N506" s="120">
        <f>L506-M506</f>
        <v>7674.9400000000005</v>
      </c>
      <c r="O506" s="119">
        <f>N506/L506</f>
        <v>0.7</v>
      </c>
      <c r="P506" s="117">
        <v>13152</v>
      </c>
      <c r="Q506" s="111">
        <v>1237</v>
      </c>
      <c r="R506" s="117">
        <v>27</v>
      </c>
      <c r="S506" s="117">
        <f>806.76+363.15</f>
        <v>1169.9099999999999</v>
      </c>
      <c r="T506" s="117">
        <v>976.53</v>
      </c>
      <c r="U506" s="117">
        <v>49.46</v>
      </c>
      <c r="V506" s="117">
        <v>0</v>
      </c>
      <c r="W506" s="26">
        <f>SUM(S506:V506)</f>
        <v>2195.8999999999996</v>
      </c>
      <c r="X506" s="118">
        <f>IFERROR(S506/R506,"")</f>
        <v>43.329999999999991</v>
      </c>
      <c r="Y506" s="119">
        <f>U506/P506</f>
        <v>3.7606447688564477E-3</v>
      </c>
      <c r="Z506" s="117">
        <f>P506-W506</f>
        <v>10956.1</v>
      </c>
      <c r="AA506" s="119">
        <f>Z506/P506</f>
        <v>0.83303680048661799</v>
      </c>
      <c r="AB506" s="120">
        <f t="shared" ref="AB506:AB508" si="295">M506-W506</f>
        <v>1093.3600000000006</v>
      </c>
      <c r="AC506" s="119">
        <f>AA506-O506</f>
        <v>0.13303680048661803</v>
      </c>
      <c r="AD506" s="110" t="s">
        <v>314</v>
      </c>
      <c r="AE506" s="110"/>
      <c r="AF506" s="110"/>
      <c r="AG506" s="121"/>
    </row>
    <row r="507" spans="1:33" ht="11.25" customHeight="1" x14ac:dyDescent="0.15">
      <c r="A507" s="110" t="s">
        <v>231</v>
      </c>
      <c r="B507" s="110"/>
      <c r="C507" s="111" t="s">
        <v>175</v>
      </c>
      <c r="D507" s="111">
        <v>2021</v>
      </c>
      <c r="E507" s="146">
        <v>44439</v>
      </c>
      <c r="F507" s="111"/>
      <c r="G507" s="111">
        <v>821000111</v>
      </c>
      <c r="H507" s="111">
        <v>4101</v>
      </c>
      <c r="I507" s="111" t="str">
        <f>MID(G507,2,1)</f>
        <v>2</v>
      </c>
      <c r="J507" s="111" t="str">
        <f>IF(I507="1","Small/Medium","Large")</f>
        <v>Large</v>
      </c>
      <c r="K507" s="147" t="s">
        <v>176</v>
      </c>
      <c r="L507" s="117">
        <v>5903.7999999999993</v>
      </c>
      <c r="M507" s="120">
        <f>L507*0.3</f>
        <v>1771.1399999999996</v>
      </c>
      <c r="N507" s="120">
        <f>L507-M507</f>
        <v>4132.66</v>
      </c>
      <c r="O507" s="119">
        <f>N507/L507</f>
        <v>0.70000000000000007</v>
      </c>
      <c r="P507" s="117">
        <v>24425.05</v>
      </c>
      <c r="Q507" s="111">
        <v>1238</v>
      </c>
      <c r="R507" s="117">
        <v>29</v>
      </c>
      <c r="S507" s="117">
        <f>866.52+390.06</f>
        <v>1256.58</v>
      </c>
      <c r="T507" s="117">
        <v>1616.8</v>
      </c>
      <c r="U507" s="117">
        <v>49.47</v>
      </c>
      <c r="V507" s="117"/>
      <c r="W507" s="26">
        <f>SUM(S507:V507)</f>
        <v>2922.85</v>
      </c>
      <c r="X507" s="118">
        <f>IFERROR(S507/R507,"")</f>
        <v>43.330344827586202</v>
      </c>
      <c r="Y507" s="119">
        <f>U507/P507</f>
        <v>2.0253796819249092E-3</v>
      </c>
      <c r="Z507" s="117">
        <f>P507-W507</f>
        <v>21502.2</v>
      </c>
      <c r="AA507" s="119">
        <f>Z507/P507</f>
        <v>0.88033391948020578</v>
      </c>
      <c r="AB507" s="120">
        <f t="shared" si="295"/>
        <v>-1151.7100000000003</v>
      </c>
      <c r="AC507" s="119">
        <f>AA507-O507</f>
        <v>0.18033391948020572</v>
      </c>
      <c r="AD507" s="110" t="s">
        <v>314</v>
      </c>
      <c r="AE507" s="110"/>
      <c r="AF507" s="110"/>
      <c r="AG507" s="121"/>
    </row>
    <row r="508" spans="1:33" s="53" customFormat="1" ht="11.25" customHeight="1" x14ac:dyDescent="0.15">
      <c r="A508" s="53" t="s">
        <v>231</v>
      </c>
      <c r="C508" s="54" t="s">
        <v>177</v>
      </c>
      <c r="D508" s="54">
        <v>2021</v>
      </c>
      <c r="E508" s="70">
        <v>44439</v>
      </c>
      <c r="F508" s="54"/>
      <c r="G508" s="54"/>
      <c r="H508" s="54"/>
      <c r="I508" s="54"/>
      <c r="J508" s="54"/>
      <c r="K508" s="106"/>
      <c r="L508" s="24">
        <f>SUM(L506:L507)</f>
        <v>16868</v>
      </c>
      <c r="M508" s="92">
        <f>L508*0.3</f>
        <v>5060.3999999999996</v>
      </c>
      <c r="N508" s="92">
        <f>L508-M508</f>
        <v>11807.6</v>
      </c>
      <c r="O508" s="74">
        <f>N508/L508</f>
        <v>0.70000000000000007</v>
      </c>
      <c r="P508" s="24">
        <f>SUM(P506:P507)</f>
        <v>37577.050000000003</v>
      </c>
      <c r="Q508" s="24"/>
      <c r="R508" s="24">
        <f t="shared" ref="R508:W508" si="296">SUM(R506:R507)</f>
        <v>56</v>
      </c>
      <c r="S508" s="24">
        <f t="shared" si="296"/>
        <v>2426.4899999999998</v>
      </c>
      <c r="T508" s="24">
        <f t="shared" si="296"/>
        <v>2593.33</v>
      </c>
      <c r="U508" s="24">
        <f t="shared" si="296"/>
        <v>98.93</v>
      </c>
      <c r="V508" s="24">
        <f t="shared" si="296"/>
        <v>0</v>
      </c>
      <c r="W508" s="24">
        <f t="shared" si="296"/>
        <v>5118.75</v>
      </c>
      <c r="X508" s="56">
        <f>IFERROR(S508/R508,"")</f>
        <v>43.330178571428569</v>
      </c>
      <c r="Y508" s="57">
        <f>U508/P508</f>
        <v>2.6327239631636864E-3</v>
      </c>
      <c r="Z508" s="28">
        <f>P508-W508</f>
        <v>32458.300000000003</v>
      </c>
      <c r="AA508" s="57">
        <f>Z508/P508</f>
        <v>0.86377988692566343</v>
      </c>
      <c r="AB508" s="120">
        <f t="shared" si="295"/>
        <v>-58.350000000000364</v>
      </c>
      <c r="AC508" s="57">
        <f>AA508-O508</f>
        <v>0.16377988692566336</v>
      </c>
      <c r="AG508" s="61"/>
    </row>
    <row r="509" spans="1:33" ht="11.25" customHeight="1" x14ac:dyDescent="0.15">
      <c r="A509" s="130" t="s">
        <v>53</v>
      </c>
      <c r="B509" s="130"/>
      <c r="C509" s="124"/>
      <c r="D509" s="124"/>
      <c r="E509" s="273"/>
      <c r="F509" s="124"/>
      <c r="G509" s="124"/>
      <c r="H509" s="124"/>
      <c r="I509" s="124"/>
      <c r="J509" s="124"/>
      <c r="K509" s="125"/>
      <c r="L509" s="129"/>
      <c r="M509" s="129"/>
      <c r="N509" s="129"/>
      <c r="O509" s="128"/>
      <c r="P509" s="129"/>
      <c r="Q509" s="124"/>
      <c r="R509" s="129"/>
      <c r="S509" s="129"/>
      <c r="T509" s="129"/>
      <c r="U509" s="129"/>
      <c r="V509" s="126"/>
      <c r="W509" s="49"/>
      <c r="X509" s="45"/>
      <c r="Y509" s="128"/>
      <c r="Z509" s="126"/>
      <c r="AA509" s="128"/>
      <c r="AB509" s="129"/>
      <c r="AC509" s="160"/>
      <c r="AD509" s="137"/>
      <c r="AE509" s="110"/>
      <c r="AF509" s="110"/>
      <c r="AG509" s="121"/>
    </row>
    <row r="510" spans="1:33" ht="11.25" customHeight="1" x14ac:dyDescent="0.15">
      <c r="A510" s="110" t="s">
        <v>315</v>
      </c>
      <c r="B510" s="110"/>
      <c r="C510" s="111" t="s">
        <v>175</v>
      </c>
      <c r="D510" s="111">
        <v>2021</v>
      </c>
      <c r="E510" s="146">
        <v>44500</v>
      </c>
      <c r="F510" s="111"/>
      <c r="G510" s="111">
        <v>811000111</v>
      </c>
      <c r="H510" s="111">
        <v>4101</v>
      </c>
      <c r="I510" s="111" t="str">
        <f>MID(G510,2,1)</f>
        <v>1</v>
      </c>
      <c r="J510" s="111" t="str">
        <f>IF(I510="1","Small/Medium","Large")</f>
        <v>Small/Medium</v>
      </c>
      <c r="K510" s="147" t="s">
        <v>145</v>
      </c>
      <c r="L510" s="132">
        <v>10250</v>
      </c>
      <c r="M510" s="219">
        <f>L510*0.3</f>
        <v>3075</v>
      </c>
      <c r="N510" s="219">
        <f>L510-M510</f>
        <v>7175</v>
      </c>
      <c r="O510" s="119">
        <f>N510/L510</f>
        <v>0.7</v>
      </c>
      <c r="P510" s="132">
        <v>17279</v>
      </c>
      <c r="Q510" s="111">
        <v>1236</v>
      </c>
      <c r="R510" s="132">
        <v>60</v>
      </c>
      <c r="S510" s="132">
        <f>1792.8+807</f>
        <v>2599.8000000000002</v>
      </c>
      <c r="T510" s="132">
        <f>2802.32-V510</f>
        <v>2790.3700000000003</v>
      </c>
      <c r="U510" s="132">
        <v>1053.1199999999999</v>
      </c>
      <c r="V510" s="117">
        <v>11.95</v>
      </c>
      <c r="W510" s="67">
        <f>SUM(S510:V510)</f>
        <v>6455.24</v>
      </c>
      <c r="X510" s="118">
        <f>IFERROR(S510/R510,"")</f>
        <v>43.330000000000005</v>
      </c>
      <c r="Y510" s="119">
        <f>U510/P510</f>
        <v>6.0947971526129976E-2</v>
      </c>
      <c r="Z510" s="117">
        <f>P510-W510</f>
        <v>10823.76</v>
      </c>
      <c r="AA510" s="119">
        <f>Z510/P510</f>
        <v>0.62641125065107939</v>
      </c>
      <c r="AB510" s="120">
        <f t="shared" ref="AB510:AB511" si="297">M510-W510</f>
        <v>-3380.24</v>
      </c>
      <c r="AC510" s="119">
        <f>AA510-O510</f>
        <v>-7.3588749348920568E-2</v>
      </c>
      <c r="AD510" s="110" t="s">
        <v>316</v>
      </c>
      <c r="AE510" s="110"/>
      <c r="AF510" s="110"/>
      <c r="AG510" s="121"/>
    </row>
    <row r="511" spans="1:33" s="53" customFormat="1" ht="11.25" customHeight="1" x14ac:dyDescent="0.15">
      <c r="A511" s="53" t="s">
        <v>315</v>
      </c>
      <c r="C511" s="54" t="s">
        <v>177</v>
      </c>
      <c r="D511" s="54">
        <v>2021</v>
      </c>
      <c r="E511" s="70">
        <v>44500</v>
      </c>
      <c r="F511" s="54"/>
      <c r="G511" s="54"/>
      <c r="H511" s="54"/>
      <c r="I511" s="54"/>
      <c r="J511" s="54"/>
      <c r="K511" s="106"/>
      <c r="L511" s="39">
        <f>SUM(L510)</f>
        <v>10250</v>
      </c>
      <c r="M511" s="92">
        <f>L511*0.3</f>
        <v>3075</v>
      </c>
      <c r="N511" s="92">
        <f>L511-M511</f>
        <v>7175</v>
      </c>
      <c r="O511" s="74">
        <f>N511/L511</f>
        <v>0.7</v>
      </c>
      <c r="P511" s="24">
        <f>SUM(P509:P510)</f>
        <v>17279</v>
      </c>
      <c r="Q511" s="24"/>
      <c r="R511" s="24">
        <f t="shared" ref="R511:W511" si="298">SUM(R509:R510)</f>
        <v>60</v>
      </c>
      <c r="S511" s="24">
        <f t="shared" si="298"/>
        <v>2599.8000000000002</v>
      </c>
      <c r="T511" s="24">
        <f t="shared" si="298"/>
        <v>2790.3700000000003</v>
      </c>
      <c r="U511" s="24">
        <f t="shared" si="298"/>
        <v>1053.1199999999999</v>
      </c>
      <c r="V511" s="24">
        <f t="shared" si="298"/>
        <v>11.95</v>
      </c>
      <c r="W511" s="24">
        <f t="shared" si="298"/>
        <v>6455.24</v>
      </c>
      <c r="X511" s="56">
        <f>IFERROR(S511/R511,"")</f>
        <v>43.330000000000005</v>
      </c>
      <c r="Y511" s="57">
        <f>U511/P511</f>
        <v>6.0947971526129976E-2</v>
      </c>
      <c r="Z511" s="28">
        <f>P511-W511</f>
        <v>10823.76</v>
      </c>
      <c r="AA511" s="57">
        <f>Z511/P511</f>
        <v>0.62641125065107939</v>
      </c>
      <c r="AB511" s="120">
        <f t="shared" si="297"/>
        <v>-3380.24</v>
      </c>
      <c r="AC511" s="57">
        <f>AA511-O511</f>
        <v>-7.3588749348920568E-2</v>
      </c>
      <c r="AG511" s="61"/>
    </row>
    <row r="512" spans="1:33" ht="11.25" customHeight="1" x14ac:dyDescent="0.15">
      <c r="A512" s="130" t="s">
        <v>53</v>
      </c>
      <c r="B512" s="130"/>
      <c r="C512" s="124"/>
      <c r="D512" s="124"/>
      <c r="E512" s="273"/>
      <c r="F512" s="124"/>
      <c r="G512" s="124"/>
      <c r="H512" s="124"/>
      <c r="I512" s="124"/>
      <c r="J512" s="124"/>
      <c r="K512" s="125"/>
      <c r="L512" s="129"/>
      <c r="M512" s="129"/>
      <c r="N512" s="129"/>
      <c r="O512" s="128"/>
      <c r="P512" s="129"/>
      <c r="Q512" s="124"/>
      <c r="R512" s="129"/>
      <c r="S512" s="129"/>
      <c r="T512" s="129"/>
      <c r="U512" s="129"/>
      <c r="V512" s="126"/>
      <c r="W512" s="49"/>
      <c r="X512" s="45"/>
      <c r="Y512" s="128"/>
      <c r="Z512" s="126"/>
      <c r="AA512" s="128"/>
      <c r="AB512" s="129"/>
      <c r="AC512" s="160"/>
      <c r="AD512" s="137"/>
      <c r="AE512" s="110"/>
      <c r="AF512" s="110"/>
      <c r="AG512" s="121"/>
    </row>
    <row r="513" spans="1:33" ht="11.25" customHeight="1" x14ac:dyDescent="0.15">
      <c r="A513" s="110" t="s">
        <v>317</v>
      </c>
      <c r="B513" s="110"/>
      <c r="C513" s="111" t="s">
        <v>201</v>
      </c>
      <c r="D513" s="111">
        <v>2021</v>
      </c>
      <c r="E513" s="146">
        <v>44500</v>
      </c>
      <c r="F513" s="111"/>
      <c r="G513" s="111" t="s">
        <v>202</v>
      </c>
      <c r="H513" s="111"/>
      <c r="I513" s="111"/>
      <c r="J513" s="111"/>
      <c r="K513" s="112" t="s">
        <v>203</v>
      </c>
      <c r="L513" s="117">
        <v>2000</v>
      </c>
      <c r="M513" s="140">
        <f>L513*0.35</f>
        <v>700</v>
      </c>
      <c r="N513" s="140">
        <f>L513-M513</f>
        <v>1300</v>
      </c>
      <c r="O513" s="119">
        <f>N513/L513</f>
        <v>0.65</v>
      </c>
      <c r="P513" s="117">
        <v>2000</v>
      </c>
      <c r="Q513" s="111">
        <v>1220</v>
      </c>
      <c r="R513" s="117">
        <v>6.5</v>
      </c>
      <c r="S513" s="117">
        <f>162.5+73.13</f>
        <v>235.63</v>
      </c>
      <c r="T513" s="117">
        <f>60.31-V513</f>
        <v>47.050000000000004</v>
      </c>
      <c r="U513" s="117">
        <v>9.24</v>
      </c>
      <c r="V513" s="117">
        <v>13.26</v>
      </c>
      <c r="W513" s="26">
        <f>SUM(S513:V513)</f>
        <v>305.18</v>
      </c>
      <c r="X513" s="118">
        <f>IFERROR(S513/R513,"")</f>
        <v>36.25076923076923</v>
      </c>
      <c r="Y513" s="119">
        <f>U513/P513</f>
        <v>4.62E-3</v>
      </c>
      <c r="Z513" s="117">
        <f>P513-W513</f>
        <v>1694.82</v>
      </c>
      <c r="AA513" s="119">
        <f>Z513/P513</f>
        <v>0.84741</v>
      </c>
      <c r="AB513" s="120">
        <f t="shared" ref="AB513:AB516" si="299">M513-W513</f>
        <v>394.82</v>
      </c>
      <c r="AC513" s="119">
        <f>AA513-O513</f>
        <v>0.19740999999999997</v>
      </c>
      <c r="AD513" s="110"/>
      <c r="AE513" s="110"/>
      <c r="AF513" s="110"/>
      <c r="AG513" s="121"/>
    </row>
    <row r="514" spans="1:33" ht="11.25" customHeight="1" x14ac:dyDescent="0.15">
      <c r="A514" s="110" t="s">
        <v>317</v>
      </c>
      <c r="B514" s="110"/>
      <c r="C514" s="111" t="s">
        <v>164</v>
      </c>
      <c r="D514" s="111">
        <v>2021</v>
      </c>
      <c r="E514" s="146">
        <v>44500</v>
      </c>
      <c r="F514" s="111"/>
      <c r="G514" s="111" t="s">
        <v>318</v>
      </c>
      <c r="H514" s="111"/>
      <c r="I514" s="111"/>
      <c r="J514" s="111"/>
      <c r="K514" s="112" t="s">
        <v>319</v>
      </c>
      <c r="L514" s="117">
        <v>93.45</v>
      </c>
      <c r="M514" s="140">
        <f>L514*0.35</f>
        <v>32.707499999999996</v>
      </c>
      <c r="N514" s="140">
        <f>L514-M514</f>
        <v>60.742500000000007</v>
      </c>
      <c r="O514" s="119">
        <f>N514/L514</f>
        <v>0.65</v>
      </c>
      <c r="P514" s="117">
        <v>93.45</v>
      </c>
      <c r="Q514" s="111"/>
      <c r="R514" s="117"/>
      <c r="S514" s="117"/>
      <c r="T514" s="117"/>
      <c r="U514" s="117"/>
      <c r="V514" s="117"/>
      <c r="W514" s="26">
        <v>33.21</v>
      </c>
      <c r="X514" s="118" t="str">
        <f>IFERROR(S514/R514,"")</f>
        <v/>
      </c>
      <c r="Y514" s="119">
        <f>U514/P514</f>
        <v>0</v>
      </c>
      <c r="Z514" s="117">
        <f>P514-W514</f>
        <v>60.24</v>
      </c>
      <c r="AA514" s="119">
        <f>Z514/P514</f>
        <v>0.64462279293739966</v>
      </c>
      <c r="AB514" s="120">
        <f t="shared" si="299"/>
        <v>-0.50250000000000483</v>
      </c>
      <c r="AC514" s="119">
        <f>AA514-O514</f>
        <v>-5.3772070626003643E-3</v>
      </c>
      <c r="AD514" s="110"/>
      <c r="AE514" s="110"/>
      <c r="AF514" s="110"/>
      <c r="AG514" s="121"/>
    </row>
    <row r="515" spans="1:33" ht="11.25" customHeight="1" x14ac:dyDescent="0.15">
      <c r="A515" s="110" t="s">
        <v>317</v>
      </c>
      <c r="B515" s="110"/>
      <c r="C515" s="111" t="s">
        <v>164</v>
      </c>
      <c r="D515" s="111">
        <v>2021</v>
      </c>
      <c r="E515" s="146">
        <v>44500</v>
      </c>
      <c r="F515" s="111"/>
      <c r="G515" s="111" t="s">
        <v>320</v>
      </c>
      <c r="H515" s="111"/>
      <c r="I515" s="111"/>
      <c r="J515" s="111"/>
      <c r="K515" s="112" t="s">
        <v>321</v>
      </c>
      <c r="L515" s="132">
        <v>26</v>
      </c>
      <c r="M515" s="221">
        <f>L515*0.35</f>
        <v>9.1</v>
      </c>
      <c r="N515" s="221">
        <f>L515-M515</f>
        <v>16.899999999999999</v>
      </c>
      <c r="O515" s="163">
        <f>N515/L515</f>
        <v>0.64999999999999991</v>
      </c>
      <c r="P515" s="132">
        <v>26</v>
      </c>
      <c r="Q515" s="111"/>
      <c r="R515" s="132"/>
      <c r="S515" s="132"/>
      <c r="T515" s="132"/>
      <c r="U515" s="132"/>
      <c r="V515" s="132"/>
      <c r="W515" s="67">
        <f>8.79*2</f>
        <v>17.579999999999998</v>
      </c>
      <c r="X515" s="56" t="str">
        <f>IFERROR(S515/R515,"")</f>
        <v/>
      </c>
      <c r="Y515" s="119">
        <f>U515/P515</f>
        <v>0</v>
      </c>
      <c r="Z515" s="117">
        <f>P515-W515</f>
        <v>8.4200000000000017</v>
      </c>
      <c r="AA515" s="119">
        <f>Z515/P515</f>
        <v>0.32384615384615389</v>
      </c>
      <c r="AB515" s="120">
        <f t="shared" si="299"/>
        <v>-8.4799999999999986</v>
      </c>
      <c r="AC515" s="119">
        <f>AA515-O515</f>
        <v>-0.32615384615384602</v>
      </c>
      <c r="AD515" s="110"/>
      <c r="AE515" s="110"/>
      <c r="AF515" s="110"/>
      <c r="AG515" s="121"/>
    </row>
    <row r="516" spans="1:33" s="53" customFormat="1" ht="11.25" customHeight="1" x14ac:dyDescent="0.15">
      <c r="A516" s="53" t="s">
        <v>317</v>
      </c>
      <c r="C516" s="54" t="s">
        <v>177</v>
      </c>
      <c r="D516" s="54">
        <v>2021</v>
      </c>
      <c r="E516" s="70">
        <v>44500</v>
      </c>
      <c r="F516" s="54"/>
      <c r="G516" s="54"/>
      <c r="H516" s="54"/>
      <c r="I516" s="54"/>
      <c r="J516" s="54"/>
      <c r="K516" s="106"/>
      <c r="L516" s="24">
        <f>SUM(L513:L515)</f>
        <v>2119.4499999999998</v>
      </c>
      <c r="M516" s="38">
        <f>L516*0.35</f>
        <v>741.80749999999989</v>
      </c>
      <c r="N516" s="38">
        <f>L516-M516</f>
        <v>1377.6424999999999</v>
      </c>
      <c r="O516" s="74">
        <f>N516/L516</f>
        <v>0.65</v>
      </c>
      <c r="P516" s="24">
        <f>SUM(P513:P515)</f>
        <v>2119.4499999999998</v>
      </c>
      <c r="Q516" s="91"/>
      <c r="R516" s="24">
        <f t="shared" ref="R516:W516" si="300">SUM(R513)</f>
        <v>6.5</v>
      </c>
      <c r="S516" s="24">
        <f t="shared" si="300"/>
        <v>235.63</v>
      </c>
      <c r="T516" s="24">
        <f t="shared" si="300"/>
        <v>47.050000000000004</v>
      </c>
      <c r="U516" s="24">
        <f t="shared" si="300"/>
        <v>9.24</v>
      </c>
      <c r="V516" s="24">
        <f t="shared" si="300"/>
        <v>13.26</v>
      </c>
      <c r="W516" s="25">
        <f t="shared" si="300"/>
        <v>305.18</v>
      </c>
      <c r="X516" s="56">
        <f>IFERROR(S516/R516,"")</f>
        <v>36.25076923076923</v>
      </c>
      <c r="Y516" s="57">
        <f>U516/P516</f>
        <v>4.3596215999433816E-3</v>
      </c>
      <c r="Z516" s="28">
        <f>P516-W516</f>
        <v>1814.2699999999998</v>
      </c>
      <c r="AA516" s="57">
        <f>Z516/P516</f>
        <v>0.85600981386680508</v>
      </c>
      <c r="AB516" s="120">
        <f t="shared" si="299"/>
        <v>436.62749999999988</v>
      </c>
      <c r="AC516" s="57">
        <f>AA516-O516</f>
        <v>0.20600981386680506</v>
      </c>
      <c r="AG516" s="61"/>
    </row>
    <row r="517" spans="1:33" ht="11.25" customHeight="1" x14ac:dyDescent="0.15">
      <c r="A517" s="130" t="s">
        <v>53</v>
      </c>
      <c r="B517" s="130"/>
      <c r="C517" s="124"/>
      <c r="D517" s="124"/>
      <c r="E517" s="273"/>
      <c r="F517" s="124"/>
      <c r="G517" s="124"/>
      <c r="H517" s="124"/>
      <c r="I517" s="124"/>
      <c r="J517" s="124"/>
      <c r="K517" s="125"/>
      <c r="L517" s="129"/>
      <c r="M517" s="129"/>
      <c r="N517" s="129"/>
      <c r="O517" s="128"/>
      <c r="P517" s="129"/>
      <c r="Q517" s="124"/>
      <c r="R517" s="129"/>
      <c r="S517" s="129"/>
      <c r="T517" s="129"/>
      <c r="U517" s="129"/>
      <c r="V517" s="126"/>
      <c r="W517" s="49"/>
      <c r="X517" s="45"/>
      <c r="Y517" s="128"/>
      <c r="Z517" s="126"/>
      <c r="AA517" s="128"/>
      <c r="AB517" s="129"/>
      <c r="AC517" s="160"/>
      <c r="AD517" s="137"/>
      <c r="AE517" s="110"/>
      <c r="AF517" s="110"/>
      <c r="AG517" s="121"/>
    </row>
    <row r="518" spans="1:33" ht="11.25" customHeight="1" x14ac:dyDescent="0.15">
      <c r="A518" s="110" t="s">
        <v>322</v>
      </c>
      <c r="B518" s="110"/>
      <c r="C518" s="111" t="s">
        <v>175</v>
      </c>
      <c r="D518" s="111">
        <v>2021</v>
      </c>
      <c r="E518" s="146">
        <v>44500</v>
      </c>
      <c r="F518" s="111"/>
      <c r="G518" s="111">
        <v>811101111</v>
      </c>
      <c r="H518" s="111">
        <v>4101</v>
      </c>
      <c r="I518" s="111" t="str">
        <f>MID(G518,2,1)</f>
        <v>1</v>
      </c>
      <c r="J518" s="111" t="str">
        <f>IF(I518="1","Small/Medium","Large")</f>
        <v>Small/Medium</v>
      </c>
      <c r="K518" s="147" t="s">
        <v>145</v>
      </c>
      <c r="L518" s="117">
        <v>14554</v>
      </c>
      <c r="M518" s="120">
        <f>L518*0.3</f>
        <v>4366.2</v>
      </c>
      <c r="N518" s="120">
        <f>L518-M518</f>
        <v>10187.799999999999</v>
      </c>
      <c r="O518" s="119">
        <f>N518/L518</f>
        <v>0.7</v>
      </c>
      <c r="P518" s="117">
        <v>14554</v>
      </c>
      <c r="Q518" s="111">
        <v>1239</v>
      </c>
      <c r="R518" s="117">
        <v>21.5</v>
      </c>
      <c r="S518" s="117">
        <f>642.42+289.18</f>
        <v>931.59999999999991</v>
      </c>
      <c r="T518" s="117">
        <f>1461.47-V518</f>
        <v>1423.01</v>
      </c>
      <c r="U518" s="117">
        <v>541.66</v>
      </c>
      <c r="V518" s="117">
        <v>38.46</v>
      </c>
      <c r="W518" s="26">
        <f>SUM(S518:V518)</f>
        <v>2934.7299999999996</v>
      </c>
      <c r="X518" s="118">
        <f>IFERROR(S518/R518,"")</f>
        <v>43.330232558139528</v>
      </c>
      <c r="Y518" s="119">
        <f>U518/P518</f>
        <v>3.7217259859832347E-2</v>
      </c>
      <c r="Z518" s="117">
        <f>P518-W518</f>
        <v>11619.27</v>
      </c>
      <c r="AA518" s="119">
        <f>Z518/P518</f>
        <v>0.79835577848014294</v>
      </c>
      <c r="AB518" s="120">
        <f t="shared" ref="AB518:AB520" si="301">M518-W518</f>
        <v>1431.4700000000003</v>
      </c>
      <c r="AC518" s="119">
        <f>AA518-O518</f>
        <v>9.8355778480142986E-2</v>
      </c>
      <c r="AD518" s="110" t="s">
        <v>323</v>
      </c>
      <c r="AE518" s="110"/>
      <c r="AF518" s="110"/>
      <c r="AG518" s="121"/>
    </row>
    <row r="519" spans="1:33" ht="11.25" customHeight="1" x14ac:dyDescent="0.15">
      <c r="A519" s="110" t="s">
        <v>322</v>
      </c>
      <c r="B519" s="110"/>
      <c r="C519" s="111" t="s">
        <v>175</v>
      </c>
      <c r="D519" s="111">
        <v>2021</v>
      </c>
      <c r="E519" s="146">
        <v>44500</v>
      </c>
      <c r="F519" s="111"/>
      <c r="G519" s="111">
        <v>821101111</v>
      </c>
      <c r="H519" s="111">
        <v>4101</v>
      </c>
      <c r="I519" s="111" t="str">
        <f>MID(G519,2,1)</f>
        <v>2</v>
      </c>
      <c r="J519" s="111" t="str">
        <f>IF(I519="1","Small/Medium","Large")</f>
        <v>Large</v>
      </c>
      <c r="K519" s="147" t="s">
        <v>176</v>
      </c>
      <c r="L519" s="132">
        <v>27030</v>
      </c>
      <c r="M519" s="219">
        <f>L519*0.3</f>
        <v>8109</v>
      </c>
      <c r="N519" s="219">
        <f>L519-M519</f>
        <v>18921</v>
      </c>
      <c r="O519" s="163">
        <f>N519/L519</f>
        <v>0.7</v>
      </c>
      <c r="P519" s="132">
        <v>27030</v>
      </c>
      <c r="Q519" s="111">
        <v>1240</v>
      </c>
      <c r="R519" s="132">
        <v>40.5</v>
      </c>
      <c r="S519" s="132">
        <f>1210.14+544.73</f>
        <v>1754.8700000000001</v>
      </c>
      <c r="T519" s="132">
        <f>2110.13-V519</f>
        <v>1880.3600000000001</v>
      </c>
      <c r="U519" s="132">
        <v>2268.58</v>
      </c>
      <c r="V519" s="132">
        <v>229.77</v>
      </c>
      <c r="W519" s="67">
        <f>SUM(S519:V519)</f>
        <v>6133.5800000000008</v>
      </c>
      <c r="X519" s="118">
        <f>IFERROR(S519/R519,"")</f>
        <v>43.330123456790126</v>
      </c>
      <c r="Y519" s="119">
        <f>U519/P519</f>
        <v>8.3928227894931554E-2</v>
      </c>
      <c r="Z519" s="117">
        <f>P519-W519</f>
        <v>20896.419999999998</v>
      </c>
      <c r="AA519" s="119">
        <f>Z519/P519</f>
        <v>0.77308250092489816</v>
      </c>
      <c r="AB519" s="120">
        <f t="shared" si="301"/>
        <v>1975.4199999999992</v>
      </c>
      <c r="AC519" s="119">
        <f>AA519-O519</f>
        <v>7.3082500924898208E-2</v>
      </c>
      <c r="AD519" s="110" t="s">
        <v>323</v>
      </c>
      <c r="AE519" s="110"/>
      <c r="AF519" s="110"/>
      <c r="AG519" s="121"/>
    </row>
    <row r="520" spans="1:33" ht="11.25" customHeight="1" x14ac:dyDescent="0.15">
      <c r="A520" s="53" t="s">
        <v>322</v>
      </c>
      <c r="C520" s="54" t="s">
        <v>177</v>
      </c>
      <c r="D520" s="111">
        <v>2021</v>
      </c>
      <c r="E520" s="146">
        <v>44500</v>
      </c>
      <c r="F520" s="111"/>
      <c r="G520" s="111"/>
      <c r="H520" s="111"/>
      <c r="I520" s="111"/>
      <c r="J520" s="111"/>
      <c r="K520" s="112"/>
      <c r="L520" s="24">
        <f>SUM(L518:L519)</f>
        <v>41584</v>
      </c>
      <c r="M520" s="92">
        <f>L520*0.3</f>
        <v>12475.199999999999</v>
      </c>
      <c r="N520" s="92">
        <f>L520-M520</f>
        <v>29108.800000000003</v>
      </c>
      <c r="O520" s="74">
        <f>N520/L520</f>
        <v>0.70000000000000007</v>
      </c>
      <c r="P520" s="24">
        <f>SUM(P518:P519)</f>
        <v>41584</v>
      </c>
      <c r="Q520" s="91"/>
      <c r="R520" s="24">
        <f t="shared" ref="R520:W520" si="302">SUM(R518:R519)</f>
        <v>62</v>
      </c>
      <c r="S520" s="24">
        <f t="shared" si="302"/>
        <v>2686.4700000000003</v>
      </c>
      <c r="T520" s="24">
        <f t="shared" si="302"/>
        <v>3303.37</v>
      </c>
      <c r="U520" s="24">
        <f t="shared" si="302"/>
        <v>2810.24</v>
      </c>
      <c r="V520" s="24">
        <f t="shared" si="302"/>
        <v>268.23</v>
      </c>
      <c r="W520" s="25">
        <f t="shared" si="302"/>
        <v>9068.3100000000013</v>
      </c>
      <c r="X520" s="56">
        <f>IFERROR(S520/R520,"")</f>
        <v>43.330161290322586</v>
      </c>
      <c r="Y520" s="57">
        <f>U520/P520</f>
        <v>6.7579838399384376E-2</v>
      </c>
      <c r="Z520" s="28">
        <f>P520-W520</f>
        <v>32515.69</v>
      </c>
      <c r="AA520" s="57">
        <f>Z520/P520</f>
        <v>0.78192790496344744</v>
      </c>
      <c r="AB520" s="120">
        <f t="shared" si="301"/>
        <v>3406.8899999999976</v>
      </c>
      <c r="AC520" s="57">
        <f>AA520-O520</f>
        <v>8.1927904963447373E-2</v>
      </c>
      <c r="AD520" s="110"/>
      <c r="AE520" s="110"/>
      <c r="AF520" s="110"/>
      <c r="AG520" s="121"/>
    </row>
    <row r="521" spans="1:33" ht="11.25" customHeight="1" x14ac:dyDescent="0.15">
      <c r="A521" s="130" t="s">
        <v>53</v>
      </c>
      <c r="B521" s="130"/>
      <c r="C521" s="124"/>
      <c r="D521" s="124"/>
      <c r="E521" s="273"/>
      <c r="F521" s="124"/>
      <c r="G521" s="124"/>
      <c r="H521" s="124"/>
      <c r="I521" s="124"/>
      <c r="J521" s="124"/>
      <c r="K521" s="125"/>
      <c r="L521" s="129"/>
      <c r="M521" s="129"/>
      <c r="N521" s="129"/>
      <c r="O521" s="128"/>
      <c r="P521" s="220"/>
      <c r="Q521" s="124"/>
      <c r="R521" s="220"/>
      <c r="S521" s="220"/>
      <c r="T521" s="220"/>
      <c r="U521" s="220"/>
      <c r="V521" s="126"/>
      <c r="W521" s="230"/>
      <c r="X521" s="45"/>
      <c r="Y521" s="128"/>
      <c r="Z521" s="126"/>
      <c r="AA521" s="128"/>
      <c r="AB521" s="129"/>
      <c r="AC521" s="160"/>
      <c r="AD521" s="137"/>
      <c r="AE521" s="110"/>
      <c r="AF521" s="110"/>
      <c r="AG521" s="121"/>
    </row>
    <row r="522" spans="1:33" ht="11.25" customHeight="1" x14ac:dyDescent="0.15">
      <c r="A522" s="110" t="s">
        <v>324</v>
      </c>
      <c r="B522" s="110"/>
      <c r="C522" s="111" t="s">
        <v>175</v>
      </c>
      <c r="D522" s="111">
        <v>2021</v>
      </c>
      <c r="E522" s="146">
        <v>44500</v>
      </c>
      <c r="F522" s="111"/>
      <c r="G522" s="111">
        <v>811101111</v>
      </c>
      <c r="H522" s="111">
        <v>4101</v>
      </c>
      <c r="I522" s="111" t="str">
        <f>MID(G522,2,1)</f>
        <v>1</v>
      </c>
      <c r="J522" s="111" t="str">
        <f>IF(I522="1","Small/Medium","Large")</f>
        <v>Small/Medium</v>
      </c>
      <c r="K522" s="147" t="s">
        <v>145</v>
      </c>
      <c r="L522" s="117">
        <v>20792</v>
      </c>
      <c r="M522" s="120">
        <f>L522*0.3</f>
        <v>6237.5999999999995</v>
      </c>
      <c r="N522" s="120">
        <f>L522-M522</f>
        <v>14554.400000000001</v>
      </c>
      <c r="O522" s="119">
        <f>N522/L522</f>
        <v>0.70000000000000007</v>
      </c>
      <c r="P522" s="117">
        <v>20792</v>
      </c>
      <c r="Q522" s="111">
        <v>1246</v>
      </c>
      <c r="R522" s="117">
        <v>9</v>
      </c>
      <c r="S522" s="117">
        <f>268.92+121.06</f>
        <v>389.98</v>
      </c>
      <c r="T522" s="117">
        <v>889.48</v>
      </c>
      <c r="U522" s="117">
        <v>566.15</v>
      </c>
      <c r="V522" s="117">
        <v>0</v>
      </c>
      <c r="W522" s="26">
        <f>SUM(S522:V522)</f>
        <v>1845.6100000000001</v>
      </c>
      <c r="X522" s="118">
        <f>IFERROR(S522/R522,"")</f>
        <v>43.331111111111113</v>
      </c>
      <c r="Y522" s="119">
        <f>U522/P522</f>
        <v>2.7229222777991533E-2</v>
      </c>
      <c r="Z522" s="117">
        <f>P522-W522</f>
        <v>18946.39</v>
      </c>
      <c r="AA522" s="119">
        <f>Z522/P522</f>
        <v>0.91123460946517887</v>
      </c>
      <c r="AB522" s="120">
        <f t="shared" ref="AB522:AB524" si="303">M522-W522</f>
        <v>4391.99</v>
      </c>
      <c r="AC522" s="119">
        <f>AA522-O522</f>
        <v>0.2112346094651788</v>
      </c>
      <c r="AD522" s="110" t="s">
        <v>323</v>
      </c>
      <c r="AE522" s="110"/>
      <c r="AF522" s="110"/>
      <c r="AG522" s="121"/>
    </row>
    <row r="523" spans="1:33" ht="11.25" customHeight="1" x14ac:dyDescent="0.15">
      <c r="A523" s="110" t="s">
        <v>324</v>
      </c>
      <c r="B523" s="110"/>
      <c r="C523" s="111" t="s">
        <v>175</v>
      </c>
      <c r="D523" s="111">
        <v>2021</v>
      </c>
      <c r="E523" s="146">
        <v>44500</v>
      </c>
      <c r="F523" s="111"/>
      <c r="G523" s="111">
        <v>821101111</v>
      </c>
      <c r="H523" s="111">
        <v>4101</v>
      </c>
      <c r="I523" s="111" t="str">
        <f>MID(G523,2,1)</f>
        <v>2</v>
      </c>
      <c r="J523" s="111" t="str">
        <f>IF(I523="1","Small/Medium","Large")</f>
        <v>Large</v>
      </c>
      <c r="K523" s="147" t="s">
        <v>176</v>
      </c>
      <c r="L523" s="117">
        <v>20792</v>
      </c>
      <c r="M523" s="120">
        <f>L523*0.3</f>
        <v>6237.5999999999995</v>
      </c>
      <c r="N523" s="120">
        <f>L523-M523</f>
        <v>14554.400000000001</v>
      </c>
      <c r="O523" s="119">
        <f>N523/L523</f>
        <v>0.70000000000000007</v>
      </c>
      <c r="P523" s="117">
        <v>20792</v>
      </c>
      <c r="Q523" s="111">
        <v>1247</v>
      </c>
      <c r="R523" s="117">
        <v>28.5</v>
      </c>
      <c r="S523" s="117">
        <f>851.58+383.33</f>
        <v>1234.9100000000001</v>
      </c>
      <c r="T523" s="117">
        <v>889.48</v>
      </c>
      <c r="U523" s="117">
        <v>279.60000000000002</v>
      </c>
      <c r="V523" s="117">
        <v>0</v>
      </c>
      <c r="W523" s="26">
        <f>SUM(S523:V523)</f>
        <v>2403.9900000000002</v>
      </c>
      <c r="X523" s="118">
        <f>IFERROR(S523/R523,"")</f>
        <v>43.330175438596491</v>
      </c>
      <c r="Y523" s="119">
        <f>U523/P523</f>
        <v>1.3447479799923048E-2</v>
      </c>
      <c r="Z523" s="117">
        <f>P523-W523</f>
        <v>18388.009999999998</v>
      </c>
      <c r="AA523" s="119">
        <f>Z523/P523</f>
        <v>0.88437908811081178</v>
      </c>
      <c r="AB523" s="120">
        <f t="shared" si="303"/>
        <v>3833.6099999999992</v>
      </c>
      <c r="AC523" s="119">
        <f>AA523-O523</f>
        <v>0.18437908811081172</v>
      </c>
      <c r="AD523" s="110" t="s">
        <v>323</v>
      </c>
      <c r="AE523" s="110"/>
      <c r="AF523" s="110"/>
      <c r="AG523" s="121"/>
    </row>
    <row r="524" spans="1:33" ht="11.25" customHeight="1" x14ac:dyDescent="0.15">
      <c r="A524" s="53" t="s">
        <v>324</v>
      </c>
      <c r="C524" s="54" t="s">
        <v>177</v>
      </c>
      <c r="D524" s="111">
        <v>2021</v>
      </c>
      <c r="E524" s="146">
        <v>44500</v>
      </c>
      <c r="F524" s="111"/>
      <c r="G524" s="111"/>
      <c r="H524" s="111"/>
      <c r="I524" s="111"/>
      <c r="J524" s="111"/>
      <c r="K524" s="112"/>
      <c r="L524" s="24">
        <f>SUM(L522:L523)</f>
        <v>41584</v>
      </c>
      <c r="M524" s="92">
        <f>L524*0.3</f>
        <v>12475.199999999999</v>
      </c>
      <c r="N524" s="92">
        <f>L524-M524</f>
        <v>29108.800000000003</v>
      </c>
      <c r="O524" s="74">
        <f>N524/L524</f>
        <v>0.70000000000000007</v>
      </c>
      <c r="P524" s="24">
        <f>SUM(P522:P523)</f>
        <v>41584</v>
      </c>
      <c r="Q524" s="91"/>
      <c r="R524" s="24">
        <f t="shared" ref="R524:W524" si="304">SUM(R522:R523)</f>
        <v>37.5</v>
      </c>
      <c r="S524" s="24">
        <f t="shared" si="304"/>
        <v>1624.89</v>
      </c>
      <c r="T524" s="24">
        <f t="shared" si="304"/>
        <v>1778.96</v>
      </c>
      <c r="U524" s="24">
        <f t="shared" si="304"/>
        <v>845.75</v>
      </c>
      <c r="V524" s="24">
        <f t="shared" si="304"/>
        <v>0</v>
      </c>
      <c r="W524" s="25">
        <f t="shared" si="304"/>
        <v>4249.6000000000004</v>
      </c>
      <c r="X524" s="56">
        <f>IFERROR(S524/R524,"")</f>
        <v>43.330400000000004</v>
      </c>
      <c r="Y524" s="57">
        <f>U524/P524</f>
        <v>2.033835128895729E-2</v>
      </c>
      <c r="Z524" s="28">
        <f>P524-W524</f>
        <v>37334.400000000001</v>
      </c>
      <c r="AA524" s="57">
        <f>Z524/P524</f>
        <v>0.89780684878799544</v>
      </c>
      <c r="AB524" s="120">
        <f t="shared" si="303"/>
        <v>8225.5999999999985</v>
      </c>
      <c r="AC524" s="57">
        <f>AA524-O524</f>
        <v>0.19780684878799537</v>
      </c>
      <c r="AD524" s="110"/>
      <c r="AE524" s="110"/>
      <c r="AF524" s="110"/>
      <c r="AG524" s="121"/>
    </row>
    <row r="525" spans="1:33" ht="11.25" customHeight="1" x14ac:dyDescent="0.15">
      <c r="A525" s="130" t="s">
        <v>53</v>
      </c>
      <c r="B525" s="130"/>
      <c r="C525" s="124"/>
      <c r="D525" s="124"/>
      <c r="E525" s="273"/>
      <c r="F525" s="124"/>
      <c r="G525" s="124"/>
      <c r="H525" s="124"/>
      <c r="I525" s="124"/>
      <c r="J525" s="124"/>
      <c r="K525" s="125"/>
      <c r="L525" s="129"/>
      <c r="M525" s="129"/>
      <c r="N525" s="129"/>
      <c r="O525" s="128"/>
      <c r="P525" s="129"/>
      <c r="Q525" s="124"/>
      <c r="R525" s="129"/>
      <c r="S525" s="129"/>
      <c r="T525" s="129"/>
      <c r="U525" s="129"/>
      <c r="V525" s="126"/>
      <c r="W525" s="49"/>
      <c r="X525" s="45"/>
      <c r="Y525" s="128"/>
      <c r="Z525" s="126"/>
      <c r="AA525" s="128"/>
      <c r="AB525" s="129"/>
      <c r="AC525" s="160"/>
      <c r="AD525" s="137"/>
      <c r="AE525" s="110"/>
      <c r="AF525" s="110"/>
      <c r="AG525" s="121"/>
    </row>
    <row r="526" spans="1:33" ht="11.25" customHeight="1" x14ac:dyDescent="0.15">
      <c r="A526" s="110" t="s">
        <v>137</v>
      </c>
      <c r="B526" s="110"/>
      <c r="C526" s="111" t="s">
        <v>175</v>
      </c>
      <c r="D526" s="111">
        <v>2021</v>
      </c>
      <c r="E526" s="146">
        <v>44500</v>
      </c>
      <c r="F526" s="111"/>
      <c r="G526" s="111">
        <v>811101111</v>
      </c>
      <c r="H526" s="111">
        <v>4101</v>
      </c>
      <c r="I526" s="111" t="str">
        <f>MID(G526,2,1)</f>
        <v>1</v>
      </c>
      <c r="J526" s="111" t="str">
        <f>IF(I526="1","Small/Medium","Large")</f>
        <v>Small/Medium</v>
      </c>
      <c r="K526" s="147" t="s">
        <v>145</v>
      </c>
      <c r="L526" s="117">
        <v>20002.5</v>
      </c>
      <c r="M526" s="120">
        <f>L526*0.3</f>
        <v>6000.75</v>
      </c>
      <c r="N526" s="120">
        <f>L526-M526</f>
        <v>14001.75</v>
      </c>
      <c r="O526" s="119">
        <f>N526/L526</f>
        <v>0.7</v>
      </c>
      <c r="P526" s="117">
        <v>20002.5</v>
      </c>
      <c r="Q526" s="111">
        <v>1241</v>
      </c>
      <c r="R526" s="117">
        <v>53</v>
      </c>
      <c r="S526" s="117">
        <f>1583.64+712.86</f>
        <v>2296.5</v>
      </c>
      <c r="T526" s="117">
        <v>2441.4</v>
      </c>
      <c r="U526" s="117">
        <v>1861.08</v>
      </c>
      <c r="V526" s="117">
        <v>0</v>
      </c>
      <c r="W526" s="26">
        <f>SUM(S526:V526)</f>
        <v>6598.98</v>
      </c>
      <c r="X526" s="118">
        <f>IFERROR(S526/R526,"")</f>
        <v>43.330188679245282</v>
      </c>
      <c r="Y526" s="119">
        <f>U526/P526</f>
        <v>9.3042369703787028E-2</v>
      </c>
      <c r="Z526" s="117">
        <f>P526-W526</f>
        <v>13403.52</v>
      </c>
      <c r="AA526" s="119">
        <f>Z526/P526</f>
        <v>0.67009223847019128</v>
      </c>
      <c r="AB526" s="120">
        <f t="shared" ref="AB526:AB528" si="305">M526-W526</f>
        <v>-598.22999999999956</v>
      </c>
      <c r="AC526" s="119">
        <f>AA526-O526</f>
        <v>-2.9907761529808674E-2</v>
      </c>
      <c r="AD526" s="110" t="s">
        <v>325</v>
      </c>
      <c r="AE526" s="110"/>
      <c r="AF526" s="110"/>
      <c r="AG526" s="121"/>
    </row>
    <row r="527" spans="1:33" ht="11.25" customHeight="1" x14ac:dyDescent="0.15">
      <c r="A527" s="110" t="s">
        <v>137</v>
      </c>
      <c r="B527" s="110"/>
      <c r="C527" s="111" t="s">
        <v>175</v>
      </c>
      <c r="D527" s="111">
        <v>2021</v>
      </c>
      <c r="E527" s="146">
        <v>44500</v>
      </c>
      <c r="F527" s="111"/>
      <c r="G527" s="111">
        <v>821101111</v>
      </c>
      <c r="H527" s="111">
        <v>4101</v>
      </c>
      <c r="I527" s="111" t="str">
        <f>MID(G527,2,1)</f>
        <v>2</v>
      </c>
      <c r="J527" s="111" t="str">
        <f>IF(I527="1","Small/Medium","Large")</f>
        <v>Large</v>
      </c>
      <c r="K527" s="147" t="s">
        <v>176</v>
      </c>
      <c r="L527" s="117">
        <v>20002.5</v>
      </c>
      <c r="M527" s="120">
        <f>L527*0.3</f>
        <v>6000.75</v>
      </c>
      <c r="N527" s="120">
        <f>L527-M527</f>
        <v>14001.75</v>
      </c>
      <c r="O527" s="119">
        <f>N527/L527</f>
        <v>0.7</v>
      </c>
      <c r="P527" s="117">
        <v>20002.5</v>
      </c>
      <c r="Q527" s="111">
        <v>1242</v>
      </c>
      <c r="R527" s="117">
        <v>35</v>
      </c>
      <c r="S527" s="117">
        <f>1045.8+470.75</f>
        <v>1516.55</v>
      </c>
      <c r="T527" s="117">
        <v>2441.39</v>
      </c>
      <c r="U527" s="117">
        <v>847.25</v>
      </c>
      <c r="V527" s="117">
        <v>0</v>
      </c>
      <c r="W527" s="26">
        <f>SUM(S527:V527)</f>
        <v>4805.1899999999996</v>
      </c>
      <c r="X527" s="118">
        <f>IFERROR(S527/R527,"")</f>
        <v>43.33</v>
      </c>
      <c r="Y527" s="119">
        <f>U527/P527</f>
        <v>4.2357205349331337E-2</v>
      </c>
      <c r="Z527" s="117">
        <f>P527-W527</f>
        <v>15197.310000000001</v>
      </c>
      <c r="AA527" s="119">
        <f>Z527/P527</f>
        <v>0.75977052868391459</v>
      </c>
      <c r="AB527" s="120">
        <f t="shared" si="305"/>
        <v>1195.5600000000004</v>
      </c>
      <c r="AC527" s="119">
        <f>AA527-O527</f>
        <v>5.9770528683914637E-2</v>
      </c>
      <c r="AD527" s="110" t="s">
        <v>326</v>
      </c>
      <c r="AE527" s="110"/>
      <c r="AF527" s="110"/>
      <c r="AG527" s="121"/>
    </row>
    <row r="528" spans="1:33" ht="11.25" customHeight="1" x14ac:dyDescent="0.15">
      <c r="A528" s="53" t="s">
        <v>137</v>
      </c>
      <c r="C528" s="54" t="s">
        <v>177</v>
      </c>
      <c r="D528" s="111">
        <v>2021</v>
      </c>
      <c r="E528" s="146">
        <v>44500</v>
      </c>
      <c r="F528" s="111"/>
      <c r="G528" s="111"/>
      <c r="H528" s="111"/>
      <c r="I528" s="111"/>
      <c r="J528" s="111"/>
      <c r="K528" s="112"/>
      <c r="L528" s="24">
        <f>SUM(L526:L527)</f>
        <v>40005</v>
      </c>
      <c r="M528" s="92">
        <f>L528*0.3</f>
        <v>12001.5</v>
      </c>
      <c r="N528" s="92">
        <f>L528-M528</f>
        <v>28003.5</v>
      </c>
      <c r="O528" s="74">
        <f>N528/L528</f>
        <v>0.7</v>
      </c>
      <c r="P528" s="24">
        <f>SUM(P526:P527)</f>
        <v>40005</v>
      </c>
      <c r="Q528" s="91"/>
      <c r="R528" s="24">
        <f t="shared" ref="R528:W528" si="306">SUM(R526:R527)</f>
        <v>88</v>
      </c>
      <c r="S528" s="24">
        <f t="shared" si="306"/>
        <v>3813.05</v>
      </c>
      <c r="T528" s="24">
        <f t="shared" si="306"/>
        <v>4882.79</v>
      </c>
      <c r="U528" s="24">
        <f t="shared" si="306"/>
        <v>2708.33</v>
      </c>
      <c r="V528" s="24">
        <f t="shared" si="306"/>
        <v>0</v>
      </c>
      <c r="W528" s="25">
        <f t="shared" si="306"/>
        <v>11404.169999999998</v>
      </c>
      <c r="X528" s="56">
        <f>IFERROR(S528/R528,"")</f>
        <v>43.330113636363642</v>
      </c>
      <c r="Y528" s="57">
        <f>U528/P528</f>
        <v>6.7699787526559183E-2</v>
      </c>
      <c r="Z528" s="28">
        <f>P528-W528</f>
        <v>28600.83</v>
      </c>
      <c r="AA528" s="57">
        <f>Z528/P528</f>
        <v>0.71493138357705288</v>
      </c>
      <c r="AB528" s="120">
        <f t="shared" si="305"/>
        <v>597.33000000000175</v>
      </c>
      <c r="AC528" s="57">
        <f>AA528-O528</f>
        <v>1.4931383577052926E-2</v>
      </c>
      <c r="AD528" s="110"/>
      <c r="AE528" s="110"/>
      <c r="AF528" s="110"/>
      <c r="AG528" s="121"/>
    </row>
    <row r="529" spans="1:33" ht="11.25" customHeight="1" x14ac:dyDescent="0.15">
      <c r="A529" s="130" t="s">
        <v>53</v>
      </c>
      <c r="B529" s="130"/>
      <c r="C529" s="124"/>
      <c r="D529" s="124"/>
      <c r="E529" s="273"/>
      <c r="F529" s="124"/>
      <c r="G529" s="124"/>
      <c r="H529" s="124"/>
      <c r="I529" s="124"/>
      <c r="J529" s="124"/>
      <c r="K529" s="125"/>
      <c r="L529" s="129"/>
      <c r="M529" s="129"/>
      <c r="N529" s="129"/>
      <c r="O529" s="128"/>
      <c r="P529" s="129"/>
      <c r="Q529" s="124"/>
      <c r="R529" s="129"/>
      <c r="S529" s="129"/>
      <c r="T529" s="129"/>
      <c r="U529" s="129"/>
      <c r="V529" s="126"/>
      <c r="W529" s="49"/>
      <c r="X529" s="45"/>
      <c r="Y529" s="128"/>
      <c r="Z529" s="126"/>
      <c r="AA529" s="128"/>
      <c r="AB529" s="129"/>
      <c r="AC529" s="160"/>
      <c r="AD529" s="137"/>
      <c r="AE529" s="110"/>
      <c r="AF529" s="110"/>
      <c r="AG529" s="121"/>
    </row>
    <row r="530" spans="1:33" ht="11.25" customHeight="1" x14ac:dyDescent="0.15">
      <c r="A530" s="110" t="s">
        <v>327</v>
      </c>
      <c r="B530" s="110"/>
      <c r="C530" s="111" t="s">
        <v>37</v>
      </c>
      <c r="D530" s="111">
        <v>2021</v>
      </c>
      <c r="E530" s="146">
        <v>44500</v>
      </c>
      <c r="F530" s="111"/>
      <c r="G530" s="111">
        <v>110101211</v>
      </c>
      <c r="H530" s="111"/>
      <c r="I530" s="16" t="str">
        <f>MID(G530,2,1)</f>
        <v>1</v>
      </c>
      <c r="J530" s="111" t="s">
        <v>39</v>
      </c>
      <c r="K530" s="122" t="s">
        <v>328</v>
      </c>
      <c r="L530" s="117">
        <v>31000</v>
      </c>
      <c r="M530" s="140">
        <f>L530*0.35</f>
        <v>10850</v>
      </c>
      <c r="N530" s="120">
        <f>L530-M530</f>
        <v>20150</v>
      </c>
      <c r="O530" s="119">
        <f t="shared" ref="O530:O536" si="307">N530/L530</f>
        <v>0.65</v>
      </c>
      <c r="P530" s="117">
        <v>31000</v>
      </c>
      <c r="Q530" s="111">
        <v>1123</v>
      </c>
      <c r="R530" s="117">
        <v>39</v>
      </c>
      <c r="S530" s="117">
        <f>1018.56+458.45</f>
        <v>1477.01</v>
      </c>
      <c r="T530" s="117">
        <v>0</v>
      </c>
      <c r="U530" s="117">
        <v>10157.77</v>
      </c>
      <c r="V530" s="117">
        <v>0</v>
      </c>
      <c r="W530" s="26">
        <f>SUM(S530:V530)</f>
        <v>11634.78</v>
      </c>
      <c r="X530" s="118">
        <f t="shared" ref="X530:X536" si="308">IFERROR(S530/R530,"")</f>
        <v>37.872051282051281</v>
      </c>
      <c r="Y530" s="119">
        <f t="shared" ref="Y530:Y536" si="309">U530/P530</f>
        <v>0.32767000000000002</v>
      </c>
      <c r="Z530" s="117">
        <f t="shared" ref="Z530:Z536" si="310">P530-W530</f>
        <v>19365.22</v>
      </c>
      <c r="AA530" s="119">
        <f t="shared" ref="AA530:AA536" si="311">Z530/P530</f>
        <v>0.62468451612903231</v>
      </c>
      <c r="AB530" s="120">
        <f t="shared" ref="AB530:AB536" si="312">M530-W530</f>
        <v>-784.78000000000065</v>
      </c>
      <c r="AC530" s="119">
        <f t="shared" ref="AC530:AC536" si="313">AA530-O530</f>
        <v>-2.5315483870967714E-2</v>
      </c>
      <c r="AD530" s="110"/>
      <c r="AE530" s="110"/>
      <c r="AF530" s="110"/>
      <c r="AG530" s="121"/>
    </row>
    <row r="531" spans="1:33" ht="11.25" customHeight="1" x14ac:dyDescent="0.15">
      <c r="A531" s="110" t="s">
        <v>327</v>
      </c>
      <c r="B531" s="110"/>
      <c r="C531" s="111" t="s">
        <v>37</v>
      </c>
      <c r="D531" s="111">
        <v>2021</v>
      </c>
      <c r="E531" s="146">
        <v>44500</v>
      </c>
      <c r="F531" s="111"/>
      <c r="G531" s="111">
        <v>220100211</v>
      </c>
      <c r="H531" s="111"/>
      <c r="I531" s="111"/>
      <c r="J531" s="111"/>
      <c r="K531" s="112" t="s">
        <v>329</v>
      </c>
      <c r="L531" s="117">
        <v>13732</v>
      </c>
      <c r="M531" s="140">
        <f>L531*0.35</f>
        <v>4806.2</v>
      </c>
      <c r="N531" s="120">
        <f>L531-M531</f>
        <v>8925.7999999999993</v>
      </c>
      <c r="O531" s="119">
        <f t="shared" si="307"/>
        <v>0.64999999999999991</v>
      </c>
      <c r="P531" s="117">
        <v>13732</v>
      </c>
      <c r="Q531" s="111">
        <v>1125</v>
      </c>
      <c r="R531" s="117">
        <v>0</v>
      </c>
      <c r="S531" s="117">
        <v>0</v>
      </c>
      <c r="T531" s="117">
        <v>0</v>
      </c>
      <c r="U531" s="117">
        <v>4759.7700000000004</v>
      </c>
      <c r="V531" s="117"/>
      <c r="W531" s="26">
        <f>SUM(S531:V531)</f>
        <v>4759.7700000000004</v>
      </c>
      <c r="X531" s="118" t="str">
        <f t="shared" si="308"/>
        <v/>
      </c>
      <c r="Y531" s="119">
        <f t="shared" si="309"/>
        <v>0.34661884648995051</v>
      </c>
      <c r="Z531" s="117">
        <f t="shared" si="310"/>
        <v>8972.23</v>
      </c>
      <c r="AA531" s="119">
        <f t="shared" si="311"/>
        <v>0.65338115351004944</v>
      </c>
      <c r="AB531" s="120">
        <f t="shared" si="312"/>
        <v>46.429999999999382</v>
      </c>
      <c r="AC531" s="119">
        <f t="shared" si="313"/>
        <v>3.3811535100495282E-3</v>
      </c>
      <c r="AD531" s="110"/>
      <c r="AE531" s="110"/>
      <c r="AF531" s="110"/>
      <c r="AG531" s="121"/>
    </row>
    <row r="532" spans="1:33" ht="11.25" customHeight="1" x14ac:dyDescent="0.15">
      <c r="A532" s="110" t="s">
        <v>327</v>
      </c>
      <c r="B532" s="110"/>
      <c r="C532" s="111" t="s">
        <v>47</v>
      </c>
      <c r="D532" s="111">
        <v>2021</v>
      </c>
      <c r="E532" s="146">
        <v>44500</v>
      </c>
      <c r="F532" s="111"/>
      <c r="G532" s="111">
        <v>510101111</v>
      </c>
      <c r="H532" s="111"/>
      <c r="I532" s="111"/>
      <c r="J532" s="111"/>
      <c r="K532" s="112" t="s">
        <v>81</v>
      </c>
      <c r="L532" s="132">
        <v>8450</v>
      </c>
      <c r="M532" s="221">
        <f>L532*0.35</f>
        <v>2957.5</v>
      </c>
      <c r="N532" s="219">
        <f>L532-M532</f>
        <v>5492.5</v>
      </c>
      <c r="O532" s="163">
        <f t="shared" si="307"/>
        <v>0.65</v>
      </c>
      <c r="P532" s="132">
        <v>8450</v>
      </c>
      <c r="Q532" s="111">
        <v>1126</v>
      </c>
      <c r="R532" s="132">
        <v>19.5</v>
      </c>
      <c r="S532" s="132">
        <f>602.75+271.25</f>
        <v>874</v>
      </c>
      <c r="T532" s="132">
        <v>450.29</v>
      </c>
      <c r="U532" s="132">
        <v>45.77</v>
      </c>
      <c r="V532" s="132"/>
      <c r="W532" s="67">
        <f>SUM(S532:V532)</f>
        <v>1370.06</v>
      </c>
      <c r="X532" s="118">
        <f t="shared" si="308"/>
        <v>44.820512820512818</v>
      </c>
      <c r="Y532" s="119">
        <f t="shared" si="309"/>
        <v>5.4165680473372783E-3</v>
      </c>
      <c r="Z532" s="117">
        <f t="shared" si="310"/>
        <v>7079.9400000000005</v>
      </c>
      <c r="AA532" s="119">
        <f t="shared" si="311"/>
        <v>0.8378627218934912</v>
      </c>
      <c r="AB532" s="120">
        <f t="shared" si="312"/>
        <v>1587.44</v>
      </c>
      <c r="AC532" s="119">
        <f t="shared" si="313"/>
        <v>0.18786272189349118</v>
      </c>
      <c r="AD532" s="110"/>
      <c r="AE532" s="110"/>
      <c r="AF532" s="110"/>
      <c r="AG532" s="121"/>
    </row>
    <row r="533" spans="1:33" s="53" customFormat="1" ht="11.25" customHeight="1" x14ac:dyDescent="0.15">
      <c r="A533" s="53" t="s">
        <v>327</v>
      </c>
      <c r="C533" s="54" t="s">
        <v>54</v>
      </c>
      <c r="D533" s="54">
        <v>2021</v>
      </c>
      <c r="E533" s="70">
        <v>44500</v>
      </c>
      <c r="F533" s="54"/>
      <c r="G533" s="54"/>
      <c r="H533" s="54"/>
      <c r="I533" s="54"/>
      <c r="J533" s="54"/>
      <c r="K533" s="106"/>
      <c r="L533" s="24">
        <f>SUM(L529:L532)</f>
        <v>53182</v>
      </c>
      <c r="M533" s="92">
        <f>SUM(M529:M532)</f>
        <v>18613.7</v>
      </c>
      <c r="N533" s="92">
        <f>L533-M533</f>
        <v>34568.300000000003</v>
      </c>
      <c r="O533" s="74">
        <f t="shared" si="307"/>
        <v>0.65</v>
      </c>
      <c r="P533" s="24">
        <f>SUM(P529:P532)</f>
        <v>53182</v>
      </c>
      <c r="Q533" s="24"/>
      <c r="R533" s="24">
        <f>SUM(R529:R532)</f>
        <v>58.5</v>
      </c>
      <c r="S533" s="24">
        <f>SUM(S529:S532)</f>
        <v>2351.0100000000002</v>
      </c>
      <c r="T533" s="24">
        <f>SUM(T529:T532)</f>
        <v>450.29</v>
      </c>
      <c r="U533" s="24">
        <f>SUM(U529:U532)</f>
        <v>14963.310000000001</v>
      </c>
      <c r="V533" s="24">
        <f>SUM(V529:V532)</f>
        <v>0</v>
      </c>
      <c r="W533" s="25">
        <f>SUM(W530:W532)</f>
        <v>17764.610000000004</v>
      </c>
      <c r="X533" s="56">
        <f t="shared" si="308"/>
        <v>40.188205128205134</v>
      </c>
      <c r="Y533" s="57">
        <f t="shared" si="309"/>
        <v>0.28136042269940958</v>
      </c>
      <c r="Z533" s="28">
        <f t="shared" si="310"/>
        <v>35417.39</v>
      </c>
      <c r="AA533" s="57">
        <f t="shared" si="311"/>
        <v>0.66596574028806743</v>
      </c>
      <c r="AB533" s="120">
        <f t="shared" si="312"/>
        <v>849.08999999999651</v>
      </c>
      <c r="AC533" s="57">
        <f t="shared" si="313"/>
        <v>1.5965740288067409E-2</v>
      </c>
      <c r="AG533" s="61"/>
    </row>
    <row r="534" spans="1:33" ht="11.25" customHeight="1" x14ac:dyDescent="0.15">
      <c r="A534" s="110" t="s">
        <v>327</v>
      </c>
      <c r="B534" s="110"/>
      <c r="C534" s="111" t="s">
        <v>55</v>
      </c>
      <c r="D534" s="111">
        <v>2021</v>
      </c>
      <c r="E534" s="146">
        <v>44500</v>
      </c>
      <c r="F534" s="111"/>
      <c r="G534" s="111" t="s">
        <v>56</v>
      </c>
      <c r="H534" s="111"/>
      <c r="I534" s="111"/>
      <c r="J534" s="111"/>
      <c r="K534" s="112" t="s">
        <v>71</v>
      </c>
      <c r="L534" s="117">
        <v>696</v>
      </c>
      <c r="M534" s="140">
        <f>L534*0.5</f>
        <v>348</v>
      </c>
      <c r="N534" s="120">
        <f>L534-M534</f>
        <v>348</v>
      </c>
      <c r="O534" s="119">
        <f t="shared" si="307"/>
        <v>0.5</v>
      </c>
      <c r="P534" s="117">
        <v>696</v>
      </c>
      <c r="Q534" s="111">
        <v>1127</v>
      </c>
      <c r="R534" s="117">
        <v>10.5</v>
      </c>
      <c r="S534" s="117">
        <f>288.75+129.99</f>
        <v>418.74</v>
      </c>
      <c r="T534" s="117">
        <v>0</v>
      </c>
      <c r="U534" s="117">
        <v>0</v>
      </c>
      <c r="V534" s="117">
        <v>185.44</v>
      </c>
      <c r="W534" s="26">
        <f>SUM(S534:V534)</f>
        <v>604.18000000000006</v>
      </c>
      <c r="X534" s="118">
        <f t="shared" si="308"/>
        <v>39.880000000000003</v>
      </c>
      <c r="Y534" s="119">
        <f t="shared" si="309"/>
        <v>0</v>
      </c>
      <c r="Z534" s="117">
        <f t="shared" si="310"/>
        <v>91.819999999999936</v>
      </c>
      <c r="AA534" s="119">
        <f t="shared" si="311"/>
        <v>0.13192528735632175</v>
      </c>
      <c r="AB534" s="120">
        <f t="shared" si="312"/>
        <v>-256.18000000000006</v>
      </c>
      <c r="AC534" s="119">
        <f t="shared" si="313"/>
        <v>-0.36807471264367825</v>
      </c>
      <c r="AD534" s="110"/>
      <c r="AE534" s="110"/>
      <c r="AF534" s="110"/>
      <c r="AG534" s="121"/>
    </row>
    <row r="535" spans="1:33" s="53" customFormat="1" ht="11.25" customHeight="1" x14ac:dyDescent="0.15">
      <c r="A535" s="53" t="s">
        <v>327</v>
      </c>
      <c r="C535" s="54" t="s">
        <v>177</v>
      </c>
      <c r="D535" s="54">
        <v>2021</v>
      </c>
      <c r="E535" s="70">
        <v>44500</v>
      </c>
      <c r="F535" s="54"/>
      <c r="G535" s="54"/>
      <c r="H535" s="54"/>
      <c r="I535" s="54"/>
      <c r="J535" s="54"/>
      <c r="K535" s="106"/>
      <c r="L535" s="24">
        <f>SUM(L533:L534)</f>
        <v>53878</v>
      </c>
      <c r="M535" s="24">
        <f>SUM(M533:M534)</f>
        <v>18961.7</v>
      </c>
      <c r="N535" s="24">
        <f>SUM(N533:N534)</f>
        <v>34916.300000000003</v>
      </c>
      <c r="O535" s="74">
        <f t="shared" si="307"/>
        <v>0.6480622888748655</v>
      </c>
      <c r="P535" s="24">
        <f>SUM(P533:P534)</f>
        <v>53878</v>
      </c>
      <c r="Q535" s="91"/>
      <c r="R535" s="24">
        <f t="shared" ref="R535:W535" si="314">SUM(R533:R534)</f>
        <v>69</v>
      </c>
      <c r="S535" s="24">
        <f t="shared" si="314"/>
        <v>2769.75</v>
      </c>
      <c r="T535" s="24">
        <f t="shared" si="314"/>
        <v>450.29</v>
      </c>
      <c r="U535" s="24">
        <f t="shared" si="314"/>
        <v>14963.310000000001</v>
      </c>
      <c r="V535" s="24">
        <f t="shared" si="314"/>
        <v>185.44</v>
      </c>
      <c r="W535" s="25">
        <f t="shared" si="314"/>
        <v>18368.790000000005</v>
      </c>
      <c r="X535" s="56">
        <f t="shared" si="308"/>
        <v>40.141304347826086</v>
      </c>
      <c r="Y535" s="57">
        <f t="shared" si="309"/>
        <v>0.27772578789116154</v>
      </c>
      <c r="Z535" s="28">
        <f t="shared" si="310"/>
        <v>35509.209999999992</v>
      </c>
      <c r="AA535" s="57">
        <f t="shared" si="311"/>
        <v>0.65906696610861559</v>
      </c>
      <c r="AB535" s="120">
        <f t="shared" si="312"/>
        <v>592.90999999999622</v>
      </c>
      <c r="AC535" s="57">
        <f t="shared" si="313"/>
        <v>1.1004677233750093E-2</v>
      </c>
      <c r="AG535" s="61"/>
    </row>
    <row r="536" spans="1:33" s="53" customFormat="1" ht="11.25" customHeight="1" x14ac:dyDescent="0.15">
      <c r="A536" s="53" t="s">
        <v>327</v>
      </c>
      <c r="C536" s="54" t="s">
        <v>177</v>
      </c>
      <c r="D536" s="54">
        <v>2021</v>
      </c>
      <c r="E536" s="70">
        <v>44500</v>
      </c>
      <c r="F536" s="54"/>
      <c r="G536" s="54"/>
      <c r="H536" s="54"/>
      <c r="I536" s="54"/>
      <c r="J536" s="54"/>
      <c r="K536" s="106"/>
      <c r="L536" s="64">
        <f>SUM(L530:L531)</f>
        <v>44732</v>
      </c>
      <c r="M536" s="64">
        <f>SUM(M530:M531)</f>
        <v>15656.2</v>
      </c>
      <c r="N536" s="64">
        <f>SUM(N530:N531)</f>
        <v>29075.8</v>
      </c>
      <c r="O536" s="73">
        <f t="shared" si="307"/>
        <v>0.65</v>
      </c>
      <c r="P536" s="64">
        <f>SUM(P530:P531)</f>
        <v>44732</v>
      </c>
      <c r="Q536" s="64"/>
      <c r="R536" s="64">
        <f>SUM(R530:R531)</f>
        <v>39</v>
      </c>
      <c r="S536" s="64">
        <f>SUM(S530:S531)</f>
        <v>1477.01</v>
      </c>
      <c r="T536" s="64">
        <f>SUM(T530:T531)</f>
        <v>0</v>
      </c>
      <c r="U536" s="64">
        <f>SUM(U530:U531)</f>
        <v>14917.54</v>
      </c>
      <c r="V536" s="64">
        <f>SUM(V530:V531)</f>
        <v>0</v>
      </c>
      <c r="W536" s="68">
        <f>SUM(S536:V536)</f>
        <v>16394.55</v>
      </c>
      <c r="X536" s="56">
        <f t="shared" si="308"/>
        <v>37.872051282051281</v>
      </c>
      <c r="Y536" s="57">
        <f t="shared" si="309"/>
        <v>0.33348698918000541</v>
      </c>
      <c r="Z536" s="28">
        <f t="shared" si="310"/>
        <v>28337.45</v>
      </c>
      <c r="AA536" s="57">
        <f t="shared" si="311"/>
        <v>0.63349391934185817</v>
      </c>
      <c r="AB536" s="120">
        <f t="shared" si="312"/>
        <v>-738.34999999999854</v>
      </c>
      <c r="AC536" s="57">
        <f t="shared" si="313"/>
        <v>-1.6506080658141853E-2</v>
      </c>
      <c r="AG536" s="61"/>
    </row>
    <row r="537" spans="1:33" ht="11.25" customHeight="1" x14ac:dyDescent="0.15">
      <c r="A537" s="130" t="s">
        <v>53</v>
      </c>
      <c r="B537" s="130"/>
      <c r="C537" s="124"/>
      <c r="D537" s="124"/>
      <c r="E537" s="273"/>
      <c r="F537" s="124"/>
      <c r="G537" s="124"/>
      <c r="H537" s="124"/>
      <c r="I537" s="124"/>
      <c r="J537" s="124"/>
      <c r="K537" s="125"/>
      <c r="L537" s="129"/>
      <c r="M537" s="129"/>
      <c r="N537" s="129"/>
      <c r="O537" s="128"/>
      <c r="P537" s="129"/>
      <c r="Q537" s="124"/>
      <c r="R537" s="129"/>
      <c r="S537" s="129"/>
      <c r="T537" s="129"/>
      <c r="U537" s="129"/>
      <c r="V537" s="126"/>
      <c r="W537" s="49"/>
      <c r="X537" s="45"/>
      <c r="Y537" s="128"/>
      <c r="Z537" s="126"/>
      <c r="AA537" s="128"/>
      <c r="AB537" s="129"/>
      <c r="AC537" s="160"/>
      <c r="AD537" s="137"/>
      <c r="AE537" s="110"/>
      <c r="AF537" s="110"/>
      <c r="AG537" s="121"/>
    </row>
    <row r="538" spans="1:33" ht="11.25" customHeight="1" x14ac:dyDescent="0.15">
      <c r="A538" s="110" t="s">
        <v>330</v>
      </c>
      <c r="B538" s="110"/>
      <c r="C538" s="111" t="s">
        <v>37</v>
      </c>
      <c r="D538" s="111">
        <v>2021</v>
      </c>
      <c r="E538" s="146">
        <v>44530</v>
      </c>
      <c r="F538" s="111"/>
      <c r="G538" s="111">
        <v>125101121</v>
      </c>
      <c r="H538" s="111"/>
      <c r="I538" s="16" t="str">
        <f>MID(G538,2,1)</f>
        <v>2</v>
      </c>
      <c r="J538" s="16" t="s">
        <v>68</v>
      </c>
      <c r="K538" s="112" t="s">
        <v>331</v>
      </c>
      <c r="L538" s="117">
        <v>112553.19</v>
      </c>
      <c r="M538" s="140">
        <f t="shared" ref="M538:M545" si="315">L538*0.35</f>
        <v>39393.616499999996</v>
      </c>
      <c r="N538" s="120">
        <f t="shared" ref="N538:N547" si="316">L538-M538</f>
        <v>73159.573499999999</v>
      </c>
      <c r="O538" s="119">
        <f t="shared" ref="O538:O547" si="317">N538/L538</f>
        <v>0.65</v>
      </c>
      <c r="P538" s="117">
        <v>112553.19</v>
      </c>
      <c r="Q538" s="111">
        <v>1089</v>
      </c>
      <c r="R538" s="117">
        <v>39.5</v>
      </c>
      <c r="S538" s="117">
        <f>988.58+444.94</f>
        <v>1433.52</v>
      </c>
      <c r="T538" s="117">
        <v>0</v>
      </c>
      <c r="U538" s="117">
        <v>30652.05</v>
      </c>
      <c r="V538" s="117">
        <v>0</v>
      </c>
      <c r="W538" s="26">
        <f t="shared" ref="W538:W545" si="318">SUM(S538:V538)</f>
        <v>32085.57</v>
      </c>
      <c r="X538" s="118">
        <f t="shared" ref="X538:X558" si="319">IFERROR(S538/R538,"")</f>
        <v>36.29164556962025</v>
      </c>
      <c r="Y538" s="119">
        <f t="shared" ref="Y538:Y547" si="320">U538/P538</f>
        <v>0.27233390719534467</v>
      </c>
      <c r="Z538" s="117">
        <f t="shared" ref="Z538:Z547" si="321">P538-W538</f>
        <v>80467.62</v>
      </c>
      <c r="AA538" s="119">
        <f t="shared" ref="AA538:AA547" si="322">Z538/P538</f>
        <v>0.71492971456428733</v>
      </c>
      <c r="AB538" s="120">
        <f t="shared" ref="AB538:AB560" si="323">M538-W538</f>
        <v>7308.0464999999967</v>
      </c>
      <c r="AC538" s="119">
        <f t="shared" ref="AC538:AC547" si="324">AA538-O538</f>
        <v>6.4929714564287311E-2</v>
      </c>
      <c r="AD538" s="110"/>
      <c r="AE538" s="110"/>
      <c r="AF538" s="110"/>
      <c r="AG538" s="121"/>
    </row>
    <row r="539" spans="1:33" ht="11.25" customHeight="1" x14ac:dyDescent="0.15">
      <c r="A539" s="110" t="s">
        <v>330</v>
      </c>
      <c r="B539" s="110"/>
      <c r="C539" s="111" t="s">
        <v>37</v>
      </c>
      <c r="D539" s="111">
        <v>2021</v>
      </c>
      <c r="E539" s="146">
        <v>44530</v>
      </c>
      <c r="F539" s="111"/>
      <c r="G539" s="111">
        <v>220100111</v>
      </c>
      <c r="H539" s="111"/>
      <c r="I539" s="111"/>
      <c r="J539" s="111"/>
      <c r="K539" s="112" t="s">
        <v>332</v>
      </c>
      <c r="L539" s="117">
        <v>15000.81</v>
      </c>
      <c r="M539" s="140">
        <f t="shared" si="315"/>
        <v>5250.2834999999995</v>
      </c>
      <c r="N539" s="120">
        <f t="shared" si="316"/>
        <v>9750.5264999999999</v>
      </c>
      <c r="O539" s="119">
        <f t="shared" si="317"/>
        <v>0.65</v>
      </c>
      <c r="P539" s="117">
        <v>15000.81</v>
      </c>
      <c r="Q539" s="111">
        <v>1090</v>
      </c>
      <c r="R539" s="117">
        <v>0</v>
      </c>
      <c r="S539" s="117">
        <v>0</v>
      </c>
      <c r="T539" s="117">
        <v>0</v>
      </c>
      <c r="U539" s="117">
        <v>9980.2900000000009</v>
      </c>
      <c r="V539" s="117"/>
      <c r="W539" s="26">
        <f t="shared" si="318"/>
        <v>9980.2900000000009</v>
      </c>
      <c r="X539" s="118" t="str">
        <f t="shared" si="319"/>
        <v/>
      </c>
      <c r="Y539" s="119">
        <f t="shared" si="320"/>
        <v>0.66531673956273041</v>
      </c>
      <c r="Z539" s="117">
        <f t="shared" si="321"/>
        <v>5020.5199999999986</v>
      </c>
      <c r="AA539" s="119">
        <f t="shared" si="322"/>
        <v>0.33468326043726965</v>
      </c>
      <c r="AB539" s="120">
        <f t="shared" si="323"/>
        <v>-4730.0065000000013</v>
      </c>
      <c r="AC539" s="119">
        <f t="shared" si="324"/>
        <v>-0.31531673956273037</v>
      </c>
      <c r="AD539" s="110"/>
      <c r="AE539" s="110"/>
      <c r="AF539" s="110"/>
      <c r="AG539" s="121"/>
    </row>
    <row r="540" spans="1:33" ht="11.25" customHeight="1" x14ac:dyDescent="0.15">
      <c r="A540" s="110" t="s">
        <v>330</v>
      </c>
      <c r="B540" s="110"/>
      <c r="C540" s="111" t="s">
        <v>37</v>
      </c>
      <c r="D540" s="111">
        <v>2021</v>
      </c>
      <c r="E540" s="146">
        <v>44530</v>
      </c>
      <c r="F540" s="111"/>
      <c r="G540" s="111">
        <v>210500111</v>
      </c>
      <c r="H540" s="111"/>
      <c r="I540" s="111"/>
      <c r="J540" s="111"/>
      <c r="K540" s="112" t="s">
        <v>333</v>
      </c>
      <c r="L540" s="132">
        <v>15000</v>
      </c>
      <c r="M540" s="221">
        <f t="shared" si="315"/>
        <v>5250</v>
      </c>
      <c r="N540" s="219">
        <f t="shared" si="316"/>
        <v>9750</v>
      </c>
      <c r="O540" s="119">
        <f t="shared" si="317"/>
        <v>0.65</v>
      </c>
      <c r="P540" s="132">
        <v>15000</v>
      </c>
      <c r="Q540" s="111">
        <v>1091</v>
      </c>
      <c r="R540" s="132">
        <v>0</v>
      </c>
      <c r="S540" s="132">
        <v>0</v>
      </c>
      <c r="T540" s="132">
        <v>0</v>
      </c>
      <c r="U540" s="132">
        <v>7467.74</v>
      </c>
      <c r="V540" s="132"/>
      <c r="W540" s="67">
        <f t="shared" si="318"/>
        <v>7467.74</v>
      </c>
      <c r="X540" s="118" t="str">
        <f t="shared" si="319"/>
        <v/>
      </c>
      <c r="Y540" s="119">
        <f t="shared" si="320"/>
        <v>0.49784933333333331</v>
      </c>
      <c r="Z540" s="117">
        <f t="shared" si="321"/>
        <v>7532.26</v>
      </c>
      <c r="AA540" s="119">
        <f t="shared" si="322"/>
        <v>0.50215066666666663</v>
      </c>
      <c r="AB540" s="120">
        <f t="shared" si="323"/>
        <v>-2217.7399999999998</v>
      </c>
      <c r="AC540" s="119">
        <f t="shared" si="324"/>
        <v>-0.14784933333333339</v>
      </c>
      <c r="AD540" s="110"/>
      <c r="AE540" s="110"/>
      <c r="AF540" s="110"/>
      <c r="AG540" s="121"/>
    </row>
    <row r="541" spans="1:33" ht="11.25" customHeight="1" x14ac:dyDescent="0.15">
      <c r="A541" s="110" t="s">
        <v>330</v>
      </c>
      <c r="B541" s="110"/>
      <c r="C541" s="111" t="s">
        <v>37</v>
      </c>
      <c r="D541" s="111">
        <v>2021</v>
      </c>
      <c r="E541" s="146">
        <v>44530</v>
      </c>
      <c r="F541" s="111"/>
      <c r="G541" s="111">
        <v>925101421</v>
      </c>
      <c r="H541" s="111"/>
      <c r="I541" s="111"/>
      <c r="J541" s="111"/>
      <c r="K541" s="112" t="s">
        <v>334</v>
      </c>
      <c r="L541" s="117">
        <v>15500</v>
      </c>
      <c r="M541" s="140">
        <f t="shared" si="315"/>
        <v>5425</v>
      </c>
      <c r="N541" s="120">
        <f t="shared" si="316"/>
        <v>10075</v>
      </c>
      <c r="O541" s="119">
        <f t="shared" si="317"/>
        <v>0.65</v>
      </c>
      <c r="P541" s="117">
        <v>15500</v>
      </c>
      <c r="Q541" s="111">
        <v>1092</v>
      </c>
      <c r="R541" s="117">
        <v>9</v>
      </c>
      <c r="S541" s="117">
        <f>216.36+97.38</f>
        <v>313.74</v>
      </c>
      <c r="T541" s="117">
        <v>0</v>
      </c>
      <c r="U541" s="117">
        <v>3214.78</v>
      </c>
      <c r="V541" s="117"/>
      <c r="W541" s="26">
        <f t="shared" si="318"/>
        <v>3528.5200000000004</v>
      </c>
      <c r="X541" s="118">
        <f t="shared" si="319"/>
        <v>34.86</v>
      </c>
      <c r="Y541" s="119">
        <f t="shared" si="320"/>
        <v>0.2074051612903226</v>
      </c>
      <c r="Z541" s="117">
        <f t="shared" si="321"/>
        <v>11971.48</v>
      </c>
      <c r="AA541" s="119">
        <f t="shared" si="322"/>
        <v>0.7723535483870968</v>
      </c>
      <c r="AB541" s="120">
        <f t="shared" si="323"/>
        <v>1896.4799999999996</v>
      </c>
      <c r="AC541" s="119">
        <f t="shared" si="324"/>
        <v>0.12235354838709678</v>
      </c>
      <c r="AD541" s="110"/>
      <c r="AE541" s="110"/>
      <c r="AF541" s="110"/>
      <c r="AG541" s="121"/>
    </row>
    <row r="542" spans="1:33" ht="11.25" customHeight="1" x14ac:dyDescent="0.15">
      <c r="A542" s="110" t="s">
        <v>330</v>
      </c>
      <c r="B542" s="110"/>
      <c r="C542" s="111" t="s">
        <v>37</v>
      </c>
      <c r="D542" s="111">
        <v>2021</v>
      </c>
      <c r="E542" s="146">
        <v>44530</v>
      </c>
      <c r="F542" s="111"/>
      <c r="G542" s="111">
        <v>310800301</v>
      </c>
      <c r="H542" s="111"/>
      <c r="I542" s="111"/>
      <c r="J542" s="111"/>
      <c r="K542" s="112" t="s">
        <v>126</v>
      </c>
      <c r="L542" s="117">
        <v>22964</v>
      </c>
      <c r="M542" s="140">
        <f t="shared" si="315"/>
        <v>8037.4</v>
      </c>
      <c r="N542" s="120">
        <f t="shared" si="316"/>
        <v>14926.6</v>
      </c>
      <c r="O542" s="119">
        <f t="shared" si="317"/>
        <v>0.65</v>
      </c>
      <c r="P542" s="117">
        <v>22964</v>
      </c>
      <c r="Q542" s="111">
        <v>1093</v>
      </c>
      <c r="R542" s="117">
        <v>49.5</v>
      </c>
      <c r="S542" s="117">
        <f>1198.98+539.64</f>
        <v>1738.62</v>
      </c>
      <c r="T542" s="117">
        <v>0</v>
      </c>
      <c r="U542" s="117">
        <v>16154.61</v>
      </c>
      <c r="V542" s="117"/>
      <c r="W542" s="26">
        <f t="shared" si="318"/>
        <v>17893.23</v>
      </c>
      <c r="X542" s="118">
        <f t="shared" si="319"/>
        <v>35.123636363636365</v>
      </c>
      <c r="Y542" s="119">
        <f t="shared" si="320"/>
        <v>0.70347543981884697</v>
      </c>
      <c r="Z542" s="117">
        <f t="shared" si="321"/>
        <v>5070.7700000000004</v>
      </c>
      <c r="AA542" s="119">
        <f t="shared" si="322"/>
        <v>0.2208138825988504</v>
      </c>
      <c r="AB542" s="120">
        <f t="shared" si="323"/>
        <v>-9855.83</v>
      </c>
      <c r="AC542" s="119">
        <f t="shared" si="324"/>
        <v>-0.42918611740114965</v>
      </c>
      <c r="AD542" s="110"/>
      <c r="AE542" s="110"/>
      <c r="AF542" s="110"/>
      <c r="AG542" s="121"/>
    </row>
    <row r="543" spans="1:33" ht="11.25" customHeight="1" x14ac:dyDescent="0.15">
      <c r="A543" s="110" t="s">
        <v>330</v>
      </c>
      <c r="B543" s="110"/>
      <c r="C543" s="111" t="s">
        <v>47</v>
      </c>
      <c r="D543" s="111">
        <v>2021</v>
      </c>
      <c r="E543" s="146">
        <v>44530</v>
      </c>
      <c r="F543" s="111"/>
      <c r="G543" s="111">
        <v>525101321</v>
      </c>
      <c r="H543" s="111"/>
      <c r="I543" s="111"/>
      <c r="J543" s="111"/>
      <c r="K543" s="112" t="s">
        <v>335</v>
      </c>
      <c r="L543" s="132">
        <v>7307.04</v>
      </c>
      <c r="M543" s="221">
        <f t="shared" si="315"/>
        <v>2557.4639999999999</v>
      </c>
      <c r="N543" s="219">
        <f t="shared" si="316"/>
        <v>4749.576</v>
      </c>
      <c r="O543" s="119">
        <f t="shared" si="317"/>
        <v>0.65</v>
      </c>
      <c r="P543" s="132">
        <v>7307.04</v>
      </c>
      <c r="Q543" s="111">
        <v>1094</v>
      </c>
      <c r="R543" s="132">
        <v>9</v>
      </c>
      <c r="S543" s="132">
        <f>278.19+125.19</f>
        <v>403.38</v>
      </c>
      <c r="T543" s="132">
        <v>537.55999999999995</v>
      </c>
      <c r="U543" s="132">
        <v>0</v>
      </c>
      <c r="V543" s="132">
        <v>0</v>
      </c>
      <c r="W543" s="67">
        <f t="shared" si="318"/>
        <v>940.93999999999994</v>
      </c>
      <c r="X543" s="118">
        <f t="shared" si="319"/>
        <v>44.82</v>
      </c>
      <c r="Y543" s="119">
        <f t="shared" si="320"/>
        <v>0</v>
      </c>
      <c r="Z543" s="117">
        <f t="shared" si="321"/>
        <v>6366.1</v>
      </c>
      <c r="AA543" s="119">
        <f t="shared" si="322"/>
        <v>0.87122829490463993</v>
      </c>
      <c r="AB543" s="120">
        <f t="shared" si="323"/>
        <v>1616.5239999999999</v>
      </c>
      <c r="AC543" s="119">
        <f t="shared" si="324"/>
        <v>0.22122829490463991</v>
      </c>
      <c r="AD543" s="110"/>
      <c r="AE543" s="110"/>
      <c r="AF543" s="110"/>
      <c r="AG543" s="121"/>
    </row>
    <row r="544" spans="1:33" ht="11.25" customHeight="1" x14ac:dyDescent="0.15">
      <c r="A544" s="110" t="s">
        <v>330</v>
      </c>
      <c r="B544" s="110"/>
      <c r="C544" s="111" t="s">
        <v>47</v>
      </c>
      <c r="D544" s="111">
        <v>2021</v>
      </c>
      <c r="E544" s="146">
        <v>44530</v>
      </c>
      <c r="F544" s="111"/>
      <c r="G544" s="111">
        <v>525101121</v>
      </c>
      <c r="H544" s="111"/>
      <c r="I544" s="111"/>
      <c r="J544" s="111"/>
      <c r="K544" s="112" t="s">
        <v>81</v>
      </c>
      <c r="L544" s="117">
        <v>22878.67</v>
      </c>
      <c r="M544" s="140">
        <f t="shared" si="315"/>
        <v>8007.5344999999988</v>
      </c>
      <c r="N544" s="120">
        <f t="shared" si="316"/>
        <v>14871.1355</v>
      </c>
      <c r="O544" s="119">
        <f t="shared" si="317"/>
        <v>0.65</v>
      </c>
      <c r="P544" s="117">
        <v>22878.67</v>
      </c>
      <c r="Q544" s="111">
        <v>1095</v>
      </c>
      <c r="R544" s="117">
        <v>197</v>
      </c>
      <c r="S544" s="117">
        <f>6089.3+2740.3</f>
        <v>8829.6</v>
      </c>
      <c r="T544" s="117">
        <f>10751.1-T543+350</f>
        <v>10563.54</v>
      </c>
      <c r="U544" s="117">
        <v>8662</v>
      </c>
      <c r="V544" s="117"/>
      <c r="W544" s="26">
        <f t="shared" si="318"/>
        <v>28055.14</v>
      </c>
      <c r="X544" s="165">
        <f t="shared" si="319"/>
        <v>44.820304568527924</v>
      </c>
      <c r="Y544" s="163">
        <f t="shared" si="320"/>
        <v>0.37860592420800687</v>
      </c>
      <c r="Z544" s="132">
        <f t="shared" si="321"/>
        <v>-5176.4700000000012</v>
      </c>
      <c r="AA544" s="163">
        <f t="shared" si="322"/>
        <v>-0.226257470386172</v>
      </c>
      <c r="AB544" s="120">
        <f t="shared" si="323"/>
        <v>-20047.605500000001</v>
      </c>
      <c r="AC544" s="119">
        <f t="shared" si="324"/>
        <v>-0.87625747038617208</v>
      </c>
      <c r="AD544" s="110"/>
      <c r="AE544" s="110"/>
      <c r="AF544" s="110"/>
      <c r="AG544" s="121"/>
    </row>
    <row r="545" spans="1:33" ht="11.25" customHeight="1" x14ac:dyDescent="0.15">
      <c r="A545" s="110" t="s">
        <v>330</v>
      </c>
      <c r="B545" s="110"/>
      <c r="C545" s="111" t="s">
        <v>49</v>
      </c>
      <c r="D545" s="111">
        <v>2021</v>
      </c>
      <c r="E545" s="146">
        <v>44530</v>
      </c>
      <c r="F545" s="111"/>
      <c r="G545" s="111">
        <v>626120021</v>
      </c>
      <c r="H545" s="111"/>
      <c r="I545" s="111"/>
      <c r="J545" s="111"/>
      <c r="K545" s="112" t="s">
        <v>85</v>
      </c>
      <c r="L545" s="117">
        <v>6420</v>
      </c>
      <c r="M545" s="140">
        <f t="shared" si="315"/>
        <v>2247</v>
      </c>
      <c r="N545" s="120">
        <f t="shared" si="316"/>
        <v>4173</v>
      </c>
      <c r="O545" s="119">
        <f t="shared" si="317"/>
        <v>0.65</v>
      </c>
      <c r="P545" s="117">
        <v>6420</v>
      </c>
      <c r="Q545" s="111">
        <v>1357</v>
      </c>
      <c r="R545" s="117">
        <v>48</v>
      </c>
      <c r="S545" s="117">
        <f>1885.44+848.64</f>
        <v>2734.08</v>
      </c>
      <c r="T545" s="117">
        <v>2592.79</v>
      </c>
      <c r="U545" s="117">
        <v>101.7</v>
      </c>
      <c r="V545" s="117"/>
      <c r="W545" s="26">
        <f t="shared" si="318"/>
        <v>5428.57</v>
      </c>
      <c r="X545" s="118">
        <f t="shared" si="319"/>
        <v>56.96</v>
      </c>
      <c r="Y545" s="119">
        <f t="shared" si="320"/>
        <v>1.5841121495327102E-2</v>
      </c>
      <c r="Z545" s="117">
        <f t="shared" si="321"/>
        <v>991.43000000000029</v>
      </c>
      <c r="AA545" s="119">
        <f t="shared" si="322"/>
        <v>0.15442834890965737</v>
      </c>
      <c r="AB545" s="120">
        <f t="shared" si="323"/>
        <v>-3181.5699999999997</v>
      </c>
      <c r="AC545" s="119">
        <f t="shared" si="324"/>
        <v>-0.49557165109034262</v>
      </c>
      <c r="AD545" s="110"/>
      <c r="AE545" s="110"/>
      <c r="AF545" s="110"/>
      <c r="AG545" s="121"/>
    </row>
    <row r="546" spans="1:33" s="53" customFormat="1" ht="11.25" customHeight="1" x14ac:dyDescent="0.15">
      <c r="A546" s="53" t="s">
        <v>330</v>
      </c>
      <c r="C546" s="54" t="s">
        <v>54</v>
      </c>
      <c r="D546" s="54">
        <v>2021</v>
      </c>
      <c r="E546" s="70">
        <v>44530</v>
      </c>
      <c r="F546" s="54"/>
      <c r="G546" s="54"/>
      <c r="H546" s="54"/>
      <c r="I546" s="54"/>
      <c r="J546" s="54"/>
      <c r="K546" s="106"/>
      <c r="L546" s="24">
        <f>SUM(L538:L545)</f>
        <v>217623.71000000002</v>
      </c>
      <c r="M546" s="92">
        <f>SUM(M538:M545)</f>
        <v>76168.29849999999</v>
      </c>
      <c r="N546" s="92">
        <f t="shared" si="316"/>
        <v>141455.41150000005</v>
      </c>
      <c r="O546" s="74">
        <f t="shared" si="317"/>
        <v>0.65000000000000013</v>
      </c>
      <c r="P546" s="24">
        <f>SUM(P538:P545)</f>
        <v>217623.71000000002</v>
      </c>
      <c r="Q546" s="24"/>
      <c r="R546" s="24">
        <f t="shared" ref="R546:W546" si="325">SUM(R538:R545)</f>
        <v>352</v>
      </c>
      <c r="S546" s="24">
        <f t="shared" si="325"/>
        <v>15452.94</v>
      </c>
      <c r="T546" s="24">
        <f t="shared" si="325"/>
        <v>13693.89</v>
      </c>
      <c r="U546" s="24">
        <f t="shared" si="325"/>
        <v>76233.17</v>
      </c>
      <c r="V546" s="24">
        <f t="shared" si="325"/>
        <v>0</v>
      </c>
      <c r="W546" s="24">
        <f t="shared" si="325"/>
        <v>105380</v>
      </c>
      <c r="X546" s="56">
        <f t="shared" si="319"/>
        <v>43.900397727272725</v>
      </c>
      <c r="Y546" s="57">
        <f t="shared" si="320"/>
        <v>0.3502980902218788</v>
      </c>
      <c r="Z546" s="28">
        <f t="shared" si="321"/>
        <v>112243.71000000002</v>
      </c>
      <c r="AA546" s="57">
        <f t="shared" si="322"/>
        <v>0.51576967417750574</v>
      </c>
      <c r="AB546" s="120">
        <f t="shared" si="323"/>
        <v>-29211.70150000001</v>
      </c>
      <c r="AC546" s="57">
        <f t="shared" si="324"/>
        <v>-0.13423032582249439</v>
      </c>
      <c r="AG546" s="61"/>
    </row>
    <row r="547" spans="1:33" ht="11.25" customHeight="1" x14ac:dyDescent="0.15">
      <c r="A547" s="110" t="s">
        <v>330</v>
      </c>
      <c r="B547" s="110"/>
      <c r="C547" s="111" t="s">
        <v>55</v>
      </c>
      <c r="D547" s="111">
        <v>2021</v>
      </c>
      <c r="E547" s="146">
        <v>44530</v>
      </c>
      <c r="F547" s="111"/>
      <c r="G547" s="111" t="s">
        <v>56</v>
      </c>
      <c r="H547" s="111"/>
      <c r="I547" s="111"/>
      <c r="J547" s="111"/>
      <c r="K547" s="112" t="s">
        <v>71</v>
      </c>
      <c r="L547" s="132">
        <v>5000</v>
      </c>
      <c r="M547" s="221">
        <f>L547*0.5</f>
        <v>2500</v>
      </c>
      <c r="N547" s="219">
        <f t="shared" si="316"/>
        <v>2500</v>
      </c>
      <c r="O547" s="119">
        <f t="shared" si="317"/>
        <v>0.5</v>
      </c>
      <c r="P547" s="132">
        <v>5000</v>
      </c>
      <c r="Q547" s="111">
        <v>1097</v>
      </c>
      <c r="R547" s="132">
        <v>21.5</v>
      </c>
      <c r="S547" s="132">
        <f>591.25+266.17</f>
        <v>857.42000000000007</v>
      </c>
      <c r="T547" s="132">
        <v>0</v>
      </c>
      <c r="U547" s="132">
        <v>907.55</v>
      </c>
      <c r="V547" s="132">
        <v>11624</v>
      </c>
      <c r="W547" s="67">
        <f>SUM(S547:V547)</f>
        <v>13388.97</v>
      </c>
      <c r="X547" s="118">
        <f t="shared" si="319"/>
        <v>39.880000000000003</v>
      </c>
      <c r="Y547" s="119">
        <f t="shared" si="320"/>
        <v>0.18151</v>
      </c>
      <c r="Z547" s="117">
        <f t="shared" si="321"/>
        <v>-8388.9699999999993</v>
      </c>
      <c r="AA547" s="119">
        <f t="shared" si="322"/>
        <v>-1.6777939999999998</v>
      </c>
      <c r="AB547" s="120">
        <f t="shared" si="323"/>
        <v>-10888.97</v>
      </c>
      <c r="AC547" s="119">
        <f t="shared" si="324"/>
        <v>-2.1777939999999996</v>
      </c>
      <c r="AD547" s="110" t="s">
        <v>336</v>
      </c>
      <c r="AE547" s="110"/>
      <c r="AF547" s="110"/>
      <c r="AG547" s="121"/>
    </row>
    <row r="548" spans="1:33" ht="11.25" customHeight="1" x14ac:dyDescent="0.15">
      <c r="A548" s="53" t="s">
        <v>330</v>
      </c>
      <c r="C548" s="111" t="s">
        <v>248</v>
      </c>
      <c r="D548" s="111">
        <v>2021</v>
      </c>
      <c r="E548" s="146">
        <v>44530</v>
      </c>
      <c r="F548" s="111"/>
      <c r="G548" s="111" t="s">
        <v>337</v>
      </c>
      <c r="H548" s="111"/>
      <c r="I548" s="111"/>
      <c r="J548" s="111"/>
      <c r="K548" s="112" t="s">
        <v>114</v>
      </c>
      <c r="L548" s="117">
        <v>0</v>
      </c>
      <c r="M548" s="117">
        <v>0</v>
      </c>
      <c r="N548" s="117">
        <v>0</v>
      </c>
      <c r="O548" s="123">
        <v>0</v>
      </c>
      <c r="P548" s="117">
        <v>0</v>
      </c>
      <c r="Q548" s="111"/>
      <c r="R548" s="117"/>
      <c r="S548" s="117"/>
      <c r="T548" s="117"/>
      <c r="U548" s="117"/>
      <c r="V548" s="117"/>
      <c r="X548" s="118" t="str">
        <f t="shared" si="319"/>
        <v/>
      </c>
      <c r="Y548" s="119"/>
      <c r="Z548" s="117"/>
      <c r="AA548" s="119"/>
      <c r="AB548" s="120">
        <f t="shared" si="323"/>
        <v>0</v>
      </c>
      <c r="AC548" s="117">
        <v>0</v>
      </c>
      <c r="AD548" s="110"/>
      <c r="AE548" s="110"/>
      <c r="AF548" s="110"/>
      <c r="AG548" s="121"/>
    </row>
    <row r="549" spans="1:33" ht="11.25" customHeight="1" x14ac:dyDescent="0.15">
      <c r="A549" s="110" t="s">
        <v>330</v>
      </c>
      <c r="B549" s="110"/>
      <c r="C549" s="111" t="s">
        <v>58</v>
      </c>
      <c r="D549" s="111">
        <v>2021</v>
      </c>
      <c r="E549" s="146">
        <v>44530</v>
      </c>
      <c r="F549" s="111"/>
      <c r="G549" s="111" t="s">
        <v>338</v>
      </c>
      <c r="H549" s="111"/>
      <c r="I549" s="111"/>
      <c r="J549" s="111"/>
      <c r="K549" s="112" t="s">
        <v>185</v>
      </c>
      <c r="L549" s="117">
        <v>16000</v>
      </c>
      <c r="M549" s="120">
        <f>L549*0.1</f>
        <v>1600</v>
      </c>
      <c r="N549" s="120">
        <f t="shared" ref="N549:N560" si="326">L549-M549</f>
        <v>14400</v>
      </c>
      <c r="O549" s="119">
        <f t="shared" ref="O549:O560" si="327">N549/L549</f>
        <v>0.9</v>
      </c>
      <c r="P549" s="117">
        <v>16000</v>
      </c>
      <c r="Q549" s="111">
        <v>1096</v>
      </c>
      <c r="R549" s="117">
        <v>0</v>
      </c>
      <c r="S549" s="117">
        <v>0</v>
      </c>
      <c r="T549" s="117">
        <v>0</v>
      </c>
      <c r="U549" s="117">
        <v>1863.36</v>
      </c>
      <c r="V549" s="117"/>
      <c r="W549" s="26">
        <f t="shared" ref="W549:W556" si="328">SUM(S549:V549)</f>
        <v>1863.36</v>
      </c>
      <c r="X549" s="118" t="str">
        <f t="shared" si="319"/>
        <v/>
      </c>
      <c r="Y549" s="119">
        <f>U549/P549</f>
        <v>0.11645999999999999</v>
      </c>
      <c r="Z549" s="117">
        <f t="shared" ref="Z549:Z556" si="329">P549-W549</f>
        <v>14136.64</v>
      </c>
      <c r="AA549" s="119">
        <f t="shared" ref="AA549:AA556" si="330">Z549/P549</f>
        <v>0.88353999999999999</v>
      </c>
      <c r="AB549" s="120">
        <f t="shared" si="323"/>
        <v>-263.3599999999999</v>
      </c>
      <c r="AC549" s="119">
        <f t="shared" ref="AC549:AC560" si="331">AA549-O549</f>
        <v>-1.646000000000003E-2</v>
      </c>
      <c r="AD549" s="110" t="s">
        <v>274</v>
      </c>
      <c r="AE549" s="110"/>
      <c r="AF549" s="110"/>
      <c r="AG549" s="121"/>
    </row>
    <row r="550" spans="1:33" ht="11.25" customHeight="1" x14ac:dyDescent="0.15">
      <c r="A550" s="110" t="s">
        <v>330</v>
      </c>
      <c r="B550" s="110"/>
      <c r="C550" s="111" t="s">
        <v>61</v>
      </c>
      <c r="D550" s="111">
        <v>2021</v>
      </c>
      <c r="E550" s="146">
        <v>44530</v>
      </c>
      <c r="F550" s="111"/>
      <c r="G550" s="111" t="s">
        <v>101</v>
      </c>
      <c r="H550" s="111"/>
      <c r="I550" s="111" t="str">
        <f t="shared" ref="I550:I556" si="332">MID(G550,3,1)</f>
        <v>1</v>
      </c>
      <c r="J550" s="111" t="str">
        <f t="shared" ref="J550:J556" si="333">IF(I550="1","Small/Medium","Large")</f>
        <v>Small/Medium</v>
      </c>
      <c r="K550" s="112" t="s">
        <v>102</v>
      </c>
      <c r="L550" s="132">
        <v>2300</v>
      </c>
      <c r="M550" s="219">
        <f t="shared" ref="M550:M556" si="334">L550*0.3</f>
        <v>690</v>
      </c>
      <c r="N550" s="219">
        <f t="shared" si="326"/>
        <v>1610</v>
      </c>
      <c r="O550" s="119">
        <f t="shared" si="327"/>
        <v>0.7</v>
      </c>
      <c r="P550" s="132">
        <v>2300</v>
      </c>
      <c r="Q550" s="111"/>
      <c r="R550" s="132"/>
      <c r="S550" s="132"/>
      <c r="T550" s="132"/>
      <c r="U550" s="132"/>
      <c r="V550" s="132"/>
      <c r="W550" s="67">
        <f t="shared" si="328"/>
        <v>0</v>
      </c>
      <c r="X550" s="118" t="str">
        <f t="shared" si="319"/>
        <v/>
      </c>
      <c r="Y550" s="119"/>
      <c r="Z550" s="117">
        <f t="shared" si="329"/>
        <v>2300</v>
      </c>
      <c r="AA550" s="119">
        <f t="shared" si="330"/>
        <v>1</v>
      </c>
      <c r="AB550" s="120">
        <f t="shared" si="323"/>
        <v>690</v>
      </c>
      <c r="AC550" s="119">
        <f t="shared" si="331"/>
        <v>0.30000000000000004</v>
      </c>
      <c r="AD550" s="110" t="s">
        <v>274</v>
      </c>
      <c r="AE550" s="110"/>
      <c r="AF550" s="110"/>
      <c r="AG550" s="121"/>
    </row>
    <row r="551" spans="1:33" ht="11.25" customHeight="1" x14ac:dyDescent="0.15">
      <c r="A551" s="110" t="s">
        <v>330</v>
      </c>
      <c r="B551" s="110"/>
      <c r="C551" s="111" t="s">
        <v>61</v>
      </c>
      <c r="D551" s="111">
        <v>2021</v>
      </c>
      <c r="E551" s="146">
        <v>44530</v>
      </c>
      <c r="F551" s="111"/>
      <c r="G551" s="111" t="s">
        <v>339</v>
      </c>
      <c r="H551" s="111"/>
      <c r="I551" s="111" t="str">
        <f t="shared" si="332"/>
        <v>1</v>
      </c>
      <c r="J551" s="111" t="str">
        <f t="shared" si="333"/>
        <v>Small/Medium</v>
      </c>
      <c r="K551" s="112" t="s">
        <v>340</v>
      </c>
      <c r="L551" s="117">
        <v>2300</v>
      </c>
      <c r="M551" s="120">
        <f t="shared" si="334"/>
        <v>690</v>
      </c>
      <c r="N551" s="120">
        <f t="shared" si="326"/>
        <v>1610</v>
      </c>
      <c r="O551" s="119">
        <f t="shared" si="327"/>
        <v>0.7</v>
      </c>
      <c r="P551" s="117">
        <v>2300</v>
      </c>
      <c r="Q551" s="111"/>
      <c r="R551" s="117"/>
      <c r="S551" s="117"/>
      <c r="T551" s="117"/>
      <c r="U551" s="117"/>
      <c r="V551" s="117"/>
      <c r="W551" s="26">
        <f t="shared" si="328"/>
        <v>0</v>
      </c>
      <c r="X551" s="118" t="str">
        <f t="shared" si="319"/>
        <v/>
      </c>
      <c r="Y551" s="119"/>
      <c r="Z551" s="117">
        <f t="shared" si="329"/>
        <v>2300</v>
      </c>
      <c r="AA551" s="119">
        <f t="shared" si="330"/>
        <v>1</v>
      </c>
      <c r="AB551" s="120">
        <f t="shared" si="323"/>
        <v>690</v>
      </c>
      <c r="AC551" s="119">
        <f t="shared" si="331"/>
        <v>0.30000000000000004</v>
      </c>
      <c r="AD551" s="110" t="s">
        <v>274</v>
      </c>
      <c r="AE551" s="110"/>
      <c r="AF551" s="110"/>
      <c r="AG551" s="121"/>
    </row>
    <row r="552" spans="1:33" ht="11.25" customHeight="1" x14ac:dyDescent="0.15">
      <c r="A552" s="110" t="s">
        <v>330</v>
      </c>
      <c r="B552" s="110"/>
      <c r="C552" s="111" t="s">
        <v>61</v>
      </c>
      <c r="D552" s="111">
        <v>2021</v>
      </c>
      <c r="E552" s="146">
        <v>44530</v>
      </c>
      <c r="F552" s="111"/>
      <c r="G552" s="111" t="s">
        <v>341</v>
      </c>
      <c r="H552" s="111"/>
      <c r="I552" s="111" t="str">
        <f t="shared" si="332"/>
        <v>1</v>
      </c>
      <c r="J552" s="111" t="str">
        <f t="shared" si="333"/>
        <v>Small/Medium</v>
      </c>
      <c r="K552" s="112" t="s">
        <v>342</v>
      </c>
      <c r="L552" s="117">
        <v>2300</v>
      </c>
      <c r="M552" s="120">
        <f t="shared" si="334"/>
        <v>690</v>
      </c>
      <c r="N552" s="120">
        <f t="shared" si="326"/>
        <v>1610</v>
      </c>
      <c r="O552" s="119">
        <f t="shared" si="327"/>
        <v>0.7</v>
      </c>
      <c r="P552" s="117">
        <v>2300</v>
      </c>
      <c r="Q552" s="111"/>
      <c r="R552" s="117"/>
      <c r="S552" s="117"/>
      <c r="T552" s="117"/>
      <c r="U552" s="117"/>
      <c r="V552" s="117"/>
      <c r="W552" s="26">
        <f t="shared" si="328"/>
        <v>0</v>
      </c>
      <c r="X552" s="118" t="str">
        <f t="shared" si="319"/>
        <v/>
      </c>
      <c r="Y552" s="119"/>
      <c r="Z552" s="117">
        <f t="shared" si="329"/>
        <v>2300</v>
      </c>
      <c r="AA552" s="119">
        <f t="shared" si="330"/>
        <v>1</v>
      </c>
      <c r="AB552" s="120">
        <f t="shared" si="323"/>
        <v>690</v>
      </c>
      <c r="AC552" s="119">
        <f t="shared" si="331"/>
        <v>0.30000000000000004</v>
      </c>
      <c r="AD552" s="110" t="s">
        <v>274</v>
      </c>
      <c r="AE552" s="110"/>
      <c r="AF552" s="110"/>
      <c r="AG552" s="121"/>
    </row>
    <row r="553" spans="1:33" ht="11.25" customHeight="1" x14ac:dyDescent="0.15">
      <c r="A553" s="110" t="s">
        <v>330</v>
      </c>
      <c r="B553" s="110"/>
      <c r="C553" s="111" t="s">
        <v>61</v>
      </c>
      <c r="D553" s="111">
        <v>2021</v>
      </c>
      <c r="E553" s="146">
        <v>44530</v>
      </c>
      <c r="F553" s="111"/>
      <c r="G553" s="111" t="s">
        <v>343</v>
      </c>
      <c r="H553" s="111"/>
      <c r="I553" s="111" t="str">
        <f t="shared" si="332"/>
        <v>1</v>
      </c>
      <c r="J553" s="111" t="str">
        <f t="shared" si="333"/>
        <v>Small/Medium</v>
      </c>
      <c r="K553" s="112" t="s">
        <v>344</v>
      </c>
      <c r="L553" s="132">
        <v>2300</v>
      </c>
      <c r="M553" s="219">
        <f t="shared" si="334"/>
        <v>690</v>
      </c>
      <c r="N553" s="219">
        <f t="shared" si="326"/>
        <v>1610</v>
      </c>
      <c r="O553" s="119">
        <f t="shared" si="327"/>
        <v>0.7</v>
      </c>
      <c r="P553" s="132">
        <v>2300</v>
      </c>
      <c r="Q553" s="111"/>
      <c r="R553" s="132"/>
      <c r="S553" s="132"/>
      <c r="T553" s="132"/>
      <c r="U553" s="132"/>
      <c r="V553" s="132"/>
      <c r="W553" s="67">
        <f t="shared" si="328"/>
        <v>0</v>
      </c>
      <c r="X553" s="118" t="str">
        <f t="shared" si="319"/>
        <v/>
      </c>
      <c r="Y553" s="119"/>
      <c r="Z553" s="117">
        <f t="shared" si="329"/>
        <v>2300</v>
      </c>
      <c r="AA553" s="119">
        <f t="shared" si="330"/>
        <v>1</v>
      </c>
      <c r="AB553" s="120">
        <f t="shared" si="323"/>
        <v>690</v>
      </c>
      <c r="AC553" s="119">
        <f t="shared" si="331"/>
        <v>0.30000000000000004</v>
      </c>
      <c r="AD553" s="110" t="s">
        <v>274</v>
      </c>
      <c r="AE553" s="110"/>
      <c r="AF553" s="110"/>
      <c r="AG553" s="121"/>
    </row>
    <row r="554" spans="1:33" ht="11.25" customHeight="1" x14ac:dyDescent="0.15">
      <c r="A554" s="110" t="s">
        <v>330</v>
      </c>
      <c r="B554" s="110"/>
      <c r="C554" s="111" t="s">
        <v>61</v>
      </c>
      <c r="D554" s="111">
        <v>2021</v>
      </c>
      <c r="E554" s="146">
        <v>44530</v>
      </c>
      <c r="F554" s="111"/>
      <c r="G554" s="111" t="s">
        <v>345</v>
      </c>
      <c r="H554" s="111"/>
      <c r="I554" s="111" t="str">
        <f t="shared" si="332"/>
        <v>1</v>
      </c>
      <c r="J554" s="111" t="str">
        <f t="shared" si="333"/>
        <v>Small/Medium</v>
      </c>
      <c r="K554" s="112" t="s">
        <v>346</v>
      </c>
      <c r="L554" s="117">
        <v>2300</v>
      </c>
      <c r="M554" s="120">
        <f t="shared" si="334"/>
        <v>690</v>
      </c>
      <c r="N554" s="120">
        <f t="shared" si="326"/>
        <v>1610</v>
      </c>
      <c r="O554" s="119">
        <f t="shared" si="327"/>
        <v>0.7</v>
      </c>
      <c r="P554" s="117">
        <v>2300</v>
      </c>
      <c r="Q554" s="111"/>
      <c r="R554" s="117"/>
      <c r="S554" s="117"/>
      <c r="T554" s="117"/>
      <c r="U554" s="117"/>
      <c r="V554" s="117"/>
      <c r="W554" s="26">
        <f t="shared" si="328"/>
        <v>0</v>
      </c>
      <c r="X554" s="118" t="str">
        <f t="shared" si="319"/>
        <v/>
      </c>
      <c r="Y554" s="119"/>
      <c r="Z554" s="117">
        <f t="shared" si="329"/>
        <v>2300</v>
      </c>
      <c r="AA554" s="119">
        <f t="shared" si="330"/>
        <v>1</v>
      </c>
      <c r="AB554" s="120">
        <f t="shared" si="323"/>
        <v>690</v>
      </c>
      <c r="AC554" s="119">
        <f t="shared" si="331"/>
        <v>0.30000000000000004</v>
      </c>
      <c r="AD554" s="110" t="s">
        <v>274</v>
      </c>
      <c r="AE554" s="110"/>
      <c r="AF554" s="110"/>
      <c r="AG554" s="121"/>
    </row>
    <row r="555" spans="1:33" ht="11.25" customHeight="1" x14ac:dyDescent="0.15">
      <c r="A555" s="110" t="s">
        <v>330</v>
      </c>
      <c r="B555" s="110"/>
      <c r="C555" s="111" t="s">
        <v>61</v>
      </c>
      <c r="D555" s="111">
        <v>2021</v>
      </c>
      <c r="E555" s="146">
        <v>44530</v>
      </c>
      <c r="F555" s="111"/>
      <c r="G555" s="111" t="s">
        <v>347</v>
      </c>
      <c r="H555" s="111"/>
      <c r="I555" s="111" t="str">
        <f t="shared" si="332"/>
        <v>1</v>
      </c>
      <c r="J555" s="111" t="str">
        <f t="shared" si="333"/>
        <v>Small/Medium</v>
      </c>
      <c r="K555" s="112" t="s">
        <v>348</v>
      </c>
      <c r="L555" s="117">
        <v>2300</v>
      </c>
      <c r="M555" s="120">
        <f t="shared" si="334"/>
        <v>690</v>
      </c>
      <c r="N555" s="120">
        <f t="shared" si="326"/>
        <v>1610</v>
      </c>
      <c r="O555" s="119">
        <f t="shared" si="327"/>
        <v>0.7</v>
      </c>
      <c r="P555" s="117">
        <v>2300</v>
      </c>
      <c r="Q555" s="111"/>
      <c r="R555" s="117"/>
      <c r="S555" s="117"/>
      <c r="T555" s="117"/>
      <c r="U555" s="117"/>
      <c r="V555" s="117"/>
      <c r="W555" s="26">
        <f t="shared" si="328"/>
        <v>0</v>
      </c>
      <c r="X555" s="118" t="str">
        <f t="shared" si="319"/>
        <v/>
      </c>
      <c r="Y555" s="119"/>
      <c r="Z555" s="117">
        <f t="shared" si="329"/>
        <v>2300</v>
      </c>
      <c r="AA555" s="119">
        <f t="shared" si="330"/>
        <v>1</v>
      </c>
      <c r="AB555" s="120">
        <f t="shared" si="323"/>
        <v>690</v>
      </c>
      <c r="AC555" s="119">
        <f t="shared" si="331"/>
        <v>0.30000000000000004</v>
      </c>
      <c r="AD555" s="110" t="s">
        <v>274</v>
      </c>
      <c r="AE555" s="110"/>
      <c r="AF555" s="110"/>
      <c r="AG555" s="121"/>
    </row>
    <row r="556" spans="1:33" ht="11.25" customHeight="1" x14ac:dyDescent="0.15">
      <c r="A556" s="110" t="s">
        <v>330</v>
      </c>
      <c r="B556" s="110"/>
      <c r="C556" s="111" t="s">
        <v>61</v>
      </c>
      <c r="D556" s="111">
        <v>2021</v>
      </c>
      <c r="E556" s="146">
        <v>44530</v>
      </c>
      <c r="F556" s="111"/>
      <c r="G556" s="111" t="s">
        <v>349</v>
      </c>
      <c r="H556" s="111"/>
      <c r="I556" s="111" t="str">
        <f t="shared" si="332"/>
        <v>1</v>
      </c>
      <c r="J556" s="111" t="str">
        <f t="shared" si="333"/>
        <v>Small/Medium</v>
      </c>
      <c r="K556" s="112" t="s">
        <v>350</v>
      </c>
      <c r="L556" s="132">
        <v>2300</v>
      </c>
      <c r="M556" s="219">
        <f t="shared" si="334"/>
        <v>690</v>
      </c>
      <c r="N556" s="219">
        <f t="shared" si="326"/>
        <v>1610</v>
      </c>
      <c r="O556" s="119">
        <f t="shared" si="327"/>
        <v>0.7</v>
      </c>
      <c r="P556" s="132">
        <v>2300</v>
      </c>
      <c r="Q556" s="111"/>
      <c r="R556" s="132"/>
      <c r="S556" s="132"/>
      <c r="T556" s="132"/>
      <c r="U556" s="132"/>
      <c r="V556" s="132"/>
      <c r="W556" s="67">
        <f t="shared" si="328"/>
        <v>0</v>
      </c>
      <c r="X556" s="118" t="str">
        <f t="shared" si="319"/>
        <v/>
      </c>
      <c r="Y556" s="119"/>
      <c r="Z556" s="117">
        <f t="shared" si="329"/>
        <v>2300</v>
      </c>
      <c r="AA556" s="119">
        <f t="shared" si="330"/>
        <v>1</v>
      </c>
      <c r="AB556" s="120">
        <f t="shared" si="323"/>
        <v>690</v>
      </c>
      <c r="AC556" s="119">
        <f t="shared" si="331"/>
        <v>0.30000000000000004</v>
      </c>
      <c r="AD556" s="110" t="s">
        <v>274</v>
      </c>
      <c r="AE556" s="110"/>
      <c r="AF556" s="110"/>
      <c r="AG556" s="121"/>
    </row>
    <row r="557" spans="1:33" ht="11.25" customHeight="1" x14ac:dyDescent="0.15">
      <c r="A557" s="110" t="s">
        <v>330</v>
      </c>
      <c r="B557" s="110"/>
      <c r="C557" s="111" t="s">
        <v>351</v>
      </c>
      <c r="D557" s="111">
        <v>2021</v>
      </c>
      <c r="E557" s="146">
        <v>44530</v>
      </c>
      <c r="F557" s="111"/>
      <c r="G557" s="111" t="s">
        <v>352</v>
      </c>
      <c r="H557" s="111"/>
      <c r="I557" s="111"/>
      <c r="J557" s="111"/>
      <c r="K557" s="112" t="s">
        <v>353</v>
      </c>
      <c r="L557" s="117">
        <v>14119.68</v>
      </c>
      <c r="M557" s="140">
        <f>L557*0.35</f>
        <v>4941.8879999999999</v>
      </c>
      <c r="N557" s="120">
        <f t="shared" si="326"/>
        <v>9177.7920000000013</v>
      </c>
      <c r="O557" s="119">
        <f t="shared" si="327"/>
        <v>0.65</v>
      </c>
      <c r="P557" s="117">
        <v>14119.68</v>
      </c>
      <c r="Q557" s="111"/>
      <c r="R557" s="117"/>
      <c r="S557" s="117"/>
      <c r="T557" s="117"/>
      <c r="U557" s="117"/>
      <c r="V557" s="117"/>
      <c r="X557" s="118" t="str">
        <f t="shared" si="319"/>
        <v/>
      </c>
      <c r="Y557" s="119"/>
      <c r="Z557" s="117"/>
      <c r="AA557" s="119"/>
      <c r="AB557" s="120">
        <f t="shared" si="323"/>
        <v>4941.8879999999999</v>
      </c>
      <c r="AC557" s="119">
        <f t="shared" si="331"/>
        <v>-0.65</v>
      </c>
      <c r="AD557" s="110" t="s">
        <v>274</v>
      </c>
      <c r="AE557" s="110"/>
      <c r="AF557" s="110"/>
      <c r="AG557" s="121"/>
    </row>
    <row r="558" spans="1:33" ht="11.25" customHeight="1" x14ac:dyDescent="0.15">
      <c r="A558" s="110" t="s">
        <v>330</v>
      </c>
      <c r="B558" s="110"/>
      <c r="C558" s="111" t="s">
        <v>351</v>
      </c>
      <c r="D558" s="111">
        <v>2021</v>
      </c>
      <c r="E558" s="146">
        <v>44530</v>
      </c>
      <c r="F558" s="111"/>
      <c r="G558" s="111" t="s">
        <v>354</v>
      </c>
      <c r="H558" s="111"/>
      <c r="I558" s="111"/>
      <c r="J558" s="111"/>
      <c r="K558" s="112" t="s">
        <v>355</v>
      </c>
      <c r="L558" s="117">
        <v>14119.68</v>
      </c>
      <c r="M558" s="140">
        <f>L558*0.35</f>
        <v>4941.8879999999999</v>
      </c>
      <c r="N558" s="120">
        <f t="shared" si="326"/>
        <v>9177.7920000000013</v>
      </c>
      <c r="O558" s="119">
        <f t="shared" si="327"/>
        <v>0.65</v>
      </c>
      <c r="P558" s="117">
        <v>14119.68</v>
      </c>
      <c r="Q558" s="111"/>
      <c r="R558" s="117"/>
      <c r="S558" s="117"/>
      <c r="T558" s="117"/>
      <c r="U558" s="117"/>
      <c r="V558" s="117"/>
      <c r="X558" s="118" t="str">
        <f t="shared" si="319"/>
        <v/>
      </c>
      <c r="Y558" s="119"/>
      <c r="Z558" s="117"/>
      <c r="AA558" s="119"/>
      <c r="AB558" s="120">
        <f t="shared" si="323"/>
        <v>4941.8879999999999</v>
      </c>
      <c r="AC558" s="119">
        <f t="shared" si="331"/>
        <v>-0.65</v>
      </c>
      <c r="AD558" s="110" t="s">
        <v>274</v>
      </c>
      <c r="AE558" s="110"/>
      <c r="AF558" s="110"/>
      <c r="AG558" s="121"/>
    </row>
    <row r="559" spans="1:33" s="53" customFormat="1" ht="11.25" customHeight="1" x14ac:dyDescent="0.15">
      <c r="A559" s="53" t="s">
        <v>330</v>
      </c>
      <c r="C559" s="54" t="s">
        <v>65</v>
      </c>
      <c r="D559" s="54">
        <v>2021</v>
      </c>
      <c r="E559" s="70">
        <v>44530</v>
      </c>
      <c r="F559" s="54"/>
      <c r="G559" s="54"/>
      <c r="H559" s="54"/>
      <c r="I559" s="54"/>
      <c r="J559" s="54"/>
      <c r="K559" s="106"/>
      <c r="L559" s="24">
        <f>SUM(L546:L558)</f>
        <v>282963.07</v>
      </c>
      <c r="M559" s="92">
        <f>SUM(M546:M558)</f>
        <v>94982.074500000002</v>
      </c>
      <c r="N559" s="92">
        <f t="shared" si="326"/>
        <v>187980.99550000002</v>
      </c>
      <c r="O559" s="74">
        <f t="shared" si="327"/>
        <v>0.66433049196137151</v>
      </c>
      <c r="P559" s="24">
        <f>SUM(P546:P558)</f>
        <v>282963.07</v>
      </c>
      <c r="Q559" s="24"/>
      <c r="R559" s="24">
        <f t="shared" ref="R559:W559" si="335">SUM(R546:R558)</f>
        <v>373.5</v>
      </c>
      <c r="S559" s="24">
        <f t="shared" si="335"/>
        <v>16310.36</v>
      </c>
      <c r="T559" s="24">
        <f t="shared" si="335"/>
        <v>13693.89</v>
      </c>
      <c r="U559" s="24">
        <f t="shared" si="335"/>
        <v>79004.08</v>
      </c>
      <c r="V559" s="24">
        <f t="shared" si="335"/>
        <v>11624</v>
      </c>
      <c r="W559" s="24">
        <f t="shared" si="335"/>
        <v>120632.33</v>
      </c>
      <c r="X559" s="56"/>
      <c r="Y559" s="57">
        <f>U559/P559</f>
        <v>0.27920279490889038</v>
      </c>
      <c r="Z559" s="28">
        <f>P559-W559</f>
        <v>162330.74</v>
      </c>
      <c r="AA559" s="57">
        <f>Z559/P559</f>
        <v>0.57368171754709896</v>
      </c>
      <c r="AB559" s="120">
        <f t="shared" si="323"/>
        <v>-25650.255499999999</v>
      </c>
      <c r="AC559" s="57">
        <f t="shared" si="331"/>
        <v>-9.0648774414272548E-2</v>
      </c>
      <c r="AG559" s="61"/>
    </row>
    <row r="560" spans="1:33" s="53" customFormat="1" ht="11.25" customHeight="1" x14ac:dyDescent="0.15">
      <c r="A560" s="53" t="s">
        <v>330</v>
      </c>
      <c r="C560" s="54" t="s">
        <v>177</v>
      </c>
      <c r="D560" s="54">
        <v>2021</v>
      </c>
      <c r="E560" s="70">
        <v>44530</v>
      </c>
      <c r="F560" s="54"/>
      <c r="G560" s="54"/>
      <c r="H560" s="54"/>
      <c r="I560" s="54"/>
      <c r="J560" s="54"/>
      <c r="K560" s="106"/>
      <c r="L560" s="28">
        <f>SUM(L538:L542)</f>
        <v>181018</v>
      </c>
      <c r="M560" s="28">
        <f>SUM(M538:M542)</f>
        <v>63356.299999999996</v>
      </c>
      <c r="N560" s="41">
        <f t="shared" si="326"/>
        <v>117661.70000000001</v>
      </c>
      <c r="O560" s="94">
        <f t="shared" si="327"/>
        <v>0.65</v>
      </c>
      <c r="P560" s="28">
        <f>SUM(P538:P542)</f>
        <v>181018</v>
      </c>
      <c r="Q560" s="28"/>
      <c r="R560" s="28">
        <f t="shared" ref="R560:W560" si="336">SUM(R538:R542)</f>
        <v>98</v>
      </c>
      <c r="S560" s="28">
        <f t="shared" si="336"/>
        <v>3485.88</v>
      </c>
      <c r="T560" s="28">
        <f t="shared" si="336"/>
        <v>0</v>
      </c>
      <c r="U560" s="28">
        <f t="shared" si="336"/>
        <v>67469.47</v>
      </c>
      <c r="V560" s="28">
        <f t="shared" si="336"/>
        <v>0</v>
      </c>
      <c r="W560" s="28">
        <f t="shared" si="336"/>
        <v>70955.349999999991</v>
      </c>
      <c r="X560" s="56"/>
      <c r="Y560" s="57">
        <f>U560/P560</f>
        <v>0.37272243644278469</v>
      </c>
      <c r="Z560" s="28">
        <f>P560-W560</f>
        <v>110062.65000000001</v>
      </c>
      <c r="AA560" s="57">
        <f>Z560/P560</f>
        <v>0.60802047310212248</v>
      </c>
      <c r="AB560" s="120">
        <f t="shared" si="323"/>
        <v>-7599.0499999999956</v>
      </c>
      <c r="AC560" s="57">
        <f t="shared" si="331"/>
        <v>-4.1979526897877539E-2</v>
      </c>
      <c r="AG560" s="61"/>
    </row>
    <row r="561" spans="1:33" ht="11.25" customHeight="1" x14ac:dyDescent="0.15">
      <c r="A561" s="130" t="s">
        <v>53</v>
      </c>
      <c r="B561" s="130"/>
      <c r="C561" s="124"/>
      <c r="D561" s="124"/>
      <c r="E561" s="273"/>
      <c r="F561" s="124"/>
      <c r="G561" s="124"/>
      <c r="H561" s="124"/>
      <c r="I561" s="124"/>
      <c r="J561" s="124"/>
      <c r="K561" s="125"/>
      <c r="L561" s="129"/>
      <c r="M561" s="129"/>
      <c r="N561" s="129"/>
      <c r="O561" s="128"/>
      <c r="P561" s="129"/>
      <c r="Q561" s="124"/>
      <c r="R561" s="129"/>
      <c r="S561" s="129"/>
      <c r="T561" s="129"/>
      <c r="U561" s="129"/>
      <c r="V561" s="126"/>
      <c r="W561" s="49"/>
      <c r="X561" s="45"/>
      <c r="Y561" s="128"/>
      <c r="Z561" s="126"/>
      <c r="AA561" s="128"/>
      <c r="AB561" s="129"/>
      <c r="AC561" s="160"/>
      <c r="AD561" s="137"/>
      <c r="AE561" s="110"/>
      <c r="AF561" s="110"/>
      <c r="AG561" s="121"/>
    </row>
    <row r="562" spans="1:33" ht="11.25" customHeight="1" x14ac:dyDescent="0.15">
      <c r="A562" s="110" t="s">
        <v>356</v>
      </c>
      <c r="B562" s="110"/>
      <c r="C562" s="111" t="s">
        <v>37</v>
      </c>
      <c r="D562" s="111">
        <v>2021</v>
      </c>
      <c r="E562" s="146">
        <v>44500</v>
      </c>
      <c r="F562" s="111"/>
      <c r="G562" s="111">
        <v>110101111</v>
      </c>
      <c r="H562" s="111"/>
      <c r="I562" s="16" t="str">
        <f>MID(G562,2,1)</f>
        <v>1</v>
      </c>
      <c r="J562" s="111" t="s">
        <v>39</v>
      </c>
      <c r="K562" s="112" t="s">
        <v>357</v>
      </c>
      <c r="L562" s="117">
        <v>39825</v>
      </c>
      <c r="M562" s="140">
        <v>21996</v>
      </c>
      <c r="N562" s="120">
        <f>L562-M562</f>
        <v>17829</v>
      </c>
      <c r="O562" s="119">
        <f>N562/L562</f>
        <v>0.44768361581920901</v>
      </c>
      <c r="P562" s="117">
        <v>45455</v>
      </c>
      <c r="Q562" s="111">
        <v>1227</v>
      </c>
      <c r="R562" s="117">
        <v>73</v>
      </c>
      <c r="S562" s="117">
        <f>1793.92+807.42</f>
        <v>2601.34</v>
      </c>
      <c r="T562" s="117">
        <v>0</v>
      </c>
      <c r="U562" s="117">
        <v>21046.66</v>
      </c>
      <c r="V562" s="117">
        <v>0</v>
      </c>
      <c r="W562" s="26">
        <f>SUM(S562:V562)</f>
        <v>23648</v>
      </c>
      <c r="X562" s="118">
        <f>IFERROR(S562/R562,"")</f>
        <v>35.634794520547949</v>
      </c>
      <c r="Y562" s="119">
        <f>U562/P562</f>
        <v>0.4630218897811022</v>
      </c>
      <c r="Z562" s="117">
        <f>P562-W562</f>
        <v>21807</v>
      </c>
      <c r="AA562" s="119">
        <f>Z562/P562</f>
        <v>0.47974920250797493</v>
      </c>
      <c r="AB562" s="120">
        <f t="shared" ref="AB562:AB564" si="337">M562-W562</f>
        <v>-1652</v>
      </c>
      <c r="AC562" s="119">
        <f>AA562-O562</f>
        <v>3.2065586688765912E-2</v>
      </c>
      <c r="AD562" s="110"/>
      <c r="AE562" s="110"/>
      <c r="AF562" s="110"/>
      <c r="AG562" s="121"/>
    </row>
    <row r="563" spans="1:33" ht="11.25" customHeight="1" x14ac:dyDescent="0.15">
      <c r="A563" s="110" t="s">
        <v>356</v>
      </c>
      <c r="B563" s="110"/>
      <c r="C563" s="111" t="s">
        <v>37</v>
      </c>
      <c r="D563" s="111">
        <v>2021</v>
      </c>
      <c r="E563" s="146">
        <v>44500</v>
      </c>
      <c r="F563" s="111"/>
      <c r="G563" s="111">
        <v>210750121</v>
      </c>
      <c r="H563" s="111"/>
      <c r="I563" s="111"/>
      <c r="J563" s="111"/>
      <c r="K563" s="112" t="s">
        <v>358</v>
      </c>
      <c r="L563" s="117">
        <v>3292</v>
      </c>
      <c r="M563" s="140">
        <v>1812</v>
      </c>
      <c r="N563" s="120">
        <f>L563-M563</f>
        <v>1480</v>
      </c>
      <c r="O563" s="119">
        <f>N563/L563</f>
        <v>0.44957472660996356</v>
      </c>
      <c r="P563" s="117">
        <v>13028</v>
      </c>
      <c r="Q563" s="111">
        <v>1229</v>
      </c>
      <c r="R563" s="117"/>
      <c r="S563" s="117"/>
      <c r="T563" s="117"/>
      <c r="U563" s="117">
        <v>6861.96</v>
      </c>
      <c r="V563" s="117"/>
      <c r="W563" s="26">
        <f>SUM(S563:V563)</f>
        <v>6861.96</v>
      </c>
      <c r="X563" s="118" t="str">
        <f>IFERROR(S563/R563,"")</f>
        <v/>
      </c>
      <c r="Y563" s="119">
        <f>U563/P563</f>
        <v>0.5267086275713847</v>
      </c>
      <c r="Z563" s="117">
        <f>P563-W563</f>
        <v>6166.04</v>
      </c>
      <c r="AA563" s="119">
        <f>Z563/P563</f>
        <v>0.4732913724286153</v>
      </c>
      <c r="AB563" s="120">
        <f t="shared" si="337"/>
        <v>-5049.96</v>
      </c>
      <c r="AC563" s="119">
        <f>AA563-O563</f>
        <v>2.3716645818651738E-2</v>
      </c>
      <c r="AD563" s="110"/>
      <c r="AE563" s="110"/>
      <c r="AF563" s="110"/>
      <c r="AG563" s="121"/>
    </row>
    <row r="564" spans="1:33" ht="11.25" customHeight="1" x14ac:dyDescent="0.15">
      <c r="A564" s="110" t="s">
        <v>356</v>
      </c>
      <c r="B564" s="110"/>
      <c r="C564" s="111" t="s">
        <v>37</v>
      </c>
      <c r="D564" s="111">
        <v>2021</v>
      </c>
      <c r="E564" s="146">
        <v>44500</v>
      </c>
      <c r="F564" s="111"/>
      <c r="G564" s="111">
        <v>910101411</v>
      </c>
      <c r="H564" s="111"/>
      <c r="I564" s="111"/>
      <c r="J564" s="111"/>
      <c r="K564" s="112" t="s">
        <v>359</v>
      </c>
      <c r="L564" s="117">
        <v>8781</v>
      </c>
      <c r="M564" s="140">
        <v>4830</v>
      </c>
      <c r="N564" s="120">
        <f>L564-M564</f>
        <v>3951</v>
      </c>
      <c r="O564" s="119">
        <f>N564/L564</f>
        <v>0.44994875298940895</v>
      </c>
      <c r="P564" s="117">
        <v>2196</v>
      </c>
      <c r="Q564" s="111">
        <v>1230</v>
      </c>
      <c r="R564" s="117"/>
      <c r="S564" s="117"/>
      <c r="T564" s="117"/>
      <c r="U564" s="117">
        <v>1209.5899999999999</v>
      </c>
      <c r="V564" s="117"/>
      <c r="W564" s="26">
        <f>SUM(S564:V564)</f>
        <v>1209.5899999999999</v>
      </c>
      <c r="X564" s="118" t="str">
        <f>IFERROR(S564/R564,"")</f>
        <v/>
      </c>
      <c r="Y564" s="119">
        <f>U564/P564</f>
        <v>0.55081511839708552</v>
      </c>
      <c r="Z564" s="117">
        <f>P564-W564</f>
        <v>986.41000000000008</v>
      </c>
      <c r="AA564" s="119">
        <f>Z564/P564</f>
        <v>0.44918488160291442</v>
      </c>
      <c r="AB564" s="120">
        <f t="shared" si="337"/>
        <v>3620.41</v>
      </c>
      <c r="AC564" s="119">
        <f>AA564-O564</f>
        <v>-7.6387138649453012E-4</v>
      </c>
      <c r="AD564" s="110"/>
      <c r="AE564" s="110"/>
      <c r="AF564" s="110"/>
      <c r="AG564" s="121"/>
    </row>
    <row r="565" spans="1:33" s="53" customFormat="1" ht="11.25" customHeight="1" x14ac:dyDescent="0.15">
      <c r="A565" s="53" t="s">
        <v>53</v>
      </c>
      <c r="C565" s="54" t="s">
        <v>360</v>
      </c>
      <c r="D565" s="54">
        <v>2021</v>
      </c>
      <c r="E565" s="70">
        <v>44500</v>
      </c>
      <c r="F565" s="54"/>
      <c r="G565" s="54"/>
      <c r="H565" s="54"/>
      <c r="I565" s="54"/>
      <c r="J565" s="54"/>
      <c r="K565" s="106"/>
      <c r="L565" s="24">
        <f>SUM(L562:L564)</f>
        <v>51898</v>
      </c>
      <c r="M565" s="24">
        <f>SUM(M562:M564)</f>
        <v>28638</v>
      </c>
      <c r="N565" s="24">
        <f>SUM(N562:N564)</f>
        <v>23260</v>
      </c>
      <c r="O565" s="74"/>
      <c r="P565" s="24">
        <f>SUM(P562:P564)</f>
        <v>60679</v>
      </c>
      <c r="Q565" s="24"/>
      <c r="R565" s="24">
        <f t="shared" ref="R565:W565" si="338">SUM(R562:R564)</f>
        <v>73</v>
      </c>
      <c r="S565" s="24">
        <f t="shared" si="338"/>
        <v>2601.34</v>
      </c>
      <c r="T565" s="24">
        <f t="shared" si="338"/>
        <v>0</v>
      </c>
      <c r="U565" s="24">
        <f t="shared" si="338"/>
        <v>29118.21</v>
      </c>
      <c r="V565" s="24">
        <f t="shared" si="338"/>
        <v>0</v>
      </c>
      <c r="W565" s="24">
        <f t="shared" si="338"/>
        <v>31719.55</v>
      </c>
      <c r="X565" s="118"/>
      <c r="Y565" s="119"/>
      <c r="Z565" s="28"/>
      <c r="AA565" s="57"/>
      <c r="AB565" s="58"/>
      <c r="AC565" s="57"/>
      <c r="AG565" s="61"/>
    </row>
    <row r="566" spans="1:33" ht="11.25" customHeight="1" x14ac:dyDescent="0.15">
      <c r="A566" s="110" t="s">
        <v>356</v>
      </c>
      <c r="B566" s="110"/>
      <c r="C566" s="111" t="s">
        <v>47</v>
      </c>
      <c r="D566" s="111">
        <v>2021</v>
      </c>
      <c r="E566" s="146">
        <v>44500</v>
      </c>
      <c r="F566" s="111"/>
      <c r="G566" s="111">
        <v>510101111</v>
      </c>
      <c r="H566" s="111"/>
      <c r="I566" s="111"/>
      <c r="J566" s="111"/>
      <c r="K566" s="112" t="s">
        <v>81</v>
      </c>
      <c r="L566" s="117">
        <v>15003.95</v>
      </c>
      <c r="M566" s="140">
        <f>9015*0.65</f>
        <v>5859.75</v>
      </c>
      <c r="N566" s="120">
        <f>L566-M566</f>
        <v>9144.2000000000007</v>
      </c>
      <c r="O566" s="119">
        <f>N566/L566</f>
        <v>0.60945284408439115</v>
      </c>
      <c r="P566" s="117">
        <v>15003.95</v>
      </c>
      <c r="Q566" s="111">
        <v>1231</v>
      </c>
      <c r="R566" s="117">
        <v>115</v>
      </c>
      <c r="S566" s="117">
        <f>3554.65+1599.65</f>
        <v>5154.3</v>
      </c>
      <c r="T566" s="117">
        <v>4562.13</v>
      </c>
      <c r="U566" s="117">
        <v>1691.86</v>
      </c>
      <c r="V566" s="117">
        <v>0</v>
      </c>
      <c r="W566" s="26">
        <f>SUM(S566:V566)</f>
        <v>11408.29</v>
      </c>
      <c r="X566" s="118">
        <f>IFERROR(S566/R566,"")</f>
        <v>44.82</v>
      </c>
      <c r="Y566" s="119">
        <f>U566/P566</f>
        <v>0.11276097294379146</v>
      </c>
      <c r="Z566" s="117">
        <f>P566-W566</f>
        <v>3595.66</v>
      </c>
      <c r="AA566" s="119">
        <f>Z566/P566</f>
        <v>0.23964755947600463</v>
      </c>
      <c r="AB566" s="120">
        <f t="shared" ref="AB566:AB570" si="339">M566-W566</f>
        <v>-5548.5400000000009</v>
      </c>
      <c r="AC566" s="119">
        <f>AA566-O566</f>
        <v>-0.36980528460838652</v>
      </c>
      <c r="AD566" s="110" t="s">
        <v>361</v>
      </c>
      <c r="AE566" s="110"/>
      <c r="AF566" s="110"/>
      <c r="AG566" s="121"/>
    </row>
    <row r="567" spans="1:33" ht="11.25" customHeight="1" x14ac:dyDescent="0.15">
      <c r="A567" s="110" t="s">
        <v>356</v>
      </c>
      <c r="B567" s="110"/>
      <c r="C567" s="111" t="s">
        <v>49</v>
      </c>
      <c r="D567" s="111">
        <v>2021</v>
      </c>
      <c r="E567" s="146">
        <v>44500</v>
      </c>
      <c r="F567" s="111"/>
      <c r="G567" s="111">
        <v>616120021</v>
      </c>
      <c r="H567" s="111"/>
      <c r="I567" s="111"/>
      <c r="J567" s="111"/>
      <c r="K567" s="112" t="s">
        <v>85</v>
      </c>
      <c r="L567" s="117">
        <v>8079.05</v>
      </c>
      <c r="M567" s="140">
        <f>9015-M566</f>
        <v>3155.25</v>
      </c>
      <c r="N567" s="120">
        <f>L567-M567</f>
        <v>4923.8</v>
      </c>
      <c r="O567" s="119">
        <f>N567/L567</f>
        <v>0.60945284408439115</v>
      </c>
      <c r="P567" s="117">
        <v>8079.05</v>
      </c>
      <c r="Q567" s="111">
        <v>1323</v>
      </c>
      <c r="R567" s="117">
        <v>34</v>
      </c>
      <c r="S567" s="117">
        <f>1335.52+601.12</f>
        <v>1936.6399999999999</v>
      </c>
      <c r="T567" s="117">
        <v>2123.4899999999998</v>
      </c>
      <c r="U567" s="117">
        <v>12.29</v>
      </c>
      <c r="V567" s="117">
        <v>0</v>
      </c>
      <c r="W567" s="26">
        <f>SUM(S567:V567)</f>
        <v>4072.4199999999996</v>
      </c>
      <c r="X567" s="118">
        <f>IFERROR(S567/R567,"")</f>
        <v>56.959999999999994</v>
      </c>
      <c r="Y567" s="119">
        <f>U567/P567</f>
        <v>1.5212184600912235E-3</v>
      </c>
      <c r="Z567" s="117">
        <f>P567-W567</f>
        <v>4006.6300000000006</v>
      </c>
      <c r="AA567" s="119">
        <f>Z567/P567</f>
        <v>0.49592835791336859</v>
      </c>
      <c r="AB567" s="120">
        <f t="shared" si="339"/>
        <v>-917.16999999999962</v>
      </c>
      <c r="AC567" s="119">
        <f>AA567-O567</f>
        <v>-0.11352448617102257</v>
      </c>
      <c r="AD567" s="110" t="s">
        <v>362</v>
      </c>
      <c r="AE567" s="110"/>
      <c r="AF567" s="110"/>
      <c r="AG567" s="121"/>
    </row>
    <row r="568" spans="1:33" ht="11.25" customHeight="1" x14ac:dyDescent="0.15">
      <c r="A568" s="110" t="s">
        <v>356</v>
      </c>
      <c r="B568" s="110"/>
      <c r="C568" s="111" t="s">
        <v>55</v>
      </c>
      <c r="D568" s="111">
        <v>2021</v>
      </c>
      <c r="E568" s="146">
        <v>44500</v>
      </c>
      <c r="F568" s="111"/>
      <c r="G568" s="111" t="s">
        <v>56</v>
      </c>
      <c r="H568" s="111"/>
      <c r="I568" s="111"/>
      <c r="J568" s="111"/>
      <c r="K568" s="112" t="s">
        <v>71</v>
      </c>
      <c r="L568" s="117">
        <v>10000</v>
      </c>
      <c r="M568" s="140">
        <v>10000</v>
      </c>
      <c r="N568" s="120">
        <f>L568-M568</f>
        <v>0</v>
      </c>
      <c r="O568" s="119">
        <f>N568/L568</f>
        <v>0</v>
      </c>
      <c r="P568" s="117">
        <v>10000</v>
      </c>
      <c r="Q568" s="111">
        <v>1232</v>
      </c>
      <c r="R568" s="117">
        <v>3</v>
      </c>
      <c r="S568" s="117">
        <f>82.5+37.14</f>
        <v>119.64</v>
      </c>
      <c r="T568" s="117"/>
      <c r="U568" s="117"/>
      <c r="V568" s="117">
        <v>7423.07</v>
      </c>
      <c r="W568" s="26">
        <f>SUM(S568:V568)</f>
        <v>7542.71</v>
      </c>
      <c r="X568" s="118">
        <f>IFERROR(S568/R568,"")</f>
        <v>39.880000000000003</v>
      </c>
      <c r="Y568" s="119">
        <f>U568/P568</f>
        <v>0</v>
      </c>
      <c r="Z568" s="117">
        <f>P568-W568</f>
        <v>2457.29</v>
      </c>
      <c r="AA568" s="119">
        <f>Z568/P568</f>
        <v>0.245729</v>
      </c>
      <c r="AB568" s="120">
        <f t="shared" si="339"/>
        <v>2457.29</v>
      </c>
      <c r="AC568" s="119">
        <f>AA568+O568</f>
        <v>0.245729</v>
      </c>
      <c r="AD568" s="110"/>
      <c r="AE568" s="110"/>
      <c r="AF568" s="110"/>
      <c r="AG568" s="121"/>
    </row>
    <row r="569" spans="1:33" ht="11.25" customHeight="1" x14ac:dyDescent="0.15">
      <c r="A569" s="110" t="s">
        <v>356</v>
      </c>
      <c r="B569" s="110"/>
      <c r="C569" s="111" t="s">
        <v>58</v>
      </c>
      <c r="D569" s="111">
        <v>2021</v>
      </c>
      <c r="E569" s="146">
        <v>44500</v>
      </c>
      <c r="F569" s="111"/>
      <c r="G569" s="111" t="s">
        <v>363</v>
      </c>
      <c r="H569" s="111"/>
      <c r="I569" s="111"/>
      <c r="J569" s="111"/>
      <c r="K569" s="112" t="s">
        <v>364</v>
      </c>
      <c r="L569" s="117">
        <v>14376</v>
      </c>
      <c r="M569" s="120">
        <v>1437.6</v>
      </c>
      <c r="N569" s="120">
        <f>L569-M569</f>
        <v>12938.4</v>
      </c>
      <c r="O569" s="119">
        <f>N569/L569</f>
        <v>0.9</v>
      </c>
      <c r="P569" s="117">
        <v>14376</v>
      </c>
      <c r="Q569" s="111">
        <v>1319</v>
      </c>
      <c r="R569" s="117">
        <v>0</v>
      </c>
      <c r="S569" s="117">
        <v>0</v>
      </c>
      <c r="T569" s="117">
        <v>0</v>
      </c>
      <c r="U569" s="117">
        <v>1288.55</v>
      </c>
      <c r="V569" s="117">
        <v>0</v>
      </c>
      <c r="W569" s="26">
        <f>SUM(S569:V569)</f>
        <v>1288.55</v>
      </c>
      <c r="X569" s="118" t="str">
        <f>IFERROR(S569/R569,"")</f>
        <v/>
      </c>
      <c r="Y569" s="119">
        <f>U569/P569</f>
        <v>8.9632025598219256E-2</v>
      </c>
      <c r="Z569" s="117">
        <f>P569-W569</f>
        <v>13087.45</v>
      </c>
      <c r="AA569" s="119">
        <f>Z569/P569</f>
        <v>0.91036797440178074</v>
      </c>
      <c r="AB569" s="120">
        <f t="shared" si="339"/>
        <v>149.04999999999995</v>
      </c>
      <c r="AC569" s="119">
        <f>AA569-O569</f>
        <v>1.0367974401780722E-2</v>
      </c>
      <c r="AD569" s="110"/>
      <c r="AE569" s="110"/>
      <c r="AF569" s="110"/>
      <c r="AG569" s="121"/>
    </row>
    <row r="570" spans="1:33" s="53" customFormat="1" ht="11.25" customHeight="1" x14ac:dyDescent="0.15">
      <c r="A570" s="53" t="s">
        <v>356</v>
      </c>
      <c r="C570" s="54" t="s">
        <v>177</v>
      </c>
      <c r="D570" s="54">
        <v>2021</v>
      </c>
      <c r="E570" s="70">
        <v>44500</v>
      </c>
      <c r="F570" s="54"/>
      <c r="G570" s="54"/>
      <c r="H570" s="54"/>
      <c r="I570" s="54"/>
      <c r="J570" s="54"/>
      <c r="K570" s="106"/>
      <c r="L570" s="24">
        <f>SUM(L565:L569)</f>
        <v>99357</v>
      </c>
      <c r="M570" s="24">
        <f>SUM(M565:M569)</f>
        <v>49090.6</v>
      </c>
      <c r="N570" s="24">
        <f>SUM(N565:N569)</f>
        <v>50266.400000000001</v>
      </c>
      <c r="O570" s="95">
        <f>N570/L570</f>
        <v>0.50591704660970038</v>
      </c>
      <c r="P570" s="24">
        <f>SUM(P565:P569)</f>
        <v>108138</v>
      </c>
      <c r="Q570" s="24"/>
      <c r="R570" s="24">
        <f t="shared" ref="R570:W570" si="340">SUM(R565:R569)</f>
        <v>225</v>
      </c>
      <c r="S570" s="24">
        <f t="shared" si="340"/>
        <v>9811.92</v>
      </c>
      <c r="T570" s="24">
        <f t="shared" si="340"/>
        <v>6685.62</v>
      </c>
      <c r="U570" s="24">
        <f t="shared" si="340"/>
        <v>32110.91</v>
      </c>
      <c r="V570" s="24">
        <f t="shared" si="340"/>
        <v>7423.07</v>
      </c>
      <c r="W570" s="24">
        <f t="shared" si="340"/>
        <v>56031.519999999997</v>
      </c>
      <c r="X570" s="56"/>
      <c r="Y570" s="57">
        <f>U570/P570</f>
        <v>0.29694381253583385</v>
      </c>
      <c r="Z570" s="28">
        <f>P570-W570</f>
        <v>52106.48</v>
      </c>
      <c r="AA570" s="57">
        <f>Z570/P570</f>
        <v>0.4818517080027373</v>
      </c>
      <c r="AB570" s="120">
        <f t="shared" si="339"/>
        <v>-6940.9199999999983</v>
      </c>
      <c r="AC570" s="57">
        <f>AA570-O570</f>
        <v>-2.4065338606963083E-2</v>
      </c>
      <c r="AG570" s="61"/>
    </row>
    <row r="571" spans="1:33" ht="11.25" customHeight="1" x14ac:dyDescent="0.15">
      <c r="A571" s="130" t="s">
        <v>53</v>
      </c>
      <c r="B571" s="130"/>
      <c r="C571" s="124"/>
      <c r="D571" s="124"/>
      <c r="E571" s="273"/>
      <c r="F571" s="124"/>
      <c r="G571" s="124"/>
      <c r="H571" s="124"/>
      <c r="I571" s="124"/>
      <c r="J571" s="124"/>
      <c r="K571" s="125"/>
      <c r="L571" s="129"/>
      <c r="M571" s="129"/>
      <c r="N571" s="129"/>
      <c r="O571" s="128"/>
      <c r="P571" s="129"/>
      <c r="Q571" s="124"/>
      <c r="R571" s="129"/>
      <c r="S571" s="129"/>
      <c r="T571" s="129"/>
      <c r="U571" s="129"/>
      <c r="V571" s="126"/>
      <c r="W571" s="49"/>
      <c r="X571" s="45"/>
      <c r="Y571" s="128"/>
      <c r="Z571" s="126"/>
      <c r="AA571" s="128"/>
      <c r="AB571" s="129"/>
      <c r="AC571" s="160"/>
      <c r="AD571" s="137"/>
      <c r="AE571" s="110"/>
      <c r="AF571" s="110"/>
      <c r="AG571" s="121"/>
    </row>
    <row r="572" spans="1:33" ht="11.25" customHeight="1" x14ac:dyDescent="0.15">
      <c r="A572" s="110" t="s">
        <v>365</v>
      </c>
      <c r="B572" s="110"/>
      <c r="C572" s="111" t="s">
        <v>175</v>
      </c>
      <c r="D572" s="111">
        <v>2021</v>
      </c>
      <c r="E572" s="146">
        <v>44500</v>
      </c>
      <c r="F572" s="111"/>
      <c r="G572" s="111">
        <v>811000111</v>
      </c>
      <c r="H572" s="111">
        <v>4101</v>
      </c>
      <c r="I572" s="111" t="str">
        <f>MID(G572,2,1)</f>
        <v>1</v>
      </c>
      <c r="J572" s="111" t="str">
        <f>IF(I572="1","Small/Medium","Large")</f>
        <v>Small/Medium</v>
      </c>
      <c r="K572" s="147" t="s">
        <v>145</v>
      </c>
      <c r="L572" s="117">
        <v>5338</v>
      </c>
      <c r="M572" s="120">
        <f>L572*0.3</f>
        <v>1601.3999999999999</v>
      </c>
      <c r="N572" s="120">
        <f>L572-M572</f>
        <v>3736.6000000000004</v>
      </c>
      <c r="O572" s="119">
        <f>N572/L572</f>
        <v>0.70000000000000007</v>
      </c>
      <c r="P572" s="117">
        <v>5338</v>
      </c>
      <c r="Q572" s="111">
        <v>1266</v>
      </c>
      <c r="R572" s="132">
        <v>36.5</v>
      </c>
      <c r="S572" s="132">
        <f>1090.62+490.93</f>
        <v>1581.55</v>
      </c>
      <c r="T572" s="132">
        <f>1484.84-V572</f>
        <v>1473.1899999999998</v>
      </c>
      <c r="U572" s="132">
        <v>538.92999999999995</v>
      </c>
      <c r="V572" s="117">
        <v>11.65</v>
      </c>
      <c r="W572" s="67">
        <f>SUM(S572:V572)</f>
        <v>3605.3199999999997</v>
      </c>
      <c r="X572" s="118">
        <f>IFERROR(S572/R572,"")</f>
        <v>43.330136986301369</v>
      </c>
      <c r="Y572" s="119">
        <f>U572/P572</f>
        <v>0.10096103409516671</v>
      </c>
      <c r="Z572" s="117">
        <f>P572-W572</f>
        <v>1732.6800000000003</v>
      </c>
      <c r="AA572" s="119">
        <f>Z572/P572</f>
        <v>0.32459348070438371</v>
      </c>
      <c r="AB572" s="120">
        <f t="shared" ref="AB572:AB574" si="341">M572-W572</f>
        <v>-2003.9199999999998</v>
      </c>
      <c r="AC572" s="119">
        <f>AA572-O572</f>
        <v>-0.37540651929561636</v>
      </c>
      <c r="AD572" s="110" t="s">
        <v>366</v>
      </c>
      <c r="AE572" s="110"/>
      <c r="AF572" s="110"/>
      <c r="AG572" s="121"/>
    </row>
    <row r="573" spans="1:33" ht="11.25" customHeight="1" x14ac:dyDescent="0.15">
      <c r="A573" s="110" t="s">
        <v>365</v>
      </c>
      <c r="B573" s="110"/>
      <c r="C573" s="111" t="s">
        <v>175</v>
      </c>
      <c r="D573" s="111">
        <v>2021</v>
      </c>
      <c r="E573" s="146">
        <v>44500</v>
      </c>
      <c r="F573" s="111"/>
      <c r="G573" s="111">
        <v>821000111</v>
      </c>
      <c r="H573" s="111">
        <v>4101</v>
      </c>
      <c r="I573" s="111" t="str">
        <f>MID(G573,2,1)</f>
        <v>2</v>
      </c>
      <c r="J573" s="111" t="str">
        <f>IF(I573="1","Small/Medium","Large")</f>
        <v>Large</v>
      </c>
      <c r="K573" s="147" t="s">
        <v>176</v>
      </c>
      <c r="L573" s="117">
        <v>9912</v>
      </c>
      <c r="M573" s="120">
        <f>L573*0.3</f>
        <v>2973.6</v>
      </c>
      <c r="N573" s="120">
        <f>L573-M573</f>
        <v>6938.4</v>
      </c>
      <c r="O573" s="119">
        <f>N573/L573</f>
        <v>0.7</v>
      </c>
      <c r="P573" s="117">
        <v>9912</v>
      </c>
      <c r="Q573" s="111">
        <v>1267</v>
      </c>
      <c r="R573" s="117">
        <v>10</v>
      </c>
      <c r="S573" s="117">
        <f>298.8+134.5</f>
        <v>433.3</v>
      </c>
      <c r="T573" s="117">
        <v>75.739999999999995</v>
      </c>
      <c r="U573" s="117">
        <v>0</v>
      </c>
      <c r="V573" s="117">
        <v>0</v>
      </c>
      <c r="W573" s="26">
        <f>SUM(S573:V573)</f>
        <v>509.04</v>
      </c>
      <c r="X573" s="118">
        <f>IFERROR(S573/R573,"")</f>
        <v>43.33</v>
      </c>
      <c r="Y573" s="119">
        <f>U573/P573</f>
        <v>0</v>
      </c>
      <c r="Z573" s="117">
        <f>P573-W573</f>
        <v>9402.9599999999991</v>
      </c>
      <c r="AA573" s="119">
        <f>Z573/P573</f>
        <v>0.94864406779661004</v>
      </c>
      <c r="AB573" s="120">
        <f t="shared" si="341"/>
        <v>2464.56</v>
      </c>
      <c r="AC573" s="119">
        <f>AA573-O573</f>
        <v>0.24864406779661008</v>
      </c>
      <c r="AD573" s="110" t="s">
        <v>367</v>
      </c>
      <c r="AE573" s="110"/>
      <c r="AF573" s="110"/>
      <c r="AG573" s="121"/>
    </row>
    <row r="574" spans="1:33" ht="11.25" customHeight="1" x14ac:dyDescent="0.15">
      <c r="A574" s="53" t="s">
        <v>365</v>
      </c>
      <c r="C574" s="54" t="s">
        <v>177</v>
      </c>
      <c r="D574" s="111">
        <v>2021</v>
      </c>
      <c r="E574" s="146">
        <v>44500</v>
      </c>
      <c r="F574" s="111"/>
      <c r="G574" s="111"/>
      <c r="H574" s="111"/>
      <c r="I574" s="111"/>
      <c r="J574" s="111"/>
      <c r="K574" s="112"/>
      <c r="L574" s="24">
        <f>SUM(L572:L573)</f>
        <v>15250</v>
      </c>
      <c r="M574" s="92">
        <f>L574*0.3</f>
        <v>4575</v>
      </c>
      <c r="N574" s="92">
        <f>L574-M574</f>
        <v>10675</v>
      </c>
      <c r="O574" s="74">
        <f>N574/L574</f>
        <v>0.7</v>
      </c>
      <c r="P574" s="24">
        <f>SUM(P572:P573)</f>
        <v>15250</v>
      </c>
      <c r="Q574" s="91"/>
      <c r="R574" s="24">
        <f t="shared" ref="R574:W574" si="342">SUM(R572:R573)</f>
        <v>46.5</v>
      </c>
      <c r="S574" s="24">
        <f t="shared" si="342"/>
        <v>2014.85</v>
      </c>
      <c r="T574" s="24">
        <f t="shared" si="342"/>
        <v>1548.9299999999998</v>
      </c>
      <c r="U574" s="24">
        <f t="shared" si="342"/>
        <v>538.92999999999995</v>
      </c>
      <c r="V574" s="24">
        <f t="shared" si="342"/>
        <v>11.65</v>
      </c>
      <c r="W574" s="25">
        <f t="shared" si="342"/>
        <v>4114.3599999999997</v>
      </c>
      <c r="X574" s="56">
        <f>IFERROR(S574/R574,"")</f>
        <v>43.330107526881719</v>
      </c>
      <c r="Y574" s="57">
        <f>U574/P574</f>
        <v>3.533967213114754E-2</v>
      </c>
      <c r="Z574" s="28">
        <f>P574-W574</f>
        <v>11135.64</v>
      </c>
      <c r="AA574" s="57">
        <f>Z574/P574</f>
        <v>0.73020590163934418</v>
      </c>
      <c r="AB574" s="120">
        <f t="shared" si="341"/>
        <v>460.64000000000033</v>
      </c>
      <c r="AC574" s="57">
        <f>AA574-O574</f>
        <v>3.0205901639344224E-2</v>
      </c>
      <c r="AD574" s="110"/>
      <c r="AE574" s="110"/>
      <c r="AF574" s="110"/>
      <c r="AG574" s="121"/>
    </row>
    <row r="575" spans="1:33" ht="11.25" customHeight="1" x14ac:dyDescent="0.15">
      <c r="A575" s="130" t="s">
        <v>53</v>
      </c>
      <c r="B575" s="130"/>
      <c r="C575" s="124"/>
      <c r="D575" s="124"/>
      <c r="E575" s="273"/>
      <c r="F575" s="124"/>
      <c r="G575" s="124"/>
      <c r="H575" s="124"/>
      <c r="I575" s="124"/>
      <c r="J575" s="124"/>
      <c r="K575" s="125"/>
      <c r="L575" s="129"/>
      <c r="M575" s="129"/>
      <c r="N575" s="129"/>
      <c r="O575" s="128"/>
      <c r="P575" s="129"/>
      <c r="Q575" s="124"/>
      <c r="R575" s="129"/>
      <c r="S575" s="129"/>
      <c r="T575" s="129"/>
      <c r="U575" s="129"/>
      <c r="V575" s="126"/>
      <c r="W575" s="49"/>
      <c r="X575" s="45"/>
      <c r="Y575" s="128"/>
      <c r="Z575" s="126"/>
      <c r="AA575" s="128"/>
      <c r="AB575" s="129"/>
      <c r="AC575" s="160"/>
      <c r="AD575" s="137"/>
      <c r="AE575" s="110"/>
      <c r="AF575" s="110"/>
      <c r="AG575" s="121"/>
    </row>
    <row r="576" spans="1:33" ht="11.25" customHeight="1" x14ac:dyDescent="0.15">
      <c r="A576" s="110" t="s">
        <v>174</v>
      </c>
      <c r="B576" s="110"/>
      <c r="C576" s="111" t="s">
        <v>175</v>
      </c>
      <c r="D576" s="111">
        <v>2021</v>
      </c>
      <c r="E576" s="146">
        <v>44500</v>
      </c>
      <c r="F576" s="111"/>
      <c r="G576" s="111">
        <v>811000111</v>
      </c>
      <c r="H576" s="111">
        <v>4101</v>
      </c>
      <c r="I576" s="111" t="str">
        <f>MID(G576,2,1)</f>
        <v>1</v>
      </c>
      <c r="J576" s="111" t="str">
        <f>IF(I576="1","Small/Medium","Large")</f>
        <v>Small/Medium</v>
      </c>
      <c r="K576" s="147" t="s">
        <v>145</v>
      </c>
      <c r="L576" s="148">
        <v>5904</v>
      </c>
      <c r="M576" s="120">
        <f>L576*0.3</f>
        <v>1771.2</v>
      </c>
      <c r="N576" s="120">
        <f>L576-M576</f>
        <v>4132.8</v>
      </c>
      <c r="O576" s="119">
        <f>N576/L576</f>
        <v>0.70000000000000007</v>
      </c>
      <c r="P576" s="148">
        <v>5904</v>
      </c>
      <c r="Q576" s="111">
        <v>1250</v>
      </c>
      <c r="R576" s="117">
        <v>19.5</v>
      </c>
      <c r="S576" s="117">
        <f>582.66+262.29</f>
        <v>844.95</v>
      </c>
      <c r="T576" s="117">
        <f>817.5-V576</f>
        <v>768.86</v>
      </c>
      <c r="U576" s="117">
        <v>499.72</v>
      </c>
      <c r="V576" s="117">
        <v>48.64</v>
      </c>
      <c r="W576" s="26">
        <f>SUM(S576:V576)</f>
        <v>2162.1699999999996</v>
      </c>
      <c r="X576" s="118">
        <f>IFERROR(S576/R576,"")</f>
        <v>43.330769230769235</v>
      </c>
      <c r="Y576" s="119">
        <f>U576/P576</f>
        <v>8.4640921409214101E-2</v>
      </c>
      <c r="Z576" s="117">
        <f>P576-W576</f>
        <v>3741.8300000000004</v>
      </c>
      <c r="AA576" s="119">
        <f>Z576/P576</f>
        <v>0.63377879403794046</v>
      </c>
      <c r="AB576" s="120">
        <f t="shared" ref="AB576:AB578" si="343">M576-W576</f>
        <v>-390.96999999999957</v>
      </c>
      <c r="AC576" s="119">
        <f>AA576-O576</f>
        <v>-6.6221205962059604E-2</v>
      </c>
      <c r="AD576" s="110" t="s">
        <v>368</v>
      </c>
      <c r="AE576" s="110"/>
      <c r="AF576" s="110"/>
      <c r="AG576" s="121"/>
    </row>
    <row r="577" spans="1:33" ht="11.25" customHeight="1" x14ac:dyDescent="0.15">
      <c r="A577" s="110" t="s">
        <v>174</v>
      </c>
      <c r="B577" s="110"/>
      <c r="C577" s="111" t="s">
        <v>175</v>
      </c>
      <c r="D577" s="111">
        <v>2021</v>
      </c>
      <c r="E577" s="146">
        <v>44500</v>
      </c>
      <c r="F577" s="111"/>
      <c r="G577" s="111">
        <v>821000111</v>
      </c>
      <c r="H577" s="111">
        <v>4101</v>
      </c>
      <c r="I577" s="111" t="str">
        <f>MID(G577,2,1)</f>
        <v>2</v>
      </c>
      <c r="J577" s="111" t="str">
        <f>IF(I577="1","Small/Medium","Large")</f>
        <v>Large</v>
      </c>
      <c r="K577" s="147" t="s">
        <v>176</v>
      </c>
      <c r="L577" s="148">
        <v>10964.2</v>
      </c>
      <c r="M577" s="120">
        <f>L577*0.3</f>
        <v>3289.26</v>
      </c>
      <c r="N577" s="120">
        <f>L577-M577</f>
        <v>7674.9400000000005</v>
      </c>
      <c r="O577" s="119">
        <f>N577/L577</f>
        <v>0.7</v>
      </c>
      <c r="P577" s="148">
        <v>10964.2</v>
      </c>
      <c r="Q577" s="111">
        <v>1251</v>
      </c>
      <c r="R577" s="117">
        <v>17</v>
      </c>
      <c r="S577" s="117">
        <f>507.96+228.66</f>
        <v>736.62</v>
      </c>
      <c r="T577" s="117">
        <v>1427.9</v>
      </c>
      <c r="U577" s="117">
        <v>599.47</v>
      </c>
      <c r="V577" s="117">
        <v>0</v>
      </c>
      <c r="W577" s="26">
        <f>SUM(S577:V577)</f>
        <v>2763.99</v>
      </c>
      <c r="X577" s="118">
        <f>IFERROR(S577/R577,"")</f>
        <v>43.330588235294115</v>
      </c>
      <c r="Y577" s="119">
        <f>U577/P577</f>
        <v>5.4675215702012003E-2</v>
      </c>
      <c r="Z577" s="117">
        <f>P577-W577</f>
        <v>8200.2100000000009</v>
      </c>
      <c r="AA577" s="119">
        <f>Z577/P577</f>
        <v>0.74790773608653627</v>
      </c>
      <c r="AB577" s="120">
        <f t="shared" si="343"/>
        <v>525.27000000000044</v>
      </c>
      <c r="AC577" s="119">
        <f>AA577-O577</f>
        <v>4.7907736086536312E-2</v>
      </c>
      <c r="AD577" s="110"/>
      <c r="AE577" s="110"/>
      <c r="AF577" s="110"/>
      <c r="AG577" s="121"/>
    </row>
    <row r="578" spans="1:33" ht="11.25" customHeight="1" x14ac:dyDescent="0.15">
      <c r="A578" s="53" t="s">
        <v>174</v>
      </c>
      <c r="C578" s="54" t="s">
        <v>177</v>
      </c>
      <c r="D578" s="111">
        <v>2021</v>
      </c>
      <c r="E578" s="146">
        <v>44500</v>
      </c>
      <c r="F578" s="111"/>
      <c r="G578" s="111"/>
      <c r="H578" s="111"/>
      <c r="I578" s="111"/>
      <c r="J578" s="111"/>
      <c r="K578" s="112"/>
      <c r="L578" s="39">
        <f>SUM(L576:L577)</f>
        <v>16868.2</v>
      </c>
      <c r="M578" s="92">
        <f>L578*0.3</f>
        <v>5060.46</v>
      </c>
      <c r="N578" s="92">
        <f>L578-M578</f>
        <v>11807.740000000002</v>
      </c>
      <c r="O578" s="74">
        <f>N578/L578</f>
        <v>0.70000000000000007</v>
      </c>
      <c r="P578" s="39">
        <f>SUM(P576:P577)</f>
        <v>16868.2</v>
      </c>
      <c r="Q578" s="166"/>
      <c r="R578" s="24">
        <f t="shared" ref="R578:W578" si="344">SUM(R576:R577)</f>
        <v>36.5</v>
      </c>
      <c r="S578" s="24">
        <f t="shared" si="344"/>
        <v>1581.5700000000002</v>
      </c>
      <c r="T578" s="24">
        <f t="shared" si="344"/>
        <v>2196.7600000000002</v>
      </c>
      <c r="U578" s="24">
        <f t="shared" si="344"/>
        <v>1099.19</v>
      </c>
      <c r="V578" s="24">
        <f t="shared" si="344"/>
        <v>48.64</v>
      </c>
      <c r="W578" s="25">
        <f t="shared" si="344"/>
        <v>4926.16</v>
      </c>
      <c r="X578" s="56">
        <f>IFERROR(S578/R578,"")</f>
        <v>43.330684931506852</v>
      </c>
      <c r="Y578" s="57">
        <f>U578/P578</f>
        <v>6.5163443639511029E-2</v>
      </c>
      <c r="Z578" s="28">
        <f>P578-W578</f>
        <v>11942.04</v>
      </c>
      <c r="AA578" s="57">
        <f>Z578/P578</f>
        <v>0.70796172679953995</v>
      </c>
      <c r="AB578" s="120">
        <f t="shared" si="343"/>
        <v>134.30000000000018</v>
      </c>
      <c r="AC578" s="57">
        <f>AA578-O578</f>
        <v>7.961726799539881E-3</v>
      </c>
      <c r="AD578" s="110"/>
      <c r="AE578" s="110"/>
      <c r="AF578" s="110"/>
      <c r="AG578" s="121"/>
    </row>
    <row r="579" spans="1:33" ht="11.25" customHeight="1" x14ac:dyDescent="0.15">
      <c r="A579" s="130" t="s">
        <v>53</v>
      </c>
      <c r="B579" s="130"/>
      <c r="C579" s="124"/>
      <c r="D579" s="124"/>
      <c r="E579" s="273"/>
      <c r="F579" s="124"/>
      <c r="G579" s="124"/>
      <c r="H579" s="124"/>
      <c r="I579" s="124"/>
      <c r="J579" s="124"/>
      <c r="K579" s="125"/>
      <c r="L579" s="129"/>
      <c r="M579" s="129"/>
      <c r="N579" s="129"/>
      <c r="O579" s="128"/>
      <c r="P579" s="129"/>
      <c r="Q579" s="124"/>
      <c r="R579" s="129"/>
      <c r="S579" s="129"/>
      <c r="T579" s="129"/>
      <c r="U579" s="129"/>
      <c r="V579" s="126"/>
      <c r="W579" s="49"/>
      <c r="X579" s="45"/>
      <c r="Y579" s="128"/>
      <c r="Z579" s="126"/>
      <c r="AA579" s="128"/>
      <c r="AB579" s="129"/>
      <c r="AC579" s="160"/>
      <c r="AD579" s="137"/>
      <c r="AE579" s="110"/>
      <c r="AF579" s="110"/>
      <c r="AG579" s="121"/>
    </row>
    <row r="580" spans="1:33" ht="11.25" customHeight="1" x14ac:dyDescent="0.15">
      <c r="A580" s="110" t="s">
        <v>121</v>
      </c>
      <c r="B580" s="110"/>
      <c r="C580" s="111" t="s">
        <v>49</v>
      </c>
      <c r="D580" s="111">
        <v>2021</v>
      </c>
      <c r="E580" s="146">
        <v>44500</v>
      </c>
      <c r="F580" s="111"/>
      <c r="G580" s="111">
        <v>627120121</v>
      </c>
      <c r="H580" s="111"/>
      <c r="I580" s="111"/>
      <c r="J580" s="111"/>
      <c r="K580" s="112" t="s">
        <v>369</v>
      </c>
      <c r="L580" s="219">
        <v>7382</v>
      </c>
      <c r="M580" s="221">
        <f>L580*0.35</f>
        <v>2583.6999999999998</v>
      </c>
      <c r="N580" s="219">
        <f>L580-M580</f>
        <v>4798.3</v>
      </c>
      <c r="O580" s="163">
        <f>N580/L580</f>
        <v>0.65</v>
      </c>
      <c r="P580" s="117">
        <v>7382</v>
      </c>
      <c r="Q580" s="111">
        <v>1292</v>
      </c>
      <c r="R580" s="117">
        <v>24</v>
      </c>
      <c r="S580" s="117">
        <f>942.72+424.32</f>
        <v>1367.04</v>
      </c>
      <c r="T580" s="117">
        <v>1353.18</v>
      </c>
      <c r="U580" s="117">
        <v>0</v>
      </c>
      <c r="V580" s="117">
        <v>0</v>
      </c>
      <c r="W580" s="26">
        <f>SUM(S580:V580)</f>
        <v>2720.2200000000003</v>
      </c>
      <c r="X580" s="118">
        <f>IFERROR(S580/R580,"")</f>
        <v>56.96</v>
      </c>
      <c r="Y580" s="119">
        <f>U580/P580</f>
        <v>0</v>
      </c>
      <c r="Z580" s="117">
        <f>P580-W580</f>
        <v>4661.78</v>
      </c>
      <c r="AA580" s="119">
        <f>Z580/P580</f>
        <v>0.63150636683825523</v>
      </c>
      <c r="AB580" s="120">
        <f t="shared" ref="AB580:AB581" si="345">M580-W580</f>
        <v>-136.52000000000044</v>
      </c>
      <c r="AC580" s="119">
        <f>AA580-O580</f>
        <v>-1.8493633161744794E-2</v>
      </c>
      <c r="AD580" s="110"/>
      <c r="AE580" s="110"/>
      <c r="AF580" s="110"/>
      <c r="AG580" s="121"/>
    </row>
    <row r="581" spans="1:33" s="53" customFormat="1" ht="11.25" customHeight="1" x14ac:dyDescent="0.15">
      <c r="A581" s="53" t="s">
        <v>121</v>
      </c>
      <c r="C581" s="54" t="s">
        <v>177</v>
      </c>
      <c r="D581" s="54">
        <v>2021</v>
      </c>
      <c r="E581" s="70">
        <v>44500</v>
      </c>
      <c r="F581" s="54"/>
      <c r="G581" s="54"/>
      <c r="H581" s="54"/>
      <c r="I581" s="54"/>
      <c r="J581" s="54"/>
      <c r="K581" s="106"/>
      <c r="L581" s="39">
        <f>SUM(L579:L580)</f>
        <v>7382</v>
      </c>
      <c r="M581" s="38">
        <f>L581*0.35</f>
        <v>2583.6999999999998</v>
      </c>
      <c r="N581" s="92">
        <f>L581-M581</f>
        <v>4798.3</v>
      </c>
      <c r="O581" s="74">
        <f>N581/L581</f>
        <v>0.65</v>
      </c>
      <c r="P581" s="24">
        <f>SUM(P580)</f>
        <v>7382</v>
      </c>
      <c r="Q581" s="24"/>
      <c r="R581" s="24">
        <f t="shared" ref="R581:W581" si="346">SUM(R580)</f>
        <v>24</v>
      </c>
      <c r="S581" s="24">
        <f t="shared" si="346"/>
        <v>1367.04</v>
      </c>
      <c r="T581" s="24">
        <f t="shared" si="346"/>
        <v>1353.18</v>
      </c>
      <c r="U581" s="24">
        <f t="shared" si="346"/>
        <v>0</v>
      </c>
      <c r="V581" s="24">
        <f t="shared" si="346"/>
        <v>0</v>
      </c>
      <c r="W581" s="24">
        <f t="shared" si="346"/>
        <v>2720.2200000000003</v>
      </c>
      <c r="X581" s="56">
        <f>IFERROR(S581/R581,"")</f>
        <v>56.96</v>
      </c>
      <c r="Y581" s="57">
        <f>U581/P581</f>
        <v>0</v>
      </c>
      <c r="Z581" s="28">
        <f>P581-W581</f>
        <v>4661.78</v>
      </c>
      <c r="AA581" s="57">
        <f>Z581/P581</f>
        <v>0.63150636683825523</v>
      </c>
      <c r="AB581" s="120">
        <f t="shared" si="345"/>
        <v>-136.52000000000044</v>
      </c>
      <c r="AC581" s="57">
        <f>AA581-O581</f>
        <v>-1.8493633161744794E-2</v>
      </c>
      <c r="AG581" s="61"/>
    </row>
    <row r="582" spans="1:33" ht="11.25" customHeight="1" x14ac:dyDescent="0.15">
      <c r="A582" s="130" t="s">
        <v>53</v>
      </c>
      <c r="B582" s="130"/>
      <c r="C582" s="124"/>
      <c r="D582" s="124"/>
      <c r="E582" s="273"/>
      <c r="F582" s="124"/>
      <c r="G582" s="124"/>
      <c r="H582" s="124"/>
      <c r="I582" s="124"/>
      <c r="J582" s="124"/>
      <c r="K582" s="125"/>
      <c r="L582" s="129"/>
      <c r="M582" s="129"/>
      <c r="N582" s="129"/>
      <c r="O582" s="128"/>
      <c r="P582" s="129"/>
      <c r="Q582" s="124"/>
      <c r="R582" s="129"/>
      <c r="S582" s="129"/>
      <c r="T582" s="129"/>
      <c r="U582" s="129"/>
      <c r="V582" s="126"/>
      <c r="W582" s="49"/>
      <c r="X582" s="45"/>
      <c r="Y582" s="128"/>
      <c r="Z582" s="126"/>
      <c r="AA582" s="128"/>
      <c r="AB582" s="129"/>
      <c r="AC582" s="160"/>
      <c r="AD582" s="137"/>
      <c r="AE582" s="110"/>
      <c r="AF582" s="110"/>
      <c r="AG582" s="121"/>
    </row>
    <row r="583" spans="1:33" ht="11.25" customHeight="1" x14ac:dyDescent="0.15">
      <c r="A583" s="110" t="s">
        <v>195</v>
      </c>
      <c r="B583" s="110"/>
      <c r="C583" s="111" t="s">
        <v>180</v>
      </c>
      <c r="D583" s="111">
        <v>2021</v>
      </c>
      <c r="E583" s="146">
        <v>44530</v>
      </c>
      <c r="F583" s="111"/>
      <c r="G583" s="111">
        <v>940000311</v>
      </c>
      <c r="H583" s="111"/>
      <c r="I583" s="111"/>
      <c r="J583" s="111"/>
      <c r="K583" s="112" t="s">
        <v>370</v>
      </c>
      <c r="L583" s="117">
        <v>49596</v>
      </c>
      <c r="M583" s="140">
        <f>20008.46/2</f>
        <v>10004.23</v>
      </c>
      <c r="N583" s="120">
        <f>L583-M583</f>
        <v>39591.770000000004</v>
      </c>
      <c r="O583" s="119">
        <f>N583/L583</f>
        <v>0.79828554722155021</v>
      </c>
      <c r="P583" s="117">
        <v>49596</v>
      </c>
      <c r="Q583" s="111">
        <v>1293</v>
      </c>
      <c r="R583" s="117">
        <v>2</v>
      </c>
      <c r="S583" s="117">
        <f>48.08+21.64</f>
        <v>69.72</v>
      </c>
      <c r="T583" s="117">
        <v>0</v>
      </c>
      <c r="U583" s="117">
        <v>9884.65</v>
      </c>
      <c r="V583" s="117">
        <v>0</v>
      </c>
      <c r="W583" s="26">
        <f>SUM(S583:V583)</f>
        <v>9954.369999999999</v>
      </c>
      <c r="X583" s="118">
        <f>IFERROR(S583/R583,"")</f>
        <v>34.86</v>
      </c>
      <c r="Y583" s="119">
        <f>U583/P583</f>
        <v>0.19930337123961608</v>
      </c>
      <c r="Z583" s="117">
        <f>P583-W583</f>
        <v>39641.630000000005</v>
      </c>
      <c r="AA583" s="119">
        <f>Z583/P583</f>
        <v>0.79929087023147039</v>
      </c>
      <c r="AB583" s="120">
        <f t="shared" ref="AB583:AB585" si="347">M583-W583</f>
        <v>49.860000000000582</v>
      </c>
      <c r="AC583" s="119">
        <f>AA583-O583</f>
        <v>1.0053230099201782E-3</v>
      </c>
      <c r="AD583" s="110"/>
      <c r="AE583" s="110"/>
      <c r="AF583" s="110"/>
      <c r="AG583" s="121"/>
    </row>
    <row r="584" spans="1:33" ht="11.25" customHeight="1" x14ac:dyDescent="0.15">
      <c r="A584" s="110" t="s">
        <v>195</v>
      </c>
      <c r="B584" s="110"/>
      <c r="C584" s="111" t="s">
        <v>180</v>
      </c>
      <c r="D584" s="111">
        <v>2021</v>
      </c>
      <c r="E584" s="146">
        <v>44530</v>
      </c>
      <c r="F584" s="111"/>
      <c r="G584" s="111">
        <v>920000311</v>
      </c>
      <c r="H584" s="111"/>
      <c r="I584" s="111"/>
      <c r="J584" s="111"/>
      <c r="K584" s="112" t="s">
        <v>371</v>
      </c>
      <c r="L584" s="117">
        <v>49597</v>
      </c>
      <c r="M584" s="140">
        <f>20008.46/2</f>
        <v>10004.23</v>
      </c>
      <c r="N584" s="120">
        <f>L584-M584</f>
        <v>39592.770000000004</v>
      </c>
      <c r="O584" s="119">
        <f>N584/L584</f>
        <v>0.79828961429118706</v>
      </c>
      <c r="P584" s="117">
        <v>49597</v>
      </c>
      <c r="Q584" s="111">
        <v>1294</v>
      </c>
      <c r="R584" s="117">
        <v>2</v>
      </c>
      <c r="S584" s="117">
        <f>48.08+21.64</f>
        <v>69.72</v>
      </c>
      <c r="T584" s="117">
        <v>0</v>
      </c>
      <c r="U584" s="117">
        <v>9886.7000000000007</v>
      </c>
      <c r="V584" s="117">
        <v>0</v>
      </c>
      <c r="W584" s="26">
        <f>SUM(S584:V584)</f>
        <v>9956.42</v>
      </c>
      <c r="X584" s="118">
        <f>IFERROR(S584/R584,"")</f>
        <v>34.86</v>
      </c>
      <c r="Y584" s="119">
        <f>U584/P584</f>
        <v>0.19934068592858439</v>
      </c>
      <c r="Z584" s="117">
        <f>P584-W584</f>
        <v>39640.58</v>
      </c>
      <c r="AA584" s="119">
        <f>Z584/P584</f>
        <v>0.79925358388612222</v>
      </c>
      <c r="AB584" s="120">
        <f t="shared" si="347"/>
        <v>47.809999999999491</v>
      </c>
      <c r="AC584" s="119">
        <f>AA584-O584</f>
        <v>9.6396959493516565E-4</v>
      </c>
      <c r="AD584" s="110"/>
      <c r="AE584" s="110"/>
      <c r="AF584" s="110"/>
      <c r="AG584" s="121"/>
    </row>
    <row r="585" spans="1:33" ht="11.25" customHeight="1" x14ac:dyDescent="0.15">
      <c r="A585" s="110" t="s">
        <v>195</v>
      </c>
      <c r="B585" s="110"/>
      <c r="C585" s="111" t="s">
        <v>180</v>
      </c>
      <c r="D585" s="111">
        <v>2021</v>
      </c>
      <c r="E585" s="146">
        <v>44530</v>
      </c>
      <c r="F585" s="111"/>
      <c r="G585" s="111">
        <v>926120421</v>
      </c>
      <c r="H585" s="111"/>
      <c r="I585" s="111"/>
      <c r="J585" s="111"/>
      <c r="K585" s="112" t="s">
        <v>372</v>
      </c>
      <c r="L585" s="117">
        <v>16000</v>
      </c>
      <c r="M585" s="140">
        <v>5386.56</v>
      </c>
      <c r="N585" s="120">
        <f>L585-M585</f>
        <v>10613.439999999999</v>
      </c>
      <c r="O585" s="119">
        <f>N585/L585</f>
        <v>0.66333999999999993</v>
      </c>
      <c r="P585" s="117">
        <v>16000</v>
      </c>
      <c r="Q585" s="111">
        <v>1295</v>
      </c>
      <c r="R585" s="117">
        <v>0</v>
      </c>
      <c r="S585" s="117">
        <v>0</v>
      </c>
      <c r="T585" s="117">
        <v>0</v>
      </c>
      <c r="U585" s="117">
        <v>5580.94</v>
      </c>
      <c r="V585" s="117">
        <v>0</v>
      </c>
      <c r="W585" s="26">
        <f>SUM(S585:V585)</f>
        <v>5580.94</v>
      </c>
      <c r="X585" s="118" t="str">
        <f>IFERROR(S585/R585,"")</f>
        <v/>
      </c>
      <c r="Y585" s="119">
        <f>U585/P585</f>
        <v>0.34880875</v>
      </c>
      <c r="Z585" s="117">
        <f>P585-W585</f>
        <v>10419.060000000001</v>
      </c>
      <c r="AA585" s="119">
        <f>Z585/P585</f>
        <v>0.65119125000000011</v>
      </c>
      <c r="AB585" s="120">
        <f t="shared" si="347"/>
        <v>-194.3799999999992</v>
      </c>
      <c r="AC585" s="119">
        <f>AA585-O585</f>
        <v>-1.2148749999999819E-2</v>
      </c>
      <c r="AD585" s="110"/>
      <c r="AE585" s="110"/>
      <c r="AF585" s="110"/>
      <c r="AG585" s="121"/>
    </row>
    <row r="586" spans="1:33" s="53" customFormat="1" ht="11.25" customHeight="1" x14ac:dyDescent="0.15">
      <c r="A586" s="53" t="s">
        <v>53</v>
      </c>
      <c r="C586" s="54" t="s">
        <v>360</v>
      </c>
      <c r="D586" s="54">
        <v>2021</v>
      </c>
      <c r="E586" s="70">
        <v>44530</v>
      </c>
      <c r="F586" s="54"/>
      <c r="G586" s="54"/>
      <c r="H586" s="54"/>
      <c r="I586" s="54"/>
      <c r="J586" s="54"/>
      <c r="K586" s="106"/>
      <c r="L586" s="24">
        <f>SUM(L583:L585)</f>
        <v>115193</v>
      </c>
      <c r="M586" s="24">
        <f>SUM(M583:M585)</f>
        <v>25395.02</v>
      </c>
      <c r="N586" s="24">
        <f>SUM(N583:N585)</f>
        <v>89797.98000000001</v>
      </c>
      <c r="O586" s="57"/>
      <c r="P586" s="24">
        <f>SUM(P583:P585)</f>
        <v>115193</v>
      </c>
      <c r="Q586" s="24"/>
      <c r="R586" s="24">
        <f t="shared" ref="R586:W586" si="348">SUM(R583:R585)</f>
        <v>4</v>
      </c>
      <c r="S586" s="24">
        <f t="shared" si="348"/>
        <v>139.44</v>
      </c>
      <c r="T586" s="24">
        <f t="shared" si="348"/>
        <v>0</v>
      </c>
      <c r="U586" s="24">
        <f t="shared" si="348"/>
        <v>25352.289999999997</v>
      </c>
      <c r="V586" s="24">
        <f t="shared" si="348"/>
        <v>0</v>
      </c>
      <c r="W586" s="24">
        <f t="shared" si="348"/>
        <v>25491.73</v>
      </c>
      <c r="X586" s="118"/>
      <c r="Y586" s="119"/>
      <c r="Z586" s="28"/>
      <c r="AA586" s="57"/>
      <c r="AB586" s="58"/>
      <c r="AC586" s="57"/>
      <c r="AG586" s="61"/>
    </row>
    <row r="587" spans="1:33" ht="11.25" customHeight="1" x14ac:dyDescent="0.15">
      <c r="A587" s="110" t="s">
        <v>195</v>
      </c>
      <c r="B587" s="110"/>
      <c r="C587" s="111" t="s">
        <v>47</v>
      </c>
      <c r="D587" s="111">
        <v>2021</v>
      </c>
      <c r="E587" s="146">
        <v>44530</v>
      </c>
      <c r="F587" s="111"/>
      <c r="G587" s="111">
        <v>540000211</v>
      </c>
      <c r="H587" s="111"/>
      <c r="I587" s="111"/>
      <c r="J587" s="111"/>
      <c r="K587" s="112" t="s">
        <v>81</v>
      </c>
      <c r="L587" s="117">
        <v>15680</v>
      </c>
      <c r="M587" s="140">
        <v>10763.37</v>
      </c>
      <c r="N587" s="120">
        <f t="shared" ref="N587:N595" si="349">L587-M587</f>
        <v>4916.6299999999992</v>
      </c>
      <c r="O587" s="119">
        <f>N587/L587</f>
        <v>0.31356058673469384</v>
      </c>
      <c r="P587" s="117">
        <v>15680</v>
      </c>
      <c r="Q587" s="111">
        <v>1296</v>
      </c>
      <c r="R587" s="117">
        <v>136</v>
      </c>
      <c r="S587" s="117">
        <f>4203.76+1891.76</f>
        <v>6095.52</v>
      </c>
      <c r="T587" s="117">
        <v>6723.4</v>
      </c>
      <c r="U587" s="117">
        <v>886.86</v>
      </c>
      <c r="V587" s="117">
        <v>0</v>
      </c>
      <c r="W587" s="26">
        <f t="shared" ref="W587:W595" si="350">SUM(S587:V587)</f>
        <v>13705.78</v>
      </c>
      <c r="X587" s="118">
        <f t="shared" ref="X587:X595" si="351">IFERROR(S587/R587,"")</f>
        <v>44.82</v>
      </c>
      <c r="Y587" s="119">
        <f>U587/P587</f>
        <v>5.6559948979591837E-2</v>
      </c>
      <c r="Z587" s="117">
        <f t="shared" ref="Z587:Z596" si="352">P587-W587</f>
        <v>1974.2199999999993</v>
      </c>
      <c r="AA587" s="119">
        <f>Z587/P587</f>
        <v>0.125906887755102</v>
      </c>
      <c r="AB587" s="120">
        <f t="shared" ref="AB587:AB596" si="353">M587-W587</f>
        <v>-2942.41</v>
      </c>
      <c r="AC587" s="119">
        <f>AA587-O587</f>
        <v>-0.18765369897959183</v>
      </c>
      <c r="AD587" s="110" t="s">
        <v>373</v>
      </c>
      <c r="AE587" s="110"/>
      <c r="AF587" s="110"/>
      <c r="AG587" s="121"/>
    </row>
    <row r="588" spans="1:33" ht="11.25" customHeight="1" x14ac:dyDescent="0.15">
      <c r="A588" s="110" t="s">
        <v>195</v>
      </c>
      <c r="B588" s="110"/>
      <c r="C588" s="111" t="s">
        <v>49</v>
      </c>
      <c r="D588" s="111">
        <v>2021</v>
      </c>
      <c r="E588" s="146">
        <v>44530</v>
      </c>
      <c r="F588" s="111"/>
      <c r="G588" s="111">
        <v>646720021</v>
      </c>
      <c r="H588" s="111"/>
      <c r="I588" s="111"/>
      <c r="J588" s="111"/>
      <c r="K588" s="112" t="s">
        <v>85</v>
      </c>
      <c r="L588" s="117">
        <v>8053</v>
      </c>
      <c r="M588" s="140">
        <v>5000</v>
      </c>
      <c r="N588" s="120">
        <f t="shared" si="349"/>
        <v>3053</v>
      </c>
      <c r="O588" s="119">
        <f>N588/L588</f>
        <v>0.37911337389792626</v>
      </c>
      <c r="P588" s="117">
        <v>8053</v>
      </c>
      <c r="Q588" s="111">
        <v>1297</v>
      </c>
      <c r="R588" s="117">
        <v>8</v>
      </c>
      <c r="S588" s="117">
        <f>314.24+141.44</f>
        <v>455.68</v>
      </c>
      <c r="T588" s="117">
        <v>1029</v>
      </c>
      <c r="U588" s="117">
        <v>-137.44</v>
      </c>
      <c r="V588" s="117">
        <v>0</v>
      </c>
      <c r="W588" s="26">
        <f t="shared" si="350"/>
        <v>1347.24</v>
      </c>
      <c r="X588" s="118">
        <f t="shared" si="351"/>
        <v>56.96</v>
      </c>
      <c r="Y588" s="119">
        <f>U588/P588</f>
        <v>-1.7066931578293802E-2</v>
      </c>
      <c r="Z588" s="117">
        <f t="shared" si="352"/>
        <v>6705.76</v>
      </c>
      <c r="AA588" s="119">
        <f>Z588/P588</f>
        <v>0.83270334037004845</v>
      </c>
      <c r="AB588" s="120">
        <f t="shared" si="353"/>
        <v>3652.76</v>
      </c>
      <c r="AC588" s="119">
        <f>AA588-O588</f>
        <v>0.45358996647212219</v>
      </c>
      <c r="AD588" s="110"/>
      <c r="AE588" s="110"/>
      <c r="AF588" s="110"/>
      <c r="AG588" s="121"/>
    </row>
    <row r="589" spans="1:33" ht="11.25" customHeight="1" x14ac:dyDescent="0.15">
      <c r="A589" s="110" t="s">
        <v>195</v>
      </c>
      <c r="B589" s="110"/>
      <c r="C589" s="111" t="s">
        <v>49</v>
      </c>
      <c r="D589" s="111">
        <v>2021</v>
      </c>
      <c r="E589" s="146">
        <v>44530</v>
      </c>
      <c r="F589" s="111"/>
      <c r="G589" s="111">
        <v>626720021</v>
      </c>
      <c r="H589" s="111"/>
      <c r="I589" s="111"/>
      <c r="J589" s="111"/>
      <c r="K589" s="112" t="s">
        <v>85</v>
      </c>
      <c r="L589" s="117">
        <v>8053</v>
      </c>
      <c r="M589" s="140">
        <v>5000</v>
      </c>
      <c r="N589" s="120">
        <f t="shared" si="349"/>
        <v>3053</v>
      </c>
      <c r="O589" s="119">
        <f>N589/L589</f>
        <v>0.37911337389792626</v>
      </c>
      <c r="P589" s="117">
        <v>8053</v>
      </c>
      <c r="Q589" s="111">
        <v>1298</v>
      </c>
      <c r="R589" s="117">
        <v>19</v>
      </c>
      <c r="S589" s="117">
        <f>746.32+335.92</f>
        <v>1082.24</v>
      </c>
      <c r="T589" s="117">
        <v>554.14</v>
      </c>
      <c r="U589" s="117">
        <v>-268.88</v>
      </c>
      <c r="V589" s="117">
        <v>0</v>
      </c>
      <c r="W589" s="26">
        <f t="shared" si="350"/>
        <v>1367.5</v>
      </c>
      <c r="X589" s="118">
        <f t="shared" si="351"/>
        <v>56.96</v>
      </c>
      <c r="Y589" s="119">
        <f>U589/P589</f>
        <v>-3.3388799205265121E-2</v>
      </c>
      <c r="Z589" s="117">
        <f t="shared" si="352"/>
        <v>6685.5</v>
      </c>
      <c r="AA589" s="119">
        <f>Z589/P589</f>
        <v>0.83018750776108285</v>
      </c>
      <c r="AB589" s="120">
        <f t="shared" si="353"/>
        <v>3632.5</v>
      </c>
      <c r="AC589" s="119">
        <f>AA589-O589</f>
        <v>0.45107413386315659</v>
      </c>
      <c r="AD589" s="110"/>
      <c r="AE589" s="110"/>
      <c r="AF589" s="110"/>
      <c r="AG589" s="121"/>
    </row>
    <row r="590" spans="1:33" ht="11.25" customHeight="1" x14ac:dyDescent="0.15">
      <c r="A590" s="110" t="s">
        <v>195</v>
      </c>
      <c r="B590" s="110"/>
      <c r="C590" s="111" t="s">
        <v>55</v>
      </c>
      <c r="D590" s="111">
        <v>2021</v>
      </c>
      <c r="E590" s="146">
        <v>44530</v>
      </c>
      <c r="F590" s="111"/>
      <c r="G590" s="111" t="s">
        <v>56</v>
      </c>
      <c r="H590" s="111"/>
      <c r="I590" s="111"/>
      <c r="J590" s="111"/>
      <c r="K590" s="112" t="s">
        <v>71</v>
      </c>
      <c r="L590" s="117">
        <v>10880</v>
      </c>
      <c r="M590" s="120">
        <v>11120</v>
      </c>
      <c r="N590" s="120">
        <f t="shared" si="349"/>
        <v>-240</v>
      </c>
      <c r="O590" s="119">
        <f>N590/L590</f>
        <v>-2.2058823529411766E-2</v>
      </c>
      <c r="P590" s="117">
        <v>10880</v>
      </c>
      <c r="Q590" s="111">
        <v>1299</v>
      </c>
      <c r="R590" s="117">
        <v>15</v>
      </c>
      <c r="S590" s="117">
        <f>412.5+185.7</f>
        <v>598.20000000000005</v>
      </c>
      <c r="T590" s="117">
        <v>0</v>
      </c>
      <c r="U590" s="117">
        <v>359.03</v>
      </c>
      <c r="V590" s="117">
        <v>3204.7</v>
      </c>
      <c r="W590" s="26">
        <f t="shared" si="350"/>
        <v>4161.93</v>
      </c>
      <c r="X590" s="118">
        <f t="shared" si="351"/>
        <v>39.880000000000003</v>
      </c>
      <c r="Y590" s="119">
        <f>U590/P590</f>
        <v>3.2999080882352941E-2</v>
      </c>
      <c r="Z590" s="117">
        <f t="shared" si="352"/>
        <v>6718.07</v>
      </c>
      <c r="AA590" s="119">
        <f>Z590/P590</f>
        <v>0.617469669117647</v>
      </c>
      <c r="AB590" s="120">
        <f t="shared" si="353"/>
        <v>6958.07</v>
      </c>
      <c r="AC590" s="119">
        <f>AA590+O590</f>
        <v>0.5954108455882352</v>
      </c>
      <c r="AD590" s="110"/>
      <c r="AE590" s="110"/>
      <c r="AF590" s="110"/>
      <c r="AG590" s="121"/>
    </row>
    <row r="591" spans="1:33" ht="11.25" customHeight="1" x14ac:dyDescent="0.15">
      <c r="A591" s="110" t="s">
        <v>195</v>
      </c>
      <c r="B591" s="110"/>
      <c r="C591" s="111" t="s">
        <v>58</v>
      </c>
      <c r="D591" s="111">
        <v>2021</v>
      </c>
      <c r="E591" s="146">
        <v>44530</v>
      </c>
      <c r="F591" s="111"/>
      <c r="G591" s="111" t="s">
        <v>374</v>
      </c>
      <c r="H591" s="111"/>
      <c r="I591" s="111"/>
      <c r="J591" s="111"/>
      <c r="K591" s="112" t="s">
        <v>375</v>
      </c>
      <c r="L591" s="117">
        <v>45401</v>
      </c>
      <c r="M591" s="120">
        <v>4213.1000000000004</v>
      </c>
      <c r="N591" s="120">
        <f t="shared" si="349"/>
        <v>41187.9</v>
      </c>
      <c r="O591" s="119">
        <f>IFERROR(N591/L591,0)</f>
        <v>0.90720248452677255</v>
      </c>
      <c r="P591" s="117">
        <v>45401</v>
      </c>
      <c r="Q591" s="111">
        <v>1355</v>
      </c>
      <c r="R591" s="117">
        <v>0</v>
      </c>
      <c r="S591" s="117">
        <v>0</v>
      </c>
      <c r="T591" s="117">
        <v>0</v>
      </c>
      <c r="U591" s="117">
        <v>2465.6</v>
      </c>
      <c r="V591" s="117"/>
      <c r="W591" s="26">
        <f t="shared" si="350"/>
        <v>2465.6</v>
      </c>
      <c r="X591" s="118" t="str">
        <f t="shared" si="351"/>
        <v/>
      </c>
      <c r="Y591" s="119">
        <f>IFERROR(U591/P591,0)</f>
        <v>5.4307173850796239E-2</v>
      </c>
      <c r="Z591" s="117">
        <f t="shared" si="352"/>
        <v>42935.4</v>
      </c>
      <c r="AA591" s="119">
        <f>IFERROR(Z591/P591,0)</f>
        <v>0.9456928261492038</v>
      </c>
      <c r="AB591" s="120">
        <f t="shared" si="353"/>
        <v>1747.5000000000005</v>
      </c>
      <c r="AC591" s="119">
        <f t="shared" ref="AC591:AC596" si="354">AA591-O591</f>
        <v>3.8490341622431257E-2</v>
      </c>
      <c r="AD591" s="110"/>
      <c r="AE591" s="110"/>
      <c r="AF591" s="110"/>
      <c r="AG591" s="121"/>
    </row>
    <row r="592" spans="1:33" ht="11.25" customHeight="1" x14ac:dyDescent="0.15">
      <c r="A592" s="110" t="s">
        <v>195</v>
      </c>
      <c r="B592" s="110"/>
      <c r="C592" s="111" t="s">
        <v>58</v>
      </c>
      <c r="D592" s="111">
        <v>2021</v>
      </c>
      <c r="E592" s="146">
        <v>44530</v>
      </c>
      <c r="F592" s="111"/>
      <c r="G592" s="111" t="s">
        <v>376</v>
      </c>
      <c r="H592" s="111"/>
      <c r="I592" s="111"/>
      <c r="J592" s="111"/>
      <c r="K592" s="112" t="s">
        <v>375</v>
      </c>
      <c r="L592" s="117">
        <f>42285-25811</f>
        <v>16474</v>
      </c>
      <c r="M592" s="120">
        <v>4213.1000000000004</v>
      </c>
      <c r="N592" s="120">
        <f t="shared" si="349"/>
        <v>12260.9</v>
      </c>
      <c r="O592" s="119">
        <f>IFERROR(N592/L592,0)</f>
        <v>0.74425761806482937</v>
      </c>
      <c r="P592" s="117">
        <f>42285-25811</f>
        <v>16474</v>
      </c>
      <c r="Q592" s="111">
        <v>1356</v>
      </c>
      <c r="R592" s="117">
        <v>0</v>
      </c>
      <c r="S592" s="117">
        <v>0</v>
      </c>
      <c r="T592" s="117">
        <v>0</v>
      </c>
      <c r="U592" s="117">
        <v>1046.44</v>
      </c>
      <c r="V592" s="117"/>
      <c r="W592" s="26">
        <f t="shared" si="350"/>
        <v>1046.44</v>
      </c>
      <c r="X592" s="118" t="str">
        <f t="shared" si="351"/>
        <v/>
      </c>
      <c r="Y592" s="119">
        <f>IFERROR(U592/P592,0)</f>
        <v>6.3520699283719798E-2</v>
      </c>
      <c r="Z592" s="117">
        <f t="shared" si="352"/>
        <v>15427.56</v>
      </c>
      <c r="AA592" s="119">
        <f>IFERROR(Z592/P592,0)</f>
        <v>0.93647930071628016</v>
      </c>
      <c r="AB592" s="120">
        <f t="shared" si="353"/>
        <v>3166.6600000000003</v>
      </c>
      <c r="AC592" s="119">
        <f t="shared" si="354"/>
        <v>0.19222168265145079</v>
      </c>
      <c r="AD592" s="110"/>
      <c r="AE592" s="110"/>
      <c r="AF592" s="110"/>
      <c r="AG592" s="121"/>
    </row>
    <row r="593" spans="1:33" ht="11.25" customHeight="1" x14ac:dyDescent="0.15">
      <c r="A593" s="110" t="s">
        <v>195</v>
      </c>
      <c r="B593" s="110"/>
      <c r="C593" s="111" t="s">
        <v>61</v>
      </c>
      <c r="D593" s="111">
        <v>2021</v>
      </c>
      <c r="E593" s="146">
        <v>44530</v>
      </c>
      <c r="F593" s="111"/>
      <c r="G593" s="111" t="s">
        <v>284</v>
      </c>
      <c r="H593" s="111"/>
      <c r="I593" s="111" t="str">
        <f>MID(G593,3,1)</f>
        <v>1</v>
      </c>
      <c r="J593" s="111" t="str">
        <f>IF(I593="1","Small/Medium","Large")</f>
        <v>Small/Medium</v>
      </c>
      <c r="K593" s="112" t="s">
        <v>102</v>
      </c>
      <c r="L593" s="117">
        <v>13089</v>
      </c>
      <c r="M593" s="120">
        <f>L593*0.3</f>
        <v>3926.7</v>
      </c>
      <c r="N593" s="120">
        <f t="shared" si="349"/>
        <v>9162.2999999999993</v>
      </c>
      <c r="O593" s="119">
        <f>N593/L593</f>
        <v>0.7</v>
      </c>
      <c r="P593" s="117">
        <v>13090</v>
      </c>
      <c r="Q593" s="111"/>
      <c r="R593" s="117"/>
      <c r="S593" s="117"/>
      <c r="T593" s="117"/>
      <c r="U593" s="117"/>
      <c r="V593" s="117"/>
      <c r="W593" s="26">
        <f t="shared" si="350"/>
        <v>0</v>
      </c>
      <c r="X593" s="118" t="str">
        <f t="shared" si="351"/>
        <v/>
      </c>
      <c r="Y593" s="119">
        <f>U593/P593</f>
        <v>0</v>
      </c>
      <c r="Z593" s="117">
        <f t="shared" si="352"/>
        <v>13090</v>
      </c>
      <c r="AA593" s="119">
        <f>Z593/P593</f>
        <v>1</v>
      </c>
      <c r="AB593" s="120">
        <f t="shared" si="353"/>
        <v>3926.7</v>
      </c>
      <c r="AC593" s="119">
        <f t="shared" si="354"/>
        <v>0.30000000000000004</v>
      </c>
      <c r="AD593" s="110"/>
      <c r="AE593" s="110"/>
      <c r="AF593" s="110"/>
      <c r="AG593" s="121"/>
    </row>
    <row r="594" spans="1:33" ht="11.25" customHeight="1" x14ac:dyDescent="0.15">
      <c r="A594" s="110" t="s">
        <v>195</v>
      </c>
      <c r="B594" s="110"/>
      <c r="C594" s="111" t="s">
        <v>61</v>
      </c>
      <c r="D594" s="111">
        <v>2021</v>
      </c>
      <c r="E594" s="146">
        <v>44530</v>
      </c>
      <c r="F594" s="111"/>
      <c r="G594" s="111" t="s">
        <v>282</v>
      </c>
      <c r="H594" s="111"/>
      <c r="I594" s="111" t="str">
        <f>MID(G594,3,1)</f>
        <v>2</v>
      </c>
      <c r="J594" s="111" t="str">
        <f>IF(I594="1","Small/Medium","Large")</f>
        <v>Large</v>
      </c>
      <c r="K594" s="112" t="s">
        <v>102</v>
      </c>
      <c r="L594" s="117">
        <v>17586</v>
      </c>
      <c r="M594" s="120">
        <f>L594*0.3</f>
        <v>5275.8</v>
      </c>
      <c r="N594" s="120">
        <f t="shared" si="349"/>
        <v>12310.2</v>
      </c>
      <c r="O594" s="119">
        <f>N594/L594</f>
        <v>0.70000000000000007</v>
      </c>
      <c r="P594" s="132">
        <v>17586</v>
      </c>
      <c r="Q594" s="111"/>
      <c r="R594" s="132"/>
      <c r="S594" s="132"/>
      <c r="T594" s="132"/>
      <c r="U594" s="132"/>
      <c r="V594" s="117"/>
      <c r="W594" s="67">
        <f t="shared" si="350"/>
        <v>0</v>
      </c>
      <c r="X594" s="118" t="str">
        <f t="shared" si="351"/>
        <v/>
      </c>
      <c r="Y594" s="119">
        <f>U594/P594</f>
        <v>0</v>
      </c>
      <c r="Z594" s="117">
        <f t="shared" si="352"/>
        <v>17586</v>
      </c>
      <c r="AA594" s="119">
        <f>Z594/P594</f>
        <v>1</v>
      </c>
      <c r="AB594" s="120">
        <f t="shared" si="353"/>
        <v>5275.8</v>
      </c>
      <c r="AC594" s="119">
        <f t="shared" si="354"/>
        <v>0.29999999999999993</v>
      </c>
      <c r="AD594" s="110"/>
      <c r="AE594" s="110"/>
      <c r="AF594" s="110"/>
      <c r="AG594" s="121"/>
    </row>
    <row r="595" spans="1:33" ht="11.25" customHeight="1" x14ac:dyDescent="0.15">
      <c r="A595" s="53" t="s">
        <v>195</v>
      </c>
      <c r="C595" s="111" t="s">
        <v>248</v>
      </c>
      <c r="D595" s="111">
        <v>2021</v>
      </c>
      <c r="E595" s="146">
        <v>44530</v>
      </c>
      <c r="F595" s="111"/>
      <c r="G595" s="111" t="s">
        <v>337</v>
      </c>
      <c r="H595" s="111"/>
      <c r="I595" s="111"/>
      <c r="J595" s="111"/>
      <c r="K595" s="112" t="s">
        <v>250</v>
      </c>
      <c r="L595" s="117">
        <v>7893</v>
      </c>
      <c r="M595" s="120">
        <f>L595*0.5</f>
        <v>3946.5</v>
      </c>
      <c r="N595" s="120">
        <f t="shared" si="349"/>
        <v>3946.5</v>
      </c>
      <c r="O595" s="119">
        <f>N595/L595</f>
        <v>0.5</v>
      </c>
      <c r="P595" s="117">
        <v>7893</v>
      </c>
      <c r="Q595" s="111"/>
      <c r="R595" s="117"/>
      <c r="S595" s="117"/>
      <c r="T595" s="117"/>
      <c r="U595" s="117"/>
      <c r="V595" s="117"/>
      <c r="W595" s="26">
        <f t="shared" si="350"/>
        <v>0</v>
      </c>
      <c r="X595" s="118" t="str">
        <f t="shared" si="351"/>
        <v/>
      </c>
      <c r="Y595" s="119">
        <f>U595/P595</f>
        <v>0</v>
      </c>
      <c r="Z595" s="117">
        <f t="shared" si="352"/>
        <v>7893</v>
      </c>
      <c r="AA595" s="119">
        <f>Z595/P595</f>
        <v>1</v>
      </c>
      <c r="AB595" s="120">
        <f t="shared" si="353"/>
        <v>3946.5</v>
      </c>
      <c r="AC595" s="119">
        <f t="shared" si="354"/>
        <v>0.5</v>
      </c>
      <c r="AD595" s="110"/>
      <c r="AE595" s="110"/>
      <c r="AF595" s="110"/>
      <c r="AG595" s="121"/>
    </row>
    <row r="596" spans="1:33" s="53" customFormat="1" ht="11.25" customHeight="1" x14ac:dyDescent="0.15">
      <c r="A596" s="53" t="s">
        <v>195</v>
      </c>
      <c r="C596" s="54" t="s">
        <v>177</v>
      </c>
      <c r="D596" s="54">
        <v>2021</v>
      </c>
      <c r="E596" s="70">
        <v>44530</v>
      </c>
      <c r="F596" s="54"/>
      <c r="G596" s="54"/>
      <c r="H596" s="54"/>
      <c r="I596" s="54"/>
      <c r="J596" s="54"/>
      <c r="K596" s="106"/>
      <c r="L596" s="24">
        <f>SUM(L586:L595)</f>
        <v>258302</v>
      </c>
      <c r="M596" s="24">
        <f>SUM(M586:M595)</f>
        <v>78853.59</v>
      </c>
      <c r="N596" s="24">
        <f>SUM(N586:N595)</f>
        <v>179448.41</v>
      </c>
      <c r="O596" s="57">
        <f>N596/L596</f>
        <v>0.69472326966109443</v>
      </c>
      <c r="P596" s="24">
        <f>SUM(P586:P595)</f>
        <v>258303</v>
      </c>
      <c r="Q596" s="24"/>
      <c r="R596" s="24">
        <f t="shared" ref="R596:W596" si="355">SUM(R586:R595)</f>
        <v>182</v>
      </c>
      <c r="S596" s="24">
        <f t="shared" si="355"/>
        <v>8371.08</v>
      </c>
      <c r="T596" s="24">
        <f t="shared" si="355"/>
        <v>8306.5399999999991</v>
      </c>
      <c r="U596" s="24">
        <f t="shared" si="355"/>
        <v>29703.899999999994</v>
      </c>
      <c r="V596" s="24">
        <f t="shared" si="355"/>
        <v>3204.7</v>
      </c>
      <c r="W596" s="24">
        <f t="shared" si="355"/>
        <v>49586.22</v>
      </c>
      <c r="X596" s="56"/>
      <c r="Y596" s="57">
        <f>U596/P596</f>
        <v>0.11499634150590583</v>
      </c>
      <c r="Z596" s="28">
        <f t="shared" si="352"/>
        <v>208716.78</v>
      </c>
      <c r="AA596" s="57">
        <f>Z596/P596</f>
        <v>0.80803080103599256</v>
      </c>
      <c r="AB596" s="120">
        <f t="shared" si="353"/>
        <v>29267.369999999995</v>
      </c>
      <c r="AC596" s="57">
        <f t="shared" si="354"/>
        <v>0.11330753137489813</v>
      </c>
      <c r="AG596" s="61"/>
    </row>
    <row r="597" spans="1:33" ht="11.25" customHeight="1" x14ac:dyDescent="0.15">
      <c r="A597" s="130" t="s">
        <v>53</v>
      </c>
      <c r="B597" s="130"/>
      <c r="C597" s="124"/>
      <c r="D597" s="124"/>
      <c r="E597" s="273"/>
      <c r="F597" s="124"/>
      <c r="G597" s="124"/>
      <c r="H597" s="124"/>
      <c r="I597" s="124"/>
      <c r="J597" s="124"/>
      <c r="K597" s="125"/>
      <c r="L597" s="129"/>
      <c r="M597" s="129"/>
      <c r="N597" s="129"/>
      <c r="O597" s="128"/>
      <c r="P597" s="129"/>
      <c r="Q597" s="124"/>
      <c r="R597" s="129"/>
      <c r="S597" s="129"/>
      <c r="T597" s="129"/>
      <c r="U597" s="129"/>
      <c r="V597" s="126"/>
      <c r="W597" s="49"/>
      <c r="X597" s="45"/>
      <c r="Y597" s="128"/>
      <c r="Z597" s="126"/>
      <c r="AA597" s="128"/>
      <c r="AB597" s="129"/>
      <c r="AC597" s="160"/>
      <c r="AD597" s="137"/>
      <c r="AE597" s="110"/>
      <c r="AF597" s="110"/>
      <c r="AG597" s="121"/>
    </row>
    <row r="598" spans="1:33" ht="11.25" customHeight="1" x14ac:dyDescent="0.15">
      <c r="A598" s="110" t="s">
        <v>377</v>
      </c>
      <c r="B598" s="110"/>
      <c r="C598" s="111" t="s">
        <v>175</v>
      </c>
      <c r="D598" s="111">
        <v>2021</v>
      </c>
      <c r="E598" s="146">
        <v>44561</v>
      </c>
      <c r="F598" s="111"/>
      <c r="G598" s="111">
        <v>811000111</v>
      </c>
      <c r="H598" s="111">
        <v>4101</v>
      </c>
      <c r="I598" s="111" t="str">
        <f>MID(G598,2,1)</f>
        <v>1</v>
      </c>
      <c r="J598" s="111" t="str">
        <f>IF(I598="1","Small/Medium","Large")</f>
        <v>Small/Medium</v>
      </c>
      <c r="K598" s="147" t="s">
        <v>145</v>
      </c>
      <c r="L598" s="117">
        <v>9680</v>
      </c>
      <c r="M598" s="120">
        <f>L598*0.3</f>
        <v>2904</v>
      </c>
      <c r="N598" s="120">
        <f>L598-M598</f>
        <v>6776</v>
      </c>
      <c r="O598" s="119">
        <f>N598/L598</f>
        <v>0.7</v>
      </c>
      <c r="P598" s="117">
        <v>9680</v>
      </c>
      <c r="Q598" s="111">
        <v>1304</v>
      </c>
      <c r="R598" s="117">
        <v>27.5</v>
      </c>
      <c r="S598" s="117">
        <f>821.7+369.88</f>
        <v>1191.58</v>
      </c>
      <c r="T598" s="117">
        <v>815.92</v>
      </c>
      <c r="U598" s="117">
        <v>1317.49</v>
      </c>
      <c r="V598" s="117">
        <v>0</v>
      </c>
      <c r="W598" s="26">
        <f>SUM(S598:V598)</f>
        <v>3324.99</v>
      </c>
      <c r="X598" s="118">
        <f>IFERROR(S598/R598,"")</f>
        <v>43.330181818181813</v>
      </c>
      <c r="Y598" s="119">
        <f>U598/P598</f>
        <v>0.13610433884297521</v>
      </c>
      <c r="Z598" s="117">
        <f>P598-W598</f>
        <v>6355.01</v>
      </c>
      <c r="AA598" s="119">
        <f>Z598/P598</f>
        <v>0.65650929752066123</v>
      </c>
      <c r="AB598" s="120">
        <f t="shared" ref="AB598:AB600" si="356">M598-W598</f>
        <v>-420.98999999999978</v>
      </c>
      <c r="AC598" s="119">
        <f>AA598-O598</f>
        <v>-4.3490702479338728E-2</v>
      </c>
      <c r="AD598" s="110"/>
      <c r="AE598" s="110"/>
      <c r="AF598" s="110"/>
      <c r="AG598" s="121"/>
    </row>
    <row r="599" spans="1:33" ht="11.25" customHeight="1" x14ac:dyDescent="0.15">
      <c r="A599" s="110" t="s">
        <v>377</v>
      </c>
      <c r="B599" s="110"/>
      <c r="C599" s="111" t="s">
        <v>164</v>
      </c>
      <c r="D599" s="111">
        <v>2021</v>
      </c>
      <c r="E599" s="146">
        <v>44561</v>
      </c>
      <c r="F599" s="111"/>
      <c r="G599" s="111" t="s">
        <v>378</v>
      </c>
      <c r="H599" s="111"/>
      <c r="I599" s="111"/>
      <c r="J599" s="111"/>
      <c r="K599" s="112" t="s">
        <v>379</v>
      </c>
      <c r="L599" s="117">
        <v>1155</v>
      </c>
      <c r="M599" s="140">
        <f>L599*0.35</f>
        <v>404.25</v>
      </c>
      <c r="N599" s="120">
        <f>L599-M599</f>
        <v>750.75</v>
      </c>
      <c r="O599" s="119">
        <f>N599/L599</f>
        <v>0.65</v>
      </c>
      <c r="P599" s="117">
        <v>1155</v>
      </c>
      <c r="Q599" s="111"/>
      <c r="R599" s="117"/>
      <c r="S599" s="117"/>
      <c r="T599" s="117"/>
      <c r="U599" s="117"/>
      <c r="V599" s="117"/>
      <c r="W599" s="26">
        <v>426.3057</v>
      </c>
      <c r="X599" s="118" t="str">
        <f>IFERROR(S599/R599,"")</f>
        <v/>
      </c>
      <c r="Y599" s="119">
        <f>U599/P599</f>
        <v>0</v>
      </c>
      <c r="Z599" s="117">
        <f>P599-W599</f>
        <v>728.6943</v>
      </c>
      <c r="AA599" s="119">
        <f>Z599/P599</f>
        <v>0.63090415584415582</v>
      </c>
      <c r="AB599" s="120">
        <f t="shared" si="356"/>
        <v>-22.055700000000002</v>
      </c>
      <c r="AC599" s="119">
        <f>AA599-O599</f>
        <v>-1.9095844155844199E-2</v>
      </c>
      <c r="AD599" s="110"/>
      <c r="AE599" s="110"/>
      <c r="AF599" s="110"/>
      <c r="AG599" s="121"/>
    </row>
    <row r="600" spans="1:33" ht="11.25" customHeight="1" x14ac:dyDescent="0.15">
      <c r="A600" s="110" t="s">
        <v>377</v>
      </c>
      <c r="B600" s="110"/>
      <c r="C600" s="111" t="s">
        <v>164</v>
      </c>
      <c r="D600" s="111">
        <v>2021</v>
      </c>
      <c r="E600" s="146">
        <v>44561</v>
      </c>
      <c r="F600" s="111"/>
      <c r="G600" s="111" t="s">
        <v>380</v>
      </c>
      <c r="H600" s="111"/>
      <c r="I600" s="111"/>
      <c r="J600" s="111"/>
      <c r="K600" s="112" t="s">
        <v>381</v>
      </c>
      <c r="L600" s="132">
        <v>1318</v>
      </c>
      <c r="M600" s="221">
        <f>L600*0.35</f>
        <v>461.29999999999995</v>
      </c>
      <c r="N600" s="219">
        <f>L600-M600</f>
        <v>856.7</v>
      </c>
      <c r="O600" s="119">
        <f>N600/L600</f>
        <v>0.65</v>
      </c>
      <c r="P600" s="132">
        <v>1318</v>
      </c>
      <c r="Q600" s="111"/>
      <c r="R600" s="132"/>
      <c r="S600" s="132"/>
      <c r="T600" s="132"/>
      <c r="U600" s="132"/>
      <c r="V600" s="132"/>
      <c r="W600" s="67">
        <v>461.41</v>
      </c>
      <c r="X600" s="118" t="str">
        <f>IFERROR(S600/R600,"")</f>
        <v/>
      </c>
      <c r="Y600" s="119">
        <f>U600/P600</f>
        <v>0</v>
      </c>
      <c r="Z600" s="117">
        <f>P600-W600</f>
        <v>856.58999999999992</v>
      </c>
      <c r="AA600" s="119">
        <f>Z600/P600</f>
        <v>0.64991654021244305</v>
      </c>
      <c r="AB600" s="120">
        <f t="shared" si="356"/>
        <v>-0.11000000000007049</v>
      </c>
      <c r="AC600" s="119">
        <f>AA600-O600</f>
        <v>-8.3459787556972032E-5</v>
      </c>
      <c r="AD600" s="110"/>
      <c r="AE600" s="110"/>
      <c r="AF600" s="110"/>
      <c r="AG600" s="121"/>
    </row>
    <row r="601" spans="1:33" s="53" customFormat="1" ht="11.25" customHeight="1" x14ac:dyDescent="0.15">
      <c r="A601" s="53" t="s">
        <v>53</v>
      </c>
      <c r="C601" s="54" t="s">
        <v>360</v>
      </c>
      <c r="D601" s="54">
        <v>2021</v>
      </c>
      <c r="E601" s="70">
        <v>44561</v>
      </c>
      <c r="F601" s="54"/>
      <c r="G601" s="54"/>
      <c r="H601" s="54"/>
      <c r="I601" s="54"/>
      <c r="J601" s="54"/>
      <c r="K601" s="106"/>
      <c r="L601" s="24">
        <f>SUM(L598:L600)</f>
        <v>12153</v>
      </c>
      <c r="M601" s="24">
        <f>SUM(M598:M600)</f>
        <v>3769.55</v>
      </c>
      <c r="N601" s="24">
        <f>SUM(N598:N600)</f>
        <v>8383.4500000000007</v>
      </c>
      <c r="O601" s="57"/>
      <c r="P601" s="24">
        <f>SUM(P598:P600)</f>
        <v>12153</v>
      </c>
      <c r="Q601" s="24"/>
      <c r="R601" s="24">
        <f t="shared" ref="R601:W601" si="357">SUM(R598:R600)</f>
        <v>27.5</v>
      </c>
      <c r="S601" s="24">
        <f t="shared" si="357"/>
        <v>1191.58</v>
      </c>
      <c r="T601" s="24">
        <f t="shared" si="357"/>
        <v>815.92</v>
      </c>
      <c r="U601" s="24">
        <f t="shared" si="357"/>
        <v>1317.49</v>
      </c>
      <c r="V601" s="24">
        <f t="shared" si="357"/>
        <v>0</v>
      </c>
      <c r="W601" s="24">
        <f t="shared" si="357"/>
        <v>4212.7056999999995</v>
      </c>
      <c r="X601" s="118"/>
      <c r="Y601" s="119"/>
      <c r="Z601" s="28"/>
      <c r="AA601" s="57"/>
      <c r="AB601" s="58"/>
      <c r="AC601" s="57"/>
      <c r="AG601" s="61"/>
    </row>
    <row r="602" spans="1:33" ht="11.25" customHeight="1" x14ac:dyDescent="0.15">
      <c r="A602" s="110" t="s">
        <v>377</v>
      </c>
      <c r="B602" s="110"/>
      <c r="C602" s="111" t="s">
        <v>49</v>
      </c>
      <c r="D602" s="111">
        <v>2021</v>
      </c>
      <c r="E602" s="146">
        <v>44561</v>
      </c>
      <c r="F602" s="111"/>
      <c r="G602" s="111">
        <v>616420121</v>
      </c>
      <c r="H602" s="111"/>
      <c r="I602" s="111"/>
      <c r="J602" s="111"/>
      <c r="K602" s="112" t="s">
        <v>85</v>
      </c>
      <c r="L602" s="117">
        <v>8053</v>
      </c>
      <c r="M602" s="140">
        <f>L602*0.35</f>
        <v>2818.5499999999997</v>
      </c>
      <c r="N602" s="120">
        <f>L602-M602</f>
        <v>5234.4500000000007</v>
      </c>
      <c r="O602" s="119">
        <f>IFERROR(N602/L602,0)</f>
        <v>0.65000000000000013</v>
      </c>
      <c r="P602" s="117">
        <v>8053</v>
      </c>
      <c r="Q602" s="111">
        <v>1305</v>
      </c>
      <c r="R602" s="117">
        <v>16</v>
      </c>
      <c r="S602" s="117">
        <f>628.48+282.88</f>
        <v>911.36</v>
      </c>
      <c r="T602" s="117">
        <v>420.57</v>
      </c>
      <c r="U602" s="117"/>
      <c r="V602" s="117"/>
      <c r="W602" s="26">
        <f>SUM(S602:V602)</f>
        <v>1331.93</v>
      </c>
      <c r="X602" s="118">
        <f>IFERROR(S602/R602,"")</f>
        <v>56.96</v>
      </c>
      <c r="Y602" s="119">
        <f>U602/P602</f>
        <v>0</v>
      </c>
      <c r="Z602" s="117">
        <f>P602-W602</f>
        <v>6721.07</v>
      </c>
      <c r="AA602" s="119">
        <f>Z602/P602</f>
        <v>0.8346044952191729</v>
      </c>
      <c r="AB602" s="120">
        <f t="shared" ref="AB602:AB604" si="358">M602-W602</f>
        <v>1486.6199999999997</v>
      </c>
      <c r="AC602" s="119">
        <f>AA602-O602</f>
        <v>0.18460449521917277</v>
      </c>
      <c r="AD602" s="110"/>
      <c r="AE602" s="110"/>
      <c r="AF602" s="110"/>
      <c r="AG602" s="121"/>
    </row>
    <row r="603" spans="1:33" ht="11.25" customHeight="1" x14ac:dyDescent="0.15">
      <c r="A603" s="110" t="s">
        <v>377</v>
      </c>
      <c r="B603" s="110"/>
      <c r="C603" s="111" t="s">
        <v>58</v>
      </c>
      <c r="D603" s="111">
        <v>2021</v>
      </c>
      <c r="E603" s="146">
        <v>44561</v>
      </c>
      <c r="F603" s="111"/>
      <c r="G603" s="111" t="s">
        <v>287</v>
      </c>
      <c r="H603" s="111"/>
      <c r="I603" s="111"/>
      <c r="J603" s="111"/>
      <c r="K603" s="112" t="s">
        <v>375</v>
      </c>
      <c r="L603" s="117">
        <v>19674</v>
      </c>
      <c r="M603" s="120">
        <f>L603*0.1</f>
        <v>1967.4</v>
      </c>
      <c r="N603" s="120">
        <f>L603-M603</f>
        <v>17706.599999999999</v>
      </c>
      <c r="O603" s="119">
        <f>IFERROR(N603/L603,0)</f>
        <v>0.89999999999999991</v>
      </c>
      <c r="P603" s="117">
        <v>19674</v>
      </c>
      <c r="Q603" s="111">
        <v>1306</v>
      </c>
      <c r="R603" s="117"/>
      <c r="S603" s="117"/>
      <c r="T603" s="117"/>
      <c r="U603" s="117">
        <v>2095.0500000000002</v>
      </c>
      <c r="V603" s="117"/>
      <c r="W603" s="26">
        <f>SUM(S603:V603)</f>
        <v>2095.0500000000002</v>
      </c>
      <c r="X603" s="118" t="str">
        <f>IFERROR(S603/R603,"")</f>
        <v/>
      </c>
      <c r="Y603" s="119">
        <f>U603/P603</f>
        <v>0.10648825861543154</v>
      </c>
      <c r="Z603" s="117">
        <f>P603-W603</f>
        <v>17578.95</v>
      </c>
      <c r="AA603" s="119">
        <f>Z603/P603</f>
        <v>0.89351174138456846</v>
      </c>
      <c r="AB603" s="120">
        <f t="shared" si="358"/>
        <v>-127.65000000000009</v>
      </c>
      <c r="AC603" s="119">
        <f>AA603-O603</f>
        <v>-6.4882586154314525E-3</v>
      </c>
      <c r="AD603" s="110"/>
      <c r="AE603" s="110"/>
      <c r="AF603" s="110"/>
      <c r="AG603" s="121"/>
    </row>
    <row r="604" spans="1:33" s="53" customFormat="1" ht="11.25" customHeight="1" x14ac:dyDescent="0.15">
      <c r="A604" s="53" t="s">
        <v>377</v>
      </c>
      <c r="C604" s="54" t="s">
        <v>177</v>
      </c>
      <c r="D604" s="54">
        <v>2021</v>
      </c>
      <c r="E604" s="70">
        <v>44561</v>
      </c>
      <c r="F604" s="54"/>
      <c r="G604" s="54"/>
      <c r="H604" s="54"/>
      <c r="I604" s="54"/>
      <c r="J604" s="54"/>
      <c r="K604" s="106"/>
      <c r="L604" s="24">
        <f>SUM(L601:L603)</f>
        <v>39880</v>
      </c>
      <c r="M604" s="24">
        <f>SUM(M601:M603)</f>
        <v>8555.5</v>
      </c>
      <c r="N604" s="24">
        <f>SUM(N601:N603)</f>
        <v>31324.5</v>
      </c>
      <c r="O604" s="57">
        <f>N604/L604</f>
        <v>0.78546890672016045</v>
      </c>
      <c r="P604" s="24">
        <f>SUM(P601:P603)</f>
        <v>39880</v>
      </c>
      <c r="Q604" s="24"/>
      <c r="R604" s="24">
        <f t="shared" ref="R604:W604" si="359">SUM(R601:R603)</f>
        <v>43.5</v>
      </c>
      <c r="S604" s="24">
        <f t="shared" si="359"/>
        <v>2102.94</v>
      </c>
      <c r="T604" s="24">
        <f t="shared" si="359"/>
        <v>1236.49</v>
      </c>
      <c r="U604" s="24">
        <f t="shared" si="359"/>
        <v>3412.54</v>
      </c>
      <c r="V604" s="24">
        <f t="shared" si="359"/>
        <v>0</v>
      </c>
      <c r="W604" s="24">
        <f t="shared" si="359"/>
        <v>7639.6857</v>
      </c>
      <c r="X604" s="56"/>
      <c r="Y604" s="57">
        <f>U604/P604</f>
        <v>8.5570210631895682E-2</v>
      </c>
      <c r="Z604" s="28">
        <f>P604-W604</f>
        <v>32240.314299999998</v>
      </c>
      <c r="AA604" s="57">
        <f>Z604/P604</f>
        <v>0.80843315697091267</v>
      </c>
      <c r="AB604" s="120">
        <f t="shared" si="358"/>
        <v>915.8143</v>
      </c>
      <c r="AC604" s="57">
        <f>AA604-O604</f>
        <v>2.2964250250752216E-2</v>
      </c>
      <c r="AG604" s="61"/>
    </row>
    <row r="605" spans="1:33" ht="11.25" customHeight="1" x14ac:dyDescent="0.15">
      <c r="A605" s="130" t="s">
        <v>53</v>
      </c>
      <c r="B605" s="130"/>
      <c r="C605" s="124"/>
      <c r="D605" s="124"/>
      <c r="E605" s="273"/>
      <c r="F605" s="124"/>
      <c r="G605" s="124"/>
      <c r="H605" s="124"/>
      <c r="I605" s="124"/>
      <c r="J605" s="124"/>
      <c r="K605" s="125"/>
      <c r="L605" s="129"/>
      <c r="M605" s="129"/>
      <c r="N605" s="129"/>
      <c r="O605" s="128"/>
      <c r="P605" s="129"/>
      <c r="Q605" s="124"/>
      <c r="R605" s="129"/>
      <c r="S605" s="129"/>
      <c r="T605" s="129"/>
      <c r="U605" s="129"/>
      <c r="V605" s="126"/>
      <c r="W605" s="49"/>
      <c r="X605" s="45"/>
      <c r="Y605" s="128"/>
      <c r="Z605" s="126"/>
      <c r="AA605" s="128"/>
      <c r="AB605" s="129"/>
      <c r="AC605" s="160"/>
      <c r="AD605" s="137"/>
      <c r="AE605" s="110"/>
      <c r="AF605" s="110"/>
      <c r="AG605" s="121"/>
    </row>
    <row r="606" spans="1:33" ht="11.25" customHeight="1" x14ac:dyDescent="0.15">
      <c r="A606" s="110" t="s">
        <v>382</v>
      </c>
      <c r="B606" s="110"/>
      <c r="C606" s="111" t="s">
        <v>37</v>
      </c>
      <c r="D606" s="111">
        <v>2021</v>
      </c>
      <c r="E606" s="146">
        <v>44561</v>
      </c>
      <c r="F606" s="111"/>
      <c r="G606" s="111">
        <v>110121111</v>
      </c>
      <c r="H606" s="111"/>
      <c r="I606" s="16" t="str">
        <f>MID(G606,2,1)</f>
        <v>1</v>
      </c>
      <c r="J606" s="111" t="s">
        <v>39</v>
      </c>
      <c r="K606" s="112" t="s">
        <v>383</v>
      </c>
      <c r="L606" s="117">
        <v>80513</v>
      </c>
      <c r="M606" s="140">
        <f>L606*0.35</f>
        <v>28179.55</v>
      </c>
      <c r="N606" s="120">
        <f>L606-M606</f>
        <v>52333.45</v>
      </c>
      <c r="O606" s="119">
        <f>N606/L606</f>
        <v>0.64999999999999991</v>
      </c>
      <c r="P606" s="117">
        <v>80513</v>
      </c>
      <c r="Q606" s="111">
        <v>1311</v>
      </c>
      <c r="R606" s="117">
        <v>25</v>
      </c>
      <c r="S606" s="117">
        <f>597.49+268.93</f>
        <v>866.42000000000007</v>
      </c>
      <c r="T606" s="117"/>
      <c r="U606" s="117">
        <v>21942.54</v>
      </c>
      <c r="V606" s="117"/>
      <c r="W606" s="26">
        <f>SUM(S606:V606)</f>
        <v>22808.959999999999</v>
      </c>
      <c r="X606" s="118">
        <f>IFERROR(S606/R606,"")</f>
        <v>34.656800000000004</v>
      </c>
      <c r="Y606" s="119">
        <f>U606/P606</f>
        <v>0.27253412492392531</v>
      </c>
      <c r="Z606" s="117">
        <f>P606-W606</f>
        <v>57704.04</v>
      </c>
      <c r="AA606" s="119">
        <f>Z606/P606</f>
        <v>0.71670463155018449</v>
      </c>
      <c r="AB606" s="120">
        <f t="shared" ref="AB606:AB616" si="360">M606-W606</f>
        <v>5370.59</v>
      </c>
      <c r="AC606" s="119">
        <f>AA606-O606</f>
        <v>6.6704631550184579E-2</v>
      </c>
      <c r="AD606" s="110"/>
      <c r="AE606" s="110"/>
      <c r="AF606" s="110"/>
      <c r="AG606" s="121"/>
    </row>
    <row r="607" spans="1:33" ht="11.25" customHeight="1" x14ac:dyDescent="0.15">
      <c r="A607" s="110" t="s">
        <v>382</v>
      </c>
      <c r="B607" s="110"/>
      <c r="C607" s="111" t="s">
        <v>37</v>
      </c>
      <c r="D607" s="111">
        <v>2021</v>
      </c>
      <c r="E607" s="146">
        <v>44561</v>
      </c>
      <c r="F607" s="111"/>
      <c r="G607" s="111">
        <v>210010111</v>
      </c>
      <c r="H607" s="111"/>
      <c r="I607" s="111"/>
      <c r="J607" s="111"/>
      <c r="K607" s="112" t="s">
        <v>384</v>
      </c>
      <c r="L607" s="117">
        <v>8110.29</v>
      </c>
      <c r="M607" s="140">
        <f>L607*0.35</f>
        <v>2838.6014999999998</v>
      </c>
      <c r="N607" s="120">
        <f>L607-M607</f>
        <v>5271.6885000000002</v>
      </c>
      <c r="O607" s="119">
        <f>N607/L607</f>
        <v>0.65</v>
      </c>
      <c r="P607" s="117">
        <v>8110.29</v>
      </c>
      <c r="Q607" s="111">
        <v>1312</v>
      </c>
      <c r="R607" s="117"/>
      <c r="S607" s="117"/>
      <c r="T607" s="117"/>
      <c r="U607" s="117">
        <v>3142.95</v>
      </c>
      <c r="V607" s="117"/>
      <c r="W607" s="26">
        <f>SUM(S607:V607)</f>
        <v>3142.95</v>
      </c>
      <c r="X607" s="118" t="str">
        <f>IFERROR(S607/R607,"")</f>
        <v/>
      </c>
      <c r="Y607" s="119">
        <f>U607/P607</f>
        <v>0.38752621669508736</v>
      </c>
      <c r="Z607" s="117">
        <f>P607-W607</f>
        <v>4967.34</v>
      </c>
      <c r="AA607" s="119">
        <f>Z607/P607</f>
        <v>0.61247378330491264</v>
      </c>
      <c r="AB607" s="120">
        <f t="shared" si="360"/>
        <v>-304.34850000000006</v>
      </c>
      <c r="AC607" s="119">
        <f>AA607-O607</f>
        <v>-3.7526216695087378E-2</v>
      </c>
      <c r="AD607" s="110" t="s">
        <v>385</v>
      </c>
      <c r="AE607" s="110"/>
      <c r="AF607" s="110"/>
      <c r="AG607" s="121"/>
    </row>
    <row r="608" spans="1:33" ht="11.25" customHeight="1" x14ac:dyDescent="0.15">
      <c r="A608" s="110" t="s">
        <v>382</v>
      </c>
      <c r="B608" s="110"/>
      <c r="C608" s="111" t="s">
        <v>37</v>
      </c>
      <c r="D608" s="111">
        <v>2021</v>
      </c>
      <c r="E608" s="146">
        <v>44561</v>
      </c>
      <c r="F608" s="111"/>
      <c r="G608" s="111">
        <v>210100111</v>
      </c>
      <c r="H608" s="111"/>
      <c r="I608" s="111"/>
      <c r="J608" s="111"/>
      <c r="K608" s="112" t="s">
        <v>386</v>
      </c>
      <c r="L608" s="117">
        <v>14711.71</v>
      </c>
      <c r="M608" s="140">
        <f>L608*0.35</f>
        <v>5149.0984999999991</v>
      </c>
      <c r="N608" s="120">
        <f>L608-M608</f>
        <v>9562.6114999999991</v>
      </c>
      <c r="O608" s="119">
        <f>N608/L608</f>
        <v>0.65</v>
      </c>
      <c r="P608" s="117">
        <v>14711.71</v>
      </c>
      <c r="Q608" s="111">
        <v>1313</v>
      </c>
      <c r="R608" s="117"/>
      <c r="S608" s="117"/>
      <c r="T608" s="117"/>
      <c r="U608" s="117">
        <v>5038.12</v>
      </c>
      <c r="V608" s="117"/>
      <c r="W608" s="26">
        <f>SUM(S608:V608)</f>
        <v>5038.12</v>
      </c>
      <c r="X608" s="118" t="str">
        <f>IFERROR(S608/R608,"")</f>
        <v/>
      </c>
      <c r="Y608" s="119">
        <f>U608/P608</f>
        <v>0.34245645135745606</v>
      </c>
      <c r="Z608" s="117">
        <f>P608-W608</f>
        <v>9673.59</v>
      </c>
      <c r="AA608" s="119">
        <f>Z608/P608</f>
        <v>0.65754354864254394</v>
      </c>
      <c r="AB608" s="120">
        <f t="shared" si="360"/>
        <v>110.97849999999926</v>
      </c>
      <c r="AC608" s="119">
        <f>AA608-O608</f>
        <v>7.543548642543918E-3</v>
      </c>
      <c r="AD608" s="110"/>
      <c r="AE608" s="110"/>
      <c r="AF608" s="110"/>
      <c r="AG608" s="121"/>
    </row>
    <row r="609" spans="1:33" ht="11.25" customHeight="1" x14ac:dyDescent="0.15">
      <c r="A609" s="110" t="s">
        <v>382</v>
      </c>
      <c r="B609" s="110"/>
      <c r="C609" s="111" t="s">
        <v>37</v>
      </c>
      <c r="D609" s="111">
        <v>2021</v>
      </c>
      <c r="E609" s="146">
        <v>44561</v>
      </c>
      <c r="F609" s="111"/>
      <c r="G609" s="111">
        <v>310800301</v>
      </c>
      <c r="H609" s="111"/>
      <c r="I609" s="111"/>
      <c r="J609" s="111"/>
      <c r="K609" s="112" t="s">
        <v>387</v>
      </c>
      <c r="L609" s="132">
        <v>40406</v>
      </c>
      <c r="M609" s="221">
        <f>L609*0.35</f>
        <v>14142.099999999999</v>
      </c>
      <c r="N609" s="219">
        <f>L609-M609</f>
        <v>26263.9</v>
      </c>
      <c r="O609" s="119">
        <f>N609/L609</f>
        <v>0.65</v>
      </c>
      <c r="P609" s="132">
        <v>40406</v>
      </c>
      <c r="Q609" s="111">
        <v>1314</v>
      </c>
      <c r="R609" s="132">
        <v>21</v>
      </c>
      <c r="S609" s="132">
        <f>516.84+232.62</f>
        <v>749.46</v>
      </c>
      <c r="T609" s="132"/>
      <c r="U609" s="132">
        <v>13074.67</v>
      </c>
      <c r="V609" s="132"/>
      <c r="W609" s="67">
        <f>SUM(S609:V609)</f>
        <v>13824.130000000001</v>
      </c>
      <c r="X609" s="118">
        <f>IFERROR(S609/R609,"")</f>
        <v>35.688571428571429</v>
      </c>
      <c r="Y609" s="119">
        <f>U609/P609</f>
        <v>0.32358238875414541</v>
      </c>
      <c r="Z609" s="117">
        <f>P609-W609</f>
        <v>26581.87</v>
      </c>
      <c r="AA609" s="119">
        <f>Z609/P609</f>
        <v>0.65786937583527194</v>
      </c>
      <c r="AB609" s="120">
        <f t="shared" si="360"/>
        <v>317.96999999999753</v>
      </c>
      <c r="AC609" s="119">
        <f>AA609-O609</f>
        <v>7.869375835271919E-3</v>
      </c>
      <c r="AD609" s="110"/>
      <c r="AE609" s="110"/>
      <c r="AF609" s="110"/>
      <c r="AG609" s="121"/>
    </row>
    <row r="610" spans="1:33" s="53" customFormat="1" ht="11.25" customHeight="1" x14ac:dyDescent="0.15">
      <c r="A610" s="53" t="s">
        <v>382</v>
      </c>
      <c r="C610" s="54" t="s">
        <v>360</v>
      </c>
      <c r="D610" s="54">
        <v>2021</v>
      </c>
      <c r="E610" s="70">
        <v>44561</v>
      </c>
      <c r="F610" s="54"/>
      <c r="G610" s="54"/>
      <c r="H610" s="54"/>
      <c r="I610" s="54"/>
      <c r="J610" s="54"/>
      <c r="K610" s="106"/>
      <c r="L610" s="24">
        <f>SUM(L606:L609)</f>
        <v>143741</v>
      </c>
      <c r="M610" s="24">
        <f>SUM(M606:M609)</f>
        <v>50309.35</v>
      </c>
      <c r="N610" s="24">
        <f>SUM(N606:N609)</f>
        <v>93431.65</v>
      </c>
      <c r="O610" s="57"/>
      <c r="P610" s="24">
        <f>SUM(P606:P609)</f>
        <v>143741</v>
      </c>
      <c r="Q610" s="24"/>
      <c r="R610" s="24">
        <f t="shared" ref="R610:W610" si="361">SUM(R606:R609)</f>
        <v>46</v>
      </c>
      <c r="S610" s="24">
        <f t="shared" si="361"/>
        <v>1615.88</v>
      </c>
      <c r="T610" s="24">
        <f t="shared" si="361"/>
        <v>0</v>
      </c>
      <c r="U610" s="24">
        <f t="shared" si="361"/>
        <v>43198.28</v>
      </c>
      <c r="V610" s="24">
        <f t="shared" si="361"/>
        <v>0</v>
      </c>
      <c r="W610" s="24">
        <f t="shared" si="361"/>
        <v>44814.16</v>
      </c>
      <c r="X610" s="56"/>
      <c r="Y610" s="57"/>
      <c r="Z610" s="28"/>
      <c r="AA610" s="57"/>
      <c r="AB610" s="120">
        <f t="shared" si="360"/>
        <v>5495.1899999999951</v>
      </c>
      <c r="AC610" s="57"/>
      <c r="AG610" s="61"/>
    </row>
    <row r="611" spans="1:33" ht="11.25" customHeight="1" x14ac:dyDescent="0.15">
      <c r="A611" s="110" t="s">
        <v>382</v>
      </c>
      <c r="B611" s="110"/>
      <c r="C611" s="111" t="s">
        <v>47</v>
      </c>
      <c r="D611" s="111">
        <v>2021</v>
      </c>
      <c r="E611" s="146">
        <v>44561</v>
      </c>
      <c r="F611" s="111"/>
      <c r="G611" s="111">
        <v>510121111</v>
      </c>
      <c r="H611" s="111"/>
      <c r="I611" s="111"/>
      <c r="J611" s="111"/>
      <c r="K611" s="112" t="s">
        <v>81</v>
      </c>
      <c r="L611" s="117">
        <v>30343</v>
      </c>
      <c r="M611" s="140">
        <f>L611*0.35</f>
        <v>10620.05</v>
      </c>
      <c r="N611" s="120">
        <f>L611-M611</f>
        <v>19722.95</v>
      </c>
      <c r="O611" s="119">
        <f>N611/L611</f>
        <v>0.65</v>
      </c>
      <c r="P611" s="117">
        <v>30343</v>
      </c>
      <c r="Q611" s="111">
        <v>1315</v>
      </c>
      <c r="R611" s="117">
        <v>98</v>
      </c>
      <c r="S611" s="117">
        <f>3029.2+1363.2</f>
        <v>4392.3999999999996</v>
      </c>
      <c r="T611" s="117">
        <v>2881.73</v>
      </c>
      <c r="U611" s="117">
        <v>1647.04</v>
      </c>
      <c r="V611" s="117"/>
      <c r="W611" s="26">
        <f>SUM(S611:V611)</f>
        <v>8921.1699999999983</v>
      </c>
      <c r="X611" s="118">
        <f>IFERROR(S611/R611,"")</f>
        <v>44.820408163265306</v>
      </c>
      <c r="Y611" s="119">
        <f>U611/P611</f>
        <v>5.4280723725406189E-2</v>
      </c>
      <c r="Z611" s="117">
        <f t="shared" ref="Z611:Z616" si="362">P611-W611</f>
        <v>21421.83</v>
      </c>
      <c r="AA611" s="119">
        <f>Z611/P611</f>
        <v>0.70598919025804974</v>
      </c>
      <c r="AB611" s="120">
        <f t="shared" si="360"/>
        <v>1698.880000000001</v>
      </c>
      <c r="AC611" s="119">
        <f t="shared" ref="AC611:AC616" si="363">AA611-O611</f>
        <v>5.5989190258049715E-2</v>
      </c>
      <c r="AD611" s="110"/>
      <c r="AE611" s="110"/>
      <c r="AF611" s="110"/>
      <c r="AG611" s="121"/>
    </row>
    <row r="612" spans="1:33" ht="11.25" customHeight="1" x14ac:dyDescent="0.15">
      <c r="A612" s="110" t="s">
        <v>382</v>
      </c>
      <c r="B612" s="110"/>
      <c r="C612" s="111" t="s">
        <v>49</v>
      </c>
      <c r="D612" s="111">
        <v>2021</v>
      </c>
      <c r="E612" s="146">
        <v>44561</v>
      </c>
      <c r="F612" s="111"/>
      <c r="G612" s="111">
        <v>616520121</v>
      </c>
      <c r="H612" s="111"/>
      <c r="I612" s="111"/>
      <c r="J612" s="111"/>
      <c r="K612" s="112" t="s">
        <v>85</v>
      </c>
      <c r="L612" s="117">
        <v>7383</v>
      </c>
      <c r="M612" s="140">
        <f>L612*0.35</f>
        <v>2584.0499999999997</v>
      </c>
      <c r="N612" s="120">
        <f>L612-M612</f>
        <v>4798.9500000000007</v>
      </c>
      <c r="O612" s="119">
        <f>N612/L612</f>
        <v>0.65000000000000013</v>
      </c>
      <c r="P612" s="117">
        <v>7383</v>
      </c>
      <c r="Q612" s="111">
        <v>1317</v>
      </c>
      <c r="R612" s="117">
        <v>32</v>
      </c>
      <c r="S612" s="117">
        <f>1256.96+565.76</f>
        <v>1822.72</v>
      </c>
      <c r="T612" s="117">
        <v>1813.47</v>
      </c>
      <c r="U612" s="117">
        <v>119.78</v>
      </c>
      <c r="V612" s="117"/>
      <c r="W612" s="26">
        <f>SUM(S612:V612)</f>
        <v>3755.9700000000003</v>
      </c>
      <c r="X612" s="118">
        <f>IFERROR(S612/R612,"")</f>
        <v>56.96</v>
      </c>
      <c r="Y612" s="119">
        <f>U612/P612</f>
        <v>1.6223757280238386E-2</v>
      </c>
      <c r="Z612" s="117">
        <f t="shared" si="362"/>
        <v>3627.0299999999997</v>
      </c>
      <c r="AA612" s="119">
        <f>Z612/P612</f>
        <v>0.49126777732629007</v>
      </c>
      <c r="AB612" s="120">
        <f t="shared" si="360"/>
        <v>-1171.9200000000005</v>
      </c>
      <c r="AC612" s="119">
        <f t="shared" si="363"/>
        <v>-0.15873222267371007</v>
      </c>
      <c r="AD612" s="110" t="s">
        <v>388</v>
      </c>
      <c r="AE612" s="110"/>
      <c r="AF612" s="110"/>
      <c r="AG612" s="121"/>
    </row>
    <row r="613" spans="1:33" ht="11.25" customHeight="1" x14ac:dyDescent="0.15">
      <c r="A613" s="110" t="s">
        <v>382</v>
      </c>
      <c r="B613" s="110"/>
      <c r="C613" s="111" t="s">
        <v>55</v>
      </c>
      <c r="D613" s="111">
        <v>2021</v>
      </c>
      <c r="E613" s="146">
        <v>44561</v>
      </c>
      <c r="F613" s="111"/>
      <c r="G613" s="111" t="s">
        <v>56</v>
      </c>
      <c r="H613" s="111"/>
      <c r="I613" s="111"/>
      <c r="J613" s="111"/>
      <c r="K613" s="112" t="s">
        <v>71</v>
      </c>
      <c r="L613" s="132">
        <v>5000</v>
      </c>
      <c r="M613" s="219">
        <f>L613*0.5</f>
        <v>2500</v>
      </c>
      <c r="N613" s="219">
        <f>L613-M613</f>
        <v>2500</v>
      </c>
      <c r="O613" s="163">
        <f>N613/L613</f>
        <v>0.5</v>
      </c>
      <c r="P613" s="132">
        <v>5000</v>
      </c>
      <c r="Q613" s="111">
        <v>1318</v>
      </c>
      <c r="R613" s="132">
        <v>16</v>
      </c>
      <c r="S613" s="132">
        <f>440+198.08</f>
        <v>638.08000000000004</v>
      </c>
      <c r="T613" s="132"/>
      <c r="U613" s="132"/>
      <c r="V613" s="132">
        <v>1702.92</v>
      </c>
      <c r="W613" s="67">
        <f>SUM(S613:V613)</f>
        <v>2341</v>
      </c>
      <c r="X613" s="118">
        <f>IFERROR(S613/R613,"")</f>
        <v>39.880000000000003</v>
      </c>
      <c r="Y613" s="119">
        <f>U613/P613</f>
        <v>0</v>
      </c>
      <c r="Z613" s="117">
        <f t="shared" si="362"/>
        <v>2659</v>
      </c>
      <c r="AA613" s="119">
        <f>Z613/P613</f>
        <v>0.53180000000000005</v>
      </c>
      <c r="AB613" s="120">
        <f t="shared" si="360"/>
        <v>159</v>
      </c>
      <c r="AC613" s="119">
        <f t="shared" si="363"/>
        <v>3.180000000000005E-2</v>
      </c>
      <c r="AD613" s="110"/>
      <c r="AE613" s="110"/>
      <c r="AF613" s="110"/>
      <c r="AG613" s="121"/>
    </row>
    <row r="614" spans="1:33" ht="11.25" customHeight="1" x14ac:dyDescent="0.15">
      <c r="A614" s="110" t="s">
        <v>382</v>
      </c>
      <c r="B614" s="110"/>
      <c r="C614" s="111" t="s">
        <v>248</v>
      </c>
      <c r="D614" s="111">
        <v>2021</v>
      </c>
      <c r="E614" s="146">
        <v>44561</v>
      </c>
      <c r="F614" s="111"/>
      <c r="G614" s="111" t="s">
        <v>337</v>
      </c>
      <c r="H614" s="111"/>
      <c r="I614" s="111"/>
      <c r="J614" s="111"/>
      <c r="K614" s="112" t="s">
        <v>250</v>
      </c>
      <c r="L614" s="117">
        <v>9928</v>
      </c>
      <c r="M614" s="120">
        <f>L614*0.5</f>
        <v>4964</v>
      </c>
      <c r="N614" s="120">
        <f>L614-M614</f>
        <v>4964</v>
      </c>
      <c r="O614" s="119">
        <f>N614/L614</f>
        <v>0.5</v>
      </c>
      <c r="P614" s="117">
        <v>9928</v>
      </c>
      <c r="Q614" s="111"/>
      <c r="R614" s="117"/>
      <c r="S614" s="117"/>
      <c r="T614" s="117"/>
      <c r="U614" s="117"/>
      <c r="V614" s="117"/>
      <c r="W614" s="26">
        <f>SUM(S614:V614)</f>
        <v>0</v>
      </c>
      <c r="X614" s="118" t="str">
        <f>IFERROR(S614/R614,"")</f>
        <v/>
      </c>
      <c r="Y614" s="119">
        <f>IFERROR(U614/P614,0)</f>
        <v>0</v>
      </c>
      <c r="Z614" s="117">
        <f t="shared" si="362"/>
        <v>9928</v>
      </c>
      <c r="AA614" s="119">
        <f>IFERROR(Z614/P614,0)</f>
        <v>1</v>
      </c>
      <c r="AB614" s="120">
        <f t="shared" si="360"/>
        <v>4964</v>
      </c>
      <c r="AC614" s="119">
        <f t="shared" si="363"/>
        <v>0.5</v>
      </c>
      <c r="AD614" s="110"/>
      <c r="AE614" s="110"/>
      <c r="AF614" s="110"/>
      <c r="AG614" s="121"/>
    </row>
    <row r="615" spans="1:33" ht="11.25" customHeight="1" x14ac:dyDescent="0.15">
      <c r="A615" s="110" t="s">
        <v>382</v>
      </c>
      <c r="B615" s="110"/>
      <c r="C615" s="111" t="s">
        <v>58</v>
      </c>
      <c r="D615" s="111">
        <v>2021</v>
      </c>
      <c r="E615" s="146">
        <v>44561</v>
      </c>
      <c r="F615" s="111"/>
      <c r="G615" s="111" t="s">
        <v>389</v>
      </c>
      <c r="H615" s="111"/>
      <c r="I615" s="111"/>
      <c r="J615" s="111"/>
      <c r="K615" s="112" t="s">
        <v>390</v>
      </c>
      <c r="L615" s="117">
        <v>12085</v>
      </c>
      <c r="M615" s="120">
        <f>L615*0.1</f>
        <v>1208.5</v>
      </c>
      <c r="N615" s="120">
        <f>L615-M615</f>
        <v>10876.5</v>
      </c>
      <c r="O615" s="119">
        <f>IFERROR(N615/L615,0)</f>
        <v>0.9</v>
      </c>
      <c r="P615" s="117">
        <v>12085</v>
      </c>
      <c r="Q615" s="111">
        <v>1316</v>
      </c>
      <c r="R615" s="117"/>
      <c r="S615" s="117"/>
      <c r="T615" s="117"/>
      <c r="U615" s="117">
        <v>1949.31</v>
      </c>
      <c r="V615" s="117"/>
      <c r="W615" s="26">
        <f>SUM(S615:V615)</f>
        <v>1949.31</v>
      </c>
      <c r="X615" s="118" t="str">
        <f>IFERROR(S615/R615,"")</f>
        <v/>
      </c>
      <c r="Y615" s="119">
        <f>IFERROR(U615/P615,0)</f>
        <v>0.16129995862639634</v>
      </c>
      <c r="Z615" s="117">
        <f t="shared" si="362"/>
        <v>10135.69</v>
      </c>
      <c r="AA615" s="119">
        <f>IFERROR(Z615/P615,0)</f>
        <v>0.83870004137360366</v>
      </c>
      <c r="AB615" s="120">
        <f t="shared" si="360"/>
        <v>-740.81</v>
      </c>
      <c r="AC615" s="119">
        <f t="shared" si="363"/>
        <v>-6.1299958626396367E-2</v>
      </c>
      <c r="AD615" s="110"/>
      <c r="AE615" s="110"/>
      <c r="AF615" s="110"/>
      <c r="AG615" s="121"/>
    </row>
    <row r="616" spans="1:33" s="53" customFormat="1" ht="11.25" customHeight="1" x14ac:dyDescent="0.15">
      <c r="A616" s="53" t="s">
        <v>382</v>
      </c>
      <c r="C616" s="54" t="s">
        <v>177</v>
      </c>
      <c r="D616" s="54">
        <v>2021</v>
      </c>
      <c r="E616" s="70">
        <v>44561</v>
      </c>
      <c r="F616" s="54"/>
      <c r="G616" s="54"/>
      <c r="H616" s="54"/>
      <c r="I616" s="54"/>
      <c r="J616" s="54"/>
      <c r="K616" s="106"/>
      <c r="L616" s="24">
        <f>SUM(L610:L615)</f>
        <v>208480</v>
      </c>
      <c r="M616" s="24">
        <f>SUM(M610:M615)</f>
        <v>72185.95</v>
      </c>
      <c r="N616" s="24">
        <f>SUM(N610:N615)</f>
        <v>136294.04999999999</v>
      </c>
      <c r="O616" s="57">
        <f>N616/L616</f>
        <v>0.65375119915579427</v>
      </c>
      <c r="P616" s="24">
        <f>SUM(P610:P615)</f>
        <v>208480</v>
      </c>
      <c r="Q616" s="24"/>
      <c r="R616" s="24">
        <f t="shared" ref="R616:W616" si="364">SUM(R610:R615)</f>
        <v>192</v>
      </c>
      <c r="S616" s="24">
        <f t="shared" si="364"/>
        <v>8469.08</v>
      </c>
      <c r="T616" s="24">
        <f t="shared" si="364"/>
        <v>4695.2</v>
      </c>
      <c r="U616" s="24">
        <f t="shared" si="364"/>
        <v>46914.409999999996</v>
      </c>
      <c r="V616" s="24">
        <f t="shared" si="364"/>
        <v>1702.92</v>
      </c>
      <c r="W616" s="24">
        <f t="shared" si="364"/>
        <v>61781.61</v>
      </c>
      <c r="X616" s="56"/>
      <c r="Y616" s="57">
        <f>U616/P616</f>
        <v>0.22503074635456638</v>
      </c>
      <c r="Z616" s="28">
        <f t="shared" si="362"/>
        <v>146698.39000000001</v>
      </c>
      <c r="AA616" s="57">
        <f>Z616/P616</f>
        <v>0.70365689754412897</v>
      </c>
      <c r="AB616" s="120">
        <f t="shared" si="360"/>
        <v>10404.339999999997</v>
      </c>
      <c r="AC616" s="57">
        <f t="shared" si="363"/>
        <v>4.9905698388334696E-2</v>
      </c>
      <c r="AG616" s="61"/>
    </row>
    <row r="617" spans="1:33" ht="11.25" customHeight="1" x14ac:dyDescent="0.15">
      <c r="A617" s="130" t="s">
        <v>53</v>
      </c>
      <c r="B617" s="130"/>
      <c r="C617" s="124"/>
      <c r="D617" s="124"/>
      <c r="E617" s="273"/>
      <c r="F617" s="124"/>
      <c r="G617" s="124"/>
      <c r="H617" s="124"/>
      <c r="I617" s="124"/>
      <c r="J617" s="124"/>
      <c r="K617" s="125"/>
      <c r="L617" s="129"/>
      <c r="M617" s="129"/>
      <c r="N617" s="129"/>
      <c r="O617" s="128"/>
      <c r="P617" s="129"/>
      <c r="Q617" s="124"/>
      <c r="R617" s="129"/>
      <c r="S617" s="129"/>
      <c r="T617" s="129"/>
      <c r="U617" s="129"/>
      <c r="V617" s="126"/>
      <c r="W617" s="49"/>
      <c r="X617" s="45"/>
      <c r="Y617" s="128"/>
      <c r="Z617" s="126"/>
      <c r="AA617" s="128"/>
      <c r="AB617" s="129"/>
      <c r="AC617" s="160"/>
      <c r="AD617" s="137"/>
      <c r="AE617" s="110"/>
      <c r="AF617" s="110"/>
      <c r="AG617" s="121"/>
    </row>
    <row r="618" spans="1:33" ht="11.25" customHeight="1" x14ac:dyDescent="0.15">
      <c r="A618" s="110" t="s">
        <v>306</v>
      </c>
      <c r="B618" s="110"/>
      <c r="C618" s="111" t="s">
        <v>180</v>
      </c>
      <c r="D618" s="111">
        <v>2021</v>
      </c>
      <c r="E618" s="146">
        <v>44561</v>
      </c>
      <c r="F618" s="111"/>
      <c r="G618" s="111">
        <v>921001121</v>
      </c>
      <c r="H618" s="111"/>
      <c r="I618" s="111"/>
      <c r="J618" s="111"/>
      <c r="K618" s="112" t="s">
        <v>391</v>
      </c>
      <c r="L618" s="117">
        <v>16286</v>
      </c>
      <c r="M618" s="140">
        <f>L618*0.35</f>
        <v>5700.0999999999995</v>
      </c>
      <c r="N618" s="120">
        <f>L618-M618</f>
        <v>10585.900000000001</v>
      </c>
      <c r="O618" s="119">
        <f>N618/L618</f>
        <v>0.65000000000000013</v>
      </c>
      <c r="P618" s="117">
        <v>16286</v>
      </c>
      <c r="Q618" s="111">
        <v>1324</v>
      </c>
      <c r="R618" s="117"/>
      <c r="S618" s="117"/>
      <c r="T618" s="117"/>
      <c r="U618" s="117">
        <v>9210.16</v>
      </c>
      <c r="V618" s="117"/>
      <c r="W618" s="26">
        <f>SUM(S618:V618)</f>
        <v>9210.16</v>
      </c>
      <c r="X618" s="118" t="str">
        <f>IFERROR(S618/R618,"")</f>
        <v/>
      </c>
      <c r="Y618" s="119">
        <f>U618/P618</f>
        <v>0.56552621883826604</v>
      </c>
      <c r="Z618" s="117">
        <f>P618-W618</f>
        <v>7075.84</v>
      </c>
      <c r="AA618" s="119">
        <f>Z618/P618</f>
        <v>0.43447378116173402</v>
      </c>
      <c r="AB618" s="120">
        <f t="shared" ref="AB618:AB623" si="365">M618-W618</f>
        <v>-3510.0600000000004</v>
      </c>
      <c r="AC618" s="119">
        <f>AA618-O618</f>
        <v>-0.21552621883826611</v>
      </c>
      <c r="AD618" s="110" t="s">
        <v>392</v>
      </c>
      <c r="AE618" s="110"/>
      <c r="AF618" s="110"/>
      <c r="AG618" s="121"/>
    </row>
    <row r="619" spans="1:33" s="53" customFormat="1" ht="11.25" customHeight="1" x14ac:dyDescent="0.15">
      <c r="A619" s="53" t="s">
        <v>306</v>
      </c>
      <c r="C619" s="54" t="s">
        <v>360</v>
      </c>
      <c r="D619" s="54">
        <v>2021</v>
      </c>
      <c r="E619" s="70">
        <v>44561</v>
      </c>
      <c r="F619" s="54"/>
      <c r="G619" s="54"/>
      <c r="H619" s="54"/>
      <c r="I619" s="54"/>
      <c r="J619" s="54"/>
      <c r="K619" s="106"/>
      <c r="L619" s="24">
        <f>SUM(L618)</f>
        <v>16286</v>
      </c>
      <c r="M619" s="24">
        <f>SUM(M618)</f>
        <v>5700.0999999999995</v>
      </c>
      <c r="N619" s="24">
        <f>SUM(N618)</f>
        <v>10585.900000000001</v>
      </c>
      <c r="O619" s="57"/>
      <c r="P619" s="24">
        <f>SUM(P618)</f>
        <v>16286</v>
      </c>
      <c r="Q619" s="24"/>
      <c r="R619" s="24">
        <f t="shared" ref="R619:W619" si="366">SUM(R618)</f>
        <v>0</v>
      </c>
      <c r="S619" s="24">
        <f t="shared" si="366"/>
        <v>0</v>
      </c>
      <c r="T619" s="24">
        <f t="shared" si="366"/>
        <v>0</v>
      </c>
      <c r="U619" s="24">
        <f t="shared" si="366"/>
        <v>9210.16</v>
      </c>
      <c r="V619" s="24">
        <f t="shared" si="366"/>
        <v>0</v>
      </c>
      <c r="W619" s="24">
        <f t="shared" si="366"/>
        <v>9210.16</v>
      </c>
      <c r="X619" s="118" t="str">
        <f>IFERROR(S619/R619,"")</f>
        <v/>
      </c>
      <c r="Y619" s="119"/>
      <c r="Z619" s="28"/>
      <c r="AA619" s="57"/>
      <c r="AB619" s="120">
        <f t="shared" si="365"/>
        <v>-3510.0600000000004</v>
      </c>
      <c r="AC619" s="57"/>
      <c r="AG619" s="61"/>
    </row>
    <row r="620" spans="1:33" ht="11.25" customHeight="1" x14ac:dyDescent="0.15">
      <c r="A620" s="110" t="s">
        <v>306</v>
      </c>
      <c r="B620" s="110"/>
      <c r="C620" s="111" t="s">
        <v>47</v>
      </c>
      <c r="D620" s="111">
        <v>2021</v>
      </c>
      <c r="E620" s="146">
        <v>44561</v>
      </c>
      <c r="F620" s="111"/>
      <c r="G620" s="111">
        <v>521001221</v>
      </c>
      <c r="H620" s="111"/>
      <c r="I620" s="111"/>
      <c r="J620" s="111"/>
      <c r="K620" s="112" t="s">
        <v>81</v>
      </c>
      <c r="L620" s="117">
        <v>7383</v>
      </c>
      <c r="M620" s="140">
        <f>L620*0.35</f>
        <v>2584.0499999999997</v>
      </c>
      <c r="N620" s="120">
        <f>L620-M620</f>
        <v>4798.9500000000007</v>
      </c>
      <c r="O620" s="119">
        <f>N620/L620</f>
        <v>0.65000000000000013</v>
      </c>
      <c r="P620" s="117">
        <v>7383</v>
      </c>
      <c r="Q620" s="111">
        <v>1325</v>
      </c>
      <c r="R620" s="117">
        <v>104</v>
      </c>
      <c r="S620" s="117">
        <f>3214.66+1446.66</f>
        <v>4661.32</v>
      </c>
      <c r="T620" s="117">
        <v>3910.02</v>
      </c>
      <c r="U620" s="117">
        <v>870</v>
      </c>
      <c r="V620" s="117"/>
      <c r="W620" s="26">
        <f>SUM(S620:V620)</f>
        <v>9441.34</v>
      </c>
      <c r="X620" s="118">
        <f>IFERROR(S620/R620,"")</f>
        <v>44.820384615384611</v>
      </c>
      <c r="Y620" s="119">
        <f>U620/P620</f>
        <v>0.11783827712312069</v>
      </c>
      <c r="Z620" s="117">
        <f>P620-W620</f>
        <v>-2058.34</v>
      </c>
      <c r="AA620" s="119">
        <f>Z620/P620</f>
        <v>-0.27879452796966003</v>
      </c>
      <c r="AB620" s="120">
        <f t="shared" si="365"/>
        <v>-6857.2900000000009</v>
      </c>
      <c r="AC620" s="119">
        <f>AA620-O620</f>
        <v>-0.92879452796966011</v>
      </c>
      <c r="AD620" s="110" t="s">
        <v>393</v>
      </c>
      <c r="AE620" s="110"/>
      <c r="AF620" s="110"/>
      <c r="AG620" s="121"/>
    </row>
    <row r="621" spans="1:33" ht="11.25" customHeight="1" x14ac:dyDescent="0.15">
      <c r="A621" s="110" t="s">
        <v>306</v>
      </c>
      <c r="B621" s="110"/>
      <c r="C621" s="111" t="s">
        <v>55</v>
      </c>
      <c r="D621" s="111">
        <v>2021</v>
      </c>
      <c r="E621" s="146">
        <v>44561</v>
      </c>
      <c r="F621" s="111"/>
      <c r="G621" s="111" t="s">
        <v>56</v>
      </c>
      <c r="H621" s="111"/>
      <c r="I621" s="111"/>
      <c r="J621" s="111"/>
      <c r="K621" s="112" t="s">
        <v>71</v>
      </c>
      <c r="L621" s="117">
        <v>2983</v>
      </c>
      <c r="M621" s="120">
        <f>L621*0.5</f>
        <v>1491.5</v>
      </c>
      <c r="N621" s="120">
        <f>L621-M621</f>
        <v>1491.5</v>
      </c>
      <c r="O621" s="119">
        <f>N621/L621</f>
        <v>0.5</v>
      </c>
      <c r="P621" s="117">
        <v>2983</v>
      </c>
      <c r="Q621" s="111">
        <v>1326</v>
      </c>
      <c r="R621" s="117">
        <v>8</v>
      </c>
      <c r="S621" s="117">
        <f>220+99.04</f>
        <v>319.04000000000002</v>
      </c>
      <c r="T621" s="117"/>
      <c r="U621" s="117">
        <v>121.14</v>
      </c>
      <c r="V621" s="117">
        <v>924.62</v>
      </c>
      <c r="W621" s="26">
        <f>SUM(S621:V621)</f>
        <v>1364.8</v>
      </c>
      <c r="X621" s="118">
        <f>IFERROR(S621/R621,"")</f>
        <v>39.880000000000003</v>
      </c>
      <c r="Y621" s="119">
        <f>U621/P621</f>
        <v>4.0610124036205161E-2</v>
      </c>
      <c r="Z621" s="117">
        <f>P621-W621</f>
        <v>1618.2</v>
      </c>
      <c r="AA621" s="119">
        <f>Z621/P621</f>
        <v>0.54247401944351326</v>
      </c>
      <c r="AB621" s="120">
        <f t="shared" si="365"/>
        <v>126.70000000000005</v>
      </c>
      <c r="AC621" s="119">
        <f>AA621-O621</f>
        <v>4.2474019443513256E-2</v>
      </c>
      <c r="AD621" s="110"/>
      <c r="AE621" s="110"/>
      <c r="AF621" s="110"/>
      <c r="AG621" s="121"/>
    </row>
    <row r="622" spans="1:33" ht="11.25" customHeight="1" x14ac:dyDescent="0.15">
      <c r="A622" s="110" t="s">
        <v>306</v>
      </c>
      <c r="B622" s="110"/>
      <c r="C622" s="111" t="s">
        <v>58</v>
      </c>
      <c r="D622" s="111">
        <v>2021</v>
      </c>
      <c r="E622" s="146">
        <v>44561</v>
      </c>
      <c r="F622" s="111"/>
      <c r="G622" s="111" t="s">
        <v>394</v>
      </c>
      <c r="H622" s="111"/>
      <c r="I622" s="111"/>
      <c r="J622" s="111"/>
      <c r="K622" s="112" t="s">
        <v>395</v>
      </c>
      <c r="L622" s="117">
        <v>35443</v>
      </c>
      <c r="M622" s="120">
        <f>L622*0.1</f>
        <v>3544.3</v>
      </c>
      <c r="N622" s="120">
        <f>L622-M622</f>
        <v>31898.7</v>
      </c>
      <c r="O622" s="119">
        <f>IFERROR(N622/L622,0)</f>
        <v>0.9</v>
      </c>
      <c r="P622" s="117">
        <v>35443</v>
      </c>
      <c r="Q622" s="111"/>
      <c r="R622" s="117"/>
      <c r="S622" s="117"/>
      <c r="T622" s="117"/>
      <c r="U622" s="117"/>
      <c r="V622" s="117"/>
      <c r="W622" s="26">
        <f>SUM(S622:V622)</f>
        <v>0</v>
      </c>
      <c r="X622" s="118"/>
      <c r="Y622" s="119">
        <f>U622/P622</f>
        <v>0</v>
      </c>
      <c r="Z622" s="117">
        <f>P622-W622</f>
        <v>35443</v>
      </c>
      <c r="AA622" s="119">
        <f>Z622/P622</f>
        <v>1</v>
      </c>
      <c r="AB622" s="120">
        <f t="shared" si="365"/>
        <v>3544.3</v>
      </c>
      <c r="AC622" s="119">
        <f>AA622-O622</f>
        <v>9.9999999999999978E-2</v>
      </c>
      <c r="AD622" s="110"/>
      <c r="AE622" s="110"/>
      <c r="AF622" s="110"/>
      <c r="AG622" s="121"/>
    </row>
    <row r="623" spans="1:33" s="53" customFormat="1" ht="11.25" customHeight="1" x14ac:dyDescent="0.15">
      <c r="A623" s="53" t="s">
        <v>306</v>
      </c>
      <c r="C623" s="54" t="s">
        <v>177</v>
      </c>
      <c r="D623" s="54">
        <v>2021</v>
      </c>
      <c r="E623" s="70">
        <v>44561</v>
      </c>
      <c r="F623" s="54"/>
      <c r="G623" s="54"/>
      <c r="H623" s="54"/>
      <c r="I623" s="54"/>
      <c r="J623" s="54"/>
      <c r="K623" s="106"/>
      <c r="L623" s="24">
        <f>SUM(L619:L622)</f>
        <v>62095</v>
      </c>
      <c r="M623" s="24">
        <f>SUM(M619:M622)</f>
        <v>13319.95</v>
      </c>
      <c r="N623" s="24">
        <f>SUM(N619:N622)</f>
        <v>48775.05</v>
      </c>
      <c r="O623" s="57">
        <f>N623/L623</f>
        <v>0.78549078025605934</v>
      </c>
      <c r="P623" s="24">
        <f>SUM(P619:P622)</f>
        <v>62095</v>
      </c>
      <c r="Q623" s="24"/>
      <c r="R623" s="24">
        <f t="shared" ref="R623:W623" si="367">SUM(R619:R622)</f>
        <v>112</v>
      </c>
      <c r="S623" s="24">
        <f t="shared" si="367"/>
        <v>4980.3599999999997</v>
      </c>
      <c r="T623" s="24">
        <f t="shared" si="367"/>
        <v>3910.02</v>
      </c>
      <c r="U623" s="24">
        <f t="shared" si="367"/>
        <v>10201.299999999999</v>
      </c>
      <c r="V623" s="24">
        <f t="shared" si="367"/>
        <v>924.62</v>
      </c>
      <c r="W623" s="24">
        <f t="shared" si="367"/>
        <v>20016.3</v>
      </c>
      <c r="X623" s="56"/>
      <c r="Y623" s="119">
        <f>U623/P623</f>
        <v>0.16428536919236653</v>
      </c>
      <c r="Z623" s="28">
        <f>P623-W623</f>
        <v>42078.7</v>
      </c>
      <c r="AA623" s="57">
        <f>Z623/P623</f>
        <v>0.67765037442628229</v>
      </c>
      <c r="AB623" s="120">
        <f t="shared" si="365"/>
        <v>-6696.3499999999985</v>
      </c>
      <c r="AC623" s="57">
        <f>AA623-O623</f>
        <v>-0.10784040582977705</v>
      </c>
      <c r="AG623" s="61"/>
    </row>
    <row r="624" spans="1:33" ht="11.25" customHeight="1" x14ac:dyDescent="0.15">
      <c r="A624" s="130" t="s">
        <v>53</v>
      </c>
      <c r="B624" s="130"/>
      <c r="C624" s="124"/>
      <c r="D624" s="124"/>
      <c r="E624" s="273"/>
      <c r="F624" s="124"/>
      <c r="G624" s="124"/>
      <c r="H624" s="124"/>
      <c r="I624" s="124"/>
      <c r="J624" s="124"/>
      <c r="K624" s="125"/>
      <c r="L624" s="129"/>
      <c r="M624" s="129"/>
      <c r="N624" s="129"/>
      <c r="O624" s="128"/>
      <c r="P624" s="220"/>
      <c r="Q624" s="124"/>
      <c r="R624" s="220"/>
      <c r="S624" s="220"/>
      <c r="T624" s="220"/>
      <c r="U624" s="220"/>
      <c r="V624" s="126"/>
      <c r="W624" s="230"/>
      <c r="X624" s="45"/>
      <c r="Y624" s="128"/>
      <c r="Z624" s="126"/>
      <c r="AA624" s="128"/>
      <c r="AB624" s="129"/>
      <c r="AC624" s="160"/>
      <c r="AD624" s="137"/>
      <c r="AE624" s="110"/>
      <c r="AF624" s="110"/>
      <c r="AG624" s="121"/>
    </row>
    <row r="625" spans="1:33" ht="11.25" customHeight="1" x14ac:dyDescent="0.15">
      <c r="A625" s="110" t="s">
        <v>178</v>
      </c>
      <c r="B625" s="110"/>
      <c r="C625" s="111" t="s">
        <v>180</v>
      </c>
      <c r="D625" s="111">
        <v>2021</v>
      </c>
      <c r="E625" s="146">
        <v>44561</v>
      </c>
      <c r="F625" s="111"/>
      <c r="G625" s="111">
        <v>910240321</v>
      </c>
      <c r="H625" s="111"/>
      <c r="I625" s="111"/>
      <c r="J625" s="111"/>
      <c r="K625" s="112" t="s">
        <v>396</v>
      </c>
      <c r="L625" s="117">
        <v>129192</v>
      </c>
      <c r="M625" s="120">
        <f>L625*0.31</f>
        <v>40049.519999999997</v>
      </c>
      <c r="N625" s="120">
        <f>L625-M625</f>
        <v>89142.48000000001</v>
      </c>
      <c r="O625" s="119">
        <f>N625/L625</f>
        <v>0.69000000000000006</v>
      </c>
      <c r="P625" s="117">
        <v>129192</v>
      </c>
      <c r="Q625" s="111">
        <v>1268</v>
      </c>
      <c r="R625" s="117"/>
      <c r="S625" s="117"/>
      <c r="T625" s="117"/>
      <c r="U625" s="117">
        <v>18528.47</v>
      </c>
      <c r="V625" s="117"/>
      <c r="W625" s="26">
        <f>SUM(S625:V625)</f>
        <v>18528.47</v>
      </c>
      <c r="X625" s="118" t="str">
        <f>IFERROR(S625/R625,"")</f>
        <v/>
      </c>
      <c r="Y625" s="119">
        <f>U625/P625</f>
        <v>0.14341809090346153</v>
      </c>
      <c r="Z625" s="117">
        <f>P625-W625</f>
        <v>110663.53</v>
      </c>
      <c r="AA625" s="119">
        <f>Z625/P625</f>
        <v>0.85658190909653853</v>
      </c>
      <c r="AB625" s="120">
        <f t="shared" ref="AB625:AB640" si="368">M625-W625</f>
        <v>21521.049999999996</v>
      </c>
      <c r="AC625" s="119">
        <f>AA625-O625</f>
        <v>0.16658190909653847</v>
      </c>
      <c r="AD625" s="110"/>
      <c r="AE625" s="110"/>
      <c r="AF625" s="110"/>
      <c r="AG625" s="121"/>
    </row>
    <row r="626" spans="1:33" ht="11.25" customHeight="1" x14ac:dyDescent="0.15">
      <c r="A626" s="110" t="s">
        <v>178</v>
      </c>
      <c r="B626" s="110"/>
      <c r="C626" s="111" t="s">
        <v>180</v>
      </c>
      <c r="D626" s="111">
        <v>2021</v>
      </c>
      <c r="E626" s="146">
        <v>44561</v>
      </c>
      <c r="F626" s="111"/>
      <c r="G626" s="111">
        <v>921000321</v>
      </c>
      <c r="H626" s="111"/>
      <c r="I626" s="111"/>
      <c r="J626" s="111"/>
      <c r="K626" s="112" t="s">
        <v>397</v>
      </c>
      <c r="L626" s="132">
        <v>64596</v>
      </c>
      <c r="M626" s="219">
        <f>L626*0.31</f>
        <v>20024.759999999998</v>
      </c>
      <c r="N626" s="219">
        <f>L626-M626</f>
        <v>44571.240000000005</v>
      </c>
      <c r="O626" s="119">
        <f>N626/L626</f>
        <v>0.69000000000000006</v>
      </c>
      <c r="P626" s="132">
        <v>64596</v>
      </c>
      <c r="Q626" s="111">
        <v>1269</v>
      </c>
      <c r="R626" s="132"/>
      <c r="S626" s="132"/>
      <c r="T626" s="132"/>
      <c r="U626" s="132">
        <v>9300.0499999999993</v>
      </c>
      <c r="V626" s="132"/>
      <c r="W626" s="67">
        <f>SUM(S626:V626)</f>
        <v>9300.0499999999993</v>
      </c>
      <c r="X626" s="118" t="str">
        <f>IFERROR(S626/R626,"")</f>
        <v/>
      </c>
      <c r="Y626" s="119">
        <f>U626/P626</f>
        <v>0.14397253699919499</v>
      </c>
      <c r="Z626" s="117">
        <f>P626-W626</f>
        <v>55295.95</v>
      </c>
      <c r="AA626" s="119">
        <f>Z626/P626</f>
        <v>0.85602746300080501</v>
      </c>
      <c r="AB626" s="120">
        <f t="shared" si="368"/>
        <v>10724.71</v>
      </c>
      <c r="AC626" s="119">
        <f>AA626-O626</f>
        <v>0.16602746300080495</v>
      </c>
      <c r="AD626" s="110"/>
      <c r="AE626" s="110"/>
      <c r="AF626" s="110"/>
      <c r="AG626" s="121"/>
    </row>
    <row r="627" spans="1:33" ht="11.25" customHeight="1" x14ac:dyDescent="0.15">
      <c r="A627" s="110" t="s">
        <v>178</v>
      </c>
      <c r="B627" s="110"/>
      <c r="C627" s="111" t="s">
        <v>180</v>
      </c>
      <c r="D627" s="111">
        <v>2021</v>
      </c>
      <c r="E627" s="146">
        <v>44561</v>
      </c>
      <c r="F627" s="111"/>
      <c r="G627" s="111">
        <v>910240121</v>
      </c>
      <c r="H627" s="111"/>
      <c r="I627" s="111"/>
      <c r="J627" s="111"/>
      <c r="K627" s="112" t="s">
        <v>398</v>
      </c>
      <c r="L627" s="117">
        <v>40920</v>
      </c>
      <c r="M627" s="120">
        <f>15510-M628</f>
        <v>11439</v>
      </c>
      <c r="N627" s="120">
        <f>L627-M627</f>
        <v>29481</v>
      </c>
      <c r="O627" s="119">
        <f>IFERROR(N627/L627,0)</f>
        <v>0.72045454545454546</v>
      </c>
      <c r="P627" s="117">
        <v>40920</v>
      </c>
      <c r="Q627" s="111">
        <v>1270</v>
      </c>
      <c r="R627" s="117">
        <v>1</v>
      </c>
      <c r="S627" s="117">
        <f>27.04+12.17</f>
        <v>39.21</v>
      </c>
      <c r="T627" s="117"/>
      <c r="U627" s="117">
        <v>15705.33</v>
      </c>
      <c r="V627" s="117"/>
      <c r="W627" s="26">
        <f>SUM(S627:V627)</f>
        <v>15744.539999999999</v>
      </c>
      <c r="X627" s="118">
        <f>IFERROR(S627/R627,"")</f>
        <v>39.21</v>
      </c>
      <c r="Y627" s="119">
        <f>U627/P627</f>
        <v>0.38380571847507333</v>
      </c>
      <c r="Z627" s="117">
        <f>P627-W627</f>
        <v>25175.46</v>
      </c>
      <c r="AA627" s="119">
        <f>Z627/P627</f>
        <v>0.61523607038123163</v>
      </c>
      <c r="AB627" s="120">
        <f t="shared" si="368"/>
        <v>-4305.5399999999991</v>
      </c>
      <c r="AC627" s="119">
        <f>AA627-O627</f>
        <v>-0.10521847507331383</v>
      </c>
      <c r="AD627" s="110" t="s">
        <v>399</v>
      </c>
      <c r="AE627" s="110"/>
      <c r="AF627" s="110"/>
      <c r="AG627" s="121"/>
    </row>
    <row r="628" spans="1:33" ht="11.25" customHeight="1" x14ac:dyDescent="0.15">
      <c r="A628" s="110" t="s">
        <v>178</v>
      </c>
      <c r="B628" s="110"/>
      <c r="C628" s="111" t="s">
        <v>180</v>
      </c>
      <c r="D628" s="111">
        <v>2021</v>
      </c>
      <c r="E628" s="146">
        <v>44561</v>
      </c>
      <c r="F628" s="111"/>
      <c r="G628" s="111">
        <v>921000121</v>
      </c>
      <c r="H628" s="111"/>
      <c r="I628" s="111"/>
      <c r="J628" s="111"/>
      <c r="K628" s="112" t="s">
        <v>400</v>
      </c>
      <c r="L628" s="117">
        <v>14520</v>
      </c>
      <c r="M628" s="120">
        <v>4071</v>
      </c>
      <c r="N628" s="120">
        <f>L628-M628</f>
        <v>10449</v>
      </c>
      <c r="O628" s="119">
        <f>IFERROR(N628/L628,0)</f>
        <v>0.71962809917355375</v>
      </c>
      <c r="P628" s="117">
        <v>14520</v>
      </c>
      <c r="Q628" s="111">
        <v>1271</v>
      </c>
      <c r="R628" s="117"/>
      <c r="S628" s="117"/>
      <c r="T628" s="117"/>
      <c r="U628" s="117">
        <v>7277.17</v>
      </c>
      <c r="V628" s="117"/>
      <c r="W628" s="26">
        <f>SUM(S628:V628)</f>
        <v>7277.17</v>
      </c>
      <c r="X628" s="118" t="str">
        <f>IFERROR(S628/R628,"")</f>
        <v/>
      </c>
      <c r="Y628" s="119">
        <f>U628/P628</f>
        <v>0.50118250688705235</v>
      </c>
      <c r="Z628" s="117">
        <f>P628-W628</f>
        <v>7242.83</v>
      </c>
      <c r="AA628" s="119">
        <f>Z628/P628</f>
        <v>0.49881749311294765</v>
      </c>
      <c r="AB628" s="120">
        <f t="shared" si="368"/>
        <v>-3206.17</v>
      </c>
      <c r="AC628" s="119">
        <f>AA628-O628</f>
        <v>-0.2208106060606061</v>
      </c>
      <c r="AD628" s="110" t="s">
        <v>399</v>
      </c>
      <c r="AE628" s="110"/>
      <c r="AF628" s="110"/>
      <c r="AG628" s="121"/>
    </row>
    <row r="629" spans="1:33" s="53" customFormat="1" ht="11.25" customHeight="1" x14ac:dyDescent="0.15">
      <c r="A629" s="53" t="s">
        <v>178</v>
      </c>
      <c r="C629" s="54" t="s">
        <v>360</v>
      </c>
      <c r="D629" s="54">
        <v>2021</v>
      </c>
      <c r="E629" s="70">
        <v>44561</v>
      </c>
      <c r="F629" s="54"/>
      <c r="G629" s="54"/>
      <c r="H629" s="54"/>
      <c r="I629" s="54"/>
      <c r="J629" s="54"/>
      <c r="K629" s="106"/>
      <c r="L629" s="24">
        <f>SUM(L625:L628)</f>
        <v>249228</v>
      </c>
      <c r="M629" s="24">
        <f>SUM(M625:M628)</f>
        <v>75584.28</v>
      </c>
      <c r="N629" s="24">
        <f>SUM(N625:N628)</f>
        <v>173643.72000000003</v>
      </c>
      <c r="O629" s="57"/>
      <c r="P629" s="24">
        <f>SUM(P625:P628)</f>
        <v>249228</v>
      </c>
      <c r="Q629" s="91"/>
      <c r="R629" s="24"/>
      <c r="S629" s="24"/>
      <c r="T629" s="24"/>
      <c r="U629" s="24"/>
      <c r="V629" s="24"/>
      <c r="W629" s="24">
        <f>SUM(W625:W628)</f>
        <v>50850.229999999996</v>
      </c>
      <c r="X629" s="118"/>
      <c r="Y629" s="119"/>
      <c r="Z629" s="28"/>
      <c r="AA629" s="57"/>
      <c r="AB629" s="120">
        <f t="shared" si="368"/>
        <v>24734.050000000003</v>
      </c>
      <c r="AC629" s="57"/>
      <c r="AG629" s="61"/>
    </row>
    <row r="630" spans="1:33" ht="11.25" customHeight="1" x14ac:dyDescent="0.15">
      <c r="A630" s="110" t="s">
        <v>178</v>
      </c>
      <c r="B630" s="110"/>
      <c r="C630" s="111" t="s">
        <v>47</v>
      </c>
      <c r="D630" s="111">
        <v>2021</v>
      </c>
      <c r="E630" s="146">
        <v>44561</v>
      </c>
      <c r="F630" s="111"/>
      <c r="G630" s="111">
        <v>510240121</v>
      </c>
      <c r="H630" s="111"/>
      <c r="I630" s="111"/>
      <c r="J630" s="111"/>
      <c r="K630" s="112" t="s">
        <v>81</v>
      </c>
      <c r="L630" s="117">
        <v>32830.379999999997</v>
      </c>
      <c r="M630" s="120">
        <v>11326.481099999999</v>
      </c>
      <c r="N630" s="120">
        <f t="shared" ref="N630:N639" si="369">L630-M630</f>
        <v>21503.8989</v>
      </c>
      <c r="O630" s="119">
        <f t="shared" ref="O630:O640" si="370">IFERROR(N630/L630,0)</f>
        <v>0.65500000000000003</v>
      </c>
      <c r="P630" s="117">
        <v>32830.379999999997</v>
      </c>
      <c r="Q630" s="111">
        <v>1272</v>
      </c>
      <c r="R630" s="117">
        <v>101</v>
      </c>
      <c r="S630" s="117">
        <f>3121.91+1404.91</f>
        <v>4526.82</v>
      </c>
      <c r="T630" s="117">
        <v>2536.67</v>
      </c>
      <c r="U630" s="117">
        <v>1375.08</v>
      </c>
      <c r="V630" s="117"/>
      <c r="W630" s="26">
        <f>SUM(S630:V630)</f>
        <v>8438.57</v>
      </c>
      <c r="X630" s="118">
        <f t="shared" ref="X630:X640" si="371">IFERROR(S630/R630,"")</f>
        <v>44.82</v>
      </c>
      <c r="Y630" s="119">
        <f t="shared" ref="Y630:Y640" si="372">U630/P630</f>
        <v>4.1884376604839783E-2</v>
      </c>
      <c r="Z630" s="117">
        <f t="shared" ref="Z630:Z640" si="373">P630-W630</f>
        <v>24391.809999999998</v>
      </c>
      <c r="AA630" s="119">
        <f t="shared" ref="AA630:AA640" si="374">Z630/P630</f>
        <v>0.7429645955971268</v>
      </c>
      <c r="AB630" s="120">
        <f t="shared" si="368"/>
        <v>2887.9110999999994</v>
      </c>
      <c r="AC630" s="119">
        <f t="shared" ref="AC630:AC640" si="375">AA630-O630</f>
        <v>8.7964595597126771E-2</v>
      </c>
      <c r="AD630" s="110"/>
      <c r="AE630" s="110"/>
      <c r="AF630" s="110"/>
      <c r="AG630" s="121"/>
    </row>
    <row r="631" spans="1:33" ht="11.25" customHeight="1" x14ac:dyDescent="0.15">
      <c r="A631" s="110" t="s">
        <v>178</v>
      </c>
      <c r="B631" s="110"/>
      <c r="C631" s="111" t="s">
        <v>47</v>
      </c>
      <c r="D631" s="111">
        <v>2021</v>
      </c>
      <c r="E631" s="146">
        <v>44561</v>
      </c>
      <c r="F631" s="111"/>
      <c r="G631" s="111">
        <v>520000121</v>
      </c>
      <c r="H631" s="111"/>
      <c r="I631" s="111"/>
      <c r="J631" s="111"/>
      <c r="K631" s="112" t="s">
        <v>81</v>
      </c>
      <c r="L631" s="132">
        <v>16415.189999999999</v>
      </c>
      <c r="M631" s="219">
        <v>5663.2405499999995</v>
      </c>
      <c r="N631" s="219">
        <f t="shared" si="369"/>
        <v>10751.94945</v>
      </c>
      <c r="O631" s="119">
        <f t="shared" si="370"/>
        <v>0.65500000000000003</v>
      </c>
      <c r="P631" s="132">
        <v>16415.189999999999</v>
      </c>
      <c r="Q631" s="111">
        <v>1273</v>
      </c>
      <c r="R631" s="132">
        <v>48</v>
      </c>
      <c r="S631" s="132">
        <f>1483.69+667.69</f>
        <v>2151.38</v>
      </c>
      <c r="T631" s="132">
        <v>1365.9</v>
      </c>
      <c r="U631" s="132">
        <v>653.63</v>
      </c>
      <c r="V631" s="132"/>
      <c r="W631" s="67">
        <f>SUM(S631:V631)</f>
        <v>4170.91</v>
      </c>
      <c r="X631" s="118">
        <f t="shared" si="371"/>
        <v>44.820416666666667</v>
      </c>
      <c r="Y631" s="119">
        <f t="shared" si="372"/>
        <v>3.9818607034094643E-2</v>
      </c>
      <c r="Z631" s="117">
        <f t="shared" si="373"/>
        <v>12244.279999999999</v>
      </c>
      <c r="AA631" s="119">
        <f t="shared" si="374"/>
        <v>0.74591156118205149</v>
      </c>
      <c r="AB631" s="120">
        <f t="shared" si="368"/>
        <v>1492.3305499999997</v>
      </c>
      <c r="AC631" s="119">
        <f t="shared" si="375"/>
        <v>9.0911561182051459E-2</v>
      </c>
      <c r="AD631" s="110"/>
      <c r="AE631" s="110"/>
      <c r="AF631" s="110"/>
      <c r="AG631" s="121"/>
    </row>
    <row r="632" spans="1:33" ht="11.25" customHeight="1" x14ac:dyDescent="0.15">
      <c r="A632" s="110" t="s">
        <v>178</v>
      </c>
      <c r="B632" s="110"/>
      <c r="C632" s="111" t="s">
        <v>49</v>
      </c>
      <c r="D632" s="111">
        <v>2021</v>
      </c>
      <c r="E632" s="146">
        <v>44561</v>
      </c>
      <c r="F632" s="111"/>
      <c r="G632" s="111">
        <v>616220121</v>
      </c>
      <c r="H632" s="111"/>
      <c r="I632" s="111"/>
      <c r="J632" s="111"/>
      <c r="K632" s="112" t="s">
        <v>270</v>
      </c>
      <c r="L632" s="117">
        <v>7002</v>
      </c>
      <c r="M632" s="120">
        <v>2450.67</v>
      </c>
      <c r="N632" s="120">
        <f t="shared" si="369"/>
        <v>4551.33</v>
      </c>
      <c r="O632" s="119">
        <f t="shared" si="370"/>
        <v>0.65000428449014569</v>
      </c>
      <c r="P632" s="117">
        <v>7002</v>
      </c>
      <c r="Q632" s="111">
        <v>1274</v>
      </c>
      <c r="R632" s="117">
        <v>24</v>
      </c>
      <c r="S632" s="117">
        <f>942.72+424.32</f>
        <v>1367.04</v>
      </c>
      <c r="T632" s="117">
        <v>768.37</v>
      </c>
      <c r="U632" s="117"/>
      <c r="V632" s="117"/>
      <c r="W632" s="26">
        <f>SUM(S632:V632)-321.17</f>
        <v>1814.2399999999998</v>
      </c>
      <c r="X632" s="118">
        <f t="shared" si="371"/>
        <v>56.96</v>
      </c>
      <c r="Y632" s="119">
        <f t="shared" si="372"/>
        <v>0</v>
      </c>
      <c r="Z632" s="117">
        <f t="shared" si="373"/>
        <v>5187.76</v>
      </c>
      <c r="AA632" s="119">
        <f t="shared" si="374"/>
        <v>0.74089688660382746</v>
      </c>
      <c r="AB632" s="120">
        <f t="shared" si="368"/>
        <v>636.43000000000029</v>
      </c>
      <c r="AC632" s="119">
        <f t="shared" si="375"/>
        <v>9.0892602113681775E-2</v>
      </c>
      <c r="AD632" s="110"/>
      <c r="AE632" s="110"/>
      <c r="AF632" s="110"/>
      <c r="AG632" s="121"/>
    </row>
    <row r="633" spans="1:33" ht="11.25" customHeight="1" x14ac:dyDescent="0.15">
      <c r="A633" s="110" t="s">
        <v>178</v>
      </c>
      <c r="B633" s="110"/>
      <c r="C633" s="111" t="s">
        <v>49</v>
      </c>
      <c r="D633" s="111">
        <v>2021</v>
      </c>
      <c r="E633" s="146">
        <v>44561</v>
      </c>
      <c r="F633" s="111"/>
      <c r="G633" s="111">
        <v>626220121</v>
      </c>
      <c r="H633" s="111"/>
      <c r="I633" s="111"/>
      <c r="J633" s="111"/>
      <c r="K633" s="112" t="s">
        <v>270</v>
      </c>
      <c r="L633" s="117">
        <v>3501</v>
      </c>
      <c r="M633" s="120">
        <v>1225.33</v>
      </c>
      <c r="N633" s="120">
        <f t="shared" si="369"/>
        <v>2275.67</v>
      </c>
      <c r="O633" s="119">
        <f t="shared" si="370"/>
        <v>0.65000571265352758</v>
      </c>
      <c r="P633" s="117">
        <v>3501</v>
      </c>
      <c r="Q633" s="111">
        <v>1275</v>
      </c>
      <c r="R633" s="117">
        <v>8</v>
      </c>
      <c r="S633" s="117">
        <f>314.24+141.44</f>
        <v>455.68</v>
      </c>
      <c r="T633" s="117">
        <v>413.73</v>
      </c>
      <c r="U633" s="117"/>
      <c r="V633" s="117"/>
      <c r="W633" s="26">
        <f>SUM(S633:V633)-198.66</f>
        <v>670.75000000000011</v>
      </c>
      <c r="X633" s="118">
        <f t="shared" si="371"/>
        <v>56.96</v>
      </c>
      <c r="Y633" s="119">
        <f t="shared" si="372"/>
        <v>0</v>
      </c>
      <c r="Z633" s="117">
        <f t="shared" si="373"/>
        <v>2830.25</v>
      </c>
      <c r="AA633" s="119">
        <f t="shared" si="374"/>
        <v>0.80841188231933736</v>
      </c>
      <c r="AB633" s="120">
        <f t="shared" si="368"/>
        <v>554.57999999999981</v>
      </c>
      <c r="AC633" s="119">
        <f t="shared" si="375"/>
        <v>0.15840616966580978</v>
      </c>
      <c r="AD633" s="110"/>
      <c r="AE633" s="110"/>
      <c r="AF633" s="110"/>
      <c r="AG633" s="121"/>
    </row>
    <row r="634" spans="1:33" ht="11.25" customHeight="1" x14ac:dyDescent="0.15">
      <c r="A634" s="110" t="s">
        <v>178</v>
      </c>
      <c r="B634" s="110"/>
      <c r="C634" s="111" t="s">
        <v>55</v>
      </c>
      <c r="D634" s="111">
        <v>2021</v>
      </c>
      <c r="E634" s="146">
        <v>44561</v>
      </c>
      <c r="F634" s="111"/>
      <c r="G634" s="111" t="s">
        <v>56</v>
      </c>
      <c r="H634" s="111"/>
      <c r="I634" s="111"/>
      <c r="J634" s="111"/>
      <c r="K634" s="112" t="s">
        <v>71</v>
      </c>
      <c r="L634" s="132">
        <v>2745</v>
      </c>
      <c r="M634" s="219">
        <f>L634*0.5</f>
        <v>1372.5</v>
      </c>
      <c r="N634" s="219">
        <f t="shared" si="369"/>
        <v>1372.5</v>
      </c>
      <c r="O634" s="119">
        <f t="shared" si="370"/>
        <v>0.5</v>
      </c>
      <c r="P634" s="132">
        <v>2745</v>
      </c>
      <c r="Q634" s="111">
        <v>1276</v>
      </c>
      <c r="R634" s="132">
        <v>15</v>
      </c>
      <c r="S634" s="132">
        <f>412.5+185.7</f>
        <v>598.20000000000005</v>
      </c>
      <c r="T634" s="132"/>
      <c r="U634" s="132">
        <v>238.59</v>
      </c>
      <c r="V634" s="132">
        <v>427.4</v>
      </c>
      <c r="W634" s="67">
        <f t="shared" ref="W634:W639" si="376">SUM(S634:V634)</f>
        <v>1264.19</v>
      </c>
      <c r="X634" s="118">
        <f t="shared" si="371"/>
        <v>39.880000000000003</v>
      </c>
      <c r="Y634" s="119">
        <f t="shared" si="372"/>
        <v>8.6918032786885244E-2</v>
      </c>
      <c r="Z634" s="117">
        <f t="shared" si="373"/>
        <v>1480.81</v>
      </c>
      <c r="AA634" s="119">
        <f t="shared" si="374"/>
        <v>0.5394571948998178</v>
      </c>
      <c r="AB634" s="120">
        <f t="shared" si="368"/>
        <v>108.30999999999995</v>
      </c>
      <c r="AC634" s="119">
        <f t="shared" si="375"/>
        <v>3.9457194899817805E-2</v>
      </c>
      <c r="AD634" s="110"/>
      <c r="AE634" s="110"/>
      <c r="AF634" s="110"/>
      <c r="AG634" s="121"/>
    </row>
    <row r="635" spans="1:33" ht="11.25" customHeight="1" x14ac:dyDescent="0.15">
      <c r="A635" s="110" t="s">
        <v>178</v>
      </c>
      <c r="B635" s="110"/>
      <c r="C635" s="111" t="s">
        <v>248</v>
      </c>
      <c r="D635" s="111">
        <v>2021</v>
      </c>
      <c r="E635" s="146">
        <v>44561</v>
      </c>
      <c r="F635" s="111"/>
      <c r="G635" s="111" t="s">
        <v>337</v>
      </c>
      <c r="H635" s="111"/>
      <c r="I635" s="111"/>
      <c r="J635" s="111"/>
      <c r="K635" s="112" t="s">
        <v>250</v>
      </c>
      <c r="L635" s="117">
        <v>21890</v>
      </c>
      <c r="M635" s="120">
        <f>L635*0.5</f>
        <v>10945</v>
      </c>
      <c r="N635" s="120">
        <f t="shared" si="369"/>
        <v>10945</v>
      </c>
      <c r="O635" s="119">
        <f t="shared" si="370"/>
        <v>0.5</v>
      </c>
      <c r="P635" s="117">
        <v>21890</v>
      </c>
      <c r="Q635" s="111"/>
      <c r="R635" s="117"/>
      <c r="S635" s="117"/>
      <c r="T635" s="117"/>
      <c r="U635" s="117"/>
      <c r="V635" s="117"/>
      <c r="W635" s="26">
        <f t="shared" si="376"/>
        <v>0</v>
      </c>
      <c r="X635" s="118" t="str">
        <f t="shared" si="371"/>
        <v/>
      </c>
      <c r="Y635" s="119">
        <f t="shared" si="372"/>
        <v>0</v>
      </c>
      <c r="Z635" s="117">
        <f t="shared" si="373"/>
        <v>21890</v>
      </c>
      <c r="AA635" s="119">
        <f t="shared" si="374"/>
        <v>1</v>
      </c>
      <c r="AB635" s="120">
        <f t="shared" si="368"/>
        <v>10945</v>
      </c>
      <c r="AC635" s="119">
        <f t="shared" si="375"/>
        <v>0.5</v>
      </c>
      <c r="AD635" s="110"/>
      <c r="AE635" s="110"/>
      <c r="AF635" s="110"/>
      <c r="AG635" s="121"/>
    </row>
    <row r="636" spans="1:33" ht="11.25" customHeight="1" x14ac:dyDescent="0.15">
      <c r="A636" s="110" t="s">
        <v>178</v>
      </c>
      <c r="B636" s="110"/>
      <c r="C636" s="111" t="s">
        <v>58</v>
      </c>
      <c r="D636" s="111">
        <v>2021</v>
      </c>
      <c r="E636" s="146">
        <v>44561</v>
      </c>
      <c r="F636" s="111"/>
      <c r="G636" s="111" t="s">
        <v>401</v>
      </c>
      <c r="H636" s="111"/>
      <c r="I636" s="111"/>
      <c r="J636" s="111"/>
      <c r="K636" s="112" t="s">
        <v>395</v>
      </c>
      <c r="L636" s="117">
        <v>83975.39</v>
      </c>
      <c r="M636" s="120">
        <f>L636*0.1</f>
        <v>8397.5390000000007</v>
      </c>
      <c r="N636" s="120">
        <f t="shared" si="369"/>
        <v>75577.850999999995</v>
      </c>
      <c r="O636" s="119">
        <f t="shared" si="370"/>
        <v>0.89999999999999991</v>
      </c>
      <c r="P636" s="117">
        <v>83975.39</v>
      </c>
      <c r="Q636" s="111">
        <v>1369</v>
      </c>
      <c r="R636" s="117"/>
      <c r="S636" s="117"/>
      <c r="T636" s="117"/>
      <c r="U636" s="117">
        <v>3064.61</v>
      </c>
      <c r="V636" s="117"/>
      <c r="W636" s="26">
        <f t="shared" si="376"/>
        <v>3064.61</v>
      </c>
      <c r="X636" s="118" t="str">
        <f t="shared" si="371"/>
        <v/>
      </c>
      <c r="Y636" s="119">
        <f t="shared" si="372"/>
        <v>3.6494144296323007E-2</v>
      </c>
      <c r="Z636" s="117">
        <f t="shared" si="373"/>
        <v>80910.78</v>
      </c>
      <c r="AA636" s="119">
        <f t="shared" si="374"/>
        <v>0.96350585570367697</v>
      </c>
      <c r="AB636" s="120">
        <f t="shared" si="368"/>
        <v>5332.9290000000001</v>
      </c>
      <c r="AC636" s="119">
        <f t="shared" si="375"/>
        <v>6.3505855703677061E-2</v>
      </c>
      <c r="AD636" s="110"/>
      <c r="AE636" s="110"/>
      <c r="AF636" s="110"/>
      <c r="AG636" s="121"/>
    </row>
    <row r="637" spans="1:33" ht="11.25" customHeight="1" x14ac:dyDescent="0.15">
      <c r="A637" s="110" t="s">
        <v>178</v>
      </c>
      <c r="B637" s="110"/>
      <c r="C637" s="111" t="s">
        <v>58</v>
      </c>
      <c r="D637" s="111">
        <v>2021</v>
      </c>
      <c r="E637" s="146">
        <v>44561</v>
      </c>
      <c r="F637" s="111"/>
      <c r="G637" s="111" t="s">
        <v>402</v>
      </c>
      <c r="H637" s="111"/>
      <c r="I637" s="111"/>
      <c r="J637" s="111"/>
      <c r="K637" s="112" t="s">
        <v>395</v>
      </c>
      <c r="L637" s="117">
        <v>42112.03</v>
      </c>
      <c r="M637" s="120">
        <f>L637*0.1</f>
        <v>4211.2030000000004</v>
      </c>
      <c r="N637" s="120">
        <f t="shared" si="369"/>
        <v>37900.826999999997</v>
      </c>
      <c r="O637" s="119">
        <f t="shared" si="370"/>
        <v>0.89999999999999991</v>
      </c>
      <c r="P637" s="117">
        <v>42112.03</v>
      </c>
      <c r="Q637" s="111">
        <v>1370</v>
      </c>
      <c r="R637" s="117"/>
      <c r="S637" s="117"/>
      <c r="T637" s="117"/>
      <c r="U637" s="117">
        <v>2884.26</v>
      </c>
      <c r="V637" s="117"/>
      <c r="W637" s="26">
        <f t="shared" si="376"/>
        <v>2884.26</v>
      </c>
      <c r="X637" s="118" t="str">
        <f t="shared" si="371"/>
        <v/>
      </c>
      <c r="Y637" s="119">
        <f t="shared" si="372"/>
        <v>6.8490167773911648E-2</v>
      </c>
      <c r="Z637" s="117">
        <f t="shared" si="373"/>
        <v>39227.769999999997</v>
      </c>
      <c r="AA637" s="119">
        <f t="shared" si="374"/>
        <v>0.9315098322260883</v>
      </c>
      <c r="AB637" s="120">
        <f t="shared" si="368"/>
        <v>1326.9430000000002</v>
      </c>
      <c r="AC637" s="119">
        <f t="shared" si="375"/>
        <v>3.1509832226088386E-2</v>
      </c>
      <c r="AD637" s="110"/>
      <c r="AE637" s="110"/>
      <c r="AF637" s="110"/>
      <c r="AG637" s="121"/>
    </row>
    <row r="638" spans="1:33" ht="11.25" customHeight="1" x14ac:dyDescent="0.15">
      <c r="A638" s="110" t="s">
        <v>178</v>
      </c>
      <c r="B638" s="110"/>
      <c r="C638" s="111" t="s">
        <v>61</v>
      </c>
      <c r="D638" s="111">
        <v>2021</v>
      </c>
      <c r="E638" s="146">
        <v>44561</v>
      </c>
      <c r="F638" s="111"/>
      <c r="G638" s="111" t="s">
        <v>403</v>
      </c>
      <c r="H638" s="111"/>
      <c r="I638" s="111" t="str">
        <f>MID(G638,3,1)</f>
        <v>1</v>
      </c>
      <c r="J638" s="111" t="s">
        <v>63</v>
      </c>
      <c r="K638" s="112" t="s">
        <v>102</v>
      </c>
      <c r="L638" s="117">
        <v>13674.68</v>
      </c>
      <c r="M638" s="120">
        <f>L638*0.3</f>
        <v>4102.4039999999995</v>
      </c>
      <c r="N638" s="120">
        <f t="shared" si="369"/>
        <v>9572.2760000000017</v>
      </c>
      <c r="O638" s="119">
        <f t="shared" si="370"/>
        <v>0.70000000000000007</v>
      </c>
      <c r="P638" s="117">
        <v>13674.68</v>
      </c>
      <c r="Q638" s="111"/>
      <c r="R638" s="117"/>
      <c r="S638" s="117"/>
      <c r="T638" s="117"/>
      <c r="U638" s="117"/>
      <c r="V638" s="117"/>
      <c r="W638" s="26">
        <f t="shared" si="376"/>
        <v>0</v>
      </c>
      <c r="X638" s="118" t="str">
        <f t="shared" si="371"/>
        <v/>
      </c>
      <c r="Y638" s="119">
        <f t="shared" si="372"/>
        <v>0</v>
      </c>
      <c r="Z638" s="117">
        <f t="shared" si="373"/>
        <v>13674.68</v>
      </c>
      <c r="AA638" s="119">
        <f t="shared" si="374"/>
        <v>1</v>
      </c>
      <c r="AB638" s="120">
        <f t="shared" si="368"/>
        <v>4102.4039999999995</v>
      </c>
      <c r="AC638" s="119">
        <f t="shared" si="375"/>
        <v>0.29999999999999993</v>
      </c>
      <c r="AD638" s="110"/>
      <c r="AE638" s="110"/>
      <c r="AF638" s="110"/>
      <c r="AG638" s="121"/>
    </row>
    <row r="639" spans="1:33" ht="11.25" customHeight="1" x14ac:dyDescent="0.15">
      <c r="A639" s="110" t="s">
        <v>178</v>
      </c>
      <c r="B639" s="110"/>
      <c r="C639" s="111" t="s">
        <v>61</v>
      </c>
      <c r="D639" s="111">
        <v>2021</v>
      </c>
      <c r="E639" s="146">
        <v>44561</v>
      </c>
      <c r="F639" s="111"/>
      <c r="G639" s="111" t="s">
        <v>403</v>
      </c>
      <c r="H639" s="111"/>
      <c r="I639" s="111" t="str">
        <f>MID(G639,3,1)</f>
        <v>1</v>
      </c>
      <c r="J639" s="111" t="s">
        <v>63</v>
      </c>
      <c r="K639" s="112" t="s">
        <v>102</v>
      </c>
      <c r="L639" s="117">
        <v>6837.33</v>
      </c>
      <c r="M639" s="120">
        <f>L639*0.3</f>
        <v>2051.1990000000001</v>
      </c>
      <c r="N639" s="120">
        <f t="shared" si="369"/>
        <v>4786.1309999999994</v>
      </c>
      <c r="O639" s="119">
        <f t="shared" si="370"/>
        <v>0.7</v>
      </c>
      <c r="P639" s="117">
        <v>6837.33</v>
      </c>
      <c r="Q639" s="111"/>
      <c r="R639" s="117"/>
      <c r="S639" s="117"/>
      <c r="T639" s="117"/>
      <c r="U639" s="117"/>
      <c r="V639" s="117"/>
      <c r="W639" s="26">
        <f t="shared" si="376"/>
        <v>0</v>
      </c>
      <c r="X639" s="118" t="str">
        <f t="shared" si="371"/>
        <v/>
      </c>
      <c r="Y639" s="119">
        <f t="shared" si="372"/>
        <v>0</v>
      </c>
      <c r="Z639" s="117">
        <f t="shared" si="373"/>
        <v>6837.33</v>
      </c>
      <c r="AA639" s="119">
        <f t="shared" si="374"/>
        <v>1</v>
      </c>
      <c r="AB639" s="120">
        <f t="shared" si="368"/>
        <v>2051.1990000000001</v>
      </c>
      <c r="AC639" s="119">
        <f t="shared" si="375"/>
        <v>0.30000000000000004</v>
      </c>
      <c r="AD639" s="110"/>
      <c r="AE639" s="110"/>
      <c r="AF639" s="110"/>
      <c r="AG639" s="121"/>
    </row>
    <row r="640" spans="1:33" s="53" customFormat="1" ht="11.25" customHeight="1" x14ac:dyDescent="0.15">
      <c r="A640" s="53" t="s">
        <v>178</v>
      </c>
      <c r="C640" s="54" t="s">
        <v>177</v>
      </c>
      <c r="D640" s="54">
        <v>2021</v>
      </c>
      <c r="E640" s="70">
        <v>44561</v>
      </c>
      <c r="F640" s="54"/>
      <c r="G640" s="54"/>
      <c r="H640" s="54"/>
      <c r="I640" s="54"/>
      <c r="J640" s="54"/>
      <c r="K640" s="106"/>
      <c r="L640" s="24">
        <f>SUM(L629:L639)</f>
        <v>480211</v>
      </c>
      <c r="M640" s="24">
        <f>SUM(M629:M639)</f>
        <v>127329.84664999999</v>
      </c>
      <c r="N640" s="24">
        <f>SUM(N629:N639)</f>
        <v>352881.15334999998</v>
      </c>
      <c r="O640" s="57">
        <f t="shared" si="370"/>
        <v>0.73484604340591941</v>
      </c>
      <c r="P640" s="24">
        <f>SUM(P629:P639)</f>
        <v>480211</v>
      </c>
      <c r="Q640" s="91"/>
      <c r="R640" s="24"/>
      <c r="S640" s="24"/>
      <c r="T640" s="24"/>
      <c r="U640" s="24"/>
      <c r="V640" s="24"/>
      <c r="W640" s="25">
        <f>SUM(W629:W639)</f>
        <v>73157.759999999995</v>
      </c>
      <c r="X640" s="118" t="str">
        <f t="shared" si="371"/>
        <v/>
      </c>
      <c r="Y640" s="119">
        <f t="shared" si="372"/>
        <v>0</v>
      </c>
      <c r="Z640" s="28">
        <f t="shared" si="373"/>
        <v>407053.24</v>
      </c>
      <c r="AA640" s="57">
        <f t="shared" si="374"/>
        <v>0.84765496833683529</v>
      </c>
      <c r="AB640" s="120">
        <f t="shared" si="368"/>
        <v>54172.086649999997</v>
      </c>
      <c r="AC640" s="57">
        <f t="shared" si="375"/>
        <v>0.11280892493091588</v>
      </c>
      <c r="AG640" s="61"/>
    </row>
    <row r="641" spans="1:33" ht="11.25" customHeight="1" x14ac:dyDescent="0.15">
      <c r="A641" s="130" t="s">
        <v>53</v>
      </c>
      <c r="B641" s="130"/>
      <c r="C641" s="124"/>
      <c r="D641" s="124"/>
      <c r="E641" s="273"/>
      <c r="F641" s="124"/>
      <c r="G641" s="124"/>
      <c r="H641" s="124"/>
      <c r="I641" s="124"/>
      <c r="J641" s="124"/>
      <c r="K641" s="125"/>
      <c r="L641" s="129"/>
      <c r="M641" s="129"/>
      <c r="N641" s="129"/>
      <c r="O641" s="128"/>
      <c r="P641" s="129"/>
      <c r="Q641" s="124"/>
      <c r="R641" s="129"/>
      <c r="S641" s="129"/>
      <c r="T641" s="129"/>
      <c r="U641" s="129"/>
      <c r="V641" s="126"/>
      <c r="W641" s="49"/>
      <c r="X641" s="45"/>
      <c r="Y641" s="128"/>
      <c r="Z641" s="126"/>
      <c r="AA641" s="128"/>
      <c r="AB641" s="129"/>
      <c r="AC641" s="160"/>
      <c r="AD641" s="137"/>
      <c r="AE641" s="110"/>
      <c r="AF641" s="110"/>
      <c r="AG641" s="121"/>
    </row>
    <row r="642" spans="1:33" ht="11.25" customHeight="1" x14ac:dyDescent="0.15">
      <c r="A642" s="110" t="s">
        <v>223</v>
      </c>
      <c r="B642" s="110"/>
      <c r="C642" s="111" t="s">
        <v>175</v>
      </c>
      <c r="D642" s="111">
        <v>2021</v>
      </c>
      <c r="E642" s="146">
        <v>44561</v>
      </c>
      <c r="F642" s="111"/>
      <c r="G642" s="111">
        <v>811101111</v>
      </c>
      <c r="H642" s="111">
        <v>4101</v>
      </c>
      <c r="I642" s="111" t="str">
        <f>MID(G642,2,1)</f>
        <v>1</v>
      </c>
      <c r="J642" s="111" t="str">
        <f>IF(I642="1","Small/Medium","Large")</f>
        <v>Small/Medium</v>
      </c>
      <c r="K642" s="147" t="s">
        <v>145</v>
      </c>
      <c r="L642" s="132">
        <v>17867.849999999999</v>
      </c>
      <c r="M642" s="219">
        <f>L642*0.3</f>
        <v>5360.3549999999996</v>
      </c>
      <c r="N642" s="219">
        <f>L642-M642</f>
        <v>12507.494999999999</v>
      </c>
      <c r="O642" s="119">
        <f>N642/L642</f>
        <v>0.7</v>
      </c>
      <c r="P642" s="132">
        <v>17867.849999999999</v>
      </c>
      <c r="Q642" s="111">
        <v>1243</v>
      </c>
      <c r="R642" s="132">
        <v>40</v>
      </c>
      <c r="S642" s="132">
        <f>1195.2+538</f>
        <v>1733.2</v>
      </c>
      <c r="T642" s="132">
        <f>2151.52-V642</f>
        <v>2142.39</v>
      </c>
      <c r="U642" s="132">
        <v>468.07</v>
      </c>
      <c r="V642" s="132">
        <v>9.1300000000000008</v>
      </c>
      <c r="W642" s="67">
        <f>SUM(S642:V642)</f>
        <v>4352.79</v>
      </c>
      <c r="X642" s="118">
        <f>IFERROR(S642/R642,"")</f>
        <v>43.33</v>
      </c>
      <c r="Y642" s="119">
        <f>U642/P642</f>
        <v>2.6196212750834603E-2</v>
      </c>
      <c r="Z642" s="117">
        <f>P642-W642</f>
        <v>13515.059999999998</v>
      </c>
      <c r="AA642" s="119">
        <f>Z642/P642</f>
        <v>0.75638982865873616</v>
      </c>
      <c r="AB642" s="120">
        <f t="shared" ref="AB642:AB644" si="377">M642-W642</f>
        <v>1007.5649999999996</v>
      </c>
      <c r="AC642" s="119">
        <f>AA642-O642</f>
        <v>5.6389828658736207E-2</v>
      </c>
      <c r="AD642" s="110"/>
      <c r="AE642" s="110"/>
      <c r="AF642" s="110"/>
      <c r="AG642" s="121"/>
    </row>
    <row r="643" spans="1:33" ht="11.25" customHeight="1" x14ac:dyDescent="0.15">
      <c r="A643" s="110" t="s">
        <v>223</v>
      </c>
      <c r="B643" s="110"/>
      <c r="C643" s="111" t="s">
        <v>175</v>
      </c>
      <c r="D643" s="111">
        <v>2021</v>
      </c>
      <c r="E643" s="146">
        <v>44561</v>
      </c>
      <c r="F643" s="111"/>
      <c r="G643" s="111">
        <v>821101111</v>
      </c>
      <c r="H643" s="111">
        <v>4101</v>
      </c>
      <c r="I643" s="111" t="str">
        <f>MID(G643,2,1)</f>
        <v>2</v>
      </c>
      <c r="J643" s="111" t="str">
        <f>IF(I643="1","Small/Medium","Large")</f>
        <v>Large</v>
      </c>
      <c r="K643" s="147" t="s">
        <v>176</v>
      </c>
      <c r="L643" s="117">
        <v>33183.15</v>
      </c>
      <c r="M643" s="120">
        <f>L643*0.3</f>
        <v>9954.9449999999997</v>
      </c>
      <c r="N643" s="120">
        <f>L643-M643</f>
        <v>23228.205000000002</v>
      </c>
      <c r="O643" s="119">
        <f>N643/L643</f>
        <v>0.70000000000000007</v>
      </c>
      <c r="P643" s="117">
        <v>33183.15</v>
      </c>
      <c r="Q643" s="111">
        <v>1244</v>
      </c>
      <c r="R643" s="117">
        <v>8</v>
      </c>
      <c r="S643" s="117">
        <f>239.04+107.6</f>
        <v>346.64</v>
      </c>
      <c r="T643" s="117">
        <v>714.13</v>
      </c>
      <c r="U643" s="117">
        <v>131.38</v>
      </c>
      <c r="V643" s="117"/>
      <c r="W643" s="26">
        <f>SUM(S643:V643)</f>
        <v>1192.1500000000001</v>
      </c>
      <c r="X643" s="118">
        <f>IFERROR(S643/R643,"")</f>
        <v>43.33</v>
      </c>
      <c r="Y643" s="119">
        <f>U643/P643</f>
        <v>3.9592383483786197E-3</v>
      </c>
      <c r="Z643" s="117">
        <f>P643-W643</f>
        <v>31991</v>
      </c>
      <c r="AA643" s="119">
        <f>Z643/P643</f>
        <v>0.96407363375689159</v>
      </c>
      <c r="AB643" s="120">
        <f t="shared" si="377"/>
        <v>8762.7950000000001</v>
      </c>
      <c r="AC643" s="119">
        <f>AA643-O643</f>
        <v>0.26407363375689152</v>
      </c>
      <c r="AD643" s="110"/>
      <c r="AE643" s="110"/>
      <c r="AF643" s="110"/>
      <c r="AG643" s="121"/>
    </row>
    <row r="644" spans="1:33" s="53" customFormat="1" ht="11.25" customHeight="1" x14ac:dyDescent="0.15">
      <c r="A644" s="53" t="s">
        <v>223</v>
      </c>
      <c r="C644" s="54" t="s">
        <v>177</v>
      </c>
      <c r="D644" s="54">
        <v>2021</v>
      </c>
      <c r="E644" s="70">
        <v>44561</v>
      </c>
      <c r="F644" s="54"/>
      <c r="G644" s="54"/>
      <c r="H644" s="54"/>
      <c r="I644" s="54"/>
      <c r="J644" s="54"/>
      <c r="K644" s="106"/>
      <c r="L644" s="24">
        <f>SUM(L642:L643)</f>
        <v>51051</v>
      </c>
      <c r="M644" s="92">
        <f>L644*0.3</f>
        <v>15315.3</v>
      </c>
      <c r="N644" s="92">
        <f>L644-M644</f>
        <v>35735.699999999997</v>
      </c>
      <c r="O644" s="74">
        <f>N644/L644</f>
        <v>0.7</v>
      </c>
      <c r="P644" s="24">
        <f>SUM(P642:P643)</f>
        <v>51051</v>
      </c>
      <c r="Q644" s="24"/>
      <c r="R644" s="24">
        <f t="shared" ref="R644:W644" si="378">SUM(R642:R643)</f>
        <v>48</v>
      </c>
      <c r="S644" s="24">
        <f t="shared" si="378"/>
        <v>2079.84</v>
      </c>
      <c r="T644" s="24">
        <f t="shared" si="378"/>
        <v>2856.52</v>
      </c>
      <c r="U644" s="24">
        <f t="shared" si="378"/>
        <v>599.45000000000005</v>
      </c>
      <c r="V644" s="24">
        <f t="shared" si="378"/>
        <v>9.1300000000000008</v>
      </c>
      <c r="W644" s="24">
        <f t="shared" si="378"/>
        <v>5544.9400000000005</v>
      </c>
      <c r="X644" s="56">
        <f>IFERROR(S644/R644,"")</f>
        <v>43.330000000000005</v>
      </c>
      <c r="Y644" s="57">
        <f>U644/P644</f>
        <v>1.1742179389238213E-2</v>
      </c>
      <c r="Z644" s="28">
        <f>P644-W644</f>
        <v>45506.06</v>
      </c>
      <c r="AA644" s="57">
        <f>Z644/P644</f>
        <v>0.89138430197253726</v>
      </c>
      <c r="AB644" s="120">
        <f t="shared" si="377"/>
        <v>9770.3599999999988</v>
      </c>
      <c r="AC644" s="57">
        <f>AA644-O644</f>
        <v>0.19138430197253731</v>
      </c>
      <c r="AG644" s="61"/>
    </row>
    <row r="645" spans="1:33" ht="11.25" customHeight="1" x14ac:dyDescent="0.15">
      <c r="A645" s="130" t="s">
        <v>53</v>
      </c>
      <c r="B645" s="130"/>
      <c r="C645" s="124"/>
      <c r="D645" s="124"/>
      <c r="E645" s="273"/>
      <c r="F645" s="124"/>
      <c r="G645" s="124"/>
      <c r="H645" s="124"/>
      <c r="I645" s="124"/>
      <c r="J645" s="124"/>
      <c r="K645" s="125"/>
      <c r="L645" s="129"/>
      <c r="M645" s="129"/>
      <c r="N645" s="129"/>
      <c r="O645" s="128"/>
      <c r="P645" s="129"/>
      <c r="Q645" s="124"/>
      <c r="R645" s="129"/>
      <c r="S645" s="129"/>
      <c r="T645" s="129"/>
      <c r="U645" s="129"/>
      <c r="V645" s="126"/>
      <c r="W645" s="49"/>
      <c r="X645" s="45"/>
      <c r="Y645" s="128"/>
      <c r="Z645" s="126"/>
      <c r="AA645" s="128"/>
      <c r="AB645" s="129"/>
      <c r="AC645" s="160"/>
      <c r="AD645" s="137"/>
      <c r="AE645" s="110"/>
      <c r="AF645" s="110"/>
      <c r="AG645" s="121"/>
    </row>
    <row r="646" spans="1:33" ht="11.25" customHeight="1" x14ac:dyDescent="0.15">
      <c r="A646" s="110" t="s">
        <v>195</v>
      </c>
      <c r="B646" s="110"/>
      <c r="C646" s="111" t="s">
        <v>175</v>
      </c>
      <c r="D646" s="111">
        <v>2021</v>
      </c>
      <c r="E646" s="146">
        <v>44561</v>
      </c>
      <c r="F646" s="111"/>
      <c r="G646" s="111">
        <v>811101111</v>
      </c>
      <c r="H646" s="111">
        <v>4101</v>
      </c>
      <c r="I646" s="111" t="str">
        <f>MID(G646,2,1)</f>
        <v>1</v>
      </c>
      <c r="J646" s="111" t="str">
        <f>IF(I646="1","Small/Medium","Large")</f>
        <v>Small/Medium</v>
      </c>
      <c r="K646" s="147" t="s">
        <v>145</v>
      </c>
      <c r="L646" s="117">
        <v>13090</v>
      </c>
      <c r="M646" s="120">
        <f>L646*0.3</f>
        <v>3927</v>
      </c>
      <c r="N646" s="120">
        <f>L646-M646</f>
        <v>9163</v>
      </c>
      <c r="O646" s="119">
        <f>N646/L646</f>
        <v>0.7</v>
      </c>
      <c r="P646" s="117">
        <v>13090</v>
      </c>
      <c r="Q646" s="111">
        <v>1320</v>
      </c>
      <c r="R646" s="117">
        <v>13.5</v>
      </c>
      <c r="S646" s="117">
        <f>403.38+181.58</f>
        <v>584.96</v>
      </c>
      <c r="T646" s="117">
        <f>1462.37-U646</f>
        <v>1428.26</v>
      </c>
      <c r="U646" s="117">
        <v>34.11</v>
      </c>
      <c r="V646" s="117"/>
      <c r="W646" s="26">
        <f>SUM(S646:V646)</f>
        <v>2047.33</v>
      </c>
      <c r="X646" s="118">
        <f>IFERROR(S646/R646,"")</f>
        <v>43.330370370370375</v>
      </c>
      <c r="Y646" s="119">
        <f>U646/P646</f>
        <v>2.6058059587471352E-3</v>
      </c>
      <c r="Z646" s="117">
        <f>P646-W646</f>
        <v>11042.67</v>
      </c>
      <c r="AA646" s="119">
        <f>Z646/P646</f>
        <v>0.84359587471352182</v>
      </c>
      <c r="AB646" s="120">
        <f t="shared" ref="AB646:AB648" si="379">M646-W646</f>
        <v>1879.67</v>
      </c>
      <c r="AC646" s="119">
        <f>AA646-O646</f>
        <v>0.14359587471352186</v>
      </c>
      <c r="AD646" s="110"/>
      <c r="AE646" s="110"/>
      <c r="AF646" s="110"/>
      <c r="AG646" s="121"/>
    </row>
    <row r="647" spans="1:33" ht="11.25" customHeight="1" x14ac:dyDescent="0.15">
      <c r="A647" s="110" t="s">
        <v>195</v>
      </c>
      <c r="B647" s="110"/>
      <c r="C647" s="111" t="s">
        <v>175</v>
      </c>
      <c r="D647" s="111">
        <v>2021</v>
      </c>
      <c r="E647" s="146">
        <v>44561</v>
      </c>
      <c r="F647" s="111"/>
      <c r="G647" s="111">
        <v>821101111</v>
      </c>
      <c r="H647" s="111">
        <v>4101</v>
      </c>
      <c r="I647" s="111" t="str">
        <f>MID(G647,2,1)</f>
        <v>2</v>
      </c>
      <c r="J647" s="111" t="str">
        <f>IF(I647="1","Small/Medium","Large")</f>
        <v>Large</v>
      </c>
      <c r="K647" s="147" t="s">
        <v>176</v>
      </c>
      <c r="L647" s="117">
        <v>17586</v>
      </c>
      <c r="M647" s="120">
        <f>L647*0.3</f>
        <v>5275.8</v>
      </c>
      <c r="N647" s="120">
        <f>L647-M647</f>
        <v>12310.2</v>
      </c>
      <c r="O647" s="119">
        <f>N647/L647</f>
        <v>0.70000000000000007</v>
      </c>
      <c r="P647" s="117">
        <v>17586</v>
      </c>
      <c r="Q647" s="111">
        <v>1321</v>
      </c>
      <c r="R647" s="117">
        <v>13</v>
      </c>
      <c r="S647" s="117">
        <f>388.44+174.85</f>
        <v>563.29</v>
      </c>
      <c r="T647" s="117">
        <v>1428.24</v>
      </c>
      <c r="U647" s="117"/>
      <c r="V647" s="117"/>
      <c r="W647" s="26">
        <f>SUM(S647:V647)</f>
        <v>1991.53</v>
      </c>
      <c r="X647" s="118">
        <f>IFERROR(S647/R647,"")</f>
        <v>43.33</v>
      </c>
      <c r="Y647" s="119">
        <f>U647/P647</f>
        <v>0</v>
      </c>
      <c r="Z647" s="117">
        <f>P647-W647</f>
        <v>15594.47</v>
      </c>
      <c r="AA647" s="119">
        <f>Z647/P647</f>
        <v>0.88675480495848968</v>
      </c>
      <c r="AB647" s="120">
        <f t="shared" si="379"/>
        <v>3284.2700000000004</v>
      </c>
      <c r="AC647" s="119">
        <f>AA647-O647</f>
        <v>0.18675480495848962</v>
      </c>
      <c r="AD647" s="110"/>
      <c r="AE647" s="110"/>
      <c r="AF647" s="110"/>
      <c r="AG647" s="121"/>
    </row>
    <row r="648" spans="1:33" s="53" customFormat="1" ht="11.25" customHeight="1" x14ac:dyDescent="0.15">
      <c r="A648" s="53" t="s">
        <v>195</v>
      </c>
      <c r="C648" s="54" t="s">
        <v>177</v>
      </c>
      <c r="D648" s="54">
        <v>2021</v>
      </c>
      <c r="E648" s="70">
        <v>44561</v>
      </c>
      <c r="F648" s="54"/>
      <c r="G648" s="54"/>
      <c r="H648" s="54"/>
      <c r="I648" s="54"/>
      <c r="J648" s="54"/>
      <c r="K648" s="106"/>
      <c r="L648" s="24">
        <f>SUM(L646:L647)</f>
        <v>30676</v>
      </c>
      <c r="M648" s="92">
        <f>L648*0.3</f>
        <v>9202.7999999999993</v>
      </c>
      <c r="N648" s="92">
        <f>L648-M648</f>
        <v>21473.200000000001</v>
      </c>
      <c r="O648" s="74">
        <f>N648/L648</f>
        <v>0.70000000000000007</v>
      </c>
      <c r="P648" s="24">
        <f>SUM(P646:P647)</f>
        <v>30676</v>
      </c>
      <c r="Q648" s="91"/>
      <c r="R648" s="24">
        <f t="shared" ref="R648:W648" si="380">SUM(R646:R647)</f>
        <v>26.5</v>
      </c>
      <c r="S648" s="24">
        <f t="shared" si="380"/>
        <v>1148.25</v>
      </c>
      <c r="T648" s="24">
        <f t="shared" si="380"/>
        <v>2856.5</v>
      </c>
      <c r="U648" s="24">
        <f t="shared" si="380"/>
        <v>34.11</v>
      </c>
      <c r="V648" s="24">
        <f t="shared" si="380"/>
        <v>0</v>
      </c>
      <c r="W648" s="24">
        <f t="shared" si="380"/>
        <v>4038.8599999999997</v>
      </c>
      <c r="X648" s="56">
        <f>IFERROR(S648/R648,"")</f>
        <v>43.330188679245282</v>
      </c>
      <c r="Y648" s="57">
        <f>U648/P648</f>
        <v>1.1119441908984222E-3</v>
      </c>
      <c r="Z648" s="28">
        <f>P648-W648</f>
        <v>26637.14</v>
      </c>
      <c r="AA648" s="57">
        <f>Z648/P648</f>
        <v>0.86833811448689524</v>
      </c>
      <c r="AB648" s="120">
        <f t="shared" si="379"/>
        <v>5163.9399999999996</v>
      </c>
      <c r="AC648" s="57">
        <f>AA648-O648</f>
        <v>0.16833811448689517</v>
      </c>
      <c r="AG648" s="61"/>
    </row>
    <row r="649" spans="1:33" ht="11.25" customHeight="1" x14ac:dyDescent="0.15">
      <c r="A649" s="130" t="s">
        <v>53</v>
      </c>
      <c r="B649" s="130"/>
      <c r="C649" s="124"/>
      <c r="D649" s="124"/>
      <c r="E649" s="273"/>
      <c r="F649" s="124"/>
      <c r="G649" s="124"/>
      <c r="H649" s="124"/>
      <c r="I649" s="124"/>
      <c r="J649" s="124"/>
      <c r="K649" s="125"/>
      <c r="L649" s="129"/>
      <c r="M649" s="129"/>
      <c r="N649" s="129"/>
      <c r="O649" s="128"/>
      <c r="P649" s="129"/>
      <c r="Q649" s="124"/>
      <c r="R649" s="129"/>
      <c r="S649" s="129"/>
      <c r="T649" s="129"/>
      <c r="U649" s="129"/>
      <c r="V649" s="126"/>
      <c r="W649" s="49"/>
      <c r="X649" s="45"/>
      <c r="Y649" s="128"/>
      <c r="Z649" s="126"/>
      <c r="AA649" s="128"/>
      <c r="AB649" s="129"/>
      <c r="AC649" s="160"/>
      <c r="AD649" s="137"/>
      <c r="AE649" s="110"/>
      <c r="AF649" s="110"/>
      <c r="AG649" s="121"/>
    </row>
    <row r="650" spans="1:33" ht="11.25" customHeight="1" x14ac:dyDescent="0.15">
      <c r="A650" s="110" t="s">
        <v>322</v>
      </c>
      <c r="B650" s="110"/>
      <c r="C650" s="111" t="s">
        <v>201</v>
      </c>
      <c r="D650" s="111">
        <v>2021</v>
      </c>
      <c r="E650" s="146">
        <v>44561</v>
      </c>
      <c r="F650" s="111"/>
      <c r="G650" s="111" t="s">
        <v>202</v>
      </c>
      <c r="H650" s="111"/>
      <c r="I650" s="111"/>
      <c r="J650" s="111"/>
      <c r="K650" s="112" t="s">
        <v>203</v>
      </c>
      <c r="L650" s="120"/>
      <c r="M650" s="120"/>
      <c r="N650" s="120"/>
      <c r="O650" s="119"/>
      <c r="P650" s="117">
        <v>0</v>
      </c>
      <c r="Q650" s="111">
        <v>1322</v>
      </c>
      <c r="R650" s="117">
        <v>46.5</v>
      </c>
      <c r="S650" s="117">
        <f>1162.5+523.13</f>
        <v>1685.63</v>
      </c>
      <c r="T650" s="117">
        <f>1764.18</f>
        <v>1764.18</v>
      </c>
      <c r="U650" s="117">
        <v>734.21</v>
      </c>
      <c r="V650" s="117">
        <f>354.57+15.62</f>
        <v>370.19</v>
      </c>
      <c r="W650" s="26">
        <f>SUM(S650:V650)</f>
        <v>4554.21</v>
      </c>
      <c r="X650" s="118">
        <f>IFERROR(S650/R650,"")</f>
        <v>36.25010752688172</v>
      </c>
      <c r="Y650" s="119">
        <f>IFERROR(U650/P650,0)</f>
        <v>0</v>
      </c>
      <c r="Z650" s="117">
        <f>P650-W650</f>
        <v>-4554.21</v>
      </c>
      <c r="AA650" s="119">
        <v>-1</v>
      </c>
      <c r="AB650" s="120">
        <f t="shared" ref="AB650:AB651" si="381">M650-W650</f>
        <v>-4554.21</v>
      </c>
      <c r="AC650" s="119"/>
      <c r="AD650" s="110"/>
      <c r="AE650" s="110"/>
      <c r="AF650" s="110"/>
      <c r="AG650" s="121"/>
    </row>
    <row r="651" spans="1:33" s="53" customFormat="1" ht="11.25" customHeight="1" x14ac:dyDescent="0.15">
      <c r="A651" s="53" t="s">
        <v>322</v>
      </c>
      <c r="C651" s="54" t="s">
        <v>177</v>
      </c>
      <c r="D651" s="54">
        <v>2021</v>
      </c>
      <c r="E651" s="70">
        <v>44561</v>
      </c>
      <c r="F651" s="54"/>
      <c r="G651" s="54"/>
      <c r="H651" s="54"/>
      <c r="I651" s="54"/>
      <c r="J651" s="54"/>
      <c r="K651" s="106"/>
      <c r="L651" s="41"/>
      <c r="M651" s="41"/>
      <c r="N651" s="41"/>
      <c r="O651" s="94"/>
      <c r="P651" s="97">
        <f>P650</f>
        <v>0</v>
      </c>
      <c r="Q651" s="97"/>
      <c r="R651" s="97">
        <f t="shared" ref="R651:W651" si="382">R650</f>
        <v>46.5</v>
      </c>
      <c r="S651" s="97">
        <f t="shared" si="382"/>
        <v>1685.63</v>
      </c>
      <c r="T651" s="97">
        <f t="shared" si="382"/>
        <v>1764.18</v>
      </c>
      <c r="U651" s="97">
        <f t="shared" si="382"/>
        <v>734.21</v>
      </c>
      <c r="V651" s="97">
        <f t="shared" si="382"/>
        <v>370.19</v>
      </c>
      <c r="W651" s="97">
        <f t="shared" si="382"/>
        <v>4554.21</v>
      </c>
      <c r="X651" s="56">
        <f>IFERROR(S651/R651,"")</f>
        <v>36.25010752688172</v>
      </c>
      <c r="Y651" s="57">
        <f>IFERROR(U651/P651,0)</f>
        <v>0</v>
      </c>
      <c r="Z651" s="28">
        <f>P651-W651</f>
        <v>-4554.21</v>
      </c>
      <c r="AA651" s="57">
        <v>-1</v>
      </c>
      <c r="AB651" s="120">
        <f t="shared" si="381"/>
        <v>-4554.21</v>
      </c>
      <c r="AC651" s="94"/>
      <c r="AG651" s="96"/>
    </row>
    <row r="652" spans="1:33" ht="11.25" customHeight="1" x14ac:dyDescent="0.15">
      <c r="A652" s="130" t="s">
        <v>53</v>
      </c>
      <c r="B652" s="130"/>
      <c r="C652" s="124"/>
      <c r="D652" s="124"/>
      <c r="E652" s="273"/>
      <c r="F652" s="124"/>
      <c r="G652" s="124"/>
      <c r="H652" s="124"/>
      <c r="I652" s="124"/>
      <c r="J652" s="124"/>
      <c r="K652" s="125"/>
      <c r="L652" s="129"/>
      <c r="M652" s="129"/>
      <c r="N652" s="129"/>
      <c r="O652" s="128"/>
      <c r="P652" s="129"/>
      <c r="Q652" s="124"/>
      <c r="R652" s="129"/>
      <c r="S652" s="129"/>
      <c r="T652" s="129"/>
      <c r="U652" s="129"/>
      <c r="V652" s="126"/>
      <c r="W652" s="49"/>
      <c r="X652" s="45"/>
      <c r="Y652" s="128"/>
      <c r="Z652" s="126"/>
      <c r="AA652" s="128"/>
      <c r="AB652" s="129"/>
      <c r="AC652" s="160"/>
      <c r="AD652" s="137"/>
      <c r="AE652" s="110"/>
      <c r="AF652" s="110"/>
      <c r="AG652" s="121"/>
    </row>
    <row r="653" spans="1:33" ht="11.25" customHeight="1" x14ac:dyDescent="0.15">
      <c r="A653" s="110" t="s">
        <v>404</v>
      </c>
      <c r="B653" s="110"/>
      <c r="C653" s="111" t="s">
        <v>37</v>
      </c>
      <c r="D653" s="111">
        <v>2022</v>
      </c>
      <c r="E653" s="146">
        <v>44592</v>
      </c>
      <c r="F653" s="111"/>
      <c r="G653" s="111">
        <v>110031211</v>
      </c>
      <c r="H653" s="111"/>
      <c r="I653" s="16" t="str">
        <f>MID(G653,2,1)</f>
        <v>1</v>
      </c>
      <c r="J653" s="111" t="s">
        <v>39</v>
      </c>
      <c r="K653" s="112" t="s">
        <v>405</v>
      </c>
      <c r="L653" s="117">
        <v>39640.879999999997</v>
      </c>
      <c r="M653" s="120">
        <f>L653*0.31</f>
        <v>12288.672799999998</v>
      </c>
      <c r="N653" s="120">
        <f>L653-M653</f>
        <v>27352.207199999997</v>
      </c>
      <c r="O653" s="119">
        <f>N653/L653</f>
        <v>0.69</v>
      </c>
      <c r="P653" s="117">
        <v>39640.879999999997</v>
      </c>
      <c r="Q653" s="111">
        <v>1300</v>
      </c>
      <c r="R653" s="117">
        <f>3+16.5+5</f>
        <v>24.5</v>
      </c>
      <c r="S653" s="117">
        <f>594.08+267.39</f>
        <v>861.47</v>
      </c>
      <c r="T653" s="117"/>
      <c r="U653" s="117">
        <v>10171.709999999999</v>
      </c>
      <c r="V653" s="117"/>
      <c r="W653" s="26">
        <f>SUM(S653:V653)</f>
        <v>11033.179999999998</v>
      </c>
      <c r="X653" s="118">
        <f t="shared" ref="X653:X658" si="383">IFERROR(S653/R653,"")</f>
        <v>35.162040816326531</v>
      </c>
      <c r="Y653" s="119">
        <f t="shared" ref="Y653:Y658" si="384">U653/P653</f>
        <v>0.25659647313581335</v>
      </c>
      <c r="Z653" s="117">
        <f t="shared" ref="Z653:Z658" si="385">P653-W653</f>
        <v>28607.699999999997</v>
      </c>
      <c r="AA653" s="119">
        <f t="shared" ref="AA653:AA658" si="386">Z653/P653</f>
        <v>0.72167166823743567</v>
      </c>
      <c r="AB653" s="120">
        <f t="shared" ref="AB653:AB658" si="387">M653-W653</f>
        <v>1255.4928</v>
      </c>
      <c r="AC653" s="119">
        <f>AA653-O653</f>
        <v>3.1671668237435724E-2</v>
      </c>
      <c r="AD653" s="110"/>
      <c r="AE653" s="110"/>
      <c r="AF653" s="110"/>
      <c r="AG653" s="121"/>
    </row>
    <row r="654" spans="1:33" ht="11.25" customHeight="1" x14ac:dyDescent="0.15">
      <c r="A654" s="110" t="s">
        <v>404</v>
      </c>
      <c r="B654" s="110"/>
      <c r="C654" s="111" t="s">
        <v>37</v>
      </c>
      <c r="D654" s="111">
        <v>2022</v>
      </c>
      <c r="E654" s="146">
        <v>44592</v>
      </c>
      <c r="F654" s="111"/>
      <c r="G654" s="111">
        <v>910031411</v>
      </c>
      <c r="H654" s="111"/>
      <c r="I654" s="111"/>
      <c r="J654" s="111"/>
      <c r="K654" s="112" t="s">
        <v>406</v>
      </c>
      <c r="L654" s="132">
        <v>25248.12</v>
      </c>
      <c r="M654" s="219">
        <f>L654*0.31</f>
        <v>7826.9171999999999</v>
      </c>
      <c r="N654" s="219">
        <f>L654-M654</f>
        <v>17421.202799999999</v>
      </c>
      <c r="O654" s="163">
        <f>N654/L654</f>
        <v>0.69</v>
      </c>
      <c r="P654" s="132">
        <v>25248.12</v>
      </c>
      <c r="Q654" s="111">
        <v>1301</v>
      </c>
      <c r="R654" s="132"/>
      <c r="S654" s="132"/>
      <c r="T654" s="132"/>
      <c r="U654" s="132">
        <v>8259.77</v>
      </c>
      <c r="V654" s="132"/>
      <c r="W654" s="67">
        <f>SUM(S654:V654)</f>
        <v>8259.77</v>
      </c>
      <c r="X654" s="118" t="str">
        <f t="shared" si="383"/>
        <v/>
      </c>
      <c r="Y654" s="119">
        <f t="shared" si="384"/>
        <v>0.32714396160981496</v>
      </c>
      <c r="Z654" s="117">
        <f t="shared" si="385"/>
        <v>16988.349999999999</v>
      </c>
      <c r="AA654" s="119">
        <f t="shared" si="386"/>
        <v>0.67285603839018504</v>
      </c>
      <c r="AB654" s="120">
        <f t="shared" si="387"/>
        <v>-432.85280000000057</v>
      </c>
      <c r="AC654" s="119">
        <f>AA654-O654</f>
        <v>-1.7143961609814906E-2</v>
      </c>
      <c r="AD654" s="110" t="s">
        <v>407</v>
      </c>
      <c r="AE654" s="110"/>
      <c r="AF654" s="110"/>
      <c r="AG654" s="121"/>
    </row>
    <row r="655" spans="1:33" s="53" customFormat="1" ht="11.25" customHeight="1" x14ac:dyDescent="0.15">
      <c r="A655" s="53" t="s">
        <v>404</v>
      </c>
      <c r="C655" s="54" t="s">
        <v>360</v>
      </c>
      <c r="D655" s="54">
        <v>2022</v>
      </c>
      <c r="E655" s="70">
        <v>44592</v>
      </c>
      <c r="F655" s="54"/>
      <c r="G655" s="54"/>
      <c r="H655" s="54"/>
      <c r="I655" s="54"/>
      <c r="J655" s="54"/>
      <c r="K655" s="106"/>
      <c r="L655" s="24">
        <f>SUM(L653:L654)</f>
        <v>64889</v>
      </c>
      <c r="M655" s="24">
        <f>SUM(M653:M654)</f>
        <v>20115.589999999997</v>
      </c>
      <c r="N655" s="24">
        <f>SUM(N653:N654)</f>
        <v>44773.409999999996</v>
      </c>
      <c r="O655" s="57"/>
      <c r="P655" s="24">
        <f>SUM(P653:P654)</f>
        <v>64889</v>
      </c>
      <c r="Q655" s="24"/>
      <c r="R655" s="24">
        <f t="shared" ref="R655:W655" si="388">SUM(R653:R654)</f>
        <v>24.5</v>
      </c>
      <c r="S655" s="24">
        <f t="shared" si="388"/>
        <v>861.47</v>
      </c>
      <c r="T655" s="24">
        <f t="shared" si="388"/>
        <v>0</v>
      </c>
      <c r="U655" s="24">
        <f t="shared" si="388"/>
        <v>18431.48</v>
      </c>
      <c r="V655" s="24">
        <f t="shared" si="388"/>
        <v>0</v>
      </c>
      <c r="W655" s="24">
        <f t="shared" si="388"/>
        <v>19292.949999999997</v>
      </c>
      <c r="X655" s="56">
        <f t="shared" si="383"/>
        <v>35.162040816326531</v>
      </c>
      <c r="Y655" s="57">
        <f t="shared" si="384"/>
        <v>0.28404629444127666</v>
      </c>
      <c r="Z655" s="28">
        <f t="shared" si="385"/>
        <v>45596.05</v>
      </c>
      <c r="AA655" s="57">
        <f t="shared" si="386"/>
        <v>0.70267764952457279</v>
      </c>
      <c r="AB655" s="120">
        <f t="shared" si="387"/>
        <v>822.63999999999942</v>
      </c>
      <c r="AC655" s="57"/>
      <c r="AG655" s="61"/>
    </row>
    <row r="656" spans="1:33" ht="11.25" customHeight="1" x14ac:dyDescent="0.15">
      <c r="A656" s="110" t="s">
        <v>404</v>
      </c>
      <c r="B656" s="110"/>
      <c r="C656" s="111" t="s">
        <v>47</v>
      </c>
      <c r="D656" s="111">
        <v>2022</v>
      </c>
      <c r="E656" s="146">
        <v>44592</v>
      </c>
      <c r="F656" s="111"/>
      <c r="G656" s="111">
        <v>510031111</v>
      </c>
      <c r="H656" s="111"/>
      <c r="I656" s="111"/>
      <c r="J656" s="111"/>
      <c r="K656" s="112" t="s">
        <v>81</v>
      </c>
      <c r="L656" s="117">
        <v>8610</v>
      </c>
      <c r="M656" s="120">
        <f>L656*0.49</f>
        <v>4218.8999999999996</v>
      </c>
      <c r="N656" s="120">
        <f>L656-M656</f>
        <v>4391.1000000000004</v>
      </c>
      <c r="O656" s="119">
        <f>N656/L656</f>
        <v>0.51</v>
      </c>
      <c r="P656" s="117">
        <v>8610</v>
      </c>
      <c r="Q656" s="111">
        <v>1302</v>
      </c>
      <c r="R656" s="117">
        <v>51</v>
      </c>
      <c r="S656" s="117">
        <f>1576.43+709.43</f>
        <v>2285.86</v>
      </c>
      <c r="T656" s="117">
        <v>2229.9499999999998</v>
      </c>
      <c r="U656" s="117">
        <v>286.45999999999998</v>
      </c>
      <c r="V656" s="117"/>
      <c r="W656" s="26">
        <f>SUM(S656:V656)</f>
        <v>4802.2699999999995</v>
      </c>
      <c r="X656" s="118">
        <f t="shared" si="383"/>
        <v>44.82078431372549</v>
      </c>
      <c r="Y656" s="119">
        <f t="shared" si="384"/>
        <v>3.3270615563298488E-2</v>
      </c>
      <c r="Z656" s="117">
        <f t="shared" si="385"/>
        <v>3807.7300000000005</v>
      </c>
      <c r="AA656" s="119">
        <f t="shared" si="386"/>
        <v>0.44224506387921025</v>
      </c>
      <c r="AB656" s="120">
        <f t="shared" si="387"/>
        <v>-583.36999999999989</v>
      </c>
      <c r="AC656" s="119">
        <f>AA656-O656</f>
        <v>-6.7754936120789755E-2</v>
      </c>
      <c r="AD656" s="110" t="s">
        <v>408</v>
      </c>
      <c r="AE656" s="110"/>
      <c r="AF656" s="110"/>
      <c r="AG656" s="121"/>
    </row>
    <row r="657" spans="1:33" ht="11.25" customHeight="1" x14ac:dyDescent="0.15">
      <c r="A657" s="110" t="s">
        <v>404</v>
      </c>
      <c r="B657" s="110"/>
      <c r="C657" s="111" t="s">
        <v>55</v>
      </c>
      <c r="D657" s="111">
        <v>2022</v>
      </c>
      <c r="E657" s="146">
        <v>44592</v>
      </c>
      <c r="F657" s="111"/>
      <c r="G657" s="111" t="s">
        <v>56</v>
      </c>
      <c r="H657" s="111"/>
      <c r="I657" s="111"/>
      <c r="J657" s="111"/>
      <c r="K657" s="112" t="s">
        <v>71</v>
      </c>
      <c r="L657" s="117">
        <v>1000</v>
      </c>
      <c r="M657" s="120">
        <f>L657*0.5</f>
        <v>500</v>
      </c>
      <c r="N657" s="120">
        <f>L657-M657</f>
        <v>500</v>
      </c>
      <c r="O657" s="119">
        <f>IFERROR(N657/L657,0)</f>
        <v>0.5</v>
      </c>
      <c r="P657" s="117">
        <v>1000</v>
      </c>
      <c r="Q657" s="111">
        <v>1303</v>
      </c>
      <c r="R657" s="117">
        <v>6.5</v>
      </c>
      <c r="S657" s="117">
        <f>178.75+80.47</f>
        <v>259.22000000000003</v>
      </c>
      <c r="T657" s="117"/>
      <c r="U657" s="117">
        <v>122.04</v>
      </c>
      <c r="V657" s="117"/>
      <c r="W657" s="26">
        <f>SUM(S657:V657)</f>
        <v>381.26000000000005</v>
      </c>
      <c r="X657" s="118">
        <f t="shared" si="383"/>
        <v>39.880000000000003</v>
      </c>
      <c r="Y657" s="119">
        <f t="shared" si="384"/>
        <v>0.12204000000000001</v>
      </c>
      <c r="Z657" s="117">
        <f t="shared" si="385"/>
        <v>618.74</v>
      </c>
      <c r="AA657" s="119">
        <f t="shared" si="386"/>
        <v>0.61873999999999996</v>
      </c>
      <c r="AB657" s="120">
        <f t="shared" si="387"/>
        <v>118.73999999999995</v>
      </c>
      <c r="AC657" s="119">
        <f>AA657-O657</f>
        <v>0.11873999999999996</v>
      </c>
      <c r="AD657" s="110"/>
      <c r="AE657" s="110"/>
      <c r="AF657" s="110"/>
      <c r="AG657" s="121"/>
    </row>
    <row r="658" spans="1:33" s="53" customFormat="1" ht="11.25" customHeight="1" x14ac:dyDescent="0.15">
      <c r="A658" s="53" t="s">
        <v>404</v>
      </c>
      <c r="C658" s="54" t="s">
        <v>177</v>
      </c>
      <c r="D658" s="54">
        <v>2022</v>
      </c>
      <c r="E658" s="70">
        <v>44592</v>
      </c>
      <c r="F658" s="54"/>
      <c r="G658" s="54"/>
      <c r="H658" s="54"/>
      <c r="I658" s="54"/>
      <c r="J658" s="54"/>
      <c r="K658" s="106"/>
      <c r="L658" s="24">
        <f>SUM(L655:L657)</f>
        <v>74499</v>
      </c>
      <c r="M658" s="24">
        <f>SUM(M655:M657)</f>
        <v>24834.489999999998</v>
      </c>
      <c r="N658" s="24">
        <f>SUM(N655:N657)</f>
        <v>49664.509999999995</v>
      </c>
      <c r="O658" s="73">
        <f>IFERROR(N658/L658,0)</f>
        <v>0.66664666639820658</v>
      </c>
      <c r="P658" s="24">
        <f>SUM(P655:P657)</f>
        <v>74499</v>
      </c>
      <c r="Q658" s="24"/>
      <c r="R658" s="24">
        <f t="shared" ref="R658:W658" si="389">SUM(R655:R657)</f>
        <v>82</v>
      </c>
      <c r="S658" s="24">
        <f t="shared" si="389"/>
        <v>3406.55</v>
      </c>
      <c r="T658" s="24">
        <f t="shared" si="389"/>
        <v>2229.9499999999998</v>
      </c>
      <c r="U658" s="24">
        <f t="shared" si="389"/>
        <v>18839.98</v>
      </c>
      <c r="V658" s="24">
        <f t="shared" si="389"/>
        <v>0</v>
      </c>
      <c r="W658" s="24">
        <f t="shared" si="389"/>
        <v>24476.479999999996</v>
      </c>
      <c r="X658" s="56">
        <f t="shared" si="383"/>
        <v>41.543292682926833</v>
      </c>
      <c r="Y658" s="57">
        <f t="shared" si="384"/>
        <v>0.25288903206754454</v>
      </c>
      <c r="Z658" s="28">
        <f t="shared" si="385"/>
        <v>50022.520000000004</v>
      </c>
      <c r="AA658" s="57">
        <f t="shared" si="386"/>
        <v>0.67145223425817802</v>
      </c>
      <c r="AB658" s="120">
        <f t="shared" si="387"/>
        <v>358.01000000000204</v>
      </c>
      <c r="AC658" s="57">
        <f>AA658-O658</f>
        <v>4.805567859971438E-3</v>
      </c>
      <c r="AG658" s="61"/>
    </row>
    <row r="659" spans="1:33" ht="11.25" customHeight="1" x14ac:dyDescent="0.15">
      <c r="A659" s="130" t="s">
        <v>53</v>
      </c>
      <c r="B659" s="130"/>
      <c r="C659" s="124"/>
      <c r="D659" s="124"/>
      <c r="E659" s="273"/>
      <c r="F659" s="124"/>
      <c r="G659" s="124"/>
      <c r="H659" s="124"/>
      <c r="I659" s="124"/>
      <c r="J659" s="124"/>
      <c r="K659" s="125"/>
      <c r="L659" s="129"/>
      <c r="M659" s="129"/>
      <c r="N659" s="129"/>
      <c r="O659" s="128"/>
      <c r="P659" s="129"/>
      <c r="Q659" s="124"/>
      <c r="R659" s="129"/>
      <c r="S659" s="129"/>
      <c r="T659" s="129"/>
      <c r="U659" s="129"/>
      <c r="V659" s="126"/>
      <c r="W659" s="49"/>
      <c r="X659" s="45"/>
      <c r="Y659" s="128"/>
      <c r="Z659" s="126"/>
      <c r="AA659" s="128"/>
      <c r="AB659" s="129"/>
      <c r="AC659" s="160"/>
      <c r="AD659" s="137"/>
      <c r="AE659" s="110"/>
      <c r="AF659" s="110"/>
      <c r="AG659" s="121"/>
    </row>
    <row r="660" spans="1:33" ht="11.25" customHeight="1" x14ac:dyDescent="0.15">
      <c r="A660" s="110" t="s">
        <v>137</v>
      </c>
      <c r="B660" s="110"/>
      <c r="C660" s="111" t="s">
        <v>175</v>
      </c>
      <c r="D660" s="111">
        <v>2021</v>
      </c>
      <c r="E660" s="146">
        <v>44592</v>
      </c>
      <c r="F660" s="111"/>
      <c r="G660" s="111">
        <v>811101111</v>
      </c>
      <c r="H660" s="111">
        <v>4101</v>
      </c>
      <c r="I660" s="111" t="str">
        <f>MID(G660,2,1)</f>
        <v>1</v>
      </c>
      <c r="J660" s="111" t="str">
        <f>IF(I660="1","Small/Medium","Large")</f>
        <v>Small/Medium</v>
      </c>
      <c r="K660" s="147" t="s">
        <v>145</v>
      </c>
      <c r="L660" s="132">
        <v>20002.5</v>
      </c>
      <c r="M660" s="219">
        <f>L660*0.3</f>
        <v>6000.75</v>
      </c>
      <c r="N660" s="219">
        <f>L660-M660</f>
        <v>14001.75</v>
      </c>
      <c r="O660" s="119">
        <f>N660/L660</f>
        <v>0.7</v>
      </c>
      <c r="P660" s="132">
        <v>20002.5</v>
      </c>
      <c r="Q660" s="111">
        <v>1309</v>
      </c>
      <c r="R660" s="132">
        <v>40</v>
      </c>
      <c r="S660" s="132">
        <f>1195.2+538</f>
        <v>1733.2</v>
      </c>
      <c r="T660" s="132">
        <f>2497.44-53.01</f>
        <v>2444.4299999999998</v>
      </c>
      <c r="U660" s="132">
        <f>357.75+53.01</f>
        <v>410.76</v>
      </c>
      <c r="V660" s="132"/>
      <c r="W660" s="67">
        <f>SUM(S660:V660)</f>
        <v>4588.3900000000003</v>
      </c>
      <c r="X660" s="118">
        <f>IFERROR(S660/R660,"")</f>
        <v>43.33</v>
      </c>
      <c r="Y660" s="119">
        <f>U660/P660</f>
        <v>2.0535433070866142E-2</v>
      </c>
      <c r="Z660" s="117">
        <f>P660-W660</f>
        <v>15414.11</v>
      </c>
      <c r="AA660" s="119">
        <f>Z660/P660</f>
        <v>0.77060917385326833</v>
      </c>
      <c r="AB660" s="120">
        <f t="shared" ref="AB660:AB662" si="390">M660-W660</f>
        <v>1412.3599999999997</v>
      </c>
      <c r="AC660" s="119">
        <f>AA660-O660</f>
        <v>7.060917385326837E-2</v>
      </c>
      <c r="AD660" s="110"/>
      <c r="AE660" s="110"/>
      <c r="AF660" s="110"/>
      <c r="AG660" s="121"/>
    </row>
    <row r="661" spans="1:33" ht="11.25" customHeight="1" x14ac:dyDescent="0.15">
      <c r="A661" s="110" t="s">
        <v>137</v>
      </c>
      <c r="B661" s="110"/>
      <c r="C661" s="111" t="s">
        <v>175</v>
      </c>
      <c r="D661" s="111">
        <v>2021</v>
      </c>
      <c r="E661" s="146">
        <v>44592</v>
      </c>
      <c r="F661" s="111"/>
      <c r="G661" s="111">
        <v>821101111</v>
      </c>
      <c r="H661" s="111">
        <v>4101</v>
      </c>
      <c r="I661" s="111" t="str">
        <f>MID(G661,2,1)</f>
        <v>2</v>
      </c>
      <c r="J661" s="111" t="str">
        <f>IF(I661="1","Small/Medium","Large")</f>
        <v>Large</v>
      </c>
      <c r="K661" s="147" t="s">
        <v>176</v>
      </c>
      <c r="L661" s="117">
        <v>20002.5</v>
      </c>
      <c r="M661" s="120">
        <f>L661*0.3</f>
        <v>6000.75</v>
      </c>
      <c r="N661" s="120">
        <f>L661-M661</f>
        <v>14001.75</v>
      </c>
      <c r="O661" s="119">
        <f>N661/L661</f>
        <v>0.7</v>
      </c>
      <c r="P661" s="117">
        <v>20002.5</v>
      </c>
      <c r="Q661" s="111">
        <v>1310</v>
      </c>
      <c r="R661" s="117">
        <v>40</v>
      </c>
      <c r="S661" s="117">
        <f>1195.2+538</f>
        <v>1733.2</v>
      </c>
      <c r="T661" s="117">
        <f>2480.63-36.2</f>
        <v>2444.4300000000003</v>
      </c>
      <c r="U661" s="117">
        <f>357.75+36.2</f>
        <v>393.95</v>
      </c>
      <c r="V661" s="117"/>
      <c r="W661" s="26">
        <f>SUM(S661:V661)</f>
        <v>4571.58</v>
      </c>
      <c r="X661" s="118">
        <f>IFERROR(S661/R661,"")</f>
        <v>43.33</v>
      </c>
      <c r="Y661" s="119">
        <f>U661/P661</f>
        <v>1.9695038120234969E-2</v>
      </c>
      <c r="Z661" s="117">
        <f>P661-W661</f>
        <v>15430.92</v>
      </c>
      <c r="AA661" s="119">
        <f>Z661/P661</f>
        <v>0.77144956880389948</v>
      </c>
      <c r="AB661" s="120">
        <f t="shared" si="390"/>
        <v>1429.17</v>
      </c>
      <c r="AC661" s="119">
        <f>AA661-O661</f>
        <v>7.1449568803899521E-2</v>
      </c>
      <c r="AD661" s="110"/>
      <c r="AE661" s="110"/>
      <c r="AF661" s="110"/>
      <c r="AG661" s="121"/>
    </row>
    <row r="662" spans="1:33" s="53" customFormat="1" ht="11.25" customHeight="1" x14ac:dyDescent="0.15">
      <c r="A662" s="53" t="s">
        <v>137</v>
      </c>
      <c r="C662" s="54"/>
      <c r="D662" s="54">
        <v>2022</v>
      </c>
      <c r="E662" s="70">
        <v>44592</v>
      </c>
      <c r="F662" s="54"/>
      <c r="G662" s="54"/>
      <c r="H662" s="54"/>
      <c r="I662" s="54"/>
      <c r="J662" s="54"/>
      <c r="K662" s="106"/>
      <c r="L662" s="24">
        <f>SUM(L660:L661)</f>
        <v>40005</v>
      </c>
      <c r="M662" s="92">
        <f>L662*0.3</f>
        <v>12001.5</v>
      </c>
      <c r="N662" s="92">
        <f>L662-M662</f>
        <v>28003.5</v>
      </c>
      <c r="O662" s="74">
        <f>N662/L662</f>
        <v>0.7</v>
      </c>
      <c r="P662" s="24">
        <f>SUM(P660:P661)</f>
        <v>40005</v>
      </c>
      <c r="Q662" s="24"/>
      <c r="R662" s="24">
        <f>SUM(R659:R661)</f>
        <v>80</v>
      </c>
      <c r="S662" s="24">
        <f>SUM(S659:S661)</f>
        <v>3466.4</v>
      </c>
      <c r="T662" s="24">
        <f>SUM(T659:T661)</f>
        <v>4888.8600000000006</v>
      </c>
      <c r="U662" s="24">
        <f>SUM(U659:U661)</f>
        <v>804.71</v>
      </c>
      <c r="V662" s="24">
        <f>SUM(V659:V661)</f>
        <v>0</v>
      </c>
      <c r="W662" s="24">
        <f>SUM(W660:W661)</f>
        <v>9159.9700000000012</v>
      </c>
      <c r="X662" s="56">
        <f>IFERROR(S662/R662,"")</f>
        <v>43.33</v>
      </c>
      <c r="Y662" s="57">
        <f>U662/P662</f>
        <v>2.0115235595550555E-2</v>
      </c>
      <c r="Z662" s="28">
        <f>P662-W662</f>
        <v>30845.03</v>
      </c>
      <c r="AA662" s="57">
        <f>Z662/P662</f>
        <v>0.77102937132858385</v>
      </c>
      <c r="AB662" s="120">
        <f t="shared" si="390"/>
        <v>2841.5299999999988</v>
      </c>
      <c r="AC662" s="57">
        <f>AA662-O662</f>
        <v>7.102937132858389E-2</v>
      </c>
      <c r="AG662" s="61"/>
    </row>
    <row r="663" spans="1:33" ht="11.25" customHeight="1" x14ac:dyDescent="0.15">
      <c r="A663" s="130" t="s">
        <v>53</v>
      </c>
      <c r="B663" s="130"/>
      <c r="C663" s="124"/>
      <c r="D663" s="124"/>
      <c r="E663" s="273"/>
      <c r="F663" s="124"/>
      <c r="G663" s="124"/>
      <c r="H663" s="124"/>
      <c r="I663" s="124"/>
      <c r="J663" s="124"/>
      <c r="K663" s="125"/>
      <c r="L663" s="129"/>
      <c r="M663" s="129"/>
      <c r="N663" s="129"/>
      <c r="O663" s="128"/>
      <c r="P663" s="129"/>
      <c r="Q663" s="124"/>
      <c r="R663" s="129"/>
      <c r="S663" s="129"/>
      <c r="T663" s="129"/>
      <c r="U663" s="129"/>
      <c r="V663" s="126"/>
      <c r="W663" s="49"/>
      <c r="X663" s="45"/>
      <c r="Y663" s="128"/>
      <c r="Z663" s="126"/>
      <c r="AA663" s="128"/>
      <c r="AB663" s="129"/>
      <c r="AC663" s="160"/>
      <c r="AD663" s="137"/>
      <c r="AE663" s="110"/>
      <c r="AF663" s="110"/>
      <c r="AG663" s="121"/>
    </row>
    <row r="664" spans="1:33" ht="11.25" customHeight="1" x14ac:dyDescent="0.15">
      <c r="A664" s="110" t="s">
        <v>199</v>
      </c>
      <c r="B664" s="110"/>
      <c r="C664" s="111" t="s">
        <v>201</v>
      </c>
      <c r="D664" s="111">
        <v>2022</v>
      </c>
      <c r="E664" s="146">
        <v>44620</v>
      </c>
      <c r="F664" s="111"/>
      <c r="G664" s="111" t="s">
        <v>202</v>
      </c>
      <c r="H664" s="111"/>
      <c r="I664" s="111"/>
      <c r="J664" s="111"/>
      <c r="K664" s="112" t="s">
        <v>203</v>
      </c>
      <c r="L664" s="120"/>
      <c r="M664" s="120"/>
      <c r="N664" s="120"/>
      <c r="O664" s="119"/>
      <c r="P664" s="117">
        <v>0</v>
      </c>
      <c r="Q664" s="111">
        <v>1374</v>
      </c>
      <c r="R664" s="117">
        <v>48.5</v>
      </c>
      <c r="S664" s="117">
        <f>1212.5+545.65</f>
        <v>1758.15</v>
      </c>
      <c r="T664" s="117">
        <v>2277.04</v>
      </c>
      <c r="U664" s="117">
        <v>0</v>
      </c>
      <c r="V664" s="117"/>
      <c r="W664" s="26">
        <f>SUM(S664:V664)</f>
        <v>4035.19</v>
      </c>
      <c r="X664" s="118">
        <f>IFERROR(S664/R664,"")</f>
        <v>36.25051546391753</v>
      </c>
      <c r="Y664" s="119">
        <f>IFERROR(U664/P664,0)</f>
        <v>0</v>
      </c>
      <c r="Z664" s="117">
        <f>P664-W664</f>
        <v>-4035.19</v>
      </c>
      <c r="AA664" s="119">
        <f>IFERROR(Z664/P664,0)</f>
        <v>0</v>
      </c>
      <c r="AB664" s="120">
        <f t="shared" ref="AB664:AB665" si="391">M664-W664</f>
        <v>-4035.19</v>
      </c>
      <c r="AC664" s="119"/>
      <c r="AD664" s="110"/>
      <c r="AE664" s="110"/>
      <c r="AF664" s="110"/>
      <c r="AG664" s="121"/>
    </row>
    <row r="665" spans="1:33" s="53" customFormat="1" ht="11.25" customHeight="1" x14ac:dyDescent="0.15">
      <c r="A665" s="53" t="s">
        <v>199</v>
      </c>
      <c r="C665" s="54" t="s">
        <v>177</v>
      </c>
      <c r="D665" s="54">
        <v>2022</v>
      </c>
      <c r="E665" s="70">
        <v>44620</v>
      </c>
      <c r="F665" s="54"/>
      <c r="G665" s="54"/>
      <c r="H665" s="54"/>
      <c r="I665" s="54"/>
      <c r="J665" s="54"/>
      <c r="K665" s="106"/>
      <c r="L665" s="58"/>
      <c r="M665" s="58"/>
      <c r="N665" s="58"/>
      <c r="O665" s="57"/>
      <c r="P665" s="24">
        <f>SUM(P663:P664)</f>
        <v>0</v>
      </c>
      <c r="Q665" s="24"/>
      <c r="R665" s="24">
        <f>SUM(R664)</f>
        <v>48.5</v>
      </c>
      <c r="S665" s="24">
        <f>SUM(S664)</f>
        <v>1758.15</v>
      </c>
      <c r="T665" s="24">
        <f>SUM(T664)</f>
        <v>2277.04</v>
      </c>
      <c r="U665" s="24">
        <f>SUM(U664)</f>
        <v>0</v>
      </c>
      <c r="V665" s="24">
        <f>SUM(V662:V664)</f>
        <v>0</v>
      </c>
      <c r="W665" s="24">
        <f>SUM(W663:W664)</f>
        <v>4035.19</v>
      </c>
      <c r="X665" s="56">
        <f>IFERROR(S665/R665,"")</f>
        <v>36.25051546391753</v>
      </c>
      <c r="Y665" s="119">
        <f>IFERROR(U665/P665,0)</f>
        <v>0</v>
      </c>
      <c r="Z665" s="28">
        <f>P665-W665</f>
        <v>-4035.19</v>
      </c>
      <c r="AA665" s="57">
        <f>IFERROR(Z665/P665,0)</f>
        <v>0</v>
      </c>
      <c r="AB665" s="120">
        <f t="shared" si="391"/>
        <v>-4035.19</v>
      </c>
      <c r="AC665" s="57"/>
      <c r="AG665" s="61"/>
    </row>
    <row r="666" spans="1:33" ht="11.25" customHeight="1" x14ac:dyDescent="0.15">
      <c r="A666" s="130" t="s">
        <v>53</v>
      </c>
      <c r="B666" s="130"/>
      <c r="C666" s="124"/>
      <c r="D666" s="124"/>
      <c r="E666" s="273"/>
      <c r="F666" s="124"/>
      <c r="G666" s="124"/>
      <c r="H666" s="124"/>
      <c r="I666" s="124"/>
      <c r="J666" s="124"/>
      <c r="K666" s="125"/>
      <c r="L666" s="129"/>
      <c r="M666" s="129"/>
      <c r="N666" s="129"/>
      <c r="O666" s="128"/>
      <c r="P666" s="129"/>
      <c r="Q666" s="124"/>
      <c r="R666" s="129"/>
      <c r="S666" s="129"/>
      <c r="T666" s="129"/>
      <c r="U666" s="129"/>
      <c r="V666" s="126"/>
      <c r="W666" s="49"/>
      <c r="X666" s="45"/>
      <c r="Y666" s="128"/>
      <c r="Z666" s="126"/>
      <c r="AA666" s="128"/>
      <c r="AB666" s="129"/>
      <c r="AC666" s="160"/>
      <c r="AD666" s="137"/>
      <c r="AE666" s="110"/>
      <c r="AF666" s="110"/>
      <c r="AG666" s="121"/>
    </row>
    <row r="667" spans="1:33" ht="11.25" customHeight="1" x14ac:dyDescent="0.15">
      <c r="A667" s="110" t="s">
        <v>36</v>
      </c>
      <c r="B667" s="110"/>
      <c r="C667" s="111" t="s">
        <v>175</v>
      </c>
      <c r="D667" s="111">
        <v>2022</v>
      </c>
      <c r="E667" s="146">
        <v>44620</v>
      </c>
      <c r="F667" s="111"/>
      <c r="G667" s="111">
        <v>811001112</v>
      </c>
      <c r="H667" s="111">
        <v>4101</v>
      </c>
      <c r="I667" s="111" t="str">
        <f>MID(G667,2,1)</f>
        <v>1</v>
      </c>
      <c r="J667" s="111" t="str">
        <f>IF(I667="1","Small/Medium","Large")</f>
        <v>Small/Medium</v>
      </c>
      <c r="K667" s="147" t="s">
        <v>145</v>
      </c>
      <c r="L667" s="117">
        <v>15498</v>
      </c>
      <c r="M667" s="120">
        <f>L667*0.3</f>
        <v>4649.3999999999996</v>
      </c>
      <c r="N667" s="120">
        <f>L667-M667</f>
        <v>10848.6</v>
      </c>
      <c r="O667" s="119">
        <f>N667/L667</f>
        <v>0.70000000000000007</v>
      </c>
      <c r="P667" s="132">
        <v>15498</v>
      </c>
      <c r="Q667" s="111">
        <v>1371</v>
      </c>
      <c r="R667" s="132">
        <v>29</v>
      </c>
      <c r="S667" s="132">
        <f>866.52+390.05</f>
        <v>1256.57</v>
      </c>
      <c r="T667" s="132">
        <v>916.79</v>
      </c>
      <c r="U667" s="132">
        <v>570</v>
      </c>
      <c r="V667" s="132">
        <v>0</v>
      </c>
      <c r="W667" s="67">
        <f>SUM(S667:V667)</f>
        <v>2743.3599999999997</v>
      </c>
      <c r="X667" s="118">
        <f>IFERROR(S667/R667,"")</f>
        <v>43.33</v>
      </c>
      <c r="Y667" s="119">
        <f>IFERROR(U667/P667,0)</f>
        <v>3.6778939217963609E-2</v>
      </c>
      <c r="Z667" s="117">
        <f>P667-W667</f>
        <v>12754.64</v>
      </c>
      <c r="AA667" s="119">
        <f>IFERROR(Z667/P667,0)</f>
        <v>0.82298619176667953</v>
      </c>
      <c r="AB667" s="120">
        <f t="shared" ref="AB667:AB668" si="392">M667-W667</f>
        <v>1906.04</v>
      </c>
      <c r="AC667" s="119">
        <f>AA667-O667</f>
        <v>0.12298619176667946</v>
      </c>
      <c r="AD667" s="110"/>
      <c r="AE667" s="110"/>
      <c r="AF667" s="110"/>
      <c r="AG667" s="121"/>
    </row>
    <row r="668" spans="1:33" s="53" customFormat="1" ht="11.25" customHeight="1" x14ac:dyDescent="0.15">
      <c r="A668" s="53" t="s">
        <v>36</v>
      </c>
      <c r="C668" s="54"/>
      <c r="D668" s="54">
        <v>2022</v>
      </c>
      <c r="E668" s="70">
        <v>44620</v>
      </c>
      <c r="F668" s="54"/>
      <c r="G668" s="54"/>
      <c r="H668" s="54"/>
      <c r="I668" s="54"/>
      <c r="J668" s="54"/>
      <c r="K668" s="106"/>
      <c r="L668" s="24">
        <f>SUM(L666:L667)</f>
        <v>15498</v>
      </c>
      <c r="M668" s="92">
        <f>L668*0.3</f>
        <v>4649.3999999999996</v>
      </c>
      <c r="N668" s="92">
        <f>L668-M668</f>
        <v>10848.6</v>
      </c>
      <c r="O668" s="57">
        <f>N668/L668</f>
        <v>0.70000000000000007</v>
      </c>
      <c r="P668" s="24">
        <f>SUM(P666:P667)</f>
        <v>15498</v>
      </c>
      <c r="Q668" s="24"/>
      <c r="R668" s="24">
        <f t="shared" ref="R668:W668" si="393">SUM(R666:R667)</f>
        <v>29</v>
      </c>
      <c r="S668" s="24">
        <f t="shared" si="393"/>
        <v>1256.57</v>
      </c>
      <c r="T668" s="24">
        <f t="shared" si="393"/>
        <v>916.79</v>
      </c>
      <c r="U668" s="24">
        <f t="shared" si="393"/>
        <v>570</v>
      </c>
      <c r="V668" s="24">
        <f t="shared" si="393"/>
        <v>0</v>
      </c>
      <c r="W668" s="24">
        <f t="shared" si="393"/>
        <v>2743.3599999999997</v>
      </c>
      <c r="X668" s="56">
        <f>IFERROR(S668/R668,"")</f>
        <v>43.33</v>
      </c>
      <c r="Y668" s="119">
        <f>IFERROR(U668/P668,0)</f>
        <v>3.6778939217963609E-2</v>
      </c>
      <c r="Z668" s="28">
        <f>P668-W668</f>
        <v>12754.64</v>
      </c>
      <c r="AA668" s="119">
        <f>IFERROR(Z668/P668,0)</f>
        <v>0.82298619176667953</v>
      </c>
      <c r="AB668" s="120">
        <f t="shared" si="392"/>
        <v>1906.04</v>
      </c>
      <c r="AC668" s="57">
        <f>AA668-O668</f>
        <v>0.12298619176667946</v>
      </c>
      <c r="AG668" s="61"/>
    </row>
    <row r="669" spans="1:33" ht="11.25" customHeight="1" x14ac:dyDescent="0.15">
      <c r="A669" s="130" t="s">
        <v>53</v>
      </c>
      <c r="B669" s="130"/>
      <c r="C669" s="124"/>
      <c r="D669" s="124"/>
      <c r="E669" s="273"/>
      <c r="F669" s="124"/>
      <c r="G669" s="124"/>
      <c r="H669" s="124"/>
      <c r="I669" s="124"/>
      <c r="J669" s="124"/>
      <c r="K669" s="125"/>
      <c r="L669" s="129"/>
      <c r="M669" s="129"/>
      <c r="N669" s="129"/>
      <c r="O669" s="128"/>
      <c r="P669" s="129"/>
      <c r="Q669" s="124"/>
      <c r="R669" s="129"/>
      <c r="S669" s="129"/>
      <c r="T669" s="129"/>
      <c r="U669" s="129"/>
      <c r="V669" s="126"/>
      <c r="W669" s="49"/>
      <c r="X669" s="45"/>
      <c r="Y669" s="128"/>
      <c r="Z669" s="126"/>
      <c r="AA669" s="128"/>
      <c r="AB669" s="129"/>
      <c r="AC669" s="160"/>
      <c r="AD669" s="137"/>
      <c r="AE669" s="110"/>
      <c r="AF669" s="110"/>
      <c r="AG669" s="121"/>
    </row>
    <row r="670" spans="1:33" ht="11.25" customHeight="1" x14ac:dyDescent="0.15">
      <c r="A670" s="110" t="s">
        <v>409</v>
      </c>
      <c r="B670" s="110"/>
      <c r="C670" s="111" t="s">
        <v>37</v>
      </c>
      <c r="D670" s="111">
        <v>2022</v>
      </c>
      <c r="E670" s="146">
        <v>44620</v>
      </c>
      <c r="F670" s="111"/>
      <c r="G670" s="111">
        <v>125100121</v>
      </c>
      <c r="H670" s="111"/>
      <c r="I670" s="16" t="str">
        <f>MID(G670,2,1)</f>
        <v>2</v>
      </c>
      <c r="J670" s="16" t="s">
        <v>68</v>
      </c>
      <c r="K670" s="112" t="s">
        <v>410</v>
      </c>
      <c r="L670" s="120">
        <f>90346.8948961631+1946</f>
        <v>92292.894896163096</v>
      </c>
      <c r="M670" s="120">
        <f>36766.9-M671</f>
        <v>31617.800000000003</v>
      </c>
      <c r="N670" s="120">
        <f>L670-M670</f>
        <v>60675.094896163093</v>
      </c>
      <c r="O670" s="119">
        <f>IFERROR(N670/L670,"")</f>
        <v>0.65741891577274114</v>
      </c>
      <c r="P670" s="131">
        <v>90009.75</v>
      </c>
      <c r="Q670" s="111">
        <v>1327</v>
      </c>
      <c r="R670" s="117">
        <f>15+30+4</f>
        <v>49</v>
      </c>
      <c r="S670" s="117">
        <f>1219.84+549.04</f>
        <v>1768.8799999999999</v>
      </c>
      <c r="T670" s="117">
        <v>0</v>
      </c>
      <c r="U670" s="117">
        <v>30059.32</v>
      </c>
      <c r="V670" s="117">
        <v>0</v>
      </c>
      <c r="W670" s="26">
        <f>SUM(S670:V670)</f>
        <v>31828.2</v>
      </c>
      <c r="X670" s="118">
        <f>IFERROR(S670/R670,"")</f>
        <v>36.099591836734689</v>
      </c>
      <c r="Y670" s="119">
        <f>U670/P670</f>
        <v>0.33395626584897747</v>
      </c>
      <c r="Z670" s="117">
        <f>P670-W670</f>
        <v>58181.55</v>
      </c>
      <c r="AA670" s="119">
        <f>Z670/P670</f>
        <v>0.64639164090556855</v>
      </c>
      <c r="AB670" s="120">
        <f t="shared" ref="AB670:AB681" si="394">M670-W670</f>
        <v>-210.39999999999782</v>
      </c>
      <c r="AC670" s="119">
        <f>IFERROR(AA670-O670,"")</f>
        <v>-1.1027274867172587E-2</v>
      </c>
      <c r="AD670" s="110"/>
      <c r="AE670" s="110"/>
      <c r="AF670" s="110"/>
      <c r="AG670" s="121"/>
    </row>
    <row r="671" spans="1:33" ht="11.25" customHeight="1" x14ac:dyDescent="0.15">
      <c r="A671" s="110" t="s">
        <v>409</v>
      </c>
      <c r="B671" s="110"/>
      <c r="C671" s="111" t="s">
        <v>37</v>
      </c>
      <c r="D671" s="111">
        <v>2022</v>
      </c>
      <c r="E671" s="146">
        <v>44620</v>
      </c>
      <c r="F671" s="111"/>
      <c r="G671" s="111">
        <v>210100111</v>
      </c>
      <c r="H671" s="111"/>
      <c r="I671" s="111"/>
      <c r="J671" s="111"/>
      <c r="K671" s="112" t="s">
        <v>411</v>
      </c>
      <c r="L671" s="120">
        <f>M671/0.35</f>
        <v>14711.714285714288</v>
      </c>
      <c r="M671" s="120">
        <v>5149.1000000000004</v>
      </c>
      <c r="N671" s="120">
        <f>L671-M671</f>
        <v>9562.6142857142877</v>
      </c>
      <c r="O671" s="119">
        <f>IFERROR(N671/L671,"")</f>
        <v>0.65</v>
      </c>
      <c r="P671" s="131">
        <v>14711.71</v>
      </c>
      <c r="Q671" s="111">
        <v>1328</v>
      </c>
      <c r="R671" s="117">
        <v>0</v>
      </c>
      <c r="S671" s="117">
        <v>0</v>
      </c>
      <c r="T671" s="117">
        <v>0</v>
      </c>
      <c r="U671" s="117">
        <v>5212.91</v>
      </c>
      <c r="V671" s="117">
        <v>0</v>
      </c>
      <c r="W671" s="26">
        <f>SUM(S671:V671)</f>
        <v>5212.91</v>
      </c>
      <c r="X671" s="118" t="str">
        <f>IFERROR(S671/R671,"")</f>
        <v/>
      </c>
      <c r="Y671" s="119">
        <f>U671/P671</f>
        <v>0.35433746315010289</v>
      </c>
      <c r="Z671" s="117">
        <f>P671-W671</f>
        <v>9498.7999999999993</v>
      </c>
      <c r="AA671" s="119">
        <f>Z671/P671</f>
        <v>0.64566253684989716</v>
      </c>
      <c r="AB671" s="120">
        <f t="shared" si="394"/>
        <v>-63.809999999999491</v>
      </c>
      <c r="AC671" s="119">
        <f>IFERROR(AA671-O671,"")</f>
        <v>-4.3374631501028604E-3</v>
      </c>
      <c r="AD671" s="110"/>
      <c r="AE671" s="110"/>
      <c r="AF671" s="110"/>
      <c r="AG671" s="121"/>
    </row>
    <row r="672" spans="1:33" ht="11.25" customHeight="1" x14ac:dyDescent="0.15">
      <c r="A672" s="110" t="s">
        <v>409</v>
      </c>
      <c r="B672" s="110"/>
      <c r="C672" s="111" t="s">
        <v>37</v>
      </c>
      <c r="D672" s="111">
        <v>2022</v>
      </c>
      <c r="E672" s="146">
        <v>44620</v>
      </c>
      <c r="F672" s="111"/>
      <c r="G672" s="111">
        <v>210500111</v>
      </c>
      <c r="H672" s="111"/>
      <c r="I672" s="111"/>
      <c r="J672" s="111"/>
      <c r="K672" s="112" t="s">
        <v>412</v>
      </c>
      <c r="L672" s="120">
        <f>M672/0.35</f>
        <v>21660.771428571432</v>
      </c>
      <c r="M672" s="120">
        <v>7581.27</v>
      </c>
      <c r="N672" s="120">
        <f>L672-M672</f>
        <v>14079.501428571431</v>
      </c>
      <c r="O672" s="119">
        <f>IFERROR(N672/L672,"")</f>
        <v>0.65</v>
      </c>
      <c r="P672" s="154">
        <v>23943.54</v>
      </c>
      <c r="Q672" s="111">
        <v>1329</v>
      </c>
      <c r="R672" s="132">
        <v>0</v>
      </c>
      <c r="S672" s="132">
        <v>0</v>
      </c>
      <c r="T672" s="132">
        <v>0</v>
      </c>
      <c r="U672" s="132">
        <v>7220.59</v>
      </c>
      <c r="V672" s="117">
        <v>0</v>
      </c>
      <c r="W672" s="67">
        <f>SUM(S672:V672)</f>
        <v>7220.59</v>
      </c>
      <c r="X672" s="118" t="str">
        <f>IFERROR(S672/R672,"")</f>
        <v/>
      </c>
      <c r="Y672" s="119">
        <f>U672/P672</f>
        <v>0.30156735386663791</v>
      </c>
      <c r="Z672" s="117">
        <f>P672-W672</f>
        <v>16722.95</v>
      </c>
      <c r="AA672" s="119">
        <f>Z672/P672</f>
        <v>0.69843264613336209</v>
      </c>
      <c r="AB672" s="120">
        <f t="shared" si="394"/>
        <v>360.68000000000029</v>
      </c>
      <c r="AC672" s="119">
        <f>IFERROR(AA672-O672,"")</f>
        <v>4.8432646133362067E-2</v>
      </c>
      <c r="AD672" s="110"/>
      <c r="AE672" s="110"/>
      <c r="AF672" s="110"/>
      <c r="AG672" s="121"/>
    </row>
    <row r="673" spans="1:33" ht="11.25" customHeight="1" x14ac:dyDescent="0.15">
      <c r="A673" s="110" t="s">
        <v>409</v>
      </c>
      <c r="B673" s="110"/>
      <c r="C673" s="111" t="s">
        <v>37</v>
      </c>
      <c r="D673" s="111">
        <v>2022</v>
      </c>
      <c r="E673" s="146">
        <v>44620</v>
      </c>
      <c r="F673" s="111"/>
      <c r="G673" s="111">
        <v>925100421</v>
      </c>
      <c r="H673" s="111"/>
      <c r="I673" s="111"/>
      <c r="J673" s="111"/>
      <c r="K673" s="112" t="s">
        <v>413</v>
      </c>
      <c r="L673" s="120">
        <v>13429</v>
      </c>
      <c r="M673" s="120">
        <v>4700</v>
      </c>
      <c r="N673" s="120">
        <f>L673-M673</f>
        <v>8729</v>
      </c>
      <c r="O673" s="119">
        <f>IFERROR(N673/L673,"")</f>
        <v>0.65001116985628116</v>
      </c>
      <c r="P673" s="131">
        <v>13429</v>
      </c>
      <c r="Q673" s="111">
        <v>1330</v>
      </c>
      <c r="R673" s="117">
        <v>0</v>
      </c>
      <c r="S673" s="117">
        <v>0</v>
      </c>
      <c r="T673" s="117">
        <v>0</v>
      </c>
      <c r="U673" s="117">
        <v>3854.32</v>
      </c>
      <c r="V673" s="117">
        <v>0</v>
      </c>
      <c r="W673" s="26">
        <f>SUM(S673:V673)</f>
        <v>3854.32</v>
      </c>
      <c r="X673" s="118" t="str">
        <f>IFERROR(S673/R673,"")</f>
        <v/>
      </c>
      <c r="Y673" s="119">
        <f>U673/P673</f>
        <v>0.28701466974458262</v>
      </c>
      <c r="Z673" s="117">
        <f>P673-W673</f>
        <v>9574.68</v>
      </c>
      <c r="AA673" s="119">
        <f>Z673/P673</f>
        <v>0.71298533025541744</v>
      </c>
      <c r="AB673" s="120">
        <f t="shared" si="394"/>
        <v>845.67999999999984</v>
      </c>
      <c r="AC673" s="119">
        <f>IFERROR(AA673-O673,"")</f>
        <v>6.2974160399136281E-2</v>
      </c>
      <c r="AD673" s="110"/>
      <c r="AE673" s="110"/>
      <c r="AF673" s="110"/>
      <c r="AG673" s="121"/>
    </row>
    <row r="674" spans="1:33" ht="11.25" customHeight="1" x14ac:dyDescent="0.15">
      <c r="A674" s="110" t="s">
        <v>409</v>
      </c>
      <c r="B674" s="110"/>
      <c r="C674" s="111" t="s">
        <v>37</v>
      </c>
      <c r="D674" s="111">
        <v>2022</v>
      </c>
      <c r="E674" s="146">
        <v>44620</v>
      </c>
      <c r="F674" s="111"/>
      <c r="G674" s="111">
        <v>310800201</v>
      </c>
      <c r="H674" s="111"/>
      <c r="I674" s="111"/>
      <c r="J674" s="111"/>
      <c r="K674" s="112" t="s">
        <v>414</v>
      </c>
      <c r="L674" s="120">
        <v>35978</v>
      </c>
      <c r="M674" s="120">
        <v>12592</v>
      </c>
      <c r="N674" s="120">
        <f>L674-M674</f>
        <v>23386</v>
      </c>
      <c r="O674" s="119">
        <f>IFERROR(N674/L674,"")</f>
        <v>0.65000833842903993</v>
      </c>
      <c r="P674" s="131">
        <v>35978</v>
      </c>
      <c r="Q674" s="111">
        <v>1331</v>
      </c>
      <c r="R674" s="117">
        <f>7.5+15</f>
        <v>22.5</v>
      </c>
      <c r="S674" s="117">
        <f>563.4+253.55</f>
        <v>816.95</v>
      </c>
      <c r="T674" s="117">
        <v>0</v>
      </c>
      <c r="U674" s="117">
        <v>13536.57</v>
      </c>
      <c r="V674" s="117">
        <v>0</v>
      </c>
      <c r="W674" s="26">
        <f>SUM(S674:V674)</f>
        <v>14353.52</v>
      </c>
      <c r="X674" s="118">
        <f>IFERROR(S674/R674,"")</f>
        <v>36.308888888888887</v>
      </c>
      <c r="Y674" s="119">
        <f>U674/P674</f>
        <v>0.37624576129857135</v>
      </c>
      <c r="Z674" s="117">
        <f>P674-W674</f>
        <v>21624.48</v>
      </c>
      <c r="AA674" s="119">
        <f>Z674/P674</f>
        <v>0.60104730668742012</v>
      </c>
      <c r="AB674" s="120">
        <f t="shared" si="394"/>
        <v>-1761.5200000000004</v>
      </c>
      <c r="AC674" s="119">
        <f>IFERROR(AA674-O674,"")</f>
        <v>-4.8961031741619809E-2</v>
      </c>
      <c r="AD674" s="110"/>
      <c r="AE674" s="110"/>
      <c r="AF674" s="110"/>
      <c r="AG674" s="121"/>
    </row>
    <row r="675" spans="1:33" s="53" customFormat="1" ht="11.25" customHeight="1" x14ac:dyDescent="0.15">
      <c r="A675" s="53" t="s">
        <v>409</v>
      </c>
      <c r="C675" s="54" t="s">
        <v>360</v>
      </c>
      <c r="D675" s="54">
        <v>2022</v>
      </c>
      <c r="E675" s="70">
        <v>44620</v>
      </c>
      <c r="F675" s="54"/>
      <c r="G675" s="54"/>
      <c r="H675" s="54"/>
      <c r="I675" s="54"/>
      <c r="J675" s="54"/>
      <c r="K675" s="106"/>
      <c r="L675" s="24">
        <f>SUM(L670:L674)</f>
        <v>178072.38061044883</v>
      </c>
      <c r="M675" s="92">
        <f>SUM(M670:M674)</f>
        <v>61640.17</v>
      </c>
      <c r="N675" s="92">
        <f>SUM(N670:N674)</f>
        <v>116432.2106104488</v>
      </c>
      <c r="O675" s="57"/>
      <c r="P675" s="24">
        <f>SUM(P670:P674)</f>
        <v>178072</v>
      </c>
      <c r="Q675" s="24"/>
      <c r="R675" s="24">
        <f t="shared" ref="R675:W675" si="395">SUM(R670:R674)</f>
        <v>71.5</v>
      </c>
      <c r="S675" s="24">
        <f t="shared" si="395"/>
        <v>2585.83</v>
      </c>
      <c r="T675" s="24">
        <f t="shared" si="395"/>
        <v>0</v>
      </c>
      <c r="U675" s="24">
        <f t="shared" si="395"/>
        <v>59883.709999999992</v>
      </c>
      <c r="V675" s="24">
        <f t="shared" si="395"/>
        <v>0</v>
      </c>
      <c r="W675" s="24">
        <f t="shared" si="395"/>
        <v>62469.539999999994</v>
      </c>
      <c r="X675" s="56"/>
      <c r="Y675" s="57"/>
      <c r="Z675" s="28"/>
      <c r="AA675" s="57"/>
      <c r="AB675" s="120">
        <f t="shared" si="394"/>
        <v>-829.36999999999534</v>
      </c>
      <c r="AC675" s="57"/>
      <c r="AG675" s="61"/>
    </row>
    <row r="676" spans="1:33" ht="11.25" customHeight="1" x14ac:dyDescent="0.15">
      <c r="A676" s="110" t="s">
        <v>409</v>
      </c>
      <c r="B676" s="110"/>
      <c r="C676" s="111" t="s">
        <v>47</v>
      </c>
      <c r="D676" s="111">
        <v>2022</v>
      </c>
      <c r="E676" s="146">
        <v>44620</v>
      </c>
      <c r="F676" s="111"/>
      <c r="G676" s="111">
        <v>525100121</v>
      </c>
      <c r="H676" s="111"/>
      <c r="I676" s="111"/>
      <c r="J676" s="111"/>
      <c r="K676" s="112" t="s">
        <v>81</v>
      </c>
      <c r="L676" s="120">
        <v>31743</v>
      </c>
      <c r="M676" s="120">
        <v>12110</v>
      </c>
      <c r="N676" s="120">
        <f>L676-M676</f>
        <v>19633</v>
      </c>
      <c r="O676" s="119">
        <f t="shared" ref="O676:O681" si="396">IFERROR(N676/L676,"")</f>
        <v>0.61849856661311153</v>
      </c>
      <c r="P676" s="131">
        <v>31743</v>
      </c>
      <c r="Q676" s="111">
        <v>1332</v>
      </c>
      <c r="R676" s="117">
        <v>110</v>
      </c>
      <c r="S676" s="117">
        <f>3400.11+1530.11</f>
        <v>4930.22</v>
      </c>
      <c r="T676" s="117">
        <v>4954.34</v>
      </c>
      <c r="U676" s="117">
        <v>888.45</v>
      </c>
      <c r="V676" s="121">
        <v>0</v>
      </c>
      <c r="W676" s="26">
        <f>SUM(S676:V676)</f>
        <v>10773.010000000002</v>
      </c>
      <c r="X676" s="118">
        <f t="shared" ref="X676:X681" si="397">IFERROR(S676/R676,"")</f>
        <v>44.820181818181823</v>
      </c>
      <c r="Y676" s="119">
        <f t="shared" ref="Y676:Y681" si="398">U676/P676</f>
        <v>2.798884793497779E-2</v>
      </c>
      <c r="Z676" s="117">
        <f t="shared" ref="Z676:Z681" si="399">P676-W676</f>
        <v>20969.989999999998</v>
      </c>
      <c r="AA676" s="119">
        <f t="shared" ref="AA676:AA681" si="400">Z676/P676</f>
        <v>0.66061777399741672</v>
      </c>
      <c r="AB676" s="120">
        <f t="shared" si="394"/>
        <v>1336.989999999998</v>
      </c>
      <c r="AC676" s="119">
        <f t="shared" ref="AC676:AC681" si="401">IFERROR(AA676-O676,"")</f>
        <v>4.2119207384305191E-2</v>
      </c>
      <c r="AD676" s="110"/>
      <c r="AE676" s="110"/>
      <c r="AF676" s="110"/>
      <c r="AG676" s="121"/>
    </row>
    <row r="677" spans="1:33" ht="11.25" customHeight="1" x14ac:dyDescent="0.15">
      <c r="A677" s="110" t="s">
        <v>409</v>
      </c>
      <c r="B677" s="110"/>
      <c r="C677" s="111" t="s">
        <v>49</v>
      </c>
      <c r="D677" s="111">
        <v>2022</v>
      </c>
      <c r="E677" s="146">
        <v>44620</v>
      </c>
      <c r="F677" s="111"/>
      <c r="G677" s="111">
        <v>626420121</v>
      </c>
      <c r="H677" s="111"/>
      <c r="I677" s="111"/>
      <c r="J677" s="111"/>
      <c r="K677" s="112" t="s">
        <v>85</v>
      </c>
      <c r="L677" s="120">
        <v>10530</v>
      </c>
      <c r="M677" s="120">
        <v>3676</v>
      </c>
      <c r="N677" s="120">
        <f>L677-M677</f>
        <v>6854</v>
      </c>
      <c r="O677" s="119">
        <f t="shared" si="396"/>
        <v>0.6509021842355176</v>
      </c>
      <c r="P677" s="117">
        <v>8053</v>
      </c>
      <c r="Q677" s="111">
        <v>1333</v>
      </c>
      <c r="R677" s="117">
        <v>40</v>
      </c>
      <c r="S677" s="117">
        <f>1571.2+707.2</f>
        <v>2278.4</v>
      </c>
      <c r="T677" s="117">
        <v>1524.95</v>
      </c>
      <c r="U677" s="117">
        <v>-31.03</v>
      </c>
      <c r="V677" s="121">
        <v>0</v>
      </c>
      <c r="W677" s="26">
        <f>SUM(S677:V677)</f>
        <v>3772.32</v>
      </c>
      <c r="X677" s="118">
        <f t="shared" si="397"/>
        <v>56.96</v>
      </c>
      <c r="Y677" s="119">
        <f t="shared" si="398"/>
        <v>-3.8532224015894699E-3</v>
      </c>
      <c r="Z677" s="117">
        <f t="shared" si="399"/>
        <v>4280.68</v>
      </c>
      <c r="AA677" s="119">
        <f t="shared" si="400"/>
        <v>0.531563392524525</v>
      </c>
      <c r="AB677" s="120">
        <f t="shared" si="394"/>
        <v>-96.320000000000164</v>
      </c>
      <c r="AC677" s="119">
        <f t="shared" si="401"/>
        <v>-0.1193387917109926</v>
      </c>
      <c r="AD677" s="100" t="s">
        <v>415</v>
      </c>
      <c r="AE677" s="110"/>
      <c r="AF677" s="110"/>
      <c r="AG677" s="121"/>
    </row>
    <row r="678" spans="1:33" ht="11.25" customHeight="1" x14ac:dyDescent="0.15">
      <c r="A678" s="110" t="s">
        <v>409</v>
      </c>
      <c r="B678" s="110"/>
      <c r="C678" s="111" t="s">
        <v>55</v>
      </c>
      <c r="D678" s="111">
        <v>2022</v>
      </c>
      <c r="E678" s="146">
        <v>44620</v>
      </c>
      <c r="F678" s="111"/>
      <c r="G678" s="111" t="s">
        <v>56</v>
      </c>
      <c r="H678" s="111"/>
      <c r="I678" s="111"/>
      <c r="J678" s="111"/>
      <c r="K678" s="112" t="s">
        <v>71</v>
      </c>
      <c r="L678" s="120">
        <v>9261</v>
      </c>
      <c r="M678" s="120">
        <v>4630.5</v>
      </c>
      <c r="N678" s="120">
        <f>L678-M678</f>
        <v>4630.5</v>
      </c>
      <c r="O678" s="119">
        <f t="shared" si="396"/>
        <v>0.5</v>
      </c>
      <c r="P678" s="131">
        <v>9261</v>
      </c>
      <c r="Q678" s="111">
        <v>1334</v>
      </c>
      <c r="R678" s="117">
        <v>26</v>
      </c>
      <c r="S678" s="117">
        <f>715+321.88</f>
        <v>1036.8800000000001</v>
      </c>
      <c r="T678" s="117">
        <v>0</v>
      </c>
      <c r="U678" s="117">
        <v>284.69</v>
      </c>
      <c r="V678" s="117">
        <v>4882.8599999999997</v>
      </c>
      <c r="W678" s="26">
        <f>SUM(S678:V678)</f>
        <v>6204.43</v>
      </c>
      <c r="X678" s="118">
        <f t="shared" si="397"/>
        <v>39.880000000000003</v>
      </c>
      <c r="Y678" s="119">
        <f t="shared" si="398"/>
        <v>3.0740740740740742E-2</v>
      </c>
      <c r="Z678" s="117">
        <f t="shared" si="399"/>
        <v>3056.5699999999997</v>
      </c>
      <c r="AA678" s="119">
        <f t="shared" si="400"/>
        <v>0.33004751106791919</v>
      </c>
      <c r="AB678" s="120">
        <f t="shared" si="394"/>
        <v>-1573.9300000000003</v>
      </c>
      <c r="AC678" s="119">
        <f t="shared" si="401"/>
        <v>-0.16995248893208081</v>
      </c>
      <c r="AD678" s="167" t="s">
        <v>416</v>
      </c>
      <c r="AE678" s="110"/>
      <c r="AF678" s="110"/>
      <c r="AG678" s="121"/>
    </row>
    <row r="679" spans="1:33" ht="11.25" customHeight="1" x14ac:dyDescent="0.15">
      <c r="A679" s="110" t="s">
        <v>409</v>
      </c>
      <c r="B679" s="110"/>
      <c r="C679" s="111" t="s">
        <v>248</v>
      </c>
      <c r="D679" s="111">
        <v>2022</v>
      </c>
      <c r="E679" s="146">
        <v>44620</v>
      </c>
      <c r="F679" s="111"/>
      <c r="G679" s="111" t="s">
        <v>337</v>
      </c>
      <c r="H679" s="111"/>
      <c r="I679" s="111"/>
      <c r="J679" s="111"/>
      <c r="K679" s="112" t="s">
        <v>250</v>
      </c>
      <c r="L679" s="120">
        <v>12586</v>
      </c>
      <c r="M679" s="120">
        <v>6293</v>
      </c>
      <c r="N679" s="120">
        <f>L679-M679</f>
        <v>6293</v>
      </c>
      <c r="O679" s="119">
        <f t="shared" si="396"/>
        <v>0.5</v>
      </c>
      <c r="P679" s="117">
        <v>12630</v>
      </c>
      <c r="Q679" s="111">
        <v>1382</v>
      </c>
      <c r="R679" s="117">
        <v>12</v>
      </c>
      <c r="S679" s="117">
        <f>471.36+212.16</f>
        <v>683.52</v>
      </c>
      <c r="T679" s="117"/>
      <c r="U679" s="117"/>
      <c r="V679" s="121">
        <v>0</v>
      </c>
      <c r="W679" s="26">
        <f>SUM(S679:V679)</f>
        <v>683.52</v>
      </c>
      <c r="X679" s="118">
        <f t="shared" si="397"/>
        <v>56.96</v>
      </c>
      <c r="Y679" s="119">
        <f t="shared" si="398"/>
        <v>0</v>
      </c>
      <c r="Z679" s="117">
        <f t="shared" si="399"/>
        <v>11946.48</v>
      </c>
      <c r="AA679" s="119">
        <f t="shared" si="400"/>
        <v>0.94588123515439426</v>
      </c>
      <c r="AB679" s="120">
        <f t="shared" si="394"/>
        <v>5609.48</v>
      </c>
      <c r="AC679" s="119">
        <f t="shared" si="401"/>
        <v>0.44588123515439426</v>
      </c>
      <c r="AD679" s="99">
        <f>L679-P679</f>
        <v>-44</v>
      </c>
      <c r="AE679" s="110"/>
      <c r="AF679" s="110"/>
      <c r="AG679" s="121"/>
    </row>
    <row r="680" spans="1:33" ht="11.25" customHeight="1" x14ac:dyDescent="0.15">
      <c r="A680" s="110" t="s">
        <v>409</v>
      </c>
      <c r="B680" s="110"/>
      <c r="C680" s="111" t="s">
        <v>58</v>
      </c>
      <c r="D680" s="111">
        <v>2022</v>
      </c>
      <c r="E680" s="146">
        <v>44620</v>
      </c>
      <c r="F680" s="111"/>
      <c r="G680" s="111" t="s">
        <v>130</v>
      </c>
      <c r="H680" s="111"/>
      <c r="I680" s="111"/>
      <c r="J680" s="111"/>
      <c r="K680" s="112" t="s">
        <v>417</v>
      </c>
      <c r="L680" s="120">
        <v>22137</v>
      </c>
      <c r="M680" s="120">
        <v>2213.6999999999998</v>
      </c>
      <c r="N680" s="120">
        <f>L680-M680</f>
        <v>19923.3</v>
      </c>
      <c r="O680" s="119">
        <f t="shared" si="396"/>
        <v>0.9</v>
      </c>
      <c r="P680" s="117">
        <v>25462</v>
      </c>
      <c r="Q680" s="111">
        <v>1335</v>
      </c>
      <c r="R680" s="117">
        <v>0</v>
      </c>
      <c r="S680" s="117">
        <v>0</v>
      </c>
      <c r="T680" s="117">
        <v>0</v>
      </c>
      <c r="U680" s="117">
        <v>2007.05</v>
      </c>
      <c r="V680" s="121">
        <v>0</v>
      </c>
      <c r="W680" s="26">
        <f>SUM(S680:V680)</f>
        <v>2007.05</v>
      </c>
      <c r="X680" s="118" t="str">
        <f t="shared" si="397"/>
        <v/>
      </c>
      <c r="Y680" s="119">
        <f t="shared" si="398"/>
        <v>7.8825308302568536E-2</v>
      </c>
      <c r="Z680" s="117">
        <f t="shared" si="399"/>
        <v>23454.95</v>
      </c>
      <c r="AA680" s="119">
        <f t="shared" si="400"/>
        <v>0.92117469169743149</v>
      </c>
      <c r="AB680" s="120">
        <f t="shared" si="394"/>
        <v>206.64999999999986</v>
      </c>
      <c r="AC680" s="119">
        <f t="shared" si="401"/>
        <v>2.1174691697431469E-2</v>
      </c>
      <c r="AD680" s="99">
        <f>L680-P680</f>
        <v>-3325</v>
      </c>
      <c r="AE680" s="110"/>
      <c r="AF680" s="110"/>
      <c r="AG680" s="121"/>
    </row>
    <row r="681" spans="1:33" s="53" customFormat="1" ht="11.25" customHeight="1" x14ac:dyDescent="0.15">
      <c r="A681" s="53" t="s">
        <v>409</v>
      </c>
      <c r="C681" s="54" t="s">
        <v>177</v>
      </c>
      <c r="D681" s="54">
        <v>2022</v>
      </c>
      <c r="E681" s="70">
        <v>44620</v>
      </c>
      <c r="F681" s="54"/>
      <c r="G681" s="54"/>
      <c r="H681" s="54"/>
      <c r="I681" s="54"/>
      <c r="J681" s="54"/>
      <c r="K681" s="106"/>
      <c r="L681" s="24">
        <f>SUM(L675:L680)</f>
        <v>264329.38061044883</v>
      </c>
      <c r="M681" s="24">
        <f>SUM(M675:M680)</f>
        <v>90563.37</v>
      </c>
      <c r="N681" s="24">
        <f>SUM(N675:N680)</f>
        <v>173766.01061044878</v>
      </c>
      <c r="O681" s="57">
        <f t="shared" si="396"/>
        <v>0.65738439748600497</v>
      </c>
      <c r="P681" s="24">
        <f>SUM(P675:P680)</f>
        <v>265221</v>
      </c>
      <c r="Q681" s="24"/>
      <c r="R681" s="24">
        <f t="shared" ref="R681:W681" si="402">SUM(R675:R680)</f>
        <v>259.5</v>
      </c>
      <c r="S681" s="24">
        <f t="shared" si="402"/>
        <v>11514.850000000002</v>
      </c>
      <c r="T681" s="24">
        <f t="shared" si="402"/>
        <v>6479.29</v>
      </c>
      <c r="U681" s="24">
        <f t="shared" si="402"/>
        <v>63032.869999999995</v>
      </c>
      <c r="V681" s="24">
        <f t="shared" si="402"/>
        <v>4882.8599999999997</v>
      </c>
      <c r="W681" s="24">
        <f t="shared" si="402"/>
        <v>85909.87</v>
      </c>
      <c r="X681" s="56">
        <f t="shared" si="397"/>
        <v>44.373217726396923</v>
      </c>
      <c r="Y681" s="57">
        <f t="shared" si="398"/>
        <v>0.23766168591476541</v>
      </c>
      <c r="Z681" s="28">
        <f t="shared" si="399"/>
        <v>179311.13</v>
      </c>
      <c r="AA681" s="57">
        <f t="shared" si="400"/>
        <v>0.67608194675383926</v>
      </c>
      <c r="AB681" s="120">
        <f t="shared" si="394"/>
        <v>4653.5</v>
      </c>
      <c r="AC681" s="57">
        <f t="shared" si="401"/>
        <v>1.869754926783429E-2</v>
      </c>
      <c r="AD681" s="98"/>
      <c r="AG681" s="61"/>
    </row>
    <row r="682" spans="1:33" ht="11.25" customHeight="1" x14ac:dyDescent="0.15">
      <c r="A682" s="130" t="s">
        <v>53</v>
      </c>
      <c r="B682" s="130"/>
      <c r="C682" s="124"/>
      <c r="D682" s="124"/>
      <c r="E682" s="273"/>
      <c r="F682" s="124"/>
      <c r="G682" s="124"/>
      <c r="H682" s="124"/>
      <c r="I682" s="124"/>
      <c r="J682" s="124"/>
      <c r="K682" s="125"/>
      <c r="L682" s="129"/>
      <c r="M682" s="129"/>
      <c r="N682" s="129"/>
      <c r="O682" s="128"/>
      <c r="P682" s="220"/>
      <c r="Q682" s="124"/>
      <c r="R682" s="220"/>
      <c r="S682" s="220"/>
      <c r="T682" s="220"/>
      <c r="U682" s="220"/>
      <c r="V682" s="126"/>
      <c r="W682" s="230"/>
      <c r="X682" s="45"/>
      <c r="Y682" s="128"/>
      <c r="Z682" s="126"/>
      <c r="AA682" s="128"/>
      <c r="AB682" s="129"/>
      <c r="AC682" s="160"/>
      <c r="AD682" s="137"/>
      <c r="AE682" s="110"/>
      <c r="AF682" s="110"/>
      <c r="AG682" s="121"/>
    </row>
    <row r="683" spans="1:33" ht="11.25" customHeight="1" x14ac:dyDescent="0.15">
      <c r="A683" s="110" t="s">
        <v>418</v>
      </c>
      <c r="B683" s="110"/>
      <c r="C683" s="111" t="s">
        <v>175</v>
      </c>
      <c r="D683" s="111">
        <v>2021</v>
      </c>
      <c r="E683" s="146">
        <v>44620</v>
      </c>
      <c r="F683" s="111"/>
      <c r="G683" s="111">
        <v>810000011</v>
      </c>
      <c r="H683" s="111">
        <v>4111</v>
      </c>
      <c r="I683" s="111" t="str">
        <f>MID(G683,2,1)</f>
        <v>1</v>
      </c>
      <c r="J683" s="111" t="str">
        <f>IF(I683="1","Small/Medium","Large")</f>
        <v>Small/Medium</v>
      </c>
      <c r="K683" s="147" t="s">
        <v>145</v>
      </c>
      <c r="L683" s="117">
        <f>8116+1217</f>
        <v>9333</v>
      </c>
      <c r="M683" s="120">
        <f>L683*0.3</f>
        <v>2799.9</v>
      </c>
      <c r="N683" s="120">
        <f>L683-M683</f>
        <v>6533.1</v>
      </c>
      <c r="O683" s="119">
        <f>IFERROR(N683/L683,"")</f>
        <v>0.70000000000000007</v>
      </c>
      <c r="P683" s="117">
        <f>8116+1217</f>
        <v>9333</v>
      </c>
      <c r="Q683" s="111">
        <v>1362</v>
      </c>
      <c r="R683" s="117">
        <v>32.25</v>
      </c>
      <c r="S683" s="117">
        <f>963.63+433.78</f>
        <v>1397.4099999999999</v>
      </c>
      <c r="T683" s="117">
        <v>375.78</v>
      </c>
      <c r="U683" s="117">
        <v>622.57000000000005</v>
      </c>
      <c r="V683" s="117">
        <v>0</v>
      </c>
      <c r="W683" s="26">
        <f>SUM(S683:V683)</f>
        <v>2395.7599999999998</v>
      </c>
      <c r="X683" s="118">
        <f>IFERROR(S683/R683,"")</f>
        <v>43.330542635658908</v>
      </c>
      <c r="Y683" s="119">
        <f>U683/P683</f>
        <v>6.6706310939676425E-2</v>
      </c>
      <c r="Z683" s="117">
        <f>P683-W683</f>
        <v>6937.24</v>
      </c>
      <c r="AA683" s="119">
        <f>Z683/P683</f>
        <v>0.74330226079502837</v>
      </c>
      <c r="AB683" s="120">
        <f t="shared" ref="AB683:AB685" si="403">M683-W683</f>
        <v>404.14000000000033</v>
      </c>
      <c r="AC683" s="119">
        <f>IFERROR(AA683-O683,"")</f>
        <v>4.3302260795028302E-2</v>
      </c>
      <c r="AD683" s="110"/>
      <c r="AE683" s="110"/>
      <c r="AF683" s="110"/>
      <c r="AG683" s="121"/>
    </row>
    <row r="684" spans="1:33" ht="11.25" customHeight="1" x14ac:dyDescent="0.15">
      <c r="A684" s="108" t="s">
        <v>418</v>
      </c>
      <c r="B684" s="108"/>
      <c r="C684" s="213" t="s">
        <v>164</v>
      </c>
      <c r="D684" s="213">
        <v>2022</v>
      </c>
      <c r="E684" s="280">
        <v>44620</v>
      </c>
      <c r="F684" s="213"/>
      <c r="G684" s="213" t="s">
        <v>318</v>
      </c>
      <c r="H684" s="213"/>
      <c r="I684" s="213"/>
      <c r="J684" s="213"/>
      <c r="K684" s="310" t="s">
        <v>419</v>
      </c>
      <c r="L684" s="117">
        <v>376</v>
      </c>
      <c r="M684" s="120">
        <f>L684*0.35</f>
        <v>131.6</v>
      </c>
      <c r="N684" s="120">
        <f>L684-M684</f>
        <v>244.4</v>
      </c>
      <c r="O684" s="119">
        <f>IFERROR(N684/L684,"")</f>
        <v>0.65</v>
      </c>
      <c r="P684" s="117">
        <v>376</v>
      </c>
      <c r="Q684" s="111"/>
      <c r="R684" s="117"/>
      <c r="S684" s="117"/>
      <c r="T684" s="117"/>
      <c r="U684" s="117">
        <f>33.21*4</f>
        <v>132.84</v>
      </c>
      <c r="V684" s="117"/>
      <c r="W684" s="26">
        <f>SUM(S684:V684)</f>
        <v>132.84</v>
      </c>
      <c r="X684" s="118" t="str">
        <f>IFERROR(S684/R684,"")</f>
        <v/>
      </c>
      <c r="Y684" s="119">
        <f>U684/P684</f>
        <v>0.35329787234042553</v>
      </c>
      <c r="Z684" s="117">
        <f>P684-W684</f>
        <v>243.16</v>
      </c>
      <c r="AA684" s="119">
        <f>Z684/P684</f>
        <v>0.64670212765957447</v>
      </c>
      <c r="AB684" s="120">
        <f t="shared" si="403"/>
        <v>-1.2400000000000091</v>
      </c>
      <c r="AC684" s="119">
        <f>IFERROR(AA684-O684,"")</f>
        <v>-3.2978723404255561E-3</v>
      </c>
      <c r="AD684" s="110"/>
      <c r="AE684" s="110"/>
      <c r="AF684" s="110"/>
      <c r="AG684" s="121"/>
    </row>
    <row r="685" spans="1:33" s="53" customFormat="1" ht="11.25" customHeight="1" x14ac:dyDescent="0.15">
      <c r="A685" s="53" t="s">
        <v>418</v>
      </c>
      <c r="C685" s="54" t="s">
        <v>177</v>
      </c>
      <c r="D685" s="54">
        <v>2022</v>
      </c>
      <c r="E685" s="70">
        <v>44620</v>
      </c>
      <c r="F685" s="54"/>
      <c r="G685" s="54"/>
      <c r="H685" s="54"/>
      <c r="I685" s="54"/>
      <c r="J685" s="54"/>
      <c r="K685" s="106"/>
      <c r="L685" s="24">
        <f>SUM(L683:L684)</f>
        <v>9709</v>
      </c>
      <c r="M685" s="24">
        <f>SUM(M683:M684)</f>
        <v>2931.5</v>
      </c>
      <c r="N685" s="24">
        <f>SUM(N683:N684)</f>
        <v>6777.5</v>
      </c>
      <c r="O685" s="57">
        <f>IFERROR(N685/L685,"")</f>
        <v>0.69806365228138845</v>
      </c>
      <c r="P685" s="24">
        <f>SUM(P683:P684)</f>
        <v>9709</v>
      </c>
      <c r="Q685" s="24"/>
      <c r="R685" s="24">
        <f t="shared" ref="R685:W685" si="404">SUM(R683)</f>
        <v>32.25</v>
      </c>
      <c r="S685" s="24">
        <f t="shared" si="404"/>
        <v>1397.4099999999999</v>
      </c>
      <c r="T685" s="24">
        <f t="shared" si="404"/>
        <v>375.78</v>
      </c>
      <c r="U685" s="24">
        <f t="shared" si="404"/>
        <v>622.57000000000005</v>
      </c>
      <c r="V685" s="24">
        <f t="shared" si="404"/>
        <v>0</v>
      </c>
      <c r="W685" s="24">
        <f t="shared" si="404"/>
        <v>2395.7599999999998</v>
      </c>
      <c r="X685" s="118"/>
      <c r="Y685" s="119"/>
      <c r="Z685" s="28">
        <f>P685-W685</f>
        <v>7313.24</v>
      </c>
      <c r="AA685" s="57">
        <f>Z685/P685</f>
        <v>0.75324338242867439</v>
      </c>
      <c r="AB685" s="120">
        <f t="shared" si="403"/>
        <v>535.74000000000024</v>
      </c>
      <c r="AC685" s="57">
        <f>IFERROR(AA685-O685,"")</f>
        <v>5.5179730147285944E-2</v>
      </c>
      <c r="AG685" s="61"/>
    </row>
    <row r="686" spans="1:33" ht="11.25" customHeight="1" x14ac:dyDescent="0.15">
      <c r="A686" s="130" t="s">
        <v>53</v>
      </c>
      <c r="B686" s="130"/>
      <c r="C686" s="124"/>
      <c r="D686" s="124"/>
      <c r="E686" s="273"/>
      <c r="F686" s="124"/>
      <c r="G686" s="124"/>
      <c r="H686" s="124"/>
      <c r="I686" s="124"/>
      <c r="J686" s="124"/>
      <c r="K686" s="125"/>
      <c r="L686" s="129"/>
      <c r="M686" s="129"/>
      <c r="N686" s="129"/>
      <c r="O686" s="128"/>
      <c r="P686" s="129"/>
      <c r="Q686" s="124"/>
      <c r="R686" s="129"/>
      <c r="S686" s="129"/>
      <c r="T686" s="129"/>
      <c r="U686" s="129"/>
      <c r="V686" s="126"/>
      <c r="W686" s="49"/>
      <c r="X686" s="45"/>
      <c r="Y686" s="128"/>
      <c r="Z686" s="126"/>
      <c r="AA686" s="128"/>
      <c r="AB686" s="129"/>
      <c r="AC686" s="160"/>
      <c r="AD686" s="137"/>
      <c r="AE686" s="110"/>
      <c r="AF686" s="110"/>
      <c r="AG686" s="121"/>
    </row>
    <row r="687" spans="1:33" ht="11.25" customHeight="1" x14ac:dyDescent="0.15">
      <c r="A687" s="110" t="s">
        <v>420</v>
      </c>
      <c r="B687" s="110"/>
      <c r="C687" s="111" t="s">
        <v>175</v>
      </c>
      <c r="D687" s="111">
        <v>2022</v>
      </c>
      <c r="E687" s="146">
        <v>44620</v>
      </c>
      <c r="F687" s="111"/>
      <c r="G687" s="111">
        <v>810202112</v>
      </c>
      <c r="H687" s="111">
        <v>4111</v>
      </c>
      <c r="I687" s="111" t="str">
        <f>MID(G687,2,1)</f>
        <v>1</v>
      </c>
      <c r="J687" s="111" t="str">
        <f>IF(I687="1","Small/Medium","Large")</f>
        <v>Small/Medium</v>
      </c>
      <c r="K687" s="147" t="s">
        <v>145</v>
      </c>
      <c r="L687" s="117">
        <v>10572</v>
      </c>
      <c r="M687" s="120">
        <f>L687*0.3</f>
        <v>3171.6</v>
      </c>
      <c r="N687" s="120">
        <f>L687-M687</f>
        <v>7400.4</v>
      </c>
      <c r="O687" s="119">
        <f>IFERROR(N687/L687,"")</f>
        <v>0.7</v>
      </c>
      <c r="P687" s="117">
        <f>10572-2164.27</f>
        <v>8407.73</v>
      </c>
      <c r="Q687" s="111">
        <v>1363</v>
      </c>
      <c r="R687" s="117">
        <v>17.5</v>
      </c>
      <c r="S687" s="117">
        <f>522.9+235.38</f>
        <v>758.28</v>
      </c>
      <c r="T687" s="117">
        <v>611.78</v>
      </c>
      <c r="U687" s="117">
        <v>494.49</v>
      </c>
      <c r="V687" s="117"/>
      <c r="W687" s="26">
        <f>SUM(S687:V687)</f>
        <v>1864.55</v>
      </c>
      <c r="X687" s="118">
        <f>IFERROR(S687/R687,"")</f>
        <v>43.330285714285715</v>
      </c>
      <c r="Y687" s="119">
        <f>U687/P687</f>
        <v>5.8813734503843494E-2</v>
      </c>
      <c r="Z687" s="117">
        <f>P687-W687</f>
        <v>6543.1799999999994</v>
      </c>
      <c r="AA687" s="119">
        <f>Z687/P687</f>
        <v>0.77823383957382075</v>
      </c>
      <c r="AB687" s="120">
        <f t="shared" ref="AB687:AB689" si="405">M687-W687</f>
        <v>1307.05</v>
      </c>
      <c r="AC687" s="119">
        <f>IFERROR(AA687-O687,"")</f>
        <v>7.8233839573820796E-2</v>
      </c>
      <c r="AD687" s="110"/>
      <c r="AE687" s="110"/>
      <c r="AF687" s="110"/>
      <c r="AG687" s="121"/>
    </row>
    <row r="688" spans="1:33" ht="11.25" customHeight="1" x14ac:dyDescent="0.15">
      <c r="A688" s="110" t="s">
        <v>420</v>
      </c>
      <c r="B688" s="110"/>
      <c r="C688" s="111" t="s">
        <v>175</v>
      </c>
      <c r="D688" s="111">
        <v>2022</v>
      </c>
      <c r="E688" s="146">
        <v>44620</v>
      </c>
      <c r="F688" s="111"/>
      <c r="G688" s="111">
        <v>820202112</v>
      </c>
      <c r="H688" s="111">
        <v>4111</v>
      </c>
      <c r="I688" s="111" t="str">
        <f>MID(G688,2,1)</f>
        <v>2</v>
      </c>
      <c r="J688" s="111" t="str">
        <f>IF(I688="1","Small/Medium","Large")</f>
        <v>Large</v>
      </c>
      <c r="K688" s="147" t="s">
        <v>176</v>
      </c>
      <c r="L688" s="132">
        <v>14401</v>
      </c>
      <c r="M688" s="219">
        <f>L688*0.3</f>
        <v>4320.3</v>
      </c>
      <c r="N688" s="219">
        <f>L688-M688</f>
        <v>10080.700000000001</v>
      </c>
      <c r="O688" s="119">
        <f>IFERROR(N688/L688,"")</f>
        <v>0.70000000000000007</v>
      </c>
      <c r="P688" s="132">
        <f>14401-2948.12</f>
        <v>11452.880000000001</v>
      </c>
      <c r="Q688" s="111">
        <v>1364</v>
      </c>
      <c r="R688" s="132">
        <v>25.5</v>
      </c>
      <c r="S688" s="132">
        <f>761.94+342.98</f>
        <v>1104.92</v>
      </c>
      <c r="T688" s="132">
        <f>1182.33-V688</f>
        <v>1170.6999999999998</v>
      </c>
      <c r="U688" s="132">
        <v>941.73</v>
      </c>
      <c r="V688" s="132">
        <v>11.63</v>
      </c>
      <c r="W688" s="67">
        <f>SUM(S688:V688)</f>
        <v>3228.98</v>
      </c>
      <c r="X688" s="118">
        <f>IFERROR(S688/R688,"")</f>
        <v>43.330196078431378</v>
      </c>
      <c r="Y688" s="119">
        <f>U688/P688</f>
        <v>8.222647927857446E-2</v>
      </c>
      <c r="Z688" s="117">
        <f>P688-W688</f>
        <v>8223.9000000000015</v>
      </c>
      <c r="AA688" s="119">
        <f>Z688/P688</f>
        <v>0.71806392802509067</v>
      </c>
      <c r="AB688" s="120">
        <f t="shared" si="405"/>
        <v>1091.3200000000002</v>
      </c>
      <c r="AC688" s="119">
        <f>IFERROR(AA688-O688,"")</f>
        <v>1.8063928025090603E-2</v>
      </c>
      <c r="AD688" s="110"/>
      <c r="AE688" s="110"/>
      <c r="AF688" s="110"/>
      <c r="AG688" s="121"/>
    </row>
    <row r="689" spans="1:33" s="53" customFormat="1" ht="11.25" customHeight="1" x14ac:dyDescent="0.15">
      <c r="A689" s="53" t="s">
        <v>214</v>
      </c>
      <c r="C689" s="54" t="s">
        <v>177</v>
      </c>
      <c r="D689" s="54">
        <v>2022</v>
      </c>
      <c r="E689" s="70">
        <v>44620</v>
      </c>
      <c r="F689" s="54"/>
      <c r="G689" s="54"/>
      <c r="H689" s="54"/>
      <c r="I689" s="54"/>
      <c r="J689" s="54"/>
      <c r="K689" s="106"/>
      <c r="L689" s="24">
        <f>SUM(L687:L688)</f>
        <v>24973</v>
      </c>
      <c r="M689" s="24">
        <f>SUM(M687:M688)</f>
        <v>7491.9</v>
      </c>
      <c r="N689" s="24">
        <f>SUM(N687:N688)</f>
        <v>17481.099999999999</v>
      </c>
      <c r="O689" s="57">
        <f>IFERROR(N689/L689,"")</f>
        <v>0.7</v>
      </c>
      <c r="P689" s="24">
        <f>SUM(P687:P688)</f>
        <v>19860.61</v>
      </c>
      <c r="Q689" s="24"/>
      <c r="R689" s="24">
        <f t="shared" ref="R689:W689" si="406">SUM(R687:R688)</f>
        <v>43</v>
      </c>
      <c r="S689" s="24">
        <f t="shared" si="406"/>
        <v>1863.2</v>
      </c>
      <c r="T689" s="24">
        <f t="shared" si="406"/>
        <v>1782.4799999999998</v>
      </c>
      <c r="U689" s="24">
        <f t="shared" si="406"/>
        <v>1436.22</v>
      </c>
      <c r="V689" s="24">
        <f t="shared" si="406"/>
        <v>11.63</v>
      </c>
      <c r="W689" s="24">
        <f t="shared" si="406"/>
        <v>5093.53</v>
      </c>
      <c r="X689" s="56"/>
      <c r="Y689" s="57"/>
      <c r="Z689" s="28">
        <f>P689-W689</f>
        <v>14767.080000000002</v>
      </c>
      <c r="AA689" s="57">
        <f>Z689/P689</f>
        <v>0.74353607467242955</v>
      </c>
      <c r="AB689" s="120">
        <f t="shared" si="405"/>
        <v>2398.37</v>
      </c>
      <c r="AC689" s="57">
        <f>IFERROR(AA689-O689,"")</f>
        <v>4.3536074672429592E-2</v>
      </c>
      <c r="AG689" s="61"/>
    </row>
    <row r="690" spans="1:33" ht="11.25" customHeight="1" x14ac:dyDescent="0.15">
      <c r="A690" s="130" t="s">
        <v>53</v>
      </c>
      <c r="B690" s="130"/>
      <c r="C690" s="124"/>
      <c r="D690" s="124"/>
      <c r="E690" s="273"/>
      <c r="F690" s="124"/>
      <c r="G690" s="124"/>
      <c r="H690" s="124"/>
      <c r="I690" s="124"/>
      <c r="J690" s="124"/>
      <c r="K690" s="125"/>
      <c r="L690" s="129"/>
      <c r="M690" s="129"/>
      <c r="N690" s="129"/>
      <c r="O690" s="128"/>
      <c r="P690" s="129"/>
      <c r="Q690" s="124"/>
      <c r="R690" s="129"/>
      <c r="S690" s="129"/>
      <c r="T690" s="129"/>
      <c r="U690" s="129"/>
      <c r="V690" s="126"/>
      <c r="W690" s="49"/>
      <c r="X690" s="45"/>
      <c r="Y690" s="128"/>
      <c r="Z690" s="126"/>
      <c r="AA690" s="128"/>
      <c r="AB690" s="129"/>
      <c r="AC690" s="160"/>
      <c r="AD690" s="137"/>
      <c r="AE690" s="110"/>
      <c r="AF690" s="110"/>
      <c r="AG690" s="121"/>
    </row>
    <row r="691" spans="1:33" ht="11.25" customHeight="1" x14ac:dyDescent="0.15">
      <c r="A691" s="110" t="s">
        <v>125</v>
      </c>
      <c r="B691" s="110"/>
      <c r="C691" s="111" t="s">
        <v>175</v>
      </c>
      <c r="D691" s="111">
        <v>2022</v>
      </c>
      <c r="E691" s="146">
        <v>44620</v>
      </c>
      <c r="F691" s="111"/>
      <c r="G691" s="111">
        <v>811000112</v>
      </c>
      <c r="H691" s="111">
        <v>4101</v>
      </c>
      <c r="I691" s="111" t="str">
        <f>MID(G691,2,1)</f>
        <v>1</v>
      </c>
      <c r="J691" s="111" t="str">
        <f>IF(I691="1","Small/Medium","Large")</f>
        <v>Small/Medium</v>
      </c>
      <c r="K691" s="147" t="s">
        <v>145</v>
      </c>
      <c r="L691" s="132">
        <v>9033</v>
      </c>
      <c r="M691" s="219">
        <f>L691*0.3</f>
        <v>2709.9</v>
      </c>
      <c r="N691" s="219">
        <f>L691-M691</f>
        <v>6323.1</v>
      </c>
      <c r="O691" s="119">
        <f>IFERROR(N691/L691,"")</f>
        <v>0.70000000000000007</v>
      </c>
      <c r="P691" s="132">
        <v>9033</v>
      </c>
      <c r="Q691" s="111">
        <v>1375</v>
      </c>
      <c r="R691" s="132">
        <v>35.5</v>
      </c>
      <c r="S691" s="132">
        <f>1060.74+477.48</f>
        <v>1538.22</v>
      </c>
      <c r="T691" s="132">
        <f>2074.62-V691</f>
        <v>2062.48</v>
      </c>
      <c r="U691" s="132">
        <v>576.98</v>
      </c>
      <c r="V691" s="132">
        <f>11.62+0.52</f>
        <v>12.139999999999999</v>
      </c>
      <c r="W691" s="67">
        <f>SUM(S691:V691)</f>
        <v>4189.8200000000006</v>
      </c>
      <c r="X691" s="118">
        <f>IFERROR(S691/R691,"")</f>
        <v>43.330140845070424</v>
      </c>
      <c r="Y691" s="119">
        <f>IFERROR(U691/P691,"")</f>
        <v>6.3874681722572796E-2</v>
      </c>
      <c r="Z691" s="117">
        <f>P691-W691</f>
        <v>4843.1799999999994</v>
      </c>
      <c r="AA691" s="119">
        <f>IFERROR(Z691/P691,"")</f>
        <v>0.53616517214657355</v>
      </c>
      <c r="AB691" s="120">
        <f t="shared" ref="AB691:AB692" si="407">M691-W691</f>
        <v>-1479.9200000000005</v>
      </c>
      <c r="AC691" s="119">
        <f>IFERROR(AA691-O691,"")</f>
        <v>-0.16383482785342651</v>
      </c>
      <c r="AD691" s="110" t="s">
        <v>421</v>
      </c>
      <c r="AE691" s="110"/>
      <c r="AF691" s="110"/>
      <c r="AG691" s="121"/>
    </row>
    <row r="692" spans="1:33" s="53" customFormat="1" ht="11.25" customHeight="1" x14ac:dyDescent="0.15">
      <c r="A692" s="53" t="s">
        <v>125</v>
      </c>
      <c r="C692" s="54" t="s">
        <v>177</v>
      </c>
      <c r="D692" s="54">
        <v>2022</v>
      </c>
      <c r="E692" s="70">
        <v>44620</v>
      </c>
      <c r="F692" s="54"/>
      <c r="G692" s="54"/>
      <c r="H692" s="54"/>
      <c r="I692" s="54"/>
      <c r="J692" s="54"/>
      <c r="K692" s="106"/>
      <c r="L692" s="24">
        <f>SUM(L691)</f>
        <v>9033</v>
      </c>
      <c r="M692" s="24">
        <f>SUM(M691)</f>
        <v>2709.9</v>
      </c>
      <c r="N692" s="24">
        <f>SUM(N691)</f>
        <v>6323.1</v>
      </c>
      <c r="O692" s="57">
        <f>IFERROR(N692/L692,"")</f>
        <v>0.70000000000000007</v>
      </c>
      <c r="P692" s="24">
        <f>SUM(P690:P691)</f>
        <v>9033</v>
      </c>
      <c r="Q692" s="24"/>
      <c r="R692" s="24">
        <f t="shared" ref="R692:W692" si="408">SUM(R690:R691)</f>
        <v>35.5</v>
      </c>
      <c r="S692" s="24">
        <f t="shared" si="408"/>
        <v>1538.22</v>
      </c>
      <c r="T692" s="24">
        <f t="shared" si="408"/>
        <v>2062.48</v>
      </c>
      <c r="U692" s="24">
        <f t="shared" si="408"/>
        <v>576.98</v>
      </c>
      <c r="V692" s="24">
        <f t="shared" si="408"/>
        <v>12.139999999999999</v>
      </c>
      <c r="W692" s="24">
        <f t="shared" si="408"/>
        <v>4189.8200000000006</v>
      </c>
      <c r="X692" s="56"/>
      <c r="Y692" s="57"/>
      <c r="Z692" s="28">
        <f>P692-W692</f>
        <v>4843.1799999999994</v>
      </c>
      <c r="AA692" s="57">
        <f>IFERROR(Z692/P692,"")</f>
        <v>0.53616517214657355</v>
      </c>
      <c r="AB692" s="120">
        <f t="shared" si="407"/>
        <v>-1479.9200000000005</v>
      </c>
      <c r="AC692" s="57">
        <f>IFERROR(AA692-O692,"")</f>
        <v>-0.16383482785342651</v>
      </c>
      <c r="AG692" s="61"/>
    </row>
    <row r="693" spans="1:33" ht="11.25" customHeight="1" x14ac:dyDescent="0.15">
      <c r="A693" s="130" t="s">
        <v>53</v>
      </c>
      <c r="B693" s="130"/>
      <c r="C693" s="124"/>
      <c r="D693" s="124"/>
      <c r="E693" s="273"/>
      <c r="F693" s="124"/>
      <c r="G693" s="124"/>
      <c r="H693" s="124"/>
      <c r="I693" s="124"/>
      <c r="J693" s="124"/>
      <c r="K693" s="125"/>
      <c r="L693" s="129"/>
      <c r="M693" s="129"/>
      <c r="N693" s="129"/>
      <c r="O693" s="128"/>
      <c r="P693" s="129"/>
      <c r="Q693" s="124"/>
      <c r="R693" s="129"/>
      <c r="S693" s="129"/>
      <c r="T693" s="129"/>
      <c r="U693" s="129"/>
      <c r="V693" s="126"/>
      <c r="W693" s="49"/>
      <c r="X693" s="45"/>
      <c r="Y693" s="128"/>
      <c r="Z693" s="126"/>
      <c r="AA693" s="128"/>
      <c r="AB693" s="129"/>
      <c r="AC693" s="160"/>
      <c r="AD693" s="137"/>
      <c r="AE693" s="110"/>
      <c r="AF693" s="110"/>
      <c r="AG693" s="121"/>
    </row>
    <row r="694" spans="1:33" ht="11.25" customHeight="1" x14ac:dyDescent="0.15">
      <c r="A694" s="110" t="s">
        <v>152</v>
      </c>
      <c r="B694" s="110"/>
      <c r="C694" s="111" t="s">
        <v>175</v>
      </c>
      <c r="D694" s="111">
        <v>2022</v>
      </c>
      <c r="E694" s="146">
        <v>44620</v>
      </c>
      <c r="F694" s="111"/>
      <c r="G694" s="111">
        <v>811101112</v>
      </c>
      <c r="H694" s="111">
        <v>4101</v>
      </c>
      <c r="I694" s="111" t="str">
        <f>MID(G694,2,1)</f>
        <v>1</v>
      </c>
      <c r="J694" s="111" t="str">
        <f>IF(I694="1","Small/Medium","Large")</f>
        <v>Small/Medium</v>
      </c>
      <c r="K694" s="147" t="s">
        <v>145</v>
      </c>
      <c r="L694" s="117">
        <v>16486</v>
      </c>
      <c r="M694" s="120">
        <f>L694*0.3</f>
        <v>4945.8</v>
      </c>
      <c r="N694" s="120">
        <f>L694-M694</f>
        <v>11540.2</v>
      </c>
      <c r="O694" s="119">
        <f>IFERROR(N694/L694,"")</f>
        <v>0.70000000000000007</v>
      </c>
      <c r="P694" s="117">
        <v>16486</v>
      </c>
      <c r="Q694" s="111">
        <v>1376</v>
      </c>
      <c r="R694" s="117">
        <v>36.5</v>
      </c>
      <c r="S694" s="117">
        <f>1090.62+490.94</f>
        <v>1581.56</v>
      </c>
      <c r="T694" s="117">
        <f>2162.23-V694</f>
        <v>2147.41</v>
      </c>
      <c r="U694" s="117">
        <v>763.43</v>
      </c>
      <c r="V694" s="117">
        <v>14.82</v>
      </c>
      <c r="W694" s="26">
        <f>SUM(S694:V694)</f>
        <v>4507.2199999999993</v>
      </c>
      <c r="X694" s="118">
        <f>IFERROR(S694/R694,"")</f>
        <v>43.33041095890411</v>
      </c>
      <c r="Y694" s="119">
        <f>U694/P694</f>
        <v>4.6307776295038211E-2</v>
      </c>
      <c r="Z694" s="117">
        <f>P694-W694</f>
        <v>11978.78</v>
      </c>
      <c r="AA694" s="119">
        <f>Z694/P694</f>
        <v>0.72660317845444622</v>
      </c>
      <c r="AB694" s="120">
        <f t="shared" ref="AB694:AB695" si="409">M694-W694</f>
        <v>438.58000000000084</v>
      </c>
      <c r="AC694" s="119">
        <f>IFERROR(AA694-O694,"")</f>
        <v>2.6603178454446152E-2</v>
      </c>
      <c r="AD694" s="110"/>
      <c r="AE694" s="110"/>
      <c r="AF694" s="110"/>
      <c r="AG694" s="121"/>
    </row>
    <row r="695" spans="1:33" s="53" customFormat="1" ht="11.25" customHeight="1" x14ac:dyDescent="0.15">
      <c r="A695" s="53" t="s">
        <v>152</v>
      </c>
      <c r="C695" s="54" t="s">
        <v>177</v>
      </c>
      <c r="D695" s="54">
        <v>2022</v>
      </c>
      <c r="E695" s="70">
        <v>44620</v>
      </c>
      <c r="F695" s="54"/>
      <c r="G695" s="54"/>
      <c r="H695" s="54"/>
      <c r="I695" s="54"/>
      <c r="J695" s="54"/>
      <c r="K695" s="106"/>
      <c r="L695" s="24">
        <f>SUM(L693:L694)</f>
        <v>16486</v>
      </c>
      <c r="M695" s="24">
        <f>SUM(M694)</f>
        <v>4945.8</v>
      </c>
      <c r="N695" s="24">
        <f>SUM(N694)</f>
        <v>11540.2</v>
      </c>
      <c r="O695" s="57">
        <f>IFERROR(N695/L695,"")</f>
        <v>0.70000000000000007</v>
      </c>
      <c r="P695" s="24">
        <f>SUM(P693:P694)</f>
        <v>16486</v>
      </c>
      <c r="Q695" s="24"/>
      <c r="R695" s="24">
        <f t="shared" ref="R695:W695" si="410">SUM(R693:R694)</f>
        <v>36.5</v>
      </c>
      <c r="S695" s="24">
        <f t="shared" si="410"/>
        <v>1581.56</v>
      </c>
      <c r="T695" s="24">
        <f t="shared" si="410"/>
        <v>2147.41</v>
      </c>
      <c r="U695" s="24">
        <f t="shared" si="410"/>
        <v>763.43</v>
      </c>
      <c r="V695" s="24">
        <f t="shared" si="410"/>
        <v>14.82</v>
      </c>
      <c r="W695" s="24">
        <f t="shared" si="410"/>
        <v>4507.2199999999993</v>
      </c>
      <c r="X695" s="56"/>
      <c r="Y695" s="57"/>
      <c r="Z695" s="28">
        <f>P695-W695</f>
        <v>11978.78</v>
      </c>
      <c r="AA695" s="57">
        <f>Z695/P695</f>
        <v>0.72660317845444622</v>
      </c>
      <c r="AB695" s="120">
        <f t="shared" si="409"/>
        <v>438.58000000000084</v>
      </c>
      <c r="AC695" s="57">
        <f>IFERROR(AA695-O695,"")</f>
        <v>2.6603178454446152E-2</v>
      </c>
      <c r="AG695" s="61"/>
    </row>
    <row r="696" spans="1:33" ht="11.25" customHeight="1" x14ac:dyDescent="0.15">
      <c r="A696" s="130" t="s">
        <v>53</v>
      </c>
      <c r="B696" s="130"/>
      <c r="C696" s="124"/>
      <c r="D696" s="124"/>
      <c r="E696" s="273"/>
      <c r="F696" s="124"/>
      <c r="G696" s="124"/>
      <c r="H696" s="124"/>
      <c r="I696" s="124"/>
      <c r="J696" s="124"/>
      <c r="K696" s="125"/>
      <c r="L696" s="129"/>
      <c r="M696" s="129"/>
      <c r="N696" s="129"/>
      <c r="O696" s="128"/>
      <c r="P696" s="129"/>
      <c r="Q696" s="124"/>
      <c r="R696" s="129"/>
      <c r="S696" s="129"/>
      <c r="T696" s="129"/>
      <c r="U696" s="129"/>
      <c r="V696" s="126"/>
      <c r="W696" s="49"/>
      <c r="X696" s="45"/>
      <c r="Y696" s="128"/>
      <c r="Z696" s="126"/>
      <c r="AA696" s="128"/>
      <c r="AB696" s="129"/>
      <c r="AC696" s="160"/>
      <c r="AD696" s="137"/>
      <c r="AE696" s="110"/>
      <c r="AF696" s="110"/>
      <c r="AG696" s="121"/>
    </row>
    <row r="697" spans="1:33" ht="11.25" customHeight="1" x14ac:dyDescent="0.15">
      <c r="A697" s="110" t="s">
        <v>147</v>
      </c>
      <c r="B697" s="110"/>
      <c r="C697" s="111" t="s">
        <v>175</v>
      </c>
      <c r="D697" s="111">
        <v>2022</v>
      </c>
      <c r="E697" s="146">
        <v>44620</v>
      </c>
      <c r="F697" s="111"/>
      <c r="G697" s="111">
        <v>811000112</v>
      </c>
      <c r="H697" s="111">
        <v>4101</v>
      </c>
      <c r="I697" s="111" t="str">
        <f>MID(G697,2,1)</f>
        <v>1</v>
      </c>
      <c r="J697" s="111" t="str">
        <f>IF(I697="1","Small/Medium","Large")</f>
        <v>Small/Medium</v>
      </c>
      <c r="K697" s="147" t="s">
        <v>145</v>
      </c>
      <c r="L697" s="117">
        <v>9353</v>
      </c>
      <c r="M697" s="120">
        <f>L697*0.3</f>
        <v>2805.9</v>
      </c>
      <c r="N697" s="120">
        <f>L697-M697</f>
        <v>6547.1</v>
      </c>
      <c r="O697" s="119">
        <f>IFERROR(N697/L697,"")</f>
        <v>0.70000000000000007</v>
      </c>
      <c r="P697" s="117">
        <v>9353</v>
      </c>
      <c r="Q697" s="111">
        <v>1365</v>
      </c>
      <c r="R697" s="117">
        <v>49.5</v>
      </c>
      <c r="S697" s="117">
        <f>1479.06+665.78</f>
        <v>2144.84</v>
      </c>
      <c r="T697" s="117">
        <f>1461.58-V697</f>
        <v>1433.48</v>
      </c>
      <c r="U697" s="117">
        <v>813.63</v>
      </c>
      <c r="V697" s="117">
        <f>15.52+12.58</f>
        <v>28.1</v>
      </c>
      <c r="W697" s="26">
        <f>SUM(S697:V697)</f>
        <v>4420.05</v>
      </c>
      <c r="X697" s="118">
        <f>IFERROR(S697/R697,"")</f>
        <v>43.330101010101011</v>
      </c>
      <c r="Y697" s="119">
        <f>U697/P697</f>
        <v>8.6991339677108953E-2</v>
      </c>
      <c r="Z697" s="117">
        <f>P697-W697</f>
        <v>4932.95</v>
      </c>
      <c r="AA697" s="119">
        <f>IFERROR(Z697/P697,"")</f>
        <v>0.52741900994333368</v>
      </c>
      <c r="AB697" s="120">
        <f t="shared" ref="AB697:AB698" si="411">M697-W697</f>
        <v>-1614.15</v>
      </c>
      <c r="AC697" s="119">
        <f>IFERROR(AA697-O697,"")</f>
        <v>-0.17258099005666638</v>
      </c>
      <c r="AD697" s="110" t="s">
        <v>422</v>
      </c>
      <c r="AE697" s="110"/>
      <c r="AF697" s="110"/>
      <c r="AG697" s="121"/>
    </row>
    <row r="698" spans="1:33" s="53" customFormat="1" ht="11.25" customHeight="1" x14ac:dyDescent="0.15">
      <c r="A698" s="53" t="s">
        <v>147</v>
      </c>
      <c r="C698" s="54" t="s">
        <v>177</v>
      </c>
      <c r="D698" s="54">
        <v>2022</v>
      </c>
      <c r="E698" s="70">
        <v>44620</v>
      </c>
      <c r="F698" s="54"/>
      <c r="G698" s="54"/>
      <c r="H698" s="54"/>
      <c r="I698" s="54"/>
      <c r="J698" s="54"/>
      <c r="K698" s="106"/>
      <c r="L698" s="24">
        <f>SUM(L696:L697)</f>
        <v>9353</v>
      </c>
      <c r="M698" s="24">
        <f>SUM(M697)</f>
        <v>2805.9</v>
      </c>
      <c r="N698" s="24">
        <f>SUM(N697)</f>
        <v>6547.1</v>
      </c>
      <c r="O698" s="57">
        <f>IFERROR(N698/L698,"")</f>
        <v>0.70000000000000007</v>
      </c>
      <c r="P698" s="24">
        <f>SUM(P696:P697)</f>
        <v>9353</v>
      </c>
      <c r="Q698" s="24"/>
      <c r="R698" s="24">
        <f t="shared" ref="R698:W698" si="412">SUM(R696:R697)</f>
        <v>49.5</v>
      </c>
      <c r="S698" s="24">
        <f t="shared" si="412"/>
        <v>2144.84</v>
      </c>
      <c r="T698" s="24">
        <f t="shared" si="412"/>
        <v>1433.48</v>
      </c>
      <c r="U698" s="24">
        <f t="shared" si="412"/>
        <v>813.63</v>
      </c>
      <c r="V698" s="24">
        <f t="shared" si="412"/>
        <v>28.1</v>
      </c>
      <c r="W698" s="24">
        <f t="shared" si="412"/>
        <v>4420.05</v>
      </c>
      <c r="X698" s="56"/>
      <c r="Y698" s="57"/>
      <c r="Z698" s="28">
        <f>P698-W698</f>
        <v>4932.95</v>
      </c>
      <c r="AA698" s="57">
        <f>IFERROR(Z698/P698,"")</f>
        <v>0.52741900994333368</v>
      </c>
      <c r="AB698" s="120">
        <f t="shared" si="411"/>
        <v>-1614.15</v>
      </c>
      <c r="AC698" s="57">
        <f>IFERROR(AA698-O698,"")</f>
        <v>-0.17258099005666638</v>
      </c>
      <c r="AG698" s="61"/>
    </row>
    <row r="699" spans="1:33" ht="11.25" customHeight="1" x14ac:dyDescent="0.15">
      <c r="A699" s="130" t="s">
        <v>53</v>
      </c>
      <c r="B699" s="130"/>
      <c r="C699" s="124"/>
      <c r="D699" s="124"/>
      <c r="E699" s="273"/>
      <c r="F699" s="124"/>
      <c r="G699" s="124"/>
      <c r="H699" s="124"/>
      <c r="I699" s="124"/>
      <c r="J699" s="124"/>
      <c r="K699" s="125"/>
      <c r="L699" s="129"/>
      <c r="M699" s="129"/>
      <c r="N699" s="129"/>
      <c r="O699" s="128"/>
      <c r="P699" s="129"/>
      <c r="Q699" s="124"/>
      <c r="R699" s="129"/>
      <c r="S699" s="129"/>
      <c r="T699" s="129"/>
      <c r="U699" s="129"/>
      <c r="V699" s="126"/>
      <c r="W699" s="49"/>
      <c r="X699" s="45"/>
      <c r="Y699" s="128"/>
      <c r="Z699" s="126"/>
      <c r="AA699" s="128"/>
      <c r="AB699" s="129"/>
      <c r="AC699" s="160"/>
      <c r="AD699" s="137"/>
      <c r="AE699" s="110"/>
      <c r="AF699" s="110"/>
      <c r="AG699" s="121"/>
    </row>
    <row r="700" spans="1:33" ht="11.25" customHeight="1" x14ac:dyDescent="0.15">
      <c r="A700" s="110" t="s">
        <v>174</v>
      </c>
      <c r="B700" s="110"/>
      <c r="C700" s="111" t="s">
        <v>175</v>
      </c>
      <c r="D700" s="111">
        <v>2021</v>
      </c>
      <c r="E700" s="146">
        <v>44620</v>
      </c>
      <c r="F700" s="111"/>
      <c r="G700" s="111">
        <v>811000112</v>
      </c>
      <c r="H700" s="111">
        <v>4101</v>
      </c>
      <c r="I700" s="111" t="str">
        <f>MID(G700,2,1)</f>
        <v>1</v>
      </c>
      <c r="J700" s="111" t="str">
        <f>IF(I700="1","Small/Medium","Large")</f>
        <v>Small/Medium</v>
      </c>
      <c r="K700" s="147" t="s">
        <v>145</v>
      </c>
      <c r="L700" s="153">
        <v>5904</v>
      </c>
      <c r="M700" s="219">
        <f>L700*0.3</f>
        <v>1771.2</v>
      </c>
      <c r="N700" s="219">
        <f>L700-M700</f>
        <v>4132.8</v>
      </c>
      <c r="O700" s="119">
        <f>IFERROR(N700/L700,"")</f>
        <v>0.70000000000000007</v>
      </c>
      <c r="P700" s="153">
        <v>5904</v>
      </c>
      <c r="Q700" s="111">
        <v>1366</v>
      </c>
      <c r="R700" s="132">
        <v>25.5</v>
      </c>
      <c r="S700" s="132">
        <f>761.94+342.98</f>
        <v>1104.92</v>
      </c>
      <c r="T700" s="132">
        <v>1250.45</v>
      </c>
      <c r="U700" s="132">
        <v>486.5</v>
      </c>
      <c r="V700" s="117"/>
      <c r="W700" s="67">
        <f>SUM(S700:V700)</f>
        <v>2841.87</v>
      </c>
      <c r="X700" s="118">
        <f>IFERROR(S700/R700,"")</f>
        <v>43.330196078431378</v>
      </c>
      <c r="Y700" s="119">
        <f>U700/P700</f>
        <v>8.2401761517615177E-2</v>
      </c>
      <c r="Z700" s="117">
        <f>P700-W700</f>
        <v>3062.13</v>
      </c>
      <c r="AA700" s="119">
        <f>Z700/P700</f>
        <v>0.51865345528455287</v>
      </c>
      <c r="AB700" s="120">
        <f t="shared" ref="AB700:AB702" si="413">M700-W700</f>
        <v>-1070.6699999999998</v>
      </c>
      <c r="AC700" s="119">
        <f>IFERROR(AA700-O700,"")</f>
        <v>-0.1813465447154472</v>
      </c>
      <c r="AD700" s="110" t="s">
        <v>422</v>
      </c>
      <c r="AE700" s="110"/>
      <c r="AF700" s="110"/>
      <c r="AG700" s="121"/>
    </row>
    <row r="701" spans="1:33" ht="11.25" customHeight="1" x14ac:dyDescent="0.15">
      <c r="A701" s="110" t="s">
        <v>174</v>
      </c>
      <c r="B701" s="110"/>
      <c r="C701" s="111" t="s">
        <v>175</v>
      </c>
      <c r="D701" s="111">
        <v>2021</v>
      </c>
      <c r="E701" s="146">
        <v>44620</v>
      </c>
      <c r="F701" s="111"/>
      <c r="G701" s="111">
        <v>821000112</v>
      </c>
      <c r="H701" s="111">
        <v>4101</v>
      </c>
      <c r="I701" s="111" t="str">
        <f>MID(G701,2,1)</f>
        <v>2</v>
      </c>
      <c r="J701" s="111" t="str">
        <f>IF(I701="1","Small/Medium","Large")</f>
        <v>Large</v>
      </c>
      <c r="K701" s="147" t="s">
        <v>176</v>
      </c>
      <c r="L701" s="148">
        <v>10964.2</v>
      </c>
      <c r="M701" s="120">
        <f>L701*0.3</f>
        <v>3289.26</v>
      </c>
      <c r="N701" s="120">
        <f>L701-M701</f>
        <v>7674.9400000000005</v>
      </c>
      <c r="O701" s="119">
        <f>IFERROR(N701/L701,"")</f>
        <v>0.7</v>
      </c>
      <c r="P701" s="148">
        <v>10964.2</v>
      </c>
      <c r="Q701" s="111">
        <v>1367</v>
      </c>
      <c r="R701" s="117">
        <v>24</v>
      </c>
      <c r="S701" s="117">
        <f>717.12+322.8</f>
        <v>1039.92</v>
      </c>
      <c r="T701" s="117">
        <v>1250.43</v>
      </c>
      <c r="U701" s="117">
        <v>903.5</v>
      </c>
      <c r="V701" s="117"/>
      <c r="W701" s="67">
        <f>SUM(S701:V701)</f>
        <v>3193.8500000000004</v>
      </c>
      <c r="X701" s="118">
        <f>IFERROR(S701/R701,"")</f>
        <v>43.330000000000005</v>
      </c>
      <c r="Y701" s="119">
        <f>U701/P701</f>
        <v>8.2404552999762862E-2</v>
      </c>
      <c r="Z701" s="117">
        <f>P701-W701</f>
        <v>7770.35</v>
      </c>
      <c r="AA701" s="119">
        <f>Z701/P701</f>
        <v>0.70870195727914487</v>
      </c>
      <c r="AB701" s="120">
        <f t="shared" si="413"/>
        <v>95.409999999999854</v>
      </c>
      <c r="AC701" s="119">
        <f>IFERROR(AA701-O701,"")</f>
        <v>8.7019572791449118E-3</v>
      </c>
      <c r="AD701" s="110" t="s">
        <v>422</v>
      </c>
      <c r="AE701" s="110"/>
      <c r="AF701" s="110"/>
      <c r="AG701" s="121"/>
    </row>
    <row r="702" spans="1:33" s="53" customFormat="1" ht="11.25" customHeight="1" x14ac:dyDescent="0.15">
      <c r="A702" s="53" t="s">
        <v>174</v>
      </c>
      <c r="C702" s="54" t="s">
        <v>177</v>
      </c>
      <c r="D702" s="54">
        <v>2022</v>
      </c>
      <c r="E702" s="70">
        <v>44620</v>
      </c>
      <c r="F702" s="54"/>
      <c r="G702" s="54"/>
      <c r="H702" s="54"/>
      <c r="I702" s="54"/>
      <c r="J702" s="54"/>
      <c r="K702" s="106"/>
      <c r="L702" s="24">
        <f>SUM(L700:L701)</f>
        <v>16868.2</v>
      </c>
      <c r="M702" s="24">
        <f>SUM(M700:M701)</f>
        <v>5060.46</v>
      </c>
      <c r="N702" s="24">
        <f>SUM(N700:N701)</f>
        <v>11807.740000000002</v>
      </c>
      <c r="O702" s="57">
        <f>IFERROR(N702/L702,"")</f>
        <v>0.70000000000000007</v>
      </c>
      <c r="P702" s="24">
        <f>SUM(P700:P701)</f>
        <v>16868.2</v>
      </c>
      <c r="Q702" s="24"/>
      <c r="R702" s="24">
        <f t="shared" ref="R702:W702" si="414">SUM(R700:R701)</f>
        <v>49.5</v>
      </c>
      <c r="S702" s="24">
        <f t="shared" si="414"/>
        <v>2144.84</v>
      </c>
      <c r="T702" s="24">
        <f t="shared" si="414"/>
        <v>2500.88</v>
      </c>
      <c r="U702" s="24">
        <f t="shared" si="414"/>
        <v>1390</v>
      </c>
      <c r="V702" s="24">
        <f t="shared" si="414"/>
        <v>0</v>
      </c>
      <c r="W702" s="24">
        <f t="shared" si="414"/>
        <v>6035.72</v>
      </c>
      <c r="X702" s="56"/>
      <c r="Y702" s="57"/>
      <c r="Z702" s="28">
        <f>P702-W702</f>
        <v>10832.48</v>
      </c>
      <c r="AA702" s="57">
        <f>Z702/P702</f>
        <v>0.64218351691348208</v>
      </c>
      <c r="AB702" s="120">
        <f t="shared" si="413"/>
        <v>-975.26000000000022</v>
      </c>
      <c r="AC702" s="57">
        <f>IFERROR(AA702-O702,"")</f>
        <v>-5.7816483086517989E-2</v>
      </c>
      <c r="AG702" s="61"/>
    </row>
    <row r="703" spans="1:33" ht="11.25" customHeight="1" x14ac:dyDescent="0.15">
      <c r="A703" s="130" t="s">
        <v>53</v>
      </c>
      <c r="B703" s="130"/>
      <c r="C703" s="124"/>
      <c r="D703" s="124"/>
      <c r="E703" s="273"/>
      <c r="F703" s="124"/>
      <c r="G703" s="124"/>
      <c r="H703" s="124"/>
      <c r="I703" s="124"/>
      <c r="J703" s="124"/>
      <c r="K703" s="125"/>
      <c r="L703" s="129"/>
      <c r="M703" s="129"/>
      <c r="N703" s="129"/>
      <c r="O703" s="128"/>
      <c r="P703" s="220"/>
      <c r="Q703" s="124"/>
      <c r="R703" s="220"/>
      <c r="S703" s="220"/>
      <c r="T703" s="220"/>
      <c r="U703" s="220"/>
      <c r="V703" s="126"/>
      <c r="W703" s="230"/>
      <c r="X703" s="45"/>
      <c r="Y703" s="128"/>
      <c r="Z703" s="126"/>
      <c r="AA703" s="128"/>
      <c r="AB703" s="129"/>
      <c r="AC703" s="160"/>
      <c r="AD703" s="137"/>
      <c r="AE703" s="110"/>
      <c r="AF703" s="110"/>
      <c r="AG703" s="121"/>
    </row>
    <row r="704" spans="1:33" ht="11.25" customHeight="1" x14ac:dyDescent="0.15">
      <c r="A704" s="110" t="s">
        <v>198</v>
      </c>
      <c r="B704" s="110"/>
      <c r="C704" s="111" t="s">
        <v>175</v>
      </c>
      <c r="D704" s="111">
        <v>2022</v>
      </c>
      <c r="E704" s="146">
        <v>44651</v>
      </c>
      <c r="F704" s="111"/>
      <c r="G704" s="111">
        <v>811001112</v>
      </c>
      <c r="H704" s="111">
        <v>4101</v>
      </c>
      <c r="I704" s="111" t="str">
        <f>MID(G704,2,1)</f>
        <v>1</v>
      </c>
      <c r="J704" s="111" t="str">
        <f>IF(I704="1","Small/Medium","Large")</f>
        <v>Small/Medium</v>
      </c>
      <c r="K704" s="147" t="s">
        <v>145</v>
      </c>
      <c r="L704" s="117">
        <v>8215</v>
      </c>
      <c r="M704" s="120">
        <f>L704*0.3</f>
        <v>2464.5</v>
      </c>
      <c r="N704" s="120">
        <f>L704-M704</f>
        <v>5750.5</v>
      </c>
      <c r="O704" s="119">
        <f>IFERROR(N704/L704,"")</f>
        <v>0.7</v>
      </c>
      <c r="P704" s="117">
        <v>8215.49</v>
      </c>
      <c r="Q704" s="111">
        <v>40</v>
      </c>
      <c r="R704" s="117">
        <v>17.5</v>
      </c>
      <c r="S704" s="117">
        <v>785.4</v>
      </c>
      <c r="T704" s="117">
        <v>829.12</v>
      </c>
      <c r="U704" s="117">
        <v>278.59999999999991</v>
      </c>
      <c r="V704" s="117">
        <v>0</v>
      </c>
      <c r="W704" s="26">
        <f>SUM(S704:V704)</f>
        <v>1893.12</v>
      </c>
      <c r="X704" s="118">
        <f>IFERROR(S704/R704,"")</f>
        <v>44.879999999999995</v>
      </c>
      <c r="Y704" s="119">
        <f>U704/P704</f>
        <v>3.3911550011015763E-2</v>
      </c>
      <c r="Z704" s="117">
        <f>P704-W704</f>
        <v>6322.37</v>
      </c>
      <c r="AA704" s="119">
        <f>Z704/P704</f>
        <v>0.76956700087274166</v>
      </c>
      <c r="AB704" s="120">
        <f t="shared" ref="AB704:AB706" si="415">M704-W704</f>
        <v>571.38000000000011</v>
      </c>
      <c r="AC704" s="119">
        <f>IFERROR(AA704-O704,"")</f>
        <v>6.9567000872741702E-2</v>
      </c>
      <c r="AD704" s="110"/>
      <c r="AE704" s="110"/>
      <c r="AF704" s="110"/>
      <c r="AG704" s="121"/>
    </row>
    <row r="705" spans="1:33" ht="11.25" customHeight="1" x14ac:dyDescent="0.15">
      <c r="A705" s="110" t="s">
        <v>198</v>
      </c>
      <c r="B705" s="110"/>
      <c r="C705" s="111" t="s">
        <v>175</v>
      </c>
      <c r="D705" s="111">
        <v>2022</v>
      </c>
      <c r="E705" s="146">
        <v>44651</v>
      </c>
      <c r="F705" s="111"/>
      <c r="G705" s="111">
        <v>821001112</v>
      </c>
      <c r="H705" s="111">
        <v>4101</v>
      </c>
      <c r="I705" s="111" t="str">
        <f>MID(G705,2,1)</f>
        <v>2</v>
      </c>
      <c r="J705" s="111" t="str">
        <f>IF(I705="1","Small/Medium","Large")</f>
        <v>Large</v>
      </c>
      <c r="K705" s="147" t="s">
        <v>176</v>
      </c>
      <c r="L705" s="117">
        <v>15256</v>
      </c>
      <c r="M705" s="120">
        <f>L705*0.3</f>
        <v>4576.8</v>
      </c>
      <c r="N705" s="120">
        <f>L705-M705</f>
        <v>10679.2</v>
      </c>
      <c r="O705" s="119">
        <f>IFERROR(N705/L705,"")</f>
        <v>0.70000000000000007</v>
      </c>
      <c r="P705" s="117">
        <v>15255</v>
      </c>
      <c r="Q705" s="111">
        <v>41</v>
      </c>
      <c r="R705" s="117">
        <v>17.5</v>
      </c>
      <c r="S705" s="117">
        <v>785.4</v>
      </c>
      <c r="T705" s="117">
        <v>1539.81</v>
      </c>
      <c r="U705" s="117">
        <v>517.39999999999964</v>
      </c>
      <c r="V705" s="117">
        <v>0</v>
      </c>
      <c r="W705" s="26">
        <f>SUM(S705:V705)</f>
        <v>2842.6099999999997</v>
      </c>
      <c r="X705" s="118">
        <f>IFERROR(S705/R705,"")</f>
        <v>44.879999999999995</v>
      </c>
      <c r="Y705" s="119">
        <f>U705/P705</f>
        <v>3.3916748607014068E-2</v>
      </c>
      <c r="Z705" s="117">
        <f>P705-W705</f>
        <v>12412.39</v>
      </c>
      <c r="AA705" s="119">
        <f>Z705/P705</f>
        <v>0.81366043920026221</v>
      </c>
      <c r="AB705" s="120">
        <f t="shared" si="415"/>
        <v>1734.1900000000005</v>
      </c>
      <c r="AC705" s="119">
        <f>IFERROR(AA705-O705,"")</f>
        <v>0.11366043920026214</v>
      </c>
      <c r="AD705" s="110"/>
      <c r="AE705" s="110"/>
      <c r="AF705" s="110"/>
      <c r="AG705" s="121"/>
    </row>
    <row r="706" spans="1:33" s="53" customFormat="1" ht="11.25" customHeight="1" x14ac:dyDescent="0.15">
      <c r="A706" s="53" t="s">
        <v>198</v>
      </c>
      <c r="C706" s="54" t="s">
        <v>177</v>
      </c>
      <c r="D706" s="54">
        <v>2022</v>
      </c>
      <c r="E706" s="70">
        <v>44651</v>
      </c>
      <c r="F706" s="54"/>
      <c r="G706" s="54"/>
      <c r="H706" s="54"/>
      <c r="I706" s="54"/>
      <c r="J706" s="54"/>
      <c r="K706" s="106"/>
      <c r="L706" s="24">
        <f>SUM(L704:L705)</f>
        <v>23471</v>
      </c>
      <c r="M706" s="24">
        <f>SUM(M704:M705)</f>
        <v>7041.3</v>
      </c>
      <c r="N706" s="24">
        <f>SUM(N704:N705)</f>
        <v>16429.7</v>
      </c>
      <c r="O706" s="57">
        <f>IFERROR(N706/L706,"")</f>
        <v>0.70000000000000007</v>
      </c>
      <c r="P706" s="24">
        <f>SUM(P704:P705)</f>
        <v>23470.489999999998</v>
      </c>
      <c r="Q706" s="92"/>
      <c r="R706" s="24">
        <f t="shared" ref="R706:W706" si="416">SUM(R704:R705)</f>
        <v>35</v>
      </c>
      <c r="S706" s="24">
        <f t="shared" si="416"/>
        <v>1570.8</v>
      </c>
      <c r="T706" s="24">
        <f t="shared" si="416"/>
        <v>2368.9299999999998</v>
      </c>
      <c r="U706" s="24">
        <f t="shared" si="416"/>
        <v>795.99999999999955</v>
      </c>
      <c r="V706" s="24">
        <f t="shared" si="416"/>
        <v>0</v>
      </c>
      <c r="W706" s="24">
        <f t="shared" si="416"/>
        <v>4735.7299999999996</v>
      </c>
      <c r="X706" s="56"/>
      <c r="Y706" s="57"/>
      <c r="Z706" s="28">
        <f>P706-W706</f>
        <v>18734.759999999998</v>
      </c>
      <c r="AA706" s="57">
        <f>Z706/P706</f>
        <v>0.79822619808960105</v>
      </c>
      <c r="AB706" s="120">
        <f t="shared" si="415"/>
        <v>2305.5700000000006</v>
      </c>
      <c r="AC706" s="57">
        <f>IFERROR(AA706-O706,"")</f>
        <v>9.822619808960098E-2</v>
      </c>
      <c r="AG706" s="61"/>
    </row>
    <row r="707" spans="1:33" ht="11.25" customHeight="1" x14ac:dyDescent="0.15">
      <c r="A707" s="130" t="s">
        <v>53</v>
      </c>
      <c r="B707" s="130"/>
      <c r="C707" s="124"/>
      <c r="D707" s="124"/>
      <c r="E707" s="273"/>
      <c r="F707" s="124"/>
      <c r="G707" s="124"/>
      <c r="H707" s="124"/>
      <c r="I707" s="124"/>
      <c r="J707" s="124"/>
      <c r="K707" s="125"/>
      <c r="L707" s="129"/>
      <c r="M707" s="129"/>
      <c r="N707" s="129"/>
      <c r="O707" s="128"/>
      <c r="P707" s="129"/>
      <c r="Q707" s="124"/>
      <c r="R707" s="129"/>
      <c r="S707" s="129"/>
      <c r="T707" s="129"/>
      <c r="U707" s="129"/>
      <c r="V707" s="126"/>
      <c r="W707" s="49"/>
      <c r="X707" s="45"/>
      <c r="Y707" s="128"/>
      <c r="Z707" s="126"/>
      <c r="AA707" s="128"/>
      <c r="AB707" s="129"/>
      <c r="AC707" s="160"/>
      <c r="AD707" s="137"/>
      <c r="AE707" s="110"/>
      <c r="AF707" s="110"/>
      <c r="AG707" s="121"/>
    </row>
    <row r="708" spans="1:33" ht="11.25" customHeight="1" x14ac:dyDescent="0.15">
      <c r="A708" s="110" t="s">
        <v>193</v>
      </c>
      <c r="B708" s="110"/>
      <c r="C708" s="111" t="s">
        <v>175</v>
      </c>
      <c r="D708" s="111">
        <v>2022</v>
      </c>
      <c r="E708" s="146">
        <v>44651</v>
      </c>
      <c r="F708" s="111"/>
      <c r="G708" s="111">
        <v>811002112</v>
      </c>
      <c r="H708" s="111">
        <v>4101</v>
      </c>
      <c r="I708" s="111" t="str">
        <f>MID(G708,2,1)</f>
        <v>1</v>
      </c>
      <c r="J708" s="111" t="str">
        <f>IF(I708="1","Small/Medium","Large")</f>
        <v>Small/Medium</v>
      </c>
      <c r="K708" s="147" t="s">
        <v>145</v>
      </c>
      <c r="L708" s="117">
        <v>11899</v>
      </c>
      <c r="M708" s="120">
        <f>L708*0.3</f>
        <v>3569.7</v>
      </c>
      <c r="N708" s="120">
        <f>L708-M708</f>
        <v>8329.2999999999993</v>
      </c>
      <c r="O708" s="119">
        <f>IFERROR(N708/L708,"")</f>
        <v>0.7</v>
      </c>
      <c r="P708" s="117">
        <v>11899</v>
      </c>
      <c r="Q708" s="111">
        <v>42</v>
      </c>
      <c r="R708" s="117">
        <v>21.5</v>
      </c>
      <c r="S708" s="117">
        <v>964.92</v>
      </c>
      <c r="T708" s="117">
        <v>1185.8499999999999</v>
      </c>
      <c r="U708" s="117">
        <v>422.52</v>
      </c>
      <c r="V708" s="117">
        <v>0</v>
      </c>
      <c r="W708" s="26">
        <f>SUM(S708:V708)</f>
        <v>2573.29</v>
      </c>
      <c r="X708" s="118">
        <f>IFERROR(S708/R708,"")</f>
        <v>44.879999999999995</v>
      </c>
      <c r="Y708" s="119">
        <f>U708/P708</f>
        <v>3.5508866291284982E-2</v>
      </c>
      <c r="Z708" s="117">
        <f>P708-W708</f>
        <v>9325.7099999999991</v>
      </c>
      <c r="AA708" s="119">
        <f>IFERROR(Z708/P708,"")</f>
        <v>0.78373896966131595</v>
      </c>
      <c r="AB708" s="120">
        <f t="shared" ref="AB708:AB709" si="417">M708-W708</f>
        <v>996.40999999999985</v>
      </c>
      <c r="AC708" s="119">
        <f>IFERROR(AA708-O708,"")</f>
        <v>8.3738969661315998E-2</v>
      </c>
      <c r="AD708" s="110"/>
      <c r="AE708" s="110"/>
      <c r="AF708" s="110"/>
      <c r="AG708" s="121"/>
    </row>
    <row r="709" spans="1:33" s="53" customFormat="1" ht="11.25" customHeight="1" x14ac:dyDescent="0.15">
      <c r="A709" s="53" t="s">
        <v>193</v>
      </c>
      <c r="C709" s="54" t="s">
        <v>177</v>
      </c>
      <c r="D709" s="54">
        <v>2022</v>
      </c>
      <c r="E709" s="70">
        <v>44651</v>
      </c>
      <c r="F709" s="54"/>
      <c r="G709" s="54"/>
      <c r="H709" s="54"/>
      <c r="I709" s="54"/>
      <c r="J709" s="54"/>
      <c r="K709" s="106"/>
      <c r="L709" s="24">
        <f>SUM(L707:L708)</f>
        <v>11899</v>
      </c>
      <c r="M709" s="24">
        <f>SUM(M708)</f>
        <v>3569.7</v>
      </c>
      <c r="N709" s="24">
        <f>SUM(N708)</f>
        <v>8329.2999999999993</v>
      </c>
      <c r="O709" s="57">
        <f>IFERROR(N709/L709,"")</f>
        <v>0.7</v>
      </c>
      <c r="P709" s="24">
        <f>SUM(P707:P708)</f>
        <v>11899</v>
      </c>
      <c r="Q709" s="24"/>
      <c r="R709" s="24">
        <f t="shared" ref="R709:W709" si="418">SUM(R707:R708)</f>
        <v>21.5</v>
      </c>
      <c r="S709" s="24">
        <f t="shared" si="418"/>
        <v>964.92</v>
      </c>
      <c r="T709" s="24">
        <f t="shared" si="418"/>
        <v>1185.8499999999999</v>
      </c>
      <c r="U709" s="24">
        <f t="shared" si="418"/>
        <v>422.52</v>
      </c>
      <c r="V709" s="24">
        <f t="shared" si="418"/>
        <v>0</v>
      </c>
      <c r="W709" s="24">
        <f t="shared" si="418"/>
        <v>2573.29</v>
      </c>
      <c r="X709" s="56"/>
      <c r="Y709" s="57"/>
      <c r="Z709" s="28">
        <f>P709-W709</f>
        <v>9325.7099999999991</v>
      </c>
      <c r="AA709" s="57">
        <f>IFERROR(Z709/P709,"")</f>
        <v>0.78373896966131595</v>
      </c>
      <c r="AB709" s="120">
        <f t="shared" si="417"/>
        <v>996.40999999999985</v>
      </c>
      <c r="AC709" s="57">
        <f>IFERROR(AA709-O709,"")</f>
        <v>8.3738969661315998E-2</v>
      </c>
      <c r="AG709" s="61"/>
    </row>
    <row r="710" spans="1:33" ht="11.25" customHeight="1" x14ac:dyDescent="0.15">
      <c r="A710" s="130" t="s">
        <v>53</v>
      </c>
      <c r="B710" s="130"/>
      <c r="C710" s="124"/>
      <c r="D710" s="124"/>
      <c r="E710" s="273"/>
      <c r="F710" s="124"/>
      <c r="G710" s="124"/>
      <c r="H710" s="124"/>
      <c r="I710" s="124"/>
      <c r="J710" s="124"/>
      <c r="K710" s="125"/>
      <c r="L710" s="129"/>
      <c r="M710" s="129"/>
      <c r="N710" s="129"/>
      <c r="O710" s="128"/>
      <c r="P710" s="129"/>
      <c r="Q710" s="124"/>
      <c r="R710" s="129"/>
      <c r="S710" s="129"/>
      <c r="T710" s="129"/>
      <c r="U710" s="129"/>
      <c r="V710" s="126"/>
      <c r="W710" s="49"/>
      <c r="X710" s="45"/>
      <c r="Y710" s="128"/>
      <c r="Z710" s="126"/>
      <c r="AA710" s="128"/>
      <c r="AB710" s="129"/>
      <c r="AC710" s="160"/>
      <c r="AD710" s="137"/>
      <c r="AE710" s="110"/>
      <c r="AF710" s="110"/>
      <c r="AG710" s="121"/>
    </row>
    <row r="711" spans="1:33" ht="11.25" customHeight="1" x14ac:dyDescent="0.15">
      <c r="A711" s="110" t="s">
        <v>194</v>
      </c>
      <c r="B711" s="110"/>
      <c r="C711" s="111" t="s">
        <v>175</v>
      </c>
      <c r="D711" s="111">
        <v>2022</v>
      </c>
      <c r="E711" s="146">
        <v>44651</v>
      </c>
      <c r="F711" s="111"/>
      <c r="G711" s="111">
        <v>811002112</v>
      </c>
      <c r="H711" s="111">
        <v>4101</v>
      </c>
      <c r="I711" s="111" t="str">
        <f>MID(G711,2,1)</f>
        <v>1</v>
      </c>
      <c r="J711" s="111" t="str">
        <f>IF(I711="1","Small/Medium","Large")</f>
        <v>Small/Medium</v>
      </c>
      <c r="K711" s="147" t="s">
        <v>145</v>
      </c>
      <c r="L711" s="132">
        <v>7290</v>
      </c>
      <c r="M711" s="219">
        <f>L711*0.3</f>
        <v>2187</v>
      </c>
      <c r="N711" s="219">
        <f>L711-M711</f>
        <v>5103</v>
      </c>
      <c r="O711" s="119">
        <f>IFERROR(N711/L711,"")</f>
        <v>0.7</v>
      </c>
      <c r="P711" s="132">
        <v>7290</v>
      </c>
      <c r="Q711" s="111">
        <v>19</v>
      </c>
      <c r="R711" s="132">
        <v>7.5</v>
      </c>
      <c r="S711" s="132">
        <v>336.6</v>
      </c>
      <c r="T711" s="132">
        <v>441.61</v>
      </c>
      <c r="U711" s="132">
        <v>246.67999999999984</v>
      </c>
      <c r="V711" s="132">
        <v>0</v>
      </c>
      <c r="W711" s="67">
        <f>SUM(S711:V711)</f>
        <v>1024.8899999999999</v>
      </c>
      <c r="X711" s="118">
        <f>IFERROR(S711/R711,"")</f>
        <v>44.88</v>
      </c>
      <c r="Y711" s="119">
        <f>U711/P711</f>
        <v>3.3838134430727002E-2</v>
      </c>
      <c r="Z711" s="117">
        <f>P711-W711</f>
        <v>6265.1100000000006</v>
      </c>
      <c r="AA711" s="119">
        <f>Z711/P711</f>
        <v>0.85941152263374498</v>
      </c>
      <c r="AB711" s="120">
        <f t="shared" ref="AB711:AB713" si="419">M711-W711</f>
        <v>1162.1100000000001</v>
      </c>
      <c r="AC711" s="119">
        <f>IFERROR(AA711-O711,"")</f>
        <v>0.15941152263374503</v>
      </c>
      <c r="AD711" s="110"/>
      <c r="AE711" s="110"/>
      <c r="AF711" s="110"/>
      <c r="AG711" s="121"/>
    </row>
    <row r="712" spans="1:33" ht="11.25" customHeight="1" x14ac:dyDescent="0.15">
      <c r="A712" s="110" t="s">
        <v>194</v>
      </c>
      <c r="B712" s="110"/>
      <c r="C712" s="111" t="s">
        <v>175</v>
      </c>
      <c r="D712" s="111">
        <v>2022</v>
      </c>
      <c r="E712" s="146">
        <v>44651</v>
      </c>
      <c r="F712" s="111"/>
      <c r="G712" s="111">
        <v>821002112</v>
      </c>
      <c r="H712" s="111">
        <v>4101</v>
      </c>
      <c r="I712" s="111" t="str">
        <f>MID(G712,2,1)</f>
        <v>2</v>
      </c>
      <c r="J712" s="111" t="str">
        <f>IF(I712="1","Small/Medium","Large")</f>
        <v>Large</v>
      </c>
      <c r="K712" s="147" t="s">
        <v>176</v>
      </c>
      <c r="L712" s="117">
        <v>13539</v>
      </c>
      <c r="M712" s="120">
        <f>L712*0.3</f>
        <v>4061.7</v>
      </c>
      <c r="N712" s="120">
        <f>L712-M712</f>
        <v>9477.2999999999993</v>
      </c>
      <c r="O712" s="119">
        <f>IFERROR(N712/L712,"")</f>
        <v>0.7</v>
      </c>
      <c r="P712" s="117">
        <v>13539</v>
      </c>
      <c r="Q712" s="111">
        <v>20</v>
      </c>
      <c r="R712" s="117">
        <v>13</v>
      </c>
      <c r="S712" s="117">
        <v>583.44000000000005</v>
      </c>
      <c r="T712" s="117">
        <v>820.14</v>
      </c>
      <c r="U712" s="117">
        <v>434.49</v>
      </c>
      <c r="V712" s="117">
        <v>0</v>
      </c>
      <c r="W712" s="26">
        <f>SUM(S712:V712)</f>
        <v>1838.07</v>
      </c>
      <c r="X712" s="118">
        <f>IFERROR(S712/R712,"")</f>
        <v>44.88</v>
      </c>
      <c r="Y712" s="119">
        <f>U712/P712</f>
        <v>3.2091734987812988E-2</v>
      </c>
      <c r="Z712" s="117">
        <f>P712-W712</f>
        <v>11700.93</v>
      </c>
      <c r="AA712" s="119">
        <f>Z712/P712</f>
        <v>0.86423886549966766</v>
      </c>
      <c r="AB712" s="120">
        <f t="shared" si="419"/>
        <v>2223.63</v>
      </c>
      <c r="AC712" s="119">
        <f>IFERROR(AA712-O712,"")</f>
        <v>0.16423886549966771</v>
      </c>
      <c r="AD712" s="110"/>
      <c r="AE712" s="110"/>
      <c r="AF712" s="110"/>
      <c r="AG712" s="121"/>
    </row>
    <row r="713" spans="1:33" s="53" customFormat="1" ht="11.25" customHeight="1" x14ac:dyDescent="0.15">
      <c r="A713" s="53" t="s">
        <v>194</v>
      </c>
      <c r="C713" s="54" t="s">
        <v>177</v>
      </c>
      <c r="D713" s="54">
        <v>2022</v>
      </c>
      <c r="E713" s="70">
        <v>44651</v>
      </c>
      <c r="F713" s="54"/>
      <c r="G713" s="54"/>
      <c r="H713" s="54"/>
      <c r="I713" s="54"/>
      <c r="J713" s="54"/>
      <c r="K713" s="106"/>
      <c r="L713" s="24">
        <f>SUM(L711:L712)</f>
        <v>20829</v>
      </c>
      <c r="M713" s="24">
        <f>SUM(M711:M712)</f>
        <v>6248.7</v>
      </c>
      <c r="N713" s="24">
        <f>SUM(N711:N712)</f>
        <v>14580.3</v>
      </c>
      <c r="O713" s="57">
        <f>IFERROR(N713/L713,"")</f>
        <v>0.7</v>
      </c>
      <c r="P713" s="24">
        <f>SUM(P711:P712)</f>
        <v>20829</v>
      </c>
      <c r="Q713" s="92"/>
      <c r="R713" s="24">
        <f t="shared" ref="R713:W713" si="420">SUM(R711:R712)</f>
        <v>20.5</v>
      </c>
      <c r="S713" s="24">
        <f t="shared" si="420"/>
        <v>920.04000000000008</v>
      </c>
      <c r="T713" s="24">
        <f t="shared" si="420"/>
        <v>1261.75</v>
      </c>
      <c r="U713" s="24">
        <f t="shared" si="420"/>
        <v>681.16999999999985</v>
      </c>
      <c r="V713" s="24">
        <f t="shared" si="420"/>
        <v>0</v>
      </c>
      <c r="W713" s="24">
        <f t="shared" si="420"/>
        <v>2862.96</v>
      </c>
      <c r="X713" s="56"/>
      <c r="Y713" s="57"/>
      <c r="Z713" s="28">
        <f>P713-W713</f>
        <v>17966.04</v>
      </c>
      <c r="AA713" s="57">
        <f>Z713/P713</f>
        <v>0.86254933026069425</v>
      </c>
      <c r="AB713" s="120">
        <f t="shared" si="419"/>
        <v>3385.74</v>
      </c>
      <c r="AC713" s="57">
        <f>IFERROR(AA713-O713,"")</f>
        <v>0.16254933026069429</v>
      </c>
      <c r="AG713" s="61"/>
    </row>
    <row r="714" spans="1:33" ht="11.25" customHeight="1" x14ac:dyDescent="0.15">
      <c r="A714" s="130" t="s">
        <v>53</v>
      </c>
      <c r="B714" s="130"/>
      <c r="C714" s="124"/>
      <c r="D714" s="124"/>
      <c r="E714" s="273"/>
      <c r="F714" s="124"/>
      <c r="G714" s="124"/>
      <c r="H714" s="124"/>
      <c r="I714" s="124"/>
      <c r="J714" s="124"/>
      <c r="K714" s="125"/>
      <c r="L714" s="129"/>
      <c r="M714" s="129"/>
      <c r="N714" s="129"/>
      <c r="O714" s="128"/>
      <c r="P714" s="129"/>
      <c r="Q714" s="124"/>
      <c r="R714" s="129"/>
      <c r="S714" s="129"/>
      <c r="T714" s="129"/>
      <c r="U714" s="129"/>
      <c r="V714" s="126"/>
      <c r="W714" s="49"/>
      <c r="X714" s="45"/>
      <c r="Y714" s="128"/>
      <c r="Z714" s="126"/>
      <c r="AA714" s="128"/>
      <c r="AB714" s="129"/>
      <c r="AC714" s="160"/>
      <c r="AD714" s="137"/>
      <c r="AE714" s="110"/>
      <c r="AF714" s="110"/>
      <c r="AG714" s="121"/>
    </row>
    <row r="715" spans="1:33" ht="11.25" customHeight="1" x14ac:dyDescent="0.15">
      <c r="A715" s="110" t="s">
        <v>137</v>
      </c>
      <c r="B715" s="110"/>
      <c r="C715" s="111" t="s">
        <v>175</v>
      </c>
      <c r="D715" s="111">
        <v>2021</v>
      </c>
      <c r="E715" s="146">
        <v>44651</v>
      </c>
      <c r="F715" s="111"/>
      <c r="G715" s="111">
        <v>811101112</v>
      </c>
      <c r="H715" s="111">
        <v>4101</v>
      </c>
      <c r="I715" s="111" t="str">
        <f>MID(G715,2,1)</f>
        <v>1</v>
      </c>
      <c r="J715" s="111" t="str">
        <f>IF(I715="1","Small/Medium","Large")</f>
        <v>Small/Medium</v>
      </c>
      <c r="K715" s="147" t="s">
        <v>145</v>
      </c>
      <c r="L715" s="117">
        <v>14002.01</v>
      </c>
      <c r="M715" s="120">
        <f>L715*0.3</f>
        <v>4200.6030000000001</v>
      </c>
      <c r="N715" s="120">
        <f>L715-M715</f>
        <v>9801.4069999999992</v>
      </c>
      <c r="O715" s="119">
        <f>IFERROR(N715/L715,"")</f>
        <v>0.7</v>
      </c>
      <c r="P715" s="117">
        <v>14002.01</v>
      </c>
      <c r="Q715" s="111">
        <v>94</v>
      </c>
      <c r="R715" s="117">
        <v>30.5</v>
      </c>
      <c r="S715" s="117">
        <v>1368.84</v>
      </c>
      <c r="T715" s="117">
        <v>1910.87</v>
      </c>
      <c r="U715" s="117">
        <v>497.32999999999993</v>
      </c>
      <c r="V715" s="117">
        <v>67.39</v>
      </c>
      <c r="W715" s="26">
        <f>SUM(S715:V715)</f>
        <v>3844.43</v>
      </c>
      <c r="X715" s="118">
        <f>IFERROR(S715/R715,"")</f>
        <v>44.879999999999995</v>
      </c>
      <c r="Y715" s="119">
        <f>U715/P715</f>
        <v>3.551847199080703E-2</v>
      </c>
      <c r="Z715" s="117">
        <f>P715-W715</f>
        <v>10157.58</v>
      </c>
      <c r="AA715" s="119">
        <f>Z715/P715</f>
        <v>0.72543727650530176</v>
      </c>
      <c r="AB715" s="120">
        <f t="shared" ref="AB715:AB717" si="421">M715-W715</f>
        <v>356.17300000000023</v>
      </c>
      <c r="AC715" s="119">
        <f>IFERROR(AA715-O715,"")</f>
        <v>2.5437276505301809E-2</v>
      </c>
      <c r="AD715" s="110"/>
      <c r="AE715" s="110"/>
      <c r="AF715" s="110"/>
      <c r="AG715" s="121"/>
    </row>
    <row r="716" spans="1:33" ht="11.25" customHeight="1" x14ac:dyDescent="0.15">
      <c r="A716" s="110" t="s">
        <v>137</v>
      </c>
      <c r="B716" s="110"/>
      <c r="C716" s="111" t="s">
        <v>175</v>
      </c>
      <c r="D716" s="111">
        <v>2021</v>
      </c>
      <c r="E716" s="146">
        <v>44651</v>
      </c>
      <c r="F716" s="111"/>
      <c r="G716" s="111">
        <v>821101112</v>
      </c>
      <c r="H716" s="111">
        <v>4101</v>
      </c>
      <c r="I716" s="111" t="str">
        <f>MID(G716,2,1)</f>
        <v>2</v>
      </c>
      <c r="J716" s="111" t="str">
        <f>IF(I716="1","Small/Medium","Large")</f>
        <v>Large</v>
      </c>
      <c r="K716" s="147" t="s">
        <v>176</v>
      </c>
      <c r="L716" s="117">
        <v>26003.74</v>
      </c>
      <c r="M716" s="120">
        <f>L716*0.3</f>
        <v>7801.1220000000003</v>
      </c>
      <c r="N716" s="120">
        <f>L716-M716</f>
        <v>18202.618000000002</v>
      </c>
      <c r="O716" s="119">
        <f>IFERROR(N716/L716,"")</f>
        <v>0.70000000000000007</v>
      </c>
      <c r="P716" s="117">
        <v>26003.74</v>
      </c>
      <c r="Q716" s="111">
        <v>95</v>
      </c>
      <c r="R716" s="117">
        <v>24</v>
      </c>
      <c r="S716" s="117">
        <v>1077.1199999999999</v>
      </c>
      <c r="T716" s="117">
        <v>1910.87</v>
      </c>
      <c r="U716" s="117">
        <v>276</v>
      </c>
      <c r="V716" s="117">
        <v>0</v>
      </c>
      <c r="W716" s="26">
        <f>SUM(S716:V716)</f>
        <v>3263.99</v>
      </c>
      <c r="X716" s="118">
        <f>IFERROR(S716/R716,"")</f>
        <v>44.879999999999995</v>
      </c>
      <c r="Y716" s="119">
        <f>U716/P716</f>
        <v>1.0613857852755025E-2</v>
      </c>
      <c r="Z716" s="117">
        <f>P716-W716</f>
        <v>22739.75</v>
      </c>
      <c r="AA716" s="119">
        <f>Z716/P716</f>
        <v>0.874479978649225</v>
      </c>
      <c r="AB716" s="120">
        <f t="shared" si="421"/>
        <v>4537.1320000000005</v>
      </c>
      <c r="AC716" s="119">
        <f>IFERROR(AA716-O716,"")</f>
        <v>0.17447997864922493</v>
      </c>
      <c r="AD716" s="110"/>
      <c r="AE716" s="110"/>
      <c r="AF716" s="110"/>
      <c r="AG716" s="121"/>
    </row>
    <row r="717" spans="1:33" s="53" customFormat="1" ht="11.25" customHeight="1" x14ac:dyDescent="0.15">
      <c r="A717" s="53" t="s">
        <v>137</v>
      </c>
      <c r="C717" s="54" t="s">
        <v>177</v>
      </c>
      <c r="D717" s="54">
        <v>2022</v>
      </c>
      <c r="E717" s="70">
        <v>44651</v>
      </c>
      <c r="F717" s="54"/>
      <c r="G717" s="54"/>
      <c r="H717" s="54"/>
      <c r="I717" s="54"/>
      <c r="J717" s="54"/>
      <c r="K717" s="106"/>
      <c r="L717" s="24">
        <f>SUM(L715:L716)</f>
        <v>40005.75</v>
      </c>
      <c r="M717" s="24">
        <f>SUM(M715:M716)</f>
        <v>12001.725</v>
      </c>
      <c r="N717" s="24">
        <f>SUM(N715:N716)</f>
        <v>28004.025000000001</v>
      </c>
      <c r="O717" s="57">
        <f>IFERROR(N717/L717,"")</f>
        <v>0.70000000000000007</v>
      </c>
      <c r="P717" s="24">
        <f>SUM(P715:P716)</f>
        <v>40005.75</v>
      </c>
      <c r="Q717" s="92"/>
      <c r="R717" s="24">
        <f t="shared" ref="R717:W717" si="422">SUM(R715:R716)</f>
        <v>54.5</v>
      </c>
      <c r="S717" s="24">
        <f t="shared" si="422"/>
        <v>2445.96</v>
      </c>
      <c r="T717" s="24">
        <f t="shared" si="422"/>
        <v>3821.74</v>
      </c>
      <c r="U717" s="24">
        <f t="shared" si="422"/>
        <v>773.32999999999993</v>
      </c>
      <c r="V717" s="24">
        <f t="shared" si="422"/>
        <v>67.39</v>
      </c>
      <c r="W717" s="24">
        <f t="shared" si="422"/>
        <v>7108.42</v>
      </c>
      <c r="X717" s="56"/>
      <c r="Y717" s="57"/>
      <c r="Z717" s="28">
        <f>P717-W717</f>
        <v>32897.33</v>
      </c>
      <c r="AA717" s="57">
        <f>Z717/P717</f>
        <v>0.82231504221268192</v>
      </c>
      <c r="AB717" s="120">
        <f t="shared" si="421"/>
        <v>4893.3050000000003</v>
      </c>
      <c r="AC717" s="57">
        <f>IFERROR(AA717-O717,"")</f>
        <v>0.12231504221268186</v>
      </c>
      <c r="AG717" s="61"/>
    </row>
    <row r="718" spans="1:33" ht="11.25" customHeight="1" x14ac:dyDescent="0.15">
      <c r="A718" s="130" t="s">
        <v>53</v>
      </c>
      <c r="B718" s="130"/>
      <c r="C718" s="124"/>
      <c r="D718" s="124"/>
      <c r="E718" s="273"/>
      <c r="F718" s="124"/>
      <c r="G718" s="124"/>
      <c r="H718" s="124"/>
      <c r="I718" s="124"/>
      <c r="J718" s="124"/>
      <c r="K718" s="125"/>
      <c r="L718" s="129"/>
      <c r="M718" s="129"/>
      <c r="N718" s="129"/>
      <c r="O718" s="128"/>
      <c r="P718" s="129"/>
      <c r="Q718" s="124"/>
      <c r="R718" s="129"/>
      <c r="S718" s="129"/>
      <c r="T718" s="129"/>
      <c r="U718" s="129"/>
      <c r="V718" s="126"/>
      <c r="W718" s="49"/>
      <c r="X718" s="45"/>
      <c r="Y718" s="128"/>
      <c r="Z718" s="126"/>
      <c r="AA718" s="128"/>
      <c r="AB718" s="129"/>
      <c r="AC718" s="160"/>
      <c r="AD718" s="137"/>
      <c r="AE718" s="110"/>
      <c r="AF718" s="110"/>
      <c r="AG718" s="121"/>
    </row>
    <row r="719" spans="1:33" ht="11.25" customHeight="1" x14ac:dyDescent="0.15">
      <c r="A719" s="110" t="s">
        <v>233</v>
      </c>
      <c r="B719" s="110"/>
      <c r="C719" s="111" t="s">
        <v>175</v>
      </c>
      <c r="D719" s="111">
        <v>2022</v>
      </c>
      <c r="E719" s="146">
        <v>44651</v>
      </c>
      <c r="F719" s="111"/>
      <c r="G719" s="111">
        <v>811101112</v>
      </c>
      <c r="H719" s="111">
        <v>4101</v>
      </c>
      <c r="I719" s="111" t="str">
        <f>MID(G719,2,1)</f>
        <v>1</v>
      </c>
      <c r="J719" s="111" t="str">
        <f>IF(I719="1","Small/Medium","Large")</f>
        <v>Small/Medium</v>
      </c>
      <c r="K719" s="147" t="s">
        <v>145</v>
      </c>
      <c r="L719" s="117">
        <v>14007</v>
      </c>
      <c r="M719" s="120">
        <f>L719*0.3</f>
        <v>4202.0999999999995</v>
      </c>
      <c r="N719" s="120">
        <f>L719-M719</f>
        <v>9804.9000000000015</v>
      </c>
      <c r="O719" s="119">
        <f>IFERROR(N719/L719,"")</f>
        <v>0.70000000000000007</v>
      </c>
      <c r="P719" s="117">
        <v>14007</v>
      </c>
      <c r="Q719" s="111">
        <v>96</v>
      </c>
      <c r="R719" s="117">
        <v>28</v>
      </c>
      <c r="S719" s="117">
        <v>1256.6400000000001</v>
      </c>
      <c r="T719" s="117">
        <v>1622.9</v>
      </c>
      <c r="U719" s="117">
        <v>403</v>
      </c>
      <c r="V719" s="117">
        <v>38.520000000000003</v>
      </c>
      <c r="W719" s="26">
        <f>SUM(S719:V719)</f>
        <v>3321.06</v>
      </c>
      <c r="X719" s="118">
        <f>IFERROR(S719/R719,"")</f>
        <v>44.88</v>
      </c>
      <c r="Y719" s="119">
        <f>U719/P719</f>
        <v>2.8771328621403584E-2</v>
      </c>
      <c r="Z719" s="117">
        <f>P719-W719</f>
        <v>10685.94</v>
      </c>
      <c r="AA719" s="119">
        <f>IFERROR(Z719/P719,"")</f>
        <v>0.76289997858213754</v>
      </c>
      <c r="AB719" s="120">
        <f t="shared" ref="AB719:AB720" si="423">M719-W719</f>
        <v>881.03999999999951</v>
      </c>
      <c r="AC719" s="119">
        <f>IFERROR(AA719-O719,"")</f>
        <v>6.2899978582137472E-2</v>
      </c>
      <c r="AD719" s="110"/>
      <c r="AE719" s="110"/>
      <c r="AF719" s="110"/>
      <c r="AG719" s="121"/>
    </row>
    <row r="720" spans="1:33" s="53" customFormat="1" ht="11.25" customHeight="1" x14ac:dyDescent="0.15">
      <c r="A720" s="53" t="s">
        <v>233</v>
      </c>
      <c r="C720" s="54" t="s">
        <v>177</v>
      </c>
      <c r="D720" s="54">
        <v>2022</v>
      </c>
      <c r="E720" s="70">
        <v>44651</v>
      </c>
      <c r="F720" s="54"/>
      <c r="G720" s="54"/>
      <c r="H720" s="54"/>
      <c r="I720" s="54"/>
      <c r="J720" s="54"/>
      <c r="K720" s="106"/>
      <c r="L720" s="24">
        <f>SUM(L718:L719)</f>
        <v>14007</v>
      </c>
      <c r="M720" s="24">
        <f>SUM(M719)</f>
        <v>4202.0999999999995</v>
      </c>
      <c r="N720" s="24">
        <f>SUM(N719)</f>
        <v>9804.9000000000015</v>
      </c>
      <c r="O720" s="57">
        <f>IFERROR(N720/L720,"")</f>
        <v>0.70000000000000007</v>
      </c>
      <c r="P720" s="24">
        <f>SUM(P718:P719)</f>
        <v>14007</v>
      </c>
      <c r="Q720" s="24"/>
      <c r="R720" s="24">
        <f t="shared" ref="R720:W720" si="424">SUM(R718:R719)</f>
        <v>28</v>
      </c>
      <c r="S720" s="24">
        <f t="shared" si="424"/>
        <v>1256.6400000000001</v>
      </c>
      <c r="T720" s="24">
        <f t="shared" si="424"/>
        <v>1622.9</v>
      </c>
      <c r="U720" s="24">
        <f t="shared" si="424"/>
        <v>403</v>
      </c>
      <c r="V720" s="24">
        <f t="shared" si="424"/>
        <v>38.520000000000003</v>
      </c>
      <c r="W720" s="24">
        <f t="shared" si="424"/>
        <v>3321.06</v>
      </c>
      <c r="X720" s="56"/>
      <c r="Y720" s="57"/>
      <c r="Z720" s="28">
        <f>P720-W720</f>
        <v>10685.94</v>
      </c>
      <c r="AA720" s="57">
        <f>IFERROR(Z720/P720,"")</f>
        <v>0.76289997858213754</v>
      </c>
      <c r="AB720" s="120">
        <f t="shared" si="423"/>
        <v>881.03999999999951</v>
      </c>
      <c r="AC720" s="57">
        <f>IFERROR(AA720-O720,"")</f>
        <v>6.2899978582137472E-2</v>
      </c>
      <c r="AG720" s="61"/>
    </row>
    <row r="721" spans="1:34" ht="11.25" customHeight="1" x14ac:dyDescent="0.15">
      <c r="A721" s="130" t="s">
        <v>53</v>
      </c>
      <c r="B721" s="130"/>
      <c r="C721" s="124"/>
      <c r="D721" s="124"/>
      <c r="E721" s="273"/>
      <c r="F721" s="124"/>
      <c r="G721" s="124"/>
      <c r="H721" s="124"/>
      <c r="I721" s="124"/>
      <c r="J721" s="124"/>
      <c r="K721" s="125"/>
      <c r="L721" s="129"/>
      <c r="M721" s="129"/>
      <c r="N721" s="129"/>
      <c r="O721" s="128"/>
      <c r="P721" s="129"/>
      <c r="Q721" s="124"/>
      <c r="R721" s="129"/>
      <c r="S721" s="129"/>
      <c r="T721" s="129"/>
      <c r="U721" s="129"/>
      <c r="V721" s="126"/>
      <c r="W721" s="49"/>
      <c r="X721" s="45"/>
      <c r="Y721" s="128"/>
      <c r="Z721" s="126"/>
      <c r="AA721" s="128"/>
      <c r="AB721" s="129"/>
      <c r="AC721" s="160"/>
      <c r="AD721" s="137"/>
      <c r="AE721" s="110"/>
      <c r="AF721" s="110"/>
      <c r="AG721" s="121"/>
      <c r="AH721" s="110"/>
    </row>
    <row r="722" spans="1:34" ht="11.25" customHeight="1" x14ac:dyDescent="0.15">
      <c r="A722" s="110" t="s">
        <v>239</v>
      </c>
      <c r="B722" s="110"/>
      <c r="C722" s="111" t="s">
        <v>175</v>
      </c>
      <c r="D722" s="111">
        <v>2022</v>
      </c>
      <c r="E722" s="146">
        <v>44681</v>
      </c>
      <c r="F722" s="111"/>
      <c r="G722" s="111">
        <v>810002012</v>
      </c>
      <c r="H722" s="111">
        <v>4111</v>
      </c>
      <c r="I722" s="111" t="str">
        <f>MID(G722,2,1)</f>
        <v>1</v>
      </c>
      <c r="J722" s="111" t="str">
        <f>IF(I722="1","Small/Medium","Large")</f>
        <v>Small/Medium</v>
      </c>
      <c r="K722" s="147" t="s">
        <v>145</v>
      </c>
      <c r="L722" s="117">
        <v>10572</v>
      </c>
      <c r="M722" s="120">
        <f>L722*0.3</f>
        <v>3171.6</v>
      </c>
      <c r="N722" s="120">
        <f>L722-M722</f>
        <v>7400.4</v>
      </c>
      <c r="O722" s="119">
        <f>IFERROR(N722/L722,"")</f>
        <v>0.7</v>
      </c>
      <c r="P722" s="117">
        <v>10572</v>
      </c>
      <c r="Q722" s="111">
        <v>114</v>
      </c>
      <c r="R722" s="117">
        <v>41.5</v>
      </c>
      <c r="S722" s="117">
        <f>1240.02+622.5</f>
        <v>1862.52</v>
      </c>
      <c r="T722" s="117">
        <v>2008.59</v>
      </c>
      <c r="U722" s="117">
        <v>383.89</v>
      </c>
      <c r="V722" s="117">
        <v>10.52</v>
      </c>
      <c r="W722" s="26">
        <f>SUM(S722:V722)</f>
        <v>4265.5200000000004</v>
      </c>
      <c r="X722" s="118">
        <f>IFERROR(S722/R722,"")</f>
        <v>44.88</v>
      </c>
      <c r="Y722" s="119">
        <f>U722/P722</f>
        <v>3.6311956110480513E-2</v>
      </c>
      <c r="Z722" s="117">
        <f>P722-W722</f>
        <v>6306.48</v>
      </c>
      <c r="AA722" s="119">
        <f>IFERROR(Z722/P722,"")</f>
        <v>0.5965266742338251</v>
      </c>
      <c r="AB722" s="120">
        <f t="shared" ref="AB722:AB723" si="425">M722-W722</f>
        <v>-1093.9200000000005</v>
      </c>
      <c r="AC722" s="119">
        <f>IFERROR(AA722-O722,"")</f>
        <v>-0.10347332576617485</v>
      </c>
      <c r="AD722" s="110"/>
      <c r="AE722" s="110"/>
      <c r="AF722" s="110"/>
      <c r="AG722" s="121"/>
      <c r="AH722" s="110"/>
    </row>
    <row r="723" spans="1:34" s="53" customFormat="1" ht="11.25" customHeight="1" x14ac:dyDescent="0.15">
      <c r="A723" s="53" t="s">
        <v>239</v>
      </c>
      <c r="C723" s="54" t="s">
        <v>177</v>
      </c>
      <c r="D723" s="54">
        <v>2022</v>
      </c>
      <c r="E723" s="70">
        <v>44681</v>
      </c>
      <c r="F723" s="54"/>
      <c r="G723" s="54"/>
      <c r="H723" s="54"/>
      <c r="I723" s="54"/>
      <c r="J723" s="54"/>
      <c r="K723" s="106"/>
      <c r="L723" s="24">
        <f>SUM(L721:L722)</f>
        <v>10572</v>
      </c>
      <c r="M723" s="24">
        <f>SUM(M722)</f>
        <v>3171.6</v>
      </c>
      <c r="N723" s="24">
        <f>SUM(N722)</f>
        <v>7400.4</v>
      </c>
      <c r="O723" s="57">
        <f>IFERROR(N723/L723,"")</f>
        <v>0.7</v>
      </c>
      <c r="P723" s="24">
        <f>SUM(P721:P722)</f>
        <v>10572</v>
      </c>
      <c r="Q723" s="24"/>
      <c r="R723" s="24">
        <f t="shared" ref="R723:W723" si="426">SUM(R721:R722)</f>
        <v>41.5</v>
      </c>
      <c r="S723" s="24">
        <f t="shared" si="426"/>
        <v>1862.52</v>
      </c>
      <c r="T723" s="24">
        <f t="shared" si="426"/>
        <v>2008.59</v>
      </c>
      <c r="U723" s="24">
        <f t="shared" si="426"/>
        <v>383.89</v>
      </c>
      <c r="V723" s="24">
        <f t="shared" si="426"/>
        <v>10.52</v>
      </c>
      <c r="W723" s="24">
        <f t="shared" si="426"/>
        <v>4265.5200000000004</v>
      </c>
      <c r="X723" s="56"/>
      <c r="Y723" s="57"/>
      <c r="Z723" s="28">
        <f>P723-W723</f>
        <v>6306.48</v>
      </c>
      <c r="AA723" s="57">
        <f>IFERROR(Z723/P723,"")</f>
        <v>0.5965266742338251</v>
      </c>
      <c r="AB723" s="120">
        <f t="shared" si="425"/>
        <v>-1093.9200000000005</v>
      </c>
      <c r="AC723" s="57">
        <f>IFERROR(AA723-O723,"")</f>
        <v>-0.10347332576617485</v>
      </c>
      <c r="AG723" s="61"/>
    </row>
    <row r="724" spans="1:34" ht="11.25" customHeight="1" x14ac:dyDescent="0.15">
      <c r="A724" s="130" t="s">
        <v>53</v>
      </c>
      <c r="B724" s="130"/>
      <c r="C724" s="124"/>
      <c r="D724" s="124"/>
      <c r="E724" s="273"/>
      <c r="F724" s="124"/>
      <c r="G724" s="124"/>
      <c r="H724" s="124"/>
      <c r="I724" s="124"/>
      <c r="J724" s="124"/>
      <c r="K724" s="125"/>
      <c r="L724" s="129"/>
      <c r="M724" s="129"/>
      <c r="N724" s="129"/>
      <c r="O724" s="128"/>
      <c r="P724" s="129"/>
      <c r="Q724" s="124"/>
      <c r="R724" s="129"/>
      <c r="S724" s="129"/>
      <c r="T724" s="129"/>
      <c r="U724" s="129"/>
      <c r="V724" s="126"/>
      <c r="W724" s="49"/>
      <c r="X724" s="45"/>
      <c r="Y724" s="128"/>
      <c r="Z724" s="126"/>
      <c r="AA724" s="128"/>
      <c r="AB724" s="129"/>
      <c r="AC724" s="160"/>
      <c r="AD724" s="137"/>
      <c r="AE724" s="110"/>
      <c r="AF724" s="110"/>
      <c r="AG724" s="121"/>
      <c r="AH724" s="110"/>
    </row>
    <row r="725" spans="1:34" ht="11.25" customHeight="1" x14ac:dyDescent="0.15">
      <c r="A725" s="110" t="s">
        <v>72</v>
      </c>
      <c r="B725" s="110"/>
      <c r="C725" s="111" t="s">
        <v>175</v>
      </c>
      <c r="D725" s="111">
        <v>2022</v>
      </c>
      <c r="E725" s="146">
        <v>44681</v>
      </c>
      <c r="F725" s="111"/>
      <c r="G725" s="111">
        <v>810000012</v>
      </c>
      <c r="H725" s="111">
        <v>4111</v>
      </c>
      <c r="I725" s="111" t="str">
        <f>MID(G725,2,1)</f>
        <v>1</v>
      </c>
      <c r="J725" s="111" t="str">
        <f>IF(I725="1","Small/Medium","Large")</f>
        <v>Small/Medium</v>
      </c>
      <c r="K725" s="147" t="s">
        <v>145</v>
      </c>
      <c r="L725" s="117">
        <v>9572</v>
      </c>
      <c r="M725" s="120">
        <f>L725*0.3</f>
        <v>2871.6</v>
      </c>
      <c r="N725" s="120">
        <f>L725-M725</f>
        <v>6700.4</v>
      </c>
      <c r="O725" s="119">
        <f>IFERROR(N725/L725,"")</f>
        <v>0.7</v>
      </c>
      <c r="P725" s="117">
        <v>9572</v>
      </c>
      <c r="Q725" s="111">
        <v>115</v>
      </c>
      <c r="R725" s="117">
        <v>33</v>
      </c>
      <c r="S725" s="117">
        <f>986.04+495</f>
        <v>1481.04</v>
      </c>
      <c r="T725" s="117">
        <v>1264.43</v>
      </c>
      <c r="U725" s="117">
        <v>930.23</v>
      </c>
      <c r="V725" s="117">
        <v>177.79</v>
      </c>
      <c r="W725" s="26">
        <f>SUM(S725:V725)</f>
        <v>3853.4900000000002</v>
      </c>
      <c r="X725" s="118">
        <f>IFERROR(S725/R725,"")</f>
        <v>44.879999999999995</v>
      </c>
      <c r="Y725" s="119">
        <f>U725/P725</f>
        <v>9.7182407020476397E-2</v>
      </c>
      <c r="Z725" s="117">
        <f>P725-W725</f>
        <v>5718.51</v>
      </c>
      <c r="AA725" s="119">
        <f>IFERROR(Z725/P725,"")</f>
        <v>0.59742060175511913</v>
      </c>
      <c r="AB725" s="120">
        <f t="shared" ref="AB725:AB726" si="427">M725-W725</f>
        <v>-981.89000000000033</v>
      </c>
      <c r="AC725" s="119">
        <f>IFERROR(AA725-O725,"")</f>
        <v>-0.10257939824488083</v>
      </c>
      <c r="AD725" s="110"/>
      <c r="AE725" s="110"/>
      <c r="AF725" s="110"/>
      <c r="AG725" s="121"/>
      <c r="AH725" s="110"/>
    </row>
    <row r="726" spans="1:34" s="53" customFormat="1" ht="11.25" customHeight="1" x14ac:dyDescent="0.15">
      <c r="A726" s="53" t="s">
        <v>72</v>
      </c>
      <c r="C726" s="54" t="s">
        <v>177</v>
      </c>
      <c r="D726" s="54">
        <v>2022</v>
      </c>
      <c r="E726" s="70">
        <v>44681</v>
      </c>
      <c r="F726" s="54"/>
      <c r="G726" s="54"/>
      <c r="H726" s="54"/>
      <c r="I726" s="54"/>
      <c r="J726" s="54"/>
      <c r="K726" s="106"/>
      <c r="L726" s="24">
        <f>SUM(L724:L725)</f>
        <v>9572</v>
      </c>
      <c r="M726" s="24">
        <f>SUM(M725)</f>
        <v>2871.6</v>
      </c>
      <c r="N726" s="24">
        <f>SUM(N725)</f>
        <v>6700.4</v>
      </c>
      <c r="O726" s="57">
        <f>IFERROR(N726/L726,"")</f>
        <v>0.7</v>
      </c>
      <c r="P726" s="24">
        <f>SUM(P724:P725)</f>
        <v>9572</v>
      </c>
      <c r="Q726" s="24"/>
      <c r="R726" s="24">
        <f t="shared" ref="R726:W726" si="428">SUM(R724:R725)</f>
        <v>33</v>
      </c>
      <c r="S726" s="24">
        <f t="shared" si="428"/>
        <v>1481.04</v>
      </c>
      <c r="T726" s="24">
        <f t="shared" si="428"/>
        <v>1264.43</v>
      </c>
      <c r="U726" s="24">
        <f t="shared" si="428"/>
        <v>930.23</v>
      </c>
      <c r="V726" s="24">
        <f t="shared" si="428"/>
        <v>177.79</v>
      </c>
      <c r="W726" s="24">
        <f t="shared" si="428"/>
        <v>3853.4900000000002</v>
      </c>
      <c r="X726" s="56"/>
      <c r="Y726" s="57"/>
      <c r="Z726" s="28">
        <f>P726-W726</f>
        <v>5718.51</v>
      </c>
      <c r="AA726" s="57">
        <f>IFERROR(Z726/P726,"")</f>
        <v>0.59742060175511913</v>
      </c>
      <c r="AB726" s="120">
        <f t="shared" si="427"/>
        <v>-981.89000000000033</v>
      </c>
      <c r="AC726" s="57">
        <f>IFERROR(AA726-O726,"")</f>
        <v>-0.10257939824488083</v>
      </c>
      <c r="AG726" s="61"/>
    </row>
    <row r="727" spans="1:34" ht="11.25" customHeight="1" x14ac:dyDescent="0.15">
      <c r="A727" s="130" t="s">
        <v>53</v>
      </c>
      <c r="B727" s="130"/>
      <c r="C727" s="124"/>
      <c r="D727" s="124"/>
      <c r="E727" s="273"/>
      <c r="F727" s="124"/>
      <c r="G727" s="124"/>
      <c r="H727" s="124"/>
      <c r="I727" s="124"/>
      <c r="J727" s="124"/>
      <c r="K727" s="125"/>
      <c r="L727" s="129"/>
      <c r="M727" s="129"/>
      <c r="N727" s="129"/>
      <c r="O727" s="128"/>
      <c r="P727" s="220"/>
      <c r="Q727" s="124"/>
      <c r="R727" s="220"/>
      <c r="S727" s="220"/>
      <c r="T727" s="220"/>
      <c r="U727" s="220"/>
      <c r="V727" s="126"/>
      <c r="W727" s="230"/>
      <c r="X727" s="45"/>
      <c r="Y727" s="128"/>
      <c r="Z727" s="126"/>
      <c r="AA727" s="128"/>
      <c r="AB727" s="129"/>
      <c r="AC727" s="160"/>
      <c r="AD727" s="137"/>
      <c r="AE727" s="110"/>
      <c r="AF727" s="110"/>
      <c r="AG727" s="121"/>
      <c r="AH727" s="110"/>
    </row>
    <row r="728" spans="1:34" ht="11.25" customHeight="1" x14ac:dyDescent="0.15">
      <c r="A728" s="110" t="s">
        <v>231</v>
      </c>
      <c r="B728" s="110"/>
      <c r="C728" s="111" t="s">
        <v>201</v>
      </c>
      <c r="D728" s="111">
        <v>2022</v>
      </c>
      <c r="E728" s="146">
        <v>44681</v>
      </c>
      <c r="F728" s="111"/>
      <c r="G728" s="111" t="s">
        <v>202</v>
      </c>
      <c r="H728" s="111"/>
      <c r="I728" s="111"/>
      <c r="J728" s="111"/>
      <c r="K728" s="112" t="s">
        <v>203</v>
      </c>
      <c r="L728" s="117">
        <v>5445</v>
      </c>
      <c r="M728" s="120">
        <f>L728*0.35</f>
        <v>1905.7499999999998</v>
      </c>
      <c r="N728" s="120">
        <f>L728-M728</f>
        <v>3539.25</v>
      </c>
      <c r="O728" s="119">
        <f>IFERROR(N728/L728,"")</f>
        <v>0.65</v>
      </c>
      <c r="P728" s="117">
        <v>5445</v>
      </c>
      <c r="Q728" s="111">
        <v>159</v>
      </c>
      <c r="R728" s="117">
        <v>23</v>
      </c>
      <c r="S728" s="117">
        <f>180+370.92+165+340.01</f>
        <v>1055.93</v>
      </c>
      <c r="T728" s="117">
        <v>1980.93</v>
      </c>
      <c r="U728" s="117">
        <v>0</v>
      </c>
      <c r="V728" s="117">
        <v>0</v>
      </c>
      <c r="W728" s="26">
        <f>SUM(S728:V728)</f>
        <v>3036.86</v>
      </c>
      <c r="X728" s="118">
        <f>IFERROR(S728/R728,"")</f>
        <v>45.910000000000004</v>
      </c>
      <c r="Y728" s="119">
        <f>U728/P728</f>
        <v>0</v>
      </c>
      <c r="Z728" s="117">
        <f>P728-W728</f>
        <v>2408.14</v>
      </c>
      <c r="AA728" s="119">
        <f>IFERROR(Z728/P728,"")</f>
        <v>0.4422662993572084</v>
      </c>
      <c r="AB728" s="120">
        <f t="shared" ref="AB728:AB729" si="429">M728-W728</f>
        <v>-1131.1100000000004</v>
      </c>
      <c r="AC728" s="119">
        <f>IFERROR(AA728-O728,"")</f>
        <v>-0.20773370064279162</v>
      </c>
      <c r="AD728" s="110"/>
      <c r="AE728" s="110"/>
      <c r="AF728" s="110"/>
      <c r="AG728" s="121"/>
      <c r="AH728" s="110"/>
    </row>
    <row r="729" spans="1:34" s="53" customFormat="1" ht="11.25" customHeight="1" x14ac:dyDescent="0.15">
      <c r="A729" s="53" t="s">
        <v>231</v>
      </c>
      <c r="C729" s="54" t="s">
        <v>177</v>
      </c>
      <c r="D729" s="54">
        <v>2022</v>
      </c>
      <c r="E729" s="70">
        <v>44681</v>
      </c>
      <c r="F729" s="54"/>
      <c r="G729" s="54"/>
      <c r="H729" s="54"/>
      <c r="I729" s="54"/>
      <c r="J729" s="54"/>
      <c r="K729" s="106"/>
      <c r="L729" s="24">
        <f>SUM(L727:L728)</f>
        <v>5445</v>
      </c>
      <c r="M729" s="24">
        <f>SUM(M728)</f>
        <v>1905.7499999999998</v>
      </c>
      <c r="N729" s="24">
        <f>SUM(N728)</f>
        <v>3539.25</v>
      </c>
      <c r="O729" s="57">
        <f>IFERROR(N729/L729,"")</f>
        <v>0.65</v>
      </c>
      <c r="P729" s="24">
        <f>SUM(P727:P728)</f>
        <v>5445</v>
      </c>
      <c r="Q729" s="24"/>
      <c r="R729" s="24">
        <f t="shared" ref="R729:W729" si="430">SUM(R727:R728)</f>
        <v>23</v>
      </c>
      <c r="S729" s="24">
        <f t="shared" si="430"/>
        <v>1055.93</v>
      </c>
      <c r="T729" s="24">
        <f t="shared" si="430"/>
        <v>1980.93</v>
      </c>
      <c r="U729" s="24">
        <f t="shared" si="430"/>
        <v>0</v>
      </c>
      <c r="V729" s="24">
        <f t="shared" si="430"/>
        <v>0</v>
      </c>
      <c r="W729" s="24">
        <f t="shared" si="430"/>
        <v>3036.86</v>
      </c>
      <c r="X729" s="56"/>
      <c r="Y729" s="57"/>
      <c r="Z729" s="28">
        <f>P729-W729</f>
        <v>2408.14</v>
      </c>
      <c r="AA729" s="57">
        <f>IFERROR(Z729/P729,"")</f>
        <v>0.4422662993572084</v>
      </c>
      <c r="AB729" s="120">
        <f t="shared" si="429"/>
        <v>-1131.1100000000004</v>
      </c>
      <c r="AC729" s="57">
        <f>IFERROR(AA729-O729,"")</f>
        <v>-0.20773370064279162</v>
      </c>
      <c r="AG729" s="61"/>
    </row>
    <row r="730" spans="1:34" ht="11.25" customHeight="1" x14ac:dyDescent="0.15">
      <c r="A730" s="130" t="s">
        <v>53</v>
      </c>
      <c r="B730" s="130"/>
      <c r="C730" s="124"/>
      <c r="D730" s="124"/>
      <c r="E730" s="273"/>
      <c r="F730" s="124"/>
      <c r="G730" s="124"/>
      <c r="H730" s="124"/>
      <c r="I730" s="124"/>
      <c r="J730" s="124"/>
      <c r="K730" s="125"/>
      <c r="L730" s="129"/>
      <c r="M730" s="129"/>
      <c r="N730" s="129"/>
      <c r="O730" s="128"/>
      <c r="P730" s="129"/>
      <c r="Q730" s="124"/>
      <c r="R730" s="129"/>
      <c r="S730" s="129"/>
      <c r="T730" s="129"/>
      <c r="U730" s="129"/>
      <c r="V730" s="126"/>
      <c r="W730" s="49"/>
      <c r="X730" s="45"/>
      <c r="Y730" s="128"/>
      <c r="Z730" s="126"/>
      <c r="AA730" s="128"/>
      <c r="AB730" s="129"/>
      <c r="AC730" s="160"/>
      <c r="AD730" s="137"/>
      <c r="AE730" s="110"/>
      <c r="AF730" s="110"/>
      <c r="AG730" s="121"/>
      <c r="AH730" s="110"/>
    </row>
    <row r="731" spans="1:34" ht="11.25" customHeight="1" x14ac:dyDescent="0.15">
      <c r="A731" s="110" t="s">
        <v>196</v>
      </c>
      <c r="B731" s="110"/>
      <c r="C731" s="111" t="s">
        <v>175</v>
      </c>
      <c r="D731" s="111">
        <v>2022</v>
      </c>
      <c r="E731" s="146">
        <v>44681</v>
      </c>
      <c r="F731" s="111"/>
      <c r="G731" s="111">
        <v>811002112</v>
      </c>
      <c r="H731" s="111">
        <v>4101</v>
      </c>
      <c r="I731" s="111" t="str">
        <f>MID(G731,2,1)</f>
        <v>1</v>
      </c>
      <c r="J731" s="111" t="str">
        <f>IF(I731="1","Small/Medium","Large")</f>
        <v>Small/Medium</v>
      </c>
      <c r="K731" s="147" t="s">
        <v>145</v>
      </c>
      <c r="L731" s="117">
        <v>18295</v>
      </c>
      <c r="M731" s="120">
        <f>L731*0.3</f>
        <v>5488.5</v>
      </c>
      <c r="N731" s="120">
        <f>L731-M731</f>
        <v>12806.5</v>
      </c>
      <c r="O731" s="119">
        <f>IFERROR(N731/L731,"")</f>
        <v>0.7</v>
      </c>
      <c r="P731" s="117">
        <v>18295</v>
      </c>
      <c r="Q731" s="111">
        <v>39</v>
      </c>
      <c r="R731" s="117">
        <v>44.5</v>
      </c>
      <c r="S731" s="117">
        <f>1329.66+667.5</f>
        <v>1997.16</v>
      </c>
      <c r="T731" s="117">
        <v>2180.8200000000002</v>
      </c>
      <c r="U731" s="117">
        <v>915.61</v>
      </c>
      <c r="V731" s="117">
        <v>0</v>
      </c>
      <c r="W731" s="26">
        <f>SUM(S731:V731)</f>
        <v>5093.59</v>
      </c>
      <c r="X731" s="118">
        <f>IFERROR(S731/R731,"")</f>
        <v>44.88</v>
      </c>
      <c r="Y731" s="119">
        <f>U731/P731</f>
        <v>5.0047007379065318E-2</v>
      </c>
      <c r="Z731" s="117">
        <f>P731-W731</f>
        <v>13201.41</v>
      </c>
      <c r="AA731" s="119">
        <f>IFERROR(Z731/P731,"")</f>
        <v>0.72158567914730798</v>
      </c>
      <c r="AB731" s="120">
        <f t="shared" ref="AB731:AB732" si="431">M731-W731</f>
        <v>394.90999999999985</v>
      </c>
      <c r="AC731" s="119">
        <f>IFERROR(AA731-O731,"")</f>
        <v>2.1585679147308023E-2</v>
      </c>
      <c r="AD731" s="110"/>
      <c r="AE731" s="110"/>
      <c r="AF731" s="110"/>
      <c r="AG731" s="121"/>
      <c r="AH731" s="110"/>
    </row>
    <row r="732" spans="1:34" s="53" customFormat="1" ht="11.25" customHeight="1" x14ac:dyDescent="0.15">
      <c r="A732" s="53" t="s">
        <v>196</v>
      </c>
      <c r="C732" s="54" t="s">
        <v>177</v>
      </c>
      <c r="D732" s="54">
        <v>2022</v>
      </c>
      <c r="E732" s="70">
        <v>44681</v>
      </c>
      <c r="F732" s="54"/>
      <c r="G732" s="54"/>
      <c r="H732" s="54"/>
      <c r="I732" s="54"/>
      <c r="J732" s="54"/>
      <c r="K732" s="106"/>
      <c r="L732" s="24">
        <f>SUM(L730:L731)</f>
        <v>18295</v>
      </c>
      <c r="M732" s="24">
        <f>SUM(M731)</f>
        <v>5488.5</v>
      </c>
      <c r="N732" s="24">
        <f>SUM(N731)</f>
        <v>12806.5</v>
      </c>
      <c r="O732" s="57">
        <f>IFERROR(N732/L732,"")</f>
        <v>0.7</v>
      </c>
      <c r="P732" s="24">
        <f>SUM(P730:P731)</f>
        <v>18295</v>
      </c>
      <c r="Q732" s="24"/>
      <c r="R732" s="24">
        <f t="shared" ref="R732:W732" si="432">SUM(R730:R731)</f>
        <v>44.5</v>
      </c>
      <c r="S732" s="24">
        <f t="shared" si="432"/>
        <v>1997.16</v>
      </c>
      <c r="T732" s="24">
        <f t="shared" si="432"/>
        <v>2180.8200000000002</v>
      </c>
      <c r="U732" s="24">
        <f t="shared" si="432"/>
        <v>915.61</v>
      </c>
      <c r="V732" s="24">
        <f t="shared" si="432"/>
        <v>0</v>
      </c>
      <c r="W732" s="24">
        <f t="shared" si="432"/>
        <v>5093.59</v>
      </c>
      <c r="X732" s="56"/>
      <c r="Y732" s="57"/>
      <c r="Z732" s="28">
        <f>P732-W732</f>
        <v>13201.41</v>
      </c>
      <c r="AA732" s="57">
        <f>IFERROR(Z732/P732,"")</f>
        <v>0.72158567914730798</v>
      </c>
      <c r="AB732" s="120">
        <f t="shared" si="431"/>
        <v>394.90999999999985</v>
      </c>
      <c r="AC732" s="57">
        <f>IFERROR(AA732-O732,"")</f>
        <v>2.1585679147308023E-2</v>
      </c>
      <c r="AG732" s="61"/>
    </row>
    <row r="733" spans="1:34" ht="11.25" customHeight="1" x14ac:dyDescent="0.15">
      <c r="A733" s="130" t="s">
        <v>53</v>
      </c>
      <c r="B733" s="130"/>
      <c r="C733" s="124"/>
      <c r="D733" s="124"/>
      <c r="E733" s="273"/>
      <c r="F733" s="124"/>
      <c r="G733" s="124"/>
      <c r="H733" s="124"/>
      <c r="I733" s="124"/>
      <c r="J733" s="124"/>
      <c r="K733" s="125"/>
      <c r="L733" s="129"/>
      <c r="M733" s="129"/>
      <c r="N733" s="129"/>
      <c r="O733" s="128"/>
      <c r="P733" s="129"/>
      <c r="Q733" s="124"/>
      <c r="R733" s="129"/>
      <c r="S733" s="129"/>
      <c r="T733" s="129"/>
      <c r="U733" s="129"/>
      <c r="V733" s="126"/>
      <c r="W733" s="49"/>
      <c r="X733" s="45"/>
      <c r="Y733" s="128"/>
      <c r="Z733" s="126"/>
      <c r="AA733" s="128"/>
      <c r="AB733" s="129"/>
      <c r="AC733" s="160"/>
      <c r="AD733" s="137"/>
      <c r="AE733" s="110"/>
      <c r="AF733" s="110"/>
      <c r="AG733" s="121"/>
      <c r="AH733" s="110"/>
    </row>
    <row r="734" spans="1:34" ht="11.25" customHeight="1" x14ac:dyDescent="0.15">
      <c r="A734" s="110" t="s">
        <v>292</v>
      </c>
      <c r="B734" s="110"/>
      <c r="C734" s="111" t="s">
        <v>175</v>
      </c>
      <c r="D734" s="111">
        <v>2022</v>
      </c>
      <c r="E734" s="146">
        <v>44712</v>
      </c>
      <c r="F734" s="111"/>
      <c r="G734" s="111">
        <v>811000112</v>
      </c>
      <c r="H734" s="111">
        <v>4101</v>
      </c>
      <c r="I734" s="111" t="str">
        <f>MID(G734,2,1)</f>
        <v>1</v>
      </c>
      <c r="J734" s="111" t="str">
        <f>IF(I734="1","Small/Medium","Large")</f>
        <v>Small/Medium</v>
      </c>
      <c r="K734" s="147" t="s">
        <v>145</v>
      </c>
      <c r="L734" s="132">
        <v>7870</v>
      </c>
      <c r="M734" s="219">
        <f>L734*0.3</f>
        <v>2361</v>
      </c>
      <c r="N734" s="219">
        <f>L734-M734</f>
        <v>5509</v>
      </c>
      <c r="O734" s="163">
        <f>IFERROR(N734/L734,"")</f>
        <v>0.7</v>
      </c>
      <c r="P734" s="132">
        <v>7870</v>
      </c>
      <c r="Q734" s="111">
        <v>224</v>
      </c>
      <c r="R734" s="132">
        <v>34</v>
      </c>
      <c r="S734" s="132">
        <f>1015.92+510</f>
        <v>1525.92</v>
      </c>
      <c r="T734" s="132">
        <v>1142.27</v>
      </c>
      <c r="U734" s="132">
        <v>12.66</v>
      </c>
      <c r="V734" s="132">
        <v>19.57</v>
      </c>
      <c r="W734" s="67">
        <f>SUM(S734:V734)</f>
        <v>2700.42</v>
      </c>
      <c r="X734" s="118">
        <f>IFERROR(S734/R734,"")</f>
        <v>44.88</v>
      </c>
      <c r="Y734" s="119">
        <f>U734/P734</f>
        <v>1.6086404066073697E-3</v>
      </c>
      <c r="Z734" s="117">
        <f>P734-W734</f>
        <v>5169.58</v>
      </c>
      <c r="AA734" s="119">
        <f>IFERROR(Z734/P734,"")</f>
        <v>0.65687166454891999</v>
      </c>
      <c r="AB734" s="120">
        <f t="shared" ref="AB734:AB735" si="433">M734-W734</f>
        <v>-339.42000000000007</v>
      </c>
      <c r="AC734" s="119">
        <f>IFERROR(AA734-O734,"")</f>
        <v>-4.3128335451079969E-2</v>
      </c>
      <c r="AD734" s="110"/>
      <c r="AE734" s="110"/>
      <c r="AF734" s="110"/>
      <c r="AG734" s="121"/>
      <c r="AH734" s="110"/>
    </row>
    <row r="735" spans="1:34" s="53" customFormat="1" ht="11.25" customHeight="1" x14ac:dyDescent="0.15">
      <c r="A735" s="53" t="s">
        <v>292</v>
      </c>
      <c r="C735" s="54" t="s">
        <v>177</v>
      </c>
      <c r="D735" s="54">
        <v>2022</v>
      </c>
      <c r="E735" s="70">
        <v>44712</v>
      </c>
      <c r="F735" s="54"/>
      <c r="G735" s="54"/>
      <c r="H735" s="54"/>
      <c r="I735" s="54"/>
      <c r="J735" s="54"/>
      <c r="K735" s="106"/>
      <c r="L735" s="24">
        <f>SUM(L733:L734)</f>
        <v>7870</v>
      </c>
      <c r="M735" s="24">
        <f>SUM(M734)</f>
        <v>2361</v>
      </c>
      <c r="N735" s="24">
        <f>SUM(N734)</f>
        <v>5509</v>
      </c>
      <c r="O735" s="57">
        <f>IFERROR(N735/L735,"")</f>
        <v>0.7</v>
      </c>
      <c r="P735" s="24">
        <f>SUM(P733:P734)</f>
        <v>7870</v>
      </c>
      <c r="Q735" s="24"/>
      <c r="R735" s="24">
        <f t="shared" ref="R735:W735" si="434">SUM(R733:R734)</f>
        <v>34</v>
      </c>
      <c r="S735" s="24">
        <f t="shared" si="434"/>
        <v>1525.92</v>
      </c>
      <c r="T735" s="24">
        <f t="shared" si="434"/>
        <v>1142.27</v>
      </c>
      <c r="U735" s="24">
        <f t="shared" si="434"/>
        <v>12.66</v>
      </c>
      <c r="V735" s="24">
        <f t="shared" si="434"/>
        <v>19.57</v>
      </c>
      <c r="W735" s="24">
        <f t="shared" si="434"/>
        <v>2700.42</v>
      </c>
      <c r="X735" s="56"/>
      <c r="Y735" s="57"/>
      <c r="Z735" s="28">
        <f>P735-W735</f>
        <v>5169.58</v>
      </c>
      <c r="AA735" s="57">
        <f>IFERROR(Z735/P735,"")</f>
        <v>0.65687166454891999</v>
      </c>
      <c r="AB735" s="120">
        <f t="shared" si="433"/>
        <v>-339.42000000000007</v>
      </c>
      <c r="AC735" s="57">
        <f>IFERROR(AA735-O735,"")</f>
        <v>-4.3128335451079969E-2</v>
      </c>
      <c r="AG735" s="61"/>
    </row>
    <row r="736" spans="1:34" ht="11.25" customHeight="1" x14ac:dyDescent="0.15">
      <c r="A736" s="130" t="s">
        <v>53</v>
      </c>
      <c r="B736" s="130"/>
      <c r="C736" s="124"/>
      <c r="D736" s="124"/>
      <c r="E736" s="273"/>
      <c r="F736" s="124"/>
      <c r="G736" s="124"/>
      <c r="H736" s="124"/>
      <c r="I736" s="124"/>
      <c r="J736" s="124"/>
      <c r="K736" s="125"/>
      <c r="L736" s="129"/>
      <c r="M736" s="129"/>
      <c r="N736" s="129"/>
      <c r="O736" s="128"/>
      <c r="P736" s="220"/>
      <c r="Q736" s="124"/>
      <c r="R736" s="220"/>
      <c r="S736" s="220"/>
      <c r="T736" s="220"/>
      <c r="U736" s="220"/>
      <c r="V736" s="126"/>
      <c r="W736" s="230"/>
      <c r="X736" s="45"/>
      <c r="Y736" s="128"/>
      <c r="Z736" s="126"/>
      <c r="AA736" s="128"/>
      <c r="AB736" s="129"/>
      <c r="AC736" s="160"/>
      <c r="AD736" s="137"/>
      <c r="AE736" s="110"/>
      <c r="AF736" s="110"/>
      <c r="AG736" s="121"/>
      <c r="AH736" s="110"/>
    </row>
    <row r="737" spans="1:34" ht="11.25" customHeight="1" x14ac:dyDescent="0.15">
      <c r="A737" s="110" t="s">
        <v>306</v>
      </c>
      <c r="B737" s="110"/>
      <c r="C737" s="111" t="s">
        <v>175</v>
      </c>
      <c r="D737" s="111">
        <v>2022</v>
      </c>
      <c r="E737" s="146">
        <v>44712</v>
      </c>
      <c r="F737" s="111"/>
      <c r="G737" s="111">
        <v>811000112</v>
      </c>
      <c r="H737" s="111">
        <v>4101</v>
      </c>
      <c r="I737" s="111" t="str">
        <f>MID(G737,2,1)</f>
        <v>1</v>
      </c>
      <c r="J737" s="111" t="str">
        <f>IF(I737="1","Small/Medium","Large")</f>
        <v>Small/Medium</v>
      </c>
      <c r="K737" s="147" t="s">
        <v>145</v>
      </c>
      <c r="L737" s="117">
        <v>6199</v>
      </c>
      <c r="M737" s="120">
        <f>L737*0.3</f>
        <v>1859.6999999999998</v>
      </c>
      <c r="N737" s="120">
        <f>L737-M737</f>
        <v>4339.3</v>
      </c>
      <c r="O737" s="119">
        <f>IFERROR(N737/L737,"")</f>
        <v>0.70000000000000007</v>
      </c>
      <c r="P737" s="117">
        <v>6199</v>
      </c>
      <c r="Q737" s="111">
        <v>222</v>
      </c>
      <c r="R737" s="117">
        <v>30</v>
      </c>
      <c r="S737" s="117">
        <f>896.4+450</f>
        <v>1346.4</v>
      </c>
      <c r="T737" s="117">
        <v>465.06</v>
      </c>
      <c r="U737" s="117">
        <v>993.68</v>
      </c>
      <c r="V737" s="117">
        <v>41.9</v>
      </c>
      <c r="W737" s="26">
        <f>SUM(S737:V737)</f>
        <v>2847.04</v>
      </c>
      <c r="X737" s="118">
        <f>IFERROR(S737/R737,"")</f>
        <v>44.88</v>
      </c>
      <c r="Y737" s="119">
        <f>U737/P737</f>
        <v>0.1602968220680755</v>
      </c>
      <c r="Z737" s="117">
        <f>P737-W737</f>
        <v>3351.96</v>
      </c>
      <c r="AA737" s="119">
        <f>Z737/P737</f>
        <v>0.5407259235360542</v>
      </c>
      <c r="AB737" s="120">
        <f t="shared" ref="AB737:AB739" si="435">M737-W737</f>
        <v>-987.34000000000015</v>
      </c>
      <c r="AC737" s="119">
        <f>IFERROR(AA737-O737,"")</f>
        <v>-0.15927407646394587</v>
      </c>
      <c r="AD737" s="110"/>
      <c r="AE737" s="110"/>
      <c r="AF737" s="110"/>
      <c r="AG737" s="121"/>
      <c r="AH737" s="110"/>
    </row>
    <row r="738" spans="1:34" ht="11.25" customHeight="1" x14ac:dyDescent="0.15">
      <c r="A738" s="110" t="s">
        <v>306</v>
      </c>
      <c r="B738" s="110"/>
      <c r="C738" s="111" t="s">
        <v>175</v>
      </c>
      <c r="D738" s="111">
        <v>2022</v>
      </c>
      <c r="E738" s="146">
        <v>44712</v>
      </c>
      <c r="F738" s="111"/>
      <c r="G738" s="111">
        <v>821000112</v>
      </c>
      <c r="H738" s="111">
        <v>4101</v>
      </c>
      <c r="I738" s="111" t="str">
        <f>MID(G738,2,1)</f>
        <v>2</v>
      </c>
      <c r="J738" s="111" t="str">
        <f>IF(I738="1","Small/Medium","Large")</f>
        <v>Large</v>
      </c>
      <c r="K738" s="147" t="s">
        <v>176</v>
      </c>
      <c r="L738" s="117">
        <v>11512.4</v>
      </c>
      <c r="M738" s="120">
        <f>L738*0.3</f>
        <v>3453.72</v>
      </c>
      <c r="N738" s="120">
        <f>L738-M738</f>
        <v>8058.68</v>
      </c>
      <c r="O738" s="119">
        <f>IFERROR(N738/L738,"")</f>
        <v>0.70000000000000007</v>
      </c>
      <c r="P738" s="117">
        <v>11512.4</v>
      </c>
      <c r="Q738" s="111">
        <v>223</v>
      </c>
      <c r="R738" s="117">
        <v>18.5</v>
      </c>
      <c r="S738" s="117">
        <f>552.78+277.5</f>
        <v>830.28</v>
      </c>
      <c r="T738" s="117">
        <v>863.68</v>
      </c>
      <c r="U738" s="117">
        <v>900.58</v>
      </c>
      <c r="V738" s="117">
        <v>11.46</v>
      </c>
      <c r="W738" s="26">
        <f>SUM(S738:V738)</f>
        <v>2606</v>
      </c>
      <c r="X738" s="118">
        <f>IFERROR(S738/R738,"")</f>
        <v>44.879999999999995</v>
      </c>
      <c r="Y738" s="119">
        <f>U738/P738</f>
        <v>7.8226955282999208E-2</v>
      </c>
      <c r="Z738" s="117">
        <f>P738-W738</f>
        <v>8906.4</v>
      </c>
      <c r="AA738" s="119">
        <f>Z738/P738</f>
        <v>0.77363538445502245</v>
      </c>
      <c r="AB738" s="120">
        <f t="shared" si="435"/>
        <v>847.7199999999998</v>
      </c>
      <c r="AC738" s="119">
        <f>IFERROR(AA738-O738,"")</f>
        <v>7.3635384455022379E-2</v>
      </c>
      <c r="AD738" s="110"/>
      <c r="AE738" s="110"/>
      <c r="AF738" s="110"/>
      <c r="AG738" s="121"/>
      <c r="AH738" s="110"/>
    </row>
    <row r="739" spans="1:34" s="53" customFormat="1" ht="11.25" customHeight="1" x14ac:dyDescent="0.15">
      <c r="A739" s="53" t="s">
        <v>306</v>
      </c>
      <c r="C739" s="54" t="s">
        <v>177</v>
      </c>
      <c r="D739" s="54">
        <v>2022</v>
      </c>
      <c r="E739" s="70">
        <v>44712</v>
      </c>
      <c r="F739" s="54"/>
      <c r="G739" s="54"/>
      <c r="H739" s="54"/>
      <c r="I739" s="54"/>
      <c r="J739" s="54"/>
      <c r="K739" s="106"/>
      <c r="L739" s="24">
        <f>SUM(L737:L738)</f>
        <v>17711.400000000001</v>
      </c>
      <c r="M739" s="24">
        <f>SUM(M737:M738)</f>
        <v>5313.42</v>
      </c>
      <c r="N739" s="24">
        <f>SUM(N737:N738)</f>
        <v>12397.98</v>
      </c>
      <c r="O739" s="57">
        <f>IFERROR(N739/L739,"")</f>
        <v>0.7</v>
      </c>
      <c r="P739" s="24">
        <f>SUM(P737:P738)</f>
        <v>17711.400000000001</v>
      </c>
      <c r="Q739" s="92"/>
      <c r="R739" s="24">
        <f t="shared" ref="R739:W739" si="436">SUM(R737:R738)</f>
        <v>48.5</v>
      </c>
      <c r="S739" s="24">
        <f t="shared" si="436"/>
        <v>2176.6800000000003</v>
      </c>
      <c r="T739" s="24">
        <f t="shared" si="436"/>
        <v>1328.74</v>
      </c>
      <c r="U739" s="24">
        <f t="shared" si="436"/>
        <v>1894.26</v>
      </c>
      <c r="V739" s="24">
        <f t="shared" si="436"/>
        <v>53.36</v>
      </c>
      <c r="W739" s="24">
        <f t="shared" si="436"/>
        <v>5453.04</v>
      </c>
      <c r="X739" s="56"/>
      <c r="Y739" s="57"/>
      <c r="Z739" s="28">
        <f>P739-W739</f>
        <v>12258.36</v>
      </c>
      <c r="AA739" s="57">
        <f>Z739/P739</f>
        <v>0.69211694163081405</v>
      </c>
      <c r="AB739" s="120">
        <f t="shared" si="435"/>
        <v>-139.61999999999989</v>
      </c>
      <c r="AC739" s="57">
        <f>IFERROR(AA739-O739,"")</f>
        <v>-7.8830583691859024E-3</v>
      </c>
      <c r="AG739" s="61"/>
    </row>
    <row r="740" spans="1:34" ht="11.25" customHeight="1" x14ac:dyDescent="0.15">
      <c r="A740" s="130" t="s">
        <v>53</v>
      </c>
      <c r="B740" s="130"/>
      <c r="C740" s="124"/>
      <c r="D740" s="124"/>
      <c r="E740" s="273"/>
      <c r="F740" s="124"/>
      <c r="G740" s="124"/>
      <c r="H740" s="124"/>
      <c r="I740" s="124"/>
      <c r="J740" s="124"/>
      <c r="K740" s="125"/>
      <c r="L740" s="129"/>
      <c r="M740" s="129"/>
      <c r="N740" s="129"/>
      <c r="O740" s="128"/>
      <c r="P740" s="129"/>
      <c r="Q740" s="124"/>
      <c r="R740" s="129"/>
      <c r="S740" s="129"/>
      <c r="T740" s="129"/>
      <c r="U740" s="129"/>
      <c r="V740" s="126"/>
      <c r="W740" s="49"/>
      <c r="X740" s="45"/>
      <c r="Y740" s="128"/>
      <c r="Z740" s="126"/>
      <c r="AA740" s="128"/>
      <c r="AB740" s="129"/>
      <c r="AC740" s="160"/>
      <c r="AD740" s="137"/>
      <c r="AE740" s="110"/>
      <c r="AF740" s="110"/>
      <c r="AG740" s="121"/>
      <c r="AH740" s="110"/>
    </row>
    <row r="741" spans="1:34" ht="11.25" customHeight="1" x14ac:dyDescent="0.15">
      <c r="A741" s="110" t="s">
        <v>264</v>
      </c>
      <c r="B741" s="110"/>
      <c r="C741" s="111" t="s">
        <v>175</v>
      </c>
      <c r="D741" s="111">
        <v>2022</v>
      </c>
      <c r="E741" s="146">
        <v>44712</v>
      </c>
      <c r="F741" s="111"/>
      <c r="G741" s="111">
        <v>811000112</v>
      </c>
      <c r="H741" s="111">
        <v>4101</v>
      </c>
      <c r="I741" s="111" t="str">
        <f>MID(G741,2,1)</f>
        <v>1</v>
      </c>
      <c r="J741" s="111" t="str">
        <f>IF(I741="1","Small/Medium","Large")</f>
        <v>Small/Medium</v>
      </c>
      <c r="K741" s="147" t="s">
        <v>145</v>
      </c>
      <c r="L741" s="117">
        <v>9389</v>
      </c>
      <c r="M741" s="120">
        <f>L741*0.3</f>
        <v>2816.7</v>
      </c>
      <c r="N741" s="120">
        <f>L741-M741</f>
        <v>6572.3</v>
      </c>
      <c r="O741" s="119">
        <f>IFERROR(N741/L741,"")</f>
        <v>0.70000000000000007</v>
      </c>
      <c r="P741" s="117">
        <v>9389</v>
      </c>
      <c r="Q741" s="111">
        <v>185</v>
      </c>
      <c r="R741" s="117">
        <v>38</v>
      </c>
      <c r="S741" s="117">
        <f>1135.44+570</f>
        <v>1705.44</v>
      </c>
      <c r="T741" s="117">
        <v>2276.2600000000002</v>
      </c>
      <c r="U741" s="117">
        <v>462.14</v>
      </c>
      <c r="V741" s="117">
        <v>12.63</v>
      </c>
      <c r="W741" s="26">
        <f>SUM(S741:V741)</f>
        <v>4456.47</v>
      </c>
      <c r="X741" s="118">
        <f>IFERROR(S741/R741,"")</f>
        <v>44.88</v>
      </c>
      <c r="Y741" s="119">
        <f>U741/P741</f>
        <v>4.9221429332197253E-2</v>
      </c>
      <c r="Z741" s="117">
        <f>P741-W741</f>
        <v>4932.53</v>
      </c>
      <c r="AA741" s="119">
        <f>IFERROR(Z741/P741,"")</f>
        <v>0.52535200766854828</v>
      </c>
      <c r="AB741" s="120">
        <f t="shared" ref="AB741:AB742" si="437">M741-W741</f>
        <v>-1639.7700000000004</v>
      </c>
      <c r="AC741" s="119">
        <f>IFERROR(AA741-O741,"")</f>
        <v>-0.17464799233145178</v>
      </c>
      <c r="AD741" s="110"/>
      <c r="AE741" s="110"/>
      <c r="AF741" s="110"/>
      <c r="AG741" s="121"/>
      <c r="AH741" s="110"/>
    </row>
    <row r="742" spans="1:34" s="53" customFormat="1" ht="11.25" customHeight="1" x14ac:dyDescent="0.15">
      <c r="A742" s="53" t="s">
        <v>264</v>
      </c>
      <c r="C742" s="54" t="s">
        <v>177</v>
      </c>
      <c r="D742" s="54">
        <v>2022</v>
      </c>
      <c r="E742" s="70">
        <v>44712</v>
      </c>
      <c r="F742" s="54"/>
      <c r="G742" s="54"/>
      <c r="H742" s="54"/>
      <c r="I742" s="54"/>
      <c r="J742" s="54"/>
      <c r="K742" s="106"/>
      <c r="L742" s="24">
        <f>SUM(L740:L741)</f>
        <v>9389</v>
      </c>
      <c r="M742" s="24">
        <f>SUM(M741)</f>
        <v>2816.7</v>
      </c>
      <c r="N742" s="24">
        <f>SUM(N741)</f>
        <v>6572.3</v>
      </c>
      <c r="O742" s="73">
        <f>IFERROR(N742/L742,"")</f>
        <v>0.70000000000000007</v>
      </c>
      <c r="P742" s="24">
        <f>SUM(P740:P741)</f>
        <v>9389</v>
      </c>
      <c r="Q742" s="24"/>
      <c r="R742" s="24">
        <f t="shared" ref="R742:W742" si="438">SUM(R740:R741)</f>
        <v>38</v>
      </c>
      <c r="S742" s="24">
        <f t="shared" si="438"/>
        <v>1705.44</v>
      </c>
      <c r="T742" s="24">
        <f t="shared" si="438"/>
        <v>2276.2600000000002</v>
      </c>
      <c r="U742" s="24">
        <f t="shared" si="438"/>
        <v>462.14</v>
      </c>
      <c r="V742" s="24">
        <f t="shared" si="438"/>
        <v>12.63</v>
      </c>
      <c r="W742" s="24">
        <f t="shared" si="438"/>
        <v>4456.47</v>
      </c>
      <c r="X742" s="56"/>
      <c r="Y742" s="57"/>
      <c r="Z742" s="28">
        <f>P742-W742</f>
        <v>4932.53</v>
      </c>
      <c r="AA742" s="57">
        <f>IFERROR(Z742/P742,"")</f>
        <v>0.52535200766854828</v>
      </c>
      <c r="AB742" s="120">
        <f t="shared" si="437"/>
        <v>-1639.7700000000004</v>
      </c>
      <c r="AC742" s="57">
        <f>IFERROR(AA742-O742,"")</f>
        <v>-0.17464799233145178</v>
      </c>
      <c r="AG742" s="61"/>
    </row>
    <row r="743" spans="1:34" ht="11.25" customHeight="1" x14ac:dyDescent="0.15">
      <c r="A743" s="130" t="s">
        <v>53</v>
      </c>
      <c r="B743" s="130"/>
      <c r="C743" s="124"/>
      <c r="D743" s="124"/>
      <c r="E743" s="273"/>
      <c r="F743" s="124"/>
      <c r="G743" s="124"/>
      <c r="H743" s="124"/>
      <c r="I743" s="124"/>
      <c r="J743" s="124"/>
      <c r="K743" s="125"/>
      <c r="L743" s="129"/>
      <c r="M743" s="129"/>
      <c r="N743" s="129"/>
      <c r="O743" s="128"/>
      <c r="P743" s="129"/>
      <c r="Q743" s="124"/>
      <c r="R743" s="129"/>
      <c r="S743" s="129"/>
      <c r="T743" s="129"/>
      <c r="U743" s="129"/>
      <c r="V743" s="126"/>
      <c r="W743" s="49"/>
      <c r="X743" s="45"/>
      <c r="Y743" s="128"/>
      <c r="Z743" s="126"/>
      <c r="AA743" s="128"/>
      <c r="AB743" s="129"/>
      <c r="AC743" s="160"/>
      <c r="AD743" s="137"/>
      <c r="AE743" s="110"/>
      <c r="AF743" s="110"/>
      <c r="AG743" s="121"/>
      <c r="AH743" s="110"/>
    </row>
    <row r="744" spans="1:34" ht="11.25" customHeight="1" x14ac:dyDescent="0.15">
      <c r="A744" s="110" t="s">
        <v>253</v>
      </c>
      <c r="B744" s="110"/>
      <c r="C744" s="111" t="s">
        <v>175</v>
      </c>
      <c r="D744" s="111">
        <v>2022</v>
      </c>
      <c r="E744" s="146">
        <v>44712</v>
      </c>
      <c r="F744" s="111"/>
      <c r="G744" s="111">
        <v>810000102</v>
      </c>
      <c r="H744" s="111">
        <v>4111</v>
      </c>
      <c r="I744" s="111" t="str">
        <f>MID(G744,2,1)</f>
        <v>1</v>
      </c>
      <c r="J744" s="111" t="str">
        <f>IF(I744="1","Small/Medium","Large")</f>
        <v>Small/Medium</v>
      </c>
      <c r="K744" s="147" t="s">
        <v>145</v>
      </c>
      <c r="L744" s="117">
        <v>7670</v>
      </c>
      <c r="M744" s="120">
        <f>L744*0.3</f>
        <v>2301</v>
      </c>
      <c r="N744" s="120">
        <f>L744-M744</f>
        <v>5369</v>
      </c>
      <c r="O744" s="119">
        <f>IFERROR(N744/L744,"")</f>
        <v>0.7</v>
      </c>
      <c r="P744" s="117">
        <v>7670</v>
      </c>
      <c r="Q744" s="111">
        <v>262</v>
      </c>
      <c r="R744" s="117">
        <v>30.5</v>
      </c>
      <c r="S744" s="117">
        <v>1368.84</v>
      </c>
      <c r="T744" s="117">
        <v>1874.36</v>
      </c>
      <c r="U744" s="117">
        <v>42.48</v>
      </c>
      <c r="V744" s="117">
        <v>11.54</v>
      </c>
      <c r="W744" s="26">
        <f>SUM(S744:V744)</f>
        <v>3297.22</v>
      </c>
      <c r="X744" s="118">
        <f>IFERROR(S744/R744,"")</f>
        <v>44.879999999999995</v>
      </c>
      <c r="Y744" s="119">
        <f>U744/P744</f>
        <v>5.5384615384615381E-3</v>
      </c>
      <c r="Z744" s="117">
        <f>P744-W744</f>
        <v>4372.7800000000007</v>
      </c>
      <c r="AA744" s="119">
        <f>IFERROR(Z744/P744,"")</f>
        <v>0.57011473272490232</v>
      </c>
      <c r="AB744" s="120">
        <f t="shared" ref="AB744:AB745" si="439">M744-W744</f>
        <v>-996.2199999999998</v>
      </c>
      <c r="AC744" s="119">
        <f>IFERROR(AA744-O744,"")</f>
        <v>-0.12988526727509764</v>
      </c>
      <c r="AD744" s="110"/>
      <c r="AE744" s="110"/>
      <c r="AF744" s="110"/>
      <c r="AG744" s="121"/>
      <c r="AH744" s="110"/>
    </row>
    <row r="745" spans="1:34" s="53" customFormat="1" ht="11.25" customHeight="1" x14ac:dyDescent="0.15">
      <c r="A745" s="53" t="s">
        <v>253</v>
      </c>
      <c r="C745" s="54" t="s">
        <v>177</v>
      </c>
      <c r="D745" s="54">
        <v>2022</v>
      </c>
      <c r="E745" s="70">
        <v>44712</v>
      </c>
      <c r="F745" s="54"/>
      <c r="G745" s="54"/>
      <c r="H745" s="54"/>
      <c r="I745" s="54"/>
      <c r="J745" s="54"/>
      <c r="K745" s="106"/>
      <c r="L745" s="24">
        <v>7670</v>
      </c>
      <c r="M745" s="24">
        <f>SUM(M744)</f>
        <v>2301</v>
      </c>
      <c r="N745" s="24">
        <f>SUM(N744)</f>
        <v>5369</v>
      </c>
      <c r="O745" s="57">
        <f>IFERROR(N745/L745,"")</f>
        <v>0.7</v>
      </c>
      <c r="P745" s="24">
        <f>SUM(P743:P744)</f>
        <v>7670</v>
      </c>
      <c r="Q745" s="24"/>
      <c r="R745" s="24">
        <f t="shared" ref="R745:W745" si="440">SUM(R743:R744)</f>
        <v>30.5</v>
      </c>
      <c r="S745" s="24">
        <f t="shared" si="440"/>
        <v>1368.84</v>
      </c>
      <c r="T745" s="24">
        <f t="shared" si="440"/>
        <v>1874.36</v>
      </c>
      <c r="U745" s="24">
        <f t="shared" si="440"/>
        <v>42.48</v>
      </c>
      <c r="V745" s="24">
        <f t="shared" si="440"/>
        <v>11.54</v>
      </c>
      <c r="W745" s="24">
        <f t="shared" si="440"/>
        <v>3297.22</v>
      </c>
      <c r="X745" s="56"/>
      <c r="Y745" s="57"/>
      <c r="Z745" s="28">
        <f>P745-W745</f>
        <v>4372.7800000000007</v>
      </c>
      <c r="AA745" s="57">
        <f>IFERROR(Z745/P745,"")</f>
        <v>0.57011473272490232</v>
      </c>
      <c r="AB745" s="120">
        <f t="shared" si="439"/>
        <v>-996.2199999999998</v>
      </c>
      <c r="AC745" s="57">
        <f>IFERROR(AA745-O745,"")</f>
        <v>-0.12988526727509764</v>
      </c>
      <c r="AG745" s="61"/>
    </row>
    <row r="746" spans="1:34" ht="11.25" customHeight="1" x14ac:dyDescent="0.15">
      <c r="A746" s="130" t="s">
        <v>53</v>
      </c>
      <c r="B746" s="130"/>
      <c r="C746" s="124"/>
      <c r="D746" s="124"/>
      <c r="E746" s="273"/>
      <c r="F746" s="124"/>
      <c r="G746" s="124"/>
      <c r="H746" s="124"/>
      <c r="I746" s="124"/>
      <c r="J746" s="124"/>
      <c r="K746" s="125"/>
      <c r="L746" s="129"/>
      <c r="M746" s="129"/>
      <c r="N746" s="129"/>
      <c r="O746" s="128"/>
      <c r="P746" s="129"/>
      <c r="Q746" s="124"/>
      <c r="R746" s="129"/>
      <c r="S746" s="129"/>
      <c r="T746" s="129"/>
      <c r="U746" s="129"/>
      <c r="V746" s="126"/>
      <c r="W746" s="49"/>
      <c r="X746" s="45"/>
      <c r="Y746" s="128"/>
      <c r="Z746" s="126"/>
      <c r="AA746" s="128"/>
      <c r="AB746" s="129"/>
      <c r="AC746" s="160"/>
      <c r="AD746" s="137"/>
      <c r="AE746" s="110"/>
      <c r="AF746" s="110"/>
      <c r="AG746" s="121"/>
      <c r="AH746" s="110"/>
    </row>
    <row r="747" spans="1:34" ht="11.25" customHeight="1" x14ac:dyDescent="0.15">
      <c r="A747" s="110" t="s">
        <v>423</v>
      </c>
      <c r="B747" s="110"/>
      <c r="C747" s="111" t="s">
        <v>201</v>
      </c>
      <c r="D747" s="111">
        <v>2022</v>
      </c>
      <c r="E747" s="146">
        <v>44681</v>
      </c>
      <c r="F747" s="111"/>
      <c r="G747" s="111" t="s">
        <v>202</v>
      </c>
      <c r="H747" s="111"/>
      <c r="I747" s="111"/>
      <c r="J747" s="111"/>
      <c r="K747" s="112" t="s">
        <v>203</v>
      </c>
      <c r="L747" s="117">
        <f>P747</f>
        <v>0</v>
      </c>
      <c r="M747" s="120">
        <f>L747*0.35</f>
        <v>0</v>
      </c>
      <c r="N747" s="120">
        <f>L747-M747</f>
        <v>0</v>
      </c>
      <c r="O747" s="119" t="str">
        <f>IFERROR(N747/L747,"")</f>
        <v/>
      </c>
      <c r="P747" s="117">
        <v>0</v>
      </c>
      <c r="Q747" s="111">
        <v>265</v>
      </c>
      <c r="R747" s="117">
        <v>8</v>
      </c>
      <c r="S747" s="117">
        <v>367.28</v>
      </c>
      <c r="T747" s="117">
        <v>1692.42</v>
      </c>
      <c r="U747" s="117">
        <v>2683.17</v>
      </c>
      <c r="V747" s="117">
        <v>194.3</v>
      </c>
      <c r="W747" s="26">
        <f>SUM(S747:V747)</f>
        <v>4937.17</v>
      </c>
      <c r="X747" s="118">
        <f>IFERROR(S747/R747,"")</f>
        <v>45.91</v>
      </c>
      <c r="Y747" s="119" t="str">
        <f>IFERROR(U747/P747,"")</f>
        <v/>
      </c>
      <c r="Z747" s="117">
        <f>P747-W747</f>
        <v>-4937.17</v>
      </c>
      <c r="AA747" s="119" t="str">
        <f>IFERROR(Z747/P747,"")</f>
        <v/>
      </c>
      <c r="AB747" s="120">
        <f t="shared" ref="AB747:AB748" si="441">M747-W747</f>
        <v>-4937.17</v>
      </c>
      <c r="AC747" s="119" t="str">
        <f>IFERROR(AA747-O747,"")</f>
        <v/>
      </c>
      <c r="AD747" s="110" t="s">
        <v>424</v>
      </c>
      <c r="AE747" s="110"/>
      <c r="AF747" s="110"/>
      <c r="AG747" s="121"/>
      <c r="AH747" s="110"/>
    </row>
    <row r="748" spans="1:34" s="53" customFormat="1" ht="11.25" customHeight="1" x14ac:dyDescent="0.15">
      <c r="A748" s="53" t="s">
        <v>423</v>
      </c>
      <c r="C748" s="54" t="s">
        <v>177</v>
      </c>
      <c r="D748" s="54">
        <v>2022</v>
      </c>
      <c r="E748" s="70">
        <v>44681</v>
      </c>
      <c r="F748" s="54"/>
      <c r="G748" s="54"/>
      <c r="H748" s="54"/>
      <c r="I748" s="54"/>
      <c r="J748" s="54"/>
      <c r="K748" s="106"/>
      <c r="L748" s="24">
        <f>P748</f>
        <v>0</v>
      </c>
      <c r="M748" s="24">
        <f>SUM(M747)</f>
        <v>0</v>
      </c>
      <c r="N748" s="24">
        <f>SUM(N747)</f>
        <v>0</v>
      </c>
      <c r="O748" s="57" t="str">
        <f>IFERROR(N748/L748,"")</f>
        <v/>
      </c>
      <c r="P748" s="24">
        <f>SUM(P746:P747)</f>
        <v>0</v>
      </c>
      <c r="Q748" s="24"/>
      <c r="R748" s="24">
        <f t="shared" ref="R748:W748" si="442">SUM(R746:R747)</f>
        <v>8</v>
      </c>
      <c r="S748" s="24">
        <f t="shared" si="442"/>
        <v>367.28</v>
      </c>
      <c r="T748" s="24">
        <f t="shared" si="442"/>
        <v>1692.42</v>
      </c>
      <c r="U748" s="24">
        <f t="shared" si="442"/>
        <v>2683.17</v>
      </c>
      <c r="V748" s="24">
        <f t="shared" si="442"/>
        <v>194.3</v>
      </c>
      <c r="W748" s="24">
        <f t="shared" si="442"/>
        <v>4937.17</v>
      </c>
      <c r="X748" s="56"/>
      <c r="Y748" s="57"/>
      <c r="Z748" s="28">
        <f>P748-W748</f>
        <v>-4937.17</v>
      </c>
      <c r="AA748" s="57" t="str">
        <f>IFERROR(Z748/P748,"")</f>
        <v/>
      </c>
      <c r="AB748" s="120">
        <f t="shared" si="441"/>
        <v>-4937.17</v>
      </c>
      <c r="AC748" s="57" t="str">
        <f>IFERROR(AA748-O748,"")</f>
        <v/>
      </c>
      <c r="AG748" s="61"/>
    </row>
    <row r="749" spans="1:34" ht="11.25" customHeight="1" x14ac:dyDescent="0.15">
      <c r="A749" s="130" t="s">
        <v>53</v>
      </c>
      <c r="B749" s="130"/>
      <c r="C749" s="124"/>
      <c r="D749" s="124"/>
      <c r="E749" s="273"/>
      <c r="F749" s="124"/>
      <c r="G749" s="124"/>
      <c r="H749" s="124"/>
      <c r="I749" s="124"/>
      <c r="J749" s="124"/>
      <c r="K749" s="125"/>
      <c r="L749" s="129"/>
      <c r="M749" s="129"/>
      <c r="N749" s="129"/>
      <c r="O749" s="128"/>
      <c r="P749" s="129"/>
      <c r="Q749" s="124"/>
      <c r="R749" s="129"/>
      <c r="S749" s="129"/>
      <c r="T749" s="129"/>
      <c r="U749" s="129"/>
      <c r="V749" s="126"/>
      <c r="W749" s="49"/>
      <c r="X749" s="45"/>
      <c r="Y749" s="128"/>
      <c r="Z749" s="126"/>
      <c r="AA749" s="128"/>
      <c r="AB749" s="129"/>
      <c r="AC749" s="160"/>
      <c r="AD749" s="137"/>
      <c r="AE749" s="110"/>
      <c r="AF749" s="110"/>
      <c r="AG749" s="121"/>
      <c r="AH749" s="110"/>
    </row>
    <row r="750" spans="1:34" ht="11.25" customHeight="1" x14ac:dyDescent="0.15">
      <c r="A750" s="110" t="s">
        <v>425</v>
      </c>
      <c r="B750" s="110"/>
      <c r="C750" s="111" t="s">
        <v>201</v>
      </c>
      <c r="D750" s="111">
        <v>2022</v>
      </c>
      <c r="E750" s="146">
        <v>44681</v>
      </c>
      <c r="F750" s="111"/>
      <c r="G750" s="111" t="s">
        <v>202</v>
      </c>
      <c r="H750" s="111"/>
      <c r="I750" s="111"/>
      <c r="J750" s="111"/>
      <c r="K750" s="112" t="s">
        <v>203</v>
      </c>
      <c r="L750" s="120">
        <v>12684</v>
      </c>
      <c r="M750" s="120">
        <f>L750*0.35</f>
        <v>4439.3999999999996</v>
      </c>
      <c r="N750" s="120">
        <f>L750-M750</f>
        <v>8244.6</v>
      </c>
      <c r="O750" s="119">
        <f>IFERROR(N750/L750,"")</f>
        <v>0.65</v>
      </c>
      <c r="P750" s="117">
        <v>12684</v>
      </c>
      <c r="Q750" s="111">
        <v>264</v>
      </c>
      <c r="R750" s="117">
        <v>61.5</v>
      </c>
      <c r="S750" s="117">
        <v>2823.47</v>
      </c>
      <c r="T750" s="117">
        <v>2888.51</v>
      </c>
      <c r="U750" s="117">
        <v>202.14</v>
      </c>
      <c r="V750" s="117">
        <v>367.09</v>
      </c>
      <c r="W750" s="26">
        <f>SUM(S750:V750)</f>
        <v>6281.21</v>
      </c>
      <c r="X750" s="118">
        <f>IFERROR(S750/R750,"")</f>
        <v>45.910081300813005</v>
      </c>
      <c r="Y750" s="119">
        <f>U750/P750</f>
        <v>1.5936613055818352E-2</v>
      </c>
      <c r="Z750" s="117">
        <f>P750-W750</f>
        <v>6402.79</v>
      </c>
      <c r="AA750" s="119">
        <f>IFERROR(Z750/P750,"")</f>
        <v>0.50479265216020186</v>
      </c>
      <c r="AB750" s="120">
        <f t="shared" ref="AB750:AB751" si="443">M750-W750</f>
        <v>-1841.8100000000004</v>
      </c>
      <c r="AC750" s="119">
        <f>IFERROR(AA750-O750,"")</f>
        <v>-0.14520734783979816</v>
      </c>
      <c r="AD750" s="110"/>
      <c r="AE750" s="110"/>
      <c r="AF750" s="110"/>
      <c r="AG750" s="121"/>
      <c r="AH750" s="110"/>
    </row>
    <row r="751" spans="1:34" s="53" customFormat="1" ht="11.25" customHeight="1" x14ac:dyDescent="0.15">
      <c r="A751" s="53" t="s">
        <v>425</v>
      </c>
      <c r="C751" s="54" t="s">
        <v>177</v>
      </c>
      <c r="D751" s="54">
        <v>2022</v>
      </c>
      <c r="E751" s="70">
        <v>44681</v>
      </c>
      <c r="F751" s="54"/>
      <c r="G751" s="54"/>
      <c r="H751" s="54"/>
      <c r="I751" s="54"/>
      <c r="J751" s="54"/>
      <c r="K751" s="106"/>
      <c r="L751" s="24">
        <f>P751</f>
        <v>12684</v>
      </c>
      <c r="M751" s="24">
        <f>SUM(M750)</f>
        <v>4439.3999999999996</v>
      </c>
      <c r="N751" s="24">
        <f>SUM(N750)</f>
        <v>8244.6</v>
      </c>
      <c r="O751" s="57">
        <f>IFERROR(N751/L751,"")</f>
        <v>0.65</v>
      </c>
      <c r="P751" s="24">
        <f>SUM(P749:P750)</f>
        <v>12684</v>
      </c>
      <c r="Q751" s="24"/>
      <c r="R751" s="24">
        <f t="shared" ref="R751:W751" si="444">SUM(R749:R750)</f>
        <v>61.5</v>
      </c>
      <c r="S751" s="24">
        <f t="shared" si="444"/>
        <v>2823.47</v>
      </c>
      <c r="T751" s="24">
        <f t="shared" si="444"/>
        <v>2888.51</v>
      </c>
      <c r="U751" s="24">
        <f t="shared" si="444"/>
        <v>202.14</v>
      </c>
      <c r="V751" s="24">
        <f t="shared" si="444"/>
        <v>367.09</v>
      </c>
      <c r="W751" s="24">
        <f t="shared" si="444"/>
        <v>6281.21</v>
      </c>
      <c r="X751" s="56"/>
      <c r="Y751" s="57"/>
      <c r="Z751" s="28">
        <f>P751-W751</f>
        <v>6402.79</v>
      </c>
      <c r="AA751" s="57">
        <f>IFERROR(Z751/P751,"")</f>
        <v>0.50479265216020186</v>
      </c>
      <c r="AB751" s="120">
        <f t="shared" si="443"/>
        <v>-1841.8100000000004</v>
      </c>
      <c r="AC751" s="57">
        <f>IFERROR(AA751-O751,"")</f>
        <v>-0.14520734783979816</v>
      </c>
      <c r="AG751" s="61"/>
    </row>
    <row r="752" spans="1:34" ht="11.25" customHeight="1" x14ac:dyDescent="0.15">
      <c r="A752" s="130" t="s">
        <v>53</v>
      </c>
      <c r="B752" s="130"/>
      <c r="C752" s="124"/>
      <c r="D752" s="124"/>
      <c r="E752" s="273"/>
      <c r="F752" s="124"/>
      <c r="G752" s="124"/>
      <c r="H752" s="124"/>
      <c r="I752" s="124"/>
      <c r="J752" s="124"/>
      <c r="K752" s="125"/>
      <c r="L752" s="129"/>
      <c r="M752" s="129"/>
      <c r="N752" s="129"/>
      <c r="O752" s="128"/>
      <c r="P752" s="129"/>
      <c r="Q752" s="124"/>
      <c r="R752" s="129"/>
      <c r="S752" s="129"/>
      <c r="T752" s="129"/>
      <c r="U752" s="129"/>
      <c r="V752" s="126"/>
      <c r="W752" s="49"/>
      <c r="X752" s="45"/>
      <c r="Y752" s="128"/>
      <c r="Z752" s="126"/>
      <c r="AA752" s="128"/>
      <c r="AB752" s="129"/>
      <c r="AC752" s="160"/>
      <c r="AD752" s="137"/>
      <c r="AE752" s="110"/>
      <c r="AF752" s="110"/>
      <c r="AG752" s="121"/>
      <c r="AH752" s="110"/>
    </row>
    <row r="753" spans="1:34" ht="11.25" customHeight="1" x14ac:dyDescent="0.15">
      <c r="A753" s="110" t="s">
        <v>174</v>
      </c>
      <c r="B753" s="110"/>
      <c r="C753" s="111" t="s">
        <v>175</v>
      </c>
      <c r="D753" s="111">
        <v>2022</v>
      </c>
      <c r="E753" s="146">
        <v>44712</v>
      </c>
      <c r="F753" s="111"/>
      <c r="G753" s="111">
        <v>811000112</v>
      </c>
      <c r="H753" s="111">
        <v>4101</v>
      </c>
      <c r="I753" s="111" t="str">
        <f>MID(G753,2,1)</f>
        <v>1</v>
      </c>
      <c r="J753" s="111" t="str">
        <f>IF(I753="1","Small/Medium","Large")</f>
        <v>Small/Medium</v>
      </c>
      <c r="K753" s="147" t="s">
        <v>145</v>
      </c>
      <c r="L753" s="120">
        <f>P753</f>
        <v>6203.4</v>
      </c>
      <c r="M753" s="120">
        <f>L753*0.3</f>
        <v>1861.0199999999998</v>
      </c>
      <c r="N753" s="120">
        <f>L753-M753</f>
        <v>4342.38</v>
      </c>
      <c r="O753" s="119">
        <f>IFERROR(N753/L753,"")</f>
        <v>0.70000000000000007</v>
      </c>
      <c r="P753" s="148">
        <f>P755*0.35</f>
        <v>6203.4</v>
      </c>
      <c r="Q753" s="111">
        <v>248</v>
      </c>
      <c r="R753" s="117">
        <v>24.5</v>
      </c>
      <c r="S753" s="117">
        <v>1099.56</v>
      </c>
      <c r="T753" s="117">
        <v>734.56</v>
      </c>
      <c r="U753" s="117">
        <v>350</v>
      </c>
      <c r="V753" s="117">
        <v>0</v>
      </c>
      <c r="W753" s="26">
        <f>SUM(S753:V753)</f>
        <v>2184.12</v>
      </c>
      <c r="X753" s="118">
        <f>IFERROR(S753/R753,"")</f>
        <v>44.879999999999995</v>
      </c>
      <c r="Y753" s="119">
        <f>U753/P753</f>
        <v>5.6420672534416613E-2</v>
      </c>
      <c r="Z753" s="117">
        <f>P753-W753</f>
        <v>4019.2799999999997</v>
      </c>
      <c r="AA753" s="119">
        <f>Z753/P753</f>
        <v>0.6479156591546571</v>
      </c>
      <c r="AB753" s="120">
        <f t="shared" ref="AB753:AB755" si="445">M753-W753</f>
        <v>-323.10000000000014</v>
      </c>
      <c r="AC753" s="119">
        <f>IFERROR(AA753-O753,"")</f>
        <v>-5.2084340845342969E-2</v>
      </c>
      <c r="AD753" s="110"/>
      <c r="AE753" s="110"/>
      <c r="AF753" s="110"/>
      <c r="AG753" s="121"/>
      <c r="AH753" s="110"/>
    </row>
    <row r="754" spans="1:34" ht="11.25" customHeight="1" x14ac:dyDescent="0.15">
      <c r="A754" s="110" t="s">
        <v>174</v>
      </c>
      <c r="B754" s="110"/>
      <c r="C754" s="111" t="s">
        <v>175</v>
      </c>
      <c r="D754" s="111">
        <v>2022</v>
      </c>
      <c r="E754" s="146">
        <v>44712</v>
      </c>
      <c r="F754" s="111"/>
      <c r="G754" s="111">
        <v>821000112</v>
      </c>
      <c r="H754" s="111">
        <v>4101</v>
      </c>
      <c r="I754" s="111" t="str">
        <f>MID(G754,2,1)</f>
        <v>2</v>
      </c>
      <c r="J754" s="111" t="str">
        <f>IF(I754="1","Small/Medium","Large")</f>
        <v>Large</v>
      </c>
      <c r="K754" s="147" t="s">
        <v>176</v>
      </c>
      <c r="L754" s="120">
        <f>P754</f>
        <v>11520.6</v>
      </c>
      <c r="M754" s="120">
        <f>L754*0.3</f>
        <v>3456.18</v>
      </c>
      <c r="N754" s="120">
        <f>L754-M754</f>
        <v>8064.42</v>
      </c>
      <c r="O754" s="119">
        <f>IFERROR(N754/L754,"")</f>
        <v>0.7</v>
      </c>
      <c r="P754" s="148">
        <f>P755-P753</f>
        <v>11520.6</v>
      </c>
      <c r="Q754" s="111">
        <v>249</v>
      </c>
      <c r="R754" s="117">
        <v>24</v>
      </c>
      <c r="S754" s="117">
        <v>1077.1199999999999</v>
      </c>
      <c r="T754" s="117">
        <v>1364.18</v>
      </c>
      <c r="U754" s="117">
        <v>650</v>
      </c>
      <c r="V754" s="117">
        <v>0</v>
      </c>
      <c r="W754" s="26">
        <f>SUM(S754:V754)</f>
        <v>3091.3</v>
      </c>
      <c r="X754" s="118">
        <f>IFERROR(S754/R754,"")</f>
        <v>44.879999999999995</v>
      </c>
      <c r="Y754" s="119">
        <f>U754/P754</f>
        <v>5.6420672534416606E-2</v>
      </c>
      <c r="Z754" s="117">
        <f>P754-W754</f>
        <v>8429.2999999999993</v>
      </c>
      <c r="AA754" s="119">
        <f>Z754/P754</f>
        <v>0.73167196152978131</v>
      </c>
      <c r="AB754" s="120">
        <f t="shared" si="445"/>
        <v>364.87999999999965</v>
      </c>
      <c r="AC754" s="119">
        <f>IFERROR(AA754-O754,"")</f>
        <v>3.1671961529781356E-2</v>
      </c>
      <c r="AD754" s="110"/>
      <c r="AE754" s="110"/>
      <c r="AF754" s="110"/>
      <c r="AG754" s="121"/>
      <c r="AH754" s="110"/>
    </row>
    <row r="755" spans="1:34" s="53" customFormat="1" ht="11.25" customHeight="1" x14ac:dyDescent="0.15">
      <c r="A755" s="53" t="s">
        <v>174</v>
      </c>
      <c r="C755" s="54" t="s">
        <v>177</v>
      </c>
      <c r="D755" s="54">
        <v>2022</v>
      </c>
      <c r="E755" s="70">
        <v>44712</v>
      </c>
      <c r="F755" s="54"/>
      <c r="G755" s="54"/>
      <c r="H755" s="54"/>
      <c r="I755" s="54"/>
      <c r="J755" s="54"/>
      <c r="K755" s="106"/>
      <c r="L755" s="24">
        <f>P755</f>
        <v>17724</v>
      </c>
      <c r="M755" s="24">
        <f>SUM(M753:M754)</f>
        <v>5317.2</v>
      </c>
      <c r="N755" s="24">
        <f>SUM(N753:N754)</f>
        <v>12406.8</v>
      </c>
      <c r="O755" s="57">
        <f>IFERROR(N755/L755,"")</f>
        <v>0.7</v>
      </c>
      <c r="P755" s="24">
        <v>17724</v>
      </c>
      <c r="Q755" s="24"/>
      <c r="R755" s="24">
        <f t="shared" ref="R755:W755" si="446">SUM(R753:R754)</f>
        <v>48.5</v>
      </c>
      <c r="S755" s="24">
        <f t="shared" si="446"/>
        <v>2176.6799999999998</v>
      </c>
      <c r="T755" s="24">
        <f t="shared" si="446"/>
        <v>2098.7399999999998</v>
      </c>
      <c r="U755" s="24">
        <f t="shared" si="446"/>
        <v>1000</v>
      </c>
      <c r="V755" s="24">
        <f t="shared" si="446"/>
        <v>0</v>
      </c>
      <c r="W755" s="24">
        <f t="shared" si="446"/>
        <v>5275.42</v>
      </c>
      <c r="X755" s="56"/>
      <c r="Y755" s="57"/>
      <c r="Z755" s="28">
        <f>P755-W755</f>
        <v>12448.58</v>
      </c>
      <c r="AA755" s="57">
        <f>Z755/P755</f>
        <v>0.70235725569848795</v>
      </c>
      <c r="AB755" s="120">
        <f t="shared" si="445"/>
        <v>41.779999999999745</v>
      </c>
      <c r="AC755" s="57">
        <f>IFERROR(AA755-O755,"")</f>
        <v>2.3572556984879922E-3</v>
      </c>
      <c r="AG755" s="61"/>
    </row>
    <row r="756" spans="1:34" ht="11.25" customHeight="1" x14ac:dyDescent="0.15">
      <c r="A756" s="130" t="s">
        <v>53</v>
      </c>
      <c r="B756" s="130"/>
      <c r="C756" s="124"/>
      <c r="D756" s="124"/>
      <c r="E756" s="273"/>
      <c r="F756" s="124"/>
      <c r="G756" s="124"/>
      <c r="H756" s="124"/>
      <c r="I756" s="124"/>
      <c r="J756" s="124"/>
      <c r="K756" s="125"/>
      <c r="L756" s="129"/>
      <c r="M756" s="129"/>
      <c r="N756" s="129"/>
      <c r="O756" s="128"/>
      <c r="P756" s="129"/>
      <c r="Q756" s="124"/>
      <c r="R756" s="129"/>
      <c r="S756" s="129"/>
      <c r="T756" s="129"/>
      <c r="U756" s="129"/>
      <c r="V756" s="126"/>
      <c r="W756" s="49"/>
      <c r="X756" s="45"/>
      <c r="Y756" s="128"/>
      <c r="Z756" s="126"/>
      <c r="AA756" s="128"/>
      <c r="AB756" s="129"/>
      <c r="AC756" s="160"/>
      <c r="AD756" s="137"/>
      <c r="AE756" s="110"/>
      <c r="AF756" s="110"/>
      <c r="AG756" s="121"/>
      <c r="AH756" s="110"/>
    </row>
    <row r="757" spans="1:34" ht="11.25" customHeight="1" x14ac:dyDescent="0.15">
      <c r="A757" s="110" t="s">
        <v>210</v>
      </c>
      <c r="B757" s="110"/>
      <c r="C757" s="111" t="s">
        <v>175</v>
      </c>
      <c r="D757" s="111">
        <v>2022</v>
      </c>
      <c r="E757" s="146">
        <v>44712</v>
      </c>
      <c r="F757" s="111"/>
      <c r="G757" s="111">
        <v>811000012</v>
      </c>
      <c r="H757" s="111">
        <v>4101</v>
      </c>
      <c r="I757" s="111" t="str">
        <f>MID(G757,2,1)</f>
        <v>1</v>
      </c>
      <c r="J757" s="111" t="str">
        <f>IF(I757="1","Small/Medium","Large")</f>
        <v>Small/Medium</v>
      </c>
      <c r="K757" s="147" t="s">
        <v>145</v>
      </c>
      <c r="L757" s="120">
        <v>9116</v>
      </c>
      <c r="M757" s="120">
        <f>L757*0.3</f>
        <v>2734.7999999999997</v>
      </c>
      <c r="N757" s="120">
        <f>L757-M757</f>
        <v>6381.2000000000007</v>
      </c>
      <c r="O757" s="119">
        <f>IFERROR(N757/L757,"")</f>
        <v>0.70000000000000007</v>
      </c>
      <c r="P757" s="117">
        <v>9116</v>
      </c>
      <c r="Q757" s="111">
        <v>309</v>
      </c>
      <c r="R757" s="117">
        <v>37.5</v>
      </c>
      <c r="S757" s="117">
        <v>1683</v>
      </c>
      <c r="T757" s="117">
        <v>1687.16</v>
      </c>
      <c r="U757" s="117">
        <v>24.26</v>
      </c>
      <c r="V757" s="117">
        <v>0</v>
      </c>
      <c r="W757" s="26">
        <f>SUM(S757:V757)</f>
        <v>3394.42</v>
      </c>
      <c r="X757" s="118">
        <f>IFERROR(S757/R757,"")</f>
        <v>44.88</v>
      </c>
      <c r="Y757" s="119">
        <f>U757/P757</f>
        <v>2.6612549363756034E-3</v>
      </c>
      <c r="Z757" s="117">
        <f>P757-W757</f>
        <v>5721.58</v>
      </c>
      <c r="AA757" s="119">
        <f>IFERROR(Z757/P757,"")</f>
        <v>0.62764150943396224</v>
      </c>
      <c r="AB757" s="120">
        <f t="shared" ref="AB757:AB758" si="447">M757-W757</f>
        <v>-659.62000000000035</v>
      </c>
      <c r="AC757" s="119">
        <f>IFERROR(AA757-O757,"")</f>
        <v>-7.2358490566037825E-2</v>
      </c>
      <c r="AD757" s="110"/>
      <c r="AE757" s="110"/>
      <c r="AF757" s="110"/>
      <c r="AG757" s="121"/>
      <c r="AH757" s="110"/>
    </row>
    <row r="758" spans="1:34" s="53" customFormat="1" ht="11.25" customHeight="1" x14ac:dyDescent="0.15">
      <c r="A758" s="53" t="s">
        <v>210</v>
      </c>
      <c r="C758" s="54" t="s">
        <v>177</v>
      </c>
      <c r="D758" s="54">
        <v>2022</v>
      </c>
      <c r="E758" s="70">
        <v>44712</v>
      </c>
      <c r="F758" s="54"/>
      <c r="G758" s="54"/>
      <c r="H758" s="54"/>
      <c r="I758" s="54"/>
      <c r="J758" s="54"/>
      <c r="K758" s="106"/>
      <c r="L758" s="24">
        <f>P758</f>
        <v>9116</v>
      </c>
      <c r="M758" s="24">
        <f>SUM(M757)</f>
        <v>2734.7999999999997</v>
      </c>
      <c r="N758" s="24">
        <f>SUM(N757)</f>
        <v>6381.2000000000007</v>
      </c>
      <c r="O758" s="57">
        <f>IFERROR(N758/L758,"")</f>
        <v>0.70000000000000007</v>
      </c>
      <c r="P758" s="24">
        <f>SUM(P756:P757)</f>
        <v>9116</v>
      </c>
      <c r="Q758" s="24"/>
      <c r="R758" s="24">
        <f t="shared" ref="R758:W758" si="448">SUM(R756:R757)</f>
        <v>37.5</v>
      </c>
      <c r="S758" s="24">
        <f t="shared" si="448"/>
        <v>1683</v>
      </c>
      <c r="T758" s="24">
        <f t="shared" si="448"/>
        <v>1687.16</v>
      </c>
      <c r="U758" s="24">
        <f t="shared" si="448"/>
        <v>24.26</v>
      </c>
      <c r="V758" s="24">
        <f t="shared" si="448"/>
        <v>0</v>
      </c>
      <c r="W758" s="24">
        <f t="shared" si="448"/>
        <v>3394.42</v>
      </c>
      <c r="X758" s="56"/>
      <c r="Y758" s="57"/>
      <c r="Z758" s="28">
        <f>P758-W758</f>
        <v>5721.58</v>
      </c>
      <c r="AA758" s="57">
        <f>IFERROR(Z758/P758,"")</f>
        <v>0.62764150943396224</v>
      </c>
      <c r="AB758" s="120">
        <f t="shared" si="447"/>
        <v>-659.62000000000035</v>
      </c>
      <c r="AC758" s="57">
        <f>IFERROR(AA758-O758,"")</f>
        <v>-7.2358490566037825E-2</v>
      </c>
      <c r="AG758" s="61"/>
    </row>
    <row r="759" spans="1:34" ht="11.25" customHeight="1" x14ac:dyDescent="0.15">
      <c r="A759" s="130" t="s">
        <v>53</v>
      </c>
      <c r="B759" s="130"/>
      <c r="C759" s="124"/>
      <c r="D759" s="124"/>
      <c r="E759" s="273"/>
      <c r="F759" s="124"/>
      <c r="G759" s="124"/>
      <c r="H759" s="124"/>
      <c r="I759" s="124"/>
      <c r="J759" s="124"/>
      <c r="K759" s="125"/>
      <c r="L759" s="129"/>
      <c r="M759" s="129"/>
      <c r="N759" s="129"/>
      <c r="O759" s="128"/>
      <c r="P759" s="129"/>
      <c r="Q759" s="124"/>
      <c r="R759" s="129"/>
      <c r="S759" s="129"/>
      <c r="T759" s="129"/>
      <c r="U759" s="129"/>
      <c r="V759" s="126"/>
      <c r="W759" s="49"/>
      <c r="X759" s="45"/>
      <c r="Y759" s="128"/>
      <c r="Z759" s="126"/>
      <c r="AA759" s="128"/>
      <c r="AB759" s="129"/>
      <c r="AC759" s="160"/>
      <c r="AD759" s="137"/>
      <c r="AE759" s="110"/>
      <c r="AF759" s="110"/>
      <c r="AG759" s="121"/>
      <c r="AH759" s="110"/>
    </row>
    <row r="760" spans="1:34" ht="11.25" customHeight="1" x14ac:dyDescent="0.15">
      <c r="A760" s="110" t="s">
        <v>179</v>
      </c>
      <c r="B760" s="110"/>
      <c r="C760" s="111" t="s">
        <v>175</v>
      </c>
      <c r="D760" s="111">
        <v>2022</v>
      </c>
      <c r="E760" s="146">
        <v>44712</v>
      </c>
      <c r="F760" s="111"/>
      <c r="G760" s="111">
        <v>811000112</v>
      </c>
      <c r="H760" s="111">
        <v>4101</v>
      </c>
      <c r="I760" s="111" t="str">
        <f>MID(G760,2,1)</f>
        <v>1</v>
      </c>
      <c r="J760" s="111" t="str">
        <f>IF(I760="1","Small/Medium","Large")</f>
        <v>Small/Medium</v>
      </c>
      <c r="K760" s="147" t="s">
        <v>145</v>
      </c>
      <c r="L760" s="120">
        <f>P760</f>
        <v>9680</v>
      </c>
      <c r="M760" s="120">
        <f>L760*0.3</f>
        <v>2904</v>
      </c>
      <c r="N760" s="120">
        <f>L760-M760</f>
        <v>6776</v>
      </c>
      <c r="O760" s="119">
        <f>IFERROR(N760/L760,"")</f>
        <v>0.7</v>
      </c>
      <c r="P760" s="117">
        <v>9680</v>
      </c>
      <c r="Q760" s="111">
        <v>314</v>
      </c>
      <c r="R760" s="117">
        <v>36</v>
      </c>
      <c r="S760" s="117">
        <v>1615.68</v>
      </c>
      <c r="T760" s="117">
        <v>2042.5</v>
      </c>
      <c r="U760" s="117">
        <v>688.45</v>
      </c>
      <c r="V760" s="117">
        <v>0</v>
      </c>
      <c r="W760" s="26">
        <f>SUM(S760:V760)</f>
        <v>4346.63</v>
      </c>
      <c r="X760" s="118">
        <f>IFERROR(S760/R760,"")</f>
        <v>44.88</v>
      </c>
      <c r="Y760" s="119">
        <f>U760/P760</f>
        <v>7.1120867768595039E-2</v>
      </c>
      <c r="Z760" s="117">
        <f>P760-W760</f>
        <v>5333.37</v>
      </c>
      <c r="AA760" s="119">
        <f>IFERROR(Z760/P760,"")</f>
        <v>0.55096797520661156</v>
      </c>
      <c r="AB760" s="120">
        <f t="shared" ref="AB760:AB761" si="449">M760-W760</f>
        <v>-1442.63</v>
      </c>
      <c r="AC760" s="119">
        <f>IFERROR(AA760-O760,"")</f>
        <v>-0.1490320247933884</v>
      </c>
      <c r="AD760" s="110"/>
      <c r="AE760" s="110"/>
      <c r="AF760" s="110"/>
      <c r="AG760" s="121"/>
      <c r="AH760" s="110"/>
    </row>
    <row r="761" spans="1:34" s="53" customFormat="1" ht="11.25" customHeight="1" x14ac:dyDescent="0.15">
      <c r="A761" s="53" t="s">
        <v>179</v>
      </c>
      <c r="C761" s="54" t="s">
        <v>177</v>
      </c>
      <c r="D761" s="54">
        <v>2022</v>
      </c>
      <c r="E761" s="70">
        <v>44712</v>
      </c>
      <c r="F761" s="54"/>
      <c r="G761" s="54"/>
      <c r="H761" s="54"/>
      <c r="I761" s="54"/>
      <c r="J761" s="54"/>
      <c r="K761" s="106"/>
      <c r="L761" s="24"/>
      <c r="M761" s="24">
        <f>SUM(M760)</f>
        <v>2904</v>
      </c>
      <c r="N761" s="24">
        <f>SUM(N760)</f>
        <v>6776</v>
      </c>
      <c r="O761" s="57" t="str">
        <f>IFERROR(N761/L761,"")</f>
        <v/>
      </c>
      <c r="P761" s="24">
        <f>SUM(P759:P760)</f>
        <v>9680</v>
      </c>
      <c r="Q761" s="24"/>
      <c r="R761" s="24">
        <f t="shared" ref="R761:W761" si="450">SUM(R759:R760)</f>
        <v>36</v>
      </c>
      <c r="S761" s="24">
        <f t="shared" si="450"/>
        <v>1615.68</v>
      </c>
      <c r="T761" s="24">
        <f t="shared" si="450"/>
        <v>2042.5</v>
      </c>
      <c r="U761" s="24">
        <f t="shared" si="450"/>
        <v>688.45</v>
      </c>
      <c r="V761" s="24">
        <f t="shared" si="450"/>
        <v>0</v>
      </c>
      <c r="W761" s="24">
        <f t="shared" si="450"/>
        <v>4346.63</v>
      </c>
      <c r="X761" s="56"/>
      <c r="Y761" s="57"/>
      <c r="Z761" s="28">
        <f>P761-W761</f>
        <v>5333.37</v>
      </c>
      <c r="AA761" s="57">
        <f>IFERROR(Z761/P761,"")</f>
        <v>0.55096797520661156</v>
      </c>
      <c r="AB761" s="120">
        <f t="shared" si="449"/>
        <v>-1442.63</v>
      </c>
      <c r="AC761" s="57" t="str">
        <f>IFERROR(AA761-O761,"")</f>
        <v/>
      </c>
      <c r="AG761" s="61"/>
    </row>
    <row r="762" spans="1:34" ht="11.25" customHeight="1" x14ac:dyDescent="0.15">
      <c r="A762" s="130" t="s">
        <v>53</v>
      </c>
      <c r="B762" s="130"/>
      <c r="C762" s="124"/>
      <c r="D762" s="124"/>
      <c r="E762" s="273"/>
      <c r="F762" s="124"/>
      <c r="G762" s="124"/>
      <c r="H762" s="124"/>
      <c r="I762" s="124"/>
      <c r="J762" s="124"/>
      <c r="K762" s="125"/>
      <c r="L762" s="129"/>
      <c r="M762" s="129"/>
      <c r="N762" s="129"/>
      <c r="O762" s="128"/>
      <c r="P762" s="129"/>
      <c r="Q762" s="124"/>
      <c r="R762" s="129"/>
      <c r="S762" s="129"/>
      <c r="T762" s="129"/>
      <c r="U762" s="129"/>
      <c r="V762" s="126"/>
      <c r="W762" s="49"/>
      <c r="X762" s="45"/>
      <c r="Y762" s="128"/>
      <c r="Z762" s="126"/>
      <c r="AA762" s="128"/>
      <c r="AB762" s="129"/>
      <c r="AC762" s="160"/>
      <c r="AD762" s="137"/>
      <c r="AE762" s="110"/>
      <c r="AF762" s="110"/>
      <c r="AG762" s="121"/>
      <c r="AH762" s="110"/>
    </row>
    <row r="763" spans="1:34" ht="11.25" customHeight="1" x14ac:dyDescent="0.15">
      <c r="A763" s="110" t="s">
        <v>426</v>
      </c>
      <c r="B763" s="110"/>
      <c r="C763" s="111" t="s">
        <v>180</v>
      </c>
      <c r="D763" s="111">
        <v>2022</v>
      </c>
      <c r="E763" s="146">
        <v>44712</v>
      </c>
      <c r="F763" s="111"/>
      <c r="G763" s="111">
        <v>923051112</v>
      </c>
      <c r="H763" s="111"/>
      <c r="I763" s="111"/>
      <c r="J763" s="111"/>
      <c r="K763" s="112" t="s">
        <v>427</v>
      </c>
      <c r="L763" s="120">
        <f>P763</f>
        <v>36052</v>
      </c>
      <c r="M763" s="120">
        <v>12111.65</v>
      </c>
      <c r="N763" s="120">
        <f>L763-M763</f>
        <v>23940.35</v>
      </c>
      <c r="O763" s="119">
        <f>IFERROR(N763/L763,"")</f>
        <v>0.66405053811161652</v>
      </c>
      <c r="P763" s="117">
        <v>36052</v>
      </c>
      <c r="Q763" s="111">
        <v>181</v>
      </c>
      <c r="R763" s="117">
        <v>7</v>
      </c>
      <c r="S763" s="117">
        <v>273.27999999999997</v>
      </c>
      <c r="T763" s="117">
        <v>0</v>
      </c>
      <c r="U763" s="117">
        <v>12859.39</v>
      </c>
      <c r="V763" s="117">
        <v>0</v>
      </c>
      <c r="W763" s="26">
        <f>SUM(S763:V763)</f>
        <v>13132.67</v>
      </c>
      <c r="X763" s="118">
        <f>IFERROR(S763/R763,"")</f>
        <v>39.04</v>
      </c>
      <c r="Y763" s="119">
        <f>U763/P763</f>
        <v>0.35669005880394983</v>
      </c>
      <c r="Z763" s="117">
        <f>P763-W763</f>
        <v>22919.33</v>
      </c>
      <c r="AA763" s="119">
        <f>IFERROR(Z763/P763,"")</f>
        <v>0.63572977920781104</v>
      </c>
      <c r="AB763" s="120">
        <f t="shared" ref="AB763:AB767" si="451">M763-W763</f>
        <v>-1021.0200000000004</v>
      </c>
      <c r="AC763" s="119">
        <f>IFERROR(AA763-O763,"")</f>
        <v>-2.8320758903805476E-2</v>
      </c>
      <c r="AD763" s="110"/>
      <c r="AE763" s="110"/>
      <c r="AF763" s="110"/>
      <c r="AG763" s="121"/>
      <c r="AH763" s="110"/>
    </row>
    <row r="764" spans="1:34" s="53" customFormat="1" ht="11.25" customHeight="1" x14ac:dyDescent="0.15">
      <c r="A764" s="53" t="s">
        <v>426</v>
      </c>
      <c r="C764" s="54" t="s">
        <v>360</v>
      </c>
      <c r="D764" s="54">
        <v>2022</v>
      </c>
      <c r="E764" s="70">
        <v>44712</v>
      </c>
      <c r="F764" s="54"/>
      <c r="G764" s="54"/>
      <c r="H764" s="54"/>
      <c r="I764" s="54"/>
      <c r="J764" s="54"/>
      <c r="K764" s="106"/>
      <c r="L764" s="24">
        <f>SUM(L763)</f>
        <v>36052</v>
      </c>
      <c r="M764" s="24">
        <f>SUM(M763)</f>
        <v>12111.65</v>
      </c>
      <c r="N764" s="24">
        <f>SUM(N763)</f>
        <v>23940.35</v>
      </c>
      <c r="O764" s="57"/>
      <c r="P764" s="24">
        <f>SUM(P763)</f>
        <v>36052</v>
      </c>
      <c r="Q764" s="91"/>
      <c r="R764" s="24">
        <f t="shared" ref="R764:W764" si="452">SUM(R763)</f>
        <v>7</v>
      </c>
      <c r="S764" s="24">
        <f t="shared" si="452"/>
        <v>273.27999999999997</v>
      </c>
      <c r="T764" s="24">
        <f t="shared" si="452"/>
        <v>0</v>
      </c>
      <c r="U764" s="24">
        <f t="shared" si="452"/>
        <v>12859.39</v>
      </c>
      <c r="V764" s="24">
        <f t="shared" si="452"/>
        <v>0</v>
      </c>
      <c r="W764" s="24">
        <f t="shared" si="452"/>
        <v>13132.67</v>
      </c>
      <c r="X764" s="118"/>
      <c r="Y764" s="119"/>
      <c r="Z764" s="28"/>
      <c r="AA764" s="57"/>
      <c r="AB764" s="120">
        <f t="shared" si="451"/>
        <v>-1021.0200000000004</v>
      </c>
      <c r="AC764" s="57"/>
      <c r="AG764" s="61"/>
    </row>
    <row r="765" spans="1:34" ht="11.25" customHeight="1" x14ac:dyDescent="0.15">
      <c r="A765" s="110" t="s">
        <v>426</v>
      </c>
      <c r="B765" s="110"/>
      <c r="C765" s="111" t="s">
        <v>47</v>
      </c>
      <c r="D765" s="111">
        <v>2022</v>
      </c>
      <c r="E765" s="146">
        <v>44712</v>
      </c>
      <c r="F765" s="111"/>
      <c r="G765" s="111">
        <v>523051212</v>
      </c>
      <c r="H765" s="111"/>
      <c r="I765" s="111"/>
      <c r="J765" s="111"/>
      <c r="K765" s="112" t="s">
        <v>81</v>
      </c>
      <c r="L765" s="120">
        <f>P765</f>
        <v>10503</v>
      </c>
      <c r="M765" s="120">
        <v>3676</v>
      </c>
      <c r="N765" s="120">
        <f>L765-M765</f>
        <v>6827</v>
      </c>
      <c r="O765" s="119">
        <f>IFERROR(N765/L765,"")</f>
        <v>0.65000476054460632</v>
      </c>
      <c r="P765" s="117">
        <v>10503</v>
      </c>
      <c r="Q765" s="111">
        <v>182</v>
      </c>
      <c r="R765" s="117">
        <v>52</v>
      </c>
      <c r="S765" s="117">
        <v>2387.33</v>
      </c>
      <c r="T765" s="117">
        <v>3314.45</v>
      </c>
      <c r="U765" s="117">
        <v>1322.97</v>
      </c>
      <c r="V765" s="117">
        <v>461.91</v>
      </c>
      <c r="W765" s="26">
        <f>SUM(S765:V765)</f>
        <v>7486.66</v>
      </c>
      <c r="X765" s="118">
        <f>IFERROR(S765/R765,"")</f>
        <v>45.910192307692306</v>
      </c>
      <c r="Y765" s="119">
        <f>U765/P765</f>
        <v>0.12596115395601257</v>
      </c>
      <c r="Z765" s="117">
        <f>P765-W765</f>
        <v>3016.34</v>
      </c>
      <c r="AA765" s="119">
        <f>IFERROR(Z765/P765,"")</f>
        <v>0.2871884223555175</v>
      </c>
      <c r="AB765" s="120">
        <f t="shared" si="451"/>
        <v>-3810.66</v>
      </c>
      <c r="AC765" s="119">
        <f>IFERROR(AA765-O765,"")</f>
        <v>-0.36281633818908882</v>
      </c>
      <c r="AD765" s="110" t="s">
        <v>428</v>
      </c>
      <c r="AE765" s="110"/>
      <c r="AF765" s="110"/>
      <c r="AG765" s="121"/>
      <c r="AH765" s="110"/>
    </row>
    <row r="766" spans="1:34" ht="11.25" customHeight="1" x14ac:dyDescent="0.15">
      <c r="A766" s="110" t="s">
        <v>426</v>
      </c>
      <c r="B766" s="110"/>
      <c r="C766" s="111" t="s">
        <v>55</v>
      </c>
      <c r="D766" s="111">
        <v>2022</v>
      </c>
      <c r="E766" s="146">
        <v>44712</v>
      </c>
      <c r="F766" s="111"/>
      <c r="G766" s="111" t="s">
        <v>56</v>
      </c>
      <c r="H766" s="111"/>
      <c r="I766" s="111"/>
      <c r="J766" s="111"/>
      <c r="K766" s="112" t="s">
        <v>71</v>
      </c>
      <c r="L766" s="219">
        <f>P766</f>
        <v>3000</v>
      </c>
      <c r="M766" s="219">
        <v>1500</v>
      </c>
      <c r="N766" s="219">
        <f>L766-M766</f>
        <v>1500</v>
      </c>
      <c r="O766" s="163">
        <f>IFERROR(N766/L766,"")</f>
        <v>0.5</v>
      </c>
      <c r="P766" s="132">
        <v>3000</v>
      </c>
      <c r="Q766" s="111">
        <v>183</v>
      </c>
      <c r="R766" s="132">
        <v>13</v>
      </c>
      <c r="S766" s="132">
        <v>552.5</v>
      </c>
      <c r="T766" s="132">
        <v>0</v>
      </c>
      <c r="U766" s="132">
        <v>0</v>
      </c>
      <c r="V766" s="132">
        <v>856.32</v>
      </c>
      <c r="W766" s="67">
        <f>SUM(S766:V766)</f>
        <v>1408.8200000000002</v>
      </c>
      <c r="X766" s="118">
        <f>IFERROR(S766/R766,"")</f>
        <v>42.5</v>
      </c>
      <c r="Y766" s="119">
        <f>U766/P766</f>
        <v>0</v>
      </c>
      <c r="Z766" s="117">
        <f>P766-W766</f>
        <v>1591.1799999999998</v>
      </c>
      <c r="AA766" s="119">
        <f>IFERROR(Z766/P766,"")</f>
        <v>0.53039333333333327</v>
      </c>
      <c r="AB766" s="120">
        <f t="shared" si="451"/>
        <v>91.179999999999836</v>
      </c>
      <c r="AC766" s="119">
        <f>IFERROR(AA766-O766,"")</f>
        <v>3.0393333333333272E-2</v>
      </c>
      <c r="AD766" s="110"/>
      <c r="AE766" s="110"/>
      <c r="AF766" s="110"/>
      <c r="AG766" s="121"/>
      <c r="AH766" s="110"/>
    </row>
    <row r="767" spans="1:34" s="53" customFormat="1" ht="11.25" customHeight="1" x14ac:dyDescent="0.15">
      <c r="A767" s="53" t="s">
        <v>426</v>
      </c>
      <c r="C767" s="54" t="s">
        <v>177</v>
      </c>
      <c r="D767" s="54">
        <v>2022</v>
      </c>
      <c r="E767" s="70">
        <v>44712</v>
      </c>
      <c r="F767" s="54"/>
      <c r="G767" s="54"/>
      <c r="H767" s="54"/>
      <c r="I767" s="54"/>
      <c r="J767" s="54"/>
      <c r="K767" s="106"/>
      <c r="L767" s="24">
        <f>SUM(L764:L766)</f>
        <v>49555</v>
      </c>
      <c r="M767" s="24">
        <f>SUM(M764:M766)</f>
        <v>17287.650000000001</v>
      </c>
      <c r="N767" s="24">
        <f>SUM(N764:N766)</f>
        <v>32267.35</v>
      </c>
      <c r="O767" s="57">
        <f>IFERROR(N767/L767,"")</f>
        <v>0.65114216527091107</v>
      </c>
      <c r="P767" s="24">
        <f>SUM(P764:P766)</f>
        <v>49555</v>
      </c>
      <c r="Q767" s="24"/>
      <c r="R767" s="24">
        <f t="shared" ref="R767:W767" si="453">SUM(R764:R766)</f>
        <v>72</v>
      </c>
      <c r="S767" s="24">
        <f t="shared" si="453"/>
        <v>3213.1099999999997</v>
      </c>
      <c r="T767" s="24">
        <f t="shared" si="453"/>
        <v>3314.45</v>
      </c>
      <c r="U767" s="24">
        <f t="shared" si="453"/>
        <v>14182.359999999999</v>
      </c>
      <c r="V767" s="24">
        <f t="shared" si="453"/>
        <v>1318.23</v>
      </c>
      <c r="W767" s="24">
        <f t="shared" si="453"/>
        <v>22028.15</v>
      </c>
      <c r="X767" s="56">
        <f>IFERROR(S767/R767,"")</f>
        <v>44.626527777777774</v>
      </c>
      <c r="Y767" s="57">
        <f>U767/P767</f>
        <v>0.2861943295328423</v>
      </c>
      <c r="Z767" s="28">
        <f>P767-W767</f>
        <v>27526.85</v>
      </c>
      <c r="AA767" s="57">
        <f>IFERROR(Z767/P767,"")</f>
        <v>0.55548077893249925</v>
      </c>
      <c r="AB767" s="120">
        <f t="shared" si="451"/>
        <v>-4740.5</v>
      </c>
      <c r="AC767" s="57">
        <f>IFERROR(AA767-O767,"")</f>
        <v>-9.5661386338411813E-2</v>
      </c>
      <c r="AD767" s="98"/>
      <c r="AG767" s="61"/>
    </row>
    <row r="768" spans="1:34" ht="11.25" customHeight="1" x14ac:dyDescent="0.15">
      <c r="A768" s="130" t="s">
        <v>53</v>
      </c>
      <c r="B768" s="130"/>
      <c r="C768" s="124"/>
      <c r="D768" s="124"/>
      <c r="E768" s="273"/>
      <c r="F768" s="124"/>
      <c r="G768" s="124"/>
      <c r="H768" s="124"/>
      <c r="I768" s="124"/>
      <c r="J768" s="124"/>
      <c r="K768" s="125"/>
      <c r="L768" s="129"/>
      <c r="M768" s="129"/>
      <c r="N768" s="129"/>
      <c r="O768" s="128"/>
      <c r="P768" s="129"/>
      <c r="Q768" s="124"/>
      <c r="R768" s="129"/>
      <c r="S768" s="129"/>
      <c r="T768" s="129"/>
      <c r="U768" s="129"/>
      <c r="V768" s="126"/>
      <c r="W768" s="49"/>
      <c r="X768" s="45"/>
      <c r="Y768" s="128"/>
      <c r="Z768" s="126"/>
      <c r="AA768" s="128"/>
      <c r="AB768" s="129"/>
      <c r="AC768" s="160"/>
      <c r="AD768" s="137"/>
      <c r="AE768" s="110"/>
      <c r="AF768" s="110"/>
      <c r="AG768" s="121"/>
      <c r="AH768" s="110"/>
    </row>
    <row r="769" spans="1:34" ht="11.25" customHeight="1" x14ac:dyDescent="0.15">
      <c r="A769" s="110" t="s">
        <v>214</v>
      </c>
      <c r="B769" s="110"/>
      <c r="C769" s="111" t="s">
        <v>37</v>
      </c>
      <c r="D769" s="111">
        <v>2022</v>
      </c>
      <c r="E769" s="146">
        <v>44712</v>
      </c>
      <c r="F769" s="111"/>
      <c r="G769" s="111">
        <v>133051222</v>
      </c>
      <c r="H769" s="111"/>
      <c r="I769" s="16" t="str">
        <f>MID(G769,2,1)</f>
        <v>3</v>
      </c>
      <c r="J769" s="16" t="s">
        <v>429</v>
      </c>
      <c r="K769" s="112" t="s">
        <v>430</v>
      </c>
      <c r="L769" s="117">
        <v>162963</v>
      </c>
      <c r="M769" s="120">
        <v>52962.69</v>
      </c>
      <c r="N769" s="120">
        <f>L769-M769</f>
        <v>110000.31</v>
      </c>
      <c r="O769" s="119">
        <f>IFERROR(N769/L769,"")</f>
        <v>0.67500174886323883</v>
      </c>
      <c r="P769" s="117">
        <v>162963</v>
      </c>
      <c r="Q769" s="111">
        <v>214</v>
      </c>
      <c r="R769" s="117">
        <v>216</v>
      </c>
      <c r="S769" s="117">
        <v>8695.14</v>
      </c>
      <c r="T769" s="117">
        <v>0</v>
      </c>
      <c r="U769" s="117">
        <v>40486.239999999998</v>
      </c>
      <c r="V769" s="117">
        <v>0</v>
      </c>
      <c r="W769" s="26">
        <f>SUM(S769:V769)</f>
        <v>49181.38</v>
      </c>
      <c r="X769" s="118">
        <f>IFERROR(S769/R769,"")</f>
        <v>40.255277777777778</v>
      </c>
      <c r="Y769" s="119">
        <f>U769/P769</f>
        <v>0.2484382344458558</v>
      </c>
      <c r="Z769" s="117">
        <f>P769-W769</f>
        <v>113781.62</v>
      </c>
      <c r="AA769" s="119">
        <f>IFERROR(Z769/P769,"")</f>
        <v>0.69820523677153712</v>
      </c>
      <c r="AB769" s="120">
        <f t="shared" ref="AB769:AB777" si="454">M769-W769</f>
        <v>3781.3100000000049</v>
      </c>
      <c r="AC769" s="119">
        <f>IFERROR(AA769-O769,"")</f>
        <v>2.3203487908298293E-2</v>
      </c>
      <c r="AD769" s="110"/>
      <c r="AE769" s="110"/>
      <c r="AF769" s="110"/>
      <c r="AG769" s="121"/>
      <c r="AH769" s="110"/>
    </row>
    <row r="770" spans="1:34" ht="11.25" customHeight="1" x14ac:dyDescent="0.15">
      <c r="A770" s="110" t="s">
        <v>214</v>
      </c>
      <c r="B770" s="110"/>
      <c r="C770" s="111" t="s">
        <v>37</v>
      </c>
      <c r="D770" s="111">
        <v>2022</v>
      </c>
      <c r="E770" s="146">
        <v>44712</v>
      </c>
      <c r="F770" s="111"/>
      <c r="G770" s="111">
        <v>131000012</v>
      </c>
      <c r="H770" s="111"/>
      <c r="I770" s="16" t="str">
        <f>MID(G770,2,1)</f>
        <v>3</v>
      </c>
      <c r="J770" s="16" t="s">
        <v>429</v>
      </c>
      <c r="K770" s="112" t="s">
        <v>431</v>
      </c>
      <c r="L770" s="132">
        <v>58992</v>
      </c>
      <c r="M770" s="219">
        <v>20647</v>
      </c>
      <c r="N770" s="219">
        <f>L770-M770</f>
        <v>38345</v>
      </c>
      <c r="O770" s="119">
        <f>IFERROR(N770/L770,"")</f>
        <v>0.65000339029020882</v>
      </c>
      <c r="P770" s="132">
        <v>58992</v>
      </c>
      <c r="Q770" s="111">
        <v>215</v>
      </c>
      <c r="R770" s="132">
        <v>32</v>
      </c>
      <c r="S770" s="132">
        <v>1245.8</v>
      </c>
      <c r="T770" s="132">
        <v>0</v>
      </c>
      <c r="U770" s="132">
        <v>17083.990000000002</v>
      </c>
      <c r="V770" s="132"/>
      <c r="W770" s="67">
        <f>SUM(S770:V770)</f>
        <v>18329.79</v>
      </c>
      <c r="X770" s="118">
        <f>IFERROR(S770/R770,"")</f>
        <v>38.931249999999999</v>
      </c>
      <c r="Y770" s="119">
        <f>U770/P770</f>
        <v>0.28959842012476272</v>
      </c>
      <c r="Z770" s="117">
        <f>P770-W770</f>
        <v>40662.21</v>
      </c>
      <c r="AA770" s="119">
        <f>IFERROR(Z770/P770,"")</f>
        <v>0.6892834621643612</v>
      </c>
      <c r="AB770" s="120">
        <f t="shared" si="454"/>
        <v>2317.2099999999991</v>
      </c>
      <c r="AC770" s="119">
        <f>IFERROR(AA770-O770,"")</f>
        <v>3.9280071874152389E-2</v>
      </c>
      <c r="AD770" s="110"/>
      <c r="AE770" s="110"/>
      <c r="AF770" s="110"/>
      <c r="AG770" s="121"/>
      <c r="AH770" s="110"/>
    </row>
    <row r="771" spans="1:34" s="53" customFormat="1" ht="11.25" customHeight="1" x14ac:dyDescent="0.15">
      <c r="A771" s="53" t="s">
        <v>214</v>
      </c>
      <c r="C771" s="54" t="s">
        <v>360</v>
      </c>
      <c r="D771" s="54">
        <v>2022</v>
      </c>
      <c r="E771" s="70">
        <v>44712</v>
      </c>
      <c r="F771" s="54"/>
      <c r="G771" s="54"/>
      <c r="H771" s="54"/>
      <c r="I771" s="54"/>
      <c r="J771" s="54"/>
      <c r="K771" s="106"/>
      <c r="L771" s="24">
        <f>SUM(L768:L770)</f>
        <v>221955</v>
      </c>
      <c r="M771" s="24">
        <f>SUM(M770)</f>
        <v>20647</v>
      </c>
      <c r="N771" s="24">
        <f>SUM(N769:N770)</f>
        <v>148345.31</v>
      </c>
      <c r="O771" s="57"/>
      <c r="P771" s="24">
        <f>SUM(P768:P770)</f>
        <v>221955</v>
      </c>
      <c r="Q771" s="24"/>
      <c r="R771" s="24">
        <f>SUM(R768:R770)</f>
        <v>248</v>
      </c>
      <c r="S771" s="24">
        <f>SUM(S768:S770)</f>
        <v>9940.9399999999987</v>
      </c>
      <c r="T771" s="24">
        <f>SUM(T768:T770)</f>
        <v>0</v>
      </c>
      <c r="U771" s="24">
        <f>SUM(U768:U770)</f>
        <v>57570.229999999996</v>
      </c>
      <c r="V771" s="24">
        <f>SUM(V768:V770)</f>
        <v>0</v>
      </c>
      <c r="W771" s="24">
        <f>SUM(W769:W770)</f>
        <v>67511.17</v>
      </c>
      <c r="X771" s="118"/>
      <c r="Y771" s="119"/>
      <c r="Z771" s="28"/>
      <c r="AA771" s="57"/>
      <c r="AB771" s="120">
        <f t="shared" si="454"/>
        <v>-46864.17</v>
      </c>
      <c r="AC771" s="57"/>
      <c r="AG771" s="61"/>
    </row>
    <row r="772" spans="1:34" ht="11.25" customHeight="1" x14ac:dyDescent="0.15">
      <c r="A772" s="110" t="s">
        <v>214</v>
      </c>
      <c r="B772" s="110"/>
      <c r="C772" s="111" t="s">
        <v>47</v>
      </c>
      <c r="D772" s="111">
        <v>2022</v>
      </c>
      <c r="E772" s="146">
        <v>44712</v>
      </c>
      <c r="F772" s="111"/>
      <c r="G772" s="111">
        <v>530000122</v>
      </c>
      <c r="H772" s="111"/>
      <c r="I772" s="111"/>
      <c r="J772" s="111"/>
      <c r="K772" s="112" t="s">
        <v>432</v>
      </c>
      <c r="L772" s="117">
        <v>8229</v>
      </c>
      <c r="M772" s="120">
        <v>2880</v>
      </c>
      <c r="N772" s="120">
        <f>L772-M772</f>
        <v>5349</v>
      </c>
      <c r="O772" s="119">
        <f>IFERROR(N772/L772,"")</f>
        <v>0.65001822821728039</v>
      </c>
      <c r="P772" s="117">
        <v>8229</v>
      </c>
      <c r="Q772" s="111">
        <v>216</v>
      </c>
      <c r="R772" s="117">
        <v>14</v>
      </c>
      <c r="S772" s="117">
        <v>642.74</v>
      </c>
      <c r="T772" s="117"/>
      <c r="U772" s="117"/>
      <c r="V772" s="117"/>
      <c r="W772" s="26">
        <f>SUM(S772:V772)</f>
        <v>642.74</v>
      </c>
      <c r="X772" s="118">
        <f t="shared" ref="X772:X777" si="455">IFERROR(S772/R772,"")</f>
        <v>45.910000000000004</v>
      </c>
      <c r="Y772" s="119">
        <f>U772/P772</f>
        <v>0</v>
      </c>
      <c r="Z772" s="117">
        <f t="shared" ref="Z772:Z777" si="456">P772-W772</f>
        <v>7586.26</v>
      </c>
      <c r="AA772" s="119">
        <f t="shared" ref="AA772:AA777" si="457">IFERROR(Z772/P772,"")</f>
        <v>0.92189330416818571</v>
      </c>
      <c r="AB772" s="120">
        <f t="shared" si="454"/>
        <v>2237.2600000000002</v>
      </c>
      <c r="AC772" s="119">
        <f t="shared" ref="AC772:AC777" si="458">IFERROR(AA772-O772,"")</f>
        <v>0.27187507595090532</v>
      </c>
      <c r="AD772" s="110"/>
      <c r="AE772" s="110"/>
      <c r="AF772" s="110"/>
      <c r="AG772" s="121"/>
      <c r="AH772" s="110"/>
    </row>
    <row r="773" spans="1:34" ht="11.25" customHeight="1" x14ac:dyDescent="0.15">
      <c r="A773" s="110" t="s">
        <v>214</v>
      </c>
      <c r="B773" s="110"/>
      <c r="C773" s="111" t="s">
        <v>248</v>
      </c>
      <c r="D773" s="111">
        <v>2022</v>
      </c>
      <c r="E773" s="146">
        <v>44712</v>
      </c>
      <c r="F773" s="111"/>
      <c r="G773" s="111">
        <v>960000001</v>
      </c>
      <c r="H773" s="111"/>
      <c r="I773" s="111"/>
      <c r="J773" s="111"/>
      <c r="K773" s="112" t="s">
        <v>250</v>
      </c>
      <c r="L773" s="117">
        <v>6239</v>
      </c>
      <c r="M773" s="120">
        <v>6239.5</v>
      </c>
      <c r="N773" s="120">
        <f>L773-M773</f>
        <v>-0.5</v>
      </c>
      <c r="O773" s="119">
        <v>0.5</v>
      </c>
      <c r="P773" s="117">
        <v>6239</v>
      </c>
      <c r="Q773" s="111">
        <v>217</v>
      </c>
      <c r="R773" s="117"/>
      <c r="S773" s="117"/>
      <c r="T773" s="117">
        <v>925.75</v>
      </c>
      <c r="U773" s="117"/>
      <c r="V773" s="117"/>
      <c r="W773" s="26">
        <f>SUM(S773:V773)</f>
        <v>925.75</v>
      </c>
      <c r="X773" s="118" t="str">
        <f t="shared" si="455"/>
        <v/>
      </c>
      <c r="Y773" s="119">
        <f>U773/P773</f>
        <v>0</v>
      </c>
      <c r="Z773" s="117">
        <f t="shared" si="456"/>
        <v>5313.25</v>
      </c>
      <c r="AA773" s="119">
        <f t="shared" si="457"/>
        <v>0.85161884917454722</v>
      </c>
      <c r="AB773" s="120">
        <f t="shared" si="454"/>
        <v>5313.75</v>
      </c>
      <c r="AC773" s="119">
        <f t="shared" si="458"/>
        <v>0.35161884917454722</v>
      </c>
      <c r="AD773" s="110"/>
      <c r="AE773" s="110"/>
      <c r="AF773" s="110"/>
      <c r="AG773" s="121"/>
      <c r="AH773" s="110"/>
    </row>
    <row r="774" spans="1:34" ht="11.25" customHeight="1" x14ac:dyDescent="0.15">
      <c r="A774" s="110" t="s">
        <v>214</v>
      </c>
      <c r="B774" s="110"/>
      <c r="C774" s="111" t="s">
        <v>58</v>
      </c>
      <c r="D774" s="111">
        <v>2022</v>
      </c>
      <c r="E774" s="146">
        <v>44712</v>
      </c>
      <c r="F774" s="111"/>
      <c r="G774" s="111">
        <v>731520122</v>
      </c>
      <c r="H774" s="111"/>
      <c r="I774" s="111"/>
      <c r="J774" s="111"/>
      <c r="K774" s="112" t="s">
        <v>433</v>
      </c>
      <c r="L774" s="132">
        <v>10521</v>
      </c>
      <c r="M774" s="219">
        <v>1052.0999999999999</v>
      </c>
      <c r="N774" s="219">
        <f>L774-M774</f>
        <v>9468.9</v>
      </c>
      <c r="O774" s="119">
        <f>IFERROR(N774/L774,"")</f>
        <v>0.89999999999999991</v>
      </c>
      <c r="P774" s="132">
        <v>10521</v>
      </c>
      <c r="Q774" s="111">
        <v>218</v>
      </c>
      <c r="R774" s="132"/>
      <c r="S774" s="132"/>
      <c r="T774" s="132"/>
      <c r="U774" s="132">
        <v>2354.19</v>
      </c>
      <c r="V774" s="132"/>
      <c r="W774" s="67">
        <f>SUM(S774:V774)</f>
        <v>2354.19</v>
      </c>
      <c r="X774" s="118" t="str">
        <f t="shared" si="455"/>
        <v/>
      </c>
      <c r="Y774" s="119">
        <f>U774/P774</f>
        <v>0.22376104932991162</v>
      </c>
      <c r="Z774" s="117">
        <f t="shared" si="456"/>
        <v>8166.8099999999995</v>
      </c>
      <c r="AA774" s="119">
        <f t="shared" si="457"/>
        <v>0.7762389506700883</v>
      </c>
      <c r="AB774" s="120">
        <f t="shared" si="454"/>
        <v>-1302.0900000000001</v>
      </c>
      <c r="AC774" s="119">
        <f t="shared" si="458"/>
        <v>-0.12376104932991161</v>
      </c>
      <c r="AD774" s="122" t="s">
        <v>434</v>
      </c>
      <c r="AE774" s="110"/>
      <c r="AF774" s="110"/>
      <c r="AG774" s="121"/>
      <c r="AH774" s="110"/>
    </row>
    <row r="775" spans="1:34" ht="11.25" customHeight="1" x14ac:dyDescent="0.15">
      <c r="A775" s="110" t="s">
        <v>214</v>
      </c>
      <c r="B775" s="110"/>
      <c r="C775" s="111" t="s">
        <v>49</v>
      </c>
      <c r="D775" s="111">
        <v>2022</v>
      </c>
      <c r="E775" s="146">
        <v>44712</v>
      </c>
      <c r="F775" s="111"/>
      <c r="G775" s="111">
        <v>636520122</v>
      </c>
      <c r="H775" s="111"/>
      <c r="I775" s="111"/>
      <c r="J775" s="111"/>
      <c r="K775" s="112" t="s">
        <v>435</v>
      </c>
      <c r="L775" s="117">
        <v>8858</v>
      </c>
      <c r="M775" s="120">
        <v>1440</v>
      </c>
      <c r="N775" s="120">
        <f>L775-M775</f>
        <v>7418</v>
      </c>
      <c r="O775" s="119">
        <f>IFERROR(N775/L775,"")</f>
        <v>0.83743508692707158</v>
      </c>
      <c r="P775" s="117">
        <v>8858</v>
      </c>
      <c r="Q775" s="111">
        <v>219</v>
      </c>
      <c r="R775" s="117">
        <v>8</v>
      </c>
      <c r="S775" s="117">
        <v>452.4</v>
      </c>
      <c r="T775" s="117"/>
      <c r="U775" s="117"/>
      <c r="V775" s="117"/>
      <c r="W775" s="26">
        <f>SUM(S775:V775)</f>
        <v>452.4</v>
      </c>
      <c r="X775" s="118">
        <f t="shared" si="455"/>
        <v>56.55</v>
      </c>
      <c r="Y775" s="119">
        <f>U775/P775</f>
        <v>0</v>
      </c>
      <c r="Z775" s="117">
        <f t="shared" si="456"/>
        <v>8405.6</v>
      </c>
      <c r="AA775" s="119">
        <f t="shared" si="457"/>
        <v>0.94892752314292172</v>
      </c>
      <c r="AB775" s="120">
        <f t="shared" si="454"/>
        <v>987.6</v>
      </c>
      <c r="AC775" s="119">
        <f t="shared" si="458"/>
        <v>0.11149243621585014</v>
      </c>
      <c r="AD775" s="110"/>
      <c r="AE775" s="110"/>
      <c r="AF775" s="110"/>
      <c r="AG775" s="121"/>
      <c r="AH775" s="110"/>
    </row>
    <row r="776" spans="1:34" ht="11.25" customHeight="1" x14ac:dyDescent="0.15">
      <c r="A776" s="110" t="s">
        <v>214</v>
      </c>
      <c r="B776" s="110"/>
      <c r="C776" s="111" t="s">
        <v>55</v>
      </c>
      <c r="D776" s="111">
        <v>2022</v>
      </c>
      <c r="E776" s="146">
        <v>44712</v>
      </c>
      <c r="F776" s="111"/>
      <c r="G776" s="111" t="s">
        <v>56</v>
      </c>
      <c r="H776" s="111"/>
      <c r="I776" s="111"/>
      <c r="J776" s="111"/>
      <c r="K776" s="112" t="s">
        <v>71</v>
      </c>
      <c r="L776" s="117">
        <v>0</v>
      </c>
      <c r="M776" s="120">
        <v>0</v>
      </c>
      <c r="N776" s="120">
        <f>L776-M776</f>
        <v>0</v>
      </c>
      <c r="O776" s="119" t="str">
        <f>IFERROR(N776/L776,"")</f>
        <v/>
      </c>
      <c r="P776" s="117">
        <v>0</v>
      </c>
      <c r="Q776" s="111">
        <v>220</v>
      </c>
      <c r="R776" s="117"/>
      <c r="S776" s="117"/>
      <c r="T776" s="117"/>
      <c r="U776" s="117"/>
      <c r="V776" s="117"/>
      <c r="W776" s="26">
        <f>SUM(S776:V776)</f>
        <v>0</v>
      </c>
      <c r="X776" s="118" t="str">
        <f t="shared" si="455"/>
        <v/>
      </c>
      <c r="Y776" s="119">
        <f>IFERROR(U776/P776,0)</f>
        <v>0</v>
      </c>
      <c r="Z776" s="117">
        <f t="shared" si="456"/>
        <v>0</v>
      </c>
      <c r="AA776" s="119" t="str">
        <f t="shared" si="457"/>
        <v/>
      </c>
      <c r="AB776" s="120">
        <f t="shared" si="454"/>
        <v>0</v>
      </c>
      <c r="AC776" s="119" t="str">
        <f t="shared" si="458"/>
        <v/>
      </c>
      <c r="AD776" s="110"/>
      <c r="AE776" s="110"/>
      <c r="AF776" s="110"/>
      <c r="AG776" s="121"/>
      <c r="AH776" s="110"/>
    </row>
    <row r="777" spans="1:34" s="53" customFormat="1" ht="11.25" customHeight="1" x14ac:dyDescent="0.15">
      <c r="A777" s="53" t="s">
        <v>214</v>
      </c>
      <c r="C777" s="54" t="s">
        <v>177</v>
      </c>
      <c r="D777" s="54">
        <v>2022</v>
      </c>
      <c r="E777" s="70">
        <v>44712</v>
      </c>
      <c r="F777" s="54"/>
      <c r="G777" s="54"/>
      <c r="H777" s="54"/>
      <c r="I777" s="54"/>
      <c r="J777" s="54"/>
      <c r="K777" s="106"/>
      <c r="L777" s="24">
        <f>SUM(L771:L776)</f>
        <v>255802</v>
      </c>
      <c r="M777" s="24">
        <f>SUM(M771:M776)</f>
        <v>32258.6</v>
      </c>
      <c r="N777" s="24">
        <f>SUM(N771:N776)</f>
        <v>170580.71</v>
      </c>
      <c r="O777" s="57">
        <f>IFERROR(N777/L777,"")</f>
        <v>0.66684666265314574</v>
      </c>
      <c r="P777" s="24">
        <f>SUM(P771:P776)</f>
        <v>255802</v>
      </c>
      <c r="Q777" s="24"/>
      <c r="R777" s="24">
        <f t="shared" ref="R777:W777" si="459">SUM(R771:R776)</f>
        <v>270</v>
      </c>
      <c r="S777" s="24">
        <f t="shared" si="459"/>
        <v>11036.079999999998</v>
      </c>
      <c r="T777" s="24">
        <f t="shared" si="459"/>
        <v>925.75</v>
      </c>
      <c r="U777" s="24">
        <f t="shared" si="459"/>
        <v>59924.42</v>
      </c>
      <c r="V777" s="24">
        <f t="shared" si="459"/>
        <v>0</v>
      </c>
      <c r="W777" s="24">
        <f t="shared" si="459"/>
        <v>71886.25</v>
      </c>
      <c r="X777" s="56">
        <f t="shared" si="455"/>
        <v>40.874370370370364</v>
      </c>
      <c r="Y777" s="57">
        <f>U777/P777</f>
        <v>0.23426095182993095</v>
      </c>
      <c r="Z777" s="28">
        <f t="shared" si="456"/>
        <v>183915.75</v>
      </c>
      <c r="AA777" s="57">
        <f t="shared" si="457"/>
        <v>0.7189769821971681</v>
      </c>
      <c r="AB777" s="120">
        <f t="shared" si="454"/>
        <v>-39627.65</v>
      </c>
      <c r="AC777" s="57">
        <f t="shared" si="458"/>
        <v>5.2130319544022363E-2</v>
      </c>
      <c r="AD777" s="98"/>
      <c r="AG777" s="61"/>
    </row>
    <row r="778" spans="1:34" ht="11.25" customHeight="1" x14ac:dyDescent="0.15">
      <c r="A778" s="130" t="s">
        <v>53</v>
      </c>
      <c r="B778" s="130"/>
      <c r="C778" s="124"/>
      <c r="D778" s="124"/>
      <c r="E778" s="273"/>
      <c r="F778" s="124"/>
      <c r="G778" s="124"/>
      <c r="H778" s="124"/>
      <c r="I778" s="124"/>
      <c r="J778" s="124"/>
      <c r="K778" s="125"/>
      <c r="L778" s="129"/>
      <c r="M778" s="129"/>
      <c r="N778" s="129"/>
      <c r="O778" s="128"/>
      <c r="P778" s="220"/>
      <c r="Q778" s="124"/>
      <c r="R778" s="220"/>
      <c r="S778" s="220"/>
      <c r="T778" s="220"/>
      <c r="U778" s="220"/>
      <c r="V778" s="126"/>
      <c r="W778" s="230"/>
      <c r="X778" s="45"/>
      <c r="Y778" s="128"/>
      <c r="Z778" s="126"/>
      <c r="AA778" s="128"/>
      <c r="AB778" s="129"/>
      <c r="AC778" s="160"/>
      <c r="AD778" s="137"/>
      <c r="AE778" s="110"/>
      <c r="AF778" s="110"/>
      <c r="AG778" s="121"/>
      <c r="AH778" s="110"/>
    </row>
    <row r="779" spans="1:34" ht="11.25" customHeight="1" x14ac:dyDescent="0.15">
      <c r="A779" s="110" t="s">
        <v>294</v>
      </c>
      <c r="B779" s="110"/>
      <c r="C779" s="111" t="s">
        <v>175</v>
      </c>
      <c r="D779" s="111">
        <v>2022</v>
      </c>
      <c r="E779" s="146">
        <v>44742</v>
      </c>
      <c r="F779" s="111"/>
      <c r="G779" s="111">
        <v>810003112</v>
      </c>
      <c r="H779" s="111">
        <v>4111</v>
      </c>
      <c r="I779" s="111" t="str">
        <f>MID(G779,2,1)</f>
        <v>1</v>
      </c>
      <c r="J779" s="111" t="str">
        <f>IF(I779="1","Small/Medium","Large")</f>
        <v>Small/Medium</v>
      </c>
      <c r="K779" s="147" t="s">
        <v>145</v>
      </c>
      <c r="L779" s="120">
        <f>P779</f>
        <v>6034.8</v>
      </c>
      <c r="M779" s="120">
        <f>L779*0.3</f>
        <v>1810.44</v>
      </c>
      <c r="N779" s="120">
        <f>L779-M779</f>
        <v>4224.3600000000006</v>
      </c>
      <c r="O779" s="119">
        <f>IFERROR(N779/L779,"")</f>
        <v>0.70000000000000007</v>
      </c>
      <c r="P779" s="117">
        <v>6034.8</v>
      </c>
      <c r="Q779" s="111">
        <v>323</v>
      </c>
      <c r="R779" s="117">
        <v>23.25</v>
      </c>
      <c r="S779" s="117">
        <v>1043.46</v>
      </c>
      <c r="T779" s="117">
        <v>718.86</v>
      </c>
      <c r="U779" s="117">
        <v>132.71</v>
      </c>
      <c r="V779" s="117"/>
      <c r="W779" s="26">
        <f>SUM(S779:V779)</f>
        <v>1895.0300000000002</v>
      </c>
      <c r="X779" s="118">
        <f>IFERROR(S779/R779,"")</f>
        <v>44.88</v>
      </c>
      <c r="Y779" s="119">
        <f>U779/P779</f>
        <v>2.1990786770066946E-2</v>
      </c>
      <c r="Z779" s="117">
        <f>P779-W779</f>
        <v>4139.7700000000004</v>
      </c>
      <c r="AA779" s="119">
        <f>Z779/P779</f>
        <v>0.68598296546695836</v>
      </c>
      <c r="AB779" s="120">
        <f t="shared" ref="AB779:AB781" si="460">M779-W779</f>
        <v>-84.590000000000146</v>
      </c>
      <c r="AC779" s="119">
        <f>IFERROR(AA779-O779,"")</f>
        <v>-1.4017034533041706E-2</v>
      </c>
      <c r="AD779" s="110"/>
      <c r="AE779" s="110"/>
      <c r="AF779" s="110"/>
      <c r="AG779" s="121"/>
      <c r="AH779" s="110"/>
    </row>
    <row r="780" spans="1:34" ht="11.25" customHeight="1" x14ac:dyDescent="0.15">
      <c r="A780" s="110" t="s">
        <v>294</v>
      </c>
      <c r="B780" s="110"/>
      <c r="C780" s="111" t="s">
        <v>175</v>
      </c>
      <c r="D780" s="111">
        <v>2022</v>
      </c>
      <c r="E780" s="146">
        <v>44742</v>
      </c>
      <c r="F780" s="111"/>
      <c r="G780" s="111">
        <v>820003112</v>
      </c>
      <c r="H780" s="111">
        <v>4111</v>
      </c>
      <c r="I780" s="111" t="str">
        <f>MID(G780,2,1)</f>
        <v>2</v>
      </c>
      <c r="J780" s="111" t="str">
        <f>IF(I780="1","Small/Medium","Large")</f>
        <v>Large</v>
      </c>
      <c r="K780" s="147" t="s">
        <v>176</v>
      </c>
      <c r="L780" s="219">
        <f>P780</f>
        <v>9052.2000000000007</v>
      </c>
      <c r="M780" s="219">
        <f>L780*0.3</f>
        <v>2715.6600000000003</v>
      </c>
      <c r="N780" s="219">
        <f>L780-M780</f>
        <v>6336.5400000000009</v>
      </c>
      <c r="O780" s="163">
        <f>IFERROR(N780/L780,"")</f>
        <v>0.70000000000000007</v>
      </c>
      <c r="P780" s="132">
        <v>9052.2000000000007</v>
      </c>
      <c r="Q780" s="111">
        <v>324</v>
      </c>
      <c r="R780" s="132">
        <v>17.75</v>
      </c>
      <c r="S780" s="132">
        <v>796.62</v>
      </c>
      <c r="T780" s="132">
        <v>1335.03</v>
      </c>
      <c r="U780" s="132">
        <v>246.47</v>
      </c>
      <c r="V780" s="132"/>
      <c r="W780" s="67">
        <f>SUM(S780:V780)</f>
        <v>2378.12</v>
      </c>
      <c r="X780" s="118">
        <f>IFERROR(S780/R780,"")</f>
        <v>44.88</v>
      </c>
      <c r="Y780" s="119">
        <f>U780/P780</f>
        <v>2.7227635270983847E-2</v>
      </c>
      <c r="Z780" s="117">
        <f>P780-W780</f>
        <v>6674.0800000000008</v>
      </c>
      <c r="AA780" s="119">
        <f>Z780/P780</f>
        <v>0.73728817304080774</v>
      </c>
      <c r="AB780" s="120">
        <f t="shared" si="460"/>
        <v>337.54000000000042</v>
      </c>
      <c r="AC780" s="119">
        <f>IFERROR(AA780-O780,"")</f>
        <v>3.7288173040807671E-2</v>
      </c>
      <c r="AD780" s="110"/>
      <c r="AE780" s="110"/>
      <c r="AF780" s="110"/>
      <c r="AG780" s="121"/>
      <c r="AH780" s="110"/>
    </row>
    <row r="781" spans="1:34" s="53" customFormat="1" ht="11.25" customHeight="1" x14ac:dyDescent="0.15">
      <c r="A781" s="53" t="s">
        <v>294</v>
      </c>
      <c r="C781" s="54" t="s">
        <v>177</v>
      </c>
      <c r="D781" s="54">
        <v>2022</v>
      </c>
      <c r="E781" s="70">
        <v>44742</v>
      </c>
      <c r="F781" s="54"/>
      <c r="G781" s="54"/>
      <c r="H781" s="54"/>
      <c r="I781" s="54"/>
      <c r="J781" s="54"/>
      <c r="K781" s="106"/>
      <c r="L781" s="24">
        <f>P781</f>
        <v>15087</v>
      </c>
      <c r="M781" s="24">
        <f>SUM(M779:M780)</f>
        <v>4526.1000000000004</v>
      </c>
      <c r="N781" s="24">
        <f>SUM(N779:N780)</f>
        <v>10560.900000000001</v>
      </c>
      <c r="O781" s="57">
        <f>IFERROR(N781/L781,"")</f>
        <v>0.70000000000000007</v>
      </c>
      <c r="P781" s="24">
        <f>SUM(P779:P780)</f>
        <v>15087</v>
      </c>
      <c r="Q781" s="24"/>
      <c r="R781" s="24">
        <f t="shared" ref="R781:W781" si="461">SUM(R779:R780)</f>
        <v>41</v>
      </c>
      <c r="S781" s="24">
        <f t="shared" si="461"/>
        <v>1840.08</v>
      </c>
      <c r="T781" s="24">
        <f t="shared" si="461"/>
        <v>2053.89</v>
      </c>
      <c r="U781" s="24">
        <f t="shared" si="461"/>
        <v>379.18</v>
      </c>
      <c r="V781" s="24">
        <f t="shared" si="461"/>
        <v>0</v>
      </c>
      <c r="W781" s="24">
        <f t="shared" si="461"/>
        <v>4273.1499999999996</v>
      </c>
      <c r="X781" s="56"/>
      <c r="Y781" s="57"/>
      <c r="Z781" s="28">
        <f>P781-W781</f>
        <v>10813.85</v>
      </c>
      <c r="AA781" s="57">
        <f>Z781/P781</f>
        <v>0.71676609001126801</v>
      </c>
      <c r="AB781" s="120">
        <f t="shared" si="460"/>
        <v>252.95000000000073</v>
      </c>
      <c r="AC781" s="57">
        <f>IFERROR(AA781-O781,"")</f>
        <v>1.6766090011267942E-2</v>
      </c>
      <c r="AG781" s="61"/>
    </row>
    <row r="782" spans="1:34" ht="11.25" customHeight="1" x14ac:dyDescent="0.15">
      <c r="A782" s="130" t="s">
        <v>53</v>
      </c>
      <c r="B782" s="130"/>
      <c r="C782" s="124"/>
      <c r="D782" s="124"/>
      <c r="E782" s="273"/>
      <c r="F782" s="124"/>
      <c r="G782" s="124"/>
      <c r="H782" s="124"/>
      <c r="I782" s="124"/>
      <c r="J782" s="124"/>
      <c r="K782" s="125"/>
      <c r="L782" s="129"/>
      <c r="M782" s="129"/>
      <c r="N782" s="129"/>
      <c r="O782" s="128"/>
      <c r="P782" s="129"/>
      <c r="Q782" s="124"/>
      <c r="R782" s="129"/>
      <c r="S782" s="129"/>
      <c r="T782" s="129"/>
      <c r="U782" s="129"/>
      <c r="V782" s="126"/>
      <c r="W782" s="49"/>
      <c r="X782" s="45"/>
      <c r="Y782" s="128"/>
      <c r="Z782" s="126"/>
      <c r="AA782" s="128"/>
      <c r="AB782" s="129"/>
      <c r="AC782" s="160"/>
      <c r="AD782" s="137"/>
      <c r="AE782" s="110"/>
      <c r="AF782" s="110"/>
      <c r="AG782" s="121"/>
      <c r="AH782" s="110"/>
    </row>
    <row r="783" spans="1:34" ht="11.25" customHeight="1" x14ac:dyDescent="0.15">
      <c r="A783" s="110" t="s">
        <v>137</v>
      </c>
      <c r="B783" s="110"/>
      <c r="C783" s="111" t="s">
        <v>175</v>
      </c>
      <c r="D783" s="111">
        <v>2022</v>
      </c>
      <c r="E783" s="146">
        <v>44742</v>
      </c>
      <c r="F783" s="111"/>
      <c r="G783" s="111">
        <v>811101112</v>
      </c>
      <c r="H783" s="111">
        <v>4101</v>
      </c>
      <c r="I783" s="111" t="str">
        <f>MID(G783,2,1)</f>
        <v>1</v>
      </c>
      <c r="J783" s="111" t="str">
        <f>IF(I783="1","Small/Medium","Large")</f>
        <v>Small/Medium</v>
      </c>
      <c r="K783" s="147" t="s">
        <v>145</v>
      </c>
      <c r="L783" s="219">
        <f>P783</f>
        <v>14002.01</v>
      </c>
      <c r="M783" s="219">
        <f>L783*0.3</f>
        <v>4200.6030000000001</v>
      </c>
      <c r="N783" s="219">
        <f>L783-M783</f>
        <v>9801.4069999999992</v>
      </c>
      <c r="O783" s="119">
        <f>IFERROR(N783/L783,"")</f>
        <v>0.7</v>
      </c>
      <c r="P783" s="132">
        <v>14002.01</v>
      </c>
      <c r="Q783" s="111">
        <v>325</v>
      </c>
      <c r="R783" s="132">
        <v>24.5</v>
      </c>
      <c r="S783" s="132">
        <v>1099.56</v>
      </c>
      <c r="T783" s="132">
        <v>1386.2</v>
      </c>
      <c r="U783" s="132">
        <v>387.75</v>
      </c>
      <c r="V783" s="132"/>
      <c r="W783" s="67">
        <f>SUM(S783:V783)</f>
        <v>2873.51</v>
      </c>
      <c r="X783" s="118">
        <f>IFERROR(S783/R783,"")</f>
        <v>44.879999999999995</v>
      </c>
      <c r="Y783" s="119">
        <f>U783/P783</f>
        <v>2.7692452726429992E-2</v>
      </c>
      <c r="Z783" s="117">
        <f>P783-W783</f>
        <v>11128.5</v>
      </c>
      <c r="AA783" s="119">
        <f>Z783/P783</f>
        <v>0.7947787496223756</v>
      </c>
      <c r="AB783" s="120">
        <f t="shared" ref="AB783:AB785" si="462">M783-W783</f>
        <v>1327.0929999999998</v>
      </c>
      <c r="AC783" s="119">
        <f>IFERROR(AA783-O783,"")</f>
        <v>9.4778749622375646E-2</v>
      </c>
      <c r="AD783" s="110"/>
      <c r="AE783" s="110"/>
      <c r="AF783" s="110"/>
      <c r="AG783" s="121"/>
      <c r="AH783" s="110"/>
    </row>
    <row r="784" spans="1:34" ht="11.25" customHeight="1" x14ac:dyDescent="0.15">
      <c r="A784" s="110" t="s">
        <v>137</v>
      </c>
      <c r="B784" s="110"/>
      <c r="C784" s="111" t="s">
        <v>175</v>
      </c>
      <c r="D784" s="111">
        <v>2022</v>
      </c>
      <c r="E784" s="146">
        <v>44742</v>
      </c>
      <c r="F784" s="111"/>
      <c r="G784" s="111">
        <v>821101112</v>
      </c>
      <c r="H784" s="111">
        <v>4101</v>
      </c>
      <c r="I784" s="111" t="str">
        <f>MID(G784,2,1)</f>
        <v>2</v>
      </c>
      <c r="J784" s="111" t="str">
        <f>IF(I784="1","Small/Medium","Large")</f>
        <v>Large</v>
      </c>
      <c r="K784" s="147" t="s">
        <v>176</v>
      </c>
      <c r="L784" s="120">
        <f>P784</f>
        <v>26003.22</v>
      </c>
      <c r="M784" s="120">
        <f>L784*0.3</f>
        <v>7800.9660000000003</v>
      </c>
      <c r="N784" s="120">
        <f>L784-M784</f>
        <v>18202.254000000001</v>
      </c>
      <c r="O784" s="119">
        <f>IFERROR(N784/L784,"")</f>
        <v>0.7</v>
      </c>
      <c r="P784" s="117">
        <v>26003.22</v>
      </c>
      <c r="Q784" s="111">
        <v>326</v>
      </c>
      <c r="R784" s="117">
        <v>18.5</v>
      </c>
      <c r="S784" s="117">
        <v>830.28</v>
      </c>
      <c r="T784" s="117">
        <v>1386.2</v>
      </c>
      <c r="U784" s="117">
        <v>387.75</v>
      </c>
      <c r="V784" s="117"/>
      <c r="W784" s="26">
        <f>SUM(S784:V784)</f>
        <v>2604.23</v>
      </c>
      <c r="X784" s="118">
        <f>IFERROR(S784/R784,"")</f>
        <v>44.879999999999995</v>
      </c>
      <c r="Y784" s="119">
        <f>U784/P784</f>
        <v>1.4911614792321873E-2</v>
      </c>
      <c r="Z784" s="117">
        <f>P784-W784</f>
        <v>23398.99</v>
      </c>
      <c r="AA784" s="119">
        <f>Z784/P784</f>
        <v>0.89984971092041677</v>
      </c>
      <c r="AB784" s="120">
        <f t="shared" si="462"/>
        <v>5196.7360000000008</v>
      </c>
      <c r="AC784" s="119">
        <f>IFERROR(AA784-O784,"")</f>
        <v>0.19984971092041681</v>
      </c>
      <c r="AD784" s="110"/>
      <c r="AE784" s="110"/>
      <c r="AF784" s="110"/>
      <c r="AG784" s="121"/>
      <c r="AH784" s="110"/>
    </row>
    <row r="785" spans="1:34" s="53" customFormat="1" ht="11.25" customHeight="1" x14ac:dyDescent="0.15">
      <c r="A785" s="53" t="s">
        <v>137</v>
      </c>
      <c r="C785" s="54" t="s">
        <v>177</v>
      </c>
      <c r="D785" s="54">
        <v>2022</v>
      </c>
      <c r="E785" s="70">
        <v>44742</v>
      </c>
      <c r="F785" s="54"/>
      <c r="G785" s="54"/>
      <c r="H785" s="54"/>
      <c r="I785" s="54"/>
      <c r="J785" s="54"/>
      <c r="K785" s="106"/>
      <c r="L785" s="24">
        <f>P785</f>
        <v>40005.230000000003</v>
      </c>
      <c r="M785" s="24">
        <f>SUM(M783:M784)</f>
        <v>12001.569</v>
      </c>
      <c r="N785" s="24">
        <f>SUM(N783:N784)</f>
        <v>28003.661</v>
      </c>
      <c r="O785" s="57">
        <f>IFERROR(N785/L785,"")</f>
        <v>0.7</v>
      </c>
      <c r="P785" s="24">
        <f>SUM(P783:P784)</f>
        <v>40005.230000000003</v>
      </c>
      <c r="Q785" s="24"/>
      <c r="R785" s="24">
        <f>SUBTOTAL(9,R783:R784)</f>
        <v>43</v>
      </c>
      <c r="S785" s="24">
        <f t="shared" ref="S785:V785" si="463">SUBTOTAL(9,S783:S784)</f>
        <v>1929.84</v>
      </c>
      <c r="T785" s="24">
        <f t="shared" si="463"/>
        <v>2772.4</v>
      </c>
      <c r="U785" s="24">
        <f t="shared" si="463"/>
        <v>775.5</v>
      </c>
      <c r="V785" s="24">
        <f t="shared" si="463"/>
        <v>0</v>
      </c>
      <c r="W785" s="24">
        <f>SUM(W783:W784)</f>
        <v>5477.74</v>
      </c>
      <c r="X785" s="56"/>
      <c r="Y785" s="57"/>
      <c r="Z785" s="28">
        <f>P785-W785</f>
        <v>34527.490000000005</v>
      </c>
      <c r="AA785" s="57">
        <f>Z785/P785</f>
        <v>0.86307440302180494</v>
      </c>
      <c r="AB785" s="120">
        <f t="shared" si="462"/>
        <v>6523.8289999999997</v>
      </c>
      <c r="AC785" s="57">
        <f>IFERROR(AA785-O785,"")</f>
        <v>0.16307440302180498</v>
      </c>
      <c r="AG785" s="61"/>
    </row>
    <row r="786" spans="1:34" ht="11.25" customHeight="1" x14ac:dyDescent="0.15">
      <c r="A786" s="130" t="s">
        <v>53</v>
      </c>
      <c r="B786" s="130"/>
      <c r="C786" s="124"/>
      <c r="D786" s="124"/>
      <c r="E786" s="273"/>
      <c r="F786" s="124"/>
      <c r="G786" s="124"/>
      <c r="H786" s="124"/>
      <c r="I786" s="124"/>
      <c r="J786" s="124"/>
      <c r="K786" s="125"/>
      <c r="L786" s="129"/>
      <c r="M786" s="129"/>
      <c r="N786" s="129"/>
      <c r="O786" s="128"/>
      <c r="P786" s="129"/>
      <c r="Q786" s="124"/>
      <c r="R786" s="129"/>
      <c r="S786" s="129"/>
      <c r="T786" s="129"/>
      <c r="U786" s="129"/>
      <c r="V786" s="126"/>
      <c r="W786" s="49"/>
      <c r="X786" s="45"/>
      <c r="Y786" s="128"/>
      <c r="Z786" s="126"/>
      <c r="AA786" s="128"/>
      <c r="AB786" s="129"/>
      <c r="AC786" s="160"/>
      <c r="AD786" s="137"/>
      <c r="AE786" s="110"/>
      <c r="AF786" s="110"/>
      <c r="AG786" s="121"/>
      <c r="AH786" s="110"/>
    </row>
    <row r="787" spans="1:34" ht="11.25" customHeight="1" x14ac:dyDescent="0.15">
      <c r="A787" s="110" t="s">
        <v>436</v>
      </c>
      <c r="B787" s="110"/>
      <c r="C787" s="111" t="s">
        <v>37</v>
      </c>
      <c r="D787" s="111">
        <v>2022</v>
      </c>
      <c r="E787" s="146">
        <v>44742</v>
      </c>
      <c r="F787" s="111"/>
      <c r="G787" s="111">
        <v>125100121</v>
      </c>
      <c r="H787" s="111"/>
      <c r="I787" s="16" t="str">
        <f>MID(G787,2,1)</f>
        <v>2</v>
      </c>
      <c r="J787" s="16" t="s">
        <v>68</v>
      </c>
      <c r="K787" s="112" t="s">
        <v>437</v>
      </c>
      <c r="L787" s="219">
        <f>P787</f>
        <v>125437</v>
      </c>
      <c r="M787" s="219">
        <v>56566.649999999987</v>
      </c>
      <c r="N787" s="219">
        <f>L787-M787</f>
        <v>68870.350000000006</v>
      </c>
      <c r="O787" s="163">
        <f>IFERROR(N787/L787,"")</f>
        <v>0.54904334446774083</v>
      </c>
      <c r="P787" s="132">
        <v>125437</v>
      </c>
      <c r="Q787" s="111">
        <v>64</v>
      </c>
      <c r="R787" s="132">
        <v>21</v>
      </c>
      <c r="S787" s="132">
        <v>740.94</v>
      </c>
      <c r="T787" s="132"/>
      <c r="U787" s="132">
        <v>26868.15</v>
      </c>
      <c r="V787" s="132"/>
      <c r="W787" s="67">
        <f>SUM(S787:V787)</f>
        <v>27609.09</v>
      </c>
      <c r="X787" s="118">
        <f>IFERROR(S787/R787,"")</f>
        <v>35.282857142857146</v>
      </c>
      <c r="Y787" s="119">
        <f>U787/P787</f>
        <v>0.2141963694922551</v>
      </c>
      <c r="Z787" s="117">
        <f>P787-W787</f>
        <v>97827.91</v>
      </c>
      <c r="AA787" s="119">
        <f>IFERROR(Z787/P787,"")</f>
        <v>0.77989676092381044</v>
      </c>
      <c r="AB787" s="120">
        <f t="shared" ref="AB787:AB797" si="464">M787-W787</f>
        <v>28957.559999999987</v>
      </c>
      <c r="AC787" s="119">
        <f>IFERROR(AA787-O787,"")</f>
        <v>0.2308534164560696</v>
      </c>
      <c r="AD787" s="110" t="s">
        <v>438</v>
      </c>
      <c r="AE787" s="110"/>
      <c r="AF787" s="110"/>
      <c r="AG787" s="121"/>
      <c r="AH787" s="110"/>
    </row>
    <row r="788" spans="1:34" ht="11.25" customHeight="1" x14ac:dyDescent="0.15">
      <c r="A788" s="110" t="s">
        <v>436</v>
      </c>
      <c r="B788" s="110"/>
      <c r="C788" s="111" t="s">
        <v>37</v>
      </c>
      <c r="D788" s="111">
        <v>2022</v>
      </c>
      <c r="E788" s="146">
        <v>44742</v>
      </c>
      <c r="F788" s="111"/>
      <c r="G788" s="111">
        <v>210100111</v>
      </c>
      <c r="H788" s="111"/>
      <c r="I788" s="111"/>
      <c r="J788" s="111"/>
      <c r="K788" s="112" t="s">
        <v>439</v>
      </c>
      <c r="L788" s="120">
        <f>P788</f>
        <v>16179</v>
      </c>
      <c r="M788" s="120">
        <v>7280.668665089268</v>
      </c>
      <c r="N788" s="120">
        <f>L788-M788</f>
        <v>8898.331334910732</v>
      </c>
      <c r="O788" s="119">
        <f>IFERROR(N788/L788,"")</f>
        <v>0.54999266548678727</v>
      </c>
      <c r="P788" s="117">
        <v>16179</v>
      </c>
      <c r="Q788" s="111">
        <v>245</v>
      </c>
      <c r="R788" s="117"/>
      <c r="S788" s="117"/>
      <c r="T788" s="117"/>
      <c r="U788" s="117">
        <v>5665.52</v>
      </c>
      <c r="V788" s="117"/>
      <c r="W788" s="26">
        <f>SUM(S788:V788)</f>
        <v>5665.52</v>
      </c>
      <c r="X788" s="118" t="str">
        <f>IFERROR(S788/R788,"")</f>
        <v/>
      </c>
      <c r="Y788" s="119">
        <f>U788/P788</f>
        <v>0.35017739044440327</v>
      </c>
      <c r="Z788" s="117">
        <f>P788-W788</f>
        <v>10513.48</v>
      </c>
      <c r="AA788" s="119">
        <f>IFERROR(Z788/P788,"")</f>
        <v>0.64982260955559679</v>
      </c>
      <c r="AB788" s="120">
        <f t="shared" si="464"/>
        <v>1615.1486650892675</v>
      </c>
      <c r="AC788" s="119">
        <f>IFERROR(AA788-O788,"")</f>
        <v>9.9829944068809517E-2</v>
      </c>
      <c r="AD788" s="110"/>
      <c r="AE788" s="110"/>
      <c r="AF788" s="110"/>
      <c r="AG788" s="121"/>
      <c r="AH788" s="110"/>
    </row>
    <row r="789" spans="1:34" ht="11.25" customHeight="1" x14ac:dyDescent="0.15">
      <c r="A789" s="110" t="s">
        <v>436</v>
      </c>
      <c r="B789" s="110"/>
      <c r="C789" s="111" t="s">
        <v>37</v>
      </c>
      <c r="D789" s="111">
        <v>2022</v>
      </c>
      <c r="E789" s="146">
        <v>44742</v>
      </c>
      <c r="F789" s="111"/>
      <c r="G789" s="111">
        <v>925100421</v>
      </c>
      <c r="H789" s="111"/>
      <c r="I789" s="111"/>
      <c r="J789" s="111"/>
      <c r="K789" s="112" t="s">
        <v>440</v>
      </c>
      <c r="L789" s="120">
        <f>P789</f>
        <v>14532</v>
      </c>
      <c r="M789" s="120">
        <v>4700</v>
      </c>
      <c r="N789" s="120">
        <f>L789-M789</f>
        <v>9832</v>
      </c>
      <c r="O789" s="119">
        <f>IFERROR(N789/L789,"")</f>
        <v>0.67657583264519683</v>
      </c>
      <c r="P789" s="117">
        <v>14532</v>
      </c>
      <c r="Q789" s="111">
        <v>65</v>
      </c>
      <c r="R789" s="117"/>
      <c r="S789" s="117"/>
      <c r="T789" s="117"/>
      <c r="U789" s="117">
        <v>3951.99</v>
      </c>
      <c r="V789" s="117"/>
      <c r="W789" s="26">
        <f>SUM(S789:V789)</f>
        <v>3951.99</v>
      </c>
      <c r="X789" s="118" t="str">
        <f>IFERROR(S789/R789,"")</f>
        <v/>
      </c>
      <c r="Y789" s="119">
        <f>U789/P789</f>
        <v>0.27195086705202309</v>
      </c>
      <c r="Z789" s="117">
        <f>P789-W789</f>
        <v>10580.01</v>
      </c>
      <c r="AA789" s="119">
        <f>IFERROR(Z789/P789,"")</f>
        <v>0.72804913294797691</v>
      </c>
      <c r="AB789" s="120">
        <f t="shared" si="464"/>
        <v>748.01000000000022</v>
      </c>
      <c r="AC789" s="119">
        <f>IFERROR(AA789-O789,"")</f>
        <v>5.1473300302780078E-2</v>
      </c>
      <c r="AD789" s="110"/>
      <c r="AE789" s="110"/>
      <c r="AF789" s="110"/>
      <c r="AG789" s="121"/>
      <c r="AH789" s="110"/>
    </row>
    <row r="790" spans="1:34" ht="11.25" customHeight="1" x14ac:dyDescent="0.15">
      <c r="A790" s="110" t="s">
        <v>436</v>
      </c>
      <c r="B790" s="110"/>
      <c r="C790" s="111" t="s">
        <v>37</v>
      </c>
      <c r="D790" s="111">
        <v>2022</v>
      </c>
      <c r="E790" s="146">
        <v>44742</v>
      </c>
      <c r="F790" s="111"/>
      <c r="G790" s="111">
        <v>310300301</v>
      </c>
      <c r="H790" s="111"/>
      <c r="I790" s="111"/>
      <c r="J790" s="111"/>
      <c r="K790" s="112" t="s">
        <v>441</v>
      </c>
      <c r="L790" s="120">
        <f>P790</f>
        <v>39656</v>
      </c>
      <c r="M790" s="120">
        <v>14116.5</v>
      </c>
      <c r="N790" s="120">
        <f>L790-M790</f>
        <v>25539.5</v>
      </c>
      <c r="O790" s="119">
        <f>IFERROR(N790/L790,"")</f>
        <v>0.64402612467218079</v>
      </c>
      <c r="P790" s="132">
        <v>39656</v>
      </c>
      <c r="Q790" s="111">
        <v>66</v>
      </c>
      <c r="R790" s="132">
        <v>32.5</v>
      </c>
      <c r="S790" s="132">
        <v>1268.8</v>
      </c>
      <c r="T790" s="132"/>
      <c r="U790" s="132">
        <v>11055.18</v>
      </c>
      <c r="V790" s="132"/>
      <c r="W790" s="67">
        <f>SUM(S790:V790)</f>
        <v>12323.98</v>
      </c>
      <c r="X790" s="118">
        <f>IFERROR(S790/R790,"")</f>
        <v>39.04</v>
      </c>
      <c r="Y790" s="119">
        <f>U790/P790</f>
        <v>0.27877698204559209</v>
      </c>
      <c r="Z790" s="117">
        <f>P790-W790</f>
        <v>27332.02</v>
      </c>
      <c r="AA790" s="119">
        <f>IFERROR(Z790/P790,"")</f>
        <v>0.68922785959249544</v>
      </c>
      <c r="AB790" s="120">
        <f t="shared" si="464"/>
        <v>1792.5200000000004</v>
      </c>
      <c r="AC790" s="119">
        <f>IFERROR(AA790-O790,"")</f>
        <v>4.5201734920314651E-2</v>
      </c>
      <c r="AD790" s="110"/>
      <c r="AE790" s="110"/>
      <c r="AF790" s="110"/>
      <c r="AG790" s="121"/>
      <c r="AH790" s="110"/>
    </row>
    <row r="791" spans="1:34" s="53" customFormat="1" ht="11.25" customHeight="1" x14ac:dyDescent="0.15">
      <c r="A791" s="53" t="s">
        <v>436</v>
      </c>
      <c r="C791" s="54" t="s">
        <v>360</v>
      </c>
      <c r="D791" s="54">
        <v>2022</v>
      </c>
      <c r="E791" s="70">
        <v>44742</v>
      </c>
      <c r="F791" s="54"/>
      <c r="G791" s="54"/>
      <c r="H791" s="54"/>
      <c r="I791" s="54"/>
      <c r="J791" s="54"/>
      <c r="K791" s="106"/>
      <c r="L791" s="24">
        <f>SUM(L787:L790)</f>
        <v>195804</v>
      </c>
      <c r="M791" s="24">
        <f>SUM(M787:M790)</f>
        <v>82663.81866508926</v>
      </c>
      <c r="N791" s="24">
        <f>SUM(N787:N790)</f>
        <v>113140.18133491074</v>
      </c>
      <c r="O791" s="57"/>
      <c r="P791" s="24">
        <f>SUM(P787:P790)</f>
        <v>195804</v>
      </c>
      <c r="Q791" s="91"/>
      <c r="R791" s="24">
        <f t="shared" ref="R791:W791" si="465">SUM(R787:R790)</f>
        <v>53.5</v>
      </c>
      <c r="S791" s="24">
        <f t="shared" si="465"/>
        <v>2009.74</v>
      </c>
      <c r="T791" s="24">
        <f t="shared" si="465"/>
        <v>0</v>
      </c>
      <c r="U791" s="24">
        <f t="shared" si="465"/>
        <v>47540.840000000004</v>
      </c>
      <c r="V791" s="24">
        <f t="shared" si="465"/>
        <v>0</v>
      </c>
      <c r="W791" s="24">
        <f t="shared" si="465"/>
        <v>49550.58</v>
      </c>
      <c r="X791" s="118"/>
      <c r="Y791" s="119"/>
      <c r="Z791" s="28"/>
      <c r="AA791" s="57"/>
      <c r="AB791" s="120">
        <f t="shared" si="464"/>
        <v>33113.238665089259</v>
      </c>
      <c r="AC791" s="57"/>
      <c r="AG791" s="61"/>
    </row>
    <row r="792" spans="1:34" ht="11.25" customHeight="1" x14ac:dyDescent="0.15">
      <c r="A792" s="110" t="s">
        <v>436</v>
      </c>
      <c r="B792" s="110"/>
      <c r="C792" s="111" t="s">
        <v>47</v>
      </c>
      <c r="D792" s="111">
        <v>2022</v>
      </c>
      <c r="E792" s="146">
        <v>44742</v>
      </c>
      <c r="F792" s="111"/>
      <c r="G792" s="111">
        <v>525100121</v>
      </c>
      <c r="H792" s="111"/>
      <c r="I792" s="111"/>
      <c r="J792" s="111"/>
      <c r="K792" s="112" t="s">
        <v>442</v>
      </c>
      <c r="L792" s="120">
        <f>P792</f>
        <v>22419</v>
      </c>
      <c r="M792" s="120">
        <v>16290</v>
      </c>
      <c r="N792" s="120">
        <f>L792-M792</f>
        <v>6129</v>
      </c>
      <c r="O792" s="119">
        <f t="shared" ref="O792:O797" si="466">IFERROR(N792/L792,"")</f>
        <v>0.27338418305901246</v>
      </c>
      <c r="P792" s="117">
        <v>22419</v>
      </c>
      <c r="Q792" s="111">
        <v>67</v>
      </c>
      <c r="R792" s="117">
        <v>106.5</v>
      </c>
      <c r="S792" s="117">
        <v>4889.42</v>
      </c>
      <c r="T792" s="117">
        <v>4962.17</v>
      </c>
      <c r="U792" s="117">
        <v>2873.73</v>
      </c>
      <c r="V792" s="117"/>
      <c r="W792" s="26">
        <f>SUM(S792:V792)</f>
        <v>12725.32</v>
      </c>
      <c r="X792" s="118">
        <f t="shared" ref="X792:X797" si="467">IFERROR(S792/R792,"")</f>
        <v>45.910046948356808</v>
      </c>
      <c r="Y792" s="119">
        <f>U792/P792</f>
        <v>0.12818279138230965</v>
      </c>
      <c r="Z792" s="117">
        <f t="shared" ref="Z792:Z797" si="468">P792-W792</f>
        <v>9693.68</v>
      </c>
      <c r="AA792" s="119">
        <f t="shared" ref="AA792:AA797" si="469">IFERROR(Z792/P792,"")</f>
        <v>0.43238681475534146</v>
      </c>
      <c r="AB792" s="120">
        <f t="shared" si="464"/>
        <v>3564.6800000000003</v>
      </c>
      <c r="AC792" s="119">
        <f t="shared" ref="AC792:AC797" si="470">IFERROR(AA792-O792,"")</f>
        <v>0.159002631696329</v>
      </c>
      <c r="AD792" s="110"/>
      <c r="AE792" s="110"/>
      <c r="AF792" s="110"/>
      <c r="AG792" s="121"/>
      <c r="AH792" s="110"/>
    </row>
    <row r="793" spans="1:34" ht="11.25" customHeight="1" x14ac:dyDescent="0.15">
      <c r="A793" s="110" t="s">
        <v>436</v>
      </c>
      <c r="B793" s="110"/>
      <c r="C793" s="111" t="s">
        <v>58</v>
      </c>
      <c r="D793" s="111">
        <v>2022</v>
      </c>
      <c r="E793" s="146">
        <v>44742</v>
      </c>
      <c r="F793" s="111"/>
      <c r="G793" s="111">
        <v>721420121</v>
      </c>
      <c r="H793" s="111"/>
      <c r="I793" s="111"/>
      <c r="J793" s="111"/>
      <c r="K793" s="112" t="s">
        <v>443</v>
      </c>
      <c r="L793" s="120">
        <f>P793</f>
        <v>22137</v>
      </c>
      <c r="M793" s="120">
        <f>L793*0.1</f>
        <v>2213.7000000000003</v>
      </c>
      <c r="N793" s="120">
        <f>L793-M793</f>
        <v>19923.3</v>
      </c>
      <c r="O793" s="119">
        <f t="shared" si="466"/>
        <v>0.9</v>
      </c>
      <c r="P793" s="117">
        <v>22137</v>
      </c>
      <c r="Q793" s="111">
        <v>68</v>
      </c>
      <c r="R793" s="117"/>
      <c r="S793" s="117"/>
      <c r="T793" s="117"/>
      <c r="U793" s="117">
        <v>2221.5700000000002</v>
      </c>
      <c r="V793" s="117"/>
      <c r="W793" s="26">
        <f>SUM(S793:V793)</f>
        <v>2221.5700000000002</v>
      </c>
      <c r="X793" s="118" t="str">
        <f t="shared" si="467"/>
        <v/>
      </c>
      <c r="Y793" s="119">
        <f>U793/P793</f>
        <v>0.10035551339386548</v>
      </c>
      <c r="Z793" s="117">
        <f t="shared" si="468"/>
        <v>19915.43</v>
      </c>
      <c r="AA793" s="119">
        <f t="shared" si="469"/>
        <v>0.8996444866061345</v>
      </c>
      <c r="AB793" s="120">
        <f t="shared" si="464"/>
        <v>-7.8699999999998909</v>
      </c>
      <c r="AC793" s="119">
        <f t="shared" si="470"/>
        <v>-3.5551339386552527E-4</v>
      </c>
      <c r="AD793" s="110"/>
      <c r="AE793" s="110"/>
      <c r="AF793" s="110"/>
      <c r="AG793" s="121"/>
      <c r="AH793" s="110"/>
    </row>
    <row r="794" spans="1:34" ht="11.25" customHeight="1" x14ac:dyDescent="0.15">
      <c r="A794" s="110" t="s">
        <v>436</v>
      </c>
      <c r="B794" s="110"/>
      <c r="C794" s="111" t="s">
        <v>248</v>
      </c>
      <c r="D794" s="111">
        <v>2022</v>
      </c>
      <c r="E794" s="146">
        <v>44742</v>
      </c>
      <c r="F794" s="111"/>
      <c r="G794" s="111">
        <v>960000001</v>
      </c>
      <c r="H794" s="111"/>
      <c r="I794" s="111"/>
      <c r="J794" s="111"/>
      <c r="K794" s="112" t="s">
        <v>250</v>
      </c>
      <c r="L794" s="219">
        <f>P794</f>
        <v>12563</v>
      </c>
      <c r="M794" s="219">
        <v>6617.59</v>
      </c>
      <c r="N794" s="219">
        <f>L794-M794</f>
        <v>5945.41</v>
      </c>
      <c r="O794" s="119">
        <f t="shared" si="466"/>
        <v>0.47324763193504737</v>
      </c>
      <c r="P794" s="132">
        <v>12563</v>
      </c>
      <c r="Q794" s="111">
        <v>71</v>
      </c>
      <c r="R794" s="132">
        <v>12</v>
      </c>
      <c r="S794" s="132">
        <v>678.6</v>
      </c>
      <c r="T794" s="132"/>
      <c r="U794" s="132"/>
      <c r="V794" s="132"/>
      <c r="W794" s="67">
        <f>SUM(S794:V794)</f>
        <v>678.6</v>
      </c>
      <c r="X794" s="118">
        <f t="shared" si="467"/>
        <v>56.550000000000004</v>
      </c>
      <c r="Y794" s="119">
        <f>U794/P794</f>
        <v>0</v>
      </c>
      <c r="Z794" s="117">
        <f t="shared" si="468"/>
        <v>11884.4</v>
      </c>
      <c r="AA794" s="119">
        <f t="shared" si="469"/>
        <v>0.94598423943325638</v>
      </c>
      <c r="AB794" s="120">
        <f t="shared" si="464"/>
        <v>5938.99</v>
      </c>
      <c r="AC794" s="119">
        <f t="shared" si="470"/>
        <v>0.472736607498209</v>
      </c>
      <c r="AD794" s="110"/>
      <c r="AE794" s="110"/>
      <c r="AF794" s="110"/>
      <c r="AG794" s="121"/>
      <c r="AH794" s="110"/>
    </row>
    <row r="795" spans="1:34" ht="11.25" customHeight="1" x14ac:dyDescent="0.15">
      <c r="A795" s="110" t="s">
        <v>436</v>
      </c>
      <c r="B795" s="110"/>
      <c r="C795" s="111" t="s">
        <v>49</v>
      </c>
      <c r="D795" s="111">
        <v>2022</v>
      </c>
      <c r="E795" s="146">
        <v>44742</v>
      </c>
      <c r="F795" s="111"/>
      <c r="G795" s="111">
        <v>626420121</v>
      </c>
      <c r="H795" s="111"/>
      <c r="I795" s="111"/>
      <c r="J795" s="111"/>
      <c r="K795" s="112" t="s">
        <v>444</v>
      </c>
      <c r="L795" s="120">
        <f>P795</f>
        <v>8053</v>
      </c>
      <c r="M795" s="120">
        <v>3660.5</v>
      </c>
      <c r="N795" s="120">
        <f>L795-M795</f>
        <v>4392.5</v>
      </c>
      <c r="O795" s="119">
        <f t="shared" si="466"/>
        <v>0.54544890103067178</v>
      </c>
      <c r="P795" s="117">
        <v>8053</v>
      </c>
      <c r="Q795" s="111">
        <v>69</v>
      </c>
      <c r="R795" s="117">
        <v>24</v>
      </c>
      <c r="S795" s="117">
        <v>1101.8399999999999</v>
      </c>
      <c r="T795" s="117">
        <v>1044.24</v>
      </c>
      <c r="U795" s="117"/>
      <c r="V795" s="117"/>
      <c r="W795" s="26">
        <f>SUM(S795:V795)</f>
        <v>2146.08</v>
      </c>
      <c r="X795" s="118">
        <f t="shared" si="467"/>
        <v>45.91</v>
      </c>
      <c r="Y795" s="119">
        <f>IFERROR(U795/P795,0)</f>
        <v>0</v>
      </c>
      <c r="Z795" s="117">
        <f t="shared" si="468"/>
        <v>5906.92</v>
      </c>
      <c r="AA795" s="119">
        <f t="shared" si="469"/>
        <v>0.73350552589097229</v>
      </c>
      <c r="AB795" s="120">
        <f t="shared" si="464"/>
        <v>1514.42</v>
      </c>
      <c r="AC795" s="119">
        <f t="shared" si="470"/>
        <v>0.1880566248603005</v>
      </c>
      <c r="AD795" s="110"/>
      <c r="AE795" s="110"/>
      <c r="AF795" s="110"/>
      <c r="AG795" s="121"/>
      <c r="AH795" s="110"/>
    </row>
    <row r="796" spans="1:34" ht="11.25" customHeight="1" x14ac:dyDescent="0.15">
      <c r="A796" s="110" t="s">
        <v>436</v>
      </c>
      <c r="B796" s="110"/>
      <c r="C796" s="111" t="s">
        <v>55</v>
      </c>
      <c r="D796" s="111">
        <v>2022</v>
      </c>
      <c r="E796" s="146">
        <v>44742</v>
      </c>
      <c r="F796" s="111"/>
      <c r="G796" s="111" t="s">
        <v>56</v>
      </c>
      <c r="H796" s="111"/>
      <c r="I796" s="111"/>
      <c r="J796" s="111"/>
      <c r="K796" s="112" t="s">
        <v>71</v>
      </c>
      <c r="L796" s="120">
        <f>P796</f>
        <v>2856</v>
      </c>
      <c r="M796" s="120">
        <v>1428</v>
      </c>
      <c r="N796" s="120">
        <f>L796-M796</f>
        <v>1428</v>
      </c>
      <c r="O796" s="119">
        <f t="shared" si="466"/>
        <v>0.5</v>
      </c>
      <c r="P796" s="117">
        <v>2856</v>
      </c>
      <c r="Q796" s="111">
        <v>70</v>
      </c>
      <c r="R796" s="117">
        <v>17.5</v>
      </c>
      <c r="S796" s="117">
        <v>743.75</v>
      </c>
      <c r="T796" s="117"/>
      <c r="U796" s="117"/>
      <c r="V796" s="117">
        <v>3149.5</v>
      </c>
      <c r="W796" s="26">
        <f>SUM(S796:V796)</f>
        <v>3893.25</v>
      </c>
      <c r="X796" s="118">
        <f t="shared" si="467"/>
        <v>42.5</v>
      </c>
      <c r="Y796" s="119">
        <f>IFERROR(U796/P796,0)</f>
        <v>0</v>
      </c>
      <c r="Z796" s="117">
        <f t="shared" si="468"/>
        <v>-1037.25</v>
      </c>
      <c r="AA796" s="119">
        <f t="shared" si="469"/>
        <v>-0.36318277310924368</v>
      </c>
      <c r="AB796" s="120">
        <f t="shared" si="464"/>
        <v>-2465.25</v>
      </c>
      <c r="AC796" s="119">
        <f t="shared" si="470"/>
        <v>-0.86318277310924363</v>
      </c>
      <c r="AD796" s="110"/>
      <c r="AE796" s="110"/>
      <c r="AF796" s="110"/>
      <c r="AG796" s="121"/>
      <c r="AH796" s="110"/>
    </row>
    <row r="797" spans="1:34" s="53" customFormat="1" ht="11.25" customHeight="1" x14ac:dyDescent="0.15">
      <c r="A797" s="53" t="s">
        <v>436</v>
      </c>
      <c r="C797" s="54" t="s">
        <v>177</v>
      </c>
      <c r="D797" s="54">
        <v>2022</v>
      </c>
      <c r="E797" s="70">
        <v>44742</v>
      </c>
      <c r="F797" s="54"/>
      <c r="G797" s="54"/>
      <c r="H797" s="54"/>
      <c r="I797" s="54"/>
      <c r="J797" s="54"/>
      <c r="K797" s="106"/>
      <c r="L797" s="24">
        <f>SUM(L791:L796)</f>
        <v>263832</v>
      </c>
      <c r="M797" s="24">
        <f>SUM(M791:M796)</f>
        <v>112873.60866508925</v>
      </c>
      <c r="N797" s="24">
        <f>SUM(N791:N796)</f>
        <v>150958.39133491073</v>
      </c>
      <c r="O797" s="57">
        <f t="shared" si="466"/>
        <v>0.57217620051741536</v>
      </c>
      <c r="P797" s="24">
        <f>SUM(P791:P796)</f>
        <v>263832</v>
      </c>
      <c r="Q797" s="24"/>
      <c r="R797" s="24">
        <f t="shared" ref="R797:W797" si="471">SUM(R791:R796)</f>
        <v>213.5</v>
      </c>
      <c r="S797" s="24">
        <f t="shared" si="471"/>
        <v>9423.35</v>
      </c>
      <c r="T797" s="24">
        <f t="shared" si="471"/>
        <v>6006.41</v>
      </c>
      <c r="U797" s="24">
        <f t="shared" si="471"/>
        <v>52636.140000000007</v>
      </c>
      <c r="V797" s="24">
        <f t="shared" si="471"/>
        <v>3149.5</v>
      </c>
      <c r="W797" s="24">
        <f t="shared" si="471"/>
        <v>71215.399999999994</v>
      </c>
      <c r="X797" s="56">
        <f t="shared" si="467"/>
        <v>44.137470725995321</v>
      </c>
      <c r="Y797" s="57">
        <f>U797/P797</f>
        <v>0.19950627672155011</v>
      </c>
      <c r="Z797" s="28">
        <f t="shared" si="468"/>
        <v>192616.6</v>
      </c>
      <c r="AA797" s="57">
        <f t="shared" si="469"/>
        <v>0.73007292519482092</v>
      </c>
      <c r="AB797" s="120">
        <f t="shared" si="464"/>
        <v>41658.20866508926</v>
      </c>
      <c r="AC797" s="57">
        <f t="shared" si="470"/>
        <v>0.15789672467740556</v>
      </c>
      <c r="AD797" s="98"/>
      <c r="AG797" s="61"/>
    </row>
    <row r="798" spans="1:34" ht="11.25" customHeight="1" x14ac:dyDescent="0.15">
      <c r="A798" s="130" t="s">
        <v>53</v>
      </c>
      <c r="B798" s="130"/>
      <c r="C798" s="124"/>
      <c r="D798" s="124"/>
      <c r="E798" s="273"/>
      <c r="F798" s="124"/>
      <c r="G798" s="124"/>
      <c r="H798" s="124"/>
      <c r="I798" s="124"/>
      <c r="J798" s="124"/>
      <c r="K798" s="125"/>
      <c r="L798" s="129"/>
      <c r="M798" s="129"/>
      <c r="N798" s="129"/>
      <c r="O798" s="128"/>
      <c r="P798" s="129"/>
      <c r="Q798" s="124"/>
      <c r="R798" s="129"/>
      <c r="S798" s="129"/>
      <c r="T798" s="129"/>
      <c r="U798" s="129"/>
      <c r="V798" s="126"/>
      <c r="W798" s="49"/>
      <c r="X798" s="45"/>
      <c r="Y798" s="128"/>
      <c r="Z798" s="126"/>
      <c r="AA798" s="128"/>
      <c r="AB798" s="129"/>
      <c r="AC798" s="160"/>
      <c r="AD798" s="137"/>
      <c r="AE798" s="110"/>
      <c r="AF798" s="110"/>
      <c r="AG798" s="121"/>
      <c r="AH798" s="110"/>
    </row>
    <row r="799" spans="1:34" ht="11.25" customHeight="1" x14ac:dyDescent="0.15">
      <c r="A799" s="110" t="s">
        <v>301</v>
      </c>
      <c r="B799" s="110"/>
      <c r="C799" s="111" t="s">
        <v>175</v>
      </c>
      <c r="D799" s="111">
        <v>2022</v>
      </c>
      <c r="E799" s="146">
        <v>44742</v>
      </c>
      <c r="F799" s="111"/>
      <c r="G799" s="111">
        <v>811101112</v>
      </c>
      <c r="H799" s="111">
        <v>4101</v>
      </c>
      <c r="I799" s="111" t="str">
        <f>MID(G799,2,1)</f>
        <v>1</v>
      </c>
      <c r="J799" s="111" t="str">
        <f>IF(I799="1","Small/Medium","Large")</f>
        <v>Small/Medium</v>
      </c>
      <c r="K799" s="147" t="s">
        <v>145</v>
      </c>
      <c r="L799" s="120">
        <f>P799</f>
        <v>9572</v>
      </c>
      <c r="M799" s="120">
        <f>L799*0.3</f>
        <v>2871.6</v>
      </c>
      <c r="N799" s="120">
        <f>L799-M799</f>
        <v>6700.4</v>
      </c>
      <c r="O799" s="119">
        <f>IFERROR(N799/L799,"")</f>
        <v>0.7</v>
      </c>
      <c r="P799" s="117">
        <v>9572</v>
      </c>
      <c r="Q799" s="111">
        <v>434</v>
      </c>
      <c r="R799" s="117">
        <v>26</v>
      </c>
      <c r="S799" s="117">
        <v>1166.8800000000001</v>
      </c>
      <c r="T799" s="117">
        <v>978.97</v>
      </c>
      <c r="U799" s="117">
        <v>397.5</v>
      </c>
      <c r="V799" s="117"/>
      <c r="W799" s="26">
        <f>SUM(S799:V799)</f>
        <v>2543.3500000000004</v>
      </c>
      <c r="X799" s="118">
        <f>IFERROR(S799/R799,"")</f>
        <v>44.88</v>
      </c>
      <c r="Y799" s="119">
        <f>IFERROR(U799/P799,0)</f>
        <v>4.1527371500208944E-2</v>
      </c>
      <c r="Z799" s="117">
        <f>P799-W799</f>
        <v>7028.65</v>
      </c>
      <c r="AA799" s="119">
        <f>IFERROR(Z799/P799,"")</f>
        <v>0.73429272879231089</v>
      </c>
      <c r="AB799" s="120">
        <f t="shared" ref="AB799:AB800" si="472">M799-W799</f>
        <v>328.24999999999955</v>
      </c>
      <c r="AC799" s="119">
        <f>IFERROR(AA799-O799,"")</f>
        <v>3.4292728792310934E-2</v>
      </c>
      <c r="AD799" s="110"/>
      <c r="AE799" s="110"/>
      <c r="AF799" s="110"/>
      <c r="AG799" s="121"/>
      <c r="AH799" s="110"/>
    </row>
    <row r="800" spans="1:34" s="53" customFormat="1" ht="11.25" customHeight="1" x14ac:dyDescent="0.15">
      <c r="A800" s="53" t="s">
        <v>301</v>
      </c>
      <c r="C800" s="54" t="s">
        <v>177</v>
      </c>
      <c r="D800" s="54">
        <v>2022</v>
      </c>
      <c r="E800" s="70">
        <v>44742</v>
      </c>
      <c r="F800" s="54"/>
      <c r="G800" s="54"/>
      <c r="H800" s="54"/>
      <c r="I800" s="54"/>
      <c r="J800" s="54"/>
      <c r="K800" s="106"/>
      <c r="L800" s="24">
        <f>P800</f>
        <v>9572</v>
      </c>
      <c r="M800" s="24">
        <f>SUM(M798:M799)</f>
        <v>2871.6</v>
      </c>
      <c r="N800" s="24">
        <f>SUM(N798:N799)</f>
        <v>6700.4</v>
      </c>
      <c r="O800" s="57">
        <f>IFERROR(N800/L800,"")</f>
        <v>0.7</v>
      </c>
      <c r="P800" s="24">
        <f>SUM(P799)</f>
        <v>9572</v>
      </c>
      <c r="Q800" s="24"/>
      <c r="R800" s="24">
        <f t="shared" ref="R800:W800" si="473">SUM(R799)</f>
        <v>26</v>
      </c>
      <c r="S800" s="24">
        <f t="shared" si="473"/>
        <v>1166.8800000000001</v>
      </c>
      <c r="T800" s="24">
        <f t="shared" si="473"/>
        <v>978.97</v>
      </c>
      <c r="U800" s="24">
        <f t="shared" si="473"/>
        <v>397.5</v>
      </c>
      <c r="V800" s="24">
        <f t="shared" si="473"/>
        <v>0</v>
      </c>
      <c r="W800" s="24">
        <f t="shared" si="473"/>
        <v>2543.3500000000004</v>
      </c>
      <c r="X800" s="56">
        <f>IFERROR(S800/R800,"")</f>
        <v>44.88</v>
      </c>
      <c r="Y800" s="57">
        <f>U800/P800</f>
        <v>4.1527371500208944E-2</v>
      </c>
      <c r="Z800" s="28">
        <f>P800-W800</f>
        <v>7028.65</v>
      </c>
      <c r="AA800" s="57">
        <f>IFERROR(Z800/P800,"")</f>
        <v>0.73429272879231089</v>
      </c>
      <c r="AB800" s="120">
        <f t="shared" si="472"/>
        <v>328.24999999999955</v>
      </c>
      <c r="AC800" s="57">
        <f>IFERROR(AA800-O800,"")</f>
        <v>3.4292728792310934E-2</v>
      </c>
      <c r="AD800" s="98"/>
      <c r="AG800" s="61"/>
    </row>
    <row r="801" spans="1:34" ht="11.25" customHeight="1" x14ac:dyDescent="0.15">
      <c r="A801" s="130" t="s">
        <v>53</v>
      </c>
      <c r="B801" s="130"/>
      <c r="C801" s="124"/>
      <c r="D801" s="124"/>
      <c r="E801" s="273"/>
      <c r="F801" s="124"/>
      <c r="G801" s="124"/>
      <c r="H801" s="124"/>
      <c r="I801" s="124"/>
      <c r="J801" s="124"/>
      <c r="K801" s="125"/>
      <c r="L801" s="129"/>
      <c r="M801" s="129"/>
      <c r="N801" s="129"/>
      <c r="O801" s="128"/>
      <c r="P801" s="129"/>
      <c r="Q801" s="124"/>
      <c r="R801" s="129"/>
      <c r="S801" s="129"/>
      <c r="T801" s="129"/>
      <c r="U801" s="129"/>
      <c r="V801" s="126"/>
      <c r="W801" s="49"/>
      <c r="X801" s="45"/>
      <c r="Y801" s="128"/>
      <c r="Z801" s="126"/>
      <c r="AA801" s="128"/>
      <c r="AB801" s="129"/>
      <c r="AC801" s="160"/>
      <c r="AD801" s="137"/>
      <c r="AE801" s="110"/>
      <c r="AF801" s="110"/>
      <c r="AG801" s="121"/>
      <c r="AH801" s="110"/>
    </row>
    <row r="802" spans="1:34" ht="11.25" customHeight="1" x14ac:dyDescent="0.15">
      <c r="A802" s="110" t="s">
        <v>115</v>
      </c>
      <c r="B802" s="110"/>
      <c r="C802" s="111" t="s">
        <v>175</v>
      </c>
      <c r="D802" s="111">
        <v>2022</v>
      </c>
      <c r="E802" s="146">
        <v>44773</v>
      </c>
      <c r="F802" s="111"/>
      <c r="G802" s="111">
        <v>811003012</v>
      </c>
      <c r="H802" s="111">
        <v>4101</v>
      </c>
      <c r="I802" s="111" t="str">
        <f>MID(G802,2,1)</f>
        <v>1</v>
      </c>
      <c r="J802" s="111" t="str">
        <f>IF(I802="1","Small/Medium","Large")</f>
        <v>Small/Medium</v>
      </c>
      <c r="K802" s="147" t="s">
        <v>145</v>
      </c>
      <c r="L802" s="117">
        <v>24540.6</v>
      </c>
      <c r="M802" s="120">
        <f>L802*0.3</f>
        <v>7362.1799999999994</v>
      </c>
      <c r="N802" s="120">
        <f>L802-M802</f>
        <v>17178.419999999998</v>
      </c>
      <c r="O802" s="119">
        <f>IFERROR(N802/L802,"")</f>
        <v>0.7</v>
      </c>
      <c r="P802" s="117">
        <v>17529</v>
      </c>
      <c r="Q802" s="111">
        <v>383</v>
      </c>
      <c r="R802" s="117">
        <v>41</v>
      </c>
      <c r="S802" s="117">
        <v>1840.08</v>
      </c>
      <c r="T802" s="117">
        <v>1590.97</v>
      </c>
      <c r="U802" s="117">
        <v>1095.04</v>
      </c>
      <c r="V802" s="117">
        <v>12.77</v>
      </c>
      <c r="W802" s="26">
        <f>SUM(S802:V802)</f>
        <v>4538.8600000000006</v>
      </c>
      <c r="X802" s="118">
        <f>IFERROR(S802/R802,"")</f>
        <v>44.879999999999995</v>
      </c>
      <c r="Y802" s="119">
        <f>U802/P802</f>
        <v>6.2470192252838154E-2</v>
      </c>
      <c r="Z802" s="117">
        <f>P802-W802</f>
        <v>12990.14</v>
      </c>
      <c r="AA802" s="119">
        <f>Z802/P802</f>
        <v>0.74106566261623597</v>
      </c>
      <c r="AB802" s="120">
        <f t="shared" ref="AB802:AB804" si="474">M802-W802</f>
        <v>2823.3199999999988</v>
      </c>
      <c r="AC802" s="119">
        <f>IFERROR(AA802-O802,"")</f>
        <v>4.1065662616236009E-2</v>
      </c>
      <c r="AD802" s="110"/>
      <c r="AE802" s="110"/>
      <c r="AF802" s="110"/>
      <c r="AG802" s="121"/>
      <c r="AH802" s="110"/>
    </row>
    <row r="803" spans="1:34" ht="11.25" customHeight="1" x14ac:dyDescent="0.15">
      <c r="A803" s="110" t="s">
        <v>115</v>
      </c>
      <c r="B803" s="110"/>
      <c r="C803" s="111" t="s">
        <v>175</v>
      </c>
      <c r="D803" s="111">
        <v>2022</v>
      </c>
      <c r="E803" s="146">
        <v>44773</v>
      </c>
      <c r="F803" s="111"/>
      <c r="G803" s="111">
        <v>821003012</v>
      </c>
      <c r="H803" s="111">
        <v>4101</v>
      </c>
      <c r="I803" s="111" t="str">
        <f>MID(G803,2,1)</f>
        <v>2</v>
      </c>
      <c r="J803" s="111" t="str">
        <f>IF(I803="1","Small/Medium","Large")</f>
        <v>Large</v>
      </c>
      <c r="K803" s="147" t="s">
        <v>176</v>
      </c>
      <c r="L803" s="132">
        <v>10517.4</v>
      </c>
      <c r="M803" s="219">
        <f>L803*0.3</f>
        <v>3155.22</v>
      </c>
      <c r="N803" s="219">
        <f>L803-M803</f>
        <v>7362.18</v>
      </c>
      <c r="O803" s="163">
        <f>IFERROR(N803/L803,"")</f>
        <v>0.70000000000000007</v>
      </c>
      <c r="P803" s="132">
        <v>17529</v>
      </c>
      <c r="Q803" s="111">
        <v>384</v>
      </c>
      <c r="R803" s="132">
        <v>33.5</v>
      </c>
      <c r="S803" s="132">
        <v>1503.48</v>
      </c>
      <c r="T803" s="132">
        <v>1590.97</v>
      </c>
      <c r="U803" s="132">
        <v>1005.87</v>
      </c>
      <c r="V803" s="132"/>
      <c r="W803" s="67">
        <f>SUM(S803:V803)</f>
        <v>4100.32</v>
      </c>
      <c r="X803" s="118">
        <f>IFERROR(S803/R803,"")</f>
        <v>44.88</v>
      </c>
      <c r="Y803" s="119">
        <f>U803/P803</f>
        <v>5.738319356494951E-2</v>
      </c>
      <c r="Z803" s="117">
        <f>P803-W803</f>
        <v>13428.68</v>
      </c>
      <c r="AA803" s="119">
        <f>Z803/P803</f>
        <v>0.76608363283701297</v>
      </c>
      <c r="AB803" s="120">
        <f t="shared" si="474"/>
        <v>-945.09999999999991</v>
      </c>
      <c r="AC803" s="119">
        <f>IFERROR(AA803-O803,"")</f>
        <v>6.6083632837012907E-2</v>
      </c>
      <c r="AD803" s="110"/>
      <c r="AE803" s="110"/>
      <c r="AF803" s="110"/>
      <c r="AG803" s="121"/>
      <c r="AH803" s="110"/>
    </row>
    <row r="804" spans="1:34" s="53" customFormat="1" ht="11.25" customHeight="1" x14ac:dyDescent="0.15">
      <c r="A804" s="53" t="s">
        <v>115</v>
      </c>
      <c r="C804" s="54" t="s">
        <v>177</v>
      </c>
      <c r="D804" s="54">
        <v>2022</v>
      </c>
      <c r="E804" s="70">
        <v>44773</v>
      </c>
      <c r="F804" s="54"/>
      <c r="G804" s="54"/>
      <c r="H804" s="54"/>
      <c r="I804" s="54"/>
      <c r="J804" s="54"/>
      <c r="K804" s="106"/>
      <c r="L804" s="24">
        <f>SUM(L802:L803)</f>
        <v>35058</v>
      </c>
      <c r="M804" s="24">
        <f>SUM(M802:M803)</f>
        <v>10517.4</v>
      </c>
      <c r="N804" s="24">
        <f>SUM(N802:N803)</f>
        <v>24540.6</v>
      </c>
      <c r="O804" s="57">
        <f>IFERROR(N804/L804,"")</f>
        <v>0.7</v>
      </c>
      <c r="P804" s="24">
        <f>SUM(P802:P803)</f>
        <v>35058</v>
      </c>
      <c r="Q804" s="24"/>
      <c r="R804" s="24">
        <f t="shared" ref="R804:W804" si="475">SUM(R802:R803)</f>
        <v>74.5</v>
      </c>
      <c r="S804" s="24">
        <f t="shared" si="475"/>
        <v>3343.56</v>
      </c>
      <c r="T804" s="24">
        <f t="shared" si="475"/>
        <v>3181.94</v>
      </c>
      <c r="U804" s="24">
        <f t="shared" si="475"/>
        <v>2100.91</v>
      </c>
      <c r="V804" s="24">
        <f t="shared" si="475"/>
        <v>12.77</v>
      </c>
      <c r="W804" s="24">
        <f t="shared" si="475"/>
        <v>8639.18</v>
      </c>
      <c r="X804" s="56"/>
      <c r="Y804" s="57"/>
      <c r="Z804" s="28">
        <f>P804-W804</f>
        <v>26418.82</v>
      </c>
      <c r="AA804" s="57">
        <f>Z804/P804</f>
        <v>0.75357464772662441</v>
      </c>
      <c r="AB804" s="120">
        <f t="shared" si="474"/>
        <v>1878.2199999999993</v>
      </c>
      <c r="AC804" s="57">
        <f>IFERROR(AA804-O804,"")</f>
        <v>5.3574647726624458E-2</v>
      </c>
      <c r="AG804" s="61"/>
    </row>
    <row r="805" spans="1:34" ht="11.25" customHeight="1" x14ac:dyDescent="0.15">
      <c r="A805" s="130" t="s">
        <v>53</v>
      </c>
      <c r="B805" s="130"/>
      <c r="C805" s="124"/>
      <c r="D805" s="124"/>
      <c r="E805" s="273"/>
      <c r="F805" s="124"/>
      <c r="G805" s="124"/>
      <c r="H805" s="124"/>
      <c r="I805" s="124"/>
      <c r="J805" s="124"/>
      <c r="K805" s="125"/>
      <c r="L805" s="129"/>
      <c r="M805" s="129"/>
      <c r="N805" s="129"/>
      <c r="O805" s="128"/>
      <c r="P805" s="220"/>
      <c r="Q805" s="124"/>
      <c r="R805" s="220"/>
      <c r="S805" s="220"/>
      <c r="T805" s="220"/>
      <c r="U805" s="220"/>
      <c r="V805" s="126"/>
      <c r="W805" s="230"/>
      <c r="X805" s="45"/>
      <c r="Y805" s="128"/>
      <c r="Z805" s="126"/>
      <c r="AA805" s="128"/>
      <c r="AB805" s="129"/>
      <c r="AC805" s="160"/>
      <c r="AD805" s="137"/>
      <c r="AE805" s="110"/>
      <c r="AF805" s="110"/>
      <c r="AG805" s="121"/>
      <c r="AH805" s="110"/>
    </row>
    <row r="806" spans="1:34" ht="11.25" customHeight="1" x14ac:dyDescent="0.15">
      <c r="A806" s="110" t="s">
        <v>109</v>
      </c>
      <c r="B806" s="110"/>
      <c r="C806" s="111" t="s">
        <v>175</v>
      </c>
      <c r="D806" s="111">
        <v>2022</v>
      </c>
      <c r="E806" s="146">
        <v>44773</v>
      </c>
      <c r="F806" s="111"/>
      <c r="G806" s="111">
        <v>810003012</v>
      </c>
      <c r="H806" s="111">
        <v>4111</v>
      </c>
      <c r="I806" s="111" t="str">
        <f>MID(G806,2,1)</f>
        <v>1</v>
      </c>
      <c r="J806" s="111" t="str">
        <f>IF(I806="1","Small/Medium","Large")</f>
        <v>Small/Medium</v>
      </c>
      <c r="K806" s="147" t="s">
        <v>145</v>
      </c>
      <c r="L806" s="117">
        <v>11123</v>
      </c>
      <c r="M806" s="120">
        <f>L806*0.3</f>
        <v>3336.9</v>
      </c>
      <c r="N806" s="120">
        <f>L806-M806</f>
        <v>7786.1</v>
      </c>
      <c r="O806" s="119">
        <f>IFERROR(N806/L806,"")</f>
        <v>0.70000000000000007</v>
      </c>
      <c r="P806" s="117">
        <v>11123</v>
      </c>
      <c r="Q806" s="111">
        <v>382</v>
      </c>
      <c r="R806" s="117">
        <v>22</v>
      </c>
      <c r="S806" s="117">
        <v>987.36</v>
      </c>
      <c r="T806" s="117">
        <v>1257.3900000000001</v>
      </c>
      <c r="U806" s="117">
        <v>475</v>
      </c>
      <c r="V806" s="117"/>
      <c r="W806" s="26">
        <f>SUM(S806:V806)</f>
        <v>2719.75</v>
      </c>
      <c r="X806" s="118">
        <f>IFERROR(S806/R806,"")</f>
        <v>44.88</v>
      </c>
      <c r="Y806" s="119">
        <f>IFERROR(U806/P806,0)</f>
        <v>4.2704306392160385E-2</v>
      </c>
      <c r="Z806" s="117">
        <f>P806-W806</f>
        <v>8403.25</v>
      </c>
      <c r="AA806" s="119">
        <f>IFERROR(Z806/P806,"")</f>
        <v>0.75548413197878272</v>
      </c>
      <c r="AB806" s="120">
        <f t="shared" ref="AB806:AB807" si="476">M806-W806</f>
        <v>617.15000000000009</v>
      </c>
      <c r="AC806" s="119">
        <f>IFERROR(AA806-O806,"")</f>
        <v>5.5484131978782658E-2</v>
      </c>
      <c r="AD806" s="110"/>
      <c r="AE806" s="110"/>
      <c r="AF806" s="110"/>
      <c r="AG806" s="121"/>
      <c r="AH806" s="110"/>
    </row>
    <row r="807" spans="1:34" s="53" customFormat="1" ht="11.25" customHeight="1" x14ac:dyDescent="0.15">
      <c r="A807" s="53" t="s">
        <v>109</v>
      </c>
      <c r="C807" s="54" t="s">
        <v>177</v>
      </c>
      <c r="D807" s="54">
        <v>2022</v>
      </c>
      <c r="E807" s="70">
        <v>44773</v>
      </c>
      <c r="F807" s="54"/>
      <c r="G807" s="54"/>
      <c r="H807" s="54"/>
      <c r="I807" s="54"/>
      <c r="J807" s="54"/>
      <c r="K807" s="106"/>
      <c r="L807" s="24">
        <f>SUM(L806)</f>
        <v>11123</v>
      </c>
      <c r="M807" s="24">
        <f>SUM(M805:M806)</f>
        <v>3336.9</v>
      </c>
      <c r="N807" s="24">
        <f>SUM(N805:N806)</f>
        <v>7786.1</v>
      </c>
      <c r="O807" s="57">
        <f>IFERROR(N807/L807,"")</f>
        <v>0.70000000000000007</v>
      </c>
      <c r="P807" s="24">
        <f>SUM(P806)</f>
        <v>11123</v>
      </c>
      <c r="Q807" s="24"/>
      <c r="R807" s="24">
        <f t="shared" ref="R807:W807" si="477">SUM(R806)</f>
        <v>22</v>
      </c>
      <c r="S807" s="24">
        <f t="shared" si="477"/>
        <v>987.36</v>
      </c>
      <c r="T807" s="24">
        <f t="shared" si="477"/>
        <v>1257.3900000000001</v>
      </c>
      <c r="U807" s="24">
        <f t="shared" si="477"/>
        <v>475</v>
      </c>
      <c r="V807" s="24">
        <f t="shared" si="477"/>
        <v>0</v>
      </c>
      <c r="W807" s="24">
        <f t="shared" si="477"/>
        <v>2719.75</v>
      </c>
      <c r="X807" s="56">
        <f>IFERROR(S807/R807,"")</f>
        <v>44.88</v>
      </c>
      <c r="Y807" s="57">
        <f>U807/P807</f>
        <v>4.2704306392160385E-2</v>
      </c>
      <c r="Z807" s="28">
        <f>P807-W807</f>
        <v>8403.25</v>
      </c>
      <c r="AA807" s="57">
        <f>IFERROR(Z807/P807,"")</f>
        <v>0.75548413197878272</v>
      </c>
      <c r="AB807" s="120">
        <f t="shared" si="476"/>
        <v>617.15000000000009</v>
      </c>
      <c r="AC807" s="57">
        <f>IFERROR(AA807-O807,"")</f>
        <v>5.5484131978782658E-2</v>
      </c>
      <c r="AG807" s="61"/>
    </row>
    <row r="808" spans="1:34" ht="11.25" customHeight="1" x14ac:dyDescent="0.15">
      <c r="A808" s="130" t="s">
        <v>53</v>
      </c>
      <c r="B808" s="130"/>
      <c r="C808" s="124"/>
      <c r="D808" s="124"/>
      <c r="E808" s="273"/>
      <c r="F808" s="124"/>
      <c r="G808" s="124"/>
      <c r="H808" s="124"/>
      <c r="I808" s="124"/>
      <c r="J808" s="124"/>
      <c r="K808" s="125"/>
      <c r="L808" s="129"/>
      <c r="M808" s="129"/>
      <c r="N808" s="129"/>
      <c r="O808" s="128"/>
      <c r="P808" s="129"/>
      <c r="Q808" s="124"/>
      <c r="R808" s="129"/>
      <c r="S808" s="129"/>
      <c r="T808" s="129"/>
      <c r="U808" s="129"/>
      <c r="V808" s="126"/>
      <c r="W808" s="49"/>
      <c r="X808" s="45"/>
      <c r="Y808" s="128"/>
      <c r="Z808" s="126"/>
      <c r="AA808" s="128"/>
      <c r="AB808" s="129"/>
      <c r="AC808" s="160"/>
      <c r="AD808" s="137"/>
      <c r="AE808" s="110"/>
      <c r="AF808" s="110"/>
      <c r="AG808" s="121"/>
      <c r="AH808" s="110"/>
    </row>
    <row r="809" spans="1:34" ht="11.25" customHeight="1" x14ac:dyDescent="0.15">
      <c r="A809" s="110" t="s">
        <v>127</v>
      </c>
      <c r="B809" s="110"/>
      <c r="C809" s="111" t="s">
        <v>175</v>
      </c>
      <c r="D809" s="111">
        <v>2022</v>
      </c>
      <c r="E809" s="146">
        <v>44773</v>
      </c>
      <c r="F809" s="111"/>
      <c r="G809" s="111">
        <v>810001112</v>
      </c>
      <c r="H809" s="111">
        <v>4111</v>
      </c>
      <c r="I809" s="111" t="str">
        <f>MID(G809,2,1)</f>
        <v>1</v>
      </c>
      <c r="J809" s="111" t="str">
        <f>IF(I809="1","Small/Medium","Large")</f>
        <v>Small/Medium</v>
      </c>
      <c r="K809" s="147" t="s">
        <v>145</v>
      </c>
      <c r="L809" s="117">
        <v>8024.4359999999988</v>
      </c>
      <c r="M809" s="120">
        <f>L809*0.3</f>
        <v>2407.3307999999997</v>
      </c>
      <c r="N809" s="120">
        <f>L809-M809</f>
        <v>5617.1051999999991</v>
      </c>
      <c r="O809" s="119">
        <f>IFERROR(N809/L809,"")</f>
        <v>0.7</v>
      </c>
      <c r="P809" s="117">
        <v>8024.4359999999988</v>
      </c>
      <c r="Q809" s="111">
        <v>327</v>
      </c>
      <c r="R809" s="117">
        <v>24.5</v>
      </c>
      <c r="S809" s="117">
        <v>1099.56</v>
      </c>
      <c r="T809" s="117">
        <v>1069.97</v>
      </c>
      <c r="U809" s="117">
        <v>418.3</v>
      </c>
      <c r="V809" s="117"/>
      <c r="W809" s="26">
        <f>SUM(S809:V809)</f>
        <v>2587.83</v>
      </c>
      <c r="X809" s="118">
        <f>IFERROR(S809/R809,"")</f>
        <v>44.879999999999995</v>
      </c>
      <c r="Y809" s="119">
        <f>U809/P809</f>
        <v>5.2128274186497355E-2</v>
      </c>
      <c r="Z809" s="117">
        <f>P809-W809</f>
        <v>5436.6059999999989</v>
      </c>
      <c r="AA809" s="119">
        <f>Z809/P809</f>
        <v>0.67750630698531333</v>
      </c>
      <c r="AB809" s="120">
        <f t="shared" ref="AB809:AB811" si="478">M809-W809</f>
        <v>-180.4992000000002</v>
      </c>
      <c r="AC809" s="119">
        <f>IFERROR(AA809-O809,"")</f>
        <v>-2.2493693014686622E-2</v>
      </c>
      <c r="AD809" s="110"/>
      <c r="AE809" s="110"/>
      <c r="AF809" s="110"/>
      <c r="AG809" s="121"/>
      <c r="AH809" s="110"/>
    </row>
    <row r="810" spans="1:34" ht="11.25" customHeight="1" x14ac:dyDescent="0.15">
      <c r="A810" s="110" t="s">
        <v>127</v>
      </c>
      <c r="B810" s="110"/>
      <c r="C810" s="111" t="s">
        <v>175</v>
      </c>
      <c r="D810" s="111">
        <v>2022</v>
      </c>
      <c r="E810" s="146">
        <v>44773</v>
      </c>
      <c r="F810" s="111"/>
      <c r="G810" s="111">
        <v>820001112</v>
      </c>
      <c r="H810" s="111">
        <v>4111</v>
      </c>
      <c r="I810" s="111" t="str">
        <f>MID(G810,2,1)</f>
        <v>2</v>
      </c>
      <c r="J810" s="111" t="str">
        <f>IF(I810="1","Small/Medium","Large")</f>
        <v>Large</v>
      </c>
      <c r="K810" s="147" t="s">
        <v>176</v>
      </c>
      <c r="L810" s="117">
        <v>14902.523999999999</v>
      </c>
      <c r="M810" s="120">
        <f>L810*0.3</f>
        <v>4470.7572</v>
      </c>
      <c r="N810" s="120">
        <f>L810-M810</f>
        <v>10431.766799999999</v>
      </c>
      <c r="O810" s="119">
        <f>IFERROR(N810/L810,"")</f>
        <v>0.7</v>
      </c>
      <c r="P810" s="117">
        <v>14902.523999999999</v>
      </c>
      <c r="Q810" s="111">
        <v>328</v>
      </c>
      <c r="R810" s="117">
        <v>24.5</v>
      </c>
      <c r="S810" s="117">
        <v>1099.56</v>
      </c>
      <c r="T810" s="117">
        <v>1987.08</v>
      </c>
      <c r="U810" s="117">
        <v>776.83</v>
      </c>
      <c r="V810" s="117"/>
      <c r="W810" s="26">
        <f>SUM(S810:V810)</f>
        <v>3863.47</v>
      </c>
      <c r="X810" s="118">
        <f>IFERROR(S810/R810,"")</f>
        <v>44.879999999999995</v>
      </c>
      <c r="Y810" s="119">
        <f>U810/P810</f>
        <v>5.2127411437149843E-2</v>
      </c>
      <c r="Z810" s="117">
        <f>P810-W810</f>
        <v>11039.054</v>
      </c>
      <c r="AA810" s="119">
        <f>Z810/P810</f>
        <v>0.7407506272091896</v>
      </c>
      <c r="AB810" s="120">
        <f t="shared" si="478"/>
        <v>607.28720000000021</v>
      </c>
      <c r="AC810" s="119">
        <f>IFERROR(AA810-O810,"")</f>
        <v>4.0750627209189649E-2</v>
      </c>
      <c r="AD810" s="110"/>
      <c r="AE810" s="110"/>
      <c r="AF810" s="110"/>
      <c r="AG810" s="121"/>
      <c r="AH810" s="110"/>
    </row>
    <row r="811" spans="1:34" s="53" customFormat="1" ht="11.25" customHeight="1" x14ac:dyDescent="0.15">
      <c r="A811" s="53" t="s">
        <v>127</v>
      </c>
      <c r="C811" s="54" t="s">
        <v>177</v>
      </c>
      <c r="D811" s="54">
        <v>2022</v>
      </c>
      <c r="E811" s="70">
        <v>44773</v>
      </c>
      <c r="F811" s="54"/>
      <c r="G811" s="54"/>
      <c r="H811" s="54"/>
      <c r="I811" s="54"/>
      <c r="J811" s="54"/>
      <c r="K811" s="106"/>
      <c r="L811" s="24">
        <f>SUM(L809:L810)</f>
        <v>22926.959999999999</v>
      </c>
      <c r="M811" s="24">
        <f>SUM(M809:M810)</f>
        <v>6878.0879999999997</v>
      </c>
      <c r="N811" s="24">
        <f>SUM(N809:N810)</f>
        <v>16048.871999999999</v>
      </c>
      <c r="O811" s="57">
        <f>IFERROR(N811/L811,"")</f>
        <v>0.7</v>
      </c>
      <c r="P811" s="24">
        <f>SUM(P809:P810)</f>
        <v>22926.959999999999</v>
      </c>
      <c r="Q811" s="24"/>
      <c r="R811" s="24">
        <f t="shared" ref="R811:W811" si="479">SUM(R809:R810)</f>
        <v>49</v>
      </c>
      <c r="S811" s="24">
        <f t="shared" si="479"/>
        <v>2199.12</v>
      </c>
      <c r="T811" s="24">
        <f t="shared" si="479"/>
        <v>3057.05</v>
      </c>
      <c r="U811" s="24">
        <f t="shared" si="479"/>
        <v>1195.1300000000001</v>
      </c>
      <c r="V811" s="24">
        <f t="shared" si="479"/>
        <v>0</v>
      </c>
      <c r="W811" s="24">
        <f t="shared" si="479"/>
        <v>6451.2999999999993</v>
      </c>
      <c r="X811" s="56"/>
      <c r="Y811" s="57"/>
      <c r="Z811" s="28">
        <f>P811-W811</f>
        <v>16475.66</v>
      </c>
      <c r="AA811" s="57">
        <f>Z811/P811</f>
        <v>0.71861511513083287</v>
      </c>
      <c r="AB811" s="120">
        <f t="shared" si="478"/>
        <v>426.78800000000047</v>
      </c>
      <c r="AC811" s="57">
        <f>IFERROR(AA811-O811,"")</f>
        <v>1.8615115130832915E-2</v>
      </c>
      <c r="AG811" s="61"/>
    </row>
    <row r="812" spans="1:34" ht="11.25" customHeight="1" x14ac:dyDescent="0.15">
      <c r="A812" s="130" t="s">
        <v>53</v>
      </c>
      <c r="B812" s="130"/>
      <c r="C812" s="124"/>
      <c r="D812" s="124"/>
      <c r="E812" s="273"/>
      <c r="F812" s="124"/>
      <c r="G812" s="124"/>
      <c r="H812" s="124"/>
      <c r="I812" s="124"/>
      <c r="J812" s="124"/>
      <c r="K812" s="125"/>
      <c r="L812" s="129"/>
      <c r="M812" s="129"/>
      <c r="N812" s="129"/>
      <c r="O812" s="128"/>
      <c r="P812" s="129"/>
      <c r="Q812" s="124"/>
      <c r="R812" s="129"/>
      <c r="S812" s="129"/>
      <c r="T812" s="129"/>
      <c r="U812" s="129"/>
      <c r="V812" s="126"/>
      <c r="W812" s="49"/>
      <c r="X812" s="45"/>
      <c r="Y812" s="128"/>
      <c r="Z812" s="126"/>
      <c r="AA812" s="128"/>
      <c r="AB812" s="129"/>
      <c r="AC812" s="160"/>
      <c r="AD812" s="137"/>
      <c r="AE812" s="110"/>
      <c r="AF812" s="110"/>
      <c r="AG812" s="121"/>
      <c r="AH812" s="110"/>
    </row>
    <row r="813" spans="1:34" ht="11.25" customHeight="1" x14ac:dyDescent="0.15">
      <c r="A813" s="110" t="s">
        <v>307</v>
      </c>
      <c r="B813" s="110"/>
      <c r="C813" s="111" t="s">
        <v>175</v>
      </c>
      <c r="D813" s="111">
        <v>2022</v>
      </c>
      <c r="E813" s="146">
        <v>44773</v>
      </c>
      <c r="F813" s="111"/>
      <c r="G813" s="111">
        <v>810002112</v>
      </c>
      <c r="H813" s="111">
        <v>4111</v>
      </c>
      <c r="I813" s="111" t="str">
        <f>MID(G813,2,1)</f>
        <v>1</v>
      </c>
      <c r="J813" s="111" t="str">
        <f>IF(I813="1","Small/Medium","Large")</f>
        <v>Small/Medium</v>
      </c>
      <c r="K813" s="147" t="s">
        <v>145</v>
      </c>
      <c r="L813" s="120">
        <v>29746</v>
      </c>
      <c r="M813" s="120">
        <f>L813*0.3</f>
        <v>8923.7999999999993</v>
      </c>
      <c r="N813" s="120">
        <f>L813-M813</f>
        <v>20822.2</v>
      </c>
      <c r="O813" s="119">
        <f>IFERROR(N813/L813,"")</f>
        <v>0.70000000000000007</v>
      </c>
      <c r="P813" s="117">
        <v>29746</v>
      </c>
      <c r="Q813" s="111">
        <v>464</v>
      </c>
      <c r="R813" s="117">
        <v>47.5</v>
      </c>
      <c r="S813" s="117">
        <v>2131.8000000000002</v>
      </c>
      <c r="T813" s="117">
        <v>2332.35</v>
      </c>
      <c r="U813" s="117">
        <v>546.20000000000005</v>
      </c>
      <c r="V813" s="117">
        <v>208.69</v>
      </c>
      <c r="W813" s="26">
        <f>SUM(S813:V813)</f>
        <v>5219.0399999999991</v>
      </c>
      <c r="X813" s="118">
        <f>IFERROR(S813/R813,"")</f>
        <v>44.88</v>
      </c>
      <c r="Y813" s="119">
        <f>IFERROR(U813/P813,0)</f>
        <v>1.836213272372756E-2</v>
      </c>
      <c r="Z813" s="117">
        <f>P813-W813</f>
        <v>24526.959999999999</v>
      </c>
      <c r="AA813" s="119">
        <f>IFERROR(Z813/P813,"")</f>
        <v>0.82454649364620447</v>
      </c>
      <c r="AB813" s="120">
        <f t="shared" ref="AB813:AB814" si="480">M813-W813</f>
        <v>3704.76</v>
      </c>
      <c r="AC813" s="119">
        <f>IFERROR(AA813-O813,"")</f>
        <v>0.1245464936462044</v>
      </c>
      <c r="AD813" s="110"/>
      <c r="AE813" s="110"/>
      <c r="AF813" s="110"/>
      <c r="AG813" s="121"/>
      <c r="AH813" s="110"/>
    </row>
    <row r="814" spans="1:34" s="53" customFormat="1" ht="11.25" customHeight="1" x14ac:dyDescent="0.15">
      <c r="A814" s="53" t="s">
        <v>307</v>
      </c>
      <c r="C814" s="54" t="s">
        <v>177</v>
      </c>
      <c r="D814" s="54">
        <v>2022</v>
      </c>
      <c r="E814" s="70">
        <v>44773</v>
      </c>
      <c r="F814" s="54"/>
      <c r="G814" s="54"/>
      <c r="H814" s="54"/>
      <c r="I814" s="54"/>
      <c r="J814" s="54"/>
      <c r="K814" s="106"/>
      <c r="L814" s="24">
        <f>SUM(L813)</f>
        <v>29746</v>
      </c>
      <c r="M814" s="24">
        <f>SUM(M812:M813)</f>
        <v>8923.7999999999993</v>
      </c>
      <c r="N814" s="24">
        <f>SUM(N812:N813)</f>
        <v>20822.2</v>
      </c>
      <c r="O814" s="57">
        <f>IFERROR(N814/L814,"")</f>
        <v>0.70000000000000007</v>
      </c>
      <c r="P814" s="24">
        <f>SUM(P813)</f>
        <v>29746</v>
      </c>
      <c r="Q814" s="24"/>
      <c r="R814" s="24">
        <f t="shared" ref="R814:W814" si="481">SUM(R813)</f>
        <v>47.5</v>
      </c>
      <c r="S814" s="24">
        <f t="shared" si="481"/>
        <v>2131.8000000000002</v>
      </c>
      <c r="T814" s="24">
        <f t="shared" si="481"/>
        <v>2332.35</v>
      </c>
      <c r="U814" s="24">
        <f t="shared" si="481"/>
        <v>546.20000000000005</v>
      </c>
      <c r="V814" s="24">
        <f t="shared" si="481"/>
        <v>208.69</v>
      </c>
      <c r="W814" s="24">
        <f t="shared" si="481"/>
        <v>5219.0399999999991</v>
      </c>
      <c r="X814" s="56">
        <f>IFERROR(S814/R814,"")</f>
        <v>44.88</v>
      </c>
      <c r="Y814" s="57">
        <f>U814/P814</f>
        <v>1.836213272372756E-2</v>
      </c>
      <c r="Z814" s="28">
        <f>P814-W814</f>
        <v>24526.959999999999</v>
      </c>
      <c r="AA814" s="57">
        <f>IFERROR(Z814/P814,"")</f>
        <v>0.82454649364620447</v>
      </c>
      <c r="AB814" s="120">
        <f t="shared" si="480"/>
        <v>3704.76</v>
      </c>
      <c r="AC814" s="57">
        <f>IFERROR(AA814-O814,"")</f>
        <v>0.1245464936462044</v>
      </c>
      <c r="AG814" s="61"/>
    </row>
    <row r="815" spans="1:34" ht="11.25" customHeight="1" x14ac:dyDescent="0.15">
      <c r="A815" s="130" t="s">
        <v>53</v>
      </c>
      <c r="B815" s="130"/>
      <c r="C815" s="124"/>
      <c r="D815" s="124"/>
      <c r="E815" s="273"/>
      <c r="F815" s="124"/>
      <c r="G815" s="124"/>
      <c r="H815" s="124"/>
      <c r="I815" s="124"/>
      <c r="J815" s="124"/>
      <c r="K815" s="125"/>
      <c r="L815" s="129"/>
      <c r="M815" s="129"/>
      <c r="N815" s="129"/>
      <c r="O815" s="128"/>
      <c r="P815" s="129"/>
      <c r="Q815" s="124"/>
      <c r="R815" s="129"/>
      <c r="S815" s="129"/>
      <c r="T815" s="129"/>
      <c r="U815" s="129"/>
      <c r="V815" s="126"/>
      <c r="W815" s="49"/>
      <c r="X815" s="45"/>
      <c r="Y815" s="128"/>
      <c r="Z815" s="126"/>
      <c r="AA815" s="128"/>
      <c r="AB815" s="129"/>
      <c r="AC815" s="160"/>
      <c r="AD815" s="137"/>
      <c r="AE815" s="110"/>
      <c r="AF815" s="110"/>
      <c r="AG815" s="121"/>
      <c r="AH815" s="110"/>
    </row>
    <row r="816" spans="1:34" ht="11.25" customHeight="1" x14ac:dyDescent="0.15">
      <c r="A816" s="110" t="s">
        <v>277</v>
      </c>
      <c r="B816" s="110"/>
      <c r="C816" s="111" t="s">
        <v>175</v>
      </c>
      <c r="D816" s="111">
        <v>2022</v>
      </c>
      <c r="E816" s="146">
        <v>44773</v>
      </c>
      <c r="F816" s="111"/>
      <c r="G816" s="111">
        <v>811101112</v>
      </c>
      <c r="H816" s="111">
        <v>4101</v>
      </c>
      <c r="I816" s="111" t="str">
        <f>MID(G816,2,1)</f>
        <v>1</v>
      </c>
      <c r="J816" s="111" t="str">
        <f>IF(I816="1","Small/Medium","Large")</f>
        <v>Small/Medium</v>
      </c>
      <c r="K816" s="147" t="s">
        <v>145</v>
      </c>
      <c r="L816" s="117">
        <v>11076</v>
      </c>
      <c r="M816" s="120">
        <f>L816*0.3</f>
        <v>3322.7999999999997</v>
      </c>
      <c r="N816" s="120">
        <f>L816-M816</f>
        <v>7753.2000000000007</v>
      </c>
      <c r="O816" s="119">
        <f>IFERROR(N816/L816,"")</f>
        <v>0.70000000000000007</v>
      </c>
      <c r="P816" s="117">
        <v>11076</v>
      </c>
      <c r="Q816" s="111">
        <v>389</v>
      </c>
      <c r="R816" s="117">
        <v>9</v>
      </c>
      <c r="S816" s="117">
        <v>403.92</v>
      </c>
      <c r="T816" s="117">
        <v>550.67999999999995</v>
      </c>
      <c r="U816" s="117">
        <v>991.82</v>
      </c>
      <c r="V816" s="117">
        <v>309.54000000000002</v>
      </c>
      <c r="W816" s="26">
        <f>SUM(S816:V816)</f>
        <v>2255.96</v>
      </c>
      <c r="X816" s="118">
        <f>IFERROR(S816/R816,"")</f>
        <v>44.88</v>
      </c>
      <c r="Y816" s="119">
        <f>U816/P816</f>
        <v>8.9546767786204406E-2</v>
      </c>
      <c r="Z816" s="117">
        <f>P816-W816</f>
        <v>8820.0400000000009</v>
      </c>
      <c r="AA816" s="119">
        <f>Z816/P816</f>
        <v>0.79631997110870356</v>
      </c>
      <c r="AB816" s="120">
        <f t="shared" ref="AB816:AB818" si="482">M816-W816</f>
        <v>1066.8399999999997</v>
      </c>
      <c r="AC816" s="119">
        <f>IFERROR(AA816-O816,"")</f>
        <v>9.6319971108703495E-2</v>
      </c>
      <c r="AD816" s="110" t="s">
        <v>445</v>
      </c>
      <c r="AE816" s="110"/>
      <c r="AF816" s="110"/>
      <c r="AG816" s="121"/>
      <c r="AH816" s="110"/>
    </row>
    <row r="817" spans="1:34" ht="11.25" customHeight="1" x14ac:dyDescent="0.15">
      <c r="A817" s="110" t="s">
        <v>277</v>
      </c>
      <c r="B817" s="110"/>
      <c r="C817" s="111" t="s">
        <v>175</v>
      </c>
      <c r="D817" s="111">
        <v>2022</v>
      </c>
      <c r="E817" s="146">
        <v>44773</v>
      </c>
      <c r="F817" s="111"/>
      <c r="G817" s="111">
        <v>821101112</v>
      </c>
      <c r="H817" s="111">
        <v>4101</v>
      </c>
      <c r="I817" s="111" t="str">
        <f>MID(G817,2,1)</f>
        <v>2</v>
      </c>
      <c r="J817" s="111" t="str">
        <f>IF(I817="1","Small/Medium","Large")</f>
        <v>Large</v>
      </c>
      <c r="K817" s="147" t="s">
        <v>176</v>
      </c>
      <c r="L817" s="117">
        <v>20571</v>
      </c>
      <c r="M817" s="120">
        <f>L817*0.3</f>
        <v>6171.3</v>
      </c>
      <c r="N817" s="120">
        <f>L817-M817</f>
        <v>14399.7</v>
      </c>
      <c r="O817" s="119">
        <f>IFERROR(N817/L817,"")</f>
        <v>0.70000000000000007</v>
      </c>
      <c r="P817" s="117">
        <v>20571</v>
      </c>
      <c r="Q817" s="111">
        <v>390</v>
      </c>
      <c r="R817" s="117">
        <v>13.5</v>
      </c>
      <c r="S817" s="117">
        <v>594.66</v>
      </c>
      <c r="T817" s="117">
        <v>1022.69</v>
      </c>
      <c r="U817" s="117">
        <v>714.7</v>
      </c>
      <c r="V817" s="117">
        <v>0</v>
      </c>
      <c r="W817" s="26">
        <f>SUM(S817:V817)</f>
        <v>2332.0500000000002</v>
      </c>
      <c r="X817" s="118">
        <f>IFERROR(S817/R817,"")</f>
        <v>44.048888888888889</v>
      </c>
      <c r="Y817" s="119">
        <f>U817/P817</f>
        <v>3.4743084925380391E-2</v>
      </c>
      <c r="Z817" s="117">
        <f>P817-W817</f>
        <v>18238.95</v>
      </c>
      <c r="AA817" s="119">
        <f>Z817/P817</f>
        <v>0.88663409654367797</v>
      </c>
      <c r="AB817" s="120">
        <f t="shared" si="482"/>
        <v>3839.25</v>
      </c>
      <c r="AC817" s="119">
        <f>IFERROR(AA817-O817,"")</f>
        <v>0.18663409654367791</v>
      </c>
      <c r="AD817" s="110"/>
      <c r="AE817" s="110"/>
      <c r="AF817" s="110"/>
      <c r="AG817" s="121"/>
      <c r="AH817" s="110"/>
    </row>
    <row r="818" spans="1:34" s="53" customFormat="1" ht="11.25" customHeight="1" x14ac:dyDescent="0.15">
      <c r="A818" s="53" t="s">
        <v>277</v>
      </c>
      <c r="C818" s="54" t="s">
        <v>177</v>
      </c>
      <c r="D818" s="54">
        <v>2022</v>
      </c>
      <c r="E818" s="70">
        <v>44773</v>
      </c>
      <c r="F818" s="54"/>
      <c r="G818" s="54"/>
      <c r="H818" s="54"/>
      <c r="I818" s="54"/>
      <c r="J818" s="54"/>
      <c r="K818" s="106"/>
      <c r="L818" s="24">
        <f>SUM(L816:L817)</f>
        <v>31647</v>
      </c>
      <c r="M818" s="24">
        <f>SUM(M816:M817)</f>
        <v>9494.1</v>
      </c>
      <c r="N818" s="24">
        <f>SUM(N816:N817)</f>
        <v>22152.9</v>
      </c>
      <c r="O818" s="73">
        <f>IFERROR(N818/L818,"")</f>
        <v>0.70000000000000007</v>
      </c>
      <c r="P818" s="24">
        <f>SUM(P816:P817)</f>
        <v>31647</v>
      </c>
      <c r="Q818" s="24"/>
      <c r="R818" s="24">
        <f t="shared" ref="R818:W818" si="483">SUM(R816:R817)</f>
        <v>22.5</v>
      </c>
      <c r="S818" s="24">
        <f t="shared" si="483"/>
        <v>998.57999999999993</v>
      </c>
      <c r="T818" s="24">
        <f t="shared" si="483"/>
        <v>1573.37</v>
      </c>
      <c r="U818" s="24">
        <f t="shared" si="483"/>
        <v>1706.52</v>
      </c>
      <c r="V818" s="24">
        <f t="shared" si="483"/>
        <v>309.54000000000002</v>
      </c>
      <c r="W818" s="24">
        <f t="shared" si="483"/>
        <v>4588.01</v>
      </c>
      <c r="X818" s="56"/>
      <c r="Y818" s="57"/>
      <c r="Z818" s="28">
        <f>P818-W818</f>
        <v>27058.989999999998</v>
      </c>
      <c r="AA818" s="57">
        <f>Z818/P818</f>
        <v>0.85502543685025434</v>
      </c>
      <c r="AB818" s="120">
        <f t="shared" si="482"/>
        <v>4906.09</v>
      </c>
      <c r="AC818" s="57">
        <f>IFERROR(AA818-O818,"")</f>
        <v>0.15502543685025427</v>
      </c>
      <c r="AG818" s="61"/>
    </row>
    <row r="819" spans="1:34" ht="11.25" customHeight="1" x14ac:dyDescent="0.15">
      <c r="A819" s="130" t="s">
        <v>53</v>
      </c>
      <c r="B819" s="130"/>
      <c r="C819" s="124"/>
      <c r="D819" s="124"/>
      <c r="E819" s="273"/>
      <c r="F819" s="124"/>
      <c r="G819" s="124"/>
      <c r="H819" s="124"/>
      <c r="I819" s="124"/>
      <c r="J819" s="124"/>
      <c r="K819" s="125"/>
      <c r="L819" s="129"/>
      <c r="M819" s="129"/>
      <c r="N819" s="129"/>
      <c r="O819" s="128"/>
      <c r="P819" s="129"/>
      <c r="Q819" s="124"/>
      <c r="R819" s="129"/>
      <c r="S819" s="129"/>
      <c r="T819" s="129"/>
      <c r="U819" s="129"/>
      <c r="V819" s="126"/>
      <c r="W819" s="49"/>
      <c r="X819" s="45"/>
      <c r="Y819" s="128"/>
      <c r="Z819" s="126"/>
      <c r="AA819" s="128"/>
      <c r="AB819" s="129"/>
      <c r="AC819" s="160"/>
      <c r="AD819" s="137"/>
      <c r="AE819" s="110"/>
      <c r="AF819" s="110"/>
      <c r="AG819" s="121"/>
      <c r="AH819" s="110"/>
    </row>
    <row r="820" spans="1:34" ht="11.25" customHeight="1" x14ac:dyDescent="0.15">
      <c r="A820" s="110" t="s">
        <v>223</v>
      </c>
      <c r="B820" s="110"/>
      <c r="C820" s="111" t="s">
        <v>201</v>
      </c>
      <c r="D820" s="111">
        <v>2022</v>
      </c>
      <c r="E820" s="146">
        <v>44773</v>
      </c>
      <c r="F820" s="111"/>
      <c r="G820" s="111" t="s">
        <v>202</v>
      </c>
      <c r="H820" s="111"/>
      <c r="I820" s="111"/>
      <c r="J820" s="111"/>
      <c r="K820" s="112" t="s">
        <v>203</v>
      </c>
      <c r="L820" s="219"/>
      <c r="M820" s="219"/>
      <c r="N820" s="219"/>
      <c r="O820" s="119"/>
      <c r="P820" s="132">
        <v>0</v>
      </c>
      <c r="Q820" s="111">
        <v>483</v>
      </c>
      <c r="R820" s="132">
        <v>22.5</v>
      </c>
      <c r="S820" s="132">
        <v>1032.98</v>
      </c>
      <c r="T820" s="132">
        <v>1213.1300000000001</v>
      </c>
      <c r="U820" s="132">
        <v>218.91</v>
      </c>
      <c r="V820" s="132">
        <v>90.3</v>
      </c>
      <c r="W820" s="67">
        <f>SUM(S820:V820)</f>
        <v>2555.3200000000002</v>
      </c>
      <c r="X820" s="118">
        <f>IFERROR(S820/R820,"")</f>
        <v>45.910222222222224</v>
      </c>
      <c r="Y820" s="119">
        <f>IFERROR(U820/P820,0)</f>
        <v>0</v>
      </c>
      <c r="Z820" s="117">
        <f>P820-W820</f>
        <v>-2555.3200000000002</v>
      </c>
      <c r="AA820" s="119" t="str">
        <f>IFERROR(Z820/P820,"")</f>
        <v/>
      </c>
      <c r="AB820" s="120">
        <f t="shared" ref="AB820:AB821" si="484">M820-W820</f>
        <v>-2555.3200000000002</v>
      </c>
      <c r="AC820" s="119"/>
      <c r="AD820" s="110"/>
      <c r="AE820" s="110"/>
      <c r="AF820" s="110"/>
      <c r="AG820" s="121"/>
      <c r="AH820" s="110"/>
    </row>
    <row r="821" spans="1:34" s="53" customFormat="1" ht="11.25" customHeight="1" x14ac:dyDescent="0.15">
      <c r="A821" s="53" t="s">
        <v>223</v>
      </c>
      <c r="C821" s="54" t="s">
        <v>177</v>
      </c>
      <c r="D821" s="54">
        <v>2022</v>
      </c>
      <c r="E821" s="70">
        <v>44773</v>
      </c>
      <c r="F821" s="54"/>
      <c r="G821" s="54"/>
      <c r="H821" s="54"/>
      <c r="I821" s="54"/>
      <c r="J821" s="54"/>
      <c r="K821" s="106"/>
      <c r="L821" s="24"/>
      <c r="M821" s="24"/>
      <c r="N821" s="24"/>
      <c r="O821" s="57"/>
      <c r="P821" s="24">
        <f>SUM(P820)</f>
        <v>0</v>
      </c>
      <c r="Q821" s="24"/>
      <c r="R821" s="24">
        <f t="shared" ref="R821:W821" si="485">SUM(R820)</f>
        <v>22.5</v>
      </c>
      <c r="S821" s="24">
        <f t="shared" si="485"/>
        <v>1032.98</v>
      </c>
      <c r="T821" s="24">
        <f t="shared" si="485"/>
        <v>1213.1300000000001</v>
      </c>
      <c r="U821" s="24">
        <f t="shared" si="485"/>
        <v>218.91</v>
      </c>
      <c r="V821" s="24">
        <f t="shared" si="485"/>
        <v>90.3</v>
      </c>
      <c r="W821" s="24">
        <f t="shared" si="485"/>
        <v>2555.3200000000002</v>
      </c>
      <c r="X821" s="56"/>
      <c r="Y821" s="57"/>
      <c r="Z821" s="28">
        <f>P821-W821</f>
        <v>-2555.3200000000002</v>
      </c>
      <c r="AA821" s="57" t="str">
        <f>IFERROR(Z821/P821,"")</f>
        <v/>
      </c>
      <c r="AB821" s="120">
        <f t="shared" si="484"/>
        <v>-2555.3200000000002</v>
      </c>
      <c r="AC821" s="57"/>
      <c r="AG821" s="61"/>
    </row>
    <row r="822" spans="1:34" ht="11.25" customHeight="1" x14ac:dyDescent="0.15">
      <c r="A822" s="130" t="s">
        <v>53</v>
      </c>
      <c r="B822" s="130"/>
      <c r="C822" s="124"/>
      <c r="D822" s="124"/>
      <c r="E822" s="273"/>
      <c r="F822" s="124"/>
      <c r="G822" s="124"/>
      <c r="H822" s="124"/>
      <c r="I822" s="124"/>
      <c r="J822" s="124"/>
      <c r="K822" s="125"/>
      <c r="L822" s="129"/>
      <c r="M822" s="129"/>
      <c r="N822" s="129"/>
      <c r="O822" s="128"/>
      <c r="P822" s="129"/>
      <c r="Q822" s="124"/>
      <c r="R822" s="129"/>
      <c r="S822" s="129"/>
      <c r="T822" s="129"/>
      <c r="U822" s="129"/>
      <c r="V822" s="126"/>
      <c r="W822" s="49"/>
      <c r="X822" s="45"/>
      <c r="Y822" s="128"/>
      <c r="Z822" s="126"/>
      <c r="AA822" s="128"/>
      <c r="AB822" s="129"/>
      <c r="AC822" s="160"/>
      <c r="AD822" s="137"/>
      <c r="AE822" s="110"/>
      <c r="AF822" s="110"/>
      <c r="AG822" s="121"/>
      <c r="AH822" s="110"/>
    </row>
    <row r="823" spans="1:34" ht="11.25" customHeight="1" x14ac:dyDescent="0.15">
      <c r="A823" s="110" t="s">
        <v>97</v>
      </c>
      <c r="B823" s="110"/>
      <c r="C823" s="111" t="s">
        <v>201</v>
      </c>
      <c r="D823" s="111">
        <v>2022</v>
      </c>
      <c r="E823" s="146">
        <v>44773</v>
      </c>
      <c r="F823" s="111"/>
      <c r="G823" s="111" t="s">
        <v>202</v>
      </c>
      <c r="H823" s="111"/>
      <c r="I823" s="111"/>
      <c r="J823" s="111"/>
      <c r="K823" s="112" t="s">
        <v>203</v>
      </c>
      <c r="L823" s="120"/>
      <c r="M823" s="120"/>
      <c r="N823" s="120"/>
      <c r="O823" s="119"/>
      <c r="P823" s="117">
        <v>0</v>
      </c>
      <c r="Q823" s="111">
        <v>527</v>
      </c>
      <c r="R823" s="117">
        <v>18</v>
      </c>
      <c r="S823" s="117">
        <v>826.38</v>
      </c>
      <c r="T823" s="117">
        <v>1269.51</v>
      </c>
      <c r="U823" s="117">
        <v>0</v>
      </c>
      <c r="V823" s="117">
        <v>0</v>
      </c>
      <c r="W823" s="26">
        <f>SUM(S823:V823)</f>
        <v>2095.89</v>
      </c>
      <c r="X823" s="118">
        <f>IFERROR(S823/R823,"")</f>
        <v>45.91</v>
      </c>
      <c r="Y823" s="119">
        <f>IFERROR(U823/P823,0)</f>
        <v>0</v>
      </c>
      <c r="Z823" s="117">
        <f>P823-W823</f>
        <v>-2095.89</v>
      </c>
      <c r="AA823" s="119" t="str">
        <f>IFERROR(Z823/P823,"")</f>
        <v/>
      </c>
      <c r="AB823" s="120">
        <f t="shared" ref="AB823:AB824" si="486">M823-W823</f>
        <v>-2095.89</v>
      </c>
      <c r="AC823" s="119"/>
      <c r="AD823" s="110"/>
      <c r="AE823" s="110"/>
      <c r="AF823" s="110"/>
      <c r="AG823" s="121"/>
      <c r="AH823" s="110"/>
    </row>
    <row r="824" spans="1:34" s="53" customFormat="1" ht="11.25" customHeight="1" x14ac:dyDescent="0.15">
      <c r="A824" s="53" t="s">
        <v>97</v>
      </c>
      <c r="C824" s="54" t="s">
        <v>177</v>
      </c>
      <c r="D824" s="54">
        <v>2022</v>
      </c>
      <c r="E824" s="70">
        <v>44773</v>
      </c>
      <c r="F824" s="54"/>
      <c r="G824" s="54"/>
      <c r="H824" s="54"/>
      <c r="I824" s="54"/>
      <c r="J824" s="54"/>
      <c r="K824" s="106"/>
      <c r="L824" s="24"/>
      <c r="M824" s="24"/>
      <c r="N824" s="24"/>
      <c r="O824" s="57"/>
      <c r="P824" s="24">
        <f>SUM(P823)</f>
        <v>0</v>
      </c>
      <c r="Q824" s="24"/>
      <c r="R824" s="24">
        <f t="shared" ref="R824:W824" si="487">SUM(R823)</f>
        <v>18</v>
      </c>
      <c r="S824" s="24">
        <f t="shared" si="487"/>
        <v>826.38</v>
      </c>
      <c r="T824" s="24">
        <f t="shared" si="487"/>
        <v>1269.51</v>
      </c>
      <c r="U824" s="24">
        <f t="shared" si="487"/>
        <v>0</v>
      </c>
      <c r="V824" s="24">
        <f t="shared" si="487"/>
        <v>0</v>
      </c>
      <c r="W824" s="24">
        <f t="shared" si="487"/>
        <v>2095.89</v>
      </c>
      <c r="X824" s="56"/>
      <c r="Y824" s="57"/>
      <c r="Z824" s="28">
        <f>P824-W824</f>
        <v>-2095.89</v>
      </c>
      <c r="AA824" s="57" t="str">
        <f>IFERROR(Z824/P824,"")</f>
        <v/>
      </c>
      <c r="AB824" s="120">
        <f t="shared" si="486"/>
        <v>-2095.89</v>
      </c>
      <c r="AC824" s="57"/>
      <c r="AG824" s="61"/>
    </row>
    <row r="825" spans="1:34" ht="11.25" customHeight="1" x14ac:dyDescent="0.15">
      <c r="A825" s="130" t="s">
        <v>53</v>
      </c>
      <c r="B825" s="130"/>
      <c r="C825" s="124"/>
      <c r="D825" s="124"/>
      <c r="E825" s="273"/>
      <c r="F825" s="124"/>
      <c r="G825" s="124"/>
      <c r="H825" s="124"/>
      <c r="I825" s="124"/>
      <c r="J825" s="124"/>
      <c r="K825" s="125"/>
      <c r="L825" s="129"/>
      <c r="M825" s="129"/>
      <c r="N825" s="129"/>
      <c r="O825" s="128"/>
      <c r="P825" s="129"/>
      <c r="Q825" s="124"/>
      <c r="R825" s="129"/>
      <c r="S825" s="129"/>
      <c r="T825" s="129"/>
      <c r="U825" s="129"/>
      <c r="V825" s="126"/>
      <c r="W825" s="49"/>
      <c r="X825" s="45"/>
      <c r="Y825" s="128"/>
      <c r="Z825" s="126"/>
      <c r="AA825" s="128"/>
      <c r="AB825" s="129"/>
      <c r="AC825" s="160"/>
      <c r="AD825" s="137"/>
      <c r="AE825" s="110"/>
      <c r="AF825" s="110"/>
      <c r="AG825" s="121"/>
      <c r="AH825" s="110"/>
    </row>
    <row r="826" spans="1:34" ht="11.25" customHeight="1" x14ac:dyDescent="0.15">
      <c r="A826" s="110" t="s">
        <v>377</v>
      </c>
      <c r="B826" s="110"/>
      <c r="C826" s="111" t="s">
        <v>180</v>
      </c>
      <c r="D826" s="111">
        <v>2022</v>
      </c>
      <c r="E826" s="146">
        <v>44773</v>
      </c>
      <c r="F826" s="111"/>
      <c r="G826" s="111">
        <v>91000322</v>
      </c>
      <c r="H826" s="111"/>
      <c r="I826" s="111"/>
      <c r="J826" s="111"/>
      <c r="K826" s="112" t="s">
        <v>446</v>
      </c>
      <c r="L826" s="120">
        <v>69119</v>
      </c>
      <c r="M826" s="120">
        <v>9907.86</v>
      </c>
      <c r="N826" s="120">
        <f>L826-M826</f>
        <v>59211.14</v>
      </c>
      <c r="O826" s="119">
        <f>IFERROR(N826/L826,"")</f>
        <v>0.85665504419913485</v>
      </c>
      <c r="P826" s="117">
        <v>69119</v>
      </c>
      <c r="Q826" s="111">
        <v>442</v>
      </c>
      <c r="R826" s="117">
        <v>9.5</v>
      </c>
      <c r="S826" s="117">
        <v>370.88</v>
      </c>
      <c r="T826" s="117"/>
      <c r="U826" s="117">
        <v>10111.709999999999</v>
      </c>
      <c r="V826" s="117"/>
      <c r="W826" s="26">
        <f>SUM(S826:V826)</f>
        <v>10482.589999999998</v>
      </c>
      <c r="X826" s="118">
        <f>IFERROR(S826/R826,"")</f>
        <v>39.04</v>
      </c>
      <c r="Y826" s="119">
        <f>U826/P826</f>
        <v>0.1462942172195778</v>
      </c>
      <c r="Z826" s="117">
        <f>P826-W826</f>
        <v>58636.41</v>
      </c>
      <c r="AA826" s="119">
        <f>Z826/P826</f>
        <v>0.84833996440920734</v>
      </c>
      <c r="AB826" s="120">
        <f t="shared" ref="AB826:AB834" si="488">M826-W826</f>
        <v>-574.72999999999774</v>
      </c>
      <c r="AC826" s="119">
        <f>IFERROR(AA826-O826,"")</f>
        <v>-8.3150797899275153E-3</v>
      </c>
      <c r="AD826" s="110"/>
      <c r="AE826" s="110"/>
      <c r="AF826" s="110"/>
      <c r="AG826" s="121"/>
      <c r="AH826" s="110"/>
    </row>
    <row r="827" spans="1:34" ht="11.25" customHeight="1" x14ac:dyDescent="0.15">
      <c r="A827" s="110" t="s">
        <v>377</v>
      </c>
      <c r="B827" s="110"/>
      <c r="C827" s="111" t="s">
        <v>180</v>
      </c>
      <c r="D827" s="111">
        <v>2022</v>
      </c>
      <c r="E827" s="146">
        <v>44773</v>
      </c>
      <c r="F827" s="111"/>
      <c r="G827" s="111">
        <v>910241122</v>
      </c>
      <c r="H827" s="111"/>
      <c r="I827" s="111"/>
      <c r="J827" s="111"/>
      <c r="K827" s="112" t="s">
        <v>447</v>
      </c>
      <c r="L827" s="120">
        <v>28143</v>
      </c>
      <c r="M827" s="168">
        <v>9500</v>
      </c>
      <c r="N827" s="120">
        <f>L827-M827</f>
        <v>18643</v>
      </c>
      <c r="O827" s="119">
        <f>IFERROR(N827/L827,"")</f>
        <v>0.66243826173471199</v>
      </c>
      <c r="P827" s="117">
        <v>28143</v>
      </c>
      <c r="Q827" s="111">
        <v>443</v>
      </c>
      <c r="R827" s="117"/>
      <c r="S827" s="117"/>
      <c r="T827" s="117"/>
      <c r="U827" s="117">
        <v>12435.18</v>
      </c>
      <c r="V827" s="117"/>
      <c r="W827" s="101">
        <f>SUM(S827:V827)</f>
        <v>12435.18</v>
      </c>
      <c r="X827" s="118" t="str">
        <f>IFERROR(S827/R827,"")</f>
        <v/>
      </c>
      <c r="Y827" s="119">
        <f>U827/P827</f>
        <v>0.44185694488860466</v>
      </c>
      <c r="Z827" s="117">
        <f>P827-W827</f>
        <v>15707.82</v>
      </c>
      <c r="AA827" s="119">
        <f>Z827/P827</f>
        <v>0.55814305511139539</v>
      </c>
      <c r="AB827" s="120">
        <f t="shared" si="488"/>
        <v>-2935.1800000000003</v>
      </c>
      <c r="AC827" s="119">
        <f>IFERROR(AA827-O827,"")</f>
        <v>-0.10429520662331659</v>
      </c>
      <c r="AD827" s="108" t="s">
        <v>448</v>
      </c>
      <c r="AE827" s="110"/>
      <c r="AF827" s="110"/>
      <c r="AG827" s="121"/>
      <c r="AH827" s="110"/>
    </row>
    <row r="828" spans="1:34" s="53" customFormat="1" ht="11.25" customHeight="1" x14ac:dyDescent="0.15">
      <c r="A828" s="53" t="s">
        <v>377</v>
      </c>
      <c r="C828" s="54" t="s">
        <v>360</v>
      </c>
      <c r="D828" s="54">
        <v>2022</v>
      </c>
      <c r="E828" s="70">
        <v>44773</v>
      </c>
      <c r="F828" s="54"/>
      <c r="G828" s="54"/>
      <c r="H828" s="54"/>
      <c r="I828" s="54"/>
      <c r="J828" s="54"/>
      <c r="K828" s="106"/>
      <c r="L828" s="24">
        <f>SUM(L826:L827)</f>
        <v>97262</v>
      </c>
      <c r="M828" s="24">
        <f>SUM(M826:M827)</f>
        <v>19407.86</v>
      </c>
      <c r="N828" s="24">
        <f>SUM(N826:N827)</f>
        <v>77854.14</v>
      </c>
      <c r="O828" s="57"/>
      <c r="P828" s="24">
        <f>SUM(P826:P827)</f>
        <v>97262</v>
      </c>
      <c r="Q828" s="91"/>
      <c r="R828" s="24">
        <f t="shared" ref="R828:W828" si="489">SUM(R826:R827)</f>
        <v>9.5</v>
      </c>
      <c r="S828" s="24">
        <f t="shared" si="489"/>
        <v>370.88</v>
      </c>
      <c r="T828" s="24">
        <f t="shared" si="489"/>
        <v>0</v>
      </c>
      <c r="U828" s="24">
        <f t="shared" si="489"/>
        <v>22546.89</v>
      </c>
      <c r="V828" s="24">
        <f t="shared" si="489"/>
        <v>0</v>
      </c>
      <c r="W828" s="24">
        <f t="shared" si="489"/>
        <v>22917.769999999997</v>
      </c>
      <c r="X828" s="56"/>
      <c r="Y828" s="57"/>
      <c r="Z828" s="28"/>
      <c r="AA828" s="57"/>
      <c r="AB828" s="120">
        <f t="shared" si="488"/>
        <v>-3509.9099999999962</v>
      </c>
      <c r="AC828" s="57"/>
      <c r="AG828" s="61"/>
    </row>
    <row r="829" spans="1:34" ht="11.25" customHeight="1" x14ac:dyDescent="0.15">
      <c r="A829" s="110" t="s">
        <v>377</v>
      </c>
      <c r="B829" s="110"/>
      <c r="C829" s="111" t="s">
        <v>279</v>
      </c>
      <c r="D829" s="111">
        <v>2022</v>
      </c>
      <c r="E829" s="146">
        <v>44773</v>
      </c>
      <c r="F829" s="111"/>
      <c r="G829" s="111">
        <v>510241222</v>
      </c>
      <c r="H829" s="111"/>
      <c r="I829" s="111"/>
      <c r="J829" s="111"/>
      <c r="K829" s="112" t="s">
        <v>449</v>
      </c>
      <c r="L829" s="219">
        <v>27676</v>
      </c>
      <c r="M829" s="153">
        <v>10686.32</v>
      </c>
      <c r="N829" s="219">
        <f>L829-M829</f>
        <v>16989.68</v>
      </c>
      <c r="O829" s="119">
        <f t="shared" ref="O829:O834" si="490">IFERROR(N829/L829,"")</f>
        <v>0.6138777279953751</v>
      </c>
      <c r="P829" s="132">
        <v>27676</v>
      </c>
      <c r="Q829" s="111">
        <v>444</v>
      </c>
      <c r="R829" s="132">
        <v>43</v>
      </c>
      <c r="S829" s="132">
        <v>1974.15</v>
      </c>
      <c r="T829" s="132">
        <v>640.39</v>
      </c>
      <c r="U829" s="132">
        <v>1102.4000000000001</v>
      </c>
      <c r="V829" s="132"/>
      <c r="W829" s="42">
        <f>SUM(S829:V829)</f>
        <v>3716.94</v>
      </c>
      <c r="X829" s="118">
        <f t="shared" ref="X829:X834" si="491">IFERROR(S829/R829,"")</f>
        <v>45.91046511627907</v>
      </c>
      <c r="Y829" s="119">
        <f>U829/P829</f>
        <v>3.983234571469866E-2</v>
      </c>
      <c r="Z829" s="117">
        <f t="shared" ref="Z829:Z834" si="492">P829-W829</f>
        <v>23959.06</v>
      </c>
      <c r="AA829" s="119">
        <f t="shared" ref="AA829:AA834" si="493">IFERROR(Z829/P829,"")</f>
        <v>0.86569807775690133</v>
      </c>
      <c r="AB829" s="120">
        <f t="shared" si="488"/>
        <v>6969.3799999999992</v>
      </c>
      <c r="AC829" s="119">
        <f t="shared" ref="AC829:AC834" si="494">IFERROR(AA829-O829,"")</f>
        <v>0.25182034976152623</v>
      </c>
      <c r="AD829" s="110" t="s">
        <v>450</v>
      </c>
      <c r="AE829" s="110"/>
      <c r="AF829" s="110"/>
      <c r="AG829" s="121"/>
      <c r="AH829" s="110"/>
    </row>
    <row r="830" spans="1:34" ht="11.25" customHeight="1" x14ac:dyDescent="0.15">
      <c r="A830" s="110" t="s">
        <v>377</v>
      </c>
      <c r="B830" s="110"/>
      <c r="C830" s="111" t="s">
        <v>248</v>
      </c>
      <c r="D830" s="111">
        <v>2022</v>
      </c>
      <c r="E830" s="146">
        <v>44773</v>
      </c>
      <c r="F830" s="111"/>
      <c r="G830" s="111">
        <v>960000002</v>
      </c>
      <c r="H830" s="111"/>
      <c r="I830" s="111"/>
      <c r="J830" s="111"/>
      <c r="K830" s="112" t="s">
        <v>250</v>
      </c>
      <c r="L830" s="120">
        <v>7052</v>
      </c>
      <c r="M830" s="148">
        <v>3526</v>
      </c>
      <c r="N830" s="120">
        <f>L830-M830</f>
        <v>3526</v>
      </c>
      <c r="O830" s="119">
        <f t="shared" si="490"/>
        <v>0.5</v>
      </c>
      <c r="P830" s="117">
        <v>7052</v>
      </c>
      <c r="Q830" s="111">
        <v>445</v>
      </c>
      <c r="R830" s="117">
        <v>6</v>
      </c>
      <c r="S830" s="117">
        <v>339.3</v>
      </c>
      <c r="T830" s="117"/>
      <c r="U830" s="117"/>
      <c r="V830" s="117"/>
      <c r="W830" s="52">
        <f>SUM(S830:V830)</f>
        <v>339.3</v>
      </c>
      <c r="X830" s="118">
        <f t="shared" si="491"/>
        <v>56.550000000000004</v>
      </c>
      <c r="Y830" s="119">
        <f>U830/P830</f>
        <v>0</v>
      </c>
      <c r="Z830" s="117">
        <f t="shared" si="492"/>
        <v>6712.7</v>
      </c>
      <c r="AA830" s="119">
        <f t="shared" si="493"/>
        <v>0.95188598979013039</v>
      </c>
      <c r="AB830" s="120">
        <f t="shared" si="488"/>
        <v>3186.7</v>
      </c>
      <c r="AC830" s="119">
        <f t="shared" si="494"/>
        <v>0.45188598979013039</v>
      </c>
      <c r="AD830" s="110"/>
      <c r="AE830" s="110"/>
      <c r="AF830" s="110"/>
      <c r="AG830" s="121"/>
      <c r="AH830" s="110"/>
    </row>
    <row r="831" spans="1:34" ht="11.25" customHeight="1" x14ac:dyDescent="0.15">
      <c r="A831" s="110" t="s">
        <v>377</v>
      </c>
      <c r="B831" s="110"/>
      <c r="C831" s="111" t="s">
        <v>58</v>
      </c>
      <c r="D831" s="111">
        <v>2022</v>
      </c>
      <c r="E831" s="146">
        <v>44772</v>
      </c>
      <c r="F831" s="111"/>
      <c r="G831" s="111">
        <v>711420122</v>
      </c>
      <c r="H831" s="111"/>
      <c r="I831" s="111"/>
      <c r="J831" s="111"/>
      <c r="K831" s="112" t="s">
        <v>451</v>
      </c>
      <c r="L831" s="120">
        <v>3229</v>
      </c>
      <c r="M831" s="120">
        <v>322.89999999999998</v>
      </c>
      <c r="N831" s="120">
        <f>L831-M831</f>
        <v>2906.1</v>
      </c>
      <c r="O831" s="119">
        <f t="shared" si="490"/>
        <v>0.9</v>
      </c>
      <c r="P831" s="117">
        <v>3229</v>
      </c>
      <c r="Q831" s="111">
        <v>446</v>
      </c>
      <c r="R831" s="117"/>
      <c r="S831" s="117"/>
      <c r="T831" s="117"/>
      <c r="U831" s="117"/>
      <c r="V831" s="117"/>
      <c r="W831" s="26">
        <f>SUM(S831:V831)</f>
        <v>0</v>
      </c>
      <c r="X831" s="118" t="str">
        <f t="shared" si="491"/>
        <v/>
      </c>
      <c r="Y831" s="119">
        <f>U831/P831</f>
        <v>0</v>
      </c>
      <c r="Z831" s="117">
        <f t="shared" si="492"/>
        <v>3229</v>
      </c>
      <c r="AA831" s="119">
        <f t="shared" si="493"/>
        <v>1</v>
      </c>
      <c r="AB831" s="120">
        <f t="shared" si="488"/>
        <v>322.89999999999998</v>
      </c>
      <c r="AC831" s="119">
        <f t="shared" si="494"/>
        <v>9.9999999999999978E-2</v>
      </c>
      <c r="AD831" s="110"/>
      <c r="AE831" s="110"/>
      <c r="AF831" s="110"/>
      <c r="AG831" s="121"/>
      <c r="AH831" s="110"/>
    </row>
    <row r="832" spans="1:34" ht="11.25" customHeight="1" x14ac:dyDescent="0.15">
      <c r="A832" s="110" t="s">
        <v>377</v>
      </c>
      <c r="B832" s="110"/>
      <c r="C832" s="111" t="s">
        <v>452</v>
      </c>
      <c r="D832" s="111">
        <v>2022</v>
      </c>
      <c r="E832" s="146">
        <v>44773</v>
      </c>
      <c r="F832" s="111"/>
      <c r="G832" s="111">
        <v>616420122</v>
      </c>
      <c r="H832" s="111"/>
      <c r="I832" s="111"/>
      <c r="J832" s="111"/>
      <c r="K832" s="112" t="s">
        <v>453</v>
      </c>
      <c r="L832" s="120">
        <v>8858</v>
      </c>
      <c r="M832" s="120">
        <v>2680.08</v>
      </c>
      <c r="N832" s="120">
        <f>L832-M832</f>
        <v>6177.92</v>
      </c>
      <c r="O832" s="119">
        <f t="shared" si="490"/>
        <v>0.69743960261910143</v>
      </c>
      <c r="P832" s="117">
        <v>8858</v>
      </c>
      <c r="Q832" s="111">
        <v>440</v>
      </c>
      <c r="R832" s="117">
        <v>2</v>
      </c>
      <c r="S832" s="117">
        <v>113.1</v>
      </c>
      <c r="T832" s="117">
        <v>33.700000000000003</v>
      </c>
      <c r="U832" s="117">
        <v>10.81</v>
      </c>
      <c r="V832" s="117"/>
      <c r="W832" s="26">
        <f>SUM(S832:V832)</f>
        <v>157.61000000000001</v>
      </c>
      <c r="X832" s="118">
        <f t="shared" si="491"/>
        <v>56.55</v>
      </c>
      <c r="Y832" s="119">
        <f>IFERROR(U832/P832,0)</f>
        <v>1.2203657710544141E-3</v>
      </c>
      <c r="Z832" s="117">
        <f t="shared" si="492"/>
        <v>8700.39</v>
      </c>
      <c r="AA832" s="119">
        <f t="shared" si="493"/>
        <v>0.98220704447956642</v>
      </c>
      <c r="AB832" s="120">
        <f t="shared" si="488"/>
        <v>2522.4699999999998</v>
      </c>
      <c r="AC832" s="119">
        <f t="shared" si="494"/>
        <v>0.28476744186046499</v>
      </c>
      <c r="AD832" s="110"/>
      <c r="AE832" s="110"/>
      <c r="AF832" s="110"/>
      <c r="AG832" s="121"/>
      <c r="AH832" s="110"/>
    </row>
    <row r="833" spans="1:34" ht="11.25" customHeight="1" x14ac:dyDescent="0.15">
      <c r="A833" s="110" t="s">
        <v>377</v>
      </c>
      <c r="B833" s="110"/>
      <c r="C833" s="111" t="s">
        <v>55</v>
      </c>
      <c r="D833" s="111">
        <v>2022</v>
      </c>
      <c r="E833" s="146">
        <v>44773</v>
      </c>
      <c r="F833" s="111"/>
      <c r="G833" s="111" t="s">
        <v>56</v>
      </c>
      <c r="H833" s="111"/>
      <c r="I833" s="111"/>
      <c r="J833" s="111"/>
      <c r="K833" s="112" t="s">
        <v>71</v>
      </c>
      <c r="L833" s="120">
        <v>4000</v>
      </c>
      <c r="M833" s="120">
        <v>2000</v>
      </c>
      <c r="N833" s="120">
        <f>L833-M833</f>
        <v>2000</v>
      </c>
      <c r="O833" s="119">
        <f t="shared" si="490"/>
        <v>0.5</v>
      </c>
      <c r="P833" s="117">
        <v>4000</v>
      </c>
      <c r="Q833" s="111">
        <v>441</v>
      </c>
      <c r="R833" s="117"/>
      <c r="S833" s="117"/>
      <c r="T833" s="117"/>
      <c r="U833" s="117"/>
      <c r="V833" s="117">
        <v>288.11</v>
      </c>
      <c r="W833" s="26">
        <f>SUM(S833:V833)</f>
        <v>288.11</v>
      </c>
      <c r="X833" s="118" t="str">
        <f t="shared" si="491"/>
        <v/>
      </c>
      <c r="Y833" s="119">
        <f>IFERROR(U833/P833,0)</f>
        <v>0</v>
      </c>
      <c r="Z833" s="117">
        <f t="shared" si="492"/>
        <v>3711.89</v>
      </c>
      <c r="AA833" s="119">
        <f t="shared" si="493"/>
        <v>0.92797249999999998</v>
      </c>
      <c r="AB833" s="120">
        <f t="shared" si="488"/>
        <v>1711.8899999999999</v>
      </c>
      <c r="AC833" s="119">
        <f t="shared" si="494"/>
        <v>0.42797249999999998</v>
      </c>
      <c r="AD833" s="110"/>
      <c r="AE833" s="110"/>
      <c r="AF833" s="110"/>
      <c r="AG833" s="121"/>
      <c r="AH833" s="110"/>
    </row>
    <row r="834" spans="1:34" s="53" customFormat="1" ht="11.25" customHeight="1" x14ac:dyDescent="0.15">
      <c r="A834" s="53" t="s">
        <v>377</v>
      </c>
      <c r="C834" s="54" t="s">
        <v>177</v>
      </c>
      <c r="D834" s="54">
        <v>2022</v>
      </c>
      <c r="E834" s="70">
        <v>44773</v>
      </c>
      <c r="F834" s="54"/>
      <c r="G834" s="54"/>
      <c r="H834" s="54"/>
      <c r="I834" s="54"/>
      <c r="J834" s="54"/>
      <c r="K834" s="106"/>
      <c r="L834" s="24">
        <f>SUM(L828:L833)</f>
        <v>148077</v>
      </c>
      <c r="M834" s="24">
        <f>SUM(M828:M833)</f>
        <v>38623.160000000003</v>
      </c>
      <c r="N834" s="24">
        <f>SUM(N828:N833)</f>
        <v>109453.84000000001</v>
      </c>
      <c r="O834" s="57">
        <f t="shared" si="490"/>
        <v>0.73916840562680231</v>
      </c>
      <c r="P834" s="24">
        <f>SUM(P828:P833)</f>
        <v>148077</v>
      </c>
      <c r="Q834" s="24"/>
      <c r="R834" s="24">
        <f t="shared" ref="R834:W834" si="495">SUM(R828:R833)</f>
        <v>60.5</v>
      </c>
      <c r="S834" s="24">
        <f t="shared" si="495"/>
        <v>2797.4300000000003</v>
      </c>
      <c r="T834" s="24">
        <f t="shared" si="495"/>
        <v>674.09</v>
      </c>
      <c r="U834" s="24">
        <f t="shared" si="495"/>
        <v>23660.100000000002</v>
      </c>
      <c r="V834" s="24">
        <f t="shared" si="495"/>
        <v>288.11</v>
      </c>
      <c r="W834" s="24">
        <f t="shared" si="495"/>
        <v>27419.729999999996</v>
      </c>
      <c r="X834" s="56">
        <f t="shared" si="491"/>
        <v>46.238512396694219</v>
      </c>
      <c r="Y834" s="57">
        <f>U834/P834</f>
        <v>0.15978241050264391</v>
      </c>
      <c r="Z834" s="28">
        <f t="shared" si="492"/>
        <v>120657.27</v>
      </c>
      <c r="AA834" s="57">
        <f t="shared" si="493"/>
        <v>0.81482789359589947</v>
      </c>
      <c r="AB834" s="120">
        <f t="shared" si="488"/>
        <v>11203.430000000008</v>
      </c>
      <c r="AC834" s="57">
        <f t="shared" si="494"/>
        <v>7.5659487969097161E-2</v>
      </c>
      <c r="AG834" s="61"/>
    </row>
    <row r="835" spans="1:34" ht="11.25" customHeight="1" x14ac:dyDescent="0.15">
      <c r="A835" s="130" t="s">
        <v>53</v>
      </c>
      <c r="B835" s="130"/>
      <c r="C835" s="124"/>
      <c r="D835" s="124"/>
      <c r="E835" s="273"/>
      <c r="F835" s="124"/>
      <c r="G835" s="124"/>
      <c r="H835" s="124"/>
      <c r="I835" s="124"/>
      <c r="J835" s="124"/>
      <c r="K835" s="125"/>
      <c r="L835" s="129"/>
      <c r="M835" s="129"/>
      <c r="N835" s="129"/>
      <c r="O835" s="128"/>
      <c r="P835" s="129"/>
      <c r="Q835" s="124"/>
      <c r="R835" s="129"/>
      <c r="S835" s="129"/>
      <c r="T835" s="129"/>
      <c r="U835" s="129"/>
      <c r="V835" s="126"/>
      <c r="W835" s="49"/>
      <c r="X835" s="45"/>
      <c r="Y835" s="128"/>
      <c r="Z835" s="126"/>
      <c r="AA835" s="128"/>
      <c r="AB835" s="129"/>
      <c r="AC835" s="160"/>
      <c r="AD835" s="137"/>
      <c r="AE835" s="110"/>
      <c r="AF835" s="110"/>
      <c r="AG835" s="121"/>
      <c r="AH835" s="110"/>
    </row>
    <row r="836" spans="1:34" ht="11.25" customHeight="1" x14ac:dyDescent="0.15">
      <c r="A836" s="110" t="s">
        <v>377</v>
      </c>
      <c r="B836" s="110"/>
      <c r="C836" s="111" t="s">
        <v>175</v>
      </c>
      <c r="D836" s="111">
        <v>2022</v>
      </c>
      <c r="E836" s="146">
        <v>44773</v>
      </c>
      <c r="F836" s="111"/>
      <c r="G836" s="111">
        <v>811000012</v>
      </c>
      <c r="H836" s="111">
        <v>4101</v>
      </c>
      <c r="I836" s="111" t="str">
        <f>MID(G836,2,1)</f>
        <v>1</v>
      </c>
      <c r="J836" s="111" t="str">
        <f>IF(I836="1","Small/Medium","Large")</f>
        <v>Small/Medium</v>
      </c>
      <c r="K836" s="147" t="s">
        <v>145</v>
      </c>
      <c r="L836" s="117">
        <v>9572</v>
      </c>
      <c r="M836" s="120">
        <f>L836*0.3</f>
        <v>2871.6</v>
      </c>
      <c r="N836" s="120">
        <f>L836-M836</f>
        <v>6700.4</v>
      </c>
      <c r="O836" s="119">
        <f>IFERROR(N836/L836,"")</f>
        <v>0.7</v>
      </c>
      <c r="P836" s="117">
        <v>9572</v>
      </c>
      <c r="Q836" s="111">
        <v>531</v>
      </c>
      <c r="R836" s="117">
        <v>8.5</v>
      </c>
      <c r="S836" s="117">
        <v>381.48</v>
      </c>
      <c r="T836" s="117">
        <v>674.09</v>
      </c>
      <c r="U836" s="117">
        <v>878.75</v>
      </c>
      <c r="V836" s="117"/>
      <c r="W836" s="26">
        <f>SUM(S836:V836)</f>
        <v>1934.3200000000002</v>
      </c>
      <c r="X836" s="118">
        <f>IFERROR(S836/R836,"")</f>
        <v>44.88</v>
      </c>
      <c r="Y836" s="119">
        <f>IFERROR(U836/P836,0)</f>
        <v>9.1804220643543669E-2</v>
      </c>
      <c r="Z836" s="117">
        <f>P836-W836</f>
        <v>7637.68</v>
      </c>
      <c r="AA836" s="119">
        <f>IFERROR(Z836/P836,"")</f>
        <v>0.79791893021312166</v>
      </c>
      <c r="AB836" s="120">
        <f t="shared" ref="AB836:AB837" si="496">M836-W836</f>
        <v>937.27999999999975</v>
      </c>
      <c r="AC836" s="119">
        <f>IFERROR(AA836-O836,"")</f>
        <v>9.7918930213121702E-2</v>
      </c>
      <c r="AD836" s="110"/>
      <c r="AE836" s="110"/>
      <c r="AF836" s="110"/>
      <c r="AG836" s="121"/>
      <c r="AH836" s="110"/>
    </row>
    <row r="837" spans="1:34" s="53" customFormat="1" ht="11.25" customHeight="1" x14ac:dyDescent="0.15">
      <c r="A837" s="53" t="s">
        <v>377</v>
      </c>
      <c r="C837" s="54" t="s">
        <v>177</v>
      </c>
      <c r="D837" s="54">
        <v>2022</v>
      </c>
      <c r="E837" s="70">
        <v>44773</v>
      </c>
      <c r="F837" s="54"/>
      <c r="G837" s="54"/>
      <c r="H837" s="54"/>
      <c r="I837" s="54"/>
      <c r="J837" s="54"/>
      <c r="K837" s="106"/>
      <c r="L837" s="24">
        <f>SUM(L836)</f>
        <v>9572</v>
      </c>
      <c r="M837" s="24">
        <f>SUM(M835:M836)</f>
        <v>2871.6</v>
      </c>
      <c r="N837" s="24">
        <f>SUM(N835:N836)</f>
        <v>6700.4</v>
      </c>
      <c r="O837" s="57">
        <f>IFERROR(N837/L837,"")</f>
        <v>0.7</v>
      </c>
      <c r="P837" s="24">
        <f>SUM(P836)</f>
        <v>9572</v>
      </c>
      <c r="Q837" s="24"/>
      <c r="R837" s="24">
        <f t="shared" ref="R837:W837" si="497">SUM(R836)</f>
        <v>8.5</v>
      </c>
      <c r="S837" s="24">
        <f t="shared" si="497"/>
        <v>381.48</v>
      </c>
      <c r="T837" s="24">
        <f t="shared" si="497"/>
        <v>674.09</v>
      </c>
      <c r="U837" s="24">
        <f t="shared" si="497"/>
        <v>878.75</v>
      </c>
      <c r="V837" s="24">
        <f t="shared" si="497"/>
        <v>0</v>
      </c>
      <c r="W837" s="24">
        <f t="shared" si="497"/>
        <v>1934.3200000000002</v>
      </c>
      <c r="X837" s="56">
        <f>IFERROR(S837/R837,"")</f>
        <v>44.88</v>
      </c>
      <c r="Y837" s="57">
        <f>U837/P837</f>
        <v>9.1804220643543669E-2</v>
      </c>
      <c r="Z837" s="28">
        <f>P837-W837</f>
        <v>7637.68</v>
      </c>
      <c r="AA837" s="57">
        <f>IFERROR(Z837/P837,"")</f>
        <v>0.79791893021312166</v>
      </c>
      <c r="AB837" s="120">
        <f t="shared" si="496"/>
        <v>937.27999999999975</v>
      </c>
      <c r="AC837" s="57">
        <f>IFERROR(AA837-O837,"")</f>
        <v>9.7918930213121702E-2</v>
      </c>
      <c r="AG837" s="61"/>
    </row>
    <row r="838" spans="1:34" ht="11.25" customHeight="1" x14ac:dyDescent="0.15">
      <c r="A838" s="130" t="s">
        <v>53</v>
      </c>
      <c r="B838" s="130"/>
      <c r="C838" s="124"/>
      <c r="D838" s="124"/>
      <c r="E838" s="273"/>
      <c r="F838" s="124"/>
      <c r="G838" s="124"/>
      <c r="H838" s="124"/>
      <c r="I838" s="124"/>
      <c r="J838" s="124"/>
      <c r="K838" s="125"/>
      <c r="L838" s="129"/>
      <c r="M838" s="129"/>
      <c r="N838" s="129"/>
      <c r="O838" s="128"/>
      <c r="P838" s="129"/>
      <c r="Q838" s="124"/>
      <c r="R838" s="129"/>
      <c r="S838" s="129"/>
      <c r="T838" s="129"/>
      <c r="U838" s="129"/>
      <c r="V838" s="126"/>
      <c r="W838" s="49"/>
      <c r="X838" s="45"/>
      <c r="Y838" s="128"/>
      <c r="Z838" s="126"/>
      <c r="AA838" s="128"/>
      <c r="AB838" s="129"/>
      <c r="AC838" s="160"/>
      <c r="AD838" s="137"/>
      <c r="AE838" s="110"/>
      <c r="AF838" s="110"/>
      <c r="AG838" s="121"/>
      <c r="AH838" s="110"/>
    </row>
    <row r="839" spans="1:34" ht="11.25" customHeight="1" x14ac:dyDescent="0.15">
      <c r="A839" s="110" t="s">
        <v>454</v>
      </c>
      <c r="B839" s="110"/>
      <c r="C839" s="111" t="s">
        <v>37</v>
      </c>
      <c r="D839" s="111">
        <v>2022</v>
      </c>
      <c r="E839" s="146">
        <v>44773</v>
      </c>
      <c r="F839" s="111"/>
      <c r="G839" s="111">
        <v>110101111</v>
      </c>
      <c r="H839" s="111"/>
      <c r="I839" s="16" t="str">
        <f>MID(G839,2,1)</f>
        <v>1</v>
      </c>
      <c r="J839" s="111" t="s">
        <v>39</v>
      </c>
      <c r="K839" s="112" t="s">
        <v>455</v>
      </c>
      <c r="L839" s="131">
        <f>P839</f>
        <v>86129.29</v>
      </c>
      <c r="M839" s="148">
        <v>27680.831999999995</v>
      </c>
      <c r="N839" s="120">
        <f>L839-M839</f>
        <v>58448.457999999999</v>
      </c>
      <c r="O839" s="119">
        <f>IFERROR(N839/L839,"")</f>
        <v>0.67861302467488127</v>
      </c>
      <c r="P839" s="117">
        <v>86129.29</v>
      </c>
      <c r="Q839" s="111">
        <v>54</v>
      </c>
      <c r="R839" s="117">
        <v>37</v>
      </c>
      <c r="S839" s="117">
        <v>1444.48</v>
      </c>
      <c r="T839" s="117"/>
      <c r="U839" s="117">
        <v>21528.2</v>
      </c>
      <c r="V839" s="117"/>
      <c r="W839" s="52">
        <f>SUM(S839:V839)</f>
        <v>22972.68</v>
      </c>
      <c r="X839" s="149">
        <f>IFERROR(S839/R839,"")</f>
        <v>39.04</v>
      </c>
      <c r="Y839" s="150">
        <f>U839/P839</f>
        <v>0.24995213591102403</v>
      </c>
      <c r="Z839" s="131">
        <f>P839-W839</f>
        <v>63156.609999999993</v>
      </c>
      <c r="AA839" s="150">
        <f>IFERROR(Z839/P839,"")</f>
        <v>0.7332767981716789</v>
      </c>
      <c r="AB839" s="120">
        <f t="shared" ref="AB839:AB850" si="498">M839-W839</f>
        <v>4708.1519999999946</v>
      </c>
      <c r="AC839" s="119">
        <f>IFERROR(AA839-O839,"")</f>
        <v>5.466377349679763E-2</v>
      </c>
      <c r="AD839" s="108" t="s">
        <v>456</v>
      </c>
      <c r="AE839" s="110"/>
      <c r="AF839" s="110"/>
      <c r="AG839" s="121"/>
      <c r="AH839" s="110"/>
    </row>
    <row r="840" spans="1:34" ht="11.25" customHeight="1" x14ac:dyDescent="0.15">
      <c r="A840" s="110" t="s">
        <v>454</v>
      </c>
      <c r="B840" s="110"/>
      <c r="C840" s="111" t="s">
        <v>37</v>
      </c>
      <c r="D840" s="111">
        <v>2022</v>
      </c>
      <c r="E840" s="146">
        <v>44773</v>
      </c>
      <c r="F840" s="111"/>
      <c r="G840" s="111">
        <v>210100111</v>
      </c>
      <c r="H840" s="111"/>
      <c r="I840" s="111"/>
      <c r="J840" s="111"/>
      <c r="K840" s="112" t="s">
        <v>439</v>
      </c>
      <c r="L840" s="131">
        <f>P840</f>
        <v>14711.71</v>
      </c>
      <c r="M840" s="148">
        <v>5798.2399427129067</v>
      </c>
      <c r="N840" s="120">
        <f>L840-M840</f>
        <v>8913.4700572870934</v>
      </c>
      <c r="O840" s="119">
        <f>IFERROR(N840/L840,"")</f>
        <v>0.60587586740678645</v>
      </c>
      <c r="P840" s="117">
        <v>14711.71</v>
      </c>
      <c r="Q840" s="111">
        <v>55</v>
      </c>
      <c r="R840" s="117"/>
      <c r="S840" s="117"/>
      <c r="T840" s="117"/>
      <c r="U840" s="117">
        <v>6116.54</v>
      </c>
      <c r="V840" s="117"/>
      <c r="W840" s="52">
        <f>SUM(S840:V840)</f>
        <v>6116.54</v>
      </c>
      <c r="X840" s="149" t="str">
        <f>IFERROR(S840/R840,"")</f>
        <v/>
      </c>
      <c r="Y840" s="150">
        <f>U840/P840</f>
        <v>0.41575996264200427</v>
      </c>
      <c r="Z840" s="131">
        <f>P840-W840</f>
        <v>8595.1699999999983</v>
      </c>
      <c r="AA840" s="150">
        <f>IFERROR(Z840/P840,"")</f>
        <v>0.58424003735799568</v>
      </c>
      <c r="AB840" s="120">
        <f t="shared" si="498"/>
        <v>-318.3000572870933</v>
      </c>
      <c r="AC840" s="119">
        <f>IFERROR(AA840-O840,"")</f>
        <v>-2.1635830048790772E-2</v>
      </c>
      <c r="AD840" s="110"/>
      <c r="AE840" s="110"/>
      <c r="AF840" s="110"/>
      <c r="AG840" s="121"/>
      <c r="AH840" s="110"/>
    </row>
    <row r="841" spans="1:34" ht="11.25" customHeight="1" x14ac:dyDescent="0.15">
      <c r="A841" s="110" t="s">
        <v>454</v>
      </c>
      <c r="B841" s="110"/>
      <c r="C841" s="111" t="s">
        <v>37</v>
      </c>
      <c r="D841" s="111">
        <v>2022</v>
      </c>
      <c r="E841" s="146">
        <v>44773</v>
      </c>
      <c r="F841" s="111"/>
      <c r="G841" s="111">
        <v>210500111</v>
      </c>
      <c r="H841" s="111"/>
      <c r="I841" s="111"/>
      <c r="J841" s="111"/>
      <c r="K841" s="112" t="s">
        <v>154</v>
      </c>
      <c r="L841" s="154">
        <f>P841</f>
        <v>23944</v>
      </c>
      <c r="M841" s="153">
        <v>7581.27</v>
      </c>
      <c r="N841" s="219">
        <f>L841-M841</f>
        <v>16362.73</v>
      </c>
      <c r="O841" s="119">
        <f>IFERROR(N841/L841,"")</f>
        <v>0.68337495823588368</v>
      </c>
      <c r="P841" s="132">
        <v>23944</v>
      </c>
      <c r="Q841" s="111">
        <v>56</v>
      </c>
      <c r="R841" s="132"/>
      <c r="S841" s="132"/>
      <c r="T841" s="132"/>
      <c r="U841" s="132">
        <v>7579.35</v>
      </c>
      <c r="V841" s="132"/>
      <c r="W841" s="42">
        <f>SUM(S841:V841)</f>
        <v>7579.35</v>
      </c>
      <c r="X841" s="149" t="str">
        <f>IFERROR(S841/R841,"")</f>
        <v/>
      </c>
      <c r="Y841" s="150">
        <f>U841/P841</f>
        <v>0.3165448546608754</v>
      </c>
      <c r="Z841" s="131">
        <f>P841-W841</f>
        <v>16364.65</v>
      </c>
      <c r="AA841" s="150">
        <f>IFERROR(Z841/P841,"")</f>
        <v>0.68345514533912466</v>
      </c>
      <c r="AB841" s="120">
        <f t="shared" si="498"/>
        <v>1.9200000000000728</v>
      </c>
      <c r="AC841" s="119">
        <f>IFERROR(AA841-O841,"")</f>
        <v>8.0187103240980662E-5</v>
      </c>
      <c r="AD841" s="110"/>
      <c r="AE841" s="110"/>
      <c r="AF841" s="110"/>
      <c r="AG841" s="121"/>
      <c r="AH841" s="110"/>
    </row>
    <row r="842" spans="1:34" ht="11.25" customHeight="1" x14ac:dyDescent="0.15">
      <c r="A842" s="110" t="s">
        <v>454</v>
      </c>
      <c r="B842" s="110"/>
      <c r="C842" s="111" t="s">
        <v>37</v>
      </c>
      <c r="D842" s="111">
        <v>2022</v>
      </c>
      <c r="E842" s="146">
        <v>44773</v>
      </c>
      <c r="F842" s="111"/>
      <c r="G842" s="111">
        <v>910101411</v>
      </c>
      <c r="H842" s="111"/>
      <c r="I842" s="111"/>
      <c r="J842" s="111"/>
      <c r="K842" s="112" t="s">
        <v>457</v>
      </c>
      <c r="L842" s="131">
        <f>P842</f>
        <v>14532</v>
      </c>
      <c r="M842" s="148">
        <v>5952</v>
      </c>
      <c r="N842" s="120">
        <f>L842-M842</f>
        <v>8580</v>
      </c>
      <c r="O842" s="119">
        <f>IFERROR(N842/L842,"")</f>
        <v>0.59042113955408748</v>
      </c>
      <c r="P842" s="117">
        <v>14532</v>
      </c>
      <c r="Q842" s="111">
        <v>57</v>
      </c>
      <c r="R842" s="117"/>
      <c r="S842" s="117"/>
      <c r="T842" s="117"/>
      <c r="U842" s="117">
        <v>3927.75</v>
      </c>
      <c r="V842" s="117"/>
      <c r="W842" s="52">
        <f>SUM(S842:V842)</f>
        <v>3927.75</v>
      </c>
      <c r="X842" s="149" t="str">
        <f>IFERROR(S842/R842,"")</f>
        <v/>
      </c>
      <c r="Y842" s="150">
        <f>IFERROR(U842/P842,0)</f>
        <v>0.27028282411230387</v>
      </c>
      <c r="Z842" s="131">
        <f>P842-W842</f>
        <v>10604.25</v>
      </c>
      <c r="AA842" s="150">
        <f>IFERROR(Z842/P842,"")</f>
        <v>0.72971717588769613</v>
      </c>
      <c r="AB842" s="120">
        <f t="shared" si="498"/>
        <v>2024.25</v>
      </c>
      <c r="AC842" s="119">
        <f>IFERROR(AA842-O842,"")</f>
        <v>0.13929603633360865</v>
      </c>
      <c r="AD842" s="110"/>
      <c r="AE842" s="110"/>
      <c r="AF842" s="110"/>
      <c r="AG842" s="121"/>
      <c r="AH842" s="110"/>
    </row>
    <row r="843" spans="1:34" ht="11.25" customHeight="1" x14ac:dyDescent="0.15">
      <c r="A843" s="110" t="s">
        <v>454</v>
      </c>
      <c r="B843" s="110"/>
      <c r="C843" s="111" t="s">
        <v>37</v>
      </c>
      <c r="D843" s="111">
        <v>2022</v>
      </c>
      <c r="E843" s="146">
        <v>44773</v>
      </c>
      <c r="F843" s="111"/>
      <c r="G843" s="111">
        <v>310800301</v>
      </c>
      <c r="H843" s="111"/>
      <c r="I843" s="111"/>
      <c r="J843" s="111"/>
      <c r="K843" s="112" t="s">
        <v>458</v>
      </c>
      <c r="L843" s="131">
        <f>P843</f>
        <v>35977</v>
      </c>
      <c r="M843" s="148">
        <v>12595</v>
      </c>
      <c r="N843" s="120">
        <f>L843-M843</f>
        <v>23382</v>
      </c>
      <c r="O843" s="119">
        <f>IFERROR(N843/L843,"")</f>
        <v>0.64991522361508747</v>
      </c>
      <c r="P843" s="117">
        <v>35977</v>
      </c>
      <c r="Q843" s="111">
        <v>58</v>
      </c>
      <c r="R843" s="117">
        <v>21.5</v>
      </c>
      <c r="S843" s="117">
        <v>839.36</v>
      </c>
      <c r="T843" s="117"/>
      <c r="U843" s="117">
        <v>14243.23</v>
      </c>
      <c r="V843" s="117"/>
      <c r="W843" s="52">
        <f>SUM(S843:V843)</f>
        <v>15082.59</v>
      </c>
      <c r="X843" s="149">
        <f>IFERROR(S843/R843,"")</f>
        <v>39.04</v>
      </c>
      <c r="Y843" s="150">
        <f>IFERROR(U843/P843,0)</f>
        <v>0.3958982127470328</v>
      </c>
      <c r="Z843" s="131">
        <f>P843-W843</f>
        <v>20894.41</v>
      </c>
      <c r="AA843" s="150">
        <f>IFERROR(Z843/P843,"")</f>
        <v>0.58077132612502436</v>
      </c>
      <c r="AB843" s="120">
        <f t="shared" si="498"/>
        <v>-2487.59</v>
      </c>
      <c r="AC843" s="119">
        <f>IFERROR(AA843-O843,"")</f>
        <v>-6.9143897490063111E-2</v>
      </c>
      <c r="AD843" s="110" t="s">
        <v>459</v>
      </c>
      <c r="AE843" s="110"/>
      <c r="AF843" s="110"/>
      <c r="AG843" s="121"/>
      <c r="AH843" s="110"/>
    </row>
    <row r="844" spans="1:34" s="53" customFormat="1" ht="11.25" customHeight="1" x14ac:dyDescent="0.15">
      <c r="A844" s="53" t="s">
        <v>454</v>
      </c>
      <c r="C844" s="54" t="s">
        <v>360</v>
      </c>
      <c r="D844" s="54">
        <v>2022</v>
      </c>
      <c r="E844" s="70">
        <v>44773</v>
      </c>
      <c r="F844" s="54"/>
      <c r="G844" s="54"/>
      <c r="H844" s="54"/>
      <c r="I844" s="54"/>
      <c r="J844" s="54"/>
      <c r="K844" s="106"/>
      <c r="L844" s="97">
        <f>SUM(L839:L843)</f>
        <v>175294</v>
      </c>
      <c r="M844" s="97">
        <f>SUM(M839:M843)</f>
        <v>59607.341942712897</v>
      </c>
      <c r="N844" s="24">
        <f>SUM(N839:N843)</f>
        <v>115686.65805728709</v>
      </c>
      <c r="O844" s="57"/>
      <c r="P844" s="24">
        <f>SUM(P839:P843)</f>
        <v>175294</v>
      </c>
      <c r="Q844" s="91"/>
      <c r="R844" s="24">
        <f t="shared" ref="R844:W844" si="499">SUM(R839:R843)</f>
        <v>58.5</v>
      </c>
      <c r="S844" s="24">
        <f t="shared" si="499"/>
        <v>2283.84</v>
      </c>
      <c r="T844" s="24">
        <f t="shared" si="499"/>
        <v>0</v>
      </c>
      <c r="U844" s="24">
        <f t="shared" si="499"/>
        <v>53395.070000000007</v>
      </c>
      <c r="V844" s="24">
        <f t="shared" si="499"/>
        <v>0</v>
      </c>
      <c r="W844" s="97">
        <f t="shared" si="499"/>
        <v>55678.91</v>
      </c>
      <c r="X844" s="149"/>
      <c r="Y844" s="150"/>
      <c r="Z844" s="116"/>
      <c r="AA844" s="115"/>
      <c r="AB844" s="120">
        <f t="shared" si="498"/>
        <v>3928.4319427128939</v>
      </c>
      <c r="AC844" s="57"/>
      <c r="AG844" s="61"/>
    </row>
    <row r="845" spans="1:34" ht="11.25" customHeight="1" x14ac:dyDescent="0.15">
      <c r="A845" s="110" t="s">
        <v>454</v>
      </c>
      <c r="B845" s="110"/>
      <c r="C845" s="111" t="s">
        <v>47</v>
      </c>
      <c r="D845" s="111">
        <v>2022</v>
      </c>
      <c r="E845" s="146">
        <v>44773</v>
      </c>
      <c r="F845" s="111"/>
      <c r="G845" s="111">
        <v>510101111</v>
      </c>
      <c r="H845" s="111"/>
      <c r="I845" s="111"/>
      <c r="J845" s="111"/>
      <c r="K845" s="112" t="s">
        <v>460</v>
      </c>
      <c r="L845" s="131">
        <f>P845</f>
        <v>33930</v>
      </c>
      <c r="M845" s="148">
        <v>13572</v>
      </c>
      <c r="N845" s="120">
        <f>L845-M845</f>
        <v>20358</v>
      </c>
      <c r="O845" s="119">
        <f t="shared" ref="O845:O850" si="500">IFERROR(N845/L845,"")</f>
        <v>0.6</v>
      </c>
      <c r="P845" s="117">
        <v>33930</v>
      </c>
      <c r="Q845" s="111">
        <v>59</v>
      </c>
      <c r="R845" s="117">
        <v>118</v>
      </c>
      <c r="S845" s="117">
        <v>5417.41</v>
      </c>
      <c r="T845" s="117">
        <v>4604.1099999999997</v>
      </c>
      <c r="U845" s="117">
        <v>3547.9</v>
      </c>
      <c r="V845" s="117"/>
      <c r="W845" s="52">
        <f>SUM(S845:V845)</f>
        <v>13569.42</v>
      </c>
      <c r="X845" s="149">
        <f t="shared" ref="X845:X850" si="501">IFERROR(S845/R845,"")</f>
        <v>45.910254237288136</v>
      </c>
      <c r="Y845" s="150">
        <f>IFERROR(U845/P845,0)</f>
        <v>0.10456528146183319</v>
      </c>
      <c r="Z845" s="131">
        <f t="shared" ref="Z845:Z850" si="502">P845-W845</f>
        <v>20360.580000000002</v>
      </c>
      <c r="AA845" s="150">
        <f t="shared" ref="AA845:AA850" si="503">IFERROR(Z845/P845,"")</f>
        <v>0.60007603890362515</v>
      </c>
      <c r="AB845" s="120">
        <f t="shared" si="498"/>
        <v>2.5799999999999272</v>
      </c>
      <c r="AC845" s="119">
        <f t="shared" ref="AC845:AC850" si="504">IFERROR(AA845-O845,"")</f>
        <v>7.603890362517518E-5</v>
      </c>
      <c r="AD845" s="110"/>
      <c r="AE845" s="110"/>
      <c r="AF845" s="110"/>
      <c r="AG845" s="121"/>
      <c r="AH845" s="110"/>
    </row>
    <row r="846" spans="1:34" ht="11.25" customHeight="1" x14ac:dyDescent="0.15">
      <c r="A846" s="110" t="s">
        <v>454</v>
      </c>
      <c r="B846" s="110"/>
      <c r="C846" s="111" t="s">
        <v>248</v>
      </c>
      <c r="D846" s="111">
        <v>2022</v>
      </c>
      <c r="E846" s="146">
        <v>44773</v>
      </c>
      <c r="F846" s="111"/>
      <c r="G846" s="111">
        <v>960000001</v>
      </c>
      <c r="H846" s="111"/>
      <c r="I846" s="111"/>
      <c r="J846" s="111"/>
      <c r="K846" s="112" t="s">
        <v>250</v>
      </c>
      <c r="L846" s="131">
        <f>P846</f>
        <v>11888</v>
      </c>
      <c r="M846" s="148">
        <v>5944</v>
      </c>
      <c r="N846" s="120">
        <f>L846-M846</f>
        <v>5944</v>
      </c>
      <c r="O846" s="119">
        <f t="shared" si="500"/>
        <v>0.5</v>
      </c>
      <c r="P846" s="117">
        <v>11888</v>
      </c>
      <c r="Q846" s="111">
        <v>60</v>
      </c>
      <c r="R846" s="131">
        <v>12</v>
      </c>
      <c r="S846" s="117">
        <v>678.6</v>
      </c>
      <c r="T846" s="117"/>
      <c r="U846" s="117"/>
      <c r="V846" s="117"/>
      <c r="W846" s="52">
        <f>SUM(S846:V846)</f>
        <v>678.6</v>
      </c>
      <c r="X846" s="149">
        <f t="shared" si="501"/>
        <v>56.550000000000004</v>
      </c>
      <c r="Y846" s="150">
        <f>IFERROR(U846/P846,0)</f>
        <v>0</v>
      </c>
      <c r="Z846" s="131">
        <f t="shared" si="502"/>
        <v>11209.4</v>
      </c>
      <c r="AA846" s="150">
        <f t="shared" si="503"/>
        <v>0.94291722745625839</v>
      </c>
      <c r="AB846" s="120">
        <f t="shared" si="498"/>
        <v>5265.4</v>
      </c>
      <c r="AC846" s="119">
        <f t="shared" si="504"/>
        <v>0.44291722745625839</v>
      </c>
      <c r="AD846" s="110" t="s">
        <v>461</v>
      </c>
      <c r="AE846" s="110"/>
      <c r="AF846" s="110"/>
      <c r="AG846" s="121"/>
      <c r="AH846" s="110"/>
    </row>
    <row r="847" spans="1:34" ht="11.25" customHeight="1" x14ac:dyDescent="0.15">
      <c r="A847" s="110" t="s">
        <v>454</v>
      </c>
      <c r="B847" s="110"/>
      <c r="C847" s="111" t="s">
        <v>49</v>
      </c>
      <c r="D847" s="111">
        <v>2022</v>
      </c>
      <c r="E847" s="146">
        <v>44773</v>
      </c>
      <c r="F847" s="111"/>
      <c r="G847" s="111">
        <v>616520121</v>
      </c>
      <c r="H847" s="111"/>
      <c r="I847" s="111"/>
      <c r="J847" s="111"/>
      <c r="K847" s="112" t="s">
        <v>462</v>
      </c>
      <c r="L847" s="131">
        <f>P847</f>
        <v>8053</v>
      </c>
      <c r="M847" s="148">
        <v>4026.5</v>
      </c>
      <c r="N847" s="120">
        <f>L847-M847</f>
        <v>4026.5</v>
      </c>
      <c r="O847" s="119">
        <f t="shared" si="500"/>
        <v>0.5</v>
      </c>
      <c r="P847" s="117">
        <v>8053</v>
      </c>
      <c r="Q847" s="111">
        <v>61</v>
      </c>
      <c r="R847" s="117">
        <v>32</v>
      </c>
      <c r="S847" s="117">
        <v>1469.12</v>
      </c>
      <c r="T847" s="117">
        <v>1701.18</v>
      </c>
      <c r="U847" s="117"/>
      <c r="V847" s="117"/>
      <c r="W847" s="52">
        <f>SUM(S847:V847)</f>
        <v>3170.3</v>
      </c>
      <c r="X847" s="149">
        <f t="shared" si="501"/>
        <v>45.91</v>
      </c>
      <c r="Y847" s="150">
        <f>IFERROR(U847/P847,0)</f>
        <v>0</v>
      </c>
      <c r="Z847" s="131">
        <f t="shared" si="502"/>
        <v>4882.7</v>
      </c>
      <c r="AA847" s="150">
        <f t="shared" si="503"/>
        <v>0.60632062585371904</v>
      </c>
      <c r="AB847" s="120">
        <f t="shared" si="498"/>
        <v>856.19999999999982</v>
      </c>
      <c r="AC847" s="119">
        <f t="shared" si="504"/>
        <v>0.10632062585371904</v>
      </c>
      <c r="AD847" s="110"/>
      <c r="AE847" s="110"/>
      <c r="AF847" s="110"/>
      <c r="AG847" s="121"/>
      <c r="AH847" s="110"/>
    </row>
    <row r="848" spans="1:34" ht="11.25" customHeight="1" x14ac:dyDescent="0.15">
      <c r="A848" s="110" t="s">
        <v>454</v>
      </c>
      <c r="B848" s="110"/>
      <c r="C848" s="111" t="s">
        <v>55</v>
      </c>
      <c r="D848" s="111">
        <v>2022</v>
      </c>
      <c r="E848" s="146">
        <v>44773</v>
      </c>
      <c r="F848" s="111"/>
      <c r="G848" s="111" t="s">
        <v>56</v>
      </c>
      <c r="H848" s="111"/>
      <c r="I848" s="111"/>
      <c r="J848" s="111"/>
      <c r="K848" s="112" t="s">
        <v>71</v>
      </c>
      <c r="L848" s="154">
        <f>P848</f>
        <v>8400</v>
      </c>
      <c r="M848" s="153">
        <v>2700</v>
      </c>
      <c r="N848" s="219">
        <f>L848-M848</f>
        <v>5700</v>
      </c>
      <c r="O848" s="119">
        <f t="shared" si="500"/>
        <v>0.6785714285714286</v>
      </c>
      <c r="P848" s="132">
        <v>8400</v>
      </c>
      <c r="Q848" s="111">
        <v>62</v>
      </c>
      <c r="R848" s="132">
        <v>16.5</v>
      </c>
      <c r="S848" s="132">
        <v>701.25</v>
      </c>
      <c r="T848" s="132"/>
      <c r="U848" s="132"/>
      <c r="V848" s="132">
        <v>4016.79</v>
      </c>
      <c r="W848" s="42">
        <f>SUM(S848:V848)</f>
        <v>4718.04</v>
      </c>
      <c r="X848" s="149">
        <f t="shared" si="501"/>
        <v>42.5</v>
      </c>
      <c r="Y848" s="150">
        <f>IFERROR(U848/P848,0)</f>
        <v>0</v>
      </c>
      <c r="Z848" s="131">
        <f t="shared" si="502"/>
        <v>3681.96</v>
      </c>
      <c r="AA848" s="150">
        <f t="shared" si="503"/>
        <v>0.43832857142857146</v>
      </c>
      <c r="AB848" s="120">
        <f t="shared" si="498"/>
        <v>-2018.04</v>
      </c>
      <c r="AC848" s="119">
        <f t="shared" si="504"/>
        <v>-0.24024285714285715</v>
      </c>
      <c r="AD848" s="110" t="s">
        <v>463</v>
      </c>
      <c r="AE848" s="110"/>
      <c r="AF848" s="110"/>
      <c r="AG848" s="121"/>
      <c r="AH848" s="110"/>
    </row>
    <row r="849" spans="1:34" ht="11.25" customHeight="1" x14ac:dyDescent="0.15">
      <c r="A849" s="110" t="s">
        <v>454</v>
      </c>
      <c r="B849" s="110"/>
      <c r="C849" s="111" t="s">
        <v>58</v>
      </c>
      <c r="D849" s="111">
        <v>2022</v>
      </c>
      <c r="E849" s="146">
        <v>44773</v>
      </c>
      <c r="F849" s="111"/>
      <c r="G849" s="111">
        <v>711520121</v>
      </c>
      <c r="H849" s="111"/>
      <c r="I849" s="111"/>
      <c r="J849" s="111"/>
      <c r="K849" s="112" t="s">
        <v>464</v>
      </c>
      <c r="L849" s="131">
        <f>P849</f>
        <v>12085</v>
      </c>
      <c r="M849" s="148">
        <v>1208.5999999999999</v>
      </c>
      <c r="N849" s="120">
        <f>L849-M849</f>
        <v>10876.4</v>
      </c>
      <c r="O849" s="119">
        <f t="shared" si="500"/>
        <v>0.89999172527927185</v>
      </c>
      <c r="P849" s="117">
        <v>12085</v>
      </c>
      <c r="Q849" s="111">
        <v>63</v>
      </c>
      <c r="R849" s="117"/>
      <c r="S849" s="117"/>
      <c r="T849" s="117"/>
      <c r="U849" s="117">
        <v>2196.9699999999998</v>
      </c>
      <c r="V849" s="117"/>
      <c r="W849" s="52">
        <f>SUM(S849:V849)</f>
        <v>2196.9699999999998</v>
      </c>
      <c r="X849" s="149" t="str">
        <f t="shared" si="501"/>
        <v/>
      </c>
      <c r="Y849" s="150">
        <f>IFERROR(U849/P849,0)</f>
        <v>0.18179313198179559</v>
      </c>
      <c r="Z849" s="131">
        <f t="shared" si="502"/>
        <v>9888.0300000000007</v>
      </c>
      <c r="AA849" s="150">
        <f t="shared" si="503"/>
        <v>0.81820686801820441</v>
      </c>
      <c r="AB849" s="120">
        <f t="shared" si="498"/>
        <v>-988.36999999999989</v>
      </c>
      <c r="AC849" s="119">
        <f t="shared" si="504"/>
        <v>-8.1784857261067434E-2</v>
      </c>
      <c r="AD849" s="110" t="s">
        <v>463</v>
      </c>
      <c r="AE849" s="110"/>
      <c r="AF849" s="110"/>
      <c r="AG849" s="121"/>
      <c r="AH849" s="110"/>
    </row>
    <row r="850" spans="1:34" s="53" customFormat="1" ht="11.25" customHeight="1" x14ac:dyDescent="0.15">
      <c r="A850" s="53" t="s">
        <v>454</v>
      </c>
      <c r="C850" s="54" t="s">
        <v>177</v>
      </c>
      <c r="D850" s="54">
        <v>2022</v>
      </c>
      <c r="E850" s="70">
        <v>44773</v>
      </c>
      <c r="F850" s="54"/>
      <c r="G850" s="54"/>
      <c r="H850" s="54"/>
      <c r="I850" s="54"/>
      <c r="J850" s="54"/>
      <c r="K850" s="106"/>
      <c r="L850" s="24">
        <f>SUM(L844:L849)</f>
        <v>249650</v>
      </c>
      <c r="M850" s="24">
        <f>SUM(M844:M849)</f>
        <v>87058.441942712903</v>
      </c>
      <c r="N850" s="24">
        <f>SUM(N844:N849)</f>
        <v>162591.5580572871</v>
      </c>
      <c r="O850" s="57">
        <f t="shared" si="500"/>
        <v>0.65127802145919123</v>
      </c>
      <c r="P850" s="24">
        <f>SUM(P844:P849)</f>
        <v>249650</v>
      </c>
      <c r="Q850" s="24"/>
      <c r="R850" s="24">
        <f t="shared" ref="R850:W850" si="505">SUM(R844:R849)</f>
        <v>237</v>
      </c>
      <c r="S850" s="24">
        <f t="shared" si="505"/>
        <v>10550.220000000001</v>
      </c>
      <c r="T850" s="24">
        <f t="shared" si="505"/>
        <v>6305.29</v>
      </c>
      <c r="U850" s="24">
        <f t="shared" si="505"/>
        <v>59139.94000000001</v>
      </c>
      <c r="V850" s="24">
        <f t="shared" si="505"/>
        <v>4016.79</v>
      </c>
      <c r="W850" s="24">
        <f t="shared" si="505"/>
        <v>80012.240000000005</v>
      </c>
      <c r="X850" s="56">
        <f t="shared" si="501"/>
        <v>44.51569620253165</v>
      </c>
      <c r="Y850" s="57">
        <f>U850/P850</f>
        <v>0.23689140797115965</v>
      </c>
      <c r="Z850" s="28">
        <f t="shared" si="502"/>
        <v>169637.76000000001</v>
      </c>
      <c r="AA850" s="57">
        <f t="shared" si="503"/>
        <v>0.67950234328059289</v>
      </c>
      <c r="AB850" s="120">
        <f t="shared" si="498"/>
        <v>7046.201942712898</v>
      </c>
      <c r="AC850" s="57">
        <f t="shared" si="504"/>
        <v>2.8224321821401666E-2</v>
      </c>
      <c r="AG850" s="61"/>
    </row>
    <row r="851" spans="1:34" ht="11.25" customHeight="1" x14ac:dyDescent="0.15">
      <c r="A851" s="130" t="s">
        <v>53</v>
      </c>
      <c r="B851" s="130"/>
      <c r="C851" s="124"/>
      <c r="D851" s="124"/>
      <c r="E851" s="273"/>
      <c r="F851" s="124"/>
      <c r="G851" s="124"/>
      <c r="H851" s="124"/>
      <c r="I851" s="124"/>
      <c r="J851" s="124"/>
      <c r="K851" s="125"/>
      <c r="L851" s="129"/>
      <c r="M851" s="129"/>
      <c r="N851" s="129"/>
      <c r="O851" s="128"/>
      <c r="P851" s="129"/>
      <c r="Q851" s="124"/>
      <c r="R851" s="129"/>
      <c r="S851" s="129"/>
      <c r="T851" s="129"/>
      <c r="U851" s="129"/>
      <c r="V851" s="126"/>
      <c r="W851" s="49"/>
      <c r="X851" s="45"/>
      <c r="Y851" s="128"/>
      <c r="Z851" s="126"/>
      <c r="AA851" s="128"/>
      <c r="AB851" s="129"/>
      <c r="AC851" s="160"/>
      <c r="AD851" s="137"/>
      <c r="AE851" s="110"/>
      <c r="AF851" s="110"/>
      <c r="AG851" s="121"/>
      <c r="AH851" s="110"/>
    </row>
    <row r="852" spans="1:34" ht="11.25" customHeight="1" x14ac:dyDescent="0.15">
      <c r="A852" s="110" t="s">
        <v>199</v>
      </c>
      <c r="B852" s="110"/>
      <c r="C852" s="111" t="s">
        <v>180</v>
      </c>
      <c r="D852" s="111">
        <v>2022</v>
      </c>
      <c r="E852" s="146">
        <v>44804</v>
      </c>
      <c r="F852" s="111"/>
      <c r="G852" s="111">
        <v>910000322</v>
      </c>
      <c r="H852" s="111"/>
      <c r="I852" s="111"/>
      <c r="J852" s="111"/>
      <c r="K852" s="112" t="s">
        <v>465</v>
      </c>
      <c r="L852" s="120">
        <v>69119</v>
      </c>
      <c r="M852" s="120">
        <v>10004.330471059051</v>
      </c>
      <c r="N852" s="120">
        <f t="shared" ref="N852:N858" si="506">L852-M852</f>
        <v>59114.669528940947</v>
      </c>
      <c r="O852" s="119">
        <f t="shared" ref="O852:O858" si="507">IFERROR(N852/L852,"")</f>
        <v>0.85525932853399134</v>
      </c>
      <c r="P852" s="117">
        <v>62914.2</v>
      </c>
      <c r="Q852" s="111">
        <v>416</v>
      </c>
      <c r="R852" s="117"/>
      <c r="S852" s="117"/>
      <c r="T852" s="117"/>
      <c r="U852" s="117">
        <v>9585.69</v>
      </c>
      <c r="V852" s="117"/>
      <c r="W852" s="52">
        <f t="shared" ref="W852:W858" si="508">SUM(S852:V852)</f>
        <v>9585.69</v>
      </c>
      <c r="X852" s="149" t="str">
        <f t="shared" ref="X852:X858" si="509">IFERROR(S852/R852,"")</f>
        <v/>
      </c>
      <c r="Y852" s="150">
        <f>U852/P852</f>
        <v>0.15236131111895249</v>
      </c>
      <c r="Z852" s="131">
        <f t="shared" ref="Z852:Z858" si="510">P852-W852</f>
        <v>53328.509999999995</v>
      </c>
      <c r="AA852" s="150">
        <f t="shared" ref="AA852:AA858" si="511">IFERROR(Z852/P852,"")</f>
        <v>0.84763868888104743</v>
      </c>
      <c r="AB852" s="120">
        <f t="shared" ref="AB852:AB868" si="512">M852-W852</f>
        <v>418.64047105905047</v>
      </c>
      <c r="AC852" s="119">
        <f t="shared" ref="AC852:AC858" si="513">IFERROR(AA852-O852,"")</f>
        <v>-7.6206396529439058E-3</v>
      </c>
      <c r="AD852" s="110" t="s">
        <v>466</v>
      </c>
      <c r="AE852" s="110"/>
      <c r="AF852" s="110"/>
      <c r="AG852" s="121"/>
      <c r="AH852" s="110"/>
    </row>
    <row r="853" spans="1:34" ht="11.25" customHeight="1" x14ac:dyDescent="0.15">
      <c r="A853" s="110" t="s">
        <v>199</v>
      </c>
      <c r="B853" s="110"/>
      <c r="C853" s="111" t="s">
        <v>180</v>
      </c>
      <c r="D853" s="111">
        <v>2022</v>
      </c>
      <c r="E853" s="146">
        <v>44804</v>
      </c>
      <c r="F853" s="111"/>
      <c r="G853" s="111">
        <v>910000322</v>
      </c>
      <c r="H853" s="111"/>
      <c r="I853" s="111"/>
      <c r="J853" s="111"/>
      <c r="K853" s="112" t="s">
        <v>467</v>
      </c>
      <c r="L853" s="120">
        <v>138238</v>
      </c>
      <c r="M853" s="120">
        <v>20008.660942118102</v>
      </c>
      <c r="N853" s="120">
        <f t="shared" si="506"/>
        <v>118229.33905788189</v>
      </c>
      <c r="O853" s="119">
        <f t="shared" si="507"/>
        <v>0.85525932853399134</v>
      </c>
      <c r="P853" s="113">
        <v>125828.4</v>
      </c>
      <c r="Q853" s="111">
        <v>425</v>
      </c>
      <c r="R853" s="117"/>
      <c r="S853" s="117"/>
      <c r="T853" s="117"/>
      <c r="U853" s="117">
        <v>19221.169999999998</v>
      </c>
      <c r="V853" s="117"/>
      <c r="W853" s="52">
        <f t="shared" si="508"/>
        <v>19221.169999999998</v>
      </c>
      <c r="X853" s="149" t="str">
        <f t="shared" si="509"/>
        <v/>
      </c>
      <c r="Y853" s="150">
        <f>U853/P853</f>
        <v>0.15275700875160139</v>
      </c>
      <c r="Z853" s="131">
        <f t="shared" si="510"/>
        <v>106607.23</v>
      </c>
      <c r="AA853" s="150">
        <f t="shared" si="511"/>
        <v>0.84724299124839864</v>
      </c>
      <c r="AB853" s="120">
        <f t="shared" si="512"/>
        <v>787.4909421181037</v>
      </c>
      <c r="AC853" s="119">
        <f t="shared" si="513"/>
        <v>-8.0163372855927006E-3</v>
      </c>
      <c r="AD853" s="110" t="s">
        <v>466</v>
      </c>
      <c r="AE853" s="110"/>
      <c r="AF853" s="110"/>
      <c r="AG853" s="121"/>
      <c r="AH853" s="110"/>
    </row>
    <row r="854" spans="1:34" ht="11.25" customHeight="1" x14ac:dyDescent="0.15">
      <c r="A854" s="110" t="s">
        <v>199</v>
      </c>
      <c r="B854" s="110"/>
      <c r="C854" s="111" t="s">
        <v>180</v>
      </c>
      <c r="D854" s="111">
        <v>2022</v>
      </c>
      <c r="E854" s="146">
        <v>44804</v>
      </c>
      <c r="F854" s="111"/>
      <c r="G854" s="111">
        <v>920000322</v>
      </c>
      <c r="H854" s="111"/>
      <c r="I854" s="111"/>
      <c r="J854" s="111"/>
      <c r="K854" s="112" t="s">
        <v>468</v>
      </c>
      <c r="L854" s="120">
        <v>69119</v>
      </c>
      <c r="M854" s="120">
        <v>10004.330471059051</v>
      </c>
      <c r="N854" s="120">
        <f t="shared" si="506"/>
        <v>59114.669528940947</v>
      </c>
      <c r="O854" s="119">
        <f t="shared" si="507"/>
        <v>0.85525932853399134</v>
      </c>
      <c r="P854" s="117">
        <v>62914.2</v>
      </c>
      <c r="Q854" s="111">
        <v>426</v>
      </c>
      <c r="R854" s="117"/>
      <c r="S854" s="117"/>
      <c r="T854" s="117"/>
      <c r="U854" s="117">
        <v>9577.18</v>
      </c>
      <c r="V854" s="117"/>
      <c r="W854" s="52">
        <f t="shared" si="508"/>
        <v>9577.18</v>
      </c>
      <c r="X854" s="149" t="str">
        <f t="shared" si="509"/>
        <v/>
      </c>
      <c r="Y854" s="150">
        <f>U854/P854</f>
        <v>0.15222604753775779</v>
      </c>
      <c r="Z854" s="131">
        <f t="shared" si="510"/>
        <v>53337.02</v>
      </c>
      <c r="AA854" s="150">
        <f t="shared" si="511"/>
        <v>0.84777395246224219</v>
      </c>
      <c r="AB854" s="120">
        <f t="shared" si="512"/>
        <v>427.15047105905069</v>
      </c>
      <c r="AC854" s="119">
        <f t="shared" si="513"/>
        <v>-7.4853760717491502E-3</v>
      </c>
      <c r="AD854" s="110" t="s">
        <v>466</v>
      </c>
      <c r="AE854" s="110"/>
      <c r="AF854" s="110"/>
      <c r="AG854" s="121"/>
      <c r="AH854" s="110"/>
    </row>
    <row r="855" spans="1:34" ht="11.25" customHeight="1" x14ac:dyDescent="0.15">
      <c r="A855" s="110" t="s">
        <v>199</v>
      </c>
      <c r="B855" s="110"/>
      <c r="C855" s="111" t="s">
        <v>180</v>
      </c>
      <c r="D855" s="111">
        <v>2022</v>
      </c>
      <c r="E855" s="146">
        <v>44804</v>
      </c>
      <c r="F855" s="111"/>
      <c r="G855" s="111">
        <v>940000312</v>
      </c>
      <c r="H855" s="111"/>
      <c r="I855" s="111"/>
      <c r="J855" s="111"/>
      <c r="K855" s="112" t="s">
        <v>469</v>
      </c>
      <c r="L855" s="120">
        <v>69119</v>
      </c>
      <c r="M855" s="120">
        <v>10004.330471059051</v>
      </c>
      <c r="N855" s="120">
        <f t="shared" si="506"/>
        <v>59114.669528940947</v>
      </c>
      <c r="O855" s="119">
        <f t="shared" si="507"/>
        <v>0.85525932853399134</v>
      </c>
      <c r="P855" s="117">
        <v>62914.2</v>
      </c>
      <c r="Q855" s="111">
        <v>427</v>
      </c>
      <c r="R855" s="117"/>
      <c r="S855" s="117"/>
      <c r="T855" s="117"/>
      <c r="U855" s="117">
        <v>11729.13</v>
      </c>
      <c r="V855" s="117"/>
      <c r="W855" s="52">
        <f t="shared" si="508"/>
        <v>11729.13</v>
      </c>
      <c r="X855" s="149" t="str">
        <f t="shared" si="509"/>
        <v/>
      </c>
      <c r="Y855" s="150">
        <f>IFERROR(U855/P855,0)</f>
        <v>0.18643056734409719</v>
      </c>
      <c r="Z855" s="131">
        <f t="shared" si="510"/>
        <v>51185.07</v>
      </c>
      <c r="AA855" s="150">
        <f t="shared" si="511"/>
        <v>0.81356943265590287</v>
      </c>
      <c r="AB855" s="120">
        <f t="shared" si="512"/>
        <v>-1724.7995289409482</v>
      </c>
      <c r="AC855" s="119">
        <f t="shared" si="513"/>
        <v>-4.1689895878088468E-2</v>
      </c>
      <c r="AD855" s="110" t="s">
        <v>466</v>
      </c>
      <c r="AE855" s="110"/>
      <c r="AF855" s="110"/>
      <c r="AG855" s="121"/>
      <c r="AH855" s="110"/>
    </row>
    <row r="856" spans="1:34" ht="11.25" customHeight="1" x14ac:dyDescent="0.15">
      <c r="A856" s="110" t="s">
        <v>199</v>
      </c>
      <c r="B856" s="110"/>
      <c r="C856" s="111" t="s">
        <v>164</v>
      </c>
      <c r="D856" s="111">
        <v>2022</v>
      </c>
      <c r="E856" s="146">
        <v>44804</v>
      </c>
      <c r="F856" s="111"/>
      <c r="G856" s="111" t="s">
        <v>470</v>
      </c>
      <c r="H856" s="111"/>
      <c r="I856" s="111"/>
      <c r="J856" s="111"/>
      <c r="K856" s="112" t="s">
        <v>471</v>
      </c>
      <c r="L856" s="120">
        <v>10796.86</v>
      </c>
      <c r="M856" s="120">
        <v>3778.9</v>
      </c>
      <c r="N856" s="120">
        <f t="shared" si="506"/>
        <v>7017.9600000000009</v>
      </c>
      <c r="O856" s="119">
        <f t="shared" si="507"/>
        <v>0.65000009261952096</v>
      </c>
      <c r="P856" s="117">
        <v>10797</v>
      </c>
      <c r="Q856" s="111"/>
      <c r="R856" s="117"/>
      <c r="S856" s="117"/>
      <c r="T856" s="117"/>
      <c r="U856" s="117">
        <v>4105.1099999999997</v>
      </c>
      <c r="V856" s="117"/>
      <c r="W856" s="52">
        <f t="shared" si="508"/>
        <v>4105.1099999999997</v>
      </c>
      <c r="X856" s="149" t="str">
        <f t="shared" si="509"/>
        <v/>
      </c>
      <c r="Y856" s="150">
        <f>IFERROR(U856/P856,0)</f>
        <v>0.38020839121978323</v>
      </c>
      <c r="Z856" s="131">
        <f t="shared" si="510"/>
        <v>6691.89</v>
      </c>
      <c r="AA856" s="150">
        <f t="shared" si="511"/>
        <v>0.61979160878021677</v>
      </c>
      <c r="AB856" s="120">
        <f t="shared" si="512"/>
        <v>-326.20999999999958</v>
      </c>
      <c r="AC856" s="119">
        <f t="shared" si="513"/>
        <v>-3.020848383930419E-2</v>
      </c>
      <c r="AD856" s="110" t="s">
        <v>472</v>
      </c>
      <c r="AE856" s="110"/>
      <c r="AF856" s="110"/>
      <c r="AG856" s="121"/>
      <c r="AH856" s="110"/>
    </row>
    <row r="857" spans="1:34" ht="11.25" customHeight="1" x14ac:dyDescent="0.15">
      <c r="A857" s="110" t="s">
        <v>199</v>
      </c>
      <c r="B857" s="110"/>
      <c r="C857" s="111" t="s">
        <v>164</v>
      </c>
      <c r="D857" s="111">
        <v>2022</v>
      </c>
      <c r="E857" s="146">
        <v>44804</v>
      </c>
      <c r="F857" s="111"/>
      <c r="G857" s="111" t="s">
        <v>473</v>
      </c>
      <c r="H857" s="111"/>
      <c r="I857" s="111"/>
      <c r="J857" s="111"/>
      <c r="K857" s="112" t="s">
        <v>474</v>
      </c>
      <c r="L857" s="120">
        <v>24743.58</v>
      </c>
      <c r="M857" s="120">
        <v>2886.75</v>
      </c>
      <c r="N857" s="120">
        <f t="shared" si="506"/>
        <v>21856.83</v>
      </c>
      <c r="O857" s="119">
        <f t="shared" si="507"/>
        <v>0.88333337374785703</v>
      </c>
      <c r="P857" s="117">
        <v>24744</v>
      </c>
      <c r="Q857" s="111"/>
      <c r="R857" s="117"/>
      <c r="S857" s="117"/>
      <c r="T857" s="117"/>
      <c r="U857" s="117">
        <v>8680.4599999999991</v>
      </c>
      <c r="V857" s="117"/>
      <c r="W857" s="52">
        <f t="shared" si="508"/>
        <v>8680.4599999999991</v>
      </c>
      <c r="X857" s="149" t="str">
        <f t="shared" si="509"/>
        <v/>
      </c>
      <c r="Y857" s="150">
        <f>IFERROR(U857/P857,0)</f>
        <v>0.3508107015842224</v>
      </c>
      <c r="Z857" s="131">
        <f t="shared" si="510"/>
        <v>16063.54</v>
      </c>
      <c r="AA857" s="150">
        <f t="shared" si="511"/>
        <v>0.64918929841577755</v>
      </c>
      <c r="AB857" s="120">
        <f t="shared" si="512"/>
        <v>-5793.7099999999991</v>
      </c>
      <c r="AC857" s="119">
        <f t="shared" si="513"/>
        <v>-0.23414407533207948</v>
      </c>
      <c r="AD857" s="110" t="s">
        <v>475</v>
      </c>
      <c r="AE857" s="110"/>
      <c r="AF857" s="110"/>
      <c r="AG857" s="121"/>
      <c r="AH857" s="110"/>
    </row>
    <row r="858" spans="1:34" ht="11.25" customHeight="1" x14ac:dyDescent="0.15">
      <c r="A858" s="110" t="s">
        <v>199</v>
      </c>
      <c r="B858" s="110"/>
      <c r="C858" s="111" t="s">
        <v>164</v>
      </c>
      <c r="D858" s="111">
        <v>2022</v>
      </c>
      <c r="E858" s="146">
        <v>44804</v>
      </c>
      <c r="F858" s="111"/>
      <c r="G858" s="111" t="s">
        <v>476</v>
      </c>
      <c r="H858" s="111"/>
      <c r="I858" s="111"/>
      <c r="J858" s="111"/>
      <c r="K858" s="112" t="s">
        <v>477</v>
      </c>
      <c r="L858" s="120">
        <v>1891.5</v>
      </c>
      <c r="M858" s="120">
        <v>331.01</v>
      </c>
      <c r="N858" s="120">
        <f t="shared" si="506"/>
        <v>1560.49</v>
      </c>
      <c r="O858" s="119">
        <f t="shared" si="507"/>
        <v>0.82500132170235263</v>
      </c>
      <c r="P858" s="117">
        <v>1892</v>
      </c>
      <c r="Q858" s="111"/>
      <c r="R858" s="117"/>
      <c r="S858" s="117"/>
      <c r="T858" s="117"/>
      <c r="U858" s="117">
        <v>662.61</v>
      </c>
      <c r="V858" s="117"/>
      <c r="W858" s="52">
        <f t="shared" si="508"/>
        <v>662.61</v>
      </c>
      <c r="X858" s="149" t="str">
        <f t="shared" si="509"/>
        <v/>
      </c>
      <c r="Y858" s="150">
        <f>IFERROR(U858/P858,0)</f>
        <v>0.3502167019027484</v>
      </c>
      <c r="Z858" s="131">
        <f t="shared" si="510"/>
        <v>1229.3899999999999</v>
      </c>
      <c r="AA858" s="150">
        <f t="shared" si="511"/>
        <v>0.64978329809725155</v>
      </c>
      <c r="AB858" s="120">
        <f t="shared" si="512"/>
        <v>-331.6</v>
      </c>
      <c r="AC858" s="119">
        <f t="shared" si="513"/>
        <v>-0.17521802360510108</v>
      </c>
      <c r="AD858" s="110" t="s">
        <v>475</v>
      </c>
      <c r="AE858" s="110"/>
      <c r="AF858" s="110"/>
      <c r="AG858" s="121"/>
      <c r="AH858" s="110"/>
    </row>
    <row r="859" spans="1:34" s="53" customFormat="1" ht="11.25" customHeight="1" x14ac:dyDescent="0.15">
      <c r="A859" s="53" t="s">
        <v>199</v>
      </c>
      <c r="C859" s="54" t="s">
        <v>360</v>
      </c>
      <c r="D859" s="54">
        <v>2022</v>
      </c>
      <c r="E859" s="70">
        <v>44804</v>
      </c>
      <c r="F859" s="54"/>
      <c r="G859" s="54"/>
      <c r="H859" s="54"/>
      <c r="I859" s="54"/>
      <c r="J859" s="54"/>
      <c r="K859" s="106"/>
      <c r="L859" s="97">
        <f>SUM(L852:L858)</f>
        <v>383026.94</v>
      </c>
      <c r="M859" s="97">
        <f>SUM(M852:M858)</f>
        <v>57018.31235529526</v>
      </c>
      <c r="N859" s="97">
        <f>SUM(N852:N858)</f>
        <v>326008.62764470477</v>
      </c>
      <c r="O859" s="57"/>
      <c r="P859" s="24">
        <f>SUM(P852:P858)</f>
        <v>352004</v>
      </c>
      <c r="Q859" s="24"/>
      <c r="R859" s="24">
        <f t="shared" ref="R859:W859" si="514">SUM(R852:R858)</f>
        <v>0</v>
      </c>
      <c r="S859" s="24">
        <f t="shared" si="514"/>
        <v>0</v>
      </c>
      <c r="T859" s="24">
        <f t="shared" si="514"/>
        <v>0</v>
      </c>
      <c r="U859" s="24">
        <f t="shared" si="514"/>
        <v>63561.35</v>
      </c>
      <c r="V859" s="24">
        <f t="shared" si="514"/>
        <v>0</v>
      </c>
      <c r="W859" s="24">
        <f t="shared" si="514"/>
        <v>63561.35</v>
      </c>
      <c r="X859" s="149"/>
      <c r="Y859" s="150"/>
      <c r="Z859" s="116"/>
      <c r="AA859" s="115"/>
      <c r="AB859" s="120">
        <f t="shared" si="512"/>
        <v>-6543.0376447047383</v>
      </c>
      <c r="AC859" s="57"/>
      <c r="AG859" s="61"/>
    </row>
    <row r="860" spans="1:34" ht="11.25" customHeight="1" x14ac:dyDescent="0.15">
      <c r="A860" s="110" t="s">
        <v>199</v>
      </c>
      <c r="B860" s="110"/>
      <c r="C860" s="111" t="s">
        <v>279</v>
      </c>
      <c r="D860" s="111">
        <v>2022</v>
      </c>
      <c r="E860" s="146">
        <v>44804</v>
      </c>
      <c r="F860" s="111"/>
      <c r="G860" s="111">
        <v>500000202</v>
      </c>
      <c r="H860" s="111"/>
      <c r="I860" s="111"/>
      <c r="J860" s="111"/>
      <c r="K860" s="112" t="s">
        <v>478</v>
      </c>
      <c r="L860" s="120">
        <v>44991</v>
      </c>
      <c r="M860" s="120">
        <v>18687</v>
      </c>
      <c r="N860" s="120">
        <f t="shared" ref="N860:N867" si="515">L860-M860</f>
        <v>26304</v>
      </c>
      <c r="O860" s="119">
        <f t="shared" ref="O860:O868" si="516">IFERROR(N860/L860,"")</f>
        <v>0.58465026338601056</v>
      </c>
      <c r="P860" s="117">
        <v>44991</v>
      </c>
      <c r="Q860" s="111">
        <v>419</v>
      </c>
      <c r="R860" s="117">
        <v>305.5</v>
      </c>
      <c r="S860" s="117">
        <v>14025.56</v>
      </c>
      <c r="T860" s="117">
        <v>14459.61</v>
      </c>
      <c r="U860" s="117">
        <v>690.77</v>
      </c>
      <c r="V860" s="117"/>
      <c r="W860" s="52">
        <f t="shared" ref="W860:W867" si="517">SUM(S860:V860)</f>
        <v>29175.94</v>
      </c>
      <c r="X860" s="149">
        <f t="shared" ref="X860:X868" si="518">IFERROR(S860/R860,"")</f>
        <v>45.910180032733223</v>
      </c>
      <c r="Y860" s="150">
        <f t="shared" ref="Y860:Y868" si="519">IFERROR(U860/P860,0)</f>
        <v>1.5353515147473939E-2</v>
      </c>
      <c r="Z860" s="131">
        <f t="shared" ref="Z860:Z868" si="520">P860-W860</f>
        <v>15815.060000000001</v>
      </c>
      <c r="AA860" s="150">
        <f t="shared" ref="AA860:AA868" si="521">IFERROR(Z860/P860,"")</f>
        <v>0.35151608099397658</v>
      </c>
      <c r="AB860" s="120">
        <f t="shared" si="512"/>
        <v>-10488.939999999999</v>
      </c>
      <c r="AC860" s="119">
        <f t="shared" ref="AC860:AC868" si="522">IFERROR(AA860-O860,"")</f>
        <v>-0.23313418239203398</v>
      </c>
      <c r="AD860" s="110" t="s">
        <v>479</v>
      </c>
      <c r="AE860" s="110"/>
      <c r="AF860" s="110"/>
      <c r="AG860" s="121"/>
      <c r="AH860" s="110"/>
    </row>
    <row r="861" spans="1:34" ht="11.25" customHeight="1" x14ac:dyDescent="0.15">
      <c r="A861" s="110" t="s">
        <v>199</v>
      </c>
      <c r="B861" s="110"/>
      <c r="C861" s="111" t="s">
        <v>248</v>
      </c>
      <c r="D861" s="111">
        <v>2022</v>
      </c>
      <c r="E861" s="146">
        <v>44804</v>
      </c>
      <c r="F861" s="111"/>
      <c r="G861" s="111">
        <v>960000002</v>
      </c>
      <c r="H861" s="111"/>
      <c r="I861" s="111"/>
      <c r="J861" s="111"/>
      <c r="K861" s="112" t="s">
        <v>250</v>
      </c>
      <c r="L861" s="120">
        <v>41365</v>
      </c>
      <c r="M861" s="120">
        <v>20682.5</v>
      </c>
      <c r="N861" s="120">
        <f t="shared" si="515"/>
        <v>20682.5</v>
      </c>
      <c r="O861" s="119">
        <f t="shared" si="516"/>
        <v>0.5</v>
      </c>
      <c r="P861" s="132">
        <v>41160</v>
      </c>
      <c r="Q861" s="111">
        <v>420</v>
      </c>
      <c r="R861" s="132">
        <v>50.59</v>
      </c>
      <c r="S861" s="132">
        <v>2860.89</v>
      </c>
      <c r="T861" s="132">
        <v>2277.04</v>
      </c>
      <c r="U861" s="132"/>
      <c r="V861" s="117"/>
      <c r="W861" s="42">
        <f t="shared" si="517"/>
        <v>5137.93</v>
      </c>
      <c r="X861" s="149">
        <f t="shared" si="518"/>
        <v>56.550504052184223</v>
      </c>
      <c r="Y861" s="150">
        <f t="shared" si="519"/>
        <v>0</v>
      </c>
      <c r="Z861" s="131">
        <f t="shared" si="520"/>
        <v>36022.07</v>
      </c>
      <c r="AA861" s="150">
        <f t="shared" si="521"/>
        <v>0.87517176870748303</v>
      </c>
      <c r="AB861" s="120">
        <f t="shared" si="512"/>
        <v>15544.57</v>
      </c>
      <c r="AC861" s="119">
        <f t="shared" si="522"/>
        <v>0.37517176870748303</v>
      </c>
      <c r="AD861" s="110" t="s">
        <v>480</v>
      </c>
      <c r="AE861" s="110"/>
      <c r="AF861" s="110"/>
      <c r="AG861" s="121"/>
      <c r="AH861" s="110"/>
    </row>
    <row r="862" spans="1:34" ht="11.25" customHeight="1" x14ac:dyDescent="0.15">
      <c r="A862" s="110" t="s">
        <v>199</v>
      </c>
      <c r="B862" s="110"/>
      <c r="C862" s="111" t="s">
        <v>452</v>
      </c>
      <c r="D862" s="111">
        <v>2022</v>
      </c>
      <c r="E862" s="146">
        <v>44804</v>
      </c>
      <c r="F862" s="111"/>
      <c r="G862" s="111">
        <v>606220122</v>
      </c>
      <c r="H862" s="111"/>
      <c r="I862" s="111"/>
      <c r="J862" s="111"/>
      <c r="K862" s="112" t="s">
        <v>481</v>
      </c>
      <c r="L862" s="120">
        <v>62005</v>
      </c>
      <c r="M862" s="120">
        <v>6135</v>
      </c>
      <c r="N862" s="120">
        <f t="shared" si="515"/>
        <v>55870</v>
      </c>
      <c r="O862" s="119">
        <f t="shared" si="516"/>
        <v>0.90105636642206277</v>
      </c>
      <c r="P862" s="117">
        <v>62005</v>
      </c>
      <c r="Q862" s="111">
        <v>428</v>
      </c>
      <c r="R862" s="117">
        <v>80</v>
      </c>
      <c r="S862" s="117">
        <v>4524</v>
      </c>
      <c r="T862" s="117">
        <v>4553.63</v>
      </c>
      <c r="U862" s="117">
        <v>99.93</v>
      </c>
      <c r="V862" s="117"/>
      <c r="W862" s="52">
        <f t="shared" si="517"/>
        <v>9177.5600000000013</v>
      </c>
      <c r="X862" s="149">
        <f t="shared" si="518"/>
        <v>56.55</v>
      </c>
      <c r="Y862" s="150">
        <f t="shared" si="519"/>
        <v>1.6116442222401421E-3</v>
      </c>
      <c r="Z862" s="131">
        <f t="shared" si="520"/>
        <v>52827.44</v>
      </c>
      <c r="AA862" s="150">
        <f t="shared" si="521"/>
        <v>0.85198677526005973</v>
      </c>
      <c r="AB862" s="120">
        <f t="shared" si="512"/>
        <v>-3042.5600000000013</v>
      </c>
      <c r="AC862" s="119">
        <f t="shared" si="522"/>
        <v>-4.9069591162003046E-2</v>
      </c>
      <c r="AD862" s="110" t="s">
        <v>482</v>
      </c>
      <c r="AE862" s="110"/>
      <c r="AF862" s="110"/>
      <c r="AG862" s="121"/>
      <c r="AH862" s="110"/>
    </row>
    <row r="863" spans="1:34" ht="11.25" customHeight="1" x14ac:dyDescent="0.15">
      <c r="A863" s="110" t="s">
        <v>199</v>
      </c>
      <c r="B863" s="110"/>
      <c r="C863" s="111" t="s">
        <v>55</v>
      </c>
      <c r="D863" s="111">
        <v>2022</v>
      </c>
      <c r="E863" s="146">
        <v>44804</v>
      </c>
      <c r="F863" s="111"/>
      <c r="G863" s="111" t="s">
        <v>56</v>
      </c>
      <c r="H863" s="111"/>
      <c r="I863" s="111"/>
      <c r="J863" s="111"/>
      <c r="K863" s="112" t="s">
        <v>71</v>
      </c>
      <c r="L863" s="120">
        <v>14780</v>
      </c>
      <c r="M863" s="120">
        <v>2237.65</v>
      </c>
      <c r="N863" s="120">
        <f t="shared" si="515"/>
        <v>12542.35</v>
      </c>
      <c r="O863" s="119">
        <f t="shared" si="516"/>
        <v>0.8486028416779432</v>
      </c>
      <c r="P863" s="117">
        <v>15200</v>
      </c>
      <c r="Q863" s="111">
        <v>417</v>
      </c>
      <c r="R863" s="117">
        <v>16.5</v>
      </c>
      <c r="S863" s="117">
        <v>701.25</v>
      </c>
      <c r="T863" s="117"/>
      <c r="U863" s="117"/>
      <c r="V863" s="117">
        <v>2908.76</v>
      </c>
      <c r="W863" s="52">
        <f t="shared" si="517"/>
        <v>3610.01</v>
      </c>
      <c r="X863" s="149">
        <f t="shared" si="518"/>
        <v>42.5</v>
      </c>
      <c r="Y863" s="150">
        <f t="shared" si="519"/>
        <v>0</v>
      </c>
      <c r="Z863" s="131">
        <f t="shared" si="520"/>
        <v>11589.99</v>
      </c>
      <c r="AA863" s="150">
        <f t="shared" si="521"/>
        <v>0.76249934210526316</v>
      </c>
      <c r="AB863" s="120">
        <f t="shared" si="512"/>
        <v>-1372.3600000000001</v>
      </c>
      <c r="AC863" s="119">
        <f t="shared" si="522"/>
        <v>-8.6103499572680042E-2</v>
      </c>
      <c r="AD863" s="110" t="s">
        <v>483</v>
      </c>
      <c r="AE863" s="110"/>
      <c r="AF863" s="110"/>
      <c r="AG863" s="121"/>
      <c r="AH863" s="110"/>
    </row>
    <row r="864" spans="1:34" ht="11.25" customHeight="1" x14ac:dyDescent="0.15">
      <c r="A864" s="110" t="s">
        <v>199</v>
      </c>
      <c r="B864" s="110"/>
      <c r="C864" s="111" t="s">
        <v>58</v>
      </c>
      <c r="D864" s="111">
        <v>2022</v>
      </c>
      <c r="E864" s="146">
        <v>44804</v>
      </c>
      <c r="F864" s="111"/>
      <c r="G864" s="111">
        <v>713220122</v>
      </c>
      <c r="H864" s="111"/>
      <c r="I864" s="111"/>
      <c r="J864" s="111"/>
      <c r="K864" s="112" t="s">
        <v>484</v>
      </c>
      <c r="L864" s="120">
        <v>8540.7999999999993</v>
      </c>
      <c r="M864" s="120">
        <v>854.07952116395541</v>
      </c>
      <c r="N864" s="120">
        <f t="shared" si="515"/>
        <v>7686.7204788360441</v>
      </c>
      <c r="O864" s="119">
        <f t="shared" si="516"/>
        <v>0.90000005606454248</v>
      </c>
      <c r="P864" s="117">
        <v>8975.2800000000007</v>
      </c>
      <c r="Q864" s="111">
        <v>421</v>
      </c>
      <c r="R864" s="117"/>
      <c r="S864" s="117"/>
      <c r="T864" s="117"/>
      <c r="U864" s="117">
        <v>1445.44</v>
      </c>
      <c r="V864" s="117"/>
      <c r="W864" s="52">
        <f t="shared" si="517"/>
        <v>1445.44</v>
      </c>
      <c r="X864" s="149" t="str">
        <f t="shared" si="518"/>
        <v/>
      </c>
      <c r="Y864" s="150">
        <f t="shared" si="519"/>
        <v>0.16104678628410479</v>
      </c>
      <c r="Z864" s="131">
        <f t="shared" si="520"/>
        <v>7529.84</v>
      </c>
      <c r="AA864" s="150">
        <f t="shared" si="521"/>
        <v>0.83895321371589515</v>
      </c>
      <c r="AB864" s="120">
        <f t="shared" si="512"/>
        <v>-591.36047883604465</v>
      </c>
      <c r="AC864" s="119">
        <f t="shared" si="522"/>
        <v>-6.1046842348647323E-2</v>
      </c>
      <c r="AD864" s="110" t="s">
        <v>485</v>
      </c>
      <c r="AE864" s="110"/>
      <c r="AF864" s="110"/>
      <c r="AG864" s="121"/>
      <c r="AH864" s="110"/>
    </row>
    <row r="865" spans="1:34" ht="11.25" customHeight="1" x14ac:dyDescent="0.15">
      <c r="A865" s="110" t="s">
        <v>199</v>
      </c>
      <c r="B865" s="110"/>
      <c r="C865" s="111" t="s">
        <v>58</v>
      </c>
      <c r="D865" s="111">
        <v>2022</v>
      </c>
      <c r="E865" s="146">
        <v>44804</v>
      </c>
      <c r="F865" s="111"/>
      <c r="G865" s="111">
        <v>713220122</v>
      </c>
      <c r="H865" s="111"/>
      <c r="I865" s="111"/>
      <c r="J865" s="111"/>
      <c r="K865" s="112" t="s">
        <v>486</v>
      </c>
      <c r="L865" s="120">
        <v>17081.59</v>
      </c>
      <c r="M865" s="120">
        <v>1708.1590423279108</v>
      </c>
      <c r="N865" s="120">
        <f t="shared" si="515"/>
        <v>15373.43095767209</v>
      </c>
      <c r="O865" s="119">
        <f t="shared" si="516"/>
        <v>0.89999999752201576</v>
      </c>
      <c r="P865" s="117">
        <v>17950.560000000001</v>
      </c>
      <c r="Q865" s="111">
        <v>422</v>
      </c>
      <c r="R865" s="117"/>
      <c r="S865" s="117"/>
      <c r="T865" s="117"/>
      <c r="U865" s="117">
        <v>2890.9</v>
      </c>
      <c r="V865" s="117"/>
      <c r="W865" s="52">
        <f t="shared" si="517"/>
        <v>2890.9</v>
      </c>
      <c r="X865" s="149" t="str">
        <f t="shared" si="518"/>
        <v/>
      </c>
      <c r="Y865" s="150">
        <f t="shared" si="519"/>
        <v>0.16104790045547324</v>
      </c>
      <c r="Z865" s="131">
        <f t="shared" si="520"/>
        <v>15059.660000000002</v>
      </c>
      <c r="AA865" s="150">
        <f t="shared" si="521"/>
        <v>0.83895209954452676</v>
      </c>
      <c r="AB865" s="120">
        <f t="shared" si="512"/>
        <v>-1182.7409576720893</v>
      </c>
      <c r="AC865" s="119">
        <f t="shared" si="522"/>
        <v>-6.1047897977488996E-2</v>
      </c>
      <c r="AD865" s="110" t="s">
        <v>485</v>
      </c>
      <c r="AE865" s="110"/>
      <c r="AF865" s="110"/>
      <c r="AG865" s="121"/>
      <c r="AH865" s="110"/>
    </row>
    <row r="866" spans="1:34" ht="11.25" customHeight="1" x14ac:dyDescent="0.15">
      <c r="A866" s="110" t="s">
        <v>199</v>
      </c>
      <c r="B866" s="110"/>
      <c r="C866" s="111" t="s">
        <v>58</v>
      </c>
      <c r="D866" s="111">
        <v>2022</v>
      </c>
      <c r="E866" s="146">
        <v>44804</v>
      </c>
      <c r="F866" s="111"/>
      <c r="G866" s="111">
        <v>723220122</v>
      </c>
      <c r="H866" s="111"/>
      <c r="I866" s="111"/>
      <c r="J866" s="111"/>
      <c r="K866" s="112" t="s">
        <v>487</v>
      </c>
      <c r="L866" s="120">
        <v>8540.7999999999993</v>
      </c>
      <c r="M866" s="120">
        <v>854.07952116395541</v>
      </c>
      <c r="N866" s="120">
        <f t="shared" si="515"/>
        <v>7686.7204788360441</v>
      </c>
      <c r="O866" s="119">
        <f t="shared" si="516"/>
        <v>0.90000005606454248</v>
      </c>
      <c r="P866" s="117">
        <v>8975.2800000000007</v>
      </c>
      <c r="Q866" s="111">
        <v>423</v>
      </c>
      <c r="R866" s="117"/>
      <c r="S866" s="117"/>
      <c r="T866" s="117"/>
      <c r="U866" s="117">
        <v>1445.44</v>
      </c>
      <c r="V866" s="117"/>
      <c r="W866" s="52">
        <f t="shared" si="517"/>
        <v>1445.44</v>
      </c>
      <c r="X866" s="149" t="str">
        <f t="shared" si="518"/>
        <v/>
      </c>
      <c r="Y866" s="150">
        <f t="shared" si="519"/>
        <v>0.16104678628410479</v>
      </c>
      <c r="Z866" s="131">
        <f t="shared" si="520"/>
        <v>7529.84</v>
      </c>
      <c r="AA866" s="150">
        <f t="shared" si="521"/>
        <v>0.83895321371589515</v>
      </c>
      <c r="AB866" s="120">
        <f t="shared" si="512"/>
        <v>-591.36047883604465</v>
      </c>
      <c r="AC866" s="119">
        <f t="shared" si="522"/>
        <v>-6.1046842348647323E-2</v>
      </c>
      <c r="AD866" s="110" t="s">
        <v>485</v>
      </c>
      <c r="AE866" s="110"/>
      <c r="AF866" s="110"/>
      <c r="AG866" s="121"/>
      <c r="AH866" s="110"/>
    </row>
    <row r="867" spans="1:34" ht="11.25" customHeight="1" x14ac:dyDescent="0.15">
      <c r="A867" s="110" t="s">
        <v>199</v>
      </c>
      <c r="B867" s="110"/>
      <c r="C867" s="111" t="s">
        <v>58</v>
      </c>
      <c r="D867" s="111">
        <v>2022</v>
      </c>
      <c r="E867" s="146">
        <v>44804</v>
      </c>
      <c r="F867" s="111"/>
      <c r="G867" s="111">
        <v>743220122</v>
      </c>
      <c r="H867" s="111"/>
      <c r="I867" s="111"/>
      <c r="J867" s="111"/>
      <c r="K867" s="112" t="s">
        <v>488</v>
      </c>
      <c r="L867" s="120">
        <v>24808.82</v>
      </c>
      <c r="M867" s="120">
        <v>2480.88191534418</v>
      </c>
      <c r="N867" s="120">
        <f t="shared" si="515"/>
        <v>22327.93808465582</v>
      </c>
      <c r="O867" s="119">
        <f t="shared" si="516"/>
        <v>0.90000000341232755</v>
      </c>
      <c r="P867" s="132">
        <v>26070.880000000001</v>
      </c>
      <c r="Q867" s="111">
        <v>424</v>
      </c>
      <c r="R867" s="132"/>
      <c r="S867" s="132"/>
      <c r="T867" s="132"/>
      <c r="U867" s="132">
        <v>3248.97</v>
      </c>
      <c r="V867" s="117"/>
      <c r="W867" s="42">
        <f t="shared" si="517"/>
        <v>3248.97</v>
      </c>
      <c r="X867" s="149" t="str">
        <f t="shared" si="518"/>
        <v/>
      </c>
      <c r="Y867" s="150">
        <f t="shared" si="519"/>
        <v>0.12462064955229742</v>
      </c>
      <c r="Z867" s="131">
        <f t="shared" si="520"/>
        <v>22821.91</v>
      </c>
      <c r="AA867" s="150">
        <f t="shared" si="521"/>
        <v>0.87537935044770254</v>
      </c>
      <c r="AB867" s="120">
        <f t="shared" si="512"/>
        <v>-768.08808465581978</v>
      </c>
      <c r="AC867" s="119">
        <f t="shared" si="522"/>
        <v>-2.4620652964625012E-2</v>
      </c>
      <c r="AD867" s="110" t="s">
        <v>485</v>
      </c>
      <c r="AE867" s="110"/>
      <c r="AF867" s="110"/>
      <c r="AG867" s="121"/>
      <c r="AH867" s="110"/>
    </row>
    <row r="868" spans="1:34" s="53" customFormat="1" ht="11.25" customHeight="1" x14ac:dyDescent="0.15">
      <c r="A868" s="53" t="s">
        <v>199</v>
      </c>
      <c r="C868" s="54" t="s">
        <v>177</v>
      </c>
      <c r="D868" s="54">
        <v>2022</v>
      </c>
      <c r="E868" s="70">
        <v>44804</v>
      </c>
      <c r="F868" s="54"/>
      <c r="G868" s="54"/>
      <c r="H868" s="54"/>
      <c r="I868" s="54"/>
      <c r="J868" s="54"/>
      <c r="K868" s="106"/>
      <c r="L868" s="97">
        <f>SUM(L859:L867)</f>
        <v>605139.94999999995</v>
      </c>
      <c r="M868" s="97">
        <f>SUM(M859:M867)</f>
        <v>110657.66235529524</v>
      </c>
      <c r="N868" s="97">
        <f>SUM(N859:N867)</f>
        <v>494482.28764470469</v>
      </c>
      <c r="O868" s="57">
        <f t="shared" si="516"/>
        <v>0.81713707324182572</v>
      </c>
      <c r="P868" s="24">
        <f>SUM(P859:P867)</f>
        <v>577332.00000000012</v>
      </c>
      <c r="Q868" s="91"/>
      <c r="R868" s="24">
        <f t="shared" ref="R868:W868" si="523">SUM(R859:R867)</f>
        <v>452.59000000000003</v>
      </c>
      <c r="S868" s="24">
        <f t="shared" si="523"/>
        <v>22111.7</v>
      </c>
      <c r="T868" s="24">
        <f t="shared" si="523"/>
        <v>21290.280000000002</v>
      </c>
      <c r="U868" s="24">
        <f t="shared" si="523"/>
        <v>73382.799999999988</v>
      </c>
      <c r="V868" s="24">
        <f t="shared" si="523"/>
        <v>2908.76</v>
      </c>
      <c r="W868" s="97">
        <f t="shared" si="523"/>
        <v>119693.54</v>
      </c>
      <c r="X868" s="114">
        <f t="shared" si="518"/>
        <v>48.855918159923988</v>
      </c>
      <c r="Y868" s="115">
        <f t="shared" si="519"/>
        <v>0.12710676006180149</v>
      </c>
      <c r="Z868" s="116">
        <f t="shared" si="520"/>
        <v>457638.46000000014</v>
      </c>
      <c r="AA868" s="115">
        <f t="shared" si="521"/>
        <v>0.79267814706269535</v>
      </c>
      <c r="AB868" s="120">
        <f t="shared" si="512"/>
        <v>-9035.8776447047567</v>
      </c>
      <c r="AC868" s="57">
        <f t="shared" si="522"/>
        <v>-2.4458926179130369E-2</v>
      </c>
      <c r="AG868" s="61"/>
    </row>
    <row r="869" spans="1:34" ht="11.25" customHeight="1" x14ac:dyDescent="0.15">
      <c r="A869" s="130" t="s">
        <v>53</v>
      </c>
      <c r="B869" s="130"/>
      <c r="C869" s="124"/>
      <c r="D869" s="124"/>
      <c r="E869" s="273"/>
      <c r="F869" s="124"/>
      <c r="G869" s="124"/>
      <c r="H869" s="124"/>
      <c r="I869" s="124"/>
      <c r="J869" s="124"/>
      <c r="K869" s="125"/>
      <c r="L869" s="129"/>
      <c r="M869" s="129"/>
      <c r="N869" s="129"/>
      <c r="O869" s="128"/>
      <c r="P869" s="129"/>
      <c r="Q869" s="124"/>
      <c r="R869" s="129"/>
      <c r="S869" s="129"/>
      <c r="T869" s="129"/>
      <c r="U869" s="129"/>
      <c r="V869" s="126"/>
      <c r="W869" s="49"/>
      <c r="X869" s="45"/>
      <c r="Y869" s="128"/>
      <c r="Z869" s="126"/>
      <c r="AA869" s="128"/>
      <c r="AB869" s="129"/>
      <c r="AC869" s="160"/>
      <c r="AD869" s="137"/>
      <c r="AE869" s="110"/>
      <c r="AF869" s="110"/>
      <c r="AG869" s="121"/>
      <c r="AH869" s="110"/>
    </row>
    <row r="870" spans="1:34" ht="11.25" customHeight="1" x14ac:dyDescent="0.15">
      <c r="A870" s="110" t="s">
        <v>365</v>
      </c>
      <c r="B870" s="110"/>
      <c r="C870" s="111" t="s">
        <v>180</v>
      </c>
      <c r="D870" s="111">
        <v>2022</v>
      </c>
      <c r="E870" s="146">
        <v>44804</v>
      </c>
      <c r="F870" s="111"/>
      <c r="G870" s="111" t="s">
        <v>489</v>
      </c>
      <c r="H870" s="111"/>
      <c r="I870" s="111"/>
      <c r="J870" s="111"/>
      <c r="K870" s="112" t="s">
        <v>490</v>
      </c>
      <c r="L870" s="120">
        <v>69118</v>
      </c>
      <c r="M870" s="120">
        <v>10705</v>
      </c>
      <c r="N870" s="120">
        <f>L870-M870</f>
        <v>58413</v>
      </c>
      <c r="O870" s="119">
        <f>IFERROR(N870/L870,"")</f>
        <v>0.84511993981307332</v>
      </c>
      <c r="P870" s="132">
        <v>79168.55</v>
      </c>
      <c r="Q870" s="111">
        <v>524</v>
      </c>
      <c r="R870" s="117">
        <v>3.5</v>
      </c>
      <c r="S870" s="117">
        <v>136.63999999999999</v>
      </c>
      <c r="T870" s="117"/>
      <c r="U870" s="117">
        <v>9459.7900000000009</v>
      </c>
      <c r="V870" s="117"/>
      <c r="W870" s="42">
        <f>SUM(S870:V870)</f>
        <v>9596.43</v>
      </c>
      <c r="X870" s="149">
        <f>IFERROR(S870/R870,"")</f>
        <v>39.04</v>
      </c>
      <c r="Y870" s="150">
        <f>U870/P870</f>
        <v>0.11948924162435716</v>
      </c>
      <c r="Z870" s="131">
        <f>P870-W870</f>
        <v>69572.12</v>
      </c>
      <c r="AA870" s="150">
        <f>IFERROR(Z870/P870,"")</f>
        <v>0.87878482048742834</v>
      </c>
      <c r="AB870" s="120">
        <f t="shared" ref="AB870:AB885" si="524">M870-W870</f>
        <v>1108.5699999999997</v>
      </c>
      <c r="AC870" s="119">
        <f>IFERROR(AA870-O870,"")</f>
        <v>3.3664880674355024E-2</v>
      </c>
      <c r="AD870" s="110" t="s">
        <v>491</v>
      </c>
      <c r="AE870" s="110"/>
      <c r="AF870" s="110"/>
      <c r="AG870" s="121"/>
      <c r="AH870" s="110"/>
    </row>
    <row r="871" spans="1:34" ht="11.25" customHeight="1" x14ac:dyDescent="0.15">
      <c r="A871" s="110" t="s">
        <v>365</v>
      </c>
      <c r="B871" s="110"/>
      <c r="C871" s="111" t="s">
        <v>180</v>
      </c>
      <c r="D871" s="111">
        <v>2022</v>
      </c>
      <c r="E871" s="146">
        <v>44804</v>
      </c>
      <c r="F871" s="111"/>
      <c r="G871" s="111">
        <v>940000312</v>
      </c>
      <c r="H871" s="111"/>
      <c r="I871" s="111"/>
      <c r="J871" s="111"/>
      <c r="K871" s="112" t="s">
        <v>469</v>
      </c>
      <c r="L871" s="120">
        <v>69118</v>
      </c>
      <c r="M871" s="120">
        <v>10705</v>
      </c>
      <c r="N871" s="120">
        <f>L871-M871</f>
        <v>58413</v>
      </c>
      <c r="O871" s="119">
        <f>IFERROR(N871/L871,"")</f>
        <v>0.84511993981307332</v>
      </c>
      <c r="P871" s="117">
        <v>73602</v>
      </c>
      <c r="Q871" s="111">
        <v>525</v>
      </c>
      <c r="R871" s="117"/>
      <c r="S871" s="117"/>
      <c r="T871" s="117"/>
      <c r="U871" s="117">
        <v>14260.67</v>
      </c>
      <c r="V871" s="117"/>
      <c r="W871" s="52">
        <f>SUM(S871:V871)</f>
        <v>14260.67</v>
      </c>
      <c r="X871" s="149" t="str">
        <f>IFERROR(S871/R871,"")</f>
        <v/>
      </c>
      <c r="Y871" s="150">
        <f>U871/P871</f>
        <v>0.19375383821091818</v>
      </c>
      <c r="Z871" s="131">
        <f>P871-W871</f>
        <v>59341.33</v>
      </c>
      <c r="AA871" s="150">
        <f>IFERROR(Z871/P871,"")</f>
        <v>0.80624616178908182</v>
      </c>
      <c r="AB871" s="120">
        <f t="shared" si="524"/>
        <v>-3555.67</v>
      </c>
      <c r="AC871" s="119">
        <f>IFERROR(AA871-O871,"")</f>
        <v>-3.8873778023991501E-2</v>
      </c>
      <c r="AD871" s="110"/>
      <c r="AE871" s="110"/>
      <c r="AF871" s="110"/>
      <c r="AG871" s="121"/>
      <c r="AH871" s="110"/>
    </row>
    <row r="872" spans="1:34" ht="11.25" customHeight="1" x14ac:dyDescent="0.15">
      <c r="A872" s="110" t="s">
        <v>365</v>
      </c>
      <c r="B872" s="110"/>
      <c r="C872" s="111" t="s">
        <v>180</v>
      </c>
      <c r="D872" s="111">
        <v>2022</v>
      </c>
      <c r="E872" s="146">
        <v>44804</v>
      </c>
      <c r="F872" s="111"/>
      <c r="G872" s="111">
        <v>921000322</v>
      </c>
      <c r="H872" s="111"/>
      <c r="I872" s="111"/>
      <c r="J872" s="111"/>
      <c r="K872" s="112" t="s">
        <v>492</v>
      </c>
      <c r="L872" s="120">
        <v>69118</v>
      </c>
      <c r="M872" s="120">
        <v>10705</v>
      </c>
      <c r="N872" s="120">
        <f>L872-M872</f>
        <v>58413</v>
      </c>
      <c r="O872" s="119">
        <f>IFERROR(N872/L872,"")</f>
        <v>0.84511993981307332</v>
      </c>
      <c r="P872" s="117">
        <v>79168.55</v>
      </c>
      <c r="Q872" s="111">
        <v>97</v>
      </c>
      <c r="R872" s="117">
        <v>1.5</v>
      </c>
      <c r="S872" s="117">
        <v>58.56</v>
      </c>
      <c r="T872" s="117"/>
      <c r="U872" s="117">
        <v>10023.129999999999</v>
      </c>
      <c r="V872" s="117"/>
      <c r="W872" s="52">
        <f>SUM(S872:V872)</f>
        <v>10081.689999999999</v>
      </c>
      <c r="X872" s="149">
        <f>IFERROR(S872/R872,"")</f>
        <v>39.04</v>
      </c>
      <c r="Y872" s="150">
        <f>U872/P872</f>
        <v>0.12660494602970496</v>
      </c>
      <c r="Z872" s="131">
        <f>P872-W872</f>
        <v>69086.86</v>
      </c>
      <c r="AA872" s="150">
        <f>IFERROR(Z872/P872,"")</f>
        <v>0.87265536630391738</v>
      </c>
      <c r="AB872" s="120">
        <f t="shared" si="524"/>
        <v>623.31000000000131</v>
      </c>
      <c r="AC872" s="119">
        <f>IFERROR(AA872-O872,"")</f>
        <v>2.7535426490844062E-2</v>
      </c>
      <c r="AD872" s="110"/>
      <c r="AE872" s="110"/>
      <c r="AF872" s="110"/>
      <c r="AG872" s="121"/>
      <c r="AH872" s="110"/>
    </row>
    <row r="873" spans="1:34" s="53" customFormat="1" ht="11.25" customHeight="1" x14ac:dyDescent="0.15">
      <c r="A873" s="53" t="s">
        <v>365</v>
      </c>
      <c r="C873" s="54" t="s">
        <v>360</v>
      </c>
      <c r="D873" s="54">
        <v>2022</v>
      </c>
      <c r="E873" s="70">
        <v>44804</v>
      </c>
      <c r="F873" s="54"/>
      <c r="G873" s="54"/>
      <c r="H873" s="54"/>
      <c r="I873" s="54"/>
      <c r="J873" s="54"/>
      <c r="K873" s="106"/>
      <c r="L873" s="97">
        <f>SUM(L870:L872)</f>
        <v>207354</v>
      </c>
      <c r="M873" s="97">
        <f>SUM(M870:M872)</f>
        <v>32115</v>
      </c>
      <c r="N873" s="97">
        <f>SUM(N870:N872)</f>
        <v>175239</v>
      </c>
      <c r="O873" s="57"/>
      <c r="P873" s="24">
        <f>SUM(P870:P872)</f>
        <v>231939.09999999998</v>
      </c>
      <c r="Q873" s="24"/>
      <c r="R873" s="24">
        <f t="shared" ref="R873:W873" si="525">SUM(R870:R872)</f>
        <v>5</v>
      </c>
      <c r="S873" s="24">
        <f t="shared" si="525"/>
        <v>195.2</v>
      </c>
      <c r="T873" s="24">
        <f t="shared" si="525"/>
        <v>0</v>
      </c>
      <c r="U873" s="24">
        <f t="shared" si="525"/>
        <v>33743.589999999997</v>
      </c>
      <c r="V873" s="24">
        <f t="shared" si="525"/>
        <v>0</v>
      </c>
      <c r="W873" s="24">
        <f t="shared" si="525"/>
        <v>33938.789999999994</v>
      </c>
      <c r="X873" s="149"/>
      <c r="Y873" s="150"/>
      <c r="Z873" s="116"/>
      <c r="AA873" s="115"/>
      <c r="AB873" s="120">
        <f t="shared" si="524"/>
        <v>-1823.7899999999936</v>
      </c>
      <c r="AC873" s="57"/>
      <c r="AG873" s="61"/>
    </row>
    <row r="874" spans="1:34" ht="11.25" customHeight="1" x14ac:dyDescent="0.15">
      <c r="A874" s="110" t="s">
        <v>365</v>
      </c>
      <c r="B874" s="110"/>
      <c r="C874" s="111" t="s">
        <v>452</v>
      </c>
      <c r="D874" s="111">
        <v>2022</v>
      </c>
      <c r="E874" s="146">
        <v>44804</v>
      </c>
      <c r="F874" s="111"/>
      <c r="G874" s="111">
        <v>627220122</v>
      </c>
      <c r="H874" s="111"/>
      <c r="I874" s="111"/>
      <c r="J874" s="111"/>
      <c r="K874" s="112" t="s">
        <v>444</v>
      </c>
      <c r="L874" s="120">
        <v>4114</v>
      </c>
      <c r="M874" s="120">
        <v>2057</v>
      </c>
      <c r="N874" s="120">
        <f t="shared" ref="N874:N884" si="526">L874-M874</f>
        <v>2057</v>
      </c>
      <c r="O874" s="119">
        <f t="shared" ref="O874:O885" si="527">IFERROR(N874/L874,"")</f>
        <v>0.5</v>
      </c>
      <c r="P874" s="117">
        <v>4114</v>
      </c>
      <c r="Q874" s="111">
        <v>180</v>
      </c>
      <c r="R874" s="117">
        <v>16</v>
      </c>
      <c r="S874" s="117">
        <v>904.8</v>
      </c>
      <c r="T874" s="117">
        <v>1455.33</v>
      </c>
      <c r="U874" s="117"/>
      <c r="V874" s="117"/>
      <c r="W874" s="52">
        <f t="shared" ref="W874:W884" si="528">SUM(S874:V874)</f>
        <v>2360.13</v>
      </c>
      <c r="X874" s="149">
        <f t="shared" ref="X874:X885" si="529">IFERROR(S874/R874,"")</f>
        <v>56.55</v>
      </c>
      <c r="Y874" s="150">
        <f>U874/P874</f>
        <v>0</v>
      </c>
      <c r="Z874" s="131">
        <f t="shared" ref="Z874:Z885" si="530">P874-W874</f>
        <v>1753.87</v>
      </c>
      <c r="AA874" s="150">
        <f t="shared" ref="AA874:AA885" si="531">IFERROR(Z874/P874,"")</f>
        <v>0.42631745260087506</v>
      </c>
      <c r="AB874" s="120">
        <f t="shared" si="524"/>
        <v>-303.13000000000011</v>
      </c>
      <c r="AC874" s="119">
        <f t="shared" ref="AC874:AC885" si="532">IFERROR(AA874-O874,"")</f>
        <v>-7.3682547399124942E-2</v>
      </c>
      <c r="AD874" s="110"/>
      <c r="AE874" s="110"/>
      <c r="AF874" s="110"/>
      <c r="AG874" s="121"/>
      <c r="AH874" s="110"/>
    </row>
    <row r="875" spans="1:34" ht="11.25" customHeight="1" x14ac:dyDescent="0.15">
      <c r="A875" s="110" t="s">
        <v>365</v>
      </c>
      <c r="B875" s="110"/>
      <c r="C875" s="111" t="s">
        <v>452</v>
      </c>
      <c r="D875" s="111">
        <v>2022</v>
      </c>
      <c r="E875" s="146">
        <v>44804</v>
      </c>
      <c r="F875" s="111"/>
      <c r="G875" s="111">
        <v>617220122</v>
      </c>
      <c r="H875" s="111"/>
      <c r="I875" s="111"/>
      <c r="J875" s="111"/>
      <c r="K875" s="112" t="s">
        <v>493</v>
      </c>
      <c r="L875" s="120">
        <v>4114</v>
      </c>
      <c r="M875" s="120">
        <v>2057</v>
      </c>
      <c r="N875" s="120">
        <f t="shared" si="526"/>
        <v>2057</v>
      </c>
      <c r="O875" s="119">
        <f t="shared" si="527"/>
        <v>0.5</v>
      </c>
      <c r="P875" s="117">
        <v>4114</v>
      </c>
      <c r="Q875" s="111">
        <v>548</v>
      </c>
      <c r="R875" s="117">
        <v>8</v>
      </c>
      <c r="S875" s="117">
        <v>452.4</v>
      </c>
      <c r="T875" s="117">
        <v>466</v>
      </c>
      <c r="U875" s="117"/>
      <c r="V875" s="117"/>
      <c r="W875" s="52">
        <f t="shared" si="528"/>
        <v>918.4</v>
      </c>
      <c r="X875" s="149">
        <f t="shared" si="529"/>
        <v>56.55</v>
      </c>
      <c r="Y875" s="150">
        <f>U875/P875</f>
        <v>0</v>
      </c>
      <c r="Z875" s="131">
        <f t="shared" si="530"/>
        <v>3195.6</v>
      </c>
      <c r="AA875" s="150">
        <f t="shared" si="531"/>
        <v>0.77676227515799701</v>
      </c>
      <c r="AB875" s="120">
        <f t="shared" si="524"/>
        <v>1138.5999999999999</v>
      </c>
      <c r="AC875" s="119">
        <f t="shared" si="532"/>
        <v>0.27676227515799701</v>
      </c>
      <c r="AD875" s="110"/>
      <c r="AE875" s="110"/>
      <c r="AF875" s="110"/>
      <c r="AG875" s="121"/>
      <c r="AH875" s="110"/>
    </row>
    <row r="876" spans="1:34" ht="11.25" customHeight="1" x14ac:dyDescent="0.15">
      <c r="A876" s="110" t="s">
        <v>365</v>
      </c>
      <c r="B876" s="110"/>
      <c r="C876" s="111" t="s">
        <v>452</v>
      </c>
      <c r="D876" s="111">
        <v>2022</v>
      </c>
      <c r="E876" s="146">
        <v>44804</v>
      </c>
      <c r="F876" s="111"/>
      <c r="G876" s="111">
        <v>647220122</v>
      </c>
      <c r="H876" s="111"/>
      <c r="I876" s="111"/>
      <c r="J876" s="111"/>
      <c r="K876" s="112" t="s">
        <v>494</v>
      </c>
      <c r="L876" s="120">
        <v>26574</v>
      </c>
      <c r="M876" s="120">
        <v>13287</v>
      </c>
      <c r="N876" s="120">
        <f t="shared" si="526"/>
        <v>13287</v>
      </c>
      <c r="O876" s="119">
        <f t="shared" si="527"/>
        <v>0.5</v>
      </c>
      <c r="P876" s="117">
        <v>26574</v>
      </c>
      <c r="Q876" s="111">
        <v>551</v>
      </c>
      <c r="R876" s="117">
        <v>16</v>
      </c>
      <c r="S876" s="117">
        <v>904.8</v>
      </c>
      <c r="T876" s="117">
        <v>865.42</v>
      </c>
      <c r="U876" s="117"/>
      <c r="V876" s="117"/>
      <c r="W876" s="52">
        <f t="shared" si="528"/>
        <v>1770.2199999999998</v>
      </c>
      <c r="X876" s="149">
        <f t="shared" si="529"/>
        <v>56.55</v>
      </c>
      <c r="Y876" s="150">
        <f>U876/P876</f>
        <v>0</v>
      </c>
      <c r="Z876" s="131">
        <f t="shared" si="530"/>
        <v>24803.78</v>
      </c>
      <c r="AA876" s="150">
        <f t="shared" si="531"/>
        <v>0.93338526379167608</v>
      </c>
      <c r="AB876" s="120">
        <f t="shared" si="524"/>
        <v>11516.78</v>
      </c>
      <c r="AC876" s="119">
        <f t="shared" si="532"/>
        <v>0.43338526379167608</v>
      </c>
      <c r="AD876" s="110"/>
      <c r="AE876" s="110"/>
      <c r="AF876" s="110"/>
      <c r="AG876" s="121"/>
      <c r="AH876" s="110"/>
    </row>
    <row r="877" spans="1:34" ht="11.25" customHeight="1" x14ac:dyDescent="0.15">
      <c r="A877" s="110" t="s">
        <v>365</v>
      </c>
      <c r="B877" s="110"/>
      <c r="C877" s="111" t="s">
        <v>279</v>
      </c>
      <c r="D877" s="111">
        <v>2022</v>
      </c>
      <c r="E877" s="146">
        <v>44804</v>
      </c>
      <c r="F877" s="111"/>
      <c r="G877" s="111">
        <v>510240322</v>
      </c>
      <c r="H877" s="111"/>
      <c r="I877" s="111"/>
      <c r="J877" s="111"/>
      <c r="K877" s="112" t="s">
        <v>495</v>
      </c>
      <c r="L877" s="117">
        <v>2106.65</v>
      </c>
      <c r="M877" s="120">
        <f>L877*0.34135</f>
        <v>719.10497750000002</v>
      </c>
      <c r="N877" s="120">
        <f t="shared" si="526"/>
        <v>1387.5450225</v>
      </c>
      <c r="O877" s="119">
        <f t="shared" si="527"/>
        <v>0.65864999999999996</v>
      </c>
      <c r="P877" s="117">
        <v>2106.65</v>
      </c>
      <c r="Q877" s="111">
        <v>550</v>
      </c>
      <c r="R877" s="117">
        <v>13</v>
      </c>
      <c r="S877" s="117">
        <v>596.83000000000004</v>
      </c>
      <c r="T877" s="117">
        <v>1551.01</v>
      </c>
      <c r="U877" s="117"/>
      <c r="V877" s="117"/>
      <c r="W877" s="52">
        <f t="shared" si="528"/>
        <v>2147.84</v>
      </c>
      <c r="X877" s="149">
        <f t="shared" si="529"/>
        <v>45.910000000000004</v>
      </c>
      <c r="Y877" s="150">
        <f t="shared" ref="Y877:Y885" si="533">IFERROR(U877/P877,0)</f>
        <v>0</v>
      </c>
      <c r="Z877" s="131">
        <f t="shared" si="530"/>
        <v>-41.190000000000055</v>
      </c>
      <c r="AA877" s="150">
        <f t="shared" si="531"/>
        <v>-1.9552369876343983E-2</v>
      </c>
      <c r="AB877" s="120">
        <f t="shared" si="524"/>
        <v>-1428.7350225</v>
      </c>
      <c r="AC877" s="119">
        <f t="shared" si="532"/>
        <v>-0.67820236987634397</v>
      </c>
      <c r="AD877" s="110"/>
      <c r="AE877" s="110"/>
      <c r="AF877" s="110"/>
      <c r="AG877" s="121"/>
      <c r="AH877" s="110"/>
    </row>
    <row r="878" spans="1:34" ht="11.25" customHeight="1" x14ac:dyDescent="0.15">
      <c r="A878" s="110" t="s">
        <v>365</v>
      </c>
      <c r="B878" s="110"/>
      <c r="C878" s="111" t="s">
        <v>279</v>
      </c>
      <c r="D878" s="111">
        <v>2022</v>
      </c>
      <c r="E878" s="146">
        <v>44804</v>
      </c>
      <c r="F878" s="111"/>
      <c r="G878" s="111">
        <v>540000322</v>
      </c>
      <c r="H878" s="111"/>
      <c r="I878" s="111"/>
      <c r="J878" s="111"/>
      <c r="K878" s="112" t="s">
        <v>496</v>
      </c>
      <c r="L878" s="132">
        <v>7824.7</v>
      </c>
      <c r="M878" s="120">
        <f>L878*0.34135</f>
        <v>2670.9613449999997</v>
      </c>
      <c r="N878" s="120">
        <f t="shared" si="526"/>
        <v>5153.7386550000001</v>
      </c>
      <c r="O878" s="119">
        <f t="shared" si="527"/>
        <v>0.65865000000000007</v>
      </c>
      <c r="P878" s="132">
        <v>7824.7</v>
      </c>
      <c r="Q878" s="111">
        <v>553</v>
      </c>
      <c r="R878" s="132">
        <v>91</v>
      </c>
      <c r="S878" s="132">
        <v>4177.83</v>
      </c>
      <c r="T878" s="132">
        <v>3181.1</v>
      </c>
      <c r="U878" s="132">
        <v>464.47</v>
      </c>
      <c r="V878" s="117"/>
      <c r="W878" s="42">
        <f t="shared" si="528"/>
        <v>7823.4000000000005</v>
      </c>
      <c r="X878" s="149">
        <f t="shared" si="529"/>
        <v>45.910219780219776</v>
      </c>
      <c r="Y878" s="150">
        <f t="shared" si="533"/>
        <v>5.9359464260610638E-2</v>
      </c>
      <c r="Z878" s="131">
        <f t="shared" si="530"/>
        <v>1.2999999999992724</v>
      </c>
      <c r="AA878" s="150">
        <f t="shared" si="531"/>
        <v>1.6614055490936041E-4</v>
      </c>
      <c r="AB878" s="120">
        <f t="shared" si="524"/>
        <v>-5152.4386550000008</v>
      </c>
      <c r="AC878" s="119">
        <f t="shared" si="532"/>
        <v>-0.65848385944509069</v>
      </c>
      <c r="AD878" s="110"/>
      <c r="AE878" s="110"/>
      <c r="AF878" s="110"/>
      <c r="AG878" s="121"/>
      <c r="AH878" s="110"/>
    </row>
    <row r="879" spans="1:34" ht="11.25" customHeight="1" x14ac:dyDescent="0.15">
      <c r="A879" s="110" t="s">
        <v>365</v>
      </c>
      <c r="B879" s="110"/>
      <c r="C879" s="111" t="s">
        <v>279</v>
      </c>
      <c r="D879" s="111">
        <v>2022</v>
      </c>
      <c r="E879" s="146">
        <v>44804</v>
      </c>
      <c r="F879" s="111"/>
      <c r="G879" s="111">
        <v>521000322</v>
      </c>
      <c r="H879" s="111"/>
      <c r="I879" s="111"/>
      <c r="J879" s="111"/>
      <c r="K879" s="112" t="s">
        <v>497</v>
      </c>
      <c r="L879" s="117">
        <v>2106.65</v>
      </c>
      <c r="M879" s="120">
        <f>L879*0.34135</f>
        <v>719.10497750000002</v>
      </c>
      <c r="N879" s="120">
        <f t="shared" si="526"/>
        <v>1387.5450225</v>
      </c>
      <c r="O879" s="119">
        <f t="shared" si="527"/>
        <v>0.65864999999999996</v>
      </c>
      <c r="P879" s="117">
        <v>2106.65</v>
      </c>
      <c r="Q879" s="111">
        <v>98</v>
      </c>
      <c r="R879" s="117">
        <v>34</v>
      </c>
      <c r="S879" s="117">
        <v>1560.95</v>
      </c>
      <c r="T879" s="117">
        <v>2925.58</v>
      </c>
      <c r="U879" s="117">
        <v>334.52</v>
      </c>
      <c r="V879" s="117"/>
      <c r="W879" s="52">
        <f t="shared" si="528"/>
        <v>4821.0499999999993</v>
      </c>
      <c r="X879" s="149">
        <f t="shared" si="529"/>
        <v>45.910294117647062</v>
      </c>
      <c r="Y879" s="150">
        <f t="shared" si="533"/>
        <v>0.15879239550945812</v>
      </c>
      <c r="Z879" s="131">
        <f t="shared" si="530"/>
        <v>-2714.3999999999992</v>
      </c>
      <c r="AA879" s="150">
        <f t="shared" si="531"/>
        <v>-1.2884912064177718</v>
      </c>
      <c r="AB879" s="120">
        <f t="shared" si="524"/>
        <v>-4101.9450224999991</v>
      </c>
      <c r="AC879" s="119">
        <f t="shared" si="532"/>
        <v>-1.9471412064177718</v>
      </c>
      <c r="AD879" s="110"/>
      <c r="AE879" s="110"/>
      <c r="AF879" s="110"/>
      <c r="AG879" s="121"/>
      <c r="AH879" s="110"/>
    </row>
    <row r="880" spans="1:34" ht="11.25" customHeight="1" x14ac:dyDescent="0.15">
      <c r="A880" s="110" t="s">
        <v>365</v>
      </c>
      <c r="B880" s="110"/>
      <c r="C880" s="111" t="s">
        <v>248</v>
      </c>
      <c r="D880" s="111">
        <v>2022</v>
      </c>
      <c r="E880" s="146">
        <v>44804</v>
      </c>
      <c r="F880" s="111"/>
      <c r="G880" s="111">
        <v>960000002</v>
      </c>
      <c r="H880" s="111"/>
      <c r="I880" s="111"/>
      <c r="J880" s="111"/>
      <c r="K880" s="112" t="s">
        <v>250</v>
      </c>
      <c r="L880" s="120">
        <v>25660</v>
      </c>
      <c r="M880" s="120">
        <v>12830</v>
      </c>
      <c r="N880" s="120">
        <f t="shared" si="526"/>
        <v>12830</v>
      </c>
      <c r="O880" s="119">
        <f t="shared" si="527"/>
        <v>0.5</v>
      </c>
      <c r="P880" s="117">
        <v>25660</v>
      </c>
      <c r="Q880" s="111">
        <v>716</v>
      </c>
      <c r="R880" s="117">
        <v>14.5</v>
      </c>
      <c r="S880" s="117">
        <v>819.98</v>
      </c>
      <c r="T880" s="117"/>
      <c r="U880" s="117"/>
      <c r="V880" s="117"/>
      <c r="W880" s="52">
        <f t="shared" si="528"/>
        <v>819.98</v>
      </c>
      <c r="X880" s="149">
        <f t="shared" si="529"/>
        <v>56.550344827586208</v>
      </c>
      <c r="Y880" s="150">
        <f t="shared" si="533"/>
        <v>0</v>
      </c>
      <c r="Z880" s="131">
        <f t="shared" si="530"/>
        <v>24840.02</v>
      </c>
      <c r="AA880" s="150">
        <f t="shared" si="531"/>
        <v>0.96804442712392835</v>
      </c>
      <c r="AB880" s="120">
        <f t="shared" si="524"/>
        <v>12010.02</v>
      </c>
      <c r="AC880" s="119">
        <f t="shared" si="532"/>
        <v>0.46804442712392835</v>
      </c>
      <c r="AD880" s="110"/>
      <c r="AE880" s="110"/>
      <c r="AF880" s="110"/>
      <c r="AG880" s="121"/>
      <c r="AH880" s="110"/>
    </row>
    <row r="881" spans="1:34" ht="11.25" customHeight="1" x14ac:dyDescent="0.15">
      <c r="A881" s="110" t="s">
        <v>365</v>
      </c>
      <c r="B881" s="110"/>
      <c r="C881" s="111" t="s">
        <v>55</v>
      </c>
      <c r="D881" s="111">
        <v>2022</v>
      </c>
      <c r="E881" s="146">
        <v>44804</v>
      </c>
      <c r="F881" s="111"/>
      <c r="G881" s="111" t="s">
        <v>56</v>
      </c>
      <c r="H881" s="111"/>
      <c r="I881" s="111"/>
      <c r="J881" s="111"/>
      <c r="K881" s="112" t="s">
        <v>71</v>
      </c>
      <c r="L881" s="219">
        <v>0</v>
      </c>
      <c r="M881" s="120">
        <v>0</v>
      </c>
      <c r="N881" s="120">
        <f t="shared" si="526"/>
        <v>0</v>
      </c>
      <c r="O881" s="119" t="str">
        <f t="shared" si="527"/>
        <v/>
      </c>
      <c r="P881" s="132">
        <v>0</v>
      </c>
      <c r="Q881" s="111">
        <v>145</v>
      </c>
      <c r="R881" s="132">
        <v>6</v>
      </c>
      <c r="S881" s="132">
        <v>255</v>
      </c>
      <c r="T881" s="132"/>
      <c r="U881" s="132"/>
      <c r="V881" s="117">
        <v>2482.73</v>
      </c>
      <c r="W881" s="42">
        <f t="shared" si="528"/>
        <v>2737.73</v>
      </c>
      <c r="X881" s="149">
        <f t="shared" si="529"/>
        <v>42.5</v>
      </c>
      <c r="Y881" s="150">
        <f t="shared" si="533"/>
        <v>0</v>
      </c>
      <c r="Z881" s="131">
        <f t="shared" si="530"/>
        <v>-2737.73</v>
      </c>
      <c r="AA881" s="150" t="str">
        <f t="shared" si="531"/>
        <v/>
      </c>
      <c r="AB881" s="120">
        <f t="shared" si="524"/>
        <v>-2737.73</v>
      </c>
      <c r="AC881" s="119" t="str">
        <f t="shared" si="532"/>
        <v/>
      </c>
      <c r="AD881" s="110"/>
      <c r="AE881" s="110"/>
      <c r="AF881" s="110"/>
      <c r="AG881" s="121"/>
      <c r="AH881" s="110"/>
    </row>
    <row r="882" spans="1:34" ht="11.25" customHeight="1" x14ac:dyDescent="0.15">
      <c r="A882" s="110" t="s">
        <v>365</v>
      </c>
      <c r="B882" s="110"/>
      <c r="C882" s="111" t="s">
        <v>58</v>
      </c>
      <c r="D882" s="111">
        <v>2022</v>
      </c>
      <c r="E882" s="146">
        <v>44804</v>
      </c>
      <c r="F882" s="111"/>
      <c r="G882" s="111">
        <v>724220122</v>
      </c>
      <c r="H882" s="111"/>
      <c r="I882" s="111"/>
      <c r="J882" s="111"/>
      <c r="K882" s="112" t="s">
        <v>498</v>
      </c>
      <c r="L882" s="120">
        <v>46086</v>
      </c>
      <c r="M882" s="120">
        <v>4608.6000000000004</v>
      </c>
      <c r="N882" s="120">
        <f t="shared" si="526"/>
        <v>41477.4</v>
      </c>
      <c r="O882" s="119">
        <f t="shared" si="527"/>
        <v>0.9</v>
      </c>
      <c r="P882" s="117">
        <v>46086</v>
      </c>
      <c r="Q882" s="111">
        <v>122</v>
      </c>
      <c r="R882" s="117"/>
      <c r="S882" s="117"/>
      <c r="T882" s="117"/>
      <c r="U882" s="117">
        <v>3193.87</v>
      </c>
      <c r="V882" s="117"/>
      <c r="W882" s="52">
        <f t="shared" si="528"/>
        <v>3193.87</v>
      </c>
      <c r="X882" s="149" t="str">
        <f t="shared" si="529"/>
        <v/>
      </c>
      <c r="Y882" s="150">
        <f t="shared" si="533"/>
        <v>6.9302391181703768E-2</v>
      </c>
      <c r="Z882" s="131">
        <f t="shared" si="530"/>
        <v>42892.13</v>
      </c>
      <c r="AA882" s="150">
        <f t="shared" si="531"/>
        <v>0.93069760881829622</v>
      </c>
      <c r="AB882" s="120">
        <f t="shared" si="524"/>
        <v>1414.7300000000005</v>
      </c>
      <c r="AC882" s="119">
        <f t="shared" si="532"/>
        <v>3.0697608818296196E-2</v>
      </c>
      <c r="AD882" s="110"/>
      <c r="AE882" s="110"/>
      <c r="AF882" s="110"/>
      <c r="AG882" s="121"/>
      <c r="AH882" s="110"/>
    </row>
    <row r="883" spans="1:34" ht="11.25" customHeight="1" x14ac:dyDescent="0.15">
      <c r="A883" s="110" t="s">
        <v>365</v>
      </c>
      <c r="B883" s="110"/>
      <c r="C883" s="111" t="s">
        <v>58</v>
      </c>
      <c r="D883" s="111">
        <v>2022</v>
      </c>
      <c r="E883" s="146">
        <v>44804</v>
      </c>
      <c r="F883" s="111"/>
      <c r="G883" s="111">
        <v>714220122</v>
      </c>
      <c r="H883" s="111"/>
      <c r="I883" s="111"/>
      <c r="J883" s="111"/>
      <c r="K883" s="112" t="s">
        <v>499</v>
      </c>
      <c r="L883" s="120">
        <v>46086</v>
      </c>
      <c r="M883" s="120">
        <v>4608.6000000000004</v>
      </c>
      <c r="N883" s="120">
        <f t="shared" si="526"/>
        <v>41477.4</v>
      </c>
      <c r="O883" s="119">
        <f t="shared" si="527"/>
        <v>0.9</v>
      </c>
      <c r="P883" s="117">
        <v>46086</v>
      </c>
      <c r="Q883" s="111">
        <v>549</v>
      </c>
      <c r="R883" s="117"/>
      <c r="S883" s="117"/>
      <c r="T883" s="117"/>
      <c r="U883" s="117">
        <v>1459.34</v>
      </c>
      <c r="V883" s="117"/>
      <c r="W883" s="52">
        <f t="shared" si="528"/>
        <v>1459.34</v>
      </c>
      <c r="X883" s="149" t="str">
        <f t="shared" si="529"/>
        <v/>
      </c>
      <c r="Y883" s="150">
        <f t="shared" si="533"/>
        <v>3.1665581738488907E-2</v>
      </c>
      <c r="Z883" s="131">
        <f t="shared" si="530"/>
        <v>44626.66</v>
      </c>
      <c r="AA883" s="150">
        <f t="shared" si="531"/>
        <v>0.96833441826151112</v>
      </c>
      <c r="AB883" s="120">
        <f t="shared" si="524"/>
        <v>3149.26</v>
      </c>
      <c r="AC883" s="119">
        <f t="shared" si="532"/>
        <v>6.8334418261511098E-2</v>
      </c>
      <c r="AD883" s="110"/>
      <c r="AE883" s="110"/>
      <c r="AF883" s="110"/>
      <c r="AG883" s="121"/>
      <c r="AH883" s="110"/>
    </row>
    <row r="884" spans="1:34" ht="11.25" customHeight="1" x14ac:dyDescent="0.15">
      <c r="A884" s="110" t="s">
        <v>365</v>
      </c>
      <c r="B884" s="110"/>
      <c r="C884" s="111" t="s">
        <v>58</v>
      </c>
      <c r="D884" s="111">
        <v>2022</v>
      </c>
      <c r="E884" s="146">
        <v>44804</v>
      </c>
      <c r="F884" s="111"/>
      <c r="G884" s="111">
        <v>744220122</v>
      </c>
      <c r="H884" s="111"/>
      <c r="I884" s="111"/>
      <c r="J884" s="111"/>
      <c r="K884" s="112" t="s">
        <v>500</v>
      </c>
      <c r="L884" s="120">
        <v>133768</v>
      </c>
      <c r="M884" s="120">
        <v>13376.8</v>
      </c>
      <c r="N884" s="120">
        <f t="shared" si="526"/>
        <v>120391.2</v>
      </c>
      <c r="O884" s="119">
        <f t="shared" si="527"/>
        <v>0.9</v>
      </c>
      <c r="P884" s="117">
        <v>133768</v>
      </c>
      <c r="Q884" s="111">
        <v>552</v>
      </c>
      <c r="R884" s="117"/>
      <c r="S884" s="117"/>
      <c r="T884" s="117"/>
      <c r="U884" s="117">
        <v>1459.34</v>
      </c>
      <c r="V884" s="117"/>
      <c r="W884" s="52">
        <f t="shared" si="528"/>
        <v>1459.34</v>
      </c>
      <c r="X884" s="149" t="str">
        <f t="shared" si="529"/>
        <v/>
      </c>
      <c r="Y884" s="150">
        <f t="shared" si="533"/>
        <v>1.0909485078643621E-2</v>
      </c>
      <c r="Z884" s="131">
        <f t="shared" si="530"/>
        <v>132308.66</v>
      </c>
      <c r="AA884" s="150">
        <f t="shared" si="531"/>
        <v>0.98909051492135636</v>
      </c>
      <c r="AB884" s="120">
        <f t="shared" si="524"/>
        <v>11917.46</v>
      </c>
      <c r="AC884" s="119">
        <f t="shared" si="532"/>
        <v>8.9090514921356334E-2</v>
      </c>
      <c r="AD884" s="110"/>
      <c r="AE884" s="110"/>
      <c r="AF884" s="110"/>
      <c r="AG884" s="121"/>
      <c r="AH884" s="110"/>
    </row>
    <row r="885" spans="1:34" s="53" customFormat="1" ht="11.25" customHeight="1" x14ac:dyDescent="0.15">
      <c r="A885" s="53" t="s">
        <v>365</v>
      </c>
      <c r="C885" s="54" t="s">
        <v>177</v>
      </c>
      <c r="D885" s="54">
        <v>2022</v>
      </c>
      <c r="E885" s="70">
        <v>44804</v>
      </c>
      <c r="F885" s="54"/>
      <c r="G885" s="54"/>
      <c r="H885" s="54"/>
      <c r="I885" s="54"/>
      <c r="J885" s="54"/>
      <c r="K885" s="106"/>
      <c r="L885" s="97">
        <f>SUM(L873:L884)</f>
        <v>505794</v>
      </c>
      <c r="M885" s="97">
        <f>SUM(M873:M884)</f>
        <v>89049.171300000016</v>
      </c>
      <c r="N885" s="97">
        <f>SUM(N873:N884)</f>
        <v>416744.82870000001</v>
      </c>
      <c r="O885" s="57">
        <f t="shared" si="527"/>
        <v>0.82394181959453849</v>
      </c>
      <c r="P885" s="24">
        <f>SUM(P873:P884)</f>
        <v>530379.10000000009</v>
      </c>
      <c r="Q885" s="91"/>
      <c r="R885" s="24">
        <f t="shared" ref="R885:W885" si="534">SUM(R873:R884)</f>
        <v>203.5</v>
      </c>
      <c r="S885" s="24">
        <f t="shared" si="534"/>
        <v>9867.7899999999991</v>
      </c>
      <c r="T885" s="24">
        <f t="shared" si="534"/>
        <v>10444.44</v>
      </c>
      <c r="U885" s="24">
        <f t="shared" si="534"/>
        <v>40655.12999999999</v>
      </c>
      <c r="V885" s="24">
        <f t="shared" si="534"/>
        <v>2482.73</v>
      </c>
      <c r="W885" s="24">
        <f t="shared" si="534"/>
        <v>63450.089999999989</v>
      </c>
      <c r="X885" s="114">
        <f t="shared" si="529"/>
        <v>48.490368550368544</v>
      </c>
      <c r="Y885" s="115">
        <f t="shared" si="533"/>
        <v>7.6652963889414158E-2</v>
      </c>
      <c r="Z885" s="116">
        <f t="shared" si="530"/>
        <v>466929.01000000013</v>
      </c>
      <c r="AA885" s="115">
        <f t="shared" si="531"/>
        <v>0.8803684194946596</v>
      </c>
      <c r="AB885" s="120">
        <f t="shared" si="524"/>
        <v>25599.081300000027</v>
      </c>
      <c r="AC885" s="57">
        <f t="shared" si="532"/>
        <v>5.642659990012111E-2</v>
      </c>
      <c r="AG885" s="61"/>
    </row>
    <row r="886" spans="1:34" ht="11.25" customHeight="1" x14ac:dyDescent="0.15">
      <c r="A886" s="130" t="s">
        <v>53</v>
      </c>
      <c r="B886" s="130"/>
      <c r="C886" s="124"/>
      <c r="D886" s="124"/>
      <c r="E886" s="273"/>
      <c r="F886" s="124"/>
      <c r="G886" s="124"/>
      <c r="H886" s="124"/>
      <c r="I886" s="124"/>
      <c r="J886" s="124"/>
      <c r="K886" s="125"/>
      <c r="L886" s="129"/>
      <c r="M886" s="129"/>
      <c r="N886" s="129"/>
      <c r="O886" s="128"/>
      <c r="P886" s="129"/>
      <c r="Q886" s="124"/>
      <c r="R886" s="129"/>
      <c r="S886" s="129"/>
      <c r="T886" s="129"/>
      <c r="U886" s="129"/>
      <c r="V886" s="126"/>
      <c r="W886" s="49"/>
      <c r="X886" s="45"/>
      <c r="Y886" s="128"/>
      <c r="Z886" s="126"/>
      <c r="AA886" s="128"/>
      <c r="AB886" s="129"/>
      <c r="AC886" s="160"/>
      <c r="AD886" s="137"/>
      <c r="AE886" s="110"/>
      <c r="AF886" s="110"/>
      <c r="AG886" s="121"/>
      <c r="AH886" s="110"/>
    </row>
    <row r="887" spans="1:34" ht="11.25" customHeight="1" x14ac:dyDescent="0.15">
      <c r="A887" s="110" t="s">
        <v>365</v>
      </c>
      <c r="B887" s="110"/>
      <c r="C887" s="111" t="s">
        <v>175</v>
      </c>
      <c r="D887" s="111">
        <v>2022</v>
      </c>
      <c r="E887" s="146">
        <v>44804</v>
      </c>
      <c r="F887" s="111"/>
      <c r="G887" s="111">
        <v>811000112</v>
      </c>
      <c r="H887" s="111">
        <v>4101</v>
      </c>
      <c r="I887" s="111" t="str">
        <f>MID(G887,2,1)</f>
        <v>1</v>
      </c>
      <c r="J887" s="111" t="str">
        <f>IF(I887="1","Small/Medium","Large")</f>
        <v>Small/Medium</v>
      </c>
      <c r="K887" s="147" t="s">
        <v>145</v>
      </c>
      <c r="L887" s="132">
        <f>9116*2</f>
        <v>18232</v>
      </c>
      <c r="M887" s="120">
        <f>L887*0.3</f>
        <v>5469.5999999999995</v>
      </c>
      <c r="N887" s="120">
        <f>L887-M887</f>
        <v>12762.400000000001</v>
      </c>
      <c r="O887" s="119">
        <f>IFERROR(N887/L887,"")</f>
        <v>0.70000000000000007</v>
      </c>
      <c r="P887" s="132">
        <f>9116*2</f>
        <v>18232</v>
      </c>
      <c r="Q887" s="111">
        <v>559</v>
      </c>
      <c r="R887" s="132">
        <v>6</v>
      </c>
      <c r="S887" s="132">
        <v>269.27999999999997</v>
      </c>
      <c r="T887" s="132">
        <v>273.70999999999998</v>
      </c>
      <c r="U887" s="132">
        <v>774.1</v>
      </c>
      <c r="V887" s="117">
        <v>44.89</v>
      </c>
      <c r="W887" s="42">
        <f>SUM(S887:V887)</f>
        <v>1361.9800000000002</v>
      </c>
      <c r="X887" s="149">
        <f>IFERROR(S887/R887,"")</f>
        <v>44.879999999999995</v>
      </c>
      <c r="Y887" s="150">
        <f>IFERROR(U887/P887,0)</f>
        <v>4.2458315050460729E-2</v>
      </c>
      <c r="Z887" s="131">
        <f>P887-W887</f>
        <v>16870.02</v>
      </c>
      <c r="AA887" s="150">
        <f>IFERROR(Z887/P887,"")</f>
        <v>0.92529727950855645</v>
      </c>
      <c r="AB887" s="120">
        <f t="shared" ref="AB887:AB889" si="535">M887-W887</f>
        <v>4107.619999999999</v>
      </c>
      <c r="AC887" s="119">
        <f>IFERROR(AA887-O887,"")</f>
        <v>0.22529727950855638</v>
      </c>
      <c r="AD887" s="110"/>
      <c r="AE887" s="110"/>
      <c r="AF887" s="110"/>
      <c r="AG887" s="121"/>
      <c r="AH887" s="110"/>
    </row>
    <row r="888" spans="1:34" ht="11.25" customHeight="1" x14ac:dyDescent="0.15">
      <c r="A888" s="110" t="s">
        <v>365</v>
      </c>
      <c r="B888" s="110"/>
      <c r="C888" s="111" t="s">
        <v>175</v>
      </c>
      <c r="D888" s="111">
        <v>2022</v>
      </c>
      <c r="E888" s="146">
        <v>44804</v>
      </c>
      <c r="F888" s="111"/>
      <c r="G888" s="111">
        <v>821000112</v>
      </c>
      <c r="H888" s="111">
        <v>4101</v>
      </c>
      <c r="I888" s="111" t="str">
        <f>MID(G888,2,1)</f>
        <v>2</v>
      </c>
      <c r="J888" s="111" t="str">
        <f>IF(I888="1","Small/Medium","Large")</f>
        <v>Large</v>
      </c>
      <c r="K888" s="147" t="s">
        <v>176</v>
      </c>
      <c r="L888" s="117">
        <v>12763</v>
      </c>
      <c r="M888" s="120">
        <f>L888*0.3</f>
        <v>3828.8999999999996</v>
      </c>
      <c r="N888" s="120">
        <f>L888-M888</f>
        <v>8934.1</v>
      </c>
      <c r="O888" s="119">
        <f>IFERROR(N888/L888,"")</f>
        <v>0.70000000000000007</v>
      </c>
      <c r="P888" s="117">
        <v>12763</v>
      </c>
      <c r="Q888" s="111">
        <v>560</v>
      </c>
      <c r="R888" s="117"/>
      <c r="S888" s="117"/>
      <c r="T888" s="117"/>
      <c r="U888" s="117"/>
      <c r="V888" s="117"/>
      <c r="W888" s="52">
        <f>SUM(S888:V888)</f>
        <v>0</v>
      </c>
      <c r="X888" s="149" t="str">
        <f>IFERROR(S888/R888,"")</f>
        <v/>
      </c>
      <c r="Y888" s="150">
        <f>IFERROR(U888/P888,0)</f>
        <v>0</v>
      </c>
      <c r="Z888" s="131">
        <f>P888-W888</f>
        <v>12763</v>
      </c>
      <c r="AA888" s="150">
        <f>IFERROR(Z888/P888,"")</f>
        <v>1</v>
      </c>
      <c r="AB888" s="120">
        <f t="shared" si="535"/>
        <v>3828.8999999999996</v>
      </c>
      <c r="AC888" s="119">
        <f>IFERROR(AA888-O888,"")</f>
        <v>0.29999999999999993</v>
      </c>
      <c r="AD888" s="110" t="s">
        <v>501</v>
      </c>
      <c r="AE888" s="110"/>
      <c r="AF888" s="110"/>
      <c r="AG888" s="121"/>
      <c r="AH888" s="110"/>
    </row>
    <row r="889" spans="1:34" s="53" customFormat="1" ht="11.25" customHeight="1" x14ac:dyDescent="0.15">
      <c r="A889" s="53" t="s">
        <v>365</v>
      </c>
      <c r="C889" s="54" t="s">
        <v>177</v>
      </c>
      <c r="D889" s="54">
        <v>2022</v>
      </c>
      <c r="E889" s="70">
        <v>44804</v>
      </c>
      <c r="F889" s="54"/>
      <c r="G889" s="54"/>
      <c r="H889" s="54"/>
      <c r="I889" s="54"/>
      <c r="J889" s="54"/>
      <c r="K889" s="106"/>
      <c r="L889" s="24">
        <f>SUM(L887:L888)</f>
        <v>30995</v>
      </c>
      <c r="M889" s="24">
        <f>SUM(M887:M888)</f>
        <v>9298.5</v>
      </c>
      <c r="N889" s="24">
        <f>SUM(N887:N888)</f>
        <v>21696.5</v>
      </c>
      <c r="O889" s="57">
        <f>IFERROR(N889/L889,"")</f>
        <v>0.7</v>
      </c>
      <c r="P889" s="24">
        <f>SUM(P887:P888)</f>
        <v>30995</v>
      </c>
      <c r="Q889" s="91"/>
      <c r="R889" s="24">
        <f t="shared" ref="R889:W889" si="536">SUM(R887:R888)</f>
        <v>6</v>
      </c>
      <c r="S889" s="24">
        <f t="shared" si="536"/>
        <v>269.27999999999997</v>
      </c>
      <c r="T889" s="24">
        <f t="shared" si="536"/>
        <v>273.70999999999998</v>
      </c>
      <c r="U889" s="24">
        <f t="shared" si="536"/>
        <v>774.1</v>
      </c>
      <c r="V889" s="24">
        <f t="shared" si="536"/>
        <v>44.89</v>
      </c>
      <c r="W889" s="24">
        <f t="shared" si="536"/>
        <v>1361.9800000000002</v>
      </c>
      <c r="X889" s="114">
        <f>IFERROR(S889/R889,"")</f>
        <v>44.879999999999995</v>
      </c>
      <c r="Y889" s="115">
        <f>IFERROR(U889/P889,0)</f>
        <v>2.4974995967091466E-2</v>
      </c>
      <c r="Z889" s="116">
        <f>P889-W889</f>
        <v>29633.02</v>
      </c>
      <c r="AA889" s="115">
        <f>IFERROR(Z889/P889,"")</f>
        <v>0.95605807388288433</v>
      </c>
      <c r="AB889" s="120">
        <f t="shared" si="535"/>
        <v>7936.5199999999995</v>
      </c>
      <c r="AC889" s="57">
        <f>IFERROR(AA889-O889,"")</f>
        <v>0.25605807388288437</v>
      </c>
      <c r="AG889" s="61"/>
    </row>
    <row r="890" spans="1:34" ht="11.25" customHeight="1" x14ac:dyDescent="0.15">
      <c r="A890" s="130" t="s">
        <v>53</v>
      </c>
      <c r="B890" s="130"/>
      <c r="C890" s="124"/>
      <c r="D890" s="124"/>
      <c r="E890" s="273"/>
      <c r="F890" s="124"/>
      <c r="G890" s="124"/>
      <c r="H890" s="124"/>
      <c r="I890" s="124"/>
      <c r="J890" s="124"/>
      <c r="K890" s="125"/>
      <c r="L890" s="129"/>
      <c r="M890" s="129"/>
      <c r="N890" s="129"/>
      <c r="O890" s="128"/>
      <c r="P890" s="220"/>
      <c r="Q890" s="124"/>
      <c r="R890" s="220"/>
      <c r="S890" s="220"/>
      <c r="T890" s="220"/>
      <c r="U890" s="220"/>
      <c r="V890" s="126"/>
      <c r="W890" s="230"/>
      <c r="X890" s="45"/>
      <c r="Y890" s="128"/>
      <c r="Z890" s="126"/>
      <c r="AA890" s="128"/>
      <c r="AB890" s="129"/>
      <c r="AC890" s="160"/>
      <c r="AD890" s="137"/>
      <c r="AE890" s="110"/>
      <c r="AF890" s="110"/>
      <c r="AG890" s="121"/>
      <c r="AH890" s="110"/>
    </row>
    <row r="891" spans="1:34" ht="11.25" customHeight="1" x14ac:dyDescent="0.15">
      <c r="A891" s="110" t="s">
        <v>296</v>
      </c>
      <c r="B891" s="110"/>
      <c r="C891" s="111" t="s">
        <v>175</v>
      </c>
      <c r="D891" s="111">
        <v>2022</v>
      </c>
      <c r="E891" s="146">
        <v>44804</v>
      </c>
      <c r="F891" s="111"/>
      <c r="G891" s="111">
        <v>810003112</v>
      </c>
      <c r="H891" s="111">
        <v>4101</v>
      </c>
      <c r="I891" s="111" t="str">
        <f>MID(G891,2,1)</f>
        <v>1</v>
      </c>
      <c r="J891" s="111" t="str">
        <f>IF(I891="1","Small/Medium","Large")</f>
        <v>Small/Medium</v>
      </c>
      <c r="K891" s="147" t="s">
        <v>145</v>
      </c>
      <c r="L891" s="117">
        <v>11240.305999999999</v>
      </c>
      <c r="M891" s="120">
        <f>L891*0.3</f>
        <v>3372.0917999999997</v>
      </c>
      <c r="N891" s="120">
        <f>L891-M891</f>
        <v>7868.2141999999985</v>
      </c>
      <c r="O891" s="119">
        <f>IFERROR(N891/L891,"")</f>
        <v>0.7</v>
      </c>
      <c r="P891" s="117">
        <v>11240.305999999999</v>
      </c>
      <c r="Q891" s="111">
        <v>591</v>
      </c>
      <c r="R891" s="132">
        <v>39.5</v>
      </c>
      <c r="S891" s="132">
        <v>1772.76</v>
      </c>
      <c r="T891" s="132">
        <v>1105.95</v>
      </c>
      <c r="U891" s="132">
        <v>359.85</v>
      </c>
      <c r="V891" s="117">
        <v>20.86</v>
      </c>
      <c r="W891" s="67">
        <f>SUM(S891:V891)</f>
        <v>3259.42</v>
      </c>
      <c r="X891" s="149">
        <f>IFERROR(S891/R891,"")</f>
        <v>44.88</v>
      </c>
      <c r="Y891" s="150">
        <f>IFERROR(U891/P891,0)</f>
        <v>3.2014252992756606E-2</v>
      </c>
      <c r="Z891" s="131">
        <f>P891-W891</f>
        <v>7980.8859999999986</v>
      </c>
      <c r="AA891" s="150">
        <f>IFERROR(Z891/P891,"")</f>
        <v>0.71002390860177644</v>
      </c>
      <c r="AB891" s="120">
        <f t="shared" ref="AB891:AB893" si="537">M891-W891</f>
        <v>112.67179999999962</v>
      </c>
      <c r="AC891" s="119">
        <f>IFERROR(AA891-O891,"")</f>
        <v>1.0023908601776488E-2</v>
      </c>
      <c r="AD891" s="110"/>
      <c r="AE891" s="110"/>
      <c r="AF891" s="110"/>
      <c r="AG891" s="121"/>
      <c r="AH891" s="110"/>
    </row>
    <row r="892" spans="1:34" ht="11.25" customHeight="1" x14ac:dyDescent="0.15">
      <c r="A892" s="110" t="s">
        <v>296</v>
      </c>
      <c r="B892" s="110"/>
      <c r="C892" s="111" t="s">
        <v>175</v>
      </c>
      <c r="D892" s="111">
        <v>2022</v>
      </c>
      <c r="E892" s="146">
        <v>44804</v>
      </c>
      <c r="F892" s="111"/>
      <c r="G892" s="111">
        <v>820003112</v>
      </c>
      <c r="H892" s="111">
        <v>4101</v>
      </c>
      <c r="I892" s="111" t="str">
        <f>MID(G892,2,1)</f>
        <v>2</v>
      </c>
      <c r="J892" s="111" t="str">
        <f>IF(I892="1","Small/Medium","Large")</f>
        <v>Large</v>
      </c>
      <c r="K892" s="147" t="s">
        <v>176</v>
      </c>
      <c r="L892" s="117">
        <v>20874.689999999999</v>
      </c>
      <c r="M892" s="120">
        <f>L892*0.3</f>
        <v>6262.4069999999992</v>
      </c>
      <c r="N892" s="120">
        <f>L892-M892</f>
        <v>14612.282999999999</v>
      </c>
      <c r="O892" s="119">
        <f>IFERROR(N892/L892,"")</f>
        <v>0.70000000000000007</v>
      </c>
      <c r="P892" s="117">
        <v>20874.689999999999</v>
      </c>
      <c r="Q892" s="111">
        <v>592</v>
      </c>
      <c r="R892" s="117">
        <v>33.5</v>
      </c>
      <c r="S892" s="117">
        <v>1503.48</v>
      </c>
      <c r="T892" s="117">
        <v>2053.9</v>
      </c>
      <c r="U892" s="117">
        <v>445.78</v>
      </c>
      <c r="V892" s="117">
        <v>177.78</v>
      </c>
      <c r="W892" s="26">
        <f>SUM(S892:V892)</f>
        <v>4180.9399999999996</v>
      </c>
      <c r="X892" s="149">
        <f>IFERROR(S892/R892,"")</f>
        <v>44.88</v>
      </c>
      <c r="Y892" s="150">
        <f>IFERROR(U892/P892,0)</f>
        <v>2.1355047667773748E-2</v>
      </c>
      <c r="Z892" s="131">
        <f>P892-W892</f>
        <v>16693.75</v>
      </c>
      <c r="AA892" s="150">
        <f>IFERROR(Z892/P892,"")</f>
        <v>0.79971247477208052</v>
      </c>
      <c r="AB892" s="120">
        <f t="shared" si="537"/>
        <v>2081.4669999999996</v>
      </c>
      <c r="AC892" s="119">
        <f>IFERROR(AA892-O892,"")</f>
        <v>9.9712474772080451E-2</v>
      </c>
      <c r="AD892" s="110"/>
      <c r="AE892" s="110"/>
      <c r="AF892" s="110"/>
      <c r="AG892" s="121"/>
      <c r="AH892" s="110"/>
    </row>
    <row r="893" spans="1:34" s="53" customFormat="1" ht="11.25" customHeight="1" x14ac:dyDescent="0.15">
      <c r="A893" s="53" t="s">
        <v>296</v>
      </c>
      <c r="C893" s="54" t="s">
        <v>177</v>
      </c>
      <c r="D893" s="54">
        <v>2022</v>
      </c>
      <c r="E893" s="70">
        <v>44804</v>
      </c>
      <c r="F893" s="54"/>
      <c r="G893" s="54"/>
      <c r="H893" s="54"/>
      <c r="I893" s="54"/>
      <c r="J893" s="54"/>
      <c r="K893" s="106"/>
      <c r="L893" s="24">
        <f>SUM(L891:L892)</f>
        <v>32114.995999999999</v>
      </c>
      <c r="M893" s="24">
        <f>SUM(M891:M892)</f>
        <v>9634.4987999999994</v>
      </c>
      <c r="N893" s="24">
        <f>SUM(N891:N892)</f>
        <v>22480.497199999998</v>
      </c>
      <c r="O893" s="57">
        <f>IFERROR(N893/L893,"")</f>
        <v>0.7</v>
      </c>
      <c r="P893" s="24">
        <f>SUM(P891:P892)</f>
        <v>32114.995999999999</v>
      </c>
      <c r="Q893" s="91"/>
      <c r="R893" s="24">
        <f t="shared" ref="R893:W893" si="538">SUM(R891:R892)</f>
        <v>73</v>
      </c>
      <c r="S893" s="24">
        <f t="shared" si="538"/>
        <v>3276.24</v>
      </c>
      <c r="T893" s="24">
        <f t="shared" si="538"/>
        <v>3159.8500000000004</v>
      </c>
      <c r="U893" s="24">
        <f t="shared" si="538"/>
        <v>805.63</v>
      </c>
      <c r="V893" s="24">
        <f t="shared" si="538"/>
        <v>198.64</v>
      </c>
      <c r="W893" s="24">
        <f t="shared" si="538"/>
        <v>7440.36</v>
      </c>
      <c r="X893" s="114">
        <f>IFERROR(S893/R893,"")</f>
        <v>44.879999999999995</v>
      </c>
      <c r="Y893" s="115">
        <f>IFERROR(U893/P893,0)</f>
        <v>2.5085788583003404E-2</v>
      </c>
      <c r="Z893" s="116">
        <f>P893-W893</f>
        <v>24674.635999999999</v>
      </c>
      <c r="AA893" s="115">
        <f>IFERROR(Z893/P893,"")</f>
        <v>0.76832131630967659</v>
      </c>
      <c r="AB893" s="120">
        <f t="shared" si="537"/>
        <v>2194.1387999999997</v>
      </c>
      <c r="AC893" s="57">
        <f>IFERROR(AA893-O893,"")</f>
        <v>6.8321316309676638E-2</v>
      </c>
      <c r="AG893" s="61"/>
    </row>
    <row r="894" spans="1:34" ht="11.25" customHeight="1" x14ac:dyDescent="0.15">
      <c r="A894" s="130" t="s">
        <v>53</v>
      </c>
      <c r="B894" s="130"/>
      <c r="C894" s="124"/>
      <c r="D894" s="124"/>
      <c r="E894" s="273"/>
      <c r="F894" s="124"/>
      <c r="G894" s="124"/>
      <c r="H894" s="124"/>
      <c r="I894" s="124"/>
      <c r="J894" s="124"/>
      <c r="K894" s="125"/>
      <c r="L894" s="129"/>
      <c r="M894" s="129"/>
      <c r="N894" s="129"/>
      <c r="O894" s="128"/>
      <c r="P894" s="129"/>
      <c r="Q894" s="124"/>
      <c r="R894" s="129"/>
      <c r="S894" s="129"/>
      <c r="T894" s="129"/>
      <c r="U894" s="129"/>
      <c r="V894" s="126"/>
      <c r="W894" s="49"/>
      <c r="X894" s="45"/>
      <c r="Y894" s="128"/>
      <c r="Z894" s="126"/>
      <c r="AA894" s="128"/>
      <c r="AB894" s="129"/>
      <c r="AC894" s="160"/>
      <c r="AD894" s="137"/>
      <c r="AE894" s="110"/>
      <c r="AF894" s="110"/>
      <c r="AG894" s="121"/>
      <c r="AH894" s="110"/>
    </row>
    <row r="895" spans="1:34" ht="11.25" customHeight="1" x14ac:dyDescent="0.15">
      <c r="A895" s="110" t="s">
        <v>308</v>
      </c>
      <c r="B895" s="110"/>
      <c r="C895" s="111" t="s">
        <v>175</v>
      </c>
      <c r="D895" s="111">
        <v>2022</v>
      </c>
      <c r="E895" s="146">
        <v>44804</v>
      </c>
      <c r="F895" s="111"/>
      <c r="G895" s="111">
        <v>811003112</v>
      </c>
      <c r="H895" s="111">
        <v>4101</v>
      </c>
      <c r="I895" s="111" t="str">
        <f>MID(G895,2,1)</f>
        <v>1</v>
      </c>
      <c r="J895" s="111" t="str">
        <f>IF(I895="1","Small/Medium","Large")</f>
        <v>Small/Medium</v>
      </c>
      <c r="K895" s="147" t="s">
        <v>145</v>
      </c>
      <c r="L895" s="117">
        <v>22177.399999999998</v>
      </c>
      <c r="M895" s="120">
        <f>L895*0.3</f>
        <v>6653.2199999999993</v>
      </c>
      <c r="N895" s="120">
        <f>L895-M895</f>
        <v>15524.179999999998</v>
      </c>
      <c r="O895" s="119">
        <f>IFERROR(N895/L895,"")</f>
        <v>0.7</v>
      </c>
      <c r="P895" s="117">
        <v>22177.399999999998</v>
      </c>
      <c r="Q895" s="111">
        <v>589</v>
      </c>
      <c r="R895" s="117">
        <v>39</v>
      </c>
      <c r="S895" s="117">
        <v>1750.32</v>
      </c>
      <c r="T895" s="117">
        <v>1023.77</v>
      </c>
      <c r="U895" s="117">
        <v>184.52</v>
      </c>
      <c r="V895" s="117">
        <v>0</v>
      </c>
      <c r="W895" s="26">
        <f>SUM(S895:V895)</f>
        <v>2958.61</v>
      </c>
      <c r="X895" s="149">
        <f>IFERROR(S895/R895,"")</f>
        <v>44.879999999999995</v>
      </c>
      <c r="Y895" s="150">
        <f>IFERROR(U895/P895,0)</f>
        <v>8.3201818067041231E-3</v>
      </c>
      <c r="Z895" s="131">
        <f>P895-W895</f>
        <v>19218.789999999997</v>
      </c>
      <c r="AA895" s="150">
        <f>IFERROR(Z895/P895,"")</f>
        <v>0.8665934690270275</v>
      </c>
      <c r="AB895" s="120">
        <f t="shared" ref="AB895:AB897" si="539">M895-W895</f>
        <v>3694.6099999999992</v>
      </c>
      <c r="AC895" s="119">
        <f>IFERROR(AA895-O895,"")</f>
        <v>0.16659346902702754</v>
      </c>
      <c r="AD895" s="110"/>
      <c r="AE895" s="110"/>
      <c r="AF895" s="110"/>
      <c r="AG895" s="121"/>
      <c r="AH895" s="110"/>
    </row>
    <row r="896" spans="1:34" ht="11.25" customHeight="1" x14ac:dyDescent="0.15">
      <c r="A896" s="110" t="s">
        <v>308</v>
      </c>
      <c r="B896" s="110"/>
      <c r="C896" s="111" t="s">
        <v>175</v>
      </c>
      <c r="D896" s="111">
        <v>2022</v>
      </c>
      <c r="E896" s="146">
        <v>44804</v>
      </c>
      <c r="F896" s="111"/>
      <c r="G896" s="111">
        <v>821003112</v>
      </c>
      <c r="H896" s="111">
        <v>4101</v>
      </c>
      <c r="I896" s="111" t="str">
        <f>MID(G896,2,1)</f>
        <v>2</v>
      </c>
      <c r="J896" s="111" t="str">
        <f>IF(I896="1","Small/Medium","Large")</f>
        <v>Large</v>
      </c>
      <c r="K896" s="147" t="s">
        <v>176</v>
      </c>
      <c r="L896" s="117">
        <v>41186.600000000006</v>
      </c>
      <c r="M896" s="120">
        <f>L896*0.3</f>
        <v>12355.980000000001</v>
      </c>
      <c r="N896" s="120">
        <f>L896-M896</f>
        <v>28830.620000000003</v>
      </c>
      <c r="O896" s="119">
        <f>IFERROR(N896/L896,"")</f>
        <v>0.7</v>
      </c>
      <c r="P896" s="117">
        <v>41186.600000000006</v>
      </c>
      <c r="Q896" s="111">
        <v>590</v>
      </c>
      <c r="R896" s="117">
        <v>17.5</v>
      </c>
      <c r="S896" s="117">
        <v>785.4</v>
      </c>
      <c r="T896" s="117">
        <v>1901.28</v>
      </c>
      <c r="U896" s="117">
        <v>331.7</v>
      </c>
      <c r="V896" s="117">
        <v>0</v>
      </c>
      <c r="W896" s="26">
        <f>SUM(S896:V896)</f>
        <v>3018.3799999999997</v>
      </c>
      <c r="X896" s="149">
        <f>IFERROR(S896/R896,"")</f>
        <v>44.879999999999995</v>
      </c>
      <c r="Y896" s="150">
        <f>IFERROR(U896/P896,0)</f>
        <v>8.0535902453710666E-3</v>
      </c>
      <c r="Z896" s="131">
        <f>P896-W896</f>
        <v>38168.220000000008</v>
      </c>
      <c r="AA896" s="150">
        <f>IFERROR(Z896/P896,"")</f>
        <v>0.92671451394385562</v>
      </c>
      <c r="AB896" s="120">
        <f t="shared" si="539"/>
        <v>9337.6000000000022</v>
      </c>
      <c r="AC896" s="119">
        <f>IFERROR(AA896-O896,"")</f>
        <v>0.22671451394385567</v>
      </c>
      <c r="AD896" s="110"/>
      <c r="AE896" s="110"/>
      <c r="AF896" s="110"/>
      <c r="AG896" s="121"/>
      <c r="AH896" s="110"/>
    </row>
    <row r="897" spans="1:34" s="53" customFormat="1" ht="11.25" customHeight="1" x14ac:dyDescent="0.15">
      <c r="A897" s="53" t="s">
        <v>308</v>
      </c>
      <c r="C897" s="54" t="s">
        <v>177</v>
      </c>
      <c r="D897" s="54">
        <v>2022</v>
      </c>
      <c r="E897" s="70">
        <v>44804</v>
      </c>
      <c r="F897" s="54"/>
      <c r="G897" s="54"/>
      <c r="H897" s="54"/>
      <c r="I897" s="54"/>
      <c r="J897" s="54"/>
      <c r="K897" s="106"/>
      <c r="L897" s="24">
        <f>SUM(L895:L896)</f>
        <v>63364</v>
      </c>
      <c r="M897" s="24">
        <f>SUM(M895:M896)</f>
        <v>19009.2</v>
      </c>
      <c r="N897" s="24">
        <f>SUM(N895:N896)</f>
        <v>44354.8</v>
      </c>
      <c r="O897" s="57">
        <f>IFERROR(N897/L897,"")</f>
        <v>0.70000000000000007</v>
      </c>
      <c r="P897" s="24">
        <f>SUM(P895:P896)</f>
        <v>63364</v>
      </c>
      <c r="Q897" s="91"/>
      <c r="R897" s="24">
        <f t="shared" ref="R897:W897" si="540">SUM(R895:R896)</f>
        <v>56.5</v>
      </c>
      <c r="S897" s="24">
        <f t="shared" si="540"/>
        <v>2535.7199999999998</v>
      </c>
      <c r="T897" s="24">
        <f t="shared" si="540"/>
        <v>2925.05</v>
      </c>
      <c r="U897" s="24">
        <f t="shared" si="540"/>
        <v>516.22</v>
      </c>
      <c r="V897" s="24">
        <f t="shared" si="540"/>
        <v>0</v>
      </c>
      <c r="W897" s="24">
        <f t="shared" si="540"/>
        <v>5976.99</v>
      </c>
      <c r="X897" s="114">
        <f>IFERROR(S897/R897,"")</f>
        <v>44.879999999999995</v>
      </c>
      <c r="Y897" s="115">
        <f>IFERROR(U897/P897,0)</f>
        <v>8.1468972918376376E-3</v>
      </c>
      <c r="Z897" s="116">
        <f>P897-W897</f>
        <v>57387.01</v>
      </c>
      <c r="AA897" s="115">
        <f>IFERROR(Z897/P897,"")</f>
        <v>0.90567214822296571</v>
      </c>
      <c r="AB897" s="120">
        <f t="shared" si="539"/>
        <v>13032.210000000001</v>
      </c>
      <c r="AC897" s="57">
        <f>IFERROR(AA897-O897,"")</f>
        <v>0.20567214822296565</v>
      </c>
      <c r="AG897" s="61"/>
    </row>
    <row r="898" spans="1:34" ht="11.25" customHeight="1" x14ac:dyDescent="0.15">
      <c r="A898" s="130" t="s">
        <v>53</v>
      </c>
      <c r="B898" s="130"/>
      <c r="C898" s="124"/>
      <c r="D898" s="124"/>
      <c r="E898" s="273"/>
      <c r="F898" s="124"/>
      <c r="G898" s="124"/>
      <c r="H898" s="124"/>
      <c r="I898" s="124"/>
      <c r="J898" s="124"/>
      <c r="K898" s="125"/>
      <c r="L898" s="129"/>
      <c r="M898" s="129"/>
      <c r="N898" s="129"/>
      <c r="O898" s="128"/>
      <c r="P898" s="129"/>
      <c r="Q898" s="124"/>
      <c r="R898" s="129"/>
      <c r="S898" s="129"/>
      <c r="T898" s="129"/>
      <c r="U898" s="129"/>
      <c r="V898" s="126"/>
      <c r="W898" s="49"/>
      <c r="X898" s="45"/>
      <c r="Y898" s="128"/>
      <c r="Z898" s="126"/>
      <c r="AA898" s="128"/>
      <c r="AB898" s="129"/>
      <c r="AC898" s="160"/>
      <c r="AD898" s="137"/>
      <c r="AE898" s="110"/>
      <c r="AF898" s="110"/>
      <c r="AG898" s="121"/>
      <c r="AH898" s="110"/>
    </row>
    <row r="899" spans="1:34" ht="11.25" customHeight="1" x14ac:dyDescent="0.15">
      <c r="A899" s="110" t="s">
        <v>377</v>
      </c>
      <c r="B899" s="110"/>
      <c r="C899" s="111" t="s">
        <v>201</v>
      </c>
      <c r="D899" s="111">
        <v>2022</v>
      </c>
      <c r="E899" s="146">
        <v>44804</v>
      </c>
      <c r="F899" s="111"/>
      <c r="G899" s="111" t="s">
        <v>202</v>
      </c>
      <c r="H899" s="111"/>
      <c r="I899" s="111"/>
      <c r="J899" s="111"/>
      <c r="K899" s="112" t="s">
        <v>203</v>
      </c>
      <c r="L899" s="120"/>
      <c r="M899" s="120"/>
      <c r="N899" s="120"/>
      <c r="O899" s="119"/>
      <c r="P899" s="117">
        <v>0</v>
      </c>
      <c r="Q899" s="111">
        <v>646</v>
      </c>
      <c r="R899" s="117">
        <v>8</v>
      </c>
      <c r="S899" s="117">
        <v>367.28</v>
      </c>
      <c r="T899" s="117">
        <v>213.02</v>
      </c>
      <c r="U899" s="117">
        <v>24.25</v>
      </c>
      <c r="V899" s="117">
        <v>28.23</v>
      </c>
      <c r="W899" s="26">
        <f>SUM(S899:V899)</f>
        <v>632.78</v>
      </c>
      <c r="X899" s="149">
        <f>IFERROR(S899/R899,"")</f>
        <v>45.91</v>
      </c>
      <c r="Y899" s="150">
        <f>IFERROR(U899/P899,0)</f>
        <v>0</v>
      </c>
      <c r="Z899" s="131">
        <f>P899-W899</f>
        <v>-632.78</v>
      </c>
      <c r="AA899" s="150" t="str">
        <f>IFERROR(Z899/P899,"")</f>
        <v/>
      </c>
      <c r="AB899" s="120">
        <f t="shared" ref="AB899:AB900" si="541">M899-W899</f>
        <v>-632.78</v>
      </c>
      <c r="AC899" s="119"/>
      <c r="AD899" s="110"/>
      <c r="AE899" s="110"/>
      <c r="AF899" s="110"/>
      <c r="AG899" s="121"/>
      <c r="AH899" s="110"/>
    </row>
    <row r="900" spans="1:34" s="53" customFormat="1" ht="11.25" customHeight="1" x14ac:dyDescent="0.15">
      <c r="A900" s="53" t="s">
        <v>377</v>
      </c>
      <c r="C900" s="54" t="s">
        <v>177</v>
      </c>
      <c r="D900" s="54">
        <v>2022</v>
      </c>
      <c r="E900" s="70">
        <v>44804</v>
      </c>
      <c r="F900" s="54"/>
      <c r="G900" s="54"/>
      <c r="H900" s="54"/>
      <c r="I900" s="54"/>
      <c r="J900" s="54"/>
      <c r="K900" s="106"/>
      <c r="L900" s="24"/>
      <c r="M900" s="24"/>
      <c r="N900" s="24"/>
      <c r="O900" s="57"/>
      <c r="P900" s="24">
        <f>SUM(P899)</f>
        <v>0</v>
      </c>
      <c r="Q900" s="91"/>
      <c r="R900" s="24">
        <f t="shared" ref="R900:W900" si="542">SUM(R899)</f>
        <v>8</v>
      </c>
      <c r="S900" s="24">
        <f t="shared" si="542"/>
        <v>367.28</v>
      </c>
      <c r="T900" s="24">
        <f t="shared" si="542"/>
        <v>213.02</v>
      </c>
      <c r="U900" s="24">
        <f t="shared" si="542"/>
        <v>24.25</v>
      </c>
      <c r="V900" s="24">
        <f t="shared" si="542"/>
        <v>28.23</v>
      </c>
      <c r="W900" s="24">
        <f t="shared" si="542"/>
        <v>632.78</v>
      </c>
      <c r="X900" s="114">
        <f>IFERROR(S900/R900,"")</f>
        <v>45.91</v>
      </c>
      <c r="Y900" s="115">
        <f>IFERROR(U900/P900,0)</f>
        <v>0</v>
      </c>
      <c r="Z900" s="116">
        <f>P900-W900</f>
        <v>-632.78</v>
      </c>
      <c r="AA900" s="115" t="str">
        <f>IFERROR(Z900/P900,"")</f>
        <v/>
      </c>
      <c r="AB900" s="120">
        <f t="shared" si="541"/>
        <v>-632.78</v>
      </c>
      <c r="AC900" s="57"/>
      <c r="AG900" s="61"/>
    </row>
    <row r="901" spans="1:34" ht="11.25" customHeight="1" x14ac:dyDescent="0.15">
      <c r="A901" s="130" t="s">
        <v>53</v>
      </c>
      <c r="B901" s="130"/>
      <c r="C901" s="124"/>
      <c r="D901" s="124"/>
      <c r="E901" s="273"/>
      <c r="F901" s="124"/>
      <c r="G901" s="124"/>
      <c r="H901" s="124"/>
      <c r="I901" s="124"/>
      <c r="J901" s="124"/>
      <c r="K901" s="125"/>
      <c r="L901" s="129"/>
      <c r="M901" s="129"/>
      <c r="N901" s="129"/>
      <c r="O901" s="128"/>
      <c r="P901" s="129"/>
      <c r="Q901" s="124"/>
      <c r="R901" s="129"/>
      <c r="S901" s="129"/>
      <c r="T901" s="129"/>
      <c r="U901" s="129"/>
      <c r="V901" s="126"/>
      <c r="W901" s="49"/>
      <c r="X901" s="45"/>
      <c r="Y901" s="128"/>
      <c r="Z901" s="126"/>
      <c r="AA901" s="128"/>
      <c r="AB901" s="129"/>
      <c r="AC901" s="160"/>
      <c r="AD901" s="137"/>
      <c r="AE901" s="110"/>
      <c r="AF901" s="110"/>
      <c r="AG901" s="121"/>
      <c r="AH901" s="110"/>
    </row>
    <row r="902" spans="1:34" ht="11.25" customHeight="1" x14ac:dyDescent="0.15">
      <c r="A902" s="110" t="s">
        <v>231</v>
      </c>
      <c r="B902" s="110"/>
      <c r="C902" s="111" t="s">
        <v>175</v>
      </c>
      <c r="D902" s="111">
        <v>2022</v>
      </c>
      <c r="E902" s="146">
        <v>44834</v>
      </c>
      <c r="F902" s="111"/>
      <c r="G902" s="111">
        <v>811000112</v>
      </c>
      <c r="H902" s="111">
        <v>4101</v>
      </c>
      <c r="I902" s="111" t="str">
        <f>MID(G902,2,1)</f>
        <v>1</v>
      </c>
      <c r="J902" s="111" t="str">
        <f>IF(I902="1","Small/Medium","Large")</f>
        <v>Small/Medium</v>
      </c>
      <c r="K902" s="147" t="s">
        <v>145</v>
      </c>
      <c r="L902" s="117">
        <v>9394.25</v>
      </c>
      <c r="M902" s="120">
        <f>L902*0.3</f>
        <v>2818.2750000000001</v>
      </c>
      <c r="N902" s="120">
        <f>L902-M902</f>
        <v>6575.9750000000004</v>
      </c>
      <c r="O902" s="119">
        <f>IFERROR(N902/L902,"")</f>
        <v>0.70000000000000007</v>
      </c>
      <c r="P902" s="117">
        <v>9394.25</v>
      </c>
      <c r="Q902" s="111">
        <v>626</v>
      </c>
      <c r="R902" s="117">
        <v>30</v>
      </c>
      <c r="S902" s="117">
        <v>1346.4</v>
      </c>
      <c r="T902" s="117">
        <v>674.61</v>
      </c>
      <c r="U902" s="117">
        <v>496.17</v>
      </c>
      <c r="V902" s="117">
        <v>94.77</v>
      </c>
      <c r="W902" s="26">
        <f>SUM(S902:V902)</f>
        <v>2611.9500000000003</v>
      </c>
      <c r="X902" s="149">
        <f>IFERROR(S902/R902,"")</f>
        <v>44.88</v>
      </c>
      <c r="Y902" s="150">
        <f>IFERROR(U902/P902,0)</f>
        <v>5.2816350427122974E-2</v>
      </c>
      <c r="Z902" s="131">
        <f>P902-W902</f>
        <v>6782.2999999999993</v>
      </c>
      <c r="AA902" s="150">
        <f>IFERROR(Z902/P902,"")</f>
        <v>0.72196290283950282</v>
      </c>
      <c r="AB902" s="120">
        <f t="shared" ref="AB902:AB905" si="543">M902-W902</f>
        <v>206.32499999999982</v>
      </c>
      <c r="AC902" s="119">
        <f>IFERROR(AA902-O902,"")</f>
        <v>2.1962902839502751E-2</v>
      </c>
      <c r="AD902" s="110"/>
      <c r="AE902" s="110"/>
      <c r="AF902" s="110"/>
      <c r="AG902" s="121"/>
      <c r="AH902" s="110"/>
    </row>
    <row r="903" spans="1:34" ht="11.25" customHeight="1" x14ac:dyDescent="0.15">
      <c r="A903" s="110" t="s">
        <v>231</v>
      </c>
      <c r="B903" s="110"/>
      <c r="C903" s="111" t="s">
        <v>175</v>
      </c>
      <c r="D903" s="111">
        <v>2022</v>
      </c>
      <c r="E903" s="146">
        <v>44834</v>
      </c>
      <c r="F903" s="111"/>
      <c r="G903" s="111">
        <v>821000112</v>
      </c>
      <c r="H903" s="111">
        <v>4101</v>
      </c>
      <c r="I903" s="111" t="str">
        <f>MID(G903,2,1)</f>
        <v>2</v>
      </c>
      <c r="J903" s="111" t="str">
        <f>IF(I903="1","Small/Medium","Large")</f>
        <v>Large</v>
      </c>
      <c r="K903" s="147" t="s">
        <v>176</v>
      </c>
      <c r="L903" s="117">
        <v>9394.25</v>
      </c>
      <c r="M903" s="120">
        <f>L903*0.3</f>
        <v>2818.2750000000001</v>
      </c>
      <c r="N903" s="120">
        <f>L903-M903</f>
        <v>6575.9750000000004</v>
      </c>
      <c r="O903" s="119">
        <f>IFERROR(N903/L903,"")</f>
        <v>0.70000000000000007</v>
      </c>
      <c r="P903" s="117">
        <v>9394.25</v>
      </c>
      <c r="Q903" s="111">
        <v>627</v>
      </c>
      <c r="R903" s="117">
        <v>27</v>
      </c>
      <c r="S903" s="117">
        <v>1211.76</v>
      </c>
      <c r="T903" s="117">
        <v>1252.8499999999999</v>
      </c>
      <c r="U903" s="117">
        <v>484.42</v>
      </c>
      <c r="V903" s="117">
        <v>94.77</v>
      </c>
      <c r="W903" s="26">
        <f>SUM(S903:V903)</f>
        <v>3043.7999999999997</v>
      </c>
      <c r="X903" s="149">
        <f>IFERROR(S903/R903,"")</f>
        <v>44.88</v>
      </c>
      <c r="Y903" s="150">
        <f>IFERROR(U903/P903,0)</f>
        <v>5.1565585331452751E-2</v>
      </c>
      <c r="Z903" s="131">
        <f>P903-W903</f>
        <v>6350.4500000000007</v>
      </c>
      <c r="AA903" s="150">
        <f>IFERROR(Z903/P903,"")</f>
        <v>0.6759932937701254</v>
      </c>
      <c r="AB903" s="120">
        <f t="shared" si="543"/>
        <v>-225.52499999999964</v>
      </c>
      <c r="AC903" s="119">
        <f>IFERROR(AA903-O903,"")</f>
        <v>-2.4006706229874664E-2</v>
      </c>
      <c r="AD903" s="110"/>
      <c r="AE903" s="110"/>
      <c r="AF903" s="110"/>
      <c r="AG903" s="121"/>
      <c r="AH903" s="110"/>
    </row>
    <row r="904" spans="1:34" ht="11.25" customHeight="1" x14ac:dyDescent="0.15">
      <c r="A904" s="110" t="s">
        <v>231</v>
      </c>
      <c r="B904" s="110"/>
      <c r="C904" s="111" t="s">
        <v>175</v>
      </c>
      <c r="D904" s="111">
        <v>2022</v>
      </c>
      <c r="E904" s="146">
        <v>44834</v>
      </c>
      <c r="F904" s="111"/>
      <c r="G904" s="111">
        <v>801000112</v>
      </c>
      <c r="H904" s="111">
        <v>4101</v>
      </c>
      <c r="I904" s="111" t="str">
        <f>MID(G904,2,1)</f>
        <v>0</v>
      </c>
      <c r="J904" s="111" t="s">
        <v>502</v>
      </c>
      <c r="K904" s="147" t="s">
        <v>503</v>
      </c>
      <c r="L904" s="117">
        <v>18788.5</v>
      </c>
      <c r="M904" s="120">
        <f>L904*0.3</f>
        <v>5636.55</v>
      </c>
      <c r="N904" s="120">
        <f>L904-M904</f>
        <v>13151.95</v>
      </c>
      <c r="O904" s="119">
        <f>IFERROR(N904/L904,"")</f>
        <v>0.70000000000000007</v>
      </c>
      <c r="P904" s="117">
        <v>18788.5</v>
      </c>
      <c r="Q904" s="194">
        <v>652</v>
      </c>
      <c r="R904" s="117">
        <v>56.5</v>
      </c>
      <c r="S904" s="117">
        <v>2535.7199999999998</v>
      </c>
      <c r="T904" s="117">
        <v>2518.6</v>
      </c>
      <c r="U904" s="117"/>
      <c r="V904" s="117">
        <v>170.14</v>
      </c>
      <c r="W904" s="26">
        <f>SUM(S904:V904)</f>
        <v>5224.46</v>
      </c>
      <c r="X904" s="149">
        <f>IFERROR(S904/R904,"")</f>
        <v>44.879999999999995</v>
      </c>
      <c r="Y904" s="150">
        <f>IFERROR(V904/P904,0)</f>
        <v>9.0555392926524193E-3</v>
      </c>
      <c r="Z904" s="131">
        <f>P904-W904</f>
        <v>13564.04</v>
      </c>
      <c r="AA904" s="150">
        <f>IFERROR(Z904/P904,"")</f>
        <v>0.7219330973733934</v>
      </c>
      <c r="AB904" s="120">
        <f t="shared" si="543"/>
        <v>412.09000000000015</v>
      </c>
      <c r="AC904" s="119">
        <f>IFERROR(AA904-O904,"")</f>
        <v>2.1933097373393329E-2</v>
      </c>
      <c r="AD904" s="110"/>
      <c r="AE904" s="110"/>
      <c r="AF904" s="110"/>
      <c r="AG904" s="121"/>
      <c r="AH904" s="110"/>
    </row>
    <row r="905" spans="1:34" s="53" customFormat="1" ht="11.25" customHeight="1" x14ac:dyDescent="0.15">
      <c r="A905" s="53" t="s">
        <v>231</v>
      </c>
      <c r="C905" s="54" t="s">
        <v>177</v>
      </c>
      <c r="D905" s="54">
        <v>2022</v>
      </c>
      <c r="E905" s="70">
        <v>44834</v>
      </c>
      <c r="F905" s="54"/>
      <c r="G905" s="54"/>
      <c r="H905" s="54"/>
      <c r="I905" s="54"/>
      <c r="J905" s="54"/>
      <c r="K905" s="106"/>
      <c r="L905" s="24">
        <f>SUM(L902:L904)</f>
        <v>37577</v>
      </c>
      <c r="M905" s="24">
        <f>SUM(M902:M904)</f>
        <v>11273.1</v>
      </c>
      <c r="N905" s="24">
        <f>SUM(N902:N904)</f>
        <v>26303.9</v>
      </c>
      <c r="O905" s="57">
        <f>IFERROR(N905/L905,"")</f>
        <v>0.70000000000000007</v>
      </c>
      <c r="P905" s="24">
        <f>SUM(P902:P904)</f>
        <v>37577</v>
      </c>
      <c r="Q905" s="91"/>
      <c r="R905" s="24">
        <f t="shared" ref="R905:W905" si="544">SUM(R902:R904)</f>
        <v>113.5</v>
      </c>
      <c r="S905" s="24">
        <f t="shared" si="544"/>
        <v>5093.8799999999992</v>
      </c>
      <c r="T905" s="24">
        <f t="shared" si="544"/>
        <v>4446.0599999999995</v>
      </c>
      <c r="U905" s="24">
        <f t="shared" si="544"/>
        <v>980.59</v>
      </c>
      <c r="V905" s="24">
        <f t="shared" si="544"/>
        <v>359.67999999999995</v>
      </c>
      <c r="W905" s="24">
        <f t="shared" si="544"/>
        <v>10880.21</v>
      </c>
      <c r="X905" s="114">
        <f>IFERROR(S905/R905,"")</f>
        <v>44.879999999999995</v>
      </c>
      <c r="Y905" s="115">
        <f>IFERROR(U905/P905,0)</f>
        <v>2.6095483939643931E-2</v>
      </c>
      <c r="Z905" s="116">
        <f>P905-W905</f>
        <v>26696.79</v>
      </c>
      <c r="AA905" s="115">
        <f>IFERROR(Z905/P905,"")</f>
        <v>0.71045559783910373</v>
      </c>
      <c r="AB905" s="120">
        <f t="shared" si="543"/>
        <v>392.89000000000124</v>
      </c>
      <c r="AC905" s="57">
        <f>IFERROR(AA905-O905,"")</f>
        <v>1.0455597839103659E-2</v>
      </c>
      <c r="AG905" s="61"/>
    </row>
    <row r="906" spans="1:34" ht="11.25" customHeight="1" x14ac:dyDescent="0.15">
      <c r="A906" s="130" t="s">
        <v>53</v>
      </c>
      <c r="B906" s="130"/>
      <c r="C906" s="124"/>
      <c r="D906" s="124"/>
      <c r="E906" s="273"/>
      <c r="F906" s="124"/>
      <c r="G906" s="124"/>
      <c r="H906" s="124"/>
      <c r="I906" s="124"/>
      <c r="J906" s="124"/>
      <c r="K906" s="125"/>
      <c r="L906" s="129"/>
      <c r="M906" s="129"/>
      <c r="N906" s="129"/>
      <c r="O906" s="128"/>
      <c r="P906" s="220"/>
      <c r="Q906" s="124"/>
      <c r="R906" s="220"/>
      <c r="S906" s="220"/>
      <c r="T906" s="220"/>
      <c r="U906" s="220"/>
      <c r="V906" s="126"/>
      <c r="W906" s="230"/>
      <c r="X906" s="45"/>
      <c r="Y906" s="128"/>
      <c r="Z906" s="126"/>
      <c r="AA906" s="128"/>
      <c r="AB906" s="129"/>
      <c r="AC906" s="160"/>
      <c r="AD906" s="137"/>
      <c r="AE906" s="110"/>
      <c r="AF906" s="110"/>
      <c r="AG906" s="121"/>
      <c r="AH906" s="110"/>
    </row>
    <row r="907" spans="1:34" ht="11.25" customHeight="1" x14ac:dyDescent="0.15">
      <c r="A907" s="110" t="s">
        <v>418</v>
      </c>
      <c r="B907" s="110"/>
      <c r="C907" s="111" t="s">
        <v>201</v>
      </c>
      <c r="D907" s="111">
        <v>2022</v>
      </c>
      <c r="E907" s="146">
        <v>44834</v>
      </c>
      <c r="F907" s="111"/>
      <c r="G907" s="111" t="s">
        <v>202</v>
      </c>
      <c r="H907" s="111"/>
      <c r="I907" s="111"/>
      <c r="J907" s="111"/>
      <c r="K907" s="112" t="s">
        <v>203</v>
      </c>
      <c r="L907" s="120"/>
      <c r="M907" s="120"/>
      <c r="N907" s="120"/>
      <c r="O907" s="119"/>
      <c r="P907" s="117">
        <v>0</v>
      </c>
      <c r="Q907" s="111">
        <v>735</v>
      </c>
      <c r="R907" s="117">
        <v>8</v>
      </c>
      <c r="S907" s="117">
        <v>367.28</v>
      </c>
      <c r="T907" s="117">
        <v>167.44</v>
      </c>
      <c r="U907" s="117">
        <v>0</v>
      </c>
      <c r="V907" s="117">
        <v>0</v>
      </c>
      <c r="W907" s="26">
        <f>SUM(S907:V907)</f>
        <v>534.72</v>
      </c>
      <c r="X907" s="149">
        <f>IFERROR(S907/R907,"")</f>
        <v>45.91</v>
      </c>
      <c r="Y907" s="150">
        <f>IFERROR(V907/P907,0)</f>
        <v>0</v>
      </c>
      <c r="Z907" s="131">
        <f>P907-W907</f>
        <v>-534.72</v>
      </c>
      <c r="AA907" s="150" t="str">
        <f>IFERROR(Z907/P907,"")</f>
        <v/>
      </c>
      <c r="AB907" s="120">
        <f t="shared" ref="AB907:AB908" si="545">M907-W907</f>
        <v>-534.72</v>
      </c>
      <c r="AC907" s="119"/>
      <c r="AD907" s="110"/>
      <c r="AE907" s="110"/>
      <c r="AF907" s="110"/>
      <c r="AG907" s="121"/>
      <c r="AH907" s="110"/>
    </row>
    <row r="908" spans="1:34" s="53" customFormat="1" ht="11.25" customHeight="1" x14ac:dyDescent="0.15">
      <c r="A908" s="53" t="s">
        <v>418</v>
      </c>
      <c r="C908" s="54" t="s">
        <v>177</v>
      </c>
      <c r="D908" s="54">
        <v>2022</v>
      </c>
      <c r="E908" s="70">
        <v>44834</v>
      </c>
      <c r="F908" s="54"/>
      <c r="G908" s="54"/>
      <c r="H908" s="54"/>
      <c r="I908" s="54"/>
      <c r="J908" s="54"/>
      <c r="K908" s="106"/>
      <c r="L908" s="24"/>
      <c r="M908" s="24"/>
      <c r="N908" s="24"/>
      <c r="O908" s="57"/>
      <c r="P908" s="24">
        <f>SUM(P907)</f>
        <v>0</v>
      </c>
      <c r="Q908" s="91"/>
      <c r="R908" s="24">
        <f t="shared" ref="R908:W908" si="546">SUM(R907)</f>
        <v>8</v>
      </c>
      <c r="S908" s="24">
        <f t="shared" si="546"/>
        <v>367.28</v>
      </c>
      <c r="T908" s="24">
        <f t="shared" si="546"/>
        <v>167.44</v>
      </c>
      <c r="U908" s="24">
        <f t="shared" si="546"/>
        <v>0</v>
      </c>
      <c r="V908" s="24">
        <f t="shared" si="546"/>
        <v>0</v>
      </c>
      <c r="W908" s="24">
        <f t="shared" si="546"/>
        <v>534.72</v>
      </c>
      <c r="X908" s="114">
        <f>IFERROR(S908/R908,"")</f>
        <v>45.91</v>
      </c>
      <c r="Y908" s="115">
        <f>IFERROR(U908/P908,0)</f>
        <v>0</v>
      </c>
      <c r="Z908" s="116">
        <f>P908-W908</f>
        <v>-534.72</v>
      </c>
      <c r="AA908" s="115" t="str">
        <f>IFERROR(Z908/P908,"")</f>
        <v/>
      </c>
      <c r="AB908" s="120">
        <f t="shared" si="545"/>
        <v>-534.72</v>
      </c>
      <c r="AC908" s="57"/>
      <c r="AG908" s="61"/>
    </row>
    <row r="909" spans="1:34" ht="11.25" customHeight="1" x14ac:dyDescent="0.15">
      <c r="A909" s="130" t="s">
        <v>53</v>
      </c>
      <c r="B909" s="130"/>
      <c r="C909" s="124"/>
      <c r="D909" s="124"/>
      <c r="E909" s="273"/>
      <c r="F909" s="124"/>
      <c r="G909" s="124"/>
      <c r="H909" s="124"/>
      <c r="I909" s="124"/>
      <c r="J909" s="124"/>
      <c r="K909" s="125"/>
      <c r="L909" s="129"/>
      <c r="M909" s="129"/>
      <c r="N909" s="129"/>
      <c r="O909" s="128"/>
      <c r="P909" s="129"/>
      <c r="Q909" s="124"/>
      <c r="R909" s="129"/>
      <c r="S909" s="129"/>
      <c r="T909" s="129"/>
      <c r="U909" s="129"/>
      <c r="V909" s="126"/>
      <c r="W909" s="49"/>
      <c r="X909" s="45"/>
      <c r="Y909" s="128"/>
      <c r="Z909" s="126"/>
      <c r="AA909" s="128"/>
      <c r="AB909" s="129"/>
      <c r="AC909" s="160"/>
      <c r="AD909" s="137"/>
      <c r="AE909" s="110"/>
      <c r="AF909" s="110"/>
      <c r="AG909" s="121"/>
      <c r="AH909" s="110"/>
    </row>
    <row r="910" spans="1:34" ht="11.25" customHeight="1" x14ac:dyDescent="0.15">
      <c r="A910" s="110" t="s">
        <v>315</v>
      </c>
      <c r="B910" s="110"/>
      <c r="C910" s="111" t="s">
        <v>175</v>
      </c>
      <c r="D910" s="111">
        <v>2022</v>
      </c>
      <c r="E910" s="146">
        <v>44834</v>
      </c>
      <c r="F910" s="111"/>
      <c r="G910" s="194">
        <v>811000112</v>
      </c>
      <c r="H910" s="111">
        <v>4101</v>
      </c>
      <c r="I910" s="111" t="str">
        <f>MID(G910,2,1)</f>
        <v>1</v>
      </c>
      <c r="J910" s="111" t="str">
        <f>IF(I910="1","Small/Medium","Large")</f>
        <v>Small/Medium</v>
      </c>
      <c r="K910" s="147" t="s">
        <v>145</v>
      </c>
      <c r="L910" s="117">
        <f>P910</f>
        <v>20445</v>
      </c>
      <c r="M910" s="120">
        <f>L910*0.3</f>
        <v>6133.5</v>
      </c>
      <c r="N910" s="120">
        <f>L910-M910</f>
        <v>14311.5</v>
      </c>
      <c r="O910" s="119">
        <f>IFERROR(N910/L910,"")</f>
        <v>0.7</v>
      </c>
      <c r="P910" s="117">
        <v>20445</v>
      </c>
      <c r="Q910" s="111">
        <v>695</v>
      </c>
      <c r="R910" s="117">
        <v>28</v>
      </c>
      <c r="S910" s="117">
        <v>1256.6400000000001</v>
      </c>
      <c r="T910" s="117">
        <v>1887.47</v>
      </c>
      <c r="U910" s="117">
        <v>899.25</v>
      </c>
      <c r="V910" s="117">
        <v>13.63</v>
      </c>
      <c r="W910" s="26">
        <f>SUM(S910:V910)</f>
        <v>4056.9900000000002</v>
      </c>
      <c r="X910" s="149">
        <f>IFERROR(S910/R910,"")</f>
        <v>44.88</v>
      </c>
      <c r="Y910" s="150">
        <f>IFERROR(V910/P910,0)</f>
        <v>6.6666666666666675E-4</v>
      </c>
      <c r="Z910" s="131">
        <f>P910-W910</f>
        <v>16388.009999999998</v>
      </c>
      <c r="AA910" s="150">
        <f>IFERROR(Z910/P910,"")</f>
        <v>0.80156566397652229</v>
      </c>
      <c r="AB910" s="120">
        <f t="shared" ref="AB910:AB911" si="547">M910-W910</f>
        <v>2076.5099999999998</v>
      </c>
      <c r="AC910" s="119">
        <f>IFERROR(AA910-O910,"")</f>
        <v>0.10156566397652234</v>
      </c>
      <c r="AD910" s="110"/>
      <c r="AE910" s="110"/>
      <c r="AF910" s="110"/>
      <c r="AG910" s="121"/>
      <c r="AH910" s="110"/>
    </row>
    <row r="911" spans="1:34" s="53" customFormat="1" ht="11.25" customHeight="1" x14ac:dyDescent="0.15">
      <c r="A911" s="53" t="s">
        <v>315</v>
      </c>
      <c r="C911" s="54" t="s">
        <v>177</v>
      </c>
      <c r="D911" s="54">
        <v>2022</v>
      </c>
      <c r="E911" s="70">
        <v>44834</v>
      </c>
      <c r="F911" s="54"/>
      <c r="G911" s="54"/>
      <c r="H911" s="54"/>
      <c r="I911" s="54"/>
      <c r="J911" s="54"/>
      <c r="K911" s="106"/>
      <c r="L911" s="24">
        <f>SUM(L909:L910)</f>
        <v>20445</v>
      </c>
      <c r="M911" s="24">
        <f>SUM(M909:M910)</f>
        <v>6133.5</v>
      </c>
      <c r="N911" s="24">
        <f>SUM(N909:N910)</f>
        <v>14311.5</v>
      </c>
      <c r="O911" s="57">
        <f>IFERROR(N911/L911,"")</f>
        <v>0.7</v>
      </c>
      <c r="P911" s="24">
        <f>SUM(P910)</f>
        <v>20445</v>
      </c>
      <c r="Q911" s="91"/>
      <c r="R911" s="24">
        <f t="shared" ref="R911:W911" si="548">SUM(R910)</f>
        <v>28</v>
      </c>
      <c r="S911" s="24">
        <f t="shared" si="548"/>
        <v>1256.6400000000001</v>
      </c>
      <c r="T911" s="24">
        <f t="shared" si="548"/>
        <v>1887.47</v>
      </c>
      <c r="U911" s="24">
        <f t="shared" si="548"/>
        <v>899.25</v>
      </c>
      <c r="V911" s="24">
        <f t="shared" si="548"/>
        <v>13.63</v>
      </c>
      <c r="W911" s="24">
        <f t="shared" si="548"/>
        <v>4056.9900000000002</v>
      </c>
      <c r="X911" s="114">
        <f>IFERROR(S911/R911,"")</f>
        <v>44.88</v>
      </c>
      <c r="Y911" s="115">
        <f>IFERROR(U911/P911,0)</f>
        <v>4.3983859134262657E-2</v>
      </c>
      <c r="Z911" s="116">
        <f>P911-W911</f>
        <v>16388.009999999998</v>
      </c>
      <c r="AA911" s="115">
        <f>IFERROR(Z911/P911,"")</f>
        <v>0.80156566397652229</v>
      </c>
      <c r="AB911" s="120">
        <f t="shared" si="547"/>
        <v>2076.5099999999998</v>
      </c>
      <c r="AC911" s="57">
        <f>IFERROR(AA911-O911,"")</f>
        <v>0.10156566397652234</v>
      </c>
      <c r="AG911" s="61"/>
    </row>
    <row r="912" spans="1:34" ht="11.25" customHeight="1" x14ac:dyDescent="0.15">
      <c r="A912" s="130" t="s">
        <v>53</v>
      </c>
      <c r="B912" s="130"/>
      <c r="C912" s="124"/>
      <c r="D912" s="124"/>
      <c r="E912" s="273"/>
      <c r="F912" s="124"/>
      <c r="G912" s="124"/>
      <c r="H912" s="124"/>
      <c r="I912" s="124"/>
      <c r="J912" s="124"/>
      <c r="K912" s="125"/>
      <c r="L912" s="129"/>
      <c r="M912" s="129"/>
      <c r="N912" s="129"/>
      <c r="O912" s="128"/>
      <c r="P912" s="129"/>
      <c r="Q912" s="124"/>
      <c r="R912" s="129"/>
      <c r="S912" s="129"/>
      <c r="T912" s="129"/>
      <c r="U912" s="129"/>
      <c r="V912" s="126"/>
      <c r="W912" s="49"/>
      <c r="X912" s="45"/>
      <c r="Y912" s="128"/>
      <c r="Z912" s="126"/>
      <c r="AA912" s="128"/>
      <c r="AB912" s="129"/>
      <c r="AC912" s="160"/>
      <c r="AD912" s="137"/>
      <c r="AE912" s="110"/>
      <c r="AF912" s="110"/>
      <c r="AG912" s="121"/>
      <c r="AH912" s="110"/>
    </row>
    <row r="913" spans="1:34" ht="11.25" customHeight="1" x14ac:dyDescent="0.15">
      <c r="A913" s="110" t="s">
        <v>330</v>
      </c>
      <c r="B913" s="110"/>
      <c r="C913" s="111" t="s">
        <v>175</v>
      </c>
      <c r="D913" s="111">
        <v>2022</v>
      </c>
      <c r="E913" s="146">
        <v>44834</v>
      </c>
      <c r="F913" s="111"/>
      <c r="G913" s="111">
        <v>811001012</v>
      </c>
      <c r="H913" s="111">
        <v>4101</v>
      </c>
      <c r="I913" s="111" t="str">
        <f>MID(G913,2,1)</f>
        <v>1</v>
      </c>
      <c r="J913" s="111" t="str">
        <f>IF(I913="1","Small/Medium","Large")</f>
        <v>Small/Medium</v>
      </c>
      <c r="K913" s="147" t="s">
        <v>145</v>
      </c>
      <c r="L913" s="117">
        <v>1500</v>
      </c>
      <c r="M913" s="120">
        <f>L913*0.3</f>
        <v>450</v>
      </c>
      <c r="N913" s="120">
        <f>L913-M913</f>
        <v>1050</v>
      </c>
      <c r="O913" s="119">
        <f>IFERROR(N913/L913,"")</f>
        <v>0.7</v>
      </c>
      <c r="P913" s="117">
        <v>1500</v>
      </c>
      <c r="Q913" s="111">
        <v>694</v>
      </c>
      <c r="R913" s="117">
        <v>23</v>
      </c>
      <c r="S913" s="117">
        <v>1032.24</v>
      </c>
      <c r="T913" s="117">
        <v>1190.43</v>
      </c>
      <c r="U913" s="117">
        <v>725.55</v>
      </c>
      <c r="V913" s="117"/>
      <c r="W913" s="26">
        <f>SUM(S913:V913)</f>
        <v>2948.2200000000003</v>
      </c>
      <c r="X913" s="149">
        <f>IFERROR(S913/R913,"")</f>
        <v>44.88</v>
      </c>
      <c r="Y913" s="150">
        <f>IFERROR(V913/P913,0)</f>
        <v>0</v>
      </c>
      <c r="Z913" s="131">
        <f>P913-W913</f>
        <v>-1448.2200000000003</v>
      </c>
      <c r="AA913" s="150">
        <f>IFERROR(Z913/P913,"")</f>
        <v>-0.96548000000000012</v>
      </c>
      <c r="AB913" s="120">
        <f t="shared" ref="AB913:AB914" si="549">M913-W913</f>
        <v>-2498.2200000000003</v>
      </c>
      <c r="AC913" s="119">
        <f>IFERROR(AA913-O913,"")</f>
        <v>-1.6654800000000001</v>
      </c>
      <c r="AD913" s="110"/>
      <c r="AE913" s="110"/>
      <c r="AF913" s="110"/>
      <c r="AG913" s="121"/>
      <c r="AH913" s="110"/>
    </row>
    <row r="914" spans="1:34" s="53" customFormat="1" ht="11.25" customHeight="1" x14ac:dyDescent="0.15">
      <c r="A914" s="53" t="s">
        <v>330</v>
      </c>
      <c r="C914" s="54" t="s">
        <v>177</v>
      </c>
      <c r="D914" s="54">
        <v>2022</v>
      </c>
      <c r="E914" s="70">
        <v>44834</v>
      </c>
      <c r="F914" s="54"/>
      <c r="G914" s="54"/>
      <c r="H914" s="54"/>
      <c r="I914" s="54"/>
      <c r="J914" s="54"/>
      <c r="K914" s="106"/>
      <c r="L914" s="24">
        <f>SUM(L912:L913)</f>
        <v>1500</v>
      </c>
      <c r="M914" s="24">
        <f>SUM(M912:M913)</f>
        <v>450</v>
      </c>
      <c r="N914" s="24">
        <f>SUM(N912:N913)</f>
        <v>1050</v>
      </c>
      <c r="O914" s="57">
        <f>IFERROR(N914/L914,"")</f>
        <v>0.7</v>
      </c>
      <c r="P914" s="24">
        <f>SUM(P913)</f>
        <v>1500</v>
      </c>
      <c r="Q914" s="91"/>
      <c r="R914" s="24">
        <f t="shared" ref="R914:W914" si="550">SUM(R913)</f>
        <v>23</v>
      </c>
      <c r="S914" s="24">
        <f t="shared" si="550"/>
        <v>1032.24</v>
      </c>
      <c r="T914" s="24">
        <f t="shared" si="550"/>
        <v>1190.43</v>
      </c>
      <c r="U914" s="24">
        <f t="shared" si="550"/>
        <v>725.55</v>
      </c>
      <c r="V914" s="24">
        <f t="shared" si="550"/>
        <v>0</v>
      </c>
      <c r="W914" s="24">
        <f t="shared" si="550"/>
        <v>2948.2200000000003</v>
      </c>
      <c r="X914" s="114">
        <f>IFERROR(S914/R914,"")</f>
        <v>44.88</v>
      </c>
      <c r="Y914" s="115">
        <f>IFERROR(U914/P914,0)</f>
        <v>0.48369999999999996</v>
      </c>
      <c r="Z914" s="116">
        <f>P914-W914</f>
        <v>-1448.2200000000003</v>
      </c>
      <c r="AA914" s="115">
        <f>IFERROR(Z914/P914,"")</f>
        <v>-0.96548000000000012</v>
      </c>
      <c r="AB914" s="120">
        <f t="shared" si="549"/>
        <v>-2498.2200000000003</v>
      </c>
      <c r="AC914" s="57">
        <f>IFERROR(AA914-O914,"")</f>
        <v>-1.6654800000000001</v>
      </c>
      <c r="AG914" s="61"/>
    </row>
    <row r="915" spans="1:34" ht="11.25" customHeight="1" x14ac:dyDescent="0.15">
      <c r="A915" s="130" t="s">
        <v>53</v>
      </c>
      <c r="B915" s="130"/>
      <c r="C915" s="124"/>
      <c r="D915" s="124"/>
      <c r="E915" s="273"/>
      <c r="F915" s="124"/>
      <c r="G915" s="124"/>
      <c r="H915" s="124"/>
      <c r="I915" s="124"/>
      <c r="J915" s="124"/>
      <c r="K915" s="125"/>
      <c r="L915" s="129"/>
      <c r="M915" s="129"/>
      <c r="N915" s="129"/>
      <c r="O915" s="128"/>
      <c r="P915" s="129"/>
      <c r="Q915" s="124"/>
      <c r="R915" s="129"/>
      <c r="S915" s="129"/>
      <c r="T915" s="129"/>
      <c r="U915" s="129"/>
      <c r="V915" s="126"/>
      <c r="W915" s="49"/>
      <c r="X915" s="45"/>
      <c r="Y915" s="128"/>
      <c r="Z915" s="126"/>
      <c r="AA915" s="128"/>
      <c r="AB915" s="129"/>
      <c r="AC915" s="160"/>
      <c r="AD915" s="137"/>
      <c r="AE915" s="110"/>
      <c r="AF915" s="110"/>
      <c r="AG915" s="121"/>
      <c r="AH915" s="110"/>
    </row>
    <row r="916" spans="1:34" ht="11.25" customHeight="1" x14ac:dyDescent="0.15">
      <c r="A916" s="110" t="s">
        <v>137</v>
      </c>
      <c r="B916" s="110"/>
      <c r="C916" s="111" t="s">
        <v>175</v>
      </c>
      <c r="D916" s="111">
        <v>2022</v>
      </c>
      <c r="E916" s="146">
        <v>44834</v>
      </c>
      <c r="F916" s="111"/>
      <c r="G916" s="111">
        <v>811101112</v>
      </c>
      <c r="H916" s="111">
        <v>4101</v>
      </c>
      <c r="I916" s="111" t="str">
        <f>MID(G916,2,1)</f>
        <v>1</v>
      </c>
      <c r="J916" s="111" t="str">
        <f>IF(I916="1","Small/Medium","Large")</f>
        <v>Small/Medium</v>
      </c>
      <c r="K916" s="147" t="s">
        <v>145</v>
      </c>
      <c r="L916" s="132">
        <v>14002.01</v>
      </c>
      <c r="M916" s="219">
        <f>L916*0.3</f>
        <v>4200.6030000000001</v>
      </c>
      <c r="N916" s="219">
        <f>L916-M916</f>
        <v>9801.4069999999992</v>
      </c>
      <c r="O916" s="119">
        <f>IFERROR(N916/L916,"")</f>
        <v>0.7</v>
      </c>
      <c r="P916" s="132">
        <v>14002.01</v>
      </c>
      <c r="Q916" s="111">
        <v>709</v>
      </c>
      <c r="R916" s="132">
        <v>25</v>
      </c>
      <c r="S916" s="132">
        <v>1122</v>
      </c>
      <c r="T916" s="132">
        <v>1371.76</v>
      </c>
      <c r="U916" s="132">
        <v>598.5</v>
      </c>
      <c r="V916" s="132"/>
      <c r="W916" s="67">
        <f>SUM(S916:V916)</f>
        <v>3092.26</v>
      </c>
      <c r="X916" s="149">
        <f>IFERROR(S916/R916,"")</f>
        <v>44.88</v>
      </c>
      <c r="Y916" s="150">
        <f>IFERROR(U916/P916,0)</f>
        <v>4.2743863202497352E-2</v>
      </c>
      <c r="Z916" s="131">
        <f>P916-W916</f>
        <v>10909.75</v>
      </c>
      <c r="AA916" s="150">
        <f>IFERROR(Z916/P916,"")</f>
        <v>0.77915599260391899</v>
      </c>
      <c r="AB916" s="120">
        <f t="shared" ref="AB916:AB918" si="551">M916-W916</f>
        <v>1108.3429999999998</v>
      </c>
      <c r="AC916" s="119">
        <f>IFERROR(AA916-O916,"")</f>
        <v>7.9155992603919034E-2</v>
      </c>
      <c r="AD916" s="110"/>
      <c r="AE916" s="110"/>
      <c r="AF916" s="110"/>
      <c r="AG916" s="121"/>
      <c r="AH916" s="110"/>
    </row>
    <row r="917" spans="1:34" ht="11.25" customHeight="1" x14ac:dyDescent="0.15">
      <c r="A917" s="110" t="s">
        <v>137</v>
      </c>
      <c r="B917" s="110"/>
      <c r="C917" s="111" t="s">
        <v>175</v>
      </c>
      <c r="D917" s="111">
        <v>2022</v>
      </c>
      <c r="E917" s="146">
        <v>44834</v>
      </c>
      <c r="F917" s="111"/>
      <c r="G917" s="111">
        <v>821101112</v>
      </c>
      <c r="H917" s="111">
        <v>4101</v>
      </c>
      <c r="I917" s="111" t="str">
        <f>MID(G917,2,1)</f>
        <v>2</v>
      </c>
      <c r="J917" s="111" t="str">
        <f>IF(I917="1","Small/Medium","Large")</f>
        <v>Large</v>
      </c>
      <c r="K917" s="147" t="s">
        <v>176</v>
      </c>
      <c r="L917" s="117">
        <v>26003.74</v>
      </c>
      <c r="M917" s="120">
        <f>L917*0.3</f>
        <v>7801.1220000000003</v>
      </c>
      <c r="N917" s="120">
        <f>L917-M917</f>
        <v>18202.618000000002</v>
      </c>
      <c r="O917" s="119">
        <f>IFERROR(N917/L917,"")</f>
        <v>0.70000000000000007</v>
      </c>
      <c r="P917" s="117">
        <v>26003.74</v>
      </c>
      <c r="Q917" s="111">
        <v>710</v>
      </c>
      <c r="R917" s="117">
        <v>16.5</v>
      </c>
      <c r="S917" s="117">
        <v>740.52</v>
      </c>
      <c r="T917" s="117">
        <v>1371.78</v>
      </c>
      <c r="U917" s="117">
        <v>665.01</v>
      </c>
      <c r="V917" s="117"/>
      <c r="W917" s="26">
        <f>SUM(S917:V917)</f>
        <v>2777.3100000000004</v>
      </c>
      <c r="X917" s="149">
        <f>IFERROR(S917/R917,"")</f>
        <v>44.879999999999995</v>
      </c>
      <c r="Y917" s="150">
        <f>IFERROR(U917/P917,0)</f>
        <v>2.5573629024132679E-2</v>
      </c>
      <c r="Z917" s="131">
        <f>P917-W917</f>
        <v>23226.43</v>
      </c>
      <c r="AA917" s="150">
        <f>IFERROR(Z917/P917,"")</f>
        <v>0.89319574799624968</v>
      </c>
      <c r="AB917" s="120">
        <f t="shared" si="551"/>
        <v>5023.8119999999999</v>
      </c>
      <c r="AC917" s="119">
        <f>IFERROR(AA917-O917,"")</f>
        <v>0.19319574799624961</v>
      </c>
      <c r="AD917" s="110"/>
      <c r="AE917" s="110"/>
      <c r="AF917" s="110"/>
      <c r="AG917" s="121"/>
      <c r="AH917" s="110"/>
    </row>
    <row r="918" spans="1:34" s="53" customFormat="1" ht="11.25" customHeight="1" x14ac:dyDescent="0.15">
      <c r="A918" s="53" t="s">
        <v>137</v>
      </c>
      <c r="C918" s="54" t="s">
        <v>177</v>
      </c>
      <c r="D918" s="54">
        <v>2022</v>
      </c>
      <c r="E918" s="70">
        <v>44834</v>
      </c>
      <c r="F918" s="54"/>
      <c r="G918" s="54"/>
      <c r="H918" s="54"/>
      <c r="I918" s="54"/>
      <c r="J918" s="54"/>
      <c r="K918" s="106"/>
      <c r="L918" s="24">
        <f>SUM(L916:L917)</f>
        <v>40005.75</v>
      </c>
      <c r="M918" s="24">
        <f>SUM(M916:M917)</f>
        <v>12001.725</v>
      </c>
      <c r="N918" s="24">
        <f>SUM(N916:N917)</f>
        <v>28004.025000000001</v>
      </c>
      <c r="O918" s="57">
        <f>IFERROR(N918/L918,"")</f>
        <v>0.70000000000000007</v>
      </c>
      <c r="P918" s="24">
        <f>SUM(P916:P917)</f>
        <v>40005.75</v>
      </c>
      <c r="Q918" s="91"/>
      <c r="R918" s="24">
        <f t="shared" ref="R918:W918" si="552">SUM(R916:R917)</f>
        <v>41.5</v>
      </c>
      <c r="S918" s="24">
        <f t="shared" si="552"/>
        <v>1862.52</v>
      </c>
      <c r="T918" s="24">
        <f t="shared" si="552"/>
        <v>2743.54</v>
      </c>
      <c r="U918" s="24">
        <f t="shared" si="552"/>
        <v>1263.51</v>
      </c>
      <c r="V918" s="24">
        <f t="shared" si="552"/>
        <v>0</v>
      </c>
      <c r="W918" s="24">
        <f t="shared" si="552"/>
        <v>5869.5700000000006</v>
      </c>
      <c r="X918" s="114">
        <f>IFERROR(S918/R918,"")</f>
        <v>44.88</v>
      </c>
      <c r="Y918" s="115">
        <f>IFERROR(U918/P918,0)</f>
        <v>3.1583209913574925E-2</v>
      </c>
      <c r="Z918" s="116">
        <f>P918-W918</f>
        <v>34136.18</v>
      </c>
      <c r="AA918" s="115">
        <f>IFERROR(Z918/P918,"")</f>
        <v>0.85328184073539426</v>
      </c>
      <c r="AB918" s="120">
        <f t="shared" si="551"/>
        <v>6132.1549999999997</v>
      </c>
      <c r="AC918" s="57">
        <f>IFERROR(AA918-O918,"")</f>
        <v>0.15328184073539419</v>
      </c>
      <c r="AG918" s="61"/>
    </row>
    <row r="919" spans="1:34" ht="11.25" customHeight="1" x14ac:dyDescent="0.15">
      <c r="A919" s="130" t="s">
        <v>53</v>
      </c>
      <c r="B919" s="130"/>
      <c r="C919" s="124"/>
      <c r="D919" s="124"/>
      <c r="E919" s="273"/>
      <c r="F919" s="124"/>
      <c r="G919" s="124"/>
      <c r="H919" s="124"/>
      <c r="I919" s="124"/>
      <c r="J919" s="124"/>
      <c r="K919" s="125"/>
      <c r="L919" s="129"/>
      <c r="M919" s="129"/>
      <c r="N919" s="129"/>
      <c r="O919" s="128"/>
      <c r="P919" s="129"/>
      <c r="Q919" s="124"/>
      <c r="R919" s="129"/>
      <c r="S919" s="129"/>
      <c r="T919" s="129"/>
      <c r="U919" s="129"/>
      <c r="V919" s="126"/>
      <c r="W919" s="49"/>
      <c r="X919" s="45"/>
      <c r="Y919" s="128"/>
      <c r="Z919" s="126"/>
      <c r="AA919" s="128"/>
      <c r="AB919" s="129"/>
      <c r="AC919" s="160"/>
      <c r="AD919" s="137"/>
      <c r="AE919" s="110"/>
      <c r="AF919" s="110"/>
      <c r="AG919" s="121"/>
      <c r="AH919" s="110"/>
    </row>
    <row r="920" spans="1:34" ht="11.25" customHeight="1" x14ac:dyDescent="0.15">
      <c r="A920" s="110" t="s">
        <v>324</v>
      </c>
      <c r="B920" s="110"/>
      <c r="C920" s="111" t="s">
        <v>201</v>
      </c>
      <c r="D920" s="111">
        <v>2022</v>
      </c>
      <c r="E920" s="146">
        <v>44834</v>
      </c>
      <c r="F920" s="111"/>
      <c r="G920" s="111" t="s">
        <v>202</v>
      </c>
      <c r="H920" s="111"/>
      <c r="I920" s="111"/>
      <c r="J920" s="111"/>
      <c r="K920" s="112" t="s">
        <v>504</v>
      </c>
      <c r="L920" s="120"/>
      <c r="M920" s="120"/>
      <c r="N920" s="120"/>
      <c r="O920" s="119"/>
      <c r="P920" s="117">
        <v>0</v>
      </c>
      <c r="Q920" s="111">
        <v>712</v>
      </c>
      <c r="R920" s="117">
        <v>30</v>
      </c>
      <c r="S920" s="117">
        <v>1377.3</v>
      </c>
      <c r="T920" s="117">
        <v>1386.47</v>
      </c>
      <c r="U920" s="117">
        <v>685.57</v>
      </c>
      <c r="V920" s="117">
        <v>77.45</v>
      </c>
      <c r="W920" s="26">
        <f>SUM(S920:V920)</f>
        <v>3526.79</v>
      </c>
      <c r="X920" s="149">
        <f>IFERROR(S920/R920,"")</f>
        <v>45.91</v>
      </c>
      <c r="Y920" s="150">
        <f>IFERROR(V920/P920,0)</f>
        <v>0</v>
      </c>
      <c r="Z920" s="131">
        <f>P920-W920</f>
        <v>-3526.79</v>
      </c>
      <c r="AA920" s="150" t="str">
        <f>IFERROR(Z920/P920,"")</f>
        <v/>
      </c>
      <c r="AB920" s="120">
        <f t="shared" ref="AB920:AB921" si="553">M920-W920</f>
        <v>-3526.79</v>
      </c>
      <c r="AC920" s="119"/>
      <c r="AD920" s="110"/>
      <c r="AE920" s="110"/>
      <c r="AF920" s="110"/>
      <c r="AG920" s="121"/>
      <c r="AH920" s="110"/>
    </row>
    <row r="921" spans="1:34" s="53" customFormat="1" ht="11.25" customHeight="1" x14ac:dyDescent="0.15">
      <c r="A921" s="53" t="s">
        <v>324</v>
      </c>
      <c r="C921" s="54" t="s">
        <v>177</v>
      </c>
      <c r="D921" s="54">
        <v>2022</v>
      </c>
      <c r="E921" s="70">
        <v>44834</v>
      </c>
      <c r="F921" s="54"/>
      <c r="G921" s="54"/>
      <c r="H921" s="54"/>
      <c r="I921" s="54"/>
      <c r="J921" s="54"/>
      <c r="K921" s="106"/>
      <c r="L921" s="24"/>
      <c r="M921" s="24"/>
      <c r="N921" s="24"/>
      <c r="O921" s="73"/>
      <c r="P921" s="24">
        <f>SUM(P920)</f>
        <v>0</v>
      </c>
      <c r="Q921" s="91"/>
      <c r="R921" s="24">
        <f t="shared" ref="R921:W921" si="554">SUM(R920)</f>
        <v>30</v>
      </c>
      <c r="S921" s="24">
        <f t="shared" si="554"/>
        <v>1377.3</v>
      </c>
      <c r="T921" s="24">
        <f t="shared" si="554"/>
        <v>1386.47</v>
      </c>
      <c r="U921" s="24">
        <f t="shared" si="554"/>
        <v>685.57</v>
      </c>
      <c r="V921" s="24">
        <f t="shared" si="554"/>
        <v>77.45</v>
      </c>
      <c r="W921" s="24">
        <f t="shared" si="554"/>
        <v>3526.79</v>
      </c>
      <c r="X921" s="114">
        <f>IFERROR(S921/R921,"")</f>
        <v>45.91</v>
      </c>
      <c r="Y921" s="115">
        <f>IFERROR(U921/P921,0)</f>
        <v>0</v>
      </c>
      <c r="Z921" s="116">
        <f>P921-W921</f>
        <v>-3526.79</v>
      </c>
      <c r="AA921" s="115" t="str">
        <f>IFERROR(Z921/P921,"")</f>
        <v/>
      </c>
      <c r="AB921" s="120">
        <f t="shared" si="553"/>
        <v>-3526.79</v>
      </c>
      <c r="AC921" s="57"/>
      <c r="AG921" s="61"/>
    </row>
    <row r="922" spans="1:34" ht="11.25" customHeight="1" x14ac:dyDescent="0.15">
      <c r="A922" s="130" t="s">
        <v>53</v>
      </c>
      <c r="B922" s="130"/>
      <c r="C922" s="124"/>
      <c r="D922" s="124"/>
      <c r="E922" s="273"/>
      <c r="F922" s="124"/>
      <c r="G922" s="124"/>
      <c r="H922" s="124"/>
      <c r="I922" s="124"/>
      <c r="J922" s="124"/>
      <c r="K922" s="125"/>
      <c r="L922" s="129"/>
      <c r="M922" s="129"/>
      <c r="N922" s="129"/>
      <c r="O922" s="128"/>
      <c r="P922" s="129"/>
      <c r="Q922" s="124"/>
      <c r="R922" s="129"/>
      <c r="S922" s="129"/>
      <c r="T922" s="129"/>
      <c r="U922" s="129"/>
      <c r="V922" s="126"/>
      <c r="W922" s="49"/>
      <c r="X922" s="45"/>
      <c r="Y922" s="128"/>
      <c r="Z922" s="126"/>
      <c r="AA922" s="128"/>
      <c r="AB922" s="129"/>
      <c r="AC922" s="160"/>
      <c r="AD922" s="137"/>
      <c r="AE922" s="110"/>
      <c r="AF922" s="110"/>
      <c r="AG922" s="121"/>
      <c r="AH922" s="110"/>
    </row>
    <row r="923" spans="1:34" ht="11.25" customHeight="1" x14ac:dyDescent="0.15">
      <c r="A923" s="110" t="s">
        <v>505</v>
      </c>
      <c r="B923" s="110"/>
      <c r="C923" s="111" t="s">
        <v>37</v>
      </c>
      <c r="D923" s="111">
        <v>2022</v>
      </c>
      <c r="E923" s="146">
        <v>44834</v>
      </c>
      <c r="F923" s="111"/>
      <c r="G923" s="111">
        <v>110031212</v>
      </c>
      <c r="H923" s="111"/>
      <c r="I923" s="16" t="str">
        <f>MID(G923,2,1)</f>
        <v>1</v>
      </c>
      <c r="J923" s="111" t="s">
        <v>39</v>
      </c>
      <c r="K923" s="112" t="s">
        <v>506</v>
      </c>
      <c r="L923" s="120">
        <f>P923</f>
        <v>26125</v>
      </c>
      <c r="M923" s="120">
        <f>13000-86</f>
        <v>12914</v>
      </c>
      <c r="N923" s="120">
        <f>L923-M923</f>
        <v>13211</v>
      </c>
      <c r="O923" s="119">
        <f>IFERROR(N923/L923,"")</f>
        <v>0.50568421052631574</v>
      </c>
      <c r="P923" s="117">
        <v>26125</v>
      </c>
      <c r="Q923" s="111">
        <v>593</v>
      </c>
      <c r="R923" s="117">
        <v>20.5</v>
      </c>
      <c r="S923" s="117">
        <v>825.82</v>
      </c>
      <c r="T923" s="117">
        <v>0</v>
      </c>
      <c r="U923" s="117">
        <v>8213.49</v>
      </c>
      <c r="V923" s="117">
        <v>0</v>
      </c>
      <c r="W923" s="26">
        <f>SUM(S923:V923)</f>
        <v>9039.31</v>
      </c>
      <c r="X923" s="149">
        <f>IFERROR(S923/R923,"")</f>
        <v>40.283902439024395</v>
      </c>
      <c r="Y923" s="150">
        <f>IFERROR(U923/P923,0)</f>
        <v>0.31439196172248801</v>
      </c>
      <c r="Z923" s="131">
        <f>P923-W923</f>
        <v>17085.690000000002</v>
      </c>
      <c r="AA923" s="150">
        <f>IFERROR(Z923/P923,"")</f>
        <v>0.65399770334928242</v>
      </c>
      <c r="AB923" s="120">
        <f t="shared" ref="AB923:AB930" si="555">M923-W923</f>
        <v>3874.6900000000005</v>
      </c>
      <c r="AC923" s="119">
        <f>IFERROR(AA923-O923,"")</f>
        <v>0.14831349282296669</v>
      </c>
      <c r="AD923" s="110"/>
      <c r="AE923" s="110"/>
      <c r="AF923" s="110"/>
      <c r="AG923" s="121"/>
      <c r="AH923" s="110"/>
    </row>
    <row r="924" spans="1:34" ht="11.25" customHeight="1" x14ac:dyDescent="0.15">
      <c r="A924" s="110" t="s">
        <v>505</v>
      </c>
      <c r="B924" s="110"/>
      <c r="C924" s="111" t="s">
        <v>37</v>
      </c>
      <c r="D924" s="111">
        <v>2022</v>
      </c>
      <c r="E924" s="146">
        <v>44834</v>
      </c>
      <c r="F924" s="111"/>
      <c r="G924" s="111">
        <v>220100212</v>
      </c>
      <c r="H924" s="111"/>
      <c r="I924" s="111"/>
      <c r="J924" s="111"/>
      <c r="K924" s="112" t="s">
        <v>507</v>
      </c>
      <c r="L924" s="219">
        <f>P924</f>
        <v>25387</v>
      </c>
      <c r="M924" s="219">
        <f>13000-86</f>
        <v>12914</v>
      </c>
      <c r="N924" s="219">
        <f>L924-M924</f>
        <v>12473</v>
      </c>
      <c r="O924" s="119">
        <f>IFERROR(N924/L924,"")</f>
        <v>0.49131445227872533</v>
      </c>
      <c r="P924" s="132">
        <v>25387</v>
      </c>
      <c r="Q924" s="111">
        <v>588</v>
      </c>
      <c r="R924" s="132">
        <v>0</v>
      </c>
      <c r="S924" s="132">
        <v>0</v>
      </c>
      <c r="T924" s="132">
        <v>0</v>
      </c>
      <c r="U924" s="132">
        <v>8889.8799999999992</v>
      </c>
      <c r="V924" s="132">
        <v>0</v>
      </c>
      <c r="W924" s="67">
        <f>SUM(S924:V924)</f>
        <v>8889.8799999999992</v>
      </c>
      <c r="X924" s="149" t="str">
        <f>IFERROR(S924/R924,"")</f>
        <v/>
      </c>
      <c r="Y924" s="150">
        <f>IFERROR(U924/P924,0)</f>
        <v>0.35017449875920742</v>
      </c>
      <c r="Z924" s="131">
        <f>P924-W924</f>
        <v>16497.120000000003</v>
      </c>
      <c r="AA924" s="150">
        <f>IFERROR(Z924/P924,"")</f>
        <v>0.64982550124079264</v>
      </c>
      <c r="AB924" s="120">
        <f t="shared" si="555"/>
        <v>4024.1200000000008</v>
      </c>
      <c r="AC924" s="119">
        <f>IFERROR(AA924-O924,"")</f>
        <v>0.1585110489620673</v>
      </c>
      <c r="AD924" s="110"/>
      <c r="AE924" s="110"/>
      <c r="AF924" s="110"/>
      <c r="AG924" s="121"/>
      <c r="AH924" s="110"/>
    </row>
    <row r="925" spans="1:34" ht="11.25" customHeight="1" x14ac:dyDescent="0.15">
      <c r="A925" s="110" t="s">
        <v>505</v>
      </c>
      <c r="B925" s="110"/>
      <c r="C925" s="111" t="s">
        <v>37</v>
      </c>
      <c r="D925" s="111">
        <v>2022</v>
      </c>
      <c r="E925" s="146">
        <v>44834</v>
      </c>
      <c r="F925" s="111"/>
      <c r="G925" s="111">
        <v>310300202</v>
      </c>
      <c r="H925" s="111"/>
      <c r="I925" s="111"/>
      <c r="J925" s="111"/>
      <c r="K925" s="112" t="s">
        <v>441</v>
      </c>
      <c r="L925" s="120">
        <f>P925</f>
        <v>37658</v>
      </c>
      <c r="M925" s="120">
        <v>11683</v>
      </c>
      <c r="N925" s="120">
        <f>L925-M925</f>
        <v>25975</v>
      </c>
      <c r="O925" s="119">
        <f>IFERROR(N925/L925,"")</f>
        <v>0.68976047586170264</v>
      </c>
      <c r="P925" s="117">
        <v>37658</v>
      </c>
      <c r="Q925" s="111">
        <v>587</v>
      </c>
      <c r="R925" s="117">
        <v>18.5</v>
      </c>
      <c r="S925" s="117">
        <v>722.24</v>
      </c>
      <c r="T925" s="117">
        <v>0</v>
      </c>
      <c r="U925" s="117">
        <f>6162.97+2545.96</f>
        <v>8708.93</v>
      </c>
      <c r="V925" s="117">
        <v>0</v>
      </c>
      <c r="W925" s="26">
        <f>SUM(S925:V925)</f>
        <v>9431.17</v>
      </c>
      <c r="X925" s="149">
        <f>IFERROR(S925/R925,"")</f>
        <v>39.04</v>
      </c>
      <c r="Y925" s="150">
        <f>IFERROR(U925/P925,0)</f>
        <v>0.23126374209995221</v>
      </c>
      <c r="Z925" s="131">
        <f>P925-W925</f>
        <v>28226.83</v>
      </c>
      <c r="AA925" s="150">
        <f>IFERROR(Z925/P925,"")</f>
        <v>0.74955733177545281</v>
      </c>
      <c r="AB925" s="120">
        <f t="shared" si="555"/>
        <v>2251.83</v>
      </c>
      <c r="AC925" s="119">
        <f>IFERROR(AA925-O925,"")</f>
        <v>5.9796855913750169E-2</v>
      </c>
      <c r="AD925" s="110"/>
      <c r="AE925" s="110"/>
      <c r="AF925" s="110"/>
      <c r="AG925" s="121"/>
      <c r="AH925" s="110"/>
    </row>
    <row r="926" spans="1:34" s="53" customFormat="1" ht="11.25" customHeight="1" x14ac:dyDescent="0.15">
      <c r="A926" s="53" t="s">
        <v>505</v>
      </c>
      <c r="C926" s="54" t="s">
        <v>360</v>
      </c>
      <c r="D926" s="54">
        <v>2022</v>
      </c>
      <c r="E926" s="70">
        <v>44834</v>
      </c>
      <c r="F926" s="54"/>
      <c r="G926" s="54"/>
      <c r="H926" s="54"/>
      <c r="I926" s="54"/>
      <c r="J926" s="54"/>
      <c r="K926" s="106"/>
      <c r="L926" s="97">
        <f>SUM(L923:L925)</f>
        <v>89170</v>
      </c>
      <c r="M926" s="97">
        <f>SUM(M923:M925)</f>
        <v>37511</v>
      </c>
      <c r="N926" s="97">
        <f>SUM(N923:N925)</f>
        <v>51659</v>
      </c>
      <c r="O926" s="57"/>
      <c r="P926" s="24">
        <f>SUM(P923:P925)</f>
        <v>89170</v>
      </c>
      <c r="Q926" s="24"/>
      <c r="R926" s="24">
        <f t="shared" ref="R926:W926" si="556">SUM(R923:R925)</f>
        <v>39</v>
      </c>
      <c r="S926" s="24">
        <f t="shared" si="556"/>
        <v>1548.06</v>
      </c>
      <c r="T926" s="24">
        <f t="shared" si="556"/>
        <v>0</v>
      </c>
      <c r="U926" s="24">
        <f t="shared" si="556"/>
        <v>25812.3</v>
      </c>
      <c r="V926" s="24">
        <f t="shared" si="556"/>
        <v>0</v>
      </c>
      <c r="W926" s="24">
        <f t="shared" si="556"/>
        <v>27360.36</v>
      </c>
      <c r="X926" s="149"/>
      <c r="Y926" s="150"/>
      <c r="Z926" s="116"/>
      <c r="AA926" s="115"/>
      <c r="AB926" s="120">
        <f t="shared" si="555"/>
        <v>10150.64</v>
      </c>
      <c r="AC926" s="57"/>
      <c r="AG926" s="61"/>
    </row>
    <row r="927" spans="1:34" ht="11.25" customHeight="1" x14ac:dyDescent="0.15">
      <c r="A927" s="110" t="s">
        <v>505</v>
      </c>
      <c r="B927" s="110"/>
      <c r="C927" s="111" t="s">
        <v>47</v>
      </c>
      <c r="D927" s="111">
        <v>2022</v>
      </c>
      <c r="E927" s="146">
        <v>44834</v>
      </c>
      <c r="F927" s="111"/>
      <c r="G927" s="111">
        <v>511031112</v>
      </c>
      <c r="H927" s="111"/>
      <c r="I927" s="111"/>
      <c r="J927" s="111"/>
      <c r="K927" s="112" t="s">
        <v>508</v>
      </c>
      <c r="L927" s="120">
        <f>P927</f>
        <v>21952</v>
      </c>
      <c r="M927" s="120">
        <v>8339</v>
      </c>
      <c r="N927" s="120">
        <f>L927-M927</f>
        <v>13613</v>
      </c>
      <c r="O927" s="119">
        <f>IFERROR(N927/L927,"")</f>
        <v>0.62012572886297379</v>
      </c>
      <c r="P927" s="117">
        <v>21952</v>
      </c>
      <c r="Q927" s="111">
        <v>583</v>
      </c>
      <c r="R927" s="117">
        <v>67</v>
      </c>
      <c r="S927" s="117">
        <v>3075.97</v>
      </c>
      <c r="T927" s="117">
        <v>3041.19</v>
      </c>
      <c r="U927" s="117">
        <v>1763.36</v>
      </c>
      <c r="V927" s="117">
        <v>0</v>
      </c>
      <c r="W927" s="26">
        <f>SUM(S927:V927)</f>
        <v>7880.5199999999995</v>
      </c>
      <c r="X927" s="149">
        <f>IFERROR(S927/R927,"")</f>
        <v>45.91</v>
      </c>
      <c r="Y927" s="150">
        <f>IFERROR(U927/P927,0)</f>
        <v>8.0327988338192421E-2</v>
      </c>
      <c r="Z927" s="131">
        <f>P927-W927</f>
        <v>14071.48</v>
      </c>
      <c r="AA927" s="150">
        <f>IFERROR(Z927/P927,"")</f>
        <v>0.6410112973760933</v>
      </c>
      <c r="AB927" s="120">
        <f t="shared" si="555"/>
        <v>458.48000000000047</v>
      </c>
      <c r="AC927" s="119">
        <f>IFERROR(AA927-O927,"")</f>
        <v>2.0885568513119512E-2</v>
      </c>
      <c r="AD927" s="110"/>
      <c r="AE927" s="110"/>
      <c r="AF927" s="110"/>
      <c r="AG927" s="121"/>
      <c r="AH927" s="110"/>
    </row>
    <row r="928" spans="1:34" ht="11.25" customHeight="1" x14ac:dyDescent="0.15">
      <c r="A928" s="110" t="s">
        <v>505</v>
      </c>
      <c r="B928" s="110"/>
      <c r="C928" s="111" t="s">
        <v>248</v>
      </c>
      <c r="D928" s="111">
        <v>2022</v>
      </c>
      <c r="E928" s="146">
        <v>44834</v>
      </c>
      <c r="F928" s="111"/>
      <c r="G928" s="111">
        <v>960000002</v>
      </c>
      <c r="H928" s="111"/>
      <c r="I928" s="111"/>
      <c r="J928" s="111"/>
      <c r="K928" s="112" t="s">
        <v>250</v>
      </c>
      <c r="L928" s="120">
        <f>P928</f>
        <v>5506</v>
      </c>
      <c r="M928" s="120">
        <v>3908</v>
      </c>
      <c r="N928" s="120">
        <f>L928-M928</f>
        <v>1598</v>
      </c>
      <c r="O928" s="119">
        <f>IFERROR(N928/L928,"")</f>
        <v>0.29022884126407555</v>
      </c>
      <c r="P928" s="117">
        <v>5506</v>
      </c>
      <c r="Q928" s="111">
        <v>584</v>
      </c>
      <c r="R928" s="117">
        <v>7.5</v>
      </c>
      <c r="S928" s="117">
        <v>424.13</v>
      </c>
      <c r="T928" s="117">
        <v>0</v>
      </c>
      <c r="U928" s="117">
        <v>0</v>
      </c>
      <c r="V928" s="117">
        <v>0</v>
      </c>
      <c r="W928" s="26">
        <f>SUM(S928:V928)</f>
        <v>424.13</v>
      </c>
      <c r="X928" s="149">
        <f>IFERROR(S928/R928,"")</f>
        <v>56.550666666666665</v>
      </c>
      <c r="Y928" s="150">
        <f>IFERROR(U928/P928,0)</f>
        <v>0</v>
      </c>
      <c r="Z928" s="131">
        <f>P928-W928</f>
        <v>5081.87</v>
      </c>
      <c r="AA928" s="150">
        <f>IFERROR(Z928/P928,"")</f>
        <v>0.9229694878314566</v>
      </c>
      <c r="AB928" s="120">
        <f t="shared" si="555"/>
        <v>3483.87</v>
      </c>
      <c r="AC928" s="119">
        <f>IFERROR(AA928-O928,"")</f>
        <v>0.63274064656738105</v>
      </c>
      <c r="AD928" s="110"/>
      <c r="AE928" s="110"/>
      <c r="AF928" s="110"/>
      <c r="AG928" s="121"/>
      <c r="AH928" s="110"/>
    </row>
    <row r="929" spans="1:34" ht="11.25" customHeight="1" x14ac:dyDescent="0.15">
      <c r="A929" s="110" t="s">
        <v>505</v>
      </c>
      <c r="B929" s="110"/>
      <c r="C929" s="111" t="s">
        <v>55</v>
      </c>
      <c r="D929" s="111">
        <v>2022</v>
      </c>
      <c r="E929" s="146">
        <v>44834</v>
      </c>
      <c r="F929" s="111"/>
      <c r="G929" s="111" t="s">
        <v>56</v>
      </c>
      <c r="H929" s="111"/>
      <c r="I929" s="111"/>
      <c r="J929" s="111"/>
      <c r="K929" s="112" t="s">
        <v>71</v>
      </c>
      <c r="L929" s="120">
        <f>P929</f>
        <v>3080</v>
      </c>
      <c r="M929" s="120">
        <v>1500</v>
      </c>
      <c r="N929" s="120">
        <f>L929-M929</f>
        <v>1580</v>
      </c>
      <c r="O929" s="119">
        <f>IFERROR(N929/L929,"")</f>
        <v>0.51298701298701299</v>
      </c>
      <c r="P929" s="117">
        <v>3080</v>
      </c>
      <c r="Q929" s="111">
        <v>585</v>
      </c>
      <c r="R929" s="117">
        <v>17</v>
      </c>
      <c r="S929" s="117">
        <v>722.5</v>
      </c>
      <c r="T929" s="117">
        <v>0</v>
      </c>
      <c r="U929" s="117">
        <v>0</v>
      </c>
      <c r="V929" s="117">
        <v>11228.93</v>
      </c>
      <c r="W929" s="26">
        <f>SUM(S929:V929)</f>
        <v>11951.43</v>
      </c>
      <c r="X929" s="149">
        <f>IFERROR(S929/R929,"")</f>
        <v>42.5</v>
      </c>
      <c r="Y929" s="150">
        <f>IFERROR(U929/P929,0)</f>
        <v>0</v>
      </c>
      <c r="Z929" s="131">
        <f>P929-W929</f>
        <v>-8871.43</v>
      </c>
      <c r="AA929" s="150">
        <f>IFERROR(Z929/P929,"")</f>
        <v>-2.8803344155844157</v>
      </c>
      <c r="AB929" s="120">
        <f t="shared" si="555"/>
        <v>-10451.43</v>
      </c>
      <c r="AC929" s="119">
        <f>IFERROR(AA929-O929,"")</f>
        <v>-3.3933214285714288</v>
      </c>
      <c r="AD929" s="110" t="s">
        <v>509</v>
      </c>
      <c r="AE929" s="110"/>
      <c r="AF929" s="110"/>
      <c r="AG929" s="121"/>
      <c r="AH929" s="110"/>
    </row>
    <row r="930" spans="1:34" s="53" customFormat="1" ht="11.25" customHeight="1" x14ac:dyDescent="0.2">
      <c r="A930" s="53" t="s">
        <v>505</v>
      </c>
      <c r="C930" s="54" t="s">
        <v>177</v>
      </c>
      <c r="D930" s="54">
        <v>2022</v>
      </c>
      <c r="E930" s="70">
        <v>44834</v>
      </c>
      <c r="F930" s="54"/>
      <c r="G930" s="54"/>
      <c r="H930" s="54"/>
      <c r="I930" s="54"/>
      <c r="J930" s="54"/>
      <c r="K930" s="106"/>
      <c r="L930" s="97">
        <f>SUM(L926:L929)</f>
        <v>119708</v>
      </c>
      <c r="M930" s="97">
        <f>SUM(M926:M929)</f>
        <v>51258</v>
      </c>
      <c r="N930" s="97">
        <f>SUM(N926:N929)</f>
        <v>68450</v>
      </c>
      <c r="O930" s="57">
        <f>IFERROR(N930/L930,"")</f>
        <v>0.57180806629465031</v>
      </c>
      <c r="P930" s="24">
        <f>SUM(P926:P929)</f>
        <v>119708</v>
      </c>
      <c r="Q930" s="24"/>
      <c r="R930" s="24">
        <f t="shared" ref="R930:W930" si="557">SUM(R926:R929)</f>
        <v>130.5</v>
      </c>
      <c r="S930" s="24">
        <f t="shared" si="557"/>
        <v>5770.66</v>
      </c>
      <c r="T930" s="24">
        <f t="shared" si="557"/>
        <v>3041.19</v>
      </c>
      <c r="U930" s="24">
        <f t="shared" si="557"/>
        <v>27575.66</v>
      </c>
      <c r="V930" s="24">
        <f t="shared" si="557"/>
        <v>11228.93</v>
      </c>
      <c r="W930" s="24">
        <f t="shared" si="557"/>
        <v>47616.439999999995</v>
      </c>
      <c r="X930" s="114">
        <f>IFERROR(S930/R930,"")</f>
        <v>44.219616858237544</v>
      </c>
      <c r="Y930" s="115">
        <f>IFERROR(U930/P930,0)</f>
        <v>0.23035770374578141</v>
      </c>
      <c r="Z930" s="116">
        <f>P930-W930</f>
        <v>72091.56</v>
      </c>
      <c r="AA930" s="115">
        <f>IFERROR(Z930/P930,"")</f>
        <v>0.60222842249473718</v>
      </c>
      <c r="AB930" s="120">
        <f t="shared" si="555"/>
        <v>3641.5600000000049</v>
      </c>
      <c r="AC930" s="57">
        <f>IFERROR(AA930-O930,"")</f>
        <v>3.0420356200086873E-2</v>
      </c>
      <c r="AD930" s="207"/>
      <c r="AG930" s="61"/>
    </row>
    <row r="931" spans="1:34" ht="11.25" customHeight="1" x14ac:dyDescent="0.15">
      <c r="A931" s="130" t="s">
        <v>53</v>
      </c>
      <c r="B931" s="130"/>
      <c r="C931" s="124"/>
      <c r="D931" s="124"/>
      <c r="E931" s="273"/>
      <c r="F931" s="124"/>
      <c r="G931" s="124"/>
      <c r="H931" s="124"/>
      <c r="I931" s="124"/>
      <c r="J931" s="124"/>
      <c r="K931" s="125"/>
      <c r="L931" s="129"/>
      <c r="M931" s="129"/>
      <c r="N931" s="129"/>
      <c r="O931" s="128"/>
      <c r="P931" s="129"/>
      <c r="Q931" s="124"/>
      <c r="R931" s="129"/>
      <c r="S931" s="129"/>
      <c r="T931" s="129"/>
      <c r="U931" s="129"/>
      <c r="V931" s="126"/>
      <c r="W931" s="49"/>
      <c r="X931" s="45"/>
      <c r="Y931" s="128"/>
      <c r="Z931" s="126"/>
      <c r="AA931" s="128"/>
      <c r="AB931" s="129"/>
      <c r="AC931" s="160"/>
      <c r="AD931" s="137"/>
      <c r="AE931" s="110"/>
      <c r="AF931" s="110"/>
      <c r="AG931" s="121"/>
      <c r="AH931" s="110"/>
    </row>
    <row r="932" spans="1:34" ht="11.25" customHeight="1" x14ac:dyDescent="0.15">
      <c r="A932" s="110" t="s">
        <v>510</v>
      </c>
      <c r="B932" s="110"/>
      <c r="C932" s="111" t="s">
        <v>37</v>
      </c>
      <c r="D932" s="111">
        <v>2022</v>
      </c>
      <c r="E932" s="146">
        <v>44865</v>
      </c>
      <c r="F932" s="111"/>
      <c r="G932" s="111">
        <v>110241122</v>
      </c>
      <c r="H932" s="111"/>
      <c r="I932" s="16" t="str">
        <f>MID(G932,2,1)</f>
        <v>1</v>
      </c>
      <c r="J932" s="111" t="s">
        <v>39</v>
      </c>
      <c r="K932" s="112" t="s">
        <v>511</v>
      </c>
      <c r="L932" s="219">
        <v>118432.68</v>
      </c>
      <c r="M932" s="219">
        <v>31392.1</v>
      </c>
      <c r="N932" s="219">
        <f>L932-M932</f>
        <v>87040.579999999987</v>
      </c>
      <c r="O932" s="163">
        <f>IFERROR(N932/L932,"")</f>
        <v>0.73493718119019169</v>
      </c>
      <c r="P932" s="132">
        <v>135258.23000000001</v>
      </c>
      <c r="Q932" s="111">
        <v>497</v>
      </c>
      <c r="R932" s="132">
        <v>58</v>
      </c>
      <c r="S932" s="132">
        <v>2259.0100000000002</v>
      </c>
      <c r="T932" s="132"/>
      <c r="U932" s="132">
        <v>31454.75</v>
      </c>
      <c r="V932" s="132"/>
      <c r="W932" s="67">
        <f>SUM(S932:V932)</f>
        <v>33713.760000000002</v>
      </c>
      <c r="X932" s="149">
        <f>IFERROR(S932/R932,"")</f>
        <v>38.94844827586207</v>
      </c>
      <c r="Y932" s="150">
        <f>IFERROR(U932/P932,0)</f>
        <v>0.23255331671869428</v>
      </c>
      <c r="Z932" s="131">
        <f>P932-W932</f>
        <v>101544.47</v>
      </c>
      <c r="AA932" s="150">
        <f>IFERROR(Z932/P932,"")</f>
        <v>0.75074522267517474</v>
      </c>
      <c r="AB932" s="120">
        <f t="shared" ref="AB932:AB943" si="558">M932-W932</f>
        <v>-2321.6600000000035</v>
      </c>
      <c r="AC932" s="119">
        <f>IFERROR(AA932-O932,"")</f>
        <v>1.5808041484983049E-2</v>
      </c>
      <c r="AD932" s="110" t="s">
        <v>512</v>
      </c>
      <c r="AE932" s="110"/>
      <c r="AF932" s="110"/>
      <c r="AG932" s="121"/>
      <c r="AH932" s="110"/>
    </row>
    <row r="933" spans="1:34" ht="11.25" customHeight="1" x14ac:dyDescent="0.15">
      <c r="A933" s="110" t="s">
        <v>510</v>
      </c>
      <c r="B933" s="110"/>
      <c r="C933" s="111" t="s">
        <v>37</v>
      </c>
      <c r="D933" s="111">
        <v>2022</v>
      </c>
      <c r="E933" s="146">
        <v>44865</v>
      </c>
      <c r="F933" s="111"/>
      <c r="G933" s="111">
        <v>910241622</v>
      </c>
      <c r="H933" s="111"/>
      <c r="I933" s="111"/>
      <c r="J933" s="111"/>
      <c r="K933" s="112" t="s">
        <v>513</v>
      </c>
      <c r="L933" s="120">
        <f>11654.33+1241.91</f>
        <v>12896.24</v>
      </c>
      <c r="M933" s="120">
        <f>434.67+3850.32</f>
        <v>4284.99</v>
      </c>
      <c r="N933" s="120">
        <f>L933-M933</f>
        <v>8611.25</v>
      </c>
      <c r="O933" s="119">
        <f>IFERROR(N933/L933,"")</f>
        <v>0.667733385855102</v>
      </c>
      <c r="P933" s="117">
        <v>27942</v>
      </c>
      <c r="Q933" s="111">
        <v>499</v>
      </c>
      <c r="R933" s="117">
        <v>3</v>
      </c>
      <c r="S933" s="117">
        <v>126.12</v>
      </c>
      <c r="T933" s="117"/>
      <c r="U933" s="117">
        <v>4502.3500000000004</v>
      </c>
      <c r="V933" s="117"/>
      <c r="W933" s="26">
        <f>SUM(S933:V933)</f>
        <v>4628.47</v>
      </c>
      <c r="X933" s="149">
        <f>IFERROR(S933/R933,"")</f>
        <v>42.04</v>
      </c>
      <c r="Y933" s="150">
        <f>IFERROR(U933/P933,0)</f>
        <v>0.16113198768878392</v>
      </c>
      <c r="Z933" s="131">
        <f>P933-W933</f>
        <v>23313.53</v>
      </c>
      <c r="AA933" s="150">
        <f>IFERROR(Z933/P933,"")</f>
        <v>0.83435437692362746</v>
      </c>
      <c r="AB933" s="120">
        <f t="shared" si="558"/>
        <v>-343.48000000000047</v>
      </c>
      <c r="AC933" s="119">
        <f>IFERROR(AA933-O933,"")</f>
        <v>0.16662099106852546</v>
      </c>
      <c r="AD933" s="195" t="s">
        <v>514</v>
      </c>
      <c r="AE933" s="110"/>
      <c r="AF933" s="110"/>
      <c r="AG933" s="121"/>
      <c r="AH933" s="110"/>
    </row>
    <row r="934" spans="1:34" ht="11.25" customHeight="1" x14ac:dyDescent="0.15">
      <c r="A934" s="110" t="s">
        <v>510</v>
      </c>
      <c r="B934" s="110"/>
      <c r="C934" s="111" t="s">
        <v>37</v>
      </c>
      <c r="D934" s="111">
        <v>2022</v>
      </c>
      <c r="E934" s="146">
        <v>44865</v>
      </c>
      <c r="F934" s="111"/>
      <c r="G934" s="111">
        <v>310800302</v>
      </c>
      <c r="H934" s="111"/>
      <c r="I934" s="111"/>
      <c r="J934" s="111"/>
      <c r="K934" s="112" t="s">
        <v>458</v>
      </c>
      <c r="L934" s="120">
        <v>40334.870000000003</v>
      </c>
      <c r="M934" s="120">
        <v>13310.51</v>
      </c>
      <c r="N934" s="120">
        <f>L934-M934</f>
        <v>27024.36</v>
      </c>
      <c r="O934" s="119">
        <f>IFERROR(N934/L934,"")</f>
        <v>0.66999992810191278</v>
      </c>
      <c r="P934" s="117">
        <v>40335</v>
      </c>
      <c r="Q934" s="111">
        <v>491</v>
      </c>
      <c r="R934" s="117">
        <v>33.5</v>
      </c>
      <c r="S934" s="117">
        <v>1351.34</v>
      </c>
      <c r="T934" s="117"/>
      <c r="U934" s="117">
        <v>13555.41</v>
      </c>
      <c r="V934" s="117"/>
      <c r="W934" s="26">
        <f>SUM(S934:V934)</f>
        <v>14906.75</v>
      </c>
      <c r="X934" s="149">
        <f>IFERROR(S934/R934,"")</f>
        <v>40.338507462686565</v>
      </c>
      <c r="Y934" s="150">
        <f>IFERROR(U934/P934,0)</f>
        <v>0.3360706582372629</v>
      </c>
      <c r="Z934" s="131">
        <f>P934-W934</f>
        <v>25428.25</v>
      </c>
      <c r="AA934" s="150">
        <f>IFERROR(Z934/P934,"")</f>
        <v>0.63042642865997278</v>
      </c>
      <c r="AB934" s="120">
        <f t="shared" si="558"/>
        <v>-1596.2399999999998</v>
      </c>
      <c r="AC934" s="119">
        <f>IFERROR(AA934-O934,"")</f>
        <v>-3.9573499441939997E-2</v>
      </c>
      <c r="AD934" s="110" t="s">
        <v>515</v>
      </c>
      <c r="AE934" s="110"/>
      <c r="AF934" s="110"/>
      <c r="AG934" s="121"/>
      <c r="AH934" s="110"/>
    </row>
    <row r="935" spans="1:34" ht="11.25" customHeight="1" x14ac:dyDescent="0.15">
      <c r="A935" s="110" t="s">
        <v>510</v>
      </c>
      <c r="B935" s="110"/>
      <c r="C935" s="111" t="s">
        <v>37</v>
      </c>
      <c r="D935" s="111">
        <v>2022</v>
      </c>
      <c r="E935" s="146">
        <v>44865</v>
      </c>
      <c r="F935" s="111"/>
      <c r="G935" s="111">
        <v>210100112</v>
      </c>
      <c r="H935" s="111"/>
      <c r="I935" s="111"/>
      <c r="J935" s="111"/>
      <c r="K935" s="112" t="s">
        <v>439</v>
      </c>
      <c r="L935" s="120">
        <v>15741.53</v>
      </c>
      <c r="M935" s="120">
        <v>5149.1000000000004</v>
      </c>
      <c r="N935" s="120">
        <f>L935-M935</f>
        <v>10592.43</v>
      </c>
      <c r="O935" s="119">
        <f>IFERROR(N935/L935,"")</f>
        <v>0.67289710720622453</v>
      </c>
      <c r="P935" s="132">
        <v>14711.71</v>
      </c>
      <c r="Q935" s="111">
        <v>498</v>
      </c>
      <c r="R935" s="132"/>
      <c r="S935" s="132"/>
      <c r="T935" s="132"/>
      <c r="U935" s="132">
        <v>5844.2</v>
      </c>
      <c r="V935" s="132"/>
      <c r="W935" s="67">
        <f>SUM(S935:V935)</f>
        <v>5844.2</v>
      </c>
      <c r="X935" s="149" t="str">
        <f>IFERROR(S935/R935,"")</f>
        <v/>
      </c>
      <c r="Y935" s="150">
        <f>IFERROR(U935/P935,0)</f>
        <v>0.39724817849182725</v>
      </c>
      <c r="Z935" s="131">
        <f>P935-W935</f>
        <v>8867.5099999999984</v>
      </c>
      <c r="AA935" s="150">
        <f>IFERROR(Z935/P935,"")</f>
        <v>0.60275182150817264</v>
      </c>
      <c r="AB935" s="120">
        <f t="shared" si="558"/>
        <v>-695.09999999999945</v>
      </c>
      <c r="AC935" s="119">
        <f>IFERROR(AA935-O935,"")</f>
        <v>-7.0145285698051896E-2</v>
      </c>
      <c r="AD935" s="110" t="s">
        <v>516</v>
      </c>
      <c r="AE935" s="110"/>
      <c r="AF935" s="110"/>
      <c r="AG935" s="121"/>
      <c r="AH935" s="110"/>
    </row>
    <row r="936" spans="1:34" ht="11.25" customHeight="1" x14ac:dyDescent="0.15">
      <c r="A936" s="110" t="s">
        <v>510</v>
      </c>
      <c r="B936" s="110"/>
      <c r="C936" s="111" t="s">
        <v>37</v>
      </c>
      <c r="D936" s="111">
        <v>2022</v>
      </c>
      <c r="E936" s="146">
        <v>44865</v>
      </c>
      <c r="F936" s="111"/>
      <c r="G936" s="111">
        <v>210500112</v>
      </c>
      <c r="H936" s="111"/>
      <c r="I936" s="111"/>
      <c r="J936" s="111"/>
      <c r="K936" s="112" t="s">
        <v>154</v>
      </c>
      <c r="L936" s="120">
        <v>25619.59</v>
      </c>
      <c r="M936" s="120">
        <v>7547.42</v>
      </c>
      <c r="N936" s="120">
        <f>L936-M936</f>
        <v>18072.169999999998</v>
      </c>
      <c r="O936" s="119">
        <f>IFERROR(N936/L936,"")</f>
        <v>0.70540434097501159</v>
      </c>
      <c r="P936" s="117">
        <v>21564.06</v>
      </c>
      <c r="Q936" s="111">
        <v>501</v>
      </c>
      <c r="R936" s="117"/>
      <c r="S936" s="117"/>
      <c r="T936" s="117"/>
      <c r="U936" s="117">
        <v>7579.34</v>
      </c>
      <c r="V936" s="117"/>
      <c r="W936" s="26">
        <f>SUM(S936:V936)</f>
        <v>7579.34</v>
      </c>
      <c r="X936" s="149" t="str">
        <f>IFERROR(S936/R936,"")</f>
        <v/>
      </c>
      <c r="Y936" s="150">
        <f>IFERROR(U936/P936,0)</f>
        <v>0.35148019436043121</v>
      </c>
      <c r="Z936" s="131">
        <f>P936-W936</f>
        <v>13984.720000000001</v>
      </c>
      <c r="AA936" s="150">
        <f>IFERROR(Z936/P936,"")</f>
        <v>0.64851980563956879</v>
      </c>
      <c r="AB936" s="120">
        <f t="shared" si="558"/>
        <v>-31.920000000000073</v>
      </c>
      <c r="AC936" s="119">
        <f>IFERROR(AA936-O936,"")</f>
        <v>-5.6884535335442798E-2</v>
      </c>
      <c r="AD936" s="110" t="s">
        <v>516</v>
      </c>
      <c r="AE936" s="110"/>
      <c r="AF936" s="110"/>
      <c r="AG936" s="121"/>
      <c r="AH936" s="110"/>
    </row>
    <row r="937" spans="1:34" s="53" customFormat="1" ht="11.25" customHeight="1" x14ac:dyDescent="0.15">
      <c r="A937" s="53" t="s">
        <v>510</v>
      </c>
      <c r="C937" s="54" t="s">
        <v>360</v>
      </c>
      <c r="D937" s="54">
        <v>2022</v>
      </c>
      <c r="E937" s="70">
        <v>44865</v>
      </c>
      <c r="F937" s="54"/>
      <c r="G937" s="54"/>
      <c r="H937" s="54"/>
      <c r="I937" s="54"/>
      <c r="J937" s="54"/>
      <c r="K937" s="106"/>
      <c r="L937" s="97">
        <f>SUM(L932:L936)</f>
        <v>213024.90999999997</v>
      </c>
      <c r="M937" s="97">
        <f>SUM(M932:M936)</f>
        <v>61684.119999999995</v>
      </c>
      <c r="N937" s="97">
        <f>SUM(N932:N936)</f>
        <v>151340.78999999998</v>
      </c>
      <c r="O937" s="57"/>
      <c r="P937" s="24">
        <f>SUM(P932:P936)</f>
        <v>239811</v>
      </c>
      <c r="Q937" s="24"/>
      <c r="R937" s="24">
        <f t="shared" ref="R937:W937" si="559">SUM(R932:R936)</f>
        <v>94.5</v>
      </c>
      <c r="S937" s="24">
        <f t="shared" si="559"/>
        <v>3736.4700000000003</v>
      </c>
      <c r="T937" s="24">
        <f t="shared" si="559"/>
        <v>0</v>
      </c>
      <c r="U937" s="24">
        <f t="shared" si="559"/>
        <v>62936.049999999988</v>
      </c>
      <c r="V937" s="24">
        <f t="shared" si="559"/>
        <v>0</v>
      </c>
      <c r="W937" s="24">
        <f t="shared" si="559"/>
        <v>66672.52</v>
      </c>
      <c r="X937" s="149"/>
      <c r="Y937" s="150"/>
      <c r="Z937" s="116"/>
      <c r="AA937" s="115"/>
      <c r="AB937" s="120">
        <f t="shared" si="558"/>
        <v>-4988.4000000000087</v>
      </c>
      <c r="AC937" s="57"/>
      <c r="AG937" s="61"/>
    </row>
    <row r="938" spans="1:34" ht="11.25" customHeight="1" x14ac:dyDescent="0.15">
      <c r="A938" s="110" t="s">
        <v>510</v>
      </c>
      <c r="B938" s="110"/>
      <c r="C938" s="111" t="s">
        <v>47</v>
      </c>
      <c r="D938" s="111">
        <v>2022</v>
      </c>
      <c r="E938" s="146">
        <v>44865</v>
      </c>
      <c r="F938" s="111"/>
      <c r="G938" s="111">
        <v>510241122</v>
      </c>
      <c r="H938" s="111"/>
      <c r="I938" s="111"/>
      <c r="J938" s="111"/>
      <c r="K938" s="112" t="s">
        <v>517</v>
      </c>
      <c r="L938" s="219">
        <v>27721.599999999999</v>
      </c>
      <c r="M938" s="219">
        <v>10702.56</v>
      </c>
      <c r="N938" s="219">
        <f>L938-M938</f>
        <v>17019.04</v>
      </c>
      <c r="O938" s="119">
        <f t="shared" ref="O938:O943" si="560">IFERROR(N938/L938,"")</f>
        <v>0.61392704605794768</v>
      </c>
      <c r="P938" s="132">
        <v>27722</v>
      </c>
      <c r="Q938" s="111">
        <v>492</v>
      </c>
      <c r="R938" s="132">
        <v>156</v>
      </c>
      <c r="S938" s="132">
        <v>7161.96</v>
      </c>
      <c r="T938" s="132">
        <v>5714.48</v>
      </c>
      <c r="U938" s="132">
        <v>7115.64</v>
      </c>
      <c r="V938" s="132"/>
      <c r="W938" s="67">
        <f>SUM(S938:V938)</f>
        <v>19992.079999999998</v>
      </c>
      <c r="X938" s="149">
        <f t="shared" ref="X938:X943" si="561">IFERROR(S938/R938,"")</f>
        <v>45.910000000000004</v>
      </c>
      <c r="Y938" s="150">
        <f t="shared" ref="Y938:Y943" si="562">IFERROR(U938/P938,0)</f>
        <v>0.25667845032825914</v>
      </c>
      <c r="Z938" s="131">
        <f t="shared" ref="Z938:Z943" si="563">P938-W938</f>
        <v>7729.9200000000019</v>
      </c>
      <c r="AA938" s="150">
        <f t="shared" ref="AA938:AA943" si="564">IFERROR(Z938/P938,"")</f>
        <v>0.27883702474568939</v>
      </c>
      <c r="AB938" s="120">
        <f t="shared" si="558"/>
        <v>-9289.5199999999986</v>
      </c>
      <c r="AC938" s="119">
        <f t="shared" ref="AC938:AC943" si="565">IFERROR(AA938-O938,"")</f>
        <v>-0.33509002131225829</v>
      </c>
      <c r="AD938" s="110" t="s">
        <v>518</v>
      </c>
      <c r="AE938" s="110"/>
      <c r="AF938" s="110"/>
      <c r="AG938" s="121"/>
      <c r="AH938" s="110"/>
    </row>
    <row r="939" spans="1:34" ht="11.25" customHeight="1" x14ac:dyDescent="0.15">
      <c r="A939" s="110" t="s">
        <v>510</v>
      </c>
      <c r="B939" s="110"/>
      <c r="C939" s="111" t="s">
        <v>49</v>
      </c>
      <c r="D939" s="111">
        <v>2022</v>
      </c>
      <c r="E939" s="146">
        <v>44865</v>
      </c>
      <c r="F939" s="111"/>
      <c r="G939" s="111">
        <v>616120022</v>
      </c>
      <c r="H939" s="111"/>
      <c r="I939" s="111"/>
      <c r="J939" s="111"/>
      <c r="K939" s="112" t="s">
        <v>519</v>
      </c>
      <c r="L939" s="120">
        <v>8858</v>
      </c>
      <c r="M939" s="120">
        <v>3380.08</v>
      </c>
      <c r="N939" s="120">
        <f>L939-M939</f>
        <v>5477.92</v>
      </c>
      <c r="O939" s="119">
        <f t="shared" si="560"/>
        <v>0.61841499209753892</v>
      </c>
      <c r="P939" s="117">
        <v>8858</v>
      </c>
      <c r="Q939" s="111">
        <v>495</v>
      </c>
      <c r="R939" s="117">
        <v>64</v>
      </c>
      <c r="S939" s="117">
        <v>3619.2</v>
      </c>
      <c r="T939" s="117">
        <v>2844</v>
      </c>
      <c r="U939" s="117"/>
      <c r="V939" s="117"/>
      <c r="W939" s="26">
        <f>SUM(S939:V939)</f>
        <v>6463.2</v>
      </c>
      <c r="X939" s="149">
        <f t="shared" si="561"/>
        <v>56.55</v>
      </c>
      <c r="Y939" s="150">
        <f t="shared" si="562"/>
        <v>0</v>
      </c>
      <c r="Z939" s="131">
        <f t="shared" si="563"/>
        <v>2394.8000000000002</v>
      </c>
      <c r="AA939" s="150">
        <f t="shared" si="564"/>
        <v>0.27035448182433958</v>
      </c>
      <c r="AB939" s="120">
        <f t="shared" si="558"/>
        <v>-3083.12</v>
      </c>
      <c r="AC939" s="119">
        <f t="shared" si="565"/>
        <v>-0.34806051027319934</v>
      </c>
      <c r="AD939" s="110" t="s">
        <v>520</v>
      </c>
      <c r="AE939" s="110"/>
      <c r="AF939" s="110"/>
      <c r="AG939" s="121"/>
      <c r="AH939" s="110"/>
    </row>
    <row r="940" spans="1:34" ht="11.25" customHeight="1" x14ac:dyDescent="0.15">
      <c r="A940" s="110" t="s">
        <v>510</v>
      </c>
      <c r="B940" s="110"/>
      <c r="C940" s="111" t="s">
        <v>58</v>
      </c>
      <c r="D940" s="111">
        <v>2022</v>
      </c>
      <c r="E940" s="146">
        <v>44865</v>
      </c>
      <c r="F940" s="111"/>
      <c r="G940" s="111">
        <v>711120022</v>
      </c>
      <c r="H940" s="111"/>
      <c r="I940" s="111"/>
      <c r="J940" s="111"/>
      <c r="K940" s="112" t="s">
        <v>521</v>
      </c>
      <c r="L940" s="120">
        <v>33401</v>
      </c>
      <c r="M940" s="120">
        <v>3340</v>
      </c>
      <c r="N940" s="120">
        <f>L940-M940</f>
        <v>30061</v>
      </c>
      <c r="O940" s="119">
        <f t="shared" si="560"/>
        <v>0.90000299392233762</v>
      </c>
      <c r="P940" s="117">
        <v>33401</v>
      </c>
      <c r="Q940" s="111">
        <v>494</v>
      </c>
      <c r="R940" s="117"/>
      <c r="S940" s="117"/>
      <c r="T940" s="117"/>
      <c r="U940" s="117">
        <v>2238.4899999999998</v>
      </c>
      <c r="V940" s="117"/>
      <c r="W940" s="26">
        <f>SUM(S940:V940)</f>
        <v>2238.4899999999998</v>
      </c>
      <c r="X940" s="149" t="str">
        <f t="shared" si="561"/>
        <v/>
      </c>
      <c r="Y940" s="150">
        <f t="shared" si="562"/>
        <v>6.7018652136163578E-2</v>
      </c>
      <c r="Z940" s="131">
        <f t="shared" si="563"/>
        <v>31162.510000000002</v>
      </c>
      <c r="AA940" s="150">
        <f t="shared" si="564"/>
        <v>0.93298134786383646</v>
      </c>
      <c r="AB940" s="120">
        <f t="shared" si="558"/>
        <v>1101.5100000000002</v>
      </c>
      <c r="AC940" s="119">
        <f t="shared" si="565"/>
        <v>3.2978353941498839E-2</v>
      </c>
      <c r="AD940" s="110"/>
      <c r="AE940" s="110"/>
      <c r="AF940" s="110"/>
      <c r="AG940" s="121"/>
      <c r="AH940" s="110"/>
    </row>
    <row r="941" spans="1:34" ht="11.25" customHeight="1" x14ac:dyDescent="0.15">
      <c r="A941" s="110" t="s">
        <v>510</v>
      </c>
      <c r="B941" s="110"/>
      <c r="C941" s="111" t="s">
        <v>248</v>
      </c>
      <c r="D941" s="111">
        <v>2022</v>
      </c>
      <c r="E941" s="146">
        <v>44865</v>
      </c>
      <c r="F941" s="111"/>
      <c r="G941" s="111">
        <v>960000002</v>
      </c>
      <c r="H941" s="111"/>
      <c r="I941" s="111"/>
      <c r="J941" s="111"/>
      <c r="K941" s="112" t="s">
        <v>250</v>
      </c>
      <c r="L941" s="120">
        <v>14755.26</v>
      </c>
      <c r="M941" s="120">
        <v>7378</v>
      </c>
      <c r="N941" s="120">
        <f>L941-M941</f>
        <v>7377.26</v>
      </c>
      <c r="O941" s="119">
        <f t="shared" si="560"/>
        <v>0.49997492419652384</v>
      </c>
      <c r="P941" s="117">
        <v>14756</v>
      </c>
      <c r="Q941" s="111">
        <v>493</v>
      </c>
      <c r="R941" s="117">
        <v>13</v>
      </c>
      <c r="S941" s="117">
        <v>735.15</v>
      </c>
      <c r="T941" s="117">
        <v>225</v>
      </c>
      <c r="U941" s="117"/>
      <c r="V941" s="117"/>
      <c r="W941" s="26">
        <f>SUM(S941:V941)</f>
        <v>960.15</v>
      </c>
      <c r="X941" s="149">
        <f t="shared" si="561"/>
        <v>56.55</v>
      </c>
      <c r="Y941" s="150">
        <f t="shared" si="562"/>
        <v>0</v>
      </c>
      <c r="Z941" s="131">
        <f t="shared" si="563"/>
        <v>13795.85</v>
      </c>
      <c r="AA941" s="150">
        <f t="shared" si="564"/>
        <v>0.93493155326646793</v>
      </c>
      <c r="AB941" s="120">
        <f t="shared" si="558"/>
        <v>6417.85</v>
      </c>
      <c r="AC941" s="119">
        <f t="shared" si="565"/>
        <v>0.43495662906994409</v>
      </c>
      <c r="AD941" s="110"/>
      <c r="AE941" s="110"/>
      <c r="AF941" s="110"/>
      <c r="AG941" s="121"/>
      <c r="AH941" s="110"/>
    </row>
    <row r="942" spans="1:34" ht="11.25" customHeight="1" x14ac:dyDescent="0.15">
      <c r="A942" s="110" t="s">
        <v>510</v>
      </c>
      <c r="B942" s="110"/>
      <c r="C942" s="111" t="s">
        <v>55</v>
      </c>
      <c r="D942" s="111">
        <v>2022</v>
      </c>
      <c r="E942" s="146">
        <v>44865</v>
      </c>
      <c r="F942" s="111"/>
      <c r="G942" s="111" t="s">
        <v>56</v>
      </c>
      <c r="H942" s="111"/>
      <c r="I942" s="111"/>
      <c r="J942" s="111"/>
      <c r="K942" s="112" t="s">
        <v>71</v>
      </c>
      <c r="L942" s="120">
        <v>12014</v>
      </c>
      <c r="M942" s="120">
        <v>6007</v>
      </c>
      <c r="N942" s="120">
        <f>L942-M942</f>
        <v>6007</v>
      </c>
      <c r="O942" s="119">
        <f t="shared" si="560"/>
        <v>0.5</v>
      </c>
      <c r="P942" s="117">
        <v>12014</v>
      </c>
      <c r="Q942" s="111">
        <v>496</v>
      </c>
      <c r="R942" s="117">
        <v>26.5</v>
      </c>
      <c r="S942" s="117">
        <v>1126.25</v>
      </c>
      <c r="T942" s="117"/>
      <c r="U942" s="117"/>
      <c r="V942" s="117">
        <v>4517.6099999999997</v>
      </c>
      <c r="W942" s="26">
        <f>SUM(S942:V942)</f>
        <v>5643.86</v>
      </c>
      <c r="X942" s="149">
        <f t="shared" si="561"/>
        <v>42.5</v>
      </c>
      <c r="Y942" s="150">
        <f t="shared" si="562"/>
        <v>0</v>
      </c>
      <c r="Z942" s="131">
        <f t="shared" si="563"/>
        <v>6370.14</v>
      </c>
      <c r="AA942" s="150">
        <f t="shared" si="564"/>
        <v>0.53022640253038122</v>
      </c>
      <c r="AB942" s="120">
        <f t="shared" si="558"/>
        <v>363.14000000000033</v>
      </c>
      <c r="AC942" s="119">
        <f t="shared" si="565"/>
        <v>3.0226402530381224E-2</v>
      </c>
      <c r="AD942" s="110"/>
      <c r="AE942" s="110"/>
      <c r="AF942" s="110"/>
      <c r="AG942" s="121"/>
      <c r="AH942" s="110"/>
    </row>
    <row r="943" spans="1:34" s="53" customFormat="1" ht="11.25" customHeight="1" x14ac:dyDescent="0.2">
      <c r="A943" s="53" t="s">
        <v>510</v>
      </c>
      <c r="C943" s="54" t="s">
        <v>177</v>
      </c>
      <c r="D943" s="54">
        <v>2022</v>
      </c>
      <c r="E943" s="70">
        <v>44865</v>
      </c>
      <c r="F943" s="54"/>
      <c r="G943" s="54"/>
      <c r="H943" s="54"/>
      <c r="I943" s="54"/>
      <c r="J943" s="54"/>
      <c r="K943" s="106"/>
      <c r="L943" s="97">
        <f>SUM(L937:L942)</f>
        <v>309774.77</v>
      </c>
      <c r="M943" s="97">
        <f>SUM(M937:M942)</f>
        <v>92491.76</v>
      </c>
      <c r="N943" s="97">
        <f>SUM(N937:N942)</f>
        <v>217283.01</v>
      </c>
      <c r="O943" s="57">
        <f t="shared" si="560"/>
        <v>0.70142255290835986</v>
      </c>
      <c r="P943" s="24">
        <f>SUM(P937:P942)</f>
        <v>336562</v>
      </c>
      <c r="Q943" s="24"/>
      <c r="R943" s="24">
        <f t="shared" ref="R943:W943" si="566">SUM(R937:R942)</f>
        <v>354</v>
      </c>
      <c r="S943" s="24">
        <f t="shared" si="566"/>
        <v>16379.03</v>
      </c>
      <c r="T943" s="24">
        <f t="shared" si="566"/>
        <v>8783.48</v>
      </c>
      <c r="U943" s="24">
        <f t="shared" si="566"/>
        <v>72290.179999999993</v>
      </c>
      <c r="V943" s="24">
        <f t="shared" si="566"/>
        <v>4517.6099999999997</v>
      </c>
      <c r="W943" s="24">
        <f t="shared" si="566"/>
        <v>101970.3</v>
      </c>
      <c r="X943" s="114">
        <f t="shared" si="561"/>
        <v>46.26844632768362</v>
      </c>
      <c r="Y943" s="115">
        <f t="shared" si="562"/>
        <v>0.21479008325360555</v>
      </c>
      <c r="Z943" s="116">
        <f t="shared" si="563"/>
        <v>234591.7</v>
      </c>
      <c r="AA943" s="115">
        <f t="shared" si="564"/>
        <v>0.69702372816895553</v>
      </c>
      <c r="AB943" s="120">
        <f t="shared" si="558"/>
        <v>-9478.5400000000081</v>
      </c>
      <c r="AC943" s="57">
        <f t="shared" si="565"/>
        <v>-4.3988247394043389E-3</v>
      </c>
      <c r="AD943" s="207"/>
      <c r="AG943" s="61"/>
    </row>
    <row r="944" spans="1:34" ht="11.25" customHeight="1" x14ac:dyDescent="0.15">
      <c r="A944" s="130" t="s">
        <v>53</v>
      </c>
      <c r="B944" s="130"/>
      <c r="C944" s="124"/>
      <c r="D944" s="124"/>
      <c r="E944" s="273"/>
      <c r="F944" s="124"/>
      <c r="G944" s="124"/>
      <c r="H944" s="124"/>
      <c r="I944" s="124"/>
      <c r="J944" s="124"/>
      <c r="K944" s="125"/>
      <c r="L944" s="129"/>
      <c r="M944" s="129"/>
      <c r="N944" s="129"/>
      <c r="O944" s="128"/>
      <c r="P944" s="129"/>
      <c r="Q944" s="124"/>
      <c r="R944" s="129"/>
      <c r="S944" s="129"/>
      <c r="T944" s="129"/>
      <c r="U944" s="129"/>
      <c r="V944" s="126"/>
      <c r="W944" s="49"/>
      <c r="X944" s="45"/>
      <c r="Y944" s="128"/>
      <c r="Z944" s="126"/>
      <c r="AA944" s="128"/>
      <c r="AB944" s="129"/>
      <c r="AC944" s="160"/>
      <c r="AD944" s="137"/>
      <c r="AE944" s="110"/>
      <c r="AF944" s="110"/>
      <c r="AG944" s="121"/>
      <c r="AH944" s="110"/>
    </row>
    <row r="945" spans="1:34" ht="11.25" customHeight="1" x14ac:dyDescent="0.15">
      <c r="A945" s="110" t="s">
        <v>174</v>
      </c>
      <c r="B945" s="110"/>
      <c r="C945" s="111" t="s">
        <v>175</v>
      </c>
      <c r="D945" s="111">
        <v>2022</v>
      </c>
      <c r="E945" s="146">
        <v>44865</v>
      </c>
      <c r="F945" s="111"/>
      <c r="G945" s="111">
        <v>811000112</v>
      </c>
      <c r="H945" s="111">
        <v>4101</v>
      </c>
      <c r="I945" s="111" t="str">
        <f>MID(G945,2,1)</f>
        <v>1</v>
      </c>
      <c r="J945" s="111" t="str">
        <f>IF(I945="1","Small/Medium","Large")</f>
        <v>Small/Medium</v>
      </c>
      <c r="K945" s="147" t="s">
        <v>145</v>
      </c>
      <c r="L945" s="120">
        <f>P945</f>
        <v>6465</v>
      </c>
      <c r="M945" s="120">
        <f>L945*0.3</f>
        <v>1939.5</v>
      </c>
      <c r="N945" s="120">
        <f>L945-M945</f>
        <v>4525.5</v>
      </c>
      <c r="O945" s="119">
        <f>IFERROR(N945/L945,"")</f>
        <v>0.7</v>
      </c>
      <c r="P945" s="153">
        <v>6465</v>
      </c>
      <c r="Q945" s="111">
        <v>813</v>
      </c>
      <c r="R945" s="132">
        <v>10.5</v>
      </c>
      <c r="S945" s="132">
        <v>471.24</v>
      </c>
      <c r="T945" s="132">
        <v>638.85</v>
      </c>
      <c r="U945" s="132">
        <v>350</v>
      </c>
      <c r="V945" s="132">
        <v>0</v>
      </c>
      <c r="W945" s="67">
        <f>SUM(S945:V945)</f>
        <v>1460.0900000000001</v>
      </c>
      <c r="X945" s="118">
        <f>IFERROR(S945/R945,"")</f>
        <v>44.88</v>
      </c>
      <c r="Y945" s="119">
        <f>U945/P945</f>
        <v>5.4137664346481054E-2</v>
      </c>
      <c r="Z945" s="117">
        <f>P945-W945</f>
        <v>5004.91</v>
      </c>
      <c r="AA945" s="119">
        <f>Z945/P945</f>
        <v>0.77415467904098989</v>
      </c>
      <c r="AB945" s="120">
        <f t="shared" ref="AB945:AB947" si="567">M945-W945</f>
        <v>479.40999999999985</v>
      </c>
      <c r="AC945" s="119">
        <f>IFERROR(AA945-O945,"")</f>
        <v>7.4154679040989935E-2</v>
      </c>
      <c r="AD945" s="110"/>
      <c r="AE945" s="110"/>
      <c r="AF945" s="110"/>
      <c r="AG945" s="121"/>
      <c r="AH945" s="110"/>
    </row>
    <row r="946" spans="1:34" ht="11.25" customHeight="1" x14ac:dyDescent="0.15">
      <c r="A946" s="110" t="s">
        <v>174</v>
      </c>
      <c r="B946" s="110"/>
      <c r="C946" s="111" t="s">
        <v>175</v>
      </c>
      <c r="D946" s="111">
        <v>2022</v>
      </c>
      <c r="E946" s="146">
        <v>44865</v>
      </c>
      <c r="F946" s="111"/>
      <c r="G946" s="111">
        <v>821000112</v>
      </c>
      <c r="H946" s="111">
        <v>4101</v>
      </c>
      <c r="I946" s="111" t="str">
        <f>MID(G946,2,1)</f>
        <v>2</v>
      </c>
      <c r="J946" s="111" t="str">
        <f>IF(I946="1","Small/Medium","Large")</f>
        <v>Large</v>
      </c>
      <c r="K946" s="147" t="s">
        <v>176</v>
      </c>
      <c r="L946" s="120">
        <f>P946</f>
        <v>12007.33</v>
      </c>
      <c r="M946" s="120">
        <f>L946*0.3</f>
        <v>3602.1990000000001</v>
      </c>
      <c r="N946" s="120">
        <f>L946-M946</f>
        <v>8405.1309999999994</v>
      </c>
      <c r="O946" s="119">
        <f>IFERROR(N946/L946,"")</f>
        <v>0.7</v>
      </c>
      <c r="P946" s="148">
        <v>12007.33</v>
      </c>
      <c r="Q946" s="111">
        <v>814</v>
      </c>
      <c r="R946" s="117">
        <v>15.5</v>
      </c>
      <c r="S946" s="117">
        <v>695.64</v>
      </c>
      <c r="T946" s="117">
        <v>1186.43</v>
      </c>
      <c r="U946" s="117">
        <v>650</v>
      </c>
      <c r="V946" s="117">
        <v>0</v>
      </c>
      <c r="W946" s="26">
        <f>SUM(S946:V946)</f>
        <v>2532.0700000000002</v>
      </c>
      <c r="X946" s="118">
        <f>IFERROR(S946/R946,"")</f>
        <v>44.88</v>
      </c>
      <c r="Y946" s="119">
        <f>U946/P946</f>
        <v>5.4133600059297113E-2</v>
      </c>
      <c r="Z946" s="117">
        <f>P946-W946</f>
        <v>9475.26</v>
      </c>
      <c r="AA946" s="119">
        <f>Z946/P946</f>
        <v>0.78912297738131632</v>
      </c>
      <c r="AB946" s="120">
        <f t="shared" si="567"/>
        <v>1070.1289999999999</v>
      </c>
      <c r="AC946" s="119">
        <f>IFERROR(AA946-O946,"")</f>
        <v>8.9122977381316359E-2</v>
      </c>
      <c r="AD946" s="110"/>
      <c r="AE946" s="110"/>
      <c r="AF946" s="110"/>
      <c r="AG946" s="121"/>
      <c r="AH946" s="110"/>
    </row>
    <row r="947" spans="1:34" s="53" customFormat="1" ht="11.25" customHeight="1" x14ac:dyDescent="0.15">
      <c r="A947" s="53" t="s">
        <v>174</v>
      </c>
      <c r="C947" s="54" t="s">
        <v>177</v>
      </c>
      <c r="D947" s="54">
        <v>2022</v>
      </c>
      <c r="E947" s="70">
        <v>44865</v>
      </c>
      <c r="F947" s="54"/>
      <c r="G947" s="54"/>
      <c r="H947" s="54"/>
      <c r="I947" s="54"/>
      <c r="J947" s="54"/>
      <c r="K947" s="106"/>
      <c r="L947" s="24">
        <f>P947</f>
        <v>18472.330000000002</v>
      </c>
      <c r="M947" s="24">
        <f>SUM(M945:M946)</f>
        <v>5541.6990000000005</v>
      </c>
      <c r="N947" s="24">
        <f>SUM(N945:N946)</f>
        <v>12930.630999999999</v>
      </c>
      <c r="O947" s="57">
        <f>IFERROR(N947/L947,"")</f>
        <v>0.7</v>
      </c>
      <c r="P947" s="24">
        <f>SUM(P945:P946)</f>
        <v>18472.330000000002</v>
      </c>
      <c r="Q947" s="24"/>
      <c r="R947" s="24">
        <f t="shared" ref="R947:W947" si="568">SUM(R945:R946)</f>
        <v>26</v>
      </c>
      <c r="S947" s="24">
        <f t="shared" si="568"/>
        <v>1166.8800000000001</v>
      </c>
      <c r="T947" s="24">
        <f t="shared" si="568"/>
        <v>1825.2800000000002</v>
      </c>
      <c r="U947" s="24">
        <f t="shared" si="568"/>
        <v>1000</v>
      </c>
      <c r="V947" s="24">
        <f t="shared" si="568"/>
        <v>0</v>
      </c>
      <c r="W947" s="24">
        <f t="shared" si="568"/>
        <v>3992.1600000000003</v>
      </c>
      <c r="X947" s="114">
        <f>IFERROR(S947/R947,"")</f>
        <v>44.88</v>
      </c>
      <c r="Y947" s="115">
        <f>IFERROR(U947/P947,0)</f>
        <v>5.4135022490395091E-2</v>
      </c>
      <c r="Z947" s="116">
        <f>P947-W947</f>
        <v>14480.170000000002</v>
      </c>
      <c r="AA947" s="115">
        <f>IFERROR(Z947/P947,"")</f>
        <v>0.78388432861474433</v>
      </c>
      <c r="AB947" s="120">
        <f t="shared" si="567"/>
        <v>1549.5390000000002</v>
      </c>
      <c r="AC947" s="57">
        <f>IFERROR(AA947-O947,"")</f>
        <v>8.3884328614744375E-2</v>
      </c>
      <c r="AG947" s="61"/>
    </row>
    <row r="948" spans="1:34" ht="11.25" customHeight="1" x14ac:dyDescent="0.15">
      <c r="A948" s="130" t="s">
        <v>53</v>
      </c>
      <c r="B948" s="130"/>
      <c r="C948" s="124"/>
      <c r="D948" s="124"/>
      <c r="E948" s="273"/>
      <c r="F948" s="124"/>
      <c r="G948" s="124"/>
      <c r="H948" s="124"/>
      <c r="I948" s="124"/>
      <c r="J948" s="124"/>
      <c r="K948" s="125"/>
      <c r="L948" s="129"/>
      <c r="M948" s="129"/>
      <c r="N948" s="129"/>
      <c r="O948" s="128"/>
      <c r="P948" s="129"/>
      <c r="Q948" s="124"/>
      <c r="R948" s="129"/>
      <c r="S948" s="129"/>
      <c r="T948" s="129"/>
      <c r="U948" s="129"/>
      <c r="V948" s="126"/>
      <c r="W948" s="49"/>
      <c r="X948" s="45"/>
      <c r="Y948" s="128"/>
      <c r="Z948" s="126"/>
      <c r="AA948" s="128"/>
      <c r="AB948" s="129"/>
      <c r="AC948" s="160"/>
      <c r="AD948" s="137"/>
      <c r="AE948" s="110"/>
      <c r="AF948" s="110"/>
      <c r="AG948" s="121"/>
      <c r="AH948" s="110"/>
    </row>
    <row r="949" spans="1:34" ht="11.25" customHeight="1" x14ac:dyDescent="0.15">
      <c r="A949" s="110" t="s">
        <v>195</v>
      </c>
      <c r="B949" s="110"/>
      <c r="C949" s="111" t="s">
        <v>175</v>
      </c>
      <c r="D949" s="111">
        <v>2022</v>
      </c>
      <c r="E949" s="146">
        <v>44865</v>
      </c>
      <c r="F949" s="111"/>
      <c r="G949" s="111">
        <v>811101112</v>
      </c>
      <c r="H949" s="111">
        <v>4101</v>
      </c>
      <c r="I949" s="111" t="str">
        <f>MID(G949,2,1)</f>
        <v>1</v>
      </c>
      <c r="J949" s="111" t="str">
        <f>IF(I949="1","Small/Medium","Large")</f>
        <v>Small/Medium</v>
      </c>
      <c r="K949" s="147" t="s">
        <v>145</v>
      </c>
      <c r="L949" s="120">
        <f>P949</f>
        <v>10962</v>
      </c>
      <c r="M949" s="120">
        <f>L949*0.3</f>
        <v>3288.6</v>
      </c>
      <c r="N949" s="120">
        <f>L949-M949</f>
        <v>7673.4</v>
      </c>
      <c r="O949" s="119">
        <f>IFERROR(N949/L949,"")</f>
        <v>0.7</v>
      </c>
      <c r="P949" s="117">
        <v>10962</v>
      </c>
      <c r="Q949" s="111">
        <v>842</v>
      </c>
      <c r="R949" s="117">
        <v>12.5</v>
      </c>
      <c r="S949" s="117">
        <v>561</v>
      </c>
      <c r="T949" s="117">
        <v>729.76</v>
      </c>
      <c r="U949" s="117">
        <v>534.27</v>
      </c>
      <c r="V949" s="117">
        <v>518.04</v>
      </c>
      <c r="W949" s="26">
        <f>SUM(S949:V949)</f>
        <v>2343.0699999999997</v>
      </c>
      <c r="X949" s="118">
        <f>IFERROR(S949/R949,"")</f>
        <v>44.88</v>
      </c>
      <c r="Y949" s="119">
        <f>U949/P949</f>
        <v>4.8738368910782703E-2</v>
      </c>
      <c r="Z949" s="117">
        <f>P949-W949</f>
        <v>8618.93</v>
      </c>
      <c r="AA949" s="119">
        <f>Z949/P949</f>
        <v>0.78625524539317648</v>
      </c>
      <c r="AB949" s="120">
        <f t="shared" ref="AB949:AB951" si="569">M949-W949</f>
        <v>945.5300000000002</v>
      </c>
      <c r="AC949" s="119">
        <f>IFERROR(AA949-O949,"")</f>
        <v>8.6255245393176527E-2</v>
      </c>
      <c r="AD949" s="110"/>
      <c r="AE949" s="110"/>
      <c r="AF949" s="110"/>
      <c r="AG949" s="121"/>
      <c r="AH949" s="110"/>
    </row>
    <row r="950" spans="1:34" ht="11.25" customHeight="1" x14ac:dyDescent="0.15">
      <c r="A950" s="110" t="s">
        <v>195</v>
      </c>
      <c r="B950" s="110"/>
      <c r="C950" s="111" t="s">
        <v>175</v>
      </c>
      <c r="D950" s="111">
        <v>2022</v>
      </c>
      <c r="E950" s="146">
        <v>44865</v>
      </c>
      <c r="F950" s="111"/>
      <c r="G950" s="111">
        <v>821101112</v>
      </c>
      <c r="H950" s="111">
        <v>4101</v>
      </c>
      <c r="I950" s="111" t="str">
        <f>MID(G950,2,1)</f>
        <v>2</v>
      </c>
      <c r="J950" s="111" t="str">
        <f>IF(I950="1","Small/Medium","Large")</f>
        <v>Large</v>
      </c>
      <c r="K950" s="147" t="s">
        <v>176</v>
      </c>
      <c r="L950" s="120">
        <f>P950</f>
        <v>20358</v>
      </c>
      <c r="M950" s="120">
        <f>L950*0.3</f>
        <v>6107.4</v>
      </c>
      <c r="N950" s="120">
        <f>L950-M950</f>
        <v>14250.6</v>
      </c>
      <c r="O950" s="119">
        <f>IFERROR(N950/L950,"")</f>
        <v>0.70000000000000007</v>
      </c>
      <c r="P950" s="117">
        <v>20358</v>
      </c>
      <c r="Q950" s="111">
        <v>843</v>
      </c>
      <c r="R950" s="117">
        <v>12.5</v>
      </c>
      <c r="S950" s="117">
        <v>561</v>
      </c>
      <c r="T950" s="117">
        <v>1355.28</v>
      </c>
      <c r="U950" s="117">
        <v>381.19</v>
      </c>
      <c r="V950" s="117">
        <v>14.21</v>
      </c>
      <c r="W950" s="26">
        <f>SUM(S950:V950)</f>
        <v>2311.6799999999998</v>
      </c>
      <c r="X950" s="118">
        <f>IFERROR(S950/R950,"")</f>
        <v>44.88</v>
      </c>
      <c r="Y950" s="119">
        <f>U950/P950</f>
        <v>1.8724334413989588E-2</v>
      </c>
      <c r="Z950" s="117">
        <f>P950-W950</f>
        <v>18046.32</v>
      </c>
      <c r="AA950" s="119">
        <f>Z950/P950</f>
        <v>0.88644857058650162</v>
      </c>
      <c r="AB950" s="120">
        <f t="shared" si="569"/>
        <v>3795.72</v>
      </c>
      <c r="AC950" s="119">
        <f>IFERROR(AA950-O950,"")</f>
        <v>0.18644857058650155</v>
      </c>
      <c r="AD950" s="110"/>
      <c r="AE950" s="110"/>
      <c r="AF950" s="110"/>
      <c r="AG950" s="121"/>
      <c r="AH950" s="110"/>
    </row>
    <row r="951" spans="1:34" s="53" customFormat="1" ht="11.25" customHeight="1" x14ac:dyDescent="0.15">
      <c r="A951" s="53" t="s">
        <v>195</v>
      </c>
      <c r="C951" s="54" t="s">
        <v>177</v>
      </c>
      <c r="D951" s="54">
        <v>2022</v>
      </c>
      <c r="E951" s="70">
        <v>44865</v>
      </c>
      <c r="F951" s="54"/>
      <c r="G951" s="54"/>
      <c r="H951" s="54"/>
      <c r="I951" s="54"/>
      <c r="J951" s="54"/>
      <c r="K951" s="106"/>
      <c r="L951" s="24">
        <f>SUM(L949:L950)</f>
        <v>31320</v>
      </c>
      <c r="M951" s="24">
        <f>SUM(M949:M950)</f>
        <v>9396</v>
      </c>
      <c r="N951" s="24">
        <f>SUM(N949:N950)</f>
        <v>21924</v>
      </c>
      <c r="O951" s="57">
        <f>IFERROR(N951/L951,"")</f>
        <v>0.7</v>
      </c>
      <c r="P951" s="24">
        <f>SUM(P949:P950)</f>
        <v>31320</v>
      </c>
      <c r="Q951" s="24"/>
      <c r="R951" s="24">
        <f t="shared" ref="R951:W951" si="570">SUM(R949:R950)</f>
        <v>25</v>
      </c>
      <c r="S951" s="24">
        <f t="shared" si="570"/>
        <v>1122</v>
      </c>
      <c r="T951" s="24">
        <f t="shared" si="570"/>
        <v>2085.04</v>
      </c>
      <c r="U951" s="24">
        <f t="shared" si="570"/>
        <v>915.46</v>
      </c>
      <c r="V951" s="24">
        <f t="shared" si="570"/>
        <v>532.25</v>
      </c>
      <c r="W951" s="24">
        <f t="shared" si="570"/>
        <v>4654.75</v>
      </c>
      <c r="X951" s="114">
        <f>IFERROR(S951/R951,"")</f>
        <v>44.88</v>
      </c>
      <c r="Y951" s="115">
        <f>IFERROR(U951/P951,0)</f>
        <v>2.9229246487867178E-2</v>
      </c>
      <c r="Z951" s="116">
        <f>P951-W951</f>
        <v>26665.25</v>
      </c>
      <c r="AA951" s="115">
        <f>IFERROR(Z951/P951,"")</f>
        <v>0.85138090676883782</v>
      </c>
      <c r="AB951" s="120">
        <f t="shared" si="569"/>
        <v>4741.25</v>
      </c>
      <c r="AC951" s="57">
        <f>IFERROR(AA951-O951,"")</f>
        <v>0.15138090676883786</v>
      </c>
      <c r="AG951" s="61"/>
    </row>
    <row r="952" spans="1:34" ht="11.25" customHeight="1" x14ac:dyDescent="0.15">
      <c r="A952" s="130" t="s">
        <v>53</v>
      </c>
      <c r="B952" s="130"/>
      <c r="C952" s="124"/>
      <c r="D952" s="124"/>
      <c r="E952" s="273"/>
      <c r="F952" s="124"/>
      <c r="G952" s="124"/>
      <c r="H952" s="124"/>
      <c r="I952" s="124"/>
      <c r="J952" s="124"/>
      <c r="K952" s="125"/>
      <c r="L952" s="129"/>
      <c r="M952" s="129"/>
      <c r="N952" s="129"/>
      <c r="O952" s="128"/>
      <c r="P952" s="220"/>
      <c r="Q952" s="124"/>
      <c r="R952" s="220"/>
      <c r="S952" s="220"/>
      <c r="T952" s="220"/>
      <c r="U952" s="220"/>
      <c r="V952" s="126"/>
      <c r="W952" s="230"/>
      <c r="X952" s="45"/>
      <c r="Y952" s="128"/>
      <c r="Z952" s="126"/>
      <c r="AA952" s="128"/>
      <c r="AB952" s="129"/>
      <c r="AC952" s="160"/>
      <c r="AD952" s="137"/>
      <c r="AE952" s="110"/>
      <c r="AF952" s="110"/>
      <c r="AG952" s="121"/>
      <c r="AH952" s="110"/>
    </row>
    <row r="953" spans="1:34" ht="11.25" customHeight="1" x14ac:dyDescent="0.15">
      <c r="A953" s="110" t="s">
        <v>223</v>
      </c>
      <c r="B953" s="110"/>
      <c r="C953" s="111" t="s">
        <v>175</v>
      </c>
      <c r="D953" s="111">
        <v>2022</v>
      </c>
      <c r="E953" s="146">
        <v>44865</v>
      </c>
      <c r="F953" s="111"/>
      <c r="G953" s="111">
        <v>811101112</v>
      </c>
      <c r="H953" s="111">
        <v>4101</v>
      </c>
      <c r="I953" s="111" t="str">
        <f>MID(G953,2,1)</f>
        <v>1</v>
      </c>
      <c r="J953" s="111" t="str">
        <f>IF(I953="1","Small/Medium","Large")</f>
        <v>Small/Medium</v>
      </c>
      <c r="K953" s="147" t="s">
        <v>145</v>
      </c>
      <c r="L953" s="120">
        <f>P953</f>
        <v>12093.956000000002</v>
      </c>
      <c r="M953" s="120">
        <f>L953*0.3</f>
        <v>3628.1868000000004</v>
      </c>
      <c r="N953" s="120">
        <f>L953-M953</f>
        <v>8465.7692000000025</v>
      </c>
      <c r="O953" s="119">
        <f>IFERROR(N953/L953,"")</f>
        <v>0.70000000000000007</v>
      </c>
      <c r="P953" s="117">
        <v>12093.956000000002</v>
      </c>
      <c r="Q953" s="111">
        <v>840</v>
      </c>
      <c r="R953" s="117">
        <v>24.5</v>
      </c>
      <c r="S953" s="117">
        <v>1099.56</v>
      </c>
      <c r="T953" s="117">
        <v>790.5</v>
      </c>
      <c r="U953" s="117">
        <v>222.39</v>
      </c>
      <c r="V953" s="117"/>
      <c r="W953" s="26">
        <f>SUM(S953:V953)</f>
        <v>2112.4499999999998</v>
      </c>
      <c r="X953" s="118">
        <f>IFERROR(S953/R953,"")</f>
        <v>44.879999999999995</v>
      </c>
      <c r="Y953" s="119">
        <f>U953/P953</f>
        <v>1.838852398669219E-2</v>
      </c>
      <c r="Z953" s="117">
        <f>P953-W953</f>
        <v>9981.5060000000012</v>
      </c>
      <c r="AA953" s="119">
        <f>Z953/P953</f>
        <v>0.82533010703859011</v>
      </c>
      <c r="AB953" s="120">
        <f t="shared" ref="AB953:AB955" si="571">M953-W953</f>
        <v>1515.7368000000006</v>
      </c>
      <c r="AC953" s="119">
        <f>IFERROR(AA953-O953,"")</f>
        <v>0.12533010703859004</v>
      </c>
      <c r="AD953" s="110"/>
      <c r="AE953" s="110"/>
      <c r="AF953" s="110"/>
      <c r="AG953" s="121"/>
      <c r="AH953" s="110"/>
    </row>
    <row r="954" spans="1:34" ht="11.25" customHeight="1" x14ac:dyDescent="0.15">
      <c r="A954" s="110" t="s">
        <v>223</v>
      </c>
      <c r="B954" s="110"/>
      <c r="C954" s="111" t="s">
        <v>175</v>
      </c>
      <c r="D954" s="111">
        <v>2022</v>
      </c>
      <c r="E954" s="146">
        <v>44865</v>
      </c>
      <c r="F954" s="111"/>
      <c r="G954" s="111">
        <v>821101112</v>
      </c>
      <c r="H954" s="111">
        <v>4101</v>
      </c>
      <c r="I954" s="111" t="str">
        <f>MID(G954,2,1)</f>
        <v>2</v>
      </c>
      <c r="J954" s="111" t="str">
        <f>IF(I954="1","Small/Medium","Large")</f>
        <v>Large</v>
      </c>
      <c r="K954" s="147" t="s">
        <v>176</v>
      </c>
      <c r="L954" s="120">
        <f>P954</f>
        <v>22460.204000000002</v>
      </c>
      <c r="M954" s="120">
        <f>L954*0.3</f>
        <v>6738.0612000000001</v>
      </c>
      <c r="N954" s="120">
        <f>L954-M954</f>
        <v>15722.142800000001</v>
      </c>
      <c r="O954" s="119">
        <f>IFERROR(N954/L954,"")</f>
        <v>0.70000000000000007</v>
      </c>
      <c r="P954" s="117">
        <v>22460.204000000002</v>
      </c>
      <c r="Q954" s="111">
        <v>841</v>
      </c>
      <c r="R954" s="117">
        <v>9.5</v>
      </c>
      <c r="S954" s="117">
        <v>426.36</v>
      </c>
      <c r="T954" s="117">
        <v>1468.07</v>
      </c>
      <c r="U954" s="117">
        <v>413.01</v>
      </c>
      <c r="V954" s="117"/>
      <c r="W954" s="26">
        <f>SUM(S954:V954)</f>
        <v>2307.4399999999996</v>
      </c>
      <c r="X954" s="118">
        <f>IFERROR(S954/R954,"")</f>
        <v>44.88</v>
      </c>
      <c r="Y954" s="119">
        <f>U954/P954</f>
        <v>1.8388523986692194E-2</v>
      </c>
      <c r="Z954" s="117">
        <f>P954-W954</f>
        <v>20152.764000000003</v>
      </c>
      <c r="AA954" s="119">
        <f>Z954/P954</f>
        <v>0.89726540328841187</v>
      </c>
      <c r="AB954" s="120">
        <f t="shared" si="571"/>
        <v>4430.6212000000005</v>
      </c>
      <c r="AC954" s="119">
        <f>IFERROR(AA954-O954,"")</f>
        <v>0.1972654032884118</v>
      </c>
      <c r="AD954" s="110"/>
      <c r="AE954" s="110"/>
      <c r="AF954" s="110"/>
      <c r="AG954" s="121"/>
      <c r="AH954" s="110"/>
    </row>
    <row r="955" spans="1:34" s="53" customFormat="1" ht="11.25" customHeight="1" x14ac:dyDescent="0.15">
      <c r="A955" s="53" t="s">
        <v>223</v>
      </c>
      <c r="C955" s="54" t="s">
        <v>177</v>
      </c>
      <c r="D955" s="54">
        <v>2022</v>
      </c>
      <c r="E955" s="70">
        <v>44865</v>
      </c>
      <c r="F955" s="54"/>
      <c r="G955" s="54"/>
      <c r="H955" s="54"/>
      <c r="I955" s="54"/>
      <c r="J955" s="54"/>
      <c r="K955" s="106"/>
      <c r="L955" s="24">
        <f>SUM(L953:L954)</f>
        <v>34554.160000000003</v>
      </c>
      <c r="M955" s="24">
        <f>SUM(M953:M954)</f>
        <v>10366.248</v>
      </c>
      <c r="N955" s="24">
        <f>SUM(N953:N954)</f>
        <v>24187.912000000004</v>
      </c>
      <c r="O955" s="57">
        <f>IFERROR(N955/L955,"")</f>
        <v>0.70000000000000007</v>
      </c>
      <c r="P955" s="24">
        <f>SUM(P953:P954)</f>
        <v>34554.160000000003</v>
      </c>
      <c r="Q955" s="24"/>
      <c r="R955" s="24">
        <f t="shared" ref="R955:W955" si="572">SUM(R953:R954)</f>
        <v>34</v>
      </c>
      <c r="S955" s="24">
        <f t="shared" si="572"/>
        <v>1525.92</v>
      </c>
      <c r="T955" s="24">
        <f t="shared" si="572"/>
        <v>2258.5699999999997</v>
      </c>
      <c r="U955" s="24">
        <f t="shared" si="572"/>
        <v>635.4</v>
      </c>
      <c r="V955" s="24">
        <f t="shared" si="572"/>
        <v>0</v>
      </c>
      <c r="W955" s="24">
        <f t="shared" si="572"/>
        <v>4419.8899999999994</v>
      </c>
      <c r="X955" s="114">
        <f>IFERROR(S955/R955,"")</f>
        <v>44.88</v>
      </c>
      <c r="Y955" s="115">
        <f>IFERROR(U955/P955,0)</f>
        <v>1.8388523986692194E-2</v>
      </c>
      <c r="Z955" s="116">
        <f>P955-W955</f>
        <v>30134.270000000004</v>
      </c>
      <c r="AA955" s="115">
        <f>IFERROR(Z955/P955,"")</f>
        <v>0.8720880496009743</v>
      </c>
      <c r="AB955" s="120">
        <f t="shared" si="571"/>
        <v>5946.3580000000002</v>
      </c>
      <c r="AC955" s="57">
        <f>IFERROR(AA955-O955,"")</f>
        <v>0.17208804960097424</v>
      </c>
      <c r="AG955" s="61"/>
    </row>
    <row r="956" spans="1:34" ht="11.25" customHeight="1" x14ac:dyDescent="0.15">
      <c r="A956" s="130" t="s">
        <v>53</v>
      </c>
      <c r="B956" s="130"/>
      <c r="C956" s="124"/>
      <c r="D956" s="124"/>
      <c r="E956" s="273"/>
      <c r="F956" s="124"/>
      <c r="G956" s="124"/>
      <c r="H956" s="124"/>
      <c r="I956" s="124"/>
      <c r="J956" s="124"/>
      <c r="K956" s="125"/>
      <c r="L956" s="129"/>
      <c r="M956" s="129"/>
      <c r="N956" s="129"/>
      <c r="O956" s="128"/>
      <c r="P956" s="129"/>
      <c r="Q956" s="124"/>
      <c r="R956" s="129"/>
      <c r="S956" s="129"/>
      <c r="T956" s="129"/>
      <c r="U956" s="129"/>
      <c r="V956" s="126"/>
      <c r="W956" s="49"/>
      <c r="X956" s="45"/>
      <c r="Y956" s="128"/>
      <c r="Z956" s="126"/>
      <c r="AA956" s="128"/>
      <c r="AB956" s="129"/>
      <c r="AC956" s="160"/>
      <c r="AD956" s="137"/>
      <c r="AE956" s="110"/>
      <c r="AF956" s="110"/>
      <c r="AG956" s="121"/>
      <c r="AH956" s="110"/>
    </row>
    <row r="957" spans="1:34" ht="11.25" customHeight="1" x14ac:dyDescent="0.15">
      <c r="A957" s="110" t="s">
        <v>522</v>
      </c>
      <c r="B957" s="110"/>
      <c r="C957" s="111" t="s">
        <v>180</v>
      </c>
      <c r="D957" s="111">
        <v>2022</v>
      </c>
      <c r="E957" s="146">
        <v>44865</v>
      </c>
      <c r="F957" s="111"/>
      <c r="G957" s="111">
        <v>925100122</v>
      </c>
      <c r="H957" s="111"/>
      <c r="I957" s="111"/>
      <c r="J957" s="111"/>
      <c r="K957" s="112" t="s">
        <v>523</v>
      </c>
      <c r="L957" s="120">
        <f t="shared" ref="L957:L962" si="573">P957</f>
        <v>9812</v>
      </c>
      <c r="M957" s="120">
        <v>3434</v>
      </c>
      <c r="N957" s="120">
        <f t="shared" ref="N957:N962" si="574">L957-M957</f>
        <v>6378</v>
      </c>
      <c r="O957" s="119">
        <f t="shared" ref="O957:O962" si="575">IFERROR(N957/L957,"")</f>
        <v>0.65002038320423972</v>
      </c>
      <c r="P957" s="117">
        <v>9812</v>
      </c>
      <c r="Q957" s="111">
        <v>895</v>
      </c>
      <c r="R957" s="117"/>
      <c r="S957" s="117"/>
      <c r="T957" s="117"/>
      <c r="U957" s="117">
        <v>2701.51</v>
      </c>
      <c r="V957" s="117"/>
      <c r="W957" s="26">
        <f t="shared" ref="W957:W962" si="576">SUM(S957:V957)</f>
        <v>2701.51</v>
      </c>
      <c r="X957" s="149" t="str">
        <f t="shared" ref="X957:X962" si="577">IFERROR(S957/R957,"")</f>
        <v/>
      </c>
      <c r="Y957" s="150">
        <f t="shared" ref="Y957:Y962" si="578">IFERROR(U957/P957,0)</f>
        <v>0.27532715042804728</v>
      </c>
      <c r="Z957" s="131">
        <f t="shared" ref="Z957:Z962" si="579">P957-W957</f>
        <v>7110.49</v>
      </c>
      <c r="AA957" s="150">
        <f t="shared" ref="AA957:AA962" si="580">IFERROR(Z957/P957,"")</f>
        <v>0.72467284957195266</v>
      </c>
      <c r="AB957" s="120">
        <f t="shared" ref="AB957:AB967" si="581">M957-W957</f>
        <v>732.48999999999978</v>
      </c>
      <c r="AC957" s="119">
        <f t="shared" ref="AC957:AC962" si="582">IFERROR(AA957-O957,"")</f>
        <v>7.4652466367712944E-2</v>
      </c>
      <c r="AD957" s="110"/>
      <c r="AE957" s="110"/>
      <c r="AF957" s="110"/>
      <c r="AG957" s="121"/>
      <c r="AH957" s="110"/>
    </row>
    <row r="958" spans="1:34" ht="11.25" customHeight="1" x14ac:dyDescent="0.15">
      <c r="A958" s="110" t="s">
        <v>522</v>
      </c>
      <c r="B958" s="110"/>
      <c r="C958" s="111" t="s">
        <v>164</v>
      </c>
      <c r="D958" s="111">
        <v>2022</v>
      </c>
      <c r="E958" s="146">
        <v>44865</v>
      </c>
      <c r="F958" s="111"/>
      <c r="G958" s="111" t="s">
        <v>524</v>
      </c>
      <c r="H958" s="111"/>
      <c r="I958" s="111"/>
      <c r="J958" s="111"/>
      <c r="K958" s="112" t="s">
        <v>525</v>
      </c>
      <c r="L958" s="219">
        <f t="shared" si="573"/>
        <v>10.46</v>
      </c>
      <c r="M958" s="219">
        <f>U958</f>
        <v>3.56</v>
      </c>
      <c r="N958" s="219">
        <f t="shared" si="574"/>
        <v>6.9</v>
      </c>
      <c r="O958" s="119">
        <f t="shared" si="575"/>
        <v>0.65965583173996178</v>
      </c>
      <c r="P958" s="132">
        <v>10.46</v>
      </c>
      <c r="Q958" s="196"/>
      <c r="R958" s="132"/>
      <c r="S958" s="132"/>
      <c r="T958" s="132"/>
      <c r="U958" s="132">
        <v>3.56</v>
      </c>
      <c r="V958" s="132"/>
      <c r="W958" s="67">
        <f t="shared" si="576"/>
        <v>3.56</v>
      </c>
      <c r="X958" s="149" t="str">
        <f t="shared" si="577"/>
        <v/>
      </c>
      <c r="Y958" s="150">
        <f t="shared" si="578"/>
        <v>0.34034416826003822</v>
      </c>
      <c r="Z958" s="131">
        <f t="shared" si="579"/>
        <v>6.9</v>
      </c>
      <c r="AA958" s="150">
        <f t="shared" si="580"/>
        <v>0.65965583173996178</v>
      </c>
      <c r="AB958" s="120">
        <f t="shared" si="581"/>
        <v>0</v>
      </c>
      <c r="AC958" s="119">
        <f t="shared" si="582"/>
        <v>0</v>
      </c>
      <c r="AD958" s="110"/>
      <c r="AE958" s="110"/>
      <c r="AF958" s="110"/>
      <c r="AG958" s="121"/>
      <c r="AH958" s="110"/>
    </row>
    <row r="959" spans="1:34" ht="11.25" customHeight="1" x14ac:dyDescent="0.15">
      <c r="A959" s="110" t="s">
        <v>522</v>
      </c>
      <c r="B959" s="110"/>
      <c r="C959" s="111" t="s">
        <v>164</v>
      </c>
      <c r="D959" s="111">
        <v>2022</v>
      </c>
      <c r="E959" s="146">
        <v>44865</v>
      </c>
      <c r="F959" s="111"/>
      <c r="G959" s="111" t="s">
        <v>526</v>
      </c>
      <c r="H959" s="111"/>
      <c r="I959" s="111"/>
      <c r="J959" s="111"/>
      <c r="K959" s="112" t="s">
        <v>527</v>
      </c>
      <c r="L959" s="120">
        <f t="shared" si="573"/>
        <v>9.94</v>
      </c>
      <c r="M959" s="120">
        <f>U959</f>
        <v>3.38</v>
      </c>
      <c r="N959" s="120">
        <f t="shared" si="574"/>
        <v>6.56</v>
      </c>
      <c r="O959" s="119">
        <f t="shared" si="575"/>
        <v>0.65995975855130784</v>
      </c>
      <c r="P959" s="117">
        <v>9.94</v>
      </c>
      <c r="Q959" s="196"/>
      <c r="R959" s="117"/>
      <c r="S959" s="117"/>
      <c r="T959" s="117"/>
      <c r="U959" s="117">
        <v>3.38</v>
      </c>
      <c r="V959" s="117"/>
      <c r="W959" s="26">
        <f t="shared" si="576"/>
        <v>3.38</v>
      </c>
      <c r="X959" s="149" t="str">
        <f t="shared" si="577"/>
        <v/>
      </c>
      <c r="Y959" s="150">
        <f t="shared" si="578"/>
        <v>0.34004024144869216</v>
      </c>
      <c r="Z959" s="131">
        <f t="shared" si="579"/>
        <v>6.56</v>
      </c>
      <c r="AA959" s="150">
        <f t="shared" si="580"/>
        <v>0.65995975855130784</v>
      </c>
      <c r="AB959" s="120">
        <f t="shared" si="581"/>
        <v>0</v>
      </c>
      <c r="AC959" s="119">
        <f t="shared" si="582"/>
        <v>0</v>
      </c>
      <c r="AD959" s="110"/>
      <c r="AE959" s="110"/>
      <c r="AF959" s="110"/>
      <c r="AG959" s="121"/>
      <c r="AH959" s="110"/>
    </row>
    <row r="960" spans="1:34" ht="11.25" customHeight="1" x14ac:dyDescent="0.15">
      <c r="A960" s="110" t="s">
        <v>522</v>
      </c>
      <c r="B960" s="110"/>
      <c r="C960" s="111" t="s">
        <v>164</v>
      </c>
      <c r="D960" s="111">
        <v>2022</v>
      </c>
      <c r="E960" s="146">
        <v>44865</v>
      </c>
      <c r="F960" s="111"/>
      <c r="G960" s="111" t="s">
        <v>528</v>
      </c>
      <c r="H960" s="111"/>
      <c r="I960" s="111"/>
      <c r="J960" s="111"/>
      <c r="K960" s="112" t="s">
        <v>529</v>
      </c>
      <c r="L960" s="120">
        <f t="shared" si="573"/>
        <v>9.02</v>
      </c>
      <c r="M960" s="120">
        <f>U960</f>
        <v>3.1</v>
      </c>
      <c r="N960" s="120">
        <f t="shared" si="574"/>
        <v>5.92</v>
      </c>
      <c r="O960" s="119">
        <f t="shared" si="575"/>
        <v>0.65631929046563198</v>
      </c>
      <c r="P960" s="117">
        <v>9.02</v>
      </c>
      <c r="Q960" s="196"/>
      <c r="R960" s="117"/>
      <c r="S960" s="117"/>
      <c r="T960" s="117"/>
      <c r="U960" s="117">
        <v>3.1</v>
      </c>
      <c r="V960" s="117"/>
      <c r="W960" s="26">
        <f t="shared" si="576"/>
        <v>3.1</v>
      </c>
      <c r="X960" s="149" t="str">
        <f t="shared" si="577"/>
        <v/>
      </c>
      <c r="Y960" s="150">
        <f t="shared" si="578"/>
        <v>0.34368070953436808</v>
      </c>
      <c r="Z960" s="131">
        <f t="shared" si="579"/>
        <v>5.92</v>
      </c>
      <c r="AA960" s="150">
        <f t="shared" si="580"/>
        <v>0.65631929046563198</v>
      </c>
      <c r="AB960" s="120">
        <f t="shared" si="581"/>
        <v>0</v>
      </c>
      <c r="AC960" s="119">
        <f t="shared" si="582"/>
        <v>0</v>
      </c>
      <c r="AD960" s="110"/>
      <c r="AE960" s="110"/>
      <c r="AF960" s="110"/>
      <c r="AG960" s="121"/>
      <c r="AH960" s="110"/>
    </row>
    <row r="961" spans="1:34" ht="11.25" customHeight="1" x14ac:dyDescent="0.15">
      <c r="A961" s="110" t="s">
        <v>522</v>
      </c>
      <c r="B961" s="110"/>
      <c r="C961" s="111" t="s">
        <v>164</v>
      </c>
      <c r="D961" s="111">
        <v>2022</v>
      </c>
      <c r="E961" s="146">
        <v>44865</v>
      </c>
      <c r="F961" s="111"/>
      <c r="G961" s="111" t="s">
        <v>530</v>
      </c>
      <c r="H961" s="111"/>
      <c r="I961" s="111"/>
      <c r="J961" s="111"/>
      <c r="K961" s="112" t="s">
        <v>531</v>
      </c>
      <c r="L961" s="120">
        <f t="shared" si="573"/>
        <v>11.28</v>
      </c>
      <c r="M961" s="120">
        <f>U961</f>
        <v>3.82</v>
      </c>
      <c r="N961" s="120">
        <f t="shared" si="574"/>
        <v>7.4599999999999991</v>
      </c>
      <c r="O961" s="119">
        <f t="shared" si="575"/>
        <v>0.66134751773049638</v>
      </c>
      <c r="P961" s="117">
        <v>11.28</v>
      </c>
      <c r="Q961" s="196"/>
      <c r="R961" s="117"/>
      <c r="S961" s="117"/>
      <c r="T961" s="117"/>
      <c r="U961" s="117">
        <v>3.82</v>
      </c>
      <c r="V961" s="117"/>
      <c r="W961" s="26">
        <f t="shared" si="576"/>
        <v>3.82</v>
      </c>
      <c r="X961" s="149" t="str">
        <f t="shared" si="577"/>
        <v/>
      </c>
      <c r="Y961" s="150">
        <f t="shared" si="578"/>
        <v>0.33865248226950356</v>
      </c>
      <c r="Z961" s="131">
        <f t="shared" si="579"/>
        <v>7.4599999999999991</v>
      </c>
      <c r="AA961" s="150">
        <f t="shared" si="580"/>
        <v>0.66134751773049638</v>
      </c>
      <c r="AB961" s="120">
        <f t="shared" si="581"/>
        <v>0</v>
      </c>
      <c r="AC961" s="119">
        <f t="shared" si="582"/>
        <v>0</v>
      </c>
      <c r="AD961" s="110"/>
      <c r="AE961" s="110"/>
      <c r="AF961" s="110"/>
      <c r="AG961" s="121"/>
      <c r="AH961" s="110"/>
    </row>
    <row r="962" spans="1:34" ht="11.25" customHeight="1" x14ac:dyDescent="0.15">
      <c r="A962" s="110" t="s">
        <v>522</v>
      </c>
      <c r="B962" s="110"/>
      <c r="C962" s="111" t="s">
        <v>164</v>
      </c>
      <c r="D962" s="111">
        <v>2022</v>
      </c>
      <c r="E962" s="146">
        <v>44865</v>
      </c>
      <c r="F962" s="111"/>
      <c r="G962" s="111" t="s">
        <v>532</v>
      </c>
      <c r="H962" s="111"/>
      <c r="I962" s="111"/>
      <c r="J962" s="111"/>
      <c r="K962" s="112" t="s">
        <v>533</v>
      </c>
      <c r="L962" s="219">
        <f t="shared" si="573"/>
        <v>2.2999999999999998</v>
      </c>
      <c r="M962" s="219">
        <f>U962</f>
        <v>0.68</v>
      </c>
      <c r="N962" s="219">
        <f t="shared" si="574"/>
        <v>1.6199999999999997</v>
      </c>
      <c r="O962" s="119">
        <f t="shared" si="575"/>
        <v>0.70434782608695645</v>
      </c>
      <c r="P962" s="132">
        <v>2.2999999999999998</v>
      </c>
      <c r="Q962" s="196"/>
      <c r="R962" s="132"/>
      <c r="S962" s="132"/>
      <c r="T962" s="132"/>
      <c r="U962" s="132">
        <v>0.68</v>
      </c>
      <c r="V962" s="132"/>
      <c r="W962" s="67">
        <f t="shared" si="576"/>
        <v>0.68</v>
      </c>
      <c r="X962" s="149" t="str">
        <f t="shared" si="577"/>
        <v/>
      </c>
      <c r="Y962" s="150">
        <f t="shared" si="578"/>
        <v>0.29565217391304355</v>
      </c>
      <c r="Z962" s="131">
        <f t="shared" si="579"/>
        <v>1.6199999999999997</v>
      </c>
      <c r="AA962" s="150">
        <f t="shared" si="580"/>
        <v>0.70434782608695645</v>
      </c>
      <c r="AB962" s="120">
        <f t="shared" si="581"/>
        <v>0</v>
      </c>
      <c r="AC962" s="119">
        <f t="shared" si="582"/>
        <v>0</v>
      </c>
      <c r="AD962" s="110"/>
      <c r="AE962" s="110"/>
      <c r="AF962" s="110"/>
      <c r="AG962" s="121"/>
      <c r="AH962" s="110"/>
    </row>
    <row r="963" spans="1:34" s="53" customFormat="1" ht="11.25" customHeight="1" x14ac:dyDescent="0.15">
      <c r="A963" s="53" t="s">
        <v>522</v>
      </c>
      <c r="C963" s="54" t="s">
        <v>360</v>
      </c>
      <c r="D963" s="54">
        <v>2022</v>
      </c>
      <c r="E963" s="70">
        <v>44865</v>
      </c>
      <c r="F963" s="54"/>
      <c r="G963" s="54"/>
      <c r="H963" s="54"/>
      <c r="I963" s="54"/>
      <c r="J963" s="54"/>
      <c r="K963" s="106"/>
      <c r="L963" s="97">
        <f>SUM(L957:L962)</f>
        <v>9855</v>
      </c>
      <c r="M963" s="97">
        <f>SUM(M957:M962)</f>
        <v>3448.54</v>
      </c>
      <c r="N963" s="97">
        <f>SUM(N957:N962)</f>
        <v>6406.46</v>
      </c>
      <c r="O963" s="57"/>
      <c r="P963" s="24">
        <f>SUM(P957:P962)</f>
        <v>9855</v>
      </c>
      <c r="Q963" s="24"/>
      <c r="R963" s="24">
        <f t="shared" ref="R963:W963" si="583">SUM(R957:R962)</f>
        <v>0</v>
      </c>
      <c r="S963" s="24">
        <f t="shared" si="583"/>
        <v>0</v>
      </c>
      <c r="T963" s="24">
        <f t="shared" si="583"/>
        <v>0</v>
      </c>
      <c r="U963" s="24">
        <f t="shared" si="583"/>
        <v>2716.05</v>
      </c>
      <c r="V963" s="24">
        <f t="shared" si="583"/>
        <v>0</v>
      </c>
      <c r="W963" s="24">
        <f t="shared" si="583"/>
        <v>2716.05</v>
      </c>
      <c r="X963" s="149"/>
      <c r="Y963" s="150"/>
      <c r="Z963" s="116"/>
      <c r="AA963" s="115"/>
      <c r="AB963" s="120">
        <f t="shared" si="581"/>
        <v>732.48999999999978</v>
      </c>
      <c r="AC963" s="57"/>
      <c r="AG963" s="61"/>
    </row>
    <row r="964" spans="1:34" ht="11.25" customHeight="1" x14ac:dyDescent="0.15">
      <c r="A964" s="110" t="s">
        <v>522</v>
      </c>
      <c r="B964" s="110"/>
      <c r="C964" s="111" t="s">
        <v>279</v>
      </c>
      <c r="D964" s="111">
        <v>2022</v>
      </c>
      <c r="E964" s="146">
        <v>44865</v>
      </c>
      <c r="F964" s="111"/>
      <c r="G964" s="111">
        <v>525100222</v>
      </c>
      <c r="H964" s="111"/>
      <c r="I964" s="111"/>
      <c r="J964" s="111"/>
      <c r="K964" s="112" t="s">
        <v>534</v>
      </c>
      <c r="L964" s="120">
        <f>P964</f>
        <v>11782</v>
      </c>
      <c r="M964" s="120">
        <v>4123.6400000000003</v>
      </c>
      <c r="N964" s="120">
        <f>L964-M964</f>
        <v>7658.36</v>
      </c>
      <c r="O964" s="119">
        <f>IFERROR(N964/L964,"")</f>
        <v>0.6500050925140044</v>
      </c>
      <c r="P964" s="117">
        <v>11782</v>
      </c>
      <c r="Q964" s="111">
        <v>896</v>
      </c>
      <c r="R964" s="117">
        <v>22</v>
      </c>
      <c r="S964" s="117">
        <v>1010.03</v>
      </c>
      <c r="T964" s="117">
        <v>1171.71</v>
      </c>
      <c r="U964" s="117">
        <v>28.1</v>
      </c>
      <c r="V964" s="117"/>
      <c r="W964" s="26">
        <f>SUM(S964:V964)</f>
        <v>2209.8399999999997</v>
      </c>
      <c r="X964" s="149">
        <f>IFERROR(S964/R964,"")</f>
        <v>45.910454545454542</v>
      </c>
      <c r="Y964" s="150">
        <f>IFERROR(U964/P964,0)</f>
        <v>2.3849940587336617E-3</v>
      </c>
      <c r="Z964" s="131">
        <f>P964-W964</f>
        <v>9572.16</v>
      </c>
      <c r="AA964" s="150">
        <f>IFERROR(Z964/P964,"")</f>
        <v>0.81243931420811411</v>
      </c>
      <c r="AB964" s="120">
        <f t="shared" si="581"/>
        <v>1913.8000000000006</v>
      </c>
      <c r="AC964" s="119">
        <f>IFERROR(AA964-O964,"")</f>
        <v>0.1624342216941097</v>
      </c>
      <c r="AD964" s="110" t="s">
        <v>535</v>
      </c>
      <c r="AE964" s="110"/>
      <c r="AF964" s="110"/>
      <c r="AG964" s="121"/>
      <c r="AH964" s="110"/>
    </row>
    <row r="965" spans="1:34" ht="11.25" customHeight="1" x14ac:dyDescent="0.15">
      <c r="A965" s="110" t="s">
        <v>522</v>
      </c>
      <c r="B965" s="110"/>
      <c r="C965" s="111" t="s">
        <v>55</v>
      </c>
      <c r="D965" s="111">
        <v>2022</v>
      </c>
      <c r="E965" s="146">
        <v>44865</v>
      </c>
      <c r="F965" s="111"/>
      <c r="G965" s="111" t="s">
        <v>56</v>
      </c>
      <c r="H965" s="111"/>
      <c r="I965" s="111"/>
      <c r="J965" s="111"/>
      <c r="K965" s="112" t="s">
        <v>71</v>
      </c>
      <c r="L965" s="219">
        <f>P965</f>
        <v>150</v>
      </c>
      <c r="M965" s="219">
        <v>75</v>
      </c>
      <c r="N965" s="219">
        <f>L965-M965</f>
        <v>75</v>
      </c>
      <c r="O965" s="119">
        <f>IFERROR(N965/L965,"")</f>
        <v>0.5</v>
      </c>
      <c r="P965" s="132">
        <v>150</v>
      </c>
      <c r="Q965" s="111">
        <v>897</v>
      </c>
      <c r="R965" s="132">
        <v>0.5</v>
      </c>
      <c r="S965" s="132">
        <v>21.25</v>
      </c>
      <c r="T965" s="132"/>
      <c r="U965" s="132"/>
      <c r="V965" s="132">
        <v>236.71</v>
      </c>
      <c r="W965" s="67">
        <f>SUM(S965:V965)</f>
        <v>257.96000000000004</v>
      </c>
      <c r="X965" s="149">
        <f>IFERROR(S965/R965,"")</f>
        <v>42.5</v>
      </c>
      <c r="Y965" s="150">
        <f>IFERROR(U965/P965,0)</f>
        <v>0</v>
      </c>
      <c r="Z965" s="131">
        <f>P965-W965</f>
        <v>-107.96000000000004</v>
      </c>
      <c r="AA965" s="150">
        <f>IFERROR(Z965/P965,"")</f>
        <v>-0.71973333333333356</v>
      </c>
      <c r="AB965" s="120">
        <f t="shared" si="581"/>
        <v>-182.96000000000004</v>
      </c>
      <c r="AC965" s="119">
        <f>IFERROR(AA965-O965,"")</f>
        <v>-1.2197333333333336</v>
      </c>
      <c r="AD965" s="110" t="s">
        <v>536</v>
      </c>
      <c r="AE965" s="110"/>
      <c r="AF965" s="110"/>
      <c r="AG965" s="121"/>
      <c r="AH965" s="110"/>
    </row>
    <row r="966" spans="1:34" ht="11.25" customHeight="1" x14ac:dyDescent="0.15">
      <c r="A966" s="110" t="s">
        <v>522</v>
      </c>
      <c r="B966" s="110"/>
      <c r="C966" s="111" t="s">
        <v>175</v>
      </c>
      <c r="D966" s="111">
        <v>2022</v>
      </c>
      <c r="E966" s="146">
        <v>44865</v>
      </c>
      <c r="F966" s="111"/>
      <c r="G966" s="111">
        <v>810000002</v>
      </c>
      <c r="H966" s="111">
        <v>4111</v>
      </c>
      <c r="I966" s="111" t="str">
        <f>MID(G966,2,1)</f>
        <v>1</v>
      </c>
      <c r="J966" s="111" t="str">
        <f>IF(I966="1","Small/Medium","Large")</f>
        <v>Small/Medium</v>
      </c>
      <c r="K966" s="147" t="s">
        <v>176</v>
      </c>
      <c r="L966" s="120">
        <f>P966</f>
        <v>7670</v>
      </c>
      <c r="M966" s="120">
        <v>2301</v>
      </c>
      <c r="N966" s="120">
        <f>L966-M966</f>
        <v>5369</v>
      </c>
      <c r="O966" s="119">
        <f>IFERROR(N966/L966,"")</f>
        <v>0.7</v>
      </c>
      <c r="P966" s="117">
        <v>7670</v>
      </c>
      <c r="Q966" s="111">
        <v>898</v>
      </c>
      <c r="R966" s="117">
        <v>22</v>
      </c>
      <c r="S966" s="117">
        <v>987.36</v>
      </c>
      <c r="T966" s="117">
        <v>1171.71</v>
      </c>
      <c r="U966" s="117">
        <v>60.7</v>
      </c>
      <c r="V966" s="117"/>
      <c r="W966" s="26">
        <f>SUM(S966:V966)</f>
        <v>2219.77</v>
      </c>
      <c r="X966" s="149">
        <f>IFERROR(S966/R966,"")</f>
        <v>44.88</v>
      </c>
      <c r="Y966" s="150">
        <f>IFERROR(U966/P966,0)</f>
        <v>7.9139504563233379E-3</v>
      </c>
      <c r="Z966" s="131">
        <f>P966-W966</f>
        <v>5450.23</v>
      </c>
      <c r="AA966" s="150">
        <f>IFERROR(Z966/P966,"")</f>
        <v>0.71059061277705338</v>
      </c>
      <c r="AB966" s="120">
        <f t="shared" si="581"/>
        <v>81.230000000000018</v>
      </c>
      <c r="AC966" s="119">
        <f>IFERROR(AA966-O966,"")</f>
        <v>1.0590612777053421E-2</v>
      </c>
      <c r="AD966" s="110"/>
      <c r="AE966" s="110"/>
      <c r="AF966" s="110"/>
      <c r="AG966" s="121"/>
      <c r="AH966" s="110"/>
    </row>
    <row r="967" spans="1:34" s="53" customFormat="1" ht="11.25" customHeight="1" x14ac:dyDescent="0.15">
      <c r="A967" s="53" t="s">
        <v>522</v>
      </c>
      <c r="C967" s="54" t="s">
        <v>177</v>
      </c>
      <c r="D967" s="54">
        <v>2022</v>
      </c>
      <c r="E967" s="70">
        <v>44865</v>
      </c>
      <c r="F967" s="54"/>
      <c r="G967" s="54"/>
      <c r="H967" s="54"/>
      <c r="I967" s="54"/>
      <c r="J967" s="54"/>
      <c r="K967" s="106"/>
      <c r="L967" s="24">
        <f>SUM(L963:L966)</f>
        <v>29457</v>
      </c>
      <c r="M967" s="24">
        <f>SUM(M963:M966)</f>
        <v>9948.18</v>
      </c>
      <c r="N967" s="24">
        <f>SUM(N963:N966)</f>
        <v>19508.82</v>
      </c>
      <c r="O967" s="57">
        <f>IFERROR(N967/L967,"")</f>
        <v>0.66228129137386693</v>
      </c>
      <c r="P967" s="24">
        <f>SUM(P963:P966)</f>
        <v>29457</v>
      </c>
      <c r="Q967" s="24"/>
      <c r="R967" s="24">
        <f t="shared" ref="R967:W967" si="584">SUM(R963:R966)</f>
        <v>44.5</v>
      </c>
      <c r="S967" s="24">
        <f t="shared" si="584"/>
        <v>2018.6399999999999</v>
      </c>
      <c r="T967" s="24">
        <f t="shared" si="584"/>
        <v>2343.42</v>
      </c>
      <c r="U967" s="24">
        <f t="shared" si="584"/>
        <v>2804.85</v>
      </c>
      <c r="V967" s="24">
        <f t="shared" si="584"/>
        <v>236.71</v>
      </c>
      <c r="W967" s="24">
        <f t="shared" si="584"/>
        <v>7403.619999999999</v>
      </c>
      <c r="X967" s="114">
        <f>IFERROR(S967/R967,"")</f>
        <v>45.362696629213481</v>
      </c>
      <c r="Y967" s="115">
        <f>IFERROR(U967/P967,0)</f>
        <v>9.5218454017720736E-2</v>
      </c>
      <c r="Z967" s="116">
        <f>P967-W967</f>
        <v>22053.38</v>
      </c>
      <c r="AA967" s="115">
        <f>IFERROR(Z967/P967,"")</f>
        <v>0.74866347557456636</v>
      </c>
      <c r="AB967" s="120">
        <f t="shared" si="581"/>
        <v>2544.5600000000013</v>
      </c>
      <c r="AC967" s="57">
        <f>IFERROR(AA967-O967,"")</f>
        <v>8.638218420069943E-2</v>
      </c>
      <c r="AG967" s="61"/>
    </row>
    <row r="968" spans="1:34" ht="11.25" customHeight="1" x14ac:dyDescent="0.15">
      <c r="A968" s="130" t="s">
        <v>53</v>
      </c>
      <c r="B968" s="130"/>
      <c r="C968" s="124"/>
      <c r="D968" s="124"/>
      <c r="E968" s="273"/>
      <c r="F968" s="124"/>
      <c r="G968" s="124"/>
      <c r="H968" s="124"/>
      <c r="I968" s="124"/>
      <c r="J968" s="124"/>
      <c r="K968" s="125"/>
      <c r="L968" s="129"/>
      <c r="M968" s="129"/>
      <c r="N968" s="129"/>
      <c r="O968" s="128"/>
      <c r="P968" s="129"/>
      <c r="Q968" s="124"/>
      <c r="R968" s="129"/>
      <c r="S968" s="129"/>
      <c r="T968" s="129"/>
      <c r="U968" s="129"/>
      <c r="V968" s="126"/>
      <c r="W968" s="49"/>
      <c r="X968" s="45"/>
      <c r="Y968" s="128"/>
      <c r="Z968" s="126"/>
      <c r="AA968" s="128"/>
      <c r="AB968" s="129"/>
      <c r="AC968" s="160"/>
      <c r="AD968" s="137"/>
      <c r="AE968" s="110"/>
      <c r="AF968" s="110"/>
      <c r="AG968" s="121"/>
      <c r="AH968" s="110"/>
    </row>
    <row r="969" spans="1:34" ht="11.25" customHeight="1" x14ac:dyDescent="0.15">
      <c r="A969" s="110" t="s">
        <v>418</v>
      </c>
      <c r="B969" s="110"/>
      <c r="C969" s="111" t="s">
        <v>175</v>
      </c>
      <c r="D969" s="111">
        <v>2022</v>
      </c>
      <c r="E969" s="146">
        <v>44895</v>
      </c>
      <c r="F969" s="111"/>
      <c r="G969" s="111">
        <v>810000012</v>
      </c>
      <c r="H969" s="111">
        <v>4111</v>
      </c>
      <c r="I969" s="111" t="str">
        <f>MID(G969,2,1)</f>
        <v>1</v>
      </c>
      <c r="J969" s="111" t="str">
        <f>IF(I969="1","Small/Medium","Large")</f>
        <v>Small/Medium</v>
      </c>
      <c r="K969" s="147" t="s">
        <v>145</v>
      </c>
      <c r="L969" s="120">
        <f>P969</f>
        <v>8522</v>
      </c>
      <c r="M969" s="120">
        <f>L969*0.3</f>
        <v>2556.6</v>
      </c>
      <c r="N969" s="120">
        <f>L969-M969</f>
        <v>5965.4</v>
      </c>
      <c r="O969" s="119">
        <f>IFERROR(N969/L969,"")</f>
        <v>0.7</v>
      </c>
      <c r="P969" s="117">
        <v>8522</v>
      </c>
      <c r="Q969" s="111">
        <v>948</v>
      </c>
      <c r="R969" s="117">
        <v>12</v>
      </c>
      <c r="S969" s="117">
        <v>538.55999999999995</v>
      </c>
      <c r="T969" s="117">
        <v>147.58000000000001</v>
      </c>
      <c r="U969" s="117">
        <v>360</v>
      </c>
      <c r="V969" s="117">
        <v>0</v>
      </c>
      <c r="W969" s="26">
        <f>SUM(S969:V969)</f>
        <v>1046.1399999999999</v>
      </c>
      <c r="X969" s="149">
        <f>IFERROR(S969/R969,"")</f>
        <v>44.879999999999995</v>
      </c>
      <c r="Y969" s="150">
        <f>IFERROR(U969/P969,0)</f>
        <v>4.2243604787608545E-2</v>
      </c>
      <c r="Z969" s="131">
        <f>P969-W969</f>
        <v>7475.8600000000006</v>
      </c>
      <c r="AA969" s="150">
        <f>IFERROR(Z969/P969,"")</f>
        <v>0.87724243135414226</v>
      </c>
      <c r="AB969" s="120">
        <f t="shared" ref="AB969:AB970" si="585">M969-W969</f>
        <v>1510.46</v>
      </c>
      <c r="AC969" s="119">
        <f>IFERROR(AA969-O969,"")</f>
        <v>0.1772424313541423</v>
      </c>
      <c r="AD969" s="110"/>
      <c r="AE969" s="110"/>
      <c r="AF969" s="110"/>
      <c r="AG969" s="121"/>
      <c r="AH969" s="110"/>
    </row>
    <row r="970" spans="1:34" s="53" customFormat="1" ht="11.25" customHeight="1" x14ac:dyDescent="0.15">
      <c r="A970" s="53" t="s">
        <v>418</v>
      </c>
      <c r="C970" s="54" t="s">
        <v>177</v>
      </c>
      <c r="D970" s="54">
        <v>2022</v>
      </c>
      <c r="E970" s="70">
        <v>44895</v>
      </c>
      <c r="F970" s="54"/>
      <c r="G970" s="54"/>
      <c r="H970" s="54"/>
      <c r="I970" s="54"/>
      <c r="J970" s="54"/>
      <c r="K970" s="106"/>
      <c r="L970" s="24">
        <f>SUM(L968:L969)</f>
        <v>8522</v>
      </c>
      <c r="M970" s="24">
        <f>SUM(M968:M969)</f>
        <v>2556.6</v>
      </c>
      <c r="N970" s="24">
        <f>SUM(N968:N969)</f>
        <v>5965.4</v>
      </c>
      <c r="O970" s="57">
        <f>IFERROR(N970/L970,"")</f>
        <v>0.7</v>
      </c>
      <c r="P970" s="24">
        <f>SUM(P969)</f>
        <v>8522</v>
      </c>
      <c r="Q970" s="24"/>
      <c r="R970" s="24">
        <f t="shared" ref="R970:W970" si="586">SUM(R969)</f>
        <v>12</v>
      </c>
      <c r="S970" s="24">
        <f t="shared" si="586"/>
        <v>538.55999999999995</v>
      </c>
      <c r="T970" s="24">
        <f t="shared" si="586"/>
        <v>147.58000000000001</v>
      </c>
      <c r="U970" s="24">
        <f t="shared" si="586"/>
        <v>360</v>
      </c>
      <c r="V970" s="24">
        <f t="shared" si="586"/>
        <v>0</v>
      </c>
      <c r="W970" s="24">
        <f t="shared" si="586"/>
        <v>1046.1399999999999</v>
      </c>
      <c r="X970" s="114">
        <f>IFERROR(S970/R970,"")</f>
        <v>44.879999999999995</v>
      </c>
      <c r="Y970" s="115">
        <f>IFERROR(U970/P970,0)</f>
        <v>4.2243604787608545E-2</v>
      </c>
      <c r="Z970" s="116">
        <f>P970-W970</f>
        <v>7475.8600000000006</v>
      </c>
      <c r="AA970" s="115">
        <f>IFERROR(Z970/P970,"")</f>
        <v>0.87724243135414226</v>
      </c>
      <c r="AB970" s="120">
        <f t="shared" si="585"/>
        <v>1510.46</v>
      </c>
      <c r="AC970" s="57">
        <f>IFERROR(AA970-O970,"")</f>
        <v>0.1772424313541423</v>
      </c>
      <c r="AG970" s="61"/>
    </row>
    <row r="971" spans="1:34" ht="11.25" customHeight="1" x14ac:dyDescent="0.15">
      <c r="A971" s="130" t="s">
        <v>53</v>
      </c>
      <c r="B971" s="130"/>
      <c r="C971" s="124"/>
      <c r="D971" s="124"/>
      <c r="E971" s="273"/>
      <c r="F971" s="124"/>
      <c r="G971" s="124"/>
      <c r="H971" s="124"/>
      <c r="I971" s="124"/>
      <c r="J971" s="124"/>
      <c r="K971" s="125"/>
      <c r="L971" s="129"/>
      <c r="M971" s="129"/>
      <c r="N971" s="129"/>
      <c r="O971" s="128"/>
      <c r="P971" s="129"/>
      <c r="Q971" s="124"/>
      <c r="R971" s="129"/>
      <c r="S971" s="129"/>
      <c r="T971" s="129"/>
      <c r="U971" s="129"/>
      <c r="V971" s="126"/>
      <c r="W971" s="49"/>
      <c r="X971" s="45"/>
      <c r="Y971" s="128"/>
      <c r="Z971" s="126"/>
      <c r="AA971" s="128"/>
      <c r="AB971" s="129"/>
      <c r="AC971" s="160"/>
      <c r="AD971" s="137"/>
      <c r="AE971" s="110"/>
      <c r="AF971" s="110"/>
      <c r="AG971" s="121"/>
      <c r="AH971" s="110"/>
    </row>
    <row r="972" spans="1:34" ht="11.25" customHeight="1" x14ac:dyDescent="0.15">
      <c r="A972" s="110" t="s">
        <v>121</v>
      </c>
      <c r="B972" s="110"/>
      <c r="C972" s="111" t="s">
        <v>175</v>
      </c>
      <c r="D972" s="111">
        <v>2022</v>
      </c>
      <c r="E972" s="146">
        <v>44895</v>
      </c>
      <c r="F972" s="111"/>
      <c r="G972" s="111">
        <v>810000012</v>
      </c>
      <c r="H972" s="111">
        <v>4111</v>
      </c>
      <c r="I972" s="111" t="str">
        <f>MID(G972,2,1)</f>
        <v>1</v>
      </c>
      <c r="J972" s="111" t="str">
        <f>IF(I972="1","Small/Medium","Large")</f>
        <v>Small/Medium</v>
      </c>
      <c r="K972" s="147" t="s">
        <v>145</v>
      </c>
      <c r="L972" s="120">
        <f>P972</f>
        <v>9572</v>
      </c>
      <c r="M972" s="120">
        <f>L972*0.3</f>
        <v>2871.6</v>
      </c>
      <c r="N972" s="120">
        <f>L972-M972</f>
        <v>6700.4</v>
      </c>
      <c r="O972" s="119">
        <f>IFERROR(N972/L972,"")</f>
        <v>0.7</v>
      </c>
      <c r="P972" s="117">
        <v>9572</v>
      </c>
      <c r="Q972" s="111">
        <v>954</v>
      </c>
      <c r="R972" s="117">
        <v>28.5</v>
      </c>
      <c r="S972" s="117">
        <v>1279.08</v>
      </c>
      <c r="T972" s="117">
        <v>1652.54</v>
      </c>
      <c r="U972" s="117">
        <v>661.41</v>
      </c>
      <c r="V972" s="117">
        <v>0</v>
      </c>
      <c r="W972" s="26">
        <f>SUM(S972:V972)</f>
        <v>3593.0299999999997</v>
      </c>
      <c r="X972" s="149">
        <f>IFERROR(S972/R972,"")</f>
        <v>44.879999999999995</v>
      </c>
      <c r="Y972" s="150">
        <f>IFERROR(U972/P972,0)</f>
        <v>6.9098412035102377E-2</v>
      </c>
      <c r="Z972" s="131">
        <f>P972-W972</f>
        <v>5978.97</v>
      </c>
      <c r="AA972" s="150">
        <f>IFERROR(Z972/P972,"")</f>
        <v>0.62463121604680316</v>
      </c>
      <c r="AB972" s="120">
        <f t="shared" ref="AB972:AB973" si="587">M972-W972</f>
        <v>-721.42999999999984</v>
      </c>
      <c r="AC972" s="119">
        <f>IFERROR(AA972-O972,"")</f>
        <v>-7.5368783953196794E-2</v>
      </c>
      <c r="AD972" s="110"/>
      <c r="AE972" s="110"/>
      <c r="AF972" s="110"/>
      <c r="AG972" s="121"/>
      <c r="AH972" s="110"/>
    </row>
    <row r="973" spans="1:34" s="53" customFormat="1" ht="11.25" customHeight="1" x14ac:dyDescent="0.15">
      <c r="A973" s="53" t="s">
        <v>121</v>
      </c>
      <c r="C973" s="54" t="s">
        <v>177</v>
      </c>
      <c r="D973" s="54">
        <v>2022</v>
      </c>
      <c r="E973" s="70">
        <v>44895</v>
      </c>
      <c r="F973" s="54"/>
      <c r="G973" s="54"/>
      <c r="H973" s="54"/>
      <c r="I973" s="54"/>
      <c r="J973" s="54"/>
      <c r="K973" s="106"/>
      <c r="L973" s="24">
        <f>SUM(L971:L972)</f>
        <v>9572</v>
      </c>
      <c r="M973" s="24">
        <f>SUM(M971:M972)</f>
        <v>2871.6</v>
      </c>
      <c r="N973" s="24">
        <f>SUM(N971:N972)</f>
        <v>6700.4</v>
      </c>
      <c r="O973" s="57">
        <f>IFERROR(N973/L973,"")</f>
        <v>0.7</v>
      </c>
      <c r="P973" s="24">
        <f>P972</f>
        <v>9572</v>
      </c>
      <c r="Q973" s="24"/>
      <c r="R973" s="24">
        <f>R972</f>
        <v>28.5</v>
      </c>
      <c r="S973" s="24">
        <f>S972</f>
        <v>1279.08</v>
      </c>
      <c r="T973" s="24">
        <f>T972</f>
        <v>1652.54</v>
      </c>
      <c r="U973" s="24">
        <f>U972</f>
        <v>661.41</v>
      </c>
      <c r="V973" s="24">
        <f>V972</f>
        <v>0</v>
      </c>
      <c r="W973" s="24">
        <f>SUM(S973:V973)</f>
        <v>3593.0299999999997</v>
      </c>
      <c r="X973" s="114">
        <f>IFERROR(S973/R973,"")</f>
        <v>44.879999999999995</v>
      </c>
      <c r="Y973" s="115">
        <f>IFERROR(U973/P973,0)</f>
        <v>6.9098412035102377E-2</v>
      </c>
      <c r="Z973" s="116">
        <f>P973-W973</f>
        <v>5978.97</v>
      </c>
      <c r="AA973" s="115">
        <f>IFERROR(Z973/P973,"")</f>
        <v>0.62463121604680316</v>
      </c>
      <c r="AB973" s="120">
        <f t="shared" si="587"/>
        <v>-721.42999999999984</v>
      </c>
      <c r="AC973" s="57">
        <f>IFERROR(AA973-O973,"")</f>
        <v>-7.5368783953196794E-2</v>
      </c>
      <c r="AG973" s="61"/>
    </row>
    <row r="974" spans="1:34" ht="11.25" customHeight="1" x14ac:dyDescent="0.15">
      <c r="A974" s="130" t="s">
        <v>53</v>
      </c>
      <c r="B974" s="130"/>
      <c r="C974" s="124"/>
      <c r="D974" s="124"/>
      <c r="E974" s="273"/>
      <c r="F974" s="124"/>
      <c r="G974" s="124"/>
      <c r="H974" s="124"/>
      <c r="I974" s="124"/>
      <c r="J974" s="124"/>
      <c r="K974" s="125"/>
      <c r="L974" s="129"/>
      <c r="M974" s="129"/>
      <c r="N974" s="129"/>
      <c r="O974" s="128"/>
      <c r="P974" s="220"/>
      <c r="Q974" s="124"/>
      <c r="R974" s="220"/>
      <c r="S974" s="220"/>
      <c r="T974" s="220"/>
      <c r="U974" s="220"/>
      <c r="V974" s="126"/>
      <c r="W974" s="230"/>
      <c r="X974" s="45"/>
      <c r="Y974" s="128"/>
      <c r="Z974" s="126"/>
      <c r="AA974" s="128"/>
      <c r="AB974" s="129"/>
      <c r="AC974" s="160"/>
      <c r="AD974" s="137"/>
      <c r="AE974" s="110"/>
      <c r="AF974" s="110"/>
      <c r="AG974" s="121"/>
      <c r="AH974" s="110"/>
    </row>
    <row r="975" spans="1:34" ht="11.25" customHeight="1" x14ac:dyDescent="0.15">
      <c r="A975" s="110" t="s">
        <v>178</v>
      </c>
      <c r="B975" s="110"/>
      <c r="C975" s="111" t="s">
        <v>175</v>
      </c>
      <c r="D975" s="111">
        <v>2022</v>
      </c>
      <c r="E975" s="146">
        <v>44926</v>
      </c>
      <c r="F975" s="111"/>
      <c r="G975" s="111">
        <v>810000012</v>
      </c>
      <c r="H975" s="111">
        <v>4111</v>
      </c>
      <c r="I975" s="111" t="str">
        <f>MID(G975,2,1)</f>
        <v>1</v>
      </c>
      <c r="J975" s="111" t="str">
        <f>IF(I975="1","Small/Medium","Large")</f>
        <v>Small/Medium</v>
      </c>
      <c r="K975" s="147" t="s">
        <v>145</v>
      </c>
      <c r="L975" s="117">
        <v>20512</v>
      </c>
      <c r="M975" s="120">
        <f>L975*0.3</f>
        <v>6153.5999999999995</v>
      </c>
      <c r="N975" s="120">
        <f>L975-M975</f>
        <v>14358.400000000001</v>
      </c>
      <c r="O975" s="119">
        <f>IFERROR(N975/L975,"")</f>
        <v>0.70000000000000007</v>
      </c>
      <c r="P975" s="117">
        <v>20512</v>
      </c>
      <c r="Q975" s="111">
        <v>1009</v>
      </c>
      <c r="R975" s="117">
        <v>27</v>
      </c>
      <c r="S975" s="117">
        <v>1211.76</v>
      </c>
      <c r="T975" s="117">
        <v>1406.51</v>
      </c>
      <c r="U975" s="117">
        <v>1290.83</v>
      </c>
      <c r="V975" s="117">
        <v>12.24</v>
      </c>
      <c r="W975" s="26">
        <f>SUM(S975:V975)</f>
        <v>3921.3399999999997</v>
      </c>
      <c r="X975" s="149">
        <f>IFERROR(S975/R975,"")</f>
        <v>44.88</v>
      </c>
      <c r="Y975" s="150">
        <f>IFERROR(U975/P975,0)</f>
        <v>6.2930479719188762E-2</v>
      </c>
      <c r="Z975" s="131">
        <f>P975-W975</f>
        <v>16590.66</v>
      </c>
      <c r="AA975" s="150">
        <f>IFERROR(Z975/P975,"")</f>
        <v>0.80882702808112328</v>
      </c>
      <c r="AB975" s="120">
        <f t="shared" ref="AB975:AB976" si="588">M975-W975</f>
        <v>2232.2599999999998</v>
      </c>
      <c r="AC975" s="119">
        <f>IFERROR(AA975-O975,"")</f>
        <v>0.10882702808112321</v>
      </c>
      <c r="AD975" s="110"/>
      <c r="AE975" s="110"/>
      <c r="AF975" s="110"/>
      <c r="AG975" s="121"/>
      <c r="AH975" s="110"/>
    </row>
    <row r="976" spans="1:34" s="53" customFormat="1" ht="11.25" customHeight="1" x14ac:dyDescent="0.15">
      <c r="A976" s="53" t="s">
        <v>178</v>
      </c>
      <c r="C976" s="54" t="s">
        <v>177</v>
      </c>
      <c r="D976" s="54">
        <v>2022</v>
      </c>
      <c r="E976" s="70">
        <v>44926</v>
      </c>
      <c r="F976" s="54"/>
      <c r="G976" s="54"/>
      <c r="H976" s="54"/>
      <c r="I976" s="54"/>
      <c r="J976" s="54"/>
      <c r="K976" s="106"/>
      <c r="L976" s="24">
        <f>SUM(L974:L975)</f>
        <v>20512</v>
      </c>
      <c r="M976" s="24">
        <f>SUM(M974:M975)</f>
        <v>6153.5999999999995</v>
      </c>
      <c r="N976" s="24">
        <f>SUM(N974:N975)</f>
        <v>14358.400000000001</v>
      </c>
      <c r="O976" s="57">
        <f>IFERROR(N976/L976,"")</f>
        <v>0.70000000000000007</v>
      </c>
      <c r="P976" s="24">
        <f>P975</f>
        <v>20512</v>
      </c>
      <c r="Q976" s="24"/>
      <c r="R976" s="24">
        <f>R975</f>
        <v>27</v>
      </c>
      <c r="S976" s="24">
        <f>S975</f>
        <v>1211.76</v>
      </c>
      <c r="T976" s="24">
        <f>T975</f>
        <v>1406.51</v>
      </c>
      <c r="U976" s="24">
        <f>U975</f>
        <v>1290.83</v>
      </c>
      <c r="V976" s="24">
        <f>V975</f>
        <v>12.24</v>
      </c>
      <c r="W976" s="24">
        <f>SUM(S976:V976)</f>
        <v>3921.3399999999997</v>
      </c>
      <c r="X976" s="114">
        <f>IFERROR(S976/R976,"")</f>
        <v>44.88</v>
      </c>
      <c r="Y976" s="115">
        <f>IFERROR(U976/P976,0)</f>
        <v>6.2930479719188762E-2</v>
      </c>
      <c r="Z976" s="116">
        <f>P976-W976</f>
        <v>16590.66</v>
      </c>
      <c r="AA976" s="115">
        <f>IFERROR(Z976/P976,"")</f>
        <v>0.80882702808112328</v>
      </c>
      <c r="AB976" s="120">
        <f t="shared" si="588"/>
        <v>2232.2599999999998</v>
      </c>
      <c r="AC976" s="57">
        <f>IFERROR(AA976-O976,"")</f>
        <v>0.10882702808112321</v>
      </c>
      <c r="AG976" s="61"/>
    </row>
    <row r="977" spans="1:34" ht="11.25" customHeight="1" x14ac:dyDescent="0.15">
      <c r="A977" s="130" t="s">
        <v>53</v>
      </c>
      <c r="B977" s="130"/>
      <c r="C977" s="124"/>
      <c r="D977" s="124"/>
      <c r="E977" s="273"/>
      <c r="F977" s="124"/>
      <c r="G977" s="124"/>
      <c r="H977" s="124"/>
      <c r="I977" s="124"/>
      <c r="J977" s="124"/>
      <c r="K977" s="125"/>
      <c r="L977" s="129"/>
      <c r="M977" s="129"/>
      <c r="N977" s="129"/>
      <c r="O977" s="128"/>
      <c r="P977" s="129"/>
      <c r="Q977" s="124"/>
      <c r="R977" s="129"/>
      <c r="S977" s="129"/>
      <c r="T977" s="129"/>
      <c r="U977" s="129"/>
      <c r="V977" s="126"/>
      <c r="W977" s="49"/>
      <c r="X977" s="45"/>
      <c r="Y977" s="128"/>
      <c r="Z977" s="126"/>
      <c r="AA977" s="128"/>
      <c r="AB977" s="129"/>
      <c r="AC977" s="160"/>
      <c r="AD977" s="137"/>
      <c r="AE977" s="110"/>
      <c r="AF977" s="110"/>
      <c r="AG977" s="121"/>
      <c r="AH977" s="110"/>
    </row>
    <row r="978" spans="1:34" ht="11.25" customHeight="1" x14ac:dyDescent="0.15">
      <c r="A978" s="110" t="s">
        <v>137</v>
      </c>
      <c r="B978" s="110"/>
      <c r="C978" s="111" t="s">
        <v>175</v>
      </c>
      <c r="D978" s="111">
        <v>2022</v>
      </c>
      <c r="E978" s="146">
        <v>44926</v>
      </c>
      <c r="F978" s="111"/>
      <c r="G978" s="111">
        <v>811101112</v>
      </c>
      <c r="H978" s="111">
        <v>4101</v>
      </c>
      <c r="I978" s="111" t="str">
        <f>MID(G978,2,1)</f>
        <v>1</v>
      </c>
      <c r="J978" s="111" t="str">
        <f>IF(I978="1","Small/Medium","Large")</f>
        <v>Small/Medium</v>
      </c>
      <c r="K978" s="147" t="s">
        <v>145</v>
      </c>
      <c r="L978" s="117">
        <v>14002.01</v>
      </c>
      <c r="M978" s="120">
        <f>L978*0.3</f>
        <v>4200.6030000000001</v>
      </c>
      <c r="N978" s="120">
        <f>L978-M978</f>
        <v>9801.4069999999992</v>
      </c>
      <c r="O978" s="119">
        <f>IFERROR(N978/L978,"")</f>
        <v>0.7</v>
      </c>
      <c r="P978" s="117">
        <v>14002.01</v>
      </c>
      <c r="Q978" s="111">
        <v>952</v>
      </c>
      <c r="R978" s="117">
        <v>57.5</v>
      </c>
      <c r="S978" s="117">
        <v>2580.6</v>
      </c>
      <c r="T978" s="117">
        <v>3095.38</v>
      </c>
      <c r="U978" s="117">
        <v>1232.67</v>
      </c>
      <c r="V978" s="117">
        <v>0</v>
      </c>
      <c r="W978" s="26">
        <f>SUM(S978:V978)</f>
        <v>6908.65</v>
      </c>
      <c r="X978" s="118">
        <f>IFERROR(S978/R978,"")</f>
        <v>44.879999999999995</v>
      </c>
      <c r="Y978" s="119">
        <f>U978/P978</f>
        <v>8.8035217800872881E-2</v>
      </c>
      <c r="Z978" s="117">
        <f>P978-W978</f>
        <v>7093.3600000000006</v>
      </c>
      <c r="AA978" s="119">
        <f>Z978/P978</f>
        <v>0.50659583874029512</v>
      </c>
      <c r="AB978" s="120">
        <f t="shared" ref="AB978:AB980" si="589">M978-W978</f>
        <v>-2708.0469999999996</v>
      </c>
      <c r="AC978" s="119">
        <f>IFERROR(AA978-O978,"")</f>
        <v>-0.19340416125970483</v>
      </c>
      <c r="AD978" s="110" t="s">
        <v>537</v>
      </c>
      <c r="AE978" s="110"/>
      <c r="AF978" s="110"/>
      <c r="AG978" s="121"/>
      <c r="AH978" s="110"/>
    </row>
    <row r="979" spans="1:34" ht="11.25" customHeight="1" x14ac:dyDescent="0.15">
      <c r="A979" s="110" t="s">
        <v>137</v>
      </c>
      <c r="B979" s="110"/>
      <c r="C979" s="111" t="s">
        <v>175</v>
      </c>
      <c r="D979" s="111">
        <v>2022</v>
      </c>
      <c r="E979" s="146">
        <v>44926</v>
      </c>
      <c r="F979" s="111"/>
      <c r="G979" s="111">
        <v>821101112</v>
      </c>
      <c r="H979" s="111">
        <v>4101</v>
      </c>
      <c r="I979" s="111" t="str">
        <f>MID(G979,2,1)</f>
        <v>2</v>
      </c>
      <c r="J979" s="111" t="str">
        <f>IF(I979="1","Small/Medium","Large")</f>
        <v>Large</v>
      </c>
      <c r="K979" s="147" t="s">
        <v>176</v>
      </c>
      <c r="L979" s="132">
        <v>26003.74</v>
      </c>
      <c r="M979" s="219">
        <f>L979*0.3</f>
        <v>7801.1220000000003</v>
      </c>
      <c r="N979" s="219">
        <f>L979-M979</f>
        <v>18202.618000000002</v>
      </c>
      <c r="O979" s="119">
        <f>IFERROR(N979/L979,"")</f>
        <v>0.70000000000000007</v>
      </c>
      <c r="P979" s="132">
        <v>26003.74</v>
      </c>
      <c r="Q979" s="111">
        <v>953</v>
      </c>
      <c r="R979" s="132">
        <v>21</v>
      </c>
      <c r="S979" s="132">
        <v>942.48</v>
      </c>
      <c r="T979" s="132">
        <v>1544.86</v>
      </c>
      <c r="U979" s="132">
        <v>925.91</v>
      </c>
      <c r="V979" s="132">
        <v>0</v>
      </c>
      <c r="W979" s="67">
        <f>SUM(S979:V979)</f>
        <v>3413.25</v>
      </c>
      <c r="X979" s="118">
        <f>IFERROR(S979/R979,"")</f>
        <v>44.88</v>
      </c>
      <c r="Y979" s="119">
        <f>U979/P979</f>
        <v>3.5606801175523208E-2</v>
      </c>
      <c r="Z979" s="117">
        <f>P979-W979</f>
        <v>22590.49</v>
      </c>
      <c r="AA979" s="119">
        <f>Z979/P979</f>
        <v>0.8687400350872605</v>
      </c>
      <c r="AB979" s="120">
        <f t="shared" si="589"/>
        <v>4387.8720000000003</v>
      </c>
      <c r="AC979" s="119">
        <f>IFERROR(AA979-O979,"")</f>
        <v>0.16874003508726043</v>
      </c>
      <c r="AD979" s="110"/>
      <c r="AE979" s="110"/>
      <c r="AF979" s="110"/>
      <c r="AG979" s="121"/>
      <c r="AH979" s="110"/>
    </row>
    <row r="980" spans="1:34" s="53" customFormat="1" ht="11.25" customHeight="1" x14ac:dyDescent="0.15">
      <c r="A980" s="53" t="s">
        <v>137</v>
      </c>
      <c r="C980" s="54" t="s">
        <v>177</v>
      </c>
      <c r="D980" s="54">
        <v>2022</v>
      </c>
      <c r="E980" s="70">
        <v>44926</v>
      </c>
      <c r="F980" s="54"/>
      <c r="G980" s="54"/>
      <c r="H980" s="54"/>
      <c r="I980" s="54"/>
      <c r="J980" s="54"/>
      <c r="K980" s="106"/>
      <c r="L980" s="24">
        <f>SUM(L978:L979)</f>
        <v>40005.75</v>
      </c>
      <c r="M980" s="24">
        <f>SUM(M978:M979)</f>
        <v>12001.725</v>
      </c>
      <c r="N980" s="24">
        <f>SUM(N978:N979)</f>
        <v>28004.025000000001</v>
      </c>
      <c r="O980" s="57">
        <f>IFERROR(N980/L980,"")</f>
        <v>0.70000000000000007</v>
      </c>
      <c r="P980" s="24">
        <f>SUM(P978:P979)</f>
        <v>40005.75</v>
      </c>
      <c r="Q980" s="24"/>
      <c r="R980" s="24">
        <f t="shared" ref="R980:W980" si="590">SUM(R978:R979)</f>
        <v>78.5</v>
      </c>
      <c r="S980" s="24">
        <f t="shared" si="590"/>
        <v>3523.08</v>
      </c>
      <c r="T980" s="24">
        <f t="shared" si="590"/>
        <v>4640.24</v>
      </c>
      <c r="U980" s="24">
        <f t="shared" si="590"/>
        <v>2158.58</v>
      </c>
      <c r="V980" s="24">
        <f t="shared" si="590"/>
        <v>0</v>
      </c>
      <c r="W980" s="24">
        <f t="shared" si="590"/>
        <v>10321.9</v>
      </c>
      <c r="X980" s="114">
        <f>IFERROR(S980/R980,"")</f>
        <v>44.88</v>
      </c>
      <c r="Y980" s="115">
        <f>IFERROR(U980/P980,0)</f>
        <v>5.3956743718090526E-2</v>
      </c>
      <c r="Z980" s="116">
        <f>P980-W980</f>
        <v>29683.85</v>
      </c>
      <c r="AA980" s="115">
        <f>IFERROR(Z980/P980,"")</f>
        <v>0.74198958899658174</v>
      </c>
      <c r="AB980" s="120">
        <f t="shared" si="589"/>
        <v>1679.8250000000007</v>
      </c>
      <c r="AC980" s="57">
        <f>IFERROR(AA980-O980,"")</f>
        <v>4.1989588996581673E-2</v>
      </c>
      <c r="AG980" s="61"/>
    </row>
    <row r="981" spans="1:34" ht="11.25" customHeight="1" x14ac:dyDescent="0.15">
      <c r="A981" s="130" t="s">
        <v>53</v>
      </c>
      <c r="B981" s="130"/>
      <c r="C981" s="124"/>
      <c r="D981" s="124"/>
      <c r="E981" s="273"/>
      <c r="F981" s="124"/>
      <c r="G981" s="124"/>
      <c r="H981" s="124"/>
      <c r="I981" s="124"/>
      <c r="J981" s="124"/>
      <c r="K981" s="125"/>
      <c r="L981" s="129"/>
      <c r="M981" s="129"/>
      <c r="N981" s="129"/>
      <c r="O981" s="128"/>
      <c r="P981" s="129"/>
      <c r="Q981" s="124"/>
      <c r="R981" s="129"/>
      <c r="S981" s="129"/>
      <c r="T981" s="129"/>
      <c r="U981" s="129"/>
      <c r="V981" s="126"/>
      <c r="W981" s="49"/>
      <c r="X981" s="45"/>
      <c r="Y981" s="128"/>
      <c r="Z981" s="126"/>
      <c r="AA981" s="128"/>
      <c r="AB981" s="129"/>
      <c r="AC981" s="160"/>
      <c r="AD981" s="137"/>
      <c r="AE981" s="110"/>
      <c r="AF981" s="110"/>
      <c r="AG981" s="121"/>
      <c r="AH981" s="110"/>
    </row>
    <row r="982" spans="1:34" ht="11.25" customHeight="1" x14ac:dyDescent="0.15">
      <c r="A982" s="110" t="s">
        <v>317</v>
      </c>
      <c r="B982" s="110"/>
      <c r="C982" s="111" t="s">
        <v>180</v>
      </c>
      <c r="D982" s="111">
        <v>2022</v>
      </c>
      <c r="E982" s="146">
        <v>44926</v>
      </c>
      <c r="F982" s="111"/>
      <c r="G982" s="111">
        <v>923050122</v>
      </c>
      <c r="H982" s="111"/>
      <c r="I982" s="111"/>
      <c r="J982" s="111"/>
      <c r="K982" s="112" t="s">
        <v>538</v>
      </c>
      <c r="L982" s="120">
        <v>11132</v>
      </c>
      <c r="M982" s="120">
        <v>3773.64</v>
      </c>
      <c r="N982" s="120">
        <f>L982-M982</f>
        <v>7358.3600000000006</v>
      </c>
      <c r="O982" s="119">
        <f>IFERROR(N982/L982,"")</f>
        <v>0.66100970176068996</v>
      </c>
      <c r="P982" s="117">
        <v>11132</v>
      </c>
      <c r="Q982" s="111">
        <v>1087</v>
      </c>
      <c r="R982" s="117">
        <v>0</v>
      </c>
      <c r="S982" s="117">
        <v>0</v>
      </c>
      <c r="T982" s="117">
        <v>0</v>
      </c>
      <c r="U982" s="117">
        <v>3945.38</v>
      </c>
      <c r="V982" s="117"/>
      <c r="W982" s="64">
        <f>SUM(S982:V982)</f>
        <v>3945.38</v>
      </c>
      <c r="X982" s="118" t="str">
        <f>IFERROR(S982/R982,"")</f>
        <v/>
      </c>
      <c r="Y982" s="119">
        <f>U982/P982</f>
        <v>0.35441789435860582</v>
      </c>
      <c r="Z982" s="117">
        <f>P982-W982</f>
        <v>7186.62</v>
      </c>
      <c r="AA982" s="119">
        <f>Z982/P982</f>
        <v>0.64558210564139418</v>
      </c>
      <c r="AB982" s="120">
        <f t="shared" ref="AB982:AB986" si="591">M982-W982</f>
        <v>-171.74000000000024</v>
      </c>
      <c r="AC982" s="119">
        <f>IFERROR(AA982-O982,"")</f>
        <v>-1.5427596119295783E-2</v>
      </c>
      <c r="AD982" s="110"/>
      <c r="AE982" s="110"/>
      <c r="AF982" s="110"/>
      <c r="AG982" s="121"/>
      <c r="AH982" s="110"/>
    </row>
    <row r="983" spans="1:34" s="53" customFormat="1" ht="11.25" customHeight="1" x14ac:dyDescent="0.15">
      <c r="A983" s="53" t="s">
        <v>317</v>
      </c>
      <c r="C983" s="54" t="s">
        <v>360</v>
      </c>
      <c r="D983" s="54">
        <v>2022</v>
      </c>
      <c r="E983" s="70">
        <v>44926</v>
      </c>
      <c r="F983" s="54"/>
      <c r="G983" s="54"/>
      <c r="H983" s="54"/>
      <c r="I983" s="54"/>
      <c r="J983" s="54"/>
      <c r="K983" s="106"/>
      <c r="L983" s="97">
        <v>11132</v>
      </c>
      <c r="M983" s="24">
        <f>SUM(M981:M982)</f>
        <v>3773.64</v>
      </c>
      <c r="N983" s="24">
        <f>SUM(N981:N982)</f>
        <v>7358.3600000000006</v>
      </c>
      <c r="O983" s="57"/>
      <c r="P983" s="24">
        <f>SUM(P982)</f>
        <v>11132</v>
      </c>
      <c r="Q983" s="24"/>
      <c r="R983" s="24">
        <f t="shared" ref="R983:W983" si="592">SUM(R982)</f>
        <v>0</v>
      </c>
      <c r="S983" s="24">
        <f t="shared" si="592"/>
        <v>0</v>
      </c>
      <c r="T983" s="24">
        <f t="shared" si="592"/>
        <v>0</v>
      </c>
      <c r="U983" s="24">
        <f t="shared" si="592"/>
        <v>3945.38</v>
      </c>
      <c r="V983" s="24">
        <f t="shared" si="592"/>
        <v>0</v>
      </c>
      <c r="W983" s="24">
        <f t="shared" si="592"/>
        <v>3945.38</v>
      </c>
      <c r="X983" s="149"/>
      <c r="Y983" s="150"/>
      <c r="Z983" s="116"/>
      <c r="AA983" s="115"/>
      <c r="AB983" s="120">
        <f t="shared" si="591"/>
        <v>-171.74000000000024</v>
      </c>
      <c r="AC983" s="57"/>
      <c r="AG983" s="61"/>
    </row>
    <row r="984" spans="1:34" ht="11.25" customHeight="1" x14ac:dyDescent="0.15">
      <c r="A984" s="110" t="s">
        <v>317</v>
      </c>
      <c r="B984" s="110"/>
      <c r="C984" s="111" t="s">
        <v>279</v>
      </c>
      <c r="D984" s="111">
        <v>2022</v>
      </c>
      <c r="E984" s="146">
        <v>44926</v>
      </c>
      <c r="F984" s="111"/>
      <c r="G984" s="111">
        <v>523050222</v>
      </c>
      <c r="H984" s="111"/>
      <c r="I984" s="111"/>
      <c r="J984" s="111"/>
      <c r="K984" s="112" t="s">
        <v>539</v>
      </c>
      <c r="L984" s="120">
        <v>9372</v>
      </c>
      <c r="M984" s="120">
        <v>3280</v>
      </c>
      <c r="N984" s="120">
        <f>L984-M984</f>
        <v>6092</v>
      </c>
      <c r="O984" s="119">
        <f>IFERROR(N984/L984,"")</f>
        <v>0.65002134016218527</v>
      </c>
      <c r="P984" s="117">
        <v>9372</v>
      </c>
      <c r="Q984" s="111">
        <v>1088</v>
      </c>
      <c r="R984" s="117">
        <v>9.5</v>
      </c>
      <c r="S984" s="117">
        <v>436.15</v>
      </c>
      <c r="T984" s="117">
        <v>22.7</v>
      </c>
      <c r="U984" s="117">
        <v>10.46</v>
      </c>
      <c r="V984" s="117"/>
      <c r="W984" s="64">
        <f>SUM(S984:V984)</f>
        <v>469.30999999999995</v>
      </c>
      <c r="X984" s="118">
        <f>IFERROR(S984/R984,"")</f>
        <v>45.910526315789468</v>
      </c>
      <c r="Y984" s="119">
        <f>U984/P984</f>
        <v>1.1160904822876655E-3</v>
      </c>
      <c r="Z984" s="117">
        <f>P984-W984</f>
        <v>8902.69</v>
      </c>
      <c r="AA984" s="119">
        <f>Z984/P984</f>
        <v>0.94992424242424245</v>
      </c>
      <c r="AB984" s="120">
        <f t="shared" si="591"/>
        <v>2810.69</v>
      </c>
      <c r="AC984" s="119">
        <f>IFERROR(AA984-O984,"")</f>
        <v>0.29990290226205718</v>
      </c>
      <c r="AD984" s="110"/>
      <c r="AE984" s="110"/>
      <c r="AF984" s="110"/>
      <c r="AG984" s="121"/>
      <c r="AH984" s="110"/>
    </row>
    <row r="985" spans="1:34" ht="11.25" customHeight="1" x14ac:dyDescent="0.15">
      <c r="A985" s="110" t="s">
        <v>317</v>
      </c>
      <c r="B985" s="110"/>
      <c r="C985" s="111" t="s">
        <v>175</v>
      </c>
      <c r="D985" s="111">
        <v>2022</v>
      </c>
      <c r="E985" s="146">
        <v>44926</v>
      </c>
      <c r="F985" s="111"/>
      <c r="G985" s="111">
        <v>810000002</v>
      </c>
      <c r="H985" s="111">
        <v>4111</v>
      </c>
      <c r="I985" s="111" t="str">
        <f>MID(G985,2,1)</f>
        <v>1</v>
      </c>
      <c r="J985" s="111" t="str">
        <f>IF(I985="1","Small/Medium","Large")</f>
        <v>Small/Medium</v>
      </c>
      <c r="K985" s="147" t="s">
        <v>145</v>
      </c>
      <c r="L985" s="120">
        <v>7670</v>
      </c>
      <c r="M985" s="120">
        <f>L985*0.3</f>
        <v>2301</v>
      </c>
      <c r="N985" s="120">
        <f>L985-M985</f>
        <v>5369</v>
      </c>
      <c r="O985" s="119">
        <f>IFERROR(N985/L985,"")</f>
        <v>0.7</v>
      </c>
      <c r="P985" s="117">
        <v>7670</v>
      </c>
      <c r="Q985" s="111">
        <v>1089</v>
      </c>
      <c r="R985" s="117">
        <v>5.5</v>
      </c>
      <c r="S985" s="117">
        <v>246.84</v>
      </c>
      <c r="T985" s="117">
        <v>22.7</v>
      </c>
      <c r="U985" s="117">
        <v>9.91</v>
      </c>
      <c r="V985" s="117"/>
      <c r="W985" s="64">
        <f>SUM(S985:V985)</f>
        <v>279.45000000000005</v>
      </c>
      <c r="X985" s="118">
        <f>IFERROR(S985/R985,"")</f>
        <v>44.88</v>
      </c>
      <c r="Y985" s="119">
        <f>U985/P985</f>
        <v>1.2920469361147326E-3</v>
      </c>
      <c r="Z985" s="117">
        <f>P985-W985</f>
        <v>7390.55</v>
      </c>
      <c r="AA985" s="119">
        <f>Z985/P985</f>
        <v>0.96356584093872233</v>
      </c>
      <c r="AB985" s="120">
        <f t="shared" si="591"/>
        <v>2021.55</v>
      </c>
      <c r="AC985" s="119">
        <f>IFERROR(AA985-O985,"")</f>
        <v>0.26356584093872237</v>
      </c>
      <c r="AD985" s="110"/>
      <c r="AE985" s="110"/>
      <c r="AF985" s="110"/>
      <c r="AG985" s="121"/>
      <c r="AH985" s="110"/>
    </row>
    <row r="986" spans="1:34" s="53" customFormat="1" ht="11.25" customHeight="1" x14ac:dyDescent="0.15">
      <c r="A986" s="53" t="s">
        <v>317</v>
      </c>
      <c r="C986" s="54" t="s">
        <v>177</v>
      </c>
      <c r="D986" s="54">
        <v>2022</v>
      </c>
      <c r="E986" s="70">
        <v>44926</v>
      </c>
      <c r="F986" s="54"/>
      <c r="G986" s="54"/>
      <c r="H986" s="54"/>
      <c r="I986" s="54"/>
      <c r="J986" s="54"/>
      <c r="K986" s="106"/>
      <c r="L986" s="24">
        <v>28174</v>
      </c>
      <c r="M986" s="24">
        <f>SUM(M983:M985)</f>
        <v>9354.64</v>
      </c>
      <c r="N986" s="24">
        <f>SUM(N983:N985)</f>
        <v>18819.36</v>
      </c>
      <c r="O986" s="73">
        <f>IFERROR(N986/L986,"")</f>
        <v>0.66796904947824243</v>
      </c>
      <c r="P986" s="24">
        <f>SUM(P983:P985)</f>
        <v>28174</v>
      </c>
      <c r="Q986" s="24"/>
      <c r="R986" s="24">
        <f>SUM(R983:R985)</f>
        <v>15</v>
      </c>
      <c r="S986" s="24">
        <f>SUM(S983:S985)</f>
        <v>682.99</v>
      </c>
      <c r="T986" s="24">
        <f>SUM(T983:T985)</f>
        <v>45.4</v>
      </c>
      <c r="U986" s="24">
        <f>SUM(U983:U985)</f>
        <v>3965.75</v>
      </c>
      <c r="V986" s="24">
        <f>SUM(V983:V985)</f>
        <v>0</v>
      </c>
      <c r="W986" s="24">
        <f>SUM(S986:V986)</f>
        <v>4694.1400000000003</v>
      </c>
      <c r="X986" s="114">
        <f>IFERROR(S986/R986,"")</f>
        <v>45.532666666666664</v>
      </c>
      <c r="Y986" s="115">
        <f>IFERROR(U986/P986,0)</f>
        <v>0.1407592106197203</v>
      </c>
      <c r="Z986" s="116">
        <f>P986-W986</f>
        <v>23479.86</v>
      </c>
      <c r="AA986" s="115">
        <f>IFERROR(Z986/P986,"")</f>
        <v>0.83338752040888764</v>
      </c>
      <c r="AB986" s="120">
        <f t="shared" si="591"/>
        <v>4660.4999999999991</v>
      </c>
      <c r="AC986" s="57">
        <f>IFERROR(AA986-O986,"")</f>
        <v>0.16541847093064521</v>
      </c>
      <c r="AG986" s="61"/>
    </row>
    <row r="987" spans="1:34" ht="11.25" customHeight="1" x14ac:dyDescent="0.15">
      <c r="A987" s="130" t="s">
        <v>53</v>
      </c>
      <c r="B987" s="130"/>
      <c r="C987" s="124"/>
      <c r="D987" s="124"/>
      <c r="E987" s="273"/>
      <c r="F987" s="124"/>
      <c r="G987" s="124"/>
      <c r="H987" s="124"/>
      <c r="I987" s="124"/>
      <c r="J987" s="124"/>
      <c r="K987" s="125"/>
      <c r="L987" s="129"/>
      <c r="M987" s="129"/>
      <c r="N987" s="129"/>
      <c r="O987" s="128"/>
      <c r="P987" s="129"/>
      <c r="Q987" s="124"/>
      <c r="R987" s="129"/>
      <c r="S987" s="129"/>
      <c r="T987" s="129"/>
      <c r="U987" s="129"/>
      <c r="V987" s="126"/>
      <c r="W987" s="49"/>
      <c r="X987" s="45"/>
      <c r="Y987" s="128"/>
      <c r="Z987" s="126"/>
      <c r="AA987" s="128"/>
      <c r="AB987" s="129"/>
      <c r="AC987" s="160"/>
      <c r="AD987" s="137"/>
      <c r="AE987" s="110"/>
      <c r="AF987" s="110"/>
      <c r="AG987" s="121"/>
      <c r="AH987" s="110"/>
    </row>
    <row r="988" spans="1:34" ht="11.25" customHeight="1" x14ac:dyDescent="0.15">
      <c r="A988" s="110" t="s">
        <v>36</v>
      </c>
      <c r="B988" s="110"/>
      <c r="C988" s="111" t="s">
        <v>175</v>
      </c>
      <c r="D988" s="111">
        <v>2023</v>
      </c>
      <c r="E988" s="146">
        <v>44957</v>
      </c>
      <c r="F988" s="111"/>
      <c r="G988" s="111">
        <v>811000113</v>
      </c>
      <c r="H988" s="111">
        <v>4101</v>
      </c>
      <c r="I988" s="111" t="str">
        <f>MID(G988,2,1)</f>
        <v>1</v>
      </c>
      <c r="J988" s="111" t="str">
        <f>IF(I988="1","Small/Medium","Large")</f>
        <v>Small/Medium</v>
      </c>
      <c r="K988" s="147" t="s">
        <v>145</v>
      </c>
      <c r="L988" s="120">
        <f>P988</f>
        <v>16272</v>
      </c>
      <c r="M988" s="120">
        <f>L988*0.3</f>
        <v>4881.5999999999995</v>
      </c>
      <c r="N988" s="120">
        <f>L988-M988</f>
        <v>11390.400000000001</v>
      </c>
      <c r="O988" s="119">
        <f>IFERROR(N988/L988,"")</f>
        <v>0.70000000000000007</v>
      </c>
      <c r="P988" s="131">
        <f>19144-2872</f>
        <v>16272</v>
      </c>
      <c r="Q988" s="111">
        <v>1158</v>
      </c>
      <c r="R988" s="117">
        <v>32.5</v>
      </c>
      <c r="S988" s="117">
        <v>1458.6</v>
      </c>
      <c r="T988" s="117">
        <v>1500.14</v>
      </c>
      <c r="U988" s="117">
        <v>431.51</v>
      </c>
      <c r="V988" s="117"/>
      <c r="W988" s="26">
        <f>SUM(S988:V988)</f>
        <v>3390.25</v>
      </c>
      <c r="X988" s="149">
        <f>IFERROR(S988/R988,"")</f>
        <v>44.879999999999995</v>
      </c>
      <c r="Y988" s="150">
        <f>IFERROR(U988/P988,0)</f>
        <v>2.6518559488692233E-2</v>
      </c>
      <c r="Z988" s="131">
        <f>P988-W988</f>
        <v>12881.75</v>
      </c>
      <c r="AA988" s="150">
        <f>IFERROR(Z988/P988,"")</f>
        <v>0.79165130285152407</v>
      </c>
      <c r="AB988" s="120">
        <f t="shared" ref="AB988:AB989" si="593">M988-W988</f>
        <v>1491.3499999999995</v>
      </c>
      <c r="AC988" s="119">
        <f>IFERROR(AA988-O988,"")</f>
        <v>9.1651302851524008E-2</v>
      </c>
      <c r="AD988" s="110"/>
      <c r="AE988" s="110"/>
      <c r="AF988" s="110"/>
      <c r="AG988" s="121"/>
      <c r="AH988" s="110"/>
    </row>
    <row r="989" spans="1:34" s="53" customFormat="1" ht="11.25" customHeight="1" x14ac:dyDescent="0.15">
      <c r="A989" s="53" t="s">
        <v>36</v>
      </c>
      <c r="C989" s="54" t="s">
        <v>177</v>
      </c>
      <c r="D989" s="54">
        <v>2023</v>
      </c>
      <c r="E989" s="70">
        <v>44957</v>
      </c>
      <c r="F989" s="54"/>
      <c r="G989" s="54"/>
      <c r="H989" s="54"/>
      <c r="I989" s="54"/>
      <c r="J989" s="54"/>
      <c r="K989" s="106"/>
      <c r="L989" s="24">
        <f>L988</f>
        <v>16272</v>
      </c>
      <c r="M989" s="24">
        <f>SUM(M987:M988)</f>
        <v>4881.5999999999995</v>
      </c>
      <c r="N989" s="24">
        <f>SUM(N987:N988)</f>
        <v>11390.400000000001</v>
      </c>
      <c r="O989" s="57">
        <f>IFERROR(N989/L989,"")</f>
        <v>0.70000000000000007</v>
      </c>
      <c r="P989" s="24">
        <f>P988</f>
        <v>16272</v>
      </c>
      <c r="Q989" s="24"/>
      <c r="R989" s="24">
        <f>R988</f>
        <v>32.5</v>
      </c>
      <c r="S989" s="24">
        <f>S988</f>
        <v>1458.6</v>
      </c>
      <c r="T989" s="24">
        <f>T988</f>
        <v>1500.14</v>
      </c>
      <c r="U989" s="24">
        <f>U988</f>
        <v>431.51</v>
      </c>
      <c r="V989" s="24">
        <f>V988</f>
        <v>0</v>
      </c>
      <c r="W989" s="24">
        <f>SUM(S989:V989)</f>
        <v>3390.25</v>
      </c>
      <c r="X989" s="114">
        <f>IFERROR(S989/R989,"")</f>
        <v>44.879999999999995</v>
      </c>
      <c r="Y989" s="115">
        <f>IFERROR(U989/P989,0)</f>
        <v>2.6518559488692233E-2</v>
      </c>
      <c r="Z989" s="116">
        <f>P989-W989</f>
        <v>12881.75</v>
      </c>
      <c r="AA989" s="115">
        <f>IFERROR(Z989/P989,"")</f>
        <v>0.79165130285152407</v>
      </c>
      <c r="AB989" s="120">
        <f t="shared" si="593"/>
        <v>1491.3499999999995</v>
      </c>
      <c r="AC989" s="57">
        <f>IFERROR(AA989-O989,"")</f>
        <v>9.1651302851524008E-2</v>
      </c>
      <c r="AG989" s="61"/>
    </row>
    <row r="990" spans="1:34" ht="11.25" customHeight="1" x14ac:dyDescent="0.15">
      <c r="A990" s="130" t="s">
        <v>53</v>
      </c>
      <c r="B990" s="130"/>
      <c r="C990" s="124"/>
      <c r="D990" s="124"/>
      <c r="E990" s="273"/>
      <c r="F990" s="124"/>
      <c r="G990" s="124"/>
      <c r="H990" s="124"/>
      <c r="I990" s="124"/>
      <c r="J990" s="124"/>
      <c r="K990" s="125"/>
      <c r="L990" s="129"/>
      <c r="M990" s="129"/>
      <c r="N990" s="129"/>
      <c r="O990" s="128"/>
      <c r="P990" s="129"/>
      <c r="Q990" s="124"/>
      <c r="R990" s="129"/>
      <c r="S990" s="129"/>
      <c r="T990" s="129"/>
      <c r="U990" s="129"/>
      <c r="V990" s="126"/>
      <c r="W990" s="49"/>
      <c r="X990" s="45"/>
      <c r="Y990" s="128"/>
      <c r="Z990" s="126"/>
      <c r="AA990" s="128"/>
      <c r="AB990" s="129"/>
      <c r="AC990" s="160"/>
      <c r="AD990" s="137"/>
      <c r="AE990" s="110"/>
      <c r="AF990" s="110"/>
      <c r="AG990" s="121"/>
      <c r="AH990" s="110"/>
    </row>
    <row r="991" spans="1:34" ht="11.25" customHeight="1" x14ac:dyDescent="0.15">
      <c r="A991" s="110" t="s">
        <v>889</v>
      </c>
      <c r="B991" s="110"/>
      <c r="C991" s="111" t="s">
        <v>175</v>
      </c>
      <c r="D991" s="111">
        <v>2023</v>
      </c>
      <c r="E991" s="146">
        <v>44985</v>
      </c>
      <c r="F991" s="111"/>
      <c r="G991" s="111">
        <v>81110111</v>
      </c>
      <c r="H991" s="111">
        <v>4101</v>
      </c>
      <c r="I991" s="111" t="str">
        <f>MID(G991,2,1)</f>
        <v>1</v>
      </c>
      <c r="J991" s="111"/>
      <c r="K991" s="147" t="s">
        <v>503</v>
      </c>
      <c r="L991" s="120">
        <v>6044</v>
      </c>
      <c r="M991" s="120">
        <f>L991*0.3</f>
        <v>1813.2</v>
      </c>
      <c r="N991" s="120">
        <f>L991-M991</f>
        <v>4230.8</v>
      </c>
      <c r="O991" s="119">
        <f>IFERROR(N991/L991,"")</f>
        <v>0.70000000000000007</v>
      </c>
      <c r="P991" s="131">
        <v>6044</v>
      </c>
      <c r="Q991" s="111">
        <v>1213</v>
      </c>
      <c r="R991" s="117"/>
      <c r="S991" s="117"/>
      <c r="T991" s="117"/>
      <c r="U991" s="117"/>
      <c r="V991" s="117"/>
      <c r="W991" s="26">
        <v>1008.14</v>
      </c>
      <c r="X991" s="149" t="str">
        <f>IFERROR(S991/R991,"")</f>
        <v/>
      </c>
      <c r="Y991" s="150">
        <f>IFERROR(U991/P991,0)</f>
        <v>0</v>
      </c>
      <c r="Z991" s="131">
        <f>P991-W991</f>
        <v>5035.8599999999997</v>
      </c>
      <c r="AA991" s="150">
        <f>IFERROR(Z991/P991,"")</f>
        <v>0.83319986763732623</v>
      </c>
      <c r="AB991" s="120">
        <f t="shared" ref="AB991:AB992" si="594">M991-W991</f>
        <v>805.06000000000006</v>
      </c>
      <c r="AC991" s="119"/>
      <c r="AD991" s="110"/>
      <c r="AE991" s="110"/>
      <c r="AF991" s="110"/>
      <c r="AG991" s="121"/>
      <c r="AH991" s="110"/>
    </row>
    <row r="992" spans="1:34" s="53" customFormat="1" ht="11.25" customHeight="1" x14ac:dyDescent="0.15">
      <c r="C992" s="54" t="s">
        <v>177</v>
      </c>
      <c r="D992" s="54">
        <v>2023</v>
      </c>
      <c r="E992" s="70">
        <v>44985</v>
      </c>
      <c r="F992" s="54"/>
      <c r="G992" s="54"/>
      <c r="H992" s="54"/>
      <c r="I992" s="54"/>
      <c r="J992" s="54"/>
      <c r="K992" s="106"/>
      <c r="L992" s="24">
        <f>SUM(L991)</f>
        <v>6044</v>
      </c>
      <c r="M992" s="24">
        <f>SUM(M990:M991)</f>
        <v>1813.2</v>
      </c>
      <c r="N992" s="24">
        <f>SUM(N990:N991)</f>
        <v>4230.8</v>
      </c>
      <c r="O992" s="57">
        <f>IFERROR(N992/L992,"")</f>
        <v>0.70000000000000007</v>
      </c>
      <c r="P992" s="24">
        <f>SUM(P991)</f>
        <v>6044</v>
      </c>
      <c r="Q992" s="24"/>
      <c r="R992" s="24">
        <f>SUM(R991)</f>
        <v>0</v>
      </c>
      <c r="S992" s="24">
        <f t="shared" ref="S992:V992" si="595">SUM(S991)</f>
        <v>0</v>
      </c>
      <c r="T992" s="24">
        <f t="shared" si="595"/>
        <v>0</v>
      </c>
      <c r="U992" s="24">
        <f t="shared" si="595"/>
        <v>0</v>
      </c>
      <c r="V992" s="24">
        <f t="shared" si="595"/>
        <v>0</v>
      </c>
      <c r="W992" s="24">
        <f>SUM(W991)</f>
        <v>1008.14</v>
      </c>
      <c r="X992" s="114" t="str">
        <f>IFERROR(S992/R992,"")</f>
        <v/>
      </c>
      <c r="Y992" s="115">
        <f>IFERROR(U992/P992,0)</f>
        <v>0</v>
      </c>
      <c r="Z992" s="116">
        <f>P992-W992</f>
        <v>5035.8599999999997</v>
      </c>
      <c r="AA992" s="115">
        <f>IFERROR(Z992/P992,"")</f>
        <v>0.83319986763732623</v>
      </c>
      <c r="AB992" s="120">
        <f t="shared" si="594"/>
        <v>805.06000000000006</v>
      </c>
      <c r="AC992" s="57"/>
      <c r="AG992" s="61"/>
    </row>
    <row r="993" spans="1:34" ht="11.25" customHeight="1" x14ac:dyDescent="0.15">
      <c r="A993" s="130"/>
      <c r="B993" s="130"/>
      <c r="C993" s="124"/>
      <c r="D993" s="124"/>
      <c r="E993" s="273"/>
      <c r="F993" s="124"/>
      <c r="G993" s="124"/>
      <c r="H993" s="124"/>
      <c r="I993" s="124"/>
      <c r="J993" s="124"/>
      <c r="K993" s="125"/>
      <c r="L993" s="129"/>
      <c r="M993" s="129"/>
      <c r="N993" s="129"/>
      <c r="O993" s="128"/>
      <c r="P993" s="129"/>
      <c r="Q993" s="124"/>
      <c r="R993" s="129"/>
      <c r="S993" s="129"/>
      <c r="T993" s="129"/>
      <c r="U993" s="129"/>
      <c r="V993" s="126"/>
      <c r="W993" s="49"/>
      <c r="X993" s="45"/>
      <c r="Y993" s="128"/>
      <c r="Z993" s="126"/>
      <c r="AA993" s="128"/>
      <c r="AB993" s="129"/>
      <c r="AC993" s="160"/>
      <c r="AD993" s="137"/>
      <c r="AE993" s="110"/>
      <c r="AF993" s="110"/>
      <c r="AG993" s="121"/>
      <c r="AH993" s="110"/>
    </row>
    <row r="994" spans="1:34" ht="11.25" customHeight="1" x14ac:dyDescent="0.15">
      <c r="A994" s="110" t="s">
        <v>237</v>
      </c>
      <c r="B994" s="110"/>
      <c r="C994" s="111" t="s">
        <v>175</v>
      </c>
      <c r="D994" s="111">
        <v>2023</v>
      </c>
      <c r="E994" s="146">
        <v>44985</v>
      </c>
      <c r="F994" s="111"/>
      <c r="G994" s="111">
        <v>811000113</v>
      </c>
      <c r="H994" s="111">
        <v>4101</v>
      </c>
      <c r="I994" s="111" t="str">
        <f>MID(G994,2,1)</f>
        <v>1</v>
      </c>
      <c r="J994" s="111" t="str">
        <f>IF(I994="1","Small/Medium","Large")</f>
        <v>Small/Medium</v>
      </c>
      <c r="K994" s="147" t="s">
        <v>145</v>
      </c>
      <c r="L994" s="117">
        <v>37984.5</v>
      </c>
      <c r="M994" s="120">
        <f>L994*0.3</f>
        <v>11395.35</v>
      </c>
      <c r="N994" s="120">
        <f>L994-M994</f>
        <v>26589.15</v>
      </c>
      <c r="O994" s="119">
        <f>IFERROR(N994/L994,"")</f>
        <v>0.70000000000000007</v>
      </c>
      <c r="P994" s="131">
        <v>37984.5</v>
      </c>
      <c r="Q994" s="111">
        <v>1176</v>
      </c>
      <c r="R994" s="117">
        <v>63.5</v>
      </c>
      <c r="S994" s="117">
        <v>2849.88</v>
      </c>
      <c r="T994" s="117">
        <v>2321.9499999999998</v>
      </c>
      <c r="U994" s="117">
        <v>945</v>
      </c>
      <c r="V994" s="117"/>
      <c r="W994" s="26">
        <f>SUM(S994:V994)</f>
        <v>6116.83</v>
      </c>
      <c r="X994" s="118">
        <f>IFERROR(S994/R994,"")</f>
        <v>44.88</v>
      </c>
      <c r="Y994" s="119">
        <f>U994/P994</f>
        <v>2.487856888994195E-2</v>
      </c>
      <c r="Z994" s="117">
        <f>P994-W994</f>
        <v>31867.67</v>
      </c>
      <c r="AA994" s="119">
        <f>Z994/P994</f>
        <v>0.83896510418723425</v>
      </c>
      <c r="AB994" s="120">
        <f t="shared" ref="AB994:AB996" si="596">M994-W994</f>
        <v>5278.52</v>
      </c>
      <c r="AC994" s="119">
        <f>IFERROR(AA994-O994,"")</f>
        <v>0.13896510418723418</v>
      </c>
      <c r="AD994" s="110"/>
      <c r="AE994" s="110"/>
      <c r="AF994" s="110"/>
      <c r="AG994" s="121"/>
      <c r="AH994" s="110"/>
    </row>
    <row r="995" spans="1:34" ht="11.25" customHeight="1" x14ac:dyDescent="0.15">
      <c r="A995" s="110" t="s">
        <v>237</v>
      </c>
      <c r="B995" s="110"/>
      <c r="C995" s="111" t="s">
        <v>175</v>
      </c>
      <c r="D995" s="111">
        <v>2023</v>
      </c>
      <c r="E995" s="146">
        <v>44985</v>
      </c>
      <c r="F995" s="111"/>
      <c r="G995" s="111">
        <v>821000113</v>
      </c>
      <c r="H995" s="111">
        <v>4101</v>
      </c>
      <c r="I995" s="111" t="str">
        <f>MID(G995,2,1)</f>
        <v>2</v>
      </c>
      <c r="J995" s="111" t="str">
        <f>IF(I995="1","Small/Medium","Large")</f>
        <v>Large</v>
      </c>
      <c r="K995" s="147" t="s">
        <v>176</v>
      </c>
      <c r="L995" s="117">
        <v>12661.5</v>
      </c>
      <c r="M995" s="120">
        <f>L995*0.3</f>
        <v>3798.45</v>
      </c>
      <c r="N995" s="120">
        <f>L995-M995</f>
        <v>8863.0499999999993</v>
      </c>
      <c r="O995" s="119">
        <f>IFERROR(N995/L995,"")</f>
        <v>0.7</v>
      </c>
      <c r="P995" s="131">
        <v>12661.5</v>
      </c>
      <c r="Q995" s="111">
        <v>1177</v>
      </c>
      <c r="R995" s="117">
        <v>16.5</v>
      </c>
      <c r="S995" s="117">
        <v>740.52</v>
      </c>
      <c r="T995" s="117">
        <v>1250.27</v>
      </c>
      <c r="U995" s="117">
        <v>315</v>
      </c>
      <c r="V995" s="117"/>
      <c r="W995" s="26">
        <f>SUM(S995:V995)</f>
        <v>2305.79</v>
      </c>
      <c r="X995" s="118">
        <f>IFERROR(S995/R995,"")</f>
        <v>44.879999999999995</v>
      </c>
      <c r="Y995" s="119">
        <f>U995/P995</f>
        <v>2.487856888994195E-2</v>
      </c>
      <c r="Z995" s="117">
        <f>P995-W995</f>
        <v>10355.709999999999</v>
      </c>
      <c r="AA995" s="119">
        <f>Z995/P995</f>
        <v>0.81788966552146258</v>
      </c>
      <c r="AB995" s="120">
        <f t="shared" si="596"/>
        <v>1492.6599999999999</v>
      </c>
      <c r="AC995" s="119">
        <f>IFERROR(AA995-O995,"")</f>
        <v>0.11788966552146263</v>
      </c>
      <c r="AD995" s="110"/>
      <c r="AE995" s="110"/>
      <c r="AF995" s="110"/>
      <c r="AG995" s="121"/>
      <c r="AH995" s="110"/>
    </row>
    <row r="996" spans="1:34" s="53" customFormat="1" ht="11.25" customHeight="1" x14ac:dyDescent="0.15">
      <c r="A996" s="53" t="s">
        <v>237</v>
      </c>
      <c r="C996" s="54" t="s">
        <v>177</v>
      </c>
      <c r="D996" s="54">
        <v>2023</v>
      </c>
      <c r="E996" s="70">
        <v>44985</v>
      </c>
      <c r="F996" s="54"/>
      <c r="G996" s="54"/>
      <c r="H996" s="54"/>
      <c r="I996" s="54"/>
      <c r="J996" s="54"/>
      <c r="K996" s="106"/>
      <c r="L996" s="24">
        <f>SUM(L994:L995)</f>
        <v>50646</v>
      </c>
      <c r="M996" s="24">
        <f>SUM(M994:M995)</f>
        <v>15193.8</v>
      </c>
      <c r="N996" s="24">
        <f>SUM(N994:N995)</f>
        <v>35452.199999999997</v>
      </c>
      <c r="O996" s="57">
        <f>IFERROR(N996/L996,"")</f>
        <v>0.7</v>
      </c>
      <c r="P996" s="24">
        <f>SUM(P994:P995)</f>
        <v>50646</v>
      </c>
      <c r="Q996" s="24"/>
      <c r="R996" s="24">
        <f t="shared" ref="R996:W996" si="597">SUM(R994:R995)</f>
        <v>80</v>
      </c>
      <c r="S996" s="24">
        <f t="shared" si="597"/>
        <v>3590.4</v>
      </c>
      <c r="T996" s="24">
        <f t="shared" si="597"/>
        <v>3572.22</v>
      </c>
      <c r="U996" s="24">
        <f t="shared" si="597"/>
        <v>1260</v>
      </c>
      <c r="V996" s="24">
        <f t="shared" si="597"/>
        <v>0</v>
      </c>
      <c r="W996" s="24">
        <f t="shared" si="597"/>
        <v>8422.619999999999</v>
      </c>
      <c r="X996" s="114">
        <f>IFERROR(S996/R996,"")</f>
        <v>44.88</v>
      </c>
      <c r="Y996" s="115">
        <f>IFERROR(U996/P996,0)</f>
        <v>2.487856888994195E-2</v>
      </c>
      <c r="Z996" s="116">
        <f>P996-W996</f>
        <v>42223.380000000005</v>
      </c>
      <c r="AA996" s="115">
        <f>IFERROR(Z996/P996,"")</f>
        <v>0.8336962445207915</v>
      </c>
      <c r="AB996" s="120">
        <f t="shared" si="596"/>
        <v>6771.18</v>
      </c>
      <c r="AC996" s="57">
        <f>IFERROR(AA996-O996,"")</f>
        <v>0.13369624452079154</v>
      </c>
      <c r="AG996" s="61"/>
    </row>
    <row r="997" spans="1:34" ht="11.25" customHeight="1" x14ac:dyDescent="0.15">
      <c r="A997" s="130" t="s">
        <v>53</v>
      </c>
      <c r="B997" s="130"/>
      <c r="C997" s="124"/>
      <c r="D997" s="124"/>
      <c r="E997" s="273"/>
      <c r="F997" s="124"/>
      <c r="G997" s="124"/>
      <c r="H997" s="124"/>
      <c r="I997" s="124"/>
      <c r="J997" s="124"/>
      <c r="K997" s="125"/>
      <c r="L997" s="129"/>
      <c r="M997" s="129"/>
      <c r="N997" s="129"/>
      <c r="O997" s="128"/>
      <c r="P997" s="129"/>
      <c r="Q997" s="124"/>
      <c r="R997" s="129"/>
      <c r="S997" s="129"/>
      <c r="T997" s="129"/>
      <c r="U997" s="129"/>
      <c r="V997" s="126"/>
      <c r="W997" s="49"/>
      <c r="X997" s="45"/>
      <c r="Y997" s="128"/>
      <c r="Z997" s="126"/>
      <c r="AA997" s="128"/>
      <c r="AB997" s="129"/>
      <c r="AC997" s="160"/>
      <c r="AD997" s="137"/>
      <c r="AE997" s="110"/>
      <c r="AF997" s="110"/>
      <c r="AG997" s="121"/>
      <c r="AH997" s="110"/>
    </row>
    <row r="998" spans="1:34" ht="11.25" customHeight="1" x14ac:dyDescent="0.15">
      <c r="A998" s="110" t="s">
        <v>147</v>
      </c>
      <c r="B998" s="110"/>
      <c r="C998" s="111" t="s">
        <v>175</v>
      </c>
      <c r="D998" s="111">
        <v>2023</v>
      </c>
      <c r="E998" s="146">
        <v>44957</v>
      </c>
      <c r="F998" s="111"/>
      <c r="G998" s="111">
        <v>811000113</v>
      </c>
      <c r="H998" s="111">
        <v>4101</v>
      </c>
      <c r="I998" s="111" t="str">
        <f>MID(G998,2,1)</f>
        <v>1</v>
      </c>
      <c r="J998" s="111" t="str">
        <f>IF(I998="1","Small/Medium","Large")</f>
        <v>Small/Medium</v>
      </c>
      <c r="K998" s="147" t="s">
        <v>145</v>
      </c>
      <c r="L998" s="117">
        <v>9353</v>
      </c>
      <c r="M998" s="120">
        <f>L998*0.3</f>
        <v>2805.9</v>
      </c>
      <c r="N998" s="120">
        <f>L998-M998</f>
        <v>6547.1</v>
      </c>
      <c r="O998" s="119">
        <f>IFERROR(N998/L998,"")</f>
        <v>0.70000000000000007</v>
      </c>
      <c r="P998" s="131">
        <v>9353</v>
      </c>
      <c r="Q998" s="111">
        <v>1178</v>
      </c>
      <c r="R998" s="117">
        <v>22.5</v>
      </c>
      <c r="S998" s="117">
        <v>1009.8</v>
      </c>
      <c r="T998" s="117">
        <v>1927.29</v>
      </c>
      <c r="U998" s="117">
        <v>672.5</v>
      </c>
      <c r="V998" s="117"/>
      <c r="W998" s="26">
        <f>SUM(S998:V998)</f>
        <v>3609.59</v>
      </c>
      <c r="X998" s="149">
        <f>IFERROR(S998/R998,"")</f>
        <v>44.879999999999995</v>
      </c>
      <c r="Y998" s="150">
        <f>IFERROR(U998/P998,0)</f>
        <v>7.1902063509034539E-2</v>
      </c>
      <c r="Z998" s="131">
        <f>P998-W998</f>
        <v>5743.41</v>
      </c>
      <c r="AA998" s="150">
        <f>IFERROR(Z998/P998,"")</f>
        <v>0.61407142093445954</v>
      </c>
      <c r="AB998" s="120">
        <f t="shared" ref="AB998:AB999" si="598">M998-W998</f>
        <v>-803.69</v>
      </c>
      <c r="AC998" s="119">
        <f>IFERROR(AA998-O998,"")</f>
        <v>-8.5928579065540522E-2</v>
      </c>
      <c r="AD998" s="110"/>
      <c r="AE998" s="110"/>
      <c r="AF998" s="110"/>
      <c r="AG998" s="121"/>
      <c r="AH998" s="110"/>
    </row>
    <row r="999" spans="1:34" s="53" customFormat="1" ht="11.25" customHeight="1" x14ac:dyDescent="0.15">
      <c r="A999" s="53" t="s">
        <v>147</v>
      </c>
      <c r="C999" s="54" t="s">
        <v>177</v>
      </c>
      <c r="D999" s="54">
        <v>2023</v>
      </c>
      <c r="E999" s="70">
        <v>44957</v>
      </c>
      <c r="F999" s="54"/>
      <c r="G999" s="54"/>
      <c r="H999" s="54"/>
      <c r="I999" s="54"/>
      <c r="J999" s="54"/>
      <c r="K999" s="106"/>
      <c r="L999" s="24">
        <f>L998</f>
        <v>9353</v>
      </c>
      <c r="M999" s="24">
        <f>SUM(M997:M998)</f>
        <v>2805.9</v>
      </c>
      <c r="N999" s="24">
        <f>SUM(N997:N998)</f>
        <v>6547.1</v>
      </c>
      <c r="O999" s="57">
        <f>IFERROR(N999/L999,"")</f>
        <v>0.70000000000000007</v>
      </c>
      <c r="P999" s="24">
        <f>P998</f>
        <v>9353</v>
      </c>
      <c r="Q999" s="24"/>
      <c r="R999" s="24">
        <f>R998</f>
        <v>22.5</v>
      </c>
      <c r="S999" s="24">
        <f>S998</f>
        <v>1009.8</v>
      </c>
      <c r="T999" s="24">
        <f>T998</f>
        <v>1927.29</v>
      </c>
      <c r="U999" s="24">
        <f>U998</f>
        <v>672.5</v>
      </c>
      <c r="V999" s="24">
        <f>V998</f>
        <v>0</v>
      </c>
      <c r="W999" s="24">
        <f>SUM(S999:V999)</f>
        <v>3609.59</v>
      </c>
      <c r="X999" s="114">
        <f>IFERROR(S999/R999,"")</f>
        <v>44.879999999999995</v>
      </c>
      <c r="Y999" s="115">
        <f>IFERROR(U999/P999,0)</f>
        <v>7.1902063509034539E-2</v>
      </c>
      <c r="Z999" s="116">
        <f>P999-W999</f>
        <v>5743.41</v>
      </c>
      <c r="AA999" s="115">
        <f>IFERROR(Z999/P999,"")</f>
        <v>0.61407142093445954</v>
      </c>
      <c r="AB999" s="120">
        <f t="shared" si="598"/>
        <v>-803.69</v>
      </c>
      <c r="AC999" s="57">
        <f>IFERROR(AA999-O999,"")</f>
        <v>-8.5928579065540522E-2</v>
      </c>
      <c r="AG999" s="61"/>
    </row>
    <row r="1000" spans="1:34" ht="11.25" customHeight="1" x14ac:dyDescent="0.15">
      <c r="A1000" s="130" t="s">
        <v>53</v>
      </c>
      <c r="B1000" s="130"/>
      <c r="C1000" s="124"/>
      <c r="D1000" s="124"/>
      <c r="E1000" s="273"/>
      <c r="F1000" s="124"/>
      <c r="G1000" s="124"/>
      <c r="H1000" s="124"/>
      <c r="I1000" s="124"/>
      <c r="J1000" s="124"/>
      <c r="K1000" s="125"/>
      <c r="L1000" s="129"/>
      <c r="M1000" s="129"/>
      <c r="N1000" s="129"/>
      <c r="O1000" s="128"/>
      <c r="P1000" s="129"/>
      <c r="Q1000" s="124"/>
      <c r="R1000" s="129"/>
      <c r="S1000" s="129"/>
      <c r="T1000" s="129"/>
      <c r="U1000" s="129"/>
      <c r="V1000" s="126"/>
      <c r="W1000" s="49"/>
      <c r="X1000" s="45"/>
      <c r="Y1000" s="128"/>
      <c r="Z1000" s="126"/>
      <c r="AA1000" s="128"/>
      <c r="AB1000" s="129"/>
      <c r="AC1000" s="160"/>
      <c r="AD1000" s="137"/>
      <c r="AE1000" s="110"/>
      <c r="AF1000" s="110"/>
      <c r="AG1000" s="121"/>
      <c r="AH1000" s="110"/>
    </row>
    <row r="1001" spans="1:34" ht="11.25" customHeight="1" x14ac:dyDescent="0.15">
      <c r="A1001" s="110" t="s">
        <v>174</v>
      </c>
      <c r="B1001" s="110"/>
      <c r="C1001" s="111" t="s">
        <v>175</v>
      </c>
      <c r="D1001" s="111">
        <v>2023</v>
      </c>
      <c r="E1001" s="146">
        <v>44957</v>
      </c>
      <c r="F1001" s="111"/>
      <c r="G1001" s="111">
        <v>811000113</v>
      </c>
      <c r="H1001" s="111">
        <v>4101</v>
      </c>
      <c r="I1001" s="111" t="str">
        <f>MID(G1001,2,1)</f>
        <v>1</v>
      </c>
      <c r="J1001" s="111" t="str">
        <f>IF(I1001="1","Small/Medium","Large")</f>
        <v>Small/Medium</v>
      </c>
      <c r="K1001" s="147" t="s">
        <v>145</v>
      </c>
      <c r="L1001" s="117">
        <v>6465.3110000000006</v>
      </c>
      <c r="M1001" s="120">
        <f>L1001*0.3</f>
        <v>1939.5933</v>
      </c>
      <c r="N1001" s="120">
        <f>L1001-M1001</f>
        <v>4525.7177000000011</v>
      </c>
      <c r="O1001" s="119">
        <f>IFERROR(N1001/L1001,"")</f>
        <v>0.70000000000000007</v>
      </c>
      <c r="P1001" s="117">
        <v>6465.3110000000006</v>
      </c>
      <c r="Q1001" s="111">
        <v>1180</v>
      </c>
      <c r="R1001" s="117">
        <v>17.5</v>
      </c>
      <c r="S1001" s="117">
        <v>785.4</v>
      </c>
      <c r="T1001" s="117">
        <v>1085.25</v>
      </c>
      <c r="U1001" s="117">
        <v>406</v>
      </c>
      <c r="V1001" s="117"/>
      <c r="W1001" s="26">
        <f>SUM(S1001:V1001)</f>
        <v>2276.65</v>
      </c>
      <c r="X1001" s="118">
        <f>IFERROR(S1001/R1001,"")</f>
        <v>44.879999999999995</v>
      </c>
      <c r="Y1001" s="119">
        <f>U1001/P1001</f>
        <v>6.2796669796704285E-2</v>
      </c>
      <c r="Z1001" s="117">
        <f>P1001-W1001</f>
        <v>4188.6610000000001</v>
      </c>
      <c r="AA1001" s="119">
        <f>Z1001/P1001</f>
        <v>0.64786690075697828</v>
      </c>
      <c r="AB1001" s="120">
        <f t="shared" ref="AB1001:AB1003" si="599">M1001-W1001</f>
        <v>-337.05670000000009</v>
      </c>
      <c r="AC1001" s="119">
        <f>IFERROR(AA1001-O1001,"")</f>
        <v>-5.2133099243021785E-2</v>
      </c>
      <c r="AD1001" s="110"/>
      <c r="AE1001" s="110"/>
      <c r="AF1001" s="110"/>
      <c r="AG1001" s="121"/>
      <c r="AH1001" s="110"/>
    </row>
    <row r="1002" spans="1:34" ht="11.25" customHeight="1" x14ac:dyDescent="0.15">
      <c r="A1002" s="110" t="s">
        <v>174</v>
      </c>
      <c r="B1002" s="110"/>
      <c r="C1002" s="111" t="s">
        <v>175</v>
      </c>
      <c r="D1002" s="111">
        <v>2023</v>
      </c>
      <c r="E1002" s="146">
        <v>44957</v>
      </c>
      <c r="F1002" s="111"/>
      <c r="G1002" s="111">
        <v>821000113</v>
      </c>
      <c r="H1002" s="111">
        <v>4101</v>
      </c>
      <c r="I1002" s="111" t="str">
        <f>MID(G1002,2,1)</f>
        <v>2</v>
      </c>
      <c r="J1002" s="111" t="str">
        <f>IF(I1002="1","Small/Medium","Large")</f>
        <v>Large</v>
      </c>
      <c r="K1002" s="147" t="s">
        <v>176</v>
      </c>
      <c r="L1002" s="117">
        <v>12007.019000000002</v>
      </c>
      <c r="M1002" s="120">
        <f>L1002*0.3</f>
        <v>3602.1057000000005</v>
      </c>
      <c r="N1002" s="120">
        <f>L1002-M1002</f>
        <v>8404.913300000002</v>
      </c>
      <c r="O1002" s="119">
        <f>IFERROR(N1002/L1002,"")</f>
        <v>0.70000000000000007</v>
      </c>
      <c r="P1002" s="117">
        <v>12007.02</v>
      </c>
      <c r="Q1002" s="111">
        <v>1179</v>
      </c>
      <c r="R1002" s="117">
        <v>20.5</v>
      </c>
      <c r="S1002" s="117">
        <v>920.04</v>
      </c>
      <c r="T1002" s="117">
        <v>796.97</v>
      </c>
      <c r="U1002" s="117">
        <v>754</v>
      </c>
      <c r="V1002" s="117"/>
      <c r="W1002" s="26">
        <f>SUM(S1002:V1002)</f>
        <v>2471.0100000000002</v>
      </c>
      <c r="X1002" s="118">
        <f>IFERROR(S1002/R1002,"")</f>
        <v>44.879999999999995</v>
      </c>
      <c r="Y1002" s="119">
        <f>U1002/P1002</f>
        <v>6.2796597323898848E-2</v>
      </c>
      <c r="Z1002" s="117">
        <f>P1002-W1002</f>
        <v>9536.01</v>
      </c>
      <c r="AA1002" s="119">
        <f>Z1002/P1002</f>
        <v>0.79420289130858446</v>
      </c>
      <c r="AB1002" s="120">
        <f t="shared" si="599"/>
        <v>1131.0957000000003</v>
      </c>
      <c r="AC1002" s="119">
        <f>IFERROR(AA1002-O1002,"")</f>
        <v>9.4202891308584391E-2</v>
      </c>
      <c r="AD1002" s="110"/>
      <c r="AE1002" s="110"/>
      <c r="AF1002" s="110"/>
      <c r="AG1002" s="121"/>
      <c r="AH1002" s="110"/>
    </row>
    <row r="1003" spans="1:34" s="53" customFormat="1" ht="11.25" customHeight="1" x14ac:dyDescent="0.15">
      <c r="A1003" s="53" t="s">
        <v>174</v>
      </c>
      <c r="C1003" s="54" t="s">
        <v>177</v>
      </c>
      <c r="D1003" s="54">
        <v>2023</v>
      </c>
      <c r="E1003" s="70">
        <v>44957</v>
      </c>
      <c r="F1003" s="54"/>
      <c r="G1003" s="54"/>
      <c r="H1003" s="54"/>
      <c r="I1003" s="54"/>
      <c r="J1003" s="54"/>
      <c r="K1003" s="106"/>
      <c r="L1003" s="24">
        <f>SUM(L1001:L1002)</f>
        <v>18472.330000000002</v>
      </c>
      <c r="M1003" s="24">
        <f>SUM(M1001:M1002)</f>
        <v>5541.6990000000005</v>
      </c>
      <c r="N1003" s="24">
        <f>SUM(N1001:N1002)</f>
        <v>12930.631000000003</v>
      </c>
      <c r="O1003" s="57">
        <f>IFERROR(N1003/L1003,"")</f>
        <v>0.70000000000000007</v>
      </c>
      <c r="P1003" s="24">
        <f>SUM(P1001:P1002)</f>
        <v>18472.331000000002</v>
      </c>
      <c r="Q1003" s="24"/>
      <c r="R1003" s="24">
        <f t="shared" ref="R1003:W1003" si="600">SUM(R1001:R1002)</f>
        <v>38</v>
      </c>
      <c r="S1003" s="24">
        <f t="shared" si="600"/>
        <v>1705.44</v>
      </c>
      <c r="T1003" s="24">
        <f t="shared" si="600"/>
        <v>1882.22</v>
      </c>
      <c r="U1003" s="24">
        <f t="shared" si="600"/>
        <v>1160</v>
      </c>
      <c r="V1003" s="24">
        <f t="shared" si="600"/>
        <v>0</v>
      </c>
      <c r="W1003" s="24">
        <f t="shared" si="600"/>
        <v>4747.66</v>
      </c>
      <c r="X1003" s="114">
        <f>IFERROR(S1003/R1003,"")</f>
        <v>44.88</v>
      </c>
      <c r="Y1003" s="115">
        <f>IFERROR(U1003/P1003,0)</f>
        <v>6.2796622689361717E-2</v>
      </c>
      <c r="Z1003" s="116">
        <f>P1003-W1003</f>
        <v>13724.671000000002</v>
      </c>
      <c r="AA1003" s="115">
        <f>IFERROR(Z1003/P1003,"")</f>
        <v>0.74298533303674563</v>
      </c>
      <c r="AB1003" s="120">
        <f t="shared" si="599"/>
        <v>794.03900000000067</v>
      </c>
      <c r="AC1003" s="57">
        <f>IFERROR(AA1003-O1003,"")</f>
        <v>4.2985333036745565E-2</v>
      </c>
      <c r="AG1003" s="61"/>
    </row>
    <row r="1004" spans="1:34" ht="11.25" customHeight="1" x14ac:dyDescent="0.15">
      <c r="A1004" s="130" t="s">
        <v>53</v>
      </c>
      <c r="B1004" s="130"/>
      <c r="C1004" s="124"/>
      <c r="D1004" s="124"/>
      <c r="E1004" s="273"/>
      <c r="F1004" s="124"/>
      <c r="G1004" s="124"/>
      <c r="H1004" s="124"/>
      <c r="I1004" s="124"/>
      <c r="J1004" s="124"/>
      <c r="K1004" s="125"/>
      <c r="L1004" s="129"/>
      <c r="M1004" s="129"/>
      <c r="N1004" s="129"/>
      <c r="O1004" s="128"/>
      <c r="P1004" s="129"/>
      <c r="Q1004" s="124"/>
      <c r="R1004" s="129"/>
      <c r="S1004" s="129"/>
      <c r="T1004" s="129"/>
      <c r="U1004" s="129"/>
      <c r="V1004" s="126"/>
      <c r="W1004" s="49"/>
      <c r="X1004" s="45"/>
      <c r="Y1004" s="128"/>
      <c r="Z1004" s="126"/>
      <c r="AA1004" s="128"/>
      <c r="AB1004" s="129"/>
      <c r="AC1004" s="160"/>
      <c r="AD1004" s="137"/>
      <c r="AE1004" s="110"/>
      <c r="AF1004" s="110"/>
      <c r="AG1004" s="121"/>
      <c r="AH1004" s="110"/>
    </row>
    <row r="1005" spans="1:34" ht="11.25" customHeight="1" x14ac:dyDescent="0.15">
      <c r="A1005" s="110" t="s">
        <v>540</v>
      </c>
      <c r="B1005" s="110"/>
      <c r="C1005" s="111" t="s">
        <v>37</v>
      </c>
      <c r="D1005" s="111">
        <v>2023</v>
      </c>
      <c r="E1005" s="146">
        <v>44985</v>
      </c>
      <c r="F1005" s="111"/>
      <c r="G1005" s="111">
        <v>125100122</v>
      </c>
      <c r="H1005" s="111"/>
      <c r="I1005" s="16" t="str">
        <f>MID(G1005,2,1)</f>
        <v>2</v>
      </c>
      <c r="J1005" s="16" t="s">
        <v>68</v>
      </c>
      <c r="K1005" s="112" t="s">
        <v>410</v>
      </c>
      <c r="L1005" s="219">
        <v>67246.850000000006</v>
      </c>
      <c r="M1005" s="219">
        <f>26800.36+434.54</f>
        <v>27234.9</v>
      </c>
      <c r="N1005" s="219">
        <f>L1005-M1005</f>
        <v>40011.950000000004</v>
      </c>
      <c r="O1005" s="163">
        <f>IFERROR(N1005/L1005,"")</f>
        <v>0.59500110414093743</v>
      </c>
      <c r="P1005" s="132">
        <v>67246.850000000006</v>
      </c>
      <c r="Q1005" s="111">
        <v>1112</v>
      </c>
      <c r="R1005" s="132">
        <v>42</v>
      </c>
      <c r="S1005" s="132">
        <v>1659</v>
      </c>
      <c r="T1005" s="132">
        <v>28244.03</v>
      </c>
      <c r="U1005" s="132"/>
      <c r="V1005" s="132"/>
      <c r="W1005" s="67">
        <f>SUM(S1005:V1005)</f>
        <v>29903.03</v>
      </c>
      <c r="X1005" s="118">
        <f>IFERROR(S1005/R1005,"")</f>
        <v>39.5</v>
      </c>
      <c r="Y1005" s="119">
        <f>U1005/P1005</f>
        <v>0</v>
      </c>
      <c r="Z1005" s="117">
        <f>P1005-W1005</f>
        <v>37343.820000000007</v>
      </c>
      <c r="AA1005" s="119">
        <f>Z1005/P1005</f>
        <v>0.55532445014153087</v>
      </c>
      <c r="AB1005" s="120">
        <f t="shared" ref="AB1005:AB1008" si="601">M1005-W1005</f>
        <v>-2668.1299999999974</v>
      </c>
      <c r="AC1005" s="119">
        <f>IFERROR(AA1005-O1005,"")</f>
        <v>-3.9676653999406564E-2</v>
      </c>
      <c r="AD1005" s="110" t="s">
        <v>541</v>
      </c>
      <c r="AE1005" s="110"/>
      <c r="AF1005" s="110"/>
      <c r="AG1005" s="121"/>
      <c r="AH1005" s="110"/>
    </row>
    <row r="1006" spans="1:34" ht="11.25" customHeight="1" x14ac:dyDescent="0.15">
      <c r="A1006" s="110" t="s">
        <v>540</v>
      </c>
      <c r="B1006" s="110"/>
      <c r="C1006" s="111" t="s">
        <v>37</v>
      </c>
      <c r="D1006" s="111">
        <v>2023</v>
      </c>
      <c r="E1006" s="146">
        <v>44985</v>
      </c>
      <c r="F1006" s="111"/>
      <c r="G1006" s="111">
        <v>210100112</v>
      </c>
      <c r="H1006" s="111"/>
      <c r="I1006" s="111"/>
      <c r="J1006" s="111"/>
      <c r="K1006" s="112" t="s">
        <v>439</v>
      </c>
      <c r="L1006" s="120">
        <v>9509.02</v>
      </c>
      <c r="M1006" s="120">
        <v>5149.1000000000004</v>
      </c>
      <c r="N1006" s="120">
        <f>L1006-M1006</f>
        <v>4359.92</v>
      </c>
      <c r="O1006" s="119">
        <f>IFERROR(N1006/L1006,"")</f>
        <v>0.4585036102563671</v>
      </c>
      <c r="P1006" s="117">
        <v>9509.02</v>
      </c>
      <c r="Q1006" s="111">
        <v>1104</v>
      </c>
      <c r="R1006" s="117"/>
      <c r="S1006" s="117"/>
      <c r="T1006" s="117"/>
      <c r="U1006" s="117">
        <v>6283.69</v>
      </c>
      <c r="V1006" s="117"/>
      <c r="W1006" s="26">
        <f>SUM(S1006:V1006)</f>
        <v>6283.69</v>
      </c>
      <c r="X1006" s="118" t="str">
        <f>IFERROR(S1006/R1006,"")</f>
        <v/>
      </c>
      <c r="Y1006" s="119">
        <f>U1006/P1006</f>
        <v>0.66081362748211692</v>
      </c>
      <c r="Z1006" s="117">
        <f>P1006-W1006</f>
        <v>3225.3300000000008</v>
      </c>
      <c r="AA1006" s="119">
        <f>Z1006/P1006</f>
        <v>0.33918637251788308</v>
      </c>
      <c r="AB1006" s="120">
        <f t="shared" si="601"/>
        <v>-1134.5899999999992</v>
      </c>
      <c r="AC1006" s="119">
        <f>IFERROR(AA1006-O1006,"")</f>
        <v>-0.11931723773848402</v>
      </c>
      <c r="AD1006" s="110" t="s">
        <v>541</v>
      </c>
      <c r="AE1006" s="110"/>
      <c r="AF1006" s="110"/>
      <c r="AG1006" s="121"/>
      <c r="AH1006" s="110"/>
    </row>
    <row r="1007" spans="1:34" ht="11.25" customHeight="1" x14ac:dyDescent="0.15">
      <c r="A1007" s="110" t="s">
        <v>540</v>
      </c>
      <c r="B1007" s="110"/>
      <c r="C1007" s="111" t="s">
        <v>37</v>
      </c>
      <c r="D1007" s="111">
        <v>2023</v>
      </c>
      <c r="E1007" s="146">
        <v>44985</v>
      </c>
      <c r="F1007" s="111"/>
      <c r="G1007" s="111">
        <v>210500112</v>
      </c>
      <c r="H1007" s="111"/>
      <c r="I1007" s="111"/>
      <c r="J1007" s="111"/>
      <c r="K1007" s="112" t="s">
        <v>154</v>
      </c>
      <c r="L1007" s="120">
        <v>15476.07</v>
      </c>
      <c r="M1007" s="120">
        <v>7547.42</v>
      </c>
      <c r="N1007" s="120">
        <f>L1007-M1007</f>
        <v>7928.65</v>
      </c>
      <c r="O1007" s="119">
        <f>IFERROR(N1007/L1007,"")</f>
        <v>0.51231675741968086</v>
      </c>
      <c r="P1007" s="117">
        <v>15476.07</v>
      </c>
      <c r="Q1007" s="111">
        <v>1105</v>
      </c>
      <c r="R1007" s="117"/>
      <c r="S1007" s="117"/>
      <c r="T1007" s="117"/>
      <c r="U1007" s="117">
        <v>8254.11</v>
      </c>
      <c r="V1007" s="117"/>
      <c r="W1007" s="26">
        <f>SUM(S1007:V1007)</f>
        <v>8254.11</v>
      </c>
      <c r="X1007" s="118" t="str">
        <f>IFERROR(S1007/R1007,"")</f>
        <v/>
      </c>
      <c r="Y1007" s="119">
        <f>U1007/P1007</f>
        <v>0.53334664420618416</v>
      </c>
      <c r="Z1007" s="117">
        <f>P1007-W1007</f>
        <v>7221.9599999999991</v>
      </c>
      <c r="AA1007" s="119">
        <f>Z1007/P1007</f>
        <v>0.46665335579381584</v>
      </c>
      <c r="AB1007" s="120">
        <f t="shared" si="601"/>
        <v>-706.69000000000051</v>
      </c>
      <c r="AC1007" s="119">
        <f>IFERROR(AA1007-O1007,"")</f>
        <v>-4.5663401625865019E-2</v>
      </c>
      <c r="AD1007" s="110" t="s">
        <v>541</v>
      </c>
      <c r="AE1007" s="110"/>
      <c r="AF1007" s="110"/>
      <c r="AG1007" s="121"/>
      <c r="AH1007" s="110"/>
    </row>
    <row r="1008" spans="1:34" ht="11.25" customHeight="1" x14ac:dyDescent="0.15">
      <c r="A1008" s="110" t="s">
        <v>540</v>
      </c>
      <c r="B1008" s="110"/>
      <c r="C1008" s="111" t="s">
        <v>37</v>
      </c>
      <c r="D1008" s="111">
        <v>2023</v>
      </c>
      <c r="E1008" s="146">
        <v>44985</v>
      </c>
      <c r="F1008" s="111"/>
      <c r="G1008" s="111">
        <v>925100422</v>
      </c>
      <c r="H1008" s="111"/>
      <c r="I1008" s="111"/>
      <c r="J1008" s="111"/>
      <c r="K1008" s="112" t="s">
        <v>413</v>
      </c>
      <c r="L1008" s="120">
        <v>8182.05</v>
      </c>
      <c r="M1008" s="120">
        <f>434.54+3850.32-434.54</f>
        <v>3850.3200000000006</v>
      </c>
      <c r="N1008" s="120">
        <f>L1008-M1008</f>
        <v>4331.7299999999996</v>
      </c>
      <c r="O1008" s="119">
        <f>IFERROR(N1008/L1008,"")</f>
        <v>0.52941866647111657</v>
      </c>
      <c r="P1008" s="117">
        <f>1142+7040.06</f>
        <v>8182.06</v>
      </c>
      <c r="Q1008" s="111">
        <v>1103</v>
      </c>
      <c r="R1008" s="117"/>
      <c r="S1008" s="117"/>
      <c r="T1008" s="117"/>
      <c r="U1008" s="117">
        <v>3696.09</v>
      </c>
      <c r="V1008" s="117"/>
      <c r="W1008" s="26">
        <f>SUM(S1008:V1008)</f>
        <v>3696.09</v>
      </c>
      <c r="X1008" s="118" t="str">
        <f>IFERROR(S1008/R1008,"")</f>
        <v/>
      </c>
      <c r="Y1008" s="119">
        <f>U1008/P1008</f>
        <v>0.45173098217319352</v>
      </c>
      <c r="Z1008" s="117">
        <f>P1008-W1008</f>
        <v>4485.97</v>
      </c>
      <c r="AA1008" s="119">
        <f>Z1008/P1008</f>
        <v>0.54826901782680648</v>
      </c>
      <c r="AB1008" s="120">
        <f t="shared" si="601"/>
        <v>154.23000000000047</v>
      </c>
      <c r="AC1008" s="119">
        <f>IFERROR(AA1008-O1008,"")</f>
        <v>1.8850351355689909E-2</v>
      </c>
      <c r="AD1008" s="110" t="s">
        <v>542</v>
      </c>
      <c r="AE1008" s="110"/>
      <c r="AF1008" s="110"/>
      <c r="AG1008" s="121"/>
      <c r="AH1008" s="110"/>
    </row>
    <row r="1009" spans="1:34" ht="11.25" customHeight="1" x14ac:dyDescent="0.15">
      <c r="A1009" s="110" t="s">
        <v>540</v>
      </c>
      <c r="B1009" s="110"/>
      <c r="C1009" s="111" t="s">
        <v>37</v>
      </c>
      <c r="D1009" s="111">
        <v>2023</v>
      </c>
      <c r="E1009" s="146">
        <v>44985</v>
      </c>
      <c r="F1009" s="111"/>
      <c r="G1009" s="111">
        <v>310800302</v>
      </c>
      <c r="H1009" s="111"/>
      <c r="I1009" s="111"/>
      <c r="J1009" s="111"/>
      <c r="K1009" s="112" t="s">
        <v>458</v>
      </c>
      <c r="L1009" s="120">
        <v>38053</v>
      </c>
      <c r="M1009" s="120">
        <v>13310.51</v>
      </c>
      <c r="N1009" s="120">
        <f>L1009-M1009</f>
        <v>24742.489999999998</v>
      </c>
      <c r="O1009" s="119">
        <f>IFERROR(N1009/L1009,"")</f>
        <v>0.65021128426142483</v>
      </c>
      <c r="P1009" s="117">
        <v>38053</v>
      </c>
      <c r="Q1009" s="111">
        <v>1106</v>
      </c>
      <c r="R1009" s="117">
        <v>15</v>
      </c>
      <c r="S1009" s="117">
        <v>593.1</v>
      </c>
      <c r="T1009" s="117"/>
      <c r="U1009" s="117">
        <v>14191.24</v>
      </c>
      <c r="V1009" s="117"/>
      <c r="W1009" s="26">
        <f>SUM(S1009:V1009)</f>
        <v>14784.34</v>
      </c>
      <c r="X1009" s="118">
        <f>IFERROR(S1009/R1009,"")</f>
        <v>39.54</v>
      </c>
      <c r="Y1009" s="119">
        <f>U1009/P1009</f>
        <v>0.37293354006254437</v>
      </c>
      <c r="Z1009" s="117">
        <f>P1009-W1009</f>
        <v>23268.66</v>
      </c>
      <c r="AA1009" s="119">
        <f>Z1009/P1009</f>
        <v>0.61148030378682361</v>
      </c>
      <c r="AB1009" s="120"/>
      <c r="AC1009" s="119">
        <f>IFERROR(AA1009-O1009,"")</f>
        <v>-3.8730980474601218E-2</v>
      </c>
      <c r="AD1009" s="110" t="s">
        <v>541</v>
      </c>
      <c r="AE1009" s="110"/>
      <c r="AF1009" s="110"/>
      <c r="AG1009" s="121"/>
      <c r="AH1009" s="110"/>
    </row>
    <row r="1010" spans="1:34" s="53" customFormat="1" ht="11.25" customHeight="1" x14ac:dyDescent="0.15">
      <c r="A1010" s="53" t="s">
        <v>540</v>
      </c>
      <c r="C1010" s="54" t="s">
        <v>360</v>
      </c>
      <c r="D1010" s="54">
        <v>2023</v>
      </c>
      <c r="E1010" s="70">
        <v>44985</v>
      </c>
      <c r="F1010" s="54"/>
      <c r="L1010" s="97">
        <f>SUM(L1005:L1009)</f>
        <v>138466.99</v>
      </c>
      <c r="M1010" s="97">
        <f>SUM(M1005:M1009)</f>
        <v>57092.25</v>
      </c>
      <c r="N1010" s="97">
        <f>SUM(N1005:N1009)</f>
        <v>81374.739999999991</v>
      </c>
      <c r="O1010" s="57"/>
      <c r="P1010" s="24">
        <f>SUM(P1005:P1009)</f>
        <v>138467</v>
      </c>
      <c r="Q1010" s="24"/>
      <c r="R1010" s="24">
        <f t="shared" ref="R1010:W1010" si="602">SUM(R1005:R1009)</f>
        <v>57</v>
      </c>
      <c r="S1010" s="24">
        <f t="shared" si="602"/>
        <v>2252.1</v>
      </c>
      <c r="T1010" s="24">
        <f t="shared" si="602"/>
        <v>28244.03</v>
      </c>
      <c r="U1010" s="24">
        <f t="shared" si="602"/>
        <v>32425.129999999997</v>
      </c>
      <c r="V1010" s="24">
        <f t="shared" si="602"/>
        <v>0</v>
      </c>
      <c r="W1010" s="24">
        <f t="shared" si="602"/>
        <v>62921.259999999995</v>
      </c>
      <c r="X1010" s="149"/>
      <c r="Y1010" s="150"/>
      <c r="Z1010" s="116"/>
      <c r="AA1010" s="115"/>
      <c r="AB1010" s="120">
        <f t="shared" ref="AB1010:AB1016" si="603">M1010-W1010</f>
        <v>-5829.0099999999948</v>
      </c>
      <c r="AC1010" s="57"/>
      <c r="AG1010" s="61"/>
    </row>
    <row r="1011" spans="1:34" ht="11.25" customHeight="1" x14ac:dyDescent="0.15">
      <c r="A1011" s="110" t="s">
        <v>540</v>
      </c>
      <c r="B1011" s="110"/>
      <c r="C1011" s="111" t="s">
        <v>47</v>
      </c>
      <c r="D1011" s="111">
        <v>2023</v>
      </c>
      <c r="E1011" s="146">
        <v>44985</v>
      </c>
      <c r="F1011" s="111"/>
      <c r="G1011" s="111">
        <v>525100122</v>
      </c>
      <c r="H1011" s="111"/>
      <c r="I1011" s="111"/>
      <c r="J1011" s="111"/>
      <c r="K1011" s="112" t="s">
        <v>442</v>
      </c>
      <c r="L1011" s="219">
        <v>28148</v>
      </c>
      <c r="M1011" s="219">
        <v>11928.8</v>
      </c>
      <c r="N1011" s="219">
        <f>L1011-M1011</f>
        <v>16219.2</v>
      </c>
      <c r="O1011" s="163">
        <f t="shared" ref="O1011:O1016" si="604">IFERROR(N1011/L1011,"")</f>
        <v>0.57621145374449345</v>
      </c>
      <c r="P1011" s="132">
        <v>28148</v>
      </c>
      <c r="Q1011" s="111">
        <v>1107</v>
      </c>
      <c r="R1011" s="132">
        <v>110</v>
      </c>
      <c r="S1011" s="132">
        <v>5050.13</v>
      </c>
      <c r="T1011" s="132">
        <v>6592.64</v>
      </c>
      <c r="U1011" s="132">
        <v>3014.7</v>
      </c>
      <c r="V1011" s="132">
        <v>7.1</v>
      </c>
      <c r="W1011" s="67">
        <f>SUM(S1011:V1011)</f>
        <v>14664.570000000002</v>
      </c>
      <c r="X1011" s="118">
        <f t="shared" ref="X1011:X1016" si="605">IFERROR(S1011/R1011,"")</f>
        <v>45.910272727272726</v>
      </c>
      <c r="Y1011" s="119">
        <f t="shared" ref="Y1011:Y1016" si="606">U1011/P1011</f>
        <v>0.10710174790393633</v>
      </c>
      <c r="Z1011" s="117">
        <f t="shared" ref="Z1011:Z1016" si="607">P1011-W1011</f>
        <v>13483.429999999998</v>
      </c>
      <c r="AA1011" s="119">
        <f t="shared" ref="AA1011:AA1016" si="608">Z1011/P1011</f>
        <v>0.47901911325849078</v>
      </c>
      <c r="AB1011" s="120">
        <f t="shared" si="603"/>
        <v>-2735.7700000000023</v>
      </c>
      <c r="AC1011" s="119">
        <f>IFERROR(AA1011-O1011,"")</f>
        <v>-9.7192340486002671E-2</v>
      </c>
      <c r="AD1011" s="110" t="s">
        <v>543</v>
      </c>
      <c r="AE1011" s="110"/>
      <c r="AF1011" s="110"/>
      <c r="AG1011" s="121"/>
      <c r="AH1011" s="110"/>
    </row>
    <row r="1012" spans="1:34" ht="11.25" customHeight="1" x14ac:dyDescent="0.15">
      <c r="A1012" s="110" t="s">
        <v>540</v>
      </c>
      <c r="B1012" s="110"/>
      <c r="C1012" s="111" t="s">
        <v>248</v>
      </c>
      <c r="D1012" s="111">
        <v>2023</v>
      </c>
      <c r="E1012" s="146">
        <v>44985</v>
      </c>
      <c r="F1012" s="111"/>
      <c r="G1012" s="111">
        <v>960000002</v>
      </c>
      <c r="H1012" s="111"/>
      <c r="I1012" s="111"/>
      <c r="J1012" s="111"/>
      <c r="K1012" s="112" t="s">
        <v>250</v>
      </c>
      <c r="L1012" s="120">
        <v>7153</v>
      </c>
      <c r="M1012" s="120">
        <v>3576.5</v>
      </c>
      <c r="N1012" s="120">
        <f>L1012-M1012</f>
        <v>3576.5</v>
      </c>
      <c r="O1012" s="119">
        <f t="shared" si="604"/>
        <v>0.5</v>
      </c>
      <c r="P1012" s="121">
        <v>7153</v>
      </c>
      <c r="Q1012" s="111">
        <v>1108</v>
      </c>
      <c r="R1012" s="117">
        <v>14.25</v>
      </c>
      <c r="S1012" s="117">
        <v>805.84</v>
      </c>
      <c r="T1012" s="117"/>
      <c r="U1012" s="117"/>
      <c r="V1012" s="117"/>
      <c r="W1012" s="26">
        <f>SUM(S1012:V1012)</f>
        <v>805.84</v>
      </c>
      <c r="X1012" s="118">
        <f t="shared" si="605"/>
        <v>56.55017543859649</v>
      </c>
      <c r="Y1012" s="119">
        <f t="shared" si="606"/>
        <v>0</v>
      </c>
      <c r="Z1012" s="117">
        <f t="shared" si="607"/>
        <v>6347.16</v>
      </c>
      <c r="AA1012" s="119">
        <f t="shared" si="608"/>
        <v>0.88734237382916259</v>
      </c>
      <c r="AB1012" s="120">
        <f t="shared" si="603"/>
        <v>2770.66</v>
      </c>
      <c r="AC1012" s="119">
        <f>IFERROR(AA1012-O1012,"")</f>
        <v>0.38734237382916259</v>
      </c>
      <c r="AD1012" s="110"/>
      <c r="AE1012" s="110"/>
      <c r="AF1012" s="110"/>
      <c r="AG1012" s="121"/>
      <c r="AH1012" s="110"/>
    </row>
    <row r="1013" spans="1:34" ht="11.25" customHeight="1" x14ac:dyDescent="0.15">
      <c r="A1013" s="110" t="s">
        <v>540</v>
      </c>
      <c r="B1013" s="110"/>
      <c r="C1013" s="111" t="s">
        <v>58</v>
      </c>
      <c r="D1013" s="111">
        <v>2023</v>
      </c>
      <c r="E1013" s="146">
        <v>44985</v>
      </c>
      <c r="F1013" s="111"/>
      <c r="G1013" s="111">
        <v>721220122</v>
      </c>
      <c r="H1013" s="111"/>
      <c r="I1013" s="111"/>
      <c r="J1013" s="111"/>
      <c r="K1013" s="112" t="s">
        <v>544</v>
      </c>
      <c r="L1013" s="219">
        <v>35443</v>
      </c>
      <c r="M1013" s="219">
        <v>3544.3</v>
      </c>
      <c r="N1013" s="219">
        <f>L1013-M1013</f>
        <v>31898.7</v>
      </c>
      <c r="O1013" s="163">
        <f t="shared" si="604"/>
        <v>0.9</v>
      </c>
      <c r="P1013" s="132">
        <v>35443</v>
      </c>
      <c r="Q1013" s="111">
        <v>1109</v>
      </c>
      <c r="R1013" s="229"/>
      <c r="S1013" s="132"/>
      <c r="T1013" s="132"/>
      <c r="U1013" s="132">
        <v>2128.11</v>
      </c>
      <c r="V1013" s="132"/>
      <c r="W1013" s="67">
        <f>SUM(S1013:V1013)</f>
        <v>2128.11</v>
      </c>
      <c r="X1013" s="118" t="str">
        <f t="shared" si="605"/>
        <v/>
      </c>
      <c r="Y1013" s="119">
        <f t="shared" si="606"/>
        <v>6.0043167903394187E-2</v>
      </c>
      <c r="Z1013" s="117">
        <f t="shared" si="607"/>
        <v>33314.89</v>
      </c>
      <c r="AA1013" s="119">
        <f t="shared" si="608"/>
        <v>0.93995683209660585</v>
      </c>
      <c r="AB1013" s="120">
        <f t="shared" si="603"/>
        <v>1416.19</v>
      </c>
      <c r="AC1013" s="119">
        <f>IFERROR(AA1013-O1013,"")</f>
        <v>3.9956832096605832E-2</v>
      </c>
      <c r="AD1013" s="110"/>
      <c r="AE1013" s="110"/>
      <c r="AF1013" s="110"/>
      <c r="AG1013" s="121"/>
      <c r="AH1013" s="110"/>
    </row>
    <row r="1014" spans="1:34" ht="11.25" customHeight="1" x14ac:dyDescent="0.15">
      <c r="A1014" s="110" t="s">
        <v>540</v>
      </c>
      <c r="B1014" s="110"/>
      <c r="C1014" s="111" t="s">
        <v>49</v>
      </c>
      <c r="D1014" s="111">
        <v>2023</v>
      </c>
      <c r="E1014" s="146">
        <v>44985</v>
      </c>
      <c r="F1014" s="111"/>
      <c r="G1014" s="111">
        <v>626220122</v>
      </c>
      <c r="H1014" s="111"/>
      <c r="I1014" s="111"/>
      <c r="J1014" s="111"/>
      <c r="K1014" s="112" t="s">
        <v>444</v>
      </c>
      <c r="L1014" s="120">
        <v>7037</v>
      </c>
      <c r="M1014" s="120">
        <v>4201.88</v>
      </c>
      <c r="N1014" s="120">
        <f>L1014-M1014</f>
        <v>2835.12</v>
      </c>
      <c r="O1014" s="119">
        <f t="shared" si="604"/>
        <v>0.40288759414523234</v>
      </c>
      <c r="P1014" s="117">
        <v>7037</v>
      </c>
      <c r="Q1014" s="111">
        <v>1110</v>
      </c>
      <c r="R1014" s="117">
        <v>33</v>
      </c>
      <c r="S1014" s="117">
        <v>1866.15</v>
      </c>
      <c r="T1014" s="117">
        <v>1949.49</v>
      </c>
      <c r="U1014" s="117"/>
      <c r="V1014" s="117"/>
      <c r="W1014" s="26">
        <f>SUM(S1014:V1014)</f>
        <v>3815.6400000000003</v>
      </c>
      <c r="X1014" s="118">
        <f t="shared" si="605"/>
        <v>56.550000000000004</v>
      </c>
      <c r="Y1014" s="119">
        <f t="shared" si="606"/>
        <v>0</v>
      </c>
      <c r="Z1014" s="117">
        <f t="shared" si="607"/>
        <v>3221.3599999999997</v>
      </c>
      <c r="AA1014" s="119">
        <f t="shared" si="608"/>
        <v>0.45777461986642032</v>
      </c>
      <c r="AB1014" s="120">
        <f t="shared" si="603"/>
        <v>386.23999999999978</v>
      </c>
      <c r="AC1014" s="119">
        <f>IFERROR(AA1014-O1014,"")</f>
        <v>5.4887025721187976E-2</v>
      </c>
      <c r="AD1014" s="110"/>
      <c r="AE1014" s="110"/>
      <c r="AF1014" s="110"/>
      <c r="AG1014" s="121"/>
      <c r="AH1014" s="110"/>
    </row>
    <row r="1015" spans="1:34" s="110" customFormat="1" ht="11.25" customHeight="1" x14ac:dyDescent="0.15">
      <c r="A1015" s="110" t="s">
        <v>540</v>
      </c>
      <c r="C1015" s="111" t="s">
        <v>55</v>
      </c>
      <c r="D1015" s="111">
        <v>2023</v>
      </c>
      <c r="E1015" s="146">
        <v>44985</v>
      </c>
      <c r="F1015" s="111"/>
      <c r="G1015" s="111" t="s">
        <v>56</v>
      </c>
      <c r="H1015" s="111"/>
      <c r="I1015" s="111"/>
      <c r="J1015" s="111"/>
      <c r="K1015" s="112" t="s">
        <v>71</v>
      </c>
      <c r="L1015" s="132">
        <v>16750</v>
      </c>
      <c r="M1015" s="132">
        <v>13400</v>
      </c>
      <c r="N1015" s="120">
        <f>L1015-M1015</f>
        <v>3350</v>
      </c>
      <c r="O1015" s="119">
        <f t="shared" si="604"/>
        <v>0.2</v>
      </c>
      <c r="P1015" s="132">
        <v>16750</v>
      </c>
      <c r="Q1015" s="111">
        <v>1111</v>
      </c>
      <c r="R1015" s="132">
        <v>15</v>
      </c>
      <c r="S1015" s="132">
        <v>637.5</v>
      </c>
      <c r="T1015" s="132"/>
      <c r="U1015" s="132"/>
      <c r="V1015" s="132">
        <v>10329.709999999999</v>
      </c>
      <c r="W1015" s="26">
        <f>SUM(S1015:V1015)</f>
        <v>10967.21</v>
      </c>
      <c r="X1015" s="118">
        <f t="shared" si="605"/>
        <v>42.5</v>
      </c>
      <c r="Y1015" s="119">
        <f t="shared" si="606"/>
        <v>0</v>
      </c>
      <c r="Z1015" s="117">
        <f t="shared" si="607"/>
        <v>5782.7900000000009</v>
      </c>
      <c r="AA1015" s="119">
        <f t="shared" si="608"/>
        <v>0.34524119402985082</v>
      </c>
      <c r="AB1015" s="120">
        <f t="shared" si="603"/>
        <v>2432.7900000000009</v>
      </c>
      <c r="AC1015" s="119"/>
      <c r="AG1015" s="121"/>
    </row>
    <row r="1016" spans="1:34" s="53" customFormat="1" ht="11.25" customHeight="1" x14ac:dyDescent="0.15">
      <c r="A1016" s="53" t="s">
        <v>540</v>
      </c>
      <c r="C1016" s="54" t="s">
        <v>177</v>
      </c>
      <c r="D1016" s="54">
        <v>2023</v>
      </c>
      <c r="E1016" s="70">
        <v>44985</v>
      </c>
      <c r="F1016" s="54"/>
      <c r="G1016" s="54"/>
      <c r="H1016" s="54"/>
      <c r="I1016" s="54"/>
      <c r="J1016" s="54"/>
      <c r="K1016" s="106"/>
      <c r="L1016" s="24">
        <f>SUM(L1010:L1015)</f>
        <v>232997.99</v>
      </c>
      <c r="M1016" s="24">
        <f>SUM(M1010:M1015)</f>
        <v>93743.73000000001</v>
      </c>
      <c r="N1016" s="24">
        <f>SUM(N1010:N1015)</f>
        <v>139254.25999999998</v>
      </c>
      <c r="O1016" s="57">
        <f t="shared" si="604"/>
        <v>0.59766292404496701</v>
      </c>
      <c r="P1016" s="24">
        <f>SUM(P1010:P1015)</f>
        <v>232998</v>
      </c>
      <c r="Q1016" s="24"/>
      <c r="R1016" s="24">
        <f t="shared" ref="R1016:W1016" si="609">SUM(R1010:R1015)</f>
        <v>229.25</v>
      </c>
      <c r="S1016" s="24">
        <f t="shared" si="609"/>
        <v>10611.72</v>
      </c>
      <c r="T1016" s="24">
        <f t="shared" si="609"/>
        <v>36786.159999999996</v>
      </c>
      <c r="U1016" s="24">
        <f t="shared" si="609"/>
        <v>37567.939999999995</v>
      </c>
      <c r="V1016" s="24">
        <f t="shared" si="609"/>
        <v>10336.81</v>
      </c>
      <c r="W1016" s="24">
        <f t="shared" si="609"/>
        <v>95302.63</v>
      </c>
      <c r="X1016" s="56">
        <f t="shared" si="605"/>
        <v>46.288854961832058</v>
      </c>
      <c r="Y1016" s="57">
        <f t="shared" si="606"/>
        <v>0.1612371780015279</v>
      </c>
      <c r="Z1016" s="28">
        <f t="shared" si="607"/>
        <v>137695.37</v>
      </c>
      <c r="AA1016" s="57">
        <f t="shared" si="608"/>
        <v>0.59097232594271198</v>
      </c>
      <c r="AB1016" s="120">
        <f t="shared" si="603"/>
        <v>-1558.8999999999942</v>
      </c>
      <c r="AC1016" s="57">
        <f>IFERROR(AA1016-O1016,"")</f>
        <v>-6.6905981022550298E-3</v>
      </c>
      <c r="AG1016" s="61"/>
    </row>
    <row r="1017" spans="1:34" ht="11.25" customHeight="1" x14ac:dyDescent="0.15">
      <c r="A1017" s="130" t="s">
        <v>53</v>
      </c>
      <c r="B1017" s="130"/>
      <c r="C1017" s="124"/>
      <c r="D1017" s="124"/>
      <c r="E1017" s="273"/>
      <c r="F1017" s="124"/>
      <c r="G1017" s="124"/>
      <c r="H1017" s="124"/>
      <c r="I1017" s="124"/>
      <c r="J1017" s="124"/>
      <c r="K1017" s="125"/>
      <c r="L1017" s="129"/>
      <c r="M1017" s="129"/>
      <c r="N1017" s="129"/>
      <c r="O1017" s="128"/>
      <c r="P1017" s="129"/>
      <c r="Q1017" s="124"/>
      <c r="R1017" s="129"/>
      <c r="S1017" s="129"/>
      <c r="T1017" s="129"/>
      <c r="U1017" s="129"/>
      <c r="V1017" s="126"/>
      <c r="W1017" s="49"/>
      <c r="X1017" s="45"/>
      <c r="Y1017" s="128"/>
      <c r="Z1017" s="126"/>
      <c r="AA1017" s="128"/>
      <c r="AB1017" s="129"/>
      <c r="AC1017" s="160"/>
      <c r="AD1017" s="137"/>
      <c r="AE1017" s="110"/>
      <c r="AF1017" s="110"/>
      <c r="AG1017" s="121"/>
      <c r="AH1017" s="110"/>
    </row>
    <row r="1018" spans="1:34" ht="11.25" customHeight="1" x14ac:dyDescent="0.15">
      <c r="A1018" s="110" t="s">
        <v>420</v>
      </c>
      <c r="B1018" s="110"/>
      <c r="C1018" s="111" t="s">
        <v>175</v>
      </c>
      <c r="D1018" s="111">
        <v>2023</v>
      </c>
      <c r="E1018" s="146">
        <v>44985</v>
      </c>
      <c r="F1018" s="111"/>
      <c r="G1018" s="111">
        <v>810202113</v>
      </c>
      <c r="H1018" s="111">
        <v>4111</v>
      </c>
      <c r="I1018" s="111" t="str">
        <f>MID(G1018,2,1)</f>
        <v>1</v>
      </c>
      <c r="J1018" s="111" t="str">
        <f>IF(I1018="1","Small/Medium","Large")</f>
        <v>Small/Medium</v>
      </c>
      <c r="K1018" s="147" t="s">
        <v>145</v>
      </c>
      <c r="L1018" s="117">
        <v>11670</v>
      </c>
      <c r="M1018" s="120">
        <f>L1018*0.3</f>
        <v>3501</v>
      </c>
      <c r="N1018" s="120">
        <f>L1018-M1018</f>
        <v>8169</v>
      </c>
      <c r="O1018" s="119">
        <f>IFERROR(N1018/L1018,"")</f>
        <v>0.7</v>
      </c>
      <c r="P1018" s="131">
        <v>11670</v>
      </c>
      <c r="Q1018" s="111">
        <v>1205</v>
      </c>
      <c r="R1018" s="117">
        <v>21</v>
      </c>
      <c r="S1018" s="117">
        <v>942.48</v>
      </c>
      <c r="T1018" s="117">
        <v>516.92999999999995</v>
      </c>
      <c r="U1018" s="117">
        <v>516.79</v>
      </c>
      <c r="V1018" s="117">
        <v>18.350000000000001</v>
      </c>
      <c r="W1018" s="26">
        <f>SUM(S1018:V1018)</f>
        <v>1994.5499999999997</v>
      </c>
      <c r="X1018" s="118">
        <f>IFERROR(S1018/R1018,"")</f>
        <v>44.88</v>
      </c>
      <c r="Y1018" s="119">
        <f>U1018/P1018</f>
        <v>4.4283633247643527E-2</v>
      </c>
      <c r="Z1018" s="117">
        <f>P1018-W1018</f>
        <v>9675.4500000000007</v>
      </c>
      <c r="AA1018" s="119">
        <f>Z1018/P1018</f>
        <v>0.82908740359897182</v>
      </c>
      <c r="AB1018" s="120">
        <f t="shared" ref="AB1018:AB1020" si="610">M1018-W1018</f>
        <v>1506.4500000000003</v>
      </c>
      <c r="AC1018" s="119">
        <f>IFERROR(AA1018-O1018,"")</f>
        <v>0.12908740359897186</v>
      </c>
      <c r="AD1018" s="110" t="s">
        <v>545</v>
      </c>
      <c r="AE1018" s="110"/>
      <c r="AF1018" s="110"/>
      <c r="AG1018" s="121"/>
      <c r="AH1018" s="110"/>
    </row>
    <row r="1019" spans="1:34" ht="11.25" customHeight="1" x14ac:dyDescent="0.15">
      <c r="A1019" s="110" t="s">
        <v>420</v>
      </c>
      <c r="B1019" s="110"/>
      <c r="C1019" s="111" t="s">
        <v>175</v>
      </c>
      <c r="D1019" s="111">
        <v>2023</v>
      </c>
      <c r="E1019" s="146">
        <v>44985</v>
      </c>
      <c r="F1019" s="111"/>
      <c r="G1019" s="111">
        <v>820202113</v>
      </c>
      <c r="H1019" s="111">
        <v>4111</v>
      </c>
      <c r="I1019" s="111" t="str">
        <f>MID(G1019,2,1)</f>
        <v>2</v>
      </c>
      <c r="J1019" s="111" t="str">
        <f>IF(I1019="1","Small/Medium","Large")</f>
        <v>Large</v>
      </c>
      <c r="K1019" s="147" t="s">
        <v>176</v>
      </c>
      <c r="L1019" s="132">
        <v>15078</v>
      </c>
      <c r="M1019" s="219">
        <f>L1019*0.3</f>
        <v>4523.3999999999996</v>
      </c>
      <c r="N1019" s="219">
        <f>L1019-M1019</f>
        <v>10554.6</v>
      </c>
      <c r="O1019" s="119">
        <f>IFERROR(N1019/L1019,"")</f>
        <v>0.70000000000000007</v>
      </c>
      <c r="P1019" s="154">
        <v>15078</v>
      </c>
      <c r="Q1019" s="111">
        <v>1206</v>
      </c>
      <c r="R1019" s="132">
        <v>20</v>
      </c>
      <c r="S1019" s="132">
        <v>897.6</v>
      </c>
      <c r="T1019" s="132">
        <v>960.01</v>
      </c>
      <c r="U1019" s="132">
        <v>959.75</v>
      </c>
      <c r="V1019" s="132">
        <v>0</v>
      </c>
      <c r="W1019" s="67">
        <f>SUM(S1019:V1019)</f>
        <v>2817.36</v>
      </c>
      <c r="X1019" s="118">
        <f>IFERROR(S1019/R1019,"")</f>
        <v>44.88</v>
      </c>
      <c r="Y1019" s="119">
        <f>U1019/P1019</f>
        <v>6.3652341159304945E-2</v>
      </c>
      <c r="Z1019" s="117">
        <f>P1019-W1019</f>
        <v>12260.64</v>
      </c>
      <c r="AA1019" s="119">
        <f>Z1019/P1019</f>
        <v>0.81314763231197773</v>
      </c>
      <c r="AB1019" s="120">
        <f t="shared" si="610"/>
        <v>1706.0399999999995</v>
      </c>
      <c r="AC1019" s="119">
        <f>IFERROR(AA1019-O1019,"")</f>
        <v>0.11314763231197766</v>
      </c>
      <c r="AD1019" s="110" t="s">
        <v>545</v>
      </c>
      <c r="AE1019" s="110"/>
      <c r="AF1019" s="110"/>
      <c r="AG1019" s="121"/>
      <c r="AH1019" s="110"/>
    </row>
    <row r="1020" spans="1:34" s="53" customFormat="1" ht="11.25" customHeight="1" x14ac:dyDescent="0.15">
      <c r="A1020" s="53" t="s">
        <v>420</v>
      </c>
      <c r="C1020" s="54" t="s">
        <v>177</v>
      </c>
      <c r="D1020" s="54">
        <v>2023</v>
      </c>
      <c r="E1020" s="70">
        <v>44985</v>
      </c>
      <c r="F1020" s="54"/>
      <c r="G1020" s="54"/>
      <c r="H1020" s="54"/>
      <c r="I1020" s="54"/>
      <c r="J1020" s="54"/>
      <c r="K1020" s="106"/>
      <c r="L1020" s="24">
        <f>SUM(L1018:L1019)</f>
        <v>26748</v>
      </c>
      <c r="M1020" s="24">
        <f>SUM(M1018:M1019)</f>
        <v>8024.4</v>
      </c>
      <c r="N1020" s="24">
        <f>SUM(N1018:N1019)</f>
        <v>18723.599999999999</v>
      </c>
      <c r="O1020" s="57">
        <f>IFERROR(N1020/L1020,"")</f>
        <v>0.7</v>
      </c>
      <c r="P1020" s="24">
        <f>SUM(P1018:P1019)</f>
        <v>26748</v>
      </c>
      <c r="Q1020" s="24"/>
      <c r="R1020" s="24">
        <f t="shared" ref="R1020:W1020" si="611">SUM(R1018:R1019)</f>
        <v>41</v>
      </c>
      <c r="S1020" s="24">
        <f t="shared" si="611"/>
        <v>1840.08</v>
      </c>
      <c r="T1020" s="24">
        <f t="shared" si="611"/>
        <v>1476.94</v>
      </c>
      <c r="U1020" s="24">
        <f t="shared" si="611"/>
        <v>1476.54</v>
      </c>
      <c r="V1020" s="24">
        <f t="shared" si="611"/>
        <v>18.350000000000001</v>
      </c>
      <c r="W1020" s="24">
        <f t="shared" si="611"/>
        <v>4811.91</v>
      </c>
      <c r="X1020" s="114">
        <f>IFERROR(S1020/R1020,"")</f>
        <v>44.879999999999995</v>
      </c>
      <c r="Y1020" s="115">
        <f>IFERROR(U1020/P1020,0)</f>
        <v>5.5201884253028265E-2</v>
      </c>
      <c r="Z1020" s="116">
        <f>P1020-W1020</f>
        <v>21936.09</v>
      </c>
      <c r="AA1020" s="115">
        <f>IFERROR(Z1020/P1020,"")</f>
        <v>0.8201020637056976</v>
      </c>
      <c r="AB1020" s="120">
        <f t="shared" si="610"/>
        <v>3212.49</v>
      </c>
      <c r="AC1020" s="57">
        <f>IFERROR(AA1020-O1020,"")</f>
        <v>0.12010206370569765</v>
      </c>
      <c r="AG1020" s="61"/>
    </row>
    <row r="1021" spans="1:34" ht="11.25" customHeight="1" x14ac:dyDescent="0.15">
      <c r="A1021" s="130" t="s">
        <v>53</v>
      </c>
      <c r="B1021" s="130"/>
      <c r="C1021" s="124"/>
      <c r="D1021" s="124"/>
      <c r="E1021" s="273"/>
      <c r="F1021" s="124"/>
      <c r="G1021" s="124"/>
      <c r="H1021" s="124"/>
      <c r="I1021" s="124"/>
      <c r="J1021" s="124"/>
      <c r="K1021" s="125"/>
      <c r="L1021" s="129"/>
      <c r="M1021" s="129"/>
      <c r="N1021" s="129"/>
      <c r="O1021" s="128"/>
      <c r="P1021" s="129"/>
      <c r="Q1021" s="124"/>
      <c r="R1021" s="129"/>
      <c r="S1021" s="129"/>
      <c r="T1021" s="129"/>
      <c r="U1021" s="129"/>
      <c r="V1021" s="126"/>
      <c r="W1021" s="49"/>
      <c r="X1021" s="45"/>
      <c r="Y1021" s="128"/>
      <c r="Z1021" s="126"/>
      <c r="AA1021" s="128"/>
      <c r="AB1021" s="129"/>
      <c r="AC1021" s="160"/>
      <c r="AD1021" s="137"/>
      <c r="AE1021" s="110"/>
      <c r="AF1021" s="110"/>
      <c r="AG1021" s="121"/>
      <c r="AH1021" s="110"/>
    </row>
    <row r="1022" spans="1:34" ht="11.25" customHeight="1" x14ac:dyDescent="0.15">
      <c r="A1022" s="110" t="s">
        <v>152</v>
      </c>
      <c r="B1022" s="110"/>
      <c r="C1022" s="111" t="s">
        <v>175</v>
      </c>
      <c r="D1022" s="111">
        <v>2023</v>
      </c>
      <c r="E1022" s="146">
        <v>45016</v>
      </c>
      <c r="F1022" s="111"/>
      <c r="G1022" s="111">
        <v>811101113</v>
      </c>
      <c r="H1022" s="111">
        <v>4101</v>
      </c>
      <c r="I1022" s="111" t="str">
        <f>MID(G1022,2,1)</f>
        <v>1</v>
      </c>
      <c r="J1022" s="111" t="str">
        <f>IF(I1022="1","Small/Medium","Large")</f>
        <v>Small/Medium</v>
      </c>
      <c r="K1022" s="147" t="s">
        <v>145</v>
      </c>
      <c r="L1022" s="219">
        <v>17017</v>
      </c>
      <c r="M1022" s="219">
        <f>L1022*0.3</f>
        <v>5105.0999999999995</v>
      </c>
      <c r="N1022" s="219">
        <f>L1022-M1022</f>
        <v>11911.900000000001</v>
      </c>
      <c r="O1022" s="163">
        <f>IFERROR(N1022/L1022,"")</f>
        <v>0.70000000000000007</v>
      </c>
      <c r="P1022" s="154">
        <v>17017</v>
      </c>
      <c r="Q1022" s="111">
        <v>1302</v>
      </c>
      <c r="R1022" s="132">
        <v>26</v>
      </c>
      <c r="S1022" s="132">
        <v>1166.8800000000001</v>
      </c>
      <c r="T1022" s="132">
        <v>2651.74</v>
      </c>
      <c r="U1022" s="132">
        <v>952.8</v>
      </c>
      <c r="V1022" s="132"/>
      <c r="W1022" s="67">
        <f>SUM(S1022:V1022)</f>
        <v>4771.42</v>
      </c>
      <c r="X1022" s="149">
        <f>IFERROR(S1022/R1022,"")</f>
        <v>44.88</v>
      </c>
      <c r="Y1022" s="150">
        <f>IFERROR(U1022/P1022,0)</f>
        <v>5.5991067755773637E-2</v>
      </c>
      <c r="Z1022" s="131">
        <f>P1022-W1022</f>
        <v>12245.58</v>
      </c>
      <c r="AA1022" s="150">
        <f>IFERROR(Z1022/P1022,"")</f>
        <v>0.71960862666745018</v>
      </c>
      <c r="AB1022" s="120">
        <f t="shared" ref="AB1022:AB1023" si="612">M1022-W1022</f>
        <v>333.67999999999938</v>
      </c>
      <c r="AC1022" s="119">
        <f>IFERROR(AA1022-O1022,"")</f>
        <v>1.9608626667450113E-2</v>
      </c>
      <c r="AD1022" s="110"/>
      <c r="AE1022" s="110"/>
      <c r="AF1022" s="110"/>
      <c r="AG1022" s="121"/>
      <c r="AH1022" s="110"/>
    </row>
    <row r="1023" spans="1:34" s="53" customFormat="1" ht="11.25" customHeight="1" x14ac:dyDescent="0.15">
      <c r="A1023" s="53" t="s">
        <v>152</v>
      </c>
      <c r="C1023" s="54" t="s">
        <v>177</v>
      </c>
      <c r="D1023" s="54">
        <v>2023</v>
      </c>
      <c r="E1023" s="70">
        <v>45016</v>
      </c>
      <c r="F1023" s="54"/>
      <c r="G1023" s="54"/>
      <c r="H1023" s="54"/>
      <c r="I1023" s="54"/>
      <c r="J1023" s="54"/>
      <c r="K1023" s="106"/>
      <c r="L1023" s="24">
        <v>17017</v>
      </c>
      <c r="M1023" s="24">
        <f>SUM(M1021:M1022)</f>
        <v>5105.0999999999995</v>
      </c>
      <c r="N1023" s="24">
        <f>SUM(N1021:N1022)</f>
        <v>11911.900000000001</v>
      </c>
      <c r="O1023" s="57">
        <f>IFERROR(N1023/L1023,"")</f>
        <v>0.70000000000000007</v>
      </c>
      <c r="P1023" s="24">
        <f>SUM(P1022)</f>
        <v>17017</v>
      </c>
      <c r="Q1023" s="24"/>
      <c r="R1023" s="24">
        <f t="shared" ref="R1023:W1023" si="613">SUM(R1022)</f>
        <v>26</v>
      </c>
      <c r="S1023" s="24">
        <f t="shared" si="613"/>
        <v>1166.8800000000001</v>
      </c>
      <c r="T1023" s="24">
        <f t="shared" si="613"/>
        <v>2651.74</v>
      </c>
      <c r="U1023" s="24">
        <f t="shared" si="613"/>
        <v>952.8</v>
      </c>
      <c r="V1023" s="24">
        <f t="shared" si="613"/>
        <v>0</v>
      </c>
      <c r="W1023" s="24">
        <f t="shared" si="613"/>
        <v>4771.42</v>
      </c>
      <c r="X1023" s="114">
        <f>IFERROR(S1023/R1023,"")</f>
        <v>44.88</v>
      </c>
      <c r="Y1023" s="115">
        <f>IFERROR(U1023/P1023,0)</f>
        <v>5.5991067755773637E-2</v>
      </c>
      <c r="Z1023" s="116">
        <f>P1023-W1023</f>
        <v>12245.58</v>
      </c>
      <c r="AA1023" s="115">
        <f>IFERROR(Z1023/P1023,"")</f>
        <v>0.71960862666745018</v>
      </c>
      <c r="AB1023" s="120">
        <f t="shared" si="612"/>
        <v>333.67999999999938</v>
      </c>
      <c r="AC1023" s="57">
        <f>IFERROR(AA1023-O1023,"")</f>
        <v>1.9608626667450113E-2</v>
      </c>
      <c r="AG1023" s="61"/>
    </row>
    <row r="1024" spans="1:34" ht="11.25" customHeight="1" x14ac:dyDescent="0.15">
      <c r="A1024" s="130" t="s">
        <v>53</v>
      </c>
      <c r="B1024" s="130"/>
      <c r="C1024" s="124"/>
      <c r="D1024" s="124"/>
      <c r="E1024" s="273"/>
      <c r="F1024" s="124"/>
      <c r="G1024" s="124"/>
      <c r="H1024" s="124"/>
      <c r="I1024" s="124"/>
      <c r="J1024" s="124"/>
      <c r="K1024" s="125"/>
      <c r="L1024" s="129"/>
      <c r="M1024" s="129"/>
      <c r="N1024" s="129"/>
      <c r="O1024" s="128"/>
      <c r="P1024" s="220"/>
      <c r="Q1024" s="124"/>
      <c r="R1024" s="220"/>
      <c r="S1024" s="220"/>
      <c r="T1024" s="220"/>
      <c r="U1024" s="220"/>
      <c r="V1024" s="126"/>
      <c r="W1024" s="230"/>
      <c r="X1024" s="45"/>
      <c r="Y1024" s="128"/>
      <c r="Z1024" s="126"/>
      <c r="AA1024" s="128"/>
      <c r="AB1024" s="129"/>
      <c r="AC1024" s="160"/>
      <c r="AD1024" s="137"/>
      <c r="AE1024" s="110"/>
      <c r="AF1024" s="110"/>
      <c r="AG1024" s="121"/>
      <c r="AH1024" s="110"/>
    </row>
    <row r="1025" spans="1:34" ht="11.25" customHeight="1" x14ac:dyDescent="0.15">
      <c r="A1025" s="110" t="s">
        <v>196</v>
      </c>
      <c r="B1025" s="110"/>
      <c r="C1025" s="111" t="s">
        <v>175</v>
      </c>
      <c r="D1025" s="111">
        <v>2023</v>
      </c>
      <c r="E1025" s="146">
        <v>44985</v>
      </c>
      <c r="F1025" s="111"/>
      <c r="G1025" s="111">
        <v>810002113</v>
      </c>
      <c r="H1025" s="111">
        <v>4111</v>
      </c>
      <c r="I1025" s="111" t="str">
        <f>MID(G1025,2,1)</f>
        <v>1</v>
      </c>
      <c r="J1025" s="111" t="str">
        <f>IF(I1025="1","Small/Medium","Large")</f>
        <v>Small/Medium</v>
      </c>
      <c r="K1025" s="147" t="s">
        <v>145</v>
      </c>
      <c r="L1025" s="219">
        <v>23787</v>
      </c>
      <c r="M1025" s="219">
        <f>L1025*0.3</f>
        <v>7136.0999999999995</v>
      </c>
      <c r="N1025" s="219">
        <f>L1025-M1025</f>
        <v>16650.900000000001</v>
      </c>
      <c r="O1025" s="119">
        <f>IFERROR(N1025/L1025,"")</f>
        <v>0.70000000000000007</v>
      </c>
      <c r="P1025" s="154">
        <v>23787</v>
      </c>
      <c r="Q1025" s="111">
        <v>1204</v>
      </c>
      <c r="R1025" s="132">
        <v>25</v>
      </c>
      <c r="S1025" s="132">
        <v>1122</v>
      </c>
      <c r="T1025" s="132">
        <v>1411.9</v>
      </c>
      <c r="U1025" s="132">
        <v>790.89</v>
      </c>
      <c r="V1025" s="132">
        <v>0</v>
      </c>
      <c r="W1025" s="67">
        <f>SUM(S1025:V1025)</f>
        <v>3324.79</v>
      </c>
      <c r="X1025" s="149">
        <f>IFERROR(S1025/R1025,"")</f>
        <v>44.88</v>
      </c>
      <c r="Y1025" s="150">
        <f>IFERROR(U1025/P1025,0)</f>
        <v>3.3248833396392986E-2</v>
      </c>
      <c r="Z1025" s="131">
        <f>P1025-W1025</f>
        <v>20462.21</v>
      </c>
      <c r="AA1025" s="150">
        <f>IFERROR(Z1025/P1025,"")</f>
        <v>0.86022659435826287</v>
      </c>
      <c r="AB1025" s="120">
        <f t="shared" ref="AB1025:AB1026" si="614">M1025-W1025</f>
        <v>3811.3099999999995</v>
      </c>
      <c r="AC1025" s="119">
        <f>IFERROR(AA1025-O1025,"")</f>
        <v>0.16022659435826281</v>
      </c>
      <c r="AD1025" s="110" t="s">
        <v>546</v>
      </c>
      <c r="AE1025" s="110"/>
      <c r="AF1025" s="110"/>
      <c r="AG1025" s="121"/>
      <c r="AH1025" s="110"/>
    </row>
    <row r="1026" spans="1:34" s="53" customFormat="1" ht="11.25" customHeight="1" x14ac:dyDescent="0.15">
      <c r="A1026" s="53" t="s">
        <v>196</v>
      </c>
      <c r="C1026" s="54" t="s">
        <v>177</v>
      </c>
      <c r="D1026" s="54">
        <v>2023</v>
      </c>
      <c r="E1026" s="70">
        <v>44985</v>
      </c>
      <c r="F1026" s="54"/>
      <c r="G1026" s="54"/>
      <c r="H1026" s="54"/>
      <c r="I1026" s="54"/>
      <c r="J1026" s="54"/>
      <c r="K1026" s="106"/>
      <c r="L1026" s="24">
        <v>23787</v>
      </c>
      <c r="M1026" s="24">
        <f>SUM(M1024:M1025)</f>
        <v>7136.0999999999995</v>
      </c>
      <c r="N1026" s="24">
        <f>SUM(N1024:N1025)</f>
        <v>16650.900000000001</v>
      </c>
      <c r="O1026" s="57">
        <f>IFERROR(N1026/L1026,"")</f>
        <v>0.70000000000000007</v>
      </c>
      <c r="P1026" s="24">
        <f>SUM(P1025)</f>
        <v>23787</v>
      </c>
      <c r="Q1026" s="24"/>
      <c r="R1026" s="24">
        <f t="shared" ref="R1026:W1026" si="615">SUM(R1025)</f>
        <v>25</v>
      </c>
      <c r="S1026" s="24">
        <f t="shared" si="615"/>
        <v>1122</v>
      </c>
      <c r="T1026" s="24">
        <f t="shared" si="615"/>
        <v>1411.9</v>
      </c>
      <c r="U1026" s="24">
        <f t="shared" si="615"/>
        <v>790.89</v>
      </c>
      <c r="V1026" s="24">
        <f t="shared" si="615"/>
        <v>0</v>
      </c>
      <c r="W1026" s="24">
        <f t="shared" si="615"/>
        <v>3324.79</v>
      </c>
      <c r="X1026" s="114">
        <f>IFERROR(S1026/R1026,"")</f>
        <v>44.88</v>
      </c>
      <c r="Y1026" s="115">
        <f>IFERROR(U1026/P1026,0)</f>
        <v>3.3248833396392986E-2</v>
      </c>
      <c r="Z1026" s="116">
        <f>P1026-W1026</f>
        <v>20462.21</v>
      </c>
      <c r="AA1026" s="115">
        <f>IFERROR(Z1026/P1026,"")</f>
        <v>0.86022659435826287</v>
      </c>
      <c r="AB1026" s="120">
        <f t="shared" si="614"/>
        <v>3811.3099999999995</v>
      </c>
      <c r="AC1026" s="57">
        <f>IFERROR(AA1026-O1026,"")</f>
        <v>0.16022659435826281</v>
      </c>
      <c r="AD1026" s="53" t="s">
        <v>546</v>
      </c>
      <c r="AG1026" s="61"/>
    </row>
    <row r="1027" spans="1:34" ht="11.25" customHeight="1" x14ac:dyDescent="0.15">
      <c r="A1027" s="130" t="s">
        <v>53</v>
      </c>
      <c r="B1027" s="130"/>
      <c r="C1027" s="124"/>
      <c r="D1027" s="124"/>
      <c r="E1027" s="273"/>
      <c r="F1027" s="124"/>
      <c r="G1027" s="124"/>
      <c r="H1027" s="124"/>
      <c r="I1027" s="124"/>
      <c r="J1027" s="124"/>
      <c r="K1027" s="125"/>
      <c r="L1027" s="129"/>
      <c r="M1027" s="129"/>
      <c r="N1027" s="129"/>
      <c r="O1027" s="128"/>
      <c r="P1027" s="129"/>
      <c r="Q1027" s="124"/>
      <c r="R1027" s="129"/>
      <c r="S1027" s="129"/>
      <c r="T1027" s="129"/>
      <c r="U1027" s="129"/>
      <c r="V1027" s="126"/>
      <c r="W1027" s="49"/>
      <c r="X1027" s="45"/>
      <c r="Y1027" s="128"/>
      <c r="Z1027" s="126"/>
      <c r="AA1027" s="128"/>
      <c r="AB1027" s="129"/>
      <c r="AC1027" s="160"/>
      <c r="AD1027" s="137"/>
      <c r="AE1027" s="110"/>
      <c r="AF1027" s="110"/>
      <c r="AG1027" s="121"/>
      <c r="AH1027" s="110"/>
    </row>
    <row r="1028" spans="1:34" ht="11.25" customHeight="1" x14ac:dyDescent="0.15">
      <c r="A1028" s="110" t="s">
        <v>547</v>
      </c>
      <c r="B1028" s="110"/>
      <c r="C1028" s="111" t="s">
        <v>175</v>
      </c>
      <c r="D1028" s="111">
        <v>2023</v>
      </c>
      <c r="E1028" s="146">
        <v>44985</v>
      </c>
      <c r="F1028" s="111"/>
      <c r="G1028" s="111">
        <v>80000010</v>
      </c>
      <c r="H1028" s="213">
        <v>4111</v>
      </c>
      <c r="I1028" s="111" t="str">
        <f>MID(G1028,2,1)</f>
        <v>0</v>
      </c>
      <c r="J1028" s="111" t="s">
        <v>502</v>
      </c>
      <c r="K1028" s="112" t="s">
        <v>503</v>
      </c>
      <c r="L1028" s="117">
        <v>6188</v>
      </c>
      <c r="M1028" s="120">
        <f>L1028*0.3</f>
        <v>1856.3999999999999</v>
      </c>
      <c r="N1028" s="120">
        <f>L1028-M1028</f>
        <v>4331.6000000000004</v>
      </c>
      <c r="O1028" s="119">
        <f>IFERROR(N1028/L1028,"")</f>
        <v>0.70000000000000007</v>
      </c>
      <c r="P1028" s="131">
        <v>6188</v>
      </c>
      <c r="Q1028" s="111">
        <v>1385</v>
      </c>
      <c r="R1028" s="117">
        <v>18.5</v>
      </c>
      <c r="S1028" s="117">
        <v>830.28</v>
      </c>
      <c r="T1028" s="117">
        <v>0</v>
      </c>
      <c r="U1028" s="117">
        <v>0</v>
      </c>
      <c r="V1028" s="117">
        <v>0</v>
      </c>
      <c r="W1028" s="26">
        <f>SUM(S1028:V1028)</f>
        <v>830.28</v>
      </c>
      <c r="X1028" s="149">
        <f>IFERROR(S1028/R1028,"")</f>
        <v>44.879999999999995</v>
      </c>
      <c r="Y1028" s="150">
        <f>IFERROR(U1028/P1028,0)</f>
        <v>0</v>
      </c>
      <c r="Z1028" s="131">
        <f>P1028-W1028</f>
        <v>5357.72</v>
      </c>
      <c r="AA1028" s="150">
        <f>IFERROR(Z1028/P1028,"")</f>
        <v>0.86582417582417581</v>
      </c>
      <c r="AB1028" s="120">
        <f t="shared" ref="AB1028:AB1029" si="616">M1028-W1028</f>
        <v>1026.1199999999999</v>
      </c>
      <c r="AC1028" s="119">
        <f>IFERROR(AA1028-O1028,"")</f>
        <v>0.16582417582417575</v>
      </c>
      <c r="AD1028" s="110"/>
      <c r="AE1028" s="110"/>
      <c r="AF1028" s="110"/>
      <c r="AG1028" s="121"/>
      <c r="AH1028" s="110"/>
    </row>
    <row r="1029" spans="1:34" s="53" customFormat="1" ht="11.25" customHeight="1" x14ac:dyDescent="0.15">
      <c r="A1029" s="53" t="s">
        <v>547</v>
      </c>
      <c r="C1029" s="54" t="s">
        <v>177</v>
      </c>
      <c r="D1029" s="54">
        <v>2023</v>
      </c>
      <c r="E1029" s="70">
        <v>44985</v>
      </c>
      <c r="F1029" s="54"/>
      <c r="G1029" s="54"/>
      <c r="H1029" s="54"/>
      <c r="I1029" s="54"/>
      <c r="J1029" s="54"/>
      <c r="K1029" s="106"/>
      <c r="L1029" s="24">
        <f>L1028</f>
        <v>6188</v>
      </c>
      <c r="M1029" s="24">
        <f>M1028</f>
        <v>1856.3999999999999</v>
      </c>
      <c r="N1029" s="24">
        <f>N1028</f>
        <v>4331.6000000000004</v>
      </c>
      <c r="O1029" s="57">
        <f>IFERROR(N1029/L1029,"")</f>
        <v>0.70000000000000007</v>
      </c>
      <c r="P1029" s="24">
        <f>SUM(P1028)</f>
        <v>6188</v>
      </c>
      <c r="Q1029" s="24"/>
      <c r="R1029" s="24">
        <f t="shared" ref="R1029:W1029" si="617">SUM(R1028)</f>
        <v>18.5</v>
      </c>
      <c r="S1029" s="24">
        <f t="shared" si="617"/>
        <v>830.28</v>
      </c>
      <c r="T1029" s="24">
        <f t="shared" si="617"/>
        <v>0</v>
      </c>
      <c r="U1029" s="24">
        <f t="shared" si="617"/>
        <v>0</v>
      </c>
      <c r="V1029" s="24">
        <f t="shared" si="617"/>
        <v>0</v>
      </c>
      <c r="W1029" s="24">
        <f t="shared" si="617"/>
        <v>830.28</v>
      </c>
      <c r="X1029" s="114">
        <f>IFERROR(S1029/R1029,"")</f>
        <v>44.879999999999995</v>
      </c>
      <c r="Y1029" s="115">
        <f>IFERROR(U1029/P1029,0)</f>
        <v>0</v>
      </c>
      <c r="Z1029" s="116">
        <f>P1029-W1029</f>
        <v>5357.72</v>
      </c>
      <c r="AA1029" s="115">
        <f>IFERROR(Z1029/P1029,"")</f>
        <v>0.86582417582417581</v>
      </c>
      <c r="AB1029" s="120">
        <f t="shared" si="616"/>
        <v>1026.1199999999999</v>
      </c>
      <c r="AC1029" s="57">
        <f>IFERROR(AA1029-O1029,"")</f>
        <v>0.16582417582417575</v>
      </c>
      <c r="AG1029" s="61"/>
    </row>
    <row r="1030" spans="1:34" ht="11.25" customHeight="1" x14ac:dyDescent="0.15">
      <c r="A1030" s="130" t="s">
        <v>53</v>
      </c>
      <c r="B1030" s="130"/>
      <c r="C1030" s="124"/>
      <c r="D1030" s="124"/>
      <c r="E1030" s="273"/>
      <c r="F1030" s="124"/>
      <c r="G1030" s="124"/>
      <c r="H1030" s="124"/>
      <c r="I1030" s="124"/>
      <c r="J1030" s="124"/>
      <c r="K1030" s="125"/>
      <c r="L1030" s="129"/>
      <c r="M1030" s="129"/>
      <c r="N1030" s="129"/>
      <c r="O1030" s="128"/>
      <c r="P1030" s="129"/>
      <c r="Q1030" s="124"/>
      <c r="R1030" s="129"/>
      <c r="S1030" s="129"/>
      <c r="T1030" s="129"/>
      <c r="U1030" s="129"/>
      <c r="V1030" s="126"/>
      <c r="W1030" s="49"/>
      <c r="X1030" s="45"/>
      <c r="Y1030" s="128"/>
      <c r="Z1030" s="126"/>
      <c r="AA1030" s="128"/>
      <c r="AB1030" s="129"/>
      <c r="AC1030" s="160"/>
      <c r="AD1030" s="137"/>
      <c r="AE1030" s="110"/>
      <c r="AF1030" s="110"/>
      <c r="AG1030" s="121"/>
      <c r="AH1030" s="110"/>
    </row>
    <row r="1031" spans="1:34" ht="11.25" customHeight="1" x14ac:dyDescent="0.15">
      <c r="A1031" s="110" t="s">
        <v>137</v>
      </c>
      <c r="B1031" s="110"/>
      <c r="C1031" s="111" t="s">
        <v>175</v>
      </c>
      <c r="D1031" s="111">
        <v>2023</v>
      </c>
      <c r="E1031" s="146">
        <v>45016</v>
      </c>
      <c r="F1031" s="111"/>
      <c r="G1031" s="111">
        <v>81110111</v>
      </c>
      <c r="H1031" s="111">
        <v>4101</v>
      </c>
      <c r="I1031" s="111" t="str">
        <f>MID(G1031,2,1)</f>
        <v>1</v>
      </c>
      <c r="J1031" s="111" t="str">
        <f>IF(I1031="1","Small/Medium","Large")</f>
        <v>Small/Medium</v>
      </c>
      <c r="K1031" s="147" t="s">
        <v>145</v>
      </c>
      <c r="L1031" s="120">
        <v>14001.966999999997</v>
      </c>
      <c r="M1031" s="120">
        <f>L1031*0.3</f>
        <v>4200.5900999999985</v>
      </c>
      <c r="N1031" s="120">
        <f>L1031-M1031</f>
        <v>9801.3768999999993</v>
      </c>
      <c r="O1031" s="119">
        <f>IFERROR(N1031/L1031,"")</f>
        <v>0.70000000000000007</v>
      </c>
      <c r="P1031" s="148">
        <v>14001.966999999997</v>
      </c>
      <c r="Q1031" s="111">
        <v>1387</v>
      </c>
      <c r="R1031" s="169">
        <v>17.75</v>
      </c>
      <c r="S1031" s="117">
        <v>796.62</v>
      </c>
      <c r="T1031" s="117">
        <v>1222.1400000000001</v>
      </c>
      <c r="U1031" s="117">
        <v>1780.56</v>
      </c>
      <c r="V1031" s="117">
        <v>400.01</v>
      </c>
      <c r="W1031" s="26">
        <f>SUM(S1031:V1031)</f>
        <v>4199.33</v>
      </c>
      <c r="X1031" s="149">
        <f>IFERROR(S1031/R1031,"")</f>
        <v>44.88</v>
      </c>
      <c r="Y1031" s="150">
        <f>IFERROR(U1031/P1031,0)</f>
        <v>0.1271649904616973</v>
      </c>
      <c r="Z1031" s="117">
        <f>P1031-W1031</f>
        <v>9802.636999999997</v>
      </c>
      <c r="AA1031" s="119">
        <f>Z1031/P1031</f>
        <v>0.70008999449863007</v>
      </c>
      <c r="AB1031" s="120">
        <f t="shared" ref="AB1031:AB1033" si="618">M1031-W1031</f>
        <v>1.2600999999986016</v>
      </c>
      <c r="AC1031" s="119">
        <f>IFERROR(AA1031-O1031,"")</f>
        <v>8.9994498630008302E-5</v>
      </c>
      <c r="AD1031" s="110"/>
      <c r="AE1031" s="110"/>
      <c r="AF1031" s="110"/>
      <c r="AG1031" s="121"/>
      <c r="AH1031" s="110"/>
    </row>
    <row r="1032" spans="1:34" ht="11.25" customHeight="1" x14ac:dyDescent="0.15">
      <c r="A1032" s="110" t="s">
        <v>137</v>
      </c>
      <c r="B1032" s="110"/>
      <c r="C1032" s="111" t="s">
        <v>175</v>
      </c>
      <c r="D1032" s="111">
        <v>2023</v>
      </c>
      <c r="E1032" s="146">
        <v>45016</v>
      </c>
      <c r="F1032" s="111"/>
      <c r="G1032" s="111">
        <v>82110111</v>
      </c>
      <c r="H1032" s="111">
        <v>4101</v>
      </c>
      <c r="I1032" s="111" t="str">
        <f>MID(G1032,2,1)</f>
        <v>2</v>
      </c>
      <c r="J1032" s="111" t="str">
        <f>IF(I1032="1","Small/Medium","Large")</f>
        <v>Large</v>
      </c>
      <c r="K1032" s="147" t="s">
        <v>176</v>
      </c>
      <c r="L1032" s="120">
        <v>25403</v>
      </c>
      <c r="M1032" s="120">
        <f>L1032*0.3</f>
        <v>7620.9</v>
      </c>
      <c r="N1032" s="120">
        <f>L1032-M1032</f>
        <v>17782.099999999999</v>
      </c>
      <c r="O1032" s="119">
        <f>IFERROR(N1032/L1032,"")</f>
        <v>0.7</v>
      </c>
      <c r="P1032" s="148">
        <f>26003.653+0.13</f>
        <v>26003.782999999999</v>
      </c>
      <c r="Q1032" s="111">
        <v>1388</v>
      </c>
      <c r="R1032" s="169">
        <v>10.25</v>
      </c>
      <c r="S1032" s="117">
        <v>460.02</v>
      </c>
      <c r="T1032" s="117">
        <v>1179.06</v>
      </c>
      <c r="U1032" s="117">
        <v>987.49</v>
      </c>
      <c r="V1032" s="117"/>
      <c r="W1032" s="26">
        <f>SUM(S1032:V1032)</f>
        <v>2626.5699999999997</v>
      </c>
      <c r="X1032" s="149">
        <f>IFERROR(S1032/R1032,"")</f>
        <v>44.879999999999995</v>
      </c>
      <c r="Y1032" s="150">
        <f>IFERROR(U1032/P1032,0)</f>
        <v>3.7974859273360341E-2</v>
      </c>
      <c r="Z1032" s="117">
        <f>P1032-W1032</f>
        <v>23377.213</v>
      </c>
      <c r="AA1032" s="119">
        <f>Z1032/P1032</f>
        <v>0.89899277347453643</v>
      </c>
      <c r="AB1032" s="120">
        <f t="shared" si="618"/>
        <v>4994.33</v>
      </c>
      <c r="AC1032" s="119">
        <f>IFERROR(AA1032-O1032,"")</f>
        <v>0.19899277347453648</v>
      </c>
      <c r="AD1032" s="110"/>
      <c r="AE1032" s="110"/>
      <c r="AF1032" s="110"/>
      <c r="AG1032" s="121"/>
      <c r="AH1032" s="110"/>
    </row>
    <row r="1033" spans="1:34" s="53" customFormat="1" ht="11.25" customHeight="1" x14ac:dyDescent="0.15">
      <c r="A1033" s="53" t="s">
        <v>137</v>
      </c>
      <c r="C1033" s="54" t="s">
        <v>177</v>
      </c>
      <c r="D1033" s="54">
        <v>2023</v>
      </c>
      <c r="E1033" s="70">
        <v>45016</v>
      </c>
      <c r="F1033" s="54"/>
      <c r="G1033" s="54"/>
      <c r="H1033" s="54"/>
      <c r="I1033" s="54"/>
      <c r="J1033" s="54"/>
      <c r="K1033" s="106"/>
      <c r="L1033" s="24">
        <f>SUM(L1031:L1032)</f>
        <v>39404.966999999997</v>
      </c>
      <c r="M1033" s="24">
        <f>SUM(M1031:M1032)</f>
        <v>11821.490099999999</v>
      </c>
      <c r="N1033" s="24">
        <f>SUM(N1031:N1032)</f>
        <v>27583.476899999998</v>
      </c>
      <c r="O1033" s="57">
        <f>IFERROR(N1033/L1033,"")</f>
        <v>0.7</v>
      </c>
      <c r="P1033" s="24">
        <f>SUM(P1031:P1032)</f>
        <v>40005.75</v>
      </c>
      <c r="Q1033" s="24"/>
      <c r="R1033" s="24">
        <f t="shared" ref="R1033:W1033" si="619">SUM(R1031:R1032)</f>
        <v>28</v>
      </c>
      <c r="S1033" s="24">
        <f t="shared" si="619"/>
        <v>1256.6399999999999</v>
      </c>
      <c r="T1033" s="24">
        <f t="shared" si="619"/>
        <v>2401.1999999999998</v>
      </c>
      <c r="U1033" s="24">
        <f t="shared" si="619"/>
        <v>2768.05</v>
      </c>
      <c r="V1033" s="24">
        <f t="shared" si="619"/>
        <v>400.01</v>
      </c>
      <c r="W1033" s="24">
        <f t="shared" si="619"/>
        <v>6825.9</v>
      </c>
      <c r="X1033" s="114">
        <f>IFERROR(S1033/R1033,"")</f>
        <v>44.879999999999995</v>
      </c>
      <c r="Y1033" s="115">
        <f>IFERROR(U1033/P1033,0)</f>
        <v>6.9191303750085933E-2</v>
      </c>
      <c r="Z1033" s="116">
        <f>P1033-W1033</f>
        <v>33179.85</v>
      </c>
      <c r="AA1033" s="115">
        <f>IFERROR(Z1033/P1033,"")</f>
        <v>0.82937702705236116</v>
      </c>
      <c r="AB1033" s="120">
        <f t="shared" si="618"/>
        <v>4995.5900999999994</v>
      </c>
      <c r="AC1033" s="57">
        <f>IFERROR(AA1033-O1033,"")</f>
        <v>0.1293770270523612</v>
      </c>
      <c r="AG1033" s="61"/>
    </row>
    <row r="1034" spans="1:34" ht="11.25" customHeight="1" x14ac:dyDescent="0.15">
      <c r="A1034" s="130" t="s">
        <v>53</v>
      </c>
      <c r="B1034" s="130"/>
      <c r="C1034" s="124"/>
      <c r="D1034" s="124"/>
      <c r="E1034" s="273"/>
      <c r="F1034" s="124"/>
      <c r="G1034" s="124"/>
      <c r="H1034" s="124"/>
      <c r="I1034" s="124"/>
      <c r="J1034" s="124"/>
      <c r="K1034" s="125"/>
      <c r="L1034" s="129"/>
      <c r="M1034" s="129"/>
      <c r="N1034" s="129"/>
      <c r="O1034" s="128"/>
      <c r="P1034" s="129"/>
      <c r="Q1034" s="124"/>
      <c r="R1034" s="129"/>
      <c r="S1034" s="129"/>
      <c r="T1034" s="129"/>
      <c r="U1034" s="129"/>
      <c r="V1034" s="126"/>
      <c r="W1034" s="49"/>
      <c r="X1034" s="45"/>
      <c r="Y1034" s="128"/>
      <c r="Z1034" s="126"/>
      <c r="AA1034" s="128"/>
      <c r="AB1034" s="129"/>
      <c r="AC1034" s="160"/>
      <c r="AD1034" s="137"/>
      <c r="AE1034" s="110"/>
      <c r="AF1034" s="110"/>
      <c r="AG1034" s="121"/>
      <c r="AH1034" s="110"/>
    </row>
    <row r="1035" spans="1:34" ht="11.25" customHeight="1" x14ac:dyDescent="0.15">
      <c r="A1035" s="110" t="s">
        <v>233</v>
      </c>
      <c r="B1035" s="110"/>
      <c r="C1035" s="111" t="s">
        <v>175</v>
      </c>
      <c r="D1035" s="111">
        <v>2023</v>
      </c>
      <c r="E1035" s="146">
        <v>45016</v>
      </c>
      <c r="F1035" s="111"/>
      <c r="G1035" s="111">
        <v>81110111</v>
      </c>
      <c r="H1035" s="111">
        <v>4101</v>
      </c>
      <c r="I1035" s="111" t="str">
        <f>MID(G1035,2,1)</f>
        <v>1</v>
      </c>
      <c r="J1035" s="111" t="str">
        <f>IF(I1035="1","Small/Medium","Large")</f>
        <v>Small/Medium</v>
      </c>
      <c r="K1035" s="147" t="s">
        <v>145</v>
      </c>
      <c r="L1035" s="120">
        <v>25403</v>
      </c>
      <c r="M1035" s="120">
        <f>L1035*0.3</f>
        <v>7620.9</v>
      </c>
      <c r="N1035" s="120">
        <f>L1035-M1035</f>
        <v>17782.099999999999</v>
      </c>
      <c r="O1035" s="119">
        <f>IFERROR(N1035/L1035,"")</f>
        <v>0.7</v>
      </c>
      <c r="P1035" s="148">
        <v>25403</v>
      </c>
      <c r="Q1035" s="111">
        <v>1389</v>
      </c>
      <c r="R1035" s="117">
        <v>23.5</v>
      </c>
      <c r="S1035" s="117">
        <v>1054.68</v>
      </c>
      <c r="T1035" s="117">
        <v>1720.42</v>
      </c>
      <c r="U1035" s="117">
        <v>586.29999999999995</v>
      </c>
      <c r="V1035" s="117"/>
      <c r="W1035" s="26">
        <f>SUM(S1035:V1035)</f>
        <v>3361.4000000000005</v>
      </c>
      <c r="X1035" s="149">
        <f>IFERROR(S1035/R1035,"")</f>
        <v>44.88</v>
      </c>
      <c r="Y1035" s="150">
        <f>IFERROR(U1035/P1035,0)</f>
        <v>2.3079951186867689E-2</v>
      </c>
      <c r="Z1035" s="131">
        <f>P1035-W1035</f>
        <v>22041.599999999999</v>
      </c>
      <c r="AA1035" s="150">
        <f>IFERROR(Z1035/P1035,"")</f>
        <v>0.86767704601818674</v>
      </c>
      <c r="AB1035" s="120">
        <f t="shared" ref="AB1035:AB1036" si="620">M1035-W1035</f>
        <v>4259.4999999999991</v>
      </c>
      <c r="AC1035" s="119">
        <f>IFERROR(AA1035-O1035,"")</f>
        <v>0.16767704601818678</v>
      </c>
      <c r="AD1035" s="110"/>
      <c r="AE1035" s="110"/>
      <c r="AF1035" s="110"/>
      <c r="AG1035" s="121"/>
      <c r="AH1035" s="110"/>
    </row>
    <row r="1036" spans="1:34" s="53" customFormat="1" ht="11.25" customHeight="1" x14ac:dyDescent="0.15">
      <c r="A1036" s="53" t="s">
        <v>233</v>
      </c>
      <c r="C1036" s="54" t="s">
        <v>177</v>
      </c>
      <c r="D1036" s="54">
        <v>2023</v>
      </c>
      <c r="E1036" s="70">
        <v>45016</v>
      </c>
      <c r="F1036" s="54"/>
      <c r="G1036" s="54"/>
      <c r="H1036" s="54"/>
      <c r="I1036" s="54"/>
      <c r="J1036" s="54"/>
      <c r="K1036" s="106"/>
      <c r="L1036" s="24">
        <f>SUM(L1034:L1035)</f>
        <v>25403</v>
      </c>
      <c r="M1036" s="24">
        <f>M1035</f>
        <v>7620.9</v>
      </c>
      <c r="N1036" s="24">
        <f>N1035</f>
        <v>17782.099999999999</v>
      </c>
      <c r="O1036" s="57">
        <f>IFERROR(N1036/L1036,"")</f>
        <v>0.7</v>
      </c>
      <c r="P1036" s="24">
        <f>P1035</f>
        <v>25403</v>
      </c>
      <c r="Q1036" s="24"/>
      <c r="R1036" s="24">
        <f>R1035</f>
        <v>23.5</v>
      </c>
      <c r="S1036" s="24">
        <f>S1035</f>
        <v>1054.68</v>
      </c>
      <c r="T1036" s="24">
        <f>T1035</f>
        <v>1720.42</v>
      </c>
      <c r="U1036" s="24">
        <f>U1035</f>
        <v>586.29999999999995</v>
      </c>
      <c r="V1036" s="24">
        <f>V1035</f>
        <v>0</v>
      </c>
      <c r="W1036" s="24">
        <f>SUM(W1035)</f>
        <v>3361.4000000000005</v>
      </c>
      <c r="X1036" s="114">
        <f>IFERROR(S1036/R1036,"")</f>
        <v>44.88</v>
      </c>
      <c r="Y1036" s="115">
        <f>IFERROR(U1036/P1036,0)</f>
        <v>2.3079951186867689E-2</v>
      </c>
      <c r="Z1036" s="116">
        <f>P1036-W1036</f>
        <v>22041.599999999999</v>
      </c>
      <c r="AA1036" s="115">
        <f>IFERROR(Z1036/P1036,"")</f>
        <v>0.86767704601818674</v>
      </c>
      <c r="AB1036" s="120">
        <f t="shared" si="620"/>
        <v>4259.4999999999991</v>
      </c>
      <c r="AC1036" s="57">
        <f>IFERROR(AA1036-O1036,"")</f>
        <v>0.16767704601818678</v>
      </c>
      <c r="AG1036" s="61"/>
    </row>
    <row r="1037" spans="1:34" ht="11.25" customHeight="1" x14ac:dyDescent="0.15">
      <c r="A1037" s="130"/>
      <c r="B1037" s="130"/>
      <c r="C1037" s="124"/>
      <c r="D1037" s="124"/>
      <c r="E1037" s="273"/>
      <c r="F1037" s="124"/>
      <c r="G1037" s="124"/>
      <c r="H1037" s="124"/>
      <c r="I1037" s="124"/>
      <c r="J1037" s="124"/>
      <c r="K1037" s="125"/>
      <c r="L1037" s="129"/>
      <c r="M1037" s="129"/>
      <c r="N1037" s="129"/>
      <c r="O1037" s="128"/>
      <c r="P1037" s="129"/>
      <c r="Q1037" s="124"/>
      <c r="R1037" s="129"/>
      <c r="S1037" s="129"/>
      <c r="T1037" s="129"/>
      <c r="U1037" s="129"/>
      <c r="V1037" s="126"/>
      <c r="W1037" s="49"/>
      <c r="X1037" s="45"/>
      <c r="Y1037" s="128"/>
      <c r="Z1037" s="126"/>
      <c r="AA1037" s="128"/>
      <c r="AB1037" s="129"/>
      <c r="AC1037" s="160"/>
      <c r="AD1037" s="137"/>
      <c r="AE1037" s="110"/>
      <c r="AF1037" s="110"/>
      <c r="AG1037" s="121"/>
      <c r="AH1037" s="110"/>
    </row>
    <row r="1038" spans="1:34" ht="11.25" customHeight="1" x14ac:dyDescent="0.15">
      <c r="A1038" s="110" t="s">
        <v>548</v>
      </c>
      <c r="B1038" s="110"/>
      <c r="C1038" s="111" t="s">
        <v>180</v>
      </c>
      <c r="D1038" s="111">
        <v>2023</v>
      </c>
      <c r="E1038" s="146">
        <v>45016</v>
      </c>
      <c r="F1038" s="111"/>
      <c r="G1038" s="111">
        <v>925100321</v>
      </c>
      <c r="H1038" s="111"/>
      <c r="I1038" s="111"/>
      <c r="J1038" s="111"/>
      <c r="K1038" s="112" t="s">
        <v>549</v>
      </c>
      <c r="L1038" s="120">
        <v>64596</v>
      </c>
      <c r="M1038" s="120">
        <v>10004</v>
      </c>
      <c r="N1038" s="120">
        <f>L1038-M1038</f>
        <v>54592</v>
      </c>
      <c r="O1038" s="119">
        <f t="shared" ref="O1038:O1045" si="621">IFERROR(N1038/L1038,"")</f>
        <v>0.84512972939500897</v>
      </c>
      <c r="P1038" s="117">
        <v>60124</v>
      </c>
      <c r="Q1038" s="111">
        <v>43</v>
      </c>
      <c r="R1038" s="117"/>
      <c r="S1038" s="117"/>
      <c r="T1038" s="117"/>
      <c r="U1038" s="117">
        <v>10972.16</v>
      </c>
      <c r="V1038" s="117"/>
      <c r="W1038" s="26">
        <f>SUM(S1038:V1038)</f>
        <v>10972.16</v>
      </c>
      <c r="X1038" s="149" t="str">
        <f>IFERROR(S1038/R1038,"")</f>
        <v/>
      </c>
      <c r="Y1038" s="150">
        <f>IFERROR(U1038/P1038,0)</f>
        <v>0.18249218282216753</v>
      </c>
      <c r="Z1038" s="131">
        <f>P1038-W1038</f>
        <v>49151.839999999997</v>
      </c>
      <c r="AA1038" s="150">
        <f>IFERROR(Z1038/P1038,"")</f>
        <v>0.81750781717783239</v>
      </c>
      <c r="AB1038" s="120">
        <f t="shared" ref="AB1038:AB1045" si="622">M1038-W1038</f>
        <v>-968.15999999999985</v>
      </c>
      <c r="AC1038" s="119">
        <f>IFERROR(AA1038-O1038,"")</f>
        <v>-2.7621912217176581E-2</v>
      </c>
      <c r="AD1038" s="110" t="s">
        <v>550</v>
      </c>
      <c r="AE1038" s="110"/>
      <c r="AF1038" s="110"/>
      <c r="AG1038" s="121"/>
      <c r="AH1038" s="110"/>
    </row>
    <row r="1039" spans="1:34" s="53" customFormat="1" ht="11.25" customHeight="1" x14ac:dyDescent="0.15">
      <c r="A1039" s="53" t="s">
        <v>548</v>
      </c>
      <c r="C1039" s="54" t="s">
        <v>360</v>
      </c>
      <c r="D1039" s="54">
        <v>2023</v>
      </c>
      <c r="E1039" s="70">
        <v>45016</v>
      </c>
      <c r="F1039" s="54"/>
      <c r="L1039" s="97">
        <f>L1038</f>
        <v>64596</v>
      </c>
      <c r="M1039" s="97">
        <f>M1038</f>
        <v>10004</v>
      </c>
      <c r="N1039" s="24">
        <f>N1038</f>
        <v>54592</v>
      </c>
      <c r="O1039" s="57">
        <f t="shared" si="621"/>
        <v>0.84512972939500897</v>
      </c>
      <c r="P1039" s="24">
        <f>P1038</f>
        <v>60124</v>
      </c>
      <c r="Q1039" s="24"/>
      <c r="R1039" s="24">
        <f t="shared" ref="R1039:W1039" si="623">R1038</f>
        <v>0</v>
      </c>
      <c r="S1039" s="24">
        <f t="shared" si="623"/>
        <v>0</v>
      </c>
      <c r="T1039" s="24">
        <f t="shared" si="623"/>
        <v>0</v>
      </c>
      <c r="U1039" s="24">
        <f t="shared" si="623"/>
        <v>10972.16</v>
      </c>
      <c r="V1039" s="24">
        <f t="shared" si="623"/>
        <v>0</v>
      </c>
      <c r="W1039" s="24">
        <f t="shared" si="623"/>
        <v>10972.16</v>
      </c>
      <c r="X1039" s="114"/>
      <c r="Y1039" s="115"/>
      <c r="Z1039" s="116"/>
      <c r="AA1039" s="115"/>
      <c r="AB1039" s="120">
        <f t="shared" si="622"/>
        <v>-968.15999999999985</v>
      </c>
      <c r="AC1039" s="57"/>
      <c r="AG1039" s="61"/>
    </row>
    <row r="1040" spans="1:34" ht="11.25" customHeight="1" x14ac:dyDescent="0.15">
      <c r="A1040" s="110" t="s">
        <v>548</v>
      </c>
      <c r="B1040" s="110"/>
      <c r="C1040" s="111" t="s">
        <v>279</v>
      </c>
      <c r="D1040" s="111">
        <v>2023</v>
      </c>
      <c r="E1040" s="146">
        <v>45016</v>
      </c>
      <c r="F1040" s="111"/>
      <c r="G1040" s="111">
        <v>525100221</v>
      </c>
      <c r="H1040" s="111"/>
      <c r="I1040" s="111"/>
      <c r="J1040" s="111"/>
      <c r="K1040" s="110" t="s">
        <v>551</v>
      </c>
      <c r="L1040" s="120">
        <v>19000</v>
      </c>
      <c r="M1040" s="120">
        <v>5860</v>
      </c>
      <c r="N1040" s="120">
        <f>L1040-M1040</f>
        <v>13140</v>
      </c>
      <c r="O1040" s="119">
        <f t="shared" si="621"/>
        <v>0.69157894736842107</v>
      </c>
      <c r="P1040" s="117">
        <v>21850</v>
      </c>
      <c r="Q1040" s="111">
        <v>44</v>
      </c>
      <c r="R1040" s="117">
        <v>45.5</v>
      </c>
      <c r="S1040" s="117">
        <v>2088.91</v>
      </c>
      <c r="T1040" s="117">
        <v>3507.13</v>
      </c>
      <c r="U1040" s="117">
        <v>532.91999999999996</v>
      </c>
      <c r="V1040" s="117"/>
      <c r="W1040" s="26">
        <f>SUM(S1040:V1040)</f>
        <v>6128.96</v>
      </c>
      <c r="X1040" s="118">
        <f t="shared" ref="X1040:X1045" si="624">IFERROR(S1040/R1040,"")</f>
        <v>45.910109890109887</v>
      </c>
      <c r="Y1040" s="119">
        <f>U1040/P1040</f>
        <v>2.4389931350114413E-2</v>
      </c>
      <c r="Z1040" s="117">
        <f t="shared" ref="Z1040:Z1045" si="625">P1040-W1040</f>
        <v>15721.04</v>
      </c>
      <c r="AA1040" s="119">
        <f>Z1040/P1040</f>
        <v>0.71949839816933647</v>
      </c>
      <c r="AB1040" s="120">
        <f t="shared" si="622"/>
        <v>-268.96000000000004</v>
      </c>
      <c r="AC1040" s="119">
        <f t="shared" ref="AC1040:AC1045" si="626">IFERROR(AA1040-O1040,"")</f>
        <v>2.7919450800915402E-2</v>
      </c>
      <c r="AD1040" s="110"/>
      <c r="AE1040" s="110"/>
      <c r="AF1040" s="110"/>
      <c r="AG1040" s="121"/>
      <c r="AH1040" s="110"/>
    </row>
    <row r="1041" spans="1:34" ht="11.25" customHeight="1" x14ac:dyDescent="0.15">
      <c r="A1041" s="110" t="s">
        <v>548</v>
      </c>
      <c r="B1041" s="110"/>
      <c r="C1041" s="111" t="s">
        <v>248</v>
      </c>
      <c r="D1041" s="111">
        <v>2023</v>
      </c>
      <c r="E1041" s="146">
        <v>45016</v>
      </c>
      <c r="F1041" s="111"/>
      <c r="G1041" s="111">
        <v>960000001</v>
      </c>
      <c r="H1041" s="111"/>
      <c r="I1041" s="111"/>
      <c r="J1041" s="111"/>
      <c r="K1041" s="112" t="s">
        <v>250</v>
      </c>
      <c r="L1041" s="120">
        <v>5780</v>
      </c>
      <c r="M1041" s="120">
        <v>2889.85</v>
      </c>
      <c r="N1041" s="120">
        <f>L1041-M1041</f>
        <v>2890.15</v>
      </c>
      <c r="O1041" s="119">
        <f t="shared" si="621"/>
        <v>0.5000259515570934</v>
      </c>
      <c r="P1041" s="117">
        <v>8670</v>
      </c>
      <c r="Q1041" s="111">
        <v>45</v>
      </c>
      <c r="R1041" s="117">
        <v>28</v>
      </c>
      <c r="S1041" s="117">
        <v>1583.4</v>
      </c>
      <c r="T1041" s="117"/>
      <c r="U1041" s="117"/>
      <c r="V1041" s="117"/>
      <c r="W1041" s="26">
        <f>SUM(S1041:V1041)</f>
        <v>1583.4</v>
      </c>
      <c r="X1041" s="118">
        <f t="shared" si="624"/>
        <v>56.550000000000004</v>
      </c>
      <c r="Y1041" s="119">
        <f>U1041/P1041</f>
        <v>0</v>
      </c>
      <c r="Z1041" s="117">
        <f t="shared" si="625"/>
        <v>7086.6</v>
      </c>
      <c r="AA1041" s="119">
        <f>Z1041/P1041</f>
        <v>0.81737024221453292</v>
      </c>
      <c r="AB1041" s="120">
        <f t="shared" si="622"/>
        <v>1306.4499999999998</v>
      </c>
      <c r="AC1041" s="119">
        <f t="shared" si="626"/>
        <v>0.31734429065743952</v>
      </c>
      <c r="AD1041" s="110"/>
      <c r="AE1041" s="110"/>
      <c r="AF1041" s="110"/>
      <c r="AG1041" s="121"/>
      <c r="AH1041" s="110"/>
    </row>
    <row r="1042" spans="1:34" ht="11.25" customHeight="1" x14ac:dyDescent="0.15">
      <c r="A1042" s="110" t="s">
        <v>548</v>
      </c>
      <c r="B1042" s="110"/>
      <c r="C1042" s="111" t="s">
        <v>58</v>
      </c>
      <c r="D1042" s="111">
        <v>2023</v>
      </c>
      <c r="E1042" s="146">
        <v>45016</v>
      </c>
      <c r="F1042" s="111"/>
      <c r="G1042" s="111">
        <v>712720001</v>
      </c>
      <c r="H1042" s="111"/>
      <c r="I1042" s="111"/>
      <c r="J1042" s="111"/>
      <c r="K1042" s="112" t="s">
        <v>552</v>
      </c>
      <c r="L1042" s="120">
        <v>29044</v>
      </c>
      <c r="M1042" s="120">
        <v>2904.4</v>
      </c>
      <c r="N1042" s="120">
        <f>L1042-M1042</f>
        <v>26139.599999999999</v>
      </c>
      <c r="O1042" s="119">
        <f t="shared" si="621"/>
        <v>0.89999999999999991</v>
      </c>
      <c r="P1042" s="132">
        <v>33401</v>
      </c>
      <c r="Q1042" s="111">
        <v>47</v>
      </c>
      <c r="R1042" s="132"/>
      <c r="S1042" s="132"/>
      <c r="T1042" s="132"/>
      <c r="U1042" s="132">
        <v>1290.29</v>
      </c>
      <c r="V1042" s="117"/>
      <c r="W1042" s="67">
        <f>SUM(S1042:V1042)</f>
        <v>1290.29</v>
      </c>
      <c r="X1042" s="118" t="str">
        <f t="shared" si="624"/>
        <v/>
      </c>
      <c r="Y1042" s="119">
        <f>U1042/P1042</f>
        <v>3.8630280530523038E-2</v>
      </c>
      <c r="Z1042" s="117">
        <f t="shared" si="625"/>
        <v>32110.71</v>
      </c>
      <c r="AA1042" s="119">
        <f>Z1042/P1042</f>
        <v>0.96136971946947691</v>
      </c>
      <c r="AB1042" s="120">
        <f t="shared" si="622"/>
        <v>1614.1100000000001</v>
      </c>
      <c r="AC1042" s="119">
        <f t="shared" si="626"/>
        <v>6.1369719469477002E-2</v>
      </c>
      <c r="AD1042" s="110"/>
      <c r="AE1042" s="110"/>
      <c r="AF1042" s="110"/>
      <c r="AG1042" s="121"/>
      <c r="AH1042" s="110"/>
    </row>
    <row r="1043" spans="1:34" ht="11.25" customHeight="1" x14ac:dyDescent="0.15">
      <c r="A1043" s="110" t="s">
        <v>548</v>
      </c>
      <c r="B1043" s="110"/>
      <c r="C1043" s="111" t="s">
        <v>49</v>
      </c>
      <c r="D1043" s="111">
        <v>2023</v>
      </c>
      <c r="E1043" s="146">
        <v>45016</v>
      </c>
      <c r="F1043" s="111"/>
      <c r="G1043" s="111">
        <v>620000021</v>
      </c>
      <c r="H1043" s="111"/>
      <c r="I1043" s="111"/>
      <c r="J1043" s="111"/>
      <c r="K1043" s="112" t="s">
        <v>553</v>
      </c>
      <c r="L1043" s="120">
        <v>2000</v>
      </c>
      <c r="M1043" s="120">
        <v>1000</v>
      </c>
      <c r="N1043" s="120">
        <f>L1043-M1043</f>
        <v>1000</v>
      </c>
      <c r="O1043" s="119">
        <f t="shared" si="621"/>
        <v>0.5</v>
      </c>
      <c r="P1043" s="117">
        <v>2300</v>
      </c>
      <c r="Q1043" s="111">
        <v>48</v>
      </c>
      <c r="R1043" s="117">
        <v>18.5</v>
      </c>
      <c r="S1043" s="117">
        <v>849.34</v>
      </c>
      <c r="T1043" s="117">
        <v>1169.04</v>
      </c>
      <c r="U1043" s="117"/>
      <c r="V1043" s="117"/>
      <c r="W1043" s="26">
        <f>SUM(S1043:V1043)</f>
        <v>2018.38</v>
      </c>
      <c r="X1043" s="118">
        <f t="shared" si="624"/>
        <v>45.910270270270274</v>
      </c>
      <c r="Y1043" s="119">
        <f>U1043/P1043</f>
        <v>0</v>
      </c>
      <c r="Z1043" s="117">
        <f t="shared" si="625"/>
        <v>281.61999999999989</v>
      </c>
      <c r="AA1043" s="119">
        <f>Z1043/P1043</f>
        <v>0.12244347826086951</v>
      </c>
      <c r="AB1043" s="120">
        <f t="shared" si="622"/>
        <v>-1018.3800000000001</v>
      </c>
      <c r="AC1043" s="119">
        <f t="shared" si="626"/>
        <v>-0.37755652173913046</v>
      </c>
      <c r="AD1043" s="110" t="s">
        <v>554</v>
      </c>
      <c r="AE1043" s="110"/>
      <c r="AF1043" s="110"/>
      <c r="AG1043" s="121"/>
      <c r="AH1043" s="110"/>
    </row>
    <row r="1044" spans="1:34" ht="11.25" customHeight="1" x14ac:dyDescent="0.15">
      <c r="A1044" s="110" t="s">
        <v>548</v>
      </c>
      <c r="B1044" s="110"/>
      <c r="C1044" s="111" t="s">
        <v>55</v>
      </c>
      <c r="D1044" s="111">
        <v>2023</v>
      </c>
      <c r="E1044" s="146">
        <v>45016</v>
      </c>
      <c r="F1044" s="111"/>
      <c r="G1044" s="111" t="s">
        <v>56</v>
      </c>
      <c r="H1044" s="111"/>
      <c r="I1044" s="111"/>
      <c r="J1044" s="111"/>
      <c r="K1044" s="112" t="s">
        <v>71</v>
      </c>
      <c r="L1044" s="120">
        <v>954</v>
      </c>
      <c r="M1044" s="120">
        <f>L1044*0.5</f>
        <v>477</v>
      </c>
      <c r="N1044" s="120">
        <f>L1044-M1044</f>
        <v>477</v>
      </c>
      <c r="O1044" s="119">
        <f t="shared" si="621"/>
        <v>0.5</v>
      </c>
      <c r="P1044" s="117">
        <v>1098</v>
      </c>
      <c r="Q1044" s="111">
        <v>46</v>
      </c>
      <c r="R1044" s="117">
        <v>7.5</v>
      </c>
      <c r="S1044" s="117">
        <v>318.75</v>
      </c>
      <c r="T1044" s="117"/>
      <c r="U1044" s="117">
        <v>691.99</v>
      </c>
      <c r="V1044" s="117"/>
      <c r="W1044" s="26">
        <f>SUM(S1044:V1044)</f>
        <v>1010.74</v>
      </c>
      <c r="X1044" s="118">
        <f t="shared" si="624"/>
        <v>42.5</v>
      </c>
      <c r="Y1044" s="119">
        <f>U1044/P1044</f>
        <v>0.63022768670309659</v>
      </c>
      <c r="Z1044" s="117">
        <f t="shared" si="625"/>
        <v>87.259999999999991</v>
      </c>
      <c r="AA1044" s="119">
        <f>Z1044/P1044</f>
        <v>7.9471766848816017E-2</v>
      </c>
      <c r="AB1044" s="120">
        <f t="shared" si="622"/>
        <v>-533.74</v>
      </c>
      <c r="AC1044" s="119">
        <f t="shared" si="626"/>
        <v>-0.42052823315118398</v>
      </c>
      <c r="AD1044" s="110" t="s">
        <v>555</v>
      </c>
      <c r="AE1044" s="110"/>
      <c r="AF1044" s="110"/>
      <c r="AG1044" s="121"/>
      <c r="AH1044" s="110"/>
    </row>
    <row r="1045" spans="1:34" s="53" customFormat="1" ht="11.25" customHeight="1" x14ac:dyDescent="0.15">
      <c r="A1045" s="53" t="s">
        <v>548</v>
      </c>
      <c r="C1045" s="54" t="s">
        <v>177</v>
      </c>
      <c r="D1045" s="54">
        <v>2023</v>
      </c>
      <c r="E1045" s="70">
        <v>45016</v>
      </c>
      <c r="F1045" s="54"/>
      <c r="G1045" s="54"/>
      <c r="H1045" s="54"/>
      <c r="I1045" s="54"/>
      <c r="J1045" s="54"/>
      <c r="K1045" s="106"/>
      <c r="L1045" s="24">
        <f>SUM(L1039:L1044)</f>
        <v>121374</v>
      </c>
      <c r="M1045" s="24">
        <f>SUM(M1039:M1044)</f>
        <v>23135.25</v>
      </c>
      <c r="N1045" s="24">
        <f>SUM(N1039:N1044)</f>
        <v>98238.75</v>
      </c>
      <c r="O1045" s="57">
        <f t="shared" si="621"/>
        <v>0.80938874882594292</v>
      </c>
      <c r="P1045" s="24">
        <f>SUM(P1039:P1044)</f>
        <v>127443</v>
      </c>
      <c r="Q1045" s="24"/>
      <c r="R1045" s="24">
        <f t="shared" ref="R1045:W1045" si="627">SUM(R1039:R1044)</f>
        <v>99.5</v>
      </c>
      <c r="S1045" s="24">
        <f t="shared" si="627"/>
        <v>4840.3999999999996</v>
      </c>
      <c r="T1045" s="24">
        <f t="shared" si="627"/>
        <v>4676.17</v>
      </c>
      <c r="U1045" s="24">
        <f t="shared" si="627"/>
        <v>13487.359999999999</v>
      </c>
      <c r="V1045" s="24">
        <f t="shared" si="627"/>
        <v>0</v>
      </c>
      <c r="W1045" s="24">
        <f t="shared" si="627"/>
        <v>23003.930000000004</v>
      </c>
      <c r="X1045" s="114">
        <f t="shared" si="624"/>
        <v>48.647236180904521</v>
      </c>
      <c r="Y1045" s="115">
        <f>IFERROR(U1045/P1045,0)</f>
        <v>0.10583052815768618</v>
      </c>
      <c r="Z1045" s="116">
        <f t="shared" si="625"/>
        <v>104439.06999999999</v>
      </c>
      <c r="AA1045" s="115">
        <f>IFERROR(Z1045/P1045,"")</f>
        <v>0.81949632384673932</v>
      </c>
      <c r="AB1045" s="120">
        <f t="shared" si="622"/>
        <v>131.31999999999607</v>
      </c>
      <c r="AC1045" s="119">
        <f t="shared" si="626"/>
        <v>1.01075750207964E-2</v>
      </c>
      <c r="AG1045" s="61"/>
    </row>
    <row r="1046" spans="1:34" ht="11.25" customHeight="1" x14ac:dyDescent="0.15">
      <c r="A1046" s="130"/>
      <c r="B1046" s="130"/>
      <c r="C1046" s="124"/>
      <c r="D1046" s="124"/>
      <c r="E1046" s="273"/>
      <c r="F1046" s="124"/>
      <c r="G1046" s="124"/>
      <c r="H1046" s="124"/>
      <c r="I1046" s="124"/>
      <c r="J1046" s="124"/>
      <c r="K1046" s="125"/>
      <c r="L1046" s="129"/>
      <c r="M1046" s="129"/>
      <c r="N1046" s="129"/>
      <c r="O1046" s="128"/>
      <c r="P1046" s="129"/>
      <c r="Q1046" s="124"/>
      <c r="R1046" s="129"/>
      <c r="S1046" s="129"/>
      <c r="T1046" s="129"/>
      <c r="U1046" s="129"/>
      <c r="V1046" s="126"/>
      <c r="W1046" s="49"/>
      <c r="X1046" s="45"/>
      <c r="Y1046" s="128"/>
      <c r="Z1046" s="126"/>
      <c r="AA1046" s="128"/>
      <c r="AB1046" s="129"/>
      <c r="AC1046" s="160"/>
      <c r="AD1046" s="137"/>
      <c r="AE1046" s="110"/>
      <c r="AF1046" s="110"/>
      <c r="AG1046" s="121"/>
      <c r="AH1046" s="110"/>
    </row>
    <row r="1047" spans="1:34" ht="11.25" customHeight="1" x14ac:dyDescent="0.15">
      <c r="A1047" s="110" t="s">
        <v>193</v>
      </c>
      <c r="B1047" s="110"/>
      <c r="C1047" s="111" t="s">
        <v>175</v>
      </c>
      <c r="D1047" s="111">
        <v>2023</v>
      </c>
      <c r="E1047" s="146">
        <v>45016</v>
      </c>
      <c r="F1047" s="111"/>
      <c r="G1047" s="111">
        <v>81100211</v>
      </c>
      <c r="H1047" s="111">
        <v>4101</v>
      </c>
      <c r="I1047" s="111" t="str">
        <f>MID(G1047,2,1)</f>
        <v>1</v>
      </c>
      <c r="J1047" s="111" t="str">
        <f>IF(I1047="1","Small/Medium","Large")</f>
        <v>Small/Medium</v>
      </c>
      <c r="K1047" s="147" t="s">
        <v>145</v>
      </c>
      <c r="L1047" s="120">
        <f>P1047</f>
        <v>11554</v>
      </c>
      <c r="M1047" s="120">
        <f>L1047*0.3</f>
        <v>3466.2</v>
      </c>
      <c r="N1047" s="120">
        <f>L1047-M1047</f>
        <v>8087.8</v>
      </c>
      <c r="O1047" s="119">
        <f>IFERROR(N1047/L1047,"")</f>
        <v>0.70000000000000007</v>
      </c>
      <c r="P1047" s="131">
        <v>11554</v>
      </c>
      <c r="Q1047" s="111">
        <v>1403</v>
      </c>
      <c r="R1047" s="117">
        <v>31.5</v>
      </c>
      <c r="S1047" s="117">
        <v>1413.72</v>
      </c>
      <c r="T1047" s="117">
        <v>1623.21</v>
      </c>
      <c r="U1047" s="117">
        <v>364.8</v>
      </c>
      <c r="V1047" s="117"/>
      <c r="W1047" s="26">
        <f>SUM(S1047:V1047)</f>
        <v>3401.7300000000005</v>
      </c>
      <c r="X1047" s="149">
        <f>IFERROR(S1047/R1047,"")</f>
        <v>44.88</v>
      </c>
      <c r="Y1047" s="150">
        <f>IFERROR(U1047/P1047,0)</f>
        <v>3.1573481045525362E-2</v>
      </c>
      <c r="Z1047" s="131">
        <f>P1047-W1047</f>
        <v>8152.2699999999995</v>
      </c>
      <c r="AA1047" s="150">
        <f>IFERROR(Z1047/P1047,"")</f>
        <v>0.70557988575385144</v>
      </c>
      <c r="AB1047" s="120">
        <f t="shared" ref="AB1047:AB1048" si="628">M1047-W1047</f>
        <v>64.469999999999345</v>
      </c>
      <c r="AC1047" s="119">
        <f>IFERROR(AA1047-O1047,"")</f>
        <v>5.5798857538513769E-3</v>
      </c>
      <c r="AD1047" s="110" t="s">
        <v>556</v>
      </c>
      <c r="AE1047" s="110"/>
      <c r="AF1047" s="110"/>
      <c r="AG1047" s="121"/>
      <c r="AH1047" s="110"/>
    </row>
    <row r="1048" spans="1:34" s="53" customFormat="1" ht="11.25" customHeight="1" x14ac:dyDescent="0.15">
      <c r="A1048" s="53" t="s">
        <v>193</v>
      </c>
      <c r="C1048" s="54" t="s">
        <v>177</v>
      </c>
      <c r="D1048" s="54">
        <v>2023</v>
      </c>
      <c r="E1048" s="70">
        <v>45016</v>
      </c>
      <c r="F1048" s="54"/>
      <c r="G1048" s="54"/>
      <c r="H1048" s="54"/>
      <c r="I1048" s="54"/>
      <c r="J1048" s="54"/>
      <c r="K1048" s="106"/>
      <c r="L1048" s="24">
        <f>L1047</f>
        <v>11554</v>
      </c>
      <c r="M1048" s="24">
        <f>M1047</f>
        <v>3466.2</v>
      </c>
      <c r="N1048" s="24">
        <f>N1047</f>
        <v>8087.8</v>
      </c>
      <c r="O1048" s="57">
        <f>IFERROR(N1048/L1048,"")</f>
        <v>0.70000000000000007</v>
      </c>
      <c r="P1048" s="24">
        <f>P1047</f>
        <v>11554</v>
      </c>
      <c r="Q1048" s="24"/>
      <c r="R1048" s="24">
        <f>R1047</f>
        <v>31.5</v>
      </c>
      <c r="S1048" s="24">
        <f>S1047</f>
        <v>1413.72</v>
      </c>
      <c r="T1048" s="24">
        <f>T1047</f>
        <v>1623.21</v>
      </c>
      <c r="U1048" s="24">
        <f>U1047</f>
        <v>364.8</v>
      </c>
      <c r="V1048" s="24">
        <f>V1047</f>
        <v>0</v>
      </c>
      <c r="W1048" s="24">
        <f>SUM(W1047)</f>
        <v>3401.7300000000005</v>
      </c>
      <c r="X1048" s="114">
        <f>IFERROR(S1048/R1048,"")</f>
        <v>44.88</v>
      </c>
      <c r="Y1048" s="115">
        <f>IFERROR(U1048/P1048,0)</f>
        <v>3.1573481045525362E-2</v>
      </c>
      <c r="Z1048" s="116">
        <f>P1048-W1048</f>
        <v>8152.2699999999995</v>
      </c>
      <c r="AA1048" s="115">
        <f>IFERROR(Z1048/P1048,"")</f>
        <v>0.70557988575385144</v>
      </c>
      <c r="AB1048" s="120">
        <f t="shared" si="628"/>
        <v>64.469999999999345</v>
      </c>
      <c r="AC1048" s="57">
        <f>IFERROR(AA1048-O1048,"")</f>
        <v>5.5798857538513769E-3</v>
      </c>
      <c r="AG1048" s="61"/>
    </row>
    <row r="1049" spans="1:34" ht="11.25" customHeight="1" x14ac:dyDescent="0.15">
      <c r="A1049" s="130"/>
      <c r="B1049" s="130"/>
      <c r="C1049" s="124"/>
      <c r="D1049" s="124"/>
      <c r="E1049" s="273"/>
      <c r="F1049" s="124"/>
      <c r="G1049" s="124"/>
      <c r="H1049" s="124"/>
      <c r="I1049" s="124"/>
      <c r="J1049" s="124"/>
      <c r="K1049" s="125"/>
      <c r="L1049" s="220"/>
      <c r="M1049" s="220"/>
      <c r="N1049" s="220"/>
      <c r="O1049" s="128"/>
      <c r="P1049" s="220"/>
      <c r="Q1049" s="124"/>
      <c r="R1049" s="220"/>
      <c r="S1049" s="220"/>
      <c r="T1049" s="220"/>
      <c r="U1049" s="220"/>
      <c r="V1049" s="225"/>
      <c r="W1049" s="230"/>
      <c r="X1049" s="45"/>
      <c r="Y1049" s="128"/>
      <c r="Z1049" s="126"/>
      <c r="AA1049" s="128"/>
      <c r="AB1049" s="129"/>
      <c r="AC1049" s="160"/>
      <c r="AD1049" s="137"/>
      <c r="AE1049" s="110"/>
      <c r="AF1049" s="110"/>
      <c r="AG1049" s="121"/>
      <c r="AH1049" s="110"/>
    </row>
    <row r="1050" spans="1:34" ht="11.25" customHeight="1" x14ac:dyDescent="0.15">
      <c r="A1050" s="110" t="s">
        <v>557</v>
      </c>
      <c r="B1050" s="110"/>
      <c r="C1050" s="111" t="s">
        <v>37</v>
      </c>
      <c r="D1050" s="111">
        <v>2023</v>
      </c>
      <c r="E1050" s="146">
        <v>45046</v>
      </c>
      <c r="F1050" s="111"/>
      <c r="G1050" s="111">
        <v>110120113</v>
      </c>
      <c r="H1050" s="111"/>
      <c r="I1050" s="111" t="str">
        <f>MID(G1050,2,1)</f>
        <v>1</v>
      </c>
      <c r="J1050" s="111" t="s">
        <v>558</v>
      </c>
      <c r="K1050" s="112" t="s">
        <v>559</v>
      </c>
      <c r="L1050" s="219">
        <v>116080.44</v>
      </c>
      <c r="M1050" s="219">
        <v>25083.85</v>
      </c>
      <c r="N1050" s="219">
        <f>L1050-M1050</f>
        <v>90996.59</v>
      </c>
      <c r="O1050" s="119">
        <f>IFERROR(N1050/L1050,"")</f>
        <v>0.78390976119663225</v>
      </c>
      <c r="P1050" s="132">
        <v>116081</v>
      </c>
      <c r="Q1050" s="111">
        <v>1234</v>
      </c>
      <c r="R1050" s="132">
        <v>21.5</v>
      </c>
      <c r="S1050" s="132">
        <v>864.86</v>
      </c>
      <c r="T1050" s="132"/>
      <c r="U1050" s="132">
        <v>22409.599999999999</v>
      </c>
      <c r="V1050" s="117"/>
      <c r="W1050" s="67">
        <f>SUM(S1050:V1050)</f>
        <v>23274.46</v>
      </c>
      <c r="X1050" s="118">
        <f>IFERROR(S1050/R1050,"")</f>
        <v>40.226046511627906</v>
      </c>
      <c r="Y1050" s="119">
        <f>U1050/P1050</f>
        <v>0.19305140376116675</v>
      </c>
      <c r="Z1050" s="117">
        <f>P1050-W1050</f>
        <v>92806.540000000008</v>
      </c>
      <c r="AA1050" s="119">
        <f>Z1050/P1050</f>
        <v>0.7994981090790052</v>
      </c>
      <c r="AB1050" s="120">
        <f t="shared" ref="AB1050:AB1060" si="629">M1050-W1050</f>
        <v>1809.3899999999994</v>
      </c>
      <c r="AC1050" s="119">
        <f>IFERROR(AA1050-O1050,"")</f>
        <v>1.5588347882372955E-2</v>
      </c>
      <c r="AD1050" s="110" t="s">
        <v>560</v>
      </c>
      <c r="AE1050" s="110"/>
      <c r="AF1050" s="110"/>
      <c r="AG1050" s="121"/>
      <c r="AH1050" s="110"/>
    </row>
    <row r="1051" spans="1:34" ht="11.25" customHeight="1" x14ac:dyDescent="0.15">
      <c r="A1051" s="110" t="s">
        <v>557</v>
      </c>
      <c r="B1051" s="110"/>
      <c r="C1051" s="111" t="s">
        <v>37</v>
      </c>
      <c r="D1051" s="111">
        <v>2023</v>
      </c>
      <c r="E1051" s="146">
        <v>45046</v>
      </c>
      <c r="F1051" s="111"/>
      <c r="G1051" s="111">
        <v>210100113</v>
      </c>
      <c r="H1051" s="111"/>
      <c r="I1051" s="111"/>
      <c r="J1051" s="111"/>
      <c r="K1051" s="112" t="s">
        <v>439</v>
      </c>
      <c r="L1051" s="120">
        <v>17637.52</v>
      </c>
      <c r="M1051" s="120">
        <v>5149.1000000000004</v>
      </c>
      <c r="N1051" s="120">
        <f>L1051-M1051</f>
        <v>12488.42</v>
      </c>
      <c r="O1051" s="119">
        <f>IFERROR(N1051/L1051,"")</f>
        <v>0.70805986329143777</v>
      </c>
      <c r="P1051" s="117">
        <v>17638</v>
      </c>
      <c r="Q1051" s="111">
        <v>1235</v>
      </c>
      <c r="R1051" s="117"/>
      <c r="S1051" s="117"/>
      <c r="T1051" s="117"/>
      <c r="U1051" s="117">
        <v>6283.69</v>
      </c>
      <c r="V1051" s="117"/>
      <c r="W1051" s="26">
        <f>SUM(S1051:V1051)</f>
        <v>6283.69</v>
      </c>
      <c r="X1051" s="118" t="str">
        <f>IFERROR(S1051/R1051,"")</f>
        <v/>
      </c>
      <c r="Y1051" s="119">
        <f>U1051/P1051</f>
        <v>0.35625864610500052</v>
      </c>
      <c r="Z1051" s="117">
        <f>P1051-W1051</f>
        <v>11354.310000000001</v>
      </c>
      <c r="AA1051" s="119">
        <f>Z1051/P1051</f>
        <v>0.64374135389499954</v>
      </c>
      <c r="AB1051" s="120">
        <f t="shared" si="629"/>
        <v>-1134.5899999999992</v>
      </c>
      <c r="AC1051" s="119">
        <f>IFERROR(AA1051-O1051,"")</f>
        <v>-6.4318509396438239E-2</v>
      </c>
      <c r="AD1051" s="110" t="s">
        <v>561</v>
      </c>
      <c r="AE1051" s="110"/>
      <c r="AF1051" s="110"/>
      <c r="AG1051" s="121"/>
      <c r="AH1051" s="110"/>
    </row>
    <row r="1052" spans="1:34" ht="11.25" customHeight="1" x14ac:dyDescent="0.15">
      <c r="A1052" s="110" t="s">
        <v>557</v>
      </c>
      <c r="B1052" s="110"/>
      <c r="C1052" s="111" t="s">
        <v>37</v>
      </c>
      <c r="D1052" s="111">
        <v>2023</v>
      </c>
      <c r="E1052" s="146">
        <v>45046</v>
      </c>
      <c r="F1052" s="111"/>
      <c r="G1052" s="111">
        <v>910120613</v>
      </c>
      <c r="H1052" s="111"/>
      <c r="I1052" s="111"/>
      <c r="J1052" s="111"/>
      <c r="K1052" s="112" t="s">
        <v>562</v>
      </c>
      <c r="L1052" s="120">
        <f>13058.04+2140+1327</f>
        <v>16525.04</v>
      </c>
      <c r="M1052" s="120">
        <f>3850.32+464.38+749</f>
        <v>5063.7</v>
      </c>
      <c r="N1052" s="120">
        <f>L1052-M1052</f>
        <v>11461.34</v>
      </c>
      <c r="O1052" s="119">
        <f>IFERROR(N1052/L1052,"")</f>
        <v>0.69357411540304892</v>
      </c>
      <c r="P1052" s="117">
        <v>16525</v>
      </c>
      <c r="Q1052" s="111">
        <v>1236</v>
      </c>
      <c r="R1052" s="117"/>
      <c r="S1052" s="117"/>
      <c r="T1052" s="117"/>
      <c r="U1052" s="117">
        <v>4524.76</v>
      </c>
      <c r="V1052" s="117"/>
      <c r="W1052" s="26">
        <f>SUM(S1052:V1052)</f>
        <v>4524.76</v>
      </c>
      <c r="X1052" s="118" t="str">
        <f>IFERROR(S1052/R1052,"")</f>
        <v/>
      </c>
      <c r="Y1052" s="119">
        <f>U1052/P1052</f>
        <v>0.27381301059001512</v>
      </c>
      <c r="Z1052" s="117">
        <f>P1052-W1052</f>
        <v>12000.24</v>
      </c>
      <c r="AA1052" s="119">
        <f>Z1052/P1052</f>
        <v>0.72618698940998483</v>
      </c>
      <c r="AB1052" s="120">
        <f t="shared" si="629"/>
        <v>538.9399999999996</v>
      </c>
      <c r="AC1052" s="119">
        <f>IFERROR(AA1052-O1052,"")</f>
        <v>3.261287400693591E-2</v>
      </c>
      <c r="AD1052" s="110" t="s">
        <v>563</v>
      </c>
      <c r="AE1052" s="110"/>
      <c r="AF1052" s="110"/>
      <c r="AG1052" s="121"/>
      <c r="AH1052" s="110"/>
    </row>
    <row r="1053" spans="1:34" ht="11.25" customHeight="1" x14ac:dyDescent="0.15">
      <c r="A1053" s="110" t="s">
        <v>557</v>
      </c>
      <c r="B1053" s="110"/>
      <c r="C1053" s="111" t="s">
        <v>37</v>
      </c>
      <c r="D1053" s="111">
        <v>2023</v>
      </c>
      <c r="E1053" s="146">
        <v>45046</v>
      </c>
      <c r="F1053" s="111"/>
      <c r="G1053" s="111">
        <v>310300203</v>
      </c>
      <c r="H1053" s="111"/>
      <c r="I1053" s="111"/>
      <c r="J1053" s="111"/>
      <c r="K1053" s="112" t="s">
        <v>441</v>
      </c>
      <c r="L1053" s="120">
        <v>37882</v>
      </c>
      <c r="M1053" s="120">
        <v>11683.02</v>
      </c>
      <c r="N1053" s="120">
        <f>L1053-M1053</f>
        <v>26198.98</v>
      </c>
      <c r="O1053" s="119">
        <f>IFERROR(N1053/L1053,"")</f>
        <v>0.69159442479277755</v>
      </c>
      <c r="P1053" s="117">
        <v>37882</v>
      </c>
      <c r="Q1053" s="111">
        <v>1237</v>
      </c>
      <c r="R1053" s="117">
        <v>12</v>
      </c>
      <c r="S1053" s="117">
        <v>488.98</v>
      </c>
      <c r="T1053" s="117"/>
      <c r="U1053" s="117">
        <v>8064.83</v>
      </c>
      <c r="V1053" s="117"/>
      <c r="W1053" s="26">
        <f>SUM(S1053:V1053)</f>
        <v>8553.81</v>
      </c>
      <c r="X1053" s="118">
        <f>IFERROR(S1053/R1053,"")</f>
        <v>40.748333333333335</v>
      </c>
      <c r="Y1053" s="119">
        <f>U1053/P1053</f>
        <v>0.21289345863470777</v>
      </c>
      <c r="Z1053" s="117">
        <f>P1053-W1053</f>
        <v>29328.190000000002</v>
      </c>
      <c r="AA1053" s="119">
        <f>Z1053/P1053</f>
        <v>0.77419856396177611</v>
      </c>
      <c r="AB1053" s="120">
        <f t="shared" si="629"/>
        <v>3129.2100000000009</v>
      </c>
      <c r="AC1053" s="119">
        <f>IFERROR(AA1053-O1053,"")</f>
        <v>8.2604139168998558E-2</v>
      </c>
      <c r="AD1053" s="110" t="s">
        <v>564</v>
      </c>
      <c r="AE1053" s="110"/>
      <c r="AF1053" s="110"/>
      <c r="AG1053" s="121"/>
      <c r="AH1053" s="110"/>
    </row>
    <row r="1054" spans="1:34" s="53" customFormat="1" ht="11.25" customHeight="1" x14ac:dyDescent="0.15">
      <c r="A1054" s="53" t="s">
        <v>557</v>
      </c>
      <c r="C1054" s="54" t="s">
        <v>360</v>
      </c>
      <c r="D1054" s="54">
        <v>2023</v>
      </c>
      <c r="E1054" s="70">
        <v>45046</v>
      </c>
      <c r="F1054" s="54"/>
      <c r="L1054" s="97">
        <f>SUM(L1050:L1053)</f>
        <v>188125</v>
      </c>
      <c r="M1054" s="97">
        <f>SUM(M1050:M1053)</f>
        <v>46979.67</v>
      </c>
      <c r="N1054" s="97">
        <f>SUM(N1050:N1053)</f>
        <v>141145.32999999999</v>
      </c>
      <c r="O1054" s="57"/>
      <c r="P1054" s="24">
        <f>SUM(P1050:P1053)</f>
        <v>188126</v>
      </c>
      <c r="Q1054" s="24"/>
      <c r="R1054" s="24">
        <f t="shared" ref="R1054:W1054" si="630">SUM(R1050:R1053)</f>
        <v>33.5</v>
      </c>
      <c r="S1054" s="24">
        <f t="shared" si="630"/>
        <v>1353.8400000000001</v>
      </c>
      <c r="T1054" s="24">
        <f t="shared" si="630"/>
        <v>0</v>
      </c>
      <c r="U1054" s="24">
        <f t="shared" si="630"/>
        <v>41282.879999999997</v>
      </c>
      <c r="V1054" s="24">
        <f t="shared" si="630"/>
        <v>0</v>
      </c>
      <c r="W1054" s="24">
        <f t="shared" si="630"/>
        <v>42636.719999999994</v>
      </c>
      <c r="X1054" s="118"/>
      <c r="Y1054" s="119"/>
      <c r="Z1054" s="117"/>
      <c r="AA1054" s="119"/>
      <c r="AB1054" s="120">
        <f t="shared" si="629"/>
        <v>4342.9500000000044</v>
      </c>
      <c r="AC1054" s="119"/>
      <c r="AG1054" s="61"/>
    </row>
    <row r="1055" spans="1:34" ht="11.25" customHeight="1" x14ac:dyDescent="0.15">
      <c r="A1055" s="110" t="s">
        <v>557</v>
      </c>
      <c r="B1055" s="110"/>
      <c r="C1055" s="111" t="s">
        <v>47</v>
      </c>
      <c r="D1055" s="111">
        <v>2023</v>
      </c>
      <c r="E1055" s="146">
        <v>45046</v>
      </c>
      <c r="F1055" s="111"/>
      <c r="G1055" s="111">
        <v>510120013</v>
      </c>
      <c r="H1055" s="111"/>
      <c r="I1055" s="111"/>
      <c r="J1055" s="111"/>
      <c r="K1055" s="112" t="s">
        <v>565</v>
      </c>
      <c r="L1055" s="120">
        <v>42784</v>
      </c>
      <c r="M1055" s="120">
        <v>17114.18</v>
      </c>
      <c r="N1055" s="120">
        <f>L1055-M1055</f>
        <v>25669.82</v>
      </c>
      <c r="O1055" s="119">
        <f t="shared" ref="O1055:O1060" si="631">IFERROR(N1055/L1055,"")</f>
        <v>0.59998644353029174</v>
      </c>
      <c r="P1055" s="117">
        <v>42784</v>
      </c>
      <c r="Q1055" s="111">
        <v>1238</v>
      </c>
      <c r="R1055" s="117">
        <v>133</v>
      </c>
      <c r="S1055" s="117">
        <v>6106.03</v>
      </c>
      <c r="T1055" s="117">
        <v>6284.08</v>
      </c>
      <c r="U1055" s="117">
        <v>3360.34</v>
      </c>
      <c r="V1055" s="117"/>
      <c r="W1055" s="26">
        <f>SUM(S1055:V1055)</f>
        <v>15750.45</v>
      </c>
      <c r="X1055" s="118">
        <f t="shared" ref="X1055:X1060" si="632">IFERROR(S1055/R1055,"")</f>
        <v>45.91</v>
      </c>
      <c r="Y1055" s="119">
        <f>U1055/P1055</f>
        <v>7.8541978309648472E-2</v>
      </c>
      <c r="Z1055" s="117">
        <f t="shared" ref="Z1055:Z1060" si="633">P1055-W1055</f>
        <v>27033.55</v>
      </c>
      <c r="AA1055" s="119">
        <f t="shared" ref="AA1055:AA1060" si="634">Z1055/P1055</f>
        <v>0.63186120979805538</v>
      </c>
      <c r="AB1055" s="120">
        <f t="shared" si="629"/>
        <v>1363.7299999999996</v>
      </c>
      <c r="AC1055" s="119">
        <f t="shared" ref="AC1055:AC1060" si="635">IFERROR(AA1055-O1055,"")</f>
        <v>3.1874766267763643E-2</v>
      </c>
      <c r="AD1055" s="110" t="s">
        <v>566</v>
      </c>
      <c r="AE1055" s="110"/>
      <c r="AF1055" s="110"/>
      <c r="AG1055" s="121"/>
      <c r="AH1055" s="110"/>
    </row>
    <row r="1056" spans="1:34" ht="11.25" customHeight="1" x14ac:dyDescent="0.15">
      <c r="A1056" s="110" t="s">
        <v>557</v>
      </c>
      <c r="B1056" s="110"/>
      <c r="C1056" s="111" t="s">
        <v>248</v>
      </c>
      <c r="D1056" s="111">
        <v>2023</v>
      </c>
      <c r="E1056" s="146">
        <v>45046</v>
      </c>
      <c r="F1056" s="111"/>
      <c r="G1056" s="111">
        <v>960000003</v>
      </c>
      <c r="H1056" s="111"/>
      <c r="I1056" s="111"/>
      <c r="J1056" s="111"/>
      <c r="K1056" s="112" t="s">
        <v>250</v>
      </c>
      <c r="L1056" s="120">
        <v>15085</v>
      </c>
      <c r="M1056" s="120">
        <v>7542.5</v>
      </c>
      <c r="N1056" s="120">
        <f>L1056-M1056</f>
        <v>7542.5</v>
      </c>
      <c r="O1056" s="119">
        <f t="shared" si="631"/>
        <v>0.5</v>
      </c>
      <c r="P1056" s="117">
        <v>15085</v>
      </c>
      <c r="Q1056" s="111">
        <v>1239</v>
      </c>
      <c r="R1056" s="117">
        <v>21.5</v>
      </c>
      <c r="S1056" s="117">
        <v>1215.83</v>
      </c>
      <c r="T1056" s="117"/>
      <c r="U1056" s="117"/>
      <c r="V1056" s="117"/>
      <c r="W1056" s="26">
        <f>SUM(S1056:V1056)</f>
        <v>1215.83</v>
      </c>
      <c r="X1056" s="118">
        <f t="shared" si="632"/>
        <v>56.550232558139534</v>
      </c>
      <c r="Y1056" s="119">
        <f>U1056/P1056</f>
        <v>0</v>
      </c>
      <c r="Z1056" s="117">
        <f t="shared" si="633"/>
        <v>13869.17</v>
      </c>
      <c r="AA1056" s="119">
        <f t="shared" si="634"/>
        <v>0.91940139211136895</v>
      </c>
      <c r="AB1056" s="120">
        <f t="shared" si="629"/>
        <v>6326.67</v>
      </c>
      <c r="AC1056" s="119">
        <f t="shared" si="635"/>
        <v>0.41940139211136895</v>
      </c>
      <c r="AD1056" s="110"/>
      <c r="AE1056" s="110"/>
      <c r="AF1056" s="110"/>
      <c r="AG1056" s="121"/>
      <c r="AH1056" s="110"/>
    </row>
    <row r="1057" spans="1:34" ht="11.25" customHeight="1" x14ac:dyDescent="0.15">
      <c r="A1057" s="110" t="s">
        <v>557</v>
      </c>
      <c r="B1057" s="110"/>
      <c r="C1057" s="111" t="s">
        <v>58</v>
      </c>
      <c r="D1057" s="111">
        <v>2023</v>
      </c>
      <c r="E1057" s="146">
        <v>45046</v>
      </c>
      <c r="F1057" s="111"/>
      <c r="G1057" s="111">
        <v>711220123</v>
      </c>
      <c r="H1057" s="111"/>
      <c r="I1057" s="111"/>
      <c r="J1057" s="111"/>
      <c r="K1057" s="112" t="s">
        <v>493</v>
      </c>
      <c r="L1057" s="219">
        <v>38921</v>
      </c>
      <c r="M1057" s="219">
        <v>3892.1</v>
      </c>
      <c r="N1057" s="219">
        <f>L1057-M1057</f>
        <v>35028.9</v>
      </c>
      <c r="O1057" s="119">
        <f t="shared" si="631"/>
        <v>0.9</v>
      </c>
      <c r="P1057" s="132">
        <v>38921</v>
      </c>
      <c r="Q1057" s="111">
        <v>1240</v>
      </c>
      <c r="R1057" s="132"/>
      <c r="S1057" s="132"/>
      <c r="T1057" s="132"/>
      <c r="U1057" s="132">
        <v>1312.7</v>
      </c>
      <c r="V1057" s="117"/>
      <c r="W1057" s="67">
        <f>SUM(S1057:V1057)</f>
        <v>1312.7</v>
      </c>
      <c r="X1057" s="118" t="str">
        <f t="shared" si="632"/>
        <v/>
      </c>
      <c r="Y1057" s="119">
        <f>U1057/P1057</f>
        <v>3.3727293748875932E-2</v>
      </c>
      <c r="Z1057" s="117">
        <f t="shared" si="633"/>
        <v>37608.300000000003</v>
      </c>
      <c r="AA1057" s="119">
        <f t="shared" si="634"/>
        <v>0.96627270625112416</v>
      </c>
      <c r="AB1057" s="120">
        <f t="shared" si="629"/>
        <v>2579.3999999999996</v>
      </c>
      <c r="AC1057" s="119">
        <f t="shared" si="635"/>
        <v>6.6272706251124136E-2</v>
      </c>
      <c r="AD1057" s="110" t="s">
        <v>567</v>
      </c>
      <c r="AE1057" s="110"/>
      <c r="AF1057" s="110"/>
      <c r="AG1057" s="121"/>
      <c r="AH1057" s="110"/>
    </row>
    <row r="1058" spans="1:34" ht="11.25" customHeight="1" x14ac:dyDescent="0.15">
      <c r="A1058" s="110" t="s">
        <v>557</v>
      </c>
      <c r="B1058" s="110"/>
      <c r="C1058" s="111" t="s">
        <v>49</v>
      </c>
      <c r="D1058" s="111">
        <v>2023</v>
      </c>
      <c r="E1058" s="146">
        <v>45046</v>
      </c>
      <c r="F1058" s="111"/>
      <c r="G1058" s="111">
        <v>616220123</v>
      </c>
      <c r="H1058" s="111"/>
      <c r="I1058" s="111"/>
      <c r="J1058" s="111"/>
      <c r="K1058" s="112" t="s">
        <v>493</v>
      </c>
      <c r="L1058" s="120">
        <v>9523</v>
      </c>
      <c r="M1058" s="120">
        <v>5709.35</v>
      </c>
      <c r="N1058" s="120">
        <f>L1058-M1058</f>
        <v>3813.6499999999996</v>
      </c>
      <c r="O1058" s="119">
        <f t="shared" si="631"/>
        <v>0.40046728971962614</v>
      </c>
      <c r="P1058" s="117">
        <v>9523</v>
      </c>
      <c r="Q1058" s="111">
        <v>1241</v>
      </c>
      <c r="R1058" s="117">
        <v>43</v>
      </c>
      <c r="S1058" s="117">
        <v>2431.65</v>
      </c>
      <c r="T1058" s="117">
        <v>1633.57</v>
      </c>
      <c r="U1058" s="117"/>
      <c r="V1058" s="117"/>
      <c r="W1058" s="26">
        <f>SUM(S1058:V1058)</f>
        <v>4065.2200000000003</v>
      </c>
      <c r="X1058" s="118">
        <f t="shared" si="632"/>
        <v>56.550000000000004</v>
      </c>
      <c r="Y1058" s="119">
        <f>U1058/P1058</f>
        <v>0</v>
      </c>
      <c r="Z1058" s="117">
        <f t="shared" si="633"/>
        <v>5457.78</v>
      </c>
      <c r="AA1058" s="119">
        <f t="shared" si="634"/>
        <v>0.57311561482726026</v>
      </c>
      <c r="AB1058" s="120">
        <f t="shared" si="629"/>
        <v>1644.13</v>
      </c>
      <c r="AC1058" s="119">
        <f t="shared" si="635"/>
        <v>0.17264832510763412</v>
      </c>
      <c r="AD1058" s="110" t="s">
        <v>568</v>
      </c>
      <c r="AE1058" s="110"/>
      <c r="AF1058" s="110"/>
      <c r="AG1058" s="121"/>
      <c r="AH1058" s="110"/>
    </row>
    <row r="1059" spans="1:34" ht="11.25" customHeight="1" x14ac:dyDescent="0.15">
      <c r="A1059" s="110" t="s">
        <v>557</v>
      </c>
      <c r="B1059" s="110"/>
      <c r="C1059" s="111" t="s">
        <v>55</v>
      </c>
      <c r="D1059" s="111">
        <v>2023</v>
      </c>
      <c r="E1059" s="146">
        <v>45046</v>
      </c>
      <c r="F1059" s="111"/>
      <c r="G1059" s="111" t="s">
        <v>56</v>
      </c>
      <c r="H1059" s="111"/>
      <c r="I1059" s="111"/>
      <c r="J1059" s="111"/>
      <c r="K1059" s="112" t="s">
        <v>71</v>
      </c>
      <c r="L1059" s="219">
        <v>22328</v>
      </c>
      <c r="M1059" s="219">
        <v>11163.6</v>
      </c>
      <c r="N1059" s="219">
        <f>L1059-M1059</f>
        <v>11164.4</v>
      </c>
      <c r="O1059" s="119">
        <f t="shared" si="631"/>
        <v>0.50001791472590462</v>
      </c>
      <c r="P1059" s="132">
        <v>22327</v>
      </c>
      <c r="Q1059" s="111">
        <v>1242</v>
      </c>
      <c r="R1059" s="132">
        <v>27</v>
      </c>
      <c r="S1059" s="132">
        <v>1147.5</v>
      </c>
      <c r="T1059" s="132"/>
      <c r="U1059" s="132"/>
      <c r="V1059" s="117">
        <v>9293.1299999999992</v>
      </c>
      <c r="W1059" s="67">
        <f>SUM(S1059:V1059)</f>
        <v>10440.629999999999</v>
      </c>
      <c r="X1059" s="118">
        <f t="shared" si="632"/>
        <v>42.5</v>
      </c>
      <c r="Y1059" s="119">
        <f>U1059/P1059</f>
        <v>0</v>
      </c>
      <c r="Z1059" s="117">
        <f t="shared" si="633"/>
        <v>11886.37</v>
      </c>
      <c r="AA1059" s="119">
        <f t="shared" si="634"/>
        <v>0.5323764948268912</v>
      </c>
      <c r="AB1059" s="120">
        <f t="shared" si="629"/>
        <v>722.97000000000116</v>
      </c>
      <c r="AC1059" s="119">
        <f t="shared" si="635"/>
        <v>3.2358580100986578E-2</v>
      </c>
      <c r="AD1059" s="110"/>
      <c r="AE1059" s="110"/>
      <c r="AF1059" s="110"/>
      <c r="AG1059" s="121"/>
      <c r="AH1059" s="110"/>
    </row>
    <row r="1060" spans="1:34" s="53" customFormat="1" ht="11.25" customHeight="1" x14ac:dyDescent="0.15">
      <c r="A1060" s="53" t="s">
        <v>557</v>
      </c>
      <c r="C1060" s="54" t="s">
        <v>177</v>
      </c>
      <c r="D1060" s="54">
        <v>2023</v>
      </c>
      <c r="E1060" s="70">
        <v>45046</v>
      </c>
      <c r="F1060" s="54"/>
      <c r="G1060" s="54"/>
      <c r="H1060" s="54"/>
      <c r="I1060" s="54"/>
      <c r="J1060" s="54"/>
      <c r="K1060" s="106"/>
      <c r="L1060" s="97">
        <f>SUM(L1054:L1059)</f>
        <v>316766</v>
      </c>
      <c r="M1060" s="97">
        <f>SUM(M1054:M1059)</f>
        <v>92401.400000000023</v>
      </c>
      <c r="N1060" s="97">
        <f>SUM(N1054:N1059)</f>
        <v>224364.59999999998</v>
      </c>
      <c r="O1060" s="57">
        <f t="shared" si="631"/>
        <v>0.70829760769779582</v>
      </c>
      <c r="P1060" s="24">
        <f>SUM(P1054:P1059)</f>
        <v>316766</v>
      </c>
      <c r="Q1060" s="24"/>
      <c r="R1060" s="24">
        <f t="shared" ref="R1060:W1060" si="636">SUM(R1054:R1059)</f>
        <v>258</v>
      </c>
      <c r="S1060" s="24">
        <f t="shared" si="636"/>
        <v>12254.85</v>
      </c>
      <c r="T1060" s="24">
        <f t="shared" si="636"/>
        <v>7917.65</v>
      </c>
      <c r="U1060" s="24">
        <f t="shared" si="636"/>
        <v>45955.92</v>
      </c>
      <c r="V1060" s="24">
        <f t="shared" si="636"/>
        <v>9293.1299999999992</v>
      </c>
      <c r="W1060" s="24">
        <f t="shared" si="636"/>
        <v>75421.55</v>
      </c>
      <c r="X1060" s="114">
        <f t="shared" si="632"/>
        <v>47.499418604651162</v>
      </c>
      <c r="Y1060" s="115">
        <f>IFERROR(U1060/P1060,0)</f>
        <v>0.14507844907597406</v>
      </c>
      <c r="Z1060" s="28">
        <f t="shared" si="633"/>
        <v>241344.45</v>
      </c>
      <c r="AA1060" s="57">
        <f t="shared" si="634"/>
        <v>0.76190137199068086</v>
      </c>
      <c r="AB1060" s="120">
        <f t="shared" si="629"/>
        <v>16979.85000000002</v>
      </c>
      <c r="AC1060" s="119">
        <f t="shared" si="635"/>
        <v>5.3603764292885048E-2</v>
      </c>
      <c r="AG1060" s="61"/>
    </row>
    <row r="1061" spans="1:34" ht="11.25" customHeight="1" x14ac:dyDescent="0.15">
      <c r="A1061" s="130"/>
      <c r="B1061" s="130"/>
      <c r="C1061" s="124"/>
      <c r="D1061" s="124"/>
      <c r="E1061" s="273"/>
      <c r="F1061" s="124"/>
      <c r="G1061" s="124"/>
      <c r="H1061" s="124"/>
      <c r="I1061" s="124"/>
      <c r="J1061" s="124"/>
      <c r="K1061" s="125"/>
      <c r="L1061" s="129"/>
      <c r="M1061" s="129"/>
      <c r="N1061" s="129"/>
      <c r="O1061" s="128"/>
      <c r="P1061" s="129"/>
      <c r="Q1061" s="124"/>
      <c r="R1061" s="129"/>
      <c r="S1061" s="129"/>
      <c r="T1061" s="129"/>
      <c r="U1061" s="129"/>
      <c r="V1061" s="126"/>
      <c r="W1061" s="49"/>
      <c r="X1061" s="45"/>
      <c r="Y1061" s="128"/>
      <c r="Z1061" s="126"/>
      <c r="AA1061" s="128"/>
      <c r="AB1061" s="129"/>
      <c r="AC1061" s="160"/>
      <c r="AD1061" s="137"/>
      <c r="AE1061" s="110"/>
      <c r="AF1061" s="110"/>
      <c r="AG1061" s="121"/>
      <c r="AH1061" s="110"/>
    </row>
    <row r="1062" spans="1:34" ht="11.25" customHeight="1" x14ac:dyDescent="0.15">
      <c r="A1062" s="110" t="s">
        <v>198</v>
      </c>
      <c r="B1062" s="110"/>
      <c r="C1062" s="111" t="s">
        <v>175</v>
      </c>
      <c r="D1062" s="111">
        <v>2023</v>
      </c>
      <c r="E1062" s="146">
        <v>45077</v>
      </c>
      <c r="F1062" s="111"/>
      <c r="G1062" s="111">
        <v>81000111</v>
      </c>
      <c r="H1062" s="111">
        <v>4111</v>
      </c>
      <c r="I1062" s="111" t="str">
        <f>MID(G1062,2,1)</f>
        <v>1</v>
      </c>
      <c r="J1062" s="111" t="str">
        <f>IF(I1062="1","Small/Medium","Large")</f>
        <v>Small/Medium</v>
      </c>
      <c r="K1062" s="147" t="s">
        <v>145</v>
      </c>
      <c r="L1062" s="120">
        <f>P1062</f>
        <v>12395</v>
      </c>
      <c r="M1062" s="120">
        <f>L1062*0.3</f>
        <v>3718.5</v>
      </c>
      <c r="N1062" s="120">
        <f>L1062-M1062</f>
        <v>8676.5</v>
      </c>
      <c r="O1062" s="119">
        <f>IFERROR(N1062/L1062,"")</f>
        <v>0.7</v>
      </c>
      <c r="P1062" s="131">
        <f>14582-2187</f>
        <v>12395</v>
      </c>
      <c r="Q1062" s="111">
        <v>1267</v>
      </c>
      <c r="R1062" s="117">
        <v>11</v>
      </c>
      <c r="S1062" s="117">
        <v>493.68</v>
      </c>
      <c r="T1062" s="117">
        <v>531.79</v>
      </c>
      <c r="U1062" s="117">
        <v>352.4</v>
      </c>
      <c r="V1062" s="117"/>
      <c r="W1062" s="214">
        <f>SUM(S1062:V1062)</f>
        <v>1377.87</v>
      </c>
      <c r="X1062" s="118">
        <f>IFERROR(S1062/R1062,"")</f>
        <v>44.88</v>
      </c>
      <c r="Y1062" s="119">
        <f>U1062/P1062</f>
        <v>2.843081887858007E-2</v>
      </c>
      <c r="Z1062" s="117">
        <f>P1062-W1062</f>
        <v>11017.130000000001</v>
      </c>
      <c r="AA1062" s="119">
        <f>Z1062/P1062</f>
        <v>0.88883662767244864</v>
      </c>
      <c r="AB1062" s="120">
        <f t="shared" ref="AB1062:AB1064" si="637">M1062-W1062</f>
        <v>2340.63</v>
      </c>
      <c r="AC1062" s="119">
        <f>IFERROR(AA1062-O1062,"")</f>
        <v>0.18883662767244869</v>
      </c>
      <c r="AD1062" s="110"/>
      <c r="AE1062" s="110"/>
      <c r="AF1062" s="110"/>
      <c r="AG1062" s="121"/>
      <c r="AH1062" s="110"/>
    </row>
    <row r="1063" spans="1:34" ht="11.25" customHeight="1" x14ac:dyDescent="0.15">
      <c r="A1063" s="110" t="s">
        <v>198</v>
      </c>
      <c r="B1063" s="110"/>
      <c r="C1063" s="111" t="s">
        <v>175</v>
      </c>
      <c r="D1063" s="111">
        <v>2023</v>
      </c>
      <c r="E1063" s="146">
        <v>45077</v>
      </c>
      <c r="F1063" s="111"/>
      <c r="G1063" s="111">
        <v>82000111</v>
      </c>
      <c r="H1063" s="111">
        <v>4111</v>
      </c>
      <c r="I1063" s="111" t="str">
        <f>MID(G1063,2,1)</f>
        <v>2</v>
      </c>
      <c r="J1063" s="111" t="str">
        <f>IF(I1063="1","Small/Medium","Large")</f>
        <v>Large</v>
      </c>
      <c r="K1063" s="147" t="s">
        <v>176</v>
      </c>
      <c r="L1063" s="120">
        <f>P1063</f>
        <v>16496</v>
      </c>
      <c r="M1063" s="120">
        <f>L1063*0.3</f>
        <v>4948.8</v>
      </c>
      <c r="N1063" s="120">
        <f>L1063-M1063</f>
        <v>11547.2</v>
      </c>
      <c r="O1063" s="119">
        <f>IFERROR(N1063/L1063,"")</f>
        <v>0.70000000000000007</v>
      </c>
      <c r="P1063" s="131">
        <f>19407-2911</f>
        <v>16496</v>
      </c>
      <c r="Q1063" s="111">
        <v>1268</v>
      </c>
      <c r="R1063" s="117">
        <v>17</v>
      </c>
      <c r="S1063" s="117">
        <v>762.96</v>
      </c>
      <c r="T1063" s="117">
        <v>987.61</v>
      </c>
      <c r="U1063" s="117">
        <v>732.55</v>
      </c>
      <c r="V1063" s="117">
        <v>167.86</v>
      </c>
      <c r="W1063" s="214">
        <f>SUM(S1063:V1063)</f>
        <v>2650.98</v>
      </c>
      <c r="X1063" s="118">
        <f>IFERROR(S1063/R1063,"")</f>
        <v>44.88</v>
      </c>
      <c r="Y1063" s="119">
        <f>U1063/P1063</f>
        <v>4.4407735208535401E-2</v>
      </c>
      <c r="Z1063" s="117">
        <f>P1063-W1063</f>
        <v>13845.02</v>
      </c>
      <c r="AA1063" s="119">
        <f>Z1063/P1063</f>
        <v>0.83929558680892336</v>
      </c>
      <c r="AB1063" s="120">
        <f t="shared" si="637"/>
        <v>2297.8200000000002</v>
      </c>
      <c r="AC1063" s="119">
        <f>IFERROR(AA1063-O1063,"")</f>
        <v>0.13929558680892329</v>
      </c>
      <c r="AD1063" s="110"/>
      <c r="AE1063" s="110"/>
      <c r="AF1063" s="110"/>
      <c r="AG1063" s="121"/>
      <c r="AH1063" s="110"/>
    </row>
    <row r="1064" spans="1:34" s="53" customFormat="1" ht="11.25" customHeight="1" x14ac:dyDescent="0.15">
      <c r="A1064" s="53" t="s">
        <v>198</v>
      </c>
      <c r="C1064" s="54" t="s">
        <v>177</v>
      </c>
      <c r="D1064" s="54">
        <v>2023</v>
      </c>
      <c r="E1064" s="70">
        <v>45077</v>
      </c>
      <c r="F1064" s="54"/>
      <c r="G1064" s="54"/>
      <c r="H1064" s="54"/>
      <c r="I1064" s="54"/>
      <c r="J1064" s="54"/>
      <c r="K1064" s="106"/>
      <c r="L1064" s="97">
        <f>SUM(L1062:L1063)</f>
        <v>28891</v>
      </c>
      <c r="M1064" s="97">
        <f>SUM(M1062:M1063)</f>
        <v>8667.2999999999993</v>
      </c>
      <c r="N1064" s="97">
        <f>SUM(N1062:N1063)</f>
        <v>20223.7</v>
      </c>
      <c r="O1064" s="57">
        <f>IFERROR(N1064/L1064,"")</f>
        <v>0.70000000000000007</v>
      </c>
      <c r="P1064" s="24">
        <f>SUM(P1062:P1063)</f>
        <v>28891</v>
      </c>
      <c r="Q1064" s="24"/>
      <c r="R1064" s="24">
        <f t="shared" ref="R1064:W1064" si="638">SUM(R1062:R1063)</f>
        <v>28</v>
      </c>
      <c r="S1064" s="24">
        <f t="shared" si="638"/>
        <v>1256.6400000000001</v>
      </c>
      <c r="T1064" s="24">
        <f t="shared" si="638"/>
        <v>1519.4</v>
      </c>
      <c r="U1064" s="24">
        <f t="shared" si="638"/>
        <v>1084.9499999999998</v>
      </c>
      <c r="V1064" s="24">
        <f t="shared" si="638"/>
        <v>167.86</v>
      </c>
      <c r="W1064" s="24">
        <f t="shared" si="638"/>
        <v>4028.85</v>
      </c>
      <c r="X1064" s="114">
        <f>IFERROR(S1064/R1064,"")</f>
        <v>44.88</v>
      </c>
      <c r="Y1064" s="115">
        <f>IFERROR(U1064/P1064,0)</f>
        <v>3.7553217264892177E-2</v>
      </c>
      <c r="Z1064" s="28">
        <f>P1064-W1064</f>
        <v>24862.15</v>
      </c>
      <c r="AA1064" s="57">
        <f>Z1064/P1064</f>
        <v>0.8605499982693573</v>
      </c>
      <c r="AB1064" s="120">
        <f t="shared" si="637"/>
        <v>4638.4499999999989</v>
      </c>
      <c r="AC1064" s="119">
        <f>IFERROR(AA1064-O1064,"")</f>
        <v>0.16054999826935723</v>
      </c>
      <c r="AG1064" s="61"/>
    </row>
    <row r="1065" spans="1:34" ht="11.25" customHeight="1" x14ac:dyDescent="0.15">
      <c r="A1065" s="130"/>
      <c r="B1065" s="130"/>
      <c r="C1065" s="124"/>
      <c r="D1065" s="124"/>
      <c r="E1065" s="273"/>
      <c r="F1065" s="124"/>
      <c r="G1065" s="124"/>
      <c r="H1065" s="124"/>
      <c r="I1065" s="124"/>
      <c r="J1065" s="124"/>
      <c r="K1065" s="125"/>
      <c r="L1065" s="129"/>
      <c r="M1065" s="129"/>
      <c r="N1065" s="129"/>
      <c r="O1065" s="128"/>
      <c r="P1065" s="129"/>
      <c r="Q1065" s="124"/>
      <c r="R1065" s="129"/>
      <c r="S1065" s="129"/>
      <c r="T1065" s="129"/>
      <c r="U1065" s="129"/>
      <c r="V1065" s="126"/>
      <c r="W1065" s="49"/>
      <c r="X1065" s="45"/>
      <c r="Y1065" s="128"/>
      <c r="Z1065" s="126"/>
      <c r="AA1065" s="128"/>
      <c r="AB1065" s="129"/>
      <c r="AC1065" s="160"/>
      <c r="AD1065" s="137"/>
      <c r="AE1065" s="110"/>
      <c r="AF1065" s="110"/>
      <c r="AG1065" s="121"/>
      <c r="AH1065" s="110"/>
    </row>
    <row r="1066" spans="1:34" ht="11.25" customHeight="1" x14ac:dyDescent="0.15">
      <c r="A1066" s="110" t="s">
        <v>264</v>
      </c>
      <c r="B1066" s="110"/>
      <c r="C1066" s="111" t="s">
        <v>175</v>
      </c>
      <c r="D1066" s="111">
        <v>2023</v>
      </c>
      <c r="E1066" s="146">
        <v>45077</v>
      </c>
      <c r="F1066" s="111"/>
      <c r="G1066" s="111">
        <v>81100011</v>
      </c>
      <c r="H1066" s="111">
        <v>4101</v>
      </c>
      <c r="I1066" s="111" t="str">
        <f>MID(G1066,2,1)</f>
        <v>1</v>
      </c>
      <c r="J1066" s="111" t="str">
        <f>IF(I1066="1","Small/Medium","Large")</f>
        <v>Small/Medium</v>
      </c>
      <c r="K1066" s="147" t="s">
        <v>145</v>
      </c>
      <c r="L1066" s="120">
        <f>P1066</f>
        <v>9671</v>
      </c>
      <c r="M1066" s="120">
        <f>L1066*0.3</f>
        <v>2901.2999999999997</v>
      </c>
      <c r="N1066" s="120">
        <f>L1066-M1066</f>
        <v>6769.7000000000007</v>
      </c>
      <c r="O1066" s="119">
        <f>IFERROR(N1066/L1066,"")</f>
        <v>0.70000000000000007</v>
      </c>
      <c r="P1066" s="52">
        <v>9671</v>
      </c>
      <c r="Q1066" s="276">
        <v>1544</v>
      </c>
      <c r="R1066" s="52">
        <v>22.5</v>
      </c>
      <c r="S1066" s="52">
        <v>1009.8</v>
      </c>
      <c r="T1066" s="52">
        <v>1593.5</v>
      </c>
      <c r="U1066" s="52">
        <v>418.07</v>
      </c>
      <c r="V1066" s="52"/>
      <c r="W1066" s="26">
        <f>SUM(S1066:V1066)</f>
        <v>3021.3700000000003</v>
      </c>
      <c r="X1066" s="149">
        <f>IFERROR(S1066/R1066,"")</f>
        <v>44.879999999999995</v>
      </c>
      <c r="Y1066" s="150">
        <f>IFERROR(U1066/P1066,0)</f>
        <v>4.3229242063902384E-2</v>
      </c>
      <c r="Z1066" s="131">
        <f>P1066-W1066</f>
        <v>6649.6299999999992</v>
      </c>
      <c r="AA1066" s="150">
        <f>IFERROR(Z1066/P1066,"")</f>
        <v>0.6875845310722779</v>
      </c>
      <c r="AB1066" s="120">
        <f t="shared" ref="AB1066:AB1067" si="639">M1066-W1066</f>
        <v>-120.07000000000062</v>
      </c>
      <c r="AC1066" s="119">
        <f>IFERROR(AA1066-O1066,"")</f>
        <v>-1.2415468927722162E-2</v>
      </c>
      <c r="AD1066" s="110"/>
      <c r="AE1066" s="110"/>
      <c r="AF1066" s="110"/>
      <c r="AG1066" s="121"/>
      <c r="AH1066" s="110"/>
    </row>
    <row r="1067" spans="1:34" s="53" customFormat="1" ht="11.25" customHeight="1" x14ac:dyDescent="0.15">
      <c r="A1067" s="53" t="s">
        <v>264</v>
      </c>
      <c r="C1067" s="54" t="s">
        <v>177</v>
      </c>
      <c r="D1067" s="54">
        <v>2023</v>
      </c>
      <c r="E1067" s="70">
        <v>45077</v>
      </c>
      <c r="F1067" s="54"/>
      <c r="G1067" s="54"/>
      <c r="H1067" s="54"/>
      <c r="I1067" s="54"/>
      <c r="J1067" s="54"/>
      <c r="K1067" s="106"/>
      <c r="L1067" s="97">
        <f>SUM(L1065:L1066)</f>
        <v>9671</v>
      </c>
      <c r="M1067" s="97">
        <f>SUM(M1065:M1066)</f>
        <v>2901.2999999999997</v>
      </c>
      <c r="N1067" s="97">
        <f>SUM(N1065:N1066)</f>
        <v>6769.7000000000007</v>
      </c>
      <c r="O1067" s="57">
        <f>IFERROR(N1067/L1067,"")</f>
        <v>0.70000000000000007</v>
      </c>
      <c r="P1067" s="24">
        <f>SUM(P1066)</f>
        <v>9671</v>
      </c>
      <c r="Q1067" s="24"/>
      <c r="R1067" s="24">
        <f>SUM(R1066)</f>
        <v>22.5</v>
      </c>
      <c r="S1067" s="24">
        <f>SUM(S1066)</f>
        <v>1009.8</v>
      </c>
      <c r="T1067" s="24">
        <f>SUM(T1066)</f>
        <v>1593.5</v>
      </c>
      <c r="U1067" s="24">
        <f>SUM(U1066)</f>
        <v>418.07</v>
      </c>
      <c r="V1067" s="24">
        <f>SUM(V1066)</f>
        <v>0</v>
      </c>
      <c r="W1067" s="24">
        <f>SUM(W1065:W1066)</f>
        <v>3021.3700000000003</v>
      </c>
      <c r="X1067" s="114">
        <f>IFERROR(S1067/R1067,"")</f>
        <v>44.879999999999995</v>
      </c>
      <c r="Y1067" s="115">
        <f>IFERROR(U1067/P1067,0)</f>
        <v>4.3229242063902384E-2</v>
      </c>
      <c r="Z1067" s="116">
        <f>P1067-W1067</f>
        <v>6649.6299999999992</v>
      </c>
      <c r="AA1067" s="115">
        <f>IFERROR(Z1067/P1067,"")</f>
        <v>0.6875845310722779</v>
      </c>
      <c r="AB1067" s="120">
        <f t="shared" si="639"/>
        <v>-120.07000000000062</v>
      </c>
      <c r="AC1067" s="57">
        <f>IFERROR(AA1067-O1067,"")</f>
        <v>-1.2415468927722162E-2</v>
      </c>
      <c r="AG1067" s="61"/>
    </row>
    <row r="1068" spans="1:34" ht="11.25" customHeight="1" x14ac:dyDescent="0.15">
      <c r="A1068" s="130"/>
      <c r="B1068" s="130"/>
      <c r="C1068" s="124"/>
      <c r="D1068" s="124"/>
      <c r="E1068" s="273"/>
      <c r="F1068" s="124"/>
      <c r="G1068" s="124"/>
      <c r="H1068" s="124"/>
      <c r="I1068" s="124"/>
      <c r="J1068" s="124"/>
      <c r="K1068" s="125"/>
      <c r="L1068" s="220"/>
      <c r="M1068" s="220"/>
      <c r="N1068" s="220"/>
      <c r="O1068" s="128"/>
      <c r="P1068" s="220"/>
      <c r="Q1068" s="124"/>
      <c r="R1068" s="220"/>
      <c r="S1068" s="220"/>
      <c r="T1068" s="220"/>
      <c r="U1068" s="220"/>
      <c r="V1068" s="225"/>
      <c r="W1068" s="230"/>
      <c r="X1068" s="45"/>
      <c r="Y1068" s="128"/>
      <c r="Z1068" s="126"/>
      <c r="AA1068" s="128"/>
      <c r="AB1068" s="129"/>
      <c r="AC1068" s="160"/>
      <c r="AD1068" s="137"/>
      <c r="AE1068" s="110"/>
      <c r="AF1068" s="110"/>
      <c r="AG1068" s="121"/>
      <c r="AH1068" s="110"/>
    </row>
    <row r="1069" spans="1:34" ht="11.25" customHeight="1" x14ac:dyDescent="0.15">
      <c r="A1069" s="110" t="s">
        <v>194</v>
      </c>
      <c r="B1069" s="110"/>
      <c r="C1069" s="111" t="s">
        <v>175</v>
      </c>
      <c r="D1069" s="111">
        <v>2023</v>
      </c>
      <c r="E1069" s="146">
        <v>45077</v>
      </c>
      <c r="F1069" s="111"/>
      <c r="G1069" s="111">
        <v>81100211</v>
      </c>
      <c r="H1069" s="111">
        <v>4101</v>
      </c>
      <c r="I1069" s="111" t="str">
        <f>MID(G1069,2,1)</f>
        <v>1</v>
      </c>
      <c r="J1069" s="111" t="str">
        <f>IF(I1069="1","Small/Medium","Large")</f>
        <v>Small/Medium</v>
      </c>
      <c r="K1069" s="147" t="s">
        <v>145</v>
      </c>
      <c r="L1069" s="219">
        <v>7665.4333333333334</v>
      </c>
      <c r="M1069" s="219">
        <f>L1069*0.3</f>
        <v>2299.63</v>
      </c>
      <c r="N1069" s="219">
        <f>L1069-M1069</f>
        <v>5365.8033333333333</v>
      </c>
      <c r="O1069" s="119">
        <f>IFERROR(N1069/L1069,"")</f>
        <v>0.7</v>
      </c>
      <c r="P1069" s="154">
        <v>7665.4333333333334</v>
      </c>
      <c r="Q1069" s="111">
        <v>1581</v>
      </c>
      <c r="R1069" s="132">
        <v>16</v>
      </c>
      <c r="S1069" s="132">
        <v>718.08</v>
      </c>
      <c r="T1069" s="132">
        <v>920.33</v>
      </c>
      <c r="U1069" s="132">
        <v>184.8</v>
      </c>
      <c r="V1069" s="132"/>
      <c r="W1069" s="277">
        <f>SUM(S1069:V1069)</f>
        <v>1823.21</v>
      </c>
      <c r="X1069" s="118">
        <f>IFERROR(S1069/R1069,"")</f>
        <v>44.88</v>
      </c>
      <c r="Y1069" s="119">
        <f>U1069/P1069</f>
        <v>2.4108226105938782E-2</v>
      </c>
      <c r="Z1069" s="117">
        <f>P1069-W1069</f>
        <v>5842.2233333333334</v>
      </c>
      <c r="AA1069" s="119">
        <f>Z1069/P1069</f>
        <v>0.76215173745341647</v>
      </c>
      <c r="AB1069" s="120">
        <f t="shared" ref="AB1069:AB1071" si="640">M1069-W1069</f>
        <v>476.42000000000007</v>
      </c>
      <c r="AC1069" s="119">
        <f>IFERROR(AA1069-O1069,"")</f>
        <v>6.2151737453416511E-2</v>
      </c>
      <c r="AD1069" s="110"/>
      <c r="AE1069" s="110"/>
      <c r="AF1069" s="110"/>
      <c r="AG1069" s="121"/>
      <c r="AH1069" s="110"/>
    </row>
    <row r="1070" spans="1:34" ht="11.25" customHeight="1" x14ac:dyDescent="0.15">
      <c r="A1070" s="110" t="s">
        <v>194</v>
      </c>
      <c r="B1070" s="110"/>
      <c r="C1070" s="111" t="s">
        <v>175</v>
      </c>
      <c r="D1070" s="111">
        <v>2023</v>
      </c>
      <c r="E1070" s="146">
        <v>45077</v>
      </c>
      <c r="F1070" s="111"/>
      <c r="G1070" s="111">
        <v>82100211</v>
      </c>
      <c r="H1070" s="111">
        <v>4101</v>
      </c>
      <c r="I1070" s="111" t="str">
        <f>MID(G1070,2,1)</f>
        <v>2</v>
      </c>
      <c r="J1070" s="111" t="str">
        <f>IF(I1070="1","Small/Medium","Large")</f>
        <v>Large</v>
      </c>
      <c r="K1070" s="147" t="s">
        <v>176</v>
      </c>
      <c r="L1070" s="120">
        <v>14204.566666666666</v>
      </c>
      <c r="M1070" s="120">
        <f>L1070*0.3</f>
        <v>4261.37</v>
      </c>
      <c r="N1070" s="120">
        <f>L1070-M1070</f>
        <v>9943.1966666666667</v>
      </c>
      <c r="O1070" s="119">
        <f>IFERROR(N1070/L1070,"")</f>
        <v>0.70000000000000007</v>
      </c>
      <c r="P1070" s="131">
        <v>14204.566666666666</v>
      </c>
      <c r="Q1070" s="111">
        <v>1582</v>
      </c>
      <c r="R1070" s="117">
        <v>24</v>
      </c>
      <c r="S1070" s="117">
        <v>1077.1199999999999</v>
      </c>
      <c r="T1070" s="117">
        <v>1709.17</v>
      </c>
      <c r="U1070" s="117">
        <v>343.19</v>
      </c>
      <c r="V1070" s="117"/>
      <c r="W1070" s="214">
        <f>SUM(S1070:V1070)</f>
        <v>3129.48</v>
      </c>
      <c r="X1070" s="118">
        <f>IFERROR(S1070/R1070,"")</f>
        <v>44.879999999999995</v>
      </c>
      <c r="Y1070" s="119">
        <f>U1070/P1070</f>
        <v>2.4160539920260387E-2</v>
      </c>
      <c r="Z1070" s="117">
        <f>P1070-W1070</f>
        <v>11075.086666666666</v>
      </c>
      <c r="AA1070" s="119">
        <f>Z1070/P1070</f>
        <v>0.77968493700382746</v>
      </c>
      <c r="AB1070" s="120">
        <f t="shared" si="640"/>
        <v>1131.8899999999999</v>
      </c>
      <c r="AC1070" s="119">
        <f>IFERROR(AA1070-O1070,"")</f>
        <v>7.9684937003827394E-2</v>
      </c>
      <c r="AD1070" s="110"/>
      <c r="AE1070" s="110"/>
      <c r="AF1070" s="110"/>
      <c r="AG1070" s="121"/>
      <c r="AH1070" s="110"/>
    </row>
    <row r="1071" spans="1:34" s="53" customFormat="1" ht="11.25" customHeight="1" x14ac:dyDescent="0.15">
      <c r="A1071" s="53" t="s">
        <v>194</v>
      </c>
      <c r="C1071" s="54" t="s">
        <v>177</v>
      </c>
      <c r="D1071" s="54">
        <v>2023</v>
      </c>
      <c r="E1071" s="70">
        <v>45077</v>
      </c>
      <c r="F1071" s="54"/>
      <c r="G1071" s="54"/>
      <c r="H1071" s="54"/>
      <c r="I1071" s="54"/>
      <c r="J1071" s="54"/>
      <c r="K1071" s="106"/>
      <c r="L1071" s="97">
        <f>SUM(L1069:L1070)</f>
        <v>21870</v>
      </c>
      <c r="M1071" s="97">
        <f>SUM(M1069:M1070)</f>
        <v>6561</v>
      </c>
      <c r="N1071" s="97">
        <f>SUM(N1069:N1070)</f>
        <v>15309</v>
      </c>
      <c r="O1071" s="57">
        <f>IFERROR(N1071/L1071,"")</f>
        <v>0.7</v>
      </c>
      <c r="P1071" s="24">
        <f>SUM(P1069:P1070)</f>
        <v>21870</v>
      </c>
      <c r="Q1071" s="24"/>
      <c r="R1071" s="24">
        <f t="shared" ref="R1071:W1071" si="641">SUM(R1069:R1070)</f>
        <v>40</v>
      </c>
      <c r="S1071" s="24">
        <f t="shared" si="641"/>
        <v>1795.1999999999998</v>
      </c>
      <c r="T1071" s="24">
        <f t="shared" si="641"/>
        <v>2629.5</v>
      </c>
      <c r="U1071" s="24">
        <f t="shared" si="641"/>
        <v>527.99</v>
      </c>
      <c r="V1071" s="24">
        <f t="shared" si="641"/>
        <v>0</v>
      </c>
      <c r="W1071" s="24">
        <f t="shared" si="641"/>
        <v>4952.6900000000005</v>
      </c>
      <c r="X1071" s="114">
        <f>IFERROR(S1071/R1071,"")</f>
        <v>44.879999999999995</v>
      </c>
      <c r="Y1071" s="115">
        <f>IFERROR(U1071/P1071,0)</f>
        <v>2.414220393232739E-2</v>
      </c>
      <c r="Z1071" s="28">
        <f>P1071-W1071</f>
        <v>16917.309999999998</v>
      </c>
      <c r="AA1071" s="57">
        <f>Z1071/P1071</f>
        <v>0.77353955189757651</v>
      </c>
      <c r="AB1071" s="120">
        <f t="shared" si="640"/>
        <v>1608.3099999999995</v>
      </c>
      <c r="AC1071" s="119">
        <f>IFERROR(AA1071-O1071,"")</f>
        <v>7.3539551897576549E-2</v>
      </c>
      <c r="AG1071" s="61"/>
    </row>
    <row r="1072" spans="1:34" ht="11.25" customHeight="1" x14ac:dyDescent="0.15">
      <c r="A1072" s="130"/>
      <c r="B1072" s="130"/>
      <c r="C1072" s="124"/>
      <c r="D1072" s="124"/>
      <c r="E1072" s="273"/>
      <c r="F1072" s="124"/>
      <c r="G1072" s="124"/>
      <c r="H1072" s="124"/>
      <c r="I1072" s="124"/>
      <c r="J1072" s="124"/>
      <c r="K1072" s="125"/>
      <c r="L1072" s="129"/>
      <c r="M1072" s="129"/>
      <c r="N1072" s="129"/>
      <c r="O1072" s="128"/>
      <c r="P1072" s="129"/>
      <c r="Q1072" s="124"/>
      <c r="R1072" s="129"/>
      <c r="S1072" s="129"/>
      <c r="T1072" s="129"/>
      <c r="U1072" s="129"/>
      <c r="V1072" s="126"/>
      <c r="W1072" s="49"/>
      <c r="X1072" s="45"/>
      <c r="Y1072" s="128"/>
      <c r="Z1072" s="126"/>
      <c r="AA1072" s="128"/>
      <c r="AB1072" s="129"/>
      <c r="AC1072" s="160"/>
      <c r="AD1072" s="137"/>
      <c r="AE1072" s="110"/>
      <c r="AF1072" s="110"/>
      <c r="AG1072" s="121"/>
      <c r="AH1072" s="110"/>
    </row>
    <row r="1073" spans="1:34" ht="11.25" customHeight="1" x14ac:dyDescent="0.15">
      <c r="A1073" s="110" t="s">
        <v>194</v>
      </c>
      <c r="B1073" s="110"/>
      <c r="C1073" s="111" t="s">
        <v>201</v>
      </c>
      <c r="D1073" s="111">
        <v>2023</v>
      </c>
      <c r="E1073" s="146">
        <v>45077</v>
      </c>
      <c r="F1073" s="111"/>
      <c r="G1073" s="111" t="s">
        <v>202</v>
      </c>
      <c r="H1073" s="111"/>
      <c r="I1073" s="111"/>
      <c r="J1073" s="111"/>
      <c r="K1073" s="112" t="s">
        <v>569</v>
      </c>
      <c r="L1073" s="219">
        <v>0</v>
      </c>
      <c r="M1073" s="219">
        <v>0</v>
      </c>
      <c r="N1073" s="219">
        <v>0</v>
      </c>
      <c r="O1073" s="119" t="str">
        <f>IFERROR(N1073/L1073,"")</f>
        <v/>
      </c>
      <c r="P1073" s="223">
        <v>0</v>
      </c>
      <c r="Q1073" s="111"/>
      <c r="R1073" s="132">
        <v>24</v>
      </c>
      <c r="S1073" s="132">
        <v>1101.8399999999999</v>
      </c>
      <c r="T1073" s="132">
        <v>1649.2</v>
      </c>
      <c r="U1073" s="132"/>
      <c r="V1073" s="132"/>
      <c r="W1073" s="231">
        <f>SUM(S1073:V1073)</f>
        <v>2751.04</v>
      </c>
      <c r="X1073" s="149">
        <f>IFERROR(S1073/R1073,"")</f>
        <v>45.91</v>
      </c>
      <c r="Y1073" s="150">
        <f>IFERROR(U1073/P1073,0)</f>
        <v>0</v>
      </c>
      <c r="Z1073" s="131">
        <f>P1073-W1073</f>
        <v>-2751.04</v>
      </c>
      <c r="AA1073" s="150" t="str">
        <f>IFERROR(Z1073/P1073,"")</f>
        <v/>
      </c>
      <c r="AB1073" s="120">
        <f t="shared" ref="AB1073:AB1074" si="642">M1073-W1073</f>
        <v>-2751.04</v>
      </c>
      <c r="AC1073" s="119" t="str">
        <f>IFERROR(AA1073-O1073,"")</f>
        <v/>
      </c>
      <c r="AD1073" s="110"/>
      <c r="AE1073" s="110"/>
      <c r="AF1073" s="110"/>
      <c r="AG1073" s="121"/>
      <c r="AH1073" s="110"/>
    </row>
    <row r="1074" spans="1:34" s="53" customFormat="1" ht="11.25" customHeight="1" x14ac:dyDescent="0.15">
      <c r="A1074" s="53" t="s">
        <v>194</v>
      </c>
      <c r="C1074" s="54" t="s">
        <v>177</v>
      </c>
      <c r="D1074" s="54">
        <v>2023</v>
      </c>
      <c r="E1074" s="70">
        <v>45077</v>
      </c>
      <c r="F1074" s="54"/>
      <c r="G1074" s="54"/>
      <c r="H1074" s="54"/>
      <c r="I1074" s="54"/>
      <c r="J1074" s="54"/>
      <c r="K1074" s="106"/>
      <c r="L1074" s="97">
        <f>SUM(L1073)</f>
        <v>0</v>
      </c>
      <c r="M1074" s="97">
        <f>SUM(M1073)</f>
        <v>0</v>
      </c>
      <c r="N1074" s="97">
        <f>SUM(N1073)</f>
        <v>0</v>
      </c>
      <c r="O1074" s="57" t="str">
        <f>IFERROR(N1074/L1074,"")</f>
        <v/>
      </c>
      <c r="P1074" s="24">
        <f>SUM(P1073)</f>
        <v>0</v>
      </c>
      <c r="Q1074" s="24"/>
      <c r="R1074" s="24">
        <f>SUM(R1073)</f>
        <v>24</v>
      </c>
      <c r="S1074" s="24">
        <f>SUM(S1073)</f>
        <v>1101.8399999999999</v>
      </c>
      <c r="T1074" s="24">
        <f>SUM(T1073)</f>
        <v>1649.2</v>
      </c>
      <c r="U1074" s="24">
        <f>SUM(U1073)</f>
        <v>0</v>
      </c>
      <c r="V1074" s="24">
        <f>SUM(V1073)</f>
        <v>0</v>
      </c>
      <c r="W1074" s="24">
        <f>SUM(W1072:W1073)</f>
        <v>2751.04</v>
      </c>
      <c r="X1074" s="114">
        <f>IFERROR(S1074/R1074,"")</f>
        <v>45.91</v>
      </c>
      <c r="Y1074" s="115">
        <f>IFERROR(U1074/P1074,0)</f>
        <v>0</v>
      </c>
      <c r="Z1074" s="116">
        <f>P1074-W1074</f>
        <v>-2751.04</v>
      </c>
      <c r="AA1074" s="115" t="str">
        <f>IFERROR(Z1074/P1074,"")</f>
        <v/>
      </c>
      <c r="AB1074" s="120">
        <f t="shared" si="642"/>
        <v>-2751.04</v>
      </c>
      <c r="AC1074" s="57" t="str">
        <f>IFERROR(AA1074-O1074,"")</f>
        <v/>
      </c>
      <c r="AG1074" s="61"/>
    </row>
    <row r="1075" spans="1:34" ht="11.25" customHeight="1" x14ac:dyDescent="0.15">
      <c r="A1075" s="130"/>
      <c r="B1075" s="130"/>
      <c r="C1075" s="124"/>
      <c r="D1075" s="124"/>
      <c r="E1075" s="273"/>
      <c r="F1075" s="124"/>
      <c r="G1075" s="124"/>
      <c r="H1075" s="124"/>
      <c r="I1075" s="124"/>
      <c r="J1075" s="124"/>
      <c r="K1075" s="125"/>
      <c r="L1075" s="129"/>
      <c r="M1075" s="129"/>
      <c r="N1075" s="129"/>
      <c r="O1075" s="128"/>
      <c r="P1075" s="129"/>
      <c r="Q1075" s="124"/>
      <c r="R1075" s="129"/>
      <c r="S1075" s="129"/>
      <c r="T1075" s="129"/>
      <c r="U1075" s="129"/>
      <c r="V1075" s="126"/>
      <c r="W1075" s="49"/>
      <c r="X1075" s="45"/>
      <c r="Y1075" s="128"/>
      <c r="Z1075" s="126"/>
      <c r="AA1075" s="128"/>
      <c r="AB1075" s="129"/>
      <c r="AC1075" s="160"/>
      <c r="AD1075" s="137"/>
      <c r="AE1075" s="110"/>
      <c r="AF1075" s="110"/>
      <c r="AG1075" s="121"/>
      <c r="AH1075" s="110"/>
    </row>
    <row r="1076" spans="1:34" ht="11.25" customHeight="1" x14ac:dyDescent="0.15">
      <c r="A1076" s="110" t="s">
        <v>308</v>
      </c>
      <c r="B1076" s="110"/>
      <c r="C1076" s="111" t="s">
        <v>175</v>
      </c>
      <c r="D1076" s="111">
        <v>2023</v>
      </c>
      <c r="E1076" s="146">
        <v>45077</v>
      </c>
      <c r="F1076" s="111"/>
      <c r="G1076" s="111">
        <v>81100311</v>
      </c>
      <c r="H1076" s="111">
        <v>4101</v>
      </c>
      <c r="I1076" s="111" t="str">
        <f>MID(G1076,2,1)</f>
        <v>1</v>
      </c>
      <c r="J1076" s="111" t="str">
        <f>IF(I1076="1","Small/Medium","Large")</f>
        <v>Small/Medium</v>
      </c>
      <c r="K1076" s="147" t="s">
        <v>145</v>
      </c>
      <c r="L1076" s="117">
        <v>22177.399999999998</v>
      </c>
      <c r="M1076" s="120">
        <f>L1076*0.3</f>
        <v>6653.2199999999993</v>
      </c>
      <c r="N1076" s="120">
        <f>L1076-M1076</f>
        <v>15524.179999999998</v>
      </c>
      <c r="O1076" s="119">
        <f>IFERROR(N1076/L1076,"")</f>
        <v>0.7</v>
      </c>
      <c r="P1076" s="117">
        <v>22177.399999999998</v>
      </c>
      <c r="Q1076" s="111">
        <v>1570</v>
      </c>
      <c r="R1076" s="117">
        <v>42</v>
      </c>
      <c r="S1076" s="117">
        <v>1884.96</v>
      </c>
      <c r="T1076" s="117">
        <v>905.87</v>
      </c>
      <c r="U1076" s="117">
        <v>180.93</v>
      </c>
      <c r="V1076" s="117"/>
      <c r="W1076" s="278">
        <f>SUM(S1076:V1076)</f>
        <v>2971.7599999999998</v>
      </c>
      <c r="X1076" s="149">
        <f>IFERROR(S1076/R1076,"")</f>
        <v>44.88</v>
      </c>
      <c r="Y1076" s="119">
        <f>U1076/P1076</f>
        <v>8.1583053017937196E-3</v>
      </c>
      <c r="Z1076" s="117">
        <f>P1076-W1076</f>
        <v>19205.64</v>
      </c>
      <c r="AA1076" s="119">
        <f>Z1076/P1076</f>
        <v>0.86600052305500197</v>
      </c>
      <c r="AB1076" s="120">
        <f t="shared" ref="AB1076:AB1078" si="643">M1076-W1076</f>
        <v>3681.4599999999996</v>
      </c>
      <c r="AC1076" s="119">
        <f>IFERROR(AA1076-O1076,"")</f>
        <v>0.16600052305500201</v>
      </c>
      <c r="AD1076" s="110"/>
      <c r="AE1076" s="110"/>
      <c r="AF1076" s="110"/>
      <c r="AG1076" s="121"/>
      <c r="AH1076" s="110"/>
    </row>
    <row r="1077" spans="1:34" ht="11.25" customHeight="1" x14ac:dyDescent="0.15">
      <c r="A1077" s="110" t="s">
        <v>308</v>
      </c>
      <c r="B1077" s="110"/>
      <c r="C1077" s="111" t="s">
        <v>175</v>
      </c>
      <c r="D1077" s="111">
        <v>2023</v>
      </c>
      <c r="E1077" s="146">
        <v>45077</v>
      </c>
      <c r="F1077" s="111"/>
      <c r="G1077" s="111">
        <v>82100311</v>
      </c>
      <c r="H1077" s="111">
        <v>4101</v>
      </c>
      <c r="I1077" s="111" t="str">
        <f>MID(G1077,2,1)</f>
        <v>2</v>
      </c>
      <c r="J1077" s="111" t="str">
        <f>IF(I1077="1","Small/Medium","Large")</f>
        <v>Large</v>
      </c>
      <c r="K1077" s="147" t="s">
        <v>176</v>
      </c>
      <c r="L1077" s="117">
        <v>41186.600000000006</v>
      </c>
      <c r="M1077" s="120">
        <f>L1077*0.3</f>
        <v>12355.980000000001</v>
      </c>
      <c r="N1077" s="120">
        <f>L1077-M1077</f>
        <v>28830.620000000003</v>
      </c>
      <c r="O1077" s="119">
        <f>IFERROR(N1077/L1077,"")</f>
        <v>0.7</v>
      </c>
      <c r="P1077" s="117">
        <v>41186.600000000006</v>
      </c>
      <c r="Q1077" s="111">
        <v>1571</v>
      </c>
      <c r="R1077" s="117">
        <v>13</v>
      </c>
      <c r="S1077" s="117">
        <v>583.44000000000005</v>
      </c>
      <c r="T1077" s="117">
        <v>1682.34</v>
      </c>
      <c r="U1077" s="117">
        <v>336.02</v>
      </c>
      <c r="V1077" s="117"/>
      <c r="W1077" s="214">
        <f>SUM(S1077:V1077)</f>
        <v>2601.7999999999997</v>
      </c>
      <c r="X1077" s="149">
        <f>IFERROR(S1077/R1077,"")</f>
        <v>44.88</v>
      </c>
      <c r="Y1077" s="119">
        <f>U1077/P1077</f>
        <v>8.1584787285184975E-3</v>
      </c>
      <c r="Z1077" s="117">
        <f>P1077-W1077</f>
        <v>38584.800000000003</v>
      </c>
      <c r="AA1077" s="119">
        <f>Z1077/P1077</f>
        <v>0.93682896864514176</v>
      </c>
      <c r="AB1077" s="120">
        <f t="shared" si="643"/>
        <v>9754.1800000000021</v>
      </c>
      <c r="AC1077" s="119">
        <f>IFERROR(AA1077-O1077,"")</f>
        <v>0.2368289686451418</v>
      </c>
      <c r="AD1077" s="110"/>
      <c r="AE1077" s="110"/>
      <c r="AF1077" s="110"/>
      <c r="AG1077" s="121"/>
      <c r="AH1077" s="110"/>
    </row>
    <row r="1078" spans="1:34" s="53" customFormat="1" ht="11.25" customHeight="1" x14ac:dyDescent="0.15">
      <c r="A1078" s="53" t="s">
        <v>308</v>
      </c>
      <c r="C1078" s="54" t="s">
        <v>177</v>
      </c>
      <c r="D1078" s="54">
        <v>2023</v>
      </c>
      <c r="E1078" s="70">
        <v>45077</v>
      </c>
      <c r="F1078" s="54"/>
      <c r="G1078" s="54"/>
      <c r="H1078" s="54"/>
      <c r="I1078" s="54"/>
      <c r="J1078" s="54"/>
      <c r="K1078" s="106"/>
      <c r="L1078" s="97">
        <f>SUM(L1076:L1077)</f>
        <v>63364</v>
      </c>
      <c r="M1078" s="97">
        <f>SUM(M1076:M1077)</f>
        <v>19009.2</v>
      </c>
      <c r="N1078" s="97">
        <f>SUM(N1076:N1077)</f>
        <v>44354.8</v>
      </c>
      <c r="O1078" s="57">
        <f>IFERROR(N1078/L1078,"")</f>
        <v>0.70000000000000007</v>
      </c>
      <c r="P1078" s="24">
        <f>SUM(P1076:P1077)</f>
        <v>63364</v>
      </c>
      <c r="Q1078" s="24"/>
      <c r="R1078" s="24">
        <f t="shared" ref="R1078:W1078" si="644">SUM(R1076:R1077)</f>
        <v>55</v>
      </c>
      <c r="S1078" s="24">
        <f t="shared" si="644"/>
        <v>2468.4</v>
      </c>
      <c r="T1078" s="24">
        <f t="shared" si="644"/>
        <v>2588.21</v>
      </c>
      <c r="U1078" s="24">
        <f t="shared" si="644"/>
        <v>516.95000000000005</v>
      </c>
      <c r="V1078" s="24">
        <f t="shared" si="644"/>
        <v>0</v>
      </c>
      <c r="W1078" s="24">
        <f t="shared" si="644"/>
        <v>5573.5599999999995</v>
      </c>
      <c r="X1078" s="114">
        <f>IFERROR(S1078/R1078,"")</f>
        <v>44.88</v>
      </c>
      <c r="Y1078" s="115">
        <f>IFERROR(U1078/P1078,0)</f>
        <v>8.1584180291648257E-3</v>
      </c>
      <c r="Z1078" s="28">
        <f>P1078-W1078</f>
        <v>57790.44</v>
      </c>
      <c r="AA1078" s="57">
        <f>Z1078/P1078</f>
        <v>0.91203901268859289</v>
      </c>
      <c r="AB1078" s="120">
        <f t="shared" si="643"/>
        <v>13435.640000000001</v>
      </c>
      <c r="AC1078" s="119">
        <f>IFERROR(AA1078-O1078,"")</f>
        <v>0.21203901268859282</v>
      </c>
      <c r="AG1078" s="61"/>
    </row>
    <row r="1079" spans="1:34" ht="11.25" customHeight="1" x14ac:dyDescent="0.15">
      <c r="A1079" s="130"/>
      <c r="B1079" s="130"/>
      <c r="C1079" s="124"/>
      <c r="D1079" s="124"/>
      <c r="E1079" s="273"/>
      <c r="F1079" s="124"/>
      <c r="G1079" s="124"/>
      <c r="H1079" s="124"/>
      <c r="I1079" s="124"/>
      <c r="J1079" s="124"/>
      <c r="K1079" s="125"/>
      <c r="L1079" s="129"/>
      <c r="M1079" s="129"/>
      <c r="N1079" s="129"/>
      <c r="O1079" s="129"/>
      <c r="P1079" s="129"/>
      <c r="Q1079" s="124"/>
      <c r="R1079" s="129"/>
      <c r="S1079" s="129"/>
      <c r="T1079" s="129"/>
      <c r="U1079" s="129"/>
      <c r="V1079" s="126"/>
      <c r="W1079" s="49"/>
      <c r="X1079" s="45"/>
      <c r="Y1079" s="128"/>
      <c r="Z1079" s="126"/>
      <c r="AA1079" s="128"/>
      <c r="AB1079" s="129"/>
      <c r="AC1079" s="160"/>
      <c r="AD1079" s="137"/>
      <c r="AE1079" s="110"/>
      <c r="AF1079" s="110"/>
      <c r="AG1079" s="121"/>
      <c r="AH1079" s="110"/>
    </row>
    <row r="1080" spans="1:34" ht="11.25" customHeight="1" x14ac:dyDescent="0.15">
      <c r="A1080" s="110" t="s">
        <v>409</v>
      </c>
      <c r="B1080" s="110"/>
      <c r="C1080" s="111" t="s">
        <v>175</v>
      </c>
      <c r="D1080" s="111">
        <v>2023</v>
      </c>
      <c r="E1080" s="146">
        <v>45077</v>
      </c>
      <c r="F1080" s="111"/>
      <c r="G1080" s="111">
        <v>81100011</v>
      </c>
      <c r="H1080" s="111">
        <v>4101</v>
      </c>
      <c r="I1080" s="111" t="str">
        <f>MID(G1080,2,1)</f>
        <v>1</v>
      </c>
      <c r="J1080" s="111" t="str">
        <f>IF(I1080="1","Small/Medium","Large")</f>
        <v>Small/Medium</v>
      </c>
      <c r="K1080" s="147" t="s">
        <v>145</v>
      </c>
      <c r="L1080" s="120">
        <f>P1080</f>
        <v>9680</v>
      </c>
      <c r="M1080" s="120">
        <f>L1080*0.3</f>
        <v>2904</v>
      </c>
      <c r="N1080" s="120">
        <f>L1080-M1080</f>
        <v>6776</v>
      </c>
      <c r="O1080" s="119">
        <f>IFERROR(N1080/L1080,"")</f>
        <v>0.7</v>
      </c>
      <c r="P1080" s="131">
        <v>9680</v>
      </c>
      <c r="Q1080" s="111">
        <v>1564</v>
      </c>
      <c r="R1080" s="117">
        <v>23</v>
      </c>
      <c r="S1080" s="52">
        <v>1032.24</v>
      </c>
      <c r="T1080" s="52">
        <v>1561.67</v>
      </c>
      <c r="U1080" s="52">
        <v>475.09</v>
      </c>
      <c r="V1080" s="52"/>
      <c r="W1080" s="52">
        <f>SUM(S1080:V1080)</f>
        <v>3069</v>
      </c>
      <c r="X1080" s="149">
        <f>IFERROR(S1080/R1080,"")</f>
        <v>44.88</v>
      </c>
      <c r="Y1080" s="150">
        <f>IFERROR(U1080/P1080,0)</f>
        <v>4.9079545454545452E-2</v>
      </c>
      <c r="Z1080" s="131">
        <f>P1080-W1080</f>
        <v>6611</v>
      </c>
      <c r="AA1080" s="150">
        <f>IFERROR(Z1080/P1080,"")</f>
        <v>0.68295454545454548</v>
      </c>
      <c r="AB1080" s="120">
        <f t="shared" ref="AB1080:AB1081" si="645">M1080-W1080</f>
        <v>-165</v>
      </c>
      <c r="AC1080" s="119">
        <f>IFERROR(AA1080-O1080,"")</f>
        <v>-1.7045454545454475E-2</v>
      </c>
      <c r="AD1080" s="110"/>
      <c r="AE1080" s="110"/>
      <c r="AF1080" s="110"/>
      <c r="AG1080" s="121"/>
      <c r="AH1080" s="110"/>
    </row>
    <row r="1081" spans="1:34" s="53" customFormat="1" ht="11.25" customHeight="1" x14ac:dyDescent="0.15">
      <c r="A1081" s="53" t="s">
        <v>409</v>
      </c>
      <c r="C1081" s="54" t="s">
        <v>177</v>
      </c>
      <c r="D1081" s="54">
        <v>2023</v>
      </c>
      <c r="E1081" s="70">
        <v>45077</v>
      </c>
      <c r="F1081" s="54"/>
      <c r="G1081" s="54"/>
      <c r="H1081" s="54"/>
      <c r="I1081" s="54"/>
      <c r="J1081" s="54"/>
      <c r="K1081" s="106"/>
      <c r="L1081" s="97">
        <f>SUM(L1079:L1080)</f>
        <v>9680</v>
      </c>
      <c r="M1081" s="97">
        <f>SUM(M1079:M1080)</f>
        <v>2904</v>
      </c>
      <c r="N1081" s="97">
        <f>SUM(N1079:N1080)</f>
        <v>6776</v>
      </c>
      <c r="O1081" s="57">
        <f>IFERROR(N1081/L1081,"")</f>
        <v>0.7</v>
      </c>
      <c r="P1081" s="24">
        <f>SUM(P1080)</f>
        <v>9680</v>
      </c>
      <c r="Q1081" s="24"/>
      <c r="R1081" s="24">
        <f>SUM(R1080)</f>
        <v>23</v>
      </c>
      <c r="S1081" s="24">
        <f>SUM(S1080)</f>
        <v>1032.24</v>
      </c>
      <c r="T1081" s="24">
        <f>SUM(T1080)</f>
        <v>1561.67</v>
      </c>
      <c r="U1081" s="24">
        <f>SUM(U1080)</f>
        <v>475.09</v>
      </c>
      <c r="V1081" s="24">
        <f>SUM(V1080)</f>
        <v>0</v>
      </c>
      <c r="W1081" s="24">
        <f>SUM(W1079:W1080)</f>
        <v>3069</v>
      </c>
      <c r="X1081" s="114">
        <f>IFERROR(S1081/R1081,"")</f>
        <v>44.88</v>
      </c>
      <c r="Y1081" s="115">
        <f>IFERROR(U1081/P1081,0)</f>
        <v>4.9079545454545452E-2</v>
      </c>
      <c r="Z1081" s="116">
        <f>P1081-W1081</f>
        <v>6611</v>
      </c>
      <c r="AA1081" s="115">
        <f>IFERROR(Z1081/P1081,"")</f>
        <v>0.68295454545454548</v>
      </c>
      <c r="AB1081" s="120">
        <f t="shared" si="645"/>
        <v>-165</v>
      </c>
      <c r="AC1081" s="57">
        <f>IFERROR(AA1081-O1081,"")</f>
        <v>-1.7045454545454475E-2</v>
      </c>
      <c r="AG1081" s="61"/>
    </row>
    <row r="1082" spans="1:34" ht="11.25" customHeight="1" x14ac:dyDescent="0.15">
      <c r="A1082" s="130"/>
      <c r="B1082" s="130"/>
      <c r="C1082" s="124"/>
      <c r="D1082" s="124"/>
      <c r="E1082" s="273"/>
      <c r="F1082" s="124"/>
      <c r="G1082" s="124"/>
      <c r="H1082" s="124"/>
      <c r="I1082" s="124"/>
      <c r="J1082" s="124"/>
      <c r="K1082" s="125"/>
      <c r="L1082" s="220"/>
      <c r="M1082" s="220"/>
      <c r="N1082" s="220"/>
      <c r="O1082" s="128"/>
      <c r="P1082" s="220"/>
      <c r="Q1082" s="124"/>
      <c r="R1082" s="220"/>
      <c r="S1082" s="220"/>
      <c r="T1082" s="220"/>
      <c r="U1082" s="220"/>
      <c r="V1082" s="225"/>
      <c r="W1082" s="230"/>
      <c r="X1082" s="45"/>
      <c r="Y1082" s="128"/>
      <c r="Z1082" s="126"/>
      <c r="AA1082" s="128"/>
      <c r="AB1082" s="129"/>
      <c r="AC1082" s="160"/>
      <c r="AD1082" s="137"/>
      <c r="AE1082" s="110"/>
      <c r="AF1082" s="110"/>
      <c r="AG1082" s="121"/>
      <c r="AH1082" s="110"/>
    </row>
    <row r="1083" spans="1:34" ht="11.25" customHeight="1" x14ac:dyDescent="0.15">
      <c r="A1083" s="110" t="s">
        <v>296</v>
      </c>
      <c r="B1083" s="110"/>
      <c r="C1083" s="111" t="s">
        <v>175</v>
      </c>
      <c r="D1083" s="111">
        <v>2023</v>
      </c>
      <c r="E1083" s="146">
        <v>45077</v>
      </c>
      <c r="F1083" s="111"/>
      <c r="G1083" s="111">
        <v>81000311</v>
      </c>
      <c r="H1083" s="111">
        <v>4101</v>
      </c>
      <c r="I1083" s="111" t="str">
        <f>MID(G1083,2,1)</f>
        <v>1</v>
      </c>
      <c r="J1083" s="111" t="str">
        <f>IF(I1083="1","Small/Medium","Large")</f>
        <v>Small/Medium</v>
      </c>
      <c r="K1083" s="147" t="s">
        <v>145</v>
      </c>
      <c r="L1083" s="148">
        <f>P1083</f>
        <v>11240.63</v>
      </c>
      <c r="M1083" s="120">
        <f>L1083*0.3</f>
        <v>3372.1889999999999</v>
      </c>
      <c r="N1083" s="120">
        <f>L1083-M1083</f>
        <v>7868.4409999999989</v>
      </c>
      <c r="O1083" s="119">
        <f>IFERROR(N1083/L1083,"")</f>
        <v>0.7</v>
      </c>
      <c r="P1083" s="131">
        <v>11240.63</v>
      </c>
      <c r="Q1083" s="111">
        <v>1585</v>
      </c>
      <c r="R1083" s="117">
        <v>23.5</v>
      </c>
      <c r="S1083" s="117">
        <v>1054.68</v>
      </c>
      <c r="T1083" s="117">
        <v>1239.42</v>
      </c>
      <c r="U1083" s="117">
        <v>133.33000000000001</v>
      </c>
      <c r="V1083" s="117"/>
      <c r="W1083" s="214">
        <f>SUM(S1083:V1083)</f>
        <v>2427.4300000000003</v>
      </c>
      <c r="X1083" s="118">
        <f>IFERROR(S1083/R1083,"")</f>
        <v>44.88</v>
      </c>
      <c r="Y1083" s="119">
        <f>U1083/P1083</f>
        <v>1.1861434812817434E-2</v>
      </c>
      <c r="Z1083" s="117">
        <f>P1083-W1083</f>
        <v>8813.1999999999989</v>
      </c>
      <c r="AA1083" s="119">
        <f>Z1083/P1083</f>
        <v>0.78404858090694196</v>
      </c>
      <c r="AB1083" s="120">
        <f t="shared" ref="AB1083:AB1085" si="646">M1083-W1083</f>
        <v>944.75899999999956</v>
      </c>
      <c r="AC1083" s="119">
        <f>IFERROR(AA1083-O1083,"")</f>
        <v>8.4048580906942005E-2</v>
      </c>
      <c r="AD1083" s="110"/>
      <c r="AE1083" s="110"/>
      <c r="AF1083" s="110"/>
      <c r="AG1083" s="121"/>
      <c r="AH1083" s="110"/>
    </row>
    <row r="1084" spans="1:34" ht="11.25" customHeight="1" x14ac:dyDescent="0.15">
      <c r="A1084" s="110" t="s">
        <v>296</v>
      </c>
      <c r="B1084" s="110"/>
      <c r="C1084" s="111" t="s">
        <v>175</v>
      </c>
      <c r="D1084" s="111">
        <v>2023</v>
      </c>
      <c r="E1084" s="146">
        <v>45077</v>
      </c>
      <c r="F1084" s="111"/>
      <c r="G1084" s="111">
        <v>82000311</v>
      </c>
      <c r="H1084" s="111">
        <v>4101</v>
      </c>
      <c r="I1084" s="111" t="str">
        <f>MID(G1084,2,1)</f>
        <v>2</v>
      </c>
      <c r="J1084" s="111" t="str">
        <f>IF(I1084="1","Small/Medium","Large")</f>
        <v>Large</v>
      </c>
      <c r="K1084" s="147" t="s">
        <v>176</v>
      </c>
      <c r="L1084" s="148">
        <f>P1084</f>
        <v>20874.849999999999</v>
      </c>
      <c r="M1084" s="120">
        <f>L1084*0.3</f>
        <v>6262.454999999999</v>
      </c>
      <c r="N1084" s="120">
        <f>L1084-M1084</f>
        <v>14612.395</v>
      </c>
      <c r="O1084" s="119">
        <f>IFERROR(N1084/L1084,"")</f>
        <v>0.70000000000000007</v>
      </c>
      <c r="P1084" s="154">
        <v>20874.849999999999</v>
      </c>
      <c r="Q1084" s="111">
        <v>1586</v>
      </c>
      <c r="R1084" s="132">
        <v>40.5</v>
      </c>
      <c r="S1084" s="132">
        <v>1817.64</v>
      </c>
      <c r="T1084" s="132">
        <v>2301.79</v>
      </c>
      <c r="U1084" s="132">
        <v>1872.17</v>
      </c>
      <c r="V1084" s="117">
        <v>316.35000000000002</v>
      </c>
      <c r="W1084" s="234">
        <f>SUM(S1084:V1084)</f>
        <v>6307.9500000000007</v>
      </c>
      <c r="X1084" s="118">
        <f>IFERROR(S1084/R1084,"")</f>
        <v>44.88</v>
      </c>
      <c r="Y1084" s="119">
        <f>U1084/P1084</f>
        <v>8.9685434865400246E-2</v>
      </c>
      <c r="Z1084" s="117">
        <f>P1084-W1084</f>
        <v>14566.899999999998</v>
      </c>
      <c r="AA1084" s="119">
        <f>Z1084/P1084</f>
        <v>0.69782058314191475</v>
      </c>
      <c r="AB1084" s="120">
        <f t="shared" si="646"/>
        <v>-45.49500000000171</v>
      </c>
      <c r="AC1084" s="119">
        <f>IFERROR(AA1084-O1084,"")</f>
        <v>-2.1794168580853146E-3</v>
      </c>
      <c r="AD1084" s="110"/>
      <c r="AE1084" s="110"/>
      <c r="AF1084" s="110"/>
      <c r="AG1084" s="121"/>
      <c r="AH1084" s="110"/>
    </row>
    <row r="1085" spans="1:34" s="53" customFormat="1" ht="11.25" customHeight="1" x14ac:dyDescent="0.15">
      <c r="A1085" s="53" t="s">
        <v>296</v>
      </c>
      <c r="C1085" s="54" t="s">
        <v>177</v>
      </c>
      <c r="D1085" s="54">
        <v>2023</v>
      </c>
      <c r="E1085" s="70">
        <v>45077</v>
      </c>
      <c r="F1085" s="54"/>
      <c r="G1085" s="54"/>
      <c r="H1085" s="54"/>
      <c r="I1085" s="54"/>
      <c r="J1085" s="54"/>
      <c r="K1085" s="106"/>
      <c r="L1085" s="97">
        <f>SUM(L1083:L1084)</f>
        <v>32115.479999999996</v>
      </c>
      <c r="M1085" s="97">
        <f>SUM(M1083:M1084)</f>
        <v>9634.6439999999984</v>
      </c>
      <c r="N1085" s="97">
        <f>SUM(N1083:N1084)</f>
        <v>22480.835999999999</v>
      </c>
      <c r="O1085" s="57">
        <f>IFERROR(N1085/L1085,"")</f>
        <v>0.70000000000000007</v>
      </c>
      <c r="P1085" s="24">
        <f>SUM(P1083:P1084)</f>
        <v>32115.479999999996</v>
      </c>
      <c r="Q1085" s="24"/>
      <c r="R1085" s="24">
        <f t="shared" ref="R1085:W1085" si="647">SUM(R1083:R1084)</f>
        <v>64</v>
      </c>
      <c r="S1085" s="24">
        <f t="shared" si="647"/>
        <v>2872.32</v>
      </c>
      <c r="T1085" s="24">
        <f t="shared" si="647"/>
        <v>3541.21</v>
      </c>
      <c r="U1085" s="24">
        <f t="shared" si="647"/>
        <v>2005.5</v>
      </c>
      <c r="V1085" s="24">
        <f t="shared" si="647"/>
        <v>316.35000000000002</v>
      </c>
      <c r="W1085" s="24">
        <f t="shared" si="647"/>
        <v>8735.380000000001</v>
      </c>
      <c r="X1085" s="114">
        <f>IFERROR(S1085/R1085,"")</f>
        <v>44.88</v>
      </c>
      <c r="Y1085" s="115">
        <f>IFERROR(U1085/P1085,0)</f>
        <v>6.2446521116919326E-2</v>
      </c>
      <c r="Z1085" s="28">
        <f>P1085-W1085</f>
        <v>23380.099999999995</v>
      </c>
      <c r="AA1085" s="57">
        <f>Z1085/P1085</f>
        <v>0.72800095156603595</v>
      </c>
      <c r="AB1085" s="120">
        <f t="shared" si="646"/>
        <v>899.2639999999974</v>
      </c>
      <c r="AC1085" s="119">
        <f>IFERROR(AA1085-O1085,"")</f>
        <v>2.8000951566035881E-2</v>
      </c>
      <c r="AG1085" s="61"/>
    </row>
    <row r="1086" spans="1:34" ht="11.25" customHeight="1" x14ac:dyDescent="0.15">
      <c r="A1086" s="130"/>
      <c r="B1086" s="130"/>
      <c r="C1086" s="124"/>
      <c r="D1086" s="124"/>
      <c r="E1086" s="273"/>
      <c r="F1086" s="124"/>
      <c r="G1086" s="124"/>
      <c r="H1086" s="124"/>
      <c r="I1086" s="124"/>
      <c r="J1086" s="124"/>
      <c r="K1086" s="125"/>
      <c r="L1086" s="129"/>
      <c r="M1086" s="129"/>
      <c r="N1086" s="129"/>
      <c r="O1086" s="128"/>
      <c r="P1086" s="129"/>
      <c r="Q1086" s="124"/>
      <c r="R1086" s="129"/>
      <c r="S1086" s="129"/>
      <c r="T1086" s="129"/>
      <c r="U1086" s="129"/>
      <c r="V1086" s="126"/>
      <c r="W1086" s="49"/>
      <c r="X1086" s="45"/>
      <c r="Y1086" s="128"/>
      <c r="Z1086" s="126"/>
      <c r="AA1086" s="128"/>
      <c r="AB1086" s="129"/>
      <c r="AC1086" s="160"/>
      <c r="AD1086" s="137"/>
      <c r="AE1086" s="110"/>
      <c r="AF1086" s="110"/>
      <c r="AG1086" s="121"/>
      <c r="AH1086" s="110"/>
    </row>
    <row r="1087" spans="1:34" ht="11.25" customHeight="1" x14ac:dyDescent="0.15">
      <c r="A1087" s="110" t="s">
        <v>239</v>
      </c>
      <c r="B1087" s="110"/>
      <c r="C1087" s="111" t="s">
        <v>175</v>
      </c>
      <c r="D1087" s="111">
        <v>2023</v>
      </c>
      <c r="E1087" s="146">
        <v>45077</v>
      </c>
      <c r="F1087" s="111"/>
      <c r="G1087" s="111">
        <v>81000211</v>
      </c>
      <c r="H1087" s="111">
        <v>4111</v>
      </c>
      <c r="I1087" s="111" t="str">
        <f>MID(G1087,2,1)</f>
        <v>1</v>
      </c>
      <c r="J1087" s="111" t="str">
        <f>IF(I1087="1","Small/Medium","Large")</f>
        <v>Small/Medium</v>
      </c>
      <c r="K1087" s="147" t="s">
        <v>145</v>
      </c>
      <c r="L1087" s="219">
        <f>P1087</f>
        <v>11101</v>
      </c>
      <c r="M1087" s="219">
        <f>L1087*0.3</f>
        <v>3330.2999999999997</v>
      </c>
      <c r="N1087" s="219">
        <f>L1087-M1087</f>
        <v>7770.7000000000007</v>
      </c>
      <c r="O1087" s="119">
        <f>IFERROR(N1087/L1087,"")</f>
        <v>0.70000000000000007</v>
      </c>
      <c r="P1087" s="154">
        <v>11101</v>
      </c>
      <c r="Q1087" s="111">
        <v>1390</v>
      </c>
      <c r="R1087" s="132">
        <v>25.5</v>
      </c>
      <c r="S1087" s="132">
        <v>1144.44</v>
      </c>
      <c r="T1087" s="132">
        <v>2617.08</v>
      </c>
      <c r="U1087" s="132">
        <v>378</v>
      </c>
      <c r="V1087" s="132"/>
      <c r="W1087" s="234">
        <f>SUM(S1087:V1087)</f>
        <v>4139.5200000000004</v>
      </c>
      <c r="X1087" s="149">
        <f>IFERROR(S1087/R1087,"")</f>
        <v>44.88</v>
      </c>
      <c r="Y1087" s="150">
        <f>IFERROR(U1087/P1087,0)</f>
        <v>3.4050986397621837E-2</v>
      </c>
      <c r="Z1087" s="131">
        <f>P1087-W1087</f>
        <v>6961.48</v>
      </c>
      <c r="AA1087" s="150">
        <f>IFERROR(Z1087/P1087,"")</f>
        <v>0.62710386451671019</v>
      </c>
      <c r="AB1087" s="120">
        <f t="shared" ref="AB1087:AB1088" si="648">M1087-W1087</f>
        <v>-809.22000000000071</v>
      </c>
      <c r="AC1087" s="119">
        <f>IFERROR(AA1087-O1087,"")</f>
        <v>-7.2896135483289881E-2</v>
      </c>
      <c r="AD1087" s="110" t="s">
        <v>570</v>
      </c>
      <c r="AE1087" s="110"/>
      <c r="AF1087" s="110"/>
      <c r="AG1087" s="121"/>
      <c r="AH1087" s="110"/>
    </row>
    <row r="1088" spans="1:34" s="53" customFormat="1" ht="11.25" customHeight="1" x14ac:dyDescent="0.15">
      <c r="A1088" s="53" t="s">
        <v>239</v>
      </c>
      <c r="C1088" s="54" t="s">
        <v>177</v>
      </c>
      <c r="D1088" s="54">
        <v>2023</v>
      </c>
      <c r="E1088" s="70">
        <v>45077</v>
      </c>
      <c r="F1088" s="54"/>
      <c r="G1088" s="54"/>
      <c r="H1088" s="54"/>
      <c r="I1088" s="54"/>
      <c r="J1088" s="54"/>
      <c r="K1088" s="106"/>
      <c r="L1088" s="97">
        <f>SUM(L1086:L1087)</f>
        <v>11101</v>
      </c>
      <c r="M1088" s="97">
        <f>SUM(M1086:M1087)</f>
        <v>3330.2999999999997</v>
      </c>
      <c r="N1088" s="97">
        <f>SUM(N1086:N1087)</f>
        <v>7770.7000000000007</v>
      </c>
      <c r="O1088" s="57">
        <f>IFERROR(N1088/L1088,"")</f>
        <v>0.70000000000000007</v>
      </c>
      <c r="P1088" s="24">
        <f>SUM(P1087)</f>
        <v>11101</v>
      </c>
      <c r="Q1088" s="24"/>
      <c r="R1088" s="24">
        <f>SUM(R1087)</f>
        <v>25.5</v>
      </c>
      <c r="S1088" s="24">
        <f>SUM(S1087)</f>
        <v>1144.44</v>
      </c>
      <c r="T1088" s="24">
        <f>SUM(T1087)</f>
        <v>2617.08</v>
      </c>
      <c r="U1088" s="24">
        <f>SUM(U1087)</f>
        <v>378</v>
      </c>
      <c r="V1088" s="24">
        <f>SUM(V1087)</f>
        <v>0</v>
      </c>
      <c r="W1088" s="24">
        <f>SUM(W1086:W1087)</f>
        <v>4139.5200000000004</v>
      </c>
      <c r="X1088" s="114">
        <f>IFERROR(S1088/R1088,"")</f>
        <v>44.88</v>
      </c>
      <c r="Y1088" s="115">
        <f>IFERROR(U1088/P1088,0)</f>
        <v>3.4050986397621837E-2</v>
      </c>
      <c r="Z1088" s="116">
        <f>P1088-W1088</f>
        <v>6961.48</v>
      </c>
      <c r="AA1088" s="115">
        <f>IFERROR(Z1088/P1088,"")</f>
        <v>0.62710386451671019</v>
      </c>
      <c r="AB1088" s="120">
        <f t="shared" si="648"/>
        <v>-809.22000000000071</v>
      </c>
      <c r="AC1088" s="57">
        <f>IFERROR(AA1088-O1088,"")</f>
        <v>-7.2896135483289881E-2</v>
      </c>
      <c r="AG1088" s="61"/>
    </row>
    <row r="1089" spans="1:34" ht="11.25" customHeight="1" x14ac:dyDescent="0.15">
      <c r="A1089" s="130"/>
      <c r="B1089" s="130"/>
      <c r="C1089" s="124"/>
      <c r="D1089" s="124"/>
      <c r="E1089" s="273"/>
      <c r="F1089" s="124"/>
      <c r="G1089" s="124"/>
      <c r="H1089" s="124"/>
      <c r="I1089" s="124"/>
      <c r="J1089" s="124"/>
      <c r="K1089" s="125"/>
      <c r="L1089" s="129"/>
      <c r="M1089" s="129"/>
      <c r="N1089" s="129"/>
      <c r="O1089" s="128"/>
      <c r="P1089" s="129"/>
      <c r="Q1089" s="124"/>
      <c r="R1089" s="129"/>
      <c r="S1089" s="129"/>
      <c r="T1089" s="129"/>
      <c r="U1089" s="129"/>
      <c r="V1089" s="126"/>
      <c r="W1089" s="49"/>
      <c r="X1089" s="45"/>
      <c r="Y1089" s="128"/>
      <c r="Z1089" s="126"/>
      <c r="AA1089" s="128"/>
      <c r="AB1089" s="129"/>
      <c r="AC1089" s="160"/>
      <c r="AD1089" s="137"/>
      <c r="AE1089" s="110"/>
      <c r="AF1089" s="110"/>
      <c r="AG1089" s="121"/>
      <c r="AH1089" s="110"/>
    </row>
    <row r="1090" spans="1:34" ht="11.25" customHeight="1" x14ac:dyDescent="0.15">
      <c r="A1090" s="110" t="s">
        <v>210</v>
      </c>
      <c r="B1090" s="110"/>
      <c r="C1090" s="111" t="s">
        <v>175</v>
      </c>
      <c r="D1090" s="111">
        <v>2023</v>
      </c>
      <c r="E1090" s="146">
        <v>45077</v>
      </c>
      <c r="F1090" s="111"/>
      <c r="G1090" s="111">
        <v>81100011</v>
      </c>
      <c r="H1090" s="111">
        <v>4101</v>
      </c>
      <c r="I1090" s="111" t="str">
        <f>MID(G1090,2,1)</f>
        <v>1</v>
      </c>
      <c r="J1090" s="111" t="str">
        <f>IF(I1090="1","Small/Medium","Large")</f>
        <v>Small/Medium</v>
      </c>
      <c r="K1090" s="147" t="s">
        <v>145</v>
      </c>
      <c r="L1090" s="120">
        <f>P1090</f>
        <v>12749</v>
      </c>
      <c r="M1090" s="120">
        <f>L1090*0.3</f>
        <v>3824.7</v>
      </c>
      <c r="N1090" s="120">
        <f>L1090-M1090</f>
        <v>8924.2999999999993</v>
      </c>
      <c r="O1090" s="119">
        <f>IFERROR(N1090/L1090,"")</f>
        <v>0.7</v>
      </c>
      <c r="P1090" s="154">
        <v>12749</v>
      </c>
      <c r="Q1090" s="111">
        <v>1572</v>
      </c>
      <c r="R1090" s="132">
        <v>23</v>
      </c>
      <c r="S1090" s="132">
        <v>1032.24</v>
      </c>
      <c r="T1090" s="132">
        <v>1543.84</v>
      </c>
      <c r="U1090" s="132">
        <v>332.14</v>
      </c>
      <c r="V1090" s="117">
        <v>172.77</v>
      </c>
      <c r="W1090" s="277">
        <f>SUM(S1090:V1090)</f>
        <v>3080.99</v>
      </c>
      <c r="X1090" s="149">
        <f>IFERROR(S1090/R1090,"")</f>
        <v>44.88</v>
      </c>
      <c r="Y1090" s="150">
        <f>IFERROR(U1090/P1090,0)</f>
        <v>2.6052239391324807E-2</v>
      </c>
      <c r="Z1090" s="131">
        <f>P1090-W1090</f>
        <v>9668.01</v>
      </c>
      <c r="AA1090" s="150">
        <f>IFERROR(Z1090/P1090,"")</f>
        <v>0.75833477135461602</v>
      </c>
      <c r="AB1090" s="120">
        <f t="shared" ref="AB1090:AB1091" si="649">M1090-W1090</f>
        <v>743.71</v>
      </c>
      <c r="AC1090" s="119">
        <f>IFERROR(AA1090-O1090,"")</f>
        <v>5.8334771354616066E-2</v>
      </c>
      <c r="AD1090" s="110"/>
      <c r="AE1090" s="110"/>
      <c r="AF1090" s="110"/>
      <c r="AG1090" s="121"/>
      <c r="AH1090" s="110"/>
    </row>
    <row r="1091" spans="1:34" s="53" customFormat="1" ht="11.25" customHeight="1" x14ac:dyDescent="0.15">
      <c r="A1091" s="53" t="s">
        <v>210</v>
      </c>
      <c r="C1091" s="54" t="s">
        <v>177</v>
      </c>
      <c r="D1091" s="54">
        <v>2023</v>
      </c>
      <c r="E1091" s="70">
        <v>45077</v>
      </c>
      <c r="F1091" s="54"/>
      <c r="G1091" s="54"/>
      <c r="H1091" s="54"/>
      <c r="I1091" s="54"/>
      <c r="J1091" s="54"/>
      <c r="K1091" s="106"/>
      <c r="L1091" s="97">
        <f>SUM(L1089:L1090)</f>
        <v>12749</v>
      </c>
      <c r="M1091" s="97">
        <f>SUM(M1089:M1090)</f>
        <v>3824.7</v>
      </c>
      <c r="N1091" s="97">
        <f>SUM(N1089:N1090)</f>
        <v>8924.2999999999993</v>
      </c>
      <c r="O1091" s="57">
        <f>IFERROR(N1091/L1091,"")</f>
        <v>0.7</v>
      </c>
      <c r="P1091" s="24">
        <f>SUM(P1090)</f>
        <v>12749</v>
      </c>
      <c r="Q1091" s="24"/>
      <c r="R1091" s="24">
        <f>SUM(R1090)</f>
        <v>23</v>
      </c>
      <c r="S1091" s="24">
        <f>SUM(S1090)</f>
        <v>1032.24</v>
      </c>
      <c r="T1091" s="24">
        <f>SUM(T1090)</f>
        <v>1543.84</v>
      </c>
      <c r="U1091" s="24">
        <f>SUM(U1090)</f>
        <v>332.14</v>
      </c>
      <c r="V1091" s="24">
        <f>SUM(V1090)</f>
        <v>172.77</v>
      </c>
      <c r="W1091" s="24">
        <f>SUM(W1089:W1090)</f>
        <v>3080.99</v>
      </c>
      <c r="X1091" s="114">
        <f>IFERROR(S1091/R1091,"")</f>
        <v>44.88</v>
      </c>
      <c r="Y1091" s="115">
        <f>IFERROR(U1091/P1091,0)</f>
        <v>2.6052239391324807E-2</v>
      </c>
      <c r="Z1091" s="116">
        <f>P1091-W1091</f>
        <v>9668.01</v>
      </c>
      <c r="AA1091" s="115">
        <f>IFERROR(Z1091/P1091,"")</f>
        <v>0.75833477135461602</v>
      </c>
      <c r="AB1091" s="120">
        <f t="shared" si="649"/>
        <v>743.71</v>
      </c>
      <c r="AC1091" s="57">
        <f>IFERROR(AA1091-O1091,"")</f>
        <v>5.8334771354616066E-2</v>
      </c>
      <c r="AG1091" s="61"/>
    </row>
    <row r="1092" spans="1:34" ht="11.25" customHeight="1" x14ac:dyDescent="0.15">
      <c r="A1092" s="130"/>
      <c r="B1092" s="130"/>
      <c r="C1092" s="124"/>
      <c r="D1092" s="124"/>
      <c r="E1092" s="273"/>
      <c r="F1092" s="124"/>
      <c r="G1092" s="124"/>
      <c r="H1092" s="124"/>
      <c r="I1092" s="124"/>
      <c r="J1092" s="124"/>
      <c r="K1092" s="125"/>
      <c r="L1092" s="220"/>
      <c r="M1092" s="220"/>
      <c r="N1092" s="220"/>
      <c r="O1092" s="128"/>
      <c r="P1092" s="220"/>
      <c r="Q1092" s="124"/>
      <c r="R1092" s="220"/>
      <c r="S1092" s="220"/>
      <c r="T1092" s="220"/>
      <c r="U1092" s="220"/>
      <c r="V1092" s="225"/>
      <c r="W1092" s="230"/>
      <c r="X1092" s="45"/>
      <c r="Y1092" s="128"/>
      <c r="Z1092" s="126"/>
      <c r="AA1092" s="128"/>
      <c r="AB1092" s="129"/>
      <c r="AC1092" s="160"/>
      <c r="AD1092" s="137"/>
      <c r="AE1092" s="110"/>
      <c r="AF1092" s="110"/>
      <c r="AG1092" s="121"/>
      <c r="AH1092" s="110"/>
    </row>
    <row r="1093" spans="1:34" ht="11.25" customHeight="1" x14ac:dyDescent="0.15">
      <c r="A1093" s="110" t="s">
        <v>292</v>
      </c>
      <c r="B1093" s="110"/>
      <c r="C1093" s="111" t="s">
        <v>175</v>
      </c>
      <c r="D1093" s="111">
        <v>2023</v>
      </c>
      <c r="E1093" s="146">
        <v>45077</v>
      </c>
      <c r="F1093" s="111"/>
      <c r="G1093" s="111">
        <v>81100010</v>
      </c>
      <c r="H1093" s="111">
        <v>4101</v>
      </c>
      <c r="I1093" s="111" t="str">
        <f>MID(G1093,2,1)</f>
        <v>1</v>
      </c>
      <c r="J1093" s="111" t="str">
        <f>IF(I1093="1","Small/Medium","Large")</f>
        <v>Small/Medium</v>
      </c>
      <c r="K1093" s="147" t="s">
        <v>145</v>
      </c>
      <c r="L1093" s="120">
        <f>P1093</f>
        <v>7870</v>
      </c>
      <c r="M1093" s="120">
        <f>L1093*0.3</f>
        <v>2361</v>
      </c>
      <c r="N1093" s="120">
        <f>L1093-M1093</f>
        <v>5509</v>
      </c>
      <c r="O1093" s="119">
        <f>IFERROR(N1093/L1093,"")</f>
        <v>0.7</v>
      </c>
      <c r="P1093" s="131">
        <v>7870</v>
      </c>
      <c r="Q1093" s="111">
        <v>1584</v>
      </c>
      <c r="R1093" s="117">
        <v>25</v>
      </c>
      <c r="S1093" s="117">
        <v>1122</v>
      </c>
      <c r="T1093" s="117">
        <v>1443.03</v>
      </c>
      <c r="U1093" s="117">
        <v>283.52999999999997</v>
      </c>
      <c r="V1093" s="117"/>
      <c r="W1093" s="278">
        <f>SUM(S1093:V1093)</f>
        <v>2848.5599999999995</v>
      </c>
      <c r="X1093" s="149">
        <f>IFERROR(S1093/R1093,"")</f>
        <v>44.88</v>
      </c>
      <c r="Y1093" s="150">
        <f>IFERROR(U1093/P1093,0)</f>
        <v>3.6026683608640406E-2</v>
      </c>
      <c r="Z1093" s="131">
        <f>P1093-W1093</f>
        <v>5021.4400000000005</v>
      </c>
      <c r="AA1093" s="150">
        <f>IFERROR(Z1093/P1093,"")</f>
        <v>0.63804828462515895</v>
      </c>
      <c r="AB1093" s="120">
        <f t="shared" ref="AB1093:AB1094" si="650">M1093-W1093</f>
        <v>-487.55999999999949</v>
      </c>
      <c r="AC1093" s="119">
        <f>IFERROR(AA1093-O1093,"")</f>
        <v>-6.195171537484101E-2</v>
      </c>
      <c r="AD1093" s="110" t="s">
        <v>571</v>
      </c>
      <c r="AE1093" s="110"/>
      <c r="AF1093" s="110"/>
      <c r="AG1093" s="121"/>
      <c r="AH1093" s="110"/>
    </row>
    <row r="1094" spans="1:34" s="53" customFormat="1" ht="11.25" customHeight="1" x14ac:dyDescent="0.15">
      <c r="A1094" s="53" t="s">
        <v>292</v>
      </c>
      <c r="C1094" s="54" t="s">
        <v>177</v>
      </c>
      <c r="D1094" s="54">
        <v>2023</v>
      </c>
      <c r="E1094" s="70">
        <v>45077</v>
      </c>
      <c r="F1094" s="54"/>
      <c r="G1094" s="54"/>
      <c r="H1094" s="54"/>
      <c r="I1094" s="54"/>
      <c r="J1094" s="54"/>
      <c r="K1094" s="106"/>
      <c r="L1094" s="97">
        <f>SUM(L1092:L1093)</f>
        <v>7870</v>
      </c>
      <c r="M1094" s="97">
        <f>SUM(M1092:M1093)</f>
        <v>2361</v>
      </c>
      <c r="N1094" s="97">
        <f>SUM(N1092:N1093)</f>
        <v>5509</v>
      </c>
      <c r="O1094" s="57">
        <f>IFERROR(N1094/L1094,"")</f>
        <v>0.7</v>
      </c>
      <c r="P1094" s="24">
        <f>SUM(P1093)</f>
        <v>7870</v>
      </c>
      <c r="Q1094" s="24"/>
      <c r="R1094" s="24">
        <f>SUM(R1093)</f>
        <v>25</v>
      </c>
      <c r="S1094" s="24">
        <f>SUM(S1093)</f>
        <v>1122</v>
      </c>
      <c r="T1094" s="24">
        <f>SUM(T1093)</f>
        <v>1443.03</v>
      </c>
      <c r="U1094" s="24">
        <f>SUM(U1093)</f>
        <v>283.52999999999997</v>
      </c>
      <c r="V1094" s="24">
        <f>SUM(V1093)</f>
        <v>0</v>
      </c>
      <c r="W1094" s="24">
        <f>SUM(W1092:W1093)</f>
        <v>2848.5599999999995</v>
      </c>
      <c r="X1094" s="114">
        <f>IFERROR(S1094/R1094,"")</f>
        <v>44.88</v>
      </c>
      <c r="Y1094" s="115">
        <f>IFERROR(U1094/P1094,0)</f>
        <v>3.6026683608640406E-2</v>
      </c>
      <c r="Z1094" s="116">
        <f>P1094-W1094</f>
        <v>5021.4400000000005</v>
      </c>
      <c r="AA1094" s="115">
        <f>IFERROR(Z1094/P1094,"")</f>
        <v>0.63804828462515895</v>
      </c>
      <c r="AB1094" s="120">
        <f t="shared" si="650"/>
        <v>-487.55999999999949</v>
      </c>
      <c r="AC1094" s="57">
        <f>IFERROR(AA1094-O1094,"")</f>
        <v>-6.195171537484101E-2</v>
      </c>
      <c r="AG1094" s="61"/>
    </row>
    <row r="1095" spans="1:34" ht="11.25" customHeight="1" x14ac:dyDescent="0.15">
      <c r="A1095" s="130"/>
      <c r="B1095" s="130"/>
      <c r="C1095" s="124"/>
      <c r="D1095" s="124"/>
      <c r="E1095" s="273"/>
      <c r="F1095" s="124"/>
      <c r="G1095" s="124"/>
      <c r="H1095" s="124"/>
      <c r="I1095" s="124"/>
      <c r="J1095" s="124"/>
      <c r="K1095" s="125"/>
      <c r="L1095" s="129"/>
      <c r="M1095" s="129"/>
      <c r="N1095" s="129"/>
      <c r="O1095" s="128"/>
      <c r="P1095" s="129"/>
      <c r="Q1095" s="124"/>
      <c r="R1095" s="129"/>
      <c r="S1095" s="129"/>
      <c r="T1095" s="129"/>
      <c r="U1095" s="129"/>
      <c r="V1095" s="126"/>
      <c r="W1095" s="49"/>
      <c r="X1095" s="45"/>
      <c r="Y1095" s="128"/>
      <c r="Z1095" s="126"/>
      <c r="AA1095" s="128"/>
      <c r="AB1095" s="129"/>
      <c r="AC1095" s="160"/>
      <c r="AD1095" s="137"/>
      <c r="AE1095" s="110"/>
      <c r="AF1095" s="110"/>
      <c r="AG1095" s="121"/>
      <c r="AH1095" s="110"/>
    </row>
    <row r="1096" spans="1:34" ht="11.25" customHeight="1" x14ac:dyDescent="0.15">
      <c r="A1096" s="110" t="s">
        <v>174</v>
      </c>
      <c r="B1096" s="110"/>
      <c r="C1096" s="111" t="s">
        <v>175</v>
      </c>
      <c r="D1096" s="111">
        <v>2023</v>
      </c>
      <c r="E1096" s="146">
        <v>45077</v>
      </c>
      <c r="F1096" s="111"/>
      <c r="G1096" s="111">
        <v>81100011</v>
      </c>
      <c r="H1096" s="111">
        <v>4101</v>
      </c>
      <c r="I1096" s="111" t="str">
        <f>MID(G1096,2,1)</f>
        <v>1</v>
      </c>
      <c r="J1096" s="111" t="str">
        <f>IF(I1096="1","Small/Medium","Large")</f>
        <v>Small/Medium</v>
      </c>
      <c r="K1096" s="147" t="s">
        <v>145</v>
      </c>
      <c r="L1096" s="117">
        <v>6465.3110000000006</v>
      </c>
      <c r="M1096" s="120">
        <f>L1096*0.3</f>
        <v>1939.5933</v>
      </c>
      <c r="N1096" s="120">
        <f>L1096-M1096</f>
        <v>4525.7177000000011</v>
      </c>
      <c r="O1096" s="119">
        <f>IFERROR(N1096/L1096,"")</f>
        <v>0.70000000000000007</v>
      </c>
      <c r="P1096" s="117">
        <v>6465.3110000000006</v>
      </c>
      <c r="Q1096" s="111">
        <v>1577</v>
      </c>
      <c r="R1096" s="117">
        <v>16</v>
      </c>
      <c r="S1096" s="117">
        <v>718.08</v>
      </c>
      <c r="T1096" s="117">
        <v>1143.05</v>
      </c>
      <c r="U1096" s="117">
        <v>405.78</v>
      </c>
      <c r="V1096" s="117"/>
      <c r="W1096" s="278">
        <f>SUM(S1096:V1096)</f>
        <v>2266.91</v>
      </c>
      <c r="X1096" s="118">
        <f>IFERROR(S1096/R1096,"")</f>
        <v>44.88</v>
      </c>
      <c r="Y1096" s="119">
        <f>U1096/P1096</f>
        <v>6.2762642044597694E-2</v>
      </c>
      <c r="Z1096" s="117">
        <f>P1096-W1096</f>
        <v>4198.4010000000007</v>
      </c>
      <c r="AA1096" s="119">
        <f>Z1096/P1096</f>
        <v>0.64937340214569728</v>
      </c>
      <c r="AB1096" s="120">
        <f t="shared" ref="AB1096:AB1098" si="651">M1096-W1096</f>
        <v>-327.31669999999986</v>
      </c>
      <c r="AC1096" s="119">
        <f>IFERROR(AA1096-O1096,"")</f>
        <v>-5.0626597854302791E-2</v>
      </c>
      <c r="AD1096" s="110" t="s">
        <v>572</v>
      </c>
      <c r="AE1096" s="110"/>
      <c r="AF1096" s="110"/>
      <c r="AG1096" s="121"/>
      <c r="AH1096" s="110"/>
    </row>
    <row r="1097" spans="1:34" ht="11.25" customHeight="1" x14ac:dyDescent="0.15">
      <c r="A1097" s="110" t="s">
        <v>174</v>
      </c>
      <c r="B1097" s="110"/>
      <c r="C1097" s="111" t="s">
        <v>175</v>
      </c>
      <c r="D1097" s="111">
        <v>2023</v>
      </c>
      <c r="E1097" s="146">
        <v>45077</v>
      </c>
      <c r="F1097" s="111"/>
      <c r="G1097" s="111">
        <v>82100011</v>
      </c>
      <c r="H1097" s="111">
        <v>4101</v>
      </c>
      <c r="I1097" s="111" t="str">
        <f>MID(G1097,2,1)</f>
        <v>2</v>
      </c>
      <c r="J1097" s="111" t="str">
        <f>IF(I1097="1","Small/Medium","Large")</f>
        <v>Large</v>
      </c>
      <c r="K1097" s="147" t="s">
        <v>176</v>
      </c>
      <c r="L1097" s="117">
        <v>12007.03</v>
      </c>
      <c r="M1097" s="120">
        <f>L1097*0.3</f>
        <v>3602.1089999999999</v>
      </c>
      <c r="N1097" s="120">
        <f>L1097-M1097</f>
        <v>8404.9210000000003</v>
      </c>
      <c r="O1097" s="119">
        <f>IFERROR(N1097/L1097,"")</f>
        <v>0.7</v>
      </c>
      <c r="P1097" s="117">
        <v>12007.03</v>
      </c>
      <c r="Q1097" s="111">
        <v>1578</v>
      </c>
      <c r="R1097" s="117">
        <v>27</v>
      </c>
      <c r="S1097" s="117">
        <v>1211.76</v>
      </c>
      <c r="T1097" s="117">
        <v>2122.81</v>
      </c>
      <c r="U1097" s="117">
        <v>817.08</v>
      </c>
      <c r="V1097" s="117">
        <v>185.65</v>
      </c>
      <c r="W1097" s="278">
        <f>SUM(S1097:V1097)</f>
        <v>4337.2999999999993</v>
      </c>
      <c r="X1097" s="118">
        <f>IFERROR(S1097/R1097,"")</f>
        <v>44.88</v>
      </c>
      <c r="Y1097" s="119">
        <f>U1097/P1097</f>
        <v>6.8050133963186571E-2</v>
      </c>
      <c r="Z1097" s="117">
        <f>P1097-W1097</f>
        <v>7669.7300000000014</v>
      </c>
      <c r="AA1097" s="119">
        <f>Z1097/P1097</f>
        <v>0.63876995393531966</v>
      </c>
      <c r="AB1097" s="120">
        <f t="shared" si="651"/>
        <v>-735.19099999999935</v>
      </c>
      <c r="AC1097" s="119">
        <f>IFERROR(AA1097-O1097,"")</f>
        <v>-6.1230046064680299E-2</v>
      </c>
      <c r="AD1097" s="110" t="s">
        <v>572</v>
      </c>
      <c r="AE1097" s="110"/>
      <c r="AF1097" s="110"/>
      <c r="AG1097" s="121"/>
      <c r="AH1097" s="110"/>
    </row>
    <row r="1098" spans="1:34" s="212" customFormat="1" ht="11.25" customHeight="1" x14ac:dyDescent="0.15">
      <c r="A1098" s="53" t="s">
        <v>174</v>
      </c>
      <c r="B1098" s="53"/>
      <c r="C1098" s="54" t="s">
        <v>177</v>
      </c>
      <c r="D1098" s="54">
        <v>2023</v>
      </c>
      <c r="E1098" s="70">
        <v>45077</v>
      </c>
      <c r="F1098" s="54"/>
      <c r="G1098" s="54"/>
      <c r="H1098" s="54"/>
      <c r="I1098" s="54"/>
      <c r="J1098" s="54"/>
      <c r="K1098" s="106"/>
      <c r="L1098" s="24">
        <f>SUM(L1096:L1097)</f>
        <v>18472.341</v>
      </c>
      <c r="M1098" s="24">
        <f>SUM(M1096:M1097)</f>
        <v>5541.7022999999999</v>
      </c>
      <c r="N1098" s="24">
        <f>SUM(N1096:N1097)</f>
        <v>12930.638700000001</v>
      </c>
      <c r="O1098" s="57">
        <f>IFERROR(N1098/L1098,"")</f>
        <v>0.70000000000000007</v>
      </c>
      <c r="P1098" s="24">
        <f>SUM(P1096:P1097)</f>
        <v>18472.341</v>
      </c>
      <c r="Q1098" s="24"/>
      <c r="R1098" s="24">
        <f t="shared" ref="R1098:W1098" si="652">SUM(R1096:R1097)</f>
        <v>43</v>
      </c>
      <c r="S1098" s="24">
        <f t="shared" si="652"/>
        <v>1929.8400000000001</v>
      </c>
      <c r="T1098" s="24">
        <f t="shared" si="652"/>
        <v>3265.8599999999997</v>
      </c>
      <c r="U1098" s="24">
        <f t="shared" si="652"/>
        <v>1222.8600000000001</v>
      </c>
      <c r="V1098" s="24">
        <f t="shared" si="652"/>
        <v>185.65</v>
      </c>
      <c r="W1098" s="24">
        <f t="shared" si="652"/>
        <v>6604.2099999999991</v>
      </c>
      <c r="X1098" s="56">
        <f>IFERROR(S1098/R1098,"")</f>
        <v>44.88</v>
      </c>
      <c r="Y1098" s="57">
        <f>IFERROR(U1098/P1098,0)</f>
        <v>6.6199514181770475E-2</v>
      </c>
      <c r="Z1098" s="28">
        <f>P1098-W1098</f>
        <v>11868.131000000001</v>
      </c>
      <c r="AA1098" s="57">
        <f>Z1098/P1098</f>
        <v>0.64248115601590516</v>
      </c>
      <c r="AB1098" s="120">
        <f t="shared" si="651"/>
        <v>-1062.5076999999992</v>
      </c>
      <c r="AC1098" s="119">
        <f>IFERROR(AA1098-O1098,"")</f>
        <v>-5.7518843984094903E-2</v>
      </c>
      <c r="AD1098" s="53"/>
      <c r="AE1098" s="53"/>
      <c r="AF1098" s="53"/>
      <c r="AG1098" s="61"/>
      <c r="AH1098" s="53"/>
    </row>
    <row r="1099" spans="1:34" ht="11.25" customHeight="1" x14ac:dyDescent="0.15">
      <c r="A1099" s="130"/>
      <c r="B1099" s="130"/>
      <c r="C1099" s="124"/>
      <c r="D1099" s="124"/>
      <c r="E1099" s="273"/>
      <c r="F1099" s="124"/>
      <c r="G1099" s="124"/>
      <c r="H1099" s="124"/>
      <c r="I1099" s="124"/>
      <c r="J1099" s="124"/>
      <c r="K1099" s="125"/>
      <c r="L1099" s="129"/>
      <c r="M1099" s="129"/>
      <c r="N1099" s="129"/>
      <c r="O1099" s="128"/>
      <c r="P1099" s="129"/>
      <c r="Q1099" s="124"/>
      <c r="R1099" s="129"/>
      <c r="S1099" s="129"/>
      <c r="T1099" s="129"/>
      <c r="U1099" s="129"/>
      <c r="V1099" s="126"/>
      <c r="W1099" s="49"/>
      <c r="X1099" s="45"/>
      <c r="Y1099" s="128"/>
      <c r="Z1099" s="126"/>
      <c r="AA1099" s="128"/>
      <c r="AB1099" s="129"/>
      <c r="AC1099" s="160"/>
      <c r="AD1099" s="137"/>
      <c r="AE1099" s="110"/>
      <c r="AF1099" s="110"/>
      <c r="AG1099" s="121"/>
      <c r="AH1099" s="110"/>
    </row>
    <row r="1100" spans="1:34" ht="11.25" customHeight="1" x14ac:dyDescent="0.15">
      <c r="A1100" s="110" t="s">
        <v>179</v>
      </c>
      <c r="B1100" s="110"/>
      <c r="C1100" s="111" t="s">
        <v>175</v>
      </c>
      <c r="D1100" s="111">
        <v>2023</v>
      </c>
      <c r="E1100" s="146">
        <v>45107</v>
      </c>
      <c r="F1100" s="111"/>
      <c r="G1100" s="111">
        <v>81100011</v>
      </c>
      <c r="H1100" s="111">
        <v>4101</v>
      </c>
      <c r="I1100" s="111" t="str">
        <f>MID(G1100,2,1)</f>
        <v>1</v>
      </c>
      <c r="J1100" s="111" t="str">
        <f>IF(I1100="1","Small/Medium","Large")</f>
        <v>Small/Medium</v>
      </c>
      <c r="K1100" s="147" t="s">
        <v>145</v>
      </c>
      <c r="L1100" s="120">
        <f>P1100</f>
        <v>9680</v>
      </c>
      <c r="M1100" s="120">
        <f>L1100*0.3</f>
        <v>2904</v>
      </c>
      <c r="N1100" s="120">
        <f>L1100-M1100</f>
        <v>6776</v>
      </c>
      <c r="O1100" s="119">
        <f>IFERROR(N1100/L1100,"")</f>
        <v>0.7</v>
      </c>
      <c r="P1100" s="117">
        <v>9680</v>
      </c>
      <c r="Q1100" s="111">
        <v>1718</v>
      </c>
      <c r="R1100" s="117">
        <v>25</v>
      </c>
      <c r="S1100" s="117">
        <v>1122</v>
      </c>
      <c r="T1100" s="117">
        <v>1293.53</v>
      </c>
      <c r="U1100" s="117">
        <v>934.2</v>
      </c>
      <c r="V1100" s="117"/>
      <c r="W1100" s="26">
        <f>SUM(S1100:V1100)</f>
        <v>3349.7299999999996</v>
      </c>
      <c r="X1100" s="149">
        <f>IFERROR(S1100/R1100,"")</f>
        <v>44.88</v>
      </c>
      <c r="Y1100" s="150">
        <f>IFERROR(U1100/P1100,0)</f>
        <v>9.6508264462809926E-2</v>
      </c>
      <c r="Z1100" s="131">
        <f>P1100-W1100</f>
        <v>6330.27</v>
      </c>
      <c r="AA1100" s="150">
        <f>IFERROR(Z1100/P1100,"")</f>
        <v>0.6539535123966943</v>
      </c>
      <c r="AB1100" s="120">
        <f t="shared" ref="AB1100:AB1101" si="653">M1100-W1100</f>
        <v>-445.72999999999956</v>
      </c>
      <c r="AC1100" s="119">
        <f>IFERROR(AA1100-O1100,"")</f>
        <v>-4.6046487603305652E-2</v>
      </c>
      <c r="AD1100" s="110" t="s">
        <v>573</v>
      </c>
      <c r="AE1100" s="110"/>
      <c r="AF1100" s="110"/>
      <c r="AG1100" s="121"/>
      <c r="AH1100" s="110"/>
    </row>
    <row r="1101" spans="1:34" s="212" customFormat="1" ht="11.25" customHeight="1" x14ac:dyDescent="0.15">
      <c r="A1101" s="53" t="s">
        <v>179</v>
      </c>
      <c r="B1101" s="53"/>
      <c r="C1101" s="54" t="s">
        <v>177</v>
      </c>
      <c r="D1101" s="54">
        <v>2023</v>
      </c>
      <c r="E1101" s="70">
        <v>45107</v>
      </c>
      <c r="F1101" s="54"/>
      <c r="G1101" s="54"/>
      <c r="H1101" s="54"/>
      <c r="I1101" s="54"/>
      <c r="J1101" s="54"/>
      <c r="K1101" s="106"/>
      <c r="L1101" s="97">
        <f>SUM(L1099:L1100)</f>
        <v>9680</v>
      </c>
      <c r="M1101" s="97">
        <f>SUM(M1099:M1100)</f>
        <v>2904</v>
      </c>
      <c r="N1101" s="97">
        <f>SUM(N1099:N1100)</f>
        <v>6776</v>
      </c>
      <c r="O1101" s="57">
        <f>IFERROR(N1101/L1101,"")</f>
        <v>0.7</v>
      </c>
      <c r="P1101" s="24">
        <f>SUM(P1100)</f>
        <v>9680</v>
      </c>
      <c r="Q1101" s="24"/>
      <c r="R1101" s="24">
        <f>SUM(R1100)</f>
        <v>25</v>
      </c>
      <c r="S1101" s="24">
        <f>SUM(S1100)</f>
        <v>1122</v>
      </c>
      <c r="T1101" s="24">
        <f>SUM(T1100)</f>
        <v>1293.53</v>
      </c>
      <c r="U1101" s="24">
        <f>SUM(U1100)</f>
        <v>934.2</v>
      </c>
      <c r="V1101" s="24">
        <f>SUM(V1100)</f>
        <v>0</v>
      </c>
      <c r="W1101" s="24">
        <f>SUM(W1099:W1100)</f>
        <v>3349.7299999999996</v>
      </c>
      <c r="X1101" s="114">
        <f>IFERROR(S1101/R1101,"")</f>
        <v>44.88</v>
      </c>
      <c r="Y1101" s="115">
        <f>IFERROR(U1101/P1101,0)</f>
        <v>9.6508264462809926E-2</v>
      </c>
      <c r="Z1101" s="116">
        <f>P1101-W1101</f>
        <v>6330.27</v>
      </c>
      <c r="AA1101" s="115">
        <f>IFERROR(Z1101/P1101,"")</f>
        <v>0.6539535123966943</v>
      </c>
      <c r="AB1101" s="120">
        <f t="shared" si="653"/>
        <v>-445.72999999999956</v>
      </c>
      <c r="AC1101" s="57">
        <f>IFERROR(AA1101-O1101,"")</f>
        <v>-4.6046487603305652E-2</v>
      </c>
      <c r="AD1101" s="53"/>
      <c r="AE1101" s="53"/>
      <c r="AF1101" s="53"/>
      <c r="AG1101" s="61"/>
      <c r="AH1101" s="53"/>
    </row>
    <row r="1102" spans="1:34" ht="11.25" customHeight="1" x14ac:dyDescent="0.15">
      <c r="A1102" s="130"/>
      <c r="B1102" s="130"/>
      <c r="C1102" s="124"/>
      <c r="D1102" s="124"/>
      <c r="E1102" s="273"/>
      <c r="F1102" s="124"/>
      <c r="G1102" s="124"/>
      <c r="H1102" s="124"/>
      <c r="I1102" s="124"/>
      <c r="J1102" s="124"/>
      <c r="K1102" s="125"/>
      <c r="L1102" s="129"/>
      <c r="M1102" s="129"/>
      <c r="N1102" s="129"/>
      <c r="O1102" s="128"/>
      <c r="P1102" s="129"/>
      <c r="Q1102" s="124"/>
      <c r="R1102" s="129"/>
      <c r="S1102" s="129"/>
      <c r="T1102" s="129"/>
      <c r="U1102" s="129"/>
      <c r="V1102" s="126"/>
      <c r="W1102" s="49"/>
      <c r="X1102" s="45"/>
      <c r="Y1102" s="128"/>
      <c r="Z1102" s="126"/>
      <c r="AA1102" s="128"/>
      <c r="AB1102" s="129"/>
      <c r="AC1102" s="160"/>
      <c r="AD1102" s="137"/>
      <c r="AE1102" s="110"/>
      <c r="AF1102" s="110"/>
      <c r="AG1102" s="121"/>
      <c r="AH1102" s="110"/>
    </row>
    <row r="1103" spans="1:34" ht="11.25" customHeight="1" x14ac:dyDescent="0.15">
      <c r="A1103" s="110" t="s">
        <v>125</v>
      </c>
      <c r="B1103" s="110"/>
      <c r="C1103" s="111" t="s">
        <v>175</v>
      </c>
      <c r="D1103" s="111">
        <v>2023</v>
      </c>
      <c r="E1103" s="146">
        <v>45107</v>
      </c>
      <c r="F1103" s="111"/>
      <c r="G1103" s="111">
        <v>81100011</v>
      </c>
      <c r="H1103" s="111">
        <v>4101</v>
      </c>
      <c r="I1103" s="111" t="str">
        <f>MID(G1103,2,1)</f>
        <v>1</v>
      </c>
      <c r="J1103" s="111" t="str">
        <f>IF(I1103="1","Small/Medium","Large")</f>
        <v>Small/Medium</v>
      </c>
      <c r="K1103" s="147" t="s">
        <v>145</v>
      </c>
      <c r="L1103" s="120">
        <f>P1103</f>
        <v>9213</v>
      </c>
      <c r="M1103" s="120">
        <f>L1103*0.3</f>
        <v>2763.9</v>
      </c>
      <c r="N1103" s="120">
        <f>L1103-M1103</f>
        <v>6449.1</v>
      </c>
      <c r="O1103" s="119">
        <f>IFERROR(N1103/L1103,"")</f>
        <v>0.70000000000000007</v>
      </c>
      <c r="P1103" s="117">
        <v>9213</v>
      </c>
      <c r="Q1103" s="111">
        <v>1719</v>
      </c>
      <c r="R1103" s="117">
        <v>23.5</v>
      </c>
      <c r="S1103" s="117">
        <v>1054.68</v>
      </c>
      <c r="T1103" s="117">
        <v>1117.4100000000001</v>
      </c>
      <c r="U1103" s="117">
        <v>352.9</v>
      </c>
      <c r="V1103" s="117"/>
      <c r="W1103" s="26">
        <f>SUM(S1103:V1103)</f>
        <v>2524.9900000000002</v>
      </c>
      <c r="X1103" s="149">
        <f>IFERROR(S1103/R1103,"")</f>
        <v>44.88</v>
      </c>
      <c r="Y1103" s="150">
        <f>IFERROR(U1103/P1103,0)</f>
        <v>3.8304569629870833E-2</v>
      </c>
      <c r="Z1103" s="131">
        <f>P1103-W1103</f>
        <v>6688.01</v>
      </c>
      <c r="AA1103" s="150">
        <f>IFERROR(Z1103/P1103,"")</f>
        <v>0.7259318354499078</v>
      </c>
      <c r="AB1103" s="120">
        <f t="shared" ref="AB1103:AB1104" si="654">M1103-W1103</f>
        <v>238.90999999999985</v>
      </c>
      <c r="AC1103" s="119">
        <f>IFERROR(AA1103-O1103,"")</f>
        <v>2.5931835449907736E-2</v>
      </c>
      <c r="AD1103" s="110"/>
      <c r="AE1103" s="110"/>
      <c r="AF1103" s="110"/>
      <c r="AG1103" s="121"/>
      <c r="AH1103" s="110"/>
    </row>
    <row r="1104" spans="1:34" s="212" customFormat="1" ht="11.25" customHeight="1" x14ac:dyDescent="0.15">
      <c r="A1104" s="53" t="s">
        <v>125</v>
      </c>
      <c r="B1104" s="53"/>
      <c r="C1104" s="54" t="s">
        <v>177</v>
      </c>
      <c r="D1104" s="54">
        <v>2023</v>
      </c>
      <c r="E1104" s="70">
        <v>45107</v>
      </c>
      <c r="F1104" s="54"/>
      <c r="G1104" s="54"/>
      <c r="H1104" s="54"/>
      <c r="I1104" s="54"/>
      <c r="J1104" s="54"/>
      <c r="K1104" s="106"/>
      <c r="L1104" s="97">
        <f>SUM(L1102:L1103)</f>
        <v>9213</v>
      </c>
      <c r="M1104" s="97">
        <f>SUM(M1102:M1103)</f>
        <v>2763.9</v>
      </c>
      <c r="N1104" s="97">
        <f>SUM(N1102:N1103)</f>
        <v>6449.1</v>
      </c>
      <c r="O1104" s="57">
        <f>IFERROR(N1104/L1104,"")</f>
        <v>0.70000000000000007</v>
      </c>
      <c r="P1104" s="24">
        <f>SUM(P1103)</f>
        <v>9213</v>
      </c>
      <c r="Q1104" s="24"/>
      <c r="R1104" s="24">
        <f>SUM(R1103)</f>
        <v>23.5</v>
      </c>
      <c r="S1104" s="24">
        <f>SUM(S1103)</f>
        <v>1054.68</v>
      </c>
      <c r="T1104" s="24">
        <f>SUM(T1103)</f>
        <v>1117.4100000000001</v>
      </c>
      <c r="U1104" s="24">
        <f>SUM(U1103)</f>
        <v>352.9</v>
      </c>
      <c r="V1104" s="24">
        <f>SUM(V1103)</f>
        <v>0</v>
      </c>
      <c r="W1104" s="24">
        <f>SUM(W1102:W1103)</f>
        <v>2524.9900000000002</v>
      </c>
      <c r="X1104" s="114">
        <f>IFERROR(S1104/R1104,"")</f>
        <v>44.88</v>
      </c>
      <c r="Y1104" s="115">
        <f>IFERROR(U1104/P1104,0)</f>
        <v>3.8304569629870833E-2</v>
      </c>
      <c r="Z1104" s="116">
        <f>P1104-W1104</f>
        <v>6688.01</v>
      </c>
      <c r="AA1104" s="115">
        <f>IFERROR(Z1104/P1104,"")</f>
        <v>0.7259318354499078</v>
      </c>
      <c r="AB1104" s="120">
        <f t="shared" si="654"/>
        <v>238.90999999999985</v>
      </c>
      <c r="AC1104" s="57">
        <f>IFERROR(AA1104-O1104,"")</f>
        <v>2.5931835449907736E-2</v>
      </c>
      <c r="AD1104" s="53"/>
      <c r="AE1104" s="53"/>
      <c r="AF1104" s="53"/>
      <c r="AG1104" s="61"/>
      <c r="AH1104" s="53"/>
    </row>
    <row r="1105" spans="1:34" ht="11.25" customHeight="1" x14ac:dyDescent="0.15">
      <c r="A1105" s="130"/>
      <c r="B1105" s="130"/>
      <c r="C1105" s="124"/>
      <c r="D1105" s="124"/>
      <c r="E1105" s="273"/>
      <c r="F1105" s="124"/>
      <c r="G1105" s="124"/>
      <c r="H1105" s="124"/>
      <c r="I1105" s="124"/>
      <c r="J1105" s="124"/>
      <c r="K1105" s="125"/>
      <c r="L1105" s="129"/>
      <c r="M1105" s="129"/>
      <c r="N1105" s="129"/>
      <c r="O1105" s="128"/>
      <c r="P1105" s="129"/>
      <c r="Q1105" s="124"/>
      <c r="R1105" s="129"/>
      <c r="S1105" s="129"/>
      <c r="T1105" s="129"/>
      <c r="U1105" s="129"/>
      <c r="V1105" s="126"/>
      <c r="W1105" s="49"/>
      <c r="X1105" s="45"/>
      <c r="Y1105" s="128"/>
      <c r="Z1105" s="126"/>
      <c r="AA1105" s="128"/>
      <c r="AB1105" s="129"/>
      <c r="AC1105" s="160"/>
      <c r="AD1105" s="137"/>
      <c r="AE1105" s="110"/>
      <c r="AF1105" s="110"/>
      <c r="AG1105" s="121"/>
      <c r="AH1105" s="110"/>
    </row>
    <row r="1106" spans="1:34" ht="11.25" customHeight="1" x14ac:dyDescent="0.15">
      <c r="A1106" s="110" t="s">
        <v>436</v>
      </c>
      <c r="B1106" s="110"/>
      <c r="C1106" s="111" t="s">
        <v>175</v>
      </c>
      <c r="D1106" s="111">
        <v>2023</v>
      </c>
      <c r="E1106" s="146">
        <v>45107</v>
      </c>
      <c r="F1106" s="111"/>
      <c r="G1106" s="111">
        <v>81000001</v>
      </c>
      <c r="H1106" s="111">
        <v>4111</v>
      </c>
      <c r="I1106" s="111" t="str">
        <f>MID(G1106,2,1)</f>
        <v>1</v>
      </c>
      <c r="J1106" s="111" t="str">
        <f>IF(I1106="1","Small/Medium","Large")</f>
        <v>Small/Medium</v>
      </c>
      <c r="K1106" s="147" t="s">
        <v>145</v>
      </c>
      <c r="L1106" s="120">
        <v>12062</v>
      </c>
      <c r="M1106" s="120">
        <f>L1106*0.3</f>
        <v>3618.6</v>
      </c>
      <c r="N1106" s="120">
        <f>L1106-M1106</f>
        <v>8443.4</v>
      </c>
      <c r="O1106" s="119">
        <f>IFERROR(N1106/L1106,"")</f>
        <v>0.7</v>
      </c>
      <c r="P1106" s="117">
        <f>L1106</f>
        <v>12062</v>
      </c>
      <c r="Q1106" s="111">
        <v>1725</v>
      </c>
      <c r="R1106" s="117">
        <v>24</v>
      </c>
      <c r="S1106" s="117">
        <v>1077.1199999999999</v>
      </c>
      <c r="T1106" s="117">
        <v>1398.4</v>
      </c>
      <c r="U1106" s="117">
        <v>641.69000000000005</v>
      </c>
      <c r="V1106" s="117"/>
      <c r="W1106" s="215">
        <f>SUM(S1106:V1106)</f>
        <v>3117.21</v>
      </c>
      <c r="X1106" s="118">
        <f>IFERROR(S1106/R1106,"")</f>
        <v>44.879999999999995</v>
      </c>
      <c r="Y1106" s="119">
        <f>U1106/P1106</f>
        <v>5.3199303598076605E-2</v>
      </c>
      <c r="Z1106" s="117">
        <f>P1106-W1106</f>
        <v>8944.7900000000009</v>
      </c>
      <c r="AA1106" s="119">
        <f>Z1106/P1106</f>
        <v>0.74156773337754944</v>
      </c>
      <c r="AB1106" s="120">
        <f t="shared" ref="AB1106:AB1108" si="655">M1106-W1106</f>
        <v>501.38999999999987</v>
      </c>
      <c r="AC1106" s="119">
        <f>IFERROR(AA1106-O1106,"")</f>
        <v>4.1567733377549487E-2</v>
      </c>
      <c r="AD1106" s="110"/>
      <c r="AE1106" s="110"/>
      <c r="AF1106" s="110"/>
      <c r="AG1106" s="121"/>
      <c r="AH1106" s="110"/>
    </row>
    <row r="1107" spans="1:34" ht="11.25" customHeight="1" x14ac:dyDescent="0.15">
      <c r="A1107" s="110" t="s">
        <v>436</v>
      </c>
      <c r="B1107" s="110"/>
      <c r="C1107" s="111" t="s">
        <v>452</v>
      </c>
      <c r="D1107" s="111">
        <v>2023</v>
      </c>
      <c r="E1107" s="146">
        <v>45107</v>
      </c>
      <c r="F1107" s="111"/>
      <c r="G1107" s="111">
        <v>64642012</v>
      </c>
      <c r="H1107" s="111"/>
      <c r="I1107" s="111"/>
      <c r="J1107" s="111"/>
      <c r="K1107" s="112" t="s">
        <v>574</v>
      </c>
      <c r="L1107" s="120">
        <v>9523</v>
      </c>
      <c r="M1107" s="120">
        <f>L1107*0.5</f>
        <v>4761.5</v>
      </c>
      <c r="N1107" s="120">
        <f>L1107-M1107</f>
        <v>4761.5</v>
      </c>
      <c r="O1107" s="119">
        <f>IFERROR(N1107/L1107,"")</f>
        <v>0.5</v>
      </c>
      <c r="P1107" s="117">
        <f>L1107</f>
        <v>9523</v>
      </c>
      <c r="Q1107" s="111">
        <v>1831</v>
      </c>
      <c r="R1107" s="117">
        <v>16</v>
      </c>
      <c r="S1107" s="117">
        <v>904.8</v>
      </c>
      <c r="T1107" s="117">
        <v>932.26</v>
      </c>
      <c r="U1107" s="117"/>
      <c r="V1107" s="117"/>
      <c r="W1107" s="215">
        <f>SUM(S1107:V1107)</f>
        <v>1837.06</v>
      </c>
      <c r="X1107" s="118">
        <f>IFERROR(S1107/R1107,"")</f>
        <v>56.55</v>
      </c>
      <c r="Y1107" s="119">
        <f>U1107/P1107</f>
        <v>0</v>
      </c>
      <c r="Z1107" s="117">
        <f>P1107-W1107</f>
        <v>7685.9400000000005</v>
      </c>
      <c r="AA1107" s="119">
        <f>Z1107/P1107</f>
        <v>0.80709230284574196</v>
      </c>
      <c r="AB1107" s="120">
        <f t="shared" si="655"/>
        <v>2924.44</v>
      </c>
      <c r="AC1107" s="119">
        <f>IFERROR(AA1107-O1107,"")</f>
        <v>0.30709230284574196</v>
      </c>
      <c r="AD1107" s="110" t="s">
        <v>575</v>
      </c>
      <c r="AE1107" s="110"/>
      <c r="AF1107" s="110"/>
      <c r="AG1107" s="121"/>
      <c r="AH1107" s="110"/>
    </row>
    <row r="1108" spans="1:34" s="212" customFormat="1" ht="11.25" customHeight="1" x14ac:dyDescent="0.15">
      <c r="A1108" s="110" t="s">
        <v>436</v>
      </c>
      <c r="B1108" s="110"/>
      <c r="C1108" s="54"/>
      <c r="D1108" s="54">
        <v>2023</v>
      </c>
      <c r="E1108" s="70">
        <v>45107</v>
      </c>
      <c r="F1108" s="54"/>
      <c r="G1108" s="54"/>
      <c r="H1108" s="54"/>
      <c r="I1108" s="54"/>
      <c r="J1108" s="54"/>
      <c r="K1108" s="106"/>
      <c r="L1108" s="97">
        <f>SUM(L1106:L1107)</f>
        <v>21585</v>
      </c>
      <c r="M1108" s="97">
        <f>SUM(M1106:M1107)</f>
        <v>8380.1</v>
      </c>
      <c r="N1108" s="97">
        <f>SUM(N1106:N1107)</f>
        <v>13204.9</v>
      </c>
      <c r="O1108" s="57">
        <f>IFERROR(N1108/L1108,"")</f>
        <v>0.61176279823951818</v>
      </c>
      <c r="P1108" s="24">
        <f>SUM(P1106:P1107)</f>
        <v>21585</v>
      </c>
      <c r="Q1108" s="24"/>
      <c r="R1108" s="24">
        <f t="shared" ref="R1108:W1108" si="656">SUM(R1106:R1107)</f>
        <v>40</v>
      </c>
      <c r="S1108" s="24">
        <f t="shared" si="656"/>
        <v>1981.9199999999998</v>
      </c>
      <c r="T1108" s="24">
        <f t="shared" si="656"/>
        <v>2330.66</v>
      </c>
      <c r="U1108" s="24">
        <f t="shared" si="656"/>
        <v>641.69000000000005</v>
      </c>
      <c r="V1108" s="24">
        <f t="shared" si="656"/>
        <v>0</v>
      </c>
      <c r="W1108" s="24">
        <f t="shared" si="656"/>
        <v>4954.2700000000004</v>
      </c>
      <c r="X1108" s="56">
        <f>IFERROR(S1108/R1108,"")</f>
        <v>49.547999999999995</v>
      </c>
      <c r="Y1108" s="57">
        <f>IFERROR(U1108/P1108,0)</f>
        <v>2.972851517257355E-2</v>
      </c>
      <c r="Z1108" s="28">
        <f>P1108-W1108</f>
        <v>16630.73</v>
      </c>
      <c r="AA1108" s="57">
        <f>Z1108/P1108</f>
        <v>0.77047625665971742</v>
      </c>
      <c r="AB1108" s="120">
        <f t="shared" si="655"/>
        <v>3425.83</v>
      </c>
      <c r="AC1108" s="119">
        <f>IFERROR(AA1108-O1108,"")</f>
        <v>0.15871345842019924</v>
      </c>
      <c r="AD1108" s="53"/>
      <c r="AE1108" s="53"/>
      <c r="AF1108" s="53"/>
      <c r="AG1108" s="61"/>
      <c r="AH1108" s="53"/>
    </row>
    <row r="1109" spans="1:34" ht="11.25" customHeight="1" x14ac:dyDescent="0.15">
      <c r="A1109" s="130"/>
      <c r="B1109" s="130"/>
      <c r="C1109" s="124"/>
      <c r="D1109" s="124"/>
      <c r="E1109" s="273"/>
      <c r="F1109" s="124"/>
      <c r="G1109" s="124"/>
      <c r="H1109" s="124"/>
      <c r="I1109" s="124"/>
      <c r="J1109" s="124"/>
      <c r="K1109" s="125"/>
      <c r="L1109" s="220"/>
      <c r="M1109" s="220"/>
      <c r="N1109" s="220"/>
      <c r="O1109" s="128"/>
      <c r="P1109" s="220"/>
      <c r="Q1109" s="124"/>
      <c r="R1109" s="220"/>
      <c r="S1109" s="220"/>
      <c r="T1109" s="220"/>
      <c r="U1109" s="220"/>
      <c r="V1109" s="225"/>
      <c r="W1109" s="230"/>
      <c r="X1109" s="45"/>
      <c r="Y1109" s="128"/>
      <c r="Z1109" s="126"/>
      <c r="AA1109" s="128"/>
      <c r="AB1109" s="129"/>
      <c r="AC1109" s="160"/>
      <c r="AD1109" s="137"/>
      <c r="AE1109" s="110"/>
      <c r="AF1109" s="110"/>
      <c r="AG1109" s="121"/>
      <c r="AH1109" s="110"/>
    </row>
    <row r="1110" spans="1:34" ht="11.25" customHeight="1" x14ac:dyDescent="0.15">
      <c r="A1110" s="110" t="s">
        <v>576</v>
      </c>
      <c r="B1110" s="110"/>
      <c r="C1110" s="111" t="s">
        <v>37</v>
      </c>
      <c r="D1110" s="111">
        <v>2023</v>
      </c>
      <c r="E1110" s="146">
        <v>45107</v>
      </c>
      <c r="F1110" s="111"/>
      <c r="G1110" s="111">
        <v>12510112</v>
      </c>
      <c r="H1110" s="111"/>
      <c r="I1110" s="111" t="str">
        <f>MID(G1110,2,1)</f>
        <v>2</v>
      </c>
      <c r="J1110" s="111" t="s">
        <v>577</v>
      </c>
      <c r="K1110" s="112" t="s">
        <v>578</v>
      </c>
      <c r="L1110" s="120">
        <f>126642.83+534.21</f>
        <v>127177.04000000001</v>
      </c>
      <c r="M1110" s="120">
        <v>30658.2</v>
      </c>
      <c r="N1110" s="120">
        <f t="shared" ref="N1110:N1133" si="657">L1110-M1110</f>
        <v>96518.840000000011</v>
      </c>
      <c r="O1110" s="119">
        <f t="shared" ref="O1110:O1133" si="658">IFERROR(N1110/L1110,"")</f>
        <v>0.75893290172502836</v>
      </c>
      <c r="P1110" s="117">
        <v>125016.19</v>
      </c>
      <c r="Q1110" s="111">
        <v>1583</v>
      </c>
      <c r="R1110" s="117">
        <v>34</v>
      </c>
      <c r="S1110" s="117">
        <v>1324.24</v>
      </c>
      <c r="T1110" s="117"/>
      <c r="U1110" s="117">
        <v>32510.240000000002</v>
      </c>
      <c r="V1110" s="117"/>
      <c r="W1110" s="26">
        <f t="shared" ref="W1110:W1115" si="659">SUM(S1110:V1110)</f>
        <v>33834.480000000003</v>
      </c>
      <c r="X1110" s="118">
        <f t="shared" ref="X1110:X1115" si="660">IFERROR(S1110/R1110,"")</f>
        <v>38.948235294117644</v>
      </c>
      <c r="Y1110" s="119">
        <f t="shared" ref="Y1110:Y1115" si="661">U1110/P1110</f>
        <v>0.26004823855214271</v>
      </c>
      <c r="Z1110" s="117">
        <f t="shared" ref="Z1110:Z1115" si="662">P1110-W1110</f>
        <v>91181.709999999992</v>
      </c>
      <c r="AA1110" s="119">
        <f t="shared" ref="AA1110:AA1115" si="663">Z1110/P1110</f>
        <v>0.72935921339468102</v>
      </c>
      <c r="AB1110" s="120">
        <f t="shared" ref="AB1110:AB1133" si="664">M1110-W1110</f>
        <v>-3176.2800000000025</v>
      </c>
      <c r="AC1110" s="119">
        <f t="shared" ref="AC1110:AC1115" si="665">IFERROR(AA1110-O1110,"")</f>
        <v>-2.9573688330347347E-2</v>
      </c>
      <c r="AD1110" s="110" t="s">
        <v>579</v>
      </c>
      <c r="AE1110" s="110"/>
      <c r="AF1110" s="110"/>
      <c r="AG1110" s="121"/>
      <c r="AH1110" s="110"/>
    </row>
    <row r="1111" spans="1:34" ht="11.25" customHeight="1" x14ac:dyDescent="0.15">
      <c r="A1111" s="110" t="s">
        <v>576</v>
      </c>
      <c r="B1111" s="110"/>
      <c r="C1111" s="111" t="s">
        <v>37</v>
      </c>
      <c r="D1111" s="111">
        <v>2023</v>
      </c>
      <c r="E1111" s="146">
        <v>45107</v>
      </c>
      <c r="F1111" s="111"/>
      <c r="G1111" s="111">
        <v>13000000</v>
      </c>
      <c r="H1111" s="111"/>
      <c r="I1111" s="111"/>
      <c r="J1111" s="111"/>
      <c r="K1111" s="122" t="s">
        <v>580</v>
      </c>
      <c r="L1111" s="120">
        <v>83120.83</v>
      </c>
      <c r="M1111" s="120">
        <v>22092.29</v>
      </c>
      <c r="N1111" s="120">
        <f t="shared" si="657"/>
        <v>61028.54</v>
      </c>
      <c r="O1111" s="119">
        <f t="shared" si="658"/>
        <v>0.73421475699893757</v>
      </c>
      <c r="P1111" s="132">
        <v>83121</v>
      </c>
      <c r="Q1111" s="111">
        <v>1477</v>
      </c>
      <c r="R1111" s="132">
        <v>16.5</v>
      </c>
      <c r="S1111" s="132">
        <v>644.16</v>
      </c>
      <c r="T1111" s="132"/>
      <c r="U1111" s="132">
        <v>21548.32</v>
      </c>
      <c r="V1111" s="132"/>
      <c r="W1111" s="67">
        <f t="shared" si="659"/>
        <v>22192.48</v>
      </c>
      <c r="X1111" s="118">
        <f t="shared" si="660"/>
        <v>39.04</v>
      </c>
      <c r="Y1111" s="119">
        <f t="shared" si="661"/>
        <v>0.25924038449970527</v>
      </c>
      <c r="Z1111" s="117">
        <f t="shared" si="662"/>
        <v>60928.520000000004</v>
      </c>
      <c r="AA1111" s="119">
        <f t="shared" si="663"/>
        <v>0.73300994935094621</v>
      </c>
      <c r="AB1111" s="120">
        <f t="shared" si="664"/>
        <v>-100.18999999999869</v>
      </c>
      <c r="AC1111" s="119">
        <f t="shared" si="665"/>
        <v>-1.2048076479913572E-3</v>
      </c>
      <c r="AD1111" s="110"/>
      <c r="AE1111" s="110"/>
      <c r="AF1111" s="110"/>
      <c r="AG1111" s="121"/>
      <c r="AH1111" s="110"/>
    </row>
    <row r="1112" spans="1:34" ht="11.25" customHeight="1" x14ac:dyDescent="0.15">
      <c r="A1112" s="110" t="s">
        <v>576</v>
      </c>
      <c r="B1112" s="110"/>
      <c r="C1112" s="111" t="s">
        <v>37</v>
      </c>
      <c r="D1112" s="111">
        <v>2023</v>
      </c>
      <c r="E1112" s="146">
        <v>45107</v>
      </c>
      <c r="F1112" s="111"/>
      <c r="G1112" s="111">
        <v>21010011</v>
      </c>
      <c r="H1112" s="111"/>
      <c r="I1112" s="111"/>
      <c r="J1112" s="111"/>
      <c r="K1112" s="112" t="s">
        <v>439</v>
      </c>
      <c r="L1112" s="120">
        <v>16843.439999999999</v>
      </c>
      <c r="M1112" s="120">
        <v>5509.54</v>
      </c>
      <c r="N1112" s="120">
        <f t="shared" si="657"/>
        <v>11333.899999999998</v>
      </c>
      <c r="O1112" s="119">
        <f t="shared" si="658"/>
        <v>0.67289698541390586</v>
      </c>
      <c r="P1112" s="117">
        <v>19004.7</v>
      </c>
      <c r="Q1112" s="111">
        <v>1479</v>
      </c>
      <c r="R1112" s="117"/>
      <c r="S1112" s="117"/>
      <c r="T1112" s="117"/>
      <c r="U1112" s="117">
        <v>6870.39</v>
      </c>
      <c r="V1112" s="117"/>
      <c r="W1112" s="26">
        <f t="shared" si="659"/>
        <v>6870.39</v>
      </c>
      <c r="X1112" s="118" t="str">
        <f t="shared" si="660"/>
        <v/>
      </c>
      <c r="Y1112" s="119">
        <f t="shared" si="661"/>
        <v>0.36151004751456217</v>
      </c>
      <c r="Z1112" s="117">
        <f t="shared" si="662"/>
        <v>12134.310000000001</v>
      </c>
      <c r="AA1112" s="119">
        <f t="shared" si="663"/>
        <v>0.63848995248543783</v>
      </c>
      <c r="AB1112" s="120">
        <f t="shared" si="664"/>
        <v>-1360.8500000000004</v>
      </c>
      <c r="AC1112" s="119">
        <f t="shared" si="665"/>
        <v>-3.4407032928468029E-2</v>
      </c>
      <c r="AD1112" s="110" t="s">
        <v>581</v>
      </c>
      <c r="AE1112" s="110"/>
      <c r="AF1112" s="110"/>
      <c r="AG1112" s="121"/>
      <c r="AH1112" s="110"/>
    </row>
    <row r="1113" spans="1:34" ht="11.25" customHeight="1" x14ac:dyDescent="0.15">
      <c r="A1113" s="110" t="s">
        <v>576</v>
      </c>
      <c r="B1113" s="110"/>
      <c r="C1113" s="111" t="s">
        <v>37</v>
      </c>
      <c r="D1113" s="111">
        <v>2023</v>
      </c>
      <c r="E1113" s="146">
        <v>45107</v>
      </c>
      <c r="F1113" s="111"/>
      <c r="G1113" s="111">
        <v>21050011</v>
      </c>
      <c r="H1113" s="111"/>
      <c r="I1113" s="111"/>
      <c r="J1113" s="111"/>
      <c r="K1113" s="112" t="s">
        <v>582</v>
      </c>
      <c r="L1113" s="120">
        <v>27412.959999999999</v>
      </c>
      <c r="M1113" s="120">
        <v>8075.74</v>
      </c>
      <c r="N1113" s="120">
        <f t="shared" si="657"/>
        <v>19337.22</v>
      </c>
      <c r="O1113" s="119">
        <f t="shared" si="658"/>
        <v>0.70540430511699581</v>
      </c>
      <c r="P1113" s="117">
        <v>27412.97</v>
      </c>
      <c r="Q1113" s="111">
        <v>1480</v>
      </c>
      <c r="R1113" s="117"/>
      <c r="S1113" s="117"/>
      <c r="T1113" s="117"/>
      <c r="U1113" s="117">
        <v>7868.01</v>
      </c>
      <c r="V1113" s="117"/>
      <c r="W1113" s="26">
        <f t="shared" si="659"/>
        <v>7868.01</v>
      </c>
      <c r="X1113" s="118" t="str">
        <f t="shared" si="660"/>
        <v/>
      </c>
      <c r="Y1113" s="119">
        <f t="shared" si="661"/>
        <v>0.28701778756552099</v>
      </c>
      <c r="Z1113" s="117">
        <f t="shared" si="662"/>
        <v>19544.96</v>
      </c>
      <c r="AA1113" s="119">
        <f t="shared" si="663"/>
        <v>0.7129822124344789</v>
      </c>
      <c r="AB1113" s="120">
        <f t="shared" si="664"/>
        <v>207.72999999999956</v>
      </c>
      <c r="AC1113" s="119">
        <f t="shared" si="665"/>
        <v>7.5779073174830902E-3</v>
      </c>
      <c r="AD1113" s="110"/>
      <c r="AE1113" s="110"/>
      <c r="AF1113" s="110"/>
      <c r="AG1113" s="121"/>
      <c r="AH1113" s="110"/>
    </row>
    <row r="1114" spans="1:34" ht="11.25" customHeight="1" x14ac:dyDescent="0.15">
      <c r="A1114" s="110" t="s">
        <v>576</v>
      </c>
      <c r="B1114" s="110"/>
      <c r="C1114" s="111" t="s">
        <v>37</v>
      </c>
      <c r="D1114" s="111">
        <v>2023</v>
      </c>
      <c r="E1114" s="146">
        <v>45107</v>
      </c>
      <c r="F1114" s="111"/>
      <c r="G1114" s="111">
        <v>92510142</v>
      </c>
      <c r="H1114" s="111"/>
      <c r="I1114" s="111"/>
      <c r="J1114" s="111"/>
      <c r="K1114" s="112" t="s">
        <v>583</v>
      </c>
      <c r="L1114" s="120">
        <f>12470.13+1327</f>
        <v>13797.13</v>
      </c>
      <c r="M1114" s="120">
        <f>4119.84+464.38</f>
        <v>4584.22</v>
      </c>
      <c r="N1114" s="120">
        <f t="shared" si="657"/>
        <v>9212.91</v>
      </c>
      <c r="O1114" s="119">
        <f t="shared" si="658"/>
        <v>0.66774104469552731</v>
      </c>
      <c r="P1114" s="117">
        <v>13797.14</v>
      </c>
      <c r="Q1114" s="111">
        <v>1481</v>
      </c>
      <c r="R1114" s="117"/>
      <c r="S1114" s="117"/>
      <c r="T1114" s="117">
        <v>4473.82</v>
      </c>
      <c r="U1114" s="117"/>
      <c r="V1114" s="117"/>
      <c r="W1114" s="26">
        <f t="shared" si="659"/>
        <v>4473.82</v>
      </c>
      <c r="X1114" s="118" t="str">
        <f t="shared" si="660"/>
        <v/>
      </c>
      <c r="Y1114" s="119">
        <f t="shared" si="661"/>
        <v>0</v>
      </c>
      <c r="Z1114" s="117">
        <f t="shared" si="662"/>
        <v>9323.32</v>
      </c>
      <c r="AA1114" s="119">
        <f t="shared" si="663"/>
        <v>0.6757429438274889</v>
      </c>
      <c r="AB1114" s="120">
        <f t="shared" si="664"/>
        <v>110.40000000000055</v>
      </c>
      <c r="AC1114" s="119">
        <f t="shared" si="665"/>
        <v>8.0018991319615873E-3</v>
      </c>
      <c r="AD1114" s="110"/>
      <c r="AE1114" s="110"/>
      <c r="AF1114" s="110"/>
      <c r="AG1114" s="121"/>
      <c r="AH1114" s="110"/>
    </row>
    <row r="1115" spans="1:34" ht="11.25" customHeight="1" x14ac:dyDescent="0.15">
      <c r="A1115" s="110" t="s">
        <v>576</v>
      </c>
      <c r="B1115" s="110"/>
      <c r="C1115" s="111" t="s">
        <v>37</v>
      </c>
      <c r="D1115" s="111">
        <v>2023</v>
      </c>
      <c r="E1115" s="146">
        <v>45107</v>
      </c>
      <c r="F1115" s="111"/>
      <c r="G1115" s="111">
        <v>31080020</v>
      </c>
      <c r="H1115" s="111"/>
      <c r="I1115" s="111"/>
      <c r="J1115" s="111"/>
      <c r="K1115" s="112" t="s">
        <v>584</v>
      </c>
      <c r="L1115" s="120">
        <v>43159</v>
      </c>
      <c r="M1115" s="120">
        <v>14242.24</v>
      </c>
      <c r="N1115" s="120">
        <f t="shared" si="657"/>
        <v>28916.760000000002</v>
      </c>
      <c r="O1115" s="119">
        <f t="shared" si="658"/>
        <v>0.67000532913181499</v>
      </c>
      <c r="P1115" s="132">
        <v>43159</v>
      </c>
      <c r="Q1115" s="111">
        <v>1482</v>
      </c>
      <c r="R1115" s="132">
        <v>19</v>
      </c>
      <c r="S1115" s="132">
        <v>741.76</v>
      </c>
      <c r="T1115" s="132"/>
      <c r="U1115" s="132">
        <v>14774.65</v>
      </c>
      <c r="V1115" s="132"/>
      <c r="W1115" s="67">
        <f t="shared" si="659"/>
        <v>15516.41</v>
      </c>
      <c r="X1115" s="118">
        <f t="shared" si="660"/>
        <v>39.04</v>
      </c>
      <c r="Y1115" s="119">
        <f t="shared" si="661"/>
        <v>0.34233068421418478</v>
      </c>
      <c r="Z1115" s="117">
        <f t="shared" si="662"/>
        <v>27642.59</v>
      </c>
      <c r="AA1115" s="119">
        <f t="shared" si="663"/>
        <v>0.64048263398132488</v>
      </c>
      <c r="AB1115" s="120">
        <f t="shared" si="664"/>
        <v>-1274.17</v>
      </c>
      <c r="AC1115" s="119">
        <f t="shared" si="665"/>
        <v>-2.9522695150490108E-2</v>
      </c>
      <c r="AD1115" s="110"/>
      <c r="AE1115" s="110"/>
      <c r="AF1115" s="110"/>
      <c r="AG1115" s="121"/>
      <c r="AH1115" s="110"/>
    </row>
    <row r="1116" spans="1:34" s="53" customFormat="1" ht="11.25" customHeight="1" x14ac:dyDescent="0.15">
      <c r="A1116" s="53" t="s">
        <v>576</v>
      </c>
      <c r="C1116" s="54" t="s">
        <v>360</v>
      </c>
      <c r="D1116" s="54">
        <v>2023</v>
      </c>
      <c r="E1116" s="70">
        <v>45107</v>
      </c>
      <c r="F1116" s="54"/>
      <c r="I1116" s="111"/>
      <c r="J1116" s="111"/>
      <c r="L1116" s="97">
        <f>SUM(L1110:L1115)</f>
        <v>311510.39999999997</v>
      </c>
      <c r="M1116" s="97">
        <f>SUM(M1110:M1115)</f>
        <v>85162.23000000001</v>
      </c>
      <c r="N1116" s="92">
        <f t="shared" si="657"/>
        <v>226348.16999999995</v>
      </c>
      <c r="O1116" s="57">
        <f t="shared" si="658"/>
        <v>0.72661513066658445</v>
      </c>
      <c r="P1116" s="24">
        <f>SUM(P1110:P1115)</f>
        <v>311511</v>
      </c>
      <c r="Q1116" s="24"/>
      <c r="R1116" s="24">
        <f t="shared" ref="R1116:W1116" si="666">SUM(R1110:R1115)</f>
        <v>69.5</v>
      </c>
      <c r="S1116" s="24">
        <f t="shared" si="666"/>
        <v>2710.16</v>
      </c>
      <c r="T1116" s="24">
        <f t="shared" si="666"/>
        <v>4473.82</v>
      </c>
      <c r="U1116" s="24">
        <f t="shared" si="666"/>
        <v>83571.609999999986</v>
      </c>
      <c r="V1116" s="24">
        <f t="shared" si="666"/>
        <v>0</v>
      </c>
      <c r="W1116" s="24">
        <f t="shared" si="666"/>
        <v>90755.59</v>
      </c>
      <c r="X1116" s="118"/>
      <c r="Y1116" s="119"/>
      <c r="Z1116" s="117"/>
      <c r="AA1116" s="119"/>
      <c r="AB1116" s="120">
        <f t="shared" si="664"/>
        <v>-5593.359999999986</v>
      </c>
      <c r="AC1116" s="119"/>
      <c r="AG1116" s="61"/>
    </row>
    <row r="1117" spans="1:34" ht="11.25" customHeight="1" x14ac:dyDescent="0.15">
      <c r="A1117" s="110" t="s">
        <v>576</v>
      </c>
      <c r="B1117" s="110"/>
      <c r="C1117" s="111" t="s">
        <v>248</v>
      </c>
      <c r="D1117" s="111">
        <v>2023</v>
      </c>
      <c r="E1117" s="146">
        <v>45107</v>
      </c>
      <c r="F1117" s="236"/>
      <c r="G1117" s="111">
        <v>96000000</v>
      </c>
      <c r="H1117" s="111"/>
      <c r="I1117" s="111"/>
      <c r="J1117" s="111"/>
      <c r="K1117" s="112" t="s">
        <v>250</v>
      </c>
      <c r="L1117" s="120">
        <v>21238.66</v>
      </c>
      <c r="M1117" s="120">
        <v>10619.5</v>
      </c>
      <c r="N1117" s="120">
        <f t="shared" si="657"/>
        <v>10619.16</v>
      </c>
      <c r="O1117" s="119">
        <f t="shared" si="658"/>
        <v>0.49999199572854408</v>
      </c>
      <c r="P1117" s="117">
        <v>21239</v>
      </c>
      <c r="Q1117" s="111">
        <v>1484</v>
      </c>
      <c r="R1117" s="117">
        <v>14.5</v>
      </c>
      <c r="S1117" s="117">
        <v>819.98</v>
      </c>
      <c r="T1117" s="117"/>
      <c r="U1117" s="117"/>
      <c r="V1117" s="117"/>
      <c r="W1117" s="26">
        <f t="shared" ref="W1117:W1122" si="667">SUM(S1117:V1117)</f>
        <v>819.98</v>
      </c>
      <c r="X1117" s="118">
        <f>IFERROR(S1117/R1117,"")</f>
        <v>56.550344827586208</v>
      </c>
      <c r="Y1117" s="119">
        <f t="shared" ref="Y1117:Y1133" si="668">U1117/P1117</f>
        <v>0</v>
      </c>
      <c r="Z1117" s="117">
        <f t="shared" ref="Z1117:Z1133" si="669">P1117-W1117</f>
        <v>20419.02</v>
      </c>
      <c r="AA1117" s="119">
        <f t="shared" ref="AA1117:AA1133" si="670">Z1117/P1117</f>
        <v>0.96139272093789729</v>
      </c>
      <c r="AB1117" s="120">
        <f t="shared" si="664"/>
        <v>9799.52</v>
      </c>
      <c r="AC1117" s="119">
        <f t="shared" ref="AC1117:AC1133" si="671">IFERROR(AA1117-O1117,"")</f>
        <v>0.46140072520935321</v>
      </c>
      <c r="AD1117" s="110"/>
      <c r="AE1117" s="110"/>
      <c r="AF1117" s="110"/>
      <c r="AG1117" s="121"/>
      <c r="AH1117" s="110"/>
    </row>
    <row r="1118" spans="1:34" ht="11.25" customHeight="1" x14ac:dyDescent="0.15">
      <c r="A1118" s="110" t="s">
        <v>576</v>
      </c>
      <c r="B1118" s="110"/>
      <c r="C1118" s="111" t="s">
        <v>47</v>
      </c>
      <c r="D1118" s="111">
        <v>2023</v>
      </c>
      <c r="E1118" s="146">
        <v>45107</v>
      </c>
      <c r="F1118" s="111"/>
      <c r="G1118" s="111">
        <v>52510112</v>
      </c>
      <c r="H1118" s="111"/>
      <c r="I1118" s="111"/>
      <c r="J1118" s="111"/>
      <c r="K1118" s="112" t="s">
        <v>585</v>
      </c>
      <c r="L1118" s="120">
        <v>33892.46</v>
      </c>
      <c r="M1118" s="120">
        <v>14002.36</v>
      </c>
      <c r="N1118" s="120">
        <f t="shared" si="657"/>
        <v>19890.099999999999</v>
      </c>
      <c r="O1118" s="119">
        <f t="shared" si="658"/>
        <v>0.58685914212187607</v>
      </c>
      <c r="P1118" s="132">
        <v>33893</v>
      </c>
      <c r="Q1118" s="111">
        <v>1483</v>
      </c>
      <c r="R1118" s="132">
        <v>133</v>
      </c>
      <c r="S1118" s="132">
        <v>6106.05</v>
      </c>
      <c r="T1118" s="132">
        <v>6397.39</v>
      </c>
      <c r="U1118" s="132">
        <v>4723.7299999999996</v>
      </c>
      <c r="V1118" s="132"/>
      <c r="W1118" s="67">
        <f t="shared" si="667"/>
        <v>17227.169999999998</v>
      </c>
      <c r="X1118" s="118" t="str">
        <f>IFERROR(#REF!/S1118,"")</f>
        <v/>
      </c>
      <c r="Y1118" s="119">
        <f t="shared" si="668"/>
        <v>0.1393718466940076</v>
      </c>
      <c r="Z1118" s="117">
        <f t="shared" si="669"/>
        <v>16665.830000000002</v>
      </c>
      <c r="AA1118" s="119">
        <f t="shared" si="670"/>
        <v>0.49171893901395575</v>
      </c>
      <c r="AB1118" s="120">
        <f t="shared" si="664"/>
        <v>-3224.8099999999977</v>
      </c>
      <c r="AC1118" s="119">
        <f t="shared" si="671"/>
        <v>-9.5140203107920318E-2</v>
      </c>
      <c r="AD1118" s="110" t="s">
        <v>586</v>
      </c>
      <c r="AE1118" s="110"/>
      <c r="AF1118" s="110"/>
      <c r="AG1118" s="121"/>
      <c r="AH1118" s="110"/>
    </row>
    <row r="1119" spans="1:34" ht="11.25" customHeight="1" x14ac:dyDescent="0.15">
      <c r="A1119" s="110" t="s">
        <v>576</v>
      </c>
      <c r="B1119" s="110"/>
      <c r="C1119" s="111" t="s">
        <v>49</v>
      </c>
      <c r="D1119" s="111">
        <v>2023</v>
      </c>
      <c r="E1119" s="146">
        <v>45107</v>
      </c>
      <c r="F1119" s="111"/>
      <c r="G1119" s="111">
        <v>60642012</v>
      </c>
      <c r="H1119" s="111"/>
      <c r="I1119" s="111"/>
      <c r="J1119" s="111"/>
      <c r="K1119" s="112" t="s">
        <v>453</v>
      </c>
      <c r="L1119" s="120">
        <v>19488</v>
      </c>
      <c r="M1119" s="120">
        <v>4572.58</v>
      </c>
      <c r="N1119" s="120">
        <f t="shared" si="657"/>
        <v>14915.42</v>
      </c>
      <c r="O1119" s="119">
        <f t="shared" si="658"/>
        <v>0.76536432676518884</v>
      </c>
      <c r="P1119" s="117">
        <v>19488</v>
      </c>
      <c r="Q1119" s="111">
        <v>1488</v>
      </c>
      <c r="R1119" s="117">
        <v>105</v>
      </c>
      <c r="S1119" s="117">
        <v>5937.75</v>
      </c>
      <c r="T1119" s="117">
        <v>4023.66</v>
      </c>
      <c r="U1119" s="117"/>
      <c r="V1119" s="117"/>
      <c r="W1119" s="26">
        <f t="shared" si="667"/>
        <v>9961.41</v>
      </c>
      <c r="X1119" s="118">
        <f t="shared" ref="X1119:X1133" si="672">IFERROR(S1119/R1119,"")</f>
        <v>56.55</v>
      </c>
      <c r="Y1119" s="119">
        <f t="shared" si="668"/>
        <v>0</v>
      </c>
      <c r="Z1119" s="117">
        <f t="shared" si="669"/>
        <v>9526.59</v>
      </c>
      <c r="AA1119" s="119">
        <f t="shared" si="670"/>
        <v>0.48884390394088673</v>
      </c>
      <c r="AB1119" s="120">
        <f t="shared" si="664"/>
        <v>-5388.83</v>
      </c>
      <c r="AC1119" s="119">
        <f t="shared" si="671"/>
        <v>-0.27652042282430211</v>
      </c>
      <c r="AD1119" s="110" t="s">
        <v>587</v>
      </c>
      <c r="AE1119" s="110"/>
      <c r="AF1119" s="110"/>
      <c r="AG1119" s="121"/>
      <c r="AH1119" s="110"/>
    </row>
    <row r="1120" spans="1:34" ht="11.25" customHeight="1" x14ac:dyDescent="0.15">
      <c r="A1120" s="110" t="s">
        <v>576</v>
      </c>
      <c r="B1120" s="110"/>
      <c r="C1120" s="111" t="s">
        <v>58</v>
      </c>
      <c r="D1120" s="111">
        <v>2023</v>
      </c>
      <c r="E1120" s="146">
        <v>45107</v>
      </c>
      <c r="F1120" s="111"/>
      <c r="G1120" s="111">
        <v>73142012</v>
      </c>
      <c r="H1120" s="111"/>
      <c r="I1120" s="111"/>
      <c r="J1120" s="111"/>
      <c r="K1120" s="112" t="s">
        <v>588</v>
      </c>
      <c r="L1120" s="120">
        <v>20712</v>
      </c>
      <c r="M1120" s="120">
        <v>2071</v>
      </c>
      <c r="N1120" s="120">
        <f t="shared" si="657"/>
        <v>18641</v>
      </c>
      <c r="O1120" s="119">
        <f t="shared" si="658"/>
        <v>0.90000965623792972</v>
      </c>
      <c r="P1120" s="117">
        <v>20547</v>
      </c>
      <c r="Q1120" s="111"/>
      <c r="R1120" s="117"/>
      <c r="S1120" s="117"/>
      <c r="T1120" s="117"/>
      <c r="U1120" s="117"/>
      <c r="V1120" s="117"/>
      <c r="W1120" s="26">
        <f t="shared" si="667"/>
        <v>0</v>
      </c>
      <c r="X1120" s="118" t="str">
        <f t="shared" si="672"/>
        <v/>
      </c>
      <c r="Y1120" s="119">
        <f t="shared" si="668"/>
        <v>0</v>
      </c>
      <c r="Z1120" s="117">
        <f t="shared" si="669"/>
        <v>20547</v>
      </c>
      <c r="AA1120" s="119">
        <f t="shared" si="670"/>
        <v>1</v>
      </c>
      <c r="AB1120" s="120">
        <f t="shared" si="664"/>
        <v>2071</v>
      </c>
      <c r="AC1120" s="119">
        <f t="shared" si="671"/>
        <v>9.9990343762070277E-2</v>
      </c>
      <c r="AD1120" s="110"/>
      <c r="AE1120" s="110"/>
      <c r="AF1120" s="110"/>
      <c r="AG1120" s="121"/>
      <c r="AH1120" s="110"/>
    </row>
    <row r="1121" spans="1:34" ht="11.25" customHeight="1" x14ac:dyDescent="0.15">
      <c r="A1121" s="110" t="s">
        <v>576</v>
      </c>
      <c r="B1121" s="110"/>
      <c r="C1121" s="111" t="s">
        <v>58</v>
      </c>
      <c r="D1121" s="111">
        <v>2023</v>
      </c>
      <c r="E1121" s="146">
        <v>45107</v>
      </c>
      <c r="F1121" s="111"/>
      <c r="G1121" s="111">
        <v>72142012</v>
      </c>
      <c r="H1121" s="111"/>
      <c r="I1121" s="111"/>
      <c r="J1121" s="111"/>
      <c r="K1121" s="112" t="s">
        <v>589</v>
      </c>
      <c r="L1121" s="120">
        <v>26804</v>
      </c>
      <c r="M1121" s="120">
        <v>2680.4</v>
      </c>
      <c r="N1121" s="120">
        <f t="shared" si="657"/>
        <v>24123.599999999999</v>
      </c>
      <c r="O1121" s="119">
        <f t="shared" si="658"/>
        <v>0.89999999999999991</v>
      </c>
      <c r="P1121" s="132">
        <v>26969</v>
      </c>
      <c r="Q1121" s="111">
        <v>1801</v>
      </c>
      <c r="R1121" s="132"/>
      <c r="S1121" s="132"/>
      <c r="T1121" s="132"/>
      <c r="U1121" s="132">
        <v>2148.59</v>
      </c>
      <c r="V1121" s="132"/>
      <c r="W1121" s="67">
        <f t="shared" si="667"/>
        <v>2148.59</v>
      </c>
      <c r="X1121" s="118" t="str">
        <f t="shared" si="672"/>
        <v/>
      </c>
      <c r="Y1121" s="119">
        <f t="shared" si="668"/>
        <v>7.9668879083392041E-2</v>
      </c>
      <c r="Z1121" s="117">
        <f t="shared" si="669"/>
        <v>24820.41</v>
      </c>
      <c r="AA1121" s="119">
        <f t="shared" si="670"/>
        <v>0.92033112091660796</v>
      </c>
      <c r="AB1121" s="120">
        <f t="shared" si="664"/>
        <v>531.80999999999995</v>
      </c>
      <c r="AC1121" s="119">
        <f t="shared" si="671"/>
        <v>2.0331120916608048E-2</v>
      </c>
      <c r="AD1121" s="110"/>
      <c r="AE1121" s="110"/>
      <c r="AF1121" s="110"/>
      <c r="AG1121" s="121"/>
      <c r="AH1121" s="110"/>
    </row>
    <row r="1122" spans="1:34" ht="11.25" customHeight="1" x14ac:dyDescent="0.15">
      <c r="A1122" s="110" t="s">
        <v>576</v>
      </c>
      <c r="B1122" s="110"/>
      <c r="C1122" s="111" t="s">
        <v>55</v>
      </c>
      <c r="D1122" s="111">
        <v>2023</v>
      </c>
      <c r="E1122" s="146">
        <v>45107</v>
      </c>
      <c r="F1122" s="111"/>
      <c r="G1122" s="111" t="s">
        <v>56</v>
      </c>
      <c r="H1122" s="111"/>
      <c r="I1122" s="111"/>
      <c r="J1122" s="111"/>
      <c r="K1122" s="112" t="s">
        <v>71</v>
      </c>
      <c r="L1122" s="120">
        <f t="shared" ref="L1122:L1132" si="673">P1122</f>
        <v>12368</v>
      </c>
      <c r="M1122" s="120">
        <v>6183.6</v>
      </c>
      <c r="N1122" s="120">
        <f t="shared" si="657"/>
        <v>6184.4</v>
      </c>
      <c r="O1122" s="119">
        <f t="shared" si="658"/>
        <v>0.50003234152651999</v>
      </c>
      <c r="P1122" s="117">
        <v>12368</v>
      </c>
      <c r="Q1122" s="111">
        <v>1485</v>
      </c>
      <c r="R1122" s="117">
        <v>28.5</v>
      </c>
      <c r="S1122" s="117">
        <v>1211.25</v>
      </c>
      <c r="T1122" s="117"/>
      <c r="U1122" s="117"/>
      <c r="V1122" s="117">
        <v>6930.37</v>
      </c>
      <c r="W1122" s="26">
        <f t="shared" si="667"/>
        <v>8141.62</v>
      </c>
      <c r="X1122" s="118">
        <f t="shared" si="672"/>
        <v>42.5</v>
      </c>
      <c r="Y1122" s="119">
        <f t="shared" si="668"/>
        <v>0</v>
      </c>
      <c r="Z1122" s="117">
        <f t="shared" si="669"/>
        <v>4226.38</v>
      </c>
      <c r="AA1122" s="119">
        <f t="shared" si="670"/>
        <v>0.34171895213454073</v>
      </c>
      <c r="AB1122" s="120">
        <f t="shared" si="664"/>
        <v>-1958.0199999999995</v>
      </c>
      <c r="AC1122" s="119">
        <f t="shared" si="671"/>
        <v>-0.15831338939197925</v>
      </c>
      <c r="AD1122" s="110" t="s">
        <v>590</v>
      </c>
      <c r="AE1122" s="110"/>
      <c r="AF1122" s="110"/>
      <c r="AG1122" s="121"/>
      <c r="AH1122" s="110"/>
    </row>
    <row r="1123" spans="1:34" ht="11.25" customHeight="1" x14ac:dyDescent="0.15">
      <c r="A1123" s="110" t="s">
        <v>576</v>
      </c>
      <c r="B1123" s="110"/>
      <c r="C1123" s="111" t="s">
        <v>58</v>
      </c>
      <c r="D1123" s="111">
        <v>2023</v>
      </c>
      <c r="E1123" s="146" t="s">
        <v>591</v>
      </c>
      <c r="F1123" s="111"/>
      <c r="G1123" s="111">
        <v>73142012</v>
      </c>
      <c r="H1123" s="111"/>
      <c r="I1123" s="111"/>
      <c r="J1123" s="111"/>
      <c r="K1123" s="112" t="s">
        <v>588</v>
      </c>
      <c r="L1123" s="120">
        <f t="shared" si="673"/>
        <v>110733</v>
      </c>
      <c r="M1123" s="120">
        <f>L1123*0.1</f>
        <v>11073.300000000001</v>
      </c>
      <c r="N1123" s="120">
        <f t="shared" si="657"/>
        <v>99659.7</v>
      </c>
      <c r="O1123" s="119">
        <f t="shared" si="658"/>
        <v>0.9</v>
      </c>
      <c r="P1123" s="117">
        <f>131280-P1120</f>
        <v>110733</v>
      </c>
      <c r="Q1123" s="111"/>
      <c r="R1123" s="117"/>
      <c r="S1123" s="117"/>
      <c r="T1123" s="117"/>
      <c r="U1123" s="117"/>
      <c r="V1123" s="117"/>
      <c r="X1123" s="118" t="str">
        <f t="shared" si="672"/>
        <v/>
      </c>
      <c r="Y1123" s="119">
        <f t="shared" si="668"/>
        <v>0</v>
      </c>
      <c r="Z1123" s="117">
        <f t="shared" si="669"/>
        <v>110733</v>
      </c>
      <c r="AA1123" s="119">
        <f t="shared" si="670"/>
        <v>1</v>
      </c>
      <c r="AB1123" s="120">
        <f t="shared" si="664"/>
        <v>11073.300000000001</v>
      </c>
      <c r="AC1123" s="119">
        <f t="shared" si="671"/>
        <v>9.9999999999999978E-2</v>
      </c>
      <c r="AD1123" s="110"/>
      <c r="AE1123" s="110"/>
      <c r="AF1123" s="110"/>
      <c r="AG1123" s="121"/>
      <c r="AH1123" s="110"/>
    </row>
    <row r="1124" spans="1:34" ht="11.25" customHeight="1" x14ac:dyDescent="0.15">
      <c r="A1124" s="110" t="s">
        <v>576</v>
      </c>
      <c r="B1124" s="110"/>
      <c r="C1124" s="111" t="s">
        <v>58</v>
      </c>
      <c r="D1124" s="111">
        <v>2023</v>
      </c>
      <c r="E1124" s="146" t="s">
        <v>591</v>
      </c>
      <c r="F1124" s="111"/>
      <c r="G1124" s="111">
        <v>72142012</v>
      </c>
      <c r="H1124" s="111"/>
      <c r="I1124" s="111"/>
      <c r="J1124" s="111"/>
      <c r="K1124" s="112" t="s">
        <v>589</v>
      </c>
      <c r="L1124" s="120">
        <f t="shared" si="673"/>
        <v>104311</v>
      </c>
      <c r="M1124" s="120">
        <f>L1124*0.1</f>
        <v>10431.1</v>
      </c>
      <c r="N1124" s="120">
        <f t="shared" si="657"/>
        <v>93879.9</v>
      </c>
      <c r="O1124" s="119">
        <f t="shared" si="658"/>
        <v>0.89999999999999991</v>
      </c>
      <c r="P1124" s="132">
        <f>131280-P1121</f>
        <v>104311</v>
      </c>
      <c r="Q1124" s="111"/>
      <c r="R1124" s="132"/>
      <c r="S1124" s="132"/>
      <c r="T1124" s="132"/>
      <c r="U1124" s="132"/>
      <c r="V1124" s="132"/>
      <c r="W1124" s="67"/>
      <c r="X1124" s="118" t="str">
        <f t="shared" si="672"/>
        <v/>
      </c>
      <c r="Y1124" s="119">
        <f t="shared" si="668"/>
        <v>0</v>
      </c>
      <c r="Z1124" s="117">
        <f t="shared" si="669"/>
        <v>104311</v>
      </c>
      <c r="AA1124" s="119">
        <f t="shared" si="670"/>
        <v>1</v>
      </c>
      <c r="AB1124" s="120">
        <f t="shared" si="664"/>
        <v>10431.1</v>
      </c>
      <c r="AC1124" s="119">
        <f t="shared" si="671"/>
        <v>0.10000000000000009</v>
      </c>
      <c r="AD1124" s="110"/>
      <c r="AE1124" s="110"/>
      <c r="AF1124" s="110"/>
      <c r="AG1124" s="121"/>
      <c r="AH1124" s="110"/>
    </row>
    <row r="1125" spans="1:34" ht="11.25" customHeight="1" x14ac:dyDescent="0.15">
      <c r="A1125" s="110" t="s">
        <v>576</v>
      </c>
      <c r="B1125" s="110"/>
      <c r="C1125" s="111" t="s">
        <v>61</v>
      </c>
      <c r="D1125" s="111">
        <v>2023</v>
      </c>
      <c r="E1125" s="146" t="s">
        <v>591</v>
      </c>
      <c r="F1125" s="111"/>
      <c r="G1125" s="111">
        <v>80100011</v>
      </c>
      <c r="H1125" s="111"/>
      <c r="I1125" s="111" t="str">
        <f t="shared" ref="I1125:I1132" si="674">MID(G1125,2,1)</f>
        <v>0</v>
      </c>
      <c r="J1125" s="111" t="s">
        <v>502</v>
      </c>
      <c r="K1125" s="112" t="s">
        <v>503</v>
      </c>
      <c r="L1125" s="120">
        <f t="shared" si="673"/>
        <v>10672</v>
      </c>
      <c r="M1125" s="120">
        <f t="shared" ref="M1125:M1132" si="675">L1125*0.3</f>
        <v>3201.6</v>
      </c>
      <c r="N1125" s="120">
        <f t="shared" si="657"/>
        <v>7470.4</v>
      </c>
      <c r="O1125" s="119">
        <f t="shared" si="658"/>
        <v>0.7</v>
      </c>
      <c r="P1125" s="117">
        <v>10672</v>
      </c>
      <c r="Q1125" s="111"/>
      <c r="R1125" s="117"/>
      <c r="S1125" s="117"/>
      <c r="T1125" s="117"/>
      <c r="U1125" s="117"/>
      <c r="V1125" s="117"/>
      <c r="X1125" s="118" t="str">
        <f t="shared" si="672"/>
        <v/>
      </c>
      <c r="Y1125" s="119">
        <f t="shared" si="668"/>
        <v>0</v>
      </c>
      <c r="Z1125" s="117">
        <f t="shared" si="669"/>
        <v>10672</v>
      </c>
      <c r="AA1125" s="119">
        <f t="shared" si="670"/>
        <v>1</v>
      </c>
      <c r="AB1125" s="120">
        <f t="shared" si="664"/>
        <v>3201.6</v>
      </c>
      <c r="AC1125" s="119">
        <f t="shared" si="671"/>
        <v>0.30000000000000004</v>
      </c>
      <c r="AD1125" s="110"/>
      <c r="AE1125" s="110"/>
      <c r="AF1125" s="110"/>
      <c r="AG1125" s="121"/>
      <c r="AH1125" s="110"/>
    </row>
    <row r="1126" spans="1:34" ht="11.25" customHeight="1" x14ac:dyDescent="0.15">
      <c r="A1126" s="110" t="s">
        <v>576</v>
      </c>
      <c r="B1126" s="110"/>
      <c r="C1126" s="111" t="s">
        <v>61</v>
      </c>
      <c r="D1126" s="111">
        <v>2023</v>
      </c>
      <c r="E1126" s="146" t="s">
        <v>591</v>
      </c>
      <c r="F1126" s="111"/>
      <c r="G1126" s="111">
        <v>81100011</v>
      </c>
      <c r="H1126" s="111"/>
      <c r="I1126" s="111" t="str">
        <f t="shared" si="674"/>
        <v>1</v>
      </c>
      <c r="J1126" s="111" t="str">
        <f>IF(I1126="1","Small/Medium","Large")</f>
        <v>Small/Medium</v>
      </c>
      <c r="K1126" s="147" t="s">
        <v>145</v>
      </c>
      <c r="L1126" s="120">
        <f t="shared" si="673"/>
        <v>10672</v>
      </c>
      <c r="M1126" s="120">
        <f t="shared" si="675"/>
        <v>3201.6</v>
      </c>
      <c r="N1126" s="120">
        <f t="shared" si="657"/>
        <v>7470.4</v>
      </c>
      <c r="O1126" s="119">
        <f t="shared" si="658"/>
        <v>0.7</v>
      </c>
      <c r="P1126" s="117">
        <v>10672</v>
      </c>
      <c r="Q1126" s="111"/>
      <c r="R1126" s="117"/>
      <c r="S1126" s="117"/>
      <c r="T1126" s="117"/>
      <c r="U1126" s="117"/>
      <c r="V1126" s="117"/>
      <c r="X1126" s="118" t="str">
        <f t="shared" si="672"/>
        <v/>
      </c>
      <c r="Y1126" s="119">
        <f t="shared" si="668"/>
        <v>0</v>
      </c>
      <c r="Z1126" s="117">
        <f t="shared" si="669"/>
        <v>10672</v>
      </c>
      <c r="AA1126" s="119">
        <f t="shared" si="670"/>
        <v>1</v>
      </c>
      <c r="AB1126" s="120">
        <f t="shared" si="664"/>
        <v>3201.6</v>
      </c>
      <c r="AC1126" s="119">
        <f t="shared" si="671"/>
        <v>0.30000000000000004</v>
      </c>
      <c r="AD1126" s="110"/>
      <c r="AE1126" s="110"/>
      <c r="AF1126" s="110"/>
      <c r="AG1126" s="121"/>
      <c r="AH1126" s="110"/>
    </row>
    <row r="1127" spans="1:34" ht="11.25" customHeight="1" x14ac:dyDescent="0.15">
      <c r="A1127" s="110" t="s">
        <v>576</v>
      </c>
      <c r="B1127" s="110"/>
      <c r="C1127" s="111" t="s">
        <v>61</v>
      </c>
      <c r="D1127" s="111">
        <v>2023</v>
      </c>
      <c r="E1127" s="146" t="s">
        <v>591</v>
      </c>
      <c r="F1127" s="111"/>
      <c r="G1127" s="111">
        <v>80100011</v>
      </c>
      <c r="H1127" s="111"/>
      <c r="I1127" s="111" t="str">
        <f t="shared" si="674"/>
        <v>0</v>
      </c>
      <c r="J1127" s="111" t="s">
        <v>502</v>
      </c>
      <c r="K1127" s="112" t="s">
        <v>503</v>
      </c>
      <c r="L1127" s="120">
        <f t="shared" si="673"/>
        <v>10672</v>
      </c>
      <c r="M1127" s="120">
        <f t="shared" si="675"/>
        <v>3201.6</v>
      </c>
      <c r="N1127" s="120">
        <f t="shared" si="657"/>
        <v>7470.4</v>
      </c>
      <c r="O1127" s="119">
        <f t="shared" si="658"/>
        <v>0.7</v>
      </c>
      <c r="P1127" s="132">
        <v>10672</v>
      </c>
      <c r="Q1127" s="111"/>
      <c r="R1127" s="132"/>
      <c r="S1127" s="132"/>
      <c r="T1127" s="132"/>
      <c r="U1127" s="132"/>
      <c r="V1127" s="132"/>
      <c r="W1127" s="67"/>
      <c r="X1127" s="118" t="str">
        <f t="shared" si="672"/>
        <v/>
      </c>
      <c r="Y1127" s="119">
        <f t="shared" si="668"/>
        <v>0</v>
      </c>
      <c r="Z1127" s="117">
        <f t="shared" si="669"/>
        <v>10672</v>
      </c>
      <c r="AA1127" s="119">
        <f t="shared" si="670"/>
        <v>1</v>
      </c>
      <c r="AB1127" s="120">
        <f t="shared" si="664"/>
        <v>3201.6</v>
      </c>
      <c r="AC1127" s="119">
        <f t="shared" si="671"/>
        <v>0.30000000000000004</v>
      </c>
      <c r="AD1127" s="110"/>
      <c r="AE1127" s="110"/>
      <c r="AF1127" s="110"/>
      <c r="AG1127" s="121"/>
      <c r="AH1127" s="110"/>
    </row>
    <row r="1128" spans="1:34" ht="11.25" customHeight="1" x14ac:dyDescent="0.15">
      <c r="A1128" s="110" t="s">
        <v>576</v>
      </c>
      <c r="B1128" s="110"/>
      <c r="C1128" s="111" t="s">
        <v>61</v>
      </c>
      <c r="D1128" s="111">
        <v>2023</v>
      </c>
      <c r="E1128" s="146" t="s">
        <v>591</v>
      </c>
      <c r="F1128" s="111"/>
      <c r="G1128" s="111">
        <v>81100011</v>
      </c>
      <c r="H1128" s="111"/>
      <c r="I1128" s="111" t="str">
        <f t="shared" si="674"/>
        <v>1</v>
      </c>
      <c r="J1128" s="111" t="str">
        <f>IF(I1128="1","Small/Medium","Large")</f>
        <v>Small/Medium</v>
      </c>
      <c r="K1128" s="147" t="s">
        <v>145</v>
      </c>
      <c r="L1128" s="120">
        <f t="shared" si="673"/>
        <v>10672</v>
      </c>
      <c r="M1128" s="120">
        <f t="shared" si="675"/>
        <v>3201.6</v>
      </c>
      <c r="N1128" s="120">
        <f t="shared" si="657"/>
        <v>7470.4</v>
      </c>
      <c r="O1128" s="119">
        <f t="shared" si="658"/>
        <v>0.7</v>
      </c>
      <c r="P1128" s="117">
        <v>10672</v>
      </c>
      <c r="Q1128" s="196"/>
      <c r="R1128" s="117"/>
      <c r="S1128" s="117"/>
      <c r="T1128" s="117"/>
      <c r="U1128" s="117"/>
      <c r="V1128" s="117"/>
      <c r="X1128" s="118" t="str">
        <f t="shared" si="672"/>
        <v/>
      </c>
      <c r="Y1128" s="119">
        <f t="shared" si="668"/>
        <v>0</v>
      </c>
      <c r="Z1128" s="117">
        <f t="shared" si="669"/>
        <v>10672</v>
      </c>
      <c r="AA1128" s="119">
        <f t="shared" si="670"/>
        <v>1</v>
      </c>
      <c r="AB1128" s="120">
        <f t="shared" si="664"/>
        <v>3201.6</v>
      </c>
      <c r="AC1128" s="119">
        <f t="shared" si="671"/>
        <v>0.30000000000000004</v>
      </c>
      <c r="AD1128" s="110"/>
      <c r="AE1128" s="110"/>
      <c r="AF1128" s="110"/>
      <c r="AG1128" s="121"/>
      <c r="AH1128" s="110"/>
    </row>
    <row r="1129" spans="1:34" ht="11.25" customHeight="1" x14ac:dyDescent="0.15">
      <c r="A1129" s="110" t="s">
        <v>576</v>
      </c>
      <c r="B1129" s="110"/>
      <c r="C1129" s="111" t="s">
        <v>61</v>
      </c>
      <c r="D1129" s="111">
        <v>2023</v>
      </c>
      <c r="E1129" s="146" t="s">
        <v>591</v>
      </c>
      <c r="F1129" s="111"/>
      <c r="G1129" s="111">
        <v>80100011</v>
      </c>
      <c r="H1129" s="111"/>
      <c r="I1129" s="111" t="str">
        <f t="shared" si="674"/>
        <v>0</v>
      </c>
      <c r="J1129" s="111" t="s">
        <v>502</v>
      </c>
      <c r="K1129" s="112" t="s">
        <v>503</v>
      </c>
      <c r="L1129" s="120">
        <f t="shared" si="673"/>
        <v>10672</v>
      </c>
      <c r="M1129" s="120">
        <f t="shared" si="675"/>
        <v>3201.6</v>
      </c>
      <c r="N1129" s="120">
        <f t="shared" si="657"/>
        <v>7470.4</v>
      </c>
      <c r="O1129" s="119">
        <f t="shared" si="658"/>
        <v>0.7</v>
      </c>
      <c r="P1129" s="117">
        <v>10672</v>
      </c>
      <c r="Q1129" s="111"/>
      <c r="R1129" s="117"/>
      <c r="S1129" s="117"/>
      <c r="T1129" s="117"/>
      <c r="U1129" s="117"/>
      <c r="V1129" s="117"/>
      <c r="X1129" s="118" t="str">
        <f t="shared" si="672"/>
        <v/>
      </c>
      <c r="Y1129" s="119">
        <f t="shared" si="668"/>
        <v>0</v>
      </c>
      <c r="Z1129" s="117">
        <f t="shared" si="669"/>
        <v>10672</v>
      </c>
      <c r="AA1129" s="119">
        <f t="shared" si="670"/>
        <v>1</v>
      </c>
      <c r="AB1129" s="120">
        <f t="shared" si="664"/>
        <v>3201.6</v>
      </c>
      <c r="AC1129" s="119">
        <f t="shared" si="671"/>
        <v>0.30000000000000004</v>
      </c>
      <c r="AD1129" s="110"/>
      <c r="AE1129" s="110"/>
      <c r="AF1129" s="110"/>
      <c r="AG1129" s="121"/>
      <c r="AH1129" s="110"/>
    </row>
    <row r="1130" spans="1:34" ht="11.25" customHeight="1" x14ac:dyDescent="0.15">
      <c r="A1130" s="110" t="s">
        <v>576</v>
      </c>
      <c r="B1130" s="110"/>
      <c r="C1130" s="111" t="s">
        <v>61</v>
      </c>
      <c r="D1130" s="111">
        <v>2023</v>
      </c>
      <c r="E1130" s="146" t="s">
        <v>591</v>
      </c>
      <c r="F1130" s="111"/>
      <c r="G1130" s="111">
        <v>81100011</v>
      </c>
      <c r="H1130" s="111"/>
      <c r="I1130" s="111" t="str">
        <f t="shared" si="674"/>
        <v>1</v>
      </c>
      <c r="J1130" s="111" t="str">
        <f>IF(I1130="1","Small/Medium","Large")</f>
        <v>Small/Medium</v>
      </c>
      <c r="K1130" s="147" t="s">
        <v>145</v>
      </c>
      <c r="L1130" s="120">
        <f t="shared" si="673"/>
        <v>10672</v>
      </c>
      <c r="M1130" s="120">
        <f t="shared" si="675"/>
        <v>3201.6</v>
      </c>
      <c r="N1130" s="120">
        <f t="shared" si="657"/>
        <v>7470.4</v>
      </c>
      <c r="O1130" s="119">
        <f t="shared" si="658"/>
        <v>0.7</v>
      </c>
      <c r="P1130" s="117">
        <v>10672</v>
      </c>
      <c r="Q1130" s="111"/>
      <c r="R1130" s="117"/>
      <c r="S1130" s="117"/>
      <c r="T1130" s="117"/>
      <c r="U1130" s="117"/>
      <c r="V1130" s="117"/>
      <c r="X1130" s="118" t="str">
        <f t="shared" si="672"/>
        <v/>
      </c>
      <c r="Y1130" s="119">
        <f t="shared" si="668"/>
        <v>0</v>
      </c>
      <c r="Z1130" s="117">
        <f t="shared" si="669"/>
        <v>10672</v>
      </c>
      <c r="AA1130" s="119">
        <f t="shared" si="670"/>
        <v>1</v>
      </c>
      <c r="AB1130" s="120">
        <f t="shared" si="664"/>
        <v>3201.6</v>
      </c>
      <c r="AC1130" s="119">
        <f t="shared" si="671"/>
        <v>0.30000000000000004</v>
      </c>
      <c r="AD1130" s="110"/>
      <c r="AE1130" s="110"/>
      <c r="AF1130" s="110"/>
      <c r="AG1130" s="121"/>
      <c r="AH1130" s="110"/>
    </row>
    <row r="1131" spans="1:34" ht="11.25" customHeight="1" x14ac:dyDescent="0.15">
      <c r="A1131" s="110" t="s">
        <v>576</v>
      </c>
      <c r="B1131" s="110"/>
      <c r="C1131" s="111" t="s">
        <v>61</v>
      </c>
      <c r="D1131" s="111">
        <v>2023</v>
      </c>
      <c r="E1131" s="146" t="s">
        <v>591</v>
      </c>
      <c r="F1131" s="111"/>
      <c r="G1131" s="111">
        <v>80100011</v>
      </c>
      <c r="H1131" s="111"/>
      <c r="I1131" s="111" t="str">
        <f t="shared" si="674"/>
        <v>0</v>
      </c>
      <c r="J1131" s="111" t="s">
        <v>502</v>
      </c>
      <c r="K1131" s="112" t="s">
        <v>503</v>
      </c>
      <c r="L1131" s="120">
        <f t="shared" si="673"/>
        <v>10672</v>
      </c>
      <c r="M1131" s="120">
        <f t="shared" si="675"/>
        <v>3201.6</v>
      </c>
      <c r="N1131" s="120">
        <f t="shared" si="657"/>
        <v>7470.4</v>
      </c>
      <c r="O1131" s="119">
        <f t="shared" si="658"/>
        <v>0.7</v>
      </c>
      <c r="P1131" s="117">
        <v>10672</v>
      </c>
      <c r="Q1131" s="111"/>
      <c r="R1131" s="117"/>
      <c r="S1131" s="117"/>
      <c r="T1131" s="117"/>
      <c r="U1131" s="117"/>
      <c r="V1131" s="117"/>
      <c r="X1131" s="118" t="str">
        <f t="shared" si="672"/>
        <v/>
      </c>
      <c r="Y1131" s="119">
        <f t="shared" si="668"/>
        <v>0</v>
      </c>
      <c r="Z1131" s="117">
        <f t="shared" si="669"/>
        <v>10672</v>
      </c>
      <c r="AA1131" s="119">
        <f t="shared" si="670"/>
        <v>1</v>
      </c>
      <c r="AB1131" s="120">
        <f t="shared" si="664"/>
        <v>3201.6</v>
      </c>
      <c r="AC1131" s="119">
        <f t="shared" si="671"/>
        <v>0.30000000000000004</v>
      </c>
      <c r="AD1131" s="110"/>
      <c r="AE1131" s="110"/>
      <c r="AF1131" s="110"/>
      <c r="AG1131" s="121"/>
      <c r="AH1131" s="110"/>
    </row>
    <row r="1132" spans="1:34" ht="11.25" customHeight="1" x14ac:dyDescent="0.15">
      <c r="A1132" s="110" t="s">
        <v>576</v>
      </c>
      <c r="B1132" s="110"/>
      <c r="C1132" s="111" t="s">
        <v>61</v>
      </c>
      <c r="D1132" s="111">
        <v>2023</v>
      </c>
      <c r="E1132" s="146" t="s">
        <v>591</v>
      </c>
      <c r="F1132" s="111"/>
      <c r="G1132" s="111">
        <v>81100011</v>
      </c>
      <c r="H1132" s="111"/>
      <c r="I1132" s="111" t="str">
        <f t="shared" si="674"/>
        <v>1</v>
      </c>
      <c r="J1132" s="111" t="str">
        <f>IF(I1132="1","Small/Medium","Large")</f>
        <v>Small/Medium</v>
      </c>
      <c r="K1132" s="147" t="s">
        <v>145</v>
      </c>
      <c r="L1132" s="120">
        <f t="shared" si="673"/>
        <v>10672</v>
      </c>
      <c r="M1132" s="120">
        <f t="shared" si="675"/>
        <v>3201.6</v>
      </c>
      <c r="N1132" s="120">
        <f t="shared" si="657"/>
        <v>7470.4</v>
      </c>
      <c r="O1132" s="119">
        <f t="shared" si="658"/>
        <v>0.7</v>
      </c>
      <c r="P1132" s="117">
        <v>10672</v>
      </c>
      <c r="Q1132" s="111"/>
      <c r="R1132" s="117"/>
      <c r="S1132" s="117"/>
      <c r="T1132" s="117"/>
      <c r="U1132" s="117"/>
      <c r="V1132" s="117"/>
      <c r="X1132" s="118" t="str">
        <f t="shared" si="672"/>
        <v/>
      </c>
      <c r="Y1132" s="119">
        <f t="shared" si="668"/>
        <v>0</v>
      </c>
      <c r="Z1132" s="117">
        <f t="shared" si="669"/>
        <v>10672</v>
      </c>
      <c r="AA1132" s="119">
        <f t="shared" si="670"/>
        <v>1</v>
      </c>
      <c r="AB1132" s="120">
        <f t="shared" si="664"/>
        <v>3201.6</v>
      </c>
      <c r="AC1132" s="119">
        <f t="shared" si="671"/>
        <v>0.30000000000000004</v>
      </c>
      <c r="AD1132" s="110"/>
      <c r="AE1132" s="110"/>
      <c r="AF1132" s="110"/>
      <c r="AG1132" s="121"/>
      <c r="AH1132" s="110"/>
    </row>
    <row r="1133" spans="1:34" s="212" customFormat="1" ht="11.25" customHeight="1" x14ac:dyDescent="0.15">
      <c r="A1133" s="53" t="s">
        <v>576</v>
      </c>
      <c r="B1133" s="53"/>
      <c r="C1133" s="54" t="s">
        <v>177</v>
      </c>
      <c r="D1133" s="54">
        <v>2023</v>
      </c>
      <c r="E1133" s="70" t="s">
        <v>591</v>
      </c>
      <c r="F1133" s="54"/>
      <c r="G1133" s="54"/>
      <c r="H1133" s="54"/>
      <c r="I1133" s="54"/>
      <c r="J1133" s="54"/>
      <c r="K1133" s="106"/>
      <c r="L1133" s="97">
        <f>SUM(L1116:L1132)+1.48</f>
        <v>746435</v>
      </c>
      <c r="M1133" s="97">
        <f>SUM(M1116:M1132)</f>
        <v>172408.87000000005</v>
      </c>
      <c r="N1133" s="92">
        <f t="shared" si="657"/>
        <v>574026.12999999989</v>
      </c>
      <c r="O1133" s="57">
        <f t="shared" si="658"/>
        <v>0.76902359883981841</v>
      </c>
      <c r="P1133" s="24">
        <f>SUM(P1116:P1132)</f>
        <v>746435</v>
      </c>
      <c r="Q1133" s="24"/>
      <c r="R1133" s="24">
        <f t="shared" ref="R1133:W1133" si="676">SUM(R1116:R1132)</f>
        <v>350.5</v>
      </c>
      <c r="S1133" s="24">
        <f t="shared" si="676"/>
        <v>16785.190000000002</v>
      </c>
      <c r="T1133" s="24">
        <f t="shared" si="676"/>
        <v>14894.869999999999</v>
      </c>
      <c r="U1133" s="24">
        <f t="shared" si="676"/>
        <v>90443.929999999978</v>
      </c>
      <c r="V1133" s="24">
        <f t="shared" si="676"/>
        <v>6930.37</v>
      </c>
      <c r="W1133" s="24">
        <f t="shared" si="676"/>
        <v>129054.35999999999</v>
      </c>
      <c r="X1133" s="56">
        <f t="shared" si="672"/>
        <v>47.889272467903005</v>
      </c>
      <c r="Y1133" s="57">
        <f t="shared" si="668"/>
        <v>0.12116785788447752</v>
      </c>
      <c r="Z1133" s="28">
        <f t="shared" si="669"/>
        <v>617380.64</v>
      </c>
      <c r="AA1133" s="57">
        <f t="shared" si="670"/>
        <v>0.82710569574041948</v>
      </c>
      <c r="AB1133" s="120">
        <f t="shared" si="664"/>
        <v>43354.510000000068</v>
      </c>
      <c r="AC1133" s="57">
        <f t="shared" si="671"/>
        <v>5.8082096900601066E-2</v>
      </c>
      <c r="AD1133" s="53"/>
      <c r="AE1133" s="53"/>
      <c r="AF1133" s="53"/>
      <c r="AG1133" s="61"/>
      <c r="AH1133" s="53"/>
    </row>
    <row r="1134" spans="1:34" ht="11.25" customHeight="1" x14ac:dyDescent="0.15">
      <c r="A1134" s="130"/>
      <c r="B1134" s="130"/>
      <c r="C1134" s="124"/>
      <c r="D1134" s="124"/>
      <c r="E1134" s="273"/>
      <c r="F1134" s="124"/>
      <c r="G1134" s="124"/>
      <c r="H1134" s="124"/>
      <c r="I1134" s="124"/>
      <c r="J1134" s="124"/>
      <c r="K1134" s="125"/>
      <c r="L1134" s="129"/>
      <c r="M1134" s="129"/>
      <c r="N1134" s="129"/>
      <c r="O1134" s="128"/>
      <c r="P1134" s="129"/>
      <c r="Q1134" s="124"/>
      <c r="R1134" s="129"/>
      <c r="S1134" s="129"/>
      <c r="T1134" s="129"/>
      <c r="U1134" s="129"/>
      <c r="V1134" s="126"/>
      <c r="W1134" s="49"/>
      <c r="X1134" s="45"/>
      <c r="Y1134" s="128"/>
      <c r="Z1134" s="126"/>
      <c r="AA1134" s="128"/>
      <c r="AB1134" s="129"/>
      <c r="AC1134" s="160"/>
      <c r="AD1134" s="137"/>
      <c r="AE1134" s="110"/>
      <c r="AF1134" s="110"/>
      <c r="AG1134" s="121"/>
      <c r="AH1134" s="110"/>
    </row>
    <row r="1135" spans="1:34" ht="11.25" customHeight="1" x14ac:dyDescent="0.15">
      <c r="A1135" s="110" t="s">
        <v>306</v>
      </c>
      <c r="B1135" s="110"/>
      <c r="C1135" s="111" t="s">
        <v>175</v>
      </c>
      <c r="D1135" s="111">
        <v>2023</v>
      </c>
      <c r="E1135" s="146">
        <v>45107</v>
      </c>
      <c r="F1135" s="111"/>
      <c r="G1135" s="111">
        <v>81000011</v>
      </c>
      <c r="H1135" s="111">
        <v>4111</v>
      </c>
      <c r="I1135" s="111" t="str">
        <f>MID(G1135,2,1)</f>
        <v>1</v>
      </c>
      <c r="J1135" s="111" t="str">
        <f>IF(I1135="1","Small/Medium","Large")</f>
        <v>Small/Medium</v>
      </c>
      <c r="K1135" s="147" t="s">
        <v>145</v>
      </c>
      <c r="L1135" s="219">
        <f>P1135</f>
        <v>7347</v>
      </c>
      <c r="M1135" s="219">
        <f>L1135*0.3</f>
        <v>2204.1</v>
      </c>
      <c r="N1135" s="219">
        <f>L1135-M1135</f>
        <v>5142.8999999999996</v>
      </c>
      <c r="O1135" s="119">
        <f>IFERROR(N1135/L1135,"")</f>
        <v>0.7</v>
      </c>
      <c r="P1135" s="132">
        <v>7347</v>
      </c>
      <c r="Q1135" s="111">
        <v>1634</v>
      </c>
      <c r="R1135" s="132">
        <v>16.5</v>
      </c>
      <c r="S1135" s="132">
        <v>740.52</v>
      </c>
      <c r="T1135" s="132">
        <v>820.39</v>
      </c>
      <c r="U1135" s="132">
        <v>882.08</v>
      </c>
      <c r="V1135" s="132"/>
      <c r="W1135" s="67">
        <f>SUM(S1135:V1135)</f>
        <v>2442.9899999999998</v>
      </c>
      <c r="X1135" s="118">
        <f>IFERROR(S1135/R1135,"")</f>
        <v>44.879999999999995</v>
      </c>
      <c r="Y1135" s="119">
        <f>U1135/P1135</f>
        <v>0.12005988838981899</v>
      </c>
      <c r="Z1135" s="117">
        <f>P1135-W1135</f>
        <v>4904.01</v>
      </c>
      <c r="AA1135" s="119">
        <f>Z1135/P1135</f>
        <v>0.66748468762760316</v>
      </c>
      <c r="AB1135" s="120">
        <f t="shared" ref="AB1135:AB1137" si="677">M1135-W1135</f>
        <v>-238.88999999999987</v>
      </c>
      <c r="AC1135" s="119">
        <f>IFERROR(AA1135-O1135,"")</f>
        <v>-3.2515312372396799E-2</v>
      </c>
      <c r="AD1135" s="110" t="s">
        <v>592</v>
      </c>
      <c r="AE1135" s="110"/>
      <c r="AF1135" s="110"/>
      <c r="AG1135" s="121"/>
      <c r="AH1135" s="110"/>
    </row>
    <row r="1136" spans="1:34" ht="11.25" customHeight="1" x14ac:dyDescent="0.15">
      <c r="A1136" s="110" t="s">
        <v>306</v>
      </c>
      <c r="B1136" s="110"/>
      <c r="C1136" s="111" t="s">
        <v>175</v>
      </c>
      <c r="D1136" s="111">
        <v>2023</v>
      </c>
      <c r="E1136" s="146">
        <v>45107</v>
      </c>
      <c r="F1136" s="111"/>
      <c r="G1136" s="111">
        <v>82000011</v>
      </c>
      <c r="H1136" s="111">
        <v>4111</v>
      </c>
      <c r="I1136" s="111" t="str">
        <f>MID(G1136,2,1)</f>
        <v>2</v>
      </c>
      <c r="J1136" s="111" t="str">
        <f>IF(I1136="1","Small/Medium","Large")</f>
        <v>Large</v>
      </c>
      <c r="K1136" s="147" t="s">
        <v>176</v>
      </c>
      <c r="L1136" s="120">
        <f>P1136</f>
        <v>13645</v>
      </c>
      <c r="M1136" s="120">
        <f>L1136*0.3</f>
        <v>4093.5</v>
      </c>
      <c r="N1136" s="120">
        <f>L1136-M1136</f>
        <v>9551.5</v>
      </c>
      <c r="O1136" s="119">
        <f>IFERROR(N1136/L1136,"")</f>
        <v>0.7</v>
      </c>
      <c r="P1136" s="117">
        <v>13645</v>
      </c>
      <c r="Q1136" s="111">
        <v>1635</v>
      </c>
      <c r="R1136" s="117">
        <v>16.5</v>
      </c>
      <c r="S1136" s="117">
        <v>740.52</v>
      </c>
      <c r="T1136" s="117">
        <v>1523.57</v>
      </c>
      <c r="U1136" s="117">
        <v>754</v>
      </c>
      <c r="V1136" s="117"/>
      <c r="W1136" s="26">
        <f>SUM(S1136:V1136)</f>
        <v>3018.09</v>
      </c>
      <c r="X1136" s="118">
        <f>IFERROR(S1136/R1136,"")</f>
        <v>44.879999999999995</v>
      </c>
      <c r="Y1136" s="119">
        <f>U1136/P1136</f>
        <v>5.5258336386954932E-2</v>
      </c>
      <c r="Z1136" s="117">
        <f>P1136-W1136</f>
        <v>10626.91</v>
      </c>
      <c r="AA1136" s="119">
        <f>Z1136/P1136</f>
        <v>0.77881348479296442</v>
      </c>
      <c r="AB1136" s="120">
        <f t="shared" si="677"/>
        <v>1075.4099999999999</v>
      </c>
      <c r="AC1136" s="119">
        <f>IFERROR(AA1136-O1136,"")</f>
        <v>7.8813484792964461E-2</v>
      </c>
      <c r="AD1136" s="110"/>
      <c r="AE1136" s="110"/>
      <c r="AF1136" s="110"/>
      <c r="AG1136" s="121"/>
      <c r="AH1136" s="110"/>
    </row>
    <row r="1137" spans="1:34" s="212" customFormat="1" ht="11.25" customHeight="1" x14ac:dyDescent="0.15">
      <c r="A1137" s="53" t="s">
        <v>306</v>
      </c>
      <c r="B1137" s="53"/>
      <c r="C1137" s="54" t="s">
        <v>177</v>
      </c>
      <c r="D1137" s="54">
        <v>2023</v>
      </c>
      <c r="E1137" s="70">
        <v>45107</v>
      </c>
      <c r="F1137" s="54"/>
      <c r="G1137" s="54"/>
      <c r="H1137" s="54"/>
      <c r="I1137" s="54"/>
      <c r="J1137" s="54"/>
      <c r="K1137" s="106"/>
      <c r="L1137" s="97">
        <f>P1137</f>
        <v>20992</v>
      </c>
      <c r="M1137" s="97">
        <f>SUM(M1135:M1136)</f>
        <v>6297.6</v>
      </c>
      <c r="N1137" s="97">
        <f>SUM(N1135:N1136)</f>
        <v>14694.4</v>
      </c>
      <c r="O1137" s="57">
        <f>IFERROR(N1137/L1137,"")</f>
        <v>0.7</v>
      </c>
      <c r="P1137" s="24">
        <f>SUM(P1135:P1136)</f>
        <v>20992</v>
      </c>
      <c r="Q1137" s="24"/>
      <c r="R1137" s="24">
        <f t="shared" ref="R1137:W1137" si="678">SUM(R1135:R1136)</f>
        <v>33</v>
      </c>
      <c r="S1137" s="24">
        <f t="shared" si="678"/>
        <v>1481.04</v>
      </c>
      <c r="T1137" s="24">
        <f t="shared" si="678"/>
        <v>2343.96</v>
      </c>
      <c r="U1137" s="24">
        <f t="shared" si="678"/>
        <v>1636.08</v>
      </c>
      <c r="V1137" s="24">
        <f t="shared" si="678"/>
        <v>0</v>
      </c>
      <c r="W1137" s="24">
        <f t="shared" si="678"/>
        <v>5461.08</v>
      </c>
      <c r="X1137" s="56">
        <f>IFERROR(S1137/R1137,"")</f>
        <v>44.879999999999995</v>
      </c>
      <c r="Y1137" s="57">
        <f>IFERROR(U1137/P1137,0)</f>
        <v>7.7938262195121955E-2</v>
      </c>
      <c r="Z1137" s="28">
        <f>P1137-W1137</f>
        <v>15530.92</v>
      </c>
      <c r="AA1137" s="57">
        <f>Z1137/P1137</f>
        <v>0.73984946646341465</v>
      </c>
      <c r="AB1137" s="120">
        <f t="shared" si="677"/>
        <v>836.52000000000044</v>
      </c>
      <c r="AC1137" s="119">
        <f>IFERROR(AA1137-O1137,"")</f>
        <v>3.9849466463414696E-2</v>
      </c>
      <c r="AD1137" s="53"/>
      <c r="AE1137" s="53"/>
      <c r="AF1137" s="53"/>
      <c r="AG1137" s="61"/>
      <c r="AH1137" s="53"/>
    </row>
    <row r="1138" spans="1:34" ht="11.25" customHeight="1" x14ac:dyDescent="0.15">
      <c r="A1138" s="130"/>
      <c r="B1138" s="130"/>
      <c r="C1138" s="124"/>
      <c r="D1138" s="124"/>
      <c r="E1138" s="273"/>
      <c r="F1138" s="124"/>
      <c r="G1138" s="124"/>
      <c r="H1138" s="124"/>
      <c r="I1138" s="124"/>
      <c r="J1138" s="124"/>
      <c r="K1138" s="125"/>
      <c r="L1138" s="129"/>
      <c r="M1138" s="129"/>
      <c r="N1138" s="129"/>
      <c r="O1138" s="128"/>
      <c r="P1138" s="129"/>
      <c r="Q1138" s="124"/>
      <c r="R1138" s="129"/>
      <c r="S1138" s="129"/>
      <c r="T1138" s="129"/>
      <c r="U1138" s="129"/>
      <c r="V1138" s="126"/>
      <c r="W1138" s="49"/>
      <c r="X1138" s="45"/>
      <c r="Y1138" s="128"/>
      <c r="Z1138" s="126"/>
      <c r="AA1138" s="128"/>
      <c r="AB1138" s="129"/>
      <c r="AC1138" s="160"/>
      <c r="AD1138" s="137"/>
      <c r="AE1138" s="110"/>
      <c r="AF1138" s="110"/>
      <c r="AG1138" s="121"/>
      <c r="AH1138" s="110"/>
    </row>
    <row r="1139" spans="1:34" ht="11.25" customHeight="1" x14ac:dyDescent="0.15">
      <c r="A1139" s="110" t="s">
        <v>137</v>
      </c>
      <c r="B1139" s="110"/>
      <c r="C1139" s="111" t="s">
        <v>175</v>
      </c>
      <c r="D1139" s="111">
        <v>2023</v>
      </c>
      <c r="E1139" s="146">
        <v>45107</v>
      </c>
      <c r="F1139" s="111"/>
      <c r="G1139" s="111">
        <v>81110111</v>
      </c>
      <c r="H1139" s="111">
        <v>4101</v>
      </c>
      <c r="I1139" s="111" t="str">
        <f>MID(G1139,2,1)</f>
        <v>1</v>
      </c>
      <c r="J1139" s="111" t="str">
        <f>IF(I1139="1","Small/Medium","Large")</f>
        <v>Small/Medium</v>
      </c>
      <c r="K1139" s="147" t="s">
        <v>145</v>
      </c>
      <c r="L1139" s="120">
        <v>19685</v>
      </c>
      <c r="M1139" s="120">
        <f>L1139*0.3</f>
        <v>5905.5</v>
      </c>
      <c r="N1139" s="120">
        <f>L1139-M1139</f>
        <v>13779.5</v>
      </c>
      <c r="O1139" s="119">
        <f>IFERROR(N1139/L1139,"")</f>
        <v>0.7</v>
      </c>
      <c r="P1139" s="117">
        <f>L1139</f>
        <v>19685</v>
      </c>
      <c r="Q1139" s="111">
        <v>1773</v>
      </c>
      <c r="R1139" s="117">
        <v>18.5</v>
      </c>
      <c r="S1139" s="117">
        <v>830.28</v>
      </c>
      <c r="T1139" s="117">
        <v>1352.38</v>
      </c>
      <c r="U1139" s="117">
        <v>744</v>
      </c>
      <c r="V1139" s="117"/>
      <c r="W1139" s="26">
        <f>SUM(S1139:V1139)</f>
        <v>2926.66</v>
      </c>
      <c r="X1139" s="118">
        <f>IFERROR(S1139/R1139,"")</f>
        <v>44.879999999999995</v>
      </c>
      <c r="Y1139" s="119">
        <f>U1139/P1139</f>
        <v>3.7795275590551181E-2</v>
      </c>
      <c r="Z1139" s="117">
        <f>P1139-W1139</f>
        <v>16758.34</v>
      </c>
      <c r="AA1139" s="119">
        <f>Z1139/P1139</f>
        <v>0.85132537465074931</v>
      </c>
      <c r="AB1139" s="120">
        <f t="shared" ref="AB1139:AB1141" si="679">M1139-W1139</f>
        <v>2978.84</v>
      </c>
      <c r="AC1139" s="119">
        <f>IFERROR(AA1139-O1139,"")</f>
        <v>0.15132537465074936</v>
      </c>
      <c r="AD1139" s="110"/>
      <c r="AE1139" s="110"/>
      <c r="AF1139" s="110"/>
      <c r="AG1139" s="121"/>
      <c r="AH1139" s="110"/>
    </row>
    <row r="1140" spans="1:34" ht="11.25" customHeight="1" x14ac:dyDescent="0.15">
      <c r="A1140" s="110" t="s">
        <v>137</v>
      </c>
      <c r="B1140" s="110"/>
      <c r="C1140" s="111" t="s">
        <v>175</v>
      </c>
      <c r="D1140" s="111">
        <v>2023</v>
      </c>
      <c r="E1140" s="146">
        <v>45107</v>
      </c>
      <c r="F1140" s="111"/>
      <c r="G1140" s="111">
        <v>82110111</v>
      </c>
      <c r="H1140" s="111">
        <v>4101</v>
      </c>
      <c r="I1140" s="111" t="str">
        <f>MID(G1140,2,1)</f>
        <v>2</v>
      </c>
      <c r="J1140" s="111" t="str">
        <f>IF(I1140="1","Small/Medium","Large")</f>
        <v>Large</v>
      </c>
      <c r="K1140" s="147" t="s">
        <v>176</v>
      </c>
      <c r="L1140" s="219">
        <v>20320.88</v>
      </c>
      <c r="M1140" s="219">
        <f>L1140*0.3</f>
        <v>6096.2640000000001</v>
      </c>
      <c r="N1140" s="219">
        <f>L1140-M1140</f>
        <v>14224.616000000002</v>
      </c>
      <c r="O1140" s="119">
        <f>IFERROR(N1140/L1140,"")</f>
        <v>0.70000000000000007</v>
      </c>
      <c r="P1140" s="132">
        <f>L1140</f>
        <v>20320.88</v>
      </c>
      <c r="Q1140" s="111">
        <v>1774</v>
      </c>
      <c r="R1140" s="132">
        <v>17.5</v>
      </c>
      <c r="S1140" s="132">
        <v>785.4</v>
      </c>
      <c r="T1140" s="132">
        <v>1352.39</v>
      </c>
      <c r="U1140" s="132">
        <v>744</v>
      </c>
      <c r="V1140" s="132"/>
      <c r="W1140" s="67">
        <f>SUM(S1140:V1140)</f>
        <v>2881.79</v>
      </c>
      <c r="X1140" s="118">
        <f>IFERROR(S1140/R1140,"")</f>
        <v>44.879999999999995</v>
      </c>
      <c r="Y1140" s="119">
        <f>U1140/P1140</f>
        <v>3.6612587643842197E-2</v>
      </c>
      <c r="Z1140" s="117">
        <f>P1140-W1140</f>
        <v>17439.09</v>
      </c>
      <c r="AA1140" s="119">
        <f>Z1140/P1140</f>
        <v>0.85818576754549991</v>
      </c>
      <c r="AB1140" s="120">
        <f t="shared" si="679"/>
        <v>3214.4740000000002</v>
      </c>
      <c r="AC1140" s="119">
        <f>IFERROR(AA1140-O1140,"")</f>
        <v>0.15818576754549984</v>
      </c>
      <c r="AD1140" s="110"/>
      <c r="AE1140" s="110"/>
      <c r="AF1140" s="110"/>
      <c r="AG1140" s="121"/>
      <c r="AH1140" s="110"/>
    </row>
    <row r="1141" spans="1:34" s="212" customFormat="1" ht="11.25" customHeight="1" x14ac:dyDescent="0.15">
      <c r="A1141" s="53" t="s">
        <v>137</v>
      </c>
      <c r="B1141" s="53"/>
      <c r="C1141" s="54" t="s">
        <v>177</v>
      </c>
      <c r="D1141" s="54">
        <v>2023</v>
      </c>
      <c r="E1141" s="70">
        <v>45107</v>
      </c>
      <c r="F1141" s="54"/>
      <c r="G1141" s="54"/>
      <c r="H1141" s="54"/>
      <c r="I1141" s="54"/>
      <c r="J1141" s="54"/>
      <c r="K1141" s="106"/>
      <c r="L1141" s="97">
        <f>SUM(L1139:L1140)</f>
        <v>40005.880000000005</v>
      </c>
      <c r="M1141" s="97">
        <f>SUM(M1139:M1140)</f>
        <v>12001.763999999999</v>
      </c>
      <c r="N1141" s="97">
        <f>SUM(N1139:N1140)</f>
        <v>28004.116000000002</v>
      </c>
      <c r="O1141" s="57">
        <f>IFERROR(N1141/L1141,"")</f>
        <v>0.7</v>
      </c>
      <c r="P1141" s="97">
        <f>SUM(P1139:P1140)</f>
        <v>40005.880000000005</v>
      </c>
      <c r="Q1141" s="24"/>
      <c r="R1141" s="97">
        <f t="shared" ref="R1141:W1141" si="680">SUM(R1139:R1140)</f>
        <v>36</v>
      </c>
      <c r="S1141" s="97">
        <f t="shared" si="680"/>
        <v>1615.6799999999998</v>
      </c>
      <c r="T1141" s="97">
        <f t="shared" si="680"/>
        <v>2704.7700000000004</v>
      </c>
      <c r="U1141" s="97">
        <f t="shared" si="680"/>
        <v>1488</v>
      </c>
      <c r="V1141" s="97">
        <f t="shared" si="680"/>
        <v>0</v>
      </c>
      <c r="W1141" s="97">
        <f t="shared" si="680"/>
        <v>5808.45</v>
      </c>
      <c r="X1141" s="56">
        <f>IFERROR(S1141/R1141,"")</f>
        <v>44.879999999999995</v>
      </c>
      <c r="Y1141" s="57">
        <f>IFERROR(U1141/P1141,0)</f>
        <v>3.7194532403736644E-2</v>
      </c>
      <c r="Z1141" s="28">
        <f>P1141-W1141</f>
        <v>34197.430000000008</v>
      </c>
      <c r="AA1141" s="57">
        <f>Z1141/P1141</f>
        <v>0.85481009291634136</v>
      </c>
      <c r="AB1141" s="120">
        <f t="shared" si="679"/>
        <v>6193.3139999999994</v>
      </c>
      <c r="AC1141" s="119">
        <f>IFERROR(AA1141-O1141,"")</f>
        <v>0.1548100929163414</v>
      </c>
      <c r="AD1141" s="53"/>
      <c r="AE1141" s="53"/>
      <c r="AF1141" s="53"/>
      <c r="AG1141" s="61"/>
      <c r="AH1141" s="53"/>
    </row>
    <row r="1142" spans="1:34" ht="11.25" customHeight="1" x14ac:dyDescent="0.15">
      <c r="A1142" s="130"/>
      <c r="B1142" s="130"/>
      <c r="C1142" s="124"/>
      <c r="D1142" s="124"/>
      <c r="E1142" s="273"/>
      <c r="F1142" s="124"/>
      <c r="G1142" s="124"/>
      <c r="H1142" s="124"/>
      <c r="I1142" s="124"/>
      <c r="J1142" s="124"/>
      <c r="K1142" s="125"/>
      <c r="L1142" s="220"/>
      <c r="M1142" s="220"/>
      <c r="N1142" s="220"/>
      <c r="O1142" s="128"/>
      <c r="P1142" s="220"/>
      <c r="Q1142" s="124"/>
      <c r="R1142" s="220"/>
      <c r="S1142" s="220"/>
      <c r="T1142" s="220"/>
      <c r="U1142" s="220"/>
      <c r="V1142" s="225"/>
      <c r="W1142" s="230"/>
      <c r="X1142" s="45"/>
      <c r="Y1142" s="128"/>
      <c r="Z1142" s="126"/>
      <c r="AA1142" s="128"/>
      <c r="AB1142" s="129"/>
      <c r="AC1142" s="160"/>
      <c r="AD1142" s="137"/>
      <c r="AE1142" s="110"/>
      <c r="AF1142" s="110"/>
      <c r="AG1142" s="121"/>
      <c r="AH1142" s="110"/>
    </row>
    <row r="1143" spans="1:34" ht="11.25" customHeight="1" x14ac:dyDescent="0.15">
      <c r="A1143" s="110" t="s">
        <v>127</v>
      </c>
      <c r="B1143" s="110"/>
      <c r="C1143" s="111" t="s">
        <v>175</v>
      </c>
      <c r="D1143" s="111">
        <v>2023</v>
      </c>
      <c r="E1143" s="146">
        <v>45107</v>
      </c>
      <c r="F1143" s="111"/>
      <c r="G1143" s="111">
        <v>81000111</v>
      </c>
      <c r="H1143" s="111">
        <v>4111</v>
      </c>
      <c r="I1143" s="111" t="str">
        <f>MID(G1143,2,1)</f>
        <v>1</v>
      </c>
      <c r="J1143" s="111" t="str">
        <f>IF(I1143="1","Small/Medium","Large")</f>
        <v>Small/Medium</v>
      </c>
      <c r="K1143" s="147" t="s">
        <v>145</v>
      </c>
      <c r="L1143" s="120">
        <v>10352</v>
      </c>
      <c r="M1143" s="120">
        <f>L1143*0.3</f>
        <v>3105.6</v>
      </c>
      <c r="N1143" s="120">
        <f>L1143-M1143</f>
        <v>7246.4</v>
      </c>
      <c r="O1143" s="119">
        <f>IFERROR(N1143/L1143,"")</f>
        <v>0.7</v>
      </c>
      <c r="P1143" s="219">
        <v>10352</v>
      </c>
      <c r="Q1143" s="111">
        <v>1781</v>
      </c>
      <c r="R1143" s="237">
        <v>17</v>
      </c>
      <c r="S1143" s="132">
        <v>762.96</v>
      </c>
      <c r="T1143" s="132">
        <v>1414.14</v>
      </c>
      <c r="U1143" s="132">
        <v>328.46</v>
      </c>
      <c r="V1143" s="117"/>
      <c r="W1143" s="67">
        <f>SUM(S1143:V1143)</f>
        <v>2505.5600000000004</v>
      </c>
      <c r="X1143" s="118">
        <f>IFERROR(S1143/R1143,"")</f>
        <v>44.88</v>
      </c>
      <c r="Y1143" s="119">
        <f>U1143/P1143</f>
        <v>3.1729134466769705E-2</v>
      </c>
      <c r="Z1143" s="117">
        <f>P1143-W1143</f>
        <v>7846.44</v>
      </c>
      <c r="AA1143" s="119">
        <f>Z1143/P1143</f>
        <v>0.7579636785162287</v>
      </c>
      <c r="AB1143" s="120">
        <f t="shared" ref="AB1143:AB1145" si="681">M1143-W1143</f>
        <v>600.03999999999951</v>
      </c>
      <c r="AC1143" s="119">
        <f>IFERROR(AA1143-O1143,"")</f>
        <v>5.7963678516228745E-2</v>
      </c>
      <c r="AD1143" s="110"/>
      <c r="AE1143" s="110"/>
      <c r="AF1143" s="110"/>
      <c r="AG1143" s="121"/>
      <c r="AH1143" s="110"/>
    </row>
    <row r="1144" spans="1:34" ht="11.25" customHeight="1" x14ac:dyDescent="0.15">
      <c r="A1144" s="110" t="s">
        <v>127</v>
      </c>
      <c r="B1144" s="110"/>
      <c r="C1144" s="111" t="s">
        <v>175</v>
      </c>
      <c r="D1144" s="111">
        <v>2023</v>
      </c>
      <c r="E1144" s="146">
        <v>45107</v>
      </c>
      <c r="F1144" s="111"/>
      <c r="G1144" s="111">
        <v>82000111</v>
      </c>
      <c r="H1144" s="111">
        <v>4111</v>
      </c>
      <c r="I1144" s="111" t="str">
        <f>MID(G1144,2,1)</f>
        <v>2</v>
      </c>
      <c r="J1144" s="111" t="str">
        <f>IF(I1144="1","Small/Medium","Large")</f>
        <v>Large</v>
      </c>
      <c r="K1144" s="147" t="s">
        <v>176</v>
      </c>
      <c r="L1144" s="120">
        <v>19225</v>
      </c>
      <c r="M1144" s="120">
        <f>L1144*0.3</f>
        <v>5767.5</v>
      </c>
      <c r="N1144" s="120">
        <f>L1144-M1144</f>
        <v>13457.5</v>
      </c>
      <c r="O1144" s="119">
        <f>IFERROR(N1144/L1144,"")</f>
        <v>0.7</v>
      </c>
      <c r="P1144" s="120">
        <v>19225</v>
      </c>
      <c r="Q1144" s="111">
        <v>1782</v>
      </c>
      <c r="R1144" s="121">
        <v>18</v>
      </c>
      <c r="S1144" s="117">
        <v>807.84</v>
      </c>
      <c r="T1144" s="117">
        <v>1454.47</v>
      </c>
      <c r="U1144" s="117">
        <v>598.47</v>
      </c>
      <c r="V1144" s="117"/>
      <c r="W1144" s="26">
        <f>SUM(S1144:V1144)</f>
        <v>2860.7799999999997</v>
      </c>
      <c r="X1144" s="118">
        <f>IFERROR(S1144/R1144,"")</f>
        <v>44.88</v>
      </c>
      <c r="Y1144" s="119">
        <f>U1144/P1144</f>
        <v>3.1129778933680106E-2</v>
      </c>
      <c r="Z1144" s="117">
        <f>P1144-W1144</f>
        <v>16364.220000000001</v>
      </c>
      <c r="AA1144" s="119">
        <f>Z1144/P1144</f>
        <v>0.85119479843953194</v>
      </c>
      <c r="AB1144" s="120">
        <f t="shared" si="681"/>
        <v>2906.7200000000003</v>
      </c>
      <c r="AC1144" s="119">
        <f>IFERROR(AA1144-O1144,"")</f>
        <v>0.15119479843953199</v>
      </c>
      <c r="AD1144" s="110"/>
      <c r="AE1144" s="110"/>
      <c r="AF1144" s="110"/>
      <c r="AG1144" s="121"/>
      <c r="AH1144" s="110"/>
    </row>
    <row r="1145" spans="1:34" s="212" customFormat="1" ht="11.25" customHeight="1" x14ac:dyDescent="0.15">
      <c r="A1145" s="53" t="s">
        <v>127</v>
      </c>
      <c r="B1145" s="53"/>
      <c r="C1145" s="54" t="s">
        <v>177</v>
      </c>
      <c r="D1145" s="54">
        <v>2023</v>
      </c>
      <c r="E1145" s="70">
        <v>45107</v>
      </c>
      <c r="F1145" s="54"/>
      <c r="G1145" s="54"/>
      <c r="H1145" s="54"/>
      <c r="I1145" s="54"/>
      <c r="J1145" s="54"/>
      <c r="K1145" s="106"/>
      <c r="L1145" s="97">
        <f>SUM(L1143:L1144)</f>
        <v>29577</v>
      </c>
      <c r="M1145" s="97">
        <f>SUM(M1143:M1144)</f>
        <v>8873.1</v>
      </c>
      <c r="N1145" s="97">
        <f>SUM(N1143:N1144)</f>
        <v>20703.900000000001</v>
      </c>
      <c r="O1145" s="57">
        <f>IFERROR(N1145/L1145,"")</f>
        <v>0.70000000000000007</v>
      </c>
      <c r="P1145" s="97">
        <f>SUM(P1143:P1144)</f>
        <v>29577</v>
      </c>
      <c r="Q1145" s="24"/>
      <c r="R1145" s="97">
        <f t="shared" ref="R1145:W1145" si="682">SUM(R1143:R1144)</f>
        <v>35</v>
      </c>
      <c r="S1145" s="97">
        <f t="shared" si="682"/>
        <v>1570.8000000000002</v>
      </c>
      <c r="T1145" s="97">
        <f t="shared" si="682"/>
        <v>2868.61</v>
      </c>
      <c r="U1145" s="97">
        <f t="shared" si="682"/>
        <v>926.93000000000006</v>
      </c>
      <c r="V1145" s="97">
        <f t="shared" si="682"/>
        <v>0</v>
      </c>
      <c r="W1145" s="97">
        <f t="shared" si="682"/>
        <v>5366.34</v>
      </c>
      <c r="X1145" s="56">
        <f>IFERROR(S1145/R1145,"")</f>
        <v>44.88</v>
      </c>
      <c r="Y1145" s="57">
        <f>IFERROR(U1145/P1145,0)</f>
        <v>3.1339554383473647E-2</v>
      </c>
      <c r="Z1145" s="28">
        <f>P1145-W1145</f>
        <v>24210.66</v>
      </c>
      <c r="AA1145" s="57">
        <f>Z1145/P1145</f>
        <v>0.81856374885891059</v>
      </c>
      <c r="AB1145" s="120">
        <f t="shared" si="681"/>
        <v>3506.76</v>
      </c>
      <c r="AC1145" s="119">
        <f>IFERROR(AA1145-O1145,"")</f>
        <v>0.11856374885891052</v>
      </c>
      <c r="AD1145" s="53"/>
      <c r="AE1145" s="53"/>
      <c r="AF1145" s="53"/>
      <c r="AG1145" s="61"/>
      <c r="AH1145" s="53"/>
    </row>
    <row r="1146" spans="1:34" ht="11.25" customHeight="1" x14ac:dyDescent="0.15">
      <c r="A1146" s="130"/>
      <c r="B1146" s="130"/>
      <c r="C1146" s="124"/>
      <c r="D1146" s="124"/>
      <c r="E1146" s="273"/>
      <c r="F1146" s="124"/>
      <c r="G1146" s="124"/>
      <c r="H1146" s="124"/>
      <c r="I1146" s="124"/>
      <c r="J1146" s="124"/>
      <c r="K1146" s="125"/>
      <c r="L1146" s="129"/>
      <c r="M1146" s="129"/>
      <c r="N1146" s="129"/>
      <c r="O1146" s="128"/>
      <c r="P1146" s="129"/>
      <c r="Q1146" s="124"/>
      <c r="R1146" s="129"/>
      <c r="S1146" s="129"/>
      <c r="T1146" s="129"/>
      <c r="U1146" s="129"/>
      <c r="V1146" s="126"/>
      <c r="W1146" s="49"/>
      <c r="X1146" s="45"/>
      <c r="Y1146" s="128"/>
      <c r="Z1146" s="126"/>
      <c r="AA1146" s="128"/>
      <c r="AB1146" s="129"/>
      <c r="AC1146" s="160"/>
      <c r="AD1146" s="137"/>
      <c r="AE1146" s="110"/>
      <c r="AF1146" s="110"/>
      <c r="AG1146" s="121"/>
      <c r="AH1146" s="110"/>
    </row>
    <row r="1147" spans="1:34" ht="11.25" customHeight="1" x14ac:dyDescent="0.15">
      <c r="A1147" s="110" t="s">
        <v>253</v>
      </c>
      <c r="B1147" s="110"/>
      <c r="C1147" s="111" t="s">
        <v>175</v>
      </c>
      <c r="D1147" s="111">
        <v>2023</v>
      </c>
      <c r="E1147" s="146">
        <v>45107</v>
      </c>
      <c r="F1147" s="111"/>
      <c r="G1147" s="111">
        <v>81000010</v>
      </c>
      <c r="H1147" s="111">
        <v>4111</v>
      </c>
      <c r="I1147" s="111" t="str">
        <f>MID(G1147,2,1)</f>
        <v>1</v>
      </c>
      <c r="J1147" s="111" t="str">
        <f>IF(I1147="1","Small/Medium","Large")</f>
        <v>Small/Medium</v>
      </c>
      <c r="K1147" s="147" t="s">
        <v>145</v>
      </c>
      <c r="L1147" s="120">
        <v>8054</v>
      </c>
      <c r="M1147" s="120">
        <f>L1147*0.3</f>
        <v>2416.1999999999998</v>
      </c>
      <c r="N1147" s="120">
        <f>L1147-M1147</f>
        <v>5637.8</v>
      </c>
      <c r="O1147" s="119">
        <f>IFERROR(N1147/L1147,"")</f>
        <v>0.70000000000000007</v>
      </c>
      <c r="P1147" s="117">
        <v>8054</v>
      </c>
      <c r="Q1147" s="111">
        <v>1823</v>
      </c>
      <c r="R1147" s="117">
        <v>18</v>
      </c>
      <c r="S1147" s="117">
        <v>807.84</v>
      </c>
      <c r="T1147" s="117">
        <v>985.35</v>
      </c>
      <c r="U1147" s="117">
        <v>19.7</v>
      </c>
      <c r="V1147" s="117"/>
      <c r="W1147" s="26">
        <f>SUM(S1147:V1147)</f>
        <v>1812.89</v>
      </c>
      <c r="X1147" s="118">
        <f>IFERROR(S1147/R1147,"")</f>
        <v>44.88</v>
      </c>
      <c r="Y1147" s="119">
        <f>U1147/P1147</f>
        <v>2.4459895703998012E-3</v>
      </c>
      <c r="Z1147" s="117">
        <f>P1147-W1147</f>
        <v>6241.11</v>
      </c>
      <c r="AA1147" s="119">
        <f>Z1147/P1147</f>
        <v>0.77490812018872601</v>
      </c>
      <c r="AB1147" s="120">
        <f t="shared" ref="AB1147:AB1148" si="683">M1147-W1147</f>
        <v>603.30999999999972</v>
      </c>
      <c r="AC1147" s="119">
        <f>IFERROR(AA1147-O1147,"")</f>
        <v>7.4908120188725946E-2</v>
      </c>
      <c r="AD1147" s="110"/>
      <c r="AE1147" s="110"/>
      <c r="AF1147" s="110"/>
      <c r="AG1147" s="121"/>
      <c r="AH1147" s="110"/>
    </row>
    <row r="1148" spans="1:34" s="212" customFormat="1" ht="11.25" customHeight="1" x14ac:dyDescent="0.15">
      <c r="A1148" s="53" t="s">
        <v>253</v>
      </c>
      <c r="B1148" s="53"/>
      <c r="C1148" s="54" t="s">
        <v>177</v>
      </c>
      <c r="D1148" s="54">
        <v>2023</v>
      </c>
      <c r="E1148" s="70">
        <v>45107</v>
      </c>
      <c r="F1148" s="54"/>
      <c r="G1148" s="54"/>
      <c r="H1148" s="54"/>
      <c r="I1148" s="54"/>
      <c r="J1148" s="54"/>
      <c r="K1148" s="106"/>
      <c r="L1148" s="97">
        <f>SUM(L1147)</f>
        <v>8054</v>
      </c>
      <c r="M1148" s="97">
        <f>SUM(M1147)</f>
        <v>2416.1999999999998</v>
      </c>
      <c r="N1148" s="97">
        <f>SUM(N1146:N1147)</f>
        <v>5637.8</v>
      </c>
      <c r="O1148" s="57">
        <f>IFERROR(N1148/L1148,"")</f>
        <v>0.70000000000000007</v>
      </c>
      <c r="P1148" s="97">
        <f>SUM(P1147)</f>
        <v>8054</v>
      </c>
      <c r="Q1148" s="24"/>
      <c r="R1148" s="97">
        <f t="shared" ref="R1148:W1148" si="684">SUM(R1147)</f>
        <v>18</v>
      </c>
      <c r="S1148" s="97">
        <f t="shared" si="684"/>
        <v>807.84</v>
      </c>
      <c r="T1148" s="97">
        <f t="shared" si="684"/>
        <v>985.35</v>
      </c>
      <c r="U1148" s="97">
        <f t="shared" si="684"/>
        <v>19.7</v>
      </c>
      <c r="V1148" s="97">
        <f t="shared" si="684"/>
        <v>0</v>
      </c>
      <c r="W1148" s="97">
        <f t="shared" si="684"/>
        <v>1812.89</v>
      </c>
      <c r="X1148" s="56">
        <f>IFERROR(S1148/R1148,"")</f>
        <v>44.88</v>
      </c>
      <c r="Y1148" s="57">
        <f>IFERROR(U1148/P1148,0)</f>
        <v>2.4459895703998012E-3</v>
      </c>
      <c r="Z1148" s="28">
        <f>P1148-W1148</f>
        <v>6241.11</v>
      </c>
      <c r="AA1148" s="57">
        <f>Z1148/P1148</f>
        <v>0.77490812018872601</v>
      </c>
      <c r="AB1148" s="120">
        <f t="shared" si="683"/>
        <v>603.30999999999972</v>
      </c>
      <c r="AC1148" s="119">
        <f>IFERROR(AA1148-O1148,"")</f>
        <v>7.4908120188725946E-2</v>
      </c>
      <c r="AD1148" s="53"/>
      <c r="AE1148" s="53"/>
      <c r="AF1148" s="53"/>
      <c r="AG1148" s="61"/>
      <c r="AH1148" s="53"/>
    </row>
    <row r="1149" spans="1:34" ht="11.25" customHeight="1" x14ac:dyDescent="0.15">
      <c r="A1149" s="130"/>
      <c r="B1149" s="130"/>
      <c r="C1149" s="124"/>
      <c r="D1149" s="124"/>
      <c r="E1149" s="273"/>
      <c r="F1149" s="124"/>
      <c r="G1149" s="124"/>
      <c r="H1149" s="124"/>
      <c r="I1149" s="124"/>
      <c r="J1149" s="124"/>
      <c r="K1149" s="125"/>
      <c r="L1149" s="129"/>
      <c r="M1149" s="129"/>
      <c r="N1149" s="129"/>
      <c r="O1149" s="128"/>
      <c r="P1149" s="129"/>
      <c r="Q1149" s="124"/>
      <c r="R1149" s="129"/>
      <c r="S1149" s="129"/>
      <c r="T1149" s="129"/>
      <c r="U1149" s="129"/>
      <c r="V1149" s="126"/>
      <c r="W1149" s="49"/>
      <c r="X1149" s="45"/>
      <c r="Y1149" s="128"/>
      <c r="Z1149" s="126"/>
      <c r="AA1149" s="128"/>
      <c r="AB1149" s="129"/>
      <c r="AC1149" s="160"/>
      <c r="AD1149" s="137"/>
      <c r="AE1149" s="110"/>
      <c r="AF1149" s="110"/>
      <c r="AG1149" s="121"/>
      <c r="AH1149" s="110"/>
    </row>
    <row r="1150" spans="1:34" ht="11.25" customHeight="1" x14ac:dyDescent="0.15">
      <c r="A1150" s="110" t="s">
        <v>426</v>
      </c>
      <c r="B1150" s="110"/>
      <c r="C1150" s="111" t="s">
        <v>175</v>
      </c>
      <c r="D1150" s="111">
        <v>2023</v>
      </c>
      <c r="E1150" s="146">
        <v>45107</v>
      </c>
      <c r="F1150" s="111"/>
      <c r="G1150" s="111">
        <v>81000000</v>
      </c>
      <c r="H1150" s="111">
        <v>4111</v>
      </c>
      <c r="I1150" s="111" t="str">
        <f>MID(G1150,2,1)</f>
        <v>1</v>
      </c>
      <c r="J1150" s="111" t="str">
        <f>IF(I1150="1","Small/Medium","Large")</f>
        <v>Small/Medium</v>
      </c>
      <c r="K1150" s="147" t="s">
        <v>145</v>
      </c>
      <c r="L1150" s="120">
        <v>8054</v>
      </c>
      <c r="M1150" s="120">
        <f>L1150*0.3</f>
        <v>2416.1999999999998</v>
      </c>
      <c r="N1150" s="120">
        <f>L1150-M1150</f>
        <v>5637.8</v>
      </c>
      <c r="O1150" s="119">
        <f>IFERROR(N1150/L1150,"")</f>
        <v>0.70000000000000007</v>
      </c>
      <c r="P1150" s="117">
        <v>8054</v>
      </c>
      <c r="Q1150" s="111">
        <v>1824</v>
      </c>
      <c r="R1150" s="117">
        <v>19</v>
      </c>
      <c r="S1150" s="117">
        <v>852.72</v>
      </c>
      <c r="T1150" s="117">
        <v>940.04</v>
      </c>
      <c r="U1150" s="117">
        <v>28.9</v>
      </c>
      <c r="V1150" s="117"/>
      <c r="W1150" s="26">
        <f>SUM(S1150:V1150)</f>
        <v>1821.66</v>
      </c>
      <c r="X1150" s="118">
        <f>IFERROR(S1150/R1150,"")</f>
        <v>44.88</v>
      </c>
      <c r="Y1150" s="119">
        <f>U1150/P1150</f>
        <v>3.5882791159672213E-3</v>
      </c>
      <c r="Z1150" s="117">
        <f>P1150-W1150</f>
        <v>6232.34</v>
      </c>
      <c r="AA1150" s="119">
        <f>Z1150/P1150</f>
        <v>0.77381922026322325</v>
      </c>
      <c r="AB1150" s="120">
        <f t="shared" ref="AB1150:AB1151" si="685">M1150-W1150</f>
        <v>594.53999999999974</v>
      </c>
      <c r="AC1150" s="119">
        <f>IFERROR(AA1150-O1150,"")</f>
        <v>7.3819220263223184E-2</v>
      </c>
      <c r="AD1150" s="110"/>
      <c r="AE1150" s="110"/>
      <c r="AF1150" s="110"/>
      <c r="AG1150" s="121"/>
      <c r="AH1150" s="110"/>
    </row>
    <row r="1151" spans="1:34" s="212" customFormat="1" ht="11.25" customHeight="1" x14ac:dyDescent="0.15">
      <c r="A1151" s="53" t="s">
        <v>426</v>
      </c>
      <c r="B1151" s="53"/>
      <c r="C1151" s="54" t="s">
        <v>177</v>
      </c>
      <c r="D1151" s="54">
        <v>2023</v>
      </c>
      <c r="E1151" s="70">
        <v>45107</v>
      </c>
      <c r="F1151" s="54"/>
      <c r="G1151" s="54"/>
      <c r="H1151" s="54"/>
      <c r="I1151" s="54"/>
      <c r="J1151" s="54"/>
      <c r="K1151" s="106"/>
      <c r="L1151" s="97">
        <f>SUM(L1150)</f>
        <v>8054</v>
      </c>
      <c r="M1151" s="97">
        <f>SUM(M1150)</f>
        <v>2416.1999999999998</v>
      </c>
      <c r="N1151" s="97">
        <f>SUM(N1149:N1150)</f>
        <v>5637.8</v>
      </c>
      <c r="O1151" s="73">
        <f>IFERROR(N1151/L1151,"")</f>
        <v>0.70000000000000007</v>
      </c>
      <c r="P1151" s="97">
        <f>SUM(P1150)</f>
        <v>8054</v>
      </c>
      <c r="Q1151" s="24"/>
      <c r="R1151" s="97">
        <f t="shared" ref="R1151:W1151" si="686">SUM(R1150)</f>
        <v>19</v>
      </c>
      <c r="S1151" s="97">
        <f t="shared" si="686"/>
        <v>852.72</v>
      </c>
      <c r="T1151" s="97">
        <f t="shared" si="686"/>
        <v>940.04</v>
      </c>
      <c r="U1151" s="97">
        <f t="shared" si="686"/>
        <v>28.9</v>
      </c>
      <c r="V1151" s="97">
        <f t="shared" si="686"/>
        <v>0</v>
      </c>
      <c r="W1151" s="97">
        <f t="shared" si="686"/>
        <v>1821.66</v>
      </c>
      <c r="X1151" s="56">
        <f>IFERROR(S1151/R1151,"")</f>
        <v>44.88</v>
      </c>
      <c r="Y1151" s="57">
        <f>IFERROR(U1151/P1151,0)</f>
        <v>3.5882791159672213E-3</v>
      </c>
      <c r="Z1151" s="28">
        <f>P1151-W1151</f>
        <v>6232.34</v>
      </c>
      <c r="AA1151" s="57">
        <f>Z1151/P1151</f>
        <v>0.77381922026322325</v>
      </c>
      <c r="AB1151" s="120">
        <f t="shared" si="685"/>
        <v>594.53999999999974</v>
      </c>
      <c r="AC1151" s="119">
        <f>IFERROR(AA1151-O1151,"")</f>
        <v>7.3819220263223184E-2</v>
      </c>
      <c r="AD1151" s="53"/>
      <c r="AE1151" s="53"/>
      <c r="AF1151" s="53"/>
      <c r="AG1151" s="61"/>
      <c r="AH1151" s="53"/>
    </row>
    <row r="1152" spans="1:34" ht="11.25" customHeight="1" x14ac:dyDescent="0.15">
      <c r="A1152" s="130"/>
      <c r="B1152" s="130"/>
      <c r="C1152" s="124"/>
      <c r="D1152" s="124"/>
      <c r="E1152" s="273"/>
      <c r="F1152" s="124"/>
      <c r="G1152" s="124"/>
      <c r="H1152" s="124"/>
      <c r="I1152" s="124"/>
      <c r="J1152" s="124"/>
      <c r="K1152" s="125"/>
      <c r="L1152" s="220"/>
      <c r="M1152" s="220"/>
      <c r="N1152" s="220"/>
      <c r="O1152" s="128"/>
      <c r="P1152" s="220"/>
      <c r="Q1152" s="124"/>
      <c r="R1152" s="220"/>
      <c r="S1152" s="220"/>
      <c r="T1152" s="220"/>
      <c r="U1152" s="220"/>
      <c r="V1152" s="225"/>
      <c r="W1152" s="230"/>
      <c r="X1152" s="45"/>
      <c r="Y1152" s="128"/>
      <c r="Z1152" s="126"/>
      <c r="AA1152" s="128"/>
      <c r="AB1152" s="129"/>
      <c r="AC1152" s="160"/>
      <c r="AD1152" s="137"/>
      <c r="AE1152" s="110"/>
      <c r="AF1152" s="110"/>
      <c r="AG1152" s="121"/>
      <c r="AH1152" s="110"/>
    </row>
    <row r="1153" spans="1:34" ht="11.25" customHeight="1" x14ac:dyDescent="0.15">
      <c r="A1153" s="110" t="s">
        <v>593</v>
      </c>
      <c r="B1153" s="110"/>
      <c r="C1153" s="111" t="s">
        <v>37</v>
      </c>
      <c r="D1153" s="111">
        <v>2023</v>
      </c>
      <c r="E1153" s="146">
        <v>45138</v>
      </c>
      <c r="F1153" s="111"/>
      <c r="G1153" s="111">
        <v>126120121</v>
      </c>
      <c r="H1153" s="111"/>
      <c r="I1153" s="111" t="str">
        <f>MID(G1153,2,1)</f>
        <v>2</v>
      </c>
      <c r="J1153" s="111" t="s">
        <v>577</v>
      </c>
      <c r="K1153" s="112" t="s">
        <v>594</v>
      </c>
      <c r="L1153" s="120">
        <v>138369.47</v>
      </c>
      <c r="M1153" s="120">
        <v>31236.51</v>
      </c>
      <c r="N1153" s="120">
        <f>L1153-M1153</f>
        <v>107132.96</v>
      </c>
      <c r="O1153" s="119">
        <f t="shared" ref="O1153:O1164" si="687">IFERROR(N1153/L1153,"")</f>
        <v>0.77425287529105957</v>
      </c>
      <c r="P1153" s="117">
        <v>138369.47</v>
      </c>
      <c r="Q1153" s="111">
        <v>51</v>
      </c>
      <c r="R1153" s="117">
        <v>40</v>
      </c>
      <c r="S1153" s="117">
        <v>1514.26</v>
      </c>
      <c r="T1153" s="117"/>
      <c r="U1153" s="117">
        <v>31117.16</v>
      </c>
      <c r="V1153" s="117"/>
      <c r="W1153" s="26">
        <f>SUM(S1153:V1153)</f>
        <v>32631.42</v>
      </c>
      <c r="X1153" s="118">
        <f>IFERROR(S1153/R1153,"")</f>
        <v>37.856499999999997</v>
      </c>
      <c r="Y1153" s="119">
        <f>U1153/P1153</f>
        <v>0.22488457894649738</v>
      </c>
      <c r="Z1153" s="117">
        <f t="shared" ref="Z1153:Z1162" si="688">P1153-W1153</f>
        <v>105738.05</v>
      </c>
      <c r="AA1153" s="119">
        <f t="shared" ref="AA1153:AA1164" si="689">Z1153/P1153</f>
        <v>0.76417182200668976</v>
      </c>
      <c r="AB1153" s="120">
        <f t="shared" ref="AB1153:AB1164" si="690">M1153-W1153</f>
        <v>-1394.9099999999999</v>
      </c>
      <c r="AC1153" s="119">
        <f t="shared" ref="AC1153:AC1164" si="691">IFERROR(AA1153-O1153,"")</f>
        <v>-1.0081053284369812E-2</v>
      </c>
      <c r="AD1153" s="110" t="s">
        <v>595</v>
      </c>
      <c r="AE1153" s="110"/>
      <c r="AF1153" s="110"/>
      <c r="AG1153" s="121"/>
      <c r="AH1153" s="110"/>
    </row>
    <row r="1154" spans="1:34" ht="11.25" customHeight="1" x14ac:dyDescent="0.15">
      <c r="A1154" s="110" t="s">
        <v>593</v>
      </c>
      <c r="B1154" s="110"/>
      <c r="C1154" s="111" t="s">
        <v>37</v>
      </c>
      <c r="D1154" s="111">
        <v>2023</v>
      </c>
      <c r="E1154" s="146">
        <v>45138</v>
      </c>
      <c r="F1154" s="111"/>
      <c r="G1154" s="111">
        <v>21001011</v>
      </c>
      <c r="H1154" s="111"/>
      <c r="I1154" s="111"/>
      <c r="J1154" s="111"/>
      <c r="K1154" s="112" t="s">
        <v>596</v>
      </c>
      <c r="L1154" s="120">
        <v>12470.13</v>
      </c>
      <c r="M1154" s="120">
        <v>4119.84</v>
      </c>
      <c r="N1154" s="120">
        <f>L1154-M1154</f>
        <v>8350.2899999999991</v>
      </c>
      <c r="O1154" s="119">
        <f t="shared" si="687"/>
        <v>0.66962333191394152</v>
      </c>
      <c r="P1154" s="117">
        <f>L1154</f>
        <v>12470.13</v>
      </c>
      <c r="Q1154" s="111">
        <v>1754</v>
      </c>
      <c r="R1154" s="117"/>
      <c r="S1154" s="117"/>
      <c r="T1154" s="117"/>
      <c r="U1154" s="117">
        <v>4473.82</v>
      </c>
      <c r="V1154" s="117"/>
      <c r="W1154" s="26">
        <f>SUM(S1154:V1154)</f>
        <v>4473.82</v>
      </c>
      <c r="X1154" s="118" t="str">
        <f>IFERROR(S1154/R1154,"")</f>
        <v/>
      </c>
      <c r="Y1154" s="119">
        <f>U1154/P1154</f>
        <v>0.35876289982542281</v>
      </c>
      <c r="Z1154" s="117">
        <f t="shared" si="688"/>
        <v>7996.3099999999995</v>
      </c>
      <c r="AA1154" s="119">
        <f t="shared" si="689"/>
        <v>0.64123710017457713</v>
      </c>
      <c r="AB1154" s="120">
        <f t="shared" si="690"/>
        <v>-353.97999999999956</v>
      </c>
      <c r="AC1154" s="119">
        <f t="shared" si="691"/>
        <v>-2.8386231739364387E-2</v>
      </c>
      <c r="AD1154" s="110" t="s">
        <v>595</v>
      </c>
      <c r="AE1154" s="110"/>
      <c r="AF1154" s="110"/>
      <c r="AG1154" s="121"/>
      <c r="AH1154" s="110"/>
    </row>
    <row r="1155" spans="1:34" ht="11.25" customHeight="1" x14ac:dyDescent="0.15">
      <c r="A1155" s="110" t="s">
        <v>593</v>
      </c>
      <c r="B1155" s="110"/>
      <c r="C1155" s="111" t="s">
        <v>37</v>
      </c>
      <c r="D1155" s="111">
        <v>2023</v>
      </c>
      <c r="E1155" s="146">
        <v>45138</v>
      </c>
      <c r="F1155" s="111"/>
      <c r="G1155" s="111">
        <v>21010011</v>
      </c>
      <c r="H1155" s="111"/>
      <c r="I1155" s="111"/>
      <c r="J1155" s="111"/>
      <c r="K1155" s="112" t="s">
        <v>439</v>
      </c>
      <c r="L1155" s="120">
        <v>16843.439999999999</v>
      </c>
      <c r="M1155" s="120">
        <v>5509.54</v>
      </c>
      <c r="N1155" s="120">
        <f>L1155-M1155</f>
        <v>11333.899999999998</v>
      </c>
      <c r="O1155" s="119">
        <f t="shared" si="687"/>
        <v>0.67289698541390586</v>
      </c>
      <c r="P1155" s="117">
        <f>L1155</f>
        <v>16843.439999999999</v>
      </c>
      <c r="Q1155" s="111">
        <v>1755</v>
      </c>
      <c r="R1155" s="117"/>
      <c r="S1155" s="117"/>
      <c r="T1155" s="117"/>
      <c r="U1155" s="117">
        <v>6870.4</v>
      </c>
      <c r="V1155" s="117"/>
      <c r="W1155" s="26">
        <f>SUM(S1155:V1155)</f>
        <v>6870.4</v>
      </c>
      <c r="X1155" s="118" t="str">
        <f>IFERROR(S1155/R1155,"")</f>
        <v/>
      </c>
      <c r="Y1155" s="119">
        <f>U1155/P1155</f>
        <v>0.40789767410932687</v>
      </c>
      <c r="Z1155" s="117">
        <f t="shared" si="688"/>
        <v>9973.0399999999991</v>
      </c>
      <c r="AA1155" s="119">
        <f t="shared" si="689"/>
        <v>0.59210232589067313</v>
      </c>
      <c r="AB1155" s="120">
        <f t="shared" si="690"/>
        <v>-1360.8599999999997</v>
      </c>
      <c r="AC1155" s="119">
        <f t="shared" si="691"/>
        <v>-8.0794659523232726E-2</v>
      </c>
      <c r="AD1155" s="110" t="s">
        <v>595</v>
      </c>
      <c r="AE1155" s="110"/>
      <c r="AF1155" s="110"/>
      <c r="AG1155" s="121"/>
      <c r="AH1155" s="110"/>
    </row>
    <row r="1156" spans="1:34" ht="11.25" customHeight="1" x14ac:dyDescent="0.15">
      <c r="A1156" s="110" t="s">
        <v>593</v>
      </c>
      <c r="B1156" s="110"/>
      <c r="C1156" s="111" t="s">
        <v>37</v>
      </c>
      <c r="D1156" s="111">
        <v>2023</v>
      </c>
      <c r="E1156" s="146">
        <v>45138</v>
      </c>
      <c r="F1156" s="111"/>
      <c r="G1156" s="111">
        <v>21050011</v>
      </c>
      <c r="H1156" s="111"/>
      <c r="I1156" s="111"/>
      <c r="J1156" s="111"/>
      <c r="K1156" s="112" t="s">
        <v>582</v>
      </c>
      <c r="L1156" s="120">
        <v>27412.959999999999</v>
      </c>
      <c r="M1156" s="120">
        <v>8075.74</v>
      </c>
      <c r="N1156" s="120">
        <f>L1156-M1156</f>
        <v>19337.22</v>
      </c>
      <c r="O1156" s="119">
        <f t="shared" si="687"/>
        <v>0.70540430511699581</v>
      </c>
      <c r="P1156" s="117">
        <v>27412.959999999999</v>
      </c>
      <c r="Q1156" s="111">
        <v>1756</v>
      </c>
      <c r="R1156" s="117"/>
      <c r="S1156" s="117"/>
      <c r="T1156" s="117"/>
      <c r="U1156" s="117">
        <v>8230.4500000000007</v>
      </c>
      <c r="V1156" s="117"/>
      <c r="W1156" s="26">
        <f>SUM(S1156:V1156)</f>
        <v>8230.4500000000007</v>
      </c>
      <c r="X1156" s="118" t="str">
        <f>IFERROR(S1156/R1156,"")</f>
        <v/>
      </c>
      <c r="Y1156" s="119">
        <f>U1156/P1156</f>
        <v>0.30023937582807553</v>
      </c>
      <c r="Z1156" s="117">
        <f t="shared" si="688"/>
        <v>19182.509999999998</v>
      </c>
      <c r="AA1156" s="119">
        <f t="shared" si="689"/>
        <v>0.69976062417192453</v>
      </c>
      <c r="AB1156" s="120">
        <f t="shared" si="690"/>
        <v>-154.71000000000095</v>
      </c>
      <c r="AC1156" s="119">
        <f t="shared" si="691"/>
        <v>-5.6436809450712833E-3</v>
      </c>
      <c r="AD1156" s="110" t="s">
        <v>595</v>
      </c>
      <c r="AE1156" s="110"/>
      <c r="AF1156" s="110"/>
      <c r="AG1156" s="121"/>
      <c r="AH1156" s="110"/>
    </row>
    <row r="1157" spans="1:34" s="53" customFormat="1" ht="11.25" customHeight="1" x14ac:dyDescent="0.15">
      <c r="A1157" s="53" t="s">
        <v>593</v>
      </c>
      <c r="C1157" s="54" t="s">
        <v>360</v>
      </c>
      <c r="D1157" s="54">
        <v>2023</v>
      </c>
      <c r="E1157" s="70">
        <v>45138</v>
      </c>
      <c r="F1157" s="54"/>
      <c r="I1157" s="111"/>
      <c r="J1157" s="111"/>
      <c r="L1157" s="97">
        <f>SUM(L1153:L1156)</f>
        <v>195096</v>
      </c>
      <c r="M1157" s="97">
        <f>SUM(M1153:M1156)</f>
        <v>48941.63</v>
      </c>
      <c r="N1157" s="97">
        <f>SUM(N1153:N1156)</f>
        <v>146154.37</v>
      </c>
      <c r="O1157" s="73">
        <f t="shared" si="687"/>
        <v>0.74914078197400247</v>
      </c>
      <c r="P1157" s="97">
        <f>SUM(P1153:P1156)</f>
        <v>195096</v>
      </c>
      <c r="Q1157" s="24"/>
      <c r="R1157" s="97">
        <f t="shared" ref="R1157:W1157" si="692">SUM(R1153:R1156)</f>
        <v>40</v>
      </c>
      <c r="S1157" s="97">
        <f t="shared" si="692"/>
        <v>1514.26</v>
      </c>
      <c r="T1157" s="97">
        <f t="shared" si="692"/>
        <v>0</v>
      </c>
      <c r="U1157" s="97">
        <f t="shared" si="692"/>
        <v>50691.83</v>
      </c>
      <c r="V1157" s="97">
        <f t="shared" si="692"/>
        <v>0</v>
      </c>
      <c r="W1157" s="97">
        <f t="shared" si="692"/>
        <v>52206.09</v>
      </c>
      <c r="X1157" s="118"/>
      <c r="Y1157" s="119"/>
      <c r="Z1157" s="28">
        <f t="shared" si="688"/>
        <v>142889.91</v>
      </c>
      <c r="AA1157" s="57">
        <f t="shared" si="689"/>
        <v>0.73240819904047239</v>
      </c>
      <c r="AB1157" s="120">
        <f t="shared" si="690"/>
        <v>-3264.4599999999991</v>
      </c>
      <c r="AC1157" s="57">
        <f t="shared" si="691"/>
        <v>-1.6732582933530082E-2</v>
      </c>
      <c r="AG1157" s="61"/>
    </row>
    <row r="1158" spans="1:34" ht="11.25" customHeight="1" x14ac:dyDescent="0.15">
      <c r="A1158" s="110" t="s">
        <v>593</v>
      </c>
      <c r="B1158" s="110"/>
      <c r="C1158" s="111" t="s">
        <v>47</v>
      </c>
      <c r="D1158" s="111">
        <v>2023</v>
      </c>
      <c r="E1158" s="146">
        <v>45138</v>
      </c>
      <c r="F1158" s="111"/>
      <c r="G1158" s="111">
        <v>52612012</v>
      </c>
      <c r="H1158" s="111"/>
      <c r="I1158" s="111"/>
      <c r="J1158" s="111"/>
      <c r="K1158" s="112" t="s">
        <v>597</v>
      </c>
      <c r="L1158" s="120">
        <v>39346</v>
      </c>
      <c r="M1158" s="120">
        <v>15910.99</v>
      </c>
      <c r="N1158" s="120">
        <f t="shared" ref="N1158:N1163" si="693">L1158-M1158</f>
        <v>23435.010000000002</v>
      </c>
      <c r="O1158" s="119">
        <f t="shared" si="687"/>
        <v>0.59561353123570382</v>
      </c>
      <c r="P1158" s="117">
        <f t="shared" ref="P1158:P1163" si="694">L1158</f>
        <v>39346</v>
      </c>
      <c r="Q1158" s="111">
        <v>1757</v>
      </c>
      <c r="R1158" s="117">
        <v>106</v>
      </c>
      <c r="S1158" s="117">
        <v>4866.46</v>
      </c>
      <c r="T1158" s="117">
        <v>8014.06</v>
      </c>
      <c r="U1158" s="117">
        <v>2602.12</v>
      </c>
      <c r="V1158" s="117"/>
      <c r="W1158" s="26">
        <f>SUM(S1158:V1158)</f>
        <v>15482.64</v>
      </c>
      <c r="X1158" s="118">
        <f t="shared" ref="X1158:X1164" si="695">IFERROR(S1158/R1158,"")</f>
        <v>45.910000000000004</v>
      </c>
      <c r="Y1158" s="119">
        <f t="shared" ref="Y1158:Y1164" si="696">U1158/P1158</f>
        <v>6.6134295735271686E-2</v>
      </c>
      <c r="Z1158" s="117">
        <f t="shared" si="688"/>
        <v>23863.360000000001</v>
      </c>
      <c r="AA1158" s="119">
        <f t="shared" si="689"/>
        <v>0.60650027957098562</v>
      </c>
      <c r="AB1158" s="120">
        <f t="shared" si="690"/>
        <v>428.35000000000036</v>
      </c>
      <c r="AC1158" s="119">
        <f t="shared" si="691"/>
        <v>1.0886748335281804E-2</v>
      </c>
      <c r="AD1158" s="110"/>
      <c r="AE1158" s="110"/>
      <c r="AF1158" s="110"/>
      <c r="AG1158" s="121"/>
      <c r="AH1158" s="110"/>
    </row>
    <row r="1159" spans="1:34" ht="11.25" customHeight="1" x14ac:dyDescent="0.15">
      <c r="A1159" s="110" t="s">
        <v>593</v>
      </c>
      <c r="B1159" s="110"/>
      <c r="C1159" s="111" t="s">
        <v>248</v>
      </c>
      <c r="D1159" s="111">
        <v>2023</v>
      </c>
      <c r="E1159" s="146">
        <v>45138</v>
      </c>
      <c r="F1159" s="111"/>
      <c r="G1159" s="111">
        <v>96000000</v>
      </c>
      <c r="H1159" s="111"/>
      <c r="I1159" s="111"/>
      <c r="J1159" s="111"/>
      <c r="K1159" s="112" t="s">
        <v>250</v>
      </c>
      <c r="L1159" s="120">
        <v>14414</v>
      </c>
      <c r="M1159" s="120">
        <v>7207</v>
      </c>
      <c r="N1159" s="120">
        <f t="shared" si="693"/>
        <v>7207</v>
      </c>
      <c r="O1159" s="119">
        <f t="shared" si="687"/>
        <v>0.5</v>
      </c>
      <c r="P1159" s="117">
        <f t="shared" si="694"/>
        <v>14414</v>
      </c>
      <c r="Q1159" s="111">
        <v>1758</v>
      </c>
      <c r="R1159" s="117">
        <v>22</v>
      </c>
      <c r="S1159" s="117">
        <v>1244.1099999999999</v>
      </c>
      <c r="T1159" s="117"/>
      <c r="U1159" s="117"/>
      <c r="V1159" s="117"/>
      <c r="W1159" s="26">
        <f>SUM(S1159:V1159)</f>
        <v>1244.1099999999999</v>
      </c>
      <c r="X1159" s="118">
        <f t="shared" si="695"/>
        <v>56.550454545454542</v>
      </c>
      <c r="Y1159" s="119">
        <f t="shared" si="696"/>
        <v>0</v>
      </c>
      <c r="Z1159" s="117">
        <f t="shared" si="688"/>
        <v>13169.89</v>
      </c>
      <c r="AA1159" s="119">
        <f t="shared" si="689"/>
        <v>0.91368738726238374</v>
      </c>
      <c r="AB1159" s="120">
        <f t="shared" si="690"/>
        <v>5962.89</v>
      </c>
      <c r="AC1159" s="119">
        <f t="shared" si="691"/>
        <v>0.41368738726238374</v>
      </c>
      <c r="AD1159" s="110"/>
      <c r="AE1159" s="110"/>
      <c r="AF1159" s="110"/>
      <c r="AG1159" s="121"/>
      <c r="AH1159" s="110"/>
    </row>
    <row r="1160" spans="1:34" ht="11.25" customHeight="1" x14ac:dyDescent="0.15">
      <c r="A1160" s="110" t="s">
        <v>593</v>
      </c>
      <c r="B1160" s="110"/>
      <c r="C1160" s="111" t="s">
        <v>49</v>
      </c>
      <c r="D1160" s="111">
        <v>2023</v>
      </c>
      <c r="E1160" s="146">
        <v>45138</v>
      </c>
      <c r="F1160" s="111"/>
      <c r="G1160" s="111">
        <v>62642012</v>
      </c>
      <c r="H1160" s="111"/>
      <c r="I1160" s="111"/>
      <c r="J1160" s="111"/>
      <c r="K1160" s="112" t="s">
        <v>444</v>
      </c>
      <c r="L1160" s="120">
        <v>9523</v>
      </c>
      <c r="M1160" s="120">
        <v>3696.94</v>
      </c>
      <c r="N1160" s="120">
        <f t="shared" si="693"/>
        <v>5826.0599999999995</v>
      </c>
      <c r="O1160" s="119">
        <f t="shared" si="687"/>
        <v>0.61178830200567047</v>
      </c>
      <c r="P1160" s="117">
        <f t="shared" si="694"/>
        <v>9523</v>
      </c>
      <c r="Q1160" s="111">
        <v>1759</v>
      </c>
      <c r="R1160" s="117">
        <v>83</v>
      </c>
      <c r="S1160" s="117">
        <v>4693.6499999999996</v>
      </c>
      <c r="T1160" s="117">
        <v>4591.6499999999996</v>
      </c>
      <c r="U1160" s="117">
        <v>56.19</v>
      </c>
      <c r="V1160" s="117"/>
      <c r="W1160" s="101">
        <f>SUM(S1160:V1160)</f>
        <v>9341.49</v>
      </c>
      <c r="X1160" s="118">
        <f t="shared" si="695"/>
        <v>56.55</v>
      </c>
      <c r="Y1160" s="119">
        <f t="shared" si="696"/>
        <v>5.900451538380762E-3</v>
      </c>
      <c r="Z1160" s="117">
        <f t="shared" si="688"/>
        <v>181.51000000000022</v>
      </c>
      <c r="AA1160" s="119">
        <f t="shared" si="689"/>
        <v>1.9060170114459752E-2</v>
      </c>
      <c r="AB1160" s="120">
        <f t="shared" si="690"/>
        <v>-5644.5499999999993</v>
      </c>
      <c r="AC1160" s="119">
        <f t="shared" si="691"/>
        <v>-0.59272813189121076</v>
      </c>
      <c r="AD1160" s="108" t="s">
        <v>598</v>
      </c>
      <c r="AE1160" s="110"/>
      <c r="AF1160" s="110"/>
      <c r="AG1160" s="121"/>
      <c r="AH1160" s="110"/>
    </row>
    <row r="1161" spans="1:34" ht="11.25" customHeight="1" x14ac:dyDescent="0.15">
      <c r="A1161" s="110" t="s">
        <v>593</v>
      </c>
      <c r="B1161" s="110"/>
      <c r="C1161" s="111" t="s">
        <v>55</v>
      </c>
      <c r="D1161" s="111">
        <v>2023</v>
      </c>
      <c r="E1161" s="146">
        <v>45138</v>
      </c>
      <c r="F1161" s="111"/>
      <c r="G1161" s="111" t="s">
        <v>56</v>
      </c>
      <c r="H1161" s="111"/>
      <c r="I1161" s="111"/>
      <c r="J1161" s="111"/>
      <c r="K1161" s="112" t="s">
        <v>71</v>
      </c>
      <c r="L1161" s="219">
        <f>18131+0.95</f>
        <v>18131.95</v>
      </c>
      <c r="M1161" s="219">
        <v>5893</v>
      </c>
      <c r="N1161" s="219">
        <f t="shared" si="693"/>
        <v>12238.95</v>
      </c>
      <c r="O1161" s="163">
        <f t="shared" si="687"/>
        <v>0.67499358866531178</v>
      </c>
      <c r="P1161" s="132">
        <f t="shared" si="694"/>
        <v>18131.95</v>
      </c>
      <c r="Q1161" s="111">
        <v>1760</v>
      </c>
      <c r="R1161" s="132">
        <v>24.5</v>
      </c>
      <c r="S1161" s="132">
        <v>1041.25</v>
      </c>
      <c r="T1161" s="132"/>
      <c r="U1161" s="132"/>
      <c r="V1161" s="132">
        <v>8501.86</v>
      </c>
      <c r="W1161" s="67">
        <f>SUM(S1161:V1161)</f>
        <v>9543.11</v>
      </c>
      <c r="X1161" s="118">
        <f t="shared" si="695"/>
        <v>42.5</v>
      </c>
      <c r="Y1161" s="119">
        <f t="shared" si="696"/>
        <v>0</v>
      </c>
      <c r="Z1161" s="117">
        <f t="shared" si="688"/>
        <v>8588.84</v>
      </c>
      <c r="AA1161" s="119">
        <f t="shared" si="689"/>
        <v>0.47368540063258502</v>
      </c>
      <c r="AB1161" s="120">
        <f t="shared" si="690"/>
        <v>-3650.1100000000006</v>
      </c>
      <c r="AC1161" s="119">
        <f t="shared" si="691"/>
        <v>-0.20130818803272676</v>
      </c>
      <c r="AD1161" s="110" t="s">
        <v>599</v>
      </c>
      <c r="AE1161" s="110"/>
      <c r="AF1161" s="110"/>
      <c r="AG1161" s="121"/>
      <c r="AH1161" s="110"/>
    </row>
    <row r="1162" spans="1:34" ht="11.25" customHeight="1" x14ac:dyDescent="0.15">
      <c r="A1162" s="110" t="s">
        <v>593</v>
      </c>
      <c r="B1162" s="110"/>
      <c r="C1162" s="111" t="s">
        <v>58</v>
      </c>
      <c r="D1162" s="111">
        <v>2023</v>
      </c>
      <c r="E1162" s="146">
        <v>45138</v>
      </c>
      <c r="F1162" s="111"/>
      <c r="G1162" s="111">
        <v>72142012</v>
      </c>
      <c r="H1162" s="111"/>
      <c r="I1162" s="111"/>
      <c r="J1162" s="111"/>
      <c r="K1162" s="112" t="s">
        <v>589</v>
      </c>
      <c r="L1162" s="120">
        <v>26177</v>
      </c>
      <c r="M1162" s="120">
        <v>2617.6999999999998</v>
      </c>
      <c r="N1162" s="120">
        <f t="shared" si="693"/>
        <v>23559.3</v>
      </c>
      <c r="O1162" s="119">
        <f t="shared" si="687"/>
        <v>0.9</v>
      </c>
      <c r="P1162" s="117">
        <f t="shared" si="694"/>
        <v>26177</v>
      </c>
      <c r="Q1162" s="111">
        <v>1763</v>
      </c>
      <c r="R1162" s="117"/>
      <c r="S1162" s="117"/>
      <c r="T1162" s="117"/>
      <c r="U1162" s="117">
        <v>2057.46</v>
      </c>
      <c r="V1162" s="117"/>
      <c r="W1162" s="26">
        <f>SUM(S1162:V1162)</f>
        <v>2057.46</v>
      </c>
      <c r="X1162" s="118" t="str">
        <f t="shared" si="695"/>
        <v/>
      </c>
      <c r="Y1162" s="119">
        <f t="shared" si="696"/>
        <v>7.8598005883027081E-2</v>
      </c>
      <c r="Z1162" s="117">
        <f t="shared" si="688"/>
        <v>24119.54</v>
      </c>
      <c r="AA1162" s="119">
        <f t="shared" si="689"/>
        <v>0.92140199411697299</v>
      </c>
      <c r="AB1162" s="120">
        <f t="shared" si="690"/>
        <v>560.23999999999978</v>
      </c>
      <c r="AC1162" s="119">
        <f t="shared" si="691"/>
        <v>2.1401994116972967E-2</v>
      </c>
      <c r="AD1162" s="110"/>
      <c r="AE1162" s="110"/>
      <c r="AF1162" s="110"/>
      <c r="AG1162" s="121"/>
      <c r="AH1162" s="110"/>
    </row>
    <row r="1163" spans="1:34" ht="11.25" customHeight="1" x14ac:dyDescent="0.15">
      <c r="A1163" s="110" t="s">
        <v>593</v>
      </c>
      <c r="B1163" s="110"/>
      <c r="C1163" s="111" t="s">
        <v>600</v>
      </c>
      <c r="D1163" s="111">
        <v>2023</v>
      </c>
      <c r="E1163" s="146">
        <v>45138</v>
      </c>
      <c r="F1163" s="111"/>
      <c r="G1163" s="111">
        <v>960000005</v>
      </c>
      <c r="H1163" s="111"/>
      <c r="I1163" s="111"/>
      <c r="J1163" s="111"/>
      <c r="K1163" s="112" t="s">
        <v>601</v>
      </c>
      <c r="L1163" s="120">
        <v>45403.05</v>
      </c>
      <c r="M1163" s="120">
        <v>45403</v>
      </c>
      <c r="N1163" s="120">
        <f t="shared" si="693"/>
        <v>5.0000000002910383E-2</v>
      </c>
      <c r="O1163" s="119">
        <f t="shared" si="687"/>
        <v>1.101247603474004E-6</v>
      </c>
      <c r="P1163" s="117">
        <f t="shared" si="694"/>
        <v>45403.05</v>
      </c>
      <c r="Q1163" s="111"/>
      <c r="R1163" s="117"/>
      <c r="S1163" s="117"/>
      <c r="T1163" s="117"/>
      <c r="U1163" s="117"/>
      <c r="V1163" s="117"/>
      <c r="W1163" s="26">
        <v>45403</v>
      </c>
      <c r="X1163" s="118" t="str">
        <f t="shared" si="695"/>
        <v/>
      </c>
      <c r="Y1163" s="119">
        <f t="shared" si="696"/>
        <v>0</v>
      </c>
      <c r="Z1163" s="117">
        <v>0</v>
      </c>
      <c r="AA1163" s="119">
        <f t="shared" si="689"/>
        <v>0</v>
      </c>
      <c r="AB1163" s="120">
        <f t="shared" si="690"/>
        <v>0</v>
      </c>
      <c r="AC1163" s="119">
        <f t="shared" si="691"/>
        <v>-1.101247603474004E-6</v>
      </c>
      <c r="AD1163" s="110"/>
      <c r="AE1163" s="110"/>
      <c r="AF1163" s="110"/>
      <c r="AG1163" s="121"/>
      <c r="AH1163" s="110"/>
    </row>
    <row r="1164" spans="1:34" s="212" customFormat="1" ht="11.25" customHeight="1" x14ac:dyDescent="0.15">
      <c r="A1164" s="53" t="s">
        <v>593</v>
      </c>
      <c r="B1164" s="53"/>
      <c r="C1164" s="54" t="s">
        <v>177</v>
      </c>
      <c r="D1164" s="54">
        <v>2023</v>
      </c>
      <c r="E1164" s="70">
        <v>45138</v>
      </c>
      <c r="F1164" s="54"/>
      <c r="G1164" s="54"/>
      <c r="H1164" s="54"/>
      <c r="I1164" s="54"/>
      <c r="J1164" s="54"/>
      <c r="K1164" s="106"/>
      <c r="L1164" s="97">
        <f>SUM(L1157:L1163)+1.23</f>
        <v>348092.23</v>
      </c>
      <c r="M1164" s="97">
        <f>SUM(M1157:M1163)</f>
        <v>129670.26</v>
      </c>
      <c r="N1164" s="97">
        <f>SUM(N1157:N1163)</f>
        <v>218420.74</v>
      </c>
      <c r="O1164" s="57">
        <f t="shared" si="687"/>
        <v>0.62747950449798895</v>
      </c>
      <c r="P1164" s="97">
        <f>SUM(P1157:P1163)</f>
        <v>348091</v>
      </c>
      <c r="Q1164" s="24"/>
      <c r="R1164" s="97">
        <f t="shared" ref="R1164:W1164" si="697">SUM(R1157:R1163)</f>
        <v>275.5</v>
      </c>
      <c r="S1164" s="97">
        <f t="shared" si="697"/>
        <v>13359.73</v>
      </c>
      <c r="T1164" s="97">
        <f t="shared" si="697"/>
        <v>12605.71</v>
      </c>
      <c r="U1164" s="97">
        <f t="shared" si="697"/>
        <v>55407.600000000006</v>
      </c>
      <c r="V1164" s="97">
        <f t="shared" si="697"/>
        <v>8501.86</v>
      </c>
      <c r="W1164" s="97">
        <f t="shared" si="697"/>
        <v>135277.90000000002</v>
      </c>
      <c r="X1164" s="118">
        <f t="shared" si="695"/>
        <v>48.492667876588023</v>
      </c>
      <c r="Y1164" s="119">
        <f t="shared" si="696"/>
        <v>0.15917561787003975</v>
      </c>
      <c r="Z1164" s="28">
        <f>P1164-W1164</f>
        <v>212813.09999999998</v>
      </c>
      <c r="AA1164" s="57">
        <f t="shared" si="689"/>
        <v>0.61137202628048404</v>
      </c>
      <c r="AB1164" s="120">
        <f t="shared" si="690"/>
        <v>-5607.6400000000285</v>
      </c>
      <c r="AC1164" s="119">
        <f t="shared" si="691"/>
        <v>-1.6107478217504911E-2</v>
      </c>
      <c r="AD1164" s="53"/>
      <c r="AE1164" s="53"/>
      <c r="AF1164" s="53"/>
      <c r="AG1164" s="61"/>
      <c r="AH1164" s="53"/>
    </row>
    <row r="1165" spans="1:34" ht="11.25" customHeight="1" x14ac:dyDescent="0.15">
      <c r="A1165" s="130"/>
      <c r="B1165" s="130"/>
      <c r="C1165" s="124"/>
      <c r="D1165" s="124"/>
      <c r="E1165" s="273"/>
      <c r="F1165" s="124"/>
      <c r="G1165" s="124"/>
      <c r="H1165" s="124"/>
      <c r="I1165" s="124"/>
      <c r="J1165" s="124"/>
      <c r="K1165" s="125"/>
      <c r="L1165" s="129"/>
      <c r="M1165" s="129"/>
      <c r="N1165" s="129"/>
      <c r="O1165" s="128"/>
      <c r="P1165" s="129"/>
      <c r="Q1165" s="124"/>
      <c r="R1165" s="129"/>
      <c r="S1165" s="129"/>
      <c r="T1165" s="129"/>
      <c r="U1165" s="129"/>
      <c r="V1165" s="126"/>
      <c r="W1165" s="49"/>
      <c r="X1165" s="45"/>
      <c r="Y1165" s="128"/>
      <c r="Z1165" s="126"/>
      <c r="AA1165" s="128"/>
      <c r="AB1165" s="129"/>
      <c r="AC1165" s="160"/>
      <c r="AD1165" s="137"/>
      <c r="AE1165" s="110"/>
      <c r="AF1165" s="110"/>
      <c r="AG1165" s="121"/>
      <c r="AH1165" s="110"/>
    </row>
    <row r="1166" spans="1:34" ht="11.25" customHeight="1" x14ac:dyDescent="0.15">
      <c r="A1166" s="110" t="s">
        <v>576</v>
      </c>
      <c r="B1166" s="110"/>
      <c r="C1166" s="111" t="s">
        <v>47</v>
      </c>
      <c r="D1166" s="111">
        <v>2023</v>
      </c>
      <c r="E1166" s="146">
        <v>45138</v>
      </c>
      <c r="F1166" s="111"/>
      <c r="G1166" s="111">
        <v>52510112</v>
      </c>
      <c r="H1166" s="111"/>
      <c r="I1166" s="111"/>
      <c r="J1166" s="111"/>
      <c r="K1166" s="112" t="s">
        <v>585</v>
      </c>
      <c r="L1166" s="219">
        <v>0</v>
      </c>
      <c r="M1166" s="219">
        <v>0</v>
      </c>
      <c r="N1166" s="219">
        <v>0</v>
      </c>
      <c r="O1166" s="163">
        <v>0</v>
      </c>
      <c r="P1166" s="132">
        <v>0</v>
      </c>
      <c r="Q1166" s="111">
        <v>1855</v>
      </c>
      <c r="R1166" s="132">
        <v>53.5</v>
      </c>
      <c r="S1166" s="132">
        <v>2456.19</v>
      </c>
      <c r="T1166" s="132">
        <v>3641.14</v>
      </c>
      <c r="U1166" s="132">
        <v>201.01</v>
      </c>
      <c r="V1166" s="132">
        <v>178.41</v>
      </c>
      <c r="W1166" s="67">
        <f>SUM(S1166:V1166)</f>
        <v>6476.75</v>
      </c>
      <c r="X1166" s="118">
        <f>IFERROR(S1166/R1166,"")</f>
        <v>45.91009345794393</v>
      </c>
      <c r="Y1166" s="119">
        <f>IFERROR(U1166/P1166,0)</f>
        <v>0</v>
      </c>
      <c r="Z1166" s="117">
        <v>0</v>
      </c>
      <c r="AA1166" s="119">
        <f>IFERROR(Z1166/P1166,0)</f>
        <v>0</v>
      </c>
      <c r="AB1166" s="120">
        <f t="shared" ref="AB1166:AB1167" si="698">M1166-W1166</f>
        <v>-6476.75</v>
      </c>
      <c r="AC1166" s="119">
        <f>IFERROR(AA1166-O1166,"")</f>
        <v>0</v>
      </c>
      <c r="AD1166" s="110" t="s">
        <v>602</v>
      </c>
      <c r="AE1166" s="110"/>
      <c r="AF1166" s="110"/>
      <c r="AG1166" s="121"/>
      <c r="AH1166" s="110"/>
    </row>
    <row r="1167" spans="1:34" s="212" customFormat="1" ht="11.25" customHeight="1" x14ac:dyDescent="0.15">
      <c r="A1167" s="53" t="s">
        <v>576</v>
      </c>
      <c r="B1167" s="53"/>
      <c r="C1167" s="54" t="s">
        <v>177</v>
      </c>
      <c r="D1167" s="54">
        <v>2023</v>
      </c>
      <c r="E1167" s="70">
        <v>45138</v>
      </c>
      <c r="F1167" s="54"/>
      <c r="G1167" s="54"/>
      <c r="H1167" s="54"/>
      <c r="I1167" s="54"/>
      <c r="J1167" s="54"/>
      <c r="K1167" s="106"/>
      <c r="L1167" s="97">
        <f>SUM(L1166)</f>
        <v>0</v>
      </c>
      <c r="M1167" s="97">
        <f>SUM(M1166)</f>
        <v>0</v>
      </c>
      <c r="N1167" s="97">
        <f>SUM(N1166)</f>
        <v>0</v>
      </c>
      <c r="O1167" s="57"/>
      <c r="P1167" s="97">
        <f>SUM(P1166)</f>
        <v>0</v>
      </c>
      <c r="Q1167" s="24"/>
      <c r="R1167" s="97">
        <f t="shared" ref="R1167:W1167" si="699">SUM(R1166)</f>
        <v>53.5</v>
      </c>
      <c r="S1167" s="97">
        <f t="shared" si="699"/>
        <v>2456.19</v>
      </c>
      <c r="T1167" s="97">
        <f t="shared" si="699"/>
        <v>3641.14</v>
      </c>
      <c r="U1167" s="97">
        <f t="shared" si="699"/>
        <v>201.01</v>
      </c>
      <c r="V1167" s="97">
        <f t="shared" si="699"/>
        <v>178.41</v>
      </c>
      <c r="W1167" s="97">
        <f t="shared" si="699"/>
        <v>6476.75</v>
      </c>
      <c r="X1167" s="118">
        <f>IFERROR(S1167/R1167,"")</f>
        <v>45.91009345794393</v>
      </c>
      <c r="Y1167" s="119">
        <f>IFERROR(U1167/P1167,0)</f>
        <v>0</v>
      </c>
      <c r="Z1167" s="28">
        <f>P1167-W1167</f>
        <v>-6476.75</v>
      </c>
      <c r="AA1167" s="119">
        <f>IFERROR(Z1167/P1167,0)</f>
        <v>0</v>
      </c>
      <c r="AB1167" s="120">
        <f t="shared" si="698"/>
        <v>-6476.75</v>
      </c>
      <c r="AC1167" s="119">
        <f>IFERROR(AA1167-O1167,"")</f>
        <v>0</v>
      </c>
      <c r="AD1167" s="53"/>
      <c r="AE1167" s="53"/>
      <c r="AF1167" s="53"/>
      <c r="AG1167" s="61"/>
      <c r="AH1167" s="53"/>
    </row>
    <row r="1168" spans="1:34" ht="11.25" customHeight="1" x14ac:dyDescent="0.15">
      <c r="A1168" s="130"/>
      <c r="B1168" s="130"/>
      <c r="C1168" s="124"/>
      <c r="D1168" s="124"/>
      <c r="E1168" s="273"/>
      <c r="F1168" s="124"/>
      <c r="G1168" s="124"/>
      <c r="H1168" s="124"/>
      <c r="I1168" s="124"/>
      <c r="J1168" s="124"/>
      <c r="K1168" s="125"/>
      <c r="L1168" s="129"/>
      <c r="M1168" s="129"/>
      <c r="N1168" s="129"/>
      <c r="O1168" s="128"/>
      <c r="P1168" s="129"/>
      <c r="Q1168" s="124"/>
      <c r="R1168" s="129"/>
      <c r="S1168" s="129"/>
      <c r="T1168" s="129"/>
      <c r="U1168" s="129"/>
      <c r="V1168" s="126"/>
      <c r="W1168" s="49"/>
      <c r="X1168" s="45"/>
      <c r="Y1168" s="128"/>
      <c r="Z1168" s="126"/>
      <c r="AA1168" s="128"/>
      <c r="AB1168" s="129"/>
      <c r="AC1168" s="160"/>
      <c r="AD1168" s="137"/>
      <c r="AE1168" s="110"/>
      <c r="AF1168" s="110"/>
      <c r="AG1168" s="121"/>
      <c r="AH1168" s="110"/>
    </row>
    <row r="1169" spans="1:34" ht="11.25" customHeight="1" x14ac:dyDescent="0.15">
      <c r="A1169" s="110" t="s">
        <v>115</v>
      </c>
      <c r="B1169" s="110"/>
      <c r="C1169" s="111" t="s">
        <v>175</v>
      </c>
      <c r="D1169" s="111">
        <v>2023</v>
      </c>
      <c r="E1169" s="146">
        <v>45168</v>
      </c>
      <c r="F1169" s="111"/>
      <c r="G1169" s="111">
        <v>81100311</v>
      </c>
      <c r="H1169" s="111">
        <v>4101</v>
      </c>
      <c r="I1169" s="111" t="str">
        <f>MID(G1169,2,1)</f>
        <v>1</v>
      </c>
      <c r="J1169" s="111" t="str">
        <f>IF(I1169="1","Small/Medium","Large")</f>
        <v>Small/Medium</v>
      </c>
      <c r="K1169" s="147" t="s">
        <v>145</v>
      </c>
      <c r="L1169" s="117">
        <v>25761.371499999997</v>
      </c>
      <c r="M1169" s="120">
        <f>L1169*0.3</f>
        <v>7728.4114499999987</v>
      </c>
      <c r="N1169" s="120">
        <f>L1169-M1169</f>
        <v>18032.960049999998</v>
      </c>
      <c r="O1169" s="119">
        <f>IFERROR(N1169/L1169,"")</f>
        <v>0.7</v>
      </c>
      <c r="P1169" s="117">
        <v>25761.371499999997</v>
      </c>
      <c r="Q1169" s="111">
        <v>1922</v>
      </c>
      <c r="R1169" s="117">
        <v>22</v>
      </c>
      <c r="S1169" s="117">
        <v>987.36</v>
      </c>
      <c r="T1169" s="117">
        <v>536.58000000000004</v>
      </c>
      <c r="U1169" s="117">
        <v>994.88</v>
      </c>
      <c r="V1169" s="117"/>
      <c r="W1169" s="26">
        <f>SUM(S1169:V1169)</f>
        <v>2518.8200000000002</v>
      </c>
      <c r="X1169" s="118">
        <f>IFERROR(S1169/R1169,"")</f>
        <v>44.88</v>
      </c>
      <c r="Y1169" s="119">
        <f>U1169/P1169</f>
        <v>3.8619061877198581E-2</v>
      </c>
      <c r="Z1169" s="117">
        <f>P1169-W1169</f>
        <v>23242.551499999998</v>
      </c>
      <c r="AA1169" s="119">
        <f>Z1169/P1169</f>
        <v>0.90222492618453953</v>
      </c>
      <c r="AB1169" s="120">
        <f t="shared" ref="AB1169:AB1171" si="700">M1169-W1169</f>
        <v>5209.5914499999981</v>
      </c>
      <c r="AC1169" s="119">
        <f>IFERROR(AA1169-O1169,"")</f>
        <v>0.20222492618453958</v>
      </c>
      <c r="AD1169" s="110" t="s">
        <v>603</v>
      </c>
      <c r="AE1169" s="110"/>
      <c r="AF1169" s="110"/>
      <c r="AG1169" s="121"/>
      <c r="AH1169" s="110"/>
    </row>
    <row r="1170" spans="1:34" ht="11.25" customHeight="1" x14ac:dyDescent="0.15">
      <c r="A1170" s="110" t="s">
        <v>115</v>
      </c>
      <c r="B1170" s="110"/>
      <c r="C1170" s="111" t="s">
        <v>175</v>
      </c>
      <c r="D1170" s="111">
        <v>2023</v>
      </c>
      <c r="E1170" s="146">
        <v>45168</v>
      </c>
      <c r="F1170" s="111"/>
      <c r="G1170" s="111">
        <v>82100311</v>
      </c>
      <c r="H1170" s="111">
        <v>4101</v>
      </c>
      <c r="I1170" s="111" t="str">
        <f>MID(G1170,2,1)</f>
        <v>2</v>
      </c>
      <c r="J1170" s="111" t="str">
        <f>IF(I1170="1","Small/Medium","Large")</f>
        <v>Large</v>
      </c>
      <c r="K1170" s="147" t="s">
        <v>176</v>
      </c>
      <c r="L1170" s="117">
        <v>11174.738499999999</v>
      </c>
      <c r="M1170" s="120">
        <f>L1170*0.3</f>
        <v>3352.4215499999996</v>
      </c>
      <c r="N1170" s="120">
        <f>L1170-M1170</f>
        <v>7822.3169500000004</v>
      </c>
      <c r="O1170" s="119">
        <f>IFERROR(N1170/L1170,"")</f>
        <v>0.70000000000000007</v>
      </c>
      <c r="P1170" s="117">
        <v>11174.738499999999</v>
      </c>
      <c r="Q1170" s="111">
        <v>1923</v>
      </c>
      <c r="R1170" s="117">
        <v>11</v>
      </c>
      <c r="S1170" s="117">
        <v>493.68</v>
      </c>
      <c r="T1170" s="117">
        <v>536.59</v>
      </c>
      <c r="U1170" s="117">
        <v>994.89</v>
      </c>
      <c r="V1170" s="121"/>
      <c r="W1170" s="26">
        <f>SUM(S1170:V1170)</f>
        <v>2025.1599999999999</v>
      </c>
      <c r="X1170" s="118">
        <f>IFERROR(S1170/R1170,"")</f>
        <v>44.88</v>
      </c>
      <c r="Y1170" s="119">
        <f>U1170/P1170</f>
        <v>8.9030271267645331E-2</v>
      </c>
      <c r="Z1170" s="117">
        <f>P1170-W1170</f>
        <v>9149.5784999999996</v>
      </c>
      <c r="AA1170" s="119">
        <f>Z1170/P1170</f>
        <v>0.81877338785153675</v>
      </c>
      <c r="AB1170" s="120">
        <f t="shared" si="700"/>
        <v>1327.2615499999997</v>
      </c>
      <c r="AC1170" s="119">
        <f>IFERROR(AA1170-O1170,"")</f>
        <v>0.11877338785153668</v>
      </c>
      <c r="AD1170" s="110" t="s">
        <v>603</v>
      </c>
      <c r="AE1170" s="110"/>
      <c r="AF1170" s="110"/>
      <c r="AG1170" s="121"/>
      <c r="AH1170" s="110"/>
    </row>
    <row r="1171" spans="1:34" s="216" customFormat="1" ht="11.25" customHeight="1" x14ac:dyDescent="0.15">
      <c r="A1171" s="53" t="s">
        <v>115</v>
      </c>
      <c r="B1171" s="53"/>
      <c r="C1171" s="54" t="s">
        <v>177</v>
      </c>
      <c r="D1171" s="54">
        <v>2023</v>
      </c>
      <c r="E1171" s="70">
        <v>45168</v>
      </c>
      <c r="F1171" s="54"/>
      <c r="G1171" s="54"/>
      <c r="H1171" s="54"/>
      <c r="I1171" s="54"/>
      <c r="J1171" s="54"/>
      <c r="K1171" s="106"/>
      <c r="L1171" s="24">
        <f>SUM(L1169:L1170)</f>
        <v>36936.11</v>
      </c>
      <c r="M1171" s="24">
        <f>SUM(M1169:M1170)</f>
        <v>11080.832999999999</v>
      </c>
      <c r="N1171" s="24">
        <f>SUM(N1169:N1170)</f>
        <v>25855.276999999998</v>
      </c>
      <c r="O1171" s="57">
        <f>IFERROR(N1171/L1171,"")</f>
        <v>0.7</v>
      </c>
      <c r="P1171" s="24">
        <f>SUM(P1169:P1170)</f>
        <v>36936.11</v>
      </c>
      <c r="Q1171" s="24"/>
      <c r="R1171" s="24">
        <f t="shared" ref="R1171:W1171" si="701">SUM(R1169:R1170)</f>
        <v>33</v>
      </c>
      <c r="S1171" s="24">
        <f t="shared" si="701"/>
        <v>1481.04</v>
      </c>
      <c r="T1171" s="24">
        <f t="shared" si="701"/>
        <v>1073.17</v>
      </c>
      <c r="U1171" s="24">
        <f t="shared" si="701"/>
        <v>1989.77</v>
      </c>
      <c r="V1171" s="24">
        <f t="shared" si="701"/>
        <v>0</v>
      </c>
      <c r="W1171" s="24">
        <f t="shared" si="701"/>
        <v>4543.9799999999996</v>
      </c>
      <c r="X1171" s="56">
        <f>IFERROR(S1171/R1171,"")</f>
        <v>44.879999999999995</v>
      </c>
      <c r="Y1171" s="57">
        <f>IFERROR(U1171/P1171,0)</f>
        <v>5.3870588971063817E-2</v>
      </c>
      <c r="Z1171" s="28">
        <f>P1171-W1171</f>
        <v>32392.13</v>
      </c>
      <c r="AA1171" s="57">
        <f>Z1171/P1171</f>
        <v>0.8769772994503211</v>
      </c>
      <c r="AB1171" s="120">
        <f t="shared" si="700"/>
        <v>6536.8529999999992</v>
      </c>
      <c r="AC1171" s="119">
        <f>IFERROR(AA1171-O1171,"")</f>
        <v>0.17697729945032115</v>
      </c>
      <c r="AD1171" s="53"/>
      <c r="AE1171" s="53"/>
      <c r="AF1171" s="53"/>
      <c r="AG1171" s="61"/>
      <c r="AH1171" s="53"/>
    </row>
    <row r="1172" spans="1:34" ht="11.25" customHeight="1" x14ac:dyDescent="0.15">
      <c r="A1172" s="130"/>
      <c r="B1172" s="130"/>
      <c r="C1172" s="124"/>
      <c r="D1172" s="124"/>
      <c r="E1172" s="273"/>
      <c r="F1172" s="124"/>
      <c r="G1172" s="124"/>
      <c r="H1172" s="124"/>
      <c r="I1172" s="124"/>
      <c r="J1172" s="124"/>
      <c r="K1172" s="125"/>
      <c r="L1172" s="129"/>
      <c r="M1172" s="129"/>
      <c r="N1172" s="129"/>
      <c r="O1172" s="128"/>
      <c r="P1172" s="129"/>
      <c r="Q1172" s="124"/>
      <c r="R1172" s="129"/>
      <c r="S1172" s="129"/>
      <c r="T1172" s="129"/>
      <c r="U1172" s="129"/>
      <c r="V1172" s="126"/>
      <c r="W1172" s="49"/>
      <c r="X1172" s="45"/>
      <c r="Y1172" s="128"/>
      <c r="Z1172" s="126"/>
      <c r="AA1172" s="128"/>
      <c r="AB1172" s="129"/>
      <c r="AC1172" s="160"/>
      <c r="AD1172" s="137"/>
      <c r="AE1172" s="110"/>
      <c r="AF1172" s="110"/>
      <c r="AG1172" s="121"/>
      <c r="AH1172" s="110"/>
    </row>
    <row r="1173" spans="1:34" ht="11.25" customHeight="1" x14ac:dyDescent="0.15">
      <c r="A1173" s="110" t="s">
        <v>109</v>
      </c>
      <c r="B1173" s="110"/>
      <c r="C1173" s="111" t="s">
        <v>175</v>
      </c>
      <c r="D1173" s="111">
        <v>2023</v>
      </c>
      <c r="E1173" s="146">
        <v>45168</v>
      </c>
      <c r="F1173" s="111"/>
      <c r="G1173" s="111">
        <v>81100311</v>
      </c>
      <c r="H1173" s="111">
        <v>4101</v>
      </c>
      <c r="I1173" s="111" t="str">
        <f>MID(G1173,2,1)</f>
        <v>1</v>
      </c>
      <c r="J1173" s="111" t="str">
        <f>IF(I1173="1","Small/Medium","Large")</f>
        <v>Small/Medium</v>
      </c>
      <c r="K1173" s="147" t="s">
        <v>145</v>
      </c>
      <c r="L1173" s="120">
        <v>11345</v>
      </c>
      <c r="M1173" s="120">
        <f>L1173*0.3</f>
        <v>3403.5</v>
      </c>
      <c r="N1173" s="120">
        <f>L1173-M1173</f>
        <v>7941.5</v>
      </c>
      <c r="O1173" s="119">
        <f>IFERROR(N1173/L1173,"")</f>
        <v>0.7</v>
      </c>
      <c r="P1173" s="117">
        <v>11345</v>
      </c>
      <c r="Q1173" s="111">
        <v>1924</v>
      </c>
      <c r="R1173" s="117">
        <v>19.5</v>
      </c>
      <c r="S1173" s="117">
        <v>875.16</v>
      </c>
      <c r="T1173" s="117">
        <v>1049.8699999999999</v>
      </c>
      <c r="U1173" s="117">
        <v>475</v>
      </c>
      <c r="V1173" s="117"/>
      <c r="W1173" s="26">
        <f>SUM(S1173:V1173)</f>
        <v>2400.0299999999997</v>
      </c>
      <c r="X1173" s="118">
        <f>IFERROR(S1173/R1173,"")</f>
        <v>44.879999999999995</v>
      </c>
      <c r="Y1173" s="119">
        <f>U1173/P1173</f>
        <v>4.1868664609960332E-2</v>
      </c>
      <c r="Z1173" s="117">
        <f>P1173-W1173</f>
        <v>8944.9700000000012</v>
      </c>
      <c r="AA1173" s="119">
        <f>Z1173/P1173</f>
        <v>0.78845041868664623</v>
      </c>
      <c r="AB1173" s="120">
        <f t="shared" ref="AB1173:AB1174" si="702">M1173-W1173</f>
        <v>1003.4700000000003</v>
      </c>
      <c r="AC1173" s="119">
        <f>IFERROR(AA1173-O1173,"")</f>
        <v>8.845041868664627E-2</v>
      </c>
      <c r="AD1173" s="110"/>
      <c r="AE1173" s="110"/>
      <c r="AF1173" s="110"/>
      <c r="AG1173" s="121"/>
      <c r="AH1173" s="110"/>
    </row>
    <row r="1174" spans="1:34" s="216" customFormat="1" ht="11.25" customHeight="1" x14ac:dyDescent="0.15">
      <c r="A1174" s="53" t="s">
        <v>109</v>
      </c>
      <c r="B1174" s="53"/>
      <c r="C1174" s="54" t="s">
        <v>177</v>
      </c>
      <c r="D1174" s="54">
        <v>2023</v>
      </c>
      <c r="E1174" s="70">
        <v>45168</v>
      </c>
      <c r="F1174" s="54"/>
      <c r="G1174" s="54"/>
      <c r="H1174" s="54"/>
      <c r="I1174" s="54"/>
      <c r="J1174" s="54"/>
      <c r="K1174" s="106"/>
      <c r="L1174" s="24">
        <f>SUM(L1173)</f>
        <v>11345</v>
      </c>
      <c r="M1174" s="24">
        <f>SUM(M1173)</f>
        <v>3403.5</v>
      </c>
      <c r="N1174" s="24">
        <f>SUM(N1172:N1173)</f>
        <v>7941.5</v>
      </c>
      <c r="O1174" s="57">
        <f>IFERROR(N1174/L1174,"")</f>
        <v>0.7</v>
      </c>
      <c r="P1174" s="24">
        <f>SUM(P1173)</f>
        <v>11345</v>
      </c>
      <c r="Q1174" s="24"/>
      <c r="R1174" s="24">
        <f t="shared" ref="R1174:W1174" si="703">SUM(R1173)</f>
        <v>19.5</v>
      </c>
      <c r="S1174" s="24">
        <f t="shared" si="703"/>
        <v>875.16</v>
      </c>
      <c r="T1174" s="24">
        <f t="shared" si="703"/>
        <v>1049.8699999999999</v>
      </c>
      <c r="U1174" s="24">
        <f t="shared" si="703"/>
        <v>475</v>
      </c>
      <c r="V1174" s="24">
        <f t="shared" si="703"/>
        <v>0</v>
      </c>
      <c r="W1174" s="24">
        <f t="shared" si="703"/>
        <v>2400.0299999999997</v>
      </c>
      <c r="X1174" s="56">
        <f>IFERROR(S1174/R1174,"")</f>
        <v>44.879999999999995</v>
      </c>
      <c r="Y1174" s="57">
        <f>IFERROR(U1174/P1174,0)</f>
        <v>4.1868664609960332E-2</v>
      </c>
      <c r="Z1174" s="28">
        <f>P1174-W1174</f>
        <v>8944.9700000000012</v>
      </c>
      <c r="AA1174" s="57">
        <f>Z1174/P1174</f>
        <v>0.78845041868664623</v>
      </c>
      <c r="AB1174" s="120">
        <f t="shared" si="702"/>
        <v>1003.4700000000003</v>
      </c>
      <c r="AC1174" s="119">
        <f>IFERROR(AA1174-O1174,"")</f>
        <v>8.845041868664627E-2</v>
      </c>
      <c r="AD1174" s="53"/>
      <c r="AE1174" s="53"/>
      <c r="AF1174" s="53"/>
      <c r="AG1174" s="61"/>
      <c r="AH1174" s="53"/>
    </row>
    <row r="1175" spans="1:34" ht="11.25" customHeight="1" x14ac:dyDescent="0.15">
      <c r="A1175" s="130"/>
      <c r="B1175" s="130"/>
      <c r="C1175" s="124"/>
      <c r="D1175" s="124"/>
      <c r="E1175" s="273"/>
      <c r="F1175" s="124"/>
      <c r="G1175" s="124"/>
      <c r="H1175" s="124"/>
      <c r="I1175" s="124"/>
      <c r="J1175" s="124"/>
      <c r="K1175" s="125"/>
      <c r="L1175" s="220"/>
      <c r="M1175" s="220"/>
      <c r="N1175" s="220"/>
      <c r="O1175" s="128"/>
      <c r="P1175" s="220"/>
      <c r="Q1175" s="124"/>
      <c r="R1175" s="220"/>
      <c r="S1175" s="220"/>
      <c r="T1175" s="220"/>
      <c r="U1175" s="220"/>
      <c r="V1175" s="225"/>
      <c r="W1175" s="230"/>
      <c r="X1175" s="45"/>
      <c r="Y1175" s="128"/>
      <c r="Z1175" s="126"/>
      <c r="AA1175" s="128"/>
      <c r="AB1175" s="129"/>
      <c r="AC1175" s="160"/>
      <c r="AD1175" s="137"/>
      <c r="AE1175" s="110"/>
      <c r="AF1175" s="110"/>
      <c r="AG1175" s="121"/>
      <c r="AH1175" s="110"/>
    </row>
    <row r="1176" spans="1:34" ht="11.25" customHeight="1" x14ac:dyDescent="0.15">
      <c r="A1176" s="110" t="s">
        <v>231</v>
      </c>
      <c r="B1176" s="110"/>
      <c r="C1176" s="111" t="s">
        <v>175</v>
      </c>
      <c r="D1176" s="111">
        <v>2023</v>
      </c>
      <c r="E1176" s="146">
        <v>45168</v>
      </c>
      <c r="F1176" s="111"/>
      <c r="G1176" s="111">
        <v>81100011</v>
      </c>
      <c r="H1176" s="111">
        <v>4101</v>
      </c>
      <c r="I1176" s="111" t="str">
        <f>MID(G1176,2,1)</f>
        <v>1</v>
      </c>
      <c r="J1176" s="111" t="str">
        <f>IF(I1176="1","Small/Medium","Large")</f>
        <v>Small/Medium</v>
      </c>
      <c r="K1176" s="147" t="s">
        <v>145</v>
      </c>
      <c r="L1176" s="120">
        <v>9582.25</v>
      </c>
      <c r="M1176" s="120">
        <f>L1176*0.3</f>
        <v>2874.6749999999997</v>
      </c>
      <c r="N1176" s="120">
        <f>L1176-M1176</f>
        <v>6707.5750000000007</v>
      </c>
      <c r="O1176" s="119">
        <f>IFERROR(N1176/L1176,"")</f>
        <v>0.70000000000000007</v>
      </c>
      <c r="P1176" s="120">
        <v>9582.25</v>
      </c>
      <c r="Q1176" s="111">
        <v>1947</v>
      </c>
      <c r="R1176" s="117">
        <v>30.5</v>
      </c>
      <c r="S1176" s="117">
        <v>1368.84</v>
      </c>
      <c r="T1176" s="117">
        <v>1346.02</v>
      </c>
      <c r="U1176" s="117">
        <v>680.27</v>
      </c>
      <c r="V1176" s="117"/>
      <c r="W1176" s="26">
        <f>SUM(S1176:V1176)</f>
        <v>3395.1299999999997</v>
      </c>
      <c r="X1176" s="118">
        <f>IFERROR(S1176/R1176,"")</f>
        <v>44.879999999999995</v>
      </c>
      <c r="Y1176" s="119">
        <f>U1176/P1176</f>
        <v>7.0992720916277494E-2</v>
      </c>
      <c r="Z1176" s="117">
        <f>P1176-W1176</f>
        <v>6187.1200000000008</v>
      </c>
      <c r="AA1176" s="119">
        <f>Z1176/P1176</f>
        <v>0.6456855122753008</v>
      </c>
      <c r="AB1176" s="120">
        <f t="shared" ref="AB1176:AB1179" si="704">M1176-W1176</f>
        <v>-520.45499999999993</v>
      </c>
      <c r="AC1176" s="119">
        <f>IFERROR(AA1176-O1176,"")</f>
        <v>-5.4314487724699267E-2</v>
      </c>
      <c r="AD1176" s="110" t="s">
        <v>604</v>
      </c>
      <c r="AE1176" s="110"/>
      <c r="AF1176" s="110"/>
      <c r="AG1176" s="121"/>
      <c r="AH1176" s="110"/>
    </row>
    <row r="1177" spans="1:34" ht="11.25" customHeight="1" x14ac:dyDescent="0.15">
      <c r="A1177" s="110" t="s">
        <v>231</v>
      </c>
      <c r="B1177" s="110"/>
      <c r="C1177" s="111" t="s">
        <v>175</v>
      </c>
      <c r="D1177" s="111">
        <v>2023</v>
      </c>
      <c r="E1177" s="146">
        <v>45168</v>
      </c>
      <c r="F1177" s="111"/>
      <c r="G1177" s="111">
        <v>82100011</v>
      </c>
      <c r="H1177" s="111">
        <v>4101</v>
      </c>
      <c r="I1177" s="111" t="str">
        <f>MID(G1177,2,1)</f>
        <v>2</v>
      </c>
      <c r="J1177" s="111" t="str">
        <f>IF(I1177="1","Small/Medium","Large")</f>
        <v>Large</v>
      </c>
      <c r="K1177" s="147" t="s">
        <v>176</v>
      </c>
      <c r="L1177" s="120">
        <v>9582.25</v>
      </c>
      <c r="M1177" s="120">
        <f>L1177*0.3</f>
        <v>2874.6749999999997</v>
      </c>
      <c r="N1177" s="120">
        <f>L1177-M1177</f>
        <v>6707.5750000000007</v>
      </c>
      <c r="O1177" s="119">
        <f>IFERROR(N1177/L1177,"")</f>
        <v>0.70000000000000007</v>
      </c>
      <c r="P1177" s="120">
        <v>9582.25</v>
      </c>
      <c r="Q1177" s="111">
        <v>1948</v>
      </c>
      <c r="R1177" s="117">
        <v>18</v>
      </c>
      <c r="S1177" s="117">
        <v>807.84</v>
      </c>
      <c r="T1177" s="117">
        <v>624.46</v>
      </c>
      <c r="U1177" s="117">
        <v>586.54</v>
      </c>
      <c r="V1177" s="117"/>
      <c r="W1177" s="26">
        <f>SUM(S1177:V1177)</f>
        <v>2018.8400000000001</v>
      </c>
      <c r="X1177" s="118">
        <f>IFERROR(S1177/R1177,"")</f>
        <v>44.88</v>
      </c>
      <c r="Y1177" s="119">
        <f>U1177/P1177</f>
        <v>6.1211093427952723E-2</v>
      </c>
      <c r="Z1177" s="117">
        <f>P1177-W1177</f>
        <v>7563.41</v>
      </c>
      <c r="AA1177" s="119">
        <f>Z1177/P1177</f>
        <v>0.78931461817422832</v>
      </c>
      <c r="AB1177" s="120">
        <f t="shared" si="704"/>
        <v>855.83499999999958</v>
      </c>
      <c r="AC1177" s="119">
        <f>IFERROR(AA1177-O1177,"")</f>
        <v>8.9314618174228255E-2</v>
      </c>
      <c r="AD1177" s="110"/>
      <c r="AE1177" s="110"/>
      <c r="AF1177" s="110"/>
      <c r="AG1177" s="121"/>
      <c r="AH1177" s="110"/>
    </row>
    <row r="1178" spans="1:34" ht="11.25" customHeight="1" x14ac:dyDescent="0.15">
      <c r="A1178" s="110" t="s">
        <v>231</v>
      </c>
      <c r="B1178" s="110"/>
      <c r="C1178" s="111" t="s">
        <v>175</v>
      </c>
      <c r="D1178" s="111">
        <v>2023</v>
      </c>
      <c r="E1178" s="146">
        <v>45168</v>
      </c>
      <c r="F1178" s="111"/>
      <c r="G1178" s="111">
        <v>80100011</v>
      </c>
      <c r="H1178" s="111">
        <v>4101</v>
      </c>
      <c r="I1178" s="111" t="str">
        <f>MID(G1178,2,1)</f>
        <v>0</v>
      </c>
      <c r="J1178" s="111" t="s">
        <v>502</v>
      </c>
      <c r="K1178" s="112" t="s">
        <v>503</v>
      </c>
      <c r="L1178" s="120">
        <v>19164.5</v>
      </c>
      <c r="M1178" s="120">
        <f>L1178*0.3</f>
        <v>5749.3499999999995</v>
      </c>
      <c r="N1178" s="120">
        <f>L1178-M1178</f>
        <v>13415.150000000001</v>
      </c>
      <c r="O1178" s="119">
        <f>IFERROR(N1178/L1178,"")</f>
        <v>0.70000000000000007</v>
      </c>
      <c r="P1178" s="120">
        <v>19164.5</v>
      </c>
      <c r="Q1178" s="111">
        <v>1949</v>
      </c>
      <c r="R1178" s="117">
        <v>58.5</v>
      </c>
      <c r="S1178" s="117">
        <v>2625.48</v>
      </c>
      <c r="T1178" s="117">
        <v>2912.78</v>
      </c>
      <c r="U1178" s="117">
        <v>147.49</v>
      </c>
      <c r="V1178" s="117">
        <v>222.32</v>
      </c>
      <c r="W1178" s="26">
        <f>SUM(S1178:V1178)</f>
        <v>5908.07</v>
      </c>
      <c r="X1178" s="118">
        <f>IFERROR(S1178/R1178,"")</f>
        <v>44.88</v>
      </c>
      <c r="Y1178" s="119">
        <f>U1178/P1178</f>
        <v>7.6960004174384932E-3</v>
      </c>
      <c r="Z1178" s="117">
        <f>P1178-W1178</f>
        <v>13256.43</v>
      </c>
      <c r="AA1178" s="119">
        <f>Z1178/P1178</f>
        <v>0.69171802029794671</v>
      </c>
      <c r="AB1178" s="120">
        <f t="shared" si="704"/>
        <v>-158.72000000000025</v>
      </c>
      <c r="AC1178" s="119">
        <f>IFERROR(AA1178-O1178,"")</f>
        <v>-8.2819797020533548E-3</v>
      </c>
      <c r="AD1178" s="110" t="s">
        <v>605</v>
      </c>
      <c r="AE1178" s="110"/>
      <c r="AF1178" s="110"/>
      <c r="AG1178" s="121"/>
      <c r="AH1178" s="110"/>
    </row>
    <row r="1179" spans="1:34" s="216" customFormat="1" ht="11.25" customHeight="1" x14ac:dyDescent="0.15">
      <c r="A1179" s="53" t="s">
        <v>231</v>
      </c>
      <c r="B1179" s="53"/>
      <c r="C1179" s="54" t="s">
        <v>177</v>
      </c>
      <c r="D1179" s="54">
        <v>2023</v>
      </c>
      <c r="E1179" s="70">
        <v>45168</v>
      </c>
      <c r="F1179" s="54"/>
      <c r="G1179" s="54"/>
      <c r="H1179" s="54"/>
      <c r="I1179" s="54"/>
      <c r="J1179" s="54"/>
      <c r="K1179" s="106"/>
      <c r="L1179" s="24">
        <f>SUBTOTAL(9,L1176:L1178)</f>
        <v>38329</v>
      </c>
      <c r="M1179" s="24">
        <f>SUBTOTAL(9,M1176:M1178)</f>
        <v>11498.699999999999</v>
      </c>
      <c r="N1179" s="24">
        <f>SUBTOTAL(9,N1176:N1178)</f>
        <v>26830.300000000003</v>
      </c>
      <c r="O1179" s="57">
        <f>IFERROR(N1179/L1179,"")</f>
        <v>0.70000000000000007</v>
      </c>
      <c r="P1179" s="24">
        <f>SUM(P1176:P1178)</f>
        <v>38329</v>
      </c>
      <c r="Q1179" s="24"/>
      <c r="R1179" s="24">
        <f t="shared" ref="R1179:W1179" si="705">SUM(R1176:R1178)</f>
        <v>107</v>
      </c>
      <c r="S1179" s="24">
        <f t="shared" si="705"/>
        <v>4802.16</v>
      </c>
      <c r="T1179" s="24">
        <f t="shared" si="705"/>
        <v>4883.26</v>
      </c>
      <c r="U1179" s="24">
        <f t="shared" si="705"/>
        <v>1414.3</v>
      </c>
      <c r="V1179" s="24">
        <f t="shared" si="705"/>
        <v>222.32</v>
      </c>
      <c r="W1179" s="24">
        <f t="shared" si="705"/>
        <v>11322.039999999999</v>
      </c>
      <c r="X1179" s="56">
        <f>IFERROR(S1179/R1179,"")</f>
        <v>44.879999999999995</v>
      </c>
      <c r="Y1179" s="57">
        <f>IFERROR(U1179/P1179,0)</f>
        <v>3.6898953794776798E-2</v>
      </c>
      <c r="Z1179" s="28">
        <f>P1179-W1179</f>
        <v>27006.959999999999</v>
      </c>
      <c r="AA1179" s="57">
        <f>Z1179/P1179</f>
        <v>0.70460904276135561</v>
      </c>
      <c r="AB1179" s="120">
        <f t="shared" si="704"/>
        <v>176.65999999999985</v>
      </c>
      <c r="AC1179" s="119">
        <f>IFERROR(AA1179-O1179,"")</f>
        <v>4.6090427613555418E-3</v>
      </c>
      <c r="AD1179" s="53"/>
      <c r="AE1179" s="53"/>
      <c r="AF1179" s="53"/>
      <c r="AG1179" s="61"/>
      <c r="AH1179" s="53"/>
    </row>
    <row r="1180" spans="1:34" ht="11.25" customHeight="1" x14ac:dyDescent="0.15">
      <c r="A1180" s="130"/>
      <c r="B1180" s="130"/>
      <c r="C1180" s="124"/>
      <c r="D1180" s="124"/>
      <c r="E1180" s="273"/>
      <c r="F1180" s="124"/>
      <c r="G1180" s="124"/>
      <c r="H1180" s="124"/>
      <c r="I1180" s="124"/>
      <c r="J1180" s="124"/>
      <c r="K1180" s="125"/>
      <c r="L1180" s="129"/>
      <c r="M1180" s="129"/>
      <c r="N1180" s="129"/>
      <c r="O1180" s="128"/>
      <c r="P1180" s="129"/>
      <c r="Q1180" s="124"/>
      <c r="R1180" s="129"/>
      <c r="S1180" s="129"/>
      <c r="T1180" s="129"/>
      <c r="U1180" s="129"/>
      <c r="V1180" s="126"/>
      <c r="W1180" s="49"/>
      <c r="X1180" s="45"/>
      <c r="Y1180" s="128"/>
      <c r="Z1180" s="126"/>
      <c r="AA1180" s="128"/>
      <c r="AB1180" s="129"/>
      <c r="AC1180" s="160"/>
      <c r="AD1180" s="137"/>
      <c r="AE1180" s="110"/>
      <c r="AF1180" s="110"/>
      <c r="AG1180" s="121"/>
      <c r="AH1180" s="110"/>
    </row>
    <row r="1181" spans="1:34" ht="11.25" customHeight="1" x14ac:dyDescent="0.15">
      <c r="A1181" s="110" t="s">
        <v>121</v>
      </c>
      <c r="B1181" s="110"/>
      <c r="C1181" s="111" t="s">
        <v>175</v>
      </c>
      <c r="D1181" s="111">
        <v>2023</v>
      </c>
      <c r="E1181" s="146">
        <v>45168</v>
      </c>
      <c r="F1181" s="111"/>
      <c r="G1181" s="111">
        <v>81000011</v>
      </c>
      <c r="H1181" s="111">
        <v>4101</v>
      </c>
      <c r="I1181" s="111" t="str">
        <f>MID(G1181,2,1)</f>
        <v>1</v>
      </c>
      <c r="J1181" s="111" t="str">
        <f>IF(I1181="1","Small/Medium","Large")</f>
        <v>Small/Medium</v>
      </c>
      <c r="K1181" s="147" t="s">
        <v>145</v>
      </c>
      <c r="L1181" s="219">
        <v>10051</v>
      </c>
      <c r="M1181" s="219">
        <f>L1181*0.3</f>
        <v>3015.2999999999997</v>
      </c>
      <c r="N1181" s="219">
        <f>L1181-M1181</f>
        <v>7035.7000000000007</v>
      </c>
      <c r="O1181" s="163">
        <f>IFERROR(N1181/L1181,"")</f>
        <v>0.70000000000000007</v>
      </c>
      <c r="P1181" s="219">
        <v>10051</v>
      </c>
      <c r="Q1181" s="111">
        <v>1999</v>
      </c>
      <c r="R1181" s="132">
        <v>25</v>
      </c>
      <c r="S1181" s="132">
        <v>1122</v>
      </c>
      <c r="T1181" s="132">
        <v>1456.96</v>
      </c>
      <c r="U1181" s="132">
        <v>287.95999999999998</v>
      </c>
      <c r="V1181" s="132"/>
      <c r="W1181" s="67">
        <f>SUM(S1181:V1181)</f>
        <v>2866.92</v>
      </c>
      <c r="X1181" s="118">
        <f>IFERROR(S1181/R1181,"")</f>
        <v>44.88</v>
      </c>
      <c r="Y1181" s="119">
        <f>U1181/P1181</f>
        <v>2.8649885583524024E-2</v>
      </c>
      <c r="Z1181" s="117">
        <f>P1181-W1181</f>
        <v>7184.08</v>
      </c>
      <c r="AA1181" s="119">
        <f>Z1181/P1181</f>
        <v>0.71476271017809168</v>
      </c>
      <c r="AB1181" s="120">
        <f t="shared" ref="AB1181:AB1182" si="706">M1181-W1181</f>
        <v>148.37999999999965</v>
      </c>
      <c r="AC1181" s="119">
        <f>IFERROR(AA1181-O1181,"")</f>
        <v>1.4762710178091609E-2</v>
      </c>
      <c r="AD1181" s="110"/>
      <c r="AE1181" s="110"/>
      <c r="AF1181" s="110"/>
      <c r="AG1181" s="121"/>
      <c r="AH1181" s="110"/>
    </row>
    <row r="1182" spans="1:34" s="216" customFormat="1" ht="11.25" customHeight="1" x14ac:dyDescent="0.15">
      <c r="A1182" s="53" t="s">
        <v>121</v>
      </c>
      <c r="B1182" s="53"/>
      <c r="C1182" s="54" t="s">
        <v>177</v>
      </c>
      <c r="D1182" s="54">
        <v>2023</v>
      </c>
      <c r="E1182" s="70">
        <v>45168</v>
      </c>
      <c r="F1182" s="54"/>
      <c r="G1182" s="54"/>
      <c r="H1182" s="54"/>
      <c r="I1182" s="54"/>
      <c r="J1182" s="54"/>
      <c r="K1182" s="106"/>
      <c r="L1182" s="24">
        <f>SUM(L1181)</f>
        <v>10051</v>
      </c>
      <c r="M1182" s="24">
        <f>SUM(M1181)</f>
        <v>3015.2999999999997</v>
      </c>
      <c r="N1182" s="24">
        <f>SUM(N1180:N1181)</f>
        <v>7035.7000000000007</v>
      </c>
      <c r="O1182" s="57">
        <f>IFERROR(N1182/L1182,"")</f>
        <v>0.70000000000000007</v>
      </c>
      <c r="P1182" s="24">
        <f>SUM(P1181)</f>
        <v>10051</v>
      </c>
      <c r="Q1182" s="24"/>
      <c r="R1182" s="24">
        <f t="shared" ref="R1182:W1182" si="707">SUM(R1181)</f>
        <v>25</v>
      </c>
      <c r="S1182" s="24">
        <f t="shared" si="707"/>
        <v>1122</v>
      </c>
      <c r="T1182" s="24">
        <f t="shared" si="707"/>
        <v>1456.96</v>
      </c>
      <c r="U1182" s="24">
        <f t="shared" si="707"/>
        <v>287.95999999999998</v>
      </c>
      <c r="V1182" s="24">
        <f t="shared" si="707"/>
        <v>0</v>
      </c>
      <c r="W1182" s="24">
        <f t="shared" si="707"/>
        <v>2866.92</v>
      </c>
      <c r="X1182" s="56">
        <f>IFERROR(S1182/R1182,"")</f>
        <v>44.88</v>
      </c>
      <c r="Y1182" s="57">
        <f>IFERROR(U1182/P1182,0)</f>
        <v>2.8649885583524024E-2</v>
      </c>
      <c r="Z1182" s="28">
        <f>P1182-W1182</f>
        <v>7184.08</v>
      </c>
      <c r="AA1182" s="57">
        <f>Z1182/P1182</f>
        <v>0.71476271017809168</v>
      </c>
      <c r="AB1182" s="120">
        <f t="shared" si="706"/>
        <v>148.37999999999965</v>
      </c>
      <c r="AC1182" s="119">
        <f>IFERROR(AA1182-O1182,"")</f>
        <v>1.4762710178091609E-2</v>
      </c>
      <c r="AD1182" s="53"/>
      <c r="AE1182" s="53"/>
      <c r="AF1182" s="53"/>
      <c r="AG1182" s="61"/>
      <c r="AH1182" s="53"/>
    </row>
    <row r="1183" spans="1:34" ht="11.25" customHeight="1" x14ac:dyDescent="0.15">
      <c r="A1183" s="130"/>
      <c r="B1183" s="130"/>
      <c r="C1183" s="124"/>
      <c r="D1183" s="124"/>
      <c r="E1183" s="273"/>
      <c r="F1183" s="124"/>
      <c r="G1183" s="124"/>
      <c r="H1183" s="124"/>
      <c r="I1183" s="124"/>
      <c r="J1183" s="124"/>
      <c r="K1183" s="125"/>
      <c r="L1183" s="129"/>
      <c r="M1183" s="129"/>
      <c r="N1183" s="129"/>
      <c r="O1183" s="128"/>
      <c r="P1183" s="129"/>
      <c r="Q1183" s="124"/>
      <c r="R1183" s="129"/>
      <c r="S1183" s="129"/>
      <c r="T1183" s="129"/>
      <c r="U1183" s="129"/>
      <c r="V1183" s="126"/>
      <c r="W1183" s="49"/>
      <c r="X1183" s="45"/>
      <c r="Y1183" s="128"/>
      <c r="Z1183" s="126"/>
      <c r="AA1183" s="128"/>
      <c r="AB1183" s="129"/>
      <c r="AC1183" s="160"/>
      <c r="AD1183" s="137"/>
      <c r="AE1183" s="110"/>
      <c r="AF1183" s="110"/>
      <c r="AG1183" s="121"/>
      <c r="AH1183" s="110"/>
    </row>
    <row r="1184" spans="1:34" ht="11.25" customHeight="1" x14ac:dyDescent="0.15">
      <c r="A1184" s="110" t="s">
        <v>454</v>
      </c>
      <c r="B1184" s="110"/>
      <c r="C1184" s="111" t="s">
        <v>175</v>
      </c>
      <c r="D1184" s="111">
        <v>2023</v>
      </c>
      <c r="E1184" s="146">
        <v>45168</v>
      </c>
      <c r="F1184" s="111"/>
      <c r="G1184" s="111">
        <v>81000011</v>
      </c>
      <c r="H1184" s="111">
        <v>4101</v>
      </c>
      <c r="I1184" s="111" t="str">
        <f>MID(G1184,2,1)</f>
        <v>1</v>
      </c>
      <c r="J1184" s="111" t="str">
        <f>IF(I1184="1","Small/Medium","Large")</f>
        <v>Small/Medium</v>
      </c>
      <c r="K1184" s="147" t="s">
        <v>145</v>
      </c>
      <c r="L1184" s="120">
        <v>12348</v>
      </c>
      <c r="M1184" s="120">
        <f>L1184*0.3</f>
        <v>3704.3999999999996</v>
      </c>
      <c r="N1184" s="120">
        <f>L1184-M1184</f>
        <v>8643.6</v>
      </c>
      <c r="O1184" s="119">
        <f>IFERROR(N1184/L1184,"")</f>
        <v>0.70000000000000007</v>
      </c>
      <c r="P1184" s="120">
        <v>12348</v>
      </c>
      <c r="Q1184" s="111">
        <v>2000</v>
      </c>
      <c r="R1184" s="117">
        <v>37.5</v>
      </c>
      <c r="S1184" s="117">
        <v>1683</v>
      </c>
      <c r="T1184" s="117">
        <v>1926.85</v>
      </c>
      <c r="U1184" s="117">
        <v>880.94</v>
      </c>
      <c r="V1184" s="117"/>
      <c r="W1184" s="26">
        <f>SUM(S1184:V1184)</f>
        <v>4490.79</v>
      </c>
      <c r="X1184" s="118">
        <f>IFERROR(S1184/R1184,"")</f>
        <v>44.88</v>
      </c>
      <c r="Y1184" s="119">
        <f>U1184/P1184</f>
        <v>7.1342727567217365E-2</v>
      </c>
      <c r="Z1184" s="117">
        <f>P1184-W1184</f>
        <v>7857.21</v>
      </c>
      <c r="AA1184" s="119">
        <f>Z1184/P1184</f>
        <v>0.63631438289601561</v>
      </c>
      <c r="AB1184" s="120">
        <f t="shared" ref="AB1184:AB1185" si="708">M1184-W1184</f>
        <v>-786.39000000000033</v>
      </c>
      <c r="AC1184" s="119">
        <f>IFERROR(AA1184-O1184,"")</f>
        <v>-6.368561710398446E-2</v>
      </c>
      <c r="AD1184" s="110" t="s">
        <v>606</v>
      </c>
      <c r="AE1184" s="110"/>
      <c r="AF1184" s="110"/>
      <c r="AG1184" s="121"/>
      <c r="AH1184" s="110"/>
    </row>
    <row r="1185" spans="1:34" s="216" customFormat="1" ht="11.25" customHeight="1" x14ac:dyDescent="0.15">
      <c r="A1185" s="53" t="s">
        <v>454</v>
      </c>
      <c r="B1185" s="53"/>
      <c r="C1185" s="54" t="s">
        <v>177</v>
      </c>
      <c r="D1185" s="54">
        <v>2023</v>
      </c>
      <c r="E1185" s="70">
        <v>45168</v>
      </c>
      <c r="F1185" s="54"/>
      <c r="G1185" s="54"/>
      <c r="H1185" s="54"/>
      <c r="I1185" s="54"/>
      <c r="J1185" s="54"/>
      <c r="K1185" s="106"/>
      <c r="L1185" s="24">
        <f>SUM(L1184)</f>
        <v>12348</v>
      </c>
      <c r="M1185" s="24">
        <f>SUM(M1184)</f>
        <v>3704.3999999999996</v>
      </c>
      <c r="N1185" s="24">
        <f>SUM(N1183:N1184)</f>
        <v>8643.6</v>
      </c>
      <c r="O1185" s="57">
        <f>IFERROR(N1185/L1185,"")</f>
        <v>0.70000000000000007</v>
      </c>
      <c r="P1185" s="24">
        <f>SUM(P1184)</f>
        <v>12348</v>
      </c>
      <c r="Q1185" s="24"/>
      <c r="R1185" s="24">
        <f t="shared" ref="R1185:W1185" si="709">SUM(R1184)</f>
        <v>37.5</v>
      </c>
      <c r="S1185" s="24">
        <f t="shared" si="709"/>
        <v>1683</v>
      </c>
      <c r="T1185" s="24">
        <f t="shared" si="709"/>
        <v>1926.85</v>
      </c>
      <c r="U1185" s="24">
        <f t="shared" si="709"/>
        <v>880.94</v>
      </c>
      <c r="V1185" s="24">
        <f t="shared" si="709"/>
        <v>0</v>
      </c>
      <c r="W1185" s="24">
        <f t="shared" si="709"/>
        <v>4490.79</v>
      </c>
      <c r="X1185" s="56">
        <f>IFERROR(S1185/R1185,"")</f>
        <v>44.88</v>
      </c>
      <c r="Y1185" s="57">
        <f>IFERROR(U1185/P1185,0)</f>
        <v>7.1342727567217365E-2</v>
      </c>
      <c r="Z1185" s="28">
        <f>P1185-W1185</f>
        <v>7857.21</v>
      </c>
      <c r="AA1185" s="57">
        <f>Z1185/P1185</f>
        <v>0.63631438289601561</v>
      </c>
      <c r="AB1185" s="120">
        <f t="shared" si="708"/>
        <v>-786.39000000000033</v>
      </c>
      <c r="AC1185" s="119">
        <f>IFERROR(AA1185-O1185,"")</f>
        <v>-6.368561710398446E-2</v>
      </c>
      <c r="AD1185" s="53"/>
      <c r="AE1185" s="53"/>
      <c r="AF1185" s="53"/>
      <c r="AG1185" s="61"/>
      <c r="AH1185" s="53"/>
    </row>
    <row r="1186" spans="1:34" ht="11.25" customHeight="1" x14ac:dyDescent="0.15">
      <c r="A1186" s="130"/>
      <c r="B1186" s="130"/>
      <c r="C1186" s="124"/>
      <c r="D1186" s="124"/>
      <c r="E1186" s="273"/>
      <c r="F1186" s="124"/>
      <c r="G1186" s="124"/>
      <c r="H1186" s="124"/>
      <c r="I1186" s="124"/>
      <c r="J1186" s="124"/>
      <c r="K1186" s="125"/>
      <c r="L1186" s="129"/>
      <c r="M1186" s="129"/>
      <c r="N1186" s="129"/>
      <c r="O1186" s="128"/>
      <c r="P1186" s="129"/>
      <c r="Q1186" s="124"/>
      <c r="R1186" s="129"/>
      <c r="S1186" s="129"/>
      <c r="T1186" s="129"/>
      <c r="U1186" s="129"/>
      <c r="V1186" s="126"/>
      <c r="W1186" s="49"/>
      <c r="X1186" s="45"/>
      <c r="Y1186" s="128"/>
      <c r="Z1186" s="126"/>
      <c r="AA1186" s="128"/>
      <c r="AB1186" s="129"/>
      <c r="AC1186" s="160"/>
      <c r="AD1186" s="137"/>
      <c r="AE1186" s="110"/>
      <c r="AF1186" s="110"/>
      <c r="AG1186" s="121"/>
      <c r="AH1186" s="110"/>
    </row>
    <row r="1187" spans="1:34" ht="11.25" customHeight="1" x14ac:dyDescent="0.15">
      <c r="A1187" s="110" t="s">
        <v>195</v>
      </c>
      <c r="B1187" s="110"/>
      <c r="C1187" s="111" t="s">
        <v>175</v>
      </c>
      <c r="D1187" s="111">
        <v>2023</v>
      </c>
      <c r="E1187" s="146">
        <v>45168</v>
      </c>
      <c r="F1187" s="111"/>
      <c r="G1187" s="111">
        <v>81110111</v>
      </c>
      <c r="H1187" s="111">
        <v>4101</v>
      </c>
      <c r="I1187" s="111" t="str">
        <f>MID(G1187,2,1)</f>
        <v>1</v>
      </c>
      <c r="J1187" s="111" t="str">
        <f>IF(I1187="1","Small/Medium","Large")</f>
        <v>Small/Medium</v>
      </c>
      <c r="K1187" s="147" t="s">
        <v>145</v>
      </c>
      <c r="L1187" s="117">
        <v>8049.1</v>
      </c>
      <c r="M1187" s="120">
        <f>L1187*0.3</f>
        <v>2414.73</v>
      </c>
      <c r="N1187" s="120">
        <f>L1187-M1187</f>
        <v>5634.3700000000008</v>
      </c>
      <c r="O1187" s="119">
        <f>IFERROR(N1187/L1187,"")</f>
        <v>0.70000000000000007</v>
      </c>
      <c r="P1187" s="117">
        <v>8049.1</v>
      </c>
      <c r="Q1187" s="111">
        <v>2026</v>
      </c>
      <c r="R1187" s="117">
        <v>13.5</v>
      </c>
      <c r="S1187" s="117">
        <v>605.88</v>
      </c>
      <c r="T1187" s="117">
        <v>475.21</v>
      </c>
      <c r="U1187" s="117">
        <v>546.91</v>
      </c>
      <c r="V1187" s="117"/>
      <c r="W1187" s="26">
        <f>SUM(S1187:V1187)</f>
        <v>1628</v>
      </c>
      <c r="X1187" s="118">
        <f>IFERROR(S1187/R1187,"")</f>
        <v>44.88</v>
      </c>
      <c r="Y1187" s="119">
        <f>U1187/P1187</f>
        <v>6.7946726963262968E-2</v>
      </c>
      <c r="Z1187" s="117">
        <f>P1187-W1187</f>
        <v>6421.1</v>
      </c>
      <c r="AA1187" s="119">
        <f>Z1187/P1187</f>
        <v>0.79774136238834159</v>
      </c>
      <c r="AB1187" s="120">
        <f t="shared" ref="AB1187:AB1189" si="710">M1187-W1187</f>
        <v>786.73</v>
      </c>
      <c r="AC1187" s="119">
        <f>IFERROR(AA1187-O1187,"")</f>
        <v>9.7741362388341524E-2</v>
      </c>
      <c r="AD1187" s="110" t="s">
        <v>607</v>
      </c>
      <c r="AE1187" s="110"/>
      <c r="AF1187" s="110"/>
      <c r="AG1187" s="121"/>
      <c r="AH1187" s="110"/>
    </row>
    <row r="1188" spans="1:34" ht="11.25" customHeight="1" x14ac:dyDescent="0.15">
      <c r="A1188" s="110" t="s">
        <v>195</v>
      </c>
      <c r="B1188" s="110"/>
      <c r="C1188" s="111" t="s">
        <v>175</v>
      </c>
      <c r="D1188" s="111">
        <v>2023</v>
      </c>
      <c r="E1188" s="146">
        <v>45168</v>
      </c>
      <c r="F1188" s="111"/>
      <c r="G1188" s="111">
        <v>82110111</v>
      </c>
      <c r="H1188" s="111">
        <v>4101</v>
      </c>
      <c r="I1188" s="111" t="str">
        <f>MID(G1188,2,1)</f>
        <v>2</v>
      </c>
      <c r="J1188" s="111" t="str">
        <f>IF(I1188="1","Small/Medium","Large")</f>
        <v>Large</v>
      </c>
      <c r="K1188" s="147" t="s">
        <v>176</v>
      </c>
      <c r="L1188" s="117">
        <v>23896.9</v>
      </c>
      <c r="M1188" s="120">
        <f>L1188*0.3</f>
        <v>7169.0700000000006</v>
      </c>
      <c r="N1188" s="120">
        <f>L1188-M1188</f>
        <v>16727.830000000002</v>
      </c>
      <c r="O1188" s="119">
        <f>IFERROR(N1188/L1188,"")</f>
        <v>0.70000000000000007</v>
      </c>
      <c r="P1188" s="117">
        <v>23896.9</v>
      </c>
      <c r="Q1188" s="111">
        <v>2027</v>
      </c>
      <c r="R1188" s="117">
        <v>28.5</v>
      </c>
      <c r="S1188" s="117">
        <v>1279.08</v>
      </c>
      <c r="T1188" s="117">
        <v>1425.62</v>
      </c>
      <c r="U1188" s="117">
        <v>240.11</v>
      </c>
      <c r="V1188" s="117"/>
      <c r="W1188" s="26">
        <f>SUM(S1188:V1188)</f>
        <v>2944.81</v>
      </c>
      <c r="X1188" s="118">
        <f>IFERROR(S1188/R1188,"")</f>
        <v>44.879999999999995</v>
      </c>
      <c r="Y1188" s="119">
        <f>U1188/P1188</f>
        <v>1.00477467788709E-2</v>
      </c>
      <c r="Z1188" s="117">
        <f>P1188-W1188</f>
        <v>20952.09</v>
      </c>
      <c r="AA1188" s="119">
        <f>Z1188/P1188</f>
        <v>0.87677020868815614</v>
      </c>
      <c r="AB1188" s="120">
        <f t="shared" si="710"/>
        <v>4224.26</v>
      </c>
      <c r="AC1188" s="119">
        <f>IFERROR(AA1188-O1188,"")</f>
        <v>0.17677020868815607</v>
      </c>
      <c r="AD1188" s="110" t="s">
        <v>607</v>
      </c>
      <c r="AE1188" s="110"/>
      <c r="AF1188" s="110"/>
      <c r="AG1188" s="121"/>
      <c r="AH1188" s="110"/>
    </row>
    <row r="1189" spans="1:34" s="216" customFormat="1" ht="11.25" customHeight="1" x14ac:dyDescent="0.15">
      <c r="A1189" s="53" t="s">
        <v>195</v>
      </c>
      <c r="B1189" s="53"/>
      <c r="C1189" s="54" t="s">
        <v>177</v>
      </c>
      <c r="D1189" s="54">
        <v>2023</v>
      </c>
      <c r="E1189" s="70">
        <v>45168</v>
      </c>
      <c r="F1189" s="54"/>
      <c r="G1189" s="54"/>
      <c r="H1189" s="54"/>
      <c r="I1189" s="54"/>
      <c r="J1189" s="54"/>
      <c r="K1189" s="106"/>
      <c r="L1189" s="24">
        <f>SUM(L1187:L1188)</f>
        <v>31946</v>
      </c>
      <c r="M1189" s="24">
        <f>SUM(M1187:M1188)</f>
        <v>9583.8000000000011</v>
      </c>
      <c r="N1189" s="24">
        <f>SUM(N1187:N1188)</f>
        <v>22362.200000000004</v>
      </c>
      <c r="O1189" s="57">
        <f>IFERROR(N1189/L1189,"")</f>
        <v>0.70000000000000018</v>
      </c>
      <c r="P1189" s="24">
        <f>SUM(P1187:P1188)</f>
        <v>31946</v>
      </c>
      <c r="Q1189" s="24"/>
      <c r="R1189" s="24">
        <f t="shared" ref="R1189:W1189" si="711">SUM(R1187:R1188)</f>
        <v>42</v>
      </c>
      <c r="S1189" s="24">
        <f t="shared" si="711"/>
        <v>1884.96</v>
      </c>
      <c r="T1189" s="24">
        <f t="shared" si="711"/>
        <v>1900.83</v>
      </c>
      <c r="U1189" s="24">
        <f t="shared" si="711"/>
        <v>787.02</v>
      </c>
      <c r="V1189" s="24">
        <f t="shared" si="711"/>
        <v>0</v>
      </c>
      <c r="W1189" s="24">
        <f t="shared" si="711"/>
        <v>4572.8099999999995</v>
      </c>
      <c r="X1189" s="56">
        <f>IFERROR(S1189/R1189,"")</f>
        <v>44.88</v>
      </c>
      <c r="Y1189" s="57">
        <f>IFERROR(U1189/P1189,0)</f>
        <v>2.4635948162524259E-2</v>
      </c>
      <c r="Z1189" s="28">
        <f>P1189-W1189</f>
        <v>27373.190000000002</v>
      </c>
      <c r="AA1189" s="57">
        <f>Z1189/P1189</f>
        <v>0.85685813560383151</v>
      </c>
      <c r="AB1189" s="120">
        <f t="shared" si="710"/>
        <v>5010.9900000000016</v>
      </c>
      <c r="AC1189" s="119">
        <f>IFERROR(AA1189-O1189,"")</f>
        <v>0.15685813560383133</v>
      </c>
      <c r="AD1189" s="53"/>
      <c r="AE1189" s="53"/>
      <c r="AF1189" s="53"/>
      <c r="AG1189" s="61"/>
      <c r="AH1189" s="53"/>
    </row>
    <row r="1190" spans="1:34" ht="11.25" customHeight="1" x14ac:dyDescent="0.15">
      <c r="A1190" s="130"/>
      <c r="B1190" s="130"/>
      <c r="C1190" s="124"/>
      <c r="D1190" s="124"/>
      <c r="E1190" s="273"/>
      <c r="F1190" s="124"/>
      <c r="G1190" s="124"/>
      <c r="H1190" s="124"/>
      <c r="I1190" s="124"/>
      <c r="J1190" s="124"/>
      <c r="K1190" s="125"/>
      <c r="L1190" s="220"/>
      <c r="M1190" s="220"/>
      <c r="N1190" s="220"/>
      <c r="O1190" s="128"/>
      <c r="P1190" s="220"/>
      <c r="Q1190" s="124"/>
      <c r="R1190" s="220"/>
      <c r="S1190" s="220"/>
      <c r="T1190" s="220"/>
      <c r="U1190" s="220"/>
      <c r="V1190" s="225"/>
      <c r="W1190" s="230"/>
      <c r="X1190" s="45"/>
      <c r="Y1190" s="128"/>
      <c r="Z1190" s="126"/>
      <c r="AA1190" s="128"/>
      <c r="AB1190" s="129"/>
      <c r="AC1190" s="160"/>
      <c r="AD1190" s="137"/>
      <c r="AE1190" s="110"/>
      <c r="AF1190" s="110"/>
      <c r="AG1190" s="121"/>
      <c r="AH1190" s="110"/>
    </row>
    <row r="1191" spans="1:34" ht="11.25" customHeight="1" x14ac:dyDescent="0.15">
      <c r="A1191" s="110" t="s">
        <v>277</v>
      </c>
      <c r="B1191" s="110"/>
      <c r="C1191" s="111" t="s">
        <v>175</v>
      </c>
      <c r="D1191" s="111">
        <v>2023</v>
      </c>
      <c r="E1191" s="146">
        <v>45168</v>
      </c>
      <c r="F1191" s="169"/>
      <c r="G1191" s="111">
        <v>81110111</v>
      </c>
      <c r="H1191" s="111">
        <v>4101</v>
      </c>
      <c r="I1191" s="111" t="str">
        <f>MID(G1191,2,1)</f>
        <v>1</v>
      </c>
      <c r="J1191" s="111" t="str">
        <f>IF(I1191="1","Small/Medium","Large")</f>
        <v>Small/Medium</v>
      </c>
      <c r="K1191" s="147" t="s">
        <v>145</v>
      </c>
      <c r="L1191" s="120">
        <v>19659.5</v>
      </c>
      <c r="M1191" s="120">
        <f>L1191*0.3</f>
        <v>5897.8499999999995</v>
      </c>
      <c r="N1191" s="120">
        <f>L1191-M1191</f>
        <v>13761.650000000001</v>
      </c>
      <c r="O1191" s="119">
        <f>IFERROR(N1191/L1191,"")</f>
        <v>0.70000000000000007</v>
      </c>
      <c r="P1191" s="120">
        <v>19659.5</v>
      </c>
      <c r="Q1191" s="111">
        <v>2021</v>
      </c>
      <c r="R1191" s="117">
        <v>20.5</v>
      </c>
      <c r="S1191" s="117">
        <v>920.04</v>
      </c>
      <c r="T1191" s="117">
        <v>961.86</v>
      </c>
      <c r="U1191" s="117">
        <v>644.85</v>
      </c>
      <c r="V1191" s="117"/>
      <c r="W1191" s="26">
        <f>SUM(S1191:V1191)</f>
        <v>2526.75</v>
      </c>
      <c r="X1191" s="118">
        <f>IFERROR(S1191/R1191,"")</f>
        <v>44.879999999999995</v>
      </c>
      <c r="Y1191" s="119">
        <f>U1191/P1191</f>
        <v>3.2800935934281135E-2</v>
      </c>
      <c r="Z1191" s="117">
        <f>P1191-W1191</f>
        <v>17132.75</v>
      </c>
      <c r="AA1191" s="119">
        <f>Z1191/P1191</f>
        <v>0.87147435082275748</v>
      </c>
      <c r="AB1191" s="120">
        <f t="shared" ref="AB1191:AB1193" si="712">M1191-W1191</f>
        <v>3371.0999999999995</v>
      </c>
      <c r="AC1191" s="119">
        <f>IFERROR(AA1191-O1191,"")</f>
        <v>0.17147435082275742</v>
      </c>
      <c r="AD1191" s="110" t="s">
        <v>608</v>
      </c>
      <c r="AE1191" s="110"/>
      <c r="AF1191" s="110"/>
      <c r="AG1191" s="121"/>
      <c r="AH1191" s="110"/>
    </row>
    <row r="1192" spans="1:34" ht="11.25" customHeight="1" x14ac:dyDescent="0.15">
      <c r="A1192" s="110" t="s">
        <v>277</v>
      </c>
      <c r="B1192" s="110"/>
      <c r="C1192" s="111" t="s">
        <v>175</v>
      </c>
      <c r="D1192" s="111">
        <v>2023</v>
      </c>
      <c r="E1192" s="146">
        <v>45168</v>
      </c>
      <c r="F1192" s="169"/>
      <c r="G1192" s="111">
        <v>82110111</v>
      </c>
      <c r="H1192" s="111">
        <v>4101</v>
      </c>
      <c r="I1192" s="111" t="str">
        <f>MID(G1192,2,1)</f>
        <v>2</v>
      </c>
      <c r="J1192" s="111" t="str">
        <f>IF(I1192="1","Small/Medium","Large")</f>
        <v>Large</v>
      </c>
      <c r="K1192" s="147" t="s">
        <v>176</v>
      </c>
      <c r="L1192" s="120">
        <v>11987.5</v>
      </c>
      <c r="M1192" s="120">
        <f>L1192*0.3</f>
        <v>3596.25</v>
      </c>
      <c r="N1192" s="120">
        <f>L1192-M1192</f>
        <v>8391.25</v>
      </c>
      <c r="O1192" s="119">
        <f>IFERROR(N1192/L1192,"")</f>
        <v>0.7</v>
      </c>
      <c r="P1192" s="120">
        <v>11987.5</v>
      </c>
      <c r="Q1192" s="111">
        <v>2028</v>
      </c>
      <c r="R1192" s="117">
        <v>12.5</v>
      </c>
      <c r="S1192" s="117">
        <v>561</v>
      </c>
      <c r="T1192" s="117">
        <v>641.24</v>
      </c>
      <c r="U1192" s="117">
        <v>403.93</v>
      </c>
      <c r="V1192" s="117"/>
      <c r="W1192" s="26">
        <f>SUM(S1192:V1192)</f>
        <v>1606.17</v>
      </c>
      <c r="X1192" s="118">
        <f>IFERROR(S1192/R1192,"")</f>
        <v>44.88</v>
      </c>
      <c r="Y1192" s="119">
        <f>U1192/P1192</f>
        <v>3.3695933263816473E-2</v>
      </c>
      <c r="Z1192" s="117">
        <f>P1192-W1192</f>
        <v>10381.33</v>
      </c>
      <c r="AA1192" s="119">
        <f>Z1192/P1192</f>
        <v>0.86601293013555791</v>
      </c>
      <c r="AB1192" s="120">
        <f t="shared" si="712"/>
        <v>1990.08</v>
      </c>
      <c r="AC1192" s="119">
        <f>IFERROR(AA1192-O1192,"")</f>
        <v>0.16601293013555796</v>
      </c>
      <c r="AD1192" s="110" t="s">
        <v>608</v>
      </c>
      <c r="AE1192" s="110"/>
      <c r="AF1192" s="110"/>
      <c r="AG1192" s="121"/>
      <c r="AH1192" s="110"/>
    </row>
    <row r="1193" spans="1:34" s="216" customFormat="1" ht="11.25" customHeight="1" x14ac:dyDescent="0.15">
      <c r="A1193" s="53" t="s">
        <v>277</v>
      </c>
      <c r="B1193" s="53"/>
      <c r="C1193" s="54" t="s">
        <v>177</v>
      </c>
      <c r="D1193" s="54">
        <v>2023</v>
      </c>
      <c r="E1193" s="70">
        <v>45168</v>
      </c>
      <c r="F1193" s="54"/>
      <c r="G1193" s="54"/>
      <c r="H1193" s="54"/>
      <c r="I1193" s="54"/>
      <c r="J1193" s="54"/>
      <c r="K1193" s="106"/>
      <c r="L1193" s="24">
        <f>SUM(L1191:L1192)</f>
        <v>31647</v>
      </c>
      <c r="M1193" s="24">
        <f>SUM(M1191:M1192)</f>
        <v>9494.0999999999985</v>
      </c>
      <c r="N1193" s="24">
        <f>SUM(N1191:N1192)</f>
        <v>22152.9</v>
      </c>
      <c r="O1193" s="57">
        <f>IFERROR(N1193/L1193,"")</f>
        <v>0.70000000000000007</v>
      </c>
      <c r="P1193" s="24">
        <f>SUM(P1191:P1192)</f>
        <v>31647</v>
      </c>
      <c r="Q1193" s="24"/>
      <c r="R1193" s="24">
        <f t="shared" ref="R1193:W1193" si="713">SUM(R1191:R1192)</f>
        <v>33</v>
      </c>
      <c r="S1193" s="24">
        <f t="shared" si="713"/>
        <v>1481.04</v>
      </c>
      <c r="T1193" s="24">
        <f t="shared" si="713"/>
        <v>1603.1</v>
      </c>
      <c r="U1193" s="24">
        <f t="shared" si="713"/>
        <v>1048.78</v>
      </c>
      <c r="V1193" s="24">
        <f t="shared" si="713"/>
        <v>0</v>
      </c>
      <c r="W1193" s="24">
        <f t="shared" si="713"/>
        <v>4132.92</v>
      </c>
      <c r="X1193" s="56">
        <f>IFERROR(S1193/R1193,"")</f>
        <v>44.879999999999995</v>
      </c>
      <c r="Y1193" s="57">
        <f>IFERROR(U1193/P1193,0)</f>
        <v>3.3139950074256644E-2</v>
      </c>
      <c r="Z1193" s="28">
        <f>P1193-W1193</f>
        <v>27514.080000000002</v>
      </c>
      <c r="AA1193" s="57">
        <f>Z1193/P1193</f>
        <v>0.86940563086548495</v>
      </c>
      <c r="AB1193" s="120">
        <f t="shared" si="712"/>
        <v>5361.1799999999985</v>
      </c>
      <c r="AC1193" s="119">
        <f>IFERROR(AA1193-O1193,"")</f>
        <v>0.16940563086548488</v>
      </c>
      <c r="AD1193" s="53"/>
      <c r="AE1193" s="53"/>
      <c r="AF1193" s="53"/>
      <c r="AG1193" s="61"/>
      <c r="AH1193" s="53"/>
    </row>
    <row r="1194" spans="1:34" ht="11.25" customHeight="1" x14ac:dyDescent="0.15">
      <c r="A1194" s="130"/>
      <c r="B1194" s="130"/>
      <c r="C1194" s="124"/>
      <c r="D1194" s="124"/>
      <c r="E1194" s="273"/>
      <c r="F1194" s="124"/>
      <c r="G1194" s="124"/>
      <c r="H1194" s="124"/>
      <c r="I1194" s="124"/>
      <c r="J1194" s="124"/>
      <c r="K1194" s="125"/>
      <c r="L1194" s="129"/>
      <c r="M1194" s="129"/>
      <c r="N1194" s="129"/>
      <c r="O1194" s="128"/>
      <c r="P1194" s="129"/>
      <c r="Q1194" s="124"/>
      <c r="R1194" s="129"/>
      <c r="S1194" s="129"/>
      <c r="T1194" s="129"/>
      <c r="U1194" s="129"/>
      <c r="V1194" s="126"/>
      <c r="W1194" s="49"/>
      <c r="X1194" s="45"/>
      <c r="Y1194" s="128"/>
      <c r="Z1194" s="126"/>
      <c r="AA1194" s="128"/>
      <c r="AB1194" s="129"/>
      <c r="AC1194" s="160"/>
      <c r="AD1194" s="137"/>
      <c r="AE1194" s="110"/>
      <c r="AF1194" s="110"/>
      <c r="AG1194" s="121"/>
      <c r="AH1194" s="110"/>
    </row>
    <row r="1195" spans="1:34" ht="11.25" customHeight="1" x14ac:dyDescent="0.15">
      <c r="A1195" s="110" t="s">
        <v>315</v>
      </c>
      <c r="B1195" s="110"/>
      <c r="C1195" s="111" t="s">
        <v>175</v>
      </c>
      <c r="D1195" s="111">
        <v>2023</v>
      </c>
      <c r="E1195" s="146">
        <v>45199</v>
      </c>
      <c r="F1195" s="111"/>
      <c r="G1195" s="111">
        <v>81100011</v>
      </c>
      <c r="H1195" s="111">
        <v>4101</v>
      </c>
      <c r="I1195" s="111" t="str">
        <f>MID(G1195,2,1)</f>
        <v>1</v>
      </c>
      <c r="J1195" s="111" t="str">
        <f>IF(I1195="1","Small/Medium","Large")</f>
        <v>Small/Medium</v>
      </c>
      <c r="K1195" s="147" t="s">
        <v>145</v>
      </c>
      <c r="L1195" s="120">
        <v>19848</v>
      </c>
      <c r="M1195" s="120">
        <f>L1195*0.3</f>
        <v>5954.4</v>
      </c>
      <c r="N1195" s="120">
        <f>L1195-M1195</f>
        <v>13893.6</v>
      </c>
      <c r="O1195" s="119">
        <f>IFERROR(N1195/L1195,"")</f>
        <v>0.70000000000000007</v>
      </c>
      <c r="P1195" s="120">
        <v>19848</v>
      </c>
      <c r="Q1195" s="111">
        <v>1950</v>
      </c>
      <c r="R1195" s="117">
        <v>34</v>
      </c>
      <c r="S1195" s="117">
        <v>1525.92</v>
      </c>
      <c r="T1195" s="117">
        <v>1866.41</v>
      </c>
      <c r="U1195" s="117">
        <v>951.64</v>
      </c>
      <c r="V1195" s="117">
        <v>18.97</v>
      </c>
      <c r="W1195" s="26">
        <f>SUM(S1195:V1195)</f>
        <v>4362.9400000000005</v>
      </c>
      <c r="X1195" s="118">
        <f>IFERROR(S1195/R1195,"")</f>
        <v>44.88</v>
      </c>
      <c r="Y1195" s="119">
        <f>U1195/P1195</f>
        <v>4.794639258363563E-2</v>
      </c>
      <c r="Z1195" s="117">
        <f>P1195-W1195</f>
        <v>15485.06</v>
      </c>
      <c r="AA1195" s="119">
        <f>Z1195/P1195</f>
        <v>0.7801823861346231</v>
      </c>
      <c r="AB1195" s="120">
        <f t="shared" ref="AB1195:AB1196" si="714">M1195-W1195</f>
        <v>1591.4599999999991</v>
      </c>
      <c r="AC1195" s="119">
        <f>IFERROR(AA1195-O1195,"")</f>
        <v>8.0182386134623029E-2</v>
      </c>
      <c r="AD1195" s="110" t="s">
        <v>609</v>
      </c>
      <c r="AE1195" s="110"/>
      <c r="AF1195" s="110"/>
      <c r="AG1195" s="121"/>
      <c r="AH1195" s="110"/>
    </row>
    <row r="1196" spans="1:34" s="216" customFormat="1" ht="11.25" customHeight="1" x14ac:dyDescent="0.15">
      <c r="A1196" s="53" t="s">
        <v>315</v>
      </c>
      <c r="B1196" s="53"/>
      <c r="C1196" s="54" t="s">
        <v>177</v>
      </c>
      <c r="D1196" s="54">
        <v>2023</v>
      </c>
      <c r="E1196" s="70">
        <v>45199</v>
      </c>
      <c r="F1196" s="54"/>
      <c r="G1196" s="54"/>
      <c r="H1196" s="54"/>
      <c r="I1196" s="54"/>
      <c r="J1196" s="54"/>
      <c r="K1196" s="106"/>
      <c r="L1196" s="24">
        <f>SUM(L1195)</f>
        <v>19848</v>
      </c>
      <c r="M1196" s="24">
        <f>SUM(M1195)</f>
        <v>5954.4</v>
      </c>
      <c r="N1196" s="24">
        <f>SUM(N1194:N1195)</f>
        <v>13893.6</v>
      </c>
      <c r="O1196" s="57">
        <f>IFERROR(N1196/L1196,"")</f>
        <v>0.70000000000000007</v>
      </c>
      <c r="P1196" s="24">
        <f>SUM(P1195)</f>
        <v>19848</v>
      </c>
      <c r="Q1196" s="24"/>
      <c r="R1196" s="24">
        <f>SUM(R1195)</f>
        <v>34</v>
      </c>
      <c r="S1196" s="24">
        <f t="shared" ref="S1196:W1196" si="715">SUM(S1195)</f>
        <v>1525.92</v>
      </c>
      <c r="T1196" s="24">
        <f t="shared" si="715"/>
        <v>1866.41</v>
      </c>
      <c r="U1196" s="24">
        <f t="shared" si="715"/>
        <v>951.64</v>
      </c>
      <c r="V1196" s="24">
        <f t="shared" si="715"/>
        <v>18.97</v>
      </c>
      <c r="W1196" s="24">
        <f t="shared" si="715"/>
        <v>4362.9400000000005</v>
      </c>
      <c r="X1196" s="56">
        <f>IFERROR(S1196/R1196,"")</f>
        <v>44.88</v>
      </c>
      <c r="Y1196" s="57">
        <f>IFERROR(U1196/P1196,0)</f>
        <v>4.794639258363563E-2</v>
      </c>
      <c r="Z1196" s="28">
        <f>P1196-W1196</f>
        <v>15485.06</v>
      </c>
      <c r="AA1196" s="57">
        <f>Z1196/P1196</f>
        <v>0.7801823861346231</v>
      </c>
      <c r="AB1196" s="120">
        <f t="shared" si="714"/>
        <v>1591.4599999999991</v>
      </c>
      <c r="AC1196" s="119">
        <f>IFERROR(AA1196-O1196,"")</f>
        <v>8.0182386134623029E-2</v>
      </c>
      <c r="AD1196" s="53"/>
      <c r="AE1196" s="53"/>
      <c r="AF1196" s="53"/>
      <c r="AG1196" s="61"/>
      <c r="AH1196" s="53"/>
    </row>
    <row r="1197" spans="1:34" ht="11.25" customHeight="1" x14ac:dyDescent="0.15">
      <c r="A1197" s="130"/>
      <c r="B1197" s="130"/>
      <c r="C1197" s="124"/>
      <c r="D1197" s="124"/>
      <c r="E1197" s="273"/>
      <c r="F1197" s="124"/>
      <c r="G1197" s="124"/>
      <c r="H1197" s="124"/>
      <c r="I1197" s="124"/>
      <c r="J1197" s="124"/>
      <c r="K1197" s="125"/>
      <c r="L1197" s="129"/>
      <c r="M1197" s="129"/>
      <c r="N1197" s="129"/>
      <c r="O1197" s="128"/>
      <c r="P1197" s="129"/>
      <c r="Q1197" s="124"/>
      <c r="R1197" s="129"/>
      <c r="S1197" s="129"/>
      <c r="T1197" s="129"/>
      <c r="U1197" s="129"/>
      <c r="V1197" s="126"/>
      <c r="W1197" s="49"/>
      <c r="X1197" s="45"/>
      <c r="Y1197" s="128"/>
      <c r="Z1197" s="126"/>
      <c r="AA1197" s="128"/>
      <c r="AB1197" s="129"/>
      <c r="AC1197" s="160"/>
      <c r="AD1197" s="137"/>
      <c r="AE1197" s="110"/>
      <c r="AF1197" s="110"/>
      <c r="AG1197" s="121"/>
      <c r="AH1197" s="110"/>
    </row>
    <row r="1198" spans="1:34" ht="11.25" customHeight="1" x14ac:dyDescent="0.15">
      <c r="A1198" s="110" t="s">
        <v>296</v>
      </c>
      <c r="B1198" s="110"/>
      <c r="C1198" s="111" t="s">
        <v>164</v>
      </c>
      <c r="D1198" s="111">
        <v>2023</v>
      </c>
      <c r="E1198" s="146">
        <v>45199</v>
      </c>
      <c r="F1198" s="111"/>
      <c r="G1198" s="111" t="s">
        <v>610</v>
      </c>
      <c r="H1198" s="111"/>
      <c r="I1198" s="111"/>
      <c r="J1198" s="111"/>
      <c r="K1198" s="112" t="s">
        <v>611</v>
      </c>
      <c r="L1198" s="120">
        <f>13253-2651-1060</f>
        <v>9542</v>
      </c>
      <c r="M1198" s="120">
        <f>L1198*0.35</f>
        <v>3339.7</v>
      </c>
      <c r="N1198" s="120">
        <f>L1198-M1198</f>
        <v>6202.3</v>
      </c>
      <c r="O1198" s="119">
        <f>IFERROR(N1198/L1198,"")</f>
        <v>0.65</v>
      </c>
      <c r="P1198" s="120">
        <f>13253-2651-1060</f>
        <v>9542</v>
      </c>
      <c r="Q1198" s="111"/>
      <c r="R1198" s="117"/>
      <c r="S1198" s="117"/>
      <c r="T1198" s="117"/>
      <c r="U1198" s="117">
        <f>1598.44+1598.44</f>
        <v>3196.88</v>
      </c>
      <c r="V1198" s="117"/>
      <c r="W1198" s="26">
        <f>SUM(S1198:V1198)</f>
        <v>3196.88</v>
      </c>
      <c r="X1198" s="118" t="str">
        <f>IFERROR(S1198/R1198,"")</f>
        <v/>
      </c>
      <c r="Y1198" s="119">
        <f>U1198/P1198</f>
        <v>0.33503248794801932</v>
      </c>
      <c r="Z1198" s="117">
        <f>P1198-W1198</f>
        <v>6345.12</v>
      </c>
      <c r="AA1198" s="119">
        <f>Z1198/P1198</f>
        <v>0.66496751205198068</v>
      </c>
      <c r="AB1198" s="120">
        <f t="shared" ref="AB1198:AB1201" si="716">M1198-W1198</f>
        <v>142.81999999999971</v>
      </c>
      <c r="AC1198" s="119">
        <f>IFERROR(AA1198-O1198,"")</f>
        <v>1.4967512051980658E-2</v>
      </c>
      <c r="AD1198" s="110"/>
      <c r="AE1198" s="110"/>
      <c r="AF1198" s="110"/>
      <c r="AG1198" s="121"/>
      <c r="AH1198" s="110"/>
    </row>
    <row r="1199" spans="1:34" ht="11.25" customHeight="1" x14ac:dyDescent="0.15">
      <c r="A1199" s="110" t="s">
        <v>296</v>
      </c>
      <c r="B1199" s="110"/>
      <c r="C1199" s="111" t="s">
        <v>201</v>
      </c>
      <c r="D1199" s="111">
        <v>2023</v>
      </c>
      <c r="E1199" s="146">
        <v>45199</v>
      </c>
      <c r="F1199" s="111"/>
      <c r="G1199" s="111" t="s">
        <v>202</v>
      </c>
      <c r="H1199" s="111"/>
      <c r="I1199" s="111"/>
      <c r="J1199" s="111"/>
      <c r="K1199" s="112" t="s">
        <v>612</v>
      </c>
      <c r="L1199" s="120">
        <v>5379</v>
      </c>
      <c r="M1199" s="120">
        <f>L1199*0.35</f>
        <v>1882.6499999999999</v>
      </c>
      <c r="N1199" s="120">
        <f>L1199-M1199</f>
        <v>3496.3500000000004</v>
      </c>
      <c r="O1199" s="119">
        <f>IFERROR(N1199/L1199,"")</f>
        <v>0.65</v>
      </c>
      <c r="P1199" s="120">
        <v>5379</v>
      </c>
      <c r="Q1199" s="111">
        <v>2109</v>
      </c>
      <c r="R1199" s="117">
        <v>25</v>
      </c>
      <c r="S1199" s="117">
        <v>1147.75</v>
      </c>
      <c r="T1199" s="117">
        <v>1444.72</v>
      </c>
      <c r="U1199" s="117">
        <v>604.19000000000005</v>
      </c>
      <c r="V1199" s="117"/>
      <c r="W1199" s="26">
        <f>SUM(S1199:V1199)</f>
        <v>3196.6600000000003</v>
      </c>
      <c r="X1199" s="118">
        <f>IFERROR(S1199/R1199,"")</f>
        <v>45.91</v>
      </c>
      <c r="Y1199" s="119">
        <f>U1199/P1199</f>
        <v>0.11232385201710356</v>
      </c>
      <c r="Z1199" s="117">
        <f>P1199-W1199</f>
        <v>2182.3399999999997</v>
      </c>
      <c r="AA1199" s="119">
        <f>Z1199/P1199</f>
        <v>0.40571481688046102</v>
      </c>
      <c r="AB1199" s="120">
        <f t="shared" si="716"/>
        <v>-1314.0100000000004</v>
      </c>
      <c r="AC1199" s="119">
        <f>IFERROR(AA1199-O1199,"")</f>
        <v>-0.24428518311953901</v>
      </c>
      <c r="AD1199" s="110" t="s">
        <v>613</v>
      </c>
      <c r="AE1199" s="110"/>
      <c r="AF1199" s="110"/>
      <c r="AG1199" s="121"/>
      <c r="AH1199" s="110"/>
    </row>
    <row r="1200" spans="1:34" ht="11.25" customHeight="1" x14ac:dyDescent="0.15">
      <c r="A1200" s="110" t="s">
        <v>296</v>
      </c>
      <c r="B1200" s="110"/>
      <c r="C1200" s="111" t="s">
        <v>55</v>
      </c>
      <c r="D1200" s="111">
        <v>2023</v>
      </c>
      <c r="E1200" s="146">
        <v>45199</v>
      </c>
      <c r="F1200" s="111"/>
      <c r="G1200" s="111" t="s">
        <v>56</v>
      </c>
      <c r="H1200" s="111"/>
      <c r="I1200" s="111"/>
      <c r="J1200" s="111"/>
      <c r="K1200" s="112" t="s">
        <v>71</v>
      </c>
      <c r="L1200" s="120">
        <f>59-59</f>
        <v>0</v>
      </c>
      <c r="M1200" s="120">
        <f>L1200*0.5</f>
        <v>0</v>
      </c>
      <c r="N1200" s="120">
        <f>L1200-M1200</f>
        <v>0</v>
      </c>
      <c r="O1200" s="119" t="str">
        <f>IFERROR(N1200/L1200,"")</f>
        <v/>
      </c>
      <c r="P1200" s="120">
        <f>59-59</f>
        <v>0</v>
      </c>
      <c r="Q1200" s="111">
        <v>2110</v>
      </c>
      <c r="R1200" s="117"/>
      <c r="S1200" s="117"/>
      <c r="T1200" s="117"/>
      <c r="U1200" s="117"/>
      <c r="V1200" s="117">
        <v>124.66</v>
      </c>
      <c r="W1200" s="26">
        <f>SUM(S1200:V1200)</f>
        <v>124.66</v>
      </c>
      <c r="X1200" s="118" t="str">
        <f>IFERROR(S1200/R1200,"")</f>
        <v/>
      </c>
      <c r="Y1200" s="119" t="str">
        <f>IFERROR(U1200/P1200,"")</f>
        <v/>
      </c>
      <c r="Z1200" s="117">
        <f>P1200-W1200</f>
        <v>-124.66</v>
      </c>
      <c r="AA1200" s="119" t="str">
        <f>IFERROR(Z1200/P1200,"")</f>
        <v/>
      </c>
      <c r="AB1200" s="120">
        <f t="shared" si="716"/>
        <v>-124.66</v>
      </c>
      <c r="AC1200" s="119" t="str">
        <f>IFERROR(AA1200-O1200,"")</f>
        <v/>
      </c>
      <c r="AD1200" s="110" t="s">
        <v>614</v>
      </c>
      <c r="AE1200" s="110"/>
      <c r="AF1200" s="110"/>
      <c r="AG1200" s="121"/>
      <c r="AH1200" s="110"/>
    </row>
    <row r="1201" spans="1:34" s="216" customFormat="1" ht="11.25" customHeight="1" x14ac:dyDescent="0.15">
      <c r="A1201" s="53" t="s">
        <v>296</v>
      </c>
      <c r="B1201" s="53"/>
      <c r="C1201" s="54" t="s">
        <v>177</v>
      </c>
      <c r="D1201" s="54">
        <v>2023</v>
      </c>
      <c r="E1201" s="70">
        <v>45199</v>
      </c>
      <c r="F1201" s="54"/>
      <c r="G1201" s="54"/>
      <c r="H1201" s="54"/>
      <c r="I1201" s="54"/>
      <c r="J1201" s="54"/>
      <c r="K1201" s="106"/>
      <c r="L1201" s="24">
        <f>SUM(L1198:L1200)</f>
        <v>14921</v>
      </c>
      <c r="M1201" s="24"/>
      <c r="N1201" s="24">
        <f>SUBTOTAL(9,N1198:N1200)</f>
        <v>9698.6500000000015</v>
      </c>
      <c r="O1201" s="57">
        <f>IFERROR(N1201/L1201,"")</f>
        <v>0.65000000000000013</v>
      </c>
      <c r="P1201" s="24">
        <f>SUM(P1198:P1200)</f>
        <v>14921</v>
      </c>
      <c r="Q1201" s="24"/>
      <c r="R1201" s="24">
        <f t="shared" ref="R1201:W1201" si="717">SUM(R1198:R1200)</f>
        <v>25</v>
      </c>
      <c r="S1201" s="24">
        <f t="shared" si="717"/>
        <v>1147.75</v>
      </c>
      <c r="T1201" s="24">
        <f t="shared" si="717"/>
        <v>1444.72</v>
      </c>
      <c r="U1201" s="24">
        <f t="shared" si="717"/>
        <v>3801.07</v>
      </c>
      <c r="V1201" s="24">
        <f t="shared" si="717"/>
        <v>124.66</v>
      </c>
      <c r="W1201" s="24">
        <f t="shared" si="717"/>
        <v>6518.2000000000007</v>
      </c>
      <c r="X1201" s="56">
        <f>IFERROR(S1201/R1201,"")</f>
        <v>45.91</v>
      </c>
      <c r="Y1201" s="57">
        <f>IFERROR(U1201/P1201,0)</f>
        <v>0.25474633067488778</v>
      </c>
      <c r="Z1201" s="28">
        <f>P1201-W1201</f>
        <v>8402.7999999999993</v>
      </c>
      <c r="AA1201" s="57">
        <f>Z1201/P1201</f>
        <v>0.56315260371288778</v>
      </c>
      <c r="AB1201" s="120">
        <f t="shared" si="716"/>
        <v>-6518.2000000000007</v>
      </c>
      <c r="AC1201" s="119">
        <f>IFERROR(AA1201-O1201,"")</f>
        <v>-8.6847396287112355E-2</v>
      </c>
      <c r="AD1201" s="53"/>
      <c r="AE1201" s="53"/>
      <c r="AF1201" s="53"/>
      <c r="AG1201" s="61"/>
      <c r="AH1201" s="53"/>
    </row>
    <row r="1202" spans="1:34" ht="11.25" customHeight="1" x14ac:dyDescent="0.15">
      <c r="A1202" s="130"/>
      <c r="B1202" s="130"/>
      <c r="C1202" s="124"/>
      <c r="D1202" s="124"/>
      <c r="E1202" s="273"/>
      <c r="F1202" s="124"/>
      <c r="G1202" s="124"/>
      <c r="H1202" s="124"/>
      <c r="I1202" s="124"/>
      <c r="J1202" s="124"/>
      <c r="K1202" s="125"/>
      <c r="L1202" s="129"/>
      <c r="M1202" s="129"/>
      <c r="N1202" s="129"/>
      <c r="O1202" s="128"/>
      <c r="P1202" s="129"/>
      <c r="Q1202" s="124"/>
      <c r="R1202" s="129"/>
      <c r="S1202" s="129"/>
      <c r="T1202" s="129"/>
      <c r="U1202" s="129"/>
      <c r="V1202" s="126"/>
      <c r="W1202" s="49"/>
      <c r="X1202" s="45"/>
      <c r="Y1202" s="128"/>
      <c r="Z1202" s="126"/>
      <c r="AA1202" s="128"/>
      <c r="AB1202" s="129"/>
      <c r="AC1202" s="160"/>
      <c r="AD1202" s="137"/>
      <c r="AE1202" s="110"/>
      <c r="AF1202" s="110"/>
      <c r="AG1202" s="121"/>
      <c r="AH1202" s="110"/>
    </row>
    <row r="1203" spans="1:34" ht="11.25" customHeight="1" x14ac:dyDescent="0.15">
      <c r="A1203" s="110" t="s">
        <v>576</v>
      </c>
      <c r="B1203" s="110"/>
      <c r="C1203" s="111" t="s">
        <v>201</v>
      </c>
      <c r="D1203" s="111">
        <v>2023</v>
      </c>
      <c r="E1203" s="146">
        <v>45199</v>
      </c>
      <c r="F1203" s="111"/>
      <c r="G1203" s="111" t="s">
        <v>202</v>
      </c>
      <c r="H1203" s="111"/>
      <c r="I1203" s="111"/>
      <c r="J1203" s="111"/>
      <c r="K1203" s="112" t="s">
        <v>615</v>
      </c>
      <c r="L1203" s="120">
        <v>0</v>
      </c>
      <c r="M1203" s="120">
        <v>0</v>
      </c>
      <c r="N1203" s="120">
        <v>0</v>
      </c>
      <c r="O1203" s="119"/>
      <c r="P1203" s="117">
        <v>0</v>
      </c>
      <c r="Q1203" s="111">
        <v>2165</v>
      </c>
      <c r="R1203" s="117">
        <v>24</v>
      </c>
      <c r="S1203" s="117">
        <v>1101.8399999999999</v>
      </c>
      <c r="T1203" s="117">
        <v>1551.63</v>
      </c>
      <c r="U1203" s="117">
        <v>0</v>
      </c>
      <c r="V1203" s="117">
        <v>397.48</v>
      </c>
      <c r="W1203" s="26">
        <f>SUM(S1203:V1203)</f>
        <v>3050.9500000000003</v>
      </c>
      <c r="X1203" s="118">
        <f>IFERROR(S1203/R1203,"")</f>
        <v>45.91</v>
      </c>
      <c r="Y1203" s="119" t="str">
        <f>IFERROR(U1203/P1203,"")</f>
        <v/>
      </c>
      <c r="Z1203" s="117">
        <f>P1203-W1203</f>
        <v>-3050.9500000000003</v>
      </c>
      <c r="AA1203" s="119" t="str">
        <f>IFERROR(Z1203/P1203,"")</f>
        <v/>
      </c>
      <c r="AB1203" s="120">
        <f t="shared" ref="AB1203:AB1204" si="718">M1203-W1203</f>
        <v>-3050.9500000000003</v>
      </c>
      <c r="AC1203" s="119" t="str">
        <f>IFERROR(AA1203-O1203,"")</f>
        <v/>
      </c>
      <c r="AD1203" s="110"/>
      <c r="AE1203" s="110"/>
      <c r="AF1203" s="110"/>
      <c r="AG1203" s="121"/>
      <c r="AH1203" s="110"/>
    </row>
    <row r="1204" spans="1:34" s="216" customFormat="1" ht="11.25" customHeight="1" x14ac:dyDescent="0.15">
      <c r="A1204" s="53" t="s">
        <v>576</v>
      </c>
      <c r="B1204" s="53"/>
      <c r="C1204" s="54" t="s">
        <v>177</v>
      </c>
      <c r="D1204" s="54">
        <v>2023</v>
      </c>
      <c r="E1204" s="70">
        <v>45199</v>
      </c>
      <c r="F1204" s="54"/>
      <c r="G1204" s="54"/>
      <c r="H1204" s="54"/>
      <c r="I1204" s="54"/>
      <c r="J1204" s="54"/>
      <c r="K1204" s="106"/>
      <c r="L1204" s="24">
        <f>SUM(L1203)</f>
        <v>0</v>
      </c>
      <c r="M1204" s="24">
        <f t="shared" ref="M1204:N1204" si="719">SUM(M1203)</f>
        <v>0</v>
      </c>
      <c r="N1204" s="24">
        <f t="shared" si="719"/>
        <v>0</v>
      </c>
      <c r="O1204" s="57"/>
      <c r="P1204" s="24"/>
      <c r="Q1204" s="24"/>
      <c r="R1204" s="24"/>
      <c r="S1204" s="24"/>
      <c r="T1204" s="24"/>
      <c r="U1204" s="24"/>
      <c r="V1204" s="24"/>
      <c r="W1204" s="24">
        <f t="shared" ref="W1204" si="720">SUM(W1203)</f>
        <v>3050.9500000000003</v>
      </c>
      <c r="X1204" s="56" t="str">
        <f>IFERROR(S1204/R1204,"")</f>
        <v/>
      </c>
      <c r="Y1204" s="57">
        <f>IFERROR(U1204/P1204,0)</f>
        <v>0</v>
      </c>
      <c r="Z1204" s="28">
        <f>P1204-W1204</f>
        <v>-3050.9500000000003</v>
      </c>
      <c r="AA1204" s="119" t="str">
        <f>IFERROR(Z1204/P1204,"")</f>
        <v/>
      </c>
      <c r="AB1204" s="120">
        <f t="shared" si="718"/>
        <v>-3050.9500000000003</v>
      </c>
      <c r="AC1204" s="119" t="str">
        <f>IFERROR(AA1204-O1204,"")</f>
        <v/>
      </c>
      <c r="AD1204" s="53"/>
      <c r="AE1204" s="53"/>
      <c r="AF1204" s="53"/>
      <c r="AG1204" s="61"/>
      <c r="AH1204" s="53"/>
    </row>
    <row r="1205" spans="1:34" ht="11.25" customHeight="1" x14ac:dyDescent="0.15">
      <c r="A1205" s="130"/>
      <c r="B1205" s="130"/>
      <c r="C1205" s="124"/>
      <c r="D1205" s="124"/>
      <c r="E1205" s="273"/>
      <c r="F1205" s="124"/>
      <c r="G1205" s="124"/>
      <c r="H1205" s="124"/>
      <c r="I1205" s="124"/>
      <c r="J1205" s="124"/>
      <c r="K1205" s="125"/>
      <c r="L1205" s="129"/>
      <c r="M1205" s="129"/>
      <c r="N1205" s="129"/>
      <c r="O1205" s="128"/>
      <c r="P1205" s="129"/>
      <c r="Q1205" s="124"/>
      <c r="R1205" s="129"/>
      <c r="S1205" s="129"/>
      <c r="T1205" s="129"/>
      <c r="U1205" s="129"/>
      <c r="V1205" s="126"/>
      <c r="W1205" s="49"/>
      <c r="X1205" s="45"/>
      <c r="Y1205" s="128"/>
      <c r="Z1205" s="126"/>
      <c r="AA1205" s="128"/>
      <c r="AB1205" s="129"/>
      <c r="AC1205" s="160"/>
      <c r="AD1205" s="137"/>
      <c r="AE1205" s="110"/>
      <c r="AF1205" s="110"/>
      <c r="AG1205" s="121"/>
      <c r="AH1205" s="110"/>
    </row>
    <row r="1206" spans="1:34" ht="11.25" customHeight="1" x14ac:dyDescent="0.15">
      <c r="A1206" s="110" t="s">
        <v>301</v>
      </c>
      <c r="B1206" s="110"/>
      <c r="C1206" s="111" t="s">
        <v>175</v>
      </c>
      <c r="D1206" s="111">
        <v>2023</v>
      </c>
      <c r="E1206" s="146">
        <v>45199</v>
      </c>
      <c r="F1206" s="111"/>
      <c r="G1206" s="111">
        <v>81100011</v>
      </c>
      <c r="H1206" s="111">
        <v>4101</v>
      </c>
      <c r="I1206" s="111" t="str">
        <f>MID(G1206,2,1)</f>
        <v>1</v>
      </c>
      <c r="J1206" s="111" t="str">
        <f>IF(I1206="1","Small/Medium","Large")</f>
        <v>Small/Medium</v>
      </c>
      <c r="K1206" s="147" t="s">
        <v>145</v>
      </c>
      <c r="L1206" s="117">
        <v>9572</v>
      </c>
      <c r="M1206" s="120">
        <f>L1206*0.3</f>
        <v>2871.6</v>
      </c>
      <c r="N1206" s="120">
        <f>L1206-M1206</f>
        <v>6700.4</v>
      </c>
      <c r="O1206" s="119">
        <f>IFERROR(N1206/L1206,"")</f>
        <v>0.7</v>
      </c>
      <c r="P1206" s="117">
        <v>9572</v>
      </c>
      <c r="Q1206" s="111">
        <v>2094</v>
      </c>
      <c r="R1206" s="117">
        <v>19</v>
      </c>
      <c r="S1206" s="117">
        <v>852.72</v>
      </c>
      <c r="T1206" s="117">
        <v>701.64</v>
      </c>
      <c r="U1206" s="117">
        <v>335</v>
      </c>
      <c r="V1206" s="117"/>
      <c r="W1206" s="26">
        <f>SUM(S1206:V1206)</f>
        <v>1889.3600000000001</v>
      </c>
      <c r="X1206" s="118">
        <f>IFERROR(S1206/R1206,"")</f>
        <v>44.88</v>
      </c>
      <c r="Y1206" s="119">
        <f>U1206/P1206</f>
        <v>3.4997910572503135E-2</v>
      </c>
      <c r="Z1206" s="117">
        <f>P1206-W1206</f>
        <v>7682.6399999999994</v>
      </c>
      <c r="AA1206" s="119">
        <f>Z1206/P1206</f>
        <v>0.80261596322607598</v>
      </c>
      <c r="AB1206" s="120">
        <f t="shared" ref="AB1206:AB1207" si="721">M1206-W1206</f>
        <v>982.23999999999978</v>
      </c>
      <c r="AC1206" s="119">
        <f>IFERROR(AA1206-O1206,"")</f>
        <v>0.10261596322607602</v>
      </c>
      <c r="AD1206" s="110" t="s">
        <v>616</v>
      </c>
      <c r="AE1206" s="110"/>
      <c r="AF1206" s="110"/>
      <c r="AG1206" s="121"/>
      <c r="AH1206" s="110"/>
    </row>
    <row r="1207" spans="1:34" s="216" customFormat="1" ht="11.25" customHeight="1" x14ac:dyDescent="0.15">
      <c r="A1207" s="53" t="s">
        <v>301</v>
      </c>
      <c r="B1207" s="53"/>
      <c r="C1207" s="54" t="s">
        <v>177</v>
      </c>
      <c r="D1207" s="54">
        <v>2023</v>
      </c>
      <c r="E1207" s="70">
        <v>45199</v>
      </c>
      <c r="F1207" s="54"/>
      <c r="G1207" s="54"/>
      <c r="H1207" s="54"/>
      <c r="I1207" s="54"/>
      <c r="J1207" s="54"/>
      <c r="K1207" s="106"/>
      <c r="L1207" s="24">
        <f>SUM(L1206)</f>
        <v>9572</v>
      </c>
      <c r="M1207" s="24">
        <f>SUM(M1206)</f>
        <v>2871.6</v>
      </c>
      <c r="N1207" s="24">
        <f>SUM(N1205:N1206)</f>
        <v>6700.4</v>
      </c>
      <c r="O1207" s="57">
        <f>IFERROR(N1207/L1207,"")</f>
        <v>0.7</v>
      </c>
      <c r="P1207" s="24">
        <f>SUM(P1206)</f>
        <v>9572</v>
      </c>
      <c r="Q1207" s="24"/>
      <c r="R1207" s="24">
        <f>SUM(R1206)</f>
        <v>19</v>
      </c>
      <c r="S1207" s="24">
        <f t="shared" ref="S1207:W1207" si="722">SUM(S1206)</f>
        <v>852.72</v>
      </c>
      <c r="T1207" s="24">
        <f t="shared" si="722"/>
        <v>701.64</v>
      </c>
      <c r="U1207" s="24">
        <f t="shared" si="722"/>
        <v>335</v>
      </c>
      <c r="V1207" s="24">
        <f t="shared" si="722"/>
        <v>0</v>
      </c>
      <c r="W1207" s="24">
        <f t="shared" si="722"/>
        <v>1889.3600000000001</v>
      </c>
      <c r="X1207" s="56">
        <f>IFERROR(S1207/R1207,"")</f>
        <v>44.88</v>
      </c>
      <c r="Y1207" s="57">
        <f>IFERROR(U1207/P1207,0)</f>
        <v>3.4997910572503135E-2</v>
      </c>
      <c r="Z1207" s="28">
        <f>P1207-W1207</f>
        <v>7682.6399999999994</v>
      </c>
      <c r="AA1207" s="57">
        <f>Z1207/P1207</f>
        <v>0.80261596322607598</v>
      </c>
      <c r="AB1207" s="120">
        <f t="shared" si="721"/>
        <v>982.23999999999978</v>
      </c>
      <c r="AC1207" s="119">
        <f>IFERROR(AA1207-O1207,"")</f>
        <v>0.10261596322607602</v>
      </c>
      <c r="AD1207" s="53"/>
      <c r="AE1207" s="53"/>
      <c r="AF1207" s="53"/>
      <c r="AG1207" s="61"/>
      <c r="AH1207" s="53"/>
    </row>
    <row r="1208" spans="1:34" ht="11.25" customHeight="1" x14ac:dyDescent="0.15">
      <c r="A1208" s="130"/>
      <c r="B1208" s="130"/>
      <c r="C1208" s="124"/>
      <c r="D1208" s="124"/>
      <c r="E1208" s="273"/>
      <c r="F1208" s="124"/>
      <c r="G1208" s="124"/>
      <c r="H1208" s="124"/>
      <c r="I1208" s="124"/>
      <c r="J1208" s="124"/>
      <c r="K1208" s="125"/>
      <c r="L1208" s="129"/>
      <c r="M1208" s="129"/>
      <c r="N1208" s="129"/>
      <c r="O1208" s="128"/>
      <c r="P1208" s="129"/>
      <c r="Q1208" s="124"/>
      <c r="R1208" s="129"/>
      <c r="S1208" s="129"/>
      <c r="T1208" s="129"/>
      <c r="U1208" s="129"/>
      <c r="V1208" s="126"/>
      <c r="W1208" s="49"/>
      <c r="X1208" s="45"/>
      <c r="Y1208" s="128"/>
      <c r="Z1208" s="126"/>
      <c r="AA1208" s="128"/>
      <c r="AB1208" s="129"/>
      <c r="AC1208" s="160"/>
      <c r="AD1208" s="137"/>
      <c r="AE1208" s="110"/>
      <c r="AF1208" s="110"/>
      <c r="AG1208" s="121"/>
      <c r="AH1208" s="110"/>
    </row>
    <row r="1209" spans="1:34" ht="11.25" customHeight="1" x14ac:dyDescent="0.15">
      <c r="A1209" s="110" t="s">
        <v>377</v>
      </c>
      <c r="B1209" s="110"/>
      <c r="C1209" s="111" t="s">
        <v>175</v>
      </c>
      <c r="D1209" s="111">
        <v>2023</v>
      </c>
      <c r="E1209" s="146">
        <v>45199</v>
      </c>
      <c r="F1209" s="111"/>
      <c r="G1209" s="111">
        <v>81100010</v>
      </c>
      <c r="H1209" s="111">
        <v>4101</v>
      </c>
      <c r="I1209" s="111" t="str">
        <f>MID(G1209,2,1)</f>
        <v>1</v>
      </c>
      <c r="J1209" s="111" t="str">
        <f>IF(I1209="1","Small/Medium","Large")</f>
        <v>Small/Medium</v>
      </c>
      <c r="K1209" s="147" t="s">
        <v>145</v>
      </c>
      <c r="L1209" s="120">
        <v>11810</v>
      </c>
      <c r="M1209" s="120">
        <f>L1209*0.3</f>
        <v>3543</v>
      </c>
      <c r="N1209" s="120">
        <f>L1209-M1209</f>
        <v>8267</v>
      </c>
      <c r="O1209" s="119">
        <f>IFERROR(N1209/L1209,"")</f>
        <v>0.7</v>
      </c>
      <c r="P1209" s="117">
        <v>11810</v>
      </c>
      <c r="Q1209" s="111">
        <v>1841</v>
      </c>
      <c r="R1209" s="117">
        <v>17.5</v>
      </c>
      <c r="S1209" s="117">
        <v>785.4</v>
      </c>
      <c r="T1209" s="117">
        <v>491.36</v>
      </c>
      <c r="U1209" s="235">
        <v>4020</v>
      </c>
      <c r="V1209" s="117"/>
      <c r="W1209" s="26">
        <f>SUM(S1209:V1209)</f>
        <v>5296.76</v>
      </c>
      <c r="X1209" s="118">
        <f>IFERROR(S1209/R1209,"")</f>
        <v>44.879999999999995</v>
      </c>
      <c r="Y1209" s="119">
        <f>U1209/P1209</f>
        <v>0.34038950042337002</v>
      </c>
      <c r="Z1209" s="117">
        <f>P1209-W1209</f>
        <v>6513.24</v>
      </c>
      <c r="AA1209" s="119">
        <f>Z1209/P1209</f>
        <v>0.55150211685012696</v>
      </c>
      <c r="AB1209" s="120">
        <f t="shared" ref="AB1209:AB1210" si="723">M1209-W1209</f>
        <v>-1753.7600000000002</v>
      </c>
      <c r="AC1209" s="119">
        <f>IFERROR(AA1209-O1209,"")</f>
        <v>-0.148497883149873</v>
      </c>
      <c r="AD1209" s="110" t="s">
        <v>617</v>
      </c>
      <c r="AE1209" s="110"/>
      <c r="AF1209" s="110"/>
      <c r="AG1209" s="121"/>
      <c r="AH1209" s="110"/>
    </row>
    <row r="1210" spans="1:34" s="216" customFormat="1" ht="11.25" customHeight="1" x14ac:dyDescent="0.15">
      <c r="A1210" s="53" t="s">
        <v>377</v>
      </c>
      <c r="B1210" s="53"/>
      <c r="C1210" s="54" t="s">
        <v>177</v>
      </c>
      <c r="D1210" s="54">
        <v>2023</v>
      </c>
      <c r="E1210" s="70">
        <v>45199</v>
      </c>
      <c r="F1210" s="54"/>
      <c r="G1210" s="54"/>
      <c r="H1210" s="54"/>
      <c r="I1210" s="54"/>
      <c r="J1210" s="54"/>
      <c r="K1210" s="106"/>
      <c r="L1210" s="24">
        <f>SUM(L1209)</f>
        <v>11810</v>
      </c>
      <c r="M1210" s="24">
        <f>SUM(M1209)</f>
        <v>3543</v>
      </c>
      <c r="N1210" s="24">
        <f>SUM(N1208:N1209)</f>
        <v>8267</v>
      </c>
      <c r="O1210" s="57">
        <f>IFERROR(N1210/L1210,"")</f>
        <v>0.7</v>
      </c>
      <c r="P1210" s="24">
        <f>SUM(P1209)</f>
        <v>11810</v>
      </c>
      <c r="Q1210" s="24"/>
      <c r="R1210" s="24">
        <f>SUM(R1209)</f>
        <v>17.5</v>
      </c>
      <c r="S1210" s="24">
        <f t="shared" ref="S1210:W1210" si="724">SUM(S1209)</f>
        <v>785.4</v>
      </c>
      <c r="T1210" s="24">
        <f t="shared" si="724"/>
        <v>491.36</v>
      </c>
      <c r="U1210" s="24">
        <f t="shared" si="724"/>
        <v>4020</v>
      </c>
      <c r="V1210" s="24">
        <f t="shared" si="724"/>
        <v>0</v>
      </c>
      <c r="W1210" s="24">
        <f t="shared" si="724"/>
        <v>5296.76</v>
      </c>
      <c r="X1210" s="56">
        <f>IFERROR(S1210/R1210,"")</f>
        <v>44.879999999999995</v>
      </c>
      <c r="Y1210" s="57">
        <f>IFERROR(U1210/P1210,0)</f>
        <v>0.34038950042337002</v>
      </c>
      <c r="Z1210" s="28">
        <f>P1210-W1210</f>
        <v>6513.24</v>
      </c>
      <c r="AA1210" s="57">
        <f>Z1210/P1210</f>
        <v>0.55150211685012696</v>
      </c>
      <c r="AB1210" s="120">
        <f t="shared" si="723"/>
        <v>-1753.7600000000002</v>
      </c>
      <c r="AC1210" s="119">
        <f>IFERROR(AA1210-O1210,"")</f>
        <v>-0.148497883149873</v>
      </c>
      <c r="AD1210" s="53"/>
      <c r="AE1210" s="53"/>
      <c r="AF1210" s="53"/>
      <c r="AG1210" s="61"/>
      <c r="AH1210" s="53"/>
    </row>
    <row r="1211" spans="1:34" ht="11.25" customHeight="1" x14ac:dyDescent="0.15">
      <c r="A1211" s="130"/>
      <c r="B1211" s="130"/>
      <c r="C1211" s="124"/>
      <c r="D1211" s="124"/>
      <c r="E1211" s="273"/>
      <c r="F1211" s="124"/>
      <c r="G1211" s="124"/>
      <c r="H1211" s="124"/>
      <c r="I1211" s="124"/>
      <c r="J1211" s="124"/>
      <c r="K1211" s="125"/>
      <c r="L1211" s="129"/>
      <c r="M1211" s="129"/>
      <c r="N1211" s="129"/>
      <c r="O1211" s="128"/>
      <c r="P1211" s="129"/>
      <c r="Q1211" s="124"/>
      <c r="R1211" s="129"/>
      <c r="S1211" s="129"/>
      <c r="T1211" s="129"/>
      <c r="U1211" s="129"/>
      <c r="V1211" s="126"/>
      <c r="W1211" s="49"/>
      <c r="X1211" s="45"/>
      <c r="Y1211" s="128"/>
      <c r="Z1211" s="126"/>
      <c r="AA1211" s="128"/>
      <c r="AB1211" s="129"/>
      <c r="AC1211" s="160"/>
      <c r="AD1211" s="137"/>
      <c r="AE1211" s="110"/>
      <c r="AF1211" s="110"/>
      <c r="AG1211" s="121"/>
      <c r="AH1211" s="110"/>
    </row>
    <row r="1212" spans="1:34" ht="11.25" customHeight="1" x14ac:dyDescent="0.15">
      <c r="A1212" s="110" t="s">
        <v>324</v>
      </c>
      <c r="B1212" s="110"/>
      <c r="C1212" s="111" t="s">
        <v>175</v>
      </c>
      <c r="D1212" s="111">
        <v>2023</v>
      </c>
      <c r="E1212" s="146">
        <v>45199</v>
      </c>
      <c r="F1212" s="111"/>
      <c r="G1212" s="111">
        <v>81110111</v>
      </c>
      <c r="H1212" s="111">
        <v>4101</v>
      </c>
      <c r="I1212" s="111" t="str">
        <f>MID(G1212,2,1)</f>
        <v>1</v>
      </c>
      <c r="J1212" s="111" t="str">
        <f>IF(I1212="1","Small/Medium","Large")</f>
        <v>Small/Medium</v>
      </c>
      <c r="K1212" s="147" t="s">
        <v>145</v>
      </c>
      <c r="L1212" s="120">
        <v>27881.279999999999</v>
      </c>
      <c r="M1212" s="120">
        <f>L1212*0.3</f>
        <v>8364.384</v>
      </c>
      <c r="N1212" s="120">
        <f>L1212-M1212</f>
        <v>19516.896000000001</v>
      </c>
      <c r="O1212" s="119">
        <f>IFERROR(N1212/L1212,"")</f>
        <v>0.70000000000000007</v>
      </c>
      <c r="P1212" s="117">
        <f>L1212</f>
        <v>27881.279999999999</v>
      </c>
      <c r="Q1212" s="111">
        <v>1980</v>
      </c>
      <c r="R1212" s="117">
        <v>37</v>
      </c>
      <c r="S1212" s="117">
        <v>1660.56</v>
      </c>
      <c r="T1212" s="117">
        <v>1545.34</v>
      </c>
      <c r="U1212" s="117">
        <v>820.95</v>
      </c>
      <c r="V1212" s="117"/>
      <c r="W1212" s="26">
        <f>SUM(S1212:V1212)</f>
        <v>4026.8499999999995</v>
      </c>
      <c r="X1212" s="118">
        <f>IFERROR(S1212/R1212,"")</f>
        <v>44.879999999999995</v>
      </c>
      <c r="Y1212" s="119">
        <f>U1212/P1212</f>
        <v>2.9444487484075341E-2</v>
      </c>
      <c r="Z1212" s="117">
        <f>P1212-W1212</f>
        <v>23854.43</v>
      </c>
      <c r="AA1212" s="119">
        <f>Z1212/P1212</f>
        <v>0.85557155195170387</v>
      </c>
      <c r="AB1212" s="120">
        <f t="shared" ref="AB1212:AB1214" si="725">M1212-W1212</f>
        <v>4337.5340000000006</v>
      </c>
      <c r="AC1212" s="119">
        <f>IFERROR(AA1212-O1212,"")</f>
        <v>0.1555715519517038</v>
      </c>
      <c r="AD1212" s="110" t="s">
        <v>618</v>
      </c>
      <c r="AE1212" s="110"/>
      <c r="AF1212" s="110"/>
      <c r="AG1212" s="121"/>
      <c r="AH1212" s="110"/>
    </row>
    <row r="1213" spans="1:34" ht="11.25" customHeight="1" x14ac:dyDescent="0.15">
      <c r="A1213" s="110" t="s">
        <v>324</v>
      </c>
      <c r="B1213" s="110"/>
      <c r="C1213" s="111" t="s">
        <v>175</v>
      </c>
      <c r="D1213" s="111">
        <v>2023</v>
      </c>
      <c r="E1213" s="146">
        <v>45199</v>
      </c>
      <c r="F1213" s="111"/>
      <c r="G1213" s="111">
        <v>82110111</v>
      </c>
      <c r="H1213" s="111">
        <v>4101</v>
      </c>
      <c r="I1213" s="111" t="str">
        <f>MID(G1213,2,1)</f>
        <v>2</v>
      </c>
      <c r="J1213" s="111" t="str">
        <f>IF(I1213="1","Small/Medium","Large")</f>
        <v>Large</v>
      </c>
      <c r="K1213" s="147" t="s">
        <v>176</v>
      </c>
      <c r="L1213" s="120">
        <v>23234.400000000001</v>
      </c>
      <c r="M1213" s="120">
        <f>L1213*0.3</f>
        <v>6970.3200000000006</v>
      </c>
      <c r="N1213" s="120">
        <f>L1213-M1213</f>
        <v>16264.080000000002</v>
      </c>
      <c r="O1213" s="119">
        <f>IFERROR(N1213/L1213,"")</f>
        <v>0.70000000000000007</v>
      </c>
      <c r="P1213" s="117">
        <f>L1213</f>
        <v>23234.400000000001</v>
      </c>
      <c r="Q1213" s="111">
        <v>1979</v>
      </c>
      <c r="R1213" s="117">
        <v>38.25</v>
      </c>
      <c r="S1213" s="117">
        <v>1716.66</v>
      </c>
      <c r="T1213" s="117">
        <v>1527.38</v>
      </c>
      <c r="U1213" s="117">
        <v>496.03</v>
      </c>
      <c r="V1213" s="117"/>
      <c r="W1213" s="26">
        <f>SUM(S1213:V1213)</f>
        <v>3740.0699999999997</v>
      </c>
      <c r="X1213" s="118">
        <f>IFERROR(S1213/R1213,"")</f>
        <v>44.88</v>
      </c>
      <c r="Y1213" s="119">
        <f>U1213/P1213</f>
        <v>2.1348948111420993E-2</v>
      </c>
      <c r="Z1213" s="117">
        <f>P1213-W1213</f>
        <v>19494.330000000002</v>
      </c>
      <c r="AA1213" s="119">
        <f>Z1213/P1213</f>
        <v>0.83902876768928836</v>
      </c>
      <c r="AB1213" s="120">
        <f t="shared" si="725"/>
        <v>3230.2500000000009</v>
      </c>
      <c r="AC1213" s="119">
        <f>IFERROR(AA1213-O1213,"")</f>
        <v>0.13902876768928829</v>
      </c>
      <c r="AD1213" s="110" t="s">
        <v>619</v>
      </c>
      <c r="AE1213" s="110"/>
      <c r="AF1213" s="110"/>
      <c r="AG1213" s="121"/>
      <c r="AH1213" s="110"/>
    </row>
    <row r="1214" spans="1:34" s="216" customFormat="1" ht="11.25" customHeight="1" x14ac:dyDescent="0.15">
      <c r="A1214" s="53" t="s">
        <v>324</v>
      </c>
      <c r="B1214" s="53"/>
      <c r="C1214" s="54" t="s">
        <v>177</v>
      </c>
      <c r="D1214" s="54">
        <v>2023</v>
      </c>
      <c r="E1214" s="70">
        <v>45199</v>
      </c>
      <c r="F1214" s="54"/>
      <c r="G1214" s="54"/>
      <c r="H1214" s="54"/>
      <c r="I1214" s="54"/>
      <c r="J1214" s="54"/>
      <c r="K1214" s="106"/>
      <c r="L1214" s="24">
        <f>SUM(L1212:L1213)</f>
        <v>51115.68</v>
      </c>
      <c r="M1214" s="24">
        <f>SUM(M1212:M1213)</f>
        <v>15334.704000000002</v>
      </c>
      <c r="N1214" s="24">
        <f>SUM(N1212:N1213)</f>
        <v>35780.976000000002</v>
      </c>
      <c r="O1214" s="57">
        <f>IFERROR(N1214/L1214,"")</f>
        <v>0.70000000000000007</v>
      </c>
      <c r="P1214" s="24">
        <f>SUM(P1212:P1213)</f>
        <v>51115.68</v>
      </c>
      <c r="Q1214" s="24"/>
      <c r="R1214" s="24">
        <f>SUM(R1212:R1213)</f>
        <v>75.25</v>
      </c>
      <c r="S1214" s="24">
        <f t="shared" ref="S1214:W1214" si="726">SUM(S1212:S1213)</f>
        <v>3377.2200000000003</v>
      </c>
      <c r="T1214" s="24">
        <f t="shared" si="726"/>
        <v>3072.7200000000003</v>
      </c>
      <c r="U1214" s="24">
        <f t="shared" si="726"/>
        <v>1316.98</v>
      </c>
      <c r="V1214" s="24">
        <f t="shared" si="726"/>
        <v>0</v>
      </c>
      <c r="W1214" s="24">
        <f t="shared" si="726"/>
        <v>7766.9199999999992</v>
      </c>
      <c r="X1214" s="56">
        <f>IFERROR(S1214/R1214,"")</f>
        <v>44.88</v>
      </c>
      <c r="Y1214" s="57">
        <f>IFERROR(U1214/P1214,0)</f>
        <v>2.5764696860141545E-2</v>
      </c>
      <c r="Z1214" s="28">
        <f>P1214-W1214</f>
        <v>43348.76</v>
      </c>
      <c r="AA1214" s="57">
        <f>Z1214/P1214</f>
        <v>0.84805210455969682</v>
      </c>
      <c r="AB1214" s="120">
        <f t="shared" si="725"/>
        <v>7567.7840000000024</v>
      </c>
      <c r="AC1214" s="119">
        <f>IFERROR(AA1214-O1214,"")</f>
        <v>0.14805210455969675</v>
      </c>
      <c r="AD1214" s="53"/>
      <c r="AE1214" s="53"/>
      <c r="AF1214" s="53"/>
      <c r="AG1214" s="61"/>
      <c r="AH1214" s="53"/>
    </row>
    <row r="1215" spans="1:34" ht="11.25" customHeight="1" x14ac:dyDescent="0.15">
      <c r="A1215" s="130"/>
      <c r="B1215" s="130"/>
      <c r="C1215" s="124"/>
      <c r="D1215" s="124"/>
      <c r="E1215" s="273"/>
      <c r="F1215" s="124"/>
      <c r="G1215" s="124"/>
      <c r="H1215" s="124"/>
      <c r="I1215" s="124"/>
      <c r="J1215" s="124"/>
      <c r="K1215" s="125"/>
      <c r="L1215" s="129"/>
      <c r="M1215" s="129"/>
      <c r="N1215" s="129"/>
      <c r="O1215" s="128"/>
      <c r="P1215" s="129"/>
      <c r="Q1215" s="124"/>
      <c r="R1215" s="129"/>
      <c r="S1215" s="129"/>
      <c r="T1215" s="129"/>
      <c r="U1215" s="129"/>
      <c r="V1215" s="126"/>
      <c r="W1215" s="49"/>
      <c r="X1215" s="45"/>
      <c r="Y1215" s="128"/>
      <c r="Z1215" s="126"/>
      <c r="AA1215" s="128"/>
      <c r="AB1215" s="129"/>
      <c r="AC1215" s="160"/>
      <c r="AD1215" s="137"/>
      <c r="AE1215" s="110"/>
      <c r="AF1215" s="110"/>
      <c r="AG1215" s="121"/>
      <c r="AH1215" s="110"/>
    </row>
    <row r="1216" spans="1:34" ht="11.25" customHeight="1" x14ac:dyDescent="0.15">
      <c r="A1216" s="110" t="s">
        <v>322</v>
      </c>
      <c r="B1216" s="110"/>
      <c r="C1216" s="111" t="s">
        <v>175</v>
      </c>
      <c r="D1216" s="111">
        <v>2023</v>
      </c>
      <c r="E1216" s="146">
        <v>45199</v>
      </c>
      <c r="F1216" s="111"/>
      <c r="G1216" s="111">
        <v>81110111</v>
      </c>
      <c r="H1216" s="111">
        <v>4101</v>
      </c>
      <c r="I1216" s="111" t="str">
        <f>MID(G1216,2,1)</f>
        <v>1</v>
      </c>
      <c r="J1216" s="111" t="str">
        <f>IF(I1216="1","Small/Medium","Large")</f>
        <v>Small/Medium</v>
      </c>
      <c r="K1216" s="147" t="s">
        <v>145</v>
      </c>
      <c r="L1216" s="120">
        <v>18587.52</v>
      </c>
      <c r="M1216" s="120">
        <f>L1216*0.3</f>
        <v>5576.2560000000003</v>
      </c>
      <c r="N1216" s="120">
        <f>L1216-M1216</f>
        <v>13011.263999999999</v>
      </c>
      <c r="O1216" s="119">
        <f>IFERROR(N1216/L1216,"")</f>
        <v>0.7</v>
      </c>
      <c r="P1216" s="117">
        <f>L1216</f>
        <v>18587.52</v>
      </c>
      <c r="Q1216" s="111">
        <v>2142</v>
      </c>
      <c r="R1216" s="117">
        <v>25</v>
      </c>
      <c r="S1216" s="117">
        <v>1122</v>
      </c>
      <c r="T1216" s="117">
        <v>1724.17</v>
      </c>
      <c r="U1216" s="117">
        <v>777.97</v>
      </c>
      <c r="V1216" s="117"/>
      <c r="W1216" s="26">
        <f>SUM(S1216:V1216)</f>
        <v>3624.1400000000003</v>
      </c>
      <c r="X1216" s="118">
        <f>IFERROR(S1216/R1216,"")</f>
        <v>44.88</v>
      </c>
      <c r="Y1216" s="119">
        <f>U1216/P1216</f>
        <v>4.1854427056433566E-2</v>
      </c>
      <c r="Z1216" s="117">
        <f>P1216-W1216</f>
        <v>14963.380000000001</v>
      </c>
      <c r="AA1216" s="119">
        <f>Z1216/P1216</f>
        <v>0.80502294012326558</v>
      </c>
      <c r="AB1216" s="120">
        <f t="shared" ref="AB1216:AB1218" si="727">M1216-W1216</f>
        <v>1952.116</v>
      </c>
      <c r="AC1216" s="119">
        <f>IFERROR(AA1216-O1216,"")</f>
        <v>0.10502294012326563</v>
      </c>
      <c r="AD1216" s="110" t="s">
        <v>620</v>
      </c>
      <c r="AE1216" s="110"/>
      <c r="AF1216" s="110"/>
      <c r="AG1216" s="121"/>
      <c r="AH1216" s="110"/>
    </row>
    <row r="1217" spans="1:34" ht="11.25" customHeight="1" x14ac:dyDescent="0.15">
      <c r="A1217" s="110" t="s">
        <v>322</v>
      </c>
      <c r="B1217" s="110"/>
      <c r="C1217" s="111" t="s">
        <v>175</v>
      </c>
      <c r="D1217" s="111">
        <v>2023</v>
      </c>
      <c r="E1217" s="146">
        <v>45199</v>
      </c>
      <c r="F1217" s="111"/>
      <c r="G1217" s="111">
        <v>82110111</v>
      </c>
      <c r="H1217" s="111">
        <v>4101</v>
      </c>
      <c r="I1217" s="111" t="str">
        <f>MID(G1217,2,1)</f>
        <v>2</v>
      </c>
      <c r="J1217" s="111" t="str">
        <f>IF(I1217="1","Small/Medium","Large")</f>
        <v>Large</v>
      </c>
      <c r="K1217" s="147" t="s">
        <v>176</v>
      </c>
      <c r="L1217" s="120">
        <v>23234.400000000001</v>
      </c>
      <c r="M1217" s="120">
        <f>L1217*0.3</f>
        <v>6970.3200000000006</v>
      </c>
      <c r="N1217" s="120">
        <f>L1217-M1217</f>
        <v>16264.080000000002</v>
      </c>
      <c r="O1217" s="119">
        <f>IFERROR(N1217/L1217,"")</f>
        <v>0.70000000000000007</v>
      </c>
      <c r="P1217" s="117">
        <f>L1217</f>
        <v>23234.400000000001</v>
      </c>
      <c r="Q1217" s="111">
        <v>2141</v>
      </c>
      <c r="R1217" s="117">
        <v>17.5</v>
      </c>
      <c r="S1217" s="117">
        <v>785.4</v>
      </c>
      <c r="T1217" s="117">
        <v>1410.68</v>
      </c>
      <c r="U1217" s="117">
        <v>814.42</v>
      </c>
      <c r="V1217" s="117"/>
      <c r="W1217" s="26">
        <f>SUM(S1217:V1217)</f>
        <v>3010.5</v>
      </c>
      <c r="X1217" s="118">
        <f>IFERROR(S1217/R1217,"")</f>
        <v>44.879999999999995</v>
      </c>
      <c r="Y1217" s="119">
        <f>U1217/P1217</f>
        <v>3.5052336191164823E-2</v>
      </c>
      <c r="Z1217" s="117">
        <f>P1217-W1217</f>
        <v>20223.900000000001</v>
      </c>
      <c r="AA1217" s="119">
        <f>Z1217/P1217</f>
        <v>0.87042919119925632</v>
      </c>
      <c r="AB1217" s="120">
        <f t="shared" si="727"/>
        <v>3959.8200000000006</v>
      </c>
      <c r="AC1217" s="119">
        <f>IFERROR(AA1217-O1217,"")</f>
        <v>0.17042919119925626</v>
      </c>
      <c r="AD1217" s="110"/>
      <c r="AE1217" s="110"/>
      <c r="AF1217" s="110"/>
      <c r="AG1217" s="121"/>
      <c r="AH1217" s="110"/>
    </row>
    <row r="1218" spans="1:34" s="216" customFormat="1" ht="11.25" customHeight="1" x14ac:dyDescent="0.15">
      <c r="A1218" s="53" t="s">
        <v>322</v>
      </c>
      <c r="B1218" s="53"/>
      <c r="C1218" s="54" t="s">
        <v>177</v>
      </c>
      <c r="D1218" s="54">
        <v>2023</v>
      </c>
      <c r="E1218" s="70">
        <v>45199</v>
      </c>
      <c r="F1218" s="54"/>
      <c r="G1218" s="54"/>
      <c r="H1218" s="54"/>
      <c r="I1218" s="54"/>
      <c r="J1218" s="54"/>
      <c r="K1218" s="106"/>
      <c r="L1218" s="24">
        <f>SUM(L1216:L1217)</f>
        <v>41821.919999999998</v>
      </c>
      <c r="M1218" s="24">
        <f>SUM(M1216:M1217)</f>
        <v>12546.576000000001</v>
      </c>
      <c r="N1218" s="24">
        <f>SUM(N1216:N1217)</f>
        <v>29275.344000000001</v>
      </c>
      <c r="O1218" s="57">
        <f>IFERROR(N1218/L1218,"")</f>
        <v>0.70000000000000007</v>
      </c>
      <c r="P1218" s="24">
        <f>SUM(P1216:P1217)</f>
        <v>41821.919999999998</v>
      </c>
      <c r="Q1218" s="24"/>
      <c r="R1218" s="24">
        <f>SUM(R1216:R1217)</f>
        <v>42.5</v>
      </c>
      <c r="S1218" s="24">
        <f t="shared" ref="S1218:W1218" si="728">SUM(S1216:S1217)</f>
        <v>1907.4</v>
      </c>
      <c r="T1218" s="24">
        <f t="shared" si="728"/>
        <v>3134.8500000000004</v>
      </c>
      <c r="U1218" s="24">
        <f t="shared" si="728"/>
        <v>1592.3899999999999</v>
      </c>
      <c r="V1218" s="24">
        <f t="shared" si="728"/>
        <v>0</v>
      </c>
      <c r="W1218" s="24">
        <f t="shared" si="728"/>
        <v>6634.64</v>
      </c>
      <c r="X1218" s="56">
        <f>IFERROR(S1218/R1218,"")</f>
        <v>44.88</v>
      </c>
      <c r="Y1218" s="57">
        <f>IFERROR(U1218/P1218,0)</f>
        <v>3.8075487686839819E-2</v>
      </c>
      <c r="Z1218" s="28">
        <f>P1218-W1218</f>
        <v>35187.279999999999</v>
      </c>
      <c r="AA1218" s="57">
        <f>Z1218/P1218</f>
        <v>0.84135974627659371</v>
      </c>
      <c r="AB1218" s="120">
        <f t="shared" si="727"/>
        <v>5911.9360000000006</v>
      </c>
      <c r="AC1218" s="119">
        <f>IFERROR(AA1218-O1218,"")</f>
        <v>0.14135974627659365</v>
      </c>
      <c r="AD1218" s="53"/>
      <c r="AE1218" s="53"/>
      <c r="AF1218" s="53"/>
      <c r="AG1218" s="61"/>
      <c r="AH1218" s="53"/>
    </row>
    <row r="1219" spans="1:34" ht="11.25" customHeight="1" x14ac:dyDescent="0.15">
      <c r="A1219" s="130"/>
      <c r="B1219" s="130"/>
      <c r="C1219" s="124"/>
      <c r="D1219" s="124"/>
      <c r="E1219" s="273"/>
      <c r="F1219" s="124"/>
      <c r="G1219" s="124"/>
      <c r="H1219" s="124"/>
      <c r="I1219" s="124"/>
      <c r="J1219" s="124"/>
      <c r="K1219" s="125"/>
      <c r="L1219" s="129"/>
      <c r="M1219" s="129"/>
      <c r="N1219" s="129"/>
      <c r="O1219" s="128"/>
      <c r="P1219" s="129"/>
      <c r="Q1219" s="124"/>
      <c r="R1219" s="129"/>
      <c r="S1219" s="129"/>
      <c r="T1219" s="129"/>
      <c r="U1219" s="129"/>
      <c r="V1219" s="126"/>
      <c r="W1219" s="49"/>
      <c r="X1219" s="45"/>
      <c r="Y1219" s="128"/>
      <c r="Z1219" s="126"/>
      <c r="AA1219" s="128"/>
      <c r="AB1219" s="129"/>
      <c r="AC1219" s="160"/>
      <c r="AD1219" s="137"/>
      <c r="AE1219" s="110"/>
      <c r="AF1219" s="110"/>
      <c r="AG1219" s="121"/>
      <c r="AH1219" s="110"/>
    </row>
    <row r="1220" spans="1:34" ht="11.25" customHeight="1" x14ac:dyDescent="0.15">
      <c r="A1220" s="110" t="s">
        <v>324</v>
      </c>
      <c r="B1220" s="110"/>
      <c r="C1220" s="111" t="s">
        <v>201</v>
      </c>
      <c r="D1220" s="111">
        <v>2023</v>
      </c>
      <c r="E1220" s="146">
        <v>45199</v>
      </c>
      <c r="F1220" s="111"/>
      <c r="G1220" s="111" t="s">
        <v>202</v>
      </c>
      <c r="H1220" s="111"/>
      <c r="I1220" s="111"/>
      <c r="J1220" s="111"/>
      <c r="K1220" s="112" t="s">
        <v>621</v>
      </c>
      <c r="L1220" s="120">
        <v>0</v>
      </c>
      <c r="M1220" s="120">
        <v>0</v>
      </c>
      <c r="N1220" s="120">
        <v>0</v>
      </c>
      <c r="O1220" s="119"/>
      <c r="P1220" s="117">
        <v>0</v>
      </c>
      <c r="Q1220" s="111">
        <v>778</v>
      </c>
      <c r="R1220" s="117"/>
      <c r="S1220" s="117"/>
      <c r="T1220" s="117"/>
      <c r="U1220" s="117">
        <v>962.5</v>
      </c>
      <c r="V1220" s="117"/>
      <c r="W1220" s="26">
        <f>SUM(S1220:V1220)</f>
        <v>962.5</v>
      </c>
      <c r="X1220" s="118" t="str">
        <f>IFERROR(S1220/R1220,"")</f>
        <v/>
      </c>
      <c r="Y1220" s="119" t="str">
        <f>IFERROR(U1220/P1220,"")</f>
        <v/>
      </c>
      <c r="Z1220" s="117">
        <f>P1220-W1220</f>
        <v>-962.5</v>
      </c>
      <c r="AA1220" s="119" t="str">
        <f>IFERROR(Z1220/P1220,"")</f>
        <v/>
      </c>
      <c r="AB1220" s="120">
        <f t="shared" ref="AB1220:AB1221" si="729">M1220-W1220</f>
        <v>-962.5</v>
      </c>
      <c r="AC1220" s="119" t="str">
        <f t="shared" ref="AC1220:AC1221" si="730">IFERROR(AA1220-O1220,"")</f>
        <v/>
      </c>
      <c r="AD1220" s="110" t="s">
        <v>622</v>
      </c>
      <c r="AE1220" s="110"/>
      <c r="AF1220" s="110"/>
      <c r="AG1220" s="121"/>
      <c r="AH1220" s="110"/>
    </row>
    <row r="1221" spans="1:34" s="216" customFormat="1" ht="11.25" customHeight="1" x14ac:dyDescent="0.15">
      <c r="A1221" s="53" t="s">
        <v>324</v>
      </c>
      <c r="B1221" s="53"/>
      <c r="C1221" s="54" t="s">
        <v>177</v>
      </c>
      <c r="D1221" s="54">
        <v>2023</v>
      </c>
      <c r="E1221" s="70">
        <v>45199</v>
      </c>
      <c r="F1221" s="54"/>
      <c r="G1221" s="54"/>
      <c r="H1221" s="54"/>
      <c r="I1221" s="54"/>
      <c r="J1221" s="54"/>
      <c r="K1221" s="106"/>
      <c r="L1221" s="24">
        <f>SUM(L1220)</f>
        <v>0</v>
      </c>
      <c r="M1221" s="24">
        <f t="shared" ref="M1221:N1221" si="731">SUM(M1220)</f>
        <v>0</v>
      </c>
      <c r="N1221" s="24">
        <f t="shared" si="731"/>
        <v>0</v>
      </c>
      <c r="O1221" s="57"/>
      <c r="P1221" s="24">
        <f>SUM(P1220)</f>
        <v>0</v>
      </c>
      <c r="Q1221" s="24"/>
      <c r="R1221" s="24">
        <f t="shared" ref="R1221:W1221" si="732">SUM(R1220)</f>
        <v>0</v>
      </c>
      <c r="S1221" s="24">
        <f t="shared" si="732"/>
        <v>0</v>
      </c>
      <c r="T1221" s="24">
        <f t="shared" si="732"/>
        <v>0</v>
      </c>
      <c r="U1221" s="24">
        <f t="shared" si="732"/>
        <v>962.5</v>
      </c>
      <c r="V1221" s="24">
        <f t="shared" si="732"/>
        <v>0</v>
      </c>
      <c r="W1221" s="24">
        <f t="shared" si="732"/>
        <v>962.5</v>
      </c>
      <c r="X1221" s="56" t="str">
        <f>IFERROR(S1221/R1221,"")</f>
        <v/>
      </c>
      <c r="Y1221" s="57">
        <f>IFERROR(U1221/P1221,0)</f>
        <v>0</v>
      </c>
      <c r="Z1221" s="28">
        <f>P1221-W1221</f>
        <v>-962.5</v>
      </c>
      <c r="AA1221" s="119" t="str">
        <f>IFERROR(Z1221/P1221,"")</f>
        <v/>
      </c>
      <c r="AB1221" s="120">
        <f t="shared" si="729"/>
        <v>-962.5</v>
      </c>
      <c r="AC1221" s="119" t="str">
        <f t="shared" si="730"/>
        <v/>
      </c>
      <c r="AD1221" s="53"/>
      <c r="AE1221" s="53"/>
      <c r="AF1221" s="53"/>
      <c r="AG1221" s="61"/>
      <c r="AH1221" s="53"/>
    </row>
    <row r="1222" spans="1:34" ht="11.25" customHeight="1" x14ac:dyDescent="0.15">
      <c r="A1222" s="130"/>
      <c r="B1222" s="130"/>
      <c r="C1222" s="124"/>
      <c r="D1222" s="124"/>
      <c r="E1222" s="273"/>
      <c r="F1222" s="124"/>
      <c r="G1222" s="124"/>
      <c r="H1222" s="124"/>
      <c r="I1222" s="124"/>
      <c r="J1222" s="124"/>
      <c r="K1222" s="125"/>
      <c r="L1222" s="129"/>
      <c r="M1222" s="129"/>
      <c r="N1222" s="129"/>
      <c r="O1222" s="128"/>
      <c r="P1222" s="129"/>
      <c r="Q1222" s="124"/>
      <c r="R1222" s="129"/>
      <c r="S1222" s="129"/>
      <c r="T1222" s="129"/>
      <c r="U1222" s="129"/>
      <c r="V1222" s="126"/>
      <c r="W1222" s="49"/>
      <c r="X1222" s="45"/>
      <c r="Y1222" s="128"/>
      <c r="Z1222" s="126"/>
      <c r="AA1222" s="128"/>
      <c r="AB1222" s="129"/>
      <c r="AC1222" s="160"/>
      <c r="AD1222" s="137"/>
      <c r="AE1222" s="110"/>
      <c r="AF1222" s="110"/>
      <c r="AG1222" s="121"/>
      <c r="AH1222" s="110"/>
    </row>
    <row r="1223" spans="1:34" ht="11.25" customHeight="1" x14ac:dyDescent="0.15">
      <c r="A1223" s="110" t="s">
        <v>322</v>
      </c>
      <c r="B1223" s="110"/>
      <c r="C1223" s="111" t="s">
        <v>201</v>
      </c>
      <c r="D1223" s="111">
        <v>2023</v>
      </c>
      <c r="E1223" s="146">
        <v>45199</v>
      </c>
      <c r="F1223" s="111"/>
      <c r="G1223" s="111" t="s">
        <v>202</v>
      </c>
      <c r="H1223" s="111"/>
      <c r="I1223" s="111"/>
      <c r="J1223" s="111"/>
      <c r="K1223" s="112" t="s">
        <v>621</v>
      </c>
      <c r="L1223" s="120">
        <v>0</v>
      </c>
      <c r="M1223" s="120">
        <v>0</v>
      </c>
      <c r="N1223" s="120">
        <v>0</v>
      </c>
      <c r="O1223" s="119"/>
      <c r="P1223" s="117">
        <v>0</v>
      </c>
      <c r="Q1223" s="111">
        <v>777</v>
      </c>
      <c r="R1223" s="117"/>
      <c r="S1223" s="117"/>
      <c r="T1223" s="117"/>
      <c r="U1223" s="117">
        <v>1210.5</v>
      </c>
      <c r="V1223" s="117"/>
      <c r="W1223" s="26">
        <f>SUM(S1223:V1223)</f>
        <v>1210.5</v>
      </c>
      <c r="X1223" s="118" t="str">
        <f>IFERROR(S1223/R1223,"")</f>
        <v/>
      </c>
      <c r="Y1223" s="119" t="str">
        <f>IFERROR(U1223/P1223,"")</f>
        <v/>
      </c>
      <c r="Z1223" s="117">
        <f>P1223-W1223</f>
        <v>-1210.5</v>
      </c>
      <c r="AA1223" s="119" t="str">
        <f>IFERROR(Z1223/P1223,"")</f>
        <v/>
      </c>
      <c r="AB1223" s="120">
        <f t="shared" ref="AB1223:AB1224" si="733">M1223-W1223</f>
        <v>-1210.5</v>
      </c>
      <c r="AC1223" s="119" t="str">
        <f t="shared" ref="AC1223:AC1224" si="734">IFERROR(AA1223-O1223,"")</f>
        <v/>
      </c>
      <c r="AD1223" s="110" t="s">
        <v>622</v>
      </c>
      <c r="AE1223" s="110"/>
      <c r="AF1223" s="110"/>
      <c r="AG1223" s="121"/>
      <c r="AH1223" s="110"/>
    </row>
    <row r="1224" spans="1:34" s="216" customFormat="1" ht="11.25" customHeight="1" x14ac:dyDescent="0.15">
      <c r="A1224" s="53" t="s">
        <v>322</v>
      </c>
      <c r="B1224" s="53"/>
      <c r="C1224" s="54" t="s">
        <v>177</v>
      </c>
      <c r="D1224" s="54">
        <v>2023</v>
      </c>
      <c r="E1224" s="70">
        <v>45199</v>
      </c>
      <c r="F1224" s="54"/>
      <c r="G1224" s="54"/>
      <c r="H1224" s="54"/>
      <c r="I1224" s="54"/>
      <c r="J1224" s="54"/>
      <c r="K1224" s="106"/>
      <c r="L1224" s="24">
        <f>SUM(L1223)</f>
        <v>0</v>
      </c>
      <c r="M1224" s="24">
        <f t="shared" ref="M1224" si="735">SUM(M1223)</f>
        <v>0</v>
      </c>
      <c r="N1224" s="24">
        <f t="shared" ref="N1224" si="736">SUM(N1223)</f>
        <v>0</v>
      </c>
      <c r="O1224" s="57"/>
      <c r="P1224" s="24">
        <f>SUM(P1223)</f>
        <v>0</v>
      </c>
      <c r="Q1224" s="24"/>
      <c r="R1224" s="24">
        <f>SUM(R1223)</f>
        <v>0</v>
      </c>
      <c r="S1224" s="24">
        <f t="shared" ref="S1224:W1224" si="737">SUM(S1223)</f>
        <v>0</v>
      </c>
      <c r="T1224" s="24">
        <f t="shared" si="737"/>
        <v>0</v>
      </c>
      <c r="U1224" s="24">
        <f t="shared" si="737"/>
        <v>1210.5</v>
      </c>
      <c r="V1224" s="24">
        <f t="shared" si="737"/>
        <v>0</v>
      </c>
      <c r="W1224" s="24">
        <f t="shared" si="737"/>
        <v>1210.5</v>
      </c>
      <c r="X1224" s="56" t="str">
        <f>IFERROR(S1224/R1224,"")</f>
        <v/>
      </c>
      <c r="Y1224" s="57">
        <f>IFERROR(U1224/P1224,0)</f>
        <v>0</v>
      </c>
      <c r="Z1224" s="28">
        <f>P1224-W1224</f>
        <v>-1210.5</v>
      </c>
      <c r="AA1224" s="119" t="str">
        <f>IFERROR(Z1224/P1224,"")</f>
        <v/>
      </c>
      <c r="AB1224" s="120">
        <f t="shared" si="733"/>
        <v>-1210.5</v>
      </c>
      <c r="AC1224" s="119" t="str">
        <f t="shared" si="734"/>
        <v/>
      </c>
      <c r="AD1224" s="53"/>
      <c r="AE1224" s="53"/>
      <c r="AF1224" s="53"/>
      <c r="AG1224" s="61"/>
      <c r="AH1224" s="53"/>
    </row>
    <row r="1225" spans="1:34" ht="11.25" customHeight="1" x14ac:dyDescent="0.15">
      <c r="A1225" s="130"/>
      <c r="B1225" s="130"/>
      <c r="C1225" s="124"/>
      <c r="D1225" s="124"/>
      <c r="E1225" s="273"/>
      <c r="F1225" s="124"/>
      <c r="G1225" s="124"/>
      <c r="H1225" s="124"/>
      <c r="I1225" s="124"/>
      <c r="J1225" s="124"/>
      <c r="K1225" s="125"/>
      <c r="L1225" s="129"/>
      <c r="M1225" s="129"/>
      <c r="N1225" s="129"/>
      <c r="O1225" s="128"/>
      <c r="P1225" s="129"/>
      <c r="Q1225" s="124"/>
      <c r="R1225" s="129"/>
      <c r="S1225" s="129"/>
      <c r="T1225" s="129"/>
      <c r="U1225" s="129"/>
      <c r="V1225" s="126"/>
      <c r="W1225" s="49"/>
      <c r="X1225" s="45"/>
      <c r="Y1225" s="128"/>
      <c r="Z1225" s="126"/>
      <c r="AA1225" s="128"/>
      <c r="AB1225" s="129"/>
      <c r="AC1225" s="160"/>
      <c r="AD1225" s="137"/>
      <c r="AE1225" s="110"/>
      <c r="AF1225" s="110"/>
      <c r="AG1225" s="121"/>
      <c r="AH1225" s="110"/>
    </row>
    <row r="1226" spans="1:34" ht="11.25" customHeight="1" x14ac:dyDescent="0.15">
      <c r="A1226" s="110" t="s">
        <v>137</v>
      </c>
      <c r="B1226" s="110"/>
      <c r="C1226" s="111" t="s">
        <v>175</v>
      </c>
      <c r="D1226" s="111">
        <v>2023</v>
      </c>
      <c r="E1226" s="146">
        <v>45199</v>
      </c>
      <c r="F1226" s="111"/>
      <c r="G1226" s="111">
        <v>81110110</v>
      </c>
      <c r="H1226" s="111">
        <v>4101</v>
      </c>
      <c r="I1226" s="111" t="str">
        <f>MID(G1226,2,1)</f>
        <v>1</v>
      </c>
      <c r="J1226" s="111" t="str">
        <f>IF(I1226="1","Small/Medium","Large")</f>
        <v>Small/Medium</v>
      </c>
      <c r="K1226" s="112" t="s">
        <v>145</v>
      </c>
      <c r="L1226" s="120">
        <v>19685</v>
      </c>
      <c r="M1226" s="120">
        <f>L1226*0.3</f>
        <v>5905.5</v>
      </c>
      <c r="N1226" s="120">
        <f>L1226-M1226</f>
        <v>13779.5</v>
      </c>
      <c r="O1226" s="119">
        <f>IFERROR(N1226/L1226,"")</f>
        <v>0.7</v>
      </c>
      <c r="P1226" s="120">
        <v>19685</v>
      </c>
      <c r="Q1226" s="111">
        <v>2144</v>
      </c>
      <c r="R1226" s="117">
        <v>70.5</v>
      </c>
      <c r="S1226" s="117">
        <v>3164.04</v>
      </c>
      <c r="T1226" s="117">
        <v>3227.93</v>
      </c>
      <c r="U1226" s="117">
        <v>907.91</v>
      </c>
      <c r="V1226" s="117"/>
      <c r="W1226" s="26">
        <f>SUM(S1226:V1226)</f>
        <v>7299.8799999999992</v>
      </c>
      <c r="X1226" s="118">
        <f>IFERROR(S1226/R1226,"")</f>
        <v>44.88</v>
      </c>
      <c r="Y1226" s="119">
        <f>U1226/P1226</f>
        <v>4.6121920243840486E-2</v>
      </c>
      <c r="Z1226" s="117">
        <f>P1226-W1226</f>
        <v>12385.12</v>
      </c>
      <c r="AA1226" s="119">
        <f>Z1226/P1226</f>
        <v>0.62916535433070875</v>
      </c>
      <c r="AB1226" s="120">
        <f t="shared" ref="AB1226:AB1228" si="738">M1226-W1226</f>
        <v>-1394.3799999999992</v>
      </c>
      <c r="AC1226" s="119">
        <f t="shared" ref="AC1226:AC1228" si="739">IFERROR(AA1226-O1226,"")</f>
        <v>-7.0834645669291207E-2</v>
      </c>
      <c r="AD1226" s="110" t="s">
        <v>623</v>
      </c>
      <c r="AE1226" s="110"/>
      <c r="AF1226" s="110"/>
      <c r="AG1226" s="121"/>
      <c r="AH1226" s="110"/>
    </row>
    <row r="1227" spans="1:34" ht="11.25" customHeight="1" x14ac:dyDescent="0.15">
      <c r="A1227" s="110" t="s">
        <v>137</v>
      </c>
      <c r="B1227" s="110"/>
      <c r="C1227" s="111" t="s">
        <v>175</v>
      </c>
      <c r="D1227" s="111">
        <v>2023</v>
      </c>
      <c r="E1227" s="146">
        <v>45199</v>
      </c>
      <c r="F1227" s="111"/>
      <c r="G1227" s="111">
        <v>82110110</v>
      </c>
      <c r="H1227" s="111">
        <v>4101</v>
      </c>
      <c r="I1227" s="111" t="str">
        <f>MID(G1227,2,1)</f>
        <v>2</v>
      </c>
      <c r="J1227" s="111" t="str">
        <f>IF(I1227="1","Small/Medium","Large")</f>
        <v>Large</v>
      </c>
      <c r="K1227" s="112" t="s">
        <v>176</v>
      </c>
      <c r="L1227" s="120">
        <v>20320.62</v>
      </c>
      <c r="M1227" s="120">
        <f>L1227*0.3</f>
        <v>6096.1859999999997</v>
      </c>
      <c r="N1227" s="120">
        <f>L1227-M1227</f>
        <v>14224.433999999999</v>
      </c>
      <c r="O1227" s="119">
        <f>IFERROR(N1227/L1227,"")</f>
        <v>0.7</v>
      </c>
      <c r="P1227" s="120">
        <v>20320.62</v>
      </c>
      <c r="Q1227" s="111">
        <v>1870</v>
      </c>
      <c r="R1227" s="117">
        <v>17</v>
      </c>
      <c r="S1227" s="117">
        <v>762.96</v>
      </c>
      <c r="T1227" s="117">
        <v>1738.12</v>
      </c>
      <c r="U1227" s="117">
        <v>488.87</v>
      </c>
      <c r="V1227" s="117"/>
      <c r="W1227" s="26">
        <f>SUM(S1227:V1227)</f>
        <v>2989.95</v>
      </c>
      <c r="X1227" s="118">
        <f>IFERROR(S1227/R1227,"")</f>
        <v>44.88</v>
      </c>
      <c r="Y1227" s="119">
        <f>U1227/P1227</f>
        <v>2.40578289441956E-2</v>
      </c>
      <c r="Z1227" s="117">
        <f>P1227-W1227</f>
        <v>17330.669999999998</v>
      </c>
      <c r="AA1227" s="119">
        <f>Z1227/P1227</f>
        <v>0.85286128080737689</v>
      </c>
      <c r="AB1227" s="120">
        <f t="shared" si="738"/>
        <v>3106.2359999999999</v>
      </c>
      <c r="AC1227" s="119">
        <f t="shared" si="739"/>
        <v>0.15286128080737693</v>
      </c>
      <c r="AD1227" s="110" t="s">
        <v>623</v>
      </c>
      <c r="AE1227" s="110"/>
      <c r="AF1227" s="110"/>
      <c r="AG1227" s="121"/>
      <c r="AH1227" s="110"/>
    </row>
    <row r="1228" spans="1:34" s="216" customFormat="1" ht="11.25" customHeight="1" x14ac:dyDescent="0.15">
      <c r="A1228" s="53" t="s">
        <v>137</v>
      </c>
      <c r="B1228" s="53"/>
      <c r="C1228" s="54" t="s">
        <v>177</v>
      </c>
      <c r="D1228" s="54">
        <v>2023</v>
      </c>
      <c r="E1228" s="70">
        <v>45199</v>
      </c>
      <c r="F1228" s="54"/>
      <c r="G1228" s="54"/>
      <c r="H1228" s="54"/>
      <c r="I1228" s="54"/>
      <c r="J1228" s="54"/>
      <c r="K1228" s="106"/>
      <c r="L1228" s="24">
        <v>40005.619999999995</v>
      </c>
      <c r="M1228" s="24">
        <f>SUM(M1226:M1227)</f>
        <v>12001.686</v>
      </c>
      <c r="N1228" s="24">
        <f>SUM(N1226:N1227)</f>
        <v>28003.934000000001</v>
      </c>
      <c r="O1228" s="57">
        <f>IFERROR(N1228/L1228,"")</f>
        <v>0.70000000000000007</v>
      </c>
      <c r="P1228" s="24">
        <v>40005.619999999995</v>
      </c>
      <c r="Q1228" s="24"/>
      <c r="R1228" s="24">
        <f>SUM(R1226:R1227)</f>
        <v>87.5</v>
      </c>
      <c r="S1228" s="24">
        <f t="shared" ref="S1228:W1228" si="740">SUM(S1226:S1227)</f>
        <v>3927</v>
      </c>
      <c r="T1228" s="24">
        <f t="shared" si="740"/>
        <v>4966.0499999999993</v>
      </c>
      <c r="U1228" s="24">
        <f t="shared" si="740"/>
        <v>1396.78</v>
      </c>
      <c r="V1228" s="24">
        <f t="shared" si="740"/>
        <v>0</v>
      </c>
      <c r="W1228" s="24">
        <f t="shared" si="740"/>
        <v>10289.829999999998</v>
      </c>
      <c r="X1228" s="56">
        <f>IFERROR(S1228/R1228,"")</f>
        <v>44.88</v>
      </c>
      <c r="Y1228" s="57">
        <f>IFERROR(U1228/P1228,0)</f>
        <v>3.4914594499472824E-2</v>
      </c>
      <c r="Z1228" s="28">
        <f>P1228-W1228</f>
        <v>29715.789999999997</v>
      </c>
      <c r="AA1228" s="57">
        <f>Z1228/P1228</f>
        <v>0.74279038795049301</v>
      </c>
      <c r="AB1228" s="120">
        <f t="shared" si="738"/>
        <v>1711.8560000000016</v>
      </c>
      <c r="AC1228" s="119">
        <f t="shared" si="739"/>
        <v>4.2790387950492947E-2</v>
      </c>
      <c r="AD1228" s="53"/>
      <c r="AE1228" s="53"/>
      <c r="AF1228" s="53"/>
      <c r="AG1228" s="61"/>
      <c r="AH1228" s="53"/>
    </row>
    <row r="1229" spans="1:34" ht="11.25" customHeight="1" x14ac:dyDescent="0.15">
      <c r="A1229" s="130"/>
      <c r="B1229" s="130"/>
      <c r="C1229" s="124"/>
      <c r="D1229" s="124"/>
      <c r="E1229" s="273"/>
      <c r="F1229" s="124"/>
      <c r="G1229" s="124"/>
      <c r="H1229" s="124"/>
      <c r="I1229" s="124"/>
      <c r="J1229" s="124"/>
      <c r="K1229" s="125"/>
      <c r="L1229" s="129"/>
      <c r="M1229" s="129"/>
      <c r="N1229" s="129"/>
      <c r="O1229" s="128"/>
      <c r="P1229" s="129"/>
      <c r="Q1229" s="124"/>
      <c r="R1229" s="129"/>
      <c r="S1229" s="129"/>
      <c r="T1229" s="129"/>
      <c r="U1229" s="129"/>
      <c r="V1229" s="126"/>
      <c r="W1229" s="49"/>
      <c r="X1229" s="45"/>
      <c r="Y1229" s="128"/>
      <c r="Z1229" s="126"/>
      <c r="AA1229" s="128"/>
      <c r="AB1229" s="129"/>
      <c r="AC1229" s="160"/>
      <c r="AD1229" s="137"/>
      <c r="AE1229" s="110"/>
      <c r="AF1229" s="110"/>
      <c r="AG1229" s="121"/>
      <c r="AH1229" s="110"/>
    </row>
    <row r="1230" spans="1:34" ht="11.25" customHeight="1" x14ac:dyDescent="0.15">
      <c r="A1230" s="110" t="s">
        <v>365</v>
      </c>
      <c r="B1230" s="110"/>
      <c r="C1230" s="111" t="s">
        <v>175</v>
      </c>
      <c r="D1230" s="111">
        <v>2023</v>
      </c>
      <c r="E1230" s="146">
        <v>45199</v>
      </c>
      <c r="F1230" s="111"/>
      <c r="G1230" s="111">
        <v>81100011</v>
      </c>
      <c r="H1230" s="111">
        <v>4101</v>
      </c>
      <c r="I1230" s="111" t="str">
        <f>MID(G1230,2,1)</f>
        <v>1</v>
      </c>
      <c r="J1230" s="111" t="str">
        <f>IF(I1230="1","Small/Medium","Large")</f>
        <v>Small/Medium</v>
      </c>
      <c r="K1230" s="112" t="s">
        <v>145</v>
      </c>
      <c r="L1230" s="120">
        <v>18265</v>
      </c>
      <c r="M1230" s="120">
        <f>L1230*0.3</f>
        <v>5479.5</v>
      </c>
      <c r="N1230" s="120">
        <f>L1230-M1230</f>
        <v>12785.5</v>
      </c>
      <c r="O1230" s="119">
        <f>IFERROR(N1230/L1230,"")</f>
        <v>0.7</v>
      </c>
      <c r="P1230" s="120">
        <f>L1230</f>
        <v>18265</v>
      </c>
      <c r="Q1230" s="111">
        <v>2230</v>
      </c>
      <c r="R1230" s="117">
        <v>24</v>
      </c>
      <c r="S1230" s="117">
        <v>1077.1199999999999</v>
      </c>
      <c r="T1230" s="117">
        <v>1033.3599999999999</v>
      </c>
      <c r="U1230" s="117">
        <v>267.75</v>
      </c>
      <c r="V1230" s="117"/>
      <c r="W1230" s="26">
        <f>SUM(S1230:V1230)</f>
        <v>2378.2299999999996</v>
      </c>
      <c r="X1230" s="118">
        <f>IFERROR(S1230/R1230,"")</f>
        <v>44.879999999999995</v>
      </c>
      <c r="Y1230" s="119">
        <f>U1230/P1230</f>
        <v>1.4659184232137969E-2</v>
      </c>
      <c r="Z1230" s="117">
        <f>P1230-W1230</f>
        <v>15886.77</v>
      </c>
      <c r="AA1230" s="119">
        <f>Z1230/P1230</f>
        <v>0.86979304681084046</v>
      </c>
      <c r="AB1230" s="120">
        <f t="shared" ref="AB1230:AB1232" si="741">M1230-W1230</f>
        <v>3101.2700000000004</v>
      </c>
      <c r="AC1230" s="119">
        <f t="shared" ref="AC1230:AC1232" si="742">IFERROR(AA1230-O1230,"")</f>
        <v>0.16979304681084051</v>
      </c>
      <c r="AD1230" s="110"/>
      <c r="AE1230" s="110"/>
      <c r="AF1230" s="110"/>
      <c r="AG1230" s="121"/>
      <c r="AH1230" s="110"/>
    </row>
    <row r="1231" spans="1:34" ht="11.25" customHeight="1" x14ac:dyDescent="0.15">
      <c r="A1231" s="110" t="s">
        <v>365</v>
      </c>
      <c r="B1231" s="110"/>
      <c r="C1231" s="111" t="s">
        <v>175</v>
      </c>
      <c r="D1231" s="111">
        <v>2023</v>
      </c>
      <c r="E1231" s="146">
        <v>45199</v>
      </c>
      <c r="F1231" s="111"/>
      <c r="G1231" s="111">
        <v>82100011</v>
      </c>
      <c r="H1231" s="111">
        <v>4101</v>
      </c>
      <c r="I1231" s="111" t="str">
        <f>MID(G1231,2,1)</f>
        <v>2</v>
      </c>
      <c r="J1231" s="111" t="str">
        <f>IF(I1231="1","Small/Medium","Large")</f>
        <v>Large</v>
      </c>
      <c r="K1231" s="112" t="s">
        <v>176</v>
      </c>
      <c r="L1231" s="120">
        <v>12730</v>
      </c>
      <c r="M1231" s="120">
        <f>L1231*0.3</f>
        <v>3819</v>
      </c>
      <c r="N1231" s="120">
        <f>L1231-M1231</f>
        <v>8911</v>
      </c>
      <c r="O1231" s="119">
        <f>IFERROR(N1231/L1231,"")</f>
        <v>0.7</v>
      </c>
      <c r="P1231" s="120">
        <f>L1231</f>
        <v>12730</v>
      </c>
      <c r="Q1231" s="111">
        <v>2231</v>
      </c>
      <c r="R1231" s="117">
        <v>14.5</v>
      </c>
      <c r="S1231" s="117">
        <v>650.76</v>
      </c>
      <c r="T1231" s="117">
        <v>624.32000000000005</v>
      </c>
      <c r="U1231" s="117">
        <v>212.6</v>
      </c>
      <c r="V1231" s="117"/>
      <c r="W1231" s="26">
        <f>SUM(S1231:V1231)</f>
        <v>1487.6799999999998</v>
      </c>
      <c r="X1231" s="118">
        <f>IFERROR(S1231/R1231,"")</f>
        <v>44.88</v>
      </c>
      <c r="Y1231" s="119">
        <f>U1231/P1231</f>
        <v>1.6700706991358994E-2</v>
      </c>
      <c r="Z1231" s="117">
        <f>P1231-W1231</f>
        <v>11242.32</v>
      </c>
      <c r="AA1231" s="119">
        <f>Z1231/P1231</f>
        <v>0.88313589945011783</v>
      </c>
      <c r="AB1231" s="120">
        <f t="shared" si="741"/>
        <v>2331.3200000000002</v>
      </c>
      <c r="AC1231" s="119">
        <f t="shared" si="742"/>
        <v>0.18313589945011788</v>
      </c>
      <c r="AD1231" s="110" t="s">
        <v>624</v>
      </c>
      <c r="AE1231" s="110"/>
      <c r="AF1231" s="110"/>
      <c r="AG1231" s="121"/>
      <c r="AH1231" s="110"/>
    </row>
    <row r="1232" spans="1:34" s="216" customFormat="1" ht="11.25" customHeight="1" x14ac:dyDescent="0.15">
      <c r="A1232" s="53" t="s">
        <v>365</v>
      </c>
      <c r="B1232" s="53"/>
      <c r="C1232" s="54" t="s">
        <v>177</v>
      </c>
      <c r="D1232" s="54">
        <v>2023</v>
      </c>
      <c r="E1232" s="70">
        <v>45199</v>
      </c>
      <c r="F1232" s="54"/>
      <c r="G1232" s="54"/>
      <c r="H1232" s="54"/>
      <c r="I1232" s="54"/>
      <c r="J1232" s="54"/>
      <c r="K1232" s="106"/>
      <c r="L1232" s="24">
        <f>SUM(L1230:L1231)</f>
        <v>30995</v>
      </c>
      <c r="M1232" s="24">
        <f>SUM(M1230:M1231)</f>
        <v>9298.5</v>
      </c>
      <c r="N1232" s="24">
        <f>SUM(N1230:N1231)</f>
        <v>21696.5</v>
      </c>
      <c r="O1232" s="57">
        <f>IFERROR(N1232/L1232,"")</f>
        <v>0.7</v>
      </c>
      <c r="P1232" s="24">
        <f>SUM(P1230:P1231)</f>
        <v>30995</v>
      </c>
      <c r="Q1232" s="24"/>
      <c r="R1232" s="117">
        <f>SUM(R1230:R1231)</f>
        <v>38.5</v>
      </c>
      <c r="S1232" s="117">
        <f t="shared" ref="S1232:W1232" si="743">SUM(S1230:S1231)</f>
        <v>1727.8799999999999</v>
      </c>
      <c r="T1232" s="117">
        <f t="shared" si="743"/>
        <v>1657.6799999999998</v>
      </c>
      <c r="U1232" s="117">
        <f t="shared" si="743"/>
        <v>480.35</v>
      </c>
      <c r="V1232" s="117">
        <f t="shared" si="743"/>
        <v>0</v>
      </c>
      <c r="W1232" s="26">
        <f t="shared" si="743"/>
        <v>3865.9099999999994</v>
      </c>
      <c r="X1232" s="56">
        <f>IFERROR(S1232/R1232,"")</f>
        <v>44.879999999999995</v>
      </c>
      <c r="Y1232" s="57">
        <f>IFERROR(U1232/P1232,0)</f>
        <v>1.5497660913050493E-2</v>
      </c>
      <c r="Z1232" s="28">
        <f>P1232-W1232</f>
        <v>27129.09</v>
      </c>
      <c r="AA1232" s="57">
        <f>Z1232/P1232</f>
        <v>0.87527310856589768</v>
      </c>
      <c r="AB1232" s="120">
        <f t="shared" si="741"/>
        <v>5432.59</v>
      </c>
      <c r="AC1232" s="119">
        <f t="shared" si="742"/>
        <v>0.17527310856589773</v>
      </c>
      <c r="AD1232" s="53"/>
      <c r="AE1232" s="53"/>
      <c r="AF1232" s="53"/>
      <c r="AG1232" s="61"/>
      <c r="AH1232" s="53"/>
    </row>
    <row r="1233" spans="1:34" ht="11.25" customHeight="1" x14ac:dyDescent="0.15">
      <c r="A1233" s="130"/>
      <c r="B1233" s="130"/>
      <c r="C1233" s="124"/>
      <c r="D1233" s="124"/>
      <c r="E1233" s="273"/>
      <c r="F1233" s="124"/>
      <c r="G1233" s="124"/>
      <c r="H1233" s="124"/>
      <c r="I1233" s="124"/>
      <c r="J1233" s="124"/>
      <c r="K1233" s="125"/>
      <c r="L1233" s="129"/>
      <c r="M1233" s="129"/>
      <c r="N1233" s="129"/>
      <c r="O1233" s="128"/>
      <c r="P1233" s="129"/>
      <c r="Q1233" s="124"/>
      <c r="R1233" s="129"/>
      <c r="S1233" s="129"/>
      <c r="T1233" s="129"/>
      <c r="U1233" s="129"/>
      <c r="V1233" s="126"/>
      <c r="W1233" s="49"/>
      <c r="X1233" s="45"/>
      <c r="Y1233" s="128"/>
      <c r="Z1233" s="126"/>
      <c r="AA1233" s="128"/>
      <c r="AB1233" s="129"/>
      <c r="AC1233" s="160"/>
      <c r="AD1233" s="137"/>
      <c r="AE1233" s="110"/>
      <c r="AF1233" s="110"/>
      <c r="AG1233" s="121"/>
      <c r="AH1233" s="110"/>
    </row>
    <row r="1234" spans="1:34" ht="11.25" customHeight="1" x14ac:dyDescent="0.15">
      <c r="A1234" s="110" t="s">
        <v>625</v>
      </c>
      <c r="B1234" s="110"/>
      <c r="C1234" s="111" t="s">
        <v>180</v>
      </c>
      <c r="D1234" s="111">
        <v>2023</v>
      </c>
      <c r="E1234" s="146">
        <v>45199</v>
      </c>
      <c r="F1234" s="111"/>
      <c r="G1234" s="111">
        <v>92612002</v>
      </c>
      <c r="H1234" s="111"/>
      <c r="I1234" s="111"/>
      <c r="J1234" s="111"/>
      <c r="K1234" s="112" t="s">
        <v>626</v>
      </c>
      <c r="L1234" s="120">
        <v>4435</v>
      </c>
      <c r="M1234" s="120">
        <f>L1234*0.35</f>
        <v>1552.25</v>
      </c>
      <c r="N1234" s="120">
        <f>L1234-M1234</f>
        <v>2882.75</v>
      </c>
      <c r="O1234" s="119">
        <f>IFERROR(N1234/L1234,"")</f>
        <v>0.65</v>
      </c>
      <c r="P1234" s="117">
        <v>4435</v>
      </c>
      <c r="Q1234" s="111">
        <v>2052</v>
      </c>
      <c r="R1234" s="117">
        <v>4</v>
      </c>
      <c r="S1234" s="117">
        <v>156.16</v>
      </c>
      <c r="T1234" s="117"/>
      <c r="U1234" s="117">
        <v>2634.56</v>
      </c>
      <c r="V1234" s="117"/>
      <c r="W1234" s="26">
        <f>SUM(S1234:V1234)</f>
        <v>2790.72</v>
      </c>
      <c r="X1234" s="118">
        <f>IFERROR(S1234/R1234,"")</f>
        <v>39.04</v>
      </c>
      <c r="Y1234" s="119">
        <f>U1234/P1234</f>
        <v>0.59403833145434048</v>
      </c>
      <c r="Z1234" s="117">
        <f>P1234-W1234</f>
        <v>1644.2800000000002</v>
      </c>
      <c r="AA1234" s="119">
        <f>Z1234/P1234</f>
        <v>0.37075084554678694</v>
      </c>
      <c r="AB1234" s="120">
        <f t="shared" ref="AB1234:AB1239" si="744">M1234-W1234</f>
        <v>-1238.4699999999998</v>
      </c>
      <c r="AC1234" s="119">
        <f t="shared" ref="AC1234:AC1239" si="745">IFERROR(AA1234-O1234,"")</f>
        <v>-0.27924915445321308</v>
      </c>
      <c r="AD1234" s="110" t="s">
        <v>627</v>
      </c>
      <c r="AE1234" s="110"/>
      <c r="AF1234" s="110"/>
      <c r="AG1234" s="121"/>
      <c r="AH1234" s="110"/>
    </row>
    <row r="1235" spans="1:34" ht="11.25" customHeight="1" x14ac:dyDescent="0.15">
      <c r="A1235" s="110" t="s">
        <v>625</v>
      </c>
      <c r="B1235" s="110"/>
      <c r="C1235" s="111" t="s">
        <v>47</v>
      </c>
      <c r="D1235" s="111">
        <v>2023</v>
      </c>
      <c r="E1235" s="146">
        <v>45199</v>
      </c>
      <c r="F1235" s="111"/>
      <c r="G1235" s="111">
        <v>52612002</v>
      </c>
      <c r="H1235" s="111"/>
      <c r="I1235" s="111"/>
      <c r="J1235" s="111"/>
      <c r="K1235" s="112" t="s">
        <v>628</v>
      </c>
      <c r="L1235" s="120">
        <v>4693</v>
      </c>
      <c r="M1235" s="120">
        <f>L1235*0.35</f>
        <v>1642.55</v>
      </c>
      <c r="N1235" s="120">
        <f t="shared" ref="N1235:N1236" si="746">L1235-M1235</f>
        <v>3050.45</v>
      </c>
      <c r="O1235" s="119">
        <f t="shared" ref="O1235:O1236" si="747">IFERROR(N1235/L1235,"")</f>
        <v>0.64999999999999991</v>
      </c>
      <c r="P1235" s="117">
        <v>4693</v>
      </c>
      <c r="Q1235" s="111">
        <v>2053</v>
      </c>
      <c r="R1235" s="117">
        <v>28.75</v>
      </c>
      <c r="S1235" s="117">
        <v>1319.92</v>
      </c>
      <c r="T1235" s="117">
        <v>2052.59</v>
      </c>
      <c r="U1235" s="117">
        <v>38.630000000000003</v>
      </c>
      <c r="V1235" s="117"/>
      <c r="W1235" s="26">
        <f t="shared" ref="W1235:W1238" si="748">SUM(S1235:V1235)</f>
        <v>3411.1400000000003</v>
      </c>
      <c r="X1235" s="118">
        <f>IFERROR(S1235/R1235,"")</f>
        <v>45.910260869565221</v>
      </c>
      <c r="Y1235" s="119">
        <f>U1235/P1235</f>
        <v>8.2314084807159609E-3</v>
      </c>
      <c r="Z1235" s="117">
        <f>P1235-W1235</f>
        <v>1281.8599999999997</v>
      </c>
      <c r="AA1235" s="119">
        <f>Z1235/P1235</f>
        <v>0.2731429789047517</v>
      </c>
      <c r="AB1235" s="120">
        <f t="shared" si="744"/>
        <v>-1768.5900000000004</v>
      </c>
      <c r="AC1235" s="119">
        <f t="shared" si="745"/>
        <v>-0.37685702109524821</v>
      </c>
      <c r="AD1235" s="110" t="s">
        <v>629</v>
      </c>
      <c r="AE1235" s="110"/>
      <c r="AF1235" s="110"/>
      <c r="AG1235" s="121"/>
      <c r="AH1235" s="110"/>
    </row>
    <row r="1236" spans="1:34" ht="11.25" customHeight="1" x14ac:dyDescent="0.15">
      <c r="A1236" s="110" t="s">
        <v>625</v>
      </c>
      <c r="B1236" s="110"/>
      <c r="C1236" s="111" t="s">
        <v>55</v>
      </c>
      <c r="D1236" s="111">
        <v>2023</v>
      </c>
      <c r="E1236" s="146">
        <v>45199</v>
      </c>
      <c r="F1236" s="111"/>
      <c r="G1236" s="111" t="s">
        <v>56</v>
      </c>
      <c r="H1236" s="169"/>
      <c r="I1236" s="169"/>
      <c r="J1236" s="111"/>
      <c r="K1236" s="112" t="s">
        <v>71</v>
      </c>
      <c r="L1236" s="120">
        <v>350</v>
      </c>
      <c r="M1236" s="120">
        <f>L1236*0.5</f>
        <v>175</v>
      </c>
      <c r="N1236" s="120">
        <f t="shared" si="746"/>
        <v>175</v>
      </c>
      <c r="O1236" s="119">
        <f t="shared" si="747"/>
        <v>0.5</v>
      </c>
      <c r="P1236" s="117">
        <v>350</v>
      </c>
      <c r="Q1236" s="111">
        <v>2054</v>
      </c>
      <c r="R1236" s="117">
        <v>2</v>
      </c>
      <c r="S1236" s="117">
        <v>85</v>
      </c>
      <c r="T1236" s="117"/>
      <c r="U1236" s="117"/>
      <c r="V1236" s="117">
        <v>216.45</v>
      </c>
      <c r="W1236" s="26">
        <f t="shared" si="748"/>
        <v>301.45</v>
      </c>
      <c r="X1236" s="118">
        <f t="shared" ref="X1236:X1238" si="749">IFERROR(S1236/R1236,"")</f>
        <v>42.5</v>
      </c>
      <c r="Y1236" s="119">
        <f t="shared" ref="Y1236:Y1238" si="750">U1236/P1236</f>
        <v>0</v>
      </c>
      <c r="Z1236" s="117">
        <f t="shared" ref="Z1236:Z1238" si="751">P1236-W1236</f>
        <v>48.550000000000011</v>
      </c>
      <c r="AA1236" s="119">
        <f t="shared" ref="AA1236:AA1238" si="752">Z1236/P1236</f>
        <v>0.13871428571428573</v>
      </c>
      <c r="AB1236" s="120">
        <f t="shared" si="744"/>
        <v>-126.44999999999999</v>
      </c>
      <c r="AC1236" s="119">
        <f t="shared" si="745"/>
        <v>-0.36128571428571427</v>
      </c>
      <c r="AD1236" s="110" t="s">
        <v>630</v>
      </c>
      <c r="AE1236" s="110"/>
      <c r="AF1236" s="110"/>
      <c r="AG1236" s="121"/>
      <c r="AH1236" s="110"/>
    </row>
    <row r="1237" spans="1:34" ht="11.25" customHeight="1" x14ac:dyDescent="0.15">
      <c r="A1237" s="110" t="s">
        <v>625</v>
      </c>
      <c r="B1237" s="110"/>
      <c r="C1237" s="111" t="s">
        <v>175</v>
      </c>
      <c r="D1237" s="111">
        <v>2023</v>
      </c>
      <c r="E1237" s="146">
        <v>45199</v>
      </c>
      <c r="F1237" s="111"/>
      <c r="G1237" s="111">
        <v>81000201</v>
      </c>
      <c r="H1237" s="111">
        <v>4111</v>
      </c>
      <c r="I1237" s="111" t="str">
        <f>MID(G1237,2,1)</f>
        <v>1</v>
      </c>
      <c r="J1237" s="111" t="str">
        <f>IF(I1237="1","Small/Medium","Large")</f>
        <v>Small/Medium</v>
      </c>
      <c r="K1237" s="112" t="s">
        <v>145</v>
      </c>
      <c r="L1237" s="117">
        <v>11592.47</v>
      </c>
      <c r="M1237" s="120">
        <f>L1237*0.3</f>
        <v>3477.7409999999995</v>
      </c>
      <c r="N1237" s="120">
        <f>L1237-M1237</f>
        <v>8114.7289999999994</v>
      </c>
      <c r="O1237" s="119">
        <f>IFERROR(N1237/L1237,"")</f>
        <v>0.7</v>
      </c>
      <c r="P1237" s="117">
        <v>11592.47</v>
      </c>
      <c r="Q1237" s="111">
        <v>2102</v>
      </c>
      <c r="R1237" s="117">
        <v>12</v>
      </c>
      <c r="S1237" s="117">
        <v>538.55999999999995</v>
      </c>
      <c r="T1237" s="117">
        <v>1026.29</v>
      </c>
      <c r="U1237" s="117">
        <v>587.33000000000004</v>
      </c>
      <c r="V1237" s="117"/>
      <c r="W1237" s="26">
        <f t="shared" si="748"/>
        <v>2152.1799999999998</v>
      </c>
      <c r="X1237" s="118">
        <f t="shared" si="749"/>
        <v>44.879999999999995</v>
      </c>
      <c r="Y1237" s="119">
        <f t="shared" si="750"/>
        <v>5.0664784985425891E-2</v>
      </c>
      <c r="Z1237" s="117">
        <f t="shared" si="751"/>
        <v>9440.2899999999991</v>
      </c>
      <c r="AA1237" s="119">
        <f t="shared" si="752"/>
        <v>0.81434672679765396</v>
      </c>
      <c r="AB1237" s="120">
        <f t="shared" si="744"/>
        <v>1325.5609999999997</v>
      </c>
      <c r="AC1237" s="119">
        <f t="shared" si="745"/>
        <v>0.11434672679765401</v>
      </c>
      <c r="AD1237" s="110" t="s">
        <v>631</v>
      </c>
      <c r="AE1237" s="110"/>
      <c r="AF1237" s="110"/>
      <c r="AG1237" s="121"/>
      <c r="AH1237" s="110"/>
    </row>
    <row r="1238" spans="1:34" ht="11.25" customHeight="1" x14ac:dyDescent="0.15">
      <c r="A1238" s="110" t="s">
        <v>625</v>
      </c>
      <c r="B1238" s="110"/>
      <c r="C1238" s="111" t="s">
        <v>175</v>
      </c>
      <c r="D1238" s="111">
        <v>2023</v>
      </c>
      <c r="E1238" s="146">
        <v>45199</v>
      </c>
      <c r="F1238" s="111"/>
      <c r="G1238" s="111">
        <v>82000201</v>
      </c>
      <c r="H1238" s="111">
        <v>4111</v>
      </c>
      <c r="I1238" s="111" t="str">
        <f>MID(G1238,2,1)</f>
        <v>2</v>
      </c>
      <c r="J1238" s="111" t="str">
        <f>IF(I1238="1","Small/Medium","Large")</f>
        <v>Large</v>
      </c>
      <c r="K1238" s="112" t="s">
        <v>176</v>
      </c>
      <c r="L1238" s="117">
        <v>15791.53</v>
      </c>
      <c r="M1238" s="120">
        <f>L1238*0.3</f>
        <v>4737.4589999999998</v>
      </c>
      <c r="N1238" s="120">
        <f>L1238-M1238</f>
        <v>11054.071</v>
      </c>
      <c r="O1238" s="119">
        <f>IFERROR(N1238/L1238,"")</f>
        <v>0.7</v>
      </c>
      <c r="P1238" s="117">
        <v>15791.53</v>
      </c>
      <c r="Q1238" s="111">
        <v>2101</v>
      </c>
      <c r="R1238" s="117">
        <v>22.5</v>
      </c>
      <c r="S1238" s="117">
        <v>1009.8</v>
      </c>
      <c r="T1238" s="117">
        <v>1026.29</v>
      </c>
      <c r="U1238" s="117">
        <v>600.86</v>
      </c>
      <c r="V1238" s="117"/>
      <c r="W1238" s="26">
        <f t="shared" si="748"/>
        <v>2636.95</v>
      </c>
      <c r="X1238" s="118">
        <f t="shared" si="749"/>
        <v>44.879999999999995</v>
      </c>
      <c r="Y1238" s="119">
        <f t="shared" si="750"/>
        <v>3.8049511351971592E-2</v>
      </c>
      <c r="Z1238" s="117">
        <f t="shared" si="751"/>
        <v>13154.580000000002</v>
      </c>
      <c r="AA1238" s="119">
        <f t="shared" si="752"/>
        <v>0.83301491369107372</v>
      </c>
      <c r="AB1238" s="120">
        <f t="shared" si="744"/>
        <v>2100.509</v>
      </c>
      <c r="AC1238" s="119">
        <f t="shared" si="745"/>
        <v>0.13301491369107377</v>
      </c>
      <c r="AD1238" s="110" t="s">
        <v>631</v>
      </c>
      <c r="AE1238" s="110"/>
      <c r="AF1238" s="110"/>
      <c r="AG1238" s="121"/>
      <c r="AH1238" s="110"/>
    </row>
    <row r="1239" spans="1:34" s="216" customFormat="1" ht="11.25" customHeight="1" x14ac:dyDescent="0.15">
      <c r="A1239" s="53" t="s">
        <v>625</v>
      </c>
      <c r="B1239" s="53"/>
      <c r="C1239" s="54" t="s">
        <v>177</v>
      </c>
      <c r="D1239" s="54">
        <v>2023</v>
      </c>
      <c r="E1239" s="70">
        <v>45199</v>
      </c>
      <c r="F1239" s="54"/>
      <c r="G1239" s="54"/>
      <c r="H1239" s="54"/>
      <c r="I1239" s="54"/>
      <c r="J1239" s="54"/>
      <c r="K1239" s="106"/>
      <c r="L1239" s="24">
        <f>SUM(L1234:L1238)</f>
        <v>36862</v>
      </c>
      <c r="M1239" s="24">
        <f t="shared" ref="M1239:N1239" si="753">SUM(M1234:M1238)</f>
        <v>11585</v>
      </c>
      <c r="N1239" s="24">
        <f t="shared" si="753"/>
        <v>25277</v>
      </c>
      <c r="O1239" s="57"/>
      <c r="P1239" s="24">
        <f>SUM(P1234:P1238)</f>
        <v>36862</v>
      </c>
      <c r="Q1239" s="24"/>
      <c r="R1239" s="117">
        <f>SUM(R1234:R1238)</f>
        <v>69.25</v>
      </c>
      <c r="S1239" s="117">
        <f t="shared" ref="S1239:W1239" si="754">SUM(S1234:S1238)</f>
        <v>3109.4400000000005</v>
      </c>
      <c r="T1239" s="117">
        <f t="shared" si="754"/>
        <v>4105.17</v>
      </c>
      <c r="U1239" s="117">
        <f t="shared" si="754"/>
        <v>3861.38</v>
      </c>
      <c r="V1239" s="117">
        <f t="shared" si="754"/>
        <v>216.45</v>
      </c>
      <c r="W1239" s="26">
        <f t="shared" si="754"/>
        <v>11292.439999999999</v>
      </c>
      <c r="X1239" s="56">
        <f>IFERROR(S1239/R1239,"")</f>
        <v>44.901660649819505</v>
      </c>
      <c r="Y1239" s="57">
        <f>IFERROR(U1239/P1239,0)</f>
        <v>0.10475231946177636</v>
      </c>
      <c r="Z1239" s="28">
        <f>P1239-W1239</f>
        <v>25569.56</v>
      </c>
      <c r="AA1239" s="57">
        <f>Z1239/P1239</f>
        <v>0.69365633986218878</v>
      </c>
      <c r="AB1239" s="120">
        <f t="shared" si="744"/>
        <v>292.56000000000131</v>
      </c>
      <c r="AC1239" s="119">
        <f t="shared" si="745"/>
        <v>0.69365633986218878</v>
      </c>
      <c r="AD1239" s="53"/>
      <c r="AE1239" s="53"/>
      <c r="AF1239" s="53"/>
      <c r="AG1239" s="61"/>
      <c r="AH1239" s="53"/>
    </row>
    <row r="1240" spans="1:34" ht="11.25" customHeight="1" x14ac:dyDescent="0.15">
      <c r="A1240" s="130"/>
      <c r="B1240" s="130"/>
      <c r="C1240" s="124"/>
      <c r="D1240" s="124"/>
      <c r="E1240" s="273"/>
      <c r="F1240" s="124"/>
      <c r="G1240" s="124"/>
      <c r="H1240" s="124"/>
      <c r="I1240" s="124"/>
      <c r="J1240" s="124"/>
      <c r="K1240" s="125"/>
      <c r="L1240" s="129"/>
      <c r="M1240" s="129"/>
      <c r="N1240" s="129"/>
      <c r="O1240" s="128"/>
      <c r="P1240" s="129"/>
      <c r="Q1240" s="124"/>
      <c r="R1240" s="129"/>
      <c r="S1240" s="129"/>
      <c r="T1240" s="129"/>
      <c r="U1240" s="129"/>
      <c r="V1240" s="126"/>
      <c r="W1240" s="49"/>
      <c r="X1240" s="45"/>
      <c r="Y1240" s="128"/>
      <c r="Z1240" s="126"/>
      <c r="AA1240" s="128"/>
      <c r="AB1240" s="129"/>
      <c r="AC1240" s="160"/>
      <c r="AD1240" s="137"/>
      <c r="AE1240" s="110"/>
      <c r="AF1240" s="110"/>
      <c r="AG1240" s="121"/>
      <c r="AH1240" s="110"/>
    </row>
    <row r="1241" spans="1:34" ht="11.25" customHeight="1" x14ac:dyDescent="0.15">
      <c r="A1241" s="110" t="s">
        <v>994</v>
      </c>
      <c r="B1241" s="110"/>
      <c r="C1241" s="111" t="s">
        <v>175</v>
      </c>
      <c r="D1241" s="111">
        <v>2023</v>
      </c>
      <c r="E1241" s="146">
        <v>45199</v>
      </c>
      <c r="F1241" s="111"/>
      <c r="G1241" s="111">
        <v>81000001</v>
      </c>
      <c r="H1241" s="111">
        <v>4111</v>
      </c>
      <c r="I1241" s="111" t="str">
        <f>MID(G1241,2,1)</f>
        <v>1</v>
      </c>
      <c r="J1241" s="111" t="str">
        <f>IF(I1241="1","Small/Medium","Large")</f>
        <v>Small/Medium</v>
      </c>
      <c r="K1241" s="112" t="s">
        <v>145</v>
      </c>
      <c r="L1241" s="120">
        <v>17230</v>
      </c>
      <c r="M1241" s="120">
        <f>L1241*0.3</f>
        <v>5169</v>
      </c>
      <c r="N1241" s="120">
        <f>L1241-M1241</f>
        <v>12061</v>
      </c>
      <c r="O1241" s="119">
        <f>IFERROR(N1241/L1241,"")</f>
        <v>0.7</v>
      </c>
      <c r="P1241" s="120">
        <v>17230</v>
      </c>
      <c r="Q1241" s="111">
        <v>1829</v>
      </c>
      <c r="R1241" s="117">
        <v>33</v>
      </c>
      <c r="S1241" s="117">
        <v>1481.04</v>
      </c>
      <c r="T1241" s="117">
        <v>771.2</v>
      </c>
      <c r="U1241" s="117">
        <v>1118.22</v>
      </c>
      <c r="V1241" s="117"/>
      <c r="W1241" s="26">
        <f>SUM(S1241:V1241)</f>
        <v>3370.46</v>
      </c>
      <c r="X1241" s="118">
        <f>IFERROR(S1241/R1241,"")</f>
        <v>44.879999999999995</v>
      </c>
      <c r="Y1241" s="119">
        <f>U1241/P1241</f>
        <v>6.4899593731863034E-2</v>
      </c>
      <c r="Z1241" s="117">
        <f>P1241-W1241</f>
        <v>13859.54</v>
      </c>
      <c r="AA1241" s="119">
        <f>Z1241/P1241</f>
        <v>0.80438421358096346</v>
      </c>
      <c r="AB1241" s="120">
        <f t="shared" ref="AB1241:AB1244" si="755">M1241-W1241</f>
        <v>1798.54</v>
      </c>
      <c r="AC1241" s="119">
        <f t="shared" ref="AC1241:AC1244" si="756">IFERROR(AA1241-O1241,"")</f>
        <v>0.1043842135809635</v>
      </c>
      <c r="AD1241" s="110" t="s">
        <v>632</v>
      </c>
      <c r="AE1241" s="110"/>
      <c r="AF1241" s="110"/>
      <c r="AG1241" s="121"/>
      <c r="AH1241" s="110"/>
    </row>
    <row r="1242" spans="1:34" ht="11.25" customHeight="1" x14ac:dyDescent="0.15">
      <c r="A1242" s="110" t="s">
        <v>994</v>
      </c>
      <c r="B1242" s="110"/>
      <c r="C1242" s="111" t="s">
        <v>175</v>
      </c>
      <c r="D1242" s="111">
        <v>2023</v>
      </c>
      <c r="E1242" s="146">
        <v>45199</v>
      </c>
      <c r="F1242" s="111"/>
      <c r="G1242" s="111">
        <v>81000001</v>
      </c>
      <c r="H1242" s="111">
        <v>4111</v>
      </c>
      <c r="I1242" s="111" t="str">
        <f>MID(G1242,2,1)</f>
        <v>1</v>
      </c>
      <c r="J1242" s="111" t="str">
        <f>IF(I1242="1","Small/Medium","Large")</f>
        <v>Small/Medium</v>
      </c>
      <c r="K1242" s="112" t="s">
        <v>145</v>
      </c>
      <c r="L1242" s="120">
        <v>8615</v>
      </c>
      <c r="M1242" s="120">
        <f>L1242*0.3</f>
        <v>2584.5</v>
      </c>
      <c r="N1242" s="120">
        <f>L1242-M1242</f>
        <v>6030.5</v>
      </c>
      <c r="O1242" s="119">
        <f>IFERROR(N1242/L1242,"")</f>
        <v>0.7</v>
      </c>
      <c r="P1242" s="120">
        <v>8615</v>
      </c>
      <c r="Q1242" s="111">
        <v>1830</v>
      </c>
      <c r="R1242" s="117">
        <v>18.5</v>
      </c>
      <c r="S1242" s="117">
        <v>830.28</v>
      </c>
      <c r="T1242" s="117">
        <v>630.98</v>
      </c>
      <c r="U1242" s="117">
        <v>761.58</v>
      </c>
      <c r="V1242" s="117"/>
      <c r="W1242" s="26">
        <f>SUM(S1242:V1242)</f>
        <v>2222.84</v>
      </c>
      <c r="X1242" s="118">
        <f>IFERROR(S1242/R1242,"")</f>
        <v>44.879999999999995</v>
      </c>
      <c r="Y1242" s="119">
        <f>U1242/P1242</f>
        <v>8.8401625072547882E-2</v>
      </c>
      <c r="Z1242" s="117">
        <f>P1242-W1242</f>
        <v>6392.16</v>
      </c>
      <c r="AA1242" s="119">
        <f>Z1242/P1242</f>
        <v>0.74198026697620423</v>
      </c>
      <c r="AB1242" s="120">
        <f t="shared" si="755"/>
        <v>361.65999999999985</v>
      </c>
      <c r="AC1242" s="119">
        <f t="shared" si="756"/>
        <v>4.1980266976204272E-2</v>
      </c>
      <c r="AD1242" s="110"/>
      <c r="AE1242" s="110"/>
      <c r="AF1242" s="110"/>
      <c r="AG1242" s="121"/>
      <c r="AH1242" s="110"/>
    </row>
    <row r="1243" spans="1:34" ht="11.25" customHeight="1" x14ac:dyDescent="0.15">
      <c r="A1243" s="110" t="s">
        <v>994</v>
      </c>
      <c r="B1243" s="110"/>
      <c r="C1243" s="240" t="s">
        <v>175</v>
      </c>
      <c r="D1243" s="240">
        <v>2023</v>
      </c>
      <c r="E1243" s="249">
        <v>45291</v>
      </c>
      <c r="F1243" s="240"/>
      <c r="G1243" s="240">
        <v>81000001</v>
      </c>
      <c r="H1243" s="240">
        <v>4111</v>
      </c>
      <c r="I1243" s="240" t="str">
        <f>MID(G1243,2,1)</f>
        <v>1</v>
      </c>
      <c r="J1243" s="240" t="str">
        <f>IF(I1243="1","Small/Medium","Large")</f>
        <v>Small/Medium</v>
      </c>
      <c r="K1243" s="241" t="s">
        <v>145</v>
      </c>
      <c r="L1243" s="242">
        <v>0</v>
      </c>
      <c r="M1243" s="242">
        <v>0</v>
      </c>
      <c r="N1243" s="242">
        <v>0</v>
      </c>
      <c r="O1243" s="243">
        <v>0</v>
      </c>
      <c r="P1243" s="242">
        <v>0</v>
      </c>
      <c r="Q1243" s="240">
        <v>2507</v>
      </c>
      <c r="R1243" s="117">
        <v>30</v>
      </c>
      <c r="S1243" s="117">
        <v>1346.4</v>
      </c>
      <c r="T1243" s="117">
        <v>1155.98</v>
      </c>
      <c r="U1243" s="117">
        <v>341.98</v>
      </c>
      <c r="V1243" s="117"/>
      <c r="W1243" s="26">
        <f>SUM(S1243:V1243)</f>
        <v>2844.36</v>
      </c>
      <c r="X1243" s="244">
        <f>IFERROR(S1243/R1243,"")</f>
        <v>44.88</v>
      </c>
      <c r="Y1243" s="243" t="str">
        <f>IFERROR(U1243/P1243,"")</f>
        <v/>
      </c>
      <c r="Z1243" s="245">
        <f>P1243-W1243</f>
        <v>-2844.36</v>
      </c>
      <c r="AA1243" s="243" t="str">
        <f>IFERROR(Z1243/P1243,"")</f>
        <v/>
      </c>
      <c r="AB1243" s="120">
        <f t="shared" si="755"/>
        <v>-2844.36</v>
      </c>
      <c r="AC1243" s="119" t="str">
        <f t="shared" si="756"/>
        <v/>
      </c>
      <c r="AD1243" s="239" t="s">
        <v>633</v>
      </c>
      <c r="AE1243" s="110"/>
      <c r="AF1243" s="110"/>
      <c r="AG1243" s="121"/>
      <c r="AH1243" s="110"/>
    </row>
    <row r="1244" spans="1:34" s="216" customFormat="1" ht="11.25" customHeight="1" x14ac:dyDescent="0.15">
      <c r="A1244" s="53" t="s">
        <v>994</v>
      </c>
      <c r="B1244" s="53"/>
      <c r="C1244" s="54" t="s">
        <v>177</v>
      </c>
      <c r="D1244" s="54">
        <v>2023</v>
      </c>
      <c r="E1244" s="70">
        <v>45291</v>
      </c>
      <c r="F1244" s="54"/>
      <c r="G1244" s="54"/>
      <c r="H1244" s="54"/>
      <c r="I1244" s="54"/>
      <c r="J1244" s="54"/>
      <c r="K1244" s="106"/>
      <c r="L1244" s="24">
        <f>SUM(L1241:L1242)</f>
        <v>25845</v>
      </c>
      <c r="M1244" s="24">
        <f>SUM(M1241:M1242)</f>
        <v>7753.5</v>
      </c>
      <c r="N1244" s="24">
        <f>SUM(N1241:N1242)</f>
        <v>18091.5</v>
      </c>
      <c r="O1244" s="57">
        <f>IFERROR(N1244/L1244,"")</f>
        <v>0.7</v>
      </c>
      <c r="P1244" s="24">
        <f>SUM(P1241:P1243)</f>
        <v>25845</v>
      </c>
      <c r="Q1244" s="24"/>
      <c r="R1244" s="117">
        <f>SUM(R1241:R1243)</f>
        <v>81.5</v>
      </c>
      <c r="S1244" s="117">
        <f t="shared" ref="S1244:W1244" si="757">SUM(S1241:S1243)</f>
        <v>3657.72</v>
      </c>
      <c r="T1244" s="117">
        <f t="shared" si="757"/>
        <v>2558.16</v>
      </c>
      <c r="U1244" s="117">
        <f t="shared" si="757"/>
        <v>2221.7800000000002</v>
      </c>
      <c r="V1244" s="117">
        <f t="shared" si="757"/>
        <v>0</v>
      </c>
      <c r="W1244" s="26">
        <f t="shared" si="757"/>
        <v>8437.66</v>
      </c>
      <c r="X1244" s="56">
        <f>IFERROR(S1244/R1244,"")</f>
        <v>44.879999999999995</v>
      </c>
      <c r="Y1244" s="57">
        <f>IFERROR(U1244/P1244,0)</f>
        <v>8.5965563938866327E-2</v>
      </c>
      <c r="Z1244" s="28">
        <f>P1244-W1244</f>
        <v>17407.34</v>
      </c>
      <c r="AA1244" s="57">
        <f>Z1244/P1244</f>
        <v>0.67352834203907919</v>
      </c>
      <c r="AB1244" s="120">
        <f t="shared" si="755"/>
        <v>-684.15999999999985</v>
      </c>
      <c r="AC1244" s="119">
        <f t="shared" si="756"/>
        <v>-2.6471657960920769E-2</v>
      </c>
      <c r="AD1244" s="53"/>
      <c r="AE1244" s="53"/>
      <c r="AF1244" s="53"/>
      <c r="AG1244" s="61"/>
      <c r="AH1244" s="53"/>
    </row>
    <row r="1245" spans="1:34" ht="11.25" customHeight="1" x14ac:dyDescent="0.15">
      <c r="A1245" s="130"/>
      <c r="B1245" s="130"/>
      <c r="C1245" s="124"/>
      <c r="D1245" s="124"/>
      <c r="E1245" s="273"/>
      <c r="F1245" s="124"/>
      <c r="G1245" s="124"/>
      <c r="H1245" s="124"/>
      <c r="I1245" s="124"/>
      <c r="J1245" s="124"/>
      <c r="K1245" s="125"/>
      <c r="L1245" s="129"/>
      <c r="M1245" s="129"/>
      <c r="N1245" s="129"/>
      <c r="O1245" s="128"/>
      <c r="P1245" s="129"/>
      <c r="Q1245" s="124"/>
      <c r="R1245" s="117"/>
      <c r="S1245" s="117"/>
      <c r="T1245" s="117"/>
      <c r="U1245" s="117"/>
      <c r="V1245" s="117"/>
      <c r="X1245" s="45"/>
      <c r="Y1245" s="128"/>
      <c r="Z1245" s="126"/>
      <c r="AA1245" s="128"/>
      <c r="AB1245" s="129"/>
      <c r="AC1245" s="160"/>
      <c r="AD1245" s="137"/>
      <c r="AE1245" s="110"/>
      <c r="AF1245" s="110"/>
      <c r="AG1245" s="121"/>
      <c r="AH1245" s="110"/>
    </row>
    <row r="1246" spans="1:34" ht="11.25" customHeight="1" x14ac:dyDescent="0.15">
      <c r="A1246" s="110" t="s">
        <v>137</v>
      </c>
      <c r="B1246" s="110"/>
      <c r="C1246" s="111" t="s">
        <v>452</v>
      </c>
      <c r="D1246" s="111">
        <v>2023</v>
      </c>
      <c r="E1246" s="146">
        <v>45230</v>
      </c>
      <c r="F1246" s="111"/>
      <c r="G1246" s="111" t="s">
        <v>634</v>
      </c>
      <c r="H1246" s="111"/>
      <c r="I1246" s="111"/>
      <c r="J1246" s="111"/>
      <c r="K1246" s="112" t="s">
        <v>635</v>
      </c>
      <c r="L1246" s="120">
        <v>0</v>
      </c>
      <c r="M1246" s="120">
        <v>0</v>
      </c>
      <c r="N1246" s="120">
        <v>0</v>
      </c>
      <c r="O1246" s="219">
        <v>0</v>
      </c>
      <c r="P1246" s="117">
        <v>0</v>
      </c>
      <c r="Q1246" s="111">
        <v>2325</v>
      </c>
      <c r="R1246" s="117">
        <v>24</v>
      </c>
      <c r="S1246" s="117">
        <v>1101.8399999999999</v>
      </c>
      <c r="T1246" s="117">
        <v>900.78</v>
      </c>
      <c r="U1246" s="117">
        <v>1957.72</v>
      </c>
      <c r="V1246" s="117">
        <v>34.049999999999997</v>
      </c>
      <c r="W1246" s="26">
        <f>SUM(S1246:V1246)</f>
        <v>3994.3900000000003</v>
      </c>
      <c r="X1246" s="118">
        <f>IFERROR(S1246/R1246,"")</f>
        <v>45.91</v>
      </c>
      <c r="Y1246" s="119" t="str">
        <f>IFERROR(U1246/P1246,"")</f>
        <v/>
      </c>
      <c r="Z1246" s="117">
        <f>P1246-W1246</f>
        <v>-3994.3900000000003</v>
      </c>
      <c r="AA1246" s="119" t="str">
        <f>IFERROR(Z1246/P1246,"")</f>
        <v/>
      </c>
      <c r="AB1246" s="120">
        <f t="shared" ref="AB1246:AB1247" si="758">M1246-W1246</f>
        <v>-3994.3900000000003</v>
      </c>
      <c r="AC1246" s="119" t="str">
        <f t="shared" ref="AC1246:AC1247" si="759">IFERROR(AA1246-O1246,"")</f>
        <v/>
      </c>
      <c r="AD1246" s="110" t="s">
        <v>636</v>
      </c>
      <c r="AE1246" s="110"/>
      <c r="AF1246" s="110"/>
      <c r="AG1246" s="121"/>
      <c r="AH1246" s="110"/>
    </row>
    <row r="1247" spans="1:34" s="216" customFormat="1" ht="11.25" customHeight="1" x14ac:dyDescent="0.15">
      <c r="A1247" s="53" t="s">
        <v>137</v>
      </c>
      <c r="B1247" s="53"/>
      <c r="C1247" s="54" t="s">
        <v>177</v>
      </c>
      <c r="D1247" s="54">
        <v>2023</v>
      </c>
      <c r="E1247" s="70">
        <v>45230</v>
      </c>
      <c r="F1247" s="54"/>
      <c r="G1247" s="54"/>
      <c r="H1247" s="54"/>
      <c r="I1247" s="54"/>
      <c r="J1247" s="54"/>
      <c r="K1247" s="106"/>
      <c r="L1247" s="24">
        <f>SUM(L1246)</f>
        <v>0</v>
      </c>
      <c r="M1247" s="24">
        <f t="shared" ref="M1247:O1247" si="760">SUM(M1246)</f>
        <v>0</v>
      </c>
      <c r="N1247" s="24">
        <f t="shared" si="760"/>
        <v>0</v>
      </c>
      <c r="O1247" s="64">
        <f t="shared" si="760"/>
        <v>0</v>
      </c>
      <c r="P1247" s="24">
        <f>SUM(P1246)</f>
        <v>0</v>
      </c>
      <c r="Q1247" s="24"/>
      <c r="R1247" s="117">
        <f>SUM(R1246)</f>
        <v>24</v>
      </c>
      <c r="S1247" s="117">
        <f t="shared" ref="S1247:V1247" si="761">SUM(S1246)</f>
        <v>1101.8399999999999</v>
      </c>
      <c r="T1247" s="117">
        <f t="shared" si="761"/>
        <v>900.78</v>
      </c>
      <c r="U1247" s="117">
        <f t="shared" si="761"/>
        <v>1957.72</v>
      </c>
      <c r="V1247" s="117">
        <f t="shared" si="761"/>
        <v>34.049999999999997</v>
      </c>
      <c r="W1247" s="26">
        <f t="shared" ref="W1247" si="762">SUM(W1246)</f>
        <v>3994.3900000000003</v>
      </c>
      <c r="X1247" s="56">
        <f>IFERROR(S1247/R1247,"")</f>
        <v>45.91</v>
      </c>
      <c r="Y1247" s="57">
        <f>IFERROR(U1247/P1247,0)</f>
        <v>0</v>
      </c>
      <c r="Z1247" s="28">
        <f>P1247-W1247</f>
        <v>-3994.3900000000003</v>
      </c>
      <c r="AA1247" s="119" t="str">
        <f>IFERROR(Z1247/P1247,"")</f>
        <v/>
      </c>
      <c r="AB1247" s="120">
        <f t="shared" si="758"/>
        <v>-3994.3900000000003</v>
      </c>
      <c r="AC1247" s="119" t="str">
        <f t="shared" si="759"/>
        <v/>
      </c>
      <c r="AD1247" s="53"/>
      <c r="AE1247" s="53"/>
      <c r="AF1247" s="53"/>
      <c r="AG1247" s="61"/>
      <c r="AH1247" s="53"/>
    </row>
    <row r="1248" spans="1:34" ht="11.25" customHeight="1" x14ac:dyDescent="0.15">
      <c r="A1248" s="130"/>
      <c r="B1248" s="130"/>
      <c r="C1248" s="124"/>
      <c r="D1248" s="124"/>
      <c r="E1248" s="273"/>
      <c r="F1248" s="124"/>
      <c r="G1248" s="124"/>
      <c r="H1248" s="124"/>
      <c r="I1248" s="124"/>
      <c r="J1248" s="124"/>
      <c r="K1248" s="125"/>
      <c r="L1248" s="129"/>
      <c r="M1248" s="129"/>
      <c r="N1248" s="129"/>
      <c r="O1248" s="128"/>
      <c r="P1248" s="129"/>
      <c r="Q1248" s="124"/>
      <c r="R1248" s="117"/>
      <c r="S1248" s="117"/>
      <c r="T1248" s="117"/>
      <c r="U1248" s="117"/>
      <c r="V1248" s="117"/>
      <c r="X1248" s="45"/>
      <c r="Y1248" s="128"/>
      <c r="Z1248" s="126"/>
      <c r="AA1248" s="128"/>
      <c r="AB1248" s="129"/>
      <c r="AC1248" s="160"/>
      <c r="AD1248" s="137"/>
      <c r="AE1248" s="110"/>
      <c r="AF1248" s="110"/>
      <c r="AG1248" s="121"/>
      <c r="AH1248" s="110"/>
    </row>
    <row r="1249" spans="1:34" ht="11.25" customHeight="1" x14ac:dyDescent="0.15">
      <c r="A1249" s="110" t="s">
        <v>324</v>
      </c>
      <c r="B1249" s="110"/>
      <c r="C1249" s="111" t="s">
        <v>452</v>
      </c>
      <c r="D1249" s="111">
        <v>2023</v>
      </c>
      <c r="E1249" s="146">
        <v>45230</v>
      </c>
      <c r="F1249" s="111"/>
      <c r="G1249" s="111" t="s">
        <v>634</v>
      </c>
      <c r="H1249" s="111"/>
      <c r="I1249" s="111"/>
      <c r="J1249" s="111"/>
      <c r="K1249" s="112" t="s">
        <v>635</v>
      </c>
      <c r="L1249" s="120">
        <v>0</v>
      </c>
      <c r="M1249" s="120">
        <v>0</v>
      </c>
      <c r="N1249" s="120">
        <v>0</v>
      </c>
      <c r="O1249" s="219">
        <v>0</v>
      </c>
      <c r="P1249" s="117">
        <v>0</v>
      </c>
      <c r="Q1249" s="111">
        <v>2357</v>
      </c>
      <c r="R1249" s="117">
        <v>8.5</v>
      </c>
      <c r="S1249" s="117">
        <v>390.24</v>
      </c>
      <c r="T1249" s="117">
        <v>553.38</v>
      </c>
      <c r="U1249" s="117">
        <v>495.69</v>
      </c>
      <c r="V1249" s="117">
        <v>16.27</v>
      </c>
      <c r="W1249" s="26">
        <f>SUM(S1249:V1249)</f>
        <v>1455.58</v>
      </c>
      <c r="X1249" s="118">
        <f>IFERROR(S1249/R1249,"")</f>
        <v>45.910588235294121</v>
      </c>
      <c r="Y1249" s="119" t="e">
        <f>U1249/P1249</f>
        <v>#DIV/0!</v>
      </c>
      <c r="Z1249" s="117">
        <f>P1249-W1249</f>
        <v>-1455.58</v>
      </c>
      <c r="AA1249" s="119" t="str">
        <f>IFERROR(Z1249/P1249," ")</f>
        <v xml:space="preserve"> </v>
      </c>
      <c r="AB1249" s="120">
        <f t="shared" ref="AB1249:AB1251" si="763">M1249-W1249</f>
        <v>-1455.58</v>
      </c>
      <c r="AC1249" s="119" t="str">
        <f t="shared" ref="AC1249:AC1251" si="764">IFERROR(AA1249-O1249,"")</f>
        <v/>
      </c>
      <c r="AD1249" s="110" t="s">
        <v>637</v>
      </c>
      <c r="AE1249" s="110"/>
      <c r="AF1249" s="110"/>
      <c r="AG1249" s="121"/>
      <c r="AH1249" s="110"/>
    </row>
    <row r="1250" spans="1:34" ht="11.25" customHeight="1" x14ac:dyDescent="0.15">
      <c r="A1250" s="110" t="s">
        <v>322</v>
      </c>
      <c r="B1250" s="110"/>
      <c r="C1250" s="111" t="s">
        <v>452</v>
      </c>
      <c r="D1250" s="111">
        <v>2023</v>
      </c>
      <c r="E1250" s="146">
        <v>45230</v>
      </c>
      <c r="F1250" s="111"/>
      <c r="G1250" s="111" t="s">
        <v>634</v>
      </c>
      <c r="H1250" s="111"/>
      <c r="I1250" s="111"/>
      <c r="J1250" s="111"/>
      <c r="K1250" s="112" t="s">
        <v>635</v>
      </c>
      <c r="L1250" s="120">
        <v>0</v>
      </c>
      <c r="M1250" s="120">
        <v>0</v>
      </c>
      <c r="N1250" s="120">
        <v>0</v>
      </c>
      <c r="O1250" s="219">
        <v>0</v>
      </c>
      <c r="P1250" s="117">
        <v>0</v>
      </c>
      <c r="Q1250" s="111">
        <v>2358</v>
      </c>
      <c r="R1250" s="117">
        <v>8.5</v>
      </c>
      <c r="S1250" s="117">
        <v>390.24</v>
      </c>
      <c r="T1250" s="117">
        <v>553.38</v>
      </c>
      <c r="U1250" s="117">
        <v>495.12</v>
      </c>
      <c r="V1250" s="117">
        <v>16.27</v>
      </c>
      <c r="W1250" s="26">
        <f>SUM(S1250:V1250)</f>
        <v>1455.01</v>
      </c>
      <c r="X1250" s="118">
        <f>IFERROR(S1250/R1250,"")</f>
        <v>45.910588235294121</v>
      </c>
      <c r="Y1250" s="119" t="e">
        <f>U1250/P1250</f>
        <v>#DIV/0!</v>
      </c>
      <c r="Z1250" s="117">
        <f>P1250-W1250</f>
        <v>-1455.01</v>
      </c>
      <c r="AA1250" s="119" t="str">
        <f t="shared" ref="AA1250:AA1251" si="765">IFERROR(Z1250/P1250," ")</f>
        <v xml:space="preserve"> </v>
      </c>
      <c r="AB1250" s="120">
        <f t="shared" si="763"/>
        <v>-1455.01</v>
      </c>
      <c r="AC1250" s="119" t="str">
        <f t="shared" si="764"/>
        <v/>
      </c>
      <c r="AD1250" s="110" t="s">
        <v>637</v>
      </c>
      <c r="AE1250" s="110"/>
      <c r="AF1250" s="110"/>
      <c r="AG1250" s="121"/>
      <c r="AH1250" s="110"/>
    </row>
    <row r="1251" spans="1:34" s="216" customFormat="1" ht="11.25" customHeight="1" x14ac:dyDescent="0.15">
      <c r="A1251" s="53" t="s">
        <v>638</v>
      </c>
      <c r="B1251" s="53"/>
      <c r="C1251" s="54" t="s">
        <v>177</v>
      </c>
      <c r="D1251" s="54">
        <v>2023</v>
      </c>
      <c r="E1251" s="70">
        <v>45230</v>
      </c>
      <c r="F1251" s="54"/>
      <c r="G1251" s="54"/>
      <c r="H1251" s="54"/>
      <c r="I1251" s="54"/>
      <c r="J1251" s="54"/>
      <c r="K1251" s="106"/>
      <c r="L1251" s="24">
        <f>SUM(L1249:L1250)</f>
        <v>0</v>
      </c>
      <c r="M1251" s="24">
        <f t="shared" ref="M1251:O1251" si="766">SUM(M1249:M1250)</f>
        <v>0</v>
      </c>
      <c r="N1251" s="24">
        <f t="shared" si="766"/>
        <v>0</v>
      </c>
      <c r="O1251" s="238">
        <f t="shared" si="766"/>
        <v>0</v>
      </c>
      <c r="P1251" s="24">
        <f>SUM(P1250)</f>
        <v>0</v>
      </c>
      <c r="Q1251" s="24"/>
      <c r="R1251" s="117">
        <f>SUM(R1249:R1250)</f>
        <v>17</v>
      </c>
      <c r="S1251" s="117">
        <f t="shared" ref="S1251:V1251" si="767">SUM(S1249:S1250)</f>
        <v>780.48</v>
      </c>
      <c r="T1251" s="117">
        <f t="shared" si="767"/>
        <v>1106.76</v>
      </c>
      <c r="U1251" s="117">
        <f t="shared" si="767"/>
        <v>990.81</v>
      </c>
      <c r="V1251" s="117">
        <f t="shared" si="767"/>
        <v>32.54</v>
      </c>
      <c r="W1251" s="26">
        <f t="shared" ref="W1251" si="768">SUM(W1249:W1250)</f>
        <v>2910.59</v>
      </c>
      <c r="X1251" s="56">
        <f>IFERROR(S1251/R1251,"")</f>
        <v>45.910588235294121</v>
      </c>
      <c r="Y1251" s="57">
        <f>IFERROR(U1251/P1251,0)</f>
        <v>0</v>
      </c>
      <c r="Z1251" s="28">
        <f>P1251-W1251</f>
        <v>-2910.59</v>
      </c>
      <c r="AA1251" s="119" t="str">
        <f t="shared" si="765"/>
        <v xml:space="preserve"> </v>
      </c>
      <c r="AB1251" s="120">
        <f t="shared" si="763"/>
        <v>-2910.59</v>
      </c>
      <c r="AC1251" s="119" t="str">
        <f t="shared" si="764"/>
        <v/>
      </c>
      <c r="AD1251" s="53"/>
      <c r="AE1251" s="53"/>
      <c r="AF1251" s="53"/>
      <c r="AG1251" s="61"/>
      <c r="AH1251" s="53"/>
    </row>
    <row r="1252" spans="1:34" ht="11.25" customHeight="1" x14ac:dyDescent="0.15">
      <c r="A1252" s="130"/>
      <c r="B1252" s="130"/>
      <c r="C1252" s="124"/>
      <c r="D1252" s="124"/>
      <c r="E1252" s="273"/>
      <c r="F1252" s="124"/>
      <c r="G1252" s="124"/>
      <c r="H1252" s="124"/>
      <c r="I1252" s="124"/>
      <c r="J1252" s="124"/>
      <c r="K1252" s="125"/>
      <c r="L1252" s="129"/>
      <c r="M1252" s="129"/>
      <c r="N1252" s="129"/>
      <c r="O1252" s="128"/>
      <c r="P1252" s="129"/>
      <c r="Q1252" s="124"/>
      <c r="R1252" s="117"/>
      <c r="S1252" s="117"/>
      <c r="T1252" s="117"/>
      <c r="U1252" s="117"/>
      <c r="V1252" s="117"/>
      <c r="X1252" s="45"/>
      <c r="Y1252" s="128"/>
      <c r="Z1252" s="126"/>
      <c r="AA1252" s="128"/>
      <c r="AB1252" s="129"/>
      <c r="AC1252" s="160"/>
      <c r="AD1252" s="137"/>
      <c r="AE1252" s="110"/>
      <c r="AF1252" s="110"/>
      <c r="AG1252" s="121"/>
      <c r="AH1252" s="110"/>
    </row>
    <row r="1253" spans="1:34" ht="11.25" customHeight="1" x14ac:dyDescent="0.15">
      <c r="A1253" s="110" t="s">
        <v>639</v>
      </c>
      <c r="B1253" s="110"/>
      <c r="C1253" s="111" t="s">
        <v>37</v>
      </c>
      <c r="D1253" s="111">
        <v>2023</v>
      </c>
      <c r="E1253" s="146">
        <v>45230</v>
      </c>
      <c r="F1253" s="111"/>
      <c r="G1253" s="111">
        <v>12510112</v>
      </c>
      <c r="H1253" s="111"/>
      <c r="I1253" s="111"/>
      <c r="J1253" s="111"/>
      <c r="K1253" s="112" t="s">
        <v>578</v>
      </c>
      <c r="L1253" s="120">
        <f>144337+308.86</f>
        <v>144645.85999999999</v>
      </c>
      <c r="M1253" s="120">
        <f>31392.37+107.88</f>
        <v>31500.25</v>
      </c>
      <c r="N1253" s="120">
        <f>L1253-M1253</f>
        <v>113145.60999999999</v>
      </c>
      <c r="O1253" s="119">
        <f>IFERROR(N1253/L1253,"")</f>
        <v>0.78222501494339347</v>
      </c>
      <c r="P1253" s="117">
        <f>L1253</f>
        <v>144645.85999999999</v>
      </c>
      <c r="Q1253" s="111">
        <v>1655</v>
      </c>
      <c r="R1253" s="117">
        <v>51</v>
      </c>
      <c r="S1253" s="117">
        <v>2004.96</v>
      </c>
      <c r="T1253" s="117"/>
      <c r="U1253" s="117">
        <v>30402.87</v>
      </c>
      <c r="V1253" s="117"/>
      <c r="W1253" s="26">
        <f>SUM(S1253:V1253)</f>
        <v>32407.829999999998</v>
      </c>
      <c r="X1253" s="118">
        <f t="shared" ref="X1253" si="769">IFERROR(S1253/R1253,"")</f>
        <v>39.312941176470588</v>
      </c>
      <c r="Y1253" s="119">
        <f t="shared" ref="Y1253" si="770">U1253/P1253</f>
        <v>0.21018831786820585</v>
      </c>
      <c r="Z1253" s="117">
        <f t="shared" ref="Z1253" si="771">P1253-W1253</f>
        <v>112238.02999999998</v>
      </c>
      <c r="AA1253" s="119">
        <f t="shared" ref="AA1253" si="772">Z1253/P1253</f>
        <v>0.77595051804455373</v>
      </c>
      <c r="AB1253" s="120">
        <f>M1253-W1253</f>
        <v>-907.57999999999811</v>
      </c>
      <c r="AC1253" s="119">
        <f t="shared" ref="AC1253" si="773">IFERROR(AA1253-O1253,"")</f>
        <v>-6.2744968988397432E-3</v>
      </c>
      <c r="AD1253" s="110" t="s">
        <v>640</v>
      </c>
      <c r="AE1253" s="110"/>
      <c r="AF1253" s="110"/>
      <c r="AG1253" s="121"/>
      <c r="AH1253" s="110"/>
    </row>
    <row r="1254" spans="1:34" ht="11.25" customHeight="1" x14ac:dyDescent="0.15">
      <c r="A1254" s="110" t="s">
        <v>639</v>
      </c>
      <c r="B1254" s="110"/>
      <c r="C1254" s="111" t="s">
        <v>37</v>
      </c>
      <c r="D1254" s="111">
        <v>2023</v>
      </c>
      <c r="E1254" s="146">
        <v>45230</v>
      </c>
      <c r="F1254" s="111"/>
      <c r="G1254" s="111">
        <v>21001011</v>
      </c>
      <c r="H1254" s="111"/>
      <c r="I1254" s="111"/>
      <c r="J1254" s="111"/>
      <c r="K1254" s="112" t="s">
        <v>596</v>
      </c>
      <c r="L1254" s="120">
        <v>12470.14</v>
      </c>
      <c r="M1254" s="120">
        <v>3765.04</v>
      </c>
      <c r="N1254" s="120">
        <f t="shared" ref="N1254:N1259" si="774">L1254-M1254</f>
        <v>8705.0999999999985</v>
      </c>
      <c r="O1254" s="119">
        <f t="shared" ref="O1254:O1260" si="775">IFERROR(N1254/L1254,"")</f>
        <v>0.69807556290466655</v>
      </c>
      <c r="P1254" s="117">
        <f t="shared" ref="P1254:P1259" si="776">L1254</f>
        <v>12470.14</v>
      </c>
      <c r="Q1254" s="111">
        <v>1954</v>
      </c>
      <c r="R1254" s="117"/>
      <c r="S1254" s="117"/>
      <c r="T1254" s="117"/>
      <c r="U1254" s="117">
        <v>4513.53</v>
      </c>
      <c r="V1254" s="117"/>
      <c r="W1254" s="26">
        <f t="shared" ref="W1254:W1276" si="777">SUM(S1254:V1254)</f>
        <v>4513.53</v>
      </c>
      <c r="X1254" s="118" t="str">
        <f t="shared" ref="X1254:X1277" si="778">IFERROR(S1254/R1254,"")</f>
        <v/>
      </c>
      <c r="Y1254" s="119">
        <f t="shared" ref="Y1254:Y1277" si="779">U1254/P1254</f>
        <v>0.36194701903908055</v>
      </c>
      <c r="Z1254" s="117">
        <f t="shared" ref="Z1254:Z1277" si="780">P1254-W1254</f>
        <v>7956.61</v>
      </c>
      <c r="AA1254" s="119">
        <f t="shared" ref="AA1254:AA1277" si="781">Z1254/P1254</f>
        <v>0.63805298096091945</v>
      </c>
      <c r="AB1254" s="120">
        <f t="shared" ref="AB1254:AB1277" si="782">M1254-W1254</f>
        <v>-748.48999999999978</v>
      </c>
      <c r="AC1254" s="119">
        <f t="shared" ref="AC1254:AC1277" si="783">IFERROR(AA1254-O1254,"")</f>
        <v>-6.00225819437471E-2</v>
      </c>
      <c r="AD1254" s="110" t="s">
        <v>641</v>
      </c>
      <c r="AE1254" s="110"/>
      <c r="AF1254" s="110"/>
      <c r="AG1254" s="121"/>
      <c r="AH1254" s="110"/>
    </row>
    <row r="1255" spans="1:34" ht="11.25" customHeight="1" x14ac:dyDescent="0.15">
      <c r="A1255" s="110" t="s">
        <v>639</v>
      </c>
      <c r="B1255" s="110"/>
      <c r="C1255" s="111" t="s">
        <v>37</v>
      </c>
      <c r="D1255" s="111">
        <v>2023</v>
      </c>
      <c r="E1255" s="146">
        <v>45230</v>
      </c>
      <c r="F1255" s="111"/>
      <c r="G1255" s="111">
        <v>21010011</v>
      </c>
      <c r="H1255" s="111"/>
      <c r="I1255" s="111"/>
      <c r="J1255" s="111"/>
      <c r="K1255" s="112" t="s">
        <v>439</v>
      </c>
      <c r="L1255" s="120">
        <v>19005</v>
      </c>
      <c r="M1255" s="120">
        <v>6283.7</v>
      </c>
      <c r="N1255" s="120">
        <f t="shared" si="774"/>
        <v>12721.3</v>
      </c>
      <c r="O1255" s="119">
        <f t="shared" si="775"/>
        <v>0.66936595632728224</v>
      </c>
      <c r="P1255" s="117">
        <f t="shared" si="776"/>
        <v>19005</v>
      </c>
      <c r="Q1255" s="111">
        <v>1955</v>
      </c>
      <c r="R1255" s="117"/>
      <c r="S1255" s="117"/>
      <c r="T1255" s="117"/>
      <c r="U1255" s="117">
        <v>6872.97</v>
      </c>
      <c r="V1255" s="117"/>
      <c r="W1255" s="26">
        <f t="shared" si="777"/>
        <v>6872.97</v>
      </c>
      <c r="X1255" s="118" t="str">
        <f t="shared" si="778"/>
        <v/>
      </c>
      <c r="Y1255" s="119">
        <f t="shared" si="779"/>
        <v>0.36164009471191794</v>
      </c>
      <c r="Z1255" s="117">
        <f t="shared" si="780"/>
        <v>12132.029999999999</v>
      </c>
      <c r="AA1255" s="119">
        <f t="shared" si="781"/>
        <v>0.63835990528808206</v>
      </c>
      <c r="AB1255" s="120">
        <f t="shared" si="782"/>
        <v>-589.27000000000044</v>
      </c>
      <c r="AC1255" s="119">
        <f t="shared" si="783"/>
        <v>-3.1006051039200178E-2</v>
      </c>
      <c r="AD1255" s="110" t="s">
        <v>641</v>
      </c>
      <c r="AE1255" s="110"/>
      <c r="AF1255" s="110"/>
      <c r="AG1255" s="121"/>
      <c r="AH1255" s="110"/>
    </row>
    <row r="1256" spans="1:34" ht="11.25" customHeight="1" x14ac:dyDescent="0.15">
      <c r="A1256" s="110" t="s">
        <v>639</v>
      </c>
      <c r="B1256" s="110"/>
      <c r="C1256" s="111" t="s">
        <v>37</v>
      </c>
      <c r="D1256" s="111">
        <v>2023</v>
      </c>
      <c r="E1256" s="146">
        <v>45230</v>
      </c>
      <c r="F1256" s="111"/>
      <c r="G1256" s="111">
        <v>21050011</v>
      </c>
      <c r="H1256" s="111"/>
      <c r="I1256" s="111"/>
      <c r="J1256" s="111"/>
      <c r="K1256" s="112" t="s">
        <v>582</v>
      </c>
      <c r="L1256" s="120">
        <v>27413</v>
      </c>
      <c r="M1256" s="120">
        <v>8254.11</v>
      </c>
      <c r="N1256" s="120">
        <f t="shared" si="774"/>
        <v>19158.89</v>
      </c>
      <c r="O1256" s="119">
        <f t="shared" si="775"/>
        <v>0.69889796811731653</v>
      </c>
      <c r="P1256" s="117">
        <f t="shared" si="776"/>
        <v>27413</v>
      </c>
      <c r="Q1256" s="111">
        <v>1956</v>
      </c>
      <c r="R1256" s="117"/>
      <c r="S1256" s="117"/>
      <c r="T1256" s="117"/>
      <c r="U1256" s="117">
        <v>8277.31</v>
      </c>
      <c r="V1256" s="117"/>
      <c r="W1256" s="26">
        <f t="shared" si="777"/>
        <v>8277.31</v>
      </c>
      <c r="X1256" s="118" t="str">
        <f t="shared" si="778"/>
        <v/>
      </c>
      <c r="Y1256" s="119">
        <f t="shared" si="779"/>
        <v>0.30194834567540946</v>
      </c>
      <c r="Z1256" s="117">
        <f t="shared" si="780"/>
        <v>19135.690000000002</v>
      </c>
      <c r="AA1256" s="119">
        <f t="shared" si="781"/>
        <v>0.6980516543245906</v>
      </c>
      <c r="AB1256" s="120">
        <f t="shared" si="782"/>
        <v>-23.199999999998909</v>
      </c>
      <c r="AC1256" s="119">
        <f t="shared" si="783"/>
        <v>-8.4631379272592788E-4</v>
      </c>
      <c r="AD1256" s="110"/>
      <c r="AE1256" s="110"/>
      <c r="AF1256" s="110"/>
      <c r="AG1256" s="121"/>
      <c r="AH1256" s="110"/>
    </row>
    <row r="1257" spans="1:34" ht="11.25" customHeight="1" x14ac:dyDescent="0.15">
      <c r="A1257" s="110" t="s">
        <v>639</v>
      </c>
      <c r="B1257" s="110"/>
      <c r="C1257" s="111" t="s">
        <v>37</v>
      </c>
      <c r="D1257" s="111">
        <v>2023</v>
      </c>
      <c r="E1257" s="146">
        <v>45230</v>
      </c>
      <c r="F1257" s="111"/>
      <c r="G1257" s="111">
        <v>13000000</v>
      </c>
      <c r="H1257" s="111"/>
      <c r="I1257" s="111"/>
      <c r="J1257" s="111"/>
      <c r="K1257" s="112" t="s">
        <v>580</v>
      </c>
      <c r="L1257" s="120">
        <v>113454</v>
      </c>
      <c r="M1257" s="120">
        <v>30772</v>
      </c>
      <c r="N1257" s="120">
        <f t="shared" si="774"/>
        <v>82682</v>
      </c>
      <c r="O1257" s="119">
        <f t="shared" si="775"/>
        <v>0.72877113191249321</v>
      </c>
      <c r="P1257" s="117">
        <f t="shared" si="776"/>
        <v>113454</v>
      </c>
      <c r="Q1257" s="111">
        <v>1717</v>
      </c>
      <c r="R1257" s="117">
        <v>41</v>
      </c>
      <c r="S1257" s="117">
        <v>1603.78</v>
      </c>
      <c r="T1257" s="117"/>
      <c r="U1257" s="117">
        <v>28062.87</v>
      </c>
      <c r="V1257" s="117"/>
      <c r="W1257" s="26">
        <f t="shared" si="777"/>
        <v>29666.649999999998</v>
      </c>
      <c r="X1257" s="118">
        <f t="shared" si="778"/>
        <v>39.116585365853659</v>
      </c>
      <c r="Y1257" s="119">
        <f t="shared" si="779"/>
        <v>0.24735020360674809</v>
      </c>
      <c r="Z1257" s="117">
        <f t="shared" si="780"/>
        <v>83787.350000000006</v>
      </c>
      <c r="AA1257" s="119">
        <f t="shared" si="781"/>
        <v>0.73851384702170053</v>
      </c>
      <c r="AB1257" s="120">
        <f t="shared" si="782"/>
        <v>1105.3500000000022</v>
      </c>
      <c r="AC1257" s="119">
        <f t="shared" si="783"/>
        <v>9.7427151092073228E-3</v>
      </c>
      <c r="AD1257" s="110"/>
      <c r="AE1257" s="110"/>
      <c r="AF1257" s="110"/>
      <c r="AG1257" s="121"/>
      <c r="AH1257" s="110"/>
    </row>
    <row r="1258" spans="1:34" ht="11.25" customHeight="1" x14ac:dyDescent="0.15">
      <c r="A1258" s="110" t="s">
        <v>639</v>
      </c>
      <c r="B1258" s="110"/>
      <c r="C1258" s="111" t="s">
        <v>37</v>
      </c>
      <c r="D1258" s="111">
        <v>2023</v>
      </c>
      <c r="E1258" s="146">
        <v>45230</v>
      </c>
      <c r="F1258" s="111"/>
      <c r="G1258" s="111">
        <v>92510102</v>
      </c>
      <c r="H1258" s="111"/>
      <c r="I1258" s="111"/>
      <c r="J1258" s="111"/>
      <c r="K1258" s="112" t="s">
        <v>642</v>
      </c>
      <c r="L1258" s="120">
        <v>5715</v>
      </c>
      <c r="M1258" s="120">
        <v>2000</v>
      </c>
      <c r="N1258" s="120">
        <f t="shared" si="774"/>
        <v>3715</v>
      </c>
      <c r="O1258" s="119">
        <f t="shared" si="775"/>
        <v>0.65004374453193348</v>
      </c>
      <c r="P1258" s="117">
        <f t="shared" si="776"/>
        <v>5715</v>
      </c>
      <c r="Q1258" s="111">
        <v>1957</v>
      </c>
      <c r="R1258" s="117"/>
      <c r="S1258" s="117"/>
      <c r="T1258" s="117"/>
      <c r="U1258" s="117">
        <v>1889.33</v>
      </c>
      <c r="V1258" s="117"/>
      <c r="W1258" s="26">
        <f t="shared" si="777"/>
        <v>1889.33</v>
      </c>
      <c r="X1258" s="118" t="str">
        <f t="shared" si="778"/>
        <v/>
      </c>
      <c r="Y1258" s="119">
        <f t="shared" si="779"/>
        <v>0.33059142607174102</v>
      </c>
      <c r="Z1258" s="117">
        <f t="shared" si="780"/>
        <v>3825.67</v>
      </c>
      <c r="AA1258" s="119">
        <f t="shared" si="781"/>
        <v>0.66940857392825903</v>
      </c>
      <c r="AB1258" s="58">
        <f t="shared" si="782"/>
        <v>110.67000000000007</v>
      </c>
      <c r="AC1258" s="119">
        <f t="shared" si="783"/>
        <v>1.9364829396325556E-2</v>
      </c>
      <c r="AD1258" s="110"/>
      <c r="AE1258" s="110"/>
      <c r="AF1258" s="110"/>
      <c r="AG1258" s="121"/>
      <c r="AH1258" s="110"/>
    </row>
    <row r="1259" spans="1:34" ht="11.25" customHeight="1" x14ac:dyDescent="0.15">
      <c r="A1259" s="110" t="s">
        <v>639</v>
      </c>
      <c r="B1259" s="110"/>
      <c r="C1259" s="111" t="s">
        <v>37</v>
      </c>
      <c r="D1259" s="111">
        <v>2023</v>
      </c>
      <c r="E1259" s="146">
        <v>45230</v>
      </c>
      <c r="F1259" s="111"/>
      <c r="G1259" s="111" t="s">
        <v>643</v>
      </c>
      <c r="H1259" s="111"/>
      <c r="I1259" s="111"/>
      <c r="J1259" s="111"/>
      <c r="K1259" s="112" t="s">
        <v>584</v>
      </c>
      <c r="L1259" s="120">
        <v>43159</v>
      </c>
      <c r="M1259" s="120">
        <v>15082.59</v>
      </c>
      <c r="N1259" s="120">
        <f t="shared" si="774"/>
        <v>28076.41</v>
      </c>
      <c r="O1259" s="119">
        <f t="shared" si="775"/>
        <v>0.65053430338979124</v>
      </c>
      <c r="P1259" s="117">
        <f t="shared" si="776"/>
        <v>43159</v>
      </c>
      <c r="Q1259" s="111">
        <v>1958</v>
      </c>
      <c r="R1259" s="117">
        <v>22</v>
      </c>
      <c r="S1259" s="117">
        <v>858.88</v>
      </c>
      <c r="T1259" s="117"/>
      <c r="U1259" s="117">
        <v>14869.83</v>
      </c>
      <c r="V1259" s="117"/>
      <c r="W1259" s="26">
        <f t="shared" si="777"/>
        <v>15728.71</v>
      </c>
      <c r="X1259" s="118">
        <f t="shared" si="778"/>
        <v>39.04</v>
      </c>
      <c r="Y1259" s="119">
        <f t="shared" si="779"/>
        <v>0.34453601798002736</v>
      </c>
      <c r="Z1259" s="117">
        <f t="shared" si="780"/>
        <v>27430.29</v>
      </c>
      <c r="AA1259" s="119">
        <f t="shared" si="781"/>
        <v>0.63556361361477332</v>
      </c>
      <c r="AB1259" s="120">
        <f t="shared" si="782"/>
        <v>-646.11999999999898</v>
      </c>
      <c r="AC1259" s="119">
        <f t="shared" si="783"/>
        <v>-1.497068977501792E-2</v>
      </c>
      <c r="AD1259" s="110" t="s">
        <v>644</v>
      </c>
      <c r="AE1259" s="110"/>
      <c r="AF1259" s="110"/>
      <c r="AG1259" s="121"/>
      <c r="AH1259" s="110"/>
    </row>
    <row r="1260" spans="1:34" s="53" customFormat="1" ht="11.25" customHeight="1" x14ac:dyDescent="0.15">
      <c r="A1260" s="53" t="s">
        <v>639</v>
      </c>
      <c r="C1260" s="54" t="s">
        <v>360</v>
      </c>
      <c r="D1260" s="54">
        <v>2023</v>
      </c>
      <c r="E1260" s="70">
        <v>45230</v>
      </c>
      <c r="F1260" s="54"/>
      <c r="I1260" s="111"/>
      <c r="J1260" s="111"/>
      <c r="L1260" s="97">
        <f>SUM(L1253:L1259)</f>
        <v>365862</v>
      </c>
      <c r="M1260" s="97">
        <f t="shared" ref="M1260:N1260" si="784">SUM(M1253:M1259)</f>
        <v>97657.69</v>
      </c>
      <c r="N1260" s="97">
        <f t="shared" si="784"/>
        <v>268204.30999999994</v>
      </c>
      <c r="O1260" s="57">
        <f t="shared" si="775"/>
        <v>0.73307506655514909</v>
      </c>
      <c r="P1260" s="97">
        <f>SUM(P1253:P1259)</f>
        <v>365862</v>
      </c>
      <c r="Q1260" s="24"/>
      <c r="R1260" s="117">
        <f>SUM(R1253:R1259)</f>
        <v>114</v>
      </c>
      <c r="S1260" s="117">
        <f t="shared" ref="S1260:W1260" si="785">SUM(S1253:S1259)</f>
        <v>4467.62</v>
      </c>
      <c r="T1260" s="117">
        <f t="shared" si="785"/>
        <v>0</v>
      </c>
      <c r="U1260" s="117">
        <f t="shared" si="785"/>
        <v>94888.71</v>
      </c>
      <c r="V1260" s="117">
        <f t="shared" si="785"/>
        <v>0</v>
      </c>
      <c r="W1260" s="26">
        <f t="shared" si="785"/>
        <v>99356.329999999987</v>
      </c>
      <c r="X1260" s="56">
        <f t="shared" si="778"/>
        <v>39.189649122807019</v>
      </c>
      <c r="Y1260" s="57">
        <f t="shared" si="779"/>
        <v>0.25935656067041674</v>
      </c>
      <c r="Z1260" s="28">
        <f t="shared" si="780"/>
        <v>266505.67000000004</v>
      </c>
      <c r="AA1260" s="57">
        <f t="shared" si="781"/>
        <v>0.7284322230786473</v>
      </c>
      <c r="AB1260" s="120">
        <f t="shared" si="782"/>
        <v>-1698.6399999999849</v>
      </c>
      <c r="AC1260" s="57">
        <f t="shared" si="783"/>
        <v>-4.6428434765017901E-3</v>
      </c>
      <c r="AG1260" s="61"/>
    </row>
    <row r="1261" spans="1:34" s="110" customFormat="1" ht="11.25" customHeight="1" x14ac:dyDescent="0.15">
      <c r="A1261" s="110" t="s">
        <v>639</v>
      </c>
      <c r="C1261" s="111" t="s">
        <v>47</v>
      </c>
      <c r="D1261" s="111">
        <v>2024</v>
      </c>
      <c r="E1261" s="280">
        <v>45504</v>
      </c>
      <c r="F1261" s="111"/>
      <c r="G1261" s="111">
        <v>50000010</v>
      </c>
      <c r="I1261" s="111"/>
      <c r="J1261" s="111"/>
      <c r="K1261" s="110" t="s">
        <v>645</v>
      </c>
      <c r="L1261" s="154">
        <v>90458</v>
      </c>
      <c r="M1261" s="154">
        <v>31042.240000000002</v>
      </c>
      <c r="N1261" s="120">
        <f t="shared" ref="N1261" si="786">L1261-M1261</f>
        <v>59415.759999999995</v>
      </c>
      <c r="O1261" s="119">
        <f t="shared" ref="O1261" si="787">IFERROR(N1261/L1261,"")</f>
        <v>0.65683256317849159</v>
      </c>
      <c r="P1261" s="154">
        <f>L1261</f>
        <v>90458</v>
      </c>
      <c r="Q1261" s="111">
        <v>1959</v>
      </c>
      <c r="R1261" s="117">
        <v>301</v>
      </c>
      <c r="S1261" s="117">
        <v>13818.92</v>
      </c>
      <c r="T1261" s="117">
        <v>23746.97</v>
      </c>
      <c r="U1261" s="117">
        <v>11316.64</v>
      </c>
      <c r="V1261" s="117"/>
      <c r="W1261" s="26">
        <f t="shared" si="777"/>
        <v>48882.53</v>
      </c>
      <c r="X1261" s="118">
        <f t="shared" si="778"/>
        <v>45.910033222591359</v>
      </c>
      <c r="Y1261" s="119">
        <f t="shared" si="779"/>
        <v>0.12510380508081098</v>
      </c>
      <c r="Z1261" s="117">
        <f t="shared" si="780"/>
        <v>41575.47</v>
      </c>
      <c r="AA1261" s="119">
        <f t="shared" si="781"/>
        <v>0.45961075858409428</v>
      </c>
      <c r="AB1261" s="120">
        <f t="shared" si="782"/>
        <v>-17840.289999999997</v>
      </c>
      <c r="AC1261" s="119">
        <f t="shared" si="783"/>
        <v>-0.19722180459439731</v>
      </c>
      <c r="AD1261" s="110" t="s">
        <v>646</v>
      </c>
      <c r="AG1261" s="121"/>
    </row>
    <row r="1262" spans="1:34" ht="11.25" customHeight="1" x14ac:dyDescent="0.15">
      <c r="A1262" s="110" t="s">
        <v>639</v>
      </c>
      <c r="B1262" s="110"/>
      <c r="C1262" s="111" t="s">
        <v>248</v>
      </c>
      <c r="D1262" s="111">
        <v>2024</v>
      </c>
      <c r="E1262" s="280">
        <v>45504</v>
      </c>
      <c r="F1262" s="111"/>
      <c r="G1262" s="111">
        <v>96000000</v>
      </c>
      <c r="H1262" s="111"/>
      <c r="I1262" s="111"/>
      <c r="J1262" s="111"/>
      <c r="K1262" s="112" t="s">
        <v>250</v>
      </c>
      <c r="L1262" s="120">
        <v>28079</v>
      </c>
      <c r="M1262" s="120">
        <v>11903</v>
      </c>
      <c r="N1262" s="120">
        <f t="shared" ref="N1262:N1266" si="788">L1262-M1262</f>
        <v>16176</v>
      </c>
      <c r="O1262" s="119">
        <f t="shared" ref="O1262:O1266" si="789">IFERROR(N1262/L1262,"")</f>
        <v>0.57608889205456038</v>
      </c>
      <c r="P1262" s="154">
        <f t="shared" ref="P1262:P1276" si="790">L1262</f>
        <v>28079</v>
      </c>
      <c r="Q1262" s="111">
        <v>1960</v>
      </c>
      <c r="R1262" s="117">
        <v>46</v>
      </c>
      <c r="S1262" s="117">
        <v>2601.3000000000002</v>
      </c>
      <c r="T1262" s="117"/>
      <c r="U1262" s="117"/>
      <c r="V1262" s="117"/>
      <c r="W1262" s="26">
        <f t="shared" si="777"/>
        <v>2601.3000000000002</v>
      </c>
      <c r="X1262" s="118">
        <f t="shared" si="778"/>
        <v>56.550000000000004</v>
      </c>
      <c r="Y1262" s="119">
        <f t="shared" si="779"/>
        <v>0</v>
      </c>
      <c r="Z1262" s="117">
        <f t="shared" si="780"/>
        <v>25477.7</v>
      </c>
      <c r="AA1262" s="119">
        <f t="shared" si="781"/>
        <v>0.90735781188788778</v>
      </c>
      <c r="AB1262" s="120">
        <f t="shared" si="782"/>
        <v>9301.7000000000007</v>
      </c>
      <c r="AC1262" s="119">
        <f t="shared" si="783"/>
        <v>0.3312689198333274</v>
      </c>
      <c r="AD1262" s="110"/>
      <c r="AE1262" s="110"/>
      <c r="AF1262" s="110"/>
      <c r="AG1262" s="121"/>
      <c r="AH1262" s="110"/>
    </row>
    <row r="1263" spans="1:34" ht="11.25" customHeight="1" x14ac:dyDescent="0.15">
      <c r="A1263" s="110" t="s">
        <v>639</v>
      </c>
      <c r="B1263" s="110"/>
      <c r="C1263" s="111" t="s">
        <v>55</v>
      </c>
      <c r="D1263" s="111">
        <v>2023</v>
      </c>
      <c r="E1263" s="146">
        <v>45230</v>
      </c>
      <c r="F1263" s="111"/>
      <c r="G1263" s="111" t="s">
        <v>56</v>
      </c>
      <c r="H1263" s="111"/>
      <c r="I1263" s="111"/>
      <c r="J1263" s="111"/>
      <c r="K1263" s="112" t="s">
        <v>71</v>
      </c>
      <c r="L1263" s="120">
        <v>61652</v>
      </c>
      <c r="M1263" s="120">
        <v>40826</v>
      </c>
      <c r="N1263" s="120">
        <f t="shared" si="788"/>
        <v>20826</v>
      </c>
      <c r="O1263" s="119">
        <f t="shared" si="789"/>
        <v>0.33779926036462726</v>
      </c>
      <c r="P1263" s="154">
        <f t="shared" si="790"/>
        <v>61652</v>
      </c>
      <c r="Q1263" s="111">
        <v>1961</v>
      </c>
      <c r="R1263" s="117">
        <v>41.5</v>
      </c>
      <c r="S1263" s="117">
        <v>1763.75</v>
      </c>
      <c r="T1263" s="117"/>
      <c r="U1263" s="117"/>
      <c r="V1263" s="117">
        <f>22369.02+593.21</f>
        <v>22962.23</v>
      </c>
      <c r="W1263" s="26">
        <f t="shared" si="777"/>
        <v>24725.98</v>
      </c>
      <c r="X1263" s="118">
        <f t="shared" si="778"/>
        <v>42.5</v>
      </c>
      <c r="Y1263" s="119">
        <f t="shared" si="779"/>
        <v>0</v>
      </c>
      <c r="Z1263" s="117">
        <f t="shared" si="780"/>
        <v>36926.020000000004</v>
      </c>
      <c r="AA1263" s="119">
        <f t="shared" si="781"/>
        <v>0.59894277557905673</v>
      </c>
      <c r="AB1263" s="120">
        <f t="shared" si="782"/>
        <v>16100.02</v>
      </c>
      <c r="AC1263" s="119">
        <f t="shared" si="783"/>
        <v>0.26114351521442947</v>
      </c>
      <c r="AD1263" s="110"/>
      <c r="AE1263" s="110"/>
      <c r="AF1263" s="110"/>
      <c r="AG1263" s="121"/>
      <c r="AH1263" s="110"/>
    </row>
    <row r="1264" spans="1:34" ht="11.25" customHeight="1" x14ac:dyDescent="0.15">
      <c r="A1264" s="110" t="s">
        <v>639</v>
      </c>
      <c r="B1264" s="110"/>
      <c r="C1264" s="111" t="s">
        <v>58</v>
      </c>
      <c r="D1264" s="111">
        <v>2024</v>
      </c>
      <c r="E1264" s="280">
        <v>45504</v>
      </c>
      <c r="F1264" s="111"/>
      <c r="G1264" s="111" t="s">
        <v>647</v>
      </c>
      <c r="H1264" s="111"/>
      <c r="I1264" s="111"/>
      <c r="J1264" s="111"/>
      <c r="K1264" s="112" t="s">
        <v>589</v>
      </c>
      <c r="L1264" s="120">
        <v>108501</v>
      </c>
      <c r="M1264" s="120">
        <v>4997</v>
      </c>
      <c r="N1264" s="120">
        <f t="shared" si="788"/>
        <v>103504</v>
      </c>
      <c r="O1264" s="119">
        <f t="shared" si="789"/>
        <v>0.95394512492972416</v>
      </c>
      <c r="P1264" s="154">
        <f t="shared" si="790"/>
        <v>108501</v>
      </c>
      <c r="Q1264" s="111">
        <v>1962</v>
      </c>
      <c r="R1264" s="117"/>
      <c r="S1264" s="117"/>
      <c r="T1264" s="117"/>
      <c r="U1264" s="117">
        <v>2052.9899999999998</v>
      </c>
      <c r="V1264" s="117"/>
      <c r="W1264" s="26">
        <f t="shared" si="777"/>
        <v>2052.9899999999998</v>
      </c>
      <c r="X1264" s="118" t="str">
        <f t="shared" si="778"/>
        <v/>
      </c>
      <c r="Y1264" s="119">
        <f t="shared" si="779"/>
        <v>1.892139242956286E-2</v>
      </c>
      <c r="Z1264" s="117">
        <f t="shared" si="780"/>
        <v>106448.01</v>
      </c>
      <c r="AA1264" s="119">
        <f t="shared" si="781"/>
        <v>0.98107860757043708</v>
      </c>
      <c r="AB1264" s="120">
        <f t="shared" si="782"/>
        <v>2944.01</v>
      </c>
      <c r="AC1264" s="119">
        <f t="shared" si="783"/>
        <v>2.7133482640712914E-2</v>
      </c>
      <c r="AD1264" s="110"/>
      <c r="AE1264" s="110"/>
      <c r="AF1264" s="110"/>
      <c r="AG1264" s="121"/>
      <c r="AH1264" s="110"/>
    </row>
    <row r="1265" spans="1:34" ht="11.25" customHeight="1" x14ac:dyDescent="0.15">
      <c r="A1265" s="110" t="s">
        <v>639</v>
      </c>
      <c r="B1265" s="110"/>
      <c r="C1265" s="111" t="s">
        <v>58</v>
      </c>
      <c r="D1265" s="111">
        <v>2024</v>
      </c>
      <c r="E1265" s="280">
        <v>45504</v>
      </c>
      <c r="F1265" s="111"/>
      <c r="G1265" s="111">
        <v>73152012</v>
      </c>
      <c r="H1265" s="111"/>
      <c r="I1265" s="111"/>
      <c r="J1265" s="111"/>
      <c r="K1265" s="112" t="s">
        <v>648</v>
      </c>
      <c r="L1265" s="120">
        <v>108501</v>
      </c>
      <c r="M1265" s="120">
        <v>4997</v>
      </c>
      <c r="N1265" s="120">
        <f t="shared" si="788"/>
        <v>103504</v>
      </c>
      <c r="O1265" s="119">
        <f t="shared" si="789"/>
        <v>0.95394512492972416</v>
      </c>
      <c r="P1265" s="154">
        <f t="shared" si="790"/>
        <v>108501</v>
      </c>
      <c r="Q1265" s="111">
        <v>1963</v>
      </c>
      <c r="R1265" s="117"/>
      <c r="S1265" s="117"/>
      <c r="T1265" s="117"/>
      <c r="U1265" s="117">
        <v>2248.66</v>
      </c>
      <c r="V1265" s="117"/>
      <c r="W1265" s="26">
        <f t="shared" si="777"/>
        <v>2248.66</v>
      </c>
      <c r="X1265" s="118" t="str">
        <f t="shared" si="778"/>
        <v/>
      </c>
      <c r="Y1265" s="119">
        <f t="shared" si="779"/>
        <v>2.0724785946673301E-2</v>
      </c>
      <c r="Z1265" s="117">
        <f t="shared" si="780"/>
        <v>106252.34</v>
      </c>
      <c r="AA1265" s="119">
        <f t="shared" si="781"/>
        <v>0.97927521405332663</v>
      </c>
      <c r="AB1265" s="120">
        <f t="shared" si="782"/>
        <v>2748.34</v>
      </c>
      <c r="AC1265" s="119">
        <f t="shared" si="783"/>
        <v>2.5330089123602462E-2</v>
      </c>
      <c r="AD1265" s="110"/>
      <c r="AE1265" s="110"/>
      <c r="AF1265" s="110"/>
      <c r="AG1265" s="121"/>
      <c r="AH1265" s="110"/>
    </row>
    <row r="1266" spans="1:34" ht="11.25" customHeight="1" x14ac:dyDescent="0.15">
      <c r="A1266" s="110" t="s">
        <v>639</v>
      </c>
      <c r="B1266" s="110"/>
      <c r="C1266" s="111" t="s">
        <v>49</v>
      </c>
      <c r="D1266" s="111">
        <v>2024</v>
      </c>
      <c r="E1266" s="280">
        <v>45504</v>
      </c>
      <c r="F1266" s="111"/>
      <c r="G1266" s="111">
        <v>60602012</v>
      </c>
      <c r="H1266" s="111"/>
      <c r="I1266" s="111"/>
      <c r="J1266" s="111"/>
      <c r="K1266" s="112" t="s">
        <v>649</v>
      </c>
      <c r="L1266" s="219">
        <v>19046</v>
      </c>
      <c r="M1266" s="219">
        <v>10165.56</v>
      </c>
      <c r="N1266" s="120">
        <f t="shared" si="788"/>
        <v>8880.44</v>
      </c>
      <c r="O1266" s="119">
        <f t="shared" si="789"/>
        <v>0.46626273233224824</v>
      </c>
      <c r="P1266" s="154">
        <f t="shared" si="790"/>
        <v>19046</v>
      </c>
      <c r="Q1266" s="111">
        <v>1964</v>
      </c>
      <c r="R1266" s="117">
        <v>72</v>
      </c>
      <c r="S1266" s="117">
        <v>4071.6</v>
      </c>
      <c r="T1266" s="117">
        <v>9431.84</v>
      </c>
      <c r="U1266" s="117"/>
      <c r="V1266" s="117"/>
      <c r="W1266" s="26">
        <f t="shared" si="777"/>
        <v>13503.44</v>
      </c>
      <c r="X1266" s="118">
        <f t="shared" si="778"/>
        <v>56.55</v>
      </c>
      <c r="Y1266" s="119">
        <f t="shared" si="779"/>
        <v>0</v>
      </c>
      <c r="Z1266" s="117">
        <f t="shared" si="780"/>
        <v>5542.5599999999995</v>
      </c>
      <c r="AA1266" s="119">
        <f t="shared" si="781"/>
        <v>0.29100913577654097</v>
      </c>
      <c r="AB1266" s="120">
        <f t="shared" si="782"/>
        <v>-3337.880000000001</v>
      </c>
      <c r="AC1266" s="119">
        <f t="shared" si="783"/>
        <v>-0.17525359655570727</v>
      </c>
      <c r="AD1266" s="110" t="s">
        <v>650</v>
      </c>
      <c r="AE1266" s="110"/>
      <c r="AF1266" s="110"/>
      <c r="AG1266" s="229"/>
      <c r="AH1266" s="110"/>
    </row>
    <row r="1267" spans="1:34" ht="11.25" customHeight="1" x14ac:dyDescent="0.15">
      <c r="A1267" s="110" t="s">
        <v>639</v>
      </c>
      <c r="B1267" s="110"/>
      <c r="C1267" s="111" t="s">
        <v>61</v>
      </c>
      <c r="D1267" s="111">
        <v>2023</v>
      </c>
      <c r="E1267" s="146">
        <v>45230</v>
      </c>
      <c r="F1267" s="111"/>
      <c r="G1267" s="111">
        <v>81100401</v>
      </c>
      <c r="H1267" s="111"/>
      <c r="I1267" s="111" t="str">
        <f>MID(G1267,2,1)</f>
        <v>1</v>
      </c>
      <c r="J1267" s="111" t="str">
        <f>IF(I1267="1","Small/Medium","Large")</f>
        <v>Small/Medium</v>
      </c>
      <c r="K1267" s="112" t="s">
        <v>342</v>
      </c>
      <c r="L1267" s="219">
        <v>0</v>
      </c>
      <c r="M1267" s="120">
        <f>L1267*0.3</f>
        <v>0</v>
      </c>
      <c r="N1267" s="120">
        <f>L1267-M1267</f>
        <v>0</v>
      </c>
      <c r="O1267" s="119" t="str">
        <f>IFERROR(N1267/L1267,"")</f>
        <v/>
      </c>
      <c r="P1267" s="154">
        <f t="shared" si="790"/>
        <v>0</v>
      </c>
      <c r="Q1267" s="111"/>
      <c r="R1267" s="117"/>
      <c r="S1267" s="117"/>
      <c r="T1267" s="117"/>
      <c r="U1267" s="117"/>
      <c r="V1267" s="117"/>
      <c r="W1267" s="26">
        <f t="shared" si="777"/>
        <v>0</v>
      </c>
      <c r="X1267" s="118" t="str">
        <f t="shared" si="778"/>
        <v/>
      </c>
      <c r="Y1267" s="119" t="str">
        <f>IFERROR(U1267/P1267," ")</f>
        <v xml:space="preserve"> </v>
      </c>
      <c r="Z1267" s="117">
        <f t="shared" si="780"/>
        <v>0</v>
      </c>
      <c r="AA1267" s="119" t="str">
        <f>IFERROR(Z1267/P1267, " ")</f>
        <v xml:space="preserve"> </v>
      </c>
      <c r="AB1267" s="120">
        <f t="shared" si="782"/>
        <v>0</v>
      </c>
      <c r="AC1267" s="119" t="str">
        <f t="shared" si="783"/>
        <v/>
      </c>
      <c r="AD1267" s="110"/>
      <c r="AE1267" s="110"/>
      <c r="AF1267" s="110"/>
      <c r="AG1267" s="229"/>
      <c r="AH1267" s="110"/>
    </row>
    <row r="1268" spans="1:34" ht="11.25" customHeight="1" x14ac:dyDescent="0.15">
      <c r="A1268" s="110" t="s">
        <v>639</v>
      </c>
      <c r="B1268" s="110"/>
      <c r="C1268" s="111" t="s">
        <v>61</v>
      </c>
      <c r="D1268" s="111">
        <v>2023</v>
      </c>
      <c r="E1268" s="146">
        <v>45230</v>
      </c>
      <c r="F1268" s="111"/>
      <c r="G1268" s="111">
        <v>80100401</v>
      </c>
      <c r="H1268" s="111"/>
      <c r="I1268" s="111">
        <v>0</v>
      </c>
      <c r="J1268" s="111" t="s">
        <v>502</v>
      </c>
      <c r="K1268" s="112" t="s">
        <v>344</v>
      </c>
      <c r="L1268" s="219">
        <v>17145</v>
      </c>
      <c r="M1268" s="120">
        <f t="shared" ref="M1268:M1276" si="791">L1268*0.3</f>
        <v>5143.5</v>
      </c>
      <c r="N1268" s="120">
        <f t="shared" ref="N1268:N1276" si="792">L1268-M1268</f>
        <v>12001.5</v>
      </c>
      <c r="O1268" s="119">
        <f t="shared" ref="O1268:O1277" si="793">IFERROR(N1268/L1268,"")</f>
        <v>0.7</v>
      </c>
      <c r="P1268" s="154">
        <f t="shared" si="790"/>
        <v>17145</v>
      </c>
      <c r="Q1268" s="111"/>
      <c r="R1268" s="117"/>
      <c r="S1268" s="117"/>
      <c r="T1268" s="117"/>
      <c r="U1268" s="117"/>
      <c r="V1268" s="117"/>
      <c r="W1268" s="26">
        <f t="shared" si="777"/>
        <v>0</v>
      </c>
      <c r="X1268" s="118" t="str">
        <f t="shared" si="778"/>
        <v/>
      </c>
      <c r="Y1268" s="119">
        <f t="shared" si="779"/>
        <v>0</v>
      </c>
      <c r="Z1268" s="117">
        <f t="shared" si="780"/>
        <v>17145</v>
      </c>
      <c r="AA1268" s="119">
        <f t="shared" si="781"/>
        <v>1</v>
      </c>
      <c r="AB1268" s="120">
        <f t="shared" si="782"/>
        <v>5143.5</v>
      </c>
      <c r="AC1268" s="119">
        <f t="shared" si="783"/>
        <v>0.30000000000000004</v>
      </c>
      <c r="AD1268" s="110"/>
      <c r="AE1268" s="110"/>
      <c r="AF1268" s="110"/>
      <c r="AG1268" s="229"/>
      <c r="AH1268" s="110"/>
    </row>
    <row r="1269" spans="1:34" ht="11.25" customHeight="1" x14ac:dyDescent="0.15">
      <c r="A1269" s="110" t="s">
        <v>639</v>
      </c>
      <c r="B1269" s="110"/>
      <c r="C1269" s="111" t="s">
        <v>61</v>
      </c>
      <c r="D1269" s="111">
        <v>2023</v>
      </c>
      <c r="E1269" s="146">
        <v>45230</v>
      </c>
      <c r="F1269" s="111"/>
      <c r="G1269" s="111">
        <v>81100401</v>
      </c>
      <c r="H1269" s="111"/>
      <c r="I1269" s="111" t="str">
        <f>MID(G1269,2,1)</f>
        <v>1</v>
      </c>
      <c r="J1269" s="111" t="str">
        <f>IF(I1269="1","Small/Medium","Large")</f>
        <v>Small/Medium</v>
      </c>
      <c r="K1269" s="112" t="s">
        <v>346</v>
      </c>
      <c r="L1269" s="219">
        <v>18430.88</v>
      </c>
      <c r="M1269" s="120">
        <f t="shared" si="791"/>
        <v>5529.2640000000001</v>
      </c>
      <c r="N1269" s="120">
        <f t="shared" si="792"/>
        <v>12901.616000000002</v>
      </c>
      <c r="O1269" s="119">
        <f t="shared" si="793"/>
        <v>0.70000000000000007</v>
      </c>
      <c r="P1269" s="154">
        <f t="shared" si="790"/>
        <v>18430.88</v>
      </c>
      <c r="Q1269" s="111"/>
      <c r="R1269" s="117"/>
      <c r="S1269" s="117"/>
      <c r="T1269" s="117"/>
      <c r="U1269" s="117"/>
      <c r="V1269" s="117"/>
      <c r="W1269" s="26">
        <f t="shared" si="777"/>
        <v>0</v>
      </c>
      <c r="X1269" s="118" t="str">
        <f t="shared" si="778"/>
        <v/>
      </c>
      <c r="Y1269" s="119">
        <f t="shared" si="779"/>
        <v>0</v>
      </c>
      <c r="Z1269" s="117">
        <f t="shared" si="780"/>
        <v>18430.88</v>
      </c>
      <c r="AA1269" s="119">
        <f t="shared" si="781"/>
        <v>1</v>
      </c>
      <c r="AB1269" s="120">
        <f t="shared" si="782"/>
        <v>5529.2640000000001</v>
      </c>
      <c r="AC1269" s="119">
        <f t="shared" si="783"/>
        <v>0.29999999999999993</v>
      </c>
      <c r="AD1269" s="110"/>
      <c r="AE1269" s="110"/>
      <c r="AF1269" s="110"/>
      <c r="AG1269" s="229"/>
      <c r="AH1269" s="110"/>
    </row>
    <row r="1270" spans="1:34" ht="11.25" customHeight="1" x14ac:dyDescent="0.15">
      <c r="A1270" s="110" t="s">
        <v>639</v>
      </c>
      <c r="B1270" s="110"/>
      <c r="C1270" s="111" t="s">
        <v>61</v>
      </c>
      <c r="D1270" s="111">
        <v>2023</v>
      </c>
      <c r="E1270" s="146">
        <v>45230</v>
      </c>
      <c r="F1270" s="111"/>
      <c r="G1270" s="111">
        <v>80100401</v>
      </c>
      <c r="H1270" s="111"/>
      <c r="I1270" s="111" t="str">
        <f>MID(G1270,2,1)</f>
        <v>0</v>
      </c>
      <c r="J1270" s="111" t="s">
        <v>502</v>
      </c>
      <c r="K1270" s="112" t="s">
        <v>348</v>
      </c>
      <c r="L1270" s="219">
        <v>19813.189999999999</v>
      </c>
      <c r="M1270" s="120">
        <f t="shared" si="791"/>
        <v>5943.9569999999994</v>
      </c>
      <c r="N1270" s="120">
        <f t="shared" si="792"/>
        <v>13869.233</v>
      </c>
      <c r="O1270" s="119">
        <f t="shared" si="793"/>
        <v>0.70000000000000007</v>
      </c>
      <c r="P1270" s="154">
        <f t="shared" si="790"/>
        <v>19813.189999999999</v>
      </c>
      <c r="Q1270" s="111"/>
      <c r="R1270" s="117"/>
      <c r="S1270" s="117"/>
      <c r="T1270" s="117"/>
      <c r="U1270" s="117"/>
      <c r="V1270" s="117"/>
      <c r="W1270" s="26">
        <f t="shared" si="777"/>
        <v>0</v>
      </c>
      <c r="X1270" s="118" t="str">
        <f t="shared" si="778"/>
        <v/>
      </c>
      <c r="Y1270" s="119">
        <f t="shared" si="779"/>
        <v>0</v>
      </c>
      <c r="Z1270" s="117">
        <f t="shared" si="780"/>
        <v>19813.189999999999</v>
      </c>
      <c r="AA1270" s="119">
        <f t="shared" si="781"/>
        <v>1</v>
      </c>
      <c r="AB1270" s="120">
        <f t="shared" si="782"/>
        <v>5943.9569999999994</v>
      </c>
      <c r="AC1270" s="119">
        <f t="shared" si="783"/>
        <v>0.29999999999999993</v>
      </c>
      <c r="AD1270" s="110"/>
      <c r="AE1270" s="110"/>
      <c r="AF1270" s="110"/>
      <c r="AG1270" s="229"/>
      <c r="AH1270" s="110"/>
    </row>
    <row r="1271" spans="1:34" ht="11.25" customHeight="1" x14ac:dyDescent="0.15">
      <c r="A1271" s="110" t="s">
        <v>639</v>
      </c>
      <c r="B1271" s="110"/>
      <c r="C1271" s="111" t="s">
        <v>61</v>
      </c>
      <c r="D1271" s="111">
        <v>2023</v>
      </c>
      <c r="E1271" s="146">
        <v>45230</v>
      </c>
      <c r="F1271" s="111"/>
      <c r="G1271" s="111">
        <v>81100401</v>
      </c>
      <c r="H1271" s="111"/>
      <c r="I1271" s="111" t="str">
        <f>MID(G1271,2,1)</f>
        <v>1</v>
      </c>
      <c r="J1271" s="111" t="str">
        <f>IF(I1271="1","Small/Medium","Large")</f>
        <v>Small/Medium</v>
      </c>
      <c r="K1271" s="112" t="s">
        <v>350</v>
      </c>
      <c r="L1271" s="219">
        <v>21299.18</v>
      </c>
      <c r="M1271" s="120">
        <f t="shared" si="791"/>
        <v>6389.7539999999999</v>
      </c>
      <c r="N1271" s="120">
        <f t="shared" si="792"/>
        <v>14909.425999999999</v>
      </c>
      <c r="O1271" s="119">
        <f t="shared" si="793"/>
        <v>0.7</v>
      </c>
      <c r="P1271" s="154">
        <f t="shared" si="790"/>
        <v>21299.18</v>
      </c>
      <c r="Q1271" s="111"/>
      <c r="R1271" s="117"/>
      <c r="S1271" s="117"/>
      <c r="T1271" s="117"/>
      <c r="U1271" s="117"/>
      <c r="V1271" s="117"/>
      <c r="W1271" s="26">
        <f t="shared" si="777"/>
        <v>0</v>
      </c>
      <c r="X1271" s="118" t="str">
        <f t="shared" si="778"/>
        <v/>
      </c>
      <c r="Y1271" s="119">
        <f t="shared" si="779"/>
        <v>0</v>
      </c>
      <c r="Z1271" s="117">
        <f t="shared" si="780"/>
        <v>21299.18</v>
      </c>
      <c r="AA1271" s="119">
        <f t="shared" si="781"/>
        <v>1</v>
      </c>
      <c r="AB1271" s="120">
        <f t="shared" si="782"/>
        <v>6389.7539999999999</v>
      </c>
      <c r="AC1271" s="119">
        <f t="shared" si="783"/>
        <v>0.30000000000000004</v>
      </c>
      <c r="AD1271" s="110"/>
      <c r="AE1271" s="110"/>
      <c r="AF1271" s="110"/>
      <c r="AG1271" s="229"/>
      <c r="AH1271" s="110"/>
    </row>
    <row r="1272" spans="1:34" ht="11.25" customHeight="1" x14ac:dyDescent="0.15">
      <c r="A1272" s="110" t="s">
        <v>639</v>
      </c>
      <c r="B1272" s="110"/>
      <c r="C1272" s="111" t="s">
        <v>61</v>
      </c>
      <c r="D1272" s="111">
        <v>2023</v>
      </c>
      <c r="E1272" s="146">
        <v>45230</v>
      </c>
      <c r="F1272" s="111"/>
      <c r="G1272" s="111">
        <v>80100401</v>
      </c>
      <c r="H1272" s="111"/>
      <c r="I1272" s="111" t="str">
        <f>MID(G1272,2,1)</f>
        <v>0</v>
      </c>
      <c r="J1272" s="111" t="s">
        <v>502</v>
      </c>
      <c r="K1272" s="112" t="s">
        <v>342</v>
      </c>
      <c r="L1272" s="219">
        <v>0</v>
      </c>
      <c r="M1272" s="120">
        <f t="shared" si="791"/>
        <v>0</v>
      </c>
      <c r="N1272" s="120">
        <f t="shared" si="792"/>
        <v>0</v>
      </c>
      <c r="O1272" s="119" t="str">
        <f t="shared" si="793"/>
        <v/>
      </c>
      <c r="P1272" s="154">
        <f t="shared" si="790"/>
        <v>0</v>
      </c>
      <c r="Q1272" s="111"/>
      <c r="R1272" s="117"/>
      <c r="S1272" s="117"/>
      <c r="T1272" s="117"/>
      <c r="U1272" s="117"/>
      <c r="V1272" s="117"/>
      <c r="W1272" s="26">
        <f t="shared" si="777"/>
        <v>0</v>
      </c>
      <c r="X1272" s="118" t="str">
        <f t="shared" si="778"/>
        <v/>
      </c>
      <c r="Y1272" s="119" t="str">
        <f>IFERROR(U1272/P1272," ")</f>
        <v xml:space="preserve"> </v>
      </c>
      <c r="Z1272" s="117">
        <f t="shared" ref="Z1272" si="794">P1272-W1272</f>
        <v>0</v>
      </c>
      <c r="AA1272" s="119" t="str">
        <f>IFERROR(Z1272/P1272, " ")</f>
        <v xml:space="preserve"> </v>
      </c>
      <c r="AB1272" s="120">
        <f t="shared" si="782"/>
        <v>0</v>
      </c>
      <c r="AC1272" s="119" t="str">
        <f t="shared" ref="AC1272" si="795">IFERROR(AA1272-O1272,"")</f>
        <v/>
      </c>
      <c r="AD1272" s="110"/>
      <c r="AE1272" s="110"/>
      <c r="AF1272" s="110"/>
      <c r="AG1272" s="229"/>
      <c r="AH1272" s="110"/>
    </row>
    <row r="1273" spans="1:34" ht="11.25" customHeight="1" x14ac:dyDescent="0.15">
      <c r="A1273" s="110" t="s">
        <v>639</v>
      </c>
      <c r="B1273" s="110"/>
      <c r="C1273" s="111" t="s">
        <v>61</v>
      </c>
      <c r="D1273" s="111">
        <v>2023</v>
      </c>
      <c r="E1273" s="146">
        <v>45230</v>
      </c>
      <c r="F1273" s="111"/>
      <c r="G1273" s="111">
        <v>81100401</v>
      </c>
      <c r="H1273" s="111"/>
      <c r="I1273" s="111" t="str">
        <f t="shared" ref="I1273:I1276" si="796">MID(G1273,2,1)</f>
        <v>1</v>
      </c>
      <c r="J1273" s="111" t="str">
        <f t="shared" ref="J1273:J1275" si="797">IF(I1273="1","Small/Medium","Large")</f>
        <v>Small/Medium</v>
      </c>
      <c r="K1273" s="112" t="s">
        <v>344</v>
      </c>
      <c r="L1273" s="219">
        <v>13748</v>
      </c>
      <c r="M1273" s="120">
        <f t="shared" si="791"/>
        <v>4124.3999999999996</v>
      </c>
      <c r="N1273" s="120">
        <f t="shared" si="792"/>
        <v>9623.6</v>
      </c>
      <c r="O1273" s="119">
        <f t="shared" si="793"/>
        <v>0.70000000000000007</v>
      </c>
      <c r="P1273" s="154">
        <f t="shared" si="790"/>
        <v>13748</v>
      </c>
      <c r="Q1273" s="111"/>
      <c r="R1273" s="117"/>
      <c r="S1273" s="117"/>
      <c r="T1273" s="117"/>
      <c r="U1273" s="117"/>
      <c r="V1273" s="117"/>
      <c r="W1273" s="26">
        <f t="shared" si="777"/>
        <v>0</v>
      </c>
      <c r="X1273" s="118" t="str">
        <f t="shared" si="778"/>
        <v/>
      </c>
      <c r="Y1273" s="119">
        <f t="shared" si="779"/>
        <v>0</v>
      </c>
      <c r="Z1273" s="117">
        <f t="shared" si="780"/>
        <v>13748</v>
      </c>
      <c r="AA1273" s="119">
        <f t="shared" si="781"/>
        <v>1</v>
      </c>
      <c r="AB1273" s="120">
        <f t="shared" si="782"/>
        <v>4124.3999999999996</v>
      </c>
      <c r="AC1273" s="119">
        <f t="shared" si="783"/>
        <v>0.29999999999999993</v>
      </c>
      <c r="AD1273" s="110"/>
      <c r="AE1273" s="110"/>
      <c r="AF1273" s="110"/>
      <c r="AG1273" s="229"/>
      <c r="AH1273" s="110"/>
    </row>
    <row r="1274" spans="1:34" ht="11.25" customHeight="1" x14ac:dyDescent="0.15">
      <c r="A1274" s="110" t="s">
        <v>639</v>
      </c>
      <c r="B1274" s="110"/>
      <c r="C1274" s="111" t="s">
        <v>61</v>
      </c>
      <c r="D1274" s="111">
        <v>2023</v>
      </c>
      <c r="E1274" s="146">
        <v>45230</v>
      </c>
      <c r="F1274" s="111"/>
      <c r="G1274" s="111">
        <v>80100401</v>
      </c>
      <c r="H1274" s="111"/>
      <c r="I1274" s="111" t="str">
        <f t="shared" si="796"/>
        <v>0</v>
      </c>
      <c r="J1274" s="111" t="s">
        <v>502</v>
      </c>
      <c r="K1274" s="112" t="s">
        <v>346</v>
      </c>
      <c r="L1274" s="219">
        <v>13235.13</v>
      </c>
      <c r="M1274" s="120">
        <f t="shared" si="791"/>
        <v>3970.5389999999998</v>
      </c>
      <c r="N1274" s="120">
        <f t="shared" si="792"/>
        <v>9264.5910000000003</v>
      </c>
      <c r="O1274" s="119">
        <f t="shared" si="793"/>
        <v>0.70000000000000007</v>
      </c>
      <c r="P1274" s="154">
        <f t="shared" si="790"/>
        <v>13235.13</v>
      </c>
      <c r="Q1274" s="111"/>
      <c r="R1274" s="117"/>
      <c r="S1274" s="117"/>
      <c r="T1274" s="117"/>
      <c r="U1274" s="117"/>
      <c r="V1274" s="117"/>
      <c r="W1274" s="26">
        <f t="shared" si="777"/>
        <v>0</v>
      </c>
      <c r="X1274" s="118" t="str">
        <f t="shared" si="778"/>
        <v/>
      </c>
      <c r="Y1274" s="119">
        <f t="shared" si="779"/>
        <v>0</v>
      </c>
      <c r="Z1274" s="117">
        <f t="shared" si="780"/>
        <v>13235.13</v>
      </c>
      <c r="AA1274" s="119">
        <f t="shared" si="781"/>
        <v>1</v>
      </c>
      <c r="AB1274" s="120">
        <f t="shared" si="782"/>
        <v>3970.5389999999998</v>
      </c>
      <c r="AC1274" s="119">
        <f t="shared" si="783"/>
        <v>0.29999999999999993</v>
      </c>
      <c r="AD1274" s="110"/>
      <c r="AE1274" s="110"/>
      <c r="AF1274" s="110"/>
      <c r="AG1274" s="229"/>
      <c r="AH1274" s="110"/>
    </row>
    <row r="1275" spans="1:34" ht="11.25" customHeight="1" x14ac:dyDescent="0.15">
      <c r="A1275" s="110" t="s">
        <v>639</v>
      </c>
      <c r="B1275" s="110"/>
      <c r="C1275" s="111" t="s">
        <v>61</v>
      </c>
      <c r="D1275" s="111">
        <v>2023</v>
      </c>
      <c r="E1275" s="146">
        <v>45230</v>
      </c>
      <c r="F1275" s="111"/>
      <c r="G1275" s="111">
        <v>81100401</v>
      </c>
      <c r="H1275" s="111"/>
      <c r="I1275" s="111" t="str">
        <f t="shared" si="796"/>
        <v>1</v>
      </c>
      <c r="J1275" s="111" t="str">
        <f t="shared" si="797"/>
        <v>Small/Medium</v>
      </c>
      <c r="K1275" s="112" t="s">
        <v>348</v>
      </c>
      <c r="L1275" s="219">
        <v>12645.06</v>
      </c>
      <c r="M1275" s="120">
        <f t="shared" si="791"/>
        <v>3793.5179999999996</v>
      </c>
      <c r="N1275" s="120">
        <f t="shared" si="792"/>
        <v>8851.5419999999995</v>
      </c>
      <c r="O1275" s="119">
        <f t="shared" si="793"/>
        <v>0.7</v>
      </c>
      <c r="P1275" s="154">
        <f t="shared" si="790"/>
        <v>12645.06</v>
      </c>
      <c r="Q1275" s="111"/>
      <c r="R1275" s="117"/>
      <c r="S1275" s="117"/>
      <c r="T1275" s="117"/>
      <c r="U1275" s="117"/>
      <c r="V1275" s="117"/>
      <c r="W1275" s="26">
        <f t="shared" si="777"/>
        <v>0</v>
      </c>
      <c r="X1275" s="118" t="str">
        <f t="shared" si="778"/>
        <v/>
      </c>
      <c r="Y1275" s="119">
        <f t="shared" si="779"/>
        <v>0</v>
      </c>
      <c r="Z1275" s="117">
        <f t="shared" si="780"/>
        <v>12645.06</v>
      </c>
      <c r="AA1275" s="119">
        <f t="shared" si="781"/>
        <v>1</v>
      </c>
      <c r="AB1275" s="120">
        <f t="shared" si="782"/>
        <v>3793.5179999999996</v>
      </c>
      <c r="AC1275" s="119">
        <f t="shared" si="783"/>
        <v>0.30000000000000004</v>
      </c>
      <c r="AD1275" s="110"/>
      <c r="AE1275" s="110"/>
      <c r="AF1275" s="110"/>
      <c r="AG1275" s="229"/>
      <c r="AH1275" s="110"/>
    </row>
    <row r="1276" spans="1:34" ht="11.25" customHeight="1" x14ac:dyDescent="0.15">
      <c r="A1276" s="110" t="s">
        <v>639</v>
      </c>
      <c r="B1276" s="110"/>
      <c r="C1276" s="111" t="s">
        <v>61</v>
      </c>
      <c r="D1276" s="111">
        <v>2023</v>
      </c>
      <c r="E1276" s="146">
        <v>45230</v>
      </c>
      <c r="F1276" s="111"/>
      <c r="G1276" s="111">
        <v>80100401</v>
      </c>
      <c r="H1276" s="111"/>
      <c r="I1276" s="111" t="str">
        <f t="shared" si="796"/>
        <v>0</v>
      </c>
      <c r="J1276" s="111" t="s">
        <v>502</v>
      </c>
      <c r="K1276" s="112" t="s">
        <v>350</v>
      </c>
      <c r="L1276" s="219">
        <v>11971.24</v>
      </c>
      <c r="M1276" s="120">
        <f t="shared" si="791"/>
        <v>3591.3719999999998</v>
      </c>
      <c r="N1276" s="120">
        <f t="shared" si="792"/>
        <v>8379.8680000000004</v>
      </c>
      <c r="O1276" s="119">
        <f t="shared" si="793"/>
        <v>0.70000000000000007</v>
      </c>
      <c r="P1276" s="154">
        <f t="shared" si="790"/>
        <v>11971.24</v>
      </c>
      <c r="Q1276" s="111"/>
      <c r="R1276" s="117"/>
      <c r="S1276" s="117"/>
      <c r="T1276" s="117"/>
      <c r="U1276" s="117"/>
      <c r="V1276" s="117"/>
      <c r="W1276" s="26">
        <f t="shared" si="777"/>
        <v>0</v>
      </c>
      <c r="X1276" s="118" t="str">
        <f t="shared" si="778"/>
        <v/>
      </c>
      <c r="Y1276" s="119">
        <f t="shared" si="779"/>
        <v>0</v>
      </c>
      <c r="Z1276" s="117">
        <f t="shared" si="780"/>
        <v>11971.24</v>
      </c>
      <c r="AA1276" s="119">
        <f t="shared" si="781"/>
        <v>1</v>
      </c>
      <c r="AB1276" s="120">
        <f t="shared" si="782"/>
        <v>3591.3719999999998</v>
      </c>
      <c r="AC1276" s="119">
        <f t="shared" si="783"/>
        <v>0.29999999999999993</v>
      </c>
      <c r="AD1276" s="110"/>
      <c r="AE1276" s="110"/>
      <c r="AF1276" s="110"/>
      <c r="AG1276" s="229"/>
      <c r="AH1276" s="110"/>
    </row>
    <row r="1277" spans="1:34" s="216" customFormat="1" ht="11.25" customHeight="1" x14ac:dyDescent="0.15">
      <c r="A1277" s="53" t="s">
        <v>639</v>
      </c>
      <c r="B1277" s="53"/>
      <c r="C1277" s="54" t="s">
        <v>177</v>
      </c>
      <c r="D1277" s="54">
        <v>2023</v>
      </c>
      <c r="E1277" s="70">
        <v>45230</v>
      </c>
      <c r="F1277" s="54"/>
      <c r="G1277" s="54"/>
      <c r="H1277" s="54"/>
      <c r="I1277" s="54"/>
      <c r="J1277" s="54"/>
      <c r="K1277" s="106"/>
      <c r="L1277" s="24">
        <f>SUM(L1260:L1276)</f>
        <v>910386.68</v>
      </c>
      <c r="M1277" s="24">
        <f>SUM(M1260:M1276)</f>
        <v>240074.79399999997</v>
      </c>
      <c r="N1277" s="24">
        <f>SUM(N1260:N1276)</f>
        <v>670311.88599999994</v>
      </c>
      <c r="O1277" s="57">
        <f t="shared" si="793"/>
        <v>0.73629359998984156</v>
      </c>
      <c r="P1277" s="24">
        <f>SUM(P1260:P1276)</f>
        <v>910386.68</v>
      </c>
      <c r="Q1277" s="24"/>
      <c r="R1277" s="117">
        <f t="shared" ref="R1277:W1277" si="798">SUM(R1260:R1276)</f>
        <v>574.5</v>
      </c>
      <c r="S1277" s="117">
        <f t="shared" si="798"/>
        <v>26723.19</v>
      </c>
      <c r="T1277" s="117">
        <f t="shared" si="798"/>
        <v>33178.81</v>
      </c>
      <c r="U1277" s="117">
        <f t="shared" si="798"/>
        <v>110507.00000000001</v>
      </c>
      <c r="V1277" s="117">
        <f t="shared" si="798"/>
        <v>22962.23</v>
      </c>
      <c r="W1277" s="26">
        <f t="shared" si="798"/>
        <v>193371.22999999998</v>
      </c>
      <c r="X1277" s="56">
        <f t="shared" si="778"/>
        <v>46.515561357702346</v>
      </c>
      <c r="Y1277" s="57">
        <f t="shared" si="779"/>
        <v>0.12138468458259957</v>
      </c>
      <c r="Z1277" s="28">
        <f t="shared" si="780"/>
        <v>717015.45000000007</v>
      </c>
      <c r="AA1277" s="57">
        <f t="shared" si="781"/>
        <v>0.78759439889871852</v>
      </c>
      <c r="AB1277" s="120">
        <f t="shared" si="782"/>
        <v>46703.563999999984</v>
      </c>
      <c r="AC1277" s="57">
        <f t="shared" si="783"/>
        <v>5.1300798908876954E-2</v>
      </c>
      <c r="AD1277" s="53"/>
      <c r="AE1277" s="53"/>
      <c r="AF1277" s="53"/>
      <c r="AG1277" s="61"/>
      <c r="AH1277" s="53"/>
    </row>
    <row r="1278" spans="1:34" ht="11.25" customHeight="1" x14ac:dyDescent="0.15">
      <c r="A1278" s="130"/>
      <c r="B1278" s="130"/>
      <c r="C1278" s="124"/>
      <c r="D1278" s="124"/>
      <c r="E1278" s="273"/>
      <c r="F1278" s="124"/>
      <c r="G1278" s="124"/>
      <c r="H1278" s="124"/>
      <c r="I1278" s="124"/>
      <c r="J1278" s="124"/>
      <c r="K1278" s="125"/>
      <c r="L1278" s="129"/>
      <c r="M1278" s="129"/>
      <c r="N1278" s="129"/>
      <c r="O1278" s="128"/>
      <c r="P1278" s="129"/>
      <c r="Q1278" s="124"/>
      <c r="R1278" s="117"/>
      <c r="S1278" s="117"/>
      <c r="T1278" s="117"/>
      <c r="U1278" s="117"/>
      <c r="V1278" s="117"/>
      <c r="X1278" s="45"/>
      <c r="Y1278" s="128"/>
      <c r="Z1278" s="126"/>
      <c r="AA1278" s="128"/>
      <c r="AB1278" s="129"/>
      <c r="AC1278" s="160"/>
      <c r="AD1278" s="137"/>
      <c r="AE1278" s="110"/>
      <c r="AF1278" s="110"/>
      <c r="AG1278" s="121"/>
      <c r="AH1278" s="110"/>
    </row>
    <row r="1279" spans="1:34" ht="11.25" customHeight="1" x14ac:dyDescent="0.15">
      <c r="A1279" s="110" t="s">
        <v>174</v>
      </c>
      <c r="B1279" s="110"/>
      <c r="C1279" s="111" t="s">
        <v>175</v>
      </c>
      <c r="D1279" s="111">
        <v>2023</v>
      </c>
      <c r="E1279" s="146">
        <v>45230</v>
      </c>
      <c r="F1279" s="111"/>
      <c r="G1279" s="111">
        <v>81100011</v>
      </c>
      <c r="H1279" s="111">
        <v>4101</v>
      </c>
      <c r="I1279" s="111" t="str">
        <f t="shared" ref="I1279:I1280" si="799">MID(G1279,2,1)</f>
        <v>1</v>
      </c>
      <c r="J1279" s="111" t="str">
        <f t="shared" ref="J1279:J1280" si="800">IF(I1279="1","Small/Medium","Large")</f>
        <v>Small/Medium</v>
      </c>
      <c r="K1279" s="112" t="s">
        <v>145</v>
      </c>
      <c r="L1279" s="120">
        <v>6843.1255000000001</v>
      </c>
      <c r="M1279" s="120">
        <f>L1279*0.3</f>
        <v>2052.9376499999998</v>
      </c>
      <c r="N1279" s="120">
        <f>L1279-M1279</f>
        <v>4790.1878500000003</v>
      </c>
      <c r="O1279" s="119">
        <f>IFERROR(N1279/L1279,"")</f>
        <v>0.70000000000000007</v>
      </c>
      <c r="P1279" s="120">
        <v>6843.1255000000001</v>
      </c>
      <c r="Q1279" s="111">
        <v>2369</v>
      </c>
      <c r="R1279" s="117">
        <v>16</v>
      </c>
      <c r="S1279" s="117">
        <v>718.08</v>
      </c>
      <c r="T1279" s="117">
        <v>1741.3</v>
      </c>
      <c r="U1279" s="117">
        <v>580</v>
      </c>
      <c r="V1279" s="117"/>
      <c r="W1279" s="26">
        <f t="shared" ref="W1279:W1280" si="801">SUM(S1279:V1279)</f>
        <v>3039.38</v>
      </c>
      <c r="X1279" s="118">
        <f>IFERROR(S1279/R1279,"")</f>
        <v>44.88</v>
      </c>
      <c r="Y1279" s="119">
        <f>U1279/P1279</f>
        <v>8.4756592583315915E-2</v>
      </c>
      <c r="Z1279" s="117">
        <f>P1279-W1279</f>
        <v>3803.7455</v>
      </c>
      <c r="AA1279" s="119">
        <f>Z1279/P1279</f>
        <v>0.55584915109331257</v>
      </c>
      <c r="AB1279" s="120">
        <f t="shared" ref="AB1279:AB1281" si="802">M1279-W1279</f>
        <v>-986.44235000000026</v>
      </c>
      <c r="AC1279" s="119">
        <f>IFERROR(AA1279-O1279,"")</f>
        <v>-0.1441508489066875</v>
      </c>
      <c r="AD1279" s="110" t="s">
        <v>651</v>
      </c>
      <c r="AE1279" s="110"/>
      <c r="AF1279" s="110"/>
      <c r="AG1279" s="121"/>
      <c r="AH1279" s="110"/>
    </row>
    <row r="1280" spans="1:34" ht="11.25" customHeight="1" x14ac:dyDescent="0.15">
      <c r="A1280" s="110" t="s">
        <v>174</v>
      </c>
      <c r="B1280" s="110"/>
      <c r="C1280" s="111" t="s">
        <v>175</v>
      </c>
      <c r="D1280" s="111">
        <v>2023</v>
      </c>
      <c r="E1280" s="146">
        <v>45230</v>
      </c>
      <c r="F1280" s="111"/>
      <c r="G1280" s="111">
        <v>82100011</v>
      </c>
      <c r="H1280" s="111">
        <v>4101</v>
      </c>
      <c r="I1280" s="111" t="str">
        <f t="shared" si="799"/>
        <v>2</v>
      </c>
      <c r="J1280" s="111" t="str">
        <f t="shared" si="800"/>
        <v>Large</v>
      </c>
      <c r="K1280" s="112" t="s">
        <v>176</v>
      </c>
      <c r="L1280" s="120">
        <v>12708.674500000001</v>
      </c>
      <c r="M1280" s="120">
        <f>L1280*0.3</f>
        <v>3812.6023500000001</v>
      </c>
      <c r="N1280" s="120">
        <f>L1280-M1280</f>
        <v>8896.07215</v>
      </c>
      <c r="O1280" s="119">
        <f>IFERROR(N1280/L1280,"")</f>
        <v>0.7</v>
      </c>
      <c r="P1280" s="120">
        <v>12708.674500000001</v>
      </c>
      <c r="Q1280" s="111">
        <v>2370</v>
      </c>
      <c r="R1280" s="117">
        <v>42</v>
      </c>
      <c r="S1280" s="117">
        <v>1884.96</v>
      </c>
      <c r="T1280" s="117">
        <v>1741.3</v>
      </c>
      <c r="U1280" s="117">
        <v>633.48</v>
      </c>
      <c r="V1280" s="117">
        <v>64.44</v>
      </c>
      <c r="W1280" s="26">
        <f t="shared" si="801"/>
        <v>4324.1799999999994</v>
      </c>
      <c r="X1280" s="118">
        <f>IFERROR(S1280/R1280,"")</f>
        <v>44.88</v>
      </c>
      <c r="Y1280" s="119">
        <f>U1280/P1280</f>
        <v>4.984626838935878E-2</v>
      </c>
      <c r="Z1280" s="117">
        <f>P1280-W1280</f>
        <v>8384.4945000000007</v>
      </c>
      <c r="AA1280" s="119">
        <f>Z1280/P1280</f>
        <v>0.65974579016875445</v>
      </c>
      <c r="AB1280" s="120">
        <f t="shared" si="802"/>
        <v>-511.57764999999927</v>
      </c>
      <c r="AC1280" s="119">
        <f>IFERROR(AA1280-O1280,"")</f>
        <v>-4.0254209831245502E-2</v>
      </c>
      <c r="AD1280" s="110" t="s">
        <v>651</v>
      </c>
      <c r="AE1280" s="110"/>
      <c r="AF1280" s="110"/>
      <c r="AG1280" s="121"/>
      <c r="AH1280" s="110"/>
    </row>
    <row r="1281" spans="1:34" s="216" customFormat="1" ht="11.25" customHeight="1" x14ac:dyDescent="0.15">
      <c r="A1281" s="53" t="s">
        <v>174</v>
      </c>
      <c r="B1281" s="53"/>
      <c r="C1281" s="54" t="s">
        <v>177</v>
      </c>
      <c r="D1281" s="54">
        <v>2023</v>
      </c>
      <c r="E1281" s="70">
        <v>45230</v>
      </c>
      <c r="F1281" s="54"/>
      <c r="G1281" s="54"/>
      <c r="H1281" s="54"/>
      <c r="I1281" s="54"/>
      <c r="J1281" s="54"/>
      <c r="K1281" s="106"/>
      <c r="L1281" s="24">
        <f>SUM(L1279:L1280)</f>
        <v>19551.800000000003</v>
      </c>
      <c r="M1281" s="24">
        <f>SUM(M1279:M1280)</f>
        <v>5865.54</v>
      </c>
      <c r="N1281" s="24">
        <f>SUM(N1279:N1280)</f>
        <v>13686.26</v>
      </c>
      <c r="O1281" s="57">
        <f>IFERROR(N1281/L1281,"")</f>
        <v>0.7</v>
      </c>
      <c r="P1281" s="24">
        <f>SUM(P1279:P1280)</f>
        <v>19551.800000000003</v>
      </c>
      <c r="Q1281" s="24"/>
      <c r="R1281" s="117">
        <f>SUM(R1279:R1280)</f>
        <v>58</v>
      </c>
      <c r="S1281" s="117">
        <f t="shared" ref="S1281:V1281" si="803">SUM(S1279:S1280)</f>
        <v>2603.04</v>
      </c>
      <c r="T1281" s="117">
        <f t="shared" si="803"/>
        <v>3482.6</v>
      </c>
      <c r="U1281" s="117">
        <f t="shared" si="803"/>
        <v>1213.48</v>
      </c>
      <c r="V1281" s="117">
        <f t="shared" si="803"/>
        <v>64.44</v>
      </c>
      <c r="W1281" s="26">
        <f>SUM(W1279:W1280)</f>
        <v>7363.5599999999995</v>
      </c>
      <c r="X1281" s="56">
        <f>IFERROR(S1281/R1281,"")</f>
        <v>44.88</v>
      </c>
      <c r="Y1281" s="57">
        <f>IFERROR(U1281/P1281,0)</f>
        <v>6.2064873822359055E-2</v>
      </c>
      <c r="Z1281" s="28">
        <f>P1281-W1281</f>
        <v>12188.240000000003</v>
      </c>
      <c r="AA1281" s="57">
        <f>Z1281/P1281</f>
        <v>0.62338199040497555</v>
      </c>
      <c r="AB1281" s="120">
        <f t="shared" si="802"/>
        <v>-1498.0199999999995</v>
      </c>
      <c r="AC1281" s="119">
        <f>IFERROR(AA1281-O1281,"")</f>
        <v>-7.6618009595024406E-2</v>
      </c>
      <c r="AD1281" s="53"/>
      <c r="AE1281" s="53"/>
      <c r="AF1281" s="53"/>
      <c r="AG1281" s="61"/>
      <c r="AH1281" s="53"/>
    </row>
    <row r="1282" spans="1:34" ht="11.25" customHeight="1" x14ac:dyDescent="0.15">
      <c r="A1282" s="130"/>
      <c r="B1282" s="130"/>
      <c r="C1282" s="124"/>
      <c r="D1282" s="124"/>
      <c r="E1282" s="273"/>
      <c r="F1282" s="124"/>
      <c r="G1282" s="124"/>
      <c r="H1282" s="124"/>
      <c r="I1282" s="124"/>
      <c r="J1282" s="124"/>
      <c r="K1282" s="125"/>
      <c r="L1282" s="129"/>
      <c r="M1282" s="129"/>
      <c r="N1282" s="129"/>
      <c r="O1282" s="128"/>
      <c r="P1282" s="129"/>
      <c r="Q1282" s="124"/>
      <c r="R1282" s="117"/>
      <c r="S1282" s="117"/>
      <c r="T1282" s="117"/>
      <c r="U1282" s="117"/>
      <c r="V1282" s="117"/>
      <c r="X1282" s="45"/>
      <c r="Y1282" s="128"/>
      <c r="Z1282" s="126"/>
      <c r="AA1282" s="128"/>
      <c r="AB1282" s="129"/>
      <c r="AC1282" s="160"/>
      <c r="AD1282" s="137"/>
      <c r="AE1282" s="110"/>
      <c r="AF1282" s="110"/>
      <c r="AG1282" s="121"/>
      <c r="AH1282" s="110"/>
    </row>
    <row r="1283" spans="1:34" ht="11.25" customHeight="1" x14ac:dyDescent="0.15">
      <c r="A1283" s="110" t="s">
        <v>510</v>
      </c>
      <c r="B1283" s="110"/>
      <c r="C1283" s="111" t="s">
        <v>175</v>
      </c>
      <c r="D1283" s="111">
        <v>2023</v>
      </c>
      <c r="E1283" s="146">
        <v>45230</v>
      </c>
      <c r="F1283" s="111"/>
      <c r="G1283" s="111">
        <v>81100011</v>
      </c>
      <c r="H1283" s="111">
        <v>4101</v>
      </c>
      <c r="I1283" s="111" t="str">
        <f t="shared" ref="I1283" si="804">MID(G1283,2,1)</f>
        <v>1</v>
      </c>
      <c r="J1283" s="111" t="str">
        <f t="shared" ref="J1283" si="805">IF(I1283="1","Small/Medium","Large")</f>
        <v>Small/Medium</v>
      </c>
      <c r="K1283" s="112" t="s">
        <v>145</v>
      </c>
      <c r="L1283" s="120">
        <v>10165</v>
      </c>
      <c r="M1283" s="120">
        <f>L1283*0.3</f>
        <v>3049.5</v>
      </c>
      <c r="N1283" s="120">
        <f>L1283-M1283</f>
        <v>7115.5</v>
      </c>
      <c r="O1283" s="119">
        <f>IFERROR(N1283/L1283,"")</f>
        <v>0.7</v>
      </c>
      <c r="P1283" s="117">
        <v>10165</v>
      </c>
      <c r="Q1283" s="111">
        <v>2383</v>
      </c>
      <c r="R1283" s="117">
        <v>24.5</v>
      </c>
      <c r="S1283" s="117">
        <v>1099.56</v>
      </c>
      <c r="T1283" s="117">
        <v>1751.82</v>
      </c>
      <c r="U1283" s="117">
        <v>2027.73</v>
      </c>
      <c r="V1283" s="117"/>
      <c r="W1283" s="26">
        <f>SUM(S1283:V1283)</f>
        <v>4879.1100000000006</v>
      </c>
      <c r="X1283" s="118">
        <f>IFERROR(S1283/R1283,"")</f>
        <v>44.879999999999995</v>
      </c>
      <c r="Y1283" s="119">
        <f>U1283/P1283</f>
        <v>0.19948155435317266</v>
      </c>
      <c r="Z1283" s="117">
        <f>P1283-W1283</f>
        <v>5285.8899999999994</v>
      </c>
      <c r="AA1283" s="119">
        <f>Z1283/P1283</f>
        <v>0.52000885391047702</v>
      </c>
      <c r="AB1283" s="120">
        <f t="shared" ref="AB1283:AB1284" si="806">M1283-W1283</f>
        <v>-1829.6100000000006</v>
      </c>
      <c r="AC1283" s="119">
        <f>IFERROR(AA1283-O1283,"")</f>
        <v>-0.17999114608952294</v>
      </c>
      <c r="AD1283" s="110" t="s">
        <v>652</v>
      </c>
      <c r="AE1283" s="110"/>
      <c r="AF1283" s="110"/>
      <c r="AG1283" s="121"/>
      <c r="AH1283" s="110"/>
    </row>
    <row r="1284" spans="1:34" s="216" customFormat="1" ht="11.25" customHeight="1" x14ac:dyDescent="0.15">
      <c r="A1284" s="53" t="s">
        <v>510</v>
      </c>
      <c r="B1284" s="53"/>
      <c r="C1284" s="54" t="s">
        <v>177</v>
      </c>
      <c r="D1284" s="54">
        <v>2023</v>
      </c>
      <c r="E1284" s="70">
        <v>45230</v>
      </c>
      <c r="F1284" s="54"/>
      <c r="G1284" s="54"/>
      <c r="H1284" s="54"/>
      <c r="I1284" s="54"/>
      <c r="J1284" s="54"/>
      <c r="K1284" s="106"/>
      <c r="L1284" s="24">
        <f>SUM(L1283)</f>
        <v>10165</v>
      </c>
      <c r="M1284" s="24">
        <f t="shared" ref="M1284:N1284" si="807">SUM(M1283)</f>
        <v>3049.5</v>
      </c>
      <c r="N1284" s="24">
        <f t="shared" si="807"/>
        <v>7115.5</v>
      </c>
      <c r="O1284" s="57">
        <f>IFERROR(N1284/L1284,"")</f>
        <v>0.7</v>
      </c>
      <c r="P1284" s="24">
        <f>SUM(P1283)</f>
        <v>10165</v>
      </c>
      <c r="Q1284" s="24"/>
      <c r="R1284" s="117">
        <f>SUM(R1283)</f>
        <v>24.5</v>
      </c>
      <c r="S1284" s="117">
        <f t="shared" ref="S1284:V1284" si="808">SUM(S1283)</f>
        <v>1099.56</v>
      </c>
      <c r="T1284" s="117">
        <f t="shared" si="808"/>
        <v>1751.82</v>
      </c>
      <c r="U1284" s="117">
        <f t="shared" si="808"/>
        <v>2027.73</v>
      </c>
      <c r="V1284" s="117">
        <f t="shared" si="808"/>
        <v>0</v>
      </c>
      <c r="W1284" s="26">
        <f>SUM(W1283)</f>
        <v>4879.1100000000006</v>
      </c>
      <c r="X1284" s="56">
        <f>IFERROR(S1284/R1284,"")</f>
        <v>44.879999999999995</v>
      </c>
      <c r="Y1284" s="57">
        <f>IFERROR(U1284/P1284,0)</f>
        <v>0.19948155435317266</v>
      </c>
      <c r="Z1284" s="28">
        <f>P1284-W1284</f>
        <v>5285.8899999999994</v>
      </c>
      <c r="AA1284" s="57">
        <f>Z1284/P1284</f>
        <v>0.52000885391047702</v>
      </c>
      <c r="AB1284" s="120">
        <f t="shared" si="806"/>
        <v>-1829.6100000000006</v>
      </c>
      <c r="AC1284" s="119">
        <f>IFERROR(AA1284-O1284,"")</f>
        <v>-0.17999114608952294</v>
      </c>
      <c r="AD1284" s="53"/>
      <c r="AE1284" s="53"/>
      <c r="AF1284" s="53"/>
      <c r="AG1284" s="61"/>
      <c r="AH1284" s="53"/>
    </row>
    <row r="1285" spans="1:34" ht="11.25" customHeight="1" x14ac:dyDescent="0.15">
      <c r="A1285" s="130"/>
      <c r="B1285" s="130"/>
      <c r="C1285" s="124"/>
      <c r="D1285" s="124"/>
      <c r="E1285" s="273"/>
      <c r="F1285" s="124"/>
      <c r="G1285" s="124"/>
      <c r="H1285" s="124"/>
      <c r="I1285" s="124"/>
      <c r="J1285" s="124"/>
      <c r="K1285" s="125"/>
      <c r="L1285" s="129"/>
      <c r="M1285" s="129"/>
      <c r="N1285" s="129"/>
      <c r="O1285" s="128"/>
      <c r="P1285" s="129"/>
      <c r="Q1285" s="124"/>
      <c r="R1285" s="117"/>
      <c r="S1285" s="117"/>
      <c r="T1285" s="117"/>
      <c r="U1285" s="117"/>
      <c r="V1285" s="117"/>
      <c r="X1285" s="45"/>
      <c r="Y1285" s="128"/>
      <c r="Z1285" s="126"/>
      <c r="AA1285" s="128"/>
      <c r="AB1285" s="129"/>
      <c r="AC1285" s="160"/>
      <c r="AD1285" s="137"/>
      <c r="AE1285" s="110"/>
      <c r="AF1285" s="110"/>
      <c r="AG1285" s="121"/>
      <c r="AH1285" s="110"/>
    </row>
    <row r="1286" spans="1:34" ht="11.25" customHeight="1" x14ac:dyDescent="0.15">
      <c r="A1286" s="110" t="s">
        <v>223</v>
      </c>
      <c r="B1286" s="110"/>
      <c r="C1286" s="111" t="s">
        <v>175</v>
      </c>
      <c r="D1286" s="111">
        <v>2023</v>
      </c>
      <c r="E1286" s="146">
        <v>45230</v>
      </c>
      <c r="F1286" s="111"/>
      <c r="G1286" s="111">
        <v>81110111</v>
      </c>
      <c r="H1286" s="111">
        <v>4101</v>
      </c>
      <c r="I1286" s="111" t="str">
        <f t="shared" ref="I1286:I1287" si="809">MID(G1286,2,1)</f>
        <v>1</v>
      </c>
      <c r="J1286" s="111" t="str">
        <f t="shared" ref="J1286:J1287" si="810">IF(I1286="1","Small/Medium","Large")</f>
        <v>Small/Medium</v>
      </c>
      <c r="K1286" s="112" t="s">
        <v>145</v>
      </c>
      <c r="L1286" s="120">
        <v>34308</v>
      </c>
      <c r="M1286" s="120">
        <f>L1286*0.3</f>
        <v>10292.4</v>
      </c>
      <c r="N1286" s="120">
        <f>L1286-M1286</f>
        <v>24015.599999999999</v>
      </c>
      <c r="O1286" s="119">
        <f>IFERROR(N1286/L1286,"")</f>
        <v>0.7</v>
      </c>
      <c r="P1286" s="120">
        <v>34308</v>
      </c>
      <c r="Q1286" s="111">
        <v>2379</v>
      </c>
      <c r="R1286" s="117">
        <v>25.5</v>
      </c>
      <c r="S1286" s="117">
        <v>1144.44</v>
      </c>
      <c r="T1286" s="117">
        <v>1775.37</v>
      </c>
      <c r="U1286" s="117">
        <v>294.8</v>
      </c>
      <c r="V1286" s="117"/>
      <c r="W1286" s="26">
        <f>SUM(S1286:V1286)</f>
        <v>3214.61</v>
      </c>
      <c r="X1286" s="118">
        <f>IFERROR(S1286/R1286,"")</f>
        <v>44.88</v>
      </c>
      <c r="Y1286" s="119">
        <f>U1286/P1286</f>
        <v>8.5927480471027166E-3</v>
      </c>
      <c r="Z1286" s="117">
        <f>P1286-W1286</f>
        <v>31093.39</v>
      </c>
      <c r="AA1286" s="119">
        <f>Z1286/P1286</f>
        <v>0.90630144572694415</v>
      </c>
      <c r="AB1286" s="120">
        <f t="shared" ref="AB1286:AB1288" si="811">M1286-W1286</f>
        <v>7077.7899999999991</v>
      </c>
      <c r="AC1286" s="119">
        <f>IFERROR(AA1286-O1286,"")</f>
        <v>0.2063014457269442</v>
      </c>
      <c r="AD1286" s="110" t="s">
        <v>653</v>
      </c>
      <c r="AE1286" s="110"/>
      <c r="AF1286" s="110"/>
      <c r="AG1286" s="121"/>
      <c r="AH1286" s="110"/>
    </row>
    <row r="1287" spans="1:34" ht="11.25" customHeight="1" x14ac:dyDescent="0.15">
      <c r="A1287" s="110" t="s">
        <v>223</v>
      </c>
      <c r="B1287" s="110"/>
      <c r="C1287" s="111" t="s">
        <v>175</v>
      </c>
      <c r="D1287" s="111">
        <v>2023</v>
      </c>
      <c r="E1287" s="146">
        <v>45230</v>
      </c>
      <c r="F1287" s="111"/>
      <c r="G1287" s="111">
        <v>82110111</v>
      </c>
      <c r="H1287" s="111">
        <v>4101</v>
      </c>
      <c r="I1287" s="111" t="str">
        <f t="shared" si="809"/>
        <v>2</v>
      </c>
      <c r="J1287" s="111" t="str">
        <f t="shared" si="810"/>
        <v>Large</v>
      </c>
      <c r="K1287" s="112" t="s">
        <v>176</v>
      </c>
      <c r="L1287" s="120">
        <v>21977</v>
      </c>
      <c r="M1287" s="120">
        <f>L1287*0.3</f>
        <v>6593.0999999999995</v>
      </c>
      <c r="N1287" s="120">
        <f>L1287-M1287</f>
        <v>15383.900000000001</v>
      </c>
      <c r="O1287" s="119">
        <f>IFERROR(N1287/L1287,"")</f>
        <v>0.70000000000000007</v>
      </c>
      <c r="P1287" s="120">
        <v>21977</v>
      </c>
      <c r="Q1287" s="111">
        <v>2380</v>
      </c>
      <c r="R1287" s="117">
        <v>14.5</v>
      </c>
      <c r="S1287" s="117">
        <v>650.76</v>
      </c>
      <c r="T1287" s="117">
        <v>1452.57</v>
      </c>
      <c r="U1287" s="117">
        <v>241.2</v>
      </c>
      <c r="V1287" s="117"/>
      <c r="W1287" s="26">
        <f>SUM(S1287:V1287)</f>
        <v>2344.5299999999997</v>
      </c>
      <c r="X1287" s="118">
        <f>IFERROR(S1287/R1287,"")</f>
        <v>44.88</v>
      </c>
      <c r="Y1287" s="119">
        <f>U1287/P1287</f>
        <v>1.0975110342630932E-2</v>
      </c>
      <c r="Z1287" s="117">
        <f>P1287-W1287</f>
        <v>19632.47</v>
      </c>
      <c r="AA1287" s="119">
        <f>Z1287/P1287</f>
        <v>0.89331892432998139</v>
      </c>
      <c r="AB1287" s="120">
        <f t="shared" si="811"/>
        <v>4248.57</v>
      </c>
      <c r="AC1287" s="119">
        <f>IFERROR(AA1287-O1287,"")</f>
        <v>0.19331892432998132</v>
      </c>
      <c r="AD1287" s="110" t="s">
        <v>653</v>
      </c>
      <c r="AE1287" s="110"/>
      <c r="AF1287" s="110"/>
      <c r="AG1287" s="121"/>
      <c r="AH1287" s="110"/>
    </row>
    <row r="1288" spans="1:34" s="216" customFormat="1" ht="11.25" customHeight="1" x14ac:dyDescent="0.15">
      <c r="A1288" s="53" t="s">
        <v>223</v>
      </c>
      <c r="B1288" s="53"/>
      <c r="C1288" s="54" t="s">
        <v>177</v>
      </c>
      <c r="D1288" s="54">
        <v>2023</v>
      </c>
      <c r="E1288" s="70">
        <v>45230</v>
      </c>
      <c r="F1288" s="54"/>
      <c r="G1288" s="54"/>
      <c r="H1288" s="54"/>
      <c r="I1288" s="54"/>
      <c r="J1288" s="54"/>
      <c r="K1288" s="106"/>
      <c r="L1288" s="24">
        <f>SUM(L1286:L1287)</f>
        <v>56285</v>
      </c>
      <c r="M1288" s="24">
        <f>SUM(M1286:M1287)</f>
        <v>16885.5</v>
      </c>
      <c r="N1288" s="24">
        <f>SUM(N1286:N1287)</f>
        <v>39399.5</v>
      </c>
      <c r="O1288" s="57">
        <f>IFERROR(N1288/L1288,"")</f>
        <v>0.7</v>
      </c>
      <c r="P1288" s="24">
        <f>SUM(P1286:P1287)</f>
        <v>56285</v>
      </c>
      <c r="Q1288" s="24"/>
      <c r="R1288" s="117">
        <f>SUM(R1286:R1287)</f>
        <v>40</v>
      </c>
      <c r="S1288" s="117">
        <f t="shared" ref="S1288:V1288" si="812">SUM(S1286:S1287)</f>
        <v>1795.2</v>
      </c>
      <c r="T1288" s="117">
        <f t="shared" si="812"/>
        <v>3227.9399999999996</v>
      </c>
      <c r="U1288" s="117">
        <f t="shared" si="812"/>
        <v>536</v>
      </c>
      <c r="V1288" s="117">
        <f t="shared" si="812"/>
        <v>0</v>
      </c>
      <c r="W1288" s="26">
        <f>SUM(W1286:W1287)</f>
        <v>5559.1399999999994</v>
      </c>
      <c r="X1288" s="56">
        <f>IFERROR(S1288/R1288,"")</f>
        <v>44.88</v>
      </c>
      <c r="Y1288" s="57">
        <f>IFERROR(U1288/P1288,0)</f>
        <v>9.5229634893843826E-3</v>
      </c>
      <c r="Z1288" s="28">
        <f>P1288-W1288</f>
        <v>50725.86</v>
      </c>
      <c r="AA1288" s="57">
        <f>Z1288/P1288</f>
        <v>0.90123229990228304</v>
      </c>
      <c r="AB1288" s="120">
        <f t="shared" si="811"/>
        <v>11326.36</v>
      </c>
      <c r="AC1288" s="119">
        <f>IFERROR(AA1288-O1288,"")</f>
        <v>0.20123229990228308</v>
      </c>
      <c r="AD1288" s="53"/>
      <c r="AE1288" s="53"/>
      <c r="AF1288" s="53"/>
      <c r="AG1288" s="61"/>
      <c r="AH1288" s="53"/>
    </row>
    <row r="1289" spans="1:34" ht="11.25" customHeight="1" x14ac:dyDescent="0.15">
      <c r="A1289" s="130"/>
      <c r="B1289" s="130"/>
      <c r="C1289" s="124"/>
      <c r="D1289" s="124"/>
      <c r="E1289" s="273"/>
      <c r="F1289" s="124"/>
      <c r="G1289" s="124"/>
      <c r="H1289" s="124"/>
      <c r="I1289" s="124"/>
      <c r="J1289" s="124"/>
      <c r="K1289" s="125"/>
      <c r="L1289" s="129"/>
      <c r="M1289" s="129"/>
      <c r="N1289" s="129"/>
      <c r="O1289" s="128"/>
      <c r="P1289" s="129"/>
      <c r="Q1289" s="124"/>
      <c r="R1289" s="117"/>
      <c r="S1289" s="117"/>
      <c r="T1289" s="117"/>
      <c r="U1289" s="117"/>
      <c r="V1289" s="117"/>
      <c r="X1289" s="45"/>
      <c r="Y1289" s="128"/>
      <c r="Z1289" s="126"/>
      <c r="AA1289" s="128"/>
      <c r="AB1289" s="129"/>
      <c r="AC1289" s="160"/>
      <c r="AD1289" s="137"/>
      <c r="AE1289" s="110"/>
      <c r="AF1289" s="110"/>
      <c r="AG1289" s="121"/>
      <c r="AH1289" s="110"/>
    </row>
    <row r="1290" spans="1:34" ht="11.25" customHeight="1" x14ac:dyDescent="0.15">
      <c r="A1290" s="110" t="s">
        <v>330</v>
      </c>
      <c r="B1290" s="110"/>
      <c r="C1290" s="111" t="s">
        <v>175</v>
      </c>
      <c r="D1290" s="111">
        <v>2024</v>
      </c>
      <c r="E1290" s="250">
        <v>45230</v>
      </c>
      <c r="F1290" s="240"/>
      <c r="G1290" s="240">
        <v>81100011</v>
      </c>
      <c r="H1290" s="240">
        <v>4101</v>
      </c>
      <c r="I1290" s="240" t="str">
        <f t="shared" ref="I1290" si="813">MID(G1290,2,1)</f>
        <v>1</v>
      </c>
      <c r="J1290" s="240" t="str">
        <f t="shared" ref="J1290" si="814">IF(I1290="1","Small/Medium","Large")</f>
        <v>Small/Medium</v>
      </c>
      <c r="K1290" s="241" t="s">
        <v>654</v>
      </c>
      <c r="L1290" s="242">
        <v>800</v>
      </c>
      <c r="M1290" s="242">
        <f>L1290*0.3</f>
        <v>240</v>
      </c>
      <c r="N1290" s="242">
        <f>L1290-M1290</f>
        <v>560</v>
      </c>
      <c r="O1290" s="243">
        <f t="shared" ref="O1290:O1295" si="815">IFERROR(N1290/L1290,"")</f>
        <v>0.7</v>
      </c>
      <c r="P1290" s="242">
        <f>L1290</f>
        <v>800</v>
      </c>
      <c r="Q1290" s="240">
        <v>2093</v>
      </c>
      <c r="R1290" s="117">
        <v>17.5</v>
      </c>
      <c r="S1290" s="117">
        <v>785.4</v>
      </c>
      <c r="T1290" s="117">
        <v>946.89</v>
      </c>
      <c r="U1290" s="117">
        <v>407.7</v>
      </c>
      <c r="V1290" s="117"/>
      <c r="W1290" s="26">
        <f t="shared" ref="W1290:W1294" si="816">SUM(S1290:V1290)</f>
        <v>2139.9899999999998</v>
      </c>
      <c r="X1290" s="244">
        <f t="shared" ref="X1290:X1295" si="817">IFERROR(S1290/R1290,"")</f>
        <v>44.879999999999995</v>
      </c>
      <c r="Y1290" s="243">
        <f>U1290/P1290</f>
        <v>0.50962499999999999</v>
      </c>
      <c r="Z1290" s="245">
        <f t="shared" ref="Z1290:Z1295" si="818">P1290-W1290</f>
        <v>-1339.9899999999998</v>
      </c>
      <c r="AA1290" s="243">
        <f t="shared" ref="AA1290:AA1295" si="819">Z1290/P1290</f>
        <v>-1.6749874999999996</v>
      </c>
      <c r="AB1290" s="242">
        <f t="shared" ref="AB1290:AB1295" si="820">M1290-W1290</f>
        <v>-1899.9899999999998</v>
      </c>
      <c r="AC1290" s="243">
        <f t="shared" ref="AC1290:AC1295" si="821">IFERROR(AA1290-O1290,"")</f>
        <v>-2.3749874999999996</v>
      </c>
      <c r="AD1290" s="239" t="s">
        <v>655</v>
      </c>
      <c r="AE1290" s="110"/>
      <c r="AF1290" s="110"/>
      <c r="AG1290" s="121"/>
      <c r="AH1290" s="110"/>
    </row>
    <row r="1291" spans="1:34" ht="11.25" customHeight="1" x14ac:dyDescent="0.15">
      <c r="A1291" s="110" t="s">
        <v>330</v>
      </c>
      <c r="B1291" s="110"/>
      <c r="C1291" s="111" t="s">
        <v>175</v>
      </c>
      <c r="D1291" s="111">
        <v>2024</v>
      </c>
      <c r="E1291" s="250">
        <v>45322</v>
      </c>
      <c r="F1291" s="240"/>
      <c r="G1291" s="240">
        <v>81100011</v>
      </c>
      <c r="H1291" s="240">
        <v>4101</v>
      </c>
      <c r="I1291" s="240" t="str">
        <f t="shared" ref="I1291" si="822">MID(G1291,2,1)</f>
        <v>1</v>
      </c>
      <c r="J1291" s="240" t="str">
        <f t="shared" ref="J1291" si="823">IF(I1291="1","Small/Medium","Large")</f>
        <v>Small/Medium</v>
      </c>
      <c r="K1291" s="241" t="s">
        <v>656</v>
      </c>
      <c r="L1291" s="242">
        <v>1500</v>
      </c>
      <c r="M1291" s="242">
        <f>L1291*0.3</f>
        <v>450</v>
      </c>
      <c r="N1291" s="242">
        <f>L1291-M1291</f>
        <v>1050</v>
      </c>
      <c r="O1291" s="243">
        <f t="shared" si="815"/>
        <v>0.7</v>
      </c>
      <c r="P1291" s="242">
        <v>1500</v>
      </c>
      <c r="Q1291" s="240">
        <v>2559</v>
      </c>
      <c r="R1291" s="117">
        <v>25</v>
      </c>
      <c r="S1291" s="117">
        <v>1122</v>
      </c>
      <c r="T1291" s="117">
        <v>1161.83</v>
      </c>
      <c r="U1291" s="117"/>
      <c r="V1291" s="117"/>
      <c r="W1291" s="26">
        <f t="shared" ref="W1291" si="824">SUM(S1291:V1291)</f>
        <v>2283.83</v>
      </c>
      <c r="X1291" s="244">
        <f t="shared" si="817"/>
        <v>44.88</v>
      </c>
      <c r="Y1291" s="243">
        <f>U1291/P1291</f>
        <v>0</v>
      </c>
      <c r="Z1291" s="245">
        <f t="shared" si="818"/>
        <v>-783.82999999999993</v>
      </c>
      <c r="AA1291" s="243">
        <f t="shared" si="819"/>
        <v>-0.52255333333333331</v>
      </c>
      <c r="AB1291" s="120">
        <f t="shared" si="820"/>
        <v>-1833.83</v>
      </c>
      <c r="AC1291" s="243">
        <f t="shared" si="821"/>
        <v>-1.2225533333333334</v>
      </c>
      <c r="AD1291" s="239" t="s">
        <v>657</v>
      </c>
      <c r="AE1291" s="110"/>
      <c r="AF1291" s="110"/>
      <c r="AG1291" s="121"/>
      <c r="AH1291" s="110"/>
    </row>
    <row r="1292" spans="1:34" ht="11.25" customHeight="1" x14ac:dyDescent="0.15">
      <c r="A1292" s="110" t="s">
        <v>330</v>
      </c>
      <c r="B1292" s="110"/>
      <c r="C1292" s="111" t="s">
        <v>164</v>
      </c>
      <c r="D1292" s="111">
        <v>2023</v>
      </c>
      <c r="E1292" s="146">
        <v>45230</v>
      </c>
      <c r="F1292" s="111"/>
      <c r="G1292" s="111" t="s">
        <v>658</v>
      </c>
      <c r="H1292" s="111"/>
      <c r="I1292" s="111"/>
      <c r="J1292" s="111"/>
      <c r="K1292" s="112" t="s">
        <v>659</v>
      </c>
      <c r="L1292" s="148">
        <v>171.42</v>
      </c>
      <c r="M1292" s="148">
        <f>L1292*0.35</f>
        <v>59.996999999999993</v>
      </c>
      <c r="N1292" s="120">
        <f>L1292-M1292</f>
        <v>111.423</v>
      </c>
      <c r="O1292" s="119">
        <f t="shared" si="815"/>
        <v>0.65</v>
      </c>
      <c r="P1292" s="120">
        <f>L1292</f>
        <v>171.42</v>
      </c>
      <c r="Q1292" s="111"/>
      <c r="R1292" s="117"/>
      <c r="S1292" s="117"/>
      <c r="T1292" s="117"/>
      <c r="U1292" s="117">
        <v>78.72</v>
      </c>
      <c r="V1292" s="117"/>
      <c r="W1292" s="26">
        <f t="shared" ref="W1292:W1293" si="825">SUM(S1292:V1292)</f>
        <v>78.72</v>
      </c>
      <c r="X1292" s="118" t="str">
        <f t="shared" si="817"/>
        <v/>
      </c>
      <c r="Y1292" s="119">
        <f>U1292/P1292</f>
        <v>0.45922296114805744</v>
      </c>
      <c r="Z1292" s="117">
        <f t="shared" si="818"/>
        <v>92.699999999999989</v>
      </c>
      <c r="AA1292" s="119">
        <f t="shared" si="819"/>
        <v>0.54077703885194262</v>
      </c>
      <c r="AB1292" s="120">
        <f t="shared" si="820"/>
        <v>-18.723000000000006</v>
      </c>
      <c r="AC1292" s="119">
        <f t="shared" si="821"/>
        <v>-0.10922296114805741</v>
      </c>
      <c r="AD1292" s="110"/>
      <c r="AE1292" s="110"/>
      <c r="AF1292" s="110"/>
      <c r="AG1292" s="152"/>
      <c r="AH1292" s="110"/>
    </row>
    <row r="1293" spans="1:34" ht="11.25" customHeight="1" x14ac:dyDescent="0.15">
      <c r="A1293" s="110" t="s">
        <v>330</v>
      </c>
      <c r="B1293" s="110"/>
      <c r="C1293" s="111" t="s">
        <v>164</v>
      </c>
      <c r="D1293" s="111">
        <v>2023</v>
      </c>
      <c r="E1293" s="146">
        <v>45230</v>
      </c>
      <c r="F1293" s="111"/>
      <c r="G1293" s="111" t="s">
        <v>660</v>
      </c>
      <c r="H1293" s="111"/>
      <c r="I1293" s="111"/>
      <c r="J1293" s="111"/>
      <c r="K1293" s="112" t="s">
        <v>661</v>
      </c>
      <c r="L1293" s="148">
        <v>220.16</v>
      </c>
      <c r="M1293" s="148">
        <f>L1293*0.35</f>
        <v>77.055999999999997</v>
      </c>
      <c r="N1293" s="120">
        <f>L1293-M1293</f>
        <v>143.10399999999998</v>
      </c>
      <c r="O1293" s="119">
        <f t="shared" si="815"/>
        <v>0.64999999999999991</v>
      </c>
      <c r="P1293" s="120">
        <f t="shared" ref="P1293:P1294" si="826">L1293</f>
        <v>220.16</v>
      </c>
      <c r="Q1293" s="111"/>
      <c r="R1293" s="117"/>
      <c r="S1293" s="117"/>
      <c r="T1293" s="117"/>
      <c r="U1293" s="117">
        <v>77.06</v>
      </c>
      <c r="V1293" s="117"/>
      <c r="W1293" s="26">
        <f t="shared" si="825"/>
        <v>77.06</v>
      </c>
      <c r="X1293" s="118" t="str">
        <f t="shared" si="817"/>
        <v/>
      </c>
      <c r="Y1293" s="119">
        <f>U1293/P1293</f>
        <v>0.35001816860465118</v>
      </c>
      <c r="Z1293" s="117">
        <f t="shared" si="818"/>
        <v>143.1</v>
      </c>
      <c r="AA1293" s="119">
        <f t="shared" si="819"/>
        <v>0.64998183139534882</v>
      </c>
      <c r="AB1293" s="120">
        <f t="shared" si="820"/>
        <v>-4.0000000000048885E-3</v>
      </c>
      <c r="AC1293" s="119">
        <f t="shared" si="821"/>
        <v>-1.8168604651092046E-5</v>
      </c>
      <c r="AD1293" s="110"/>
      <c r="AE1293" s="110"/>
      <c r="AF1293" s="110"/>
      <c r="AG1293" s="152"/>
      <c r="AH1293" s="110"/>
    </row>
    <row r="1294" spans="1:34" ht="11.25" customHeight="1" x14ac:dyDescent="0.15">
      <c r="A1294" s="110" t="s">
        <v>330</v>
      </c>
      <c r="B1294" s="110"/>
      <c r="C1294" s="111" t="s">
        <v>201</v>
      </c>
      <c r="D1294" s="111">
        <v>2023</v>
      </c>
      <c r="E1294" s="146">
        <v>45230</v>
      </c>
      <c r="F1294" s="111"/>
      <c r="G1294" s="111" t="s">
        <v>202</v>
      </c>
      <c r="H1294" s="111"/>
      <c r="I1294" s="111"/>
      <c r="J1294" s="111"/>
      <c r="K1294" s="112" t="s">
        <v>662</v>
      </c>
      <c r="L1294" s="120">
        <f>7707.15-7257.15</f>
        <v>450</v>
      </c>
      <c r="M1294" s="120">
        <f>L1294*0.35</f>
        <v>157.5</v>
      </c>
      <c r="N1294" s="120">
        <f>L1294-M1294</f>
        <v>292.5</v>
      </c>
      <c r="O1294" s="119">
        <f t="shared" si="815"/>
        <v>0.65</v>
      </c>
      <c r="P1294" s="120">
        <f t="shared" si="826"/>
        <v>450</v>
      </c>
      <c r="Q1294" s="111">
        <v>2173</v>
      </c>
      <c r="R1294" s="117">
        <v>9.5</v>
      </c>
      <c r="S1294" s="117">
        <v>436.15</v>
      </c>
      <c r="T1294" s="117">
        <v>946.88</v>
      </c>
      <c r="U1294" s="117"/>
      <c r="V1294" s="117"/>
      <c r="W1294" s="26">
        <f t="shared" si="816"/>
        <v>1383.03</v>
      </c>
      <c r="X1294" s="118">
        <f t="shared" si="817"/>
        <v>45.910526315789468</v>
      </c>
      <c r="Y1294" s="119">
        <f>U1294/P1294</f>
        <v>0</v>
      </c>
      <c r="Z1294" s="117">
        <f t="shared" si="818"/>
        <v>-933.03</v>
      </c>
      <c r="AA1294" s="119">
        <f t="shared" si="819"/>
        <v>-2.0733999999999999</v>
      </c>
      <c r="AB1294" s="120">
        <f t="shared" si="820"/>
        <v>-1225.53</v>
      </c>
      <c r="AC1294" s="119">
        <f t="shared" si="821"/>
        <v>-2.7233999999999998</v>
      </c>
      <c r="AD1294" s="110" t="s">
        <v>663</v>
      </c>
      <c r="AE1294" s="110"/>
      <c r="AF1294" s="110"/>
      <c r="AG1294" s="121"/>
      <c r="AH1294" s="110"/>
    </row>
    <row r="1295" spans="1:34" s="216" customFormat="1" ht="11.25" customHeight="1" x14ac:dyDescent="0.15">
      <c r="A1295" s="53" t="s">
        <v>330</v>
      </c>
      <c r="B1295" s="53"/>
      <c r="C1295" s="54" t="s">
        <v>177</v>
      </c>
      <c r="D1295" s="54">
        <v>2023</v>
      </c>
      <c r="E1295" s="70">
        <v>45230</v>
      </c>
      <c r="F1295" s="54"/>
      <c r="G1295" s="54"/>
      <c r="H1295" s="54"/>
      <c r="I1295" s="54"/>
      <c r="J1295" s="54"/>
      <c r="K1295" s="106"/>
      <c r="L1295" s="24">
        <f>SUM(L1290:L1294)</f>
        <v>3141.58</v>
      </c>
      <c r="M1295" s="24">
        <f t="shared" ref="M1295:N1295" si="827">SUM(M1290:M1294)</f>
        <v>984.553</v>
      </c>
      <c r="N1295" s="24">
        <f t="shared" si="827"/>
        <v>2157.027</v>
      </c>
      <c r="O1295" s="57">
        <f t="shared" si="815"/>
        <v>0.68660578435054975</v>
      </c>
      <c r="P1295" s="24">
        <f>SUM(P1290:P1294)</f>
        <v>3141.58</v>
      </c>
      <c r="Q1295" s="24"/>
      <c r="R1295" s="117">
        <f>SUM(R1290:R1294)</f>
        <v>52</v>
      </c>
      <c r="S1295" s="117">
        <f t="shared" ref="S1295:V1295" si="828">SUM(S1290:S1294)</f>
        <v>2343.5500000000002</v>
      </c>
      <c r="T1295" s="117">
        <f t="shared" si="828"/>
        <v>3055.6</v>
      </c>
      <c r="U1295" s="117">
        <f t="shared" si="828"/>
        <v>563.48</v>
      </c>
      <c r="V1295" s="117">
        <f t="shared" si="828"/>
        <v>0</v>
      </c>
      <c r="W1295" s="26">
        <f>SUM(W1290:W1294)</f>
        <v>5962.63</v>
      </c>
      <c r="X1295" s="56">
        <f t="shared" si="817"/>
        <v>45.068269230769232</v>
      </c>
      <c r="Y1295" s="57">
        <f>IFERROR(U1295/P1295,0)</f>
        <v>0.17936197709432833</v>
      </c>
      <c r="Z1295" s="28">
        <f t="shared" si="818"/>
        <v>-2821.05</v>
      </c>
      <c r="AA1295" s="57">
        <f t="shared" si="819"/>
        <v>-0.89797172123581137</v>
      </c>
      <c r="AB1295" s="120">
        <f t="shared" si="820"/>
        <v>-4978.0770000000002</v>
      </c>
      <c r="AC1295" s="119">
        <f t="shared" si="821"/>
        <v>-1.5845775055863611</v>
      </c>
      <c r="AD1295" s="53"/>
      <c r="AE1295" s="53"/>
      <c r="AF1295" s="53"/>
      <c r="AG1295" s="61"/>
      <c r="AH1295" s="53"/>
    </row>
    <row r="1296" spans="1:34" ht="11.25" customHeight="1" x14ac:dyDescent="0.15">
      <c r="A1296" s="130"/>
      <c r="B1296" s="130"/>
      <c r="C1296" s="124"/>
      <c r="D1296" s="124"/>
      <c r="E1296" s="273"/>
      <c r="F1296" s="124"/>
      <c r="G1296" s="124"/>
      <c r="H1296" s="124"/>
      <c r="I1296" s="124"/>
      <c r="J1296" s="124"/>
      <c r="K1296" s="125"/>
      <c r="L1296" s="129"/>
      <c r="M1296" s="129"/>
      <c r="N1296" s="129"/>
      <c r="O1296" s="128"/>
      <c r="P1296" s="129"/>
      <c r="Q1296" s="124"/>
      <c r="R1296" s="117"/>
      <c r="S1296" s="117"/>
      <c r="T1296" s="117"/>
      <c r="U1296" s="117"/>
      <c r="V1296" s="117"/>
      <c r="X1296" s="45"/>
      <c r="Y1296" s="128"/>
      <c r="Z1296" s="126"/>
      <c r="AA1296" s="128"/>
      <c r="AB1296" s="129"/>
      <c r="AC1296" s="160"/>
      <c r="AD1296" s="137"/>
      <c r="AE1296" s="110"/>
      <c r="AF1296" s="110"/>
      <c r="AG1296" s="121"/>
      <c r="AH1296" s="110"/>
    </row>
    <row r="1297" spans="1:34" ht="11.25" customHeight="1" x14ac:dyDescent="0.15">
      <c r="A1297" s="110" t="s">
        <v>199</v>
      </c>
      <c r="B1297" s="110"/>
      <c r="C1297" s="111" t="s">
        <v>175</v>
      </c>
      <c r="D1297" s="111">
        <v>2023</v>
      </c>
      <c r="E1297" s="146">
        <v>45260</v>
      </c>
      <c r="F1297" s="111"/>
      <c r="G1297" s="111">
        <v>81100211</v>
      </c>
      <c r="H1297" s="111">
        <v>4101</v>
      </c>
      <c r="I1297" s="111" t="str">
        <f t="shared" ref="I1297:I1298" si="829">MID(G1297,2,1)</f>
        <v>1</v>
      </c>
      <c r="J1297" s="111" t="str">
        <f t="shared" ref="J1297:J1298" si="830">IF(I1297="1","Small/Medium","Large")</f>
        <v>Small/Medium</v>
      </c>
      <c r="K1297" s="112" t="s">
        <v>145</v>
      </c>
      <c r="L1297" s="120">
        <v>29548.75</v>
      </c>
      <c r="M1297" s="120">
        <f>L1297*0.3</f>
        <v>8864.625</v>
      </c>
      <c r="N1297" s="120">
        <f>L1297-M1297</f>
        <v>20684.125</v>
      </c>
      <c r="O1297" s="119">
        <f>IFERROR(N1297/L1297,"")</f>
        <v>0.7</v>
      </c>
      <c r="P1297" s="120">
        <v>29548.75</v>
      </c>
      <c r="Q1297" s="111">
        <v>2479</v>
      </c>
      <c r="R1297" s="117">
        <v>25.5</v>
      </c>
      <c r="S1297" s="117">
        <v>1144.44</v>
      </c>
      <c r="T1297" s="117">
        <v>1899.09</v>
      </c>
      <c r="U1297" s="117">
        <v>472.52</v>
      </c>
      <c r="V1297" s="117"/>
      <c r="W1297" s="26">
        <f>SUM(S1297:V1297)</f>
        <v>3516.0499999999997</v>
      </c>
      <c r="X1297" s="118">
        <f>IFERROR(S1297/R1297,"")</f>
        <v>44.88</v>
      </c>
      <c r="Y1297" s="119">
        <f>U1297/P1297</f>
        <v>1.5991200981428994E-2</v>
      </c>
      <c r="Z1297" s="117">
        <f>P1297-W1297</f>
        <v>26032.7</v>
      </c>
      <c r="AA1297" s="119">
        <f>Z1297/P1297</f>
        <v>0.88100850289775379</v>
      </c>
      <c r="AB1297" s="120">
        <f t="shared" ref="AB1297:AB1299" si="831">M1297-W1297</f>
        <v>5348.5750000000007</v>
      </c>
      <c r="AC1297" s="119">
        <f>IFERROR(AA1297-O1297,"")</f>
        <v>0.18100850289775383</v>
      </c>
      <c r="AD1297" s="110" t="s">
        <v>664</v>
      </c>
      <c r="AE1297" s="110"/>
      <c r="AF1297" s="110"/>
      <c r="AG1297" s="121"/>
      <c r="AH1297" s="110"/>
    </row>
    <row r="1298" spans="1:34" ht="11.25" customHeight="1" x14ac:dyDescent="0.15">
      <c r="A1298" s="110" t="s">
        <v>199</v>
      </c>
      <c r="B1298" s="110"/>
      <c r="C1298" s="111" t="s">
        <v>175</v>
      </c>
      <c r="D1298" s="111">
        <v>2023</v>
      </c>
      <c r="E1298" s="146">
        <v>45260</v>
      </c>
      <c r="F1298" s="111"/>
      <c r="G1298" s="111">
        <v>82100211</v>
      </c>
      <c r="H1298" s="111">
        <v>4101</v>
      </c>
      <c r="I1298" s="111" t="str">
        <f t="shared" si="829"/>
        <v>2</v>
      </c>
      <c r="J1298" s="111" t="str">
        <f t="shared" si="830"/>
        <v>Large</v>
      </c>
      <c r="K1298" s="112" t="s">
        <v>176</v>
      </c>
      <c r="L1298" s="120">
        <v>12076.25</v>
      </c>
      <c r="M1298" s="120">
        <f>L1298*0.3</f>
        <v>3622.875</v>
      </c>
      <c r="N1298" s="120">
        <f>L1298-M1298</f>
        <v>8453.375</v>
      </c>
      <c r="O1298" s="119">
        <f>IFERROR(N1298/L1298,"")</f>
        <v>0.7</v>
      </c>
      <c r="P1298" s="120">
        <v>12076.25</v>
      </c>
      <c r="Q1298" s="111">
        <v>2480</v>
      </c>
      <c r="R1298" s="117">
        <v>17</v>
      </c>
      <c r="S1298" s="117">
        <v>762.96</v>
      </c>
      <c r="T1298" s="117">
        <v>1022.59</v>
      </c>
      <c r="U1298" s="117">
        <v>154.22</v>
      </c>
      <c r="V1298" s="117"/>
      <c r="W1298" s="26">
        <f>SUM(S1298:V1298)</f>
        <v>1939.7700000000002</v>
      </c>
      <c r="X1298" s="118">
        <f>IFERROR(S1298/R1298,"")</f>
        <v>44.88</v>
      </c>
      <c r="Y1298" s="119">
        <f>U1298/P1298</f>
        <v>1.2770520650036228E-2</v>
      </c>
      <c r="Z1298" s="117">
        <f>P1298-W1298</f>
        <v>10136.48</v>
      </c>
      <c r="AA1298" s="119">
        <f>Z1298/P1298</f>
        <v>0.8393731497774557</v>
      </c>
      <c r="AB1298" s="120">
        <f t="shared" si="831"/>
        <v>1683.1049999999998</v>
      </c>
      <c r="AC1298" s="119">
        <f>IFERROR(AA1298-O1298,"")</f>
        <v>0.13937314977745574</v>
      </c>
      <c r="AD1298" s="110" t="s">
        <v>664</v>
      </c>
      <c r="AE1298" s="110"/>
      <c r="AF1298" s="110"/>
      <c r="AG1298" s="121"/>
      <c r="AH1298" s="110"/>
    </row>
    <row r="1299" spans="1:34" s="216" customFormat="1" ht="11.25" customHeight="1" x14ac:dyDescent="0.15">
      <c r="A1299" s="53" t="s">
        <v>199</v>
      </c>
      <c r="B1299" s="53"/>
      <c r="C1299" s="54" t="s">
        <v>177</v>
      </c>
      <c r="D1299" s="54">
        <v>2023</v>
      </c>
      <c r="E1299" s="70">
        <v>45260</v>
      </c>
      <c r="F1299" s="54"/>
      <c r="G1299" s="54"/>
      <c r="H1299" s="54"/>
      <c r="I1299" s="54"/>
      <c r="J1299" s="54"/>
      <c r="K1299" s="106"/>
      <c r="L1299" s="24">
        <f>SUM(L1297:L1298)</f>
        <v>41625</v>
      </c>
      <c r="M1299" s="24">
        <f>SUM(M1297:M1298)</f>
        <v>12487.5</v>
      </c>
      <c r="N1299" s="24">
        <f>SUM(N1297:N1298)</f>
        <v>29137.5</v>
      </c>
      <c r="O1299" s="57">
        <f>IFERROR(N1299/L1299,"")</f>
        <v>0.7</v>
      </c>
      <c r="P1299" s="24">
        <f>SUM(P1297:P1298)</f>
        <v>41625</v>
      </c>
      <c r="Q1299" s="24"/>
      <c r="R1299" s="117">
        <f>SUM(R1297:R1298)</f>
        <v>42.5</v>
      </c>
      <c r="S1299" s="117">
        <f t="shared" ref="S1299:V1299" si="832">SUM(S1297:S1298)</f>
        <v>1907.4</v>
      </c>
      <c r="T1299" s="117">
        <f t="shared" si="832"/>
        <v>2921.68</v>
      </c>
      <c r="U1299" s="117">
        <f t="shared" si="832"/>
        <v>626.74</v>
      </c>
      <c r="V1299" s="117">
        <f t="shared" si="832"/>
        <v>0</v>
      </c>
      <c r="W1299" s="26">
        <f>SUM(W1297:W1298)</f>
        <v>5455.82</v>
      </c>
      <c r="X1299" s="56">
        <f>IFERROR(S1299/R1299,"")</f>
        <v>44.88</v>
      </c>
      <c r="Y1299" s="57">
        <f>IFERROR(U1299/P1299,0)</f>
        <v>1.5056816816816816E-2</v>
      </c>
      <c r="Z1299" s="28">
        <f>P1299-W1299</f>
        <v>36169.18</v>
      </c>
      <c r="AA1299" s="57">
        <f>Z1299/P1299</f>
        <v>0.8689292492492493</v>
      </c>
      <c r="AB1299" s="120">
        <f t="shared" si="831"/>
        <v>7031.68</v>
      </c>
      <c r="AC1299" s="119">
        <f>IFERROR(AA1299-O1299,"")</f>
        <v>0.16892924924924935</v>
      </c>
      <c r="AD1299" s="53"/>
      <c r="AE1299" s="53"/>
      <c r="AF1299" s="53"/>
      <c r="AG1299" s="61"/>
      <c r="AH1299" s="53"/>
    </row>
    <row r="1300" spans="1:34" ht="11.25" customHeight="1" x14ac:dyDescent="0.15">
      <c r="A1300" s="130"/>
      <c r="B1300" s="130"/>
      <c r="C1300" s="124"/>
      <c r="D1300" s="124"/>
      <c r="E1300" s="273"/>
      <c r="F1300" s="124"/>
      <c r="G1300" s="124"/>
      <c r="H1300" s="124"/>
      <c r="I1300" s="124"/>
      <c r="J1300" s="124"/>
      <c r="K1300" s="125"/>
      <c r="L1300" s="129"/>
      <c r="M1300" s="129"/>
      <c r="N1300" s="129"/>
      <c r="O1300" s="128"/>
      <c r="P1300" s="129"/>
      <c r="Q1300" s="124"/>
      <c r="R1300" s="117"/>
      <c r="S1300" s="117"/>
      <c r="T1300" s="117"/>
      <c r="U1300" s="117"/>
      <c r="V1300" s="117"/>
      <c r="X1300" s="45"/>
      <c r="Y1300" s="128"/>
      <c r="Z1300" s="126"/>
      <c r="AA1300" s="128"/>
      <c r="AB1300" s="129"/>
      <c r="AC1300" s="160"/>
      <c r="AD1300" s="137"/>
      <c r="AE1300" s="110"/>
      <c r="AF1300" s="110"/>
      <c r="AG1300" s="121"/>
      <c r="AH1300" s="110"/>
    </row>
    <row r="1301" spans="1:34" ht="11.25" customHeight="1" x14ac:dyDescent="0.15">
      <c r="A1301" s="110" t="s">
        <v>307</v>
      </c>
      <c r="B1301" s="110"/>
      <c r="C1301" s="111" t="s">
        <v>175</v>
      </c>
      <c r="D1301" s="111">
        <v>2023</v>
      </c>
      <c r="E1301" s="146">
        <v>45260</v>
      </c>
      <c r="F1301" s="111"/>
      <c r="G1301" s="111">
        <v>81000211</v>
      </c>
      <c r="H1301" s="111">
        <v>4111</v>
      </c>
      <c r="I1301" s="111" t="str">
        <f t="shared" ref="I1301" si="833">MID(G1301,2,1)</f>
        <v>1</v>
      </c>
      <c r="J1301" s="111" t="str">
        <f t="shared" ref="J1301" si="834">IF(I1301="1","Small/Medium","Large")</f>
        <v>Small/Medium</v>
      </c>
      <c r="K1301" s="112" t="s">
        <v>145</v>
      </c>
      <c r="L1301" s="120">
        <v>14393.6</v>
      </c>
      <c r="M1301" s="120">
        <f>L1301*0.3</f>
        <v>4318.08</v>
      </c>
      <c r="N1301" s="120">
        <f>L1301-M1301</f>
        <v>10075.52</v>
      </c>
      <c r="O1301" s="119">
        <f>IFERROR(N1301/L1301,"")</f>
        <v>0.70000000000000007</v>
      </c>
      <c r="P1301" s="120">
        <v>14393.6</v>
      </c>
      <c r="Q1301" s="111">
        <v>2504</v>
      </c>
      <c r="R1301" s="117">
        <v>16</v>
      </c>
      <c r="S1301" s="117">
        <v>718.08</v>
      </c>
      <c r="T1301" s="117">
        <v>817.79</v>
      </c>
      <c r="U1301" s="117">
        <v>386.12</v>
      </c>
      <c r="V1301" s="117"/>
      <c r="W1301" s="26">
        <f>SUM(S1301:V1301)</f>
        <v>1921.9899999999998</v>
      </c>
      <c r="X1301" s="118">
        <f>IFERROR(S1301/R1301,"")</f>
        <v>44.88</v>
      </c>
      <c r="Y1301" s="119">
        <f>U1301/P1301</f>
        <v>2.6825811471765229E-2</v>
      </c>
      <c r="Z1301" s="117">
        <f>P1301-W1301</f>
        <v>12471.61</v>
      </c>
      <c r="AA1301" s="119">
        <f>Z1301/P1301</f>
        <v>0.86646912516674079</v>
      </c>
      <c r="AB1301" s="120">
        <f t="shared" ref="AB1301:AB1303" si="835">M1301-W1301</f>
        <v>2396.09</v>
      </c>
      <c r="AC1301" s="119">
        <f>IFERROR(AA1301-O1301,"")</f>
        <v>0.16646912516674073</v>
      </c>
      <c r="AD1301" s="110" t="s">
        <v>664</v>
      </c>
      <c r="AE1301" s="110"/>
      <c r="AF1301" s="110"/>
      <c r="AG1301" s="121"/>
      <c r="AH1301" s="110"/>
    </row>
    <row r="1302" spans="1:34" ht="11.25" customHeight="1" x14ac:dyDescent="0.15">
      <c r="A1302" s="110" t="s">
        <v>307</v>
      </c>
      <c r="B1302" s="110"/>
      <c r="C1302" s="111" t="s">
        <v>175</v>
      </c>
      <c r="D1302" s="111">
        <v>2023</v>
      </c>
      <c r="E1302" s="146">
        <v>45260</v>
      </c>
      <c r="F1302" s="111"/>
      <c r="G1302" s="111">
        <v>80000211</v>
      </c>
      <c r="H1302" s="111">
        <v>4111</v>
      </c>
      <c r="I1302" s="111" t="str">
        <f>MID(G1302,2,1)</f>
        <v>0</v>
      </c>
      <c r="J1302" s="111" t="s">
        <v>502</v>
      </c>
      <c r="K1302" s="112" t="s">
        <v>503</v>
      </c>
      <c r="L1302" s="120">
        <v>21590.399999999998</v>
      </c>
      <c r="M1302" s="120">
        <f>L1302*0.3</f>
        <v>6477.119999999999</v>
      </c>
      <c r="N1302" s="120">
        <f>L1302-M1302</f>
        <v>15113.279999999999</v>
      </c>
      <c r="O1302" s="119">
        <f>IFERROR(N1302/L1302,"")</f>
        <v>0.70000000000000007</v>
      </c>
      <c r="P1302" s="120">
        <v>21590.399999999998</v>
      </c>
      <c r="Q1302" s="111">
        <v>2506</v>
      </c>
      <c r="R1302" s="117">
        <v>16</v>
      </c>
      <c r="S1302" s="117">
        <v>718.08</v>
      </c>
      <c r="T1302" s="117">
        <v>817.79</v>
      </c>
      <c r="U1302" s="117">
        <v>18.920000000000002</v>
      </c>
      <c r="V1302" s="117"/>
      <c r="W1302" s="26">
        <f>SUM(S1302:V1302)</f>
        <v>1554.79</v>
      </c>
      <c r="X1302" s="118">
        <f>IFERROR(S1302/R1302,"")</f>
        <v>44.88</v>
      </c>
      <c r="Y1302" s="119">
        <f>U1302/P1302</f>
        <v>8.7631539943678694E-4</v>
      </c>
      <c r="Z1302" s="117">
        <f>P1302-W1302</f>
        <v>20035.609999999997</v>
      </c>
      <c r="AA1302" s="119">
        <f>Z1302/P1302</f>
        <v>0.92798697569290045</v>
      </c>
      <c r="AB1302" s="120">
        <f t="shared" si="835"/>
        <v>4922.329999999999</v>
      </c>
      <c r="AC1302" s="119">
        <f>IFERROR(AA1302-O1302,"")</f>
        <v>0.22798697569290038</v>
      </c>
      <c r="AD1302" s="110" t="s">
        <v>664</v>
      </c>
      <c r="AE1302" s="110"/>
      <c r="AF1302" s="110"/>
      <c r="AG1302" s="121"/>
      <c r="AH1302" s="110"/>
    </row>
    <row r="1303" spans="1:34" s="216" customFormat="1" ht="11.25" customHeight="1" x14ac:dyDescent="0.15">
      <c r="A1303" s="53" t="s">
        <v>307</v>
      </c>
      <c r="B1303" s="53"/>
      <c r="C1303" s="54" t="s">
        <v>177</v>
      </c>
      <c r="D1303" s="54">
        <v>2023</v>
      </c>
      <c r="E1303" s="70">
        <v>45260</v>
      </c>
      <c r="F1303" s="54"/>
      <c r="G1303" s="54"/>
      <c r="H1303" s="54"/>
      <c r="I1303" s="54"/>
      <c r="J1303" s="54"/>
      <c r="K1303" s="106"/>
      <c r="L1303" s="24">
        <f>SUM(L1301:L1302)</f>
        <v>35984</v>
      </c>
      <c r="M1303" s="24">
        <f>SUM(M1301:M1302)</f>
        <v>10795.199999999999</v>
      </c>
      <c r="N1303" s="24">
        <f>SUM(N1301:N1302)</f>
        <v>25188.799999999999</v>
      </c>
      <c r="O1303" s="57">
        <f>IFERROR(N1303/L1303,"")</f>
        <v>0.7</v>
      </c>
      <c r="P1303" s="24">
        <f>SUM(P1301:P1302)</f>
        <v>35984</v>
      </c>
      <c r="Q1303" s="24"/>
      <c r="R1303" s="117">
        <f>SUM(R1301:R1302)</f>
        <v>32</v>
      </c>
      <c r="S1303" s="117">
        <f t="shared" ref="S1303:W1303" si="836">SUM(S1301:S1302)</f>
        <v>1436.16</v>
      </c>
      <c r="T1303" s="117">
        <f t="shared" si="836"/>
        <v>1635.58</v>
      </c>
      <c r="U1303" s="117">
        <f t="shared" si="836"/>
        <v>405.04</v>
      </c>
      <c r="V1303" s="117">
        <f t="shared" si="836"/>
        <v>0</v>
      </c>
      <c r="W1303" s="26">
        <f t="shared" si="836"/>
        <v>3476.7799999999997</v>
      </c>
      <c r="X1303" s="56">
        <f>IFERROR(S1303/R1303,"")</f>
        <v>44.88</v>
      </c>
      <c r="Y1303" s="57">
        <f>IFERROR(U1303/P1303,0)</f>
        <v>1.1256113828368164E-2</v>
      </c>
      <c r="Z1303" s="28">
        <f>P1303-W1303</f>
        <v>32507.22</v>
      </c>
      <c r="AA1303" s="57">
        <f>Z1303/P1303</f>
        <v>0.90337983548243672</v>
      </c>
      <c r="AB1303" s="120">
        <f t="shared" si="835"/>
        <v>7318.4199999999992</v>
      </c>
      <c r="AC1303" s="119">
        <f>IFERROR(AA1303-O1303,"")</f>
        <v>0.20337983548243677</v>
      </c>
      <c r="AD1303" s="53"/>
      <c r="AE1303" s="53"/>
      <c r="AF1303" s="53"/>
      <c r="AG1303" s="61"/>
      <c r="AH1303" s="53"/>
    </row>
    <row r="1304" spans="1:34" ht="11.25" customHeight="1" x14ac:dyDescent="0.15">
      <c r="A1304" s="130"/>
      <c r="B1304" s="130"/>
      <c r="C1304" s="124"/>
      <c r="D1304" s="124"/>
      <c r="E1304" s="273"/>
      <c r="F1304" s="124"/>
      <c r="G1304" s="124"/>
      <c r="H1304" s="124"/>
      <c r="I1304" s="124"/>
      <c r="J1304" s="124"/>
      <c r="K1304" s="125"/>
      <c r="L1304" s="129"/>
      <c r="M1304" s="129"/>
      <c r="N1304" s="129"/>
      <c r="O1304" s="128"/>
      <c r="P1304" s="129"/>
      <c r="Q1304" s="124"/>
      <c r="R1304" s="117"/>
      <c r="S1304" s="117"/>
      <c r="T1304" s="117"/>
      <c r="U1304" s="117"/>
      <c r="V1304" s="117"/>
      <c r="X1304" s="45"/>
      <c r="Y1304" s="128"/>
      <c r="Z1304" s="126"/>
      <c r="AA1304" s="128"/>
      <c r="AB1304" s="129"/>
      <c r="AC1304" s="160"/>
      <c r="AD1304" s="137"/>
      <c r="AE1304" s="110"/>
      <c r="AF1304" s="110"/>
      <c r="AG1304" s="121"/>
      <c r="AH1304" s="110"/>
    </row>
    <row r="1305" spans="1:34" ht="11.25" customHeight="1" x14ac:dyDescent="0.15">
      <c r="A1305" s="110" t="s">
        <v>665</v>
      </c>
      <c r="B1305" s="110"/>
      <c r="C1305" s="111" t="s">
        <v>37</v>
      </c>
      <c r="D1305" s="111">
        <v>2023</v>
      </c>
      <c r="E1305" s="146">
        <v>45260</v>
      </c>
      <c r="F1305" s="111"/>
      <c r="G1305" s="111">
        <v>11024112</v>
      </c>
      <c r="H1305" s="111"/>
      <c r="I1305" s="111"/>
      <c r="J1305" s="111"/>
      <c r="K1305" s="112" t="s">
        <v>511</v>
      </c>
      <c r="L1305" s="120">
        <f>126723+2033</f>
        <v>128756</v>
      </c>
      <c r="M1305" s="120">
        <f>33589.55+711.55</f>
        <v>34301.100000000006</v>
      </c>
      <c r="N1305" s="120">
        <f>L1305-M1305</f>
        <v>94454.9</v>
      </c>
      <c r="O1305" s="119">
        <f t="shared" ref="O1305:O1316" si="837">IFERROR(N1305/L1305,"")</f>
        <v>0.73359610425921895</v>
      </c>
      <c r="P1305" s="120">
        <f>126723+2033</f>
        <v>128756</v>
      </c>
      <c r="Q1305" s="111">
        <v>1334</v>
      </c>
      <c r="R1305" s="117">
        <v>39</v>
      </c>
      <c r="S1305" s="117">
        <v>1526.76</v>
      </c>
      <c r="T1305" s="117"/>
      <c r="U1305" s="117">
        <v>32089.35</v>
      </c>
      <c r="V1305" s="117"/>
      <c r="W1305" s="26">
        <f>SUM(S1305:V1305)</f>
        <v>33616.11</v>
      </c>
      <c r="X1305" s="118">
        <f>IFERROR(S1305/R1305,"")</f>
        <v>39.14769230769231</v>
      </c>
      <c r="Y1305" s="119">
        <f>U1305/P1305</f>
        <v>0.24922605548479293</v>
      </c>
      <c r="Z1305" s="117">
        <f>P1305-W1305</f>
        <v>95139.89</v>
      </c>
      <c r="AA1305" s="119">
        <f>Z1305/P1305</f>
        <v>0.7389161670135761</v>
      </c>
      <c r="AB1305" s="120">
        <f>M1305-W1305</f>
        <v>684.99000000000524</v>
      </c>
      <c r="AC1305" s="119">
        <f>IFERROR(AA1305-O1305,"")</f>
        <v>5.3200627543571466E-3</v>
      </c>
      <c r="AD1305" s="110"/>
      <c r="AE1305" s="110"/>
      <c r="AF1305" s="110"/>
      <c r="AG1305" s="121"/>
      <c r="AH1305" s="110"/>
    </row>
    <row r="1306" spans="1:34" ht="11.25" customHeight="1" x14ac:dyDescent="0.15">
      <c r="A1306" s="110" t="s">
        <v>665</v>
      </c>
      <c r="B1306" s="110"/>
      <c r="C1306" s="111" t="s">
        <v>37</v>
      </c>
      <c r="D1306" s="111">
        <v>2023</v>
      </c>
      <c r="E1306" s="146">
        <v>45260</v>
      </c>
      <c r="F1306" s="111"/>
      <c r="G1306" s="111">
        <v>21010011</v>
      </c>
      <c r="H1306" s="111"/>
      <c r="I1306" s="111"/>
      <c r="J1306" s="111"/>
      <c r="K1306" s="112" t="s">
        <v>439</v>
      </c>
      <c r="L1306" s="120">
        <v>16844</v>
      </c>
      <c r="M1306" s="120">
        <v>5509.54</v>
      </c>
      <c r="N1306" s="120">
        <f>L1306-M1306</f>
        <v>11334.46</v>
      </c>
      <c r="O1306" s="119">
        <f t="shared" si="837"/>
        <v>0.67290786036570882</v>
      </c>
      <c r="P1306" s="120">
        <v>16844</v>
      </c>
      <c r="Q1306" s="111">
        <v>2375</v>
      </c>
      <c r="R1306" s="117"/>
      <c r="S1306" s="117"/>
      <c r="T1306" s="117"/>
      <c r="U1306" s="117">
        <v>6872.98</v>
      </c>
      <c r="V1306" s="117"/>
      <c r="W1306" s="26">
        <f t="shared" ref="W1306:W1315" si="838">SUM(S1306:V1306)</f>
        <v>6872.98</v>
      </c>
      <c r="X1306" s="118" t="str">
        <f t="shared" ref="X1306:X1310" si="839">IFERROR(S1306/R1306,"")</f>
        <v/>
      </c>
      <c r="Y1306" s="119">
        <f t="shared" ref="Y1306:Y1310" si="840">U1306/P1306</f>
        <v>0.40803728330562811</v>
      </c>
      <c r="Z1306" s="117">
        <f t="shared" ref="Z1306:Z1310" si="841">P1306-W1306</f>
        <v>9971.02</v>
      </c>
      <c r="AA1306" s="119">
        <f t="shared" ref="AA1306:AA1310" si="842">Z1306/P1306</f>
        <v>0.59196271669437195</v>
      </c>
      <c r="AB1306" s="120">
        <f t="shared" ref="AB1306:AB1319" si="843">M1306-W1306</f>
        <v>-1363.4399999999996</v>
      </c>
      <c r="AC1306" s="119">
        <f t="shared" ref="AC1306:AC1310" si="844">IFERROR(AA1306-O1306,"")</f>
        <v>-8.0945143671336872E-2</v>
      </c>
      <c r="AD1306" s="110" t="s">
        <v>666</v>
      </c>
      <c r="AE1306" s="110"/>
      <c r="AF1306" s="110"/>
      <c r="AG1306" s="121"/>
      <c r="AH1306" s="110"/>
    </row>
    <row r="1307" spans="1:34" ht="11.25" customHeight="1" x14ac:dyDescent="0.15">
      <c r="A1307" s="110" t="s">
        <v>665</v>
      </c>
      <c r="B1307" s="110"/>
      <c r="C1307" s="111" t="s">
        <v>37</v>
      </c>
      <c r="D1307" s="111">
        <v>2023</v>
      </c>
      <c r="E1307" s="146">
        <v>45260</v>
      </c>
      <c r="F1307" s="111"/>
      <c r="G1307" s="111">
        <v>21050011</v>
      </c>
      <c r="H1307" s="111"/>
      <c r="I1307" s="111"/>
      <c r="J1307" s="111"/>
      <c r="K1307" s="112" t="s">
        <v>582</v>
      </c>
      <c r="L1307" s="120">
        <v>27413</v>
      </c>
      <c r="M1307" s="120">
        <v>8075.74</v>
      </c>
      <c r="N1307" s="120">
        <f>L1307-M1307</f>
        <v>19337.260000000002</v>
      </c>
      <c r="O1307" s="119">
        <f t="shared" si="837"/>
        <v>0.7054047349797542</v>
      </c>
      <c r="P1307" s="120">
        <v>27413</v>
      </c>
      <c r="Q1307" s="111">
        <v>2376</v>
      </c>
      <c r="R1307" s="117"/>
      <c r="S1307" s="117"/>
      <c r="T1307" s="117"/>
      <c r="U1307" s="117">
        <v>8205.75</v>
      </c>
      <c r="V1307" s="117"/>
      <c r="W1307" s="26">
        <f t="shared" si="838"/>
        <v>8205.75</v>
      </c>
      <c r="X1307" s="118" t="str">
        <f t="shared" si="839"/>
        <v/>
      </c>
      <c r="Y1307" s="119">
        <f t="shared" si="840"/>
        <v>0.29933790537336302</v>
      </c>
      <c r="Z1307" s="117">
        <f t="shared" si="841"/>
        <v>19207.25</v>
      </c>
      <c r="AA1307" s="119">
        <f t="shared" si="842"/>
        <v>0.70066209462663698</v>
      </c>
      <c r="AB1307" s="120">
        <f t="shared" si="843"/>
        <v>-130.01000000000022</v>
      </c>
      <c r="AC1307" s="119">
        <f t="shared" si="844"/>
        <v>-4.7426403531172223E-3</v>
      </c>
      <c r="AD1307" s="110"/>
      <c r="AE1307" s="110"/>
      <c r="AF1307" s="110"/>
      <c r="AG1307" s="121"/>
      <c r="AH1307" s="110"/>
    </row>
    <row r="1308" spans="1:34" ht="11.25" customHeight="1" x14ac:dyDescent="0.15">
      <c r="A1308" s="110" t="s">
        <v>665</v>
      </c>
      <c r="B1308" s="110"/>
      <c r="C1308" s="111" t="s">
        <v>37</v>
      </c>
      <c r="D1308" s="111">
        <v>2023</v>
      </c>
      <c r="E1308" s="146">
        <v>45260</v>
      </c>
      <c r="F1308" s="111"/>
      <c r="G1308" s="111">
        <v>91012112</v>
      </c>
      <c r="H1308" s="111"/>
      <c r="I1308" s="111"/>
      <c r="J1308" s="111"/>
      <c r="K1308" s="112" t="s">
        <v>667</v>
      </c>
      <c r="L1308" s="120">
        <v>13797</v>
      </c>
      <c r="M1308" s="120">
        <f>4119.84+464.38</f>
        <v>4584.22</v>
      </c>
      <c r="N1308" s="120">
        <f t="shared" ref="N1308:N1315" si="845">L1308-M1308</f>
        <v>9212.7799999999988</v>
      </c>
      <c r="O1308" s="119">
        <f t="shared" si="837"/>
        <v>0.66773791403928384</v>
      </c>
      <c r="P1308" s="120">
        <v>13797</v>
      </c>
      <c r="Q1308" s="111">
        <v>2378</v>
      </c>
      <c r="R1308" s="117"/>
      <c r="S1308" s="117"/>
      <c r="T1308" s="117"/>
      <c r="U1308" s="117">
        <v>4513.53</v>
      </c>
      <c r="V1308" s="117"/>
      <c r="W1308" s="26">
        <f t="shared" si="838"/>
        <v>4513.53</v>
      </c>
      <c r="X1308" s="118" t="str">
        <f t="shared" si="839"/>
        <v/>
      </c>
      <c r="Y1308" s="119">
        <f t="shared" si="840"/>
        <v>0.32713850837138508</v>
      </c>
      <c r="Z1308" s="117">
        <f t="shared" si="841"/>
        <v>9283.4700000000012</v>
      </c>
      <c r="AA1308" s="119">
        <f t="shared" si="842"/>
        <v>0.67286149162861497</v>
      </c>
      <c r="AB1308" s="120">
        <f t="shared" si="843"/>
        <v>70.690000000000509</v>
      </c>
      <c r="AC1308" s="119">
        <f t="shared" si="844"/>
        <v>5.1235775893311297E-3</v>
      </c>
      <c r="AD1308" s="110"/>
      <c r="AE1308" s="110"/>
      <c r="AF1308" s="110"/>
      <c r="AG1308" s="121"/>
      <c r="AH1308" s="110"/>
    </row>
    <row r="1309" spans="1:34" ht="11.25" customHeight="1" x14ac:dyDescent="0.15">
      <c r="A1309" s="110" t="s">
        <v>665</v>
      </c>
      <c r="B1309" s="110"/>
      <c r="C1309" s="111" t="s">
        <v>37</v>
      </c>
      <c r="D1309" s="111">
        <v>2023</v>
      </c>
      <c r="E1309" s="146">
        <v>45260</v>
      </c>
      <c r="F1309" s="111"/>
      <c r="G1309" s="111">
        <v>31080020</v>
      </c>
      <c r="H1309" s="111"/>
      <c r="I1309" s="111"/>
      <c r="J1309" s="111"/>
      <c r="K1309" s="112" t="s">
        <v>584</v>
      </c>
      <c r="L1309" s="120">
        <v>43159</v>
      </c>
      <c r="M1309" s="120">
        <v>14242.24</v>
      </c>
      <c r="N1309" s="120">
        <f t="shared" si="845"/>
        <v>28916.760000000002</v>
      </c>
      <c r="O1309" s="119">
        <f t="shared" si="837"/>
        <v>0.67000532913181499</v>
      </c>
      <c r="P1309" s="120">
        <v>43159</v>
      </c>
      <c r="Q1309" s="111">
        <v>2243</v>
      </c>
      <c r="R1309" s="117">
        <v>30</v>
      </c>
      <c r="S1309" s="117">
        <v>1171.2</v>
      </c>
      <c r="T1309" s="117"/>
      <c r="U1309" s="117">
        <v>15335.08</v>
      </c>
      <c r="V1309" s="117"/>
      <c r="W1309" s="26">
        <f t="shared" si="838"/>
        <v>16506.28</v>
      </c>
      <c r="X1309" s="118">
        <f t="shared" si="839"/>
        <v>39.04</v>
      </c>
      <c r="Y1309" s="119">
        <f t="shared" si="840"/>
        <v>0.35531592483607127</v>
      </c>
      <c r="Z1309" s="117">
        <f t="shared" si="841"/>
        <v>26652.720000000001</v>
      </c>
      <c r="AA1309" s="119">
        <f t="shared" si="842"/>
        <v>0.61754720915683869</v>
      </c>
      <c r="AB1309" s="120">
        <f t="shared" si="843"/>
        <v>-2264.0399999999991</v>
      </c>
      <c r="AC1309" s="119">
        <f t="shared" si="844"/>
        <v>-5.2458119974976292E-2</v>
      </c>
      <c r="AD1309" s="110" t="s">
        <v>668</v>
      </c>
      <c r="AE1309" s="110"/>
      <c r="AF1309" s="110"/>
      <c r="AG1309" s="121"/>
      <c r="AH1309" s="110"/>
    </row>
    <row r="1310" spans="1:34" s="53" customFormat="1" ht="11.25" customHeight="1" x14ac:dyDescent="0.15">
      <c r="A1310" s="53" t="s">
        <v>665</v>
      </c>
      <c r="C1310" s="54" t="s">
        <v>360</v>
      </c>
      <c r="D1310" s="54">
        <v>2023</v>
      </c>
      <c r="E1310" s="70">
        <v>45260</v>
      </c>
      <c r="F1310" s="54"/>
      <c r="I1310" s="111"/>
      <c r="J1310" s="111"/>
      <c r="L1310" s="97">
        <f>SUM(L1305:L1309)</f>
        <v>229969</v>
      </c>
      <c r="M1310" s="97">
        <f t="shared" ref="M1310:R1310" si="846">SUM(M1305:M1309)</f>
        <v>66712.840000000011</v>
      </c>
      <c r="N1310" s="97">
        <f t="shared" si="846"/>
        <v>163256.16</v>
      </c>
      <c r="O1310" s="57">
        <f t="shared" si="837"/>
        <v>0.70990507416216975</v>
      </c>
      <c r="P1310" s="97">
        <f>SUM(P1305:P1309)</f>
        <v>229969</v>
      </c>
      <c r="Q1310" s="24"/>
      <c r="R1310" s="117">
        <f t="shared" si="846"/>
        <v>69</v>
      </c>
      <c r="S1310" s="117">
        <f t="shared" ref="S1310" si="847">SUM(S1305:S1309)</f>
        <v>2697.96</v>
      </c>
      <c r="T1310" s="117">
        <f t="shared" ref="T1310" si="848">SUM(T1305:T1309)</f>
        <v>0</v>
      </c>
      <c r="U1310" s="117">
        <f t="shared" ref="U1310" si="849">SUM(U1305:U1309)</f>
        <v>67016.69</v>
      </c>
      <c r="V1310" s="117">
        <f t="shared" ref="V1310" si="850">SUM(V1305:V1309)</f>
        <v>0</v>
      </c>
      <c r="W1310" s="26">
        <f t="shared" ref="W1310" si="851">SUM(W1305:W1309)</f>
        <v>69714.649999999994</v>
      </c>
      <c r="X1310" s="56">
        <f t="shared" si="839"/>
        <v>39.100869565217394</v>
      </c>
      <c r="Y1310" s="57">
        <f t="shared" si="840"/>
        <v>0.29141619087790094</v>
      </c>
      <c r="Z1310" s="28">
        <f t="shared" si="841"/>
        <v>160254.35</v>
      </c>
      <c r="AA1310" s="57">
        <f t="shared" si="842"/>
        <v>0.69685196700424845</v>
      </c>
      <c r="AB1310" s="58">
        <f t="shared" si="843"/>
        <v>-3001.8099999999831</v>
      </c>
      <c r="AC1310" s="57">
        <f t="shared" si="844"/>
        <v>-1.3053107157921295E-2</v>
      </c>
      <c r="AG1310" s="61"/>
    </row>
    <row r="1311" spans="1:34" ht="11.25" customHeight="1" x14ac:dyDescent="0.15">
      <c r="A1311" s="110" t="s">
        <v>665</v>
      </c>
      <c r="B1311" s="110"/>
      <c r="C1311" s="111" t="s">
        <v>47</v>
      </c>
      <c r="D1311" s="111">
        <v>2023</v>
      </c>
      <c r="E1311" s="146">
        <v>45260</v>
      </c>
      <c r="F1311" s="111"/>
      <c r="G1311" s="111">
        <v>51012112</v>
      </c>
      <c r="H1311" s="111"/>
      <c r="I1311" s="111"/>
      <c r="J1311" s="111"/>
      <c r="K1311" s="112" t="s">
        <v>669</v>
      </c>
      <c r="L1311" s="120">
        <v>36469</v>
      </c>
      <c r="M1311" s="120">
        <v>14903.82</v>
      </c>
      <c r="N1311" s="120">
        <f t="shared" si="845"/>
        <v>21565.18</v>
      </c>
      <c r="O1311" s="119">
        <f t="shared" si="837"/>
        <v>0.59132907400806167</v>
      </c>
      <c r="P1311" s="120">
        <v>36469</v>
      </c>
      <c r="Q1311" s="111">
        <v>2377</v>
      </c>
      <c r="R1311" s="117">
        <v>122</v>
      </c>
      <c r="S1311" s="117">
        <v>5601.05</v>
      </c>
      <c r="T1311" s="117">
        <v>5617.69</v>
      </c>
      <c r="U1311" s="117">
        <v>6419.64</v>
      </c>
      <c r="V1311" s="117"/>
      <c r="W1311" s="26">
        <f t="shared" si="838"/>
        <v>17638.38</v>
      </c>
      <c r="X1311" s="118">
        <f t="shared" ref="X1311" si="852">IFERROR(S1311/R1311,"")</f>
        <v>45.910245901639342</v>
      </c>
      <c r="Y1311" s="119">
        <f t="shared" ref="Y1311" si="853">U1311/P1311</f>
        <v>0.17603005292165949</v>
      </c>
      <c r="Z1311" s="117">
        <f t="shared" ref="Z1311" si="854">P1311-W1311</f>
        <v>18830.62</v>
      </c>
      <c r="AA1311" s="119">
        <f t="shared" ref="AA1311" si="855">Z1311/P1311</f>
        <v>0.5163459376456716</v>
      </c>
      <c r="AB1311" s="120">
        <f t="shared" si="843"/>
        <v>-2734.5600000000013</v>
      </c>
      <c r="AC1311" s="119">
        <f t="shared" ref="AC1311" si="856">IFERROR(AA1311-O1311,"")</f>
        <v>-7.4983136362390068E-2</v>
      </c>
      <c r="AD1311" s="110" t="s">
        <v>670</v>
      </c>
      <c r="AE1311" s="110"/>
      <c r="AF1311" s="110"/>
      <c r="AG1311" s="121"/>
      <c r="AH1311" s="110"/>
    </row>
    <row r="1312" spans="1:34" ht="11.25" customHeight="1" x14ac:dyDescent="0.15">
      <c r="A1312" s="110" t="s">
        <v>665</v>
      </c>
      <c r="B1312" s="110"/>
      <c r="C1312" s="111" t="s">
        <v>248</v>
      </c>
      <c r="D1312" s="111">
        <v>2023</v>
      </c>
      <c r="E1312" s="146">
        <v>45260</v>
      </c>
      <c r="F1312" s="111"/>
      <c r="G1312" s="111">
        <v>96000000</v>
      </c>
      <c r="H1312" s="111"/>
      <c r="I1312" s="111"/>
      <c r="J1312" s="111"/>
      <c r="K1312" s="112" t="s">
        <v>250</v>
      </c>
      <c r="L1312" s="120">
        <v>16085</v>
      </c>
      <c r="M1312" s="120">
        <v>8042.5</v>
      </c>
      <c r="N1312" s="120">
        <f t="shared" si="845"/>
        <v>8042.5</v>
      </c>
      <c r="O1312" s="119">
        <f t="shared" si="837"/>
        <v>0.5</v>
      </c>
      <c r="P1312" s="120">
        <v>16085</v>
      </c>
      <c r="Q1312" s="111">
        <v>2371</v>
      </c>
      <c r="R1312" s="117">
        <v>22</v>
      </c>
      <c r="S1312" s="117">
        <v>1244.1099999999999</v>
      </c>
      <c r="T1312" s="117"/>
      <c r="U1312" s="117"/>
      <c r="V1312" s="117"/>
      <c r="W1312" s="26">
        <f t="shared" si="838"/>
        <v>1244.1099999999999</v>
      </c>
      <c r="X1312" s="118">
        <f t="shared" ref="X1312:X1316" si="857">IFERROR(S1312/R1312,"")</f>
        <v>56.550454545454542</v>
      </c>
      <c r="Y1312" s="119">
        <f t="shared" ref="Y1312:Y1316" si="858">U1312/P1312</f>
        <v>0</v>
      </c>
      <c r="Z1312" s="117">
        <f t="shared" ref="Z1312:Z1316" si="859">P1312-W1312</f>
        <v>14840.89</v>
      </c>
      <c r="AA1312" s="119">
        <f t="shared" ref="AA1312:AA1316" si="860">Z1312/P1312</f>
        <v>0.92265402548958653</v>
      </c>
      <c r="AB1312" s="120">
        <f t="shared" si="843"/>
        <v>6798.39</v>
      </c>
      <c r="AC1312" s="119">
        <f t="shared" ref="AC1312:AC1316" si="861">IFERROR(AA1312-O1312,"")</f>
        <v>0.42265402548958653</v>
      </c>
      <c r="AD1312" s="110"/>
      <c r="AE1312" s="110"/>
      <c r="AF1312" s="110"/>
      <c r="AG1312" s="121"/>
      <c r="AH1312" s="110"/>
    </row>
    <row r="1313" spans="1:34" ht="11.25" customHeight="1" x14ac:dyDescent="0.15">
      <c r="A1313" s="110" t="s">
        <v>665</v>
      </c>
      <c r="B1313" s="110"/>
      <c r="C1313" s="111" t="s">
        <v>55</v>
      </c>
      <c r="D1313" s="111">
        <v>2023</v>
      </c>
      <c r="E1313" s="146">
        <v>45260</v>
      </c>
      <c r="F1313" s="111"/>
      <c r="G1313" s="111" t="s">
        <v>56</v>
      </c>
      <c r="H1313" s="111"/>
      <c r="I1313" s="111"/>
      <c r="J1313" s="111"/>
      <c r="K1313" s="112" t="s">
        <v>71</v>
      </c>
      <c r="L1313" s="120">
        <v>19554</v>
      </c>
      <c r="M1313" s="120">
        <v>9777</v>
      </c>
      <c r="N1313" s="120">
        <f t="shared" si="845"/>
        <v>9777</v>
      </c>
      <c r="O1313" s="119">
        <f t="shared" si="837"/>
        <v>0.5</v>
      </c>
      <c r="P1313" s="120">
        <v>19554</v>
      </c>
      <c r="Q1313" s="111">
        <v>2395</v>
      </c>
      <c r="R1313" s="117">
        <v>29</v>
      </c>
      <c r="S1313" s="117">
        <v>1232.5</v>
      </c>
      <c r="T1313" s="117"/>
      <c r="U1313" s="117"/>
      <c r="V1313" s="117">
        <v>10474.049999999999</v>
      </c>
      <c r="W1313" s="26">
        <f t="shared" si="838"/>
        <v>11706.55</v>
      </c>
      <c r="X1313" s="118">
        <f t="shared" si="857"/>
        <v>42.5</v>
      </c>
      <c r="Y1313" s="119">
        <f t="shared" si="858"/>
        <v>0</v>
      </c>
      <c r="Z1313" s="117">
        <f t="shared" si="859"/>
        <v>7847.4500000000007</v>
      </c>
      <c r="AA1313" s="119">
        <f t="shared" si="860"/>
        <v>0.40132198015751258</v>
      </c>
      <c r="AB1313" s="120">
        <f t="shared" si="843"/>
        <v>-1929.5499999999993</v>
      </c>
      <c r="AC1313" s="119">
        <f t="shared" si="861"/>
        <v>-9.8678019842487419E-2</v>
      </c>
      <c r="AD1313" s="110" t="s">
        <v>671</v>
      </c>
      <c r="AE1313" s="110"/>
      <c r="AF1313" s="110"/>
      <c r="AG1313" s="121"/>
      <c r="AH1313" s="110"/>
    </row>
    <row r="1314" spans="1:34" ht="11.25" customHeight="1" x14ac:dyDescent="0.15">
      <c r="A1314" s="110" t="s">
        <v>665</v>
      </c>
      <c r="B1314" s="110"/>
      <c r="C1314" s="111" t="s">
        <v>58</v>
      </c>
      <c r="D1314" s="111">
        <v>2023</v>
      </c>
      <c r="E1314" s="146">
        <v>45260</v>
      </c>
      <c r="F1314" s="111"/>
      <c r="G1314" s="111">
        <v>71142012</v>
      </c>
      <c r="H1314" s="111"/>
      <c r="I1314" s="111"/>
      <c r="J1314" s="111"/>
      <c r="K1314" s="112" t="s">
        <v>672</v>
      </c>
      <c r="L1314" s="120">
        <v>26177</v>
      </c>
      <c r="M1314" s="120">
        <v>2617.6999999999998</v>
      </c>
      <c r="N1314" s="120">
        <f t="shared" si="845"/>
        <v>23559.3</v>
      </c>
      <c r="O1314" s="119">
        <f t="shared" si="837"/>
        <v>0.9</v>
      </c>
      <c r="P1314" s="120">
        <v>26177</v>
      </c>
      <c r="Q1314" s="111">
        <v>2475</v>
      </c>
      <c r="R1314" s="117"/>
      <c r="S1314" s="117"/>
      <c r="T1314" s="117"/>
      <c r="U1314" s="117">
        <v>1930.16</v>
      </c>
      <c r="V1314" s="117"/>
      <c r="W1314" s="26">
        <f t="shared" si="838"/>
        <v>1930.16</v>
      </c>
      <c r="X1314" s="118" t="str">
        <f t="shared" si="857"/>
        <v/>
      </c>
      <c r="Y1314" s="119">
        <f t="shared" si="858"/>
        <v>7.3734958169385342E-2</v>
      </c>
      <c r="Z1314" s="117">
        <f t="shared" si="859"/>
        <v>24246.84</v>
      </c>
      <c r="AA1314" s="119">
        <f t="shared" si="860"/>
        <v>0.92626504183061464</v>
      </c>
      <c r="AB1314" s="120">
        <f t="shared" si="843"/>
        <v>687.53999999999974</v>
      </c>
      <c r="AC1314" s="119">
        <f t="shared" si="861"/>
        <v>2.6265041830614622E-2</v>
      </c>
      <c r="AD1314" s="110"/>
      <c r="AE1314" s="110"/>
      <c r="AF1314" s="110"/>
      <c r="AG1314" s="121"/>
      <c r="AH1314" s="110"/>
    </row>
    <row r="1315" spans="1:34" ht="11.25" customHeight="1" x14ac:dyDescent="0.15">
      <c r="A1315" s="110" t="s">
        <v>665</v>
      </c>
      <c r="B1315" s="110"/>
      <c r="C1315" s="111" t="s">
        <v>49</v>
      </c>
      <c r="D1315" s="111">
        <v>2023</v>
      </c>
      <c r="E1315" s="146">
        <v>45260</v>
      </c>
      <c r="F1315" s="111"/>
      <c r="G1315" s="111">
        <v>61642012</v>
      </c>
      <c r="H1315" s="111"/>
      <c r="I1315" s="111"/>
      <c r="J1315" s="111"/>
      <c r="K1315" s="112" t="s">
        <v>453</v>
      </c>
      <c r="L1315" s="120">
        <v>9523</v>
      </c>
      <c r="M1315" s="120">
        <v>4496.01</v>
      </c>
      <c r="N1315" s="120">
        <f t="shared" si="845"/>
        <v>5026.99</v>
      </c>
      <c r="O1315" s="119">
        <f t="shared" si="837"/>
        <v>0.52787881969967443</v>
      </c>
      <c r="P1315" s="120">
        <v>9523</v>
      </c>
      <c r="Q1315" s="111">
        <v>2396</v>
      </c>
      <c r="R1315" s="117">
        <v>34</v>
      </c>
      <c r="S1315" s="117">
        <v>1922.7</v>
      </c>
      <c r="T1315" s="117">
        <v>1927.53</v>
      </c>
      <c r="U1315" s="117">
        <v>54.61</v>
      </c>
      <c r="V1315" s="117"/>
      <c r="W1315" s="26">
        <f t="shared" si="838"/>
        <v>3904.84</v>
      </c>
      <c r="X1315" s="118">
        <f t="shared" si="857"/>
        <v>56.550000000000004</v>
      </c>
      <c r="Y1315" s="119">
        <f t="shared" si="858"/>
        <v>5.7345374356820326E-3</v>
      </c>
      <c r="Z1315" s="117">
        <f t="shared" si="859"/>
        <v>5618.16</v>
      </c>
      <c r="AA1315" s="119">
        <f t="shared" si="860"/>
        <v>0.58995694634043894</v>
      </c>
      <c r="AB1315" s="120">
        <f t="shared" si="843"/>
        <v>591.17000000000007</v>
      </c>
      <c r="AC1315" s="119">
        <f t="shared" si="861"/>
        <v>6.2078126640764508E-2</v>
      </c>
      <c r="AD1315" s="110" t="s">
        <v>673</v>
      </c>
      <c r="AE1315" s="110"/>
      <c r="AF1315" s="110"/>
      <c r="AG1315" s="121"/>
      <c r="AH1315" s="110"/>
    </row>
    <row r="1316" spans="1:34" s="216" customFormat="1" ht="11.25" customHeight="1" x14ac:dyDescent="0.15">
      <c r="A1316" s="53" t="s">
        <v>665</v>
      </c>
      <c r="B1316" s="53"/>
      <c r="C1316" s="54" t="s">
        <v>177</v>
      </c>
      <c r="D1316" s="54">
        <v>2023</v>
      </c>
      <c r="E1316" s="70">
        <v>45260</v>
      </c>
      <c r="F1316" s="54"/>
      <c r="G1316" s="54"/>
      <c r="H1316" s="54"/>
      <c r="I1316" s="54"/>
      <c r="J1316" s="54"/>
      <c r="K1316" s="106"/>
      <c r="L1316" s="24">
        <f>SUM(L1310:L1315)</f>
        <v>337777</v>
      </c>
      <c r="M1316" s="24">
        <f>SUM(M1310:M1315)</f>
        <v>106549.87</v>
      </c>
      <c r="N1316" s="24">
        <f>SUM(N1310:N1315)</f>
        <v>231227.12999999998</v>
      </c>
      <c r="O1316" s="246">
        <f t="shared" si="837"/>
        <v>0.68455557956876867</v>
      </c>
      <c r="P1316" s="24">
        <f>SUM(P1310:P1315)</f>
        <v>337777</v>
      </c>
      <c r="Q1316" s="24"/>
      <c r="R1316" s="117">
        <f t="shared" ref="R1316:W1316" si="862">SUM(R1310:R1315)</f>
        <v>276</v>
      </c>
      <c r="S1316" s="117">
        <f t="shared" si="862"/>
        <v>12698.320000000002</v>
      </c>
      <c r="T1316" s="117">
        <f t="shared" si="862"/>
        <v>7545.2199999999993</v>
      </c>
      <c r="U1316" s="117">
        <f t="shared" si="862"/>
        <v>75421.100000000006</v>
      </c>
      <c r="V1316" s="117">
        <f t="shared" si="862"/>
        <v>10474.049999999999</v>
      </c>
      <c r="W1316" s="26">
        <f t="shared" si="862"/>
        <v>106138.69</v>
      </c>
      <c r="X1316" s="56">
        <f t="shared" si="857"/>
        <v>46.008405797101453</v>
      </c>
      <c r="Y1316" s="57">
        <f t="shared" si="858"/>
        <v>0.22328666546271655</v>
      </c>
      <c r="Z1316" s="28">
        <f t="shared" si="859"/>
        <v>231638.31</v>
      </c>
      <c r="AA1316" s="246">
        <f t="shared" si="860"/>
        <v>0.68577289158231614</v>
      </c>
      <c r="AB1316" s="58">
        <f t="shared" si="843"/>
        <v>411.17999999999302</v>
      </c>
      <c r="AC1316" s="57">
        <f t="shared" si="861"/>
        <v>1.2173120135474669E-3</v>
      </c>
      <c r="AD1316" s="53"/>
      <c r="AE1316" s="53"/>
      <c r="AF1316" s="53"/>
      <c r="AG1316" s="61"/>
      <c r="AH1316" s="53"/>
    </row>
    <row r="1317" spans="1:34" ht="11.25" customHeight="1" x14ac:dyDescent="0.15">
      <c r="A1317" s="130"/>
      <c r="B1317" s="130"/>
      <c r="C1317" s="124"/>
      <c r="D1317" s="124"/>
      <c r="E1317" s="273"/>
      <c r="F1317" s="124"/>
      <c r="G1317" s="124"/>
      <c r="H1317" s="124"/>
      <c r="I1317" s="124"/>
      <c r="J1317" s="124"/>
      <c r="K1317" s="125"/>
      <c r="L1317" s="129"/>
      <c r="M1317" s="129"/>
      <c r="N1317" s="129"/>
      <c r="O1317" s="128"/>
      <c r="P1317" s="129"/>
      <c r="Q1317" s="124"/>
      <c r="R1317" s="117"/>
      <c r="S1317" s="117"/>
      <c r="T1317" s="117"/>
      <c r="U1317" s="117"/>
      <c r="V1317" s="117"/>
      <c r="X1317" s="45"/>
      <c r="Y1317" s="128"/>
      <c r="Z1317" s="126"/>
      <c r="AA1317" s="128"/>
      <c r="AB1317" s="129"/>
      <c r="AC1317" s="160"/>
      <c r="AD1317" s="137"/>
      <c r="AE1317" s="110"/>
      <c r="AF1317" s="110"/>
      <c r="AG1317" s="121"/>
      <c r="AH1317" s="110"/>
    </row>
    <row r="1318" spans="1:34" ht="11.25" customHeight="1" x14ac:dyDescent="0.15">
      <c r="A1318" s="110" t="s">
        <v>418</v>
      </c>
      <c r="B1318" s="110"/>
      <c r="C1318" s="111" t="s">
        <v>175</v>
      </c>
      <c r="D1318" s="111">
        <v>2023</v>
      </c>
      <c r="E1318" s="146">
        <v>45291</v>
      </c>
      <c r="F1318" s="111"/>
      <c r="G1318" s="111">
        <v>81000011</v>
      </c>
      <c r="H1318" s="111">
        <v>4111</v>
      </c>
      <c r="I1318" s="111" t="str">
        <f t="shared" ref="I1318" si="863">MID(G1318,2,1)</f>
        <v>1</v>
      </c>
      <c r="J1318" s="111" t="str">
        <f t="shared" ref="J1318" si="864">IF(I1318="1","Small/Medium","Large")</f>
        <v>Small/Medium</v>
      </c>
      <c r="K1318" s="112" t="s">
        <v>145</v>
      </c>
      <c r="L1318" s="120">
        <f>10290-1128</f>
        <v>9162</v>
      </c>
      <c r="M1318" s="120">
        <f>L1318*0.3</f>
        <v>2748.6</v>
      </c>
      <c r="N1318" s="120">
        <f>L1318-M1318</f>
        <v>6413.4</v>
      </c>
      <c r="O1318" s="119">
        <f>IFERROR(N1318/L1318,"")</f>
        <v>0.7</v>
      </c>
      <c r="P1318" s="117">
        <v>9162</v>
      </c>
      <c r="Q1318" s="111">
        <v>2642</v>
      </c>
      <c r="R1318" s="117">
        <v>16</v>
      </c>
      <c r="S1318" s="117">
        <v>718.08</v>
      </c>
      <c r="T1318" s="117">
        <v>208.03</v>
      </c>
      <c r="U1318" s="117">
        <v>433</v>
      </c>
      <c r="V1318" s="117"/>
      <c r="W1318" s="26">
        <f>SUM(S1318:V1318)</f>
        <v>1359.1100000000001</v>
      </c>
      <c r="X1318" s="118">
        <f>IFERROR(S1318/R1318,"")</f>
        <v>44.88</v>
      </c>
      <c r="Y1318" s="119">
        <f>U1318/P1318</f>
        <v>4.7260423488321331E-2</v>
      </c>
      <c r="Z1318" s="117">
        <f>P1318-W1318</f>
        <v>7802.8899999999994</v>
      </c>
      <c r="AA1318" s="119">
        <f>Z1318/P1318</f>
        <v>0.85165793494870112</v>
      </c>
      <c r="AB1318" s="120">
        <f t="shared" si="843"/>
        <v>1389.4899999999998</v>
      </c>
      <c r="AC1318" s="119">
        <f>IFERROR(AA1318-O1318,"")</f>
        <v>0.15165793494870117</v>
      </c>
      <c r="AD1318" s="110" t="s">
        <v>674</v>
      </c>
      <c r="AE1318" s="110"/>
      <c r="AF1318" s="110"/>
      <c r="AG1318" s="121"/>
      <c r="AH1318" s="110"/>
    </row>
    <row r="1319" spans="1:34" s="216" customFormat="1" ht="11.25" customHeight="1" x14ac:dyDescent="0.15">
      <c r="A1319" s="53" t="s">
        <v>418</v>
      </c>
      <c r="B1319" s="53"/>
      <c r="C1319" s="54" t="s">
        <v>177</v>
      </c>
      <c r="D1319" s="54">
        <v>2023</v>
      </c>
      <c r="E1319" s="70">
        <v>45291</v>
      </c>
      <c r="F1319" s="54"/>
      <c r="G1319" s="54"/>
      <c r="H1319" s="54"/>
      <c r="I1319" s="54"/>
      <c r="J1319" s="54"/>
      <c r="K1319" s="106"/>
      <c r="L1319" s="24">
        <f>SUM(L1318)</f>
        <v>9162</v>
      </c>
      <c r="M1319" s="24">
        <f>SUM(M1317:M1318)</f>
        <v>2748.6</v>
      </c>
      <c r="N1319" s="24">
        <f>SUM(N1317:N1318)</f>
        <v>6413.4</v>
      </c>
      <c r="O1319" s="57">
        <f>IFERROR(N1319/L1319,"")</f>
        <v>0.7</v>
      </c>
      <c r="P1319" s="24">
        <f>SUM(P1318)</f>
        <v>9162</v>
      </c>
      <c r="Q1319" s="24"/>
      <c r="R1319" s="117">
        <f>SUM(R1318)</f>
        <v>16</v>
      </c>
      <c r="S1319" s="117">
        <f t="shared" ref="S1319:W1319" si="865">SUM(S1318)</f>
        <v>718.08</v>
      </c>
      <c r="T1319" s="117">
        <f t="shared" si="865"/>
        <v>208.03</v>
      </c>
      <c r="U1319" s="117">
        <f t="shared" si="865"/>
        <v>433</v>
      </c>
      <c r="V1319" s="117">
        <f t="shared" si="865"/>
        <v>0</v>
      </c>
      <c r="W1319" s="26">
        <f t="shared" si="865"/>
        <v>1359.1100000000001</v>
      </c>
      <c r="X1319" s="56">
        <f>IFERROR(S1319/R1319,"")</f>
        <v>44.88</v>
      </c>
      <c r="Y1319" s="57">
        <f>IFERROR(U1319/P1319,0)</f>
        <v>4.7260423488321331E-2</v>
      </c>
      <c r="Z1319" s="28">
        <f>P1319-W1319</f>
        <v>7802.8899999999994</v>
      </c>
      <c r="AA1319" s="57">
        <f>Z1319/P1319</f>
        <v>0.85165793494870112</v>
      </c>
      <c r="AB1319" s="58">
        <f t="shared" si="843"/>
        <v>1389.4899999999998</v>
      </c>
      <c r="AC1319" s="119">
        <f>IFERROR(AA1319-O1319,"")</f>
        <v>0.15165793494870117</v>
      </c>
      <c r="AD1319" s="53"/>
      <c r="AE1319" s="53"/>
      <c r="AF1319" s="53"/>
      <c r="AG1319" s="61"/>
      <c r="AH1319" s="53"/>
    </row>
    <row r="1320" spans="1:34" ht="11.25" customHeight="1" x14ac:dyDescent="0.15">
      <c r="A1320" s="130"/>
      <c r="B1320" s="130"/>
      <c r="C1320" s="124"/>
      <c r="D1320" s="124"/>
      <c r="E1320" s="273"/>
      <c r="F1320" s="124"/>
      <c r="G1320" s="124"/>
      <c r="H1320" s="124"/>
      <c r="I1320" s="124"/>
      <c r="J1320" s="124"/>
      <c r="K1320" s="125"/>
      <c r="L1320" s="129"/>
      <c r="M1320" s="129"/>
      <c r="N1320" s="129"/>
      <c r="O1320" s="128"/>
      <c r="P1320" s="129"/>
      <c r="Q1320" s="124"/>
      <c r="R1320" s="117"/>
      <c r="S1320" s="117"/>
      <c r="T1320" s="117"/>
      <c r="U1320" s="117"/>
      <c r="V1320" s="117"/>
      <c r="X1320" s="45"/>
      <c r="Y1320" s="128"/>
      <c r="Z1320" s="126"/>
      <c r="AA1320" s="128"/>
      <c r="AB1320" s="129"/>
      <c r="AC1320" s="160"/>
      <c r="AD1320" s="137"/>
      <c r="AE1320" s="110"/>
      <c r="AF1320" s="110"/>
      <c r="AG1320" s="121"/>
      <c r="AH1320" s="110"/>
    </row>
    <row r="1321" spans="1:34" ht="11.25" customHeight="1" x14ac:dyDescent="0.15">
      <c r="A1321" s="110" t="s">
        <v>675</v>
      </c>
      <c r="B1321" s="110"/>
      <c r="C1321" s="111" t="s">
        <v>37</v>
      </c>
      <c r="D1321" s="111">
        <v>2023</v>
      </c>
      <c r="E1321" s="146">
        <v>45291</v>
      </c>
      <c r="F1321" s="111"/>
      <c r="G1321" s="111">
        <v>91024002</v>
      </c>
      <c r="H1321" s="111"/>
      <c r="I1321" s="111"/>
      <c r="J1321" s="111"/>
      <c r="K1321" s="112" t="s">
        <v>676</v>
      </c>
      <c r="L1321" s="120">
        <v>4333</v>
      </c>
      <c r="M1321" s="120">
        <v>1516.21</v>
      </c>
      <c r="N1321" s="120">
        <f>L1321-M1321</f>
        <v>2816.79</v>
      </c>
      <c r="O1321" s="119">
        <f t="shared" ref="O1321" si="866">IFERROR(N1321/L1321,"")</f>
        <v>0.65007846757442878</v>
      </c>
      <c r="P1321" s="120">
        <v>4333</v>
      </c>
      <c r="Q1321" s="111">
        <v>2532</v>
      </c>
      <c r="R1321" s="117"/>
      <c r="S1321" s="117"/>
      <c r="T1321" s="117"/>
      <c r="U1321" s="117">
        <v>2624.53</v>
      </c>
      <c r="V1321" s="117"/>
      <c r="W1321" s="26">
        <f>SUM(S1321:V1321)</f>
        <v>2624.53</v>
      </c>
      <c r="X1321" s="118" t="str">
        <f t="shared" ref="X1321:X1328" si="867">IFERROR(S1321/R1321,"")</f>
        <v/>
      </c>
      <c r="Y1321" s="119">
        <f t="shared" ref="Y1321:Y1328" si="868">U1321/P1321</f>
        <v>0.60570736210477738</v>
      </c>
      <c r="Z1321" s="117">
        <f t="shared" ref="Z1321:Z1328" si="869">P1321-W1321</f>
        <v>1708.4699999999998</v>
      </c>
      <c r="AA1321" s="119">
        <f t="shared" ref="AA1321:AA1328" si="870">Z1321/P1321</f>
        <v>0.39429263789522268</v>
      </c>
      <c r="AB1321" s="120">
        <f t="shared" ref="AB1321:AB1328" si="871">M1321-W1321</f>
        <v>-1108.3200000000002</v>
      </c>
      <c r="AC1321" s="119">
        <f t="shared" ref="AC1321:AC1328" si="872">IFERROR(AA1321-O1321,"")</f>
        <v>-0.2557858296792061</v>
      </c>
      <c r="AD1321" s="110" t="s">
        <v>677</v>
      </c>
      <c r="AE1321" s="110"/>
      <c r="AF1321" s="110"/>
      <c r="AG1321" s="121"/>
      <c r="AH1321" s="110"/>
    </row>
    <row r="1322" spans="1:34" ht="11.25" customHeight="1" x14ac:dyDescent="0.15">
      <c r="A1322" s="110" t="s">
        <v>675</v>
      </c>
      <c r="B1322" s="110"/>
      <c r="C1322" s="111" t="s">
        <v>37</v>
      </c>
      <c r="D1322" s="111">
        <v>2023</v>
      </c>
      <c r="E1322" s="146">
        <v>45291</v>
      </c>
      <c r="F1322" s="111"/>
      <c r="G1322" s="111">
        <v>92500001</v>
      </c>
      <c r="H1322" s="111"/>
      <c r="I1322" s="111"/>
      <c r="J1322" s="111"/>
      <c r="K1322" s="112" t="s">
        <v>678</v>
      </c>
      <c r="L1322" s="120">
        <v>2697</v>
      </c>
      <c r="M1322" s="120">
        <v>943.93</v>
      </c>
      <c r="N1322" s="120">
        <f>L1322-M1322</f>
        <v>1753.0700000000002</v>
      </c>
      <c r="O1322" s="119">
        <f t="shared" ref="O1322:O1324" si="873">IFERROR(N1322/L1322,"")</f>
        <v>0.65000741564701525</v>
      </c>
      <c r="P1322" s="120">
        <v>2697</v>
      </c>
      <c r="Q1322" s="111">
        <v>2533</v>
      </c>
      <c r="R1322" s="117"/>
      <c r="S1322" s="117"/>
      <c r="T1322" s="117"/>
      <c r="U1322" s="117">
        <v>1424.7</v>
      </c>
      <c r="V1322" s="117"/>
      <c r="W1322" s="26">
        <f>SUM(S1322:V1322)</f>
        <v>1424.7</v>
      </c>
      <c r="X1322" s="118" t="str">
        <f t="shared" si="867"/>
        <v/>
      </c>
      <c r="Y1322" s="119">
        <f t="shared" si="868"/>
        <v>0.52825361512791991</v>
      </c>
      <c r="Z1322" s="117">
        <f t="shared" si="869"/>
        <v>1272.3</v>
      </c>
      <c r="AA1322" s="119">
        <f t="shared" si="870"/>
        <v>0.47174638487208009</v>
      </c>
      <c r="AB1322" s="120">
        <f t="shared" si="871"/>
        <v>-480.7700000000001</v>
      </c>
      <c r="AC1322" s="119">
        <f t="shared" si="872"/>
        <v>-0.17826103077493516</v>
      </c>
      <c r="AD1322" s="110" t="s">
        <v>679</v>
      </c>
      <c r="AE1322" s="110"/>
      <c r="AF1322" s="110"/>
      <c r="AG1322" s="121"/>
      <c r="AH1322" s="110"/>
    </row>
    <row r="1323" spans="1:34" s="53" customFormat="1" ht="11.25" customHeight="1" x14ac:dyDescent="0.15">
      <c r="A1323" s="53" t="s">
        <v>675</v>
      </c>
      <c r="C1323" s="54" t="s">
        <v>360</v>
      </c>
      <c r="D1323" s="54">
        <v>2023</v>
      </c>
      <c r="E1323" s="70">
        <v>45291</v>
      </c>
      <c r="F1323" s="54"/>
      <c r="I1323" s="111"/>
      <c r="J1323" s="111"/>
      <c r="L1323" s="97">
        <f>SUM(L1321:L1322)</f>
        <v>7030</v>
      </c>
      <c r="M1323" s="97">
        <f t="shared" ref="M1323:N1323" si="874">SUM(M1321:M1322)</f>
        <v>2460.14</v>
      </c>
      <c r="N1323" s="97">
        <f t="shared" si="874"/>
        <v>4569.8600000000006</v>
      </c>
      <c r="O1323" s="57">
        <f t="shared" si="873"/>
        <v>0.65005120910384073</v>
      </c>
      <c r="P1323" s="97">
        <f>SUM(P1321:P1322)</f>
        <v>7030</v>
      </c>
      <c r="Q1323" s="24"/>
      <c r="R1323" s="117">
        <f>SUM(R1321:R1322)</f>
        <v>0</v>
      </c>
      <c r="S1323" s="117">
        <f t="shared" ref="S1323:V1323" si="875">SUM(S1321:S1322)</f>
        <v>0</v>
      </c>
      <c r="T1323" s="117">
        <f t="shared" si="875"/>
        <v>0</v>
      </c>
      <c r="U1323" s="117">
        <f t="shared" si="875"/>
        <v>4049.2300000000005</v>
      </c>
      <c r="V1323" s="117">
        <f t="shared" si="875"/>
        <v>0</v>
      </c>
      <c r="W1323" s="26">
        <f>SUM(S1323:V1323)</f>
        <v>4049.2300000000005</v>
      </c>
      <c r="X1323" s="56" t="str">
        <f t="shared" si="867"/>
        <v/>
      </c>
      <c r="Y1323" s="57">
        <f t="shared" si="868"/>
        <v>0.57599288762446665</v>
      </c>
      <c r="Z1323" s="28">
        <f t="shared" si="869"/>
        <v>2980.7699999999995</v>
      </c>
      <c r="AA1323" s="57">
        <f t="shared" si="870"/>
        <v>0.42400711237553335</v>
      </c>
      <c r="AB1323" s="58">
        <f t="shared" si="871"/>
        <v>-1589.0900000000006</v>
      </c>
      <c r="AC1323" s="57">
        <f t="shared" si="872"/>
        <v>-0.22604409672830739</v>
      </c>
      <c r="AG1323" s="61"/>
    </row>
    <row r="1324" spans="1:34" ht="11.25" customHeight="1" x14ac:dyDescent="0.15">
      <c r="A1324" s="110" t="s">
        <v>675</v>
      </c>
      <c r="B1324" s="110"/>
      <c r="C1324" s="111" t="s">
        <v>47</v>
      </c>
      <c r="D1324" s="111">
        <v>2023</v>
      </c>
      <c r="E1324" s="146">
        <v>45291</v>
      </c>
      <c r="F1324" s="111"/>
      <c r="G1324" s="111">
        <v>50000020</v>
      </c>
      <c r="H1324" s="111"/>
      <c r="I1324" s="111"/>
      <c r="J1324" s="111"/>
      <c r="K1324" s="112" t="s">
        <v>680</v>
      </c>
      <c r="L1324" s="120">
        <v>11517</v>
      </c>
      <c r="M1324" s="120">
        <v>4030.76</v>
      </c>
      <c r="N1324" s="120">
        <f t="shared" ref="N1324" si="876">L1324-M1324</f>
        <v>7486.24</v>
      </c>
      <c r="O1324" s="119">
        <f t="shared" si="873"/>
        <v>0.65001649735174094</v>
      </c>
      <c r="P1324" s="120">
        <v>11517</v>
      </c>
      <c r="Q1324" s="111">
        <v>2534</v>
      </c>
      <c r="R1324" s="117">
        <v>17.5</v>
      </c>
      <c r="S1324" s="117">
        <v>803.43</v>
      </c>
      <c r="T1324" s="117">
        <v>1043.4000000000001</v>
      </c>
      <c r="U1324" s="117">
        <v>547.82000000000005</v>
      </c>
      <c r="V1324" s="117"/>
      <c r="W1324" s="26">
        <f>SUM(S1324:V1324)</f>
        <v>2394.65</v>
      </c>
      <c r="X1324" s="118">
        <f t="shared" si="867"/>
        <v>45.910285714285713</v>
      </c>
      <c r="Y1324" s="119">
        <f t="shared" si="868"/>
        <v>4.7566206477381266E-2</v>
      </c>
      <c r="Z1324" s="117">
        <f t="shared" si="869"/>
        <v>9122.35</v>
      </c>
      <c r="AA1324" s="119">
        <f t="shared" si="870"/>
        <v>0.79207692975601285</v>
      </c>
      <c r="AB1324" s="120">
        <f t="shared" si="871"/>
        <v>1636.1100000000001</v>
      </c>
      <c r="AC1324" s="119">
        <f t="shared" si="872"/>
        <v>0.14206043240427191</v>
      </c>
      <c r="AD1324" s="110" t="s">
        <v>681</v>
      </c>
      <c r="AE1324" s="110"/>
      <c r="AF1324" s="110"/>
      <c r="AG1324" s="121"/>
      <c r="AH1324" s="110"/>
    </row>
    <row r="1325" spans="1:34" ht="11.25" customHeight="1" x14ac:dyDescent="0.15">
      <c r="A1325" s="110" t="s">
        <v>675</v>
      </c>
      <c r="B1325" s="110"/>
      <c r="C1325" s="111" t="s">
        <v>248</v>
      </c>
      <c r="D1325" s="111">
        <v>2023</v>
      </c>
      <c r="E1325" s="146">
        <v>45291</v>
      </c>
      <c r="F1325" s="111"/>
      <c r="G1325" s="111">
        <v>96000000</v>
      </c>
      <c r="H1325" s="111"/>
      <c r="I1325" s="111"/>
      <c r="J1325" s="111"/>
      <c r="K1325" s="112" t="s">
        <v>250</v>
      </c>
      <c r="L1325" s="148">
        <v>7043</v>
      </c>
      <c r="M1325" s="148">
        <v>3521.5</v>
      </c>
      <c r="N1325" s="148">
        <f t="shared" ref="N1325:N1331" si="877">L1325-M1325</f>
        <v>3521.5</v>
      </c>
      <c r="O1325" s="150">
        <f t="shared" ref="O1325:O1332" si="878">IFERROR(N1325/L1325,"")</f>
        <v>0.5</v>
      </c>
      <c r="P1325" s="148">
        <v>7043</v>
      </c>
      <c r="Q1325" s="111">
        <v>2535</v>
      </c>
      <c r="R1325" s="117">
        <v>4</v>
      </c>
      <c r="S1325" s="117">
        <v>226.2</v>
      </c>
      <c r="T1325" s="117"/>
      <c r="U1325" s="117"/>
      <c r="V1325" s="117"/>
      <c r="W1325" s="26">
        <f t="shared" ref="W1325:W1331" si="879">SUM(S1325:V1325)</f>
        <v>226.2</v>
      </c>
      <c r="X1325" s="118">
        <f t="shared" si="867"/>
        <v>56.55</v>
      </c>
      <c r="Y1325" s="119">
        <f t="shared" si="868"/>
        <v>0</v>
      </c>
      <c r="Z1325" s="117">
        <f t="shared" si="869"/>
        <v>6816.8</v>
      </c>
      <c r="AA1325" s="119">
        <f t="shared" si="870"/>
        <v>0.96788300440153341</v>
      </c>
      <c r="AB1325" s="120">
        <f t="shared" si="871"/>
        <v>3295.3</v>
      </c>
      <c r="AC1325" s="119">
        <f t="shared" si="872"/>
        <v>0.46788300440153341</v>
      </c>
      <c r="AD1325" s="110"/>
      <c r="AE1325" s="110"/>
      <c r="AF1325" s="110"/>
      <c r="AG1325" s="121"/>
      <c r="AH1325" s="110"/>
    </row>
    <row r="1326" spans="1:34" ht="11.25" customHeight="1" x14ac:dyDescent="0.15">
      <c r="A1326" s="110" t="s">
        <v>675</v>
      </c>
      <c r="B1326" s="110"/>
      <c r="C1326" s="111" t="s">
        <v>55</v>
      </c>
      <c r="D1326" s="111">
        <v>2023</v>
      </c>
      <c r="E1326" s="146">
        <v>45291</v>
      </c>
      <c r="F1326" s="111"/>
      <c r="G1326" s="111" t="s">
        <v>56</v>
      </c>
      <c r="H1326" s="111"/>
      <c r="I1326" s="111"/>
      <c r="J1326" s="111"/>
      <c r="K1326" s="112" t="s">
        <v>71</v>
      </c>
      <c r="L1326" s="120">
        <v>1311</v>
      </c>
      <c r="M1326" s="120">
        <v>655.5</v>
      </c>
      <c r="N1326" s="120">
        <f t="shared" si="877"/>
        <v>655.5</v>
      </c>
      <c r="O1326" s="119">
        <f t="shared" si="878"/>
        <v>0.5</v>
      </c>
      <c r="P1326" s="120">
        <v>1311</v>
      </c>
      <c r="Q1326" s="111">
        <v>2536</v>
      </c>
      <c r="R1326" s="117">
        <v>1</v>
      </c>
      <c r="S1326" s="117">
        <v>42.5</v>
      </c>
      <c r="T1326" s="117"/>
      <c r="U1326" s="117"/>
      <c r="V1326" s="117">
        <v>529.37</v>
      </c>
      <c r="W1326" s="26">
        <f t="shared" si="879"/>
        <v>571.87</v>
      </c>
      <c r="X1326" s="118">
        <f t="shared" si="867"/>
        <v>42.5</v>
      </c>
      <c r="Y1326" s="119">
        <f t="shared" si="868"/>
        <v>0</v>
      </c>
      <c r="Z1326" s="117">
        <f t="shared" si="869"/>
        <v>739.13</v>
      </c>
      <c r="AA1326" s="119">
        <f t="shared" si="870"/>
        <v>0.56379099923722353</v>
      </c>
      <c r="AB1326" s="120">
        <f t="shared" si="871"/>
        <v>83.63</v>
      </c>
      <c r="AC1326" s="119">
        <f t="shared" si="872"/>
        <v>6.3790999237223533E-2</v>
      </c>
      <c r="AD1326" s="110"/>
      <c r="AE1326" s="110"/>
      <c r="AF1326" s="110"/>
      <c r="AG1326" s="121"/>
      <c r="AH1326" s="110"/>
    </row>
    <row r="1327" spans="1:34" ht="11.25" customHeight="1" x14ac:dyDescent="0.15">
      <c r="A1327" s="110" t="s">
        <v>675</v>
      </c>
      <c r="B1327" s="110"/>
      <c r="C1327" s="111" t="s">
        <v>58</v>
      </c>
      <c r="D1327" s="111">
        <v>2023</v>
      </c>
      <c r="E1327" s="146">
        <v>45291</v>
      </c>
      <c r="F1327" s="111"/>
      <c r="G1327" s="111">
        <v>72142002</v>
      </c>
      <c r="H1327" s="111"/>
      <c r="I1327" s="111"/>
      <c r="J1327" s="111"/>
      <c r="K1327" s="112" t="s">
        <v>672</v>
      </c>
      <c r="L1327" s="120">
        <v>35907</v>
      </c>
      <c r="M1327" s="120">
        <v>3590.7</v>
      </c>
      <c r="N1327" s="120">
        <f t="shared" si="877"/>
        <v>32316.3</v>
      </c>
      <c r="O1327" s="119">
        <f t="shared" si="878"/>
        <v>0.9</v>
      </c>
      <c r="P1327" s="120">
        <v>35907</v>
      </c>
      <c r="Q1327" s="111">
        <v>2541</v>
      </c>
      <c r="R1327" s="117"/>
      <c r="S1327" s="117"/>
      <c r="T1327" s="117"/>
      <c r="U1327" s="117">
        <v>1083.49</v>
      </c>
      <c r="V1327" s="117"/>
      <c r="W1327" s="26">
        <f t="shared" si="879"/>
        <v>1083.49</v>
      </c>
      <c r="X1327" s="118" t="str">
        <f t="shared" si="867"/>
        <v/>
      </c>
      <c r="Y1327" s="119">
        <f t="shared" si="868"/>
        <v>3.0174896259782216E-2</v>
      </c>
      <c r="Z1327" s="117">
        <f t="shared" si="869"/>
        <v>34823.51</v>
      </c>
      <c r="AA1327" s="119">
        <f t="shared" si="870"/>
        <v>0.9698251037402178</v>
      </c>
      <c r="AB1327" s="120">
        <f t="shared" si="871"/>
        <v>2507.21</v>
      </c>
      <c r="AC1327" s="119">
        <f t="shared" si="872"/>
        <v>6.9825103740217775E-2</v>
      </c>
      <c r="AD1327" s="110"/>
      <c r="AE1327" s="110"/>
      <c r="AF1327" s="110"/>
      <c r="AG1327" s="121"/>
      <c r="AH1327" s="110"/>
    </row>
    <row r="1328" spans="1:34" ht="11.25" customHeight="1" x14ac:dyDescent="0.15">
      <c r="A1328" s="110" t="s">
        <v>675</v>
      </c>
      <c r="B1328" s="110"/>
      <c r="C1328" s="111" t="s">
        <v>58</v>
      </c>
      <c r="D1328" s="111">
        <v>2023</v>
      </c>
      <c r="E1328" s="146">
        <v>45291</v>
      </c>
      <c r="F1328" s="111"/>
      <c r="G1328" s="111">
        <v>71142002</v>
      </c>
      <c r="H1328" s="111"/>
      <c r="I1328" s="111"/>
      <c r="J1328" s="111"/>
      <c r="K1328" s="112" t="s">
        <v>672</v>
      </c>
      <c r="L1328" s="120">
        <v>35907</v>
      </c>
      <c r="M1328" s="120">
        <v>3590.7</v>
      </c>
      <c r="N1328" s="120">
        <f t="shared" si="877"/>
        <v>32316.3</v>
      </c>
      <c r="O1328" s="119">
        <f t="shared" si="878"/>
        <v>0.9</v>
      </c>
      <c r="P1328" s="120">
        <v>35907</v>
      </c>
      <c r="Q1328" s="111">
        <v>2542</v>
      </c>
      <c r="R1328" s="117"/>
      <c r="S1328" s="117"/>
      <c r="T1328" s="117"/>
      <c r="U1328" s="117">
        <v>1083.47</v>
      </c>
      <c r="V1328" s="117"/>
      <c r="W1328" s="26">
        <f t="shared" si="879"/>
        <v>1083.47</v>
      </c>
      <c r="X1328" s="118" t="str">
        <f t="shared" si="867"/>
        <v/>
      </c>
      <c r="Y1328" s="119">
        <f t="shared" si="868"/>
        <v>3.0174339265324309E-2</v>
      </c>
      <c r="Z1328" s="117">
        <f t="shared" si="869"/>
        <v>34823.53</v>
      </c>
      <c r="AA1328" s="119">
        <f t="shared" si="870"/>
        <v>0.96982566073467569</v>
      </c>
      <c r="AB1328" s="120">
        <f t="shared" si="871"/>
        <v>2507.2299999999996</v>
      </c>
      <c r="AC1328" s="119">
        <f t="shared" si="872"/>
        <v>6.9825660734675665E-2</v>
      </c>
      <c r="AD1328" s="110"/>
      <c r="AE1328" s="110"/>
      <c r="AF1328" s="110"/>
      <c r="AG1328" s="121"/>
      <c r="AH1328" s="110"/>
    </row>
    <row r="1329" spans="1:34" ht="11.25" customHeight="1" x14ac:dyDescent="0.15">
      <c r="A1329" s="110" t="s">
        <v>675</v>
      </c>
      <c r="B1329" s="110"/>
      <c r="C1329" s="111" t="s">
        <v>49</v>
      </c>
      <c r="D1329" s="111">
        <v>2023</v>
      </c>
      <c r="E1329" s="146">
        <v>45291</v>
      </c>
      <c r="F1329" s="111"/>
      <c r="G1329" s="111">
        <v>60642002</v>
      </c>
      <c r="H1329" s="111"/>
      <c r="I1329" s="111"/>
      <c r="J1329" s="111"/>
      <c r="K1329" s="112" t="s">
        <v>682</v>
      </c>
      <c r="L1329" s="120">
        <v>19046</v>
      </c>
      <c r="M1329" s="120">
        <v>4085.24</v>
      </c>
      <c r="N1329" s="120">
        <f t="shared" si="877"/>
        <v>14960.76</v>
      </c>
      <c r="O1329" s="119">
        <f t="shared" si="878"/>
        <v>0.78550666806678571</v>
      </c>
      <c r="P1329" s="120">
        <v>19046</v>
      </c>
      <c r="Q1329" s="111">
        <v>2537</v>
      </c>
      <c r="R1329" s="117">
        <v>37</v>
      </c>
      <c r="S1329" s="117">
        <v>2092.35</v>
      </c>
      <c r="T1329" s="117">
        <v>1726.64</v>
      </c>
      <c r="U1329" s="117">
        <v>163.69999999999999</v>
      </c>
      <c r="V1329" s="117"/>
      <c r="W1329" s="26">
        <f t="shared" si="879"/>
        <v>3982.6899999999996</v>
      </c>
      <c r="X1329" s="118">
        <f t="shared" ref="X1329:X1331" si="880">IFERROR(S1329/R1329,"")</f>
        <v>56.55</v>
      </c>
      <c r="Y1329" s="119">
        <f t="shared" ref="Y1329:Y1331" si="881">U1329/P1329</f>
        <v>8.5949805733487334E-3</v>
      </c>
      <c r="Z1329" s="117">
        <f t="shared" ref="Z1329:Z1331" si="882">P1329-W1329</f>
        <v>15063.310000000001</v>
      </c>
      <c r="AA1329" s="119">
        <f t="shared" ref="AA1329:AA1331" si="883">Z1329/P1329</f>
        <v>0.79089100073506258</v>
      </c>
      <c r="AB1329" s="120">
        <f t="shared" ref="AB1329:AB1332" si="884">M1329-W1329</f>
        <v>102.55000000000018</v>
      </c>
      <c r="AC1329" s="119">
        <f t="shared" ref="AC1329:AC1331" si="885">IFERROR(AA1329-O1329,"")</f>
        <v>5.38433266827687E-3</v>
      </c>
      <c r="AD1329" s="110"/>
      <c r="AE1329" s="110"/>
      <c r="AF1329" s="110"/>
      <c r="AG1329" s="121"/>
      <c r="AH1329" s="110"/>
    </row>
    <row r="1330" spans="1:34" ht="11.25" customHeight="1" x14ac:dyDescent="0.15">
      <c r="A1330" s="110" t="s">
        <v>675</v>
      </c>
      <c r="B1330" s="110"/>
      <c r="C1330" s="111" t="s">
        <v>175</v>
      </c>
      <c r="D1330" s="111">
        <v>2023</v>
      </c>
      <c r="E1330" s="146">
        <v>45291</v>
      </c>
      <c r="F1330" s="111"/>
      <c r="G1330" s="111">
        <v>81010101</v>
      </c>
      <c r="H1330" s="111">
        <v>4111</v>
      </c>
      <c r="I1330" s="111" t="str">
        <f t="shared" ref="I1330:I1331" si="886">MID(G1330,2,1)</f>
        <v>1</v>
      </c>
      <c r="J1330" s="111" t="str">
        <f t="shared" ref="J1330:J1331" si="887">IF(I1330="1","Small/Medium","Large")</f>
        <v>Small/Medium</v>
      </c>
      <c r="K1330" s="112" t="s">
        <v>145</v>
      </c>
      <c r="L1330" s="120">
        <f>17723-2658.5</f>
        <v>15064.5</v>
      </c>
      <c r="M1330" s="120">
        <v>4519.3500000000004</v>
      </c>
      <c r="N1330" s="120">
        <f t="shared" si="877"/>
        <v>10545.15</v>
      </c>
      <c r="O1330" s="119">
        <f t="shared" si="878"/>
        <v>0.7</v>
      </c>
      <c r="P1330" s="120">
        <f>17723-2658.5</f>
        <v>15064.5</v>
      </c>
      <c r="Q1330" s="111">
        <v>2538</v>
      </c>
      <c r="R1330" s="117">
        <v>17</v>
      </c>
      <c r="S1330" s="117">
        <v>762.96</v>
      </c>
      <c r="T1330" s="117">
        <v>1043.3900000000001</v>
      </c>
      <c r="U1330" s="117">
        <v>610.5</v>
      </c>
      <c r="V1330" s="117"/>
      <c r="W1330" s="26">
        <f t="shared" si="879"/>
        <v>2416.8500000000004</v>
      </c>
      <c r="X1330" s="118">
        <f t="shared" si="880"/>
        <v>44.88</v>
      </c>
      <c r="Y1330" s="119">
        <f t="shared" si="881"/>
        <v>4.0525739320920046E-2</v>
      </c>
      <c r="Z1330" s="117">
        <f t="shared" si="882"/>
        <v>12647.65</v>
      </c>
      <c r="AA1330" s="119">
        <f t="shared" si="883"/>
        <v>0.83956653058515052</v>
      </c>
      <c r="AB1330" s="120">
        <f t="shared" si="884"/>
        <v>2102.5</v>
      </c>
      <c r="AC1330" s="119">
        <f t="shared" si="885"/>
        <v>0.13956653058515056</v>
      </c>
      <c r="AD1330" s="110" t="s">
        <v>631</v>
      </c>
      <c r="AE1330" s="110"/>
      <c r="AF1330" s="110"/>
      <c r="AG1330" s="121"/>
      <c r="AH1330" s="110"/>
    </row>
    <row r="1331" spans="1:34" ht="11.25" customHeight="1" x14ac:dyDescent="0.15">
      <c r="A1331" s="110" t="s">
        <v>675</v>
      </c>
      <c r="B1331" s="110"/>
      <c r="C1331" s="111" t="s">
        <v>175</v>
      </c>
      <c r="D1331" s="111">
        <v>2023</v>
      </c>
      <c r="E1331" s="146">
        <v>45291</v>
      </c>
      <c r="F1331" s="111"/>
      <c r="G1331" s="111">
        <v>81010101</v>
      </c>
      <c r="H1331" s="111">
        <v>4111</v>
      </c>
      <c r="I1331" s="111" t="str">
        <f t="shared" si="886"/>
        <v>1</v>
      </c>
      <c r="J1331" s="111" t="str">
        <f t="shared" si="887"/>
        <v>Small/Medium</v>
      </c>
      <c r="K1331" s="112" t="s">
        <v>145</v>
      </c>
      <c r="L1331" s="120">
        <f>17723-2658.5</f>
        <v>15064.5</v>
      </c>
      <c r="M1331" s="120">
        <v>4519.3500000000004</v>
      </c>
      <c r="N1331" s="120">
        <f t="shared" si="877"/>
        <v>10545.15</v>
      </c>
      <c r="O1331" s="119">
        <f t="shared" si="878"/>
        <v>0.7</v>
      </c>
      <c r="P1331" s="120">
        <f>17723-2658.5</f>
        <v>15064.5</v>
      </c>
      <c r="Q1331" s="111">
        <v>2539</v>
      </c>
      <c r="R1331" s="117">
        <v>15</v>
      </c>
      <c r="S1331" s="117">
        <v>673.2</v>
      </c>
      <c r="T1331" s="117">
        <v>1043.3900000000001</v>
      </c>
      <c r="U1331" s="117">
        <v>610.5</v>
      </c>
      <c r="V1331" s="117"/>
      <c r="W1331" s="26">
        <f t="shared" si="879"/>
        <v>2327.09</v>
      </c>
      <c r="X1331" s="118">
        <f t="shared" si="880"/>
        <v>44.88</v>
      </c>
      <c r="Y1331" s="119">
        <f t="shared" si="881"/>
        <v>4.0525739320920046E-2</v>
      </c>
      <c r="Z1331" s="117">
        <f t="shared" si="882"/>
        <v>12737.41</v>
      </c>
      <c r="AA1331" s="119">
        <f t="shared" si="883"/>
        <v>0.84552490955557769</v>
      </c>
      <c r="AB1331" s="120">
        <f t="shared" si="884"/>
        <v>2192.2600000000002</v>
      </c>
      <c r="AC1331" s="119">
        <f t="shared" si="885"/>
        <v>0.14552490955557773</v>
      </c>
      <c r="AD1331" s="110" t="s">
        <v>631</v>
      </c>
      <c r="AE1331" s="110"/>
      <c r="AF1331" s="110"/>
      <c r="AG1331" s="121"/>
      <c r="AH1331" s="110"/>
    </row>
    <row r="1332" spans="1:34" s="216" customFormat="1" ht="11.25" customHeight="1" x14ac:dyDescent="0.15">
      <c r="A1332" s="53" t="s">
        <v>675</v>
      </c>
      <c r="B1332" s="53"/>
      <c r="C1332" s="54" t="s">
        <v>177</v>
      </c>
      <c r="D1332" s="54">
        <v>2023</v>
      </c>
      <c r="E1332" s="70">
        <v>45291</v>
      </c>
      <c r="F1332" s="54"/>
      <c r="G1332" s="54"/>
      <c r="H1332" s="54"/>
      <c r="I1332" s="54"/>
      <c r="J1332" s="54"/>
      <c r="K1332" s="106"/>
      <c r="L1332" s="24">
        <f>SUM(L1323:L1331)</f>
        <v>147890</v>
      </c>
      <c r="M1332" s="24">
        <f t="shared" ref="M1332:N1332" si="888">SUM(M1323:M1331)</f>
        <v>30973.239999999998</v>
      </c>
      <c r="N1332" s="24">
        <f t="shared" si="888"/>
        <v>116916.75999999998</v>
      </c>
      <c r="O1332" s="57">
        <f t="shared" si="878"/>
        <v>0.79056569071607263</v>
      </c>
      <c r="P1332" s="24">
        <f>SUM(P1323:P1331)</f>
        <v>147890</v>
      </c>
      <c r="Q1332" s="24"/>
      <c r="R1332" s="117">
        <f>SUM(R1323:R1331)</f>
        <v>91.5</v>
      </c>
      <c r="S1332" s="117">
        <f t="shared" ref="S1332:W1332" si="889">SUM(S1323:S1331)</f>
        <v>4600.6399999999994</v>
      </c>
      <c r="T1332" s="117">
        <f t="shared" si="889"/>
        <v>4856.8200000000006</v>
      </c>
      <c r="U1332" s="117">
        <f t="shared" si="889"/>
        <v>8148.71</v>
      </c>
      <c r="V1332" s="117">
        <f t="shared" si="889"/>
        <v>529.37</v>
      </c>
      <c r="W1332" s="26">
        <f t="shared" si="889"/>
        <v>18135.54</v>
      </c>
      <c r="X1332" s="56">
        <f>IFERROR(S1332/R1332,"")</f>
        <v>50.280218579234969</v>
      </c>
      <c r="Y1332" s="57">
        <f>IFERROR(U1332/P1332,0)</f>
        <v>5.5099803908310228E-2</v>
      </c>
      <c r="Z1332" s="28">
        <f>P1332-W1332</f>
        <v>129754.45999999999</v>
      </c>
      <c r="AA1332" s="57">
        <f>Z1332/P1332</f>
        <v>0.8773714247075528</v>
      </c>
      <c r="AB1332" s="58">
        <f t="shared" si="884"/>
        <v>12837.699999999997</v>
      </c>
      <c r="AC1332" s="119">
        <f>IFERROR(AA1332-O1332,"")</f>
        <v>8.6805733991480172E-2</v>
      </c>
      <c r="AD1332" s="53"/>
      <c r="AE1332" s="53"/>
      <c r="AF1332" s="53"/>
      <c r="AG1332" s="61"/>
      <c r="AH1332" s="53"/>
    </row>
    <row r="1333" spans="1:34" ht="11.25" customHeight="1" x14ac:dyDescent="0.15">
      <c r="A1333" s="130"/>
      <c r="B1333" s="130"/>
      <c r="C1333" s="124"/>
      <c r="D1333" s="124"/>
      <c r="E1333" s="273"/>
      <c r="F1333" s="124"/>
      <c r="G1333" s="124"/>
      <c r="H1333" s="124"/>
      <c r="I1333" s="124"/>
      <c r="J1333" s="124"/>
      <c r="K1333" s="125"/>
      <c r="L1333" s="129"/>
      <c r="M1333" s="129"/>
      <c r="N1333" s="129"/>
      <c r="O1333" s="128"/>
      <c r="P1333" s="129"/>
      <c r="Q1333" s="124"/>
      <c r="R1333" s="117"/>
      <c r="S1333" s="117"/>
      <c r="T1333" s="117"/>
      <c r="U1333" s="117"/>
      <c r="V1333" s="117"/>
      <c r="X1333" s="45"/>
      <c r="Y1333" s="128"/>
      <c r="Z1333" s="126"/>
      <c r="AA1333" s="128"/>
      <c r="AB1333" s="129"/>
      <c r="AC1333" s="160"/>
      <c r="AD1333" s="137"/>
      <c r="AE1333" s="110"/>
      <c r="AF1333" s="110"/>
      <c r="AG1333" s="121"/>
      <c r="AH1333" s="110"/>
    </row>
    <row r="1334" spans="1:34" ht="11.25" customHeight="1" x14ac:dyDescent="0.15">
      <c r="A1334" s="110" t="s">
        <v>683</v>
      </c>
      <c r="B1334" s="110"/>
      <c r="C1334" s="111" t="s">
        <v>37</v>
      </c>
      <c r="D1334" s="111">
        <v>2023</v>
      </c>
      <c r="E1334" s="146">
        <v>45291</v>
      </c>
      <c r="F1334" s="111"/>
      <c r="G1334" s="111">
        <v>12510112</v>
      </c>
      <c r="H1334" s="111"/>
      <c r="I1334" s="111"/>
      <c r="J1334" s="111"/>
      <c r="K1334" s="112" t="s">
        <v>578</v>
      </c>
      <c r="L1334" s="120">
        <v>128676</v>
      </c>
      <c r="M1334" s="120">
        <f>30658.2+711.55</f>
        <v>31369.75</v>
      </c>
      <c r="N1334" s="120">
        <f t="shared" ref="N1334:N1338" si="890">L1334-M1334</f>
        <v>97306.25</v>
      </c>
      <c r="O1334" s="119">
        <f t="shared" ref="O1334:O1338" si="891">IFERROR(N1334/L1334,"")</f>
        <v>0.75621133700146104</v>
      </c>
      <c r="P1334" s="120">
        <f>126642.96+2033.04</f>
        <v>128676</v>
      </c>
      <c r="Q1334" s="111">
        <v>2264</v>
      </c>
      <c r="R1334" s="117">
        <v>58.5</v>
      </c>
      <c r="S1334" s="117">
        <v>2317.4699999999998</v>
      </c>
      <c r="T1334" s="117"/>
      <c r="U1334" s="117">
        <v>31821.66</v>
      </c>
      <c r="V1334" s="117"/>
      <c r="W1334" s="26">
        <f t="shared" ref="W1334:W1339" si="892">SUM(S1334:V1334)</f>
        <v>34139.129999999997</v>
      </c>
      <c r="X1334" s="118">
        <f t="shared" ref="X1334:X1339" si="893">IFERROR(S1334/R1334,"")</f>
        <v>39.614871794871789</v>
      </c>
      <c r="Y1334" s="119">
        <f t="shared" ref="Y1334:Y1339" si="894">U1334/P1334</f>
        <v>0.24730066212813578</v>
      </c>
      <c r="Z1334" s="117">
        <f t="shared" ref="Z1334:Z1339" si="895">P1334-W1334</f>
        <v>94536.87</v>
      </c>
      <c r="AA1334" s="119">
        <f t="shared" ref="AA1334:AA1339" si="896">Z1334/P1334</f>
        <v>0.73468921943485965</v>
      </c>
      <c r="AB1334" s="120">
        <f t="shared" ref="AB1334:AB1346" si="897">M1334-W1334</f>
        <v>-2769.3799999999974</v>
      </c>
      <c r="AC1334" s="119">
        <f t="shared" ref="AC1334:AC1339" si="898">IFERROR(AA1334-O1334,"")</f>
        <v>-2.1522117566601384E-2</v>
      </c>
      <c r="AD1334" s="110" t="s">
        <v>684</v>
      </c>
      <c r="AE1334" s="110"/>
      <c r="AF1334" s="110"/>
      <c r="AG1334" s="121"/>
      <c r="AH1334" s="110"/>
    </row>
    <row r="1335" spans="1:34" ht="11.25" customHeight="1" x14ac:dyDescent="0.15">
      <c r="A1335" s="110" t="s">
        <v>683</v>
      </c>
      <c r="B1335" s="110"/>
      <c r="C1335" s="111" t="s">
        <v>37</v>
      </c>
      <c r="D1335" s="111">
        <v>2023</v>
      </c>
      <c r="E1335" s="146">
        <v>45291</v>
      </c>
      <c r="F1335" s="111"/>
      <c r="G1335" s="111">
        <v>21001011</v>
      </c>
      <c r="H1335" s="111"/>
      <c r="I1335" s="111"/>
      <c r="J1335" s="111"/>
      <c r="K1335" s="112" t="s">
        <v>685</v>
      </c>
      <c r="L1335" s="120">
        <v>12470</v>
      </c>
      <c r="M1335" s="120">
        <v>4119.84</v>
      </c>
      <c r="N1335" s="148">
        <f t="shared" si="890"/>
        <v>8350.16</v>
      </c>
      <c r="O1335" s="150">
        <f t="shared" si="891"/>
        <v>0.66961988773055336</v>
      </c>
      <c r="P1335" s="120">
        <v>12470</v>
      </c>
      <c r="Q1335" s="111">
        <v>2449</v>
      </c>
      <c r="R1335" s="117"/>
      <c r="S1335" s="117"/>
      <c r="T1335" s="117"/>
      <c r="U1335" s="117">
        <v>4467.25</v>
      </c>
      <c r="V1335" s="117"/>
      <c r="W1335" s="26">
        <f t="shared" si="892"/>
        <v>4467.25</v>
      </c>
      <c r="X1335" s="118" t="str">
        <f t="shared" si="893"/>
        <v/>
      </c>
      <c r="Y1335" s="119">
        <f t="shared" si="894"/>
        <v>0.35823977546110664</v>
      </c>
      <c r="Z1335" s="117">
        <f t="shared" si="895"/>
        <v>8002.75</v>
      </c>
      <c r="AA1335" s="119">
        <f t="shared" si="896"/>
        <v>0.64176022453889336</v>
      </c>
      <c r="AB1335" s="120">
        <f t="shared" si="897"/>
        <v>-347.40999999999985</v>
      </c>
      <c r="AC1335" s="119">
        <f t="shared" si="898"/>
        <v>-2.785966319166E-2</v>
      </c>
      <c r="AD1335" s="110" t="s">
        <v>686</v>
      </c>
      <c r="AE1335" s="110"/>
      <c r="AF1335" s="110"/>
      <c r="AG1335" s="121"/>
      <c r="AH1335" s="110"/>
    </row>
    <row r="1336" spans="1:34" ht="11.25" customHeight="1" x14ac:dyDescent="0.15">
      <c r="A1336" s="110" t="s">
        <v>683</v>
      </c>
      <c r="B1336" s="110"/>
      <c r="C1336" s="111" t="s">
        <v>37</v>
      </c>
      <c r="D1336" s="111">
        <v>2023</v>
      </c>
      <c r="E1336" s="146">
        <v>45291</v>
      </c>
      <c r="F1336" s="111"/>
      <c r="G1336" s="111">
        <v>21010011</v>
      </c>
      <c r="H1336" s="111"/>
      <c r="I1336" s="111"/>
      <c r="J1336" s="111"/>
      <c r="K1336" s="112" t="s">
        <v>439</v>
      </c>
      <c r="L1336" s="120">
        <v>16844</v>
      </c>
      <c r="M1336" s="120">
        <v>5509.54</v>
      </c>
      <c r="N1336" s="120">
        <f t="shared" si="890"/>
        <v>11334.46</v>
      </c>
      <c r="O1336" s="119">
        <f t="shared" si="891"/>
        <v>0.67290786036570882</v>
      </c>
      <c r="P1336" s="120">
        <v>16844</v>
      </c>
      <c r="Q1336" s="111">
        <v>2450</v>
      </c>
      <c r="R1336" s="117"/>
      <c r="S1336" s="117"/>
      <c r="T1336" s="117"/>
      <c r="U1336" s="117">
        <v>6874.72</v>
      </c>
      <c r="V1336" s="117"/>
      <c r="W1336" s="26">
        <f t="shared" si="892"/>
        <v>6874.72</v>
      </c>
      <c r="X1336" s="118" t="str">
        <f t="shared" si="893"/>
        <v/>
      </c>
      <c r="Y1336" s="119">
        <f t="shared" si="894"/>
        <v>0.40814058418427929</v>
      </c>
      <c r="Z1336" s="117">
        <f t="shared" si="895"/>
        <v>9969.2799999999988</v>
      </c>
      <c r="AA1336" s="119">
        <f t="shared" si="896"/>
        <v>0.59185941581572066</v>
      </c>
      <c r="AB1336" s="120">
        <f t="shared" si="897"/>
        <v>-1365.1800000000003</v>
      </c>
      <c r="AC1336" s="119">
        <f t="shared" si="898"/>
        <v>-8.1048444549988163E-2</v>
      </c>
      <c r="AD1336" s="110" t="s">
        <v>686</v>
      </c>
      <c r="AE1336" s="110"/>
      <c r="AF1336" s="110"/>
      <c r="AG1336" s="121"/>
      <c r="AH1336" s="110"/>
    </row>
    <row r="1337" spans="1:34" ht="11.25" customHeight="1" x14ac:dyDescent="0.15">
      <c r="A1337" s="110" t="s">
        <v>683</v>
      </c>
      <c r="B1337" s="110"/>
      <c r="C1337" s="111" t="s">
        <v>37</v>
      </c>
      <c r="D1337" s="111">
        <v>2023</v>
      </c>
      <c r="E1337" s="146">
        <v>45291</v>
      </c>
      <c r="F1337" s="111"/>
      <c r="G1337" s="111">
        <v>21050011</v>
      </c>
      <c r="H1337" s="111"/>
      <c r="I1337" s="111"/>
      <c r="J1337" s="111"/>
      <c r="K1337" s="112" t="s">
        <v>582</v>
      </c>
      <c r="L1337" s="120">
        <v>27413</v>
      </c>
      <c r="M1337" s="120">
        <v>8075.74</v>
      </c>
      <c r="N1337" s="120">
        <f t="shared" si="890"/>
        <v>19337.260000000002</v>
      </c>
      <c r="O1337" s="119">
        <f t="shared" si="891"/>
        <v>0.7054047349797542</v>
      </c>
      <c r="P1337" s="120">
        <v>27413</v>
      </c>
      <c r="Q1337" s="111">
        <v>2451</v>
      </c>
      <c r="R1337" s="117"/>
      <c r="S1337" s="117"/>
      <c r="T1337" s="117"/>
      <c r="U1337" s="117">
        <v>8298.01</v>
      </c>
      <c r="V1337" s="117"/>
      <c r="W1337" s="26">
        <f t="shared" si="892"/>
        <v>8298.01</v>
      </c>
      <c r="X1337" s="118" t="str">
        <f t="shared" si="893"/>
        <v/>
      </c>
      <c r="Y1337" s="119">
        <f t="shared" si="894"/>
        <v>0.30270346186116076</v>
      </c>
      <c r="Z1337" s="117">
        <f t="shared" si="895"/>
        <v>19114.989999999998</v>
      </c>
      <c r="AA1337" s="119">
        <f t="shared" si="896"/>
        <v>0.69729653813883918</v>
      </c>
      <c r="AB1337" s="120">
        <f t="shared" si="897"/>
        <v>-222.27000000000044</v>
      </c>
      <c r="AC1337" s="119">
        <f t="shared" si="898"/>
        <v>-8.1081968409150162E-3</v>
      </c>
      <c r="AD1337" s="110" t="s">
        <v>686</v>
      </c>
      <c r="AE1337" s="110"/>
      <c r="AF1337" s="110"/>
      <c r="AG1337" s="121"/>
      <c r="AH1337" s="110"/>
    </row>
    <row r="1338" spans="1:34" ht="11.25" customHeight="1" x14ac:dyDescent="0.15">
      <c r="A1338" s="110" t="s">
        <v>683</v>
      </c>
      <c r="B1338" s="110"/>
      <c r="C1338" s="111" t="s">
        <v>37</v>
      </c>
      <c r="D1338" s="111">
        <v>2023</v>
      </c>
      <c r="E1338" s="146">
        <v>45291</v>
      </c>
      <c r="F1338" s="111"/>
      <c r="G1338" s="111">
        <v>13000000</v>
      </c>
      <c r="H1338" s="111"/>
      <c r="I1338" s="111"/>
      <c r="J1338" s="111"/>
      <c r="K1338" s="112" t="s">
        <v>580</v>
      </c>
      <c r="L1338" s="120">
        <v>88939</v>
      </c>
      <c r="M1338" s="120">
        <v>31128.65</v>
      </c>
      <c r="N1338" s="120">
        <f t="shared" si="890"/>
        <v>57810.35</v>
      </c>
      <c r="O1338" s="119">
        <f t="shared" si="891"/>
        <v>0.65</v>
      </c>
      <c r="P1338" s="120">
        <v>88939</v>
      </c>
      <c r="Q1338" s="111">
        <v>2118</v>
      </c>
      <c r="R1338" s="117">
        <v>27.5</v>
      </c>
      <c r="S1338" s="117">
        <v>1103.81</v>
      </c>
      <c r="T1338" s="117"/>
      <c r="U1338" s="117">
        <v>19528.25</v>
      </c>
      <c r="V1338" s="117"/>
      <c r="W1338" s="26">
        <f t="shared" si="892"/>
        <v>20632.060000000001</v>
      </c>
      <c r="X1338" s="118">
        <f t="shared" si="893"/>
        <v>40.138545454545451</v>
      </c>
      <c r="Y1338" s="119">
        <f t="shared" si="894"/>
        <v>0.21956903045907869</v>
      </c>
      <c r="Z1338" s="117">
        <f t="shared" si="895"/>
        <v>68306.94</v>
      </c>
      <c r="AA1338" s="119">
        <f t="shared" si="896"/>
        <v>0.76802010366655804</v>
      </c>
      <c r="AB1338" s="120">
        <f t="shared" si="897"/>
        <v>10496.59</v>
      </c>
      <c r="AC1338" s="119">
        <f t="shared" si="898"/>
        <v>0.11802010366655802</v>
      </c>
      <c r="AD1338" s="110" t="s">
        <v>687</v>
      </c>
      <c r="AE1338" s="110"/>
      <c r="AF1338" s="110"/>
      <c r="AG1338" s="121"/>
      <c r="AH1338" s="110"/>
    </row>
    <row r="1339" spans="1:34" ht="11.25" customHeight="1" x14ac:dyDescent="0.15">
      <c r="A1339" s="110" t="s">
        <v>683</v>
      </c>
      <c r="B1339" s="110"/>
      <c r="C1339" s="111" t="s">
        <v>37</v>
      </c>
      <c r="D1339" s="111">
        <v>2023</v>
      </c>
      <c r="E1339" s="146">
        <v>45291</v>
      </c>
      <c r="F1339" s="111"/>
      <c r="G1339" s="111">
        <v>31080020</v>
      </c>
      <c r="H1339" s="111"/>
      <c r="I1339" s="111"/>
      <c r="J1339" s="111"/>
      <c r="K1339" s="112" t="s">
        <v>584</v>
      </c>
      <c r="L1339" s="120">
        <v>43159</v>
      </c>
      <c r="M1339" s="120">
        <v>14242.24</v>
      </c>
      <c r="N1339" s="120">
        <f t="shared" ref="N1339" si="899">L1339-M1339</f>
        <v>28916.760000000002</v>
      </c>
      <c r="O1339" s="119">
        <f t="shared" ref="O1339:O1347" si="900">IFERROR(N1339/L1339,"")</f>
        <v>0.67000532913181499</v>
      </c>
      <c r="P1339" s="120">
        <v>43159</v>
      </c>
      <c r="Q1339" s="111">
        <v>2237</v>
      </c>
      <c r="R1339" s="117">
        <v>33.5</v>
      </c>
      <c r="S1339" s="117">
        <v>1351.34</v>
      </c>
      <c r="T1339" s="117"/>
      <c r="U1339" s="117">
        <v>15211</v>
      </c>
      <c r="V1339" s="117"/>
      <c r="W1339" s="26">
        <f t="shared" si="892"/>
        <v>16562.34</v>
      </c>
      <c r="X1339" s="118">
        <f t="shared" si="893"/>
        <v>40.338507462686565</v>
      </c>
      <c r="Y1339" s="119">
        <f t="shared" si="894"/>
        <v>0.35244097407261521</v>
      </c>
      <c r="Z1339" s="117">
        <f t="shared" si="895"/>
        <v>26596.66</v>
      </c>
      <c r="AA1339" s="119">
        <f t="shared" si="896"/>
        <v>0.61624829120229851</v>
      </c>
      <c r="AB1339" s="120">
        <f t="shared" si="897"/>
        <v>-2320.1000000000004</v>
      </c>
      <c r="AC1339" s="119">
        <f t="shared" si="898"/>
        <v>-5.3757037929516471E-2</v>
      </c>
      <c r="AD1339" s="110" t="s">
        <v>686</v>
      </c>
      <c r="AE1339" s="110"/>
      <c r="AF1339" s="110"/>
      <c r="AG1339" s="121"/>
      <c r="AH1339" s="110"/>
    </row>
    <row r="1340" spans="1:34" s="53" customFormat="1" ht="11.25" customHeight="1" x14ac:dyDescent="0.15">
      <c r="A1340" s="53" t="s">
        <v>683</v>
      </c>
      <c r="C1340" s="54" t="s">
        <v>360</v>
      </c>
      <c r="D1340" s="54">
        <v>2023</v>
      </c>
      <c r="E1340" s="70">
        <v>45291</v>
      </c>
      <c r="F1340" s="54"/>
      <c r="I1340" s="111"/>
      <c r="J1340" s="111"/>
      <c r="L1340" s="97">
        <f>SUM(L1334:L1339)</f>
        <v>317501</v>
      </c>
      <c r="M1340" s="97">
        <f t="shared" ref="M1340:N1340" si="901">SUM(M1334:M1339)</f>
        <v>94445.759999999995</v>
      </c>
      <c r="N1340" s="97">
        <f t="shared" si="901"/>
        <v>223055.24000000002</v>
      </c>
      <c r="O1340" s="57">
        <f t="shared" si="900"/>
        <v>0.70253397627094094</v>
      </c>
      <c r="P1340" s="97">
        <f>SUM(P1334:P1339)</f>
        <v>317501</v>
      </c>
      <c r="Q1340" s="24"/>
      <c r="R1340" s="117">
        <f>SUM(R1334:R1339)</f>
        <v>119.5</v>
      </c>
      <c r="S1340" s="117">
        <f t="shared" ref="S1340:V1340" si="902">SUM(S1334:S1339)</f>
        <v>4772.62</v>
      </c>
      <c r="T1340" s="117">
        <f t="shared" si="902"/>
        <v>0</v>
      </c>
      <c r="U1340" s="117">
        <f t="shared" si="902"/>
        <v>86200.890000000014</v>
      </c>
      <c r="V1340" s="117">
        <f t="shared" si="902"/>
        <v>0</v>
      </c>
      <c r="W1340" s="26">
        <f>SUM(W1334:W1339)</f>
        <v>90973.51</v>
      </c>
      <c r="X1340" s="56">
        <f>IFERROR(S1340/R1340,"")</f>
        <v>39.93824267782427</v>
      </c>
      <c r="Y1340" s="57">
        <f>IFERROR(U1340/P1340,0)</f>
        <v>0.27149801102988658</v>
      </c>
      <c r="Z1340" s="28">
        <f>P1340-W1340</f>
        <v>226527.49</v>
      </c>
      <c r="AA1340" s="57">
        <f>Z1340/P1340</f>
        <v>0.71347016229870142</v>
      </c>
      <c r="AB1340" s="58">
        <f t="shared" si="897"/>
        <v>3472.25</v>
      </c>
      <c r="AC1340" s="57">
        <f>IFERROR(AA1340-O1340,"")</f>
        <v>1.0936186027760475E-2</v>
      </c>
      <c r="AG1340" s="61"/>
    </row>
    <row r="1341" spans="1:34" ht="11.25" customHeight="1" x14ac:dyDescent="0.15">
      <c r="A1341" s="110" t="s">
        <v>683</v>
      </c>
      <c r="B1341" s="110"/>
      <c r="C1341" s="111" t="s">
        <v>47</v>
      </c>
      <c r="D1341" s="111">
        <v>2023</v>
      </c>
      <c r="E1341" s="146">
        <v>45291</v>
      </c>
      <c r="F1341" s="111"/>
      <c r="G1341" s="111">
        <v>50000010</v>
      </c>
      <c r="H1341" s="111"/>
      <c r="I1341" s="111"/>
      <c r="J1341" s="111"/>
      <c r="K1341" s="112" t="s">
        <v>645</v>
      </c>
      <c r="L1341" s="120">
        <v>36174</v>
      </c>
      <c r="M1341" s="120">
        <v>14800.58</v>
      </c>
      <c r="N1341" s="120">
        <f t="shared" ref="N1341:N1346" si="903">L1341-M1341</f>
        <v>21373.42</v>
      </c>
      <c r="O1341" s="119">
        <f t="shared" si="900"/>
        <v>0.59085033449438817</v>
      </c>
      <c r="P1341" s="120">
        <v>36174</v>
      </c>
      <c r="Q1341" s="111">
        <v>2453</v>
      </c>
      <c r="R1341" s="117">
        <v>120.5</v>
      </c>
      <c r="S1341" s="117">
        <v>5532.19</v>
      </c>
      <c r="T1341" s="117">
        <v>5532.94</v>
      </c>
      <c r="U1341" s="117">
        <v>5748.74</v>
      </c>
      <c r="V1341" s="117"/>
      <c r="W1341" s="26">
        <f t="shared" ref="W1341:W1346" si="904">SUM(S1341:V1341)</f>
        <v>16813.87</v>
      </c>
      <c r="X1341" s="118">
        <f t="shared" ref="X1341:X1346" si="905">IFERROR(S1341/R1341,"")</f>
        <v>45.910290456431532</v>
      </c>
      <c r="Y1341" s="119">
        <f t="shared" ref="Y1341:Y1346" si="906">U1341/P1341</f>
        <v>0.15891911317520871</v>
      </c>
      <c r="Z1341" s="117">
        <f t="shared" ref="Z1341:Z1346" si="907">P1341-W1341</f>
        <v>19360.13</v>
      </c>
      <c r="AA1341" s="119">
        <f t="shared" ref="AA1341:AA1346" si="908">Z1341/P1341</f>
        <v>0.5351946149167911</v>
      </c>
      <c r="AB1341" s="120">
        <f t="shared" si="897"/>
        <v>-2013.2899999999991</v>
      </c>
      <c r="AC1341" s="119">
        <f t="shared" ref="AC1341:AC1346" si="909">IFERROR(AA1341-O1341,"")</f>
        <v>-5.5655719577597074E-2</v>
      </c>
      <c r="AD1341" s="110"/>
      <c r="AE1341" s="110"/>
      <c r="AF1341" s="110"/>
      <c r="AG1341" s="121"/>
      <c r="AH1341" s="110"/>
    </row>
    <row r="1342" spans="1:34" ht="11.25" customHeight="1" x14ac:dyDescent="0.15">
      <c r="A1342" s="110" t="s">
        <v>683</v>
      </c>
      <c r="B1342" s="110"/>
      <c r="C1342" s="111" t="s">
        <v>248</v>
      </c>
      <c r="D1342" s="111">
        <v>2023</v>
      </c>
      <c r="E1342" s="146">
        <v>45291</v>
      </c>
      <c r="F1342" s="111"/>
      <c r="G1342" s="111">
        <v>96000000</v>
      </c>
      <c r="H1342" s="111"/>
      <c r="I1342" s="111"/>
      <c r="J1342" s="111"/>
      <c r="K1342" s="112" t="s">
        <v>250</v>
      </c>
      <c r="L1342" s="120">
        <v>20563</v>
      </c>
      <c r="M1342" s="120">
        <v>10281.5</v>
      </c>
      <c r="N1342" s="148">
        <f t="shared" si="903"/>
        <v>10281.5</v>
      </c>
      <c r="O1342" s="150">
        <f t="shared" si="900"/>
        <v>0.5</v>
      </c>
      <c r="P1342" s="120">
        <v>20563</v>
      </c>
      <c r="Q1342" s="111">
        <v>2456</v>
      </c>
      <c r="R1342" s="117">
        <v>22.5</v>
      </c>
      <c r="S1342" s="117">
        <v>1272.3800000000001</v>
      </c>
      <c r="T1342" s="117"/>
      <c r="U1342" s="117"/>
      <c r="V1342" s="117"/>
      <c r="W1342" s="26">
        <f t="shared" si="904"/>
        <v>1272.3800000000001</v>
      </c>
      <c r="X1342" s="118">
        <f t="shared" si="905"/>
        <v>56.550222222222224</v>
      </c>
      <c r="Y1342" s="119">
        <f t="shared" si="906"/>
        <v>0</v>
      </c>
      <c r="Z1342" s="117">
        <f t="shared" si="907"/>
        <v>19290.62</v>
      </c>
      <c r="AA1342" s="119">
        <f t="shared" si="908"/>
        <v>0.93812284199776297</v>
      </c>
      <c r="AB1342" s="120">
        <f t="shared" si="897"/>
        <v>9009.119999999999</v>
      </c>
      <c r="AC1342" s="119">
        <f t="shared" si="909"/>
        <v>0.43812284199776297</v>
      </c>
      <c r="AD1342" s="110"/>
      <c r="AE1342" s="110"/>
      <c r="AF1342" s="110"/>
      <c r="AG1342" s="121"/>
      <c r="AH1342" s="110"/>
    </row>
    <row r="1343" spans="1:34" ht="11.25" customHeight="1" x14ac:dyDescent="0.15">
      <c r="A1343" s="110" t="s">
        <v>683</v>
      </c>
      <c r="B1343" s="110"/>
      <c r="C1343" s="111" t="s">
        <v>55</v>
      </c>
      <c r="D1343" s="111">
        <v>2023</v>
      </c>
      <c r="E1343" s="146">
        <v>45291</v>
      </c>
      <c r="F1343" s="111"/>
      <c r="G1343" s="111" t="s">
        <v>56</v>
      </c>
      <c r="H1343" s="111"/>
      <c r="I1343" s="111"/>
      <c r="J1343" s="111"/>
      <c r="K1343" s="112" t="s">
        <v>71</v>
      </c>
      <c r="L1343" s="120">
        <v>16514</v>
      </c>
      <c r="M1343" s="120">
        <v>8257</v>
      </c>
      <c r="N1343" s="120">
        <f t="shared" si="903"/>
        <v>8257</v>
      </c>
      <c r="O1343" s="119">
        <f t="shared" si="900"/>
        <v>0.5</v>
      </c>
      <c r="P1343" s="120">
        <v>16514</v>
      </c>
      <c r="Q1343" s="111">
        <v>2457</v>
      </c>
      <c r="R1343" s="117">
        <v>30</v>
      </c>
      <c r="S1343" s="117">
        <v>1275</v>
      </c>
      <c r="T1343" s="117"/>
      <c r="U1343" s="117"/>
      <c r="V1343" s="117">
        <v>10658.76</v>
      </c>
      <c r="W1343" s="26">
        <f t="shared" si="904"/>
        <v>11933.76</v>
      </c>
      <c r="X1343" s="118">
        <f t="shared" si="905"/>
        <v>42.5</v>
      </c>
      <c r="Y1343" s="119">
        <f t="shared" si="906"/>
        <v>0</v>
      </c>
      <c r="Z1343" s="117">
        <f t="shared" si="907"/>
        <v>4580.24</v>
      </c>
      <c r="AA1343" s="119">
        <f t="shared" si="908"/>
        <v>0.2773549715393</v>
      </c>
      <c r="AB1343" s="120">
        <f t="shared" si="897"/>
        <v>-3676.76</v>
      </c>
      <c r="AC1343" s="119">
        <f t="shared" si="909"/>
        <v>-0.2226450284607</v>
      </c>
      <c r="AD1343" s="110" t="s">
        <v>688</v>
      </c>
      <c r="AE1343" s="110"/>
      <c r="AF1343" s="110"/>
      <c r="AG1343" s="121"/>
      <c r="AH1343" s="110"/>
    </row>
    <row r="1344" spans="1:34" ht="11.25" customHeight="1" x14ac:dyDescent="0.15">
      <c r="A1344" s="110" t="s">
        <v>683</v>
      </c>
      <c r="B1344" s="110"/>
      <c r="C1344" s="111" t="s">
        <v>58</v>
      </c>
      <c r="D1344" s="111">
        <v>2023</v>
      </c>
      <c r="E1344" s="146">
        <v>45291</v>
      </c>
      <c r="F1344" s="111"/>
      <c r="G1344" s="111">
        <v>72152012</v>
      </c>
      <c r="H1344" s="169"/>
      <c r="I1344" s="111"/>
      <c r="J1344" s="111"/>
      <c r="K1344" s="112" t="s">
        <v>689</v>
      </c>
      <c r="L1344" s="120">
        <v>14289</v>
      </c>
      <c r="M1344" s="120">
        <v>1428.9</v>
      </c>
      <c r="N1344" s="120">
        <f t="shared" si="903"/>
        <v>12860.1</v>
      </c>
      <c r="O1344" s="119">
        <f t="shared" si="900"/>
        <v>0.9</v>
      </c>
      <c r="P1344" s="120">
        <v>14289</v>
      </c>
      <c r="Q1344" s="111">
        <v>2476</v>
      </c>
      <c r="R1344" s="117"/>
      <c r="S1344" s="117"/>
      <c r="T1344" s="117"/>
      <c r="U1344" s="117">
        <v>1976.82</v>
      </c>
      <c r="V1344" s="117"/>
      <c r="W1344" s="26">
        <f t="shared" si="904"/>
        <v>1976.82</v>
      </c>
      <c r="X1344" s="118" t="str">
        <f t="shared" si="905"/>
        <v/>
      </c>
      <c r="Y1344" s="119">
        <f t="shared" si="906"/>
        <v>0.13834558051648121</v>
      </c>
      <c r="Z1344" s="117">
        <f t="shared" si="907"/>
        <v>12312.18</v>
      </c>
      <c r="AA1344" s="119">
        <f t="shared" si="908"/>
        <v>0.86165441948351884</v>
      </c>
      <c r="AB1344" s="120">
        <f t="shared" si="897"/>
        <v>-547.91999999999985</v>
      </c>
      <c r="AC1344" s="119">
        <f t="shared" si="909"/>
        <v>-3.8345580516481181E-2</v>
      </c>
      <c r="AD1344" s="110" t="s">
        <v>686</v>
      </c>
      <c r="AE1344" s="110"/>
      <c r="AF1344" s="110"/>
      <c r="AG1344" s="121"/>
      <c r="AH1344" s="110"/>
    </row>
    <row r="1345" spans="1:34" ht="11.25" customHeight="1" x14ac:dyDescent="0.15">
      <c r="A1345" s="110" t="s">
        <v>683</v>
      </c>
      <c r="B1345" s="110"/>
      <c r="C1345" s="111" t="s">
        <v>58</v>
      </c>
      <c r="D1345" s="111">
        <v>2023</v>
      </c>
      <c r="E1345" s="146">
        <v>45291</v>
      </c>
      <c r="F1345" s="111"/>
      <c r="G1345" s="111">
        <v>73162012</v>
      </c>
      <c r="H1345" s="169"/>
      <c r="I1345" s="111"/>
      <c r="J1345" s="111"/>
      <c r="K1345" s="112" t="s">
        <v>690</v>
      </c>
      <c r="L1345" s="120">
        <v>7730</v>
      </c>
      <c r="M1345" s="120">
        <v>773</v>
      </c>
      <c r="N1345" s="120">
        <f t="shared" si="903"/>
        <v>6957</v>
      </c>
      <c r="O1345" s="119">
        <f t="shared" si="900"/>
        <v>0.9</v>
      </c>
      <c r="P1345" s="120">
        <v>7730</v>
      </c>
      <c r="Q1345" s="111">
        <v>2477</v>
      </c>
      <c r="R1345" s="117"/>
      <c r="S1345" s="117"/>
      <c r="T1345" s="117"/>
      <c r="U1345" s="117">
        <v>2145.58</v>
      </c>
      <c r="V1345" s="117"/>
      <c r="W1345" s="26">
        <f t="shared" si="904"/>
        <v>2145.58</v>
      </c>
      <c r="X1345" s="118" t="str">
        <f t="shared" si="905"/>
        <v/>
      </c>
      <c r="Y1345" s="119">
        <f t="shared" si="906"/>
        <v>0.27756532988357052</v>
      </c>
      <c r="Z1345" s="117">
        <f t="shared" si="907"/>
        <v>5584.42</v>
      </c>
      <c r="AA1345" s="119">
        <f t="shared" si="908"/>
        <v>0.72243467011642948</v>
      </c>
      <c r="AB1345" s="120">
        <f t="shared" si="897"/>
        <v>-1372.58</v>
      </c>
      <c r="AC1345" s="119">
        <f t="shared" si="909"/>
        <v>-0.17756532988357054</v>
      </c>
      <c r="AD1345" s="110" t="s">
        <v>686</v>
      </c>
      <c r="AE1345" s="110"/>
      <c r="AF1345" s="110"/>
      <c r="AG1345" s="121"/>
      <c r="AH1345" s="110"/>
    </row>
    <row r="1346" spans="1:34" ht="11.25" customHeight="1" x14ac:dyDescent="0.15">
      <c r="A1346" s="110" t="s">
        <v>683</v>
      </c>
      <c r="B1346" s="110"/>
      <c r="C1346" s="111" t="s">
        <v>49</v>
      </c>
      <c r="D1346" s="111">
        <v>2023</v>
      </c>
      <c r="E1346" s="146">
        <v>45291</v>
      </c>
      <c r="F1346" s="111"/>
      <c r="G1346" s="111">
        <v>60102012</v>
      </c>
      <c r="H1346" s="169"/>
      <c r="I1346" s="111"/>
      <c r="J1346" s="111"/>
      <c r="K1346" s="112" t="s">
        <v>691</v>
      </c>
      <c r="L1346" s="120">
        <v>19046</v>
      </c>
      <c r="M1346" s="120">
        <v>4906.42</v>
      </c>
      <c r="N1346" s="120">
        <f t="shared" si="903"/>
        <v>14139.58</v>
      </c>
      <c r="O1346" s="119">
        <f t="shared" ref="O1346" si="910">IFERROR(N1346/L1346,"")</f>
        <v>0.74239105323952537</v>
      </c>
      <c r="P1346" s="120">
        <v>19046</v>
      </c>
      <c r="Q1346" s="111">
        <v>2454</v>
      </c>
      <c r="R1346" s="117">
        <v>44</v>
      </c>
      <c r="S1346" s="117">
        <v>2488.1999999999998</v>
      </c>
      <c r="T1346" s="117">
        <v>2137.2399999999998</v>
      </c>
      <c r="U1346" s="117"/>
      <c r="V1346" s="117"/>
      <c r="W1346" s="26">
        <f t="shared" si="904"/>
        <v>4625.4399999999996</v>
      </c>
      <c r="X1346" s="118">
        <f t="shared" si="905"/>
        <v>56.55</v>
      </c>
      <c r="Y1346" s="119">
        <f t="shared" si="906"/>
        <v>0</v>
      </c>
      <c r="Z1346" s="117">
        <f t="shared" si="907"/>
        <v>14420.560000000001</v>
      </c>
      <c r="AA1346" s="119">
        <f t="shared" si="908"/>
        <v>0.75714375721936367</v>
      </c>
      <c r="AB1346" s="120">
        <f t="shared" si="897"/>
        <v>280.98000000000047</v>
      </c>
      <c r="AC1346" s="119">
        <f t="shared" si="909"/>
        <v>1.47527039798383E-2</v>
      </c>
      <c r="AD1346" s="110"/>
      <c r="AE1346" s="110"/>
      <c r="AF1346" s="110"/>
      <c r="AG1346" s="121"/>
      <c r="AH1346" s="110"/>
    </row>
    <row r="1347" spans="1:34" s="216" customFormat="1" ht="11.25" customHeight="1" x14ac:dyDescent="0.15">
      <c r="A1347" s="53" t="s">
        <v>683</v>
      </c>
      <c r="B1347" s="53"/>
      <c r="C1347" s="54" t="s">
        <v>177</v>
      </c>
      <c r="D1347" s="54">
        <v>2023</v>
      </c>
      <c r="E1347" s="70">
        <v>45291</v>
      </c>
      <c r="F1347" s="54"/>
      <c r="G1347" s="54"/>
      <c r="H1347" s="54"/>
      <c r="I1347" s="54"/>
      <c r="J1347" s="54"/>
      <c r="K1347" s="106"/>
      <c r="L1347" s="24">
        <f>SUM(L1340:L1346)</f>
        <v>431817</v>
      </c>
      <c r="M1347" s="24">
        <f t="shared" ref="M1347:N1347" si="911">SUM(M1340:M1346)</f>
        <v>134893.16</v>
      </c>
      <c r="N1347" s="24">
        <f t="shared" si="911"/>
        <v>296923.84000000003</v>
      </c>
      <c r="O1347" s="57">
        <f t="shared" si="900"/>
        <v>0.68761498505153806</v>
      </c>
      <c r="P1347" s="24">
        <f>SUM(P1340:P1346)</f>
        <v>431817</v>
      </c>
      <c r="Q1347" s="24"/>
      <c r="R1347" s="117">
        <f>SUM(R1340:R1346)</f>
        <v>336.5</v>
      </c>
      <c r="S1347" s="117">
        <f t="shared" ref="S1347:V1347" si="912">SUM(S1340:S1346)</f>
        <v>15340.39</v>
      </c>
      <c r="T1347" s="117">
        <f t="shared" si="912"/>
        <v>7670.1799999999994</v>
      </c>
      <c r="U1347" s="117">
        <f t="shared" si="912"/>
        <v>96072.030000000028</v>
      </c>
      <c r="V1347" s="117">
        <f t="shared" si="912"/>
        <v>10658.76</v>
      </c>
      <c r="W1347" s="26">
        <f>SUM(W1340:W1346)</f>
        <v>129741.36</v>
      </c>
      <c r="X1347" s="56">
        <f>IFERROR(S1347/R1347,"")</f>
        <v>45.588083209509655</v>
      </c>
      <c r="Y1347" s="57">
        <f>IFERROR(U1347/P1347,0)</f>
        <v>0.22248320469087607</v>
      </c>
      <c r="Z1347" s="28">
        <f>P1347-W1347</f>
        <v>302075.64</v>
      </c>
      <c r="AA1347" s="57">
        <f>Z1347/P1347</f>
        <v>0.69954550191400522</v>
      </c>
      <c r="AB1347" s="58">
        <f>M1347-W1347</f>
        <v>5151.8000000000029</v>
      </c>
      <c r="AC1347" s="57">
        <f>IFERROR(AA1347-O1347,"")</f>
        <v>1.1930516862467155E-2</v>
      </c>
      <c r="AD1347" s="53"/>
      <c r="AE1347" s="53"/>
      <c r="AF1347" s="53"/>
      <c r="AG1347" s="61"/>
      <c r="AH1347" s="53"/>
    </row>
    <row r="1348" spans="1:34" ht="11.25" customHeight="1" x14ac:dyDescent="0.15">
      <c r="A1348" s="130"/>
      <c r="B1348" s="130"/>
      <c r="C1348" s="124"/>
      <c r="D1348" s="124"/>
      <c r="E1348" s="273"/>
      <c r="F1348" s="124"/>
      <c r="G1348" s="124"/>
      <c r="H1348" s="124"/>
      <c r="I1348" s="124"/>
      <c r="J1348" s="124"/>
      <c r="K1348" s="125"/>
      <c r="L1348" s="129"/>
      <c r="M1348" s="129"/>
      <c r="N1348" s="129"/>
      <c r="O1348" s="128"/>
      <c r="P1348" s="129"/>
      <c r="Q1348" s="124"/>
      <c r="R1348" s="117"/>
      <c r="S1348" s="117"/>
      <c r="T1348" s="117"/>
      <c r="U1348" s="117"/>
      <c r="V1348" s="117"/>
      <c r="X1348" s="45"/>
      <c r="Y1348" s="128"/>
      <c r="Z1348" s="126"/>
      <c r="AA1348" s="128"/>
      <c r="AB1348" s="129"/>
      <c r="AC1348" s="160"/>
      <c r="AD1348" s="137"/>
      <c r="AE1348" s="110"/>
      <c r="AF1348" s="110"/>
      <c r="AG1348" s="121"/>
      <c r="AH1348" s="110"/>
    </row>
    <row r="1349" spans="1:34" ht="11.25" customHeight="1" x14ac:dyDescent="0.15">
      <c r="A1349" s="110" t="s">
        <v>231</v>
      </c>
      <c r="B1349" s="110"/>
      <c r="C1349" s="111" t="s">
        <v>37</v>
      </c>
      <c r="D1349" s="111">
        <v>2023</v>
      </c>
      <c r="E1349" s="146">
        <v>45291</v>
      </c>
      <c r="F1349" s="111"/>
      <c r="G1349" s="111">
        <v>13000000</v>
      </c>
      <c r="H1349" s="111"/>
      <c r="I1349" s="196"/>
      <c r="J1349" s="111"/>
      <c r="K1349" s="112" t="s">
        <v>580</v>
      </c>
      <c r="L1349" s="120">
        <v>80045</v>
      </c>
      <c r="M1349" s="120">
        <v>22192</v>
      </c>
      <c r="N1349" s="120">
        <f t="shared" ref="N1349:N1352" si="913">L1349-M1349</f>
        <v>57853</v>
      </c>
      <c r="O1349" s="119">
        <f t="shared" ref="O1349:O1358" si="914">IFERROR(N1349/L1349,"")</f>
        <v>0.72275594977824975</v>
      </c>
      <c r="P1349" s="120">
        <v>80045</v>
      </c>
      <c r="Q1349" s="111">
        <v>1381</v>
      </c>
      <c r="R1349" s="117">
        <v>42.5</v>
      </c>
      <c r="S1349" s="117">
        <v>1693.58</v>
      </c>
      <c r="T1349" s="117"/>
      <c r="U1349" s="117">
        <v>19810.62</v>
      </c>
      <c r="V1349" s="117"/>
      <c r="W1349" s="26">
        <f t="shared" ref="W1349:W1357" si="915">SUM(S1349:V1349)</f>
        <v>21504.199999999997</v>
      </c>
      <c r="X1349" s="118">
        <f t="shared" ref="X1349:X1352" si="916">IFERROR(S1349/R1349,"")</f>
        <v>39.848941176470589</v>
      </c>
      <c r="Y1349" s="119">
        <f t="shared" ref="Y1349:Y1351" si="917">U1349/P1349</f>
        <v>0.24749353488662626</v>
      </c>
      <c r="Z1349" s="117">
        <f t="shared" ref="Z1349:Z1352" si="918">P1349-W1349</f>
        <v>58540.800000000003</v>
      </c>
      <c r="AA1349" s="119">
        <f t="shared" ref="AA1349:AA1351" si="919">Z1349/P1349</f>
        <v>0.7313486164032732</v>
      </c>
      <c r="AB1349" s="120">
        <f t="shared" ref="AB1349:AB1358" si="920">M1349-W1349</f>
        <v>687.80000000000291</v>
      </c>
      <c r="AC1349" s="119">
        <f t="shared" ref="AC1349:AC1352" si="921">IFERROR(AA1349-O1349,"")</f>
        <v>8.5926666250234485E-3</v>
      </c>
      <c r="AD1349" s="110" t="s">
        <v>692</v>
      </c>
      <c r="AE1349" s="110"/>
      <c r="AF1349" s="110"/>
      <c r="AG1349" s="121"/>
      <c r="AH1349" s="110"/>
    </row>
    <row r="1350" spans="1:34" ht="11.25" customHeight="1" x14ac:dyDescent="0.15">
      <c r="A1350" s="110" t="s">
        <v>231</v>
      </c>
      <c r="B1350" s="110"/>
      <c r="C1350" s="111" t="s">
        <v>37</v>
      </c>
      <c r="D1350" s="111">
        <v>2023</v>
      </c>
      <c r="E1350" s="146">
        <v>45291</v>
      </c>
      <c r="F1350" s="111"/>
      <c r="G1350" s="111">
        <v>13000000</v>
      </c>
      <c r="H1350" s="111"/>
      <c r="I1350" s="111"/>
      <c r="J1350" s="111"/>
      <c r="K1350" s="112" t="s">
        <v>580</v>
      </c>
      <c r="L1350" s="120">
        <v>80045</v>
      </c>
      <c r="M1350" s="120">
        <v>22192</v>
      </c>
      <c r="N1350" s="120">
        <f t="shared" ref="N1350:N1351" si="922">L1350-M1350</f>
        <v>57853</v>
      </c>
      <c r="O1350" s="119">
        <f t="shared" ref="O1350:O1351" si="923">IFERROR(N1350/L1350,"")</f>
        <v>0.72275594977824975</v>
      </c>
      <c r="P1350" s="120">
        <v>80045</v>
      </c>
      <c r="Q1350" s="111">
        <v>2135</v>
      </c>
      <c r="R1350" s="117">
        <v>44</v>
      </c>
      <c r="S1350" s="117">
        <v>1692.8</v>
      </c>
      <c r="T1350" s="117"/>
      <c r="U1350" s="117">
        <v>20846.169999999998</v>
      </c>
      <c r="V1350" s="117"/>
      <c r="W1350" s="26">
        <f t="shared" si="915"/>
        <v>22538.969999999998</v>
      </c>
      <c r="X1350" s="118">
        <f t="shared" si="916"/>
        <v>38.472727272727269</v>
      </c>
      <c r="Y1350" s="119">
        <f t="shared" si="917"/>
        <v>0.26043063276906736</v>
      </c>
      <c r="Z1350" s="117">
        <f t="shared" si="918"/>
        <v>57506.03</v>
      </c>
      <c r="AA1350" s="119">
        <f t="shared" si="919"/>
        <v>0.71842126303954024</v>
      </c>
      <c r="AB1350" s="120">
        <f t="shared" si="920"/>
        <v>-346.96999999999753</v>
      </c>
      <c r="AC1350" s="119">
        <f t="shared" si="921"/>
        <v>-4.3346867387095145E-3</v>
      </c>
      <c r="AD1350" s="110"/>
      <c r="AE1350" s="110"/>
      <c r="AF1350" s="110"/>
      <c r="AG1350" s="121"/>
      <c r="AH1350" s="110"/>
    </row>
    <row r="1351" spans="1:34" ht="11.25" customHeight="1" x14ac:dyDescent="0.15">
      <c r="A1351" s="110" t="s">
        <v>231</v>
      </c>
      <c r="B1351" s="110"/>
      <c r="C1351" s="111" t="s">
        <v>37</v>
      </c>
      <c r="D1351" s="111">
        <v>2023</v>
      </c>
      <c r="E1351" s="146">
        <v>45291</v>
      </c>
      <c r="F1351" s="111"/>
      <c r="G1351" s="111">
        <v>13000000</v>
      </c>
      <c r="H1351" s="111"/>
      <c r="I1351" s="111"/>
      <c r="J1351" s="111"/>
      <c r="K1351" s="112" t="s">
        <v>580</v>
      </c>
      <c r="L1351" s="120">
        <v>80045</v>
      </c>
      <c r="M1351" s="120">
        <v>22192</v>
      </c>
      <c r="N1351" s="120">
        <f t="shared" si="922"/>
        <v>57853</v>
      </c>
      <c r="O1351" s="119">
        <f t="shared" si="923"/>
        <v>0.72275594977824975</v>
      </c>
      <c r="P1351" s="120">
        <v>80045</v>
      </c>
      <c r="Q1351" s="111">
        <v>2298</v>
      </c>
      <c r="R1351" s="117">
        <v>43</v>
      </c>
      <c r="S1351" s="117">
        <v>1666.24</v>
      </c>
      <c r="T1351" s="117"/>
      <c r="U1351" s="117">
        <v>21558.86</v>
      </c>
      <c r="V1351" s="117"/>
      <c r="W1351" s="26">
        <f t="shared" si="915"/>
        <v>23225.100000000002</v>
      </c>
      <c r="X1351" s="118">
        <f t="shared" si="916"/>
        <v>38.749767441860463</v>
      </c>
      <c r="Y1351" s="119">
        <f t="shared" si="917"/>
        <v>0.26933424948466489</v>
      </c>
      <c r="Z1351" s="117">
        <f t="shared" si="918"/>
        <v>56819.899999999994</v>
      </c>
      <c r="AA1351" s="119">
        <f t="shared" si="919"/>
        <v>0.70984945967893054</v>
      </c>
      <c r="AB1351" s="120">
        <f t="shared" si="920"/>
        <v>-1033.1000000000022</v>
      </c>
      <c r="AC1351" s="119">
        <f t="shared" si="921"/>
        <v>-1.2906490099319212E-2</v>
      </c>
      <c r="AD1351" s="110"/>
      <c r="AE1351" s="110"/>
      <c r="AF1351" s="110"/>
      <c r="AG1351" s="121"/>
      <c r="AH1351" s="110"/>
    </row>
    <row r="1352" spans="1:34" ht="11.25" customHeight="1" x14ac:dyDescent="0.15">
      <c r="A1352" s="110" t="s">
        <v>231</v>
      </c>
      <c r="B1352" s="110"/>
      <c r="C1352" s="111" t="s">
        <v>37</v>
      </c>
      <c r="D1352" s="111">
        <v>2023</v>
      </c>
      <c r="E1352" s="146">
        <v>45291</v>
      </c>
      <c r="F1352" s="111"/>
      <c r="G1352" s="111">
        <v>93000001</v>
      </c>
      <c r="H1352" s="111"/>
      <c r="I1352" s="111"/>
      <c r="J1352" s="111"/>
      <c r="K1352" s="112" t="s">
        <v>693</v>
      </c>
      <c r="L1352" s="120">
        <v>0</v>
      </c>
      <c r="M1352" s="120">
        <v>6087.24</v>
      </c>
      <c r="N1352" s="120">
        <f t="shared" si="913"/>
        <v>-6087.24</v>
      </c>
      <c r="O1352" s="119" t="str">
        <f t="shared" si="914"/>
        <v/>
      </c>
      <c r="P1352" s="120">
        <v>0</v>
      </c>
      <c r="Q1352" s="111">
        <v>2706</v>
      </c>
      <c r="R1352" s="117"/>
      <c r="S1352" s="117"/>
      <c r="T1352" s="117"/>
      <c r="U1352" s="117"/>
      <c r="V1352" s="117"/>
      <c r="W1352" s="26">
        <f t="shared" si="915"/>
        <v>0</v>
      </c>
      <c r="X1352" s="118" t="str">
        <f t="shared" si="916"/>
        <v/>
      </c>
      <c r="Y1352" s="119">
        <f>IFERROR(U1352/P1352,0)</f>
        <v>0</v>
      </c>
      <c r="Z1352" s="117">
        <f t="shared" si="918"/>
        <v>0</v>
      </c>
      <c r="AA1352" s="119">
        <f>IFERROR(Z1352/P1352,0)</f>
        <v>0</v>
      </c>
      <c r="AB1352" s="120">
        <f t="shared" si="920"/>
        <v>6087.24</v>
      </c>
      <c r="AC1352" s="119" t="str">
        <f t="shared" si="921"/>
        <v/>
      </c>
      <c r="AD1352" s="110"/>
      <c r="AE1352" s="110"/>
      <c r="AF1352" s="110"/>
      <c r="AG1352" s="121"/>
      <c r="AH1352" s="110"/>
    </row>
    <row r="1353" spans="1:34" s="53" customFormat="1" ht="11.25" customHeight="1" x14ac:dyDescent="0.15">
      <c r="A1353" s="53" t="s">
        <v>231</v>
      </c>
      <c r="C1353" s="54" t="s">
        <v>360</v>
      </c>
      <c r="D1353" s="54">
        <v>2023</v>
      </c>
      <c r="E1353" s="70">
        <v>45291</v>
      </c>
      <c r="F1353" s="54"/>
      <c r="I1353" s="111"/>
      <c r="J1353" s="111"/>
      <c r="L1353" s="97">
        <f>SUM(L1349:L1352)</f>
        <v>240135</v>
      </c>
      <c r="M1353" s="97">
        <f>SUM(M1349:M1352)</f>
        <v>72663.240000000005</v>
      </c>
      <c r="N1353" s="97">
        <f>SUM(N1349:N1352)</f>
        <v>167471.76</v>
      </c>
      <c r="O1353" s="57">
        <f t="shared" si="914"/>
        <v>0.69740670872634147</v>
      </c>
      <c r="P1353" s="97">
        <f>SUM(P1349:P1352)</f>
        <v>240135</v>
      </c>
      <c r="Q1353" s="24"/>
      <c r="R1353" s="117">
        <f>SUM(R1349:R1352)</f>
        <v>129.5</v>
      </c>
      <c r="S1353" s="117">
        <f t="shared" ref="S1353:W1353" si="924">SUM(S1349:S1352)</f>
        <v>5052.62</v>
      </c>
      <c r="T1353" s="117">
        <f t="shared" si="924"/>
        <v>0</v>
      </c>
      <c r="U1353" s="117">
        <f t="shared" si="924"/>
        <v>62215.649999999994</v>
      </c>
      <c r="V1353" s="117">
        <f t="shared" si="924"/>
        <v>0</v>
      </c>
      <c r="W1353" s="26">
        <f t="shared" si="924"/>
        <v>67268.27</v>
      </c>
      <c r="X1353" s="56">
        <f>IFERROR(S1353/R1353,"")</f>
        <v>39.016370656370654</v>
      </c>
      <c r="Y1353" s="57">
        <f>IFERROR(U1353/P1353,0)</f>
        <v>0.25908613904678618</v>
      </c>
      <c r="Z1353" s="28">
        <f>P1353-W1353</f>
        <v>172866.72999999998</v>
      </c>
      <c r="AA1353" s="57">
        <f>Z1353/P1353</f>
        <v>0.71987311304058121</v>
      </c>
      <c r="AB1353" s="58">
        <f t="shared" si="920"/>
        <v>5394.9700000000012</v>
      </c>
      <c r="AC1353" s="57">
        <f>IFERROR(AA1353-O1353,"")</f>
        <v>2.2466404314239741E-2</v>
      </c>
      <c r="AG1353" s="61"/>
    </row>
    <row r="1354" spans="1:34" ht="11.25" customHeight="1" x14ac:dyDescent="0.15">
      <c r="A1354" s="110" t="s">
        <v>231</v>
      </c>
      <c r="B1354" s="110"/>
      <c r="C1354" s="111" t="s">
        <v>47</v>
      </c>
      <c r="D1354" s="111">
        <v>2023</v>
      </c>
      <c r="E1354" s="146">
        <v>45291</v>
      </c>
      <c r="F1354" s="111"/>
      <c r="G1354" s="111">
        <v>53000001</v>
      </c>
      <c r="H1354" s="111"/>
      <c r="I1354" s="111"/>
      <c r="J1354" s="111"/>
      <c r="K1354" s="112" t="s">
        <v>694</v>
      </c>
      <c r="L1354" s="120">
        <v>14915</v>
      </c>
      <c r="M1354" s="120">
        <v>4169.12</v>
      </c>
      <c r="N1354" s="120">
        <f t="shared" ref="N1354:N1357" si="925">L1354-M1354</f>
        <v>10745.880000000001</v>
      </c>
      <c r="O1354" s="119">
        <f t="shared" si="914"/>
        <v>0.72047468990948715</v>
      </c>
      <c r="P1354" s="120">
        <v>14915</v>
      </c>
      <c r="Q1354" s="111" t="s">
        <v>695</v>
      </c>
      <c r="R1354" s="117">
        <f>48+40</f>
        <v>88</v>
      </c>
      <c r="S1354" s="117">
        <f>2203.68+1836.4</f>
        <v>4040.08</v>
      </c>
      <c r="T1354" s="117">
        <f>2254.02+2401.19</f>
        <v>4655.21</v>
      </c>
      <c r="U1354" s="117">
        <v>118.18</v>
      </c>
      <c r="V1354" s="117"/>
      <c r="W1354" s="26">
        <f t="shared" si="915"/>
        <v>8813.4700000000012</v>
      </c>
      <c r="X1354" s="118">
        <f t="shared" ref="X1354:X1357" si="926">IFERROR(S1354/R1354,"")</f>
        <v>45.91</v>
      </c>
      <c r="Y1354" s="119">
        <f t="shared" ref="Y1354:Y1356" si="927">U1354/P1354</f>
        <v>7.9235668789808915E-3</v>
      </c>
      <c r="Z1354" s="117">
        <f t="shared" ref="Z1354:Z1357" si="928">P1354-W1354</f>
        <v>6101.5299999999988</v>
      </c>
      <c r="AA1354" s="119">
        <f t="shared" ref="AA1354:AA1356" si="929">Z1354/P1354</f>
        <v>0.40908682534361374</v>
      </c>
      <c r="AB1354" s="120">
        <f t="shared" si="920"/>
        <v>-4644.3500000000013</v>
      </c>
      <c r="AC1354" s="119">
        <f t="shared" ref="AC1354:AC1357" si="930">IFERROR(AA1354-O1354,"")</f>
        <v>-0.31138786456587342</v>
      </c>
      <c r="AD1354" s="110" t="s">
        <v>696</v>
      </c>
      <c r="AE1354" s="110"/>
      <c r="AF1354" s="110"/>
      <c r="AG1354" s="121"/>
      <c r="AH1354" s="110"/>
    </row>
    <row r="1355" spans="1:34" ht="11.25" customHeight="1" x14ac:dyDescent="0.15">
      <c r="A1355" s="110" t="s">
        <v>231</v>
      </c>
      <c r="B1355" s="110"/>
      <c r="C1355" s="111" t="s">
        <v>55</v>
      </c>
      <c r="D1355" s="111">
        <v>2023</v>
      </c>
      <c r="E1355" s="146">
        <v>45291</v>
      </c>
      <c r="F1355" s="111"/>
      <c r="G1355" s="111" t="s">
        <v>56</v>
      </c>
      <c r="H1355" s="111"/>
      <c r="I1355" s="111"/>
      <c r="J1355" s="111"/>
      <c r="K1355" s="112" t="s">
        <v>71</v>
      </c>
      <c r="L1355" s="120">
        <v>8546</v>
      </c>
      <c r="M1355" s="120">
        <v>4273</v>
      </c>
      <c r="N1355" s="120">
        <f t="shared" si="925"/>
        <v>4273</v>
      </c>
      <c r="O1355" s="119">
        <f t="shared" si="914"/>
        <v>0.5</v>
      </c>
      <c r="P1355" s="120">
        <v>8546</v>
      </c>
      <c r="Q1355" s="111">
        <v>1422</v>
      </c>
      <c r="R1355" s="117">
        <v>14</v>
      </c>
      <c r="S1355" s="117">
        <v>596</v>
      </c>
      <c r="T1355" s="117"/>
      <c r="U1355" s="117"/>
      <c r="V1355" s="117">
        <v>3851.1</v>
      </c>
      <c r="W1355" s="26">
        <f t="shared" si="915"/>
        <v>4447.1000000000004</v>
      </c>
      <c r="X1355" s="118">
        <f t="shared" si="926"/>
        <v>42.571428571428569</v>
      </c>
      <c r="Y1355" s="119">
        <f t="shared" si="927"/>
        <v>0</v>
      </c>
      <c r="Z1355" s="117">
        <f t="shared" si="928"/>
        <v>4098.8999999999996</v>
      </c>
      <c r="AA1355" s="119">
        <f t="shared" si="929"/>
        <v>0.47962789609173878</v>
      </c>
      <c r="AB1355" s="120">
        <f t="shared" si="920"/>
        <v>-174.10000000000036</v>
      </c>
      <c r="AC1355" s="119">
        <f t="shared" si="930"/>
        <v>-2.0372103908261219E-2</v>
      </c>
      <c r="AD1355" s="110"/>
      <c r="AE1355" s="110"/>
      <c r="AF1355" s="110"/>
      <c r="AG1355" s="121"/>
      <c r="AH1355" s="110"/>
    </row>
    <row r="1356" spans="1:34" ht="11.25" customHeight="1" x14ac:dyDescent="0.15">
      <c r="A1356" s="110" t="s">
        <v>231</v>
      </c>
      <c r="B1356" s="110"/>
      <c r="C1356" s="111" t="s">
        <v>58</v>
      </c>
      <c r="D1356" s="111">
        <v>2023</v>
      </c>
      <c r="E1356" s="146">
        <v>45291</v>
      </c>
      <c r="F1356" s="111"/>
      <c r="G1356" s="111">
        <v>73122012</v>
      </c>
      <c r="H1356" s="111"/>
      <c r="I1356" s="111"/>
      <c r="J1356" s="111"/>
      <c r="K1356" s="112" t="s">
        <v>697</v>
      </c>
      <c r="L1356" s="120">
        <v>35712</v>
      </c>
      <c r="M1356" s="120">
        <v>3571.2</v>
      </c>
      <c r="N1356" s="120">
        <f t="shared" si="925"/>
        <v>32140.799999999999</v>
      </c>
      <c r="O1356" s="119">
        <f t="shared" si="914"/>
        <v>0.9</v>
      </c>
      <c r="P1356" s="120">
        <v>35712</v>
      </c>
      <c r="Q1356" s="111">
        <v>2707</v>
      </c>
      <c r="R1356" s="117"/>
      <c r="S1356" s="117"/>
      <c r="T1356" s="117"/>
      <c r="U1356" s="117">
        <v>4123.08</v>
      </c>
      <c r="V1356" s="117"/>
      <c r="W1356" s="26">
        <f t="shared" si="915"/>
        <v>4123.08</v>
      </c>
      <c r="X1356" s="118" t="str">
        <f t="shared" si="926"/>
        <v/>
      </c>
      <c r="Y1356" s="119">
        <f t="shared" si="927"/>
        <v>0.11545362903225806</v>
      </c>
      <c r="Z1356" s="117">
        <f t="shared" si="928"/>
        <v>31588.92</v>
      </c>
      <c r="AA1356" s="119">
        <f t="shared" si="929"/>
        <v>0.88454637096774191</v>
      </c>
      <c r="AB1356" s="120">
        <f t="shared" si="920"/>
        <v>-551.88000000000011</v>
      </c>
      <c r="AC1356" s="119">
        <f t="shared" si="930"/>
        <v>-1.5453629032258109E-2</v>
      </c>
      <c r="AD1356" s="110"/>
      <c r="AE1356" s="110"/>
      <c r="AF1356" s="110"/>
      <c r="AG1356" s="121"/>
      <c r="AH1356" s="110"/>
    </row>
    <row r="1357" spans="1:34" ht="11.25" customHeight="1" x14ac:dyDescent="0.15">
      <c r="A1357" s="108" t="s">
        <v>231</v>
      </c>
      <c r="B1357" s="108"/>
      <c r="C1357" s="213" t="s">
        <v>49</v>
      </c>
      <c r="D1357" s="213">
        <v>2023</v>
      </c>
      <c r="E1357" s="280">
        <v>45291</v>
      </c>
      <c r="F1357" s="213"/>
      <c r="G1357" s="213">
        <v>63622012</v>
      </c>
      <c r="H1357" s="213"/>
      <c r="I1357" s="213"/>
      <c r="J1357" s="213"/>
      <c r="K1357" s="311" t="s">
        <v>698</v>
      </c>
      <c r="L1357" s="120">
        <v>0</v>
      </c>
      <c r="M1357" s="120">
        <v>3582.44</v>
      </c>
      <c r="N1357" s="120">
        <f t="shared" si="925"/>
        <v>-3582.44</v>
      </c>
      <c r="O1357" s="119" t="str">
        <f t="shared" si="914"/>
        <v/>
      </c>
      <c r="P1357" s="120">
        <v>0</v>
      </c>
      <c r="Q1357" s="111">
        <v>1433</v>
      </c>
      <c r="R1357" s="117">
        <v>48</v>
      </c>
      <c r="S1357" s="117">
        <v>2714.4</v>
      </c>
      <c r="T1357" s="117">
        <v>2682.82</v>
      </c>
      <c r="U1357" s="117"/>
      <c r="V1357" s="117"/>
      <c r="W1357" s="26">
        <f t="shared" si="915"/>
        <v>5397.22</v>
      </c>
      <c r="X1357" s="118">
        <f t="shared" si="926"/>
        <v>56.550000000000004</v>
      </c>
      <c r="Y1357" s="119">
        <f>IFERROR(U1357/P1357,0)</f>
        <v>0</v>
      </c>
      <c r="Z1357" s="117">
        <f t="shared" si="928"/>
        <v>-5397.22</v>
      </c>
      <c r="AA1357" s="119">
        <f>IFERROR(Z1357/P1357,0)</f>
        <v>0</v>
      </c>
      <c r="AB1357" s="120">
        <f t="shared" si="920"/>
        <v>-1814.7800000000002</v>
      </c>
      <c r="AC1357" s="119" t="str">
        <f t="shared" si="930"/>
        <v/>
      </c>
      <c r="AD1357" s="110" t="s">
        <v>696</v>
      </c>
      <c r="AE1357" s="110"/>
      <c r="AF1357" s="110"/>
      <c r="AG1357" s="121"/>
      <c r="AH1357" s="110"/>
    </row>
    <row r="1358" spans="1:34" s="216" customFormat="1" ht="11.25" customHeight="1" x14ac:dyDescent="0.15">
      <c r="A1358" s="53" t="s">
        <v>231</v>
      </c>
      <c r="B1358" s="53"/>
      <c r="C1358" s="54" t="s">
        <v>177</v>
      </c>
      <c r="D1358" s="54">
        <v>2023</v>
      </c>
      <c r="E1358" s="70">
        <v>45291</v>
      </c>
      <c r="F1358" s="54"/>
      <c r="G1358" s="54"/>
      <c r="H1358" s="54"/>
      <c r="I1358" s="54"/>
      <c r="J1358" s="54"/>
      <c r="K1358" s="106"/>
      <c r="L1358" s="24">
        <f>SUM(L1353:L1357)</f>
        <v>299308</v>
      </c>
      <c r="M1358" s="24">
        <f>SUM(M1353:M1357)</f>
        <v>88259</v>
      </c>
      <c r="N1358" s="24">
        <f>SUM(N1353:N1357)</f>
        <v>211049</v>
      </c>
      <c r="O1358" s="57">
        <f t="shared" si="914"/>
        <v>0.7051231507343606</v>
      </c>
      <c r="P1358" s="24">
        <f>SUM(P1353:P1357)</f>
        <v>299308</v>
      </c>
      <c r="Q1358" s="24"/>
      <c r="R1358" s="117">
        <f>SUM(R1353:R1357)</f>
        <v>279.5</v>
      </c>
      <c r="S1358" s="117">
        <f t="shared" ref="S1358:W1358" si="931">SUM(S1353:S1357)</f>
        <v>12403.1</v>
      </c>
      <c r="T1358" s="117">
        <f t="shared" si="931"/>
        <v>7338.0300000000007</v>
      </c>
      <c r="U1358" s="117">
        <f t="shared" si="931"/>
        <v>66456.909999999989</v>
      </c>
      <c r="V1358" s="117">
        <f t="shared" si="931"/>
        <v>3851.1</v>
      </c>
      <c r="W1358" s="26">
        <f t="shared" si="931"/>
        <v>90049.140000000014</v>
      </c>
      <c r="X1358" s="56">
        <f>IFERROR(S1358/R1358,"")</f>
        <v>44.376028622540254</v>
      </c>
      <c r="Y1358" s="57">
        <f>IFERROR(U1358/P1358,0)</f>
        <v>0.2220351945153487</v>
      </c>
      <c r="Z1358" s="28">
        <f>P1358-W1358</f>
        <v>209258.86</v>
      </c>
      <c r="AA1358" s="57">
        <f>Z1358/P1358</f>
        <v>0.69914222139067439</v>
      </c>
      <c r="AB1358" s="58">
        <f t="shared" si="920"/>
        <v>-1790.140000000014</v>
      </c>
      <c r="AC1358" s="57">
        <f>IFERROR(AA1358-O1358,"")</f>
        <v>-5.9809293436862143E-3</v>
      </c>
      <c r="AD1358" s="53"/>
      <c r="AE1358" s="53"/>
      <c r="AF1358" s="53"/>
      <c r="AG1358" s="61"/>
      <c r="AH1358" s="53"/>
    </row>
    <row r="1359" spans="1:34" ht="11.25" customHeight="1" x14ac:dyDescent="0.15">
      <c r="A1359" s="130"/>
      <c r="B1359" s="130"/>
      <c r="C1359" s="124"/>
      <c r="D1359" s="124"/>
      <c r="E1359" s="273"/>
      <c r="F1359" s="124"/>
      <c r="G1359" s="124"/>
      <c r="H1359" s="124"/>
      <c r="I1359" s="124"/>
      <c r="J1359" s="124"/>
      <c r="K1359" s="125"/>
      <c r="L1359" s="129"/>
      <c r="M1359" s="129"/>
      <c r="N1359" s="129"/>
      <c r="O1359" s="128"/>
      <c r="P1359" s="129"/>
      <c r="Q1359" s="124"/>
      <c r="R1359" s="117"/>
      <c r="S1359" s="117"/>
      <c r="T1359" s="117"/>
      <c r="U1359" s="117"/>
      <c r="V1359" s="117"/>
      <c r="X1359" s="45"/>
      <c r="Y1359" s="128"/>
      <c r="Z1359" s="126"/>
      <c r="AA1359" s="128"/>
      <c r="AB1359" s="129"/>
      <c r="AC1359" s="160"/>
      <c r="AD1359" s="137"/>
      <c r="AE1359" s="110"/>
      <c r="AF1359" s="110"/>
      <c r="AG1359" s="121"/>
      <c r="AH1359" s="110"/>
    </row>
    <row r="1360" spans="1:34" ht="11.25" customHeight="1" x14ac:dyDescent="0.15">
      <c r="A1360" s="110" t="s">
        <v>699</v>
      </c>
      <c r="B1360" s="110"/>
      <c r="C1360" s="111" t="s">
        <v>37</v>
      </c>
      <c r="D1360" s="111">
        <v>2023</v>
      </c>
      <c r="E1360" s="146">
        <v>45291</v>
      </c>
      <c r="F1360" s="111"/>
      <c r="G1360" s="111">
        <v>11012112</v>
      </c>
      <c r="H1360" s="111"/>
      <c r="I1360" s="111"/>
      <c r="J1360" s="111"/>
      <c r="K1360" s="112" t="s">
        <v>700</v>
      </c>
      <c r="L1360" s="168">
        <v>115940.94</v>
      </c>
      <c r="M1360" s="120">
        <v>33329.69</v>
      </c>
      <c r="N1360" s="120">
        <f t="shared" ref="N1360:N1362" si="932">L1360-M1360</f>
        <v>82611.25</v>
      </c>
      <c r="O1360" s="119">
        <f t="shared" ref="O1360:O1362" si="933">IFERROR(N1360/L1360,"")</f>
        <v>0.71252872367603715</v>
      </c>
      <c r="P1360" s="120">
        <v>115940.94</v>
      </c>
      <c r="Q1360" s="111">
        <v>2177</v>
      </c>
      <c r="R1360" s="117">
        <v>35.5</v>
      </c>
      <c r="S1360" s="117">
        <v>1388.92</v>
      </c>
      <c r="T1360" s="117"/>
      <c r="U1360" s="117">
        <v>33590.68</v>
      </c>
      <c r="V1360" s="117"/>
      <c r="W1360" s="26">
        <f t="shared" ref="W1360:W1374" si="934">SUM(S1360:V1360)</f>
        <v>34979.599999999999</v>
      </c>
      <c r="X1360" s="118">
        <f t="shared" ref="X1360:X1365" si="935">IFERROR(S1360/R1360,"")</f>
        <v>39.124507042253526</v>
      </c>
      <c r="Y1360" s="119">
        <f t="shared" ref="Y1360:Y1365" si="936">U1360/P1360</f>
        <v>0.28972233621704291</v>
      </c>
      <c r="Z1360" s="117">
        <f t="shared" ref="Z1360:Z1365" si="937">P1360-W1360</f>
        <v>80961.34</v>
      </c>
      <c r="AA1360" s="119">
        <f t="shared" ref="AA1360:AA1365" si="938">Z1360/P1360</f>
        <v>0.698298116265057</v>
      </c>
      <c r="AB1360" s="120">
        <f>M1360-W1360</f>
        <v>-1649.9099999999962</v>
      </c>
      <c r="AC1360" s="119">
        <f t="shared" ref="AC1360:AC1365" si="939">IFERROR(AA1360-O1360,"")</f>
        <v>-1.4230607410980145E-2</v>
      </c>
      <c r="AD1360" s="110" t="s">
        <v>701</v>
      </c>
      <c r="AE1360" s="110"/>
      <c r="AF1360" s="110"/>
      <c r="AG1360" s="121"/>
      <c r="AH1360" s="110"/>
    </row>
    <row r="1361" spans="1:16382" ht="11.25" customHeight="1" x14ac:dyDescent="0.15">
      <c r="A1361" s="110" t="s">
        <v>699</v>
      </c>
      <c r="B1361" s="110"/>
      <c r="C1361" s="111" t="s">
        <v>37</v>
      </c>
      <c r="D1361" s="111">
        <v>2023</v>
      </c>
      <c r="E1361" s="146">
        <v>45291</v>
      </c>
      <c r="F1361" s="111"/>
      <c r="G1361" s="111">
        <v>21001011</v>
      </c>
      <c r="H1361" s="111"/>
      <c r="I1361" s="111"/>
      <c r="J1361" s="111"/>
      <c r="K1361" s="112" t="s">
        <v>685</v>
      </c>
      <c r="L1361" s="168">
        <v>10794.55</v>
      </c>
      <c r="M1361" s="120">
        <v>3765.04</v>
      </c>
      <c r="N1361" s="120">
        <f t="shared" si="932"/>
        <v>7029.5099999999993</v>
      </c>
      <c r="O1361" s="119">
        <f t="shared" si="933"/>
        <v>0.65120917500034736</v>
      </c>
      <c r="P1361" s="120">
        <v>10794.55</v>
      </c>
      <c r="Q1361" s="111">
        <v>2734</v>
      </c>
      <c r="R1361" s="117"/>
      <c r="S1361" s="117"/>
      <c r="T1361" s="117"/>
      <c r="U1361" s="117">
        <v>4468.5600000000004</v>
      </c>
      <c r="V1361" s="117"/>
      <c r="W1361" s="26">
        <f t="shared" si="934"/>
        <v>4468.5600000000004</v>
      </c>
      <c r="X1361" s="118" t="str">
        <f t="shared" si="935"/>
        <v/>
      </c>
      <c r="Y1361" s="119">
        <f t="shared" si="936"/>
        <v>0.41396445428480116</v>
      </c>
      <c r="Z1361" s="117">
        <f t="shared" si="937"/>
        <v>6325.9899999999989</v>
      </c>
      <c r="AA1361" s="119">
        <f t="shared" si="938"/>
        <v>0.58603554571519878</v>
      </c>
      <c r="AB1361" s="120">
        <f t="shared" ref="AB1361:AB1365" si="940">M1361-W1361</f>
        <v>-703.52000000000044</v>
      </c>
      <c r="AC1361" s="119">
        <f t="shared" si="939"/>
        <v>-6.5173629285148582E-2</v>
      </c>
      <c r="AD1361" s="110" t="s">
        <v>701</v>
      </c>
      <c r="AE1361" s="110"/>
      <c r="AF1361" s="110"/>
      <c r="AG1361" s="121"/>
      <c r="AH1361" s="110"/>
    </row>
    <row r="1362" spans="1:16382" ht="11.25" customHeight="1" x14ac:dyDescent="0.15">
      <c r="A1362" s="110" t="s">
        <v>699</v>
      </c>
      <c r="B1362" s="110"/>
      <c r="C1362" s="111" t="s">
        <v>37</v>
      </c>
      <c r="D1362" s="111">
        <v>2023</v>
      </c>
      <c r="E1362" s="146">
        <v>45291</v>
      </c>
      <c r="F1362" s="111"/>
      <c r="G1362" s="111">
        <v>21010011</v>
      </c>
      <c r="H1362" s="111"/>
      <c r="I1362" s="111"/>
      <c r="J1362" s="111"/>
      <c r="K1362" s="112" t="s">
        <v>439</v>
      </c>
      <c r="L1362" s="168">
        <v>16450.990000000002</v>
      </c>
      <c r="M1362" s="120">
        <v>6283.7</v>
      </c>
      <c r="N1362" s="120">
        <f t="shared" si="932"/>
        <v>10167.290000000001</v>
      </c>
      <c r="O1362" s="119">
        <f t="shared" si="933"/>
        <v>0.61803514560521888</v>
      </c>
      <c r="P1362" s="120">
        <v>16450.990000000002</v>
      </c>
      <c r="Q1362" s="111">
        <v>2733</v>
      </c>
      <c r="R1362" s="117"/>
      <c r="S1362" s="117"/>
      <c r="T1362" s="117"/>
      <c r="U1362" s="117">
        <v>6906.63</v>
      </c>
      <c r="V1362" s="117"/>
      <c r="W1362" s="26">
        <f t="shared" si="934"/>
        <v>6906.63</v>
      </c>
      <c r="X1362" s="118" t="str">
        <f t="shared" si="935"/>
        <v/>
      </c>
      <c r="Y1362" s="119">
        <f t="shared" si="936"/>
        <v>0.41983066064717073</v>
      </c>
      <c r="Z1362" s="117">
        <f t="shared" si="937"/>
        <v>9544.36</v>
      </c>
      <c r="AA1362" s="119">
        <f t="shared" si="938"/>
        <v>0.58016933935282922</v>
      </c>
      <c r="AB1362" s="120">
        <f t="shared" si="940"/>
        <v>-622.93000000000029</v>
      </c>
      <c r="AC1362" s="119">
        <f t="shared" si="939"/>
        <v>-3.7865806252389667E-2</v>
      </c>
      <c r="AD1362" s="110" t="s">
        <v>701</v>
      </c>
      <c r="AE1362" s="110"/>
      <c r="AF1362" s="110"/>
      <c r="AG1362" s="121"/>
      <c r="AH1362" s="110"/>
    </row>
    <row r="1363" spans="1:16382" ht="11.25" customHeight="1" x14ac:dyDescent="0.15">
      <c r="A1363" s="110" t="s">
        <v>699</v>
      </c>
      <c r="B1363" s="110"/>
      <c r="C1363" s="111" t="s">
        <v>37</v>
      </c>
      <c r="D1363" s="111">
        <v>2023</v>
      </c>
      <c r="E1363" s="146">
        <v>45291</v>
      </c>
      <c r="F1363" s="111"/>
      <c r="G1363" s="111">
        <v>21050011</v>
      </c>
      <c r="H1363" s="111"/>
      <c r="I1363" s="111"/>
      <c r="J1363" s="111"/>
      <c r="K1363" s="112" t="s">
        <v>582</v>
      </c>
      <c r="L1363" s="168">
        <v>0</v>
      </c>
      <c r="M1363" s="120">
        <v>8075.74</v>
      </c>
      <c r="N1363" s="120">
        <v>0</v>
      </c>
      <c r="O1363" s="119">
        <v>0</v>
      </c>
      <c r="P1363" s="120">
        <v>0</v>
      </c>
      <c r="Q1363" s="111">
        <v>2747</v>
      </c>
      <c r="R1363" s="117"/>
      <c r="S1363" s="117"/>
      <c r="T1363" s="117"/>
      <c r="U1363" s="117">
        <v>8300.16</v>
      </c>
      <c r="V1363" s="117"/>
      <c r="W1363" s="26">
        <f t="shared" si="934"/>
        <v>8300.16</v>
      </c>
      <c r="X1363" s="118" t="str">
        <f t="shared" si="935"/>
        <v/>
      </c>
      <c r="Y1363" s="119">
        <f>IFERROR(U1363/P1363,0)</f>
        <v>0</v>
      </c>
      <c r="Z1363" s="117">
        <f t="shared" si="937"/>
        <v>-8300.16</v>
      </c>
      <c r="AA1363" s="119">
        <f>IFERROR(Z1363/P1363,0)</f>
        <v>0</v>
      </c>
      <c r="AB1363" s="120">
        <f t="shared" si="940"/>
        <v>-224.42000000000007</v>
      </c>
      <c r="AC1363" s="119">
        <f t="shared" si="939"/>
        <v>0</v>
      </c>
      <c r="AD1363" s="110" t="s">
        <v>701</v>
      </c>
      <c r="AE1363" s="110"/>
      <c r="AF1363" s="110"/>
      <c r="AG1363" s="121"/>
      <c r="AH1363" s="110"/>
    </row>
    <row r="1364" spans="1:16382" ht="11.25" customHeight="1" x14ac:dyDescent="0.15">
      <c r="A1364" s="110" t="s">
        <v>699</v>
      </c>
      <c r="B1364" s="110"/>
      <c r="C1364" s="111" t="s">
        <v>37</v>
      </c>
      <c r="D1364" s="111">
        <v>2023</v>
      </c>
      <c r="E1364" s="146">
        <v>45291</v>
      </c>
      <c r="F1364" s="111"/>
      <c r="G1364" s="111" t="s">
        <v>702</v>
      </c>
      <c r="H1364" s="111"/>
      <c r="I1364" s="111"/>
      <c r="J1364" s="111"/>
      <c r="K1364" s="112" t="s">
        <v>703</v>
      </c>
      <c r="L1364" s="168">
        <v>244422.34</v>
      </c>
      <c r="M1364" s="120">
        <v>60341.87</v>
      </c>
      <c r="N1364" s="120">
        <f t="shared" ref="N1364:N1367" si="941">L1364-M1364</f>
        <v>184080.47</v>
      </c>
      <c r="O1364" s="119">
        <f t="shared" ref="O1364:O1374" si="942">IFERROR(N1364/L1364,"")</f>
        <v>0.75312457118281417</v>
      </c>
      <c r="P1364" s="120">
        <v>244422.34</v>
      </c>
      <c r="Q1364" s="111">
        <v>2178</v>
      </c>
      <c r="R1364" s="117">
        <v>62</v>
      </c>
      <c r="S1364" s="117">
        <v>2442.98</v>
      </c>
      <c r="T1364" s="117"/>
      <c r="U1364" s="117">
        <v>47537.65</v>
      </c>
      <c r="V1364" s="117"/>
      <c r="W1364" s="26">
        <f t="shared" si="934"/>
        <v>49980.630000000005</v>
      </c>
      <c r="X1364" s="118">
        <f t="shared" si="935"/>
        <v>39.402903225806455</v>
      </c>
      <c r="Y1364" s="119">
        <f t="shared" si="936"/>
        <v>0.19448979172689371</v>
      </c>
      <c r="Z1364" s="117">
        <f t="shared" si="937"/>
        <v>194441.71</v>
      </c>
      <c r="AA1364" s="119">
        <f t="shared" si="938"/>
        <v>0.79551529536948218</v>
      </c>
      <c r="AB1364" s="120">
        <f t="shared" si="940"/>
        <v>10361.239999999998</v>
      </c>
      <c r="AC1364" s="119">
        <f t="shared" si="939"/>
        <v>4.2390724186668005E-2</v>
      </c>
      <c r="AD1364" s="110" t="s">
        <v>704</v>
      </c>
      <c r="AE1364" s="110"/>
      <c r="AF1364" s="110"/>
      <c r="AG1364" s="121"/>
      <c r="AH1364" s="110"/>
      <c r="AI1364" s="110"/>
      <c r="AJ1364" s="110"/>
      <c r="AK1364" s="110"/>
      <c r="AL1364" s="110"/>
      <c r="AM1364" s="110"/>
      <c r="AN1364" s="110"/>
      <c r="AO1364" s="110"/>
      <c r="AP1364" s="110"/>
      <c r="AQ1364" s="110"/>
      <c r="AR1364" s="110"/>
      <c r="AS1364" s="110"/>
      <c r="AT1364" s="110"/>
      <c r="AU1364" s="110"/>
      <c r="AV1364" s="110"/>
      <c r="AW1364" s="110"/>
      <c r="AX1364" s="110"/>
      <c r="AY1364" s="110"/>
      <c r="AZ1364" s="110"/>
      <c r="BA1364" s="110"/>
      <c r="BB1364" s="110"/>
      <c r="BC1364" s="110"/>
      <c r="BD1364" s="110"/>
      <c r="BE1364" s="110"/>
      <c r="BF1364" s="110"/>
      <c r="BG1364" s="110"/>
      <c r="BH1364" s="110"/>
      <c r="BI1364" s="110"/>
      <c r="BJ1364" s="110"/>
      <c r="BK1364" s="110"/>
      <c r="BL1364" s="110"/>
      <c r="BM1364" s="110"/>
      <c r="BN1364" s="110"/>
      <c r="BO1364" s="110"/>
      <c r="BP1364" s="110"/>
      <c r="BQ1364" s="110"/>
      <c r="BR1364" s="110"/>
      <c r="BS1364" s="110"/>
      <c r="BT1364" s="110"/>
      <c r="BU1364" s="110"/>
      <c r="BV1364" s="110"/>
      <c r="BW1364" s="110"/>
      <c r="BX1364" s="110"/>
      <c r="BY1364" s="110"/>
      <c r="BZ1364" s="110"/>
      <c r="CA1364" s="110"/>
      <c r="CB1364" s="110"/>
      <c r="CC1364" s="110"/>
      <c r="CD1364" s="110"/>
      <c r="CE1364" s="110"/>
      <c r="CF1364" s="110"/>
      <c r="CG1364" s="110"/>
      <c r="CH1364" s="110"/>
      <c r="CI1364" s="110"/>
      <c r="CJ1364" s="110"/>
      <c r="CK1364" s="110"/>
      <c r="CL1364" s="110"/>
      <c r="CM1364" s="110"/>
      <c r="CN1364" s="110"/>
      <c r="CO1364" s="110"/>
      <c r="CP1364" s="110"/>
      <c r="CQ1364" s="110"/>
      <c r="CR1364" s="110"/>
      <c r="CS1364" s="110"/>
      <c r="CT1364" s="110"/>
      <c r="CU1364" s="110"/>
      <c r="CV1364" s="110"/>
      <c r="CW1364" s="110"/>
      <c r="CX1364" s="110"/>
      <c r="CY1364" s="110"/>
      <c r="CZ1364" s="110"/>
      <c r="DA1364" s="110"/>
      <c r="DB1364" s="110"/>
      <c r="DC1364" s="110"/>
      <c r="DD1364" s="110"/>
      <c r="DE1364" s="110"/>
      <c r="DF1364" s="110"/>
      <c r="DG1364" s="110"/>
      <c r="DH1364" s="110"/>
      <c r="DI1364" s="110"/>
      <c r="DJ1364" s="110"/>
      <c r="DK1364" s="110"/>
      <c r="DL1364" s="110"/>
      <c r="DM1364" s="110"/>
      <c r="DN1364" s="110"/>
      <c r="DO1364" s="110"/>
      <c r="DP1364" s="110"/>
      <c r="DQ1364" s="110"/>
      <c r="DR1364" s="110"/>
      <c r="DS1364" s="110"/>
      <c r="DT1364" s="110"/>
      <c r="DU1364" s="110"/>
      <c r="DV1364" s="110"/>
      <c r="DW1364" s="110"/>
      <c r="DX1364" s="110"/>
      <c r="DY1364" s="110"/>
      <c r="DZ1364" s="110"/>
      <c r="EA1364" s="110"/>
      <c r="EB1364" s="110"/>
      <c r="EC1364" s="110"/>
      <c r="ED1364" s="110"/>
      <c r="EE1364" s="110"/>
      <c r="EF1364" s="110"/>
      <c r="EG1364" s="110"/>
      <c r="EH1364" s="110"/>
      <c r="EI1364" s="110"/>
      <c r="EJ1364" s="110"/>
      <c r="EK1364" s="110"/>
      <c r="EL1364" s="110"/>
      <c r="EM1364" s="110"/>
      <c r="EN1364" s="110"/>
      <c r="EO1364" s="110"/>
      <c r="EP1364" s="110"/>
      <c r="EQ1364" s="110"/>
      <c r="ER1364" s="110"/>
      <c r="ES1364" s="110"/>
      <c r="ET1364" s="110"/>
      <c r="EU1364" s="110"/>
      <c r="EV1364" s="110"/>
      <c r="EW1364" s="110"/>
      <c r="EX1364" s="110"/>
      <c r="EY1364" s="110"/>
      <c r="EZ1364" s="110"/>
      <c r="FA1364" s="110"/>
      <c r="FB1364" s="110"/>
      <c r="FC1364" s="110"/>
      <c r="FD1364" s="110"/>
      <c r="FE1364" s="110"/>
      <c r="FF1364" s="110"/>
      <c r="FG1364" s="110"/>
      <c r="FH1364" s="110"/>
      <c r="FI1364" s="110"/>
      <c r="FJ1364" s="110"/>
      <c r="FK1364" s="110"/>
      <c r="FL1364" s="110"/>
      <c r="FM1364" s="110"/>
      <c r="FN1364" s="110"/>
      <c r="FO1364" s="110"/>
      <c r="FP1364" s="110"/>
      <c r="FQ1364" s="110"/>
      <c r="FR1364" s="110"/>
      <c r="FS1364" s="110"/>
      <c r="FT1364" s="110"/>
      <c r="FU1364" s="110"/>
      <c r="FV1364" s="110"/>
      <c r="FW1364" s="110"/>
      <c r="FX1364" s="110"/>
      <c r="FY1364" s="110"/>
      <c r="FZ1364" s="110"/>
      <c r="GA1364" s="110"/>
      <c r="GB1364" s="110"/>
      <c r="GC1364" s="110"/>
      <c r="GD1364" s="110"/>
      <c r="GE1364" s="110"/>
      <c r="GF1364" s="110"/>
      <c r="GG1364" s="110"/>
      <c r="GH1364" s="110"/>
      <c r="GI1364" s="110"/>
      <c r="GJ1364" s="110"/>
      <c r="GK1364" s="110"/>
      <c r="GL1364" s="110"/>
      <c r="GM1364" s="110"/>
      <c r="GN1364" s="110"/>
      <c r="GO1364" s="110"/>
      <c r="GP1364" s="110"/>
      <c r="GQ1364" s="110"/>
      <c r="GR1364" s="110"/>
      <c r="GS1364" s="110"/>
      <c r="GT1364" s="110"/>
      <c r="GU1364" s="110"/>
      <c r="GV1364" s="110"/>
      <c r="GW1364" s="110"/>
      <c r="GX1364" s="110"/>
      <c r="GY1364" s="110"/>
      <c r="GZ1364" s="110"/>
      <c r="HA1364" s="110"/>
      <c r="HB1364" s="110"/>
      <c r="HC1364" s="110"/>
      <c r="HD1364" s="110"/>
      <c r="HE1364" s="110"/>
      <c r="HF1364" s="110"/>
      <c r="HG1364" s="110"/>
      <c r="HH1364" s="110"/>
      <c r="HI1364" s="110"/>
      <c r="HJ1364" s="110"/>
      <c r="HK1364" s="110"/>
      <c r="HL1364" s="110"/>
      <c r="HM1364" s="110"/>
      <c r="HN1364" s="110"/>
      <c r="HO1364" s="110"/>
      <c r="HP1364" s="110"/>
      <c r="HQ1364" s="110"/>
      <c r="HR1364" s="110"/>
      <c r="HS1364" s="110"/>
      <c r="HT1364" s="110"/>
      <c r="HU1364" s="110"/>
      <c r="HV1364" s="110"/>
      <c r="HW1364" s="110"/>
      <c r="HX1364" s="110"/>
      <c r="HY1364" s="110"/>
      <c r="HZ1364" s="110"/>
      <c r="IA1364" s="110"/>
      <c r="IB1364" s="110"/>
      <c r="IC1364" s="110"/>
      <c r="ID1364" s="110"/>
      <c r="IE1364" s="110"/>
      <c r="IF1364" s="110"/>
      <c r="IG1364" s="110"/>
      <c r="IH1364" s="110"/>
      <c r="II1364" s="110"/>
      <c r="IJ1364" s="110"/>
      <c r="IK1364" s="110"/>
      <c r="IL1364" s="110"/>
      <c r="IM1364" s="110"/>
      <c r="IN1364" s="110"/>
      <c r="IO1364" s="110"/>
      <c r="IP1364" s="110"/>
      <c r="IQ1364" s="110"/>
      <c r="IR1364" s="110"/>
      <c r="IS1364" s="110"/>
      <c r="IT1364" s="110"/>
      <c r="IU1364" s="110"/>
      <c r="IV1364" s="110"/>
      <c r="IW1364" s="110"/>
      <c r="IX1364" s="110"/>
      <c r="IY1364" s="110"/>
      <c r="IZ1364" s="110"/>
      <c r="JA1364" s="110"/>
      <c r="JB1364" s="110"/>
      <c r="JC1364" s="110"/>
      <c r="JD1364" s="110"/>
      <c r="JE1364" s="110"/>
      <c r="JF1364" s="110"/>
      <c r="JG1364" s="110"/>
      <c r="JH1364" s="110"/>
      <c r="JI1364" s="110"/>
      <c r="JJ1364" s="110"/>
      <c r="JK1364" s="110"/>
      <c r="JL1364" s="110"/>
      <c r="JM1364" s="110"/>
      <c r="JN1364" s="110"/>
      <c r="JO1364" s="110"/>
      <c r="JP1364" s="110"/>
      <c r="JQ1364" s="110"/>
      <c r="JR1364" s="110"/>
      <c r="JS1364" s="110"/>
      <c r="JT1364" s="110"/>
      <c r="JU1364" s="110"/>
      <c r="JV1364" s="110"/>
      <c r="JW1364" s="110"/>
      <c r="JX1364" s="110"/>
      <c r="JY1364" s="110"/>
      <c r="JZ1364" s="110"/>
      <c r="KA1364" s="110"/>
      <c r="KB1364" s="110"/>
      <c r="KC1364" s="110"/>
      <c r="KD1364" s="110"/>
      <c r="KE1364" s="110"/>
      <c r="KF1364" s="110"/>
      <c r="KG1364" s="110"/>
      <c r="KH1364" s="110"/>
      <c r="KI1364" s="110"/>
      <c r="KJ1364" s="110"/>
      <c r="KK1364" s="110"/>
      <c r="KL1364" s="110"/>
      <c r="KM1364" s="110"/>
      <c r="KN1364" s="110"/>
      <c r="KO1364" s="110"/>
      <c r="KP1364" s="110"/>
      <c r="KQ1364" s="110"/>
      <c r="KR1364" s="110"/>
      <c r="KS1364" s="110"/>
      <c r="KT1364" s="110"/>
      <c r="KU1364" s="110"/>
      <c r="KV1364" s="110"/>
      <c r="KW1364" s="110"/>
      <c r="KX1364" s="110"/>
      <c r="KY1364" s="110"/>
      <c r="KZ1364" s="110"/>
      <c r="LA1364" s="110"/>
      <c r="LB1364" s="110"/>
      <c r="LC1364" s="110"/>
      <c r="LD1364" s="110"/>
      <c r="LE1364" s="110"/>
      <c r="LF1364" s="110"/>
      <c r="LG1364" s="110"/>
      <c r="LH1364" s="110"/>
      <c r="LI1364" s="110"/>
      <c r="LJ1364" s="110"/>
      <c r="LK1364" s="110"/>
      <c r="LL1364" s="110"/>
      <c r="LM1364" s="110"/>
      <c r="LN1364" s="110"/>
      <c r="LO1364" s="110"/>
      <c r="LP1364" s="110"/>
      <c r="LQ1364" s="110"/>
      <c r="LR1364" s="110"/>
      <c r="LS1364" s="110"/>
      <c r="LT1364" s="110"/>
      <c r="LU1364" s="110"/>
      <c r="LV1364" s="110"/>
      <c r="LW1364" s="110"/>
      <c r="LX1364" s="110"/>
      <c r="LY1364" s="110"/>
      <c r="LZ1364" s="110"/>
      <c r="MA1364" s="110"/>
      <c r="MB1364" s="110"/>
      <c r="MC1364" s="110"/>
      <c r="MD1364" s="110"/>
      <c r="ME1364" s="110"/>
      <c r="MF1364" s="110"/>
      <c r="MG1364" s="110"/>
      <c r="MH1364" s="110"/>
      <c r="MI1364" s="110"/>
      <c r="MJ1364" s="110"/>
      <c r="MK1364" s="110"/>
      <c r="ML1364" s="110"/>
      <c r="MM1364" s="110"/>
      <c r="MN1364" s="110"/>
      <c r="MO1364" s="110"/>
      <c r="MP1364" s="110"/>
      <c r="MQ1364" s="110"/>
      <c r="MR1364" s="110"/>
      <c r="MS1364" s="110"/>
      <c r="MT1364" s="110"/>
      <c r="MU1364" s="110"/>
      <c r="MV1364" s="110"/>
      <c r="MW1364" s="110"/>
      <c r="MX1364" s="110"/>
      <c r="MY1364" s="110"/>
      <c r="MZ1364" s="110"/>
      <c r="NA1364" s="110"/>
      <c r="NB1364" s="110"/>
      <c r="NC1364" s="110"/>
      <c r="ND1364" s="110"/>
      <c r="NE1364" s="110"/>
      <c r="NF1364" s="110"/>
      <c r="NG1364" s="110"/>
      <c r="NH1364" s="110"/>
      <c r="NI1364" s="110"/>
      <c r="NJ1364" s="110"/>
      <c r="NK1364" s="110"/>
      <c r="NL1364" s="110"/>
      <c r="NM1364" s="110"/>
      <c r="NN1364" s="110"/>
      <c r="NO1364" s="110"/>
      <c r="NP1364" s="110"/>
      <c r="NQ1364" s="110"/>
      <c r="NR1364" s="110"/>
      <c r="NS1364" s="110"/>
      <c r="NT1364" s="110"/>
      <c r="NU1364" s="110"/>
      <c r="NV1364" s="110"/>
      <c r="NW1364" s="110"/>
      <c r="NX1364" s="110"/>
      <c r="NY1364" s="110"/>
      <c r="NZ1364" s="110"/>
      <c r="OA1364" s="110"/>
      <c r="OB1364" s="110"/>
      <c r="OC1364" s="110"/>
      <c r="OD1364" s="110"/>
      <c r="OE1364" s="110"/>
      <c r="OF1364" s="110"/>
      <c r="OG1364" s="110"/>
      <c r="OH1364" s="110"/>
      <c r="OI1364" s="110"/>
      <c r="OJ1364" s="110"/>
      <c r="OK1364" s="110"/>
      <c r="OL1364" s="110"/>
      <c r="OM1364" s="110"/>
      <c r="ON1364" s="110"/>
      <c r="OO1364" s="110"/>
      <c r="OP1364" s="110"/>
      <c r="OQ1364" s="110"/>
      <c r="OR1364" s="110"/>
      <c r="OS1364" s="110"/>
      <c r="OT1364" s="110"/>
      <c r="OU1364" s="110"/>
      <c r="OV1364" s="110"/>
      <c r="OW1364" s="110"/>
      <c r="OX1364" s="110"/>
      <c r="OY1364" s="110"/>
      <c r="OZ1364" s="110"/>
      <c r="PA1364" s="110"/>
      <c r="PB1364" s="110"/>
      <c r="PC1364" s="110"/>
      <c r="PD1364" s="110"/>
      <c r="PE1364" s="110"/>
      <c r="PF1364" s="110"/>
      <c r="PG1364" s="110"/>
      <c r="PH1364" s="110"/>
      <c r="PI1364" s="110"/>
      <c r="PJ1364" s="110"/>
      <c r="PK1364" s="110"/>
      <c r="PL1364" s="110"/>
      <c r="PM1364" s="110"/>
      <c r="PN1364" s="110"/>
      <c r="PO1364" s="110"/>
      <c r="PP1364" s="110"/>
      <c r="PQ1364" s="110"/>
      <c r="PR1364" s="110"/>
      <c r="PS1364" s="110"/>
      <c r="PT1364" s="110"/>
      <c r="PU1364" s="110"/>
      <c r="PV1364" s="110"/>
      <c r="PW1364" s="110"/>
      <c r="PX1364" s="110"/>
      <c r="PY1364" s="110"/>
      <c r="PZ1364" s="110"/>
      <c r="QA1364" s="110"/>
      <c r="QB1364" s="110"/>
      <c r="QC1364" s="110"/>
      <c r="QD1364" s="110"/>
      <c r="QE1364" s="110"/>
      <c r="QF1364" s="110"/>
      <c r="QG1364" s="110"/>
      <c r="QH1364" s="110"/>
      <c r="QI1364" s="110"/>
      <c r="QJ1364" s="110"/>
      <c r="QK1364" s="110"/>
      <c r="QL1364" s="110"/>
      <c r="QM1364" s="110"/>
      <c r="QN1364" s="110"/>
      <c r="QO1364" s="110"/>
      <c r="QP1364" s="110"/>
      <c r="QQ1364" s="110"/>
      <c r="QR1364" s="110"/>
      <c r="QS1364" s="110"/>
      <c r="QT1364" s="110"/>
      <c r="QU1364" s="110"/>
      <c r="QV1364" s="110"/>
      <c r="QW1364" s="110"/>
      <c r="QX1364" s="110"/>
      <c r="QY1364" s="110"/>
      <c r="QZ1364" s="110"/>
      <c r="RA1364" s="110"/>
      <c r="RB1364" s="110"/>
      <c r="RC1364" s="110"/>
      <c r="RD1364" s="110"/>
      <c r="RE1364" s="110"/>
      <c r="RF1364" s="110"/>
      <c r="RG1364" s="110"/>
      <c r="RH1364" s="110"/>
      <c r="RI1364" s="110"/>
      <c r="RJ1364" s="110"/>
      <c r="RK1364" s="110"/>
      <c r="RL1364" s="110"/>
      <c r="RM1364" s="110"/>
      <c r="RN1364" s="110"/>
      <c r="RO1364" s="110"/>
      <c r="RP1364" s="110"/>
      <c r="RQ1364" s="110"/>
      <c r="RR1364" s="110"/>
      <c r="RS1364" s="110"/>
      <c r="RT1364" s="110"/>
      <c r="RU1364" s="110"/>
      <c r="RV1364" s="110"/>
      <c r="RW1364" s="110"/>
      <c r="RX1364" s="110"/>
      <c r="RY1364" s="110"/>
      <c r="RZ1364" s="110"/>
      <c r="SA1364" s="110"/>
      <c r="SB1364" s="110"/>
      <c r="SC1364" s="110"/>
      <c r="SD1364" s="110"/>
      <c r="SE1364" s="110"/>
      <c r="SF1364" s="110"/>
      <c r="SG1364" s="110"/>
      <c r="SH1364" s="110"/>
      <c r="SI1364" s="110"/>
      <c r="SJ1364" s="110"/>
      <c r="SK1364" s="110"/>
      <c r="SL1364" s="110"/>
      <c r="SM1364" s="110"/>
      <c r="SN1364" s="110"/>
      <c r="SO1364" s="110"/>
      <c r="SP1364" s="110"/>
      <c r="SQ1364" s="110"/>
      <c r="SR1364" s="110"/>
      <c r="SS1364" s="110"/>
      <c r="ST1364" s="110"/>
      <c r="SU1364" s="110"/>
      <c r="SV1364" s="110"/>
      <c r="SW1364" s="110"/>
      <c r="SX1364" s="110"/>
      <c r="SY1364" s="110"/>
      <c r="SZ1364" s="110"/>
      <c r="TA1364" s="110"/>
      <c r="TB1364" s="110"/>
      <c r="TC1364" s="110"/>
      <c r="TD1364" s="110"/>
      <c r="TE1364" s="110"/>
      <c r="TF1364" s="110"/>
      <c r="TG1364" s="110"/>
      <c r="TH1364" s="110"/>
      <c r="TI1364" s="110"/>
      <c r="TJ1364" s="110"/>
      <c r="TK1364" s="110"/>
      <c r="TL1364" s="110"/>
      <c r="TM1364" s="110"/>
      <c r="TN1364" s="110"/>
      <c r="TO1364" s="110"/>
      <c r="TP1364" s="110"/>
      <c r="TQ1364" s="110"/>
      <c r="TR1364" s="110"/>
      <c r="TS1364" s="110"/>
      <c r="TT1364" s="110"/>
      <c r="TU1364" s="110"/>
      <c r="TV1364" s="110"/>
      <c r="TW1364" s="110"/>
      <c r="TX1364" s="110"/>
      <c r="TY1364" s="110"/>
      <c r="TZ1364" s="110"/>
      <c r="UA1364" s="110"/>
      <c r="UB1364" s="110"/>
      <c r="UC1364" s="110"/>
      <c r="UD1364" s="110"/>
      <c r="UE1364" s="110"/>
      <c r="UF1364" s="110"/>
      <c r="UG1364" s="110"/>
      <c r="UH1364" s="110"/>
      <c r="UI1364" s="110"/>
      <c r="UJ1364" s="110"/>
      <c r="UK1364" s="110"/>
      <c r="UL1364" s="110"/>
      <c r="UM1364" s="110"/>
      <c r="UN1364" s="110"/>
      <c r="UO1364" s="110"/>
      <c r="UP1364" s="110"/>
      <c r="UQ1364" s="110"/>
      <c r="UR1364" s="110"/>
      <c r="US1364" s="110"/>
      <c r="UT1364" s="110"/>
      <c r="UU1364" s="110"/>
      <c r="UV1364" s="110"/>
      <c r="UW1364" s="110"/>
      <c r="UX1364" s="110"/>
      <c r="UY1364" s="110"/>
      <c r="UZ1364" s="110"/>
      <c r="VA1364" s="110"/>
      <c r="VB1364" s="110"/>
      <c r="VC1364" s="110"/>
      <c r="VD1364" s="110"/>
      <c r="VE1364" s="110"/>
      <c r="VF1364" s="110"/>
      <c r="VG1364" s="110"/>
      <c r="VH1364" s="110"/>
      <c r="VI1364" s="110"/>
      <c r="VJ1364" s="110"/>
      <c r="VK1364" s="110"/>
      <c r="VL1364" s="110"/>
      <c r="VM1364" s="110"/>
      <c r="VN1364" s="110"/>
      <c r="VO1364" s="110"/>
      <c r="VP1364" s="110"/>
      <c r="VQ1364" s="110"/>
      <c r="VR1364" s="110"/>
      <c r="VS1364" s="110"/>
      <c r="VT1364" s="110"/>
      <c r="VU1364" s="110"/>
      <c r="VV1364" s="110"/>
      <c r="VW1364" s="110"/>
      <c r="VX1364" s="110"/>
      <c r="VY1364" s="110"/>
      <c r="VZ1364" s="110"/>
      <c r="WA1364" s="110"/>
      <c r="WB1364" s="110"/>
      <c r="WC1364" s="110"/>
      <c r="WD1364" s="110"/>
      <c r="WE1364" s="110"/>
      <c r="WF1364" s="110"/>
      <c r="WG1364" s="110"/>
      <c r="WH1364" s="110"/>
      <c r="WI1364" s="110"/>
      <c r="WJ1364" s="110"/>
      <c r="WK1364" s="110"/>
      <c r="WL1364" s="110"/>
      <c r="WM1364" s="110"/>
      <c r="WN1364" s="110"/>
      <c r="WO1364" s="110"/>
      <c r="WP1364" s="110"/>
      <c r="WQ1364" s="110"/>
      <c r="WR1364" s="110"/>
      <c r="WS1364" s="110"/>
      <c r="WT1364" s="110"/>
      <c r="WU1364" s="110"/>
      <c r="WV1364" s="110"/>
      <c r="WW1364" s="110"/>
      <c r="WX1364" s="110"/>
      <c r="WY1364" s="110"/>
      <c r="WZ1364" s="110"/>
      <c r="XA1364" s="110"/>
      <c r="XB1364" s="110"/>
      <c r="XC1364" s="110"/>
      <c r="XD1364" s="110"/>
      <c r="XE1364" s="110"/>
      <c r="XF1364" s="110"/>
      <c r="XG1364" s="110"/>
      <c r="XH1364" s="110"/>
      <c r="XI1364" s="110"/>
      <c r="XJ1364" s="110"/>
      <c r="XK1364" s="110"/>
      <c r="XL1364" s="110"/>
      <c r="XM1364" s="110"/>
      <c r="XN1364" s="110"/>
      <c r="XO1364" s="110"/>
      <c r="XP1364" s="110"/>
      <c r="XQ1364" s="110"/>
      <c r="XR1364" s="110"/>
      <c r="XS1364" s="110"/>
      <c r="XT1364" s="110"/>
      <c r="XU1364" s="110"/>
      <c r="XV1364" s="110"/>
      <c r="XW1364" s="110"/>
      <c r="XX1364" s="110"/>
      <c r="XY1364" s="110"/>
      <c r="XZ1364" s="110"/>
      <c r="YA1364" s="110"/>
      <c r="YB1364" s="110"/>
      <c r="YC1364" s="110"/>
      <c r="YD1364" s="110"/>
      <c r="YE1364" s="110"/>
      <c r="YF1364" s="110"/>
      <c r="YG1364" s="110"/>
      <c r="YH1364" s="110"/>
      <c r="YI1364" s="110"/>
      <c r="YJ1364" s="110"/>
      <c r="YK1364" s="110"/>
      <c r="YL1364" s="110"/>
      <c r="YM1364" s="110"/>
      <c r="YN1364" s="110"/>
      <c r="YO1364" s="110"/>
      <c r="YP1364" s="110"/>
      <c r="YQ1364" s="110"/>
      <c r="YR1364" s="110"/>
      <c r="YS1364" s="110"/>
      <c r="YT1364" s="110"/>
      <c r="YU1364" s="110"/>
      <c r="YV1364" s="110"/>
      <c r="YW1364" s="110"/>
      <c r="YX1364" s="110"/>
      <c r="YY1364" s="110"/>
      <c r="YZ1364" s="110"/>
      <c r="ZA1364" s="110"/>
      <c r="ZB1364" s="110"/>
      <c r="ZC1364" s="110"/>
      <c r="ZD1364" s="110"/>
      <c r="ZE1364" s="110"/>
      <c r="ZF1364" s="110"/>
      <c r="ZG1364" s="110"/>
      <c r="ZH1364" s="110"/>
      <c r="ZI1364" s="110"/>
      <c r="ZJ1364" s="110"/>
      <c r="ZK1364" s="110"/>
      <c r="ZL1364" s="110"/>
      <c r="ZM1364" s="110"/>
      <c r="ZN1364" s="110"/>
      <c r="ZO1364" s="110"/>
      <c r="ZP1364" s="110"/>
      <c r="ZQ1364" s="110"/>
      <c r="ZR1364" s="110"/>
      <c r="ZS1364" s="110"/>
      <c r="ZT1364" s="110"/>
      <c r="ZU1364" s="110"/>
      <c r="ZV1364" s="110"/>
      <c r="ZW1364" s="110"/>
      <c r="ZX1364" s="110"/>
      <c r="ZY1364" s="110"/>
      <c r="ZZ1364" s="110"/>
      <c r="AAA1364" s="110"/>
      <c r="AAB1364" s="110"/>
      <c r="AAC1364" s="110"/>
      <c r="AAD1364" s="110"/>
      <c r="AAE1364" s="110"/>
      <c r="AAF1364" s="110"/>
      <c r="AAG1364" s="110"/>
      <c r="AAH1364" s="110"/>
      <c r="AAI1364" s="110"/>
      <c r="AAJ1364" s="110"/>
      <c r="AAK1364" s="110"/>
      <c r="AAL1364" s="110"/>
      <c r="AAM1364" s="110"/>
      <c r="AAN1364" s="110"/>
      <c r="AAO1364" s="110"/>
      <c r="AAP1364" s="110"/>
      <c r="AAQ1364" s="110"/>
      <c r="AAR1364" s="110"/>
      <c r="AAS1364" s="110"/>
      <c r="AAT1364" s="110"/>
      <c r="AAU1364" s="110"/>
      <c r="AAV1364" s="110"/>
      <c r="AAW1364" s="110"/>
      <c r="AAX1364" s="110"/>
      <c r="AAY1364" s="110"/>
      <c r="AAZ1364" s="110"/>
      <c r="ABA1364" s="110"/>
      <c r="ABB1364" s="110"/>
      <c r="ABC1364" s="110"/>
      <c r="ABD1364" s="110"/>
      <c r="ABE1364" s="110"/>
      <c r="ABF1364" s="110"/>
      <c r="ABG1364" s="110"/>
      <c r="ABH1364" s="110"/>
      <c r="ABI1364" s="110"/>
      <c r="ABJ1364" s="110"/>
      <c r="ABK1364" s="110"/>
      <c r="ABL1364" s="110"/>
      <c r="ABM1364" s="110"/>
      <c r="ABN1364" s="110"/>
      <c r="ABO1364" s="110"/>
      <c r="ABP1364" s="110"/>
      <c r="ABQ1364" s="110"/>
      <c r="ABR1364" s="110"/>
      <c r="ABS1364" s="110"/>
      <c r="ABT1364" s="110"/>
      <c r="ABU1364" s="110"/>
      <c r="ABV1364" s="110"/>
      <c r="ABW1364" s="110"/>
      <c r="ABX1364" s="110"/>
      <c r="ABY1364" s="110"/>
      <c r="ABZ1364" s="110"/>
      <c r="ACA1364" s="110"/>
      <c r="ACB1364" s="110"/>
      <c r="ACC1364" s="110"/>
      <c r="ACD1364" s="110"/>
      <c r="ACE1364" s="110"/>
      <c r="ACF1364" s="110"/>
      <c r="ACG1364" s="110"/>
      <c r="ACH1364" s="110"/>
      <c r="ACI1364" s="110"/>
      <c r="ACJ1364" s="110"/>
      <c r="ACK1364" s="110"/>
      <c r="ACL1364" s="110"/>
      <c r="ACM1364" s="110"/>
      <c r="ACN1364" s="110"/>
      <c r="ACO1364" s="110"/>
      <c r="ACP1364" s="110"/>
      <c r="ACQ1364" s="110"/>
      <c r="ACR1364" s="110"/>
      <c r="ACS1364" s="110"/>
      <c r="ACT1364" s="110"/>
      <c r="ACU1364" s="110"/>
      <c r="ACV1364" s="110"/>
      <c r="ACW1364" s="110"/>
      <c r="ACX1364" s="110"/>
      <c r="ACY1364" s="110"/>
      <c r="ACZ1364" s="110"/>
      <c r="ADA1364" s="110"/>
      <c r="ADB1364" s="110"/>
      <c r="ADC1364" s="110"/>
      <c r="ADD1364" s="110"/>
      <c r="ADE1364" s="110"/>
      <c r="ADF1364" s="110"/>
      <c r="ADG1364" s="110"/>
      <c r="ADH1364" s="110"/>
      <c r="ADI1364" s="110"/>
      <c r="ADJ1364" s="110"/>
      <c r="ADK1364" s="110"/>
      <c r="ADL1364" s="110"/>
      <c r="ADM1364" s="110"/>
      <c r="ADN1364" s="110"/>
      <c r="ADO1364" s="110"/>
      <c r="ADP1364" s="110"/>
      <c r="ADQ1364" s="110"/>
      <c r="ADR1364" s="110"/>
      <c r="ADS1364" s="110"/>
      <c r="ADT1364" s="110"/>
      <c r="ADU1364" s="110"/>
      <c r="ADV1364" s="110"/>
      <c r="ADW1364" s="110"/>
      <c r="ADX1364" s="110"/>
      <c r="ADY1364" s="110"/>
      <c r="ADZ1364" s="110"/>
      <c r="AEA1364" s="110"/>
      <c r="AEB1364" s="110"/>
      <c r="AEC1364" s="110"/>
      <c r="AED1364" s="110"/>
      <c r="AEE1364" s="110"/>
      <c r="AEF1364" s="110"/>
      <c r="AEG1364" s="110"/>
      <c r="AEH1364" s="110"/>
      <c r="AEI1364" s="110"/>
      <c r="AEJ1364" s="110"/>
      <c r="AEK1364" s="110"/>
      <c r="AEL1364" s="110"/>
      <c r="AEM1364" s="110"/>
      <c r="AEN1364" s="110"/>
      <c r="AEO1364" s="110"/>
      <c r="AEP1364" s="110"/>
      <c r="AEQ1364" s="110"/>
      <c r="AER1364" s="110"/>
      <c r="AES1364" s="110"/>
      <c r="AET1364" s="110"/>
      <c r="AEU1364" s="110"/>
      <c r="AEV1364" s="110"/>
      <c r="AEW1364" s="110"/>
      <c r="AEX1364" s="110"/>
      <c r="AEY1364" s="110"/>
      <c r="AEZ1364" s="110"/>
      <c r="AFA1364" s="110"/>
      <c r="AFB1364" s="110"/>
      <c r="AFC1364" s="110"/>
      <c r="AFD1364" s="110"/>
      <c r="AFE1364" s="110"/>
      <c r="AFF1364" s="110"/>
      <c r="AFG1364" s="110"/>
      <c r="AFH1364" s="110"/>
      <c r="AFI1364" s="110"/>
      <c r="AFJ1364" s="110"/>
      <c r="AFK1364" s="110"/>
      <c r="AFL1364" s="110"/>
      <c r="AFM1364" s="110"/>
      <c r="AFN1364" s="110"/>
      <c r="AFO1364" s="110"/>
      <c r="AFP1364" s="110"/>
      <c r="AFQ1364" s="110"/>
      <c r="AFR1364" s="110"/>
      <c r="AFS1364" s="110"/>
      <c r="AFT1364" s="110"/>
      <c r="AFU1364" s="110"/>
      <c r="AFV1364" s="110"/>
      <c r="AFW1364" s="110"/>
      <c r="AFX1364" s="110"/>
      <c r="AFY1364" s="110"/>
      <c r="AFZ1364" s="110"/>
      <c r="AGA1364" s="110"/>
      <c r="AGB1364" s="110"/>
      <c r="AGC1364" s="110"/>
      <c r="AGD1364" s="110"/>
      <c r="AGE1364" s="110"/>
      <c r="AGF1364" s="110"/>
      <c r="AGG1364" s="110"/>
      <c r="AGH1364" s="110"/>
      <c r="AGI1364" s="110"/>
      <c r="AGJ1364" s="110"/>
      <c r="AGK1364" s="110"/>
      <c r="AGL1364" s="110"/>
      <c r="AGM1364" s="110"/>
      <c r="AGN1364" s="110"/>
      <c r="AGO1364" s="110"/>
      <c r="AGP1364" s="110"/>
      <c r="AGQ1364" s="110"/>
      <c r="AGR1364" s="110"/>
      <c r="AGS1364" s="110"/>
      <c r="AGT1364" s="110"/>
      <c r="AGU1364" s="110"/>
      <c r="AGV1364" s="110"/>
      <c r="AGW1364" s="110"/>
      <c r="AGX1364" s="110"/>
      <c r="AGY1364" s="110"/>
      <c r="AGZ1364" s="110"/>
      <c r="AHA1364" s="110"/>
      <c r="AHB1364" s="110"/>
      <c r="AHC1364" s="110"/>
      <c r="AHD1364" s="110"/>
      <c r="AHE1364" s="110"/>
      <c r="AHF1364" s="110"/>
      <c r="AHG1364" s="110"/>
      <c r="AHH1364" s="110"/>
      <c r="AHI1364" s="110"/>
      <c r="AHJ1364" s="110"/>
      <c r="AHK1364" s="110"/>
      <c r="AHL1364" s="110"/>
      <c r="AHM1364" s="110"/>
      <c r="AHN1364" s="110"/>
      <c r="AHO1364" s="110"/>
      <c r="AHP1364" s="110"/>
      <c r="AHQ1364" s="110"/>
      <c r="AHR1364" s="110"/>
      <c r="AHS1364" s="110"/>
      <c r="AHT1364" s="110"/>
      <c r="AHU1364" s="110"/>
      <c r="AHV1364" s="110"/>
      <c r="AHW1364" s="110"/>
      <c r="AHX1364" s="110"/>
      <c r="AHY1364" s="110"/>
      <c r="AHZ1364" s="110"/>
      <c r="AIA1364" s="110"/>
      <c r="AIB1364" s="110"/>
      <c r="AIC1364" s="110"/>
      <c r="AID1364" s="110"/>
      <c r="AIE1364" s="110"/>
      <c r="AIF1364" s="110"/>
      <c r="AIG1364" s="110"/>
      <c r="AIH1364" s="110"/>
      <c r="AII1364" s="110"/>
      <c r="AIJ1364" s="110"/>
      <c r="AIK1364" s="110"/>
      <c r="AIL1364" s="110"/>
      <c r="AIM1364" s="110"/>
      <c r="AIN1364" s="110"/>
      <c r="AIO1364" s="110"/>
      <c r="AIP1364" s="110"/>
      <c r="AIQ1364" s="110"/>
      <c r="AIR1364" s="110"/>
      <c r="AIS1364" s="110"/>
      <c r="AIT1364" s="110"/>
      <c r="AIU1364" s="110"/>
      <c r="AIV1364" s="110"/>
      <c r="AIW1364" s="110"/>
      <c r="AIX1364" s="110"/>
      <c r="AIY1364" s="110"/>
      <c r="AIZ1364" s="110"/>
      <c r="AJA1364" s="110"/>
      <c r="AJB1364" s="110"/>
      <c r="AJC1364" s="110"/>
      <c r="AJD1364" s="110"/>
      <c r="AJE1364" s="110"/>
      <c r="AJF1364" s="110"/>
      <c r="AJG1364" s="110"/>
      <c r="AJH1364" s="110"/>
      <c r="AJI1364" s="110"/>
      <c r="AJJ1364" s="110"/>
      <c r="AJK1364" s="110"/>
      <c r="AJL1364" s="110"/>
      <c r="AJM1364" s="110"/>
      <c r="AJN1364" s="110"/>
      <c r="AJO1364" s="110"/>
      <c r="AJP1364" s="110"/>
      <c r="AJQ1364" s="110"/>
      <c r="AJR1364" s="110"/>
      <c r="AJS1364" s="110"/>
      <c r="AJT1364" s="110"/>
      <c r="AJU1364" s="110"/>
      <c r="AJV1364" s="110"/>
      <c r="AJW1364" s="110"/>
      <c r="AJX1364" s="110"/>
      <c r="AJY1364" s="110"/>
      <c r="AJZ1364" s="110"/>
      <c r="AKA1364" s="110"/>
      <c r="AKB1364" s="110"/>
      <c r="AKC1364" s="110"/>
      <c r="AKD1364" s="110"/>
      <c r="AKE1364" s="110"/>
      <c r="AKF1364" s="110"/>
      <c r="AKG1364" s="110"/>
      <c r="AKH1364" s="110"/>
      <c r="AKI1364" s="110"/>
      <c r="AKJ1364" s="110"/>
      <c r="AKK1364" s="110"/>
      <c r="AKL1364" s="110"/>
      <c r="AKM1364" s="110"/>
      <c r="AKN1364" s="110"/>
      <c r="AKO1364" s="110"/>
      <c r="AKP1364" s="110"/>
      <c r="AKQ1364" s="110"/>
      <c r="AKR1364" s="110"/>
      <c r="AKS1364" s="110"/>
      <c r="AKT1364" s="110"/>
      <c r="AKU1364" s="110"/>
      <c r="AKV1364" s="110"/>
      <c r="AKW1364" s="110"/>
      <c r="AKX1364" s="110"/>
      <c r="AKY1364" s="110"/>
      <c r="AKZ1364" s="110"/>
      <c r="ALA1364" s="110"/>
      <c r="ALB1364" s="110"/>
      <c r="ALC1364" s="110"/>
      <c r="ALD1364" s="110"/>
      <c r="ALE1364" s="110"/>
      <c r="ALF1364" s="110"/>
      <c r="ALG1364" s="110"/>
      <c r="ALH1364" s="110"/>
      <c r="ALI1364" s="110"/>
      <c r="ALJ1364" s="110"/>
      <c r="ALK1364" s="110"/>
      <c r="ALL1364" s="110"/>
      <c r="ALM1364" s="110"/>
      <c r="ALN1364" s="110"/>
      <c r="ALO1364" s="110"/>
      <c r="ALP1364" s="110"/>
      <c r="ALQ1364" s="110"/>
      <c r="ALR1364" s="110"/>
      <c r="ALS1364" s="110"/>
      <c r="ALT1364" s="110"/>
      <c r="ALU1364" s="110"/>
      <c r="ALV1364" s="110"/>
      <c r="ALW1364" s="110"/>
      <c r="ALX1364" s="110"/>
      <c r="ALY1364" s="110"/>
      <c r="ALZ1364" s="110"/>
      <c r="AMA1364" s="110"/>
      <c r="AMB1364" s="110"/>
      <c r="AMC1364" s="110"/>
      <c r="AMD1364" s="110"/>
      <c r="AME1364" s="110"/>
      <c r="AMF1364" s="110"/>
      <c r="AMG1364" s="110"/>
      <c r="AMH1364" s="110"/>
      <c r="AMI1364" s="110"/>
      <c r="AMJ1364" s="110"/>
      <c r="AMK1364" s="110"/>
      <c r="AML1364" s="110"/>
      <c r="AMM1364" s="110"/>
      <c r="AMN1364" s="110"/>
      <c r="AMO1364" s="110"/>
      <c r="AMP1364" s="110"/>
      <c r="AMQ1364" s="110"/>
      <c r="AMR1364" s="110"/>
      <c r="AMS1364" s="110"/>
      <c r="AMT1364" s="110"/>
      <c r="AMU1364" s="110"/>
      <c r="AMV1364" s="110"/>
      <c r="AMW1364" s="110"/>
      <c r="AMX1364" s="110"/>
      <c r="AMY1364" s="110"/>
      <c r="AMZ1364" s="110"/>
      <c r="ANA1364" s="110"/>
      <c r="ANB1364" s="110"/>
      <c r="ANC1364" s="110"/>
      <c r="AND1364" s="110"/>
      <c r="ANE1364" s="110"/>
      <c r="ANF1364" s="110"/>
      <c r="ANG1364" s="110"/>
      <c r="ANH1364" s="110"/>
      <c r="ANI1364" s="110"/>
      <c r="ANJ1364" s="110"/>
      <c r="ANK1364" s="110"/>
      <c r="ANL1364" s="110"/>
      <c r="ANM1364" s="110"/>
      <c r="ANN1364" s="110"/>
      <c r="ANO1364" s="110"/>
      <c r="ANP1364" s="110"/>
      <c r="ANQ1364" s="110"/>
      <c r="ANR1364" s="110"/>
      <c r="ANS1364" s="110"/>
      <c r="ANT1364" s="110"/>
      <c r="ANU1364" s="110"/>
      <c r="ANV1364" s="110"/>
      <c r="ANW1364" s="110"/>
      <c r="ANX1364" s="110"/>
      <c r="ANY1364" s="110"/>
      <c r="ANZ1364" s="110"/>
      <c r="AOA1364" s="110"/>
      <c r="AOB1364" s="110"/>
      <c r="AOC1364" s="110"/>
      <c r="AOD1364" s="110"/>
      <c r="AOE1364" s="110"/>
      <c r="AOF1364" s="110"/>
      <c r="AOG1364" s="110"/>
      <c r="AOH1364" s="110"/>
      <c r="AOI1364" s="110"/>
      <c r="AOJ1364" s="110"/>
      <c r="AOK1364" s="110"/>
      <c r="AOL1364" s="110"/>
      <c r="AOM1364" s="110"/>
      <c r="AON1364" s="110"/>
      <c r="AOO1364" s="110"/>
      <c r="AOP1364" s="110"/>
      <c r="AOQ1364" s="110"/>
      <c r="AOR1364" s="110"/>
      <c r="AOS1364" s="110"/>
      <c r="AOT1364" s="110"/>
      <c r="AOU1364" s="110"/>
      <c r="AOV1364" s="110"/>
      <c r="AOW1364" s="110"/>
      <c r="AOX1364" s="110"/>
      <c r="AOY1364" s="110"/>
      <c r="AOZ1364" s="110"/>
      <c r="APA1364" s="110"/>
      <c r="APB1364" s="110"/>
      <c r="APC1364" s="110"/>
      <c r="APD1364" s="110"/>
      <c r="APE1364" s="110"/>
      <c r="APF1364" s="110"/>
      <c r="APG1364" s="110"/>
      <c r="APH1364" s="110"/>
      <c r="API1364" s="110"/>
      <c r="APJ1364" s="110"/>
      <c r="APK1364" s="110"/>
      <c r="APL1364" s="110"/>
      <c r="APM1364" s="110"/>
      <c r="APN1364" s="110"/>
      <c r="APO1364" s="110"/>
      <c r="APP1364" s="110"/>
      <c r="APQ1364" s="110"/>
      <c r="APR1364" s="110"/>
      <c r="APS1364" s="110"/>
      <c r="APT1364" s="110"/>
      <c r="APU1364" s="110"/>
      <c r="APV1364" s="110"/>
      <c r="APW1364" s="110"/>
      <c r="APX1364" s="110"/>
      <c r="APY1364" s="110"/>
      <c r="APZ1364" s="110"/>
      <c r="AQA1364" s="110"/>
      <c r="AQB1364" s="110"/>
      <c r="AQC1364" s="110"/>
      <c r="AQD1364" s="110"/>
      <c r="AQE1364" s="110"/>
      <c r="AQF1364" s="110"/>
      <c r="AQG1364" s="110"/>
      <c r="AQH1364" s="110"/>
      <c r="AQI1364" s="110"/>
      <c r="AQJ1364" s="110"/>
      <c r="AQK1364" s="110"/>
      <c r="AQL1364" s="110"/>
      <c r="AQM1364" s="110"/>
      <c r="AQN1364" s="110"/>
      <c r="AQO1364" s="110"/>
      <c r="AQP1364" s="110"/>
      <c r="AQQ1364" s="110"/>
      <c r="AQR1364" s="110"/>
      <c r="AQS1364" s="110"/>
      <c r="AQT1364" s="110"/>
      <c r="AQU1364" s="110"/>
      <c r="AQV1364" s="110"/>
      <c r="AQW1364" s="110"/>
      <c r="AQX1364" s="110"/>
      <c r="AQY1364" s="110"/>
      <c r="AQZ1364" s="110"/>
      <c r="ARA1364" s="110"/>
      <c r="ARB1364" s="110"/>
      <c r="ARC1364" s="110"/>
      <c r="ARD1364" s="110"/>
      <c r="ARE1364" s="110"/>
      <c r="ARF1364" s="110"/>
      <c r="ARG1364" s="110"/>
      <c r="ARH1364" s="110"/>
      <c r="ARI1364" s="110"/>
      <c r="ARJ1364" s="110"/>
      <c r="ARK1364" s="110"/>
      <c r="ARL1364" s="110"/>
      <c r="ARM1364" s="110"/>
      <c r="ARN1364" s="110"/>
      <c r="ARO1364" s="110"/>
      <c r="ARP1364" s="110"/>
      <c r="ARQ1364" s="110"/>
      <c r="ARR1364" s="110"/>
      <c r="ARS1364" s="110"/>
      <c r="ART1364" s="110"/>
      <c r="ARU1364" s="110"/>
      <c r="ARV1364" s="110"/>
      <c r="ARW1364" s="110"/>
      <c r="ARX1364" s="110"/>
      <c r="ARY1364" s="110"/>
      <c r="ARZ1364" s="110"/>
      <c r="ASA1364" s="110"/>
      <c r="ASB1364" s="110"/>
      <c r="ASC1364" s="110"/>
      <c r="ASD1364" s="110"/>
      <c r="ASE1364" s="110"/>
      <c r="ASF1364" s="110"/>
      <c r="ASG1364" s="110"/>
      <c r="ASH1364" s="110"/>
      <c r="ASI1364" s="110"/>
      <c r="ASJ1364" s="110"/>
      <c r="ASK1364" s="110"/>
      <c r="ASL1364" s="110"/>
      <c r="ASM1364" s="110"/>
      <c r="ASN1364" s="110"/>
      <c r="ASO1364" s="110"/>
      <c r="ASP1364" s="110"/>
      <c r="ASQ1364" s="110"/>
      <c r="ASR1364" s="110"/>
      <c r="ASS1364" s="110"/>
      <c r="AST1364" s="110"/>
      <c r="ASU1364" s="110"/>
      <c r="ASV1364" s="110"/>
      <c r="ASW1364" s="110"/>
      <c r="ASX1364" s="110"/>
      <c r="ASY1364" s="110"/>
      <c r="ASZ1364" s="110"/>
      <c r="ATA1364" s="110"/>
      <c r="ATB1364" s="110"/>
      <c r="ATC1364" s="110"/>
      <c r="ATD1364" s="110"/>
      <c r="ATE1364" s="110"/>
      <c r="ATF1364" s="110"/>
      <c r="ATG1364" s="110"/>
      <c r="ATH1364" s="110"/>
      <c r="ATI1364" s="110"/>
      <c r="ATJ1364" s="110"/>
      <c r="ATK1364" s="110"/>
      <c r="ATL1364" s="110"/>
      <c r="ATM1364" s="110"/>
      <c r="ATN1364" s="110"/>
      <c r="ATO1364" s="110"/>
      <c r="ATP1364" s="110"/>
      <c r="ATQ1364" s="110"/>
      <c r="ATR1364" s="110"/>
      <c r="ATS1364" s="110"/>
      <c r="ATT1364" s="110"/>
      <c r="ATU1364" s="110"/>
      <c r="ATV1364" s="110"/>
      <c r="ATW1364" s="110"/>
      <c r="ATX1364" s="110"/>
      <c r="ATY1364" s="110"/>
      <c r="ATZ1364" s="110"/>
      <c r="AUA1364" s="110"/>
      <c r="AUB1364" s="110"/>
      <c r="AUC1364" s="110"/>
      <c r="AUD1364" s="110"/>
      <c r="AUE1364" s="110"/>
      <c r="AUF1364" s="110"/>
      <c r="AUG1364" s="110"/>
      <c r="AUH1364" s="110"/>
      <c r="AUI1364" s="110"/>
      <c r="AUJ1364" s="110"/>
      <c r="AUK1364" s="110"/>
      <c r="AUL1364" s="110"/>
      <c r="AUM1364" s="110"/>
      <c r="AUN1364" s="110"/>
      <c r="AUO1364" s="110"/>
      <c r="AUP1364" s="110"/>
      <c r="AUQ1364" s="110"/>
      <c r="AUR1364" s="110"/>
      <c r="AUS1364" s="110"/>
      <c r="AUT1364" s="110"/>
      <c r="AUU1364" s="110"/>
      <c r="AUV1364" s="110"/>
      <c r="AUW1364" s="110"/>
      <c r="AUX1364" s="110"/>
      <c r="AUY1364" s="110"/>
      <c r="AUZ1364" s="110"/>
      <c r="AVA1364" s="110"/>
      <c r="AVB1364" s="110"/>
      <c r="AVC1364" s="110"/>
      <c r="AVD1364" s="110"/>
      <c r="AVE1364" s="110"/>
      <c r="AVF1364" s="110"/>
      <c r="AVG1364" s="110"/>
      <c r="AVH1364" s="110"/>
      <c r="AVI1364" s="110"/>
      <c r="AVJ1364" s="110"/>
      <c r="AVK1364" s="110"/>
      <c r="AVL1364" s="110"/>
      <c r="AVM1364" s="110"/>
      <c r="AVN1364" s="110"/>
      <c r="AVO1364" s="110"/>
      <c r="AVP1364" s="110"/>
      <c r="AVQ1364" s="110"/>
      <c r="AVR1364" s="110"/>
      <c r="AVS1364" s="110"/>
      <c r="AVT1364" s="110"/>
      <c r="AVU1364" s="110"/>
      <c r="AVV1364" s="110"/>
      <c r="AVW1364" s="110"/>
      <c r="AVX1364" s="110"/>
      <c r="AVY1364" s="110"/>
      <c r="AVZ1364" s="110"/>
      <c r="AWA1364" s="110"/>
      <c r="AWB1364" s="110"/>
      <c r="AWC1364" s="110"/>
      <c r="AWD1364" s="110"/>
      <c r="AWE1364" s="110"/>
      <c r="AWF1364" s="110"/>
      <c r="AWG1364" s="110"/>
      <c r="AWH1364" s="110"/>
      <c r="AWI1364" s="110"/>
      <c r="AWJ1364" s="110"/>
      <c r="AWK1364" s="110"/>
      <c r="AWL1364" s="110"/>
      <c r="AWM1364" s="110"/>
      <c r="AWN1364" s="110"/>
      <c r="AWO1364" s="110"/>
      <c r="AWP1364" s="110"/>
      <c r="AWQ1364" s="110"/>
      <c r="AWR1364" s="110"/>
      <c r="AWS1364" s="110"/>
      <c r="AWT1364" s="110"/>
      <c r="AWU1364" s="110"/>
      <c r="AWV1364" s="110"/>
      <c r="AWW1364" s="110"/>
      <c r="AWX1364" s="110"/>
      <c r="AWY1364" s="110"/>
      <c r="AWZ1364" s="110"/>
      <c r="AXA1364" s="110"/>
      <c r="AXB1364" s="110"/>
      <c r="AXC1364" s="110"/>
      <c r="AXD1364" s="110"/>
      <c r="AXE1364" s="110"/>
      <c r="AXF1364" s="110"/>
      <c r="AXG1364" s="110"/>
      <c r="AXH1364" s="110"/>
      <c r="AXI1364" s="110"/>
      <c r="AXJ1364" s="110"/>
      <c r="AXK1364" s="110"/>
      <c r="AXL1364" s="110"/>
      <c r="AXM1364" s="110"/>
      <c r="AXN1364" s="110"/>
      <c r="AXO1364" s="110"/>
      <c r="AXP1364" s="110"/>
      <c r="AXQ1364" s="110"/>
      <c r="AXR1364" s="110"/>
      <c r="AXS1364" s="110"/>
      <c r="AXT1364" s="110"/>
      <c r="AXU1364" s="110"/>
      <c r="AXV1364" s="110"/>
      <c r="AXW1364" s="110"/>
      <c r="AXX1364" s="110"/>
      <c r="AXY1364" s="110"/>
      <c r="AXZ1364" s="110"/>
      <c r="AYA1364" s="110"/>
      <c r="AYB1364" s="110"/>
      <c r="AYC1364" s="110"/>
      <c r="AYD1364" s="110"/>
      <c r="AYE1364" s="110"/>
      <c r="AYF1364" s="110"/>
      <c r="AYG1364" s="110"/>
      <c r="AYH1364" s="110"/>
      <c r="AYI1364" s="110"/>
      <c r="AYJ1364" s="110"/>
      <c r="AYK1364" s="110"/>
      <c r="AYL1364" s="110"/>
      <c r="AYM1364" s="110"/>
      <c r="AYN1364" s="110"/>
      <c r="AYO1364" s="110"/>
      <c r="AYP1364" s="110"/>
      <c r="AYQ1364" s="110"/>
      <c r="AYR1364" s="110"/>
      <c r="AYS1364" s="110"/>
      <c r="AYT1364" s="110"/>
      <c r="AYU1364" s="110"/>
      <c r="AYV1364" s="110"/>
      <c r="AYW1364" s="110"/>
      <c r="AYX1364" s="110"/>
      <c r="AYY1364" s="110"/>
      <c r="AYZ1364" s="110"/>
      <c r="AZA1364" s="110"/>
      <c r="AZB1364" s="110"/>
      <c r="AZC1364" s="110"/>
      <c r="AZD1364" s="110"/>
      <c r="AZE1364" s="110"/>
      <c r="AZF1364" s="110"/>
      <c r="AZG1364" s="110"/>
      <c r="AZH1364" s="110"/>
      <c r="AZI1364" s="110"/>
      <c r="AZJ1364" s="110"/>
      <c r="AZK1364" s="110"/>
      <c r="AZL1364" s="110"/>
      <c r="AZM1364" s="110"/>
      <c r="AZN1364" s="110"/>
      <c r="AZO1364" s="110"/>
      <c r="AZP1364" s="110"/>
      <c r="AZQ1364" s="110"/>
      <c r="AZR1364" s="110"/>
      <c r="AZS1364" s="110"/>
      <c r="AZT1364" s="110"/>
      <c r="AZU1364" s="110"/>
      <c r="AZV1364" s="110"/>
      <c r="AZW1364" s="110"/>
      <c r="AZX1364" s="110"/>
      <c r="AZY1364" s="110"/>
      <c r="AZZ1364" s="110"/>
      <c r="BAA1364" s="110"/>
      <c r="BAB1364" s="110"/>
      <c r="BAC1364" s="110"/>
      <c r="BAD1364" s="110"/>
      <c r="BAE1364" s="110"/>
      <c r="BAF1364" s="110"/>
      <c r="BAG1364" s="110"/>
      <c r="BAH1364" s="110"/>
      <c r="BAI1364" s="110"/>
      <c r="BAJ1364" s="110"/>
      <c r="BAK1364" s="110"/>
      <c r="BAL1364" s="110"/>
      <c r="BAM1364" s="110"/>
      <c r="BAN1364" s="110"/>
      <c r="BAO1364" s="110"/>
      <c r="BAP1364" s="110"/>
      <c r="BAQ1364" s="110"/>
      <c r="BAR1364" s="110"/>
      <c r="BAS1364" s="110"/>
      <c r="BAT1364" s="110"/>
      <c r="BAU1364" s="110"/>
      <c r="BAV1364" s="110"/>
      <c r="BAW1364" s="110"/>
      <c r="BAX1364" s="110"/>
      <c r="BAY1364" s="110"/>
      <c r="BAZ1364" s="110"/>
      <c r="BBA1364" s="110"/>
      <c r="BBB1364" s="110"/>
      <c r="BBC1364" s="110"/>
      <c r="BBD1364" s="110"/>
      <c r="BBE1364" s="110"/>
      <c r="BBF1364" s="110"/>
      <c r="BBG1364" s="110"/>
      <c r="BBH1364" s="110"/>
      <c r="BBI1364" s="110"/>
      <c r="BBJ1364" s="110"/>
      <c r="BBK1364" s="110"/>
      <c r="BBL1364" s="110"/>
      <c r="BBM1364" s="110"/>
      <c r="BBN1364" s="110"/>
      <c r="BBO1364" s="110"/>
      <c r="BBP1364" s="110"/>
      <c r="BBQ1364" s="110"/>
      <c r="BBR1364" s="110"/>
      <c r="BBS1364" s="110"/>
      <c r="BBT1364" s="110"/>
      <c r="BBU1364" s="110"/>
      <c r="BBV1364" s="110"/>
      <c r="BBW1364" s="110"/>
      <c r="BBX1364" s="110"/>
      <c r="BBY1364" s="110"/>
      <c r="BBZ1364" s="110"/>
      <c r="BCA1364" s="110"/>
      <c r="BCB1364" s="110"/>
      <c r="BCC1364" s="110"/>
      <c r="BCD1364" s="110"/>
      <c r="BCE1364" s="110"/>
      <c r="BCF1364" s="110"/>
      <c r="BCG1364" s="110"/>
      <c r="BCH1364" s="110"/>
      <c r="BCI1364" s="110"/>
      <c r="BCJ1364" s="110"/>
      <c r="BCK1364" s="110"/>
      <c r="BCL1364" s="110"/>
      <c r="BCM1364" s="110"/>
      <c r="BCN1364" s="110"/>
      <c r="BCO1364" s="110"/>
      <c r="BCP1364" s="110"/>
      <c r="BCQ1364" s="110"/>
      <c r="BCR1364" s="110"/>
      <c r="BCS1364" s="110"/>
      <c r="BCT1364" s="110"/>
      <c r="BCU1364" s="110"/>
      <c r="BCV1364" s="110"/>
      <c r="BCW1364" s="110"/>
      <c r="BCX1364" s="110"/>
      <c r="BCY1364" s="110"/>
      <c r="BCZ1364" s="110"/>
      <c r="BDA1364" s="110"/>
      <c r="BDB1364" s="110"/>
      <c r="BDC1364" s="110"/>
      <c r="BDD1364" s="110"/>
      <c r="BDE1364" s="110"/>
      <c r="BDF1364" s="110"/>
      <c r="BDG1364" s="110"/>
      <c r="BDH1364" s="110"/>
      <c r="BDI1364" s="110"/>
      <c r="BDJ1364" s="110"/>
      <c r="BDK1364" s="110"/>
      <c r="BDL1364" s="110"/>
      <c r="BDM1364" s="110"/>
      <c r="BDN1364" s="110"/>
      <c r="BDO1364" s="110"/>
      <c r="BDP1364" s="110"/>
      <c r="BDQ1364" s="110"/>
      <c r="BDR1364" s="110"/>
      <c r="BDS1364" s="110"/>
      <c r="BDT1364" s="110"/>
      <c r="BDU1364" s="110"/>
      <c r="BDV1364" s="110"/>
      <c r="BDW1364" s="110"/>
      <c r="BDX1364" s="110"/>
      <c r="BDY1364" s="110"/>
      <c r="BDZ1364" s="110"/>
      <c r="BEA1364" s="110"/>
      <c r="BEB1364" s="110"/>
      <c r="BEC1364" s="110"/>
      <c r="BED1364" s="110"/>
      <c r="BEE1364" s="110"/>
      <c r="BEF1364" s="110"/>
      <c r="BEG1364" s="110"/>
      <c r="BEH1364" s="110"/>
      <c r="BEI1364" s="110"/>
      <c r="BEJ1364" s="110"/>
      <c r="BEK1364" s="110"/>
      <c r="BEL1364" s="110"/>
      <c r="BEM1364" s="110"/>
      <c r="BEN1364" s="110"/>
      <c r="BEO1364" s="110"/>
      <c r="BEP1364" s="110"/>
      <c r="BEQ1364" s="110"/>
      <c r="BER1364" s="110"/>
      <c r="BES1364" s="110"/>
      <c r="BET1364" s="110"/>
      <c r="BEU1364" s="110"/>
      <c r="BEV1364" s="110"/>
      <c r="BEW1364" s="110"/>
      <c r="BEX1364" s="110"/>
      <c r="BEY1364" s="110"/>
      <c r="BEZ1364" s="110"/>
      <c r="BFA1364" s="110"/>
      <c r="BFB1364" s="110"/>
      <c r="BFC1364" s="110"/>
      <c r="BFD1364" s="110"/>
      <c r="BFE1364" s="110"/>
      <c r="BFF1364" s="110"/>
      <c r="BFG1364" s="110"/>
      <c r="BFH1364" s="110"/>
      <c r="BFI1364" s="110"/>
      <c r="BFJ1364" s="110"/>
      <c r="BFK1364" s="110"/>
      <c r="BFL1364" s="110"/>
      <c r="BFM1364" s="110"/>
      <c r="BFN1364" s="110"/>
      <c r="BFO1364" s="110"/>
      <c r="BFP1364" s="110"/>
      <c r="BFQ1364" s="110"/>
      <c r="BFR1364" s="110"/>
      <c r="BFS1364" s="110"/>
      <c r="BFT1364" s="110"/>
      <c r="BFU1364" s="110"/>
      <c r="BFV1364" s="110"/>
      <c r="BFW1364" s="110"/>
      <c r="BFX1364" s="110"/>
      <c r="BFY1364" s="110"/>
      <c r="BFZ1364" s="110"/>
      <c r="BGA1364" s="110"/>
      <c r="BGB1364" s="110"/>
      <c r="BGC1364" s="110"/>
      <c r="BGD1364" s="110"/>
      <c r="BGE1364" s="110"/>
      <c r="BGF1364" s="110"/>
      <c r="BGG1364" s="110"/>
      <c r="BGH1364" s="110"/>
      <c r="BGI1364" s="110"/>
      <c r="BGJ1364" s="110"/>
      <c r="BGK1364" s="110"/>
      <c r="BGL1364" s="110"/>
      <c r="BGM1364" s="110"/>
      <c r="BGN1364" s="110"/>
      <c r="BGO1364" s="110"/>
      <c r="BGP1364" s="110"/>
      <c r="BGQ1364" s="110"/>
      <c r="BGR1364" s="110"/>
      <c r="BGS1364" s="110"/>
      <c r="BGT1364" s="110"/>
      <c r="BGU1364" s="110"/>
      <c r="BGV1364" s="110"/>
      <c r="BGW1364" s="110"/>
      <c r="BGX1364" s="110"/>
      <c r="BGY1364" s="110"/>
      <c r="BGZ1364" s="110"/>
      <c r="BHA1364" s="110"/>
      <c r="BHB1364" s="110"/>
      <c r="BHC1364" s="110"/>
      <c r="BHD1364" s="110"/>
      <c r="BHE1364" s="110"/>
      <c r="BHF1364" s="110"/>
      <c r="BHG1364" s="110"/>
      <c r="BHH1364" s="110"/>
      <c r="BHI1364" s="110"/>
      <c r="BHJ1364" s="110"/>
      <c r="BHK1364" s="110"/>
      <c r="BHL1364" s="110"/>
      <c r="BHM1364" s="110"/>
      <c r="BHN1364" s="110"/>
      <c r="BHO1364" s="110"/>
      <c r="BHP1364" s="110"/>
      <c r="BHQ1364" s="110"/>
      <c r="BHR1364" s="110"/>
      <c r="BHS1364" s="110"/>
      <c r="BHT1364" s="110"/>
      <c r="BHU1364" s="110"/>
      <c r="BHV1364" s="110"/>
      <c r="BHW1364" s="110"/>
      <c r="BHX1364" s="110"/>
      <c r="BHY1364" s="110"/>
      <c r="BHZ1364" s="110"/>
      <c r="BIA1364" s="110"/>
      <c r="BIB1364" s="110"/>
      <c r="BIC1364" s="110"/>
      <c r="BID1364" s="110"/>
      <c r="BIE1364" s="110"/>
      <c r="BIF1364" s="110"/>
      <c r="BIG1364" s="110"/>
      <c r="BIH1364" s="110"/>
      <c r="BII1364" s="110"/>
      <c r="BIJ1364" s="110"/>
      <c r="BIK1364" s="110"/>
      <c r="BIL1364" s="110"/>
      <c r="BIM1364" s="110"/>
      <c r="BIN1364" s="110"/>
      <c r="BIO1364" s="110"/>
      <c r="BIP1364" s="110"/>
      <c r="BIQ1364" s="110"/>
      <c r="BIR1364" s="110"/>
      <c r="BIS1364" s="110"/>
      <c r="BIT1364" s="110"/>
      <c r="BIU1364" s="110"/>
      <c r="BIV1364" s="110"/>
      <c r="BIW1364" s="110"/>
      <c r="BIX1364" s="110"/>
      <c r="BIY1364" s="110"/>
      <c r="BIZ1364" s="110"/>
      <c r="BJA1364" s="110"/>
      <c r="BJB1364" s="110"/>
      <c r="BJC1364" s="110"/>
      <c r="BJD1364" s="110"/>
      <c r="BJE1364" s="110"/>
      <c r="BJF1364" s="110"/>
      <c r="BJG1364" s="110"/>
      <c r="BJH1364" s="110"/>
      <c r="BJI1364" s="110"/>
      <c r="BJJ1364" s="110"/>
      <c r="BJK1364" s="110"/>
      <c r="BJL1364" s="110"/>
      <c r="BJM1364" s="110"/>
      <c r="BJN1364" s="110"/>
      <c r="BJO1364" s="110"/>
      <c r="BJP1364" s="110"/>
      <c r="BJQ1364" s="110"/>
      <c r="BJR1364" s="110"/>
      <c r="BJS1364" s="110"/>
      <c r="BJT1364" s="110"/>
      <c r="BJU1364" s="110"/>
      <c r="BJV1364" s="110"/>
      <c r="BJW1364" s="110"/>
      <c r="BJX1364" s="110"/>
      <c r="BJY1364" s="110"/>
      <c r="BJZ1364" s="110"/>
      <c r="BKA1364" s="110"/>
      <c r="BKB1364" s="110"/>
      <c r="BKC1364" s="110"/>
      <c r="BKD1364" s="110"/>
      <c r="BKE1364" s="110"/>
      <c r="BKF1364" s="110"/>
      <c r="BKG1364" s="110"/>
      <c r="BKH1364" s="110"/>
      <c r="BKI1364" s="110"/>
      <c r="BKJ1364" s="110"/>
      <c r="BKK1364" s="110"/>
      <c r="BKL1364" s="110"/>
      <c r="BKM1364" s="110"/>
      <c r="BKN1364" s="110"/>
      <c r="BKO1364" s="110"/>
      <c r="BKP1364" s="110"/>
      <c r="BKQ1364" s="110"/>
      <c r="BKR1364" s="110"/>
      <c r="BKS1364" s="110"/>
      <c r="BKT1364" s="110"/>
      <c r="BKU1364" s="110"/>
      <c r="BKV1364" s="110"/>
      <c r="BKW1364" s="110"/>
      <c r="BKX1364" s="110"/>
      <c r="BKY1364" s="110"/>
      <c r="BKZ1364" s="110"/>
      <c r="BLA1364" s="110"/>
      <c r="BLB1364" s="110"/>
      <c r="BLC1364" s="110"/>
      <c r="BLD1364" s="110"/>
      <c r="BLE1364" s="110"/>
      <c r="BLF1364" s="110"/>
      <c r="BLG1364" s="110"/>
      <c r="BLH1364" s="110"/>
      <c r="BLI1364" s="110"/>
      <c r="BLJ1364" s="110"/>
      <c r="BLK1364" s="110"/>
      <c r="BLL1364" s="110"/>
      <c r="BLM1364" s="110"/>
      <c r="BLN1364" s="110"/>
      <c r="BLO1364" s="110"/>
      <c r="BLP1364" s="110"/>
      <c r="BLQ1364" s="110"/>
      <c r="BLR1364" s="110"/>
      <c r="BLS1364" s="110"/>
      <c r="BLT1364" s="110"/>
      <c r="BLU1364" s="110"/>
      <c r="BLV1364" s="110"/>
      <c r="BLW1364" s="110"/>
      <c r="BLX1364" s="110"/>
      <c r="BLY1364" s="110"/>
      <c r="BLZ1364" s="110"/>
      <c r="BMA1364" s="110"/>
      <c r="BMB1364" s="110"/>
      <c r="BMC1364" s="110"/>
      <c r="BMD1364" s="110"/>
      <c r="BME1364" s="110"/>
      <c r="BMF1364" s="110"/>
      <c r="BMG1364" s="110"/>
      <c r="BMH1364" s="110"/>
      <c r="BMI1364" s="110"/>
      <c r="BMJ1364" s="110"/>
      <c r="BMK1364" s="110"/>
      <c r="BML1364" s="110"/>
      <c r="BMM1364" s="110"/>
      <c r="BMN1364" s="110"/>
      <c r="BMO1364" s="110"/>
      <c r="BMP1364" s="110"/>
      <c r="BMQ1364" s="110"/>
      <c r="BMR1364" s="110"/>
      <c r="BMS1364" s="110"/>
      <c r="BMT1364" s="110"/>
      <c r="BMU1364" s="110"/>
      <c r="BMV1364" s="110"/>
      <c r="BMW1364" s="110"/>
      <c r="BMX1364" s="110"/>
      <c r="BMY1364" s="110"/>
      <c r="BMZ1364" s="110"/>
      <c r="BNA1364" s="110"/>
      <c r="BNB1364" s="110"/>
      <c r="BNC1364" s="110"/>
      <c r="BND1364" s="110"/>
      <c r="BNE1364" s="110"/>
      <c r="BNF1364" s="110"/>
      <c r="BNG1364" s="110"/>
      <c r="BNH1364" s="110"/>
      <c r="BNI1364" s="110"/>
      <c r="BNJ1364" s="110"/>
      <c r="BNK1364" s="110"/>
      <c r="BNL1364" s="110"/>
      <c r="BNM1364" s="110"/>
      <c r="BNN1364" s="110"/>
      <c r="BNO1364" s="110"/>
      <c r="BNP1364" s="110"/>
      <c r="BNQ1364" s="110"/>
      <c r="BNR1364" s="110"/>
      <c r="BNS1364" s="110"/>
      <c r="BNT1364" s="110"/>
      <c r="BNU1364" s="110"/>
      <c r="BNV1364" s="110"/>
      <c r="BNW1364" s="110"/>
      <c r="BNX1364" s="110"/>
      <c r="BNY1364" s="110"/>
      <c r="BNZ1364" s="110"/>
      <c r="BOA1364" s="110"/>
      <c r="BOB1364" s="110"/>
      <c r="BOC1364" s="110"/>
      <c r="BOD1364" s="110"/>
      <c r="BOE1364" s="110"/>
      <c r="BOF1364" s="110"/>
      <c r="BOG1364" s="110"/>
      <c r="BOH1364" s="110"/>
      <c r="BOI1364" s="110"/>
      <c r="BOJ1364" s="110"/>
      <c r="BOK1364" s="110"/>
      <c r="BOL1364" s="110"/>
      <c r="BOM1364" s="110"/>
      <c r="BON1364" s="110"/>
      <c r="BOO1364" s="110"/>
      <c r="BOP1364" s="110"/>
      <c r="BOQ1364" s="110"/>
      <c r="BOR1364" s="110"/>
      <c r="BOS1364" s="110"/>
      <c r="BOT1364" s="110"/>
      <c r="BOU1364" s="110"/>
      <c r="BOV1364" s="110"/>
      <c r="BOW1364" s="110"/>
      <c r="BOX1364" s="110"/>
      <c r="BOY1364" s="110"/>
      <c r="BOZ1364" s="110"/>
      <c r="BPA1364" s="110"/>
      <c r="BPB1364" s="110"/>
      <c r="BPC1364" s="110"/>
      <c r="BPD1364" s="110"/>
      <c r="BPE1364" s="110"/>
      <c r="BPF1364" s="110"/>
      <c r="BPG1364" s="110"/>
      <c r="BPH1364" s="110"/>
      <c r="BPI1364" s="110"/>
      <c r="BPJ1364" s="110"/>
      <c r="BPK1364" s="110"/>
      <c r="BPL1364" s="110"/>
      <c r="BPM1364" s="110"/>
      <c r="BPN1364" s="110"/>
      <c r="BPO1364" s="110"/>
      <c r="BPP1364" s="110"/>
      <c r="BPQ1364" s="110"/>
      <c r="BPR1364" s="110"/>
      <c r="BPS1364" s="110"/>
      <c r="BPT1364" s="110"/>
      <c r="BPU1364" s="110"/>
      <c r="BPV1364" s="110"/>
      <c r="BPW1364" s="110"/>
      <c r="BPX1364" s="110"/>
      <c r="BPY1364" s="110"/>
      <c r="BPZ1364" s="110"/>
      <c r="BQA1364" s="110"/>
      <c r="BQB1364" s="110"/>
      <c r="BQC1364" s="110"/>
      <c r="BQD1364" s="110"/>
      <c r="BQE1364" s="110"/>
      <c r="BQF1364" s="110"/>
      <c r="BQG1364" s="110"/>
      <c r="BQH1364" s="110"/>
      <c r="BQI1364" s="110"/>
      <c r="BQJ1364" s="110"/>
      <c r="BQK1364" s="110"/>
      <c r="BQL1364" s="110"/>
      <c r="BQM1364" s="110"/>
      <c r="BQN1364" s="110"/>
      <c r="BQO1364" s="110"/>
      <c r="BQP1364" s="110"/>
      <c r="BQQ1364" s="110"/>
      <c r="BQR1364" s="110"/>
      <c r="BQS1364" s="110"/>
      <c r="BQT1364" s="110"/>
      <c r="BQU1364" s="110"/>
      <c r="BQV1364" s="110"/>
      <c r="BQW1364" s="110"/>
      <c r="BQX1364" s="110"/>
      <c r="BQY1364" s="110"/>
      <c r="BQZ1364" s="110"/>
      <c r="BRA1364" s="110"/>
      <c r="BRB1364" s="110"/>
      <c r="BRC1364" s="110"/>
      <c r="BRD1364" s="110"/>
      <c r="BRE1364" s="110"/>
      <c r="BRF1364" s="110"/>
      <c r="BRG1364" s="110"/>
      <c r="BRH1364" s="110"/>
      <c r="BRI1364" s="110"/>
      <c r="BRJ1364" s="110"/>
      <c r="BRK1364" s="110"/>
      <c r="BRL1364" s="110"/>
      <c r="BRM1364" s="110"/>
      <c r="BRN1364" s="110"/>
      <c r="BRO1364" s="110"/>
      <c r="BRP1364" s="110"/>
      <c r="BRQ1364" s="110"/>
      <c r="BRR1364" s="110"/>
      <c r="BRS1364" s="110"/>
      <c r="BRT1364" s="110"/>
      <c r="BRU1364" s="110"/>
      <c r="BRV1364" s="110"/>
      <c r="BRW1364" s="110"/>
      <c r="BRX1364" s="110"/>
      <c r="BRY1364" s="110"/>
      <c r="BRZ1364" s="110"/>
      <c r="BSA1364" s="110"/>
      <c r="BSB1364" s="110"/>
      <c r="BSC1364" s="110"/>
      <c r="BSD1364" s="110"/>
      <c r="BSE1364" s="110"/>
      <c r="BSF1364" s="110"/>
      <c r="BSG1364" s="110"/>
      <c r="BSH1364" s="110"/>
      <c r="BSI1364" s="110"/>
      <c r="BSJ1364" s="110"/>
      <c r="BSK1364" s="110"/>
      <c r="BSL1364" s="110"/>
      <c r="BSM1364" s="110"/>
      <c r="BSN1364" s="110"/>
      <c r="BSO1364" s="110"/>
      <c r="BSP1364" s="110"/>
      <c r="BSQ1364" s="110"/>
      <c r="BSR1364" s="110"/>
      <c r="BSS1364" s="110"/>
      <c r="BST1364" s="110"/>
      <c r="BSU1364" s="110"/>
      <c r="BSV1364" s="110"/>
      <c r="BSW1364" s="110"/>
      <c r="BSX1364" s="110"/>
      <c r="BSY1364" s="110"/>
      <c r="BSZ1364" s="110"/>
      <c r="BTA1364" s="110"/>
      <c r="BTB1364" s="110"/>
      <c r="BTC1364" s="110"/>
      <c r="BTD1364" s="110"/>
      <c r="BTE1364" s="110"/>
      <c r="BTF1364" s="110"/>
      <c r="BTG1364" s="110"/>
      <c r="BTH1364" s="110"/>
      <c r="BTI1364" s="110"/>
      <c r="BTJ1364" s="110"/>
      <c r="BTK1364" s="110"/>
      <c r="BTL1364" s="110"/>
      <c r="BTM1364" s="110"/>
      <c r="BTN1364" s="110"/>
      <c r="BTO1364" s="110"/>
      <c r="BTP1364" s="110"/>
      <c r="BTQ1364" s="110"/>
      <c r="BTR1364" s="110"/>
      <c r="BTS1364" s="110"/>
      <c r="BTT1364" s="110"/>
      <c r="BTU1364" s="110"/>
      <c r="BTV1364" s="110"/>
      <c r="BTW1364" s="110"/>
      <c r="BTX1364" s="110"/>
      <c r="BTY1364" s="110"/>
      <c r="BTZ1364" s="110"/>
      <c r="BUA1364" s="110"/>
      <c r="BUB1364" s="110"/>
      <c r="BUC1364" s="110"/>
      <c r="BUD1364" s="110"/>
      <c r="BUE1364" s="110"/>
      <c r="BUF1364" s="110"/>
      <c r="BUG1364" s="110"/>
      <c r="BUH1364" s="110"/>
      <c r="BUI1364" s="110"/>
      <c r="BUJ1364" s="110"/>
      <c r="BUK1364" s="110"/>
      <c r="BUL1364" s="110"/>
      <c r="BUM1364" s="110"/>
      <c r="BUN1364" s="110"/>
      <c r="BUO1364" s="110"/>
      <c r="BUP1364" s="110"/>
      <c r="BUQ1364" s="110"/>
      <c r="BUR1364" s="110"/>
      <c r="BUS1364" s="110"/>
      <c r="BUT1364" s="110"/>
      <c r="BUU1364" s="110"/>
      <c r="BUV1364" s="110"/>
      <c r="BUW1364" s="110"/>
      <c r="BUX1364" s="110"/>
      <c r="BUY1364" s="110"/>
      <c r="BUZ1364" s="110"/>
      <c r="BVA1364" s="110"/>
      <c r="BVB1364" s="110"/>
      <c r="BVC1364" s="110"/>
      <c r="BVD1364" s="110"/>
      <c r="BVE1364" s="110"/>
      <c r="BVF1364" s="110"/>
      <c r="BVG1364" s="110"/>
      <c r="BVH1364" s="110"/>
      <c r="BVI1364" s="110"/>
      <c r="BVJ1364" s="110"/>
      <c r="BVK1364" s="110"/>
      <c r="BVL1364" s="110"/>
      <c r="BVM1364" s="110"/>
      <c r="BVN1364" s="110"/>
      <c r="BVO1364" s="110"/>
      <c r="BVP1364" s="110"/>
      <c r="BVQ1364" s="110"/>
      <c r="BVR1364" s="110"/>
      <c r="BVS1364" s="110"/>
      <c r="BVT1364" s="110"/>
      <c r="BVU1364" s="110"/>
      <c r="BVV1364" s="110"/>
      <c r="BVW1364" s="110"/>
      <c r="BVX1364" s="110"/>
      <c r="BVY1364" s="110"/>
      <c r="BVZ1364" s="110"/>
      <c r="BWA1364" s="110"/>
      <c r="BWB1364" s="110"/>
      <c r="BWC1364" s="110"/>
      <c r="BWD1364" s="110"/>
      <c r="BWE1364" s="110"/>
      <c r="BWF1364" s="110"/>
      <c r="BWG1364" s="110"/>
      <c r="BWH1364" s="110"/>
      <c r="BWI1364" s="110"/>
      <c r="BWJ1364" s="110"/>
      <c r="BWK1364" s="110"/>
      <c r="BWL1364" s="110"/>
      <c r="BWM1364" s="110"/>
      <c r="BWN1364" s="110"/>
      <c r="BWO1364" s="110"/>
      <c r="BWP1364" s="110"/>
      <c r="BWQ1364" s="110"/>
      <c r="BWR1364" s="110"/>
      <c r="BWS1364" s="110"/>
      <c r="BWT1364" s="110"/>
      <c r="BWU1364" s="110"/>
      <c r="BWV1364" s="110"/>
      <c r="BWW1364" s="110"/>
      <c r="BWX1364" s="110"/>
      <c r="BWY1364" s="110"/>
      <c r="BWZ1364" s="110"/>
      <c r="BXA1364" s="110"/>
      <c r="BXB1364" s="110"/>
      <c r="BXC1364" s="110"/>
      <c r="BXD1364" s="110"/>
      <c r="BXE1364" s="110"/>
      <c r="BXF1364" s="110"/>
      <c r="BXG1364" s="110"/>
      <c r="BXH1364" s="110"/>
      <c r="BXI1364" s="110"/>
      <c r="BXJ1364" s="110"/>
      <c r="BXK1364" s="110"/>
      <c r="BXL1364" s="110"/>
      <c r="BXM1364" s="110"/>
      <c r="BXN1364" s="110"/>
      <c r="BXO1364" s="110"/>
      <c r="BXP1364" s="110"/>
      <c r="BXQ1364" s="110"/>
      <c r="BXR1364" s="110"/>
      <c r="BXS1364" s="110"/>
      <c r="BXT1364" s="110"/>
      <c r="BXU1364" s="110"/>
      <c r="BXV1364" s="110"/>
      <c r="BXW1364" s="110"/>
      <c r="BXX1364" s="110"/>
      <c r="BXY1364" s="110"/>
      <c r="BXZ1364" s="110"/>
      <c r="BYA1364" s="110"/>
      <c r="BYB1364" s="110"/>
      <c r="BYC1364" s="110"/>
      <c r="BYD1364" s="110"/>
      <c r="BYE1364" s="110"/>
      <c r="BYF1364" s="110"/>
      <c r="BYG1364" s="110"/>
      <c r="BYH1364" s="110"/>
      <c r="BYI1364" s="110"/>
      <c r="BYJ1364" s="110"/>
      <c r="BYK1364" s="110"/>
      <c r="BYL1364" s="110"/>
      <c r="BYM1364" s="110"/>
      <c r="BYN1364" s="110"/>
      <c r="BYO1364" s="110"/>
      <c r="BYP1364" s="110"/>
      <c r="BYQ1364" s="110"/>
      <c r="BYR1364" s="110"/>
      <c r="BYS1364" s="110"/>
      <c r="BYT1364" s="110"/>
      <c r="BYU1364" s="110"/>
      <c r="BYV1364" s="110"/>
      <c r="BYW1364" s="110"/>
      <c r="BYX1364" s="110"/>
      <c r="BYY1364" s="110"/>
      <c r="BYZ1364" s="110"/>
      <c r="BZA1364" s="110"/>
      <c r="BZB1364" s="110"/>
      <c r="BZC1364" s="110"/>
      <c r="BZD1364" s="110"/>
      <c r="BZE1364" s="110"/>
      <c r="BZF1364" s="110"/>
      <c r="BZG1364" s="110"/>
      <c r="BZH1364" s="110"/>
      <c r="BZI1364" s="110"/>
      <c r="BZJ1364" s="110"/>
      <c r="BZK1364" s="110"/>
      <c r="BZL1364" s="110"/>
      <c r="BZM1364" s="110"/>
      <c r="BZN1364" s="110"/>
      <c r="BZO1364" s="110"/>
      <c r="BZP1364" s="110"/>
      <c r="BZQ1364" s="110"/>
      <c r="BZR1364" s="110"/>
      <c r="BZS1364" s="110"/>
      <c r="BZT1364" s="110"/>
      <c r="BZU1364" s="110"/>
      <c r="BZV1364" s="110"/>
      <c r="BZW1364" s="110"/>
      <c r="BZX1364" s="110"/>
      <c r="BZY1364" s="110"/>
      <c r="BZZ1364" s="110"/>
      <c r="CAA1364" s="110"/>
      <c r="CAB1364" s="110"/>
      <c r="CAC1364" s="110"/>
      <c r="CAD1364" s="110"/>
      <c r="CAE1364" s="110"/>
      <c r="CAF1364" s="110"/>
      <c r="CAG1364" s="110"/>
      <c r="CAH1364" s="110"/>
      <c r="CAI1364" s="110"/>
      <c r="CAJ1364" s="110"/>
      <c r="CAK1364" s="110"/>
      <c r="CAL1364" s="110"/>
      <c r="CAM1364" s="110"/>
      <c r="CAN1364" s="110"/>
      <c r="CAO1364" s="110"/>
      <c r="CAP1364" s="110"/>
      <c r="CAQ1364" s="110"/>
      <c r="CAR1364" s="110"/>
      <c r="CAS1364" s="110"/>
      <c r="CAT1364" s="110"/>
      <c r="CAU1364" s="110"/>
      <c r="CAV1364" s="110"/>
      <c r="CAW1364" s="110"/>
      <c r="CAX1364" s="110"/>
      <c r="CAY1364" s="110"/>
      <c r="CAZ1364" s="110"/>
      <c r="CBA1364" s="110"/>
      <c r="CBB1364" s="110"/>
      <c r="CBC1364" s="110"/>
      <c r="CBD1364" s="110"/>
      <c r="CBE1364" s="110"/>
      <c r="CBF1364" s="110"/>
      <c r="CBG1364" s="110"/>
      <c r="CBH1364" s="110"/>
      <c r="CBI1364" s="110"/>
      <c r="CBJ1364" s="110"/>
      <c r="CBK1364" s="110"/>
      <c r="CBL1364" s="110"/>
      <c r="CBM1364" s="110"/>
      <c r="CBN1364" s="110"/>
      <c r="CBO1364" s="110"/>
      <c r="CBP1364" s="110"/>
      <c r="CBQ1364" s="110"/>
      <c r="CBR1364" s="110"/>
      <c r="CBS1364" s="110"/>
      <c r="CBT1364" s="110"/>
      <c r="CBU1364" s="110"/>
      <c r="CBV1364" s="110"/>
      <c r="CBW1364" s="110"/>
      <c r="CBX1364" s="110"/>
      <c r="CBY1364" s="110"/>
      <c r="CBZ1364" s="110"/>
      <c r="CCA1364" s="110"/>
      <c r="CCB1364" s="110"/>
      <c r="CCC1364" s="110"/>
      <c r="CCD1364" s="110"/>
      <c r="CCE1364" s="110"/>
      <c r="CCF1364" s="110"/>
      <c r="CCG1364" s="110"/>
      <c r="CCH1364" s="110"/>
      <c r="CCI1364" s="110"/>
      <c r="CCJ1364" s="110"/>
      <c r="CCK1364" s="110"/>
      <c r="CCL1364" s="110"/>
      <c r="CCM1364" s="110"/>
      <c r="CCN1364" s="110"/>
      <c r="CCO1364" s="110"/>
      <c r="CCP1364" s="110"/>
      <c r="CCQ1364" s="110"/>
      <c r="CCR1364" s="110"/>
      <c r="CCS1364" s="110"/>
      <c r="CCT1364" s="110"/>
      <c r="CCU1364" s="110"/>
      <c r="CCV1364" s="110"/>
      <c r="CCW1364" s="110"/>
      <c r="CCX1364" s="110"/>
      <c r="CCY1364" s="110"/>
      <c r="CCZ1364" s="110"/>
      <c r="CDA1364" s="110"/>
      <c r="CDB1364" s="110"/>
      <c r="CDC1364" s="110"/>
      <c r="CDD1364" s="110"/>
      <c r="CDE1364" s="110"/>
      <c r="CDF1364" s="110"/>
      <c r="CDG1364" s="110"/>
      <c r="CDH1364" s="110"/>
      <c r="CDI1364" s="110"/>
      <c r="CDJ1364" s="110"/>
      <c r="CDK1364" s="110"/>
      <c r="CDL1364" s="110"/>
      <c r="CDM1364" s="110"/>
      <c r="CDN1364" s="110"/>
      <c r="CDO1364" s="110"/>
      <c r="CDP1364" s="110"/>
      <c r="CDQ1364" s="110"/>
      <c r="CDR1364" s="110"/>
      <c r="CDS1364" s="110"/>
      <c r="CDT1364" s="110"/>
      <c r="CDU1364" s="110"/>
      <c r="CDV1364" s="110"/>
      <c r="CDW1364" s="110"/>
      <c r="CDX1364" s="110"/>
      <c r="CDY1364" s="110"/>
      <c r="CDZ1364" s="110"/>
      <c r="CEA1364" s="110"/>
      <c r="CEB1364" s="110"/>
      <c r="CEC1364" s="110"/>
      <c r="CED1364" s="110"/>
      <c r="CEE1364" s="110"/>
      <c r="CEF1364" s="110"/>
      <c r="CEG1364" s="110"/>
      <c r="CEH1364" s="110"/>
      <c r="CEI1364" s="110"/>
      <c r="CEJ1364" s="110"/>
      <c r="CEK1364" s="110"/>
      <c r="CEL1364" s="110"/>
      <c r="CEM1364" s="110"/>
      <c r="CEN1364" s="110"/>
      <c r="CEO1364" s="110"/>
      <c r="CEP1364" s="110"/>
      <c r="CEQ1364" s="110"/>
      <c r="CER1364" s="110"/>
      <c r="CES1364" s="110"/>
      <c r="CET1364" s="110"/>
      <c r="CEU1364" s="110"/>
      <c r="CEV1364" s="110"/>
      <c r="CEW1364" s="110"/>
      <c r="CEX1364" s="110"/>
      <c r="CEY1364" s="110"/>
      <c r="CEZ1364" s="110"/>
      <c r="CFA1364" s="110"/>
      <c r="CFB1364" s="110"/>
      <c r="CFC1364" s="110"/>
      <c r="CFD1364" s="110"/>
      <c r="CFE1364" s="110"/>
      <c r="CFF1364" s="110"/>
      <c r="CFG1364" s="110"/>
      <c r="CFH1364" s="110"/>
      <c r="CFI1364" s="110"/>
      <c r="CFJ1364" s="110"/>
      <c r="CFK1364" s="110"/>
      <c r="CFL1364" s="110"/>
      <c r="CFM1364" s="110"/>
      <c r="CFN1364" s="110"/>
      <c r="CFO1364" s="110"/>
      <c r="CFP1364" s="110"/>
      <c r="CFQ1364" s="110"/>
      <c r="CFR1364" s="110"/>
      <c r="CFS1364" s="110"/>
      <c r="CFT1364" s="110"/>
      <c r="CFU1364" s="110"/>
      <c r="CFV1364" s="110"/>
      <c r="CFW1364" s="110"/>
      <c r="CFX1364" s="110"/>
      <c r="CFY1364" s="110"/>
      <c r="CFZ1364" s="110"/>
      <c r="CGA1364" s="110"/>
      <c r="CGB1364" s="110"/>
      <c r="CGC1364" s="110"/>
      <c r="CGD1364" s="110"/>
      <c r="CGE1364" s="110"/>
      <c r="CGF1364" s="110"/>
      <c r="CGG1364" s="110"/>
      <c r="CGH1364" s="110"/>
      <c r="CGI1364" s="110"/>
      <c r="CGJ1364" s="110"/>
      <c r="CGK1364" s="110"/>
      <c r="CGL1364" s="110"/>
      <c r="CGM1364" s="110"/>
      <c r="CGN1364" s="110"/>
      <c r="CGO1364" s="110"/>
      <c r="CGP1364" s="110"/>
      <c r="CGQ1364" s="110"/>
      <c r="CGR1364" s="110"/>
      <c r="CGS1364" s="110"/>
      <c r="CGT1364" s="110"/>
      <c r="CGU1364" s="110"/>
      <c r="CGV1364" s="110"/>
      <c r="CGW1364" s="110"/>
      <c r="CGX1364" s="110"/>
      <c r="CGY1364" s="110"/>
      <c r="CGZ1364" s="110"/>
      <c r="CHA1364" s="110"/>
      <c r="CHB1364" s="110"/>
      <c r="CHC1364" s="110"/>
      <c r="CHD1364" s="110"/>
      <c r="CHE1364" s="110"/>
      <c r="CHF1364" s="110"/>
      <c r="CHG1364" s="110"/>
      <c r="CHH1364" s="110"/>
      <c r="CHI1364" s="110"/>
      <c r="CHJ1364" s="110"/>
      <c r="CHK1364" s="110"/>
      <c r="CHL1364" s="110"/>
      <c r="CHM1364" s="110"/>
      <c r="CHN1364" s="110"/>
      <c r="CHO1364" s="110"/>
      <c r="CHP1364" s="110"/>
      <c r="CHQ1364" s="110"/>
      <c r="CHR1364" s="110"/>
      <c r="CHS1364" s="110"/>
      <c r="CHT1364" s="110"/>
      <c r="CHU1364" s="110"/>
      <c r="CHV1364" s="110"/>
      <c r="CHW1364" s="110"/>
      <c r="CHX1364" s="110"/>
      <c r="CHY1364" s="110"/>
      <c r="CHZ1364" s="110"/>
      <c r="CIA1364" s="110"/>
      <c r="CIB1364" s="110"/>
      <c r="CIC1364" s="110"/>
      <c r="CID1364" s="110"/>
      <c r="CIE1364" s="110"/>
      <c r="CIF1364" s="110"/>
      <c r="CIG1364" s="110"/>
      <c r="CIH1364" s="110"/>
      <c r="CII1364" s="110"/>
      <c r="CIJ1364" s="110"/>
      <c r="CIK1364" s="110"/>
      <c r="CIL1364" s="110"/>
      <c r="CIM1364" s="110"/>
      <c r="CIN1364" s="110"/>
      <c r="CIO1364" s="110"/>
      <c r="CIP1364" s="110"/>
      <c r="CIQ1364" s="110"/>
      <c r="CIR1364" s="110"/>
      <c r="CIS1364" s="110"/>
      <c r="CIT1364" s="110"/>
      <c r="CIU1364" s="110"/>
      <c r="CIV1364" s="110"/>
      <c r="CIW1364" s="110"/>
      <c r="CIX1364" s="110"/>
      <c r="CIY1364" s="110"/>
      <c r="CIZ1364" s="110"/>
      <c r="CJA1364" s="110"/>
      <c r="CJB1364" s="110"/>
      <c r="CJC1364" s="110"/>
      <c r="CJD1364" s="110"/>
      <c r="CJE1364" s="110"/>
      <c r="CJF1364" s="110"/>
      <c r="CJG1364" s="110"/>
      <c r="CJH1364" s="110"/>
      <c r="CJI1364" s="110"/>
      <c r="CJJ1364" s="110"/>
      <c r="CJK1364" s="110"/>
      <c r="CJL1364" s="110"/>
      <c r="CJM1364" s="110"/>
      <c r="CJN1364" s="110"/>
      <c r="CJO1364" s="110"/>
      <c r="CJP1364" s="110"/>
      <c r="CJQ1364" s="110"/>
      <c r="CJR1364" s="110"/>
      <c r="CJS1364" s="110"/>
      <c r="CJT1364" s="110"/>
      <c r="CJU1364" s="110"/>
      <c r="CJV1364" s="110"/>
      <c r="CJW1364" s="110"/>
      <c r="CJX1364" s="110"/>
      <c r="CJY1364" s="110"/>
      <c r="CJZ1364" s="110"/>
      <c r="CKA1364" s="110"/>
      <c r="CKB1364" s="110"/>
      <c r="CKC1364" s="110"/>
      <c r="CKD1364" s="110"/>
      <c r="CKE1364" s="110"/>
      <c r="CKF1364" s="110"/>
      <c r="CKG1364" s="110"/>
      <c r="CKH1364" s="110"/>
      <c r="CKI1364" s="110"/>
      <c r="CKJ1364" s="110"/>
      <c r="CKK1364" s="110"/>
      <c r="CKL1364" s="110"/>
      <c r="CKM1364" s="110"/>
      <c r="CKN1364" s="110"/>
      <c r="CKO1364" s="110"/>
      <c r="CKP1364" s="110"/>
      <c r="CKQ1364" s="110"/>
      <c r="CKR1364" s="110"/>
      <c r="CKS1364" s="110"/>
      <c r="CKT1364" s="110"/>
      <c r="CKU1364" s="110"/>
      <c r="CKV1364" s="110"/>
      <c r="CKW1364" s="110"/>
      <c r="CKX1364" s="110"/>
      <c r="CKY1364" s="110"/>
      <c r="CKZ1364" s="110"/>
      <c r="CLA1364" s="110"/>
      <c r="CLB1364" s="110"/>
      <c r="CLC1364" s="110"/>
      <c r="CLD1364" s="110"/>
      <c r="CLE1364" s="110"/>
      <c r="CLF1364" s="110"/>
      <c r="CLG1364" s="110"/>
      <c r="CLH1364" s="110"/>
      <c r="CLI1364" s="110"/>
      <c r="CLJ1364" s="110"/>
      <c r="CLK1364" s="110"/>
      <c r="CLL1364" s="110"/>
      <c r="CLM1364" s="110"/>
      <c r="CLN1364" s="110"/>
      <c r="CLO1364" s="110"/>
      <c r="CLP1364" s="110"/>
      <c r="CLQ1364" s="110"/>
      <c r="CLR1364" s="110"/>
      <c r="CLS1364" s="110"/>
      <c r="CLT1364" s="110"/>
      <c r="CLU1364" s="110"/>
      <c r="CLV1364" s="110"/>
      <c r="CLW1364" s="110"/>
      <c r="CLX1364" s="110"/>
      <c r="CLY1364" s="110"/>
      <c r="CLZ1364" s="110"/>
      <c r="CMA1364" s="110"/>
      <c r="CMB1364" s="110"/>
      <c r="CMC1364" s="110"/>
      <c r="CMD1364" s="110"/>
      <c r="CME1364" s="110"/>
      <c r="CMF1364" s="110"/>
      <c r="CMG1364" s="110"/>
      <c r="CMH1364" s="110"/>
      <c r="CMI1364" s="110"/>
      <c r="CMJ1364" s="110"/>
      <c r="CMK1364" s="110"/>
      <c r="CML1364" s="110"/>
      <c r="CMM1364" s="110"/>
      <c r="CMN1364" s="110"/>
      <c r="CMO1364" s="110"/>
      <c r="CMP1364" s="110"/>
      <c r="CMQ1364" s="110"/>
      <c r="CMR1364" s="110"/>
      <c r="CMS1364" s="110"/>
      <c r="CMT1364" s="110"/>
      <c r="CMU1364" s="110"/>
      <c r="CMV1364" s="110"/>
      <c r="CMW1364" s="110"/>
      <c r="CMX1364" s="110"/>
      <c r="CMY1364" s="110"/>
      <c r="CMZ1364" s="110"/>
      <c r="CNA1364" s="110"/>
      <c r="CNB1364" s="110"/>
      <c r="CNC1364" s="110"/>
      <c r="CND1364" s="110"/>
      <c r="CNE1364" s="110"/>
      <c r="CNF1364" s="110"/>
      <c r="CNG1364" s="110"/>
      <c r="CNH1364" s="110"/>
      <c r="CNI1364" s="110"/>
      <c r="CNJ1364" s="110"/>
      <c r="CNK1364" s="110"/>
      <c r="CNL1364" s="110"/>
      <c r="CNM1364" s="110"/>
      <c r="CNN1364" s="110"/>
      <c r="CNO1364" s="110"/>
      <c r="CNP1364" s="110"/>
      <c r="CNQ1364" s="110"/>
      <c r="CNR1364" s="110"/>
      <c r="CNS1364" s="110"/>
      <c r="CNT1364" s="110"/>
      <c r="CNU1364" s="110"/>
      <c r="CNV1364" s="110"/>
      <c r="CNW1364" s="110"/>
      <c r="CNX1364" s="110"/>
      <c r="CNY1364" s="110"/>
      <c r="CNZ1364" s="110"/>
      <c r="COA1364" s="110"/>
      <c r="COB1364" s="110"/>
      <c r="COC1364" s="110"/>
      <c r="COD1364" s="110"/>
      <c r="COE1364" s="110"/>
      <c r="COF1364" s="110"/>
      <c r="COG1364" s="110"/>
      <c r="COH1364" s="110"/>
      <c r="COI1364" s="110"/>
      <c r="COJ1364" s="110"/>
      <c r="COK1364" s="110"/>
      <c r="COL1364" s="110"/>
      <c r="COM1364" s="110"/>
      <c r="CON1364" s="110"/>
      <c r="COO1364" s="110"/>
      <c r="COP1364" s="110"/>
      <c r="COQ1364" s="110"/>
      <c r="COR1364" s="110"/>
      <c r="COS1364" s="110"/>
      <c r="COT1364" s="110"/>
      <c r="COU1364" s="110"/>
      <c r="COV1364" s="110"/>
      <c r="COW1364" s="110"/>
      <c r="COX1364" s="110"/>
      <c r="COY1364" s="110"/>
      <c r="COZ1364" s="110"/>
      <c r="CPA1364" s="110"/>
      <c r="CPB1364" s="110"/>
      <c r="CPC1364" s="110"/>
      <c r="CPD1364" s="110"/>
      <c r="CPE1364" s="110"/>
      <c r="CPF1364" s="110"/>
      <c r="CPG1364" s="110"/>
      <c r="CPH1364" s="110"/>
      <c r="CPI1364" s="110"/>
      <c r="CPJ1364" s="110"/>
      <c r="CPK1364" s="110"/>
      <c r="CPL1364" s="110"/>
      <c r="CPM1364" s="110"/>
      <c r="CPN1364" s="110"/>
      <c r="CPO1364" s="110"/>
      <c r="CPP1364" s="110"/>
      <c r="CPQ1364" s="110"/>
      <c r="CPR1364" s="110"/>
      <c r="CPS1364" s="110"/>
      <c r="CPT1364" s="110"/>
      <c r="CPU1364" s="110"/>
      <c r="CPV1364" s="110"/>
      <c r="CPW1364" s="110"/>
      <c r="CPX1364" s="110"/>
      <c r="CPY1364" s="110"/>
      <c r="CPZ1364" s="110"/>
      <c r="CQA1364" s="110"/>
      <c r="CQB1364" s="110"/>
      <c r="CQC1364" s="110"/>
      <c r="CQD1364" s="110"/>
      <c r="CQE1364" s="110"/>
      <c r="CQF1364" s="110"/>
      <c r="CQG1364" s="110"/>
      <c r="CQH1364" s="110"/>
      <c r="CQI1364" s="110"/>
      <c r="CQJ1364" s="110"/>
      <c r="CQK1364" s="110"/>
      <c r="CQL1364" s="110"/>
      <c r="CQM1364" s="110"/>
      <c r="CQN1364" s="110"/>
      <c r="CQO1364" s="110"/>
      <c r="CQP1364" s="110"/>
      <c r="CQQ1364" s="110"/>
      <c r="CQR1364" s="110"/>
      <c r="CQS1364" s="110"/>
      <c r="CQT1364" s="110"/>
      <c r="CQU1364" s="110"/>
      <c r="CQV1364" s="110"/>
      <c r="CQW1364" s="110"/>
      <c r="CQX1364" s="110"/>
      <c r="CQY1364" s="110"/>
      <c r="CQZ1364" s="110"/>
      <c r="CRA1364" s="110"/>
      <c r="CRB1364" s="110"/>
      <c r="CRC1364" s="110"/>
      <c r="CRD1364" s="110"/>
      <c r="CRE1364" s="110"/>
      <c r="CRF1364" s="110"/>
      <c r="CRG1364" s="110"/>
      <c r="CRH1364" s="110"/>
      <c r="CRI1364" s="110"/>
      <c r="CRJ1364" s="110"/>
      <c r="CRK1364" s="110"/>
      <c r="CRL1364" s="110"/>
      <c r="CRM1364" s="110"/>
      <c r="CRN1364" s="110"/>
      <c r="CRO1364" s="110"/>
      <c r="CRP1364" s="110"/>
      <c r="CRQ1364" s="110"/>
      <c r="CRR1364" s="110"/>
      <c r="CRS1364" s="110"/>
      <c r="CRT1364" s="110"/>
      <c r="CRU1364" s="110"/>
      <c r="CRV1364" s="110"/>
      <c r="CRW1364" s="110"/>
      <c r="CRX1364" s="110"/>
      <c r="CRY1364" s="110"/>
      <c r="CRZ1364" s="110"/>
      <c r="CSA1364" s="110"/>
      <c r="CSB1364" s="110"/>
      <c r="CSC1364" s="110"/>
      <c r="CSD1364" s="110"/>
      <c r="CSE1364" s="110"/>
      <c r="CSF1364" s="110"/>
      <c r="CSG1364" s="110"/>
      <c r="CSH1364" s="110"/>
      <c r="CSI1364" s="110"/>
      <c r="CSJ1364" s="110"/>
      <c r="CSK1364" s="110"/>
      <c r="CSL1364" s="110"/>
      <c r="CSM1364" s="110"/>
      <c r="CSN1364" s="110"/>
      <c r="CSO1364" s="110"/>
      <c r="CSP1364" s="110"/>
      <c r="CSQ1364" s="110"/>
      <c r="CSR1364" s="110"/>
      <c r="CSS1364" s="110"/>
      <c r="CST1364" s="110"/>
      <c r="CSU1364" s="110"/>
      <c r="CSV1364" s="110"/>
      <c r="CSW1364" s="110"/>
      <c r="CSX1364" s="110"/>
      <c r="CSY1364" s="110"/>
      <c r="CSZ1364" s="110"/>
      <c r="CTA1364" s="110"/>
      <c r="CTB1364" s="110"/>
      <c r="CTC1364" s="110"/>
      <c r="CTD1364" s="110"/>
      <c r="CTE1364" s="110"/>
      <c r="CTF1364" s="110"/>
      <c r="CTG1364" s="110"/>
      <c r="CTH1364" s="110"/>
      <c r="CTI1364" s="110"/>
      <c r="CTJ1364" s="110"/>
      <c r="CTK1364" s="110"/>
      <c r="CTL1364" s="110"/>
      <c r="CTM1364" s="110"/>
      <c r="CTN1364" s="110"/>
      <c r="CTO1364" s="110"/>
      <c r="CTP1364" s="110"/>
      <c r="CTQ1364" s="110"/>
      <c r="CTR1364" s="110"/>
      <c r="CTS1364" s="110"/>
      <c r="CTT1364" s="110"/>
      <c r="CTU1364" s="110"/>
      <c r="CTV1364" s="110"/>
      <c r="CTW1364" s="110"/>
      <c r="CTX1364" s="110"/>
      <c r="CTY1364" s="110"/>
      <c r="CTZ1364" s="110"/>
      <c r="CUA1364" s="110"/>
      <c r="CUB1364" s="110"/>
      <c r="CUC1364" s="110"/>
      <c r="CUD1364" s="110"/>
      <c r="CUE1364" s="110"/>
      <c r="CUF1364" s="110"/>
      <c r="CUG1364" s="110"/>
      <c r="CUH1364" s="110"/>
      <c r="CUI1364" s="110"/>
      <c r="CUJ1364" s="110"/>
      <c r="CUK1364" s="110"/>
      <c r="CUL1364" s="110"/>
      <c r="CUM1364" s="110"/>
      <c r="CUN1364" s="110"/>
      <c r="CUO1364" s="110"/>
      <c r="CUP1364" s="110"/>
      <c r="CUQ1364" s="110"/>
      <c r="CUR1364" s="110"/>
      <c r="CUS1364" s="110"/>
      <c r="CUT1364" s="110"/>
      <c r="CUU1364" s="110"/>
      <c r="CUV1364" s="110"/>
      <c r="CUW1364" s="110"/>
      <c r="CUX1364" s="110"/>
      <c r="CUY1364" s="110"/>
      <c r="CUZ1364" s="110"/>
      <c r="CVA1364" s="110"/>
      <c r="CVB1364" s="110"/>
      <c r="CVC1364" s="110"/>
      <c r="CVD1364" s="110"/>
      <c r="CVE1364" s="110"/>
      <c r="CVF1364" s="110"/>
      <c r="CVG1364" s="110"/>
      <c r="CVH1364" s="110"/>
      <c r="CVI1364" s="110"/>
      <c r="CVJ1364" s="110"/>
      <c r="CVK1364" s="110"/>
      <c r="CVL1364" s="110"/>
      <c r="CVM1364" s="110"/>
      <c r="CVN1364" s="110"/>
      <c r="CVO1364" s="110"/>
      <c r="CVP1364" s="110"/>
      <c r="CVQ1364" s="110"/>
      <c r="CVR1364" s="110"/>
      <c r="CVS1364" s="110"/>
      <c r="CVT1364" s="110"/>
      <c r="CVU1364" s="110"/>
      <c r="CVV1364" s="110"/>
      <c r="CVW1364" s="110"/>
      <c r="CVX1364" s="110"/>
      <c r="CVY1364" s="110"/>
      <c r="CVZ1364" s="110"/>
      <c r="CWA1364" s="110"/>
      <c r="CWB1364" s="110"/>
      <c r="CWC1364" s="110"/>
      <c r="CWD1364" s="110"/>
      <c r="CWE1364" s="110"/>
      <c r="CWF1364" s="110"/>
      <c r="CWG1364" s="110"/>
      <c r="CWH1364" s="110"/>
      <c r="CWI1364" s="110"/>
      <c r="CWJ1364" s="110"/>
      <c r="CWK1364" s="110"/>
      <c r="CWL1364" s="110"/>
      <c r="CWM1364" s="110"/>
      <c r="CWN1364" s="110"/>
      <c r="CWO1364" s="110"/>
      <c r="CWP1364" s="110"/>
      <c r="CWQ1364" s="110"/>
      <c r="CWR1364" s="110"/>
      <c r="CWS1364" s="110"/>
      <c r="CWT1364" s="110"/>
      <c r="CWU1364" s="110"/>
      <c r="CWV1364" s="110"/>
      <c r="CWW1364" s="110"/>
      <c r="CWX1364" s="110"/>
      <c r="CWY1364" s="110"/>
      <c r="CWZ1364" s="110"/>
      <c r="CXA1364" s="110"/>
      <c r="CXB1364" s="110"/>
      <c r="CXC1364" s="110"/>
      <c r="CXD1364" s="110"/>
      <c r="CXE1364" s="110"/>
      <c r="CXF1364" s="110"/>
      <c r="CXG1364" s="110"/>
      <c r="CXH1364" s="110"/>
      <c r="CXI1364" s="110"/>
      <c r="CXJ1364" s="110"/>
      <c r="CXK1364" s="110"/>
      <c r="CXL1364" s="110"/>
      <c r="CXM1364" s="110"/>
      <c r="CXN1364" s="110"/>
      <c r="CXO1364" s="110"/>
      <c r="CXP1364" s="110"/>
      <c r="CXQ1364" s="110"/>
      <c r="CXR1364" s="110"/>
      <c r="CXS1364" s="110"/>
      <c r="CXT1364" s="110"/>
      <c r="CXU1364" s="110"/>
      <c r="CXV1364" s="110"/>
      <c r="CXW1364" s="110"/>
      <c r="CXX1364" s="110"/>
      <c r="CXY1364" s="110"/>
      <c r="CXZ1364" s="110"/>
      <c r="CYA1364" s="110"/>
      <c r="CYB1364" s="110"/>
      <c r="CYC1364" s="110"/>
      <c r="CYD1364" s="110"/>
      <c r="CYE1364" s="110"/>
      <c r="CYF1364" s="110"/>
      <c r="CYG1364" s="110"/>
      <c r="CYH1364" s="110"/>
      <c r="CYI1364" s="110"/>
      <c r="CYJ1364" s="110"/>
      <c r="CYK1364" s="110"/>
      <c r="CYL1364" s="110"/>
      <c r="CYM1364" s="110"/>
      <c r="CYN1364" s="110"/>
      <c r="CYO1364" s="110"/>
      <c r="CYP1364" s="110"/>
      <c r="CYQ1364" s="110"/>
      <c r="CYR1364" s="110"/>
      <c r="CYS1364" s="110"/>
      <c r="CYT1364" s="110"/>
      <c r="CYU1364" s="110"/>
      <c r="CYV1364" s="110"/>
      <c r="CYW1364" s="110"/>
      <c r="CYX1364" s="110"/>
      <c r="CYY1364" s="110"/>
      <c r="CYZ1364" s="110"/>
      <c r="CZA1364" s="110"/>
      <c r="CZB1364" s="110"/>
      <c r="CZC1364" s="110"/>
      <c r="CZD1364" s="110"/>
      <c r="CZE1364" s="110"/>
      <c r="CZF1364" s="110"/>
      <c r="CZG1364" s="110"/>
      <c r="CZH1364" s="110"/>
      <c r="CZI1364" s="110"/>
      <c r="CZJ1364" s="110"/>
      <c r="CZK1364" s="110"/>
      <c r="CZL1364" s="110"/>
      <c r="CZM1364" s="110"/>
      <c r="CZN1364" s="110"/>
      <c r="CZO1364" s="110"/>
      <c r="CZP1364" s="110"/>
      <c r="CZQ1364" s="110"/>
      <c r="CZR1364" s="110"/>
      <c r="CZS1364" s="110"/>
      <c r="CZT1364" s="110"/>
      <c r="CZU1364" s="110"/>
      <c r="CZV1364" s="110"/>
      <c r="CZW1364" s="110"/>
      <c r="CZX1364" s="110"/>
      <c r="CZY1364" s="110"/>
      <c r="CZZ1364" s="110"/>
      <c r="DAA1364" s="110"/>
      <c r="DAB1364" s="110"/>
      <c r="DAC1364" s="110"/>
      <c r="DAD1364" s="110"/>
      <c r="DAE1364" s="110"/>
      <c r="DAF1364" s="110"/>
      <c r="DAG1364" s="110"/>
      <c r="DAH1364" s="110"/>
      <c r="DAI1364" s="110"/>
      <c r="DAJ1364" s="110"/>
      <c r="DAK1364" s="110"/>
      <c r="DAL1364" s="110"/>
      <c r="DAM1364" s="110"/>
      <c r="DAN1364" s="110"/>
      <c r="DAO1364" s="110"/>
      <c r="DAP1364" s="110"/>
      <c r="DAQ1364" s="110"/>
      <c r="DAR1364" s="110"/>
      <c r="DAS1364" s="110"/>
      <c r="DAT1364" s="110"/>
      <c r="DAU1364" s="110"/>
      <c r="DAV1364" s="110"/>
      <c r="DAW1364" s="110"/>
      <c r="DAX1364" s="110"/>
      <c r="DAY1364" s="110"/>
      <c r="DAZ1364" s="110"/>
      <c r="DBA1364" s="110"/>
      <c r="DBB1364" s="110"/>
      <c r="DBC1364" s="110"/>
      <c r="DBD1364" s="110"/>
      <c r="DBE1364" s="110"/>
      <c r="DBF1364" s="110"/>
      <c r="DBG1364" s="110"/>
      <c r="DBH1364" s="110"/>
      <c r="DBI1364" s="110"/>
      <c r="DBJ1364" s="110"/>
      <c r="DBK1364" s="110"/>
      <c r="DBL1364" s="110"/>
      <c r="DBM1364" s="110"/>
      <c r="DBN1364" s="110"/>
      <c r="DBO1364" s="110"/>
      <c r="DBP1364" s="110"/>
      <c r="DBQ1364" s="110"/>
      <c r="DBR1364" s="110"/>
      <c r="DBS1364" s="110"/>
      <c r="DBT1364" s="110"/>
      <c r="DBU1364" s="110"/>
      <c r="DBV1364" s="110"/>
      <c r="DBW1364" s="110"/>
      <c r="DBX1364" s="110"/>
      <c r="DBY1364" s="110"/>
      <c r="DBZ1364" s="110"/>
      <c r="DCA1364" s="110"/>
      <c r="DCB1364" s="110"/>
      <c r="DCC1364" s="110"/>
      <c r="DCD1364" s="110"/>
      <c r="DCE1364" s="110"/>
      <c r="DCF1364" s="110"/>
      <c r="DCG1364" s="110"/>
      <c r="DCH1364" s="110"/>
      <c r="DCI1364" s="110"/>
      <c r="DCJ1364" s="110"/>
      <c r="DCK1364" s="110"/>
      <c r="DCL1364" s="110"/>
      <c r="DCM1364" s="110"/>
      <c r="DCN1364" s="110"/>
      <c r="DCO1364" s="110"/>
      <c r="DCP1364" s="110"/>
      <c r="DCQ1364" s="110"/>
      <c r="DCR1364" s="110"/>
      <c r="DCS1364" s="110"/>
      <c r="DCT1364" s="110"/>
      <c r="DCU1364" s="110"/>
      <c r="DCV1364" s="110"/>
      <c r="DCW1364" s="110"/>
      <c r="DCX1364" s="110"/>
      <c r="DCY1364" s="110"/>
      <c r="DCZ1364" s="110"/>
      <c r="DDA1364" s="110"/>
      <c r="DDB1364" s="110"/>
      <c r="DDC1364" s="110"/>
      <c r="DDD1364" s="110"/>
      <c r="DDE1364" s="110"/>
      <c r="DDF1364" s="110"/>
      <c r="DDG1364" s="110"/>
      <c r="DDH1364" s="110"/>
      <c r="DDI1364" s="110"/>
      <c r="DDJ1364" s="110"/>
      <c r="DDK1364" s="110"/>
      <c r="DDL1364" s="110"/>
      <c r="DDM1364" s="110"/>
      <c r="DDN1364" s="110"/>
      <c r="DDO1364" s="110"/>
      <c r="DDP1364" s="110"/>
      <c r="DDQ1364" s="110"/>
      <c r="DDR1364" s="110"/>
      <c r="DDS1364" s="110"/>
      <c r="DDT1364" s="110"/>
      <c r="DDU1364" s="110"/>
      <c r="DDV1364" s="110"/>
      <c r="DDW1364" s="110"/>
      <c r="DDX1364" s="110"/>
      <c r="DDY1364" s="110"/>
      <c r="DDZ1364" s="110"/>
      <c r="DEA1364" s="110"/>
      <c r="DEB1364" s="110"/>
      <c r="DEC1364" s="110"/>
      <c r="DED1364" s="110"/>
      <c r="DEE1364" s="110"/>
      <c r="DEF1364" s="110"/>
      <c r="DEG1364" s="110"/>
      <c r="DEH1364" s="110"/>
      <c r="DEI1364" s="110"/>
      <c r="DEJ1364" s="110"/>
      <c r="DEK1364" s="110"/>
      <c r="DEL1364" s="110"/>
      <c r="DEM1364" s="110"/>
      <c r="DEN1364" s="110"/>
      <c r="DEO1364" s="110"/>
      <c r="DEP1364" s="110"/>
      <c r="DEQ1364" s="110"/>
      <c r="DER1364" s="110"/>
      <c r="DES1364" s="110"/>
      <c r="DET1364" s="110"/>
      <c r="DEU1364" s="110"/>
      <c r="DEV1364" s="110"/>
      <c r="DEW1364" s="110"/>
      <c r="DEX1364" s="110"/>
      <c r="DEY1364" s="110"/>
      <c r="DEZ1364" s="110"/>
      <c r="DFA1364" s="110"/>
      <c r="DFB1364" s="110"/>
      <c r="DFC1364" s="110"/>
      <c r="DFD1364" s="110"/>
      <c r="DFE1364" s="110"/>
      <c r="DFF1364" s="110"/>
      <c r="DFG1364" s="110"/>
      <c r="DFH1364" s="110"/>
      <c r="DFI1364" s="110"/>
      <c r="DFJ1364" s="110"/>
      <c r="DFK1364" s="110"/>
      <c r="DFL1364" s="110"/>
      <c r="DFM1364" s="110"/>
      <c r="DFN1364" s="110"/>
      <c r="DFO1364" s="110"/>
      <c r="DFP1364" s="110"/>
      <c r="DFQ1364" s="110"/>
      <c r="DFR1364" s="110"/>
      <c r="DFS1364" s="110"/>
      <c r="DFT1364" s="110"/>
      <c r="DFU1364" s="110"/>
      <c r="DFV1364" s="110"/>
      <c r="DFW1364" s="110"/>
      <c r="DFX1364" s="110"/>
      <c r="DFY1364" s="110"/>
      <c r="DFZ1364" s="110"/>
      <c r="DGA1364" s="110"/>
      <c r="DGB1364" s="110"/>
      <c r="DGC1364" s="110"/>
      <c r="DGD1364" s="110"/>
      <c r="DGE1364" s="110"/>
      <c r="DGF1364" s="110"/>
      <c r="DGG1364" s="110"/>
      <c r="DGH1364" s="110"/>
      <c r="DGI1364" s="110"/>
      <c r="DGJ1364" s="110"/>
      <c r="DGK1364" s="110"/>
      <c r="DGL1364" s="110"/>
      <c r="DGM1364" s="110"/>
      <c r="DGN1364" s="110"/>
      <c r="DGO1364" s="110"/>
      <c r="DGP1364" s="110"/>
      <c r="DGQ1364" s="110"/>
      <c r="DGR1364" s="110"/>
      <c r="DGS1364" s="110"/>
      <c r="DGT1364" s="110"/>
      <c r="DGU1364" s="110"/>
      <c r="DGV1364" s="110"/>
      <c r="DGW1364" s="110"/>
      <c r="DGX1364" s="110"/>
      <c r="DGY1364" s="110"/>
      <c r="DGZ1364" s="110"/>
      <c r="DHA1364" s="110"/>
      <c r="DHB1364" s="110"/>
      <c r="DHC1364" s="110"/>
      <c r="DHD1364" s="110"/>
      <c r="DHE1364" s="110"/>
      <c r="DHF1364" s="110"/>
      <c r="DHG1364" s="110"/>
      <c r="DHH1364" s="110"/>
      <c r="DHI1364" s="110"/>
      <c r="DHJ1364" s="110"/>
      <c r="DHK1364" s="110"/>
      <c r="DHL1364" s="110"/>
      <c r="DHM1364" s="110"/>
      <c r="DHN1364" s="110"/>
      <c r="DHO1364" s="110"/>
      <c r="DHP1364" s="110"/>
      <c r="DHQ1364" s="110"/>
      <c r="DHR1364" s="110"/>
      <c r="DHS1364" s="110"/>
      <c r="DHT1364" s="110"/>
      <c r="DHU1364" s="110"/>
      <c r="DHV1364" s="110"/>
      <c r="DHW1364" s="110"/>
      <c r="DHX1364" s="110"/>
      <c r="DHY1364" s="110"/>
      <c r="DHZ1364" s="110"/>
      <c r="DIA1364" s="110"/>
      <c r="DIB1364" s="110"/>
      <c r="DIC1364" s="110"/>
      <c r="DID1364" s="110"/>
      <c r="DIE1364" s="110"/>
      <c r="DIF1364" s="110"/>
      <c r="DIG1364" s="110"/>
      <c r="DIH1364" s="110"/>
      <c r="DII1364" s="110"/>
      <c r="DIJ1364" s="110"/>
      <c r="DIK1364" s="110"/>
      <c r="DIL1364" s="110"/>
      <c r="DIM1364" s="110"/>
      <c r="DIN1364" s="110"/>
      <c r="DIO1364" s="110"/>
      <c r="DIP1364" s="110"/>
      <c r="DIQ1364" s="110"/>
      <c r="DIR1364" s="110"/>
      <c r="DIS1364" s="110"/>
      <c r="DIT1364" s="110"/>
      <c r="DIU1364" s="110"/>
      <c r="DIV1364" s="110"/>
      <c r="DIW1364" s="110"/>
      <c r="DIX1364" s="110"/>
      <c r="DIY1364" s="110"/>
      <c r="DIZ1364" s="110"/>
      <c r="DJA1364" s="110"/>
      <c r="DJB1364" s="110"/>
      <c r="DJC1364" s="110"/>
      <c r="DJD1364" s="110"/>
      <c r="DJE1364" s="110"/>
      <c r="DJF1364" s="110"/>
      <c r="DJG1364" s="110"/>
      <c r="DJH1364" s="110"/>
      <c r="DJI1364" s="110"/>
      <c r="DJJ1364" s="110"/>
      <c r="DJK1364" s="110"/>
      <c r="DJL1364" s="110"/>
      <c r="DJM1364" s="110"/>
      <c r="DJN1364" s="110"/>
      <c r="DJO1364" s="110"/>
      <c r="DJP1364" s="110"/>
      <c r="DJQ1364" s="110"/>
      <c r="DJR1364" s="110"/>
      <c r="DJS1364" s="110"/>
      <c r="DJT1364" s="110"/>
      <c r="DJU1364" s="110"/>
      <c r="DJV1364" s="110"/>
      <c r="DJW1364" s="110"/>
      <c r="DJX1364" s="110"/>
      <c r="DJY1364" s="110"/>
      <c r="DJZ1364" s="110"/>
      <c r="DKA1364" s="110"/>
      <c r="DKB1364" s="110"/>
      <c r="DKC1364" s="110"/>
      <c r="DKD1364" s="110"/>
      <c r="DKE1364" s="110"/>
      <c r="DKF1364" s="110"/>
      <c r="DKG1364" s="110"/>
      <c r="DKH1364" s="110"/>
      <c r="DKI1364" s="110"/>
      <c r="DKJ1364" s="110"/>
      <c r="DKK1364" s="110"/>
      <c r="DKL1364" s="110"/>
      <c r="DKM1364" s="110"/>
      <c r="DKN1364" s="110"/>
      <c r="DKO1364" s="110"/>
      <c r="DKP1364" s="110"/>
      <c r="DKQ1364" s="110"/>
      <c r="DKR1364" s="110"/>
      <c r="DKS1364" s="110"/>
      <c r="DKT1364" s="110"/>
      <c r="DKU1364" s="110"/>
      <c r="DKV1364" s="110"/>
      <c r="DKW1364" s="110"/>
      <c r="DKX1364" s="110"/>
      <c r="DKY1364" s="110"/>
      <c r="DKZ1364" s="110"/>
      <c r="DLA1364" s="110"/>
      <c r="DLB1364" s="110"/>
      <c r="DLC1364" s="110"/>
      <c r="DLD1364" s="110"/>
      <c r="DLE1364" s="110"/>
      <c r="DLF1364" s="110"/>
      <c r="DLG1364" s="110"/>
      <c r="DLH1364" s="110"/>
      <c r="DLI1364" s="110"/>
      <c r="DLJ1364" s="110"/>
      <c r="DLK1364" s="110"/>
      <c r="DLL1364" s="110"/>
      <c r="DLM1364" s="110"/>
      <c r="DLN1364" s="110"/>
      <c r="DLO1364" s="110"/>
      <c r="DLP1364" s="110"/>
      <c r="DLQ1364" s="110"/>
      <c r="DLR1364" s="110"/>
      <c r="DLS1364" s="110"/>
      <c r="DLT1364" s="110"/>
      <c r="DLU1364" s="110"/>
      <c r="DLV1364" s="110"/>
      <c r="DLW1364" s="110"/>
      <c r="DLX1364" s="110"/>
      <c r="DLY1364" s="110"/>
      <c r="DLZ1364" s="110"/>
      <c r="DMA1364" s="110"/>
      <c r="DMB1364" s="110"/>
      <c r="DMC1364" s="110"/>
      <c r="DMD1364" s="110"/>
      <c r="DME1364" s="110"/>
      <c r="DMF1364" s="110"/>
      <c r="DMG1364" s="110"/>
      <c r="DMH1364" s="110"/>
      <c r="DMI1364" s="110"/>
      <c r="DMJ1364" s="110"/>
      <c r="DMK1364" s="110"/>
      <c r="DML1364" s="110"/>
      <c r="DMM1364" s="110"/>
      <c r="DMN1364" s="110"/>
      <c r="DMO1364" s="110"/>
      <c r="DMP1364" s="110"/>
      <c r="DMQ1364" s="110"/>
      <c r="DMR1364" s="110"/>
      <c r="DMS1364" s="110"/>
      <c r="DMT1364" s="110"/>
      <c r="DMU1364" s="110"/>
      <c r="DMV1364" s="110"/>
      <c r="DMW1364" s="110"/>
      <c r="DMX1364" s="110"/>
      <c r="DMY1364" s="110"/>
      <c r="DMZ1364" s="110"/>
      <c r="DNA1364" s="110"/>
      <c r="DNB1364" s="110"/>
      <c r="DNC1364" s="110"/>
      <c r="DND1364" s="110"/>
      <c r="DNE1364" s="110"/>
      <c r="DNF1364" s="110"/>
      <c r="DNG1364" s="110"/>
      <c r="DNH1364" s="110"/>
      <c r="DNI1364" s="110"/>
      <c r="DNJ1364" s="110"/>
      <c r="DNK1364" s="110"/>
      <c r="DNL1364" s="110"/>
      <c r="DNM1364" s="110"/>
      <c r="DNN1364" s="110"/>
      <c r="DNO1364" s="110"/>
      <c r="DNP1364" s="110"/>
      <c r="DNQ1364" s="110"/>
      <c r="DNR1364" s="110"/>
      <c r="DNS1364" s="110"/>
      <c r="DNT1364" s="110"/>
      <c r="DNU1364" s="110"/>
      <c r="DNV1364" s="110"/>
      <c r="DNW1364" s="110"/>
      <c r="DNX1364" s="110"/>
      <c r="DNY1364" s="110"/>
      <c r="DNZ1364" s="110"/>
      <c r="DOA1364" s="110"/>
      <c r="DOB1364" s="110"/>
      <c r="DOC1364" s="110"/>
      <c r="DOD1364" s="110"/>
      <c r="DOE1364" s="110"/>
      <c r="DOF1364" s="110"/>
      <c r="DOG1364" s="110"/>
      <c r="DOH1364" s="110"/>
      <c r="DOI1364" s="110"/>
      <c r="DOJ1364" s="110"/>
      <c r="DOK1364" s="110"/>
      <c r="DOL1364" s="110"/>
      <c r="DOM1364" s="110"/>
      <c r="DON1364" s="110"/>
      <c r="DOO1364" s="110"/>
      <c r="DOP1364" s="110"/>
      <c r="DOQ1364" s="110"/>
      <c r="DOR1364" s="110"/>
      <c r="DOS1364" s="110"/>
      <c r="DOT1364" s="110"/>
      <c r="DOU1364" s="110"/>
      <c r="DOV1364" s="110"/>
      <c r="DOW1364" s="110"/>
      <c r="DOX1364" s="110"/>
      <c r="DOY1364" s="110"/>
      <c r="DOZ1364" s="110"/>
      <c r="DPA1364" s="110"/>
      <c r="DPB1364" s="110"/>
      <c r="DPC1364" s="110"/>
      <c r="DPD1364" s="110"/>
      <c r="DPE1364" s="110"/>
      <c r="DPF1364" s="110"/>
      <c r="DPG1364" s="110"/>
      <c r="DPH1364" s="110"/>
      <c r="DPI1364" s="110"/>
      <c r="DPJ1364" s="110"/>
      <c r="DPK1364" s="110"/>
      <c r="DPL1364" s="110"/>
      <c r="DPM1364" s="110"/>
      <c r="DPN1364" s="110"/>
      <c r="DPO1364" s="110"/>
      <c r="DPP1364" s="110"/>
      <c r="DPQ1364" s="110"/>
      <c r="DPR1364" s="110"/>
      <c r="DPS1364" s="110"/>
      <c r="DPT1364" s="110"/>
      <c r="DPU1364" s="110"/>
      <c r="DPV1364" s="110"/>
      <c r="DPW1364" s="110"/>
      <c r="DPX1364" s="110"/>
      <c r="DPY1364" s="110"/>
      <c r="DPZ1364" s="110"/>
      <c r="DQA1364" s="110"/>
      <c r="DQB1364" s="110"/>
      <c r="DQC1364" s="110"/>
      <c r="DQD1364" s="110"/>
      <c r="DQE1364" s="110"/>
      <c r="DQF1364" s="110"/>
      <c r="DQG1364" s="110"/>
      <c r="DQH1364" s="110"/>
      <c r="DQI1364" s="110"/>
      <c r="DQJ1364" s="110"/>
      <c r="DQK1364" s="110"/>
      <c r="DQL1364" s="110"/>
      <c r="DQM1364" s="110"/>
      <c r="DQN1364" s="110"/>
      <c r="DQO1364" s="110"/>
      <c r="DQP1364" s="110"/>
      <c r="DQQ1364" s="110"/>
      <c r="DQR1364" s="110"/>
      <c r="DQS1364" s="110"/>
      <c r="DQT1364" s="110"/>
      <c r="DQU1364" s="110"/>
      <c r="DQV1364" s="110"/>
      <c r="DQW1364" s="110"/>
      <c r="DQX1364" s="110"/>
      <c r="DQY1364" s="110"/>
      <c r="DQZ1364" s="110"/>
      <c r="DRA1364" s="110"/>
      <c r="DRB1364" s="110"/>
      <c r="DRC1364" s="110"/>
      <c r="DRD1364" s="110"/>
      <c r="DRE1364" s="110"/>
      <c r="DRF1364" s="110"/>
      <c r="DRG1364" s="110"/>
      <c r="DRH1364" s="110"/>
      <c r="DRI1364" s="110"/>
      <c r="DRJ1364" s="110"/>
      <c r="DRK1364" s="110"/>
      <c r="DRL1364" s="110"/>
      <c r="DRM1364" s="110"/>
      <c r="DRN1364" s="110"/>
      <c r="DRO1364" s="110"/>
      <c r="DRP1364" s="110"/>
      <c r="DRQ1364" s="110"/>
      <c r="DRR1364" s="110"/>
      <c r="DRS1364" s="110"/>
      <c r="DRT1364" s="110"/>
      <c r="DRU1364" s="110"/>
      <c r="DRV1364" s="110"/>
      <c r="DRW1364" s="110"/>
      <c r="DRX1364" s="110"/>
      <c r="DRY1364" s="110"/>
      <c r="DRZ1364" s="110"/>
      <c r="DSA1364" s="110"/>
      <c r="DSB1364" s="110"/>
      <c r="DSC1364" s="110"/>
      <c r="DSD1364" s="110"/>
      <c r="DSE1364" s="110"/>
      <c r="DSF1364" s="110"/>
      <c r="DSG1364" s="110"/>
      <c r="DSH1364" s="110"/>
      <c r="DSI1364" s="110"/>
      <c r="DSJ1364" s="110"/>
      <c r="DSK1364" s="110"/>
      <c r="DSL1364" s="110"/>
      <c r="DSM1364" s="110"/>
      <c r="DSN1364" s="110"/>
      <c r="DSO1364" s="110"/>
      <c r="DSP1364" s="110"/>
      <c r="DSQ1364" s="110"/>
      <c r="DSR1364" s="110"/>
      <c r="DSS1364" s="110"/>
      <c r="DST1364" s="110"/>
      <c r="DSU1364" s="110"/>
      <c r="DSV1364" s="110"/>
      <c r="DSW1364" s="110"/>
      <c r="DSX1364" s="110"/>
      <c r="DSY1364" s="110"/>
      <c r="DSZ1364" s="110"/>
      <c r="DTA1364" s="110"/>
      <c r="DTB1364" s="110"/>
      <c r="DTC1364" s="110"/>
      <c r="DTD1364" s="110"/>
      <c r="DTE1364" s="110"/>
      <c r="DTF1364" s="110"/>
      <c r="DTG1364" s="110"/>
      <c r="DTH1364" s="110"/>
      <c r="DTI1364" s="110"/>
      <c r="DTJ1364" s="110"/>
      <c r="DTK1364" s="110"/>
      <c r="DTL1364" s="110"/>
      <c r="DTM1364" s="110"/>
      <c r="DTN1364" s="110"/>
      <c r="DTO1364" s="110"/>
      <c r="DTP1364" s="110"/>
      <c r="DTQ1364" s="110"/>
      <c r="DTR1364" s="110"/>
      <c r="DTS1364" s="110"/>
      <c r="DTT1364" s="110"/>
      <c r="DTU1364" s="110"/>
      <c r="DTV1364" s="110"/>
      <c r="DTW1364" s="110"/>
      <c r="DTX1364" s="110"/>
      <c r="DTY1364" s="110"/>
      <c r="DTZ1364" s="110"/>
      <c r="DUA1364" s="110"/>
      <c r="DUB1364" s="110"/>
      <c r="DUC1364" s="110"/>
      <c r="DUD1364" s="110"/>
      <c r="DUE1364" s="110"/>
      <c r="DUF1364" s="110"/>
      <c r="DUG1364" s="110"/>
      <c r="DUH1364" s="110"/>
      <c r="DUI1364" s="110"/>
      <c r="DUJ1364" s="110"/>
      <c r="DUK1364" s="110"/>
      <c r="DUL1364" s="110"/>
      <c r="DUM1364" s="110"/>
      <c r="DUN1364" s="110"/>
      <c r="DUO1364" s="110"/>
      <c r="DUP1364" s="110"/>
      <c r="DUQ1364" s="110"/>
      <c r="DUR1364" s="110"/>
      <c r="DUS1364" s="110"/>
      <c r="DUT1364" s="110"/>
      <c r="DUU1364" s="110"/>
      <c r="DUV1364" s="110"/>
      <c r="DUW1364" s="110"/>
      <c r="DUX1364" s="110"/>
      <c r="DUY1364" s="110"/>
      <c r="DUZ1364" s="110"/>
      <c r="DVA1364" s="110"/>
      <c r="DVB1364" s="110"/>
      <c r="DVC1364" s="110"/>
      <c r="DVD1364" s="110"/>
      <c r="DVE1364" s="110"/>
      <c r="DVF1364" s="110"/>
      <c r="DVG1364" s="110"/>
      <c r="DVH1364" s="110"/>
      <c r="DVI1364" s="110"/>
      <c r="DVJ1364" s="110"/>
      <c r="DVK1364" s="110"/>
      <c r="DVL1364" s="110"/>
      <c r="DVM1364" s="110"/>
      <c r="DVN1364" s="110"/>
      <c r="DVO1364" s="110"/>
      <c r="DVP1364" s="110"/>
      <c r="DVQ1364" s="110"/>
      <c r="DVR1364" s="110"/>
      <c r="DVS1364" s="110"/>
      <c r="DVT1364" s="110"/>
      <c r="DVU1364" s="110"/>
      <c r="DVV1364" s="110"/>
      <c r="DVW1364" s="110"/>
      <c r="DVX1364" s="110"/>
      <c r="DVY1364" s="110"/>
      <c r="DVZ1364" s="110"/>
      <c r="DWA1364" s="110"/>
      <c r="DWB1364" s="110"/>
      <c r="DWC1364" s="110"/>
      <c r="DWD1364" s="110"/>
      <c r="DWE1364" s="110"/>
      <c r="DWF1364" s="110"/>
      <c r="DWG1364" s="110"/>
      <c r="DWH1364" s="110"/>
      <c r="DWI1364" s="110"/>
      <c r="DWJ1364" s="110"/>
      <c r="DWK1364" s="110"/>
      <c r="DWL1364" s="110"/>
      <c r="DWM1364" s="110"/>
      <c r="DWN1364" s="110"/>
      <c r="DWO1364" s="110"/>
      <c r="DWP1364" s="110"/>
      <c r="DWQ1364" s="110"/>
      <c r="DWR1364" s="110"/>
      <c r="DWS1364" s="110"/>
      <c r="DWT1364" s="110"/>
      <c r="DWU1364" s="110"/>
      <c r="DWV1364" s="110"/>
      <c r="DWW1364" s="110"/>
      <c r="DWX1364" s="110"/>
      <c r="DWY1364" s="110"/>
      <c r="DWZ1364" s="110"/>
      <c r="DXA1364" s="110"/>
      <c r="DXB1364" s="110"/>
      <c r="DXC1364" s="110"/>
      <c r="DXD1364" s="110"/>
      <c r="DXE1364" s="110"/>
      <c r="DXF1364" s="110"/>
      <c r="DXG1364" s="110"/>
      <c r="DXH1364" s="110"/>
      <c r="DXI1364" s="110"/>
      <c r="DXJ1364" s="110"/>
      <c r="DXK1364" s="110"/>
      <c r="DXL1364" s="110"/>
      <c r="DXM1364" s="110"/>
      <c r="DXN1364" s="110"/>
      <c r="DXO1364" s="110"/>
      <c r="DXP1364" s="110"/>
      <c r="DXQ1364" s="110"/>
      <c r="DXR1364" s="110"/>
      <c r="DXS1364" s="110"/>
      <c r="DXT1364" s="110"/>
      <c r="DXU1364" s="110"/>
      <c r="DXV1364" s="110"/>
      <c r="DXW1364" s="110"/>
      <c r="DXX1364" s="110"/>
      <c r="DXY1364" s="110"/>
      <c r="DXZ1364" s="110"/>
      <c r="DYA1364" s="110"/>
      <c r="DYB1364" s="110"/>
      <c r="DYC1364" s="110"/>
      <c r="DYD1364" s="110"/>
      <c r="DYE1364" s="110"/>
      <c r="DYF1364" s="110"/>
      <c r="DYG1364" s="110"/>
      <c r="DYH1364" s="110"/>
      <c r="DYI1364" s="110"/>
      <c r="DYJ1364" s="110"/>
      <c r="DYK1364" s="110"/>
      <c r="DYL1364" s="110"/>
      <c r="DYM1364" s="110"/>
      <c r="DYN1364" s="110"/>
      <c r="DYO1364" s="110"/>
      <c r="DYP1364" s="110"/>
      <c r="DYQ1364" s="110"/>
      <c r="DYR1364" s="110"/>
      <c r="DYS1364" s="110"/>
      <c r="DYT1364" s="110"/>
      <c r="DYU1364" s="110"/>
      <c r="DYV1364" s="110"/>
      <c r="DYW1364" s="110"/>
      <c r="DYX1364" s="110"/>
      <c r="DYY1364" s="110"/>
      <c r="DYZ1364" s="110"/>
      <c r="DZA1364" s="110"/>
      <c r="DZB1364" s="110"/>
      <c r="DZC1364" s="110"/>
      <c r="DZD1364" s="110"/>
      <c r="DZE1364" s="110"/>
      <c r="DZF1364" s="110"/>
      <c r="DZG1364" s="110"/>
      <c r="DZH1364" s="110"/>
      <c r="DZI1364" s="110"/>
      <c r="DZJ1364" s="110"/>
      <c r="DZK1364" s="110"/>
      <c r="DZL1364" s="110"/>
      <c r="DZM1364" s="110"/>
      <c r="DZN1364" s="110"/>
      <c r="DZO1364" s="110"/>
      <c r="DZP1364" s="110"/>
      <c r="DZQ1364" s="110"/>
      <c r="DZR1364" s="110"/>
      <c r="DZS1364" s="110"/>
      <c r="DZT1364" s="110"/>
      <c r="DZU1364" s="110"/>
      <c r="DZV1364" s="110"/>
      <c r="DZW1364" s="110"/>
      <c r="DZX1364" s="110"/>
      <c r="DZY1364" s="110"/>
      <c r="DZZ1364" s="110"/>
      <c r="EAA1364" s="110"/>
      <c r="EAB1364" s="110"/>
      <c r="EAC1364" s="110"/>
      <c r="EAD1364" s="110"/>
      <c r="EAE1364" s="110"/>
      <c r="EAF1364" s="110"/>
      <c r="EAG1364" s="110"/>
      <c r="EAH1364" s="110"/>
      <c r="EAI1364" s="110"/>
      <c r="EAJ1364" s="110"/>
      <c r="EAK1364" s="110"/>
      <c r="EAL1364" s="110"/>
      <c r="EAM1364" s="110"/>
      <c r="EAN1364" s="110"/>
      <c r="EAO1364" s="110"/>
      <c r="EAP1364" s="110"/>
      <c r="EAQ1364" s="110"/>
      <c r="EAR1364" s="110"/>
      <c r="EAS1364" s="110"/>
      <c r="EAT1364" s="110"/>
      <c r="EAU1364" s="110"/>
      <c r="EAV1364" s="110"/>
      <c r="EAW1364" s="110"/>
      <c r="EAX1364" s="110"/>
      <c r="EAY1364" s="110"/>
      <c r="EAZ1364" s="110"/>
      <c r="EBA1364" s="110"/>
      <c r="EBB1364" s="110"/>
      <c r="EBC1364" s="110"/>
      <c r="EBD1364" s="110"/>
      <c r="EBE1364" s="110"/>
      <c r="EBF1364" s="110"/>
      <c r="EBG1364" s="110"/>
      <c r="EBH1364" s="110"/>
      <c r="EBI1364" s="110"/>
      <c r="EBJ1364" s="110"/>
      <c r="EBK1364" s="110"/>
      <c r="EBL1364" s="110"/>
      <c r="EBM1364" s="110"/>
      <c r="EBN1364" s="110"/>
      <c r="EBO1364" s="110"/>
      <c r="EBP1364" s="110"/>
      <c r="EBQ1364" s="110"/>
      <c r="EBR1364" s="110"/>
      <c r="EBS1364" s="110"/>
      <c r="EBT1364" s="110"/>
      <c r="EBU1364" s="110"/>
      <c r="EBV1364" s="110"/>
      <c r="EBW1364" s="110"/>
      <c r="EBX1364" s="110"/>
      <c r="EBY1364" s="110"/>
      <c r="EBZ1364" s="110"/>
      <c r="ECA1364" s="110"/>
      <c r="ECB1364" s="110"/>
      <c r="ECC1364" s="110"/>
      <c r="ECD1364" s="110"/>
      <c r="ECE1364" s="110"/>
      <c r="ECF1364" s="110"/>
      <c r="ECG1364" s="110"/>
      <c r="ECH1364" s="110"/>
      <c r="ECI1364" s="110"/>
      <c r="ECJ1364" s="110"/>
      <c r="ECK1364" s="110"/>
      <c r="ECL1364" s="110"/>
      <c r="ECM1364" s="110"/>
      <c r="ECN1364" s="110"/>
      <c r="ECO1364" s="110"/>
      <c r="ECP1364" s="110"/>
      <c r="ECQ1364" s="110"/>
      <c r="ECR1364" s="110"/>
      <c r="ECS1364" s="110"/>
      <c r="ECT1364" s="110"/>
      <c r="ECU1364" s="110"/>
      <c r="ECV1364" s="110"/>
      <c r="ECW1364" s="110"/>
      <c r="ECX1364" s="110"/>
      <c r="ECY1364" s="110"/>
      <c r="ECZ1364" s="110"/>
      <c r="EDA1364" s="110"/>
      <c r="EDB1364" s="110"/>
      <c r="EDC1364" s="110"/>
      <c r="EDD1364" s="110"/>
      <c r="EDE1364" s="110"/>
      <c r="EDF1364" s="110"/>
      <c r="EDG1364" s="110"/>
      <c r="EDH1364" s="110"/>
      <c r="EDI1364" s="110"/>
      <c r="EDJ1364" s="110"/>
      <c r="EDK1364" s="110"/>
      <c r="EDL1364" s="110"/>
      <c r="EDM1364" s="110"/>
      <c r="EDN1364" s="110"/>
      <c r="EDO1364" s="110"/>
      <c r="EDP1364" s="110"/>
      <c r="EDQ1364" s="110"/>
      <c r="EDR1364" s="110"/>
      <c r="EDS1364" s="110"/>
      <c r="EDT1364" s="110"/>
      <c r="EDU1364" s="110"/>
      <c r="EDV1364" s="110"/>
      <c r="EDW1364" s="110"/>
      <c r="EDX1364" s="110"/>
      <c r="EDY1364" s="110"/>
      <c r="EDZ1364" s="110"/>
      <c r="EEA1364" s="110"/>
      <c r="EEB1364" s="110"/>
      <c r="EEC1364" s="110"/>
      <c r="EED1364" s="110"/>
      <c r="EEE1364" s="110"/>
      <c r="EEF1364" s="110"/>
      <c r="EEG1364" s="110"/>
      <c r="EEH1364" s="110"/>
      <c r="EEI1364" s="110"/>
      <c r="EEJ1364" s="110"/>
      <c r="EEK1364" s="110"/>
      <c r="EEL1364" s="110"/>
      <c r="EEM1364" s="110"/>
      <c r="EEN1364" s="110"/>
      <c r="EEO1364" s="110"/>
      <c r="EEP1364" s="110"/>
      <c r="EEQ1364" s="110"/>
      <c r="EER1364" s="110"/>
      <c r="EES1364" s="110"/>
      <c r="EET1364" s="110"/>
      <c r="EEU1364" s="110"/>
      <c r="EEV1364" s="110"/>
      <c r="EEW1364" s="110"/>
      <c r="EEX1364" s="110"/>
      <c r="EEY1364" s="110"/>
      <c r="EEZ1364" s="110"/>
      <c r="EFA1364" s="110"/>
      <c r="EFB1364" s="110"/>
      <c r="EFC1364" s="110"/>
      <c r="EFD1364" s="110"/>
      <c r="EFE1364" s="110"/>
      <c r="EFF1364" s="110"/>
      <c r="EFG1364" s="110"/>
      <c r="EFH1364" s="110"/>
      <c r="EFI1364" s="110"/>
      <c r="EFJ1364" s="110"/>
      <c r="EFK1364" s="110"/>
      <c r="EFL1364" s="110"/>
      <c r="EFM1364" s="110"/>
      <c r="EFN1364" s="110"/>
      <c r="EFO1364" s="110"/>
      <c r="EFP1364" s="110"/>
      <c r="EFQ1364" s="110"/>
      <c r="EFR1364" s="110"/>
      <c r="EFS1364" s="110"/>
      <c r="EFT1364" s="110"/>
      <c r="EFU1364" s="110"/>
      <c r="EFV1364" s="110"/>
      <c r="EFW1364" s="110"/>
      <c r="EFX1364" s="110"/>
      <c r="EFY1364" s="110"/>
      <c r="EFZ1364" s="110"/>
      <c r="EGA1364" s="110"/>
      <c r="EGB1364" s="110"/>
      <c r="EGC1364" s="110"/>
      <c r="EGD1364" s="110"/>
      <c r="EGE1364" s="110"/>
      <c r="EGF1364" s="110"/>
      <c r="EGG1364" s="110"/>
      <c r="EGH1364" s="110"/>
      <c r="EGI1364" s="110"/>
      <c r="EGJ1364" s="110"/>
      <c r="EGK1364" s="110"/>
      <c r="EGL1364" s="110"/>
      <c r="EGM1364" s="110"/>
      <c r="EGN1364" s="110"/>
      <c r="EGO1364" s="110"/>
      <c r="EGP1364" s="110"/>
      <c r="EGQ1364" s="110"/>
      <c r="EGR1364" s="110"/>
      <c r="EGS1364" s="110"/>
      <c r="EGT1364" s="110"/>
      <c r="EGU1364" s="110"/>
      <c r="EGV1364" s="110"/>
      <c r="EGW1364" s="110"/>
      <c r="EGX1364" s="110"/>
      <c r="EGY1364" s="110"/>
      <c r="EGZ1364" s="110"/>
      <c r="EHA1364" s="110"/>
      <c r="EHB1364" s="110"/>
      <c r="EHC1364" s="110"/>
      <c r="EHD1364" s="110"/>
      <c r="EHE1364" s="110"/>
      <c r="EHF1364" s="110"/>
      <c r="EHG1364" s="110"/>
      <c r="EHH1364" s="110"/>
      <c r="EHI1364" s="110"/>
      <c r="EHJ1364" s="110"/>
      <c r="EHK1364" s="110"/>
      <c r="EHL1364" s="110"/>
      <c r="EHM1364" s="110"/>
      <c r="EHN1364" s="110"/>
      <c r="EHO1364" s="110"/>
      <c r="EHP1364" s="110"/>
      <c r="EHQ1364" s="110"/>
      <c r="EHR1364" s="110"/>
      <c r="EHS1364" s="110"/>
      <c r="EHT1364" s="110"/>
      <c r="EHU1364" s="110"/>
      <c r="EHV1364" s="110"/>
      <c r="EHW1364" s="110"/>
      <c r="EHX1364" s="110"/>
      <c r="EHY1364" s="110"/>
      <c r="EHZ1364" s="110"/>
      <c r="EIA1364" s="110"/>
      <c r="EIB1364" s="110"/>
      <c r="EIC1364" s="110"/>
      <c r="EID1364" s="110"/>
      <c r="EIE1364" s="110"/>
      <c r="EIF1364" s="110"/>
      <c r="EIG1364" s="110"/>
      <c r="EIH1364" s="110"/>
      <c r="EII1364" s="110"/>
      <c r="EIJ1364" s="110"/>
      <c r="EIK1364" s="110"/>
      <c r="EIL1364" s="110"/>
      <c r="EIM1364" s="110"/>
      <c r="EIN1364" s="110"/>
      <c r="EIO1364" s="110"/>
      <c r="EIP1364" s="110"/>
      <c r="EIQ1364" s="110"/>
      <c r="EIR1364" s="110"/>
      <c r="EIS1364" s="110"/>
      <c r="EIT1364" s="110"/>
      <c r="EIU1364" s="110"/>
      <c r="EIV1364" s="110"/>
      <c r="EIW1364" s="110"/>
      <c r="EIX1364" s="110"/>
      <c r="EIY1364" s="110"/>
      <c r="EIZ1364" s="110"/>
      <c r="EJA1364" s="110"/>
      <c r="EJB1364" s="110"/>
      <c r="EJC1364" s="110"/>
      <c r="EJD1364" s="110"/>
      <c r="EJE1364" s="110"/>
      <c r="EJF1364" s="110"/>
      <c r="EJG1364" s="110"/>
      <c r="EJH1364" s="110"/>
      <c r="EJI1364" s="110"/>
      <c r="EJJ1364" s="110"/>
      <c r="EJK1364" s="110"/>
      <c r="EJL1364" s="110"/>
      <c r="EJM1364" s="110"/>
      <c r="EJN1364" s="110"/>
      <c r="EJO1364" s="110"/>
      <c r="EJP1364" s="110"/>
      <c r="EJQ1364" s="110"/>
      <c r="EJR1364" s="110"/>
      <c r="EJS1364" s="110"/>
      <c r="EJT1364" s="110"/>
      <c r="EJU1364" s="110"/>
      <c r="EJV1364" s="110"/>
      <c r="EJW1364" s="110"/>
      <c r="EJX1364" s="110"/>
      <c r="EJY1364" s="110"/>
      <c r="EJZ1364" s="110"/>
      <c r="EKA1364" s="110"/>
      <c r="EKB1364" s="110"/>
      <c r="EKC1364" s="110"/>
      <c r="EKD1364" s="110"/>
      <c r="EKE1364" s="110"/>
      <c r="EKF1364" s="110"/>
      <c r="EKG1364" s="110"/>
      <c r="EKH1364" s="110"/>
      <c r="EKI1364" s="110"/>
      <c r="EKJ1364" s="110"/>
      <c r="EKK1364" s="110"/>
      <c r="EKL1364" s="110"/>
      <c r="EKM1364" s="110"/>
      <c r="EKN1364" s="110"/>
      <c r="EKO1364" s="110"/>
      <c r="EKP1364" s="110"/>
      <c r="EKQ1364" s="110"/>
      <c r="EKR1364" s="110"/>
      <c r="EKS1364" s="110"/>
      <c r="EKT1364" s="110"/>
      <c r="EKU1364" s="110"/>
      <c r="EKV1364" s="110"/>
      <c r="EKW1364" s="110"/>
      <c r="EKX1364" s="110"/>
      <c r="EKY1364" s="110"/>
      <c r="EKZ1364" s="110"/>
      <c r="ELA1364" s="110"/>
      <c r="ELB1364" s="110"/>
      <c r="ELC1364" s="110"/>
      <c r="ELD1364" s="110"/>
      <c r="ELE1364" s="110"/>
      <c r="ELF1364" s="110"/>
      <c r="ELG1364" s="110"/>
      <c r="ELH1364" s="110"/>
      <c r="ELI1364" s="110"/>
      <c r="ELJ1364" s="110"/>
      <c r="ELK1364" s="110"/>
      <c r="ELL1364" s="110"/>
      <c r="ELM1364" s="110"/>
      <c r="ELN1364" s="110"/>
      <c r="ELO1364" s="110"/>
      <c r="ELP1364" s="110"/>
      <c r="ELQ1364" s="110"/>
      <c r="ELR1364" s="110"/>
      <c r="ELS1364" s="110"/>
      <c r="ELT1364" s="110"/>
      <c r="ELU1364" s="110"/>
      <c r="ELV1364" s="110"/>
      <c r="ELW1364" s="110"/>
      <c r="ELX1364" s="110"/>
      <c r="ELY1364" s="110"/>
      <c r="ELZ1364" s="110"/>
      <c r="EMA1364" s="110"/>
      <c r="EMB1364" s="110"/>
      <c r="EMC1364" s="110"/>
      <c r="EMD1364" s="110"/>
      <c r="EME1364" s="110"/>
      <c r="EMF1364" s="110"/>
      <c r="EMG1364" s="110"/>
      <c r="EMH1364" s="110"/>
      <c r="EMI1364" s="110"/>
      <c r="EMJ1364" s="110"/>
      <c r="EMK1364" s="110"/>
      <c r="EML1364" s="110"/>
      <c r="EMM1364" s="110"/>
      <c r="EMN1364" s="110"/>
      <c r="EMO1364" s="110"/>
      <c r="EMP1364" s="110"/>
      <c r="EMQ1364" s="110"/>
      <c r="EMR1364" s="110"/>
      <c r="EMS1364" s="110"/>
      <c r="EMT1364" s="110"/>
      <c r="EMU1364" s="110"/>
      <c r="EMV1364" s="110"/>
      <c r="EMW1364" s="110"/>
      <c r="EMX1364" s="110"/>
      <c r="EMY1364" s="110"/>
      <c r="EMZ1364" s="110"/>
      <c r="ENA1364" s="110"/>
      <c r="ENB1364" s="110"/>
      <c r="ENC1364" s="110"/>
      <c r="END1364" s="110"/>
      <c r="ENE1364" s="110"/>
      <c r="ENF1364" s="110"/>
      <c r="ENG1364" s="110"/>
      <c r="ENH1364" s="110"/>
      <c r="ENI1364" s="110"/>
      <c r="ENJ1364" s="110"/>
      <c r="ENK1364" s="110"/>
      <c r="ENL1364" s="110"/>
      <c r="ENM1364" s="110"/>
      <c r="ENN1364" s="110"/>
      <c r="ENO1364" s="110"/>
      <c r="ENP1364" s="110"/>
      <c r="ENQ1364" s="110"/>
      <c r="ENR1364" s="110"/>
      <c r="ENS1364" s="110"/>
      <c r="ENT1364" s="110"/>
      <c r="ENU1364" s="110"/>
      <c r="ENV1364" s="110"/>
      <c r="ENW1364" s="110"/>
      <c r="ENX1364" s="110"/>
      <c r="ENY1364" s="110"/>
      <c r="ENZ1364" s="110"/>
      <c r="EOA1364" s="110"/>
      <c r="EOB1364" s="110"/>
      <c r="EOC1364" s="110"/>
      <c r="EOD1364" s="110"/>
      <c r="EOE1364" s="110"/>
      <c r="EOF1364" s="110"/>
      <c r="EOG1364" s="110"/>
      <c r="EOH1364" s="110"/>
      <c r="EOI1364" s="110"/>
      <c r="EOJ1364" s="110"/>
      <c r="EOK1364" s="110"/>
      <c r="EOL1364" s="110"/>
      <c r="EOM1364" s="110"/>
      <c r="EON1364" s="110"/>
      <c r="EOO1364" s="110"/>
      <c r="EOP1364" s="110"/>
      <c r="EOQ1364" s="110"/>
      <c r="EOR1364" s="110"/>
      <c r="EOS1364" s="110"/>
      <c r="EOT1364" s="110"/>
      <c r="EOU1364" s="110"/>
      <c r="EOV1364" s="110"/>
      <c r="EOW1364" s="110"/>
      <c r="EOX1364" s="110"/>
      <c r="EOY1364" s="110"/>
      <c r="EOZ1364" s="110"/>
      <c r="EPA1364" s="110"/>
      <c r="EPB1364" s="110"/>
      <c r="EPC1364" s="110"/>
      <c r="EPD1364" s="110"/>
      <c r="EPE1364" s="110"/>
      <c r="EPF1364" s="110"/>
      <c r="EPG1364" s="110"/>
      <c r="EPH1364" s="110"/>
      <c r="EPI1364" s="110"/>
      <c r="EPJ1364" s="110"/>
      <c r="EPK1364" s="110"/>
      <c r="EPL1364" s="110"/>
      <c r="EPM1364" s="110"/>
      <c r="EPN1364" s="110"/>
      <c r="EPO1364" s="110"/>
      <c r="EPP1364" s="110"/>
      <c r="EPQ1364" s="110"/>
      <c r="EPR1364" s="110"/>
      <c r="EPS1364" s="110"/>
      <c r="EPT1364" s="110"/>
      <c r="EPU1364" s="110"/>
      <c r="EPV1364" s="110"/>
      <c r="EPW1364" s="110"/>
      <c r="EPX1364" s="110"/>
      <c r="EPY1364" s="110"/>
      <c r="EPZ1364" s="110"/>
      <c r="EQA1364" s="110"/>
      <c r="EQB1364" s="110"/>
      <c r="EQC1364" s="110"/>
      <c r="EQD1364" s="110"/>
      <c r="EQE1364" s="110"/>
      <c r="EQF1364" s="110"/>
      <c r="EQG1364" s="110"/>
      <c r="EQH1364" s="110"/>
      <c r="EQI1364" s="110"/>
      <c r="EQJ1364" s="110"/>
      <c r="EQK1364" s="110"/>
      <c r="EQL1364" s="110"/>
      <c r="EQM1364" s="110"/>
      <c r="EQN1364" s="110"/>
      <c r="EQO1364" s="110"/>
      <c r="EQP1364" s="110"/>
      <c r="EQQ1364" s="110"/>
      <c r="EQR1364" s="110"/>
      <c r="EQS1364" s="110"/>
      <c r="EQT1364" s="110"/>
      <c r="EQU1364" s="110"/>
      <c r="EQV1364" s="110"/>
      <c r="EQW1364" s="110"/>
      <c r="EQX1364" s="110"/>
      <c r="EQY1364" s="110"/>
      <c r="EQZ1364" s="110"/>
      <c r="ERA1364" s="110"/>
      <c r="ERB1364" s="110"/>
      <c r="ERC1364" s="110"/>
      <c r="ERD1364" s="110"/>
      <c r="ERE1364" s="110"/>
      <c r="ERF1364" s="110"/>
      <c r="ERG1364" s="110"/>
      <c r="ERH1364" s="110"/>
      <c r="ERI1364" s="110"/>
      <c r="ERJ1364" s="110"/>
      <c r="ERK1364" s="110"/>
      <c r="ERL1364" s="110"/>
      <c r="ERM1364" s="110"/>
      <c r="ERN1364" s="110"/>
      <c r="ERO1364" s="110"/>
      <c r="ERP1364" s="110"/>
      <c r="ERQ1364" s="110"/>
      <c r="ERR1364" s="110"/>
      <c r="ERS1364" s="110"/>
      <c r="ERT1364" s="110"/>
      <c r="ERU1364" s="110"/>
      <c r="ERV1364" s="110"/>
      <c r="ERW1364" s="110"/>
      <c r="ERX1364" s="110"/>
      <c r="ERY1364" s="110"/>
      <c r="ERZ1364" s="110"/>
      <c r="ESA1364" s="110"/>
      <c r="ESB1364" s="110"/>
      <c r="ESC1364" s="110"/>
      <c r="ESD1364" s="110"/>
      <c r="ESE1364" s="110"/>
      <c r="ESF1364" s="110"/>
      <c r="ESG1364" s="110"/>
      <c r="ESH1364" s="110"/>
      <c r="ESI1364" s="110"/>
      <c r="ESJ1364" s="110"/>
      <c r="ESK1364" s="110"/>
      <c r="ESL1364" s="110"/>
      <c r="ESM1364" s="110"/>
      <c r="ESN1364" s="110"/>
      <c r="ESO1364" s="110"/>
      <c r="ESP1364" s="110"/>
      <c r="ESQ1364" s="110"/>
      <c r="ESR1364" s="110"/>
      <c r="ESS1364" s="110"/>
      <c r="EST1364" s="110"/>
      <c r="ESU1364" s="110"/>
      <c r="ESV1364" s="110"/>
      <c r="ESW1364" s="110"/>
      <c r="ESX1364" s="110"/>
      <c r="ESY1364" s="110"/>
      <c r="ESZ1364" s="110"/>
      <c r="ETA1364" s="110"/>
      <c r="ETB1364" s="110"/>
      <c r="ETC1364" s="110"/>
      <c r="ETD1364" s="110"/>
      <c r="ETE1364" s="110"/>
      <c r="ETF1364" s="110"/>
      <c r="ETG1364" s="110"/>
      <c r="ETH1364" s="110"/>
      <c r="ETI1364" s="110"/>
      <c r="ETJ1364" s="110"/>
      <c r="ETK1364" s="110"/>
      <c r="ETL1364" s="110"/>
      <c r="ETM1364" s="110"/>
      <c r="ETN1364" s="110"/>
      <c r="ETO1364" s="110"/>
      <c r="ETP1364" s="110"/>
      <c r="ETQ1364" s="110"/>
      <c r="ETR1364" s="110"/>
      <c r="ETS1364" s="110"/>
      <c r="ETT1364" s="110"/>
      <c r="ETU1364" s="110"/>
      <c r="ETV1364" s="110"/>
      <c r="ETW1364" s="110"/>
      <c r="ETX1364" s="110"/>
      <c r="ETY1364" s="110"/>
      <c r="ETZ1364" s="110"/>
      <c r="EUA1364" s="110"/>
      <c r="EUB1364" s="110"/>
      <c r="EUC1364" s="110"/>
      <c r="EUD1364" s="110"/>
      <c r="EUE1364" s="110"/>
      <c r="EUF1364" s="110"/>
      <c r="EUG1364" s="110"/>
      <c r="EUH1364" s="110"/>
      <c r="EUI1364" s="110"/>
      <c r="EUJ1364" s="110"/>
      <c r="EUK1364" s="110"/>
      <c r="EUL1364" s="110"/>
      <c r="EUM1364" s="110"/>
      <c r="EUN1364" s="110"/>
      <c r="EUO1364" s="110"/>
      <c r="EUP1364" s="110"/>
      <c r="EUQ1364" s="110"/>
      <c r="EUR1364" s="110"/>
      <c r="EUS1364" s="110"/>
      <c r="EUT1364" s="110"/>
      <c r="EUU1364" s="110"/>
      <c r="EUV1364" s="110"/>
      <c r="EUW1364" s="110"/>
      <c r="EUX1364" s="110"/>
      <c r="EUY1364" s="110"/>
      <c r="EUZ1364" s="110"/>
      <c r="EVA1364" s="110"/>
      <c r="EVB1364" s="110"/>
      <c r="EVC1364" s="110"/>
      <c r="EVD1364" s="110"/>
      <c r="EVE1364" s="110"/>
      <c r="EVF1364" s="110"/>
      <c r="EVG1364" s="110"/>
      <c r="EVH1364" s="110"/>
      <c r="EVI1364" s="110"/>
      <c r="EVJ1364" s="110"/>
      <c r="EVK1364" s="110"/>
      <c r="EVL1364" s="110"/>
      <c r="EVM1364" s="110"/>
      <c r="EVN1364" s="110"/>
      <c r="EVO1364" s="110"/>
      <c r="EVP1364" s="110"/>
      <c r="EVQ1364" s="110"/>
      <c r="EVR1364" s="110"/>
      <c r="EVS1364" s="110"/>
      <c r="EVT1364" s="110"/>
      <c r="EVU1364" s="110"/>
      <c r="EVV1364" s="110"/>
      <c r="EVW1364" s="110"/>
      <c r="EVX1364" s="110"/>
      <c r="EVY1364" s="110"/>
      <c r="EVZ1364" s="110"/>
      <c r="EWA1364" s="110"/>
      <c r="EWB1364" s="110"/>
      <c r="EWC1364" s="110"/>
      <c r="EWD1364" s="110"/>
      <c r="EWE1364" s="110"/>
      <c r="EWF1364" s="110"/>
      <c r="EWG1364" s="110"/>
      <c r="EWH1364" s="110"/>
      <c r="EWI1364" s="110"/>
      <c r="EWJ1364" s="110"/>
      <c r="EWK1364" s="110"/>
      <c r="EWL1364" s="110"/>
      <c r="EWM1364" s="110"/>
      <c r="EWN1364" s="110"/>
      <c r="EWO1364" s="110"/>
      <c r="EWP1364" s="110"/>
      <c r="EWQ1364" s="110"/>
      <c r="EWR1364" s="110"/>
      <c r="EWS1364" s="110"/>
      <c r="EWT1364" s="110"/>
      <c r="EWU1364" s="110"/>
      <c r="EWV1364" s="110"/>
      <c r="EWW1364" s="110"/>
      <c r="EWX1364" s="110"/>
      <c r="EWY1364" s="110"/>
      <c r="EWZ1364" s="110"/>
      <c r="EXA1364" s="110"/>
      <c r="EXB1364" s="110"/>
      <c r="EXC1364" s="110"/>
      <c r="EXD1364" s="110"/>
      <c r="EXE1364" s="110"/>
      <c r="EXF1364" s="110"/>
      <c r="EXG1364" s="110"/>
      <c r="EXH1364" s="110"/>
      <c r="EXI1364" s="110"/>
      <c r="EXJ1364" s="110"/>
      <c r="EXK1364" s="110"/>
      <c r="EXL1364" s="110"/>
      <c r="EXM1364" s="110"/>
      <c r="EXN1364" s="110"/>
      <c r="EXO1364" s="110"/>
      <c r="EXP1364" s="110"/>
      <c r="EXQ1364" s="110"/>
      <c r="EXR1364" s="110"/>
      <c r="EXS1364" s="110"/>
      <c r="EXT1364" s="110"/>
      <c r="EXU1364" s="110"/>
      <c r="EXV1364" s="110"/>
      <c r="EXW1364" s="110"/>
      <c r="EXX1364" s="110"/>
      <c r="EXY1364" s="110"/>
      <c r="EXZ1364" s="110"/>
      <c r="EYA1364" s="110"/>
      <c r="EYB1364" s="110"/>
      <c r="EYC1364" s="110"/>
      <c r="EYD1364" s="110"/>
      <c r="EYE1364" s="110"/>
      <c r="EYF1364" s="110"/>
      <c r="EYG1364" s="110"/>
      <c r="EYH1364" s="110"/>
      <c r="EYI1364" s="110"/>
      <c r="EYJ1364" s="110"/>
      <c r="EYK1364" s="110"/>
      <c r="EYL1364" s="110"/>
      <c r="EYM1364" s="110"/>
      <c r="EYN1364" s="110"/>
      <c r="EYO1364" s="110"/>
      <c r="EYP1364" s="110"/>
      <c r="EYQ1364" s="110"/>
      <c r="EYR1364" s="110"/>
      <c r="EYS1364" s="110"/>
      <c r="EYT1364" s="110"/>
      <c r="EYU1364" s="110"/>
      <c r="EYV1364" s="110"/>
      <c r="EYW1364" s="110"/>
      <c r="EYX1364" s="110"/>
      <c r="EYY1364" s="110"/>
      <c r="EYZ1364" s="110"/>
      <c r="EZA1364" s="110"/>
      <c r="EZB1364" s="110"/>
      <c r="EZC1364" s="110"/>
      <c r="EZD1364" s="110"/>
      <c r="EZE1364" s="110"/>
      <c r="EZF1364" s="110"/>
      <c r="EZG1364" s="110"/>
      <c r="EZH1364" s="110"/>
      <c r="EZI1364" s="110"/>
      <c r="EZJ1364" s="110"/>
      <c r="EZK1364" s="110"/>
      <c r="EZL1364" s="110"/>
      <c r="EZM1364" s="110"/>
      <c r="EZN1364" s="110"/>
      <c r="EZO1364" s="110"/>
      <c r="EZP1364" s="110"/>
      <c r="EZQ1364" s="110"/>
      <c r="EZR1364" s="110"/>
      <c r="EZS1364" s="110"/>
      <c r="EZT1364" s="110"/>
      <c r="EZU1364" s="110"/>
      <c r="EZV1364" s="110"/>
      <c r="EZW1364" s="110"/>
      <c r="EZX1364" s="110"/>
      <c r="EZY1364" s="110"/>
      <c r="EZZ1364" s="110"/>
      <c r="FAA1364" s="110"/>
      <c r="FAB1364" s="110"/>
      <c r="FAC1364" s="110"/>
      <c r="FAD1364" s="110"/>
      <c r="FAE1364" s="110"/>
      <c r="FAF1364" s="110"/>
      <c r="FAG1364" s="110"/>
      <c r="FAH1364" s="110"/>
      <c r="FAI1364" s="110"/>
      <c r="FAJ1364" s="110"/>
      <c r="FAK1364" s="110"/>
      <c r="FAL1364" s="110"/>
      <c r="FAM1364" s="110"/>
      <c r="FAN1364" s="110"/>
      <c r="FAO1364" s="110"/>
      <c r="FAP1364" s="110"/>
      <c r="FAQ1364" s="110"/>
      <c r="FAR1364" s="110"/>
      <c r="FAS1364" s="110"/>
      <c r="FAT1364" s="110"/>
      <c r="FAU1364" s="110"/>
      <c r="FAV1364" s="110"/>
      <c r="FAW1364" s="110"/>
      <c r="FAX1364" s="110"/>
      <c r="FAY1364" s="110"/>
      <c r="FAZ1364" s="110"/>
      <c r="FBA1364" s="110"/>
      <c r="FBB1364" s="110"/>
      <c r="FBC1364" s="110"/>
      <c r="FBD1364" s="110"/>
      <c r="FBE1364" s="110"/>
      <c r="FBF1364" s="110"/>
      <c r="FBG1364" s="110"/>
      <c r="FBH1364" s="110"/>
      <c r="FBI1364" s="110"/>
      <c r="FBJ1364" s="110"/>
      <c r="FBK1364" s="110"/>
      <c r="FBL1364" s="110"/>
      <c r="FBM1364" s="110"/>
      <c r="FBN1364" s="110"/>
      <c r="FBO1364" s="110"/>
      <c r="FBP1364" s="110"/>
      <c r="FBQ1364" s="110"/>
      <c r="FBR1364" s="110"/>
      <c r="FBS1364" s="110"/>
      <c r="FBT1364" s="110"/>
      <c r="FBU1364" s="110"/>
      <c r="FBV1364" s="110"/>
      <c r="FBW1364" s="110"/>
      <c r="FBX1364" s="110"/>
      <c r="FBY1364" s="110"/>
      <c r="FBZ1364" s="110"/>
      <c r="FCA1364" s="110"/>
      <c r="FCB1364" s="110"/>
      <c r="FCC1364" s="110"/>
      <c r="FCD1364" s="110"/>
      <c r="FCE1364" s="110"/>
      <c r="FCF1364" s="110"/>
      <c r="FCG1364" s="110"/>
      <c r="FCH1364" s="110"/>
      <c r="FCI1364" s="110"/>
      <c r="FCJ1364" s="110"/>
      <c r="FCK1364" s="110"/>
      <c r="FCL1364" s="110"/>
      <c r="FCM1364" s="110"/>
      <c r="FCN1364" s="110"/>
      <c r="FCO1364" s="110"/>
      <c r="FCP1364" s="110"/>
      <c r="FCQ1364" s="110"/>
      <c r="FCR1364" s="110"/>
      <c r="FCS1364" s="110"/>
      <c r="FCT1364" s="110"/>
      <c r="FCU1364" s="110"/>
      <c r="FCV1364" s="110"/>
      <c r="FCW1364" s="110"/>
      <c r="FCX1364" s="110"/>
      <c r="FCY1364" s="110"/>
      <c r="FCZ1364" s="110"/>
      <c r="FDA1364" s="110"/>
      <c r="FDB1364" s="110"/>
      <c r="FDC1364" s="110"/>
      <c r="FDD1364" s="110"/>
      <c r="FDE1364" s="110"/>
      <c r="FDF1364" s="110"/>
      <c r="FDG1364" s="110"/>
      <c r="FDH1364" s="110"/>
      <c r="FDI1364" s="110"/>
      <c r="FDJ1364" s="110"/>
      <c r="FDK1364" s="110"/>
      <c r="FDL1364" s="110"/>
      <c r="FDM1364" s="110"/>
      <c r="FDN1364" s="110"/>
      <c r="FDO1364" s="110"/>
      <c r="FDP1364" s="110"/>
      <c r="FDQ1364" s="110"/>
      <c r="FDR1364" s="110"/>
      <c r="FDS1364" s="110"/>
      <c r="FDT1364" s="110"/>
      <c r="FDU1364" s="110"/>
      <c r="FDV1364" s="110"/>
      <c r="FDW1364" s="110"/>
      <c r="FDX1364" s="110"/>
      <c r="FDY1364" s="110"/>
      <c r="FDZ1364" s="110"/>
      <c r="FEA1364" s="110"/>
      <c r="FEB1364" s="110"/>
      <c r="FEC1364" s="110"/>
      <c r="FED1364" s="110"/>
      <c r="FEE1364" s="110"/>
      <c r="FEF1364" s="110"/>
      <c r="FEG1364" s="110"/>
      <c r="FEH1364" s="110"/>
      <c r="FEI1364" s="110"/>
      <c r="FEJ1364" s="110"/>
      <c r="FEK1364" s="110"/>
      <c r="FEL1364" s="110"/>
      <c r="FEM1364" s="110"/>
      <c r="FEN1364" s="110"/>
      <c r="FEO1364" s="110"/>
      <c r="FEP1364" s="110"/>
      <c r="FEQ1364" s="110"/>
      <c r="FER1364" s="110"/>
      <c r="FES1364" s="110"/>
      <c r="FET1364" s="110"/>
      <c r="FEU1364" s="110"/>
      <c r="FEV1364" s="110"/>
      <c r="FEW1364" s="110"/>
      <c r="FEX1364" s="110"/>
      <c r="FEY1364" s="110"/>
      <c r="FEZ1364" s="110"/>
      <c r="FFA1364" s="110"/>
      <c r="FFB1364" s="110"/>
      <c r="FFC1364" s="110"/>
      <c r="FFD1364" s="110"/>
      <c r="FFE1364" s="110"/>
      <c r="FFF1364" s="110"/>
      <c r="FFG1364" s="110"/>
      <c r="FFH1364" s="110"/>
      <c r="FFI1364" s="110"/>
      <c r="FFJ1364" s="110"/>
      <c r="FFK1364" s="110"/>
      <c r="FFL1364" s="110"/>
      <c r="FFM1364" s="110"/>
      <c r="FFN1364" s="110"/>
      <c r="FFO1364" s="110"/>
      <c r="FFP1364" s="110"/>
      <c r="FFQ1364" s="110"/>
      <c r="FFR1364" s="110"/>
      <c r="FFS1364" s="110"/>
      <c r="FFT1364" s="110"/>
      <c r="FFU1364" s="110"/>
      <c r="FFV1364" s="110"/>
      <c r="FFW1364" s="110"/>
      <c r="FFX1364" s="110"/>
      <c r="FFY1364" s="110"/>
      <c r="FFZ1364" s="110"/>
      <c r="FGA1364" s="110"/>
      <c r="FGB1364" s="110"/>
      <c r="FGC1364" s="110"/>
      <c r="FGD1364" s="110"/>
      <c r="FGE1364" s="110"/>
      <c r="FGF1364" s="110"/>
      <c r="FGG1364" s="110"/>
      <c r="FGH1364" s="110"/>
      <c r="FGI1364" s="110"/>
      <c r="FGJ1364" s="110"/>
      <c r="FGK1364" s="110"/>
      <c r="FGL1364" s="110"/>
      <c r="FGM1364" s="110"/>
      <c r="FGN1364" s="110"/>
      <c r="FGO1364" s="110"/>
      <c r="FGP1364" s="110"/>
      <c r="FGQ1364" s="110"/>
      <c r="FGR1364" s="110"/>
      <c r="FGS1364" s="110"/>
      <c r="FGT1364" s="110"/>
      <c r="FGU1364" s="110"/>
      <c r="FGV1364" s="110"/>
      <c r="FGW1364" s="110"/>
      <c r="FGX1364" s="110"/>
      <c r="FGY1364" s="110"/>
      <c r="FGZ1364" s="110"/>
      <c r="FHA1364" s="110"/>
      <c r="FHB1364" s="110"/>
      <c r="FHC1364" s="110"/>
      <c r="FHD1364" s="110"/>
      <c r="FHE1364" s="110"/>
      <c r="FHF1364" s="110"/>
      <c r="FHG1364" s="110"/>
      <c r="FHH1364" s="110"/>
      <c r="FHI1364" s="110"/>
      <c r="FHJ1364" s="110"/>
      <c r="FHK1364" s="110"/>
      <c r="FHL1364" s="110"/>
      <c r="FHM1364" s="110"/>
      <c r="FHN1364" s="110"/>
      <c r="FHO1364" s="110"/>
      <c r="FHP1364" s="110"/>
      <c r="FHQ1364" s="110"/>
      <c r="FHR1364" s="110"/>
      <c r="FHS1364" s="110"/>
      <c r="FHT1364" s="110"/>
      <c r="FHU1364" s="110"/>
      <c r="FHV1364" s="110"/>
      <c r="FHW1364" s="110"/>
      <c r="FHX1364" s="110"/>
      <c r="FHY1364" s="110"/>
      <c r="FHZ1364" s="110"/>
      <c r="FIA1364" s="110"/>
      <c r="FIB1364" s="110"/>
      <c r="FIC1364" s="110"/>
      <c r="FID1364" s="110"/>
      <c r="FIE1364" s="110"/>
      <c r="FIF1364" s="110"/>
      <c r="FIG1364" s="110"/>
      <c r="FIH1364" s="110"/>
      <c r="FII1364" s="110"/>
      <c r="FIJ1364" s="110"/>
      <c r="FIK1364" s="110"/>
      <c r="FIL1364" s="110"/>
      <c r="FIM1364" s="110"/>
      <c r="FIN1364" s="110"/>
      <c r="FIO1364" s="110"/>
      <c r="FIP1364" s="110"/>
      <c r="FIQ1364" s="110"/>
      <c r="FIR1364" s="110"/>
      <c r="FIS1364" s="110"/>
      <c r="FIT1364" s="110"/>
      <c r="FIU1364" s="110"/>
      <c r="FIV1364" s="110"/>
      <c r="FIW1364" s="110"/>
      <c r="FIX1364" s="110"/>
      <c r="FIY1364" s="110"/>
      <c r="FIZ1364" s="110"/>
      <c r="FJA1364" s="110"/>
      <c r="FJB1364" s="110"/>
      <c r="FJC1364" s="110"/>
      <c r="FJD1364" s="110"/>
      <c r="FJE1364" s="110"/>
      <c r="FJF1364" s="110"/>
      <c r="FJG1364" s="110"/>
      <c r="FJH1364" s="110"/>
      <c r="FJI1364" s="110"/>
      <c r="FJJ1364" s="110"/>
      <c r="FJK1364" s="110"/>
      <c r="FJL1364" s="110"/>
      <c r="FJM1364" s="110"/>
      <c r="FJN1364" s="110"/>
      <c r="FJO1364" s="110"/>
      <c r="FJP1364" s="110"/>
      <c r="FJQ1364" s="110"/>
      <c r="FJR1364" s="110"/>
      <c r="FJS1364" s="110"/>
      <c r="FJT1364" s="110"/>
      <c r="FJU1364" s="110"/>
      <c r="FJV1364" s="110"/>
      <c r="FJW1364" s="110"/>
      <c r="FJX1364" s="110"/>
      <c r="FJY1364" s="110"/>
      <c r="FJZ1364" s="110"/>
      <c r="FKA1364" s="110"/>
      <c r="FKB1364" s="110"/>
      <c r="FKC1364" s="110"/>
      <c r="FKD1364" s="110"/>
      <c r="FKE1364" s="110"/>
      <c r="FKF1364" s="110"/>
      <c r="FKG1364" s="110"/>
      <c r="FKH1364" s="110"/>
      <c r="FKI1364" s="110"/>
      <c r="FKJ1364" s="110"/>
      <c r="FKK1364" s="110"/>
      <c r="FKL1364" s="110"/>
      <c r="FKM1364" s="110"/>
      <c r="FKN1364" s="110"/>
      <c r="FKO1364" s="110"/>
      <c r="FKP1364" s="110"/>
      <c r="FKQ1364" s="110"/>
      <c r="FKR1364" s="110"/>
      <c r="FKS1364" s="110"/>
      <c r="FKT1364" s="110"/>
      <c r="FKU1364" s="110"/>
      <c r="FKV1364" s="110"/>
      <c r="FKW1364" s="110"/>
      <c r="FKX1364" s="110"/>
      <c r="FKY1364" s="110"/>
      <c r="FKZ1364" s="110"/>
      <c r="FLA1364" s="110"/>
      <c r="FLB1364" s="110"/>
      <c r="FLC1364" s="110"/>
      <c r="FLD1364" s="110"/>
      <c r="FLE1364" s="110"/>
      <c r="FLF1364" s="110"/>
      <c r="FLG1364" s="110"/>
      <c r="FLH1364" s="110"/>
      <c r="FLI1364" s="110"/>
      <c r="FLJ1364" s="110"/>
      <c r="FLK1364" s="110"/>
      <c r="FLL1364" s="110"/>
      <c r="FLM1364" s="110"/>
      <c r="FLN1364" s="110"/>
      <c r="FLO1364" s="110"/>
      <c r="FLP1364" s="110"/>
      <c r="FLQ1364" s="110"/>
      <c r="FLR1364" s="110"/>
      <c r="FLS1364" s="110"/>
      <c r="FLT1364" s="110"/>
      <c r="FLU1364" s="110"/>
      <c r="FLV1364" s="110"/>
      <c r="FLW1364" s="110"/>
      <c r="FLX1364" s="110"/>
      <c r="FLY1364" s="110"/>
      <c r="FLZ1364" s="110"/>
      <c r="FMA1364" s="110"/>
      <c r="FMB1364" s="110"/>
      <c r="FMC1364" s="110"/>
      <c r="FMD1364" s="110"/>
      <c r="FME1364" s="110"/>
      <c r="FMF1364" s="110"/>
      <c r="FMG1364" s="110"/>
      <c r="FMH1364" s="110"/>
      <c r="FMI1364" s="110"/>
      <c r="FMJ1364" s="110"/>
      <c r="FMK1364" s="110"/>
      <c r="FML1364" s="110"/>
      <c r="FMM1364" s="110"/>
      <c r="FMN1364" s="110"/>
      <c r="FMO1364" s="110"/>
      <c r="FMP1364" s="110"/>
      <c r="FMQ1364" s="110"/>
      <c r="FMR1364" s="110"/>
      <c r="FMS1364" s="110"/>
      <c r="FMT1364" s="110"/>
      <c r="FMU1364" s="110"/>
      <c r="FMV1364" s="110"/>
      <c r="FMW1364" s="110"/>
      <c r="FMX1364" s="110"/>
      <c r="FMY1364" s="110"/>
      <c r="FMZ1364" s="110"/>
      <c r="FNA1364" s="110"/>
      <c r="FNB1364" s="110"/>
      <c r="FNC1364" s="110"/>
      <c r="FND1364" s="110"/>
      <c r="FNE1364" s="110"/>
      <c r="FNF1364" s="110"/>
      <c r="FNG1364" s="110"/>
      <c r="FNH1364" s="110"/>
      <c r="FNI1364" s="110"/>
      <c r="FNJ1364" s="110"/>
      <c r="FNK1364" s="110"/>
      <c r="FNL1364" s="110"/>
      <c r="FNM1364" s="110"/>
      <c r="FNN1364" s="110"/>
      <c r="FNO1364" s="110"/>
      <c r="FNP1364" s="110"/>
      <c r="FNQ1364" s="110"/>
      <c r="FNR1364" s="110"/>
      <c r="FNS1364" s="110"/>
      <c r="FNT1364" s="110"/>
      <c r="FNU1364" s="110"/>
      <c r="FNV1364" s="110"/>
      <c r="FNW1364" s="110"/>
      <c r="FNX1364" s="110"/>
      <c r="FNY1364" s="110"/>
      <c r="FNZ1364" s="110"/>
      <c r="FOA1364" s="110"/>
      <c r="FOB1364" s="110"/>
      <c r="FOC1364" s="110"/>
      <c r="FOD1364" s="110"/>
      <c r="FOE1364" s="110"/>
      <c r="FOF1364" s="110"/>
      <c r="FOG1364" s="110"/>
      <c r="FOH1364" s="110"/>
      <c r="FOI1364" s="110"/>
      <c r="FOJ1364" s="110"/>
      <c r="FOK1364" s="110"/>
      <c r="FOL1364" s="110"/>
      <c r="FOM1364" s="110"/>
      <c r="FON1364" s="110"/>
      <c r="FOO1364" s="110"/>
      <c r="FOP1364" s="110"/>
      <c r="FOQ1364" s="110"/>
      <c r="FOR1364" s="110"/>
      <c r="FOS1364" s="110"/>
      <c r="FOT1364" s="110"/>
      <c r="FOU1364" s="110"/>
      <c r="FOV1364" s="110"/>
      <c r="FOW1364" s="110"/>
      <c r="FOX1364" s="110"/>
      <c r="FOY1364" s="110"/>
      <c r="FOZ1364" s="110"/>
      <c r="FPA1364" s="110"/>
      <c r="FPB1364" s="110"/>
      <c r="FPC1364" s="110"/>
      <c r="FPD1364" s="110"/>
      <c r="FPE1364" s="110"/>
      <c r="FPF1364" s="110"/>
      <c r="FPG1364" s="110"/>
      <c r="FPH1364" s="110"/>
      <c r="FPI1364" s="110"/>
      <c r="FPJ1364" s="110"/>
      <c r="FPK1364" s="110"/>
      <c r="FPL1364" s="110"/>
      <c r="FPM1364" s="110"/>
      <c r="FPN1364" s="110"/>
      <c r="FPO1364" s="110"/>
      <c r="FPP1364" s="110"/>
      <c r="FPQ1364" s="110"/>
      <c r="FPR1364" s="110"/>
      <c r="FPS1364" s="110"/>
      <c r="FPT1364" s="110"/>
      <c r="FPU1364" s="110"/>
      <c r="FPV1364" s="110"/>
      <c r="FPW1364" s="110"/>
      <c r="FPX1364" s="110"/>
      <c r="FPY1364" s="110"/>
      <c r="FPZ1364" s="110"/>
      <c r="FQA1364" s="110"/>
      <c r="FQB1364" s="110"/>
      <c r="FQC1364" s="110"/>
      <c r="FQD1364" s="110"/>
      <c r="FQE1364" s="110"/>
      <c r="FQF1364" s="110"/>
      <c r="FQG1364" s="110"/>
      <c r="FQH1364" s="110"/>
      <c r="FQI1364" s="110"/>
      <c r="FQJ1364" s="110"/>
      <c r="FQK1364" s="110"/>
      <c r="FQL1364" s="110"/>
      <c r="FQM1364" s="110"/>
      <c r="FQN1364" s="110"/>
      <c r="FQO1364" s="110"/>
      <c r="FQP1364" s="110"/>
      <c r="FQQ1364" s="110"/>
      <c r="FQR1364" s="110"/>
      <c r="FQS1364" s="110"/>
      <c r="FQT1364" s="110"/>
      <c r="FQU1364" s="110"/>
      <c r="FQV1364" s="110"/>
      <c r="FQW1364" s="110"/>
      <c r="FQX1364" s="110"/>
      <c r="FQY1364" s="110"/>
      <c r="FQZ1364" s="110"/>
      <c r="FRA1364" s="110"/>
      <c r="FRB1364" s="110"/>
      <c r="FRC1364" s="110"/>
      <c r="FRD1364" s="110"/>
      <c r="FRE1364" s="110"/>
      <c r="FRF1364" s="110"/>
      <c r="FRG1364" s="110"/>
      <c r="FRH1364" s="110"/>
      <c r="FRI1364" s="110"/>
      <c r="FRJ1364" s="110"/>
      <c r="FRK1364" s="110"/>
      <c r="FRL1364" s="110"/>
      <c r="FRM1364" s="110"/>
      <c r="FRN1364" s="110"/>
      <c r="FRO1364" s="110"/>
      <c r="FRP1364" s="110"/>
      <c r="FRQ1364" s="110"/>
      <c r="FRR1364" s="110"/>
      <c r="FRS1364" s="110"/>
      <c r="FRT1364" s="110"/>
      <c r="FRU1364" s="110"/>
      <c r="FRV1364" s="110"/>
      <c r="FRW1364" s="110"/>
      <c r="FRX1364" s="110"/>
      <c r="FRY1364" s="110"/>
      <c r="FRZ1364" s="110"/>
      <c r="FSA1364" s="110"/>
      <c r="FSB1364" s="110"/>
      <c r="FSC1364" s="110"/>
      <c r="FSD1364" s="110"/>
      <c r="FSE1364" s="110"/>
      <c r="FSF1364" s="110"/>
      <c r="FSG1364" s="110"/>
      <c r="FSH1364" s="110"/>
      <c r="FSI1364" s="110"/>
      <c r="FSJ1364" s="110"/>
      <c r="FSK1364" s="110"/>
      <c r="FSL1364" s="110"/>
      <c r="FSM1364" s="110"/>
      <c r="FSN1364" s="110"/>
      <c r="FSO1364" s="110"/>
      <c r="FSP1364" s="110"/>
      <c r="FSQ1364" s="110"/>
      <c r="FSR1364" s="110"/>
      <c r="FSS1364" s="110"/>
      <c r="FST1364" s="110"/>
      <c r="FSU1364" s="110"/>
      <c r="FSV1364" s="110"/>
      <c r="FSW1364" s="110"/>
      <c r="FSX1364" s="110"/>
      <c r="FSY1364" s="110"/>
      <c r="FSZ1364" s="110"/>
      <c r="FTA1364" s="110"/>
      <c r="FTB1364" s="110"/>
      <c r="FTC1364" s="110"/>
      <c r="FTD1364" s="110"/>
      <c r="FTE1364" s="110"/>
      <c r="FTF1364" s="110"/>
      <c r="FTG1364" s="110"/>
      <c r="FTH1364" s="110"/>
      <c r="FTI1364" s="110"/>
      <c r="FTJ1364" s="110"/>
      <c r="FTK1364" s="110"/>
      <c r="FTL1364" s="110"/>
      <c r="FTM1364" s="110"/>
      <c r="FTN1364" s="110"/>
      <c r="FTO1364" s="110"/>
      <c r="FTP1364" s="110"/>
      <c r="FTQ1364" s="110"/>
      <c r="FTR1364" s="110"/>
      <c r="FTS1364" s="110"/>
      <c r="FTT1364" s="110"/>
      <c r="FTU1364" s="110"/>
      <c r="FTV1364" s="110"/>
      <c r="FTW1364" s="110"/>
      <c r="FTX1364" s="110"/>
      <c r="FTY1364" s="110"/>
      <c r="FTZ1364" s="110"/>
      <c r="FUA1364" s="110"/>
      <c r="FUB1364" s="110"/>
      <c r="FUC1364" s="110"/>
      <c r="FUD1364" s="110"/>
      <c r="FUE1364" s="110"/>
      <c r="FUF1364" s="110"/>
      <c r="FUG1364" s="110"/>
      <c r="FUH1364" s="110"/>
      <c r="FUI1364" s="110"/>
      <c r="FUJ1364" s="110"/>
      <c r="FUK1364" s="110"/>
      <c r="FUL1364" s="110"/>
      <c r="FUM1364" s="110"/>
      <c r="FUN1364" s="110"/>
      <c r="FUO1364" s="110"/>
      <c r="FUP1364" s="110"/>
      <c r="FUQ1364" s="110"/>
      <c r="FUR1364" s="110"/>
      <c r="FUS1364" s="110"/>
      <c r="FUT1364" s="110"/>
      <c r="FUU1364" s="110"/>
      <c r="FUV1364" s="110"/>
      <c r="FUW1364" s="110"/>
      <c r="FUX1364" s="110"/>
      <c r="FUY1364" s="110"/>
      <c r="FUZ1364" s="110"/>
      <c r="FVA1364" s="110"/>
      <c r="FVB1364" s="110"/>
      <c r="FVC1364" s="110"/>
      <c r="FVD1364" s="110"/>
      <c r="FVE1364" s="110"/>
      <c r="FVF1364" s="110"/>
      <c r="FVG1364" s="110"/>
      <c r="FVH1364" s="110"/>
      <c r="FVI1364" s="110"/>
      <c r="FVJ1364" s="110"/>
      <c r="FVK1364" s="110"/>
      <c r="FVL1364" s="110"/>
      <c r="FVM1364" s="110"/>
      <c r="FVN1364" s="110"/>
      <c r="FVO1364" s="110"/>
      <c r="FVP1364" s="110"/>
      <c r="FVQ1364" s="110"/>
      <c r="FVR1364" s="110"/>
      <c r="FVS1364" s="110"/>
      <c r="FVT1364" s="110"/>
      <c r="FVU1364" s="110"/>
      <c r="FVV1364" s="110"/>
      <c r="FVW1364" s="110"/>
      <c r="FVX1364" s="110"/>
      <c r="FVY1364" s="110"/>
      <c r="FVZ1364" s="110"/>
      <c r="FWA1364" s="110"/>
      <c r="FWB1364" s="110"/>
      <c r="FWC1364" s="110"/>
      <c r="FWD1364" s="110"/>
      <c r="FWE1364" s="110"/>
      <c r="FWF1364" s="110"/>
      <c r="FWG1364" s="110"/>
      <c r="FWH1364" s="110"/>
      <c r="FWI1364" s="110"/>
      <c r="FWJ1364" s="110"/>
      <c r="FWK1364" s="110"/>
      <c r="FWL1364" s="110"/>
      <c r="FWM1364" s="110"/>
      <c r="FWN1364" s="110"/>
      <c r="FWO1364" s="110"/>
      <c r="FWP1364" s="110"/>
      <c r="FWQ1364" s="110"/>
      <c r="FWR1364" s="110"/>
      <c r="FWS1364" s="110"/>
      <c r="FWT1364" s="110"/>
      <c r="FWU1364" s="110"/>
      <c r="FWV1364" s="110"/>
      <c r="FWW1364" s="110"/>
      <c r="FWX1364" s="110"/>
      <c r="FWY1364" s="110"/>
      <c r="FWZ1364" s="110"/>
      <c r="FXA1364" s="110"/>
      <c r="FXB1364" s="110"/>
      <c r="FXC1364" s="110"/>
      <c r="FXD1364" s="110"/>
      <c r="FXE1364" s="110"/>
      <c r="FXF1364" s="110"/>
      <c r="FXG1364" s="110"/>
      <c r="FXH1364" s="110"/>
      <c r="FXI1364" s="110"/>
      <c r="FXJ1364" s="110"/>
      <c r="FXK1364" s="110"/>
      <c r="FXL1364" s="110"/>
      <c r="FXM1364" s="110"/>
      <c r="FXN1364" s="110"/>
      <c r="FXO1364" s="110"/>
      <c r="FXP1364" s="110"/>
      <c r="FXQ1364" s="110"/>
      <c r="FXR1364" s="110"/>
      <c r="FXS1364" s="110"/>
      <c r="FXT1364" s="110"/>
      <c r="FXU1364" s="110"/>
      <c r="FXV1364" s="110"/>
      <c r="FXW1364" s="110"/>
      <c r="FXX1364" s="110"/>
      <c r="FXY1364" s="110"/>
      <c r="FXZ1364" s="110"/>
      <c r="FYA1364" s="110"/>
      <c r="FYB1364" s="110"/>
      <c r="FYC1364" s="110"/>
      <c r="FYD1364" s="110"/>
      <c r="FYE1364" s="110"/>
      <c r="FYF1364" s="110"/>
      <c r="FYG1364" s="110"/>
      <c r="FYH1364" s="110"/>
      <c r="FYI1364" s="110"/>
      <c r="FYJ1364" s="110"/>
      <c r="FYK1364" s="110"/>
      <c r="FYL1364" s="110"/>
      <c r="FYM1364" s="110"/>
      <c r="FYN1364" s="110"/>
      <c r="FYO1364" s="110"/>
      <c r="FYP1364" s="110"/>
      <c r="FYQ1364" s="110"/>
      <c r="FYR1364" s="110"/>
      <c r="FYS1364" s="110"/>
      <c r="FYT1364" s="110"/>
      <c r="FYU1364" s="110"/>
      <c r="FYV1364" s="110"/>
      <c r="FYW1364" s="110"/>
      <c r="FYX1364" s="110"/>
      <c r="FYY1364" s="110"/>
      <c r="FYZ1364" s="110"/>
      <c r="FZA1364" s="110"/>
      <c r="FZB1364" s="110"/>
      <c r="FZC1364" s="110"/>
      <c r="FZD1364" s="110"/>
      <c r="FZE1364" s="110"/>
      <c r="FZF1364" s="110"/>
      <c r="FZG1364" s="110"/>
      <c r="FZH1364" s="110"/>
      <c r="FZI1364" s="110"/>
      <c r="FZJ1364" s="110"/>
      <c r="FZK1364" s="110"/>
      <c r="FZL1364" s="110"/>
      <c r="FZM1364" s="110"/>
      <c r="FZN1364" s="110"/>
      <c r="FZO1364" s="110"/>
      <c r="FZP1364" s="110"/>
      <c r="FZQ1364" s="110"/>
      <c r="FZR1364" s="110"/>
      <c r="FZS1364" s="110"/>
      <c r="FZT1364" s="110"/>
      <c r="FZU1364" s="110"/>
      <c r="FZV1364" s="110"/>
      <c r="FZW1364" s="110"/>
      <c r="FZX1364" s="110"/>
      <c r="FZY1364" s="110"/>
      <c r="FZZ1364" s="110"/>
      <c r="GAA1364" s="110"/>
      <c r="GAB1364" s="110"/>
      <c r="GAC1364" s="110"/>
      <c r="GAD1364" s="110"/>
      <c r="GAE1364" s="110"/>
      <c r="GAF1364" s="110"/>
      <c r="GAG1364" s="110"/>
      <c r="GAH1364" s="110"/>
      <c r="GAI1364" s="110"/>
      <c r="GAJ1364" s="110"/>
      <c r="GAK1364" s="110"/>
      <c r="GAL1364" s="110"/>
      <c r="GAM1364" s="110"/>
      <c r="GAN1364" s="110"/>
      <c r="GAO1364" s="110"/>
      <c r="GAP1364" s="110"/>
      <c r="GAQ1364" s="110"/>
      <c r="GAR1364" s="110"/>
      <c r="GAS1364" s="110"/>
      <c r="GAT1364" s="110"/>
      <c r="GAU1364" s="110"/>
      <c r="GAV1364" s="110"/>
      <c r="GAW1364" s="110"/>
      <c r="GAX1364" s="110"/>
      <c r="GAY1364" s="110"/>
      <c r="GAZ1364" s="110"/>
      <c r="GBA1364" s="110"/>
      <c r="GBB1364" s="110"/>
      <c r="GBC1364" s="110"/>
      <c r="GBD1364" s="110"/>
      <c r="GBE1364" s="110"/>
      <c r="GBF1364" s="110"/>
      <c r="GBG1364" s="110"/>
      <c r="GBH1364" s="110"/>
      <c r="GBI1364" s="110"/>
      <c r="GBJ1364" s="110"/>
      <c r="GBK1364" s="110"/>
      <c r="GBL1364" s="110"/>
      <c r="GBM1364" s="110"/>
      <c r="GBN1364" s="110"/>
      <c r="GBO1364" s="110"/>
      <c r="GBP1364" s="110"/>
      <c r="GBQ1364" s="110"/>
      <c r="GBR1364" s="110"/>
      <c r="GBS1364" s="110"/>
      <c r="GBT1364" s="110"/>
      <c r="GBU1364" s="110"/>
      <c r="GBV1364" s="110"/>
      <c r="GBW1364" s="110"/>
      <c r="GBX1364" s="110"/>
      <c r="GBY1364" s="110"/>
      <c r="GBZ1364" s="110"/>
      <c r="GCA1364" s="110"/>
      <c r="GCB1364" s="110"/>
      <c r="GCC1364" s="110"/>
      <c r="GCD1364" s="110"/>
      <c r="GCE1364" s="110"/>
      <c r="GCF1364" s="110"/>
      <c r="GCG1364" s="110"/>
      <c r="GCH1364" s="110"/>
      <c r="GCI1364" s="110"/>
      <c r="GCJ1364" s="110"/>
      <c r="GCK1364" s="110"/>
      <c r="GCL1364" s="110"/>
      <c r="GCM1364" s="110"/>
      <c r="GCN1364" s="110"/>
      <c r="GCO1364" s="110"/>
      <c r="GCP1364" s="110"/>
      <c r="GCQ1364" s="110"/>
      <c r="GCR1364" s="110"/>
      <c r="GCS1364" s="110"/>
      <c r="GCT1364" s="110"/>
      <c r="GCU1364" s="110"/>
      <c r="GCV1364" s="110"/>
      <c r="GCW1364" s="110"/>
      <c r="GCX1364" s="110"/>
      <c r="GCY1364" s="110"/>
      <c r="GCZ1364" s="110"/>
      <c r="GDA1364" s="110"/>
      <c r="GDB1364" s="110"/>
      <c r="GDC1364" s="110"/>
      <c r="GDD1364" s="110"/>
      <c r="GDE1364" s="110"/>
      <c r="GDF1364" s="110"/>
      <c r="GDG1364" s="110"/>
      <c r="GDH1364" s="110"/>
      <c r="GDI1364" s="110"/>
      <c r="GDJ1364" s="110"/>
      <c r="GDK1364" s="110"/>
      <c r="GDL1364" s="110"/>
      <c r="GDM1364" s="110"/>
      <c r="GDN1364" s="110"/>
      <c r="GDO1364" s="110"/>
      <c r="GDP1364" s="110"/>
      <c r="GDQ1364" s="110"/>
      <c r="GDR1364" s="110"/>
      <c r="GDS1364" s="110"/>
      <c r="GDT1364" s="110"/>
      <c r="GDU1364" s="110"/>
      <c r="GDV1364" s="110"/>
      <c r="GDW1364" s="110"/>
      <c r="GDX1364" s="110"/>
      <c r="GDY1364" s="110"/>
      <c r="GDZ1364" s="110"/>
      <c r="GEA1364" s="110"/>
      <c r="GEB1364" s="110"/>
      <c r="GEC1364" s="110"/>
      <c r="GED1364" s="110"/>
      <c r="GEE1364" s="110"/>
      <c r="GEF1364" s="110"/>
      <c r="GEG1364" s="110"/>
      <c r="GEH1364" s="110"/>
      <c r="GEI1364" s="110"/>
      <c r="GEJ1364" s="110"/>
      <c r="GEK1364" s="110"/>
      <c r="GEL1364" s="110"/>
      <c r="GEM1364" s="110"/>
      <c r="GEN1364" s="110"/>
      <c r="GEO1364" s="110"/>
      <c r="GEP1364" s="110"/>
      <c r="GEQ1364" s="110"/>
      <c r="GER1364" s="110"/>
      <c r="GES1364" s="110"/>
      <c r="GET1364" s="110"/>
      <c r="GEU1364" s="110"/>
      <c r="GEV1364" s="110"/>
      <c r="GEW1364" s="110"/>
      <c r="GEX1364" s="110"/>
      <c r="GEY1364" s="110"/>
      <c r="GEZ1364" s="110"/>
      <c r="GFA1364" s="110"/>
      <c r="GFB1364" s="110"/>
      <c r="GFC1364" s="110"/>
      <c r="GFD1364" s="110"/>
      <c r="GFE1364" s="110"/>
      <c r="GFF1364" s="110"/>
      <c r="GFG1364" s="110"/>
      <c r="GFH1364" s="110"/>
      <c r="GFI1364" s="110"/>
      <c r="GFJ1364" s="110"/>
      <c r="GFK1364" s="110"/>
      <c r="GFL1364" s="110"/>
      <c r="GFM1364" s="110"/>
      <c r="GFN1364" s="110"/>
      <c r="GFO1364" s="110"/>
      <c r="GFP1364" s="110"/>
      <c r="GFQ1364" s="110"/>
      <c r="GFR1364" s="110"/>
      <c r="GFS1364" s="110"/>
      <c r="GFT1364" s="110"/>
      <c r="GFU1364" s="110"/>
      <c r="GFV1364" s="110"/>
      <c r="GFW1364" s="110"/>
      <c r="GFX1364" s="110"/>
      <c r="GFY1364" s="110"/>
      <c r="GFZ1364" s="110"/>
      <c r="GGA1364" s="110"/>
      <c r="GGB1364" s="110"/>
      <c r="GGC1364" s="110"/>
      <c r="GGD1364" s="110"/>
      <c r="GGE1364" s="110"/>
      <c r="GGF1364" s="110"/>
      <c r="GGG1364" s="110"/>
      <c r="GGH1364" s="110"/>
      <c r="GGI1364" s="110"/>
      <c r="GGJ1364" s="110"/>
      <c r="GGK1364" s="110"/>
      <c r="GGL1364" s="110"/>
      <c r="GGM1364" s="110"/>
      <c r="GGN1364" s="110"/>
      <c r="GGO1364" s="110"/>
      <c r="GGP1364" s="110"/>
      <c r="GGQ1364" s="110"/>
      <c r="GGR1364" s="110"/>
      <c r="GGS1364" s="110"/>
      <c r="GGT1364" s="110"/>
      <c r="GGU1364" s="110"/>
      <c r="GGV1364" s="110"/>
      <c r="GGW1364" s="110"/>
      <c r="GGX1364" s="110"/>
      <c r="GGY1364" s="110"/>
      <c r="GGZ1364" s="110"/>
      <c r="GHA1364" s="110"/>
      <c r="GHB1364" s="110"/>
      <c r="GHC1364" s="110"/>
      <c r="GHD1364" s="110"/>
      <c r="GHE1364" s="110"/>
      <c r="GHF1364" s="110"/>
      <c r="GHG1364" s="110"/>
      <c r="GHH1364" s="110"/>
      <c r="GHI1364" s="110"/>
      <c r="GHJ1364" s="110"/>
      <c r="GHK1364" s="110"/>
      <c r="GHL1364" s="110"/>
      <c r="GHM1364" s="110"/>
      <c r="GHN1364" s="110"/>
      <c r="GHO1364" s="110"/>
      <c r="GHP1364" s="110"/>
      <c r="GHQ1364" s="110"/>
      <c r="GHR1364" s="110"/>
      <c r="GHS1364" s="110"/>
      <c r="GHT1364" s="110"/>
      <c r="GHU1364" s="110"/>
      <c r="GHV1364" s="110"/>
      <c r="GHW1364" s="110"/>
      <c r="GHX1364" s="110"/>
      <c r="GHY1364" s="110"/>
      <c r="GHZ1364" s="110"/>
      <c r="GIA1364" s="110"/>
      <c r="GIB1364" s="110"/>
      <c r="GIC1364" s="110"/>
      <c r="GID1364" s="110"/>
      <c r="GIE1364" s="110"/>
      <c r="GIF1364" s="110"/>
      <c r="GIG1364" s="110"/>
      <c r="GIH1364" s="110"/>
      <c r="GII1364" s="110"/>
      <c r="GIJ1364" s="110"/>
      <c r="GIK1364" s="110"/>
      <c r="GIL1364" s="110"/>
      <c r="GIM1364" s="110"/>
      <c r="GIN1364" s="110"/>
      <c r="GIO1364" s="110"/>
      <c r="GIP1364" s="110"/>
      <c r="GIQ1364" s="110"/>
      <c r="GIR1364" s="110"/>
      <c r="GIS1364" s="110"/>
      <c r="GIT1364" s="110"/>
      <c r="GIU1364" s="110"/>
      <c r="GIV1364" s="110"/>
      <c r="GIW1364" s="110"/>
      <c r="GIX1364" s="110"/>
      <c r="GIY1364" s="110"/>
      <c r="GIZ1364" s="110"/>
      <c r="GJA1364" s="110"/>
      <c r="GJB1364" s="110"/>
      <c r="GJC1364" s="110"/>
      <c r="GJD1364" s="110"/>
      <c r="GJE1364" s="110"/>
      <c r="GJF1364" s="110"/>
      <c r="GJG1364" s="110"/>
      <c r="GJH1364" s="110"/>
      <c r="GJI1364" s="110"/>
      <c r="GJJ1364" s="110"/>
      <c r="GJK1364" s="110"/>
      <c r="GJL1364" s="110"/>
      <c r="GJM1364" s="110"/>
      <c r="GJN1364" s="110"/>
      <c r="GJO1364" s="110"/>
      <c r="GJP1364" s="110"/>
      <c r="GJQ1364" s="110"/>
      <c r="GJR1364" s="110"/>
      <c r="GJS1364" s="110"/>
      <c r="GJT1364" s="110"/>
      <c r="GJU1364" s="110"/>
      <c r="GJV1364" s="110"/>
      <c r="GJW1364" s="110"/>
      <c r="GJX1364" s="110"/>
      <c r="GJY1364" s="110"/>
      <c r="GJZ1364" s="110"/>
      <c r="GKA1364" s="110"/>
      <c r="GKB1364" s="110"/>
      <c r="GKC1364" s="110"/>
      <c r="GKD1364" s="110"/>
      <c r="GKE1364" s="110"/>
      <c r="GKF1364" s="110"/>
      <c r="GKG1364" s="110"/>
      <c r="GKH1364" s="110"/>
      <c r="GKI1364" s="110"/>
      <c r="GKJ1364" s="110"/>
      <c r="GKK1364" s="110"/>
      <c r="GKL1364" s="110"/>
      <c r="GKM1364" s="110"/>
      <c r="GKN1364" s="110"/>
      <c r="GKO1364" s="110"/>
      <c r="GKP1364" s="110"/>
      <c r="GKQ1364" s="110"/>
      <c r="GKR1364" s="110"/>
      <c r="GKS1364" s="110"/>
      <c r="GKT1364" s="110"/>
      <c r="GKU1364" s="110"/>
      <c r="GKV1364" s="110"/>
      <c r="GKW1364" s="110"/>
      <c r="GKX1364" s="110"/>
      <c r="GKY1364" s="110"/>
      <c r="GKZ1364" s="110"/>
      <c r="GLA1364" s="110"/>
      <c r="GLB1364" s="110"/>
      <c r="GLC1364" s="110"/>
      <c r="GLD1364" s="110"/>
      <c r="GLE1364" s="110"/>
      <c r="GLF1364" s="110"/>
      <c r="GLG1364" s="110"/>
      <c r="GLH1364" s="110"/>
      <c r="GLI1364" s="110"/>
      <c r="GLJ1364" s="110"/>
      <c r="GLK1364" s="110"/>
      <c r="GLL1364" s="110"/>
      <c r="GLM1364" s="110"/>
      <c r="GLN1364" s="110"/>
      <c r="GLO1364" s="110"/>
      <c r="GLP1364" s="110"/>
      <c r="GLQ1364" s="110"/>
      <c r="GLR1364" s="110"/>
      <c r="GLS1364" s="110"/>
      <c r="GLT1364" s="110"/>
      <c r="GLU1364" s="110"/>
      <c r="GLV1364" s="110"/>
      <c r="GLW1364" s="110"/>
      <c r="GLX1364" s="110"/>
      <c r="GLY1364" s="110"/>
      <c r="GLZ1364" s="110"/>
      <c r="GMA1364" s="110"/>
      <c r="GMB1364" s="110"/>
      <c r="GMC1364" s="110"/>
      <c r="GMD1364" s="110"/>
      <c r="GME1364" s="110"/>
      <c r="GMF1364" s="110"/>
      <c r="GMG1364" s="110"/>
      <c r="GMH1364" s="110"/>
      <c r="GMI1364" s="110"/>
      <c r="GMJ1364" s="110"/>
      <c r="GMK1364" s="110"/>
      <c r="GML1364" s="110"/>
      <c r="GMM1364" s="110"/>
      <c r="GMN1364" s="110"/>
      <c r="GMO1364" s="110"/>
      <c r="GMP1364" s="110"/>
      <c r="GMQ1364" s="110"/>
      <c r="GMR1364" s="110"/>
      <c r="GMS1364" s="110"/>
      <c r="GMT1364" s="110"/>
      <c r="GMU1364" s="110"/>
      <c r="GMV1364" s="110"/>
      <c r="GMW1364" s="110"/>
      <c r="GMX1364" s="110"/>
      <c r="GMY1364" s="110"/>
      <c r="GMZ1364" s="110"/>
      <c r="GNA1364" s="110"/>
      <c r="GNB1364" s="110"/>
      <c r="GNC1364" s="110"/>
      <c r="GND1364" s="110"/>
      <c r="GNE1364" s="110"/>
      <c r="GNF1364" s="110"/>
      <c r="GNG1364" s="110"/>
      <c r="GNH1364" s="110"/>
      <c r="GNI1364" s="110"/>
      <c r="GNJ1364" s="110"/>
      <c r="GNK1364" s="110"/>
      <c r="GNL1364" s="110"/>
      <c r="GNM1364" s="110"/>
      <c r="GNN1364" s="110"/>
      <c r="GNO1364" s="110"/>
      <c r="GNP1364" s="110"/>
      <c r="GNQ1364" s="110"/>
      <c r="GNR1364" s="110"/>
      <c r="GNS1364" s="110"/>
      <c r="GNT1364" s="110"/>
      <c r="GNU1364" s="110"/>
      <c r="GNV1364" s="110"/>
      <c r="GNW1364" s="110"/>
      <c r="GNX1364" s="110"/>
      <c r="GNY1364" s="110"/>
      <c r="GNZ1364" s="110"/>
      <c r="GOA1364" s="110"/>
      <c r="GOB1364" s="110"/>
      <c r="GOC1364" s="110"/>
      <c r="GOD1364" s="110"/>
      <c r="GOE1364" s="110"/>
      <c r="GOF1364" s="110"/>
      <c r="GOG1364" s="110"/>
      <c r="GOH1364" s="110"/>
      <c r="GOI1364" s="110"/>
      <c r="GOJ1364" s="110"/>
      <c r="GOK1364" s="110"/>
      <c r="GOL1364" s="110"/>
      <c r="GOM1364" s="110"/>
      <c r="GON1364" s="110"/>
      <c r="GOO1364" s="110"/>
      <c r="GOP1364" s="110"/>
      <c r="GOQ1364" s="110"/>
      <c r="GOR1364" s="110"/>
      <c r="GOS1364" s="110"/>
      <c r="GOT1364" s="110"/>
      <c r="GOU1364" s="110"/>
      <c r="GOV1364" s="110"/>
      <c r="GOW1364" s="110"/>
      <c r="GOX1364" s="110"/>
      <c r="GOY1364" s="110"/>
      <c r="GOZ1364" s="110"/>
      <c r="GPA1364" s="110"/>
      <c r="GPB1364" s="110"/>
      <c r="GPC1364" s="110"/>
      <c r="GPD1364" s="110"/>
      <c r="GPE1364" s="110"/>
      <c r="GPF1364" s="110"/>
      <c r="GPG1364" s="110"/>
      <c r="GPH1364" s="110"/>
      <c r="GPI1364" s="110"/>
      <c r="GPJ1364" s="110"/>
      <c r="GPK1364" s="110"/>
      <c r="GPL1364" s="110"/>
      <c r="GPM1364" s="110"/>
      <c r="GPN1364" s="110"/>
      <c r="GPO1364" s="110"/>
      <c r="GPP1364" s="110"/>
      <c r="GPQ1364" s="110"/>
      <c r="GPR1364" s="110"/>
      <c r="GPS1364" s="110"/>
      <c r="GPT1364" s="110"/>
      <c r="GPU1364" s="110"/>
      <c r="GPV1364" s="110"/>
      <c r="GPW1364" s="110"/>
      <c r="GPX1364" s="110"/>
      <c r="GPY1364" s="110"/>
      <c r="GPZ1364" s="110"/>
      <c r="GQA1364" s="110"/>
      <c r="GQB1364" s="110"/>
      <c r="GQC1364" s="110"/>
      <c r="GQD1364" s="110"/>
      <c r="GQE1364" s="110"/>
      <c r="GQF1364" s="110"/>
      <c r="GQG1364" s="110"/>
      <c r="GQH1364" s="110"/>
      <c r="GQI1364" s="110"/>
      <c r="GQJ1364" s="110"/>
      <c r="GQK1364" s="110"/>
      <c r="GQL1364" s="110"/>
      <c r="GQM1364" s="110"/>
      <c r="GQN1364" s="110"/>
      <c r="GQO1364" s="110"/>
      <c r="GQP1364" s="110"/>
      <c r="GQQ1364" s="110"/>
      <c r="GQR1364" s="110"/>
      <c r="GQS1364" s="110"/>
      <c r="GQT1364" s="110"/>
      <c r="GQU1364" s="110"/>
      <c r="GQV1364" s="110"/>
      <c r="GQW1364" s="110"/>
      <c r="GQX1364" s="110"/>
      <c r="GQY1364" s="110"/>
      <c r="GQZ1364" s="110"/>
      <c r="GRA1364" s="110"/>
      <c r="GRB1364" s="110"/>
      <c r="GRC1364" s="110"/>
      <c r="GRD1364" s="110"/>
      <c r="GRE1364" s="110"/>
      <c r="GRF1364" s="110"/>
      <c r="GRG1364" s="110"/>
      <c r="GRH1364" s="110"/>
      <c r="GRI1364" s="110"/>
      <c r="GRJ1364" s="110"/>
      <c r="GRK1364" s="110"/>
      <c r="GRL1364" s="110"/>
      <c r="GRM1364" s="110"/>
      <c r="GRN1364" s="110"/>
      <c r="GRO1364" s="110"/>
      <c r="GRP1364" s="110"/>
      <c r="GRQ1364" s="110"/>
      <c r="GRR1364" s="110"/>
      <c r="GRS1364" s="110"/>
      <c r="GRT1364" s="110"/>
      <c r="GRU1364" s="110"/>
      <c r="GRV1364" s="110"/>
      <c r="GRW1364" s="110"/>
      <c r="GRX1364" s="110"/>
      <c r="GRY1364" s="110"/>
      <c r="GRZ1364" s="110"/>
      <c r="GSA1364" s="110"/>
      <c r="GSB1364" s="110"/>
      <c r="GSC1364" s="110"/>
      <c r="GSD1364" s="110"/>
      <c r="GSE1364" s="110"/>
      <c r="GSF1364" s="110"/>
      <c r="GSG1364" s="110"/>
      <c r="GSH1364" s="110"/>
      <c r="GSI1364" s="110"/>
      <c r="GSJ1364" s="110"/>
      <c r="GSK1364" s="110"/>
      <c r="GSL1364" s="110"/>
      <c r="GSM1364" s="110"/>
      <c r="GSN1364" s="110"/>
      <c r="GSO1364" s="110"/>
      <c r="GSP1364" s="110"/>
      <c r="GSQ1364" s="110"/>
      <c r="GSR1364" s="110"/>
      <c r="GSS1364" s="110"/>
      <c r="GST1364" s="110"/>
      <c r="GSU1364" s="110"/>
      <c r="GSV1364" s="110"/>
      <c r="GSW1364" s="110"/>
      <c r="GSX1364" s="110"/>
      <c r="GSY1364" s="110"/>
      <c r="GSZ1364" s="110"/>
      <c r="GTA1364" s="110"/>
      <c r="GTB1364" s="110"/>
      <c r="GTC1364" s="110"/>
      <c r="GTD1364" s="110"/>
      <c r="GTE1364" s="110"/>
      <c r="GTF1364" s="110"/>
      <c r="GTG1364" s="110"/>
      <c r="GTH1364" s="110"/>
      <c r="GTI1364" s="110"/>
      <c r="GTJ1364" s="110"/>
      <c r="GTK1364" s="110"/>
      <c r="GTL1364" s="110"/>
      <c r="GTM1364" s="110"/>
      <c r="GTN1364" s="110"/>
      <c r="GTO1364" s="110"/>
      <c r="GTP1364" s="110"/>
      <c r="GTQ1364" s="110"/>
      <c r="GTR1364" s="110"/>
      <c r="GTS1364" s="110"/>
      <c r="GTT1364" s="110"/>
      <c r="GTU1364" s="110"/>
      <c r="GTV1364" s="110"/>
      <c r="GTW1364" s="110"/>
      <c r="GTX1364" s="110"/>
      <c r="GTY1364" s="110"/>
      <c r="GTZ1364" s="110"/>
      <c r="GUA1364" s="110"/>
      <c r="GUB1364" s="110"/>
      <c r="GUC1364" s="110"/>
      <c r="GUD1364" s="110"/>
      <c r="GUE1364" s="110"/>
      <c r="GUF1364" s="110"/>
      <c r="GUG1364" s="110"/>
      <c r="GUH1364" s="110"/>
      <c r="GUI1364" s="110"/>
      <c r="GUJ1364" s="110"/>
      <c r="GUK1364" s="110"/>
      <c r="GUL1364" s="110"/>
      <c r="GUM1364" s="110"/>
      <c r="GUN1364" s="110"/>
      <c r="GUO1364" s="110"/>
      <c r="GUP1364" s="110"/>
      <c r="GUQ1364" s="110"/>
      <c r="GUR1364" s="110"/>
      <c r="GUS1364" s="110"/>
      <c r="GUT1364" s="110"/>
      <c r="GUU1364" s="110"/>
      <c r="GUV1364" s="110"/>
      <c r="GUW1364" s="110"/>
      <c r="GUX1364" s="110"/>
      <c r="GUY1364" s="110"/>
      <c r="GUZ1364" s="110"/>
      <c r="GVA1364" s="110"/>
      <c r="GVB1364" s="110"/>
      <c r="GVC1364" s="110"/>
      <c r="GVD1364" s="110"/>
      <c r="GVE1364" s="110"/>
      <c r="GVF1364" s="110"/>
      <c r="GVG1364" s="110"/>
      <c r="GVH1364" s="110"/>
      <c r="GVI1364" s="110"/>
      <c r="GVJ1364" s="110"/>
      <c r="GVK1364" s="110"/>
      <c r="GVL1364" s="110"/>
      <c r="GVM1364" s="110"/>
      <c r="GVN1364" s="110"/>
      <c r="GVO1364" s="110"/>
      <c r="GVP1364" s="110"/>
      <c r="GVQ1364" s="110"/>
      <c r="GVR1364" s="110"/>
      <c r="GVS1364" s="110"/>
      <c r="GVT1364" s="110"/>
      <c r="GVU1364" s="110"/>
      <c r="GVV1364" s="110"/>
      <c r="GVW1364" s="110"/>
      <c r="GVX1364" s="110"/>
      <c r="GVY1364" s="110"/>
      <c r="GVZ1364" s="110"/>
      <c r="GWA1364" s="110"/>
      <c r="GWB1364" s="110"/>
      <c r="GWC1364" s="110"/>
      <c r="GWD1364" s="110"/>
      <c r="GWE1364" s="110"/>
      <c r="GWF1364" s="110"/>
      <c r="GWG1364" s="110"/>
      <c r="GWH1364" s="110"/>
      <c r="GWI1364" s="110"/>
      <c r="GWJ1364" s="110"/>
      <c r="GWK1364" s="110"/>
      <c r="GWL1364" s="110"/>
      <c r="GWM1364" s="110"/>
      <c r="GWN1364" s="110"/>
      <c r="GWO1364" s="110"/>
      <c r="GWP1364" s="110"/>
      <c r="GWQ1364" s="110"/>
      <c r="GWR1364" s="110"/>
      <c r="GWS1364" s="110"/>
      <c r="GWT1364" s="110"/>
      <c r="GWU1364" s="110"/>
      <c r="GWV1364" s="110"/>
      <c r="GWW1364" s="110"/>
      <c r="GWX1364" s="110"/>
      <c r="GWY1364" s="110"/>
      <c r="GWZ1364" s="110"/>
      <c r="GXA1364" s="110"/>
      <c r="GXB1364" s="110"/>
      <c r="GXC1364" s="110"/>
      <c r="GXD1364" s="110"/>
      <c r="GXE1364" s="110"/>
      <c r="GXF1364" s="110"/>
      <c r="GXG1364" s="110"/>
      <c r="GXH1364" s="110"/>
      <c r="GXI1364" s="110"/>
      <c r="GXJ1364" s="110"/>
      <c r="GXK1364" s="110"/>
      <c r="GXL1364" s="110"/>
      <c r="GXM1364" s="110"/>
      <c r="GXN1364" s="110"/>
      <c r="GXO1364" s="110"/>
      <c r="GXP1364" s="110"/>
      <c r="GXQ1364" s="110"/>
      <c r="GXR1364" s="110"/>
      <c r="GXS1364" s="110"/>
      <c r="GXT1364" s="110"/>
      <c r="GXU1364" s="110"/>
      <c r="GXV1364" s="110"/>
      <c r="GXW1364" s="110"/>
      <c r="GXX1364" s="110"/>
      <c r="GXY1364" s="110"/>
      <c r="GXZ1364" s="110"/>
      <c r="GYA1364" s="110"/>
      <c r="GYB1364" s="110"/>
      <c r="GYC1364" s="110"/>
      <c r="GYD1364" s="110"/>
      <c r="GYE1364" s="110"/>
      <c r="GYF1364" s="110"/>
      <c r="GYG1364" s="110"/>
      <c r="GYH1364" s="110"/>
      <c r="GYI1364" s="110"/>
      <c r="GYJ1364" s="110"/>
      <c r="GYK1364" s="110"/>
      <c r="GYL1364" s="110"/>
      <c r="GYM1364" s="110"/>
      <c r="GYN1364" s="110"/>
      <c r="GYO1364" s="110"/>
      <c r="GYP1364" s="110"/>
      <c r="GYQ1364" s="110"/>
      <c r="GYR1364" s="110"/>
      <c r="GYS1364" s="110"/>
      <c r="GYT1364" s="110"/>
      <c r="GYU1364" s="110"/>
      <c r="GYV1364" s="110"/>
      <c r="GYW1364" s="110"/>
      <c r="GYX1364" s="110"/>
      <c r="GYY1364" s="110"/>
      <c r="GYZ1364" s="110"/>
      <c r="GZA1364" s="110"/>
      <c r="GZB1364" s="110"/>
      <c r="GZC1364" s="110"/>
      <c r="GZD1364" s="110"/>
      <c r="GZE1364" s="110"/>
      <c r="GZF1364" s="110"/>
      <c r="GZG1364" s="110"/>
      <c r="GZH1364" s="110"/>
      <c r="GZI1364" s="110"/>
      <c r="GZJ1364" s="110"/>
      <c r="GZK1364" s="110"/>
      <c r="GZL1364" s="110"/>
      <c r="GZM1364" s="110"/>
      <c r="GZN1364" s="110"/>
      <c r="GZO1364" s="110"/>
      <c r="GZP1364" s="110"/>
      <c r="GZQ1364" s="110"/>
      <c r="GZR1364" s="110"/>
      <c r="GZS1364" s="110"/>
      <c r="GZT1364" s="110"/>
      <c r="GZU1364" s="110"/>
      <c r="GZV1364" s="110"/>
      <c r="GZW1364" s="110"/>
      <c r="GZX1364" s="110"/>
      <c r="GZY1364" s="110"/>
      <c r="GZZ1364" s="110"/>
      <c r="HAA1364" s="110"/>
      <c r="HAB1364" s="110"/>
      <c r="HAC1364" s="110"/>
      <c r="HAD1364" s="110"/>
      <c r="HAE1364" s="110"/>
      <c r="HAF1364" s="110"/>
      <c r="HAG1364" s="110"/>
      <c r="HAH1364" s="110"/>
      <c r="HAI1364" s="110"/>
      <c r="HAJ1364" s="110"/>
      <c r="HAK1364" s="110"/>
      <c r="HAL1364" s="110"/>
      <c r="HAM1364" s="110"/>
      <c r="HAN1364" s="110"/>
      <c r="HAO1364" s="110"/>
      <c r="HAP1364" s="110"/>
      <c r="HAQ1364" s="110"/>
      <c r="HAR1364" s="110"/>
      <c r="HAS1364" s="110"/>
      <c r="HAT1364" s="110"/>
      <c r="HAU1364" s="110"/>
      <c r="HAV1364" s="110"/>
      <c r="HAW1364" s="110"/>
      <c r="HAX1364" s="110"/>
      <c r="HAY1364" s="110"/>
      <c r="HAZ1364" s="110"/>
      <c r="HBA1364" s="110"/>
      <c r="HBB1364" s="110"/>
      <c r="HBC1364" s="110"/>
      <c r="HBD1364" s="110"/>
      <c r="HBE1364" s="110"/>
      <c r="HBF1364" s="110"/>
      <c r="HBG1364" s="110"/>
      <c r="HBH1364" s="110"/>
      <c r="HBI1364" s="110"/>
      <c r="HBJ1364" s="110"/>
      <c r="HBK1364" s="110"/>
      <c r="HBL1364" s="110"/>
      <c r="HBM1364" s="110"/>
      <c r="HBN1364" s="110"/>
      <c r="HBO1364" s="110"/>
      <c r="HBP1364" s="110"/>
      <c r="HBQ1364" s="110"/>
      <c r="HBR1364" s="110"/>
      <c r="HBS1364" s="110"/>
      <c r="HBT1364" s="110"/>
      <c r="HBU1364" s="110"/>
      <c r="HBV1364" s="110"/>
      <c r="HBW1364" s="110"/>
      <c r="HBX1364" s="110"/>
      <c r="HBY1364" s="110"/>
      <c r="HBZ1364" s="110"/>
      <c r="HCA1364" s="110"/>
      <c r="HCB1364" s="110"/>
      <c r="HCC1364" s="110"/>
      <c r="HCD1364" s="110"/>
      <c r="HCE1364" s="110"/>
      <c r="HCF1364" s="110"/>
      <c r="HCG1364" s="110"/>
      <c r="HCH1364" s="110"/>
      <c r="HCI1364" s="110"/>
      <c r="HCJ1364" s="110"/>
      <c r="HCK1364" s="110"/>
      <c r="HCL1364" s="110"/>
      <c r="HCM1364" s="110"/>
      <c r="HCN1364" s="110"/>
      <c r="HCO1364" s="110"/>
      <c r="HCP1364" s="110"/>
      <c r="HCQ1364" s="110"/>
      <c r="HCR1364" s="110"/>
      <c r="HCS1364" s="110"/>
      <c r="HCT1364" s="110"/>
      <c r="HCU1364" s="110"/>
      <c r="HCV1364" s="110"/>
      <c r="HCW1364" s="110"/>
      <c r="HCX1364" s="110"/>
      <c r="HCY1364" s="110"/>
      <c r="HCZ1364" s="110"/>
      <c r="HDA1364" s="110"/>
      <c r="HDB1364" s="110"/>
      <c r="HDC1364" s="110"/>
      <c r="HDD1364" s="110"/>
      <c r="HDE1364" s="110"/>
      <c r="HDF1364" s="110"/>
      <c r="HDG1364" s="110"/>
      <c r="HDH1364" s="110"/>
      <c r="HDI1364" s="110"/>
      <c r="HDJ1364" s="110"/>
      <c r="HDK1364" s="110"/>
      <c r="HDL1364" s="110"/>
      <c r="HDM1364" s="110"/>
      <c r="HDN1364" s="110"/>
      <c r="HDO1364" s="110"/>
      <c r="HDP1364" s="110"/>
      <c r="HDQ1364" s="110"/>
      <c r="HDR1364" s="110"/>
      <c r="HDS1364" s="110"/>
      <c r="HDT1364" s="110"/>
      <c r="HDU1364" s="110"/>
      <c r="HDV1364" s="110"/>
      <c r="HDW1364" s="110"/>
      <c r="HDX1364" s="110"/>
      <c r="HDY1364" s="110"/>
      <c r="HDZ1364" s="110"/>
      <c r="HEA1364" s="110"/>
      <c r="HEB1364" s="110"/>
      <c r="HEC1364" s="110"/>
      <c r="HED1364" s="110"/>
      <c r="HEE1364" s="110"/>
      <c r="HEF1364" s="110"/>
      <c r="HEG1364" s="110"/>
      <c r="HEH1364" s="110"/>
      <c r="HEI1364" s="110"/>
      <c r="HEJ1364" s="110"/>
      <c r="HEK1364" s="110"/>
      <c r="HEL1364" s="110"/>
      <c r="HEM1364" s="110"/>
      <c r="HEN1364" s="110"/>
      <c r="HEO1364" s="110"/>
      <c r="HEP1364" s="110"/>
      <c r="HEQ1364" s="110"/>
      <c r="HER1364" s="110"/>
      <c r="HES1364" s="110"/>
      <c r="HET1364" s="110"/>
      <c r="HEU1364" s="110"/>
      <c r="HEV1364" s="110"/>
      <c r="HEW1364" s="110"/>
      <c r="HEX1364" s="110"/>
      <c r="HEY1364" s="110"/>
      <c r="HEZ1364" s="110"/>
      <c r="HFA1364" s="110"/>
      <c r="HFB1364" s="110"/>
      <c r="HFC1364" s="110"/>
      <c r="HFD1364" s="110"/>
      <c r="HFE1364" s="110"/>
      <c r="HFF1364" s="110"/>
      <c r="HFG1364" s="110"/>
      <c r="HFH1364" s="110"/>
      <c r="HFI1364" s="110"/>
      <c r="HFJ1364" s="110"/>
      <c r="HFK1364" s="110"/>
      <c r="HFL1364" s="110"/>
      <c r="HFM1364" s="110"/>
      <c r="HFN1364" s="110"/>
      <c r="HFO1364" s="110"/>
      <c r="HFP1364" s="110"/>
      <c r="HFQ1364" s="110"/>
      <c r="HFR1364" s="110"/>
      <c r="HFS1364" s="110"/>
      <c r="HFT1364" s="110"/>
      <c r="HFU1364" s="110"/>
      <c r="HFV1364" s="110"/>
      <c r="HFW1364" s="110"/>
      <c r="HFX1364" s="110"/>
      <c r="HFY1364" s="110"/>
      <c r="HFZ1364" s="110"/>
      <c r="HGA1364" s="110"/>
      <c r="HGB1364" s="110"/>
      <c r="HGC1364" s="110"/>
      <c r="HGD1364" s="110"/>
      <c r="HGE1364" s="110"/>
      <c r="HGF1364" s="110"/>
      <c r="HGG1364" s="110"/>
      <c r="HGH1364" s="110"/>
      <c r="HGI1364" s="110"/>
      <c r="HGJ1364" s="110"/>
      <c r="HGK1364" s="110"/>
      <c r="HGL1364" s="110"/>
      <c r="HGM1364" s="110"/>
      <c r="HGN1364" s="110"/>
      <c r="HGO1364" s="110"/>
      <c r="HGP1364" s="110"/>
      <c r="HGQ1364" s="110"/>
      <c r="HGR1364" s="110"/>
      <c r="HGS1364" s="110"/>
      <c r="HGT1364" s="110"/>
      <c r="HGU1364" s="110"/>
      <c r="HGV1364" s="110"/>
      <c r="HGW1364" s="110"/>
      <c r="HGX1364" s="110"/>
      <c r="HGY1364" s="110"/>
      <c r="HGZ1364" s="110"/>
      <c r="HHA1364" s="110"/>
      <c r="HHB1364" s="110"/>
      <c r="HHC1364" s="110"/>
      <c r="HHD1364" s="110"/>
      <c r="HHE1364" s="110"/>
      <c r="HHF1364" s="110"/>
      <c r="HHG1364" s="110"/>
      <c r="HHH1364" s="110"/>
      <c r="HHI1364" s="110"/>
      <c r="HHJ1364" s="110"/>
      <c r="HHK1364" s="110"/>
      <c r="HHL1364" s="110"/>
      <c r="HHM1364" s="110"/>
      <c r="HHN1364" s="110"/>
      <c r="HHO1364" s="110"/>
      <c r="HHP1364" s="110"/>
      <c r="HHQ1364" s="110"/>
      <c r="HHR1364" s="110"/>
      <c r="HHS1364" s="110"/>
      <c r="HHT1364" s="110"/>
      <c r="HHU1364" s="110"/>
      <c r="HHV1364" s="110"/>
      <c r="HHW1364" s="110"/>
      <c r="HHX1364" s="110"/>
      <c r="HHY1364" s="110"/>
      <c r="HHZ1364" s="110"/>
      <c r="HIA1364" s="110"/>
      <c r="HIB1364" s="110"/>
      <c r="HIC1364" s="110"/>
      <c r="HID1364" s="110"/>
      <c r="HIE1364" s="110"/>
      <c r="HIF1364" s="110"/>
      <c r="HIG1364" s="110"/>
      <c r="HIH1364" s="110"/>
      <c r="HII1364" s="110"/>
      <c r="HIJ1364" s="110"/>
      <c r="HIK1364" s="110"/>
      <c r="HIL1364" s="110"/>
      <c r="HIM1364" s="110"/>
      <c r="HIN1364" s="110"/>
      <c r="HIO1364" s="110"/>
      <c r="HIP1364" s="110"/>
      <c r="HIQ1364" s="110"/>
      <c r="HIR1364" s="110"/>
      <c r="HIS1364" s="110"/>
      <c r="HIT1364" s="110"/>
      <c r="HIU1364" s="110"/>
      <c r="HIV1364" s="110"/>
      <c r="HIW1364" s="110"/>
      <c r="HIX1364" s="110"/>
      <c r="HIY1364" s="110"/>
      <c r="HIZ1364" s="110"/>
      <c r="HJA1364" s="110"/>
      <c r="HJB1364" s="110"/>
      <c r="HJC1364" s="110"/>
      <c r="HJD1364" s="110"/>
      <c r="HJE1364" s="110"/>
      <c r="HJF1364" s="110"/>
      <c r="HJG1364" s="110"/>
      <c r="HJH1364" s="110"/>
      <c r="HJI1364" s="110"/>
      <c r="HJJ1364" s="110"/>
      <c r="HJK1364" s="110"/>
      <c r="HJL1364" s="110"/>
      <c r="HJM1364" s="110"/>
      <c r="HJN1364" s="110"/>
      <c r="HJO1364" s="110"/>
      <c r="HJP1364" s="110"/>
      <c r="HJQ1364" s="110"/>
      <c r="HJR1364" s="110"/>
      <c r="HJS1364" s="110"/>
      <c r="HJT1364" s="110"/>
      <c r="HJU1364" s="110"/>
      <c r="HJV1364" s="110"/>
      <c r="HJW1364" s="110"/>
      <c r="HJX1364" s="110"/>
      <c r="HJY1364" s="110"/>
      <c r="HJZ1364" s="110"/>
      <c r="HKA1364" s="110"/>
      <c r="HKB1364" s="110"/>
      <c r="HKC1364" s="110"/>
      <c r="HKD1364" s="110"/>
      <c r="HKE1364" s="110"/>
      <c r="HKF1364" s="110"/>
      <c r="HKG1364" s="110"/>
      <c r="HKH1364" s="110"/>
      <c r="HKI1364" s="110"/>
      <c r="HKJ1364" s="110"/>
      <c r="HKK1364" s="110"/>
      <c r="HKL1364" s="110"/>
      <c r="HKM1364" s="110"/>
      <c r="HKN1364" s="110"/>
      <c r="HKO1364" s="110"/>
      <c r="HKP1364" s="110"/>
      <c r="HKQ1364" s="110"/>
      <c r="HKR1364" s="110"/>
      <c r="HKS1364" s="110"/>
      <c r="HKT1364" s="110"/>
      <c r="HKU1364" s="110"/>
      <c r="HKV1364" s="110"/>
      <c r="HKW1364" s="110"/>
      <c r="HKX1364" s="110"/>
      <c r="HKY1364" s="110"/>
      <c r="HKZ1364" s="110"/>
      <c r="HLA1364" s="110"/>
      <c r="HLB1364" s="110"/>
      <c r="HLC1364" s="110"/>
      <c r="HLD1364" s="110"/>
      <c r="HLE1364" s="110"/>
      <c r="HLF1364" s="110"/>
      <c r="HLG1364" s="110"/>
      <c r="HLH1364" s="110"/>
      <c r="HLI1364" s="110"/>
      <c r="HLJ1364" s="110"/>
      <c r="HLK1364" s="110"/>
      <c r="HLL1364" s="110"/>
      <c r="HLM1364" s="110"/>
      <c r="HLN1364" s="110"/>
      <c r="HLO1364" s="110"/>
      <c r="HLP1364" s="110"/>
      <c r="HLQ1364" s="110"/>
      <c r="HLR1364" s="110"/>
      <c r="HLS1364" s="110"/>
      <c r="HLT1364" s="110"/>
      <c r="HLU1364" s="110"/>
      <c r="HLV1364" s="110"/>
      <c r="HLW1364" s="110"/>
      <c r="HLX1364" s="110"/>
      <c r="HLY1364" s="110"/>
      <c r="HLZ1364" s="110"/>
      <c r="HMA1364" s="110"/>
      <c r="HMB1364" s="110"/>
      <c r="HMC1364" s="110"/>
      <c r="HMD1364" s="110"/>
      <c r="HME1364" s="110"/>
      <c r="HMF1364" s="110"/>
      <c r="HMG1364" s="110"/>
      <c r="HMH1364" s="110"/>
      <c r="HMI1364" s="110"/>
      <c r="HMJ1364" s="110"/>
      <c r="HMK1364" s="110"/>
      <c r="HML1364" s="110"/>
      <c r="HMM1364" s="110"/>
      <c r="HMN1364" s="110"/>
      <c r="HMO1364" s="110"/>
      <c r="HMP1364" s="110"/>
      <c r="HMQ1364" s="110"/>
      <c r="HMR1364" s="110"/>
      <c r="HMS1364" s="110"/>
      <c r="HMT1364" s="110"/>
      <c r="HMU1364" s="110"/>
      <c r="HMV1364" s="110"/>
      <c r="HMW1364" s="110"/>
      <c r="HMX1364" s="110"/>
      <c r="HMY1364" s="110"/>
      <c r="HMZ1364" s="110"/>
      <c r="HNA1364" s="110"/>
      <c r="HNB1364" s="110"/>
      <c r="HNC1364" s="110"/>
      <c r="HND1364" s="110"/>
      <c r="HNE1364" s="110"/>
      <c r="HNF1364" s="110"/>
      <c r="HNG1364" s="110"/>
      <c r="HNH1364" s="110"/>
      <c r="HNI1364" s="110"/>
      <c r="HNJ1364" s="110"/>
      <c r="HNK1364" s="110"/>
      <c r="HNL1364" s="110"/>
      <c r="HNM1364" s="110"/>
      <c r="HNN1364" s="110"/>
      <c r="HNO1364" s="110"/>
      <c r="HNP1364" s="110"/>
      <c r="HNQ1364" s="110"/>
      <c r="HNR1364" s="110"/>
      <c r="HNS1364" s="110"/>
      <c r="HNT1364" s="110"/>
      <c r="HNU1364" s="110"/>
      <c r="HNV1364" s="110"/>
      <c r="HNW1364" s="110"/>
      <c r="HNX1364" s="110"/>
      <c r="HNY1364" s="110"/>
      <c r="HNZ1364" s="110"/>
      <c r="HOA1364" s="110"/>
      <c r="HOB1364" s="110"/>
      <c r="HOC1364" s="110"/>
      <c r="HOD1364" s="110"/>
      <c r="HOE1364" s="110"/>
      <c r="HOF1364" s="110"/>
      <c r="HOG1364" s="110"/>
      <c r="HOH1364" s="110"/>
      <c r="HOI1364" s="110"/>
      <c r="HOJ1364" s="110"/>
      <c r="HOK1364" s="110"/>
      <c r="HOL1364" s="110"/>
      <c r="HOM1364" s="110"/>
      <c r="HON1364" s="110"/>
      <c r="HOO1364" s="110"/>
      <c r="HOP1364" s="110"/>
      <c r="HOQ1364" s="110"/>
      <c r="HOR1364" s="110"/>
      <c r="HOS1364" s="110"/>
      <c r="HOT1364" s="110"/>
      <c r="HOU1364" s="110"/>
      <c r="HOV1364" s="110"/>
      <c r="HOW1364" s="110"/>
      <c r="HOX1364" s="110"/>
      <c r="HOY1364" s="110"/>
      <c r="HOZ1364" s="110"/>
      <c r="HPA1364" s="110"/>
      <c r="HPB1364" s="110"/>
      <c r="HPC1364" s="110"/>
      <c r="HPD1364" s="110"/>
      <c r="HPE1364" s="110"/>
      <c r="HPF1364" s="110"/>
      <c r="HPG1364" s="110"/>
      <c r="HPH1364" s="110"/>
      <c r="HPI1364" s="110"/>
      <c r="HPJ1364" s="110"/>
      <c r="HPK1364" s="110"/>
      <c r="HPL1364" s="110"/>
      <c r="HPM1364" s="110"/>
      <c r="HPN1364" s="110"/>
      <c r="HPO1364" s="110"/>
      <c r="HPP1364" s="110"/>
      <c r="HPQ1364" s="110"/>
      <c r="HPR1364" s="110"/>
      <c r="HPS1364" s="110"/>
      <c r="HPT1364" s="110"/>
      <c r="HPU1364" s="110"/>
      <c r="HPV1364" s="110"/>
      <c r="HPW1364" s="110"/>
      <c r="HPX1364" s="110"/>
      <c r="HPY1364" s="110"/>
      <c r="HPZ1364" s="110"/>
      <c r="HQA1364" s="110"/>
      <c r="HQB1364" s="110"/>
      <c r="HQC1364" s="110"/>
      <c r="HQD1364" s="110"/>
      <c r="HQE1364" s="110"/>
      <c r="HQF1364" s="110"/>
      <c r="HQG1364" s="110"/>
      <c r="HQH1364" s="110"/>
      <c r="HQI1364" s="110"/>
      <c r="HQJ1364" s="110"/>
      <c r="HQK1364" s="110"/>
      <c r="HQL1364" s="110"/>
      <c r="HQM1364" s="110"/>
      <c r="HQN1364" s="110"/>
      <c r="HQO1364" s="110"/>
      <c r="HQP1364" s="110"/>
      <c r="HQQ1364" s="110"/>
      <c r="HQR1364" s="110"/>
      <c r="HQS1364" s="110"/>
      <c r="HQT1364" s="110"/>
      <c r="HQU1364" s="110"/>
      <c r="HQV1364" s="110"/>
      <c r="HQW1364" s="110"/>
      <c r="HQX1364" s="110"/>
      <c r="HQY1364" s="110"/>
      <c r="HQZ1364" s="110"/>
      <c r="HRA1364" s="110"/>
      <c r="HRB1364" s="110"/>
      <c r="HRC1364" s="110"/>
      <c r="HRD1364" s="110"/>
      <c r="HRE1364" s="110"/>
      <c r="HRF1364" s="110"/>
      <c r="HRG1364" s="110"/>
      <c r="HRH1364" s="110"/>
      <c r="HRI1364" s="110"/>
      <c r="HRJ1364" s="110"/>
      <c r="HRK1364" s="110"/>
      <c r="HRL1364" s="110"/>
      <c r="HRM1364" s="110"/>
      <c r="HRN1364" s="110"/>
      <c r="HRO1364" s="110"/>
      <c r="HRP1364" s="110"/>
      <c r="HRQ1364" s="110"/>
      <c r="HRR1364" s="110"/>
      <c r="HRS1364" s="110"/>
      <c r="HRT1364" s="110"/>
      <c r="HRU1364" s="110"/>
      <c r="HRV1364" s="110"/>
      <c r="HRW1364" s="110"/>
      <c r="HRX1364" s="110"/>
      <c r="HRY1364" s="110"/>
      <c r="HRZ1364" s="110"/>
      <c r="HSA1364" s="110"/>
      <c r="HSB1364" s="110"/>
      <c r="HSC1364" s="110"/>
      <c r="HSD1364" s="110"/>
      <c r="HSE1364" s="110"/>
      <c r="HSF1364" s="110"/>
      <c r="HSG1364" s="110"/>
      <c r="HSH1364" s="110"/>
      <c r="HSI1364" s="110"/>
      <c r="HSJ1364" s="110"/>
      <c r="HSK1364" s="110"/>
      <c r="HSL1364" s="110"/>
      <c r="HSM1364" s="110"/>
      <c r="HSN1364" s="110"/>
      <c r="HSO1364" s="110"/>
      <c r="HSP1364" s="110"/>
      <c r="HSQ1364" s="110"/>
      <c r="HSR1364" s="110"/>
      <c r="HSS1364" s="110"/>
      <c r="HST1364" s="110"/>
      <c r="HSU1364" s="110"/>
      <c r="HSV1364" s="110"/>
      <c r="HSW1364" s="110"/>
      <c r="HSX1364" s="110"/>
      <c r="HSY1364" s="110"/>
      <c r="HSZ1364" s="110"/>
      <c r="HTA1364" s="110"/>
      <c r="HTB1364" s="110"/>
      <c r="HTC1364" s="110"/>
      <c r="HTD1364" s="110"/>
      <c r="HTE1364" s="110"/>
      <c r="HTF1364" s="110"/>
      <c r="HTG1364" s="110"/>
      <c r="HTH1364" s="110"/>
      <c r="HTI1364" s="110"/>
      <c r="HTJ1364" s="110"/>
      <c r="HTK1364" s="110"/>
      <c r="HTL1364" s="110"/>
      <c r="HTM1364" s="110"/>
      <c r="HTN1364" s="110"/>
      <c r="HTO1364" s="110"/>
      <c r="HTP1364" s="110"/>
      <c r="HTQ1364" s="110"/>
      <c r="HTR1364" s="110"/>
      <c r="HTS1364" s="110"/>
      <c r="HTT1364" s="110"/>
      <c r="HTU1364" s="110"/>
      <c r="HTV1364" s="110"/>
      <c r="HTW1364" s="110"/>
      <c r="HTX1364" s="110"/>
      <c r="HTY1364" s="110"/>
      <c r="HTZ1364" s="110"/>
      <c r="HUA1364" s="110"/>
      <c r="HUB1364" s="110"/>
      <c r="HUC1364" s="110"/>
      <c r="HUD1364" s="110"/>
      <c r="HUE1364" s="110"/>
      <c r="HUF1364" s="110"/>
      <c r="HUG1364" s="110"/>
      <c r="HUH1364" s="110"/>
      <c r="HUI1364" s="110"/>
      <c r="HUJ1364" s="110"/>
      <c r="HUK1364" s="110"/>
      <c r="HUL1364" s="110"/>
      <c r="HUM1364" s="110"/>
      <c r="HUN1364" s="110"/>
      <c r="HUO1364" s="110"/>
      <c r="HUP1364" s="110"/>
      <c r="HUQ1364" s="110"/>
      <c r="HUR1364" s="110"/>
      <c r="HUS1364" s="110"/>
      <c r="HUT1364" s="110"/>
      <c r="HUU1364" s="110"/>
      <c r="HUV1364" s="110"/>
      <c r="HUW1364" s="110"/>
      <c r="HUX1364" s="110"/>
      <c r="HUY1364" s="110"/>
      <c r="HUZ1364" s="110"/>
      <c r="HVA1364" s="110"/>
      <c r="HVB1364" s="110"/>
      <c r="HVC1364" s="110"/>
      <c r="HVD1364" s="110"/>
      <c r="HVE1364" s="110"/>
      <c r="HVF1364" s="110"/>
      <c r="HVG1364" s="110"/>
      <c r="HVH1364" s="110"/>
      <c r="HVI1364" s="110"/>
      <c r="HVJ1364" s="110"/>
      <c r="HVK1364" s="110"/>
      <c r="HVL1364" s="110"/>
      <c r="HVM1364" s="110"/>
      <c r="HVN1364" s="110"/>
      <c r="HVO1364" s="110"/>
      <c r="HVP1364" s="110"/>
      <c r="HVQ1364" s="110"/>
      <c r="HVR1364" s="110"/>
      <c r="HVS1364" s="110"/>
      <c r="HVT1364" s="110"/>
      <c r="HVU1364" s="110"/>
      <c r="HVV1364" s="110"/>
      <c r="HVW1364" s="110"/>
      <c r="HVX1364" s="110"/>
      <c r="HVY1364" s="110"/>
      <c r="HVZ1364" s="110"/>
      <c r="HWA1364" s="110"/>
      <c r="HWB1364" s="110"/>
      <c r="HWC1364" s="110"/>
      <c r="HWD1364" s="110"/>
      <c r="HWE1364" s="110"/>
      <c r="HWF1364" s="110"/>
      <c r="HWG1364" s="110"/>
      <c r="HWH1364" s="110"/>
      <c r="HWI1364" s="110"/>
      <c r="HWJ1364" s="110"/>
      <c r="HWK1364" s="110"/>
      <c r="HWL1364" s="110"/>
      <c r="HWM1364" s="110"/>
      <c r="HWN1364" s="110"/>
      <c r="HWO1364" s="110"/>
      <c r="HWP1364" s="110"/>
      <c r="HWQ1364" s="110"/>
      <c r="HWR1364" s="110"/>
      <c r="HWS1364" s="110"/>
      <c r="HWT1364" s="110"/>
      <c r="HWU1364" s="110"/>
      <c r="HWV1364" s="110"/>
      <c r="HWW1364" s="110"/>
      <c r="HWX1364" s="110"/>
      <c r="HWY1364" s="110"/>
      <c r="HWZ1364" s="110"/>
      <c r="HXA1364" s="110"/>
      <c r="HXB1364" s="110"/>
      <c r="HXC1364" s="110"/>
      <c r="HXD1364" s="110"/>
      <c r="HXE1364" s="110"/>
      <c r="HXF1364" s="110"/>
      <c r="HXG1364" s="110"/>
      <c r="HXH1364" s="110"/>
      <c r="HXI1364" s="110"/>
      <c r="HXJ1364" s="110"/>
      <c r="HXK1364" s="110"/>
      <c r="HXL1364" s="110"/>
      <c r="HXM1364" s="110"/>
      <c r="HXN1364" s="110"/>
      <c r="HXO1364" s="110"/>
      <c r="HXP1364" s="110"/>
      <c r="HXQ1364" s="110"/>
      <c r="HXR1364" s="110"/>
      <c r="HXS1364" s="110"/>
      <c r="HXT1364" s="110"/>
      <c r="HXU1364" s="110"/>
      <c r="HXV1364" s="110"/>
      <c r="HXW1364" s="110"/>
      <c r="HXX1364" s="110"/>
      <c r="HXY1364" s="110"/>
      <c r="HXZ1364" s="110"/>
      <c r="HYA1364" s="110"/>
      <c r="HYB1364" s="110"/>
      <c r="HYC1364" s="110"/>
      <c r="HYD1364" s="110"/>
      <c r="HYE1364" s="110"/>
      <c r="HYF1364" s="110"/>
      <c r="HYG1364" s="110"/>
      <c r="HYH1364" s="110"/>
      <c r="HYI1364" s="110"/>
      <c r="HYJ1364" s="110"/>
      <c r="HYK1364" s="110"/>
      <c r="HYL1364" s="110"/>
      <c r="HYM1364" s="110"/>
      <c r="HYN1364" s="110"/>
      <c r="HYO1364" s="110"/>
      <c r="HYP1364" s="110"/>
      <c r="HYQ1364" s="110"/>
      <c r="HYR1364" s="110"/>
      <c r="HYS1364" s="110"/>
      <c r="HYT1364" s="110"/>
      <c r="HYU1364" s="110"/>
      <c r="HYV1364" s="110"/>
      <c r="HYW1364" s="110"/>
      <c r="HYX1364" s="110"/>
      <c r="HYY1364" s="110"/>
      <c r="HYZ1364" s="110"/>
      <c r="HZA1364" s="110"/>
      <c r="HZB1364" s="110"/>
      <c r="HZC1364" s="110"/>
      <c r="HZD1364" s="110"/>
      <c r="HZE1364" s="110"/>
      <c r="HZF1364" s="110"/>
      <c r="HZG1364" s="110"/>
      <c r="HZH1364" s="110"/>
      <c r="HZI1364" s="110"/>
      <c r="HZJ1364" s="110"/>
      <c r="HZK1364" s="110"/>
      <c r="HZL1364" s="110"/>
      <c r="HZM1364" s="110"/>
      <c r="HZN1364" s="110"/>
      <c r="HZO1364" s="110"/>
      <c r="HZP1364" s="110"/>
      <c r="HZQ1364" s="110"/>
      <c r="HZR1364" s="110"/>
      <c r="HZS1364" s="110"/>
      <c r="HZT1364" s="110"/>
      <c r="HZU1364" s="110"/>
      <c r="HZV1364" s="110"/>
      <c r="HZW1364" s="110"/>
      <c r="HZX1364" s="110"/>
      <c r="HZY1364" s="110"/>
      <c r="HZZ1364" s="110"/>
      <c r="IAA1364" s="110"/>
      <c r="IAB1364" s="110"/>
      <c r="IAC1364" s="110"/>
      <c r="IAD1364" s="110"/>
      <c r="IAE1364" s="110"/>
      <c r="IAF1364" s="110"/>
      <c r="IAG1364" s="110"/>
      <c r="IAH1364" s="110"/>
      <c r="IAI1364" s="110"/>
      <c r="IAJ1364" s="110"/>
      <c r="IAK1364" s="110"/>
      <c r="IAL1364" s="110"/>
      <c r="IAM1364" s="110"/>
      <c r="IAN1364" s="110"/>
      <c r="IAO1364" s="110"/>
      <c r="IAP1364" s="110"/>
      <c r="IAQ1364" s="110"/>
      <c r="IAR1364" s="110"/>
      <c r="IAS1364" s="110"/>
      <c r="IAT1364" s="110"/>
      <c r="IAU1364" s="110"/>
      <c r="IAV1364" s="110"/>
      <c r="IAW1364" s="110"/>
      <c r="IAX1364" s="110"/>
      <c r="IAY1364" s="110"/>
      <c r="IAZ1364" s="110"/>
      <c r="IBA1364" s="110"/>
      <c r="IBB1364" s="110"/>
      <c r="IBC1364" s="110"/>
      <c r="IBD1364" s="110"/>
      <c r="IBE1364" s="110"/>
      <c r="IBF1364" s="110"/>
      <c r="IBG1364" s="110"/>
      <c r="IBH1364" s="110"/>
      <c r="IBI1364" s="110"/>
      <c r="IBJ1364" s="110"/>
      <c r="IBK1364" s="110"/>
      <c r="IBL1364" s="110"/>
      <c r="IBM1364" s="110"/>
      <c r="IBN1364" s="110"/>
      <c r="IBO1364" s="110"/>
      <c r="IBP1364" s="110"/>
      <c r="IBQ1364" s="110"/>
      <c r="IBR1364" s="110"/>
      <c r="IBS1364" s="110"/>
      <c r="IBT1364" s="110"/>
      <c r="IBU1364" s="110"/>
      <c r="IBV1364" s="110"/>
      <c r="IBW1364" s="110"/>
      <c r="IBX1364" s="110"/>
      <c r="IBY1364" s="110"/>
      <c r="IBZ1364" s="110"/>
      <c r="ICA1364" s="110"/>
      <c r="ICB1364" s="110"/>
      <c r="ICC1364" s="110"/>
      <c r="ICD1364" s="110"/>
      <c r="ICE1364" s="110"/>
      <c r="ICF1364" s="110"/>
      <c r="ICG1364" s="110"/>
      <c r="ICH1364" s="110"/>
      <c r="ICI1364" s="110"/>
      <c r="ICJ1364" s="110"/>
      <c r="ICK1364" s="110"/>
      <c r="ICL1364" s="110"/>
      <c r="ICM1364" s="110"/>
      <c r="ICN1364" s="110"/>
      <c r="ICO1364" s="110"/>
      <c r="ICP1364" s="110"/>
      <c r="ICQ1364" s="110"/>
      <c r="ICR1364" s="110"/>
      <c r="ICS1364" s="110"/>
      <c r="ICT1364" s="110"/>
      <c r="ICU1364" s="110"/>
      <c r="ICV1364" s="110"/>
      <c r="ICW1364" s="110"/>
      <c r="ICX1364" s="110"/>
      <c r="ICY1364" s="110"/>
      <c r="ICZ1364" s="110"/>
      <c r="IDA1364" s="110"/>
      <c r="IDB1364" s="110"/>
      <c r="IDC1364" s="110"/>
      <c r="IDD1364" s="110"/>
      <c r="IDE1364" s="110"/>
      <c r="IDF1364" s="110"/>
      <c r="IDG1364" s="110"/>
      <c r="IDH1364" s="110"/>
      <c r="IDI1364" s="110"/>
      <c r="IDJ1364" s="110"/>
      <c r="IDK1364" s="110"/>
      <c r="IDL1364" s="110"/>
      <c r="IDM1364" s="110"/>
      <c r="IDN1364" s="110"/>
      <c r="IDO1364" s="110"/>
      <c r="IDP1364" s="110"/>
      <c r="IDQ1364" s="110"/>
      <c r="IDR1364" s="110"/>
      <c r="IDS1364" s="110"/>
      <c r="IDT1364" s="110"/>
      <c r="IDU1364" s="110"/>
      <c r="IDV1364" s="110"/>
      <c r="IDW1364" s="110"/>
      <c r="IDX1364" s="110"/>
      <c r="IDY1364" s="110"/>
      <c r="IDZ1364" s="110"/>
      <c r="IEA1364" s="110"/>
      <c r="IEB1364" s="110"/>
      <c r="IEC1364" s="110"/>
      <c r="IED1364" s="110"/>
      <c r="IEE1364" s="110"/>
      <c r="IEF1364" s="110"/>
      <c r="IEG1364" s="110"/>
      <c r="IEH1364" s="110"/>
      <c r="IEI1364" s="110"/>
      <c r="IEJ1364" s="110"/>
      <c r="IEK1364" s="110"/>
      <c r="IEL1364" s="110"/>
      <c r="IEM1364" s="110"/>
      <c r="IEN1364" s="110"/>
      <c r="IEO1364" s="110"/>
      <c r="IEP1364" s="110"/>
      <c r="IEQ1364" s="110"/>
      <c r="IER1364" s="110"/>
      <c r="IES1364" s="110"/>
      <c r="IET1364" s="110"/>
      <c r="IEU1364" s="110"/>
      <c r="IEV1364" s="110"/>
      <c r="IEW1364" s="110"/>
      <c r="IEX1364" s="110"/>
      <c r="IEY1364" s="110"/>
      <c r="IEZ1364" s="110"/>
      <c r="IFA1364" s="110"/>
      <c r="IFB1364" s="110"/>
      <c r="IFC1364" s="110"/>
      <c r="IFD1364" s="110"/>
      <c r="IFE1364" s="110"/>
      <c r="IFF1364" s="110"/>
      <c r="IFG1364" s="110"/>
      <c r="IFH1364" s="110"/>
      <c r="IFI1364" s="110"/>
      <c r="IFJ1364" s="110"/>
      <c r="IFK1364" s="110"/>
      <c r="IFL1364" s="110"/>
      <c r="IFM1364" s="110"/>
      <c r="IFN1364" s="110"/>
      <c r="IFO1364" s="110"/>
      <c r="IFP1364" s="110"/>
      <c r="IFQ1364" s="110"/>
      <c r="IFR1364" s="110"/>
      <c r="IFS1364" s="110"/>
      <c r="IFT1364" s="110"/>
      <c r="IFU1364" s="110"/>
      <c r="IFV1364" s="110"/>
      <c r="IFW1364" s="110"/>
      <c r="IFX1364" s="110"/>
      <c r="IFY1364" s="110"/>
      <c r="IFZ1364" s="110"/>
      <c r="IGA1364" s="110"/>
      <c r="IGB1364" s="110"/>
      <c r="IGC1364" s="110"/>
      <c r="IGD1364" s="110"/>
      <c r="IGE1364" s="110"/>
      <c r="IGF1364" s="110"/>
      <c r="IGG1364" s="110"/>
      <c r="IGH1364" s="110"/>
      <c r="IGI1364" s="110"/>
      <c r="IGJ1364" s="110"/>
      <c r="IGK1364" s="110"/>
      <c r="IGL1364" s="110"/>
      <c r="IGM1364" s="110"/>
      <c r="IGN1364" s="110"/>
      <c r="IGO1364" s="110"/>
      <c r="IGP1364" s="110"/>
      <c r="IGQ1364" s="110"/>
      <c r="IGR1364" s="110"/>
      <c r="IGS1364" s="110"/>
      <c r="IGT1364" s="110"/>
      <c r="IGU1364" s="110"/>
      <c r="IGV1364" s="110"/>
      <c r="IGW1364" s="110"/>
      <c r="IGX1364" s="110"/>
      <c r="IGY1364" s="110"/>
      <c r="IGZ1364" s="110"/>
      <c r="IHA1364" s="110"/>
      <c r="IHB1364" s="110"/>
      <c r="IHC1364" s="110"/>
      <c r="IHD1364" s="110"/>
      <c r="IHE1364" s="110"/>
      <c r="IHF1364" s="110"/>
      <c r="IHG1364" s="110"/>
      <c r="IHH1364" s="110"/>
      <c r="IHI1364" s="110"/>
      <c r="IHJ1364" s="110"/>
      <c r="IHK1364" s="110"/>
      <c r="IHL1364" s="110"/>
      <c r="IHM1364" s="110"/>
      <c r="IHN1364" s="110"/>
      <c r="IHO1364" s="110"/>
      <c r="IHP1364" s="110"/>
      <c r="IHQ1364" s="110"/>
      <c r="IHR1364" s="110"/>
      <c r="IHS1364" s="110"/>
      <c r="IHT1364" s="110"/>
      <c r="IHU1364" s="110"/>
      <c r="IHV1364" s="110"/>
      <c r="IHW1364" s="110"/>
      <c r="IHX1364" s="110"/>
      <c r="IHY1364" s="110"/>
      <c r="IHZ1364" s="110"/>
      <c r="IIA1364" s="110"/>
      <c r="IIB1364" s="110"/>
      <c r="IIC1364" s="110"/>
      <c r="IID1364" s="110"/>
      <c r="IIE1364" s="110"/>
      <c r="IIF1364" s="110"/>
      <c r="IIG1364" s="110"/>
      <c r="IIH1364" s="110"/>
      <c r="III1364" s="110"/>
      <c r="IIJ1364" s="110"/>
      <c r="IIK1364" s="110"/>
      <c r="IIL1364" s="110"/>
      <c r="IIM1364" s="110"/>
      <c r="IIN1364" s="110"/>
      <c r="IIO1364" s="110"/>
      <c r="IIP1364" s="110"/>
      <c r="IIQ1364" s="110"/>
      <c r="IIR1364" s="110"/>
      <c r="IIS1364" s="110"/>
      <c r="IIT1364" s="110"/>
      <c r="IIU1364" s="110"/>
      <c r="IIV1364" s="110"/>
      <c r="IIW1364" s="110"/>
      <c r="IIX1364" s="110"/>
      <c r="IIY1364" s="110"/>
      <c r="IIZ1364" s="110"/>
      <c r="IJA1364" s="110"/>
      <c r="IJB1364" s="110"/>
      <c r="IJC1364" s="110"/>
      <c r="IJD1364" s="110"/>
      <c r="IJE1364" s="110"/>
      <c r="IJF1364" s="110"/>
      <c r="IJG1364" s="110"/>
      <c r="IJH1364" s="110"/>
      <c r="IJI1364" s="110"/>
      <c r="IJJ1364" s="110"/>
      <c r="IJK1364" s="110"/>
      <c r="IJL1364" s="110"/>
      <c r="IJM1364" s="110"/>
      <c r="IJN1364" s="110"/>
      <c r="IJO1364" s="110"/>
      <c r="IJP1364" s="110"/>
      <c r="IJQ1364" s="110"/>
      <c r="IJR1364" s="110"/>
      <c r="IJS1364" s="110"/>
      <c r="IJT1364" s="110"/>
      <c r="IJU1364" s="110"/>
      <c r="IJV1364" s="110"/>
      <c r="IJW1364" s="110"/>
      <c r="IJX1364" s="110"/>
      <c r="IJY1364" s="110"/>
      <c r="IJZ1364" s="110"/>
      <c r="IKA1364" s="110"/>
      <c r="IKB1364" s="110"/>
      <c r="IKC1364" s="110"/>
      <c r="IKD1364" s="110"/>
      <c r="IKE1364" s="110"/>
      <c r="IKF1364" s="110"/>
      <c r="IKG1364" s="110"/>
      <c r="IKH1364" s="110"/>
      <c r="IKI1364" s="110"/>
      <c r="IKJ1364" s="110"/>
      <c r="IKK1364" s="110"/>
      <c r="IKL1364" s="110"/>
      <c r="IKM1364" s="110"/>
      <c r="IKN1364" s="110"/>
      <c r="IKO1364" s="110"/>
      <c r="IKP1364" s="110"/>
      <c r="IKQ1364" s="110"/>
      <c r="IKR1364" s="110"/>
      <c r="IKS1364" s="110"/>
      <c r="IKT1364" s="110"/>
      <c r="IKU1364" s="110"/>
      <c r="IKV1364" s="110"/>
      <c r="IKW1364" s="110"/>
      <c r="IKX1364" s="110"/>
      <c r="IKY1364" s="110"/>
      <c r="IKZ1364" s="110"/>
      <c r="ILA1364" s="110"/>
      <c r="ILB1364" s="110"/>
      <c r="ILC1364" s="110"/>
      <c r="ILD1364" s="110"/>
      <c r="ILE1364" s="110"/>
      <c r="ILF1364" s="110"/>
      <c r="ILG1364" s="110"/>
      <c r="ILH1364" s="110"/>
      <c r="ILI1364" s="110"/>
      <c r="ILJ1364" s="110"/>
      <c r="ILK1364" s="110"/>
      <c r="ILL1364" s="110"/>
      <c r="ILM1364" s="110"/>
      <c r="ILN1364" s="110"/>
      <c r="ILO1364" s="110"/>
      <c r="ILP1364" s="110"/>
      <c r="ILQ1364" s="110"/>
      <c r="ILR1364" s="110"/>
      <c r="ILS1364" s="110"/>
      <c r="ILT1364" s="110"/>
      <c r="ILU1364" s="110"/>
      <c r="ILV1364" s="110"/>
      <c r="ILW1364" s="110"/>
      <c r="ILX1364" s="110"/>
      <c r="ILY1364" s="110"/>
      <c r="ILZ1364" s="110"/>
      <c r="IMA1364" s="110"/>
      <c r="IMB1364" s="110"/>
      <c r="IMC1364" s="110"/>
      <c r="IMD1364" s="110"/>
      <c r="IME1364" s="110"/>
      <c r="IMF1364" s="110"/>
      <c r="IMG1364" s="110"/>
      <c r="IMH1364" s="110"/>
      <c r="IMI1364" s="110"/>
      <c r="IMJ1364" s="110"/>
      <c r="IMK1364" s="110"/>
      <c r="IML1364" s="110"/>
      <c r="IMM1364" s="110"/>
      <c r="IMN1364" s="110"/>
      <c r="IMO1364" s="110"/>
      <c r="IMP1364" s="110"/>
      <c r="IMQ1364" s="110"/>
      <c r="IMR1364" s="110"/>
      <c r="IMS1364" s="110"/>
      <c r="IMT1364" s="110"/>
      <c r="IMU1364" s="110"/>
      <c r="IMV1364" s="110"/>
      <c r="IMW1364" s="110"/>
      <c r="IMX1364" s="110"/>
      <c r="IMY1364" s="110"/>
      <c r="IMZ1364" s="110"/>
      <c r="INA1364" s="110"/>
      <c r="INB1364" s="110"/>
      <c r="INC1364" s="110"/>
      <c r="IND1364" s="110"/>
      <c r="INE1364" s="110"/>
      <c r="INF1364" s="110"/>
      <c r="ING1364" s="110"/>
      <c r="INH1364" s="110"/>
      <c r="INI1364" s="110"/>
      <c r="INJ1364" s="110"/>
      <c r="INK1364" s="110"/>
      <c r="INL1364" s="110"/>
      <c r="INM1364" s="110"/>
      <c r="INN1364" s="110"/>
      <c r="INO1364" s="110"/>
      <c r="INP1364" s="110"/>
      <c r="INQ1364" s="110"/>
      <c r="INR1364" s="110"/>
      <c r="INS1364" s="110"/>
      <c r="INT1364" s="110"/>
      <c r="INU1364" s="110"/>
      <c r="INV1364" s="110"/>
      <c r="INW1364" s="110"/>
      <c r="INX1364" s="110"/>
      <c r="INY1364" s="110"/>
      <c r="INZ1364" s="110"/>
      <c r="IOA1364" s="110"/>
      <c r="IOB1364" s="110"/>
      <c r="IOC1364" s="110"/>
      <c r="IOD1364" s="110"/>
      <c r="IOE1364" s="110"/>
      <c r="IOF1364" s="110"/>
      <c r="IOG1364" s="110"/>
      <c r="IOH1364" s="110"/>
      <c r="IOI1364" s="110"/>
      <c r="IOJ1364" s="110"/>
      <c r="IOK1364" s="110"/>
      <c r="IOL1364" s="110"/>
      <c r="IOM1364" s="110"/>
      <c r="ION1364" s="110"/>
      <c r="IOO1364" s="110"/>
      <c r="IOP1364" s="110"/>
      <c r="IOQ1364" s="110"/>
      <c r="IOR1364" s="110"/>
      <c r="IOS1364" s="110"/>
      <c r="IOT1364" s="110"/>
      <c r="IOU1364" s="110"/>
      <c r="IOV1364" s="110"/>
      <c r="IOW1364" s="110"/>
      <c r="IOX1364" s="110"/>
      <c r="IOY1364" s="110"/>
      <c r="IOZ1364" s="110"/>
      <c r="IPA1364" s="110"/>
      <c r="IPB1364" s="110"/>
      <c r="IPC1364" s="110"/>
      <c r="IPD1364" s="110"/>
      <c r="IPE1364" s="110"/>
      <c r="IPF1364" s="110"/>
      <c r="IPG1364" s="110"/>
      <c r="IPH1364" s="110"/>
      <c r="IPI1364" s="110"/>
      <c r="IPJ1364" s="110"/>
      <c r="IPK1364" s="110"/>
      <c r="IPL1364" s="110"/>
      <c r="IPM1364" s="110"/>
      <c r="IPN1364" s="110"/>
      <c r="IPO1364" s="110"/>
      <c r="IPP1364" s="110"/>
      <c r="IPQ1364" s="110"/>
      <c r="IPR1364" s="110"/>
      <c r="IPS1364" s="110"/>
      <c r="IPT1364" s="110"/>
      <c r="IPU1364" s="110"/>
      <c r="IPV1364" s="110"/>
      <c r="IPW1364" s="110"/>
      <c r="IPX1364" s="110"/>
      <c r="IPY1364" s="110"/>
      <c r="IPZ1364" s="110"/>
      <c r="IQA1364" s="110"/>
      <c r="IQB1364" s="110"/>
      <c r="IQC1364" s="110"/>
      <c r="IQD1364" s="110"/>
      <c r="IQE1364" s="110"/>
      <c r="IQF1364" s="110"/>
      <c r="IQG1364" s="110"/>
      <c r="IQH1364" s="110"/>
      <c r="IQI1364" s="110"/>
      <c r="IQJ1364" s="110"/>
      <c r="IQK1364" s="110"/>
      <c r="IQL1364" s="110"/>
      <c r="IQM1364" s="110"/>
      <c r="IQN1364" s="110"/>
      <c r="IQO1364" s="110"/>
      <c r="IQP1364" s="110"/>
      <c r="IQQ1364" s="110"/>
      <c r="IQR1364" s="110"/>
      <c r="IQS1364" s="110"/>
      <c r="IQT1364" s="110"/>
      <c r="IQU1364" s="110"/>
      <c r="IQV1364" s="110"/>
      <c r="IQW1364" s="110"/>
      <c r="IQX1364" s="110"/>
      <c r="IQY1364" s="110"/>
      <c r="IQZ1364" s="110"/>
      <c r="IRA1364" s="110"/>
      <c r="IRB1364" s="110"/>
      <c r="IRC1364" s="110"/>
      <c r="IRD1364" s="110"/>
      <c r="IRE1364" s="110"/>
      <c r="IRF1364" s="110"/>
      <c r="IRG1364" s="110"/>
      <c r="IRH1364" s="110"/>
      <c r="IRI1364" s="110"/>
      <c r="IRJ1364" s="110"/>
      <c r="IRK1364" s="110"/>
      <c r="IRL1364" s="110"/>
      <c r="IRM1364" s="110"/>
      <c r="IRN1364" s="110"/>
      <c r="IRO1364" s="110"/>
      <c r="IRP1364" s="110"/>
      <c r="IRQ1364" s="110"/>
      <c r="IRR1364" s="110"/>
      <c r="IRS1364" s="110"/>
      <c r="IRT1364" s="110"/>
      <c r="IRU1364" s="110"/>
      <c r="IRV1364" s="110"/>
      <c r="IRW1364" s="110"/>
      <c r="IRX1364" s="110"/>
      <c r="IRY1364" s="110"/>
      <c r="IRZ1364" s="110"/>
      <c r="ISA1364" s="110"/>
      <c r="ISB1364" s="110"/>
      <c r="ISC1364" s="110"/>
      <c r="ISD1364" s="110"/>
      <c r="ISE1364" s="110"/>
      <c r="ISF1364" s="110"/>
      <c r="ISG1364" s="110"/>
      <c r="ISH1364" s="110"/>
      <c r="ISI1364" s="110"/>
      <c r="ISJ1364" s="110"/>
      <c r="ISK1364" s="110"/>
      <c r="ISL1364" s="110"/>
      <c r="ISM1364" s="110"/>
      <c r="ISN1364" s="110"/>
      <c r="ISO1364" s="110"/>
      <c r="ISP1364" s="110"/>
      <c r="ISQ1364" s="110"/>
      <c r="ISR1364" s="110"/>
      <c r="ISS1364" s="110"/>
      <c r="IST1364" s="110"/>
      <c r="ISU1364" s="110"/>
      <c r="ISV1364" s="110"/>
      <c r="ISW1364" s="110"/>
      <c r="ISX1364" s="110"/>
      <c r="ISY1364" s="110"/>
      <c r="ISZ1364" s="110"/>
      <c r="ITA1364" s="110"/>
      <c r="ITB1364" s="110"/>
      <c r="ITC1364" s="110"/>
      <c r="ITD1364" s="110"/>
      <c r="ITE1364" s="110"/>
      <c r="ITF1364" s="110"/>
      <c r="ITG1364" s="110"/>
      <c r="ITH1364" s="110"/>
      <c r="ITI1364" s="110"/>
      <c r="ITJ1364" s="110"/>
      <c r="ITK1364" s="110"/>
      <c r="ITL1364" s="110"/>
      <c r="ITM1364" s="110"/>
      <c r="ITN1364" s="110"/>
      <c r="ITO1364" s="110"/>
      <c r="ITP1364" s="110"/>
      <c r="ITQ1364" s="110"/>
      <c r="ITR1364" s="110"/>
      <c r="ITS1364" s="110"/>
      <c r="ITT1364" s="110"/>
      <c r="ITU1364" s="110"/>
      <c r="ITV1364" s="110"/>
      <c r="ITW1364" s="110"/>
      <c r="ITX1364" s="110"/>
      <c r="ITY1364" s="110"/>
      <c r="ITZ1364" s="110"/>
      <c r="IUA1364" s="110"/>
      <c r="IUB1364" s="110"/>
      <c r="IUC1364" s="110"/>
      <c r="IUD1364" s="110"/>
      <c r="IUE1364" s="110"/>
      <c r="IUF1364" s="110"/>
      <c r="IUG1364" s="110"/>
      <c r="IUH1364" s="110"/>
      <c r="IUI1364" s="110"/>
      <c r="IUJ1364" s="110"/>
      <c r="IUK1364" s="110"/>
      <c r="IUL1364" s="110"/>
      <c r="IUM1364" s="110"/>
      <c r="IUN1364" s="110"/>
      <c r="IUO1364" s="110"/>
      <c r="IUP1364" s="110"/>
      <c r="IUQ1364" s="110"/>
      <c r="IUR1364" s="110"/>
      <c r="IUS1364" s="110"/>
      <c r="IUT1364" s="110"/>
      <c r="IUU1364" s="110"/>
      <c r="IUV1364" s="110"/>
      <c r="IUW1364" s="110"/>
      <c r="IUX1364" s="110"/>
      <c r="IUY1364" s="110"/>
      <c r="IUZ1364" s="110"/>
      <c r="IVA1364" s="110"/>
      <c r="IVB1364" s="110"/>
      <c r="IVC1364" s="110"/>
      <c r="IVD1364" s="110"/>
      <c r="IVE1364" s="110"/>
      <c r="IVF1364" s="110"/>
      <c r="IVG1364" s="110"/>
      <c r="IVH1364" s="110"/>
      <c r="IVI1364" s="110"/>
      <c r="IVJ1364" s="110"/>
      <c r="IVK1364" s="110"/>
      <c r="IVL1364" s="110"/>
      <c r="IVM1364" s="110"/>
      <c r="IVN1364" s="110"/>
      <c r="IVO1364" s="110"/>
      <c r="IVP1364" s="110"/>
      <c r="IVQ1364" s="110"/>
      <c r="IVR1364" s="110"/>
      <c r="IVS1364" s="110"/>
      <c r="IVT1364" s="110"/>
      <c r="IVU1364" s="110"/>
      <c r="IVV1364" s="110"/>
      <c r="IVW1364" s="110"/>
      <c r="IVX1364" s="110"/>
      <c r="IVY1364" s="110"/>
      <c r="IVZ1364" s="110"/>
      <c r="IWA1364" s="110"/>
      <c r="IWB1364" s="110"/>
      <c r="IWC1364" s="110"/>
      <c r="IWD1364" s="110"/>
      <c r="IWE1364" s="110"/>
      <c r="IWF1364" s="110"/>
      <c r="IWG1364" s="110"/>
      <c r="IWH1364" s="110"/>
      <c r="IWI1364" s="110"/>
      <c r="IWJ1364" s="110"/>
      <c r="IWK1364" s="110"/>
      <c r="IWL1364" s="110"/>
      <c r="IWM1364" s="110"/>
      <c r="IWN1364" s="110"/>
      <c r="IWO1364" s="110"/>
      <c r="IWP1364" s="110"/>
      <c r="IWQ1364" s="110"/>
      <c r="IWR1364" s="110"/>
      <c r="IWS1364" s="110"/>
      <c r="IWT1364" s="110"/>
      <c r="IWU1364" s="110"/>
      <c r="IWV1364" s="110"/>
      <c r="IWW1364" s="110"/>
      <c r="IWX1364" s="110"/>
      <c r="IWY1364" s="110"/>
      <c r="IWZ1364" s="110"/>
      <c r="IXA1364" s="110"/>
      <c r="IXB1364" s="110"/>
      <c r="IXC1364" s="110"/>
      <c r="IXD1364" s="110"/>
      <c r="IXE1364" s="110"/>
      <c r="IXF1364" s="110"/>
      <c r="IXG1364" s="110"/>
      <c r="IXH1364" s="110"/>
      <c r="IXI1364" s="110"/>
      <c r="IXJ1364" s="110"/>
      <c r="IXK1364" s="110"/>
      <c r="IXL1364" s="110"/>
      <c r="IXM1364" s="110"/>
      <c r="IXN1364" s="110"/>
      <c r="IXO1364" s="110"/>
      <c r="IXP1364" s="110"/>
      <c r="IXQ1364" s="110"/>
      <c r="IXR1364" s="110"/>
      <c r="IXS1364" s="110"/>
      <c r="IXT1364" s="110"/>
      <c r="IXU1364" s="110"/>
      <c r="IXV1364" s="110"/>
      <c r="IXW1364" s="110"/>
      <c r="IXX1364" s="110"/>
      <c r="IXY1364" s="110"/>
      <c r="IXZ1364" s="110"/>
      <c r="IYA1364" s="110"/>
      <c r="IYB1364" s="110"/>
      <c r="IYC1364" s="110"/>
      <c r="IYD1364" s="110"/>
      <c r="IYE1364" s="110"/>
      <c r="IYF1364" s="110"/>
      <c r="IYG1364" s="110"/>
      <c r="IYH1364" s="110"/>
      <c r="IYI1364" s="110"/>
      <c r="IYJ1364" s="110"/>
      <c r="IYK1364" s="110"/>
      <c r="IYL1364" s="110"/>
      <c r="IYM1364" s="110"/>
      <c r="IYN1364" s="110"/>
      <c r="IYO1364" s="110"/>
      <c r="IYP1364" s="110"/>
      <c r="IYQ1364" s="110"/>
      <c r="IYR1364" s="110"/>
      <c r="IYS1364" s="110"/>
      <c r="IYT1364" s="110"/>
      <c r="IYU1364" s="110"/>
      <c r="IYV1364" s="110"/>
      <c r="IYW1364" s="110"/>
      <c r="IYX1364" s="110"/>
      <c r="IYY1364" s="110"/>
      <c r="IYZ1364" s="110"/>
      <c r="IZA1364" s="110"/>
      <c r="IZB1364" s="110"/>
      <c r="IZC1364" s="110"/>
      <c r="IZD1364" s="110"/>
      <c r="IZE1364" s="110"/>
      <c r="IZF1364" s="110"/>
      <c r="IZG1364" s="110"/>
      <c r="IZH1364" s="110"/>
      <c r="IZI1364" s="110"/>
      <c r="IZJ1364" s="110"/>
      <c r="IZK1364" s="110"/>
      <c r="IZL1364" s="110"/>
      <c r="IZM1364" s="110"/>
      <c r="IZN1364" s="110"/>
      <c r="IZO1364" s="110"/>
      <c r="IZP1364" s="110"/>
      <c r="IZQ1364" s="110"/>
      <c r="IZR1364" s="110"/>
      <c r="IZS1364" s="110"/>
      <c r="IZT1364" s="110"/>
      <c r="IZU1364" s="110"/>
      <c r="IZV1364" s="110"/>
      <c r="IZW1364" s="110"/>
      <c r="IZX1364" s="110"/>
      <c r="IZY1364" s="110"/>
      <c r="IZZ1364" s="110"/>
      <c r="JAA1364" s="110"/>
      <c r="JAB1364" s="110"/>
      <c r="JAC1364" s="110"/>
      <c r="JAD1364" s="110"/>
      <c r="JAE1364" s="110"/>
      <c r="JAF1364" s="110"/>
      <c r="JAG1364" s="110"/>
      <c r="JAH1364" s="110"/>
      <c r="JAI1364" s="110"/>
      <c r="JAJ1364" s="110"/>
      <c r="JAK1364" s="110"/>
      <c r="JAL1364" s="110"/>
      <c r="JAM1364" s="110"/>
      <c r="JAN1364" s="110"/>
      <c r="JAO1364" s="110"/>
      <c r="JAP1364" s="110"/>
      <c r="JAQ1364" s="110"/>
      <c r="JAR1364" s="110"/>
      <c r="JAS1364" s="110"/>
      <c r="JAT1364" s="110"/>
      <c r="JAU1364" s="110"/>
      <c r="JAV1364" s="110"/>
      <c r="JAW1364" s="110"/>
      <c r="JAX1364" s="110"/>
      <c r="JAY1364" s="110"/>
      <c r="JAZ1364" s="110"/>
      <c r="JBA1364" s="110"/>
      <c r="JBB1364" s="110"/>
      <c r="JBC1364" s="110"/>
      <c r="JBD1364" s="110"/>
      <c r="JBE1364" s="110"/>
      <c r="JBF1364" s="110"/>
      <c r="JBG1364" s="110"/>
      <c r="JBH1364" s="110"/>
      <c r="JBI1364" s="110"/>
      <c r="JBJ1364" s="110"/>
      <c r="JBK1364" s="110"/>
      <c r="JBL1364" s="110"/>
      <c r="JBM1364" s="110"/>
      <c r="JBN1364" s="110"/>
      <c r="JBO1364" s="110"/>
      <c r="JBP1364" s="110"/>
      <c r="JBQ1364" s="110"/>
      <c r="JBR1364" s="110"/>
      <c r="JBS1364" s="110"/>
      <c r="JBT1364" s="110"/>
      <c r="JBU1364" s="110"/>
      <c r="JBV1364" s="110"/>
      <c r="JBW1364" s="110"/>
      <c r="JBX1364" s="110"/>
      <c r="JBY1364" s="110"/>
      <c r="JBZ1364" s="110"/>
      <c r="JCA1364" s="110"/>
      <c r="JCB1364" s="110"/>
      <c r="JCC1364" s="110"/>
      <c r="JCD1364" s="110"/>
      <c r="JCE1364" s="110"/>
      <c r="JCF1364" s="110"/>
      <c r="JCG1364" s="110"/>
      <c r="JCH1364" s="110"/>
      <c r="JCI1364" s="110"/>
      <c r="JCJ1364" s="110"/>
      <c r="JCK1364" s="110"/>
      <c r="JCL1364" s="110"/>
      <c r="JCM1364" s="110"/>
      <c r="JCN1364" s="110"/>
      <c r="JCO1364" s="110"/>
      <c r="JCP1364" s="110"/>
      <c r="JCQ1364" s="110"/>
      <c r="JCR1364" s="110"/>
      <c r="JCS1364" s="110"/>
      <c r="JCT1364" s="110"/>
      <c r="JCU1364" s="110"/>
      <c r="JCV1364" s="110"/>
      <c r="JCW1364" s="110"/>
      <c r="JCX1364" s="110"/>
      <c r="JCY1364" s="110"/>
      <c r="JCZ1364" s="110"/>
      <c r="JDA1364" s="110"/>
      <c r="JDB1364" s="110"/>
      <c r="JDC1364" s="110"/>
      <c r="JDD1364" s="110"/>
      <c r="JDE1364" s="110"/>
      <c r="JDF1364" s="110"/>
      <c r="JDG1364" s="110"/>
      <c r="JDH1364" s="110"/>
      <c r="JDI1364" s="110"/>
      <c r="JDJ1364" s="110"/>
      <c r="JDK1364" s="110"/>
      <c r="JDL1364" s="110"/>
      <c r="JDM1364" s="110"/>
      <c r="JDN1364" s="110"/>
      <c r="JDO1364" s="110"/>
      <c r="JDP1364" s="110"/>
      <c r="JDQ1364" s="110"/>
      <c r="JDR1364" s="110"/>
      <c r="JDS1364" s="110"/>
      <c r="JDT1364" s="110"/>
      <c r="JDU1364" s="110"/>
      <c r="JDV1364" s="110"/>
      <c r="JDW1364" s="110"/>
      <c r="JDX1364" s="110"/>
      <c r="JDY1364" s="110"/>
      <c r="JDZ1364" s="110"/>
      <c r="JEA1364" s="110"/>
      <c r="JEB1364" s="110"/>
      <c r="JEC1364" s="110"/>
      <c r="JED1364" s="110"/>
      <c r="JEE1364" s="110"/>
      <c r="JEF1364" s="110"/>
      <c r="JEG1364" s="110"/>
      <c r="JEH1364" s="110"/>
      <c r="JEI1364" s="110"/>
      <c r="JEJ1364" s="110"/>
      <c r="JEK1364" s="110"/>
      <c r="JEL1364" s="110"/>
      <c r="JEM1364" s="110"/>
      <c r="JEN1364" s="110"/>
      <c r="JEO1364" s="110"/>
      <c r="JEP1364" s="110"/>
      <c r="JEQ1364" s="110"/>
      <c r="JER1364" s="110"/>
      <c r="JES1364" s="110"/>
      <c r="JET1364" s="110"/>
      <c r="JEU1364" s="110"/>
      <c r="JEV1364" s="110"/>
      <c r="JEW1364" s="110"/>
      <c r="JEX1364" s="110"/>
      <c r="JEY1364" s="110"/>
      <c r="JEZ1364" s="110"/>
      <c r="JFA1364" s="110"/>
      <c r="JFB1364" s="110"/>
      <c r="JFC1364" s="110"/>
      <c r="JFD1364" s="110"/>
      <c r="JFE1364" s="110"/>
      <c r="JFF1364" s="110"/>
      <c r="JFG1364" s="110"/>
      <c r="JFH1364" s="110"/>
      <c r="JFI1364" s="110"/>
      <c r="JFJ1364" s="110"/>
      <c r="JFK1364" s="110"/>
      <c r="JFL1364" s="110"/>
      <c r="JFM1364" s="110"/>
      <c r="JFN1364" s="110"/>
      <c r="JFO1364" s="110"/>
      <c r="JFP1364" s="110"/>
      <c r="JFQ1364" s="110"/>
      <c r="JFR1364" s="110"/>
      <c r="JFS1364" s="110"/>
      <c r="JFT1364" s="110"/>
      <c r="JFU1364" s="110"/>
      <c r="JFV1364" s="110"/>
      <c r="JFW1364" s="110"/>
      <c r="JFX1364" s="110"/>
      <c r="JFY1364" s="110"/>
      <c r="JFZ1364" s="110"/>
      <c r="JGA1364" s="110"/>
      <c r="JGB1364" s="110"/>
      <c r="JGC1364" s="110"/>
      <c r="JGD1364" s="110"/>
      <c r="JGE1364" s="110"/>
      <c r="JGF1364" s="110"/>
      <c r="JGG1364" s="110"/>
      <c r="JGH1364" s="110"/>
      <c r="JGI1364" s="110"/>
      <c r="JGJ1364" s="110"/>
      <c r="JGK1364" s="110"/>
      <c r="JGL1364" s="110"/>
      <c r="JGM1364" s="110"/>
      <c r="JGN1364" s="110"/>
      <c r="JGO1364" s="110"/>
      <c r="JGP1364" s="110"/>
      <c r="JGQ1364" s="110"/>
      <c r="JGR1364" s="110"/>
      <c r="JGS1364" s="110"/>
      <c r="JGT1364" s="110"/>
      <c r="JGU1364" s="110"/>
      <c r="JGV1364" s="110"/>
      <c r="JGW1364" s="110"/>
      <c r="JGX1364" s="110"/>
      <c r="JGY1364" s="110"/>
      <c r="JGZ1364" s="110"/>
      <c r="JHA1364" s="110"/>
      <c r="JHB1364" s="110"/>
      <c r="JHC1364" s="110"/>
      <c r="JHD1364" s="110"/>
      <c r="JHE1364" s="110"/>
      <c r="JHF1364" s="110"/>
      <c r="JHG1364" s="110"/>
      <c r="JHH1364" s="110"/>
      <c r="JHI1364" s="110"/>
      <c r="JHJ1364" s="110"/>
      <c r="JHK1364" s="110"/>
      <c r="JHL1364" s="110"/>
      <c r="JHM1364" s="110"/>
      <c r="JHN1364" s="110"/>
      <c r="JHO1364" s="110"/>
      <c r="JHP1364" s="110"/>
      <c r="JHQ1364" s="110"/>
      <c r="JHR1364" s="110"/>
      <c r="JHS1364" s="110"/>
      <c r="JHT1364" s="110"/>
      <c r="JHU1364" s="110"/>
      <c r="JHV1364" s="110"/>
      <c r="JHW1364" s="110"/>
      <c r="JHX1364" s="110"/>
      <c r="JHY1364" s="110"/>
      <c r="JHZ1364" s="110"/>
      <c r="JIA1364" s="110"/>
      <c r="JIB1364" s="110"/>
      <c r="JIC1364" s="110"/>
      <c r="JID1364" s="110"/>
      <c r="JIE1364" s="110"/>
      <c r="JIF1364" s="110"/>
      <c r="JIG1364" s="110"/>
      <c r="JIH1364" s="110"/>
      <c r="JII1364" s="110"/>
      <c r="JIJ1364" s="110"/>
      <c r="JIK1364" s="110"/>
      <c r="JIL1364" s="110"/>
      <c r="JIM1364" s="110"/>
      <c r="JIN1364" s="110"/>
      <c r="JIO1364" s="110"/>
      <c r="JIP1364" s="110"/>
      <c r="JIQ1364" s="110"/>
      <c r="JIR1364" s="110"/>
      <c r="JIS1364" s="110"/>
      <c r="JIT1364" s="110"/>
      <c r="JIU1364" s="110"/>
      <c r="JIV1364" s="110"/>
      <c r="JIW1364" s="110"/>
      <c r="JIX1364" s="110"/>
      <c r="JIY1364" s="110"/>
      <c r="JIZ1364" s="110"/>
      <c r="JJA1364" s="110"/>
      <c r="JJB1364" s="110"/>
      <c r="JJC1364" s="110"/>
      <c r="JJD1364" s="110"/>
      <c r="JJE1364" s="110"/>
      <c r="JJF1364" s="110"/>
      <c r="JJG1364" s="110"/>
      <c r="JJH1364" s="110"/>
      <c r="JJI1364" s="110"/>
      <c r="JJJ1364" s="110"/>
      <c r="JJK1364" s="110"/>
      <c r="JJL1364" s="110"/>
      <c r="JJM1364" s="110"/>
      <c r="JJN1364" s="110"/>
      <c r="JJO1364" s="110"/>
      <c r="JJP1364" s="110"/>
      <c r="JJQ1364" s="110"/>
      <c r="JJR1364" s="110"/>
      <c r="JJS1364" s="110"/>
      <c r="JJT1364" s="110"/>
      <c r="JJU1364" s="110"/>
      <c r="JJV1364" s="110"/>
      <c r="JJW1364" s="110"/>
      <c r="JJX1364" s="110"/>
      <c r="JJY1364" s="110"/>
      <c r="JJZ1364" s="110"/>
      <c r="JKA1364" s="110"/>
      <c r="JKB1364" s="110"/>
      <c r="JKC1364" s="110"/>
      <c r="JKD1364" s="110"/>
      <c r="JKE1364" s="110"/>
      <c r="JKF1364" s="110"/>
      <c r="JKG1364" s="110"/>
      <c r="JKH1364" s="110"/>
      <c r="JKI1364" s="110"/>
      <c r="JKJ1364" s="110"/>
      <c r="JKK1364" s="110"/>
      <c r="JKL1364" s="110"/>
      <c r="JKM1364" s="110"/>
      <c r="JKN1364" s="110"/>
      <c r="JKO1364" s="110"/>
      <c r="JKP1364" s="110"/>
      <c r="JKQ1364" s="110"/>
      <c r="JKR1364" s="110"/>
      <c r="JKS1364" s="110"/>
      <c r="JKT1364" s="110"/>
      <c r="JKU1364" s="110"/>
      <c r="JKV1364" s="110"/>
      <c r="JKW1364" s="110"/>
      <c r="JKX1364" s="110"/>
      <c r="JKY1364" s="110"/>
      <c r="JKZ1364" s="110"/>
      <c r="JLA1364" s="110"/>
      <c r="JLB1364" s="110"/>
      <c r="JLC1364" s="110"/>
      <c r="JLD1364" s="110"/>
      <c r="JLE1364" s="110"/>
      <c r="JLF1364" s="110"/>
      <c r="JLG1364" s="110"/>
      <c r="JLH1364" s="110"/>
      <c r="JLI1364" s="110"/>
      <c r="JLJ1364" s="110"/>
      <c r="JLK1364" s="110"/>
      <c r="JLL1364" s="110"/>
      <c r="JLM1364" s="110"/>
      <c r="JLN1364" s="110"/>
      <c r="JLO1364" s="110"/>
      <c r="JLP1364" s="110"/>
      <c r="JLQ1364" s="110"/>
      <c r="JLR1364" s="110"/>
      <c r="JLS1364" s="110"/>
      <c r="JLT1364" s="110"/>
      <c r="JLU1364" s="110"/>
      <c r="JLV1364" s="110"/>
      <c r="JLW1364" s="110"/>
      <c r="JLX1364" s="110"/>
      <c r="JLY1364" s="110"/>
      <c r="JLZ1364" s="110"/>
      <c r="JMA1364" s="110"/>
      <c r="JMB1364" s="110"/>
      <c r="JMC1364" s="110"/>
      <c r="JMD1364" s="110"/>
      <c r="JME1364" s="110"/>
      <c r="JMF1364" s="110"/>
      <c r="JMG1364" s="110"/>
      <c r="JMH1364" s="110"/>
      <c r="JMI1364" s="110"/>
      <c r="JMJ1364" s="110"/>
      <c r="JMK1364" s="110"/>
      <c r="JML1364" s="110"/>
      <c r="JMM1364" s="110"/>
      <c r="JMN1364" s="110"/>
      <c r="JMO1364" s="110"/>
      <c r="JMP1364" s="110"/>
      <c r="JMQ1364" s="110"/>
      <c r="JMR1364" s="110"/>
      <c r="JMS1364" s="110"/>
      <c r="JMT1364" s="110"/>
      <c r="JMU1364" s="110"/>
      <c r="JMV1364" s="110"/>
      <c r="JMW1364" s="110"/>
      <c r="JMX1364" s="110"/>
      <c r="JMY1364" s="110"/>
      <c r="JMZ1364" s="110"/>
      <c r="JNA1364" s="110"/>
      <c r="JNB1364" s="110"/>
      <c r="JNC1364" s="110"/>
      <c r="JND1364" s="110"/>
      <c r="JNE1364" s="110"/>
      <c r="JNF1364" s="110"/>
      <c r="JNG1364" s="110"/>
      <c r="JNH1364" s="110"/>
      <c r="JNI1364" s="110"/>
      <c r="JNJ1364" s="110"/>
      <c r="JNK1364" s="110"/>
      <c r="JNL1364" s="110"/>
      <c r="JNM1364" s="110"/>
      <c r="JNN1364" s="110"/>
      <c r="JNO1364" s="110"/>
      <c r="JNP1364" s="110"/>
      <c r="JNQ1364" s="110"/>
      <c r="JNR1364" s="110"/>
      <c r="JNS1364" s="110"/>
      <c r="JNT1364" s="110"/>
      <c r="JNU1364" s="110"/>
      <c r="JNV1364" s="110"/>
      <c r="JNW1364" s="110"/>
      <c r="JNX1364" s="110"/>
      <c r="JNY1364" s="110"/>
      <c r="JNZ1364" s="110"/>
      <c r="JOA1364" s="110"/>
      <c r="JOB1364" s="110"/>
      <c r="JOC1364" s="110"/>
      <c r="JOD1364" s="110"/>
      <c r="JOE1364" s="110"/>
      <c r="JOF1364" s="110"/>
      <c r="JOG1364" s="110"/>
      <c r="JOH1364" s="110"/>
      <c r="JOI1364" s="110"/>
      <c r="JOJ1364" s="110"/>
      <c r="JOK1364" s="110"/>
      <c r="JOL1364" s="110"/>
      <c r="JOM1364" s="110"/>
      <c r="JON1364" s="110"/>
      <c r="JOO1364" s="110"/>
      <c r="JOP1364" s="110"/>
      <c r="JOQ1364" s="110"/>
      <c r="JOR1364" s="110"/>
      <c r="JOS1364" s="110"/>
      <c r="JOT1364" s="110"/>
      <c r="JOU1364" s="110"/>
      <c r="JOV1364" s="110"/>
      <c r="JOW1364" s="110"/>
      <c r="JOX1364" s="110"/>
      <c r="JOY1364" s="110"/>
      <c r="JOZ1364" s="110"/>
      <c r="JPA1364" s="110"/>
      <c r="JPB1364" s="110"/>
      <c r="JPC1364" s="110"/>
      <c r="JPD1364" s="110"/>
      <c r="JPE1364" s="110"/>
      <c r="JPF1364" s="110"/>
      <c r="JPG1364" s="110"/>
      <c r="JPH1364" s="110"/>
      <c r="JPI1364" s="110"/>
      <c r="JPJ1364" s="110"/>
      <c r="JPK1364" s="110"/>
      <c r="JPL1364" s="110"/>
      <c r="JPM1364" s="110"/>
      <c r="JPN1364" s="110"/>
      <c r="JPO1364" s="110"/>
      <c r="JPP1364" s="110"/>
      <c r="JPQ1364" s="110"/>
      <c r="JPR1364" s="110"/>
      <c r="JPS1364" s="110"/>
      <c r="JPT1364" s="110"/>
      <c r="JPU1364" s="110"/>
      <c r="JPV1364" s="110"/>
      <c r="JPW1364" s="110"/>
      <c r="JPX1364" s="110"/>
      <c r="JPY1364" s="110"/>
      <c r="JPZ1364" s="110"/>
      <c r="JQA1364" s="110"/>
      <c r="JQB1364" s="110"/>
      <c r="JQC1364" s="110"/>
      <c r="JQD1364" s="110"/>
      <c r="JQE1364" s="110"/>
      <c r="JQF1364" s="110"/>
      <c r="JQG1364" s="110"/>
      <c r="JQH1364" s="110"/>
      <c r="JQI1364" s="110"/>
      <c r="JQJ1364" s="110"/>
      <c r="JQK1364" s="110"/>
      <c r="JQL1364" s="110"/>
      <c r="JQM1364" s="110"/>
      <c r="JQN1364" s="110"/>
      <c r="JQO1364" s="110"/>
      <c r="JQP1364" s="110"/>
      <c r="JQQ1364" s="110"/>
      <c r="JQR1364" s="110"/>
      <c r="JQS1364" s="110"/>
      <c r="JQT1364" s="110"/>
      <c r="JQU1364" s="110"/>
      <c r="JQV1364" s="110"/>
      <c r="JQW1364" s="110"/>
      <c r="JQX1364" s="110"/>
      <c r="JQY1364" s="110"/>
      <c r="JQZ1364" s="110"/>
      <c r="JRA1364" s="110"/>
      <c r="JRB1364" s="110"/>
      <c r="JRC1364" s="110"/>
      <c r="JRD1364" s="110"/>
      <c r="JRE1364" s="110"/>
      <c r="JRF1364" s="110"/>
      <c r="JRG1364" s="110"/>
      <c r="JRH1364" s="110"/>
      <c r="JRI1364" s="110"/>
      <c r="JRJ1364" s="110"/>
      <c r="JRK1364" s="110"/>
      <c r="JRL1364" s="110"/>
      <c r="JRM1364" s="110"/>
      <c r="JRN1364" s="110"/>
      <c r="JRO1364" s="110"/>
      <c r="JRP1364" s="110"/>
      <c r="JRQ1364" s="110"/>
      <c r="JRR1364" s="110"/>
      <c r="JRS1364" s="110"/>
      <c r="JRT1364" s="110"/>
      <c r="JRU1364" s="110"/>
      <c r="JRV1364" s="110"/>
      <c r="JRW1364" s="110"/>
      <c r="JRX1364" s="110"/>
      <c r="JRY1364" s="110"/>
      <c r="JRZ1364" s="110"/>
      <c r="JSA1364" s="110"/>
      <c r="JSB1364" s="110"/>
      <c r="JSC1364" s="110"/>
      <c r="JSD1364" s="110"/>
      <c r="JSE1364" s="110"/>
      <c r="JSF1364" s="110"/>
      <c r="JSG1364" s="110"/>
      <c r="JSH1364" s="110"/>
      <c r="JSI1364" s="110"/>
      <c r="JSJ1364" s="110"/>
      <c r="JSK1364" s="110"/>
      <c r="JSL1364" s="110"/>
      <c r="JSM1364" s="110"/>
      <c r="JSN1364" s="110"/>
      <c r="JSO1364" s="110"/>
      <c r="JSP1364" s="110"/>
      <c r="JSQ1364" s="110"/>
      <c r="JSR1364" s="110"/>
      <c r="JSS1364" s="110"/>
      <c r="JST1364" s="110"/>
      <c r="JSU1364" s="110"/>
      <c r="JSV1364" s="110"/>
      <c r="JSW1364" s="110"/>
      <c r="JSX1364" s="110"/>
      <c r="JSY1364" s="110"/>
      <c r="JSZ1364" s="110"/>
      <c r="JTA1364" s="110"/>
      <c r="JTB1364" s="110"/>
      <c r="JTC1364" s="110"/>
      <c r="JTD1364" s="110"/>
      <c r="JTE1364" s="110"/>
      <c r="JTF1364" s="110"/>
      <c r="JTG1364" s="110"/>
      <c r="JTH1364" s="110"/>
      <c r="JTI1364" s="110"/>
      <c r="JTJ1364" s="110"/>
      <c r="JTK1364" s="110"/>
      <c r="JTL1364" s="110"/>
      <c r="JTM1364" s="110"/>
      <c r="JTN1364" s="110"/>
      <c r="JTO1364" s="110"/>
      <c r="JTP1364" s="110"/>
      <c r="JTQ1364" s="110"/>
      <c r="JTR1364" s="110"/>
      <c r="JTS1364" s="110"/>
      <c r="JTT1364" s="110"/>
      <c r="JTU1364" s="110"/>
      <c r="JTV1364" s="110"/>
      <c r="JTW1364" s="110"/>
      <c r="JTX1364" s="110"/>
      <c r="JTY1364" s="110"/>
      <c r="JTZ1364" s="110"/>
      <c r="JUA1364" s="110"/>
      <c r="JUB1364" s="110"/>
      <c r="JUC1364" s="110"/>
      <c r="JUD1364" s="110"/>
      <c r="JUE1364" s="110"/>
      <c r="JUF1364" s="110"/>
      <c r="JUG1364" s="110"/>
      <c r="JUH1364" s="110"/>
      <c r="JUI1364" s="110"/>
      <c r="JUJ1364" s="110"/>
      <c r="JUK1364" s="110"/>
      <c r="JUL1364" s="110"/>
      <c r="JUM1364" s="110"/>
      <c r="JUN1364" s="110"/>
      <c r="JUO1364" s="110"/>
      <c r="JUP1364" s="110"/>
      <c r="JUQ1364" s="110"/>
      <c r="JUR1364" s="110"/>
      <c r="JUS1364" s="110"/>
      <c r="JUT1364" s="110"/>
      <c r="JUU1364" s="110"/>
      <c r="JUV1364" s="110"/>
      <c r="JUW1364" s="110"/>
      <c r="JUX1364" s="110"/>
      <c r="JUY1364" s="110"/>
      <c r="JUZ1364" s="110"/>
      <c r="JVA1364" s="110"/>
      <c r="JVB1364" s="110"/>
      <c r="JVC1364" s="110"/>
      <c r="JVD1364" s="110"/>
      <c r="JVE1364" s="110"/>
      <c r="JVF1364" s="110"/>
      <c r="JVG1364" s="110"/>
      <c r="JVH1364" s="110"/>
      <c r="JVI1364" s="110"/>
      <c r="JVJ1364" s="110"/>
      <c r="JVK1364" s="110"/>
      <c r="JVL1364" s="110"/>
      <c r="JVM1364" s="110"/>
      <c r="JVN1364" s="110"/>
      <c r="JVO1364" s="110"/>
      <c r="JVP1364" s="110"/>
      <c r="JVQ1364" s="110"/>
      <c r="JVR1364" s="110"/>
      <c r="JVS1364" s="110"/>
      <c r="JVT1364" s="110"/>
      <c r="JVU1364" s="110"/>
      <c r="JVV1364" s="110"/>
      <c r="JVW1364" s="110"/>
      <c r="JVX1364" s="110"/>
      <c r="JVY1364" s="110"/>
      <c r="JVZ1364" s="110"/>
      <c r="JWA1364" s="110"/>
      <c r="JWB1364" s="110"/>
      <c r="JWC1364" s="110"/>
      <c r="JWD1364" s="110"/>
      <c r="JWE1364" s="110"/>
      <c r="JWF1364" s="110"/>
      <c r="JWG1364" s="110"/>
      <c r="JWH1364" s="110"/>
      <c r="JWI1364" s="110"/>
      <c r="JWJ1364" s="110"/>
      <c r="JWK1364" s="110"/>
      <c r="JWL1364" s="110"/>
      <c r="JWM1364" s="110"/>
      <c r="JWN1364" s="110"/>
      <c r="JWO1364" s="110"/>
      <c r="JWP1364" s="110"/>
      <c r="JWQ1364" s="110"/>
      <c r="JWR1364" s="110"/>
      <c r="JWS1364" s="110"/>
      <c r="JWT1364" s="110"/>
      <c r="JWU1364" s="110"/>
      <c r="JWV1364" s="110"/>
      <c r="JWW1364" s="110"/>
      <c r="JWX1364" s="110"/>
      <c r="JWY1364" s="110"/>
      <c r="JWZ1364" s="110"/>
      <c r="JXA1364" s="110"/>
      <c r="JXB1364" s="110"/>
      <c r="JXC1364" s="110"/>
      <c r="JXD1364" s="110"/>
      <c r="JXE1364" s="110"/>
      <c r="JXF1364" s="110"/>
      <c r="JXG1364" s="110"/>
      <c r="JXH1364" s="110"/>
      <c r="JXI1364" s="110"/>
      <c r="JXJ1364" s="110"/>
      <c r="JXK1364" s="110"/>
      <c r="JXL1364" s="110"/>
      <c r="JXM1364" s="110"/>
      <c r="JXN1364" s="110"/>
      <c r="JXO1364" s="110"/>
      <c r="JXP1364" s="110"/>
      <c r="JXQ1364" s="110"/>
      <c r="JXR1364" s="110"/>
      <c r="JXS1364" s="110"/>
      <c r="JXT1364" s="110"/>
      <c r="JXU1364" s="110"/>
      <c r="JXV1364" s="110"/>
      <c r="JXW1364" s="110"/>
      <c r="JXX1364" s="110"/>
      <c r="JXY1364" s="110"/>
      <c r="JXZ1364" s="110"/>
      <c r="JYA1364" s="110"/>
      <c r="JYB1364" s="110"/>
      <c r="JYC1364" s="110"/>
      <c r="JYD1364" s="110"/>
      <c r="JYE1364" s="110"/>
      <c r="JYF1364" s="110"/>
      <c r="JYG1364" s="110"/>
      <c r="JYH1364" s="110"/>
      <c r="JYI1364" s="110"/>
      <c r="JYJ1364" s="110"/>
      <c r="JYK1364" s="110"/>
      <c r="JYL1364" s="110"/>
      <c r="JYM1364" s="110"/>
      <c r="JYN1364" s="110"/>
      <c r="JYO1364" s="110"/>
      <c r="JYP1364" s="110"/>
      <c r="JYQ1364" s="110"/>
      <c r="JYR1364" s="110"/>
      <c r="JYS1364" s="110"/>
      <c r="JYT1364" s="110"/>
      <c r="JYU1364" s="110"/>
      <c r="JYV1364" s="110"/>
      <c r="JYW1364" s="110"/>
      <c r="JYX1364" s="110"/>
      <c r="JYY1364" s="110"/>
      <c r="JYZ1364" s="110"/>
      <c r="JZA1364" s="110"/>
      <c r="JZB1364" s="110"/>
      <c r="JZC1364" s="110"/>
      <c r="JZD1364" s="110"/>
      <c r="JZE1364" s="110"/>
      <c r="JZF1364" s="110"/>
      <c r="JZG1364" s="110"/>
      <c r="JZH1364" s="110"/>
      <c r="JZI1364" s="110"/>
      <c r="JZJ1364" s="110"/>
      <c r="JZK1364" s="110"/>
      <c r="JZL1364" s="110"/>
      <c r="JZM1364" s="110"/>
      <c r="JZN1364" s="110"/>
      <c r="JZO1364" s="110"/>
      <c r="JZP1364" s="110"/>
      <c r="JZQ1364" s="110"/>
      <c r="JZR1364" s="110"/>
      <c r="JZS1364" s="110"/>
      <c r="JZT1364" s="110"/>
      <c r="JZU1364" s="110"/>
      <c r="JZV1364" s="110"/>
      <c r="JZW1364" s="110"/>
      <c r="JZX1364" s="110"/>
      <c r="JZY1364" s="110"/>
      <c r="JZZ1364" s="110"/>
      <c r="KAA1364" s="110"/>
      <c r="KAB1364" s="110"/>
      <c r="KAC1364" s="110"/>
      <c r="KAD1364" s="110"/>
      <c r="KAE1364" s="110"/>
      <c r="KAF1364" s="110"/>
      <c r="KAG1364" s="110"/>
      <c r="KAH1364" s="110"/>
      <c r="KAI1364" s="110"/>
      <c r="KAJ1364" s="110"/>
      <c r="KAK1364" s="110"/>
      <c r="KAL1364" s="110"/>
      <c r="KAM1364" s="110"/>
      <c r="KAN1364" s="110"/>
      <c r="KAO1364" s="110"/>
      <c r="KAP1364" s="110"/>
      <c r="KAQ1364" s="110"/>
      <c r="KAR1364" s="110"/>
      <c r="KAS1364" s="110"/>
      <c r="KAT1364" s="110"/>
      <c r="KAU1364" s="110"/>
      <c r="KAV1364" s="110"/>
      <c r="KAW1364" s="110"/>
      <c r="KAX1364" s="110"/>
      <c r="KAY1364" s="110"/>
      <c r="KAZ1364" s="110"/>
      <c r="KBA1364" s="110"/>
      <c r="KBB1364" s="110"/>
      <c r="KBC1364" s="110"/>
      <c r="KBD1364" s="110"/>
      <c r="KBE1364" s="110"/>
      <c r="KBF1364" s="110"/>
      <c r="KBG1364" s="110"/>
      <c r="KBH1364" s="110"/>
      <c r="KBI1364" s="110"/>
      <c r="KBJ1364" s="110"/>
      <c r="KBK1364" s="110"/>
      <c r="KBL1364" s="110"/>
      <c r="KBM1364" s="110"/>
      <c r="KBN1364" s="110"/>
      <c r="KBO1364" s="110"/>
      <c r="KBP1364" s="110"/>
      <c r="KBQ1364" s="110"/>
      <c r="KBR1364" s="110"/>
      <c r="KBS1364" s="110"/>
      <c r="KBT1364" s="110"/>
      <c r="KBU1364" s="110"/>
      <c r="KBV1364" s="110"/>
      <c r="KBW1364" s="110"/>
      <c r="KBX1364" s="110"/>
      <c r="KBY1364" s="110"/>
      <c r="KBZ1364" s="110"/>
      <c r="KCA1364" s="110"/>
      <c r="KCB1364" s="110"/>
      <c r="KCC1364" s="110"/>
      <c r="KCD1364" s="110"/>
      <c r="KCE1364" s="110"/>
      <c r="KCF1364" s="110"/>
      <c r="KCG1364" s="110"/>
      <c r="KCH1364" s="110"/>
      <c r="KCI1364" s="110"/>
      <c r="KCJ1364" s="110"/>
      <c r="KCK1364" s="110"/>
      <c r="KCL1364" s="110"/>
      <c r="KCM1364" s="110"/>
      <c r="KCN1364" s="110"/>
      <c r="KCO1364" s="110"/>
      <c r="KCP1364" s="110"/>
      <c r="KCQ1364" s="110"/>
      <c r="KCR1364" s="110"/>
      <c r="KCS1364" s="110"/>
      <c r="KCT1364" s="110"/>
      <c r="KCU1364" s="110"/>
      <c r="KCV1364" s="110"/>
      <c r="KCW1364" s="110"/>
      <c r="KCX1364" s="110"/>
      <c r="KCY1364" s="110"/>
      <c r="KCZ1364" s="110"/>
      <c r="KDA1364" s="110"/>
      <c r="KDB1364" s="110"/>
      <c r="KDC1364" s="110"/>
      <c r="KDD1364" s="110"/>
      <c r="KDE1364" s="110"/>
      <c r="KDF1364" s="110"/>
      <c r="KDG1364" s="110"/>
      <c r="KDH1364" s="110"/>
      <c r="KDI1364" s="110"/>
      <c r="KDJ1364" s="110"/>
      <c r="KDK1364" s="110"/>
      <c r="KDL1364" s="110"/>
      <c r="KDM1364" s="110"/>
      <c r="KDN1364" s="110"/>
      <c r="KDO1364" s="110"/>
      <c r="KDP1364" s="110"/>
      <c r="KDQ1364" s="110"/>
      <c r="KDR1364" s="110"/>
      <c r="KDS1364" s="110"/>
      <c r="KDT1364" s="110"/>
      <c r="KDU1364" s="110"/>
      <c r="KDV1364" s="110"/>
      <c r="KDW1364" s="110"/>
      <c r="KDX1364" s="110"/>
      <c r="KDY1364" s="110"/>
      <c r="KDZ1364" s="110"/>
      <c r="KEA1364" s="110"/>
      <c r="KEB1364" s="110"/>
      <c r="KEC1364" s="110"/>
      <c r="KED1364" s="110"/>
      <c r="KEE1364" s="110"/>
      <c r="KEF1364" s="110"/>
      <c r="KEG1364" s="110"/>
      <c r="KEH1364" s="110"/>
      <c r="KEI1364" s="110"/>
      <c r="KEJ1364" s="110"/>
      <c r="KEK1364" s="110"/>
      <c r="KEL1364" s="110"/>
      <c r="KEM1364" s="110"/>
      <c r="KEN1364" s="110"/>
      <c r="KEO1364" s="110"/>
      <c r="KEP1364" s="110"/>
      <c r="KEQ1364" s="110"/>
      <c r="KER1364" s="110"/>
      <c r="KES1364" s="110"/>
      <c r="KET1364" s="110"/>
      <c r="KEU1364" s="110"/>
      <c r="KEV1364" s="110"/>
      <c r="KEW1364" s="110"/>
      <c r="KEX1364" s="110"/>
      <c r="KEY1364" s="110"/>
      <c r="KEZ1364" s="110"/>
      <c r="KFA1364" s="110"/>
      <c r="KFB1364" s="110"/>
      <c r="KFC1364" s="110"/>
      <c r="KFD1364" s="110"/>
      <c r="KFE1364" s="110"/>
      <c r="KFF1364" s="110"/>
      <c r="KFG1364" s="110"/>
      <c r="KFH1364" s="110"/>
      <c r="KFI1364" s="110"/>
      <c r="KFJ1364" s="110"/>
      <c r="KFK1364" s="110"/>
      <c r="KFL1364" s="110"/>
      <c r="KFM1364" s="110"/>
      <c r="KFN1364" s="110"/>
      <c r="KFO1364" s="110"/>
      <c r="KFP1364" s="110"/>
      <c r="KFQ1364" s="110"/>
      <c r="KFR1364" s="110"/>
      <c r="KFS1364" s="110"/>
      <c r="KFT1364" s="110"/>
      <c r="KFU1364" s="110"/>
      <c r="KFV1364" s="110"/>
      <c r="KFW1364" s="110"/>
      <c r="KFX1364" s="110"/>
      <c r="KFY1364" s="110"/>
      <c r="KFZ1364" s="110"/>
      <c r="KGA1364" s="110"/>
      <c r="KGB1364" s="110"/>
      <c r="KGC1364" s="110"/>
      <c r="KGD1364" s="110"/>
      <c r="KGE1364" s="110"/>
      <c r="KGF1364" s="110"/>
      <c r="KGG1364" s="110"/>
      <c r="KGH1364" s="110"/>
      <c r="KGI1364" s="110"/>
      <c r="KGJ1364" s="110"/>
      <c r="KGK1364" s="110"/>
      <c r="KGL1364" s="110"/>
      <c r="KGM1364" s="110"/>
      <c r="KGN1364" s="110"/>
      <c r="KGO1364" s="110"/>
      <c r="KGP1364" s="110"/>
      <c r="KGQ1364" s="110"/>
      <c r="KGR1364" s="110"/>
      <c r="KGS1364" s="110"/>
      <c r="KGT1364" s="110"/>
      <c r="KGU1364" s="110"/>
      <c r="KGV1364" s="110"/>
      <c r="KGW1364" s="110"/>
      <c r="KGX1364" s="110"/>
      <c r="KGY1364" s="110"/>
      <c r="KGZ1364" s="110"/>
      <c r="KHA1364" s="110"/>
      <c r="KHB1364" s="110"/>
      <c r="KHC1364" s="110"/>
      <c r="KHD1364" s="110"/>
      <c r="KHE1364" s="110"/>
      <c r="KHF1364" s="110"/>
      <c r="KHG1364" s="110"/>
      <c r="KHH1364" s="110"/>
      <c r="KHI1364" s="110"/>
      <c r="KHJ1364" s="110"/>
      <c r="KHK1364" s="110"/>
      <c r="KHL1364" s="110"/>
      <c r="KHM1364" s="110"/>
      <c r="KHN1364" s="110"/>
      <c r="KHO1364" s="110"/>
      <c r="KHP1364" s="110"/>
      <c r="KHQ1364" s="110"/>
      <c r="KHR1364" s="110"/>
      <c r="KHS1364" s="110"/>
      <c r="KHT1364" s="110"/>
      <c r="KHU1364" s="110"/>
      <c r="KHV1364" s="110"/>
      <c r="KHW1364" s="110"/>
      <c r="KHX1364" s="110"/>
      <c r="KHY1364" s="110"/>
      <c r="KHZ1364" s="110"/>
      <c r="KIA1364" s="110"/>
      <c r="KIB1364" s="110"/>
      <c r="KIC1364" s="110"/>
      <c r="KID1364" s="110"/>
      <c r="KIE1364" s="110"/>
      <c r="KIF1364" s="110"/>
      <c r="KIG1364" s="110"/>
      <c r="KIH1364" s="110"/>
      <c r="KII1364" s="110"/>
      <c r="KIJ1364" s="110"/>
      <c r="KIK1364" s="110"/>
      <c r="KIL1364" s="110"/>
      <c r="KIM1364" s="110"/>
      <c r="KIN1364" s="110"/>
      <c r="KIO1364" s="110"/>
      <c r="KIP1364" s="110"/>
      <c r="KIQ1364" s="110"/>
      <c r="KIR1364" s="110"/>
      <c r="KIS1364" s="110"/>
      <c r="KIT1364" s="110"/>
      <c r="KIU1364" s="110"/>
      <c r="KIV1364" s="110"/>
      <c r="KIW1364" s="110"/>
      <c r="KIX1364" s="110"/>
      <c r="KIY1364" s="110"/>
      <c r="KIZ1364" s="110"/>
      <c r="KJA1364" s="110"/>
      <c r="KJB1364" s="110"/>
      <c r="KJC1364" s="110"/>
      <c r="KJD1364" s="110"/>
      <c r="KJE1364" s="110"/>
      <c r="KJF1364" s="110"/>
      <c r="KJG1364" s="110"/>
      <c r="KJH1364" s="110"/>
      <c r="KJI1364" s="110"/>
      <c r="KJJ1364" s="110"/>
      <c r="KJK1364" s="110"/>
      <c r="KJL1364" s="110"/>
      <c r="KJM1364" s="110"/>
      <c r="KJN1364" s="110"/>
      <c r="KJO1364" s="110"/>
      <c r="KJP1364" s="110"/>
      <c r="KJQ1364" s="110"/>
      <c r="KJR1364" s="110"/>
      <c r="KJS1364" s="110"/>
      <c r="KJT1364" s="110"/>
      <c r="KJU1364" s="110"/>
      <c r="KJV1364" s="110"/>
      <c r="KJW1364" s="110"/>
      <c r="KJX1364" s="110"/>
      <c r="KJY1364" s="110"/>
      <c r="KJZ1364" s="110"/>
      <c r="KKA1364" s="110"/>
      <c r="KKB1364" s="110"/>
      <c r="KKC1364" s="110"/>
      <c r="KKD1364" s="110"/>
      <c r="KKE1364" s="110"/>
      <c r="KKF1364" s="110"/>
      <c r="KKG1364" s="110"/>
      <c r="KKH1364" s="110"/>
      <c r="KKI1364" s="110"/>
      <c r="KKJ1364" s="110"/>
      <c r="KKK1364" s="110"/>
      <c r="KKL1364" s="110"/>
      <c r="KKM1364" s="110"/>
      <c r="KKN1364" s="110"/>
      <c r="KKO1364" s="110"/>
      <c r="KKP1364" s="110"/>
      <c r="KKQ1364" s="110"/>
      <c r="KKR1364" s="110"/>
      <c r="KKS1364" s="110"/>
      <c r="KKT1364" s="110"/>
      <c r="KKU1364" s="110"/>
      <c r="KKV1364" s="110"/>
      <c r="KKW1364" s="110"/>
      <c r="KKX1364" s="110"/>
      <c r="KKY1364" s="110"/>
      <c r="KKZ1364" s="110"/>
      <c r="KLA1364" s="110"/>
      <c r="KLB1364" s="110"/>
      <c r="KLC1364" s="110"/>
      <c r="KLD1364" s="110"/>
      <c r="KLE1364" s="110"/>
      <c r="KLF1364" s="110"/>
      <c r="KLG1364" s="110"/>
      <c r="KLH1364" s="110"/>
      <c r="KLI1364" s="110"/>
      <c r="KLJ1364" s="110"/>
      <c r="KLK1364" s="110"/>
      <c r="KLL1364" s="110"/>
      <c r="KLM1364" s="110"/>
      <c r="KLN1364" s="110"/>
      <c r="KLO1364" s="110"/>
      <c r="KLP1364" s="110"/>
      <c r="KLQ1364" s="110"/>
      <c r="KLR1364" s="110"/>
      <c r="KLS1364" s="110"/>
      <c r="KLT1364" s="110"/>
      <c r="KLU1364" s="110"/>
      <c r="KLV1364" s="110"/>
      <c r="KLW1364" s="110"/>
      <c r="KLX1364" s="110"/>
      <c r="KLY1364" s="110"/>
      <c r="KLZ1364" s="110"/>
      <c r="KMA1364" s="110"/>
      <c r="KMB1364" s="110"/>
      <c r="KMC1364" s="110"/>
      <c r="KMD1364" s="110"/>
      <c r="KME1364" s="110"/>
      <c r="KMF1364" s="110"/>
      <c r="KMG1364" s="110"/>
      <c r="KMH1364" s="110"/>
      <c r="KMI1364" s="110"/>
      <c r="KMJ1364" s="110"/>
      <c r="KMK1364" s="110"/>
      <c r="KML1364" s="110"/>
      <c r="KMM1364" s="110"/>
      <c r="KMN1364" s="110"/>
      <c r="KMO1364" s="110"/>
      <c r="KMP1364" s="110"/>
      <c r="KMQ1364" s="110"/>
      <c r="KMR1364" s="110"/>
      <c r="KMS1364" s="110"/>
      <c r="KMT1364" s="110"/>
      <c r="KMU1364" s="110"/>
      <c r="KMV1364" s="110"/>
      <c r="KMW1364" s="110"/>
      <c r="KMX1364" s="110"/>
      <c r="KMY1364" s="110"/>
      <c r="KMZ1364" s="110"/>
      <c r="KNA1364" s="110"/>
      <c r="KNB1364" s="110"/>
      <c r="KNC1364" s="110"/>
      <c r="KND1364" s="110"/>
      <c r="KNE1364" s="110"/>
      <c r="KNF1364" s="110"/>
      <c r="KNG1364" s="110"/>
      <c r="KNH1364" s="110"/>
      <c r="KNI1364" s="110"/>
      <c r="KNJ1364" s="110"/>
      <c r="KNK1364" s="110"/>
      <c r="KNL1364" s="110"/>
      <c r="KNM1364" s="110"/>
      <c r="KNN1364" s="110"/>
      <c r="KNO1364" s="110"/>
      <c r="KNP1364" s="110"/>
      <c r="KNQ1364" s="110"/>
      <c r="KNR1364" s="110"/>
      <c r="KNS1364" s="110"/>
      <c r="KNT1364" s="110"/>
      <c r="KNU1364" s="110"/>
      <c r="KNV1364" s="110"/>
      <c r="KNW1364" s="110"/>
      <c r="KNX1364" s="110"/>
      <c r="KNY1364" s="110"/>
      <c r="KNZ1364" s="110"/>
      <c r="KOA1364" s="110"/>
      <c r="KOB1364" s="110"/>
      <c r="KOC1364" s="110"/>
      <c r="KOD1364" s="110"/>
      <c r="KOE1364" s="110"/>
      <c r="KOF1364" s="110"/>
      <c r="KOG1364" s="110"/>
      <c r="KOH1364" s="110"/>
      <c r="KOI1364" s="110"/>
      <c r="KOJ1364" s="110"/>
      <c r="KOK1364" s="110"/>
      <c r="KOL1364" s="110"/>
      <c r="KOM1364" s="110"/>
      <c r="KON1364" s="110"/>
      <c r="KOO1364" s="110"/>
      <c r="KOP1364" s="110"/>
      <c r="KOQ1364" s="110"/>
      <c r="KOR1364" s="110"/>
      <c r="KOS1364" s="110"/>
      <c r="KOT1364" s="110"/>
      <c r="KOU1364" s="110"/>
      <c r="KOV1364" s="110"/>
      <c r="KOW1364" s="110"/>
      <c r="KOX1364" s="110"/>
      <c r="KOY1364" s="110"/>
      <c r="KOZ1364" s="110"/>
      <c r="KPA1364" s="110"/>
      <c r="KPB1364" s="110"/>
      <c r="KPC1364" s="110"/>
      <c r="KPD1364" s="110"/>
      <c r="KPE1364" s="110"/>
      <c r="KPF1364" s="110"/>
      <c r="KPG1364" s="110"/>
      <c r="KPH1364" s="110"/>
      <c r="KPI1364" s="110"/>
      <c r="KPJ1364" s="110"/>
      <c r="KPK1364" s="110"/>
      <c r="KPL1364" s="110"/>
      <c r="KPM1364" s="110"/>
      <c r="KPN1364" s="110"/>
      <c r="KPO1364" s="110"/>
      <c r="KPP1364" s="110"/>
      <c r="KPQ1364" s="110"/>
      <c r="KPR1364" s="110"/>
      <c r="KPS1364" s="110"/>
      <c r="KPT1364" s="110"/>
      <c r="KPU1364" s="110"/>
      <c r="KPV1364" s="110"/>
      <c r="KPW1364" s="110"/>
      <c r="KPX1364" s="110"/>
      <c r="KPY1364" s="110"/>
      <c r="KPZ1364" s="110"/>
      <c r="KQA1364" s="110"/>
      <c r="KQB1364" s="110"/>
      <c r="KQC1364" s="110"/>
      <c r="KQD1364" s="110"/>
      <c r="KQE1364" s="110"/>
      <c r="KQF1364" s="110"/>
      <c r="KQG1364" s="110"/>
      <c r="KQH1364" s="110"/>
      <c r="KQI1364" s="110"/>
      <c r="KQJ1364" s="110"/>
      <c r="KQK1364" s="110"/>
      <c r="KQL1364" s="110"/>
      <c r="KQM1364" s="110"/>
      <c r="KQN1364" s="110"/>
      <c r="KQO1364" s="110"/>
      <c r="KQP1364" s="110"/>
      <c r="KQQ1364" s="110"/>
      <c r="KQR1364" s="110"/>
      <c r="KQS1364" s="110"/>
      <c r="KQT1364" s="110"/>
      <c r="KQU1364" s="110"/>
      <c r="KQV1364" s="110"/>
      <c r="KQW1364" s="110"/>
      <c r="KQX1364" s="110"/>
      <c r="KQY1364" s="110"/>
      <c r="KQZ1364" s="110"/>
      <c r="KRA1364" s="110"/>
      <c r="KRB1364" s="110"/>
      <c r="KRC1364" s="110"/>
      <c r="KRD1364" s="110"/>
      <c r="KRE1364" s="110"/>
      <c r="KRF1364" s="110"/>
      <c r="KRG1364" s="110"/>
      <c r="KRH1364" s="110"/>
      <c r="KRI1364" s="110"/>
      <c r="KRJ1364" s="110"/>
      <c r="KRK1364" s="110"/>
      <c r="KRL1364" s="110"/>
      <c r="KRM1364" s="110"/>
      <c r="KRN1364" s="110"/>
      <c r="KRO1364" s="110"/>
      <c r="KRP1364" s="110"/>
      <c r="KRQ1364" s="110"/>
      <c r="KRR1364" s="110"/>
      <c r="KRS1364" s="110"/>
      <c r="KRT1364" s="110"/>
      <c r="KRU1364" s="110"/>
      <c r="KRV1364" s="110"/>
      <c r="KRW1364" s="110"/>
      <c r="KRX1364" s="110"/>
      <c r="KRY1364" s="110"/>
      <c r="KRZ1364" s="110"/>
      <c r="KSA1364" s="110"/>
      <c r="KSB1364" s="110"/>
      <c r="KSC1364" s="110"/>
      <c r="KSD1364" s="110"/>
      <c r="KSE1364" s="110"/>
      <c r="KSF1364" s="110"/>
      <c r="KSG1364" s="110"/>
      <c r="KSH1364" s="110"/>
      <c r="KSI1364" s="110"/>
      <c r="KSJ1364" s="110"/>
      <c r="KSK1364" s="110"/>
      <c r="KSL1364" s="110"/>
      <c r="KSM1364" s="110"/>
      <c r="KSN1364" s="110"/>
      <c r="KSO1364" s="110"/>
      <c r="KSP1364" s="110"/>
      <c r="KSQ1364" s="110"/>
      <c r="KSR1364" s="110"/>
      <c r="KSS1364" s="110"/>
      <c r="KST1364" s="110"/>
      <c r="KSU1364" s="110"/>
      <c r="KSV1364" s="110"/>
      <c r="KSW1364" s="110"/>
      <c r="KSX1364" s="110"/>
      <c r="KSY1364" s="110"/>
      <c r="KSZ1364" s="110"/>
      <c r="KTA1364" s="110"/>
      <c r="KTB1364" s="110"/>
      <c r="KTC1364" s="110"/>
      <c r="KTD1364" s="110"/>
      <c r="KTE1364" s="110"/>
      <c r="KTF1364" s="110"/>
      <c r="KTG1364" s="110"/>
      <c r="KTH1364" s="110"/>
      <c r="KTI1364" s="110"/>
      <c r="KTJ1364" s="110"/>
      <c r="KTK1364" s="110"/>
      <c r="KTL1364" s="110"/>
      <c r="KTM1364" s="110"/>
      <c r="KTN1364" s="110"/>
      <c r="KTO1364" s="110"/>
      <c r="KTP1364" s="110"/>
      <c r="KTQ1364" s="110"/>
      <c r="KTR1364" s="110"/>
      <c r="KTS1364" s="110"/>
      <c r="KTT1364" s="110"/>
      <c r="KTU1364" s="110"/>
      <c r="KTV1364" s="110"/>
      <c r="KTW1364" s="110"/>
      <c r="KTX1364" s="110"/>
      <c r="KTY1364" s="110"/>
      <c r="KTZ1364" s="110"/>
      <c r="KUA1364" s="110"/>
      <c r="KUB1364" s="110"/>
      <c r="KUC1364" s="110"/>
      <c r="KUD1364" s="110"/>
      <c r="KUE1364" s="110"/>
      <c r="KUF1364" s="110"/>
      <c r="KUG1364" s="110"/>
      <c r="KUH1364" s="110"/>
      <c r="KUI1364" s="110"/>
      <c r="KUJ1364" s="110"/>
      <c r="KUK1364" s="110"/>
      <c r="KUL1364" s="110"/>
      <c r="KUM1364" s="110"/>
      <c r="KUN1364" s="110"/>
      <c r="KUO1364" s="110"/>
      <c r="KUP1364" s="110"/>
      <c r="KUQ1364" s="110"/>
      <c r="KUR1364" s="110"/>
      <c r="KUS1364" s="110"/>
      <c r="KUT1364" s="110"/>
      <c r="KUU1364" s="110"/>
      <c r="KUV1364" s="110"/>
      <c r="KUW1364" s="110"/>
      <c r="KUX1364" s="110"/>
      <c r="KUY1364" s="110"/>
      <c r="KUZ1364" s="110"/>
      <c r="KVA1364" s="110"/>
      <c r="KVB1364" s="110"/>
      <c r="KVC1364" s="110"/>
      <c r="KVD1364" s="110"/>
      <c r="KVE1364" s="110"/>
      <c r="KVF1364" s="110"/>
      <c r="KVG1364" s="110"/>
      <c r="KVH1364" s="110"/>
      <c r="KVI1364" s="110"/>
      <c r="KVJ1364" s="110"/>
      <c r="KVK1364" s="110"/>
      <c r="KVL1364" s="110"/>
      <c r="KVM1364" s="110"/>
      <c r="KVN1364" s="110"/>
      <c r="KVO1364" s="110"/>
      <c r="KVP1364" s="110"/>
      <c r="KVQ1364" s="110"/>
      <c r="KVR1364" s="110"/>
      <c r="KVS1364" s="110"/>
      <c r="KVT1364" s="110"/>
      <c r="KVU1364" s="110"/>
      <c r="KVV1364" s="110"/>
      <c r="KVW1364" s="110"/>
      <c r="KVX1364" s="110"/>
      <c r="KVY1364" s="110"/>
      <c r="KVZ1364" s="110"/>
      <c r="KWA1364" s="110"/>
      <c r="KWB1364" s="110"/>
      <c r="KWC1364" s="110"/>
      <c r="KWD1364" s="110"/>
      <c r="KWE1364" s="110"/>
      <c r="KWF1364" s="110"/>
      <c r="KWG1364" s="110"/>
      <c r="KWH1364" s="110"/>
      <c r="KWI1364" s="110"/>
      <c r="KWJ1364" s="110"/>
      <c r="KWK1364" s="110"/>
      <c r="KWL1364" s="110"/>
      <c r="KWM1364" s="110"/>
      <c r="KWN1364" s="110"/>
      <c r="KWO1364" s="110"/>
      <c r="KWP1364" s="110"/>
      <c r="KWQ1364" s="110"/>
      <c r="KWR1364" s="110"/>
      <c r="KWS1364" s="110"/>
      <c r="KWT1364" s="110"/>
      <c r="KWU1364" s="110"/>
      <c r="KWV1364" s="110"/>
      <c r="KWW1364" s="110"/>
      <c r="KWX1364" s="110"/>
      <c r="KWY1364" s="110"/>
      <c r="KWZ1364" s="110"/>
      <c r="KXA1364" s="110"/>
      <c r="KXB1364" s="110"/>
      <c r="KXC1364" s="110"/>
      <c r="KXD1364" s="110"/>
      <c r="KXE1364" s="110"/>
      <c r="KXF1364" s="110"/>
      <c r="KXG1364" s="110"/>
      <c r="KXH1364" s="110"/>
      <c r="KXI1364" s="110"/>
      <c r="KXJ1364" s="110"/>
      <c r="KXK1364" s="110"/>
      <c r="KXL1364" s="110"/>
      <c r="KXM1364" s="110"/>
      <c r="KXN1364" s="110"/>
      <c r="KXO1364" s="110"/>
      <c r="KXP1364" s="110"/>
      <c r="KXQ1364" s="110"/>
      <c r="KXR1364" s="110"/>
      <c r="KXS1364" s="110"/>
      <c r="KXT1364" s="110"/>
      <c r="KXU1364" s="110"/>
      <c r="KXV1364" s="110"/>
      <c r="KXW1364" s="110"/>
      <c r="KXX1364" s="110"/>
      <c r="KXY1364" s="110"/>
      <c r="KXZ1364" s="110"/>
      <c r="KYA1364" s="110"/>
      <c r="KYB1364" s="110"/>
      <c r="KYC1364" s="110"/>
      <c r="KYD1364" s="110"/>
      <c r="KYE1364" s="110"/>
      <c r="KYF1364" s="110"/>
      <c r="KYG1364" s="110"/>
      <c r="KYH1364" s="110"/>
      <c r="KYI1364" s="110"/>
      <c r="KYJ1364" s="110"/>
      <c r="KYK1364" s="110"/>
      <c r="KYL1364" s="110"/>
      <c r="KYM1364" s="110"/>
      <c r="KYN1364" s="110"/>
      <c r="KYO1364" s="110"/>
      <c r="KYP1364" s="110"/>
      <c r="KYQ1364" s="110"/>
      <c r="KYR1364" s="110"/>
      <c r="KYS1364" s="110"/>
      <c r="KYT1364" s="110"/>
      <c r="KYU1364" s="110"/>
      <c r="KYV1364" s="110"/>
      <c r="KYW1364" s="110"/>
      <c r="KYX1364" s="110"/>
      <c r="KYY1364" s="110"/>
      <c r="KYZ1364" s="110"/>
      <c r="KZA1364" s="110"/>
      <c r="KZB1364" s="110"/>
      <c r="KZC1364" s="110"/>
      <c r="KZD1364" s="110"/>
      <c r="KZE1364" s="110"/>
      <c r="KZF1364" s="110"/>
      <c r="KZG1364" s="110"/>
      <c r="KZH1364" s="110"/>
      <c r="KZI1364" s="110"/>
      <c r="KZJ1364" s="110"/>
      <c r="KZK1364" s="110"/>
      <c r="KZL1364" s="110"/>
      <c r="KZM1364" s="110"/>
      <c r="KZN1364" s="110"/>
      <c r="KZO1364" s="110"/>
      <c r="KZP1364" s="110"/>
      <c r="KZQ1364" s="110"/>
      <c r="KZR1364" s="110"/>
      <c r="KZS1364" s="110"/>
      <c r="KZT1364" s="110"/>
      <c r="KZU1364" s="110"/>
      <c r="KZV1364" s="110"/>
      <c r="KZW1364" s="110"/>
      <c r="KZX1364" s="110"/>
      <c r="KZY1364" s="110"/>
      <c r="KZZ1364" s="110"/>
      <c r="LAA1364" s="110"/>
      <c r="LAB1364" s="110"/>
      <c r="LAC1364" s="110"/>
      <c r="LAD1364" s="110"/>
      <c r="LAE1364" s="110"/>
      <c r="LAF1364" s="110"/>
      <c r="LAG1364" s="110"/>
      <c r="LAH1364" s="110"/>
      <c r="LAI1364" s="110"/>
      <c r="LAJ1364" s="110"/>
      <c r="LAK1364" s="110"/>
      <c r="LAL1364" s="110"/>
      <c r="LAM1364" s="110"/>
      <c r="LAN1364" s="110"/>
      <c r="LAO1364" s="110"/>
      <c r="LAP1364" s="110"/>
      <c r="LAQ1364" s="110"/>
      <c r="LAR1364" s="110"/>
      <c r="LAS1364" s="110"/>
      <c r="LAT1364" s="110"/>
      <c r="LAU1364" s="110"/>
      <c r="LAV1364" s="110"/>
      <c r="LAW1364" s="110"/>
      <c r="LAX1364" s="110"/>
      <c r="LAY1364" s="110"/>
      <c r="LAZ1364" s="110"/>
      <c r="LBA1364" s="110"/>
      <c r="LBB1364" s="110"/>
      <c r="LBC1364" s="110"/>
      <c r="LBD1364" s="110"/>
      <c r="LBE1364" s="110"/>
      <c r="LBF1364" s="110"/>
      <c r="LBG1364" s="110"/>
      <c r="LBH1364" s="110"/>
      <c r="LBI1364" s="110"/>
      <c r="LBJ1364" s="110"/>
      <c r="LBK1364" s="110"/>
      <c r="LBL1364" s="110"/>
      <c r="LBM1364" s="110"/>
      <c r="LBN1364" s="110"/>
      <c r="LBO1364" s="110"/>
      <c r="LBP1364" s="110"/>
      <c r="LBQ1364" s="110"/>
      <c r="LBR1364" s="110"/>
      <c r="LBS1364" s="110"/>
      <c r="LBT1364" s="110"/>
      <c r="LBU1364" s="110"/>
      <c r="LBV1364" s="110"/>
      <c r="LBW1364" s="110"/>
      <c r="LBX1364" s="110"/>
      <c r="LBY1364" s="110"/>
      <c r="LBZ1364" s="110"/>
      <c r="LCA1364" s="110"/>
      <c r="LCB1364" s="110"/>
      <c r="LCC1364" s="110"/>
      <c r="LCD1364" s="110"/>
      <c r="LCE1364" s="110"/>
      <c r="LCF1364" s="110"/>
      <c r="LCG1364" s="110"/>
      <c r="LCH1364" s="110"/>
      <c r="LCI1364" s="110"/>
      <c r="LCJ1364" s="110"/>
      <c r="LCK1364" s="110"/>
      <c r="LCL1364" s="110"/>
      <c r="LCM1364" s="110"/>
      <c r="LCN1364" s="110"/>
      <c r="LCO1364" s="110"/>
      <c r="LCP1364" s="110"/>
      <c r="LCQ1364" s="110"/>
      <c r="LCR1364" s="110"/>
      <c r="LCS1364" s="110"/>
      <c r="LCT1364" s="110"/>
      <c r="LCU1364" s="110"/>
      <c r="LCV1364" s="110"/>
      <c r="LCW1364" s="110"/>
      <c r="LCX1364" s="110"/>
      <c r="LCY1364" s="110"/>
      <c r="LCZ1364" s="110"/>
      <c r="LDA1364" s="110"/>
      <c r="LDB1364" s="110"/>
      <c r="LDC1364" s="110"/>
      <c r="LDD1364" s="110"/>
      <c r="LDE1364" s="110"/>
      <c r="LDF1364" s="110"/>
      <c r="LDG1364" s="110"/>
      <c r="LDH1364" s="110"/>
      <c r="LDI1364" s="110"/>
      <c r="LDJ1364" s="110"/>
      <c r="LDK1364" s="110"/>
      <c r="LDL1364" s="110"/>
      <c r="LDM1364" s="110"/>
      <c r="LDN1364" s="110"/>
      <c r="LDO1364" s="110"/>
      <c r="LDP1364" s="110"/>
      <c r="LDQ1364" s="110"/>
      <c r="LDR1364" s="110"/>
      <c r="LDS1364" s="110"/>
      <c r="LDT1364" s="110"/>
      <c r="LDU1364" s="110"/>
      <c r="LDV1364" s="110"/>
      <c r="LDW1364" s="110"/>
      <c r="LDX1364" s="110"/>
      <c r="LDY1364" s="110"/>
      <c r="LDZ1364" s="110"/>
      <c r="LEA1364" s="110"/>
      <c r="LEB1364" s="110"/>
      <c r="LEC1364" s="110"/>
      <c r="LED1364" s="110"/>
      <c r="LEE1364" s="110"/>
      <c r="LEF1364" s="110"/>
      <c r="LEG1364" s="110"/>
      <c r="LEH1364" s="110"/>
      <c r="LEI1364" s="110"/>
      <c r="LEJ1364" s="110"/>
      <c r="LEK1364" s="110"/>
      <c r="LEL1364" s="110"/>
      <c r="LEM1364" s="110"/>
      <c r="LEN1364" s="110"/>
      <c r="LEO1364" s="110"/>
      <c r="LEP1364" s="110"/>
      <c r="LEQ1364" s="110"/>
      <c r="LER1364" s="110"/>
      <c r="LES1364" s="110"/>
      <c r="LET1364" s="110"/>
      <c r="LEU1364" s="110"/>
      <c r="LEV1364" s="110"/>
      <c r="LEW1364" s="110"/>
      <c r="LEX1364" s="110"/>
      <c r="LEY1364" s="110"/>
      <c r="LEZ1364" s="110"/>
      <c r="LFA1364" s="110"/>
      <c r="LFB1364" s="110"/>
      <c r="LFC1364" s="110"/>
      <c r="LFD1364" s="110"/>
      <c r="LFE1364" s="110"/>
      <c r="LFF1364" s="110"/>
      <c r="LFG1364" s="110"/>
      <c r="LFH1364" s="110"/>
      <c r="LFI1364" s="110"/>
      <c r="LFJ1364" s="110"/>
      <c r="LFK1364" s="110"/>
      <c r="LFL1364" s="110"/>
      <c r="LFM1364" s="110"/>
      <c r="LFN1364" s="110"/>
      <c r="LFO1364" s="110"/>
      <c r="LFP1364" s="110"/>
      <c r="LFQ1364" s="110"/>
      <c r="LFR1364" s="110"/>
      <c r="LFS1364" s="110"/>
      <c r="LFT1364" s="110"/>
      <c r="LFU1364" s="110"/>
      <c r="LFV1364" s="110"/>
      <c r="LFW1364" s="110"/>
      <c r="LFX1364" s="110"/>
      <c r="LFY1364" s="110"/>
      <c r="LFZ1364" s="110"/>
      <c r="LGA1364" s="110"/>
      <c r="LGB1364" s="110"/>
      <c r="LGC1364" s="110"/>
      <c r="LGD1364" s="110"/>
      <c r="LGE1364" s="110"/>
      <c r="LGF1364" s="110"/>
      <c r="LGG1364" s="110"/>
      <c r="LGH1364" s="110"/>
      <c r="LGI1364" s="110"/>
      <c r="LGJ1364" s="110"/>
      <c r="LGK1364" s="110"/>
      <c r="LGL1364" s="110"/>
      <c r="LGM1364" s="110"/>
      <c r="LGN1364" s="110"/>
      <c r="LGO1364" s="110"/>
      <c r="LGP1364" s="110"/>
      <c r="LGQ1364" s="110"/>
      <c r="LGR1364" s="110"/>
      <c r="LGS1364" s="110"/>
      <c r="LGT1364" s="110"/>
      <c r="LGU1364" s="110"/>
      <c r="LGV1364" s="110"/>
      <c r="LGW1364" s="110"/>
      <c r="LGX1364" s="110"/>
      <c r="LGY1364" s="110"/>
      <c r="LGZ1364" s="110"/>
      <c r="LHA1364" s="110"/>
      <c r="LHB1364" s="110"/>
      <c r="LHC1364" s="110"/>
      <c r="LHD1364" s="110"/>
      <c r="LHE1364" s="110"/>
      <c r="LHF1364" s="110"/>
      <c r="LHG1364" s="110"/>
      <c r="LHH1364" s="110"/>
      <c r="LHI1364" s="110"/>
      <c r="LHJ1364" s="110"/>
      <c r="LHK1364" s="110"/>
      <c r="LHL1364" s="110"/>
      <c r="LHM1364" s="110"/>
      <c r="LHN1364" s="110"/>
      <c r="LHO1364" s="110"/>
      <c r="LHP1364" s="110"/>
      <c r="LHQ1364" s="110"/>
      <c r="LHR1364" s="110"/>
      <c r="LHS1364" s="110"/>
      <c r="LHT1364" s="110"/>
      <c r="LHU1364" s="110"/>
      <c r="LHV1364" s="110"/>
      <c r="LHW1364" s="110"/>
      <c r="LHX1364" s="110"/>
      <c r="LHY1364" s="110"/>
      <c r="LHZ1364" s="110"/>
      <c r="LIA1364" s="110"/>
      <c r="LIB1364" s="110"/>
      <c r="LIC1364" s="110"/>
      <c r="LID1364" s="110"/>
      <c r="LIE1364" s="110"/>
      <c r="LIF1364" s="110"/>
      <c r="LIG1364" s="110"/>
      <c r="LIH1364" s="110"/>
      <c r="LII1364" s="110"/>
      <c r="LIJ1364" s="110"/>
      <c r="LIK1364" s="110"/>
      <c r="LIL1364" s="110"/>
      <c r="LIM1364" s="110"/>
      <c r="LIN1364" s="110"/>
      <c r="LIO1364" s="110"/>
      <c r="LIP1364" s="110"/>
      <c r="LIQ1364" s="110"/>
      <c r="LIR1364" s="110"/>
      <c r="LIS1364" s="110"/>
      <c r="LIT1364" s="110"/>
      <c r="LIU1364" s="110"/>
      <c r="LIV1364" s="110"/>
      <c r="LIW1364" s="110"/>
      <c r="LIX1364" s="110"/>
      <c r="LIY1364" s="110"/>
      <c r="LIZ1364" s="110"/>
      <c r="LJA1364" s="110"/>
      <c r="LJB1364" s="110"/>
      <c r="LJC1364" s="110"/>
      <c r="LJD1364" s="110"/>
      <c r="LJE1364" s="110"/>
      <c r="LJF1364" s="110"/>
      <c r="LJG1364" s="110"/>
      <c r="LJH1364" s="110"/>
      <c r="LJI1364" s="110"/>
      <c r="LJJ1364" s="110"/>
      <c r="LJK1364" s="110"/>
      <c r="LJL1364" s="110"/>
      <c r="LJM1364" s="110"/>
      <c r="LJN1364" s="110"/>
      <c r="LJO1364" s="110"/>
      <c r="LJP1364" s="110"/>
      <c r="LJQ1364" s="110"/>
      <c r="LJR1364" s="110"/>
      <c r="LJS1364" s="110"/>
      <c r="LJT1364" s="110"/>
      <c r="LJU1364" s="110"/>
      <c r="LJV1364" s="110"/>
      <c r="LJW1364" s="110"/>
      <c r="LJX1364" s="110"/>
      <c r="LJY1364" s="110"/>
      <c r="LJZ1364" s="110"/>
      <c r="LKA1364" s="110"/>
      <c r="LKB1364" s="110"/>
      <c r="LKC1364" s="110"/>
      <c r="LKD1364" s="110"/>
      <c r="LKE1364" s="110"/>
      <c r="LKF1364" s="110"/>
      <c r="LKG1364" s="110"/>
      <c r="LKH1364" s="110"/>
      <c r="LKI1364" s="110"/>
      <c r="LKJ1364" s="110"/>
      <c r="LKK1364" s="110"/>
      <c r="LKL1364" s="110"/>
      <c r="LKM1364" s="110"/>
      <c r="LKN1364" s="110"/>
      <c r="LKO1364" s="110"/>
      <c r="LKP1364" s="110"/>
      <c r="LKQ1364" s="110"/>
      <c r="LKR1364" s="110"/>
      <c r="LKS1364" s="110"/>
      <c r="LKT1364" s="110"/>
      <c r="LKU1364" s="110"/>
      <c r="LKV1364" s="110"/>
      <c r="LKW1364" s="110"/>
      <c r="LKX1364" s="110"/>
      <c r="LKY1364" s="110"/>
      <c r="LKZ1364" s="110"/>
      <c r="LLA1364" s="110"/>
      <c r="LLB1364" s="110"/>
      <c r="LLC1364" s="110"/>
      <c r="LLD1364" s="110"/>
      <c r="LLE1364" s="110"/>
      <c r="LLF1364" s="110"/>
      <c r="LLG1364" s="110"/>
      <c r="LLH1364" s="110"/>
      <c r="LLI1364" s="110"/>
      <c r="LLJ1364" s="110"/>
      <c r="LLK1364" s="110"/>
      <c r="LLL1364" s="110"/>
      <c r="LLM1364" s="110"/>
      <c r="LLN1364" s="110"/>
      <c r="LLO1364" s="110"/>
      <c r="LLP1364" s="110"/>
      <c r="LLQ1364" s="110"/>
      <c r="LLR1364" s="110"/>
      <c r="LLS1364" s="110"/>
      <c r="LLT1364" s="110"/>
      <c r="LLU1364" s="110"/>
      <c r="LLV1364" s="110"/>
      <c r="LLW1364" s="110"/>
      <c r="LLX1364" s="110"/>
      <c r="LLY1364" s="110"/>
      <c r="LLZ1364" s="110"/>
      <c r="LMA1364" s="110"/>
      <c r="LMB1364" s="110"/>
      <c r="LMC1364" s="110"/>
      <c r="LMD1364" s="110"/>
      <c r="LME1364" s="110"/>
      <c r="LMF1364" s="110"/>
      <c r="LMG1364" s="110"/>
      <c r="LMH1364" s="110"/>
      <c r="LMI1364" s="110"/>
      <c r="LMJ1364" s="110"/>
      <c r="LMK1364" s="110"/>
      <c r="LML1364" s="110"/>
      <c r="LMM1364" s="110"/>
      <c r="LMN1364" s="110"/>
      <c r="LMO1364" s="110"/>
      <c r="LMP1364" s="110"/>
      <c r="LMQ1364" s="110"/>
      <c r="LMR1364" s="110"/>
      <c r="LMS1364" s="110"/>
      <c r="LMT1364" s="110"/>
      <c r="LMU1364" s="110"/>
      <c r="LMV1364" s="110"/>
      <c r="LMW1364" s="110"/>
      <c r="LMX1364" s="110"/>
      <c r="LMY1364" s="110"/>
      <c r="LMZ1364" s="110"/>
      <c r="LNA1364" s="110"/>
      <c r="LNB1364" s="110"/>
      <c r="LNC1364" s="110"/>
      <c r="LND1364" s="110"/>
      <c r="LNE1364" s="110"/>
      <c r="LNF1364" s="110"/>
      <c r="LNG1364" s="110"/>
      <c r="LNH1364" s="110"/>
      <c r="LNI1364" s="110"/>
      <c r="LNJ1364" s="110"/>
      <c r="LNK1364" s="110"/>
      <c r="LNL1364" s="110"/>
      <c r="LNM1364" s="110"/>
      <c r="LNN1364" s="110"/>
      <c r="LNO1364" s="110"/>
      <c r="LNP1364" s="110"/>
      <c r="LNQ1364" s="110"/>
      <c r="LNR1364" s="110"/>
      <c r="LNS1364" s="110"/>
      <c r="LNT1364" s="110"/>
      <c r="LNU1364" s="110"/>
      <c r="LNV1364" s="110"/>
      <c r="LNW1364" s="110"/>
      <c r="LNX1364" s="110"/>
      <c r="LNY1364" s="110"/>
      <c r="LNZ1364" s="110"/>
      <c r="LOA1364" s="110"/>
      <c r="LOB1364" s="110"/>
      <c r="LOC1364" s="110"/>
      <c r="LOD1364" s="110"/>
      <c r="LOE1364" s="110"/>
      <c r="LOF1364" s="110"/>
      <c r="LOG1364" s="110"/>
      <c r="LOH1364" s="110"/>
      <c r="LOI1364" s="110"/>
      <c r="LOJ1364" s="110"/>
      <c r="LOK1364" s="110"/>
      <c r="LOL1364" s="110"/>
      <c r="LOM1364" s="110"/>
      <c r="LON1364" s="110"/>
      <c r="LOO1364" s="110"/>
      <c r="LOP1364" s="110"/>
      <c r="LOQ1364" s="110"/>
      <c r="LOR1364" s="110"/>
      <c r="LOS1364" s="110"/>
      <c r="LOT1364" s="110"/>
      <c r="LOU1364" s="110"/>
      <c r="LOV1364" s="110"/>
      <c r="LOW1364" s="110"/>
      <c r="LOX1364" s="110"/>
      <c r="LOY1364" s="110"/>
      <c r="LOZ1364" s="110"/>
      <c r="LPA1364" s="110"/>
      <c r="LPB1364" s="110"/>
      <c r="LPC1364" s="110"/>
      <c r="LPD1364" s="110"/>
      <c r="LPE1364" s="110"/>
      <c r="LPF1364" s="110"/>
      <c r="LPG1364" s="110"/>
      <c r="LPH1364" s="110"/>
      <c r="LPI1364" s="110"/>
      <c r="LPJ1364" s="110"/>
      <c r="LPK1364" s="110"/>
      <c r="LPL1364" s="110"/>
      <c r="LPM1364" s="110"/>
      <c r="LPN1364" s="110"/>
      <c r="LPO1364" s="110"/>
      <c r="LPP1364" s="110"/>
      <c r="LPQ1364" s="110"/>
      <c r="LPR1364" s="110"/>
      <c r="LPS1364" s="110"/>
      <c r="LPT1364" s="110"/>
      <c r="LPU1364" s="110"/>
      <c r="LPV1364" s="110"/>
      <c r="LPW1364" s="110"/>
      <c r="LPX1364" s="110"/>
      <c r="LPY1364" s="110"/>
      <c r="LPZ1364" s="110"/>
      <c r="LQA1364" s="110"/>
      <c r="LQB1364" s="110"/>
      <c r="LQC1364" s="110"/>
      <c r="LQD1364" s="110"/>
      <c r="LQE1364" s="110"/>
      <c r="LQF1364" s="110"/>
      <c r="LQG1364" s="110"/>
      <c r="LQH1364" s="110"/>
      <c r="LQI1364" s="110"/>
      <c r="LQJ1364" s="110"/>
      <c r="LQK1364" s="110"/>
      <c r="LQL1364" s="110"/>
      <c r="LQM1364" s="110"/>
      <c r="LQN1364" s="110"/>
      <c r="LQO1364" s="110"/>
      <c r="LQP1364" s="110"/>
      <c r="LQQ1364" s="110"/>
      <c r="LQR1364" s="110"/>
      <c r="LQS1364" s="110"/>
      <c r="LQT1364" s="110"/>
      <c r="LQU1364" s="110"/>
      <c r="LQV1364" s="110"/>
      <c r="LQW1364" s="110"/>
      <c r="LQX1364" s="110"/>
      <c r="LQY1364" s="110"/>
      <c r="LQZ1364" s="110"/>
      <c r="LRA1364" s="110"/>
      <c r="LRB1364" s="110"/>
      <c r="LRC1364" s="110"/>
      <c r="LRD1364" s="110"/>
      <c r="LRE1364" s="110"/>
      <c r="LRF1364" s="110"/>
      <c r="LRG1364" s="110"/>
      <c r="LRH1364" s="110"/>
      <c r="LRI1364" s="110"/>
      <c r="LRJ1364" s="110"/>
      <c r="LRK1364" s="110"/>
      <c r="LRL1364" s="110"/>
      <c r="LRM1364" s="110"/>
      <c r="LRN1364" s="110"/>
      <c r="LRO1364" s="110"/>
      <c r="LRP1364" s="110"/>
      <c r="LRQ1364" s="110"/>
      <c r="LRR1364" s="110"/>
      <c r="LRS1364" s="110"/>
      <c r="LRT1364" s="110"/>
      <c r="LRU1364" s="110"/>
      <c r="LRV1364" s="110"/>
      <c r="LRW1364" s="110"/>
      <c r="LRX1364" s="110"/>
      <c r="LRY1364" s="110"/>
      <c r="LRZ1364" s="110"/>
      <c r="LSA1364" s="110"/>
      <c r="LSB1364" s="110"/>
      <c r="LSC1364" s="110"/>
      <c r="LSD1364" s="110"/>
      <c r="LSE1364" s="110"/>
      <c r="LSF1364" s="110"/>
      <c r="LSG1364" s="110"/>
      <c r="LSH1364" s="110"/>
      <c r="LSI1364" s="110"/>
      <c r="LSJ1364" s="110"/>
      <c r="LSK1364" s="110"/>
      <c r="LSL1364" s="110"/>
      <c r="LSM1364" s="110"/>
      <c r="LSN1364" s="110"/>
      <c r="LSO1364" s="110"/>
      <c r="LSP1364" s="110"/>
      <c r="LSQ1364" s="110"/>
      <c r="LSR1364" s="110"/>
      <c r="LSS1364" s="110"/>
      <c r="LST1364" s="110"/>
      <c r="LSU1364" s="110"/>
      <c r="LSV1364" s="110"/>
      <c r="LSW1364" s="110"/>
      <c r="LSX1364" s="110"/>
      <c r="LSY1364" s="110"/>
      <c r="LSZ1364" s="110"/>
      <c r="LTA1364" s="110"/>
      <c r="LTB1364" s="110"/>
      <c r="LTC1364" s="110"/>
      <c r="LTD1364" s="110"/>
      <c r="LTE1364" s="110"/>
      <c r="LTF1364" s="110"/>
      <c r="LTG1364" s="110"/>
      <c r="LTH1364" s="110"/>
      <c r="LTI1364" s="110"/>
      <c r="LTJ1364" s="110"/>
      <c r="LTK1364" s="110"/>
      <c r="LTL1364" s="110"/>
      <c r="LTM1364" s="110"/>
      <c r="LTN1364" s="110"/>
      <c r="LTO1364" s="110"/>
      <c r="LTP1364" s="110"/>
      <c r="LTQ1364" s="110"/>
      <c r="LTR1364" s="110"/>
      <c r="LTS1364" s="110"/>
      <c r="LTT1364" s="110"/>
      <c r="LTU1364" s="110"/>
      <c r="LTV1364" s="110"/>
      <c r="LTW1364" s="110"/>
      <c r="LTX1364" s="110"/>
      <c r="LTY1364" s="110"/>
      <c r="LTZ1364" s="110"/>
      <c r="LUA1364" s="110"/>
      <c r="LUB1364" s="110"/>
      <c r="LUC1364" s="110"/>
      <c r="LUD1364" s="110"/>
      <c r="LUE1364" s="110"/>
      <c r="LUF1364" s="110"/>
      <c r="LUG1364" s="110"/>
      <c r="LUH1364" s="110"/>
      <c r="LUI1364" s="110"/>
      <c r="LUJ1364" s="110"/>
      <c r="LUK1364" s="110"/>
      <c r="LUL1364" s="110"/>
      <c r="LUM1364" s="110"/>
      <c r="LUN1364" s="110"/>
      <c r="LUO1364" s="110"/>
      <c r="LUP1364" s="110"/>
      <c r="LUQ1364" s="110"/>
      <c r="LUR1364" s="110"/>
      <c r="LUS1364" s="110"/>
      <c r="LUT1364" s="110"/>
      <c r="LUU1364" s="110"/>
      <c r="LUV1364" s="110"/>
      <c r="LUW1364" s="110"/>
      <c r="LUX1364" s="110"/>
      <c r="LUY1364" s="110"/>
      <c r="LUZ1364" s="110"/>
      <c r="LVA1364" s="110"/>
      <c r="LVB1364" s="110"/>
      <c r="LVC1364" s="110"/>
      <c r="LVD1364" s="110"/>
      <c r="LVE1364" s="110"/>
      <c r="LVF1364" s="110"/>
      <c r="LVG1364" s="110"/>
      <c r="LVH1364" s="110"/>
      <c r="LVI1364" s="110"/>
      <c r="LVJ1364" s="110"/>
      <c r="LVK1364" s="110"/>
      <c r="LVL1364" s="110"/>
      <c r="LVM1364" s="110"/>
      <c r="LVN1364" s="110"/>
      <c r="LVO1364" s="110"/>
      <c r="LVP1364" s="110"/>
      <c r="LVQ1364" s="110"/>
      <c r="LVR1364" s="110"/>
      <c r="LVS1364" s="110"/>
      <c r="LVT1364" s="110"/>
      <c r="LVU1364" s="110"/>
      <c r="LVV1364" s="110"/>
      <c r="LVW1364" s="110"/>
      <c r="LVX1364" s="110"/>
      <c r="LVY1364" s="110"/>
      <c r="LVZ1364" s="110"/>
      <c r="LWA1364" s="110"/>
      <c r="LWB1364" s="110"/>
      <c r="LWC1364" s="110"/>
      <c r="LWD1364" s="110"/>
      <c r="LWE1364" s="110"/>
      <c r="LWF1364" s="110"/>
      <c r="LWG1364" s="110"/>
      <c r="LWH1364" s="110"/>
      <c r="LWI1364" s="110"/>
      <c r="LWJ1364" s="110"/>
      <c r="LWK1364" s="110"/>
      <c r="LWL1364" s="110"/>
      <c r="LWM1364" s="110"/>
      <c r="LWN1364" s="110"/>
      <c r="LWO1364" s="110"/>
      <c r="LWP1364" s="110"/>
      <c r="LWQ1364" s="110"/>
      <c r="LWR1364" s="110"/>
      <c r="LWS1364" s="110"/>
      <c r="LWT1364" s="110"/>
      <c r="LWU1364" s="110"/>
      <c r="LWV1364" s="110"/>
      <c r="LWW1364" s="110"/>
      <c r="LWX1364" s="110"/>
      <c r="LWY1364" s="110"/>
      <c r="LWZ1364" s="110"/>
      <c r="LXA1364" s="110"/>
      <c r="LXB1364" s="110"/>
      <c r="LXC1364" s="110"/>
      <c r="LXD1364" s="110"/>
      <c r="LXE1364" s="110"/>
      <c r="LXF1364" s="110"/>
      <c r="LXG1364" s="110"/>
      <c r="LXH1364" s="110"/>
      <c r="LXI1364" s="110"/>
      <c r="LXJ1364" s="110"/>
      <c r="LXK1364" s="110"/>
      <c r="LXL1364" s="110"/>
      <c r="LXM1364" s="110"/>
      <c r="LXN1364" s="110"/>
      <c r="LXO1364" s="110"/>
      <c r="LXP1364" s="110"/>
      <c r="LXQ1364" s="110"/>
      <c r="LXR1364" s="110"/>
      <c r="LXS1364" s="110"/>
      <c r="LXT1364" s="110"/>
      <c r="LXU1364" s="110"/>
      <c r="LXV1364" s="110"/>
      <c r="LXW1364" s="110"/>
      <c r="LXX1364" s="110"/>
      <c r="LXY1364" s="110"/>
      <c r="LXZ1364" s="110"/>
      <c r="LYA1364" s="110"/>
      <c r="LYB1364" s="110"/>
      <c r="LYC1364" s="110"/>
      <c r="LYD1364" s="110"/>
      <c r="LYE1364" s="110"/>
      <c r="LYF1364" s="110"/>
      <c r="LYG1364" s="110"/>
      <c r="LYH1364" s="110"/>
      <c r="LYI1364" s="110"/>
      <c r="LYJ1364" s="110"/>
      <c r="LYK1364" s="110"/>
      <c r="LYL1364" s="110"/>
      <c r="LYM1364" s="110"/>
      <c r="LYN1364" s="110"/>
      <c r="LYO1364" s="110"/>
      <c r="LYP1364" s="110"/>
      <c r="LYQ1364" s="110"/>
      <c r="LYR1364" s="110"/>
      <c r="LYS1364" s="110"/>
      <c r="LYT1364" s="110"/>
      <c r="LYU1364" s="110"/>
      <c r="LYV1364" s="110"/>
      <c r="LYW1364" s="110"/>
      <c r="LYX1364" s="110"/>
      <c r="LYY1364" s="110"/>
      <c r="LYZ1364" s="110"/>
      <c r="LZA1364" s="110"/>
      <c r="LZB1364" s="110"/>
      <c r="LZC1364" s="110"/>
      <c r="LZD1364" s="110"/>
      <c r="LZE1364" s="110"/>
      <c r="LZF1364" s="110"/>
      <c r="LZG1364" s="110"/>
      <c r="LZH1364" s="110"/>
      <c r="LZI1364" s="110"/>
      <c r="LZJ1364" s="110"/>
      <c r="LZK1364" s="110"/>
      <c r="LZL1364" s="110"/>
      <c r="LZM1364" s="110"/>
      <c r="LZN1364" s="110"/>
      <c r="LZO1364" s="110"/>
      <c r="LZP1364" s="110"/>
      <c r="LZQ1364" s="110"/>
      <c r="LZR1364" s="110"/>
      <c r="LZS1364" s="110"/>
      <c r="LZT1364" s="110"/>
      <c r="LZU1364" s="110"/>
      <c r="LZV1364" s="110"/>
      <c r="LZW1364" s="110"/>
      <c r="LZX1364" s="110"/>
      <c r="LZY1364" s="110"/>
      <c r="LZZ1364" s="110"/>
      <c r="MAA1364" s="110"/>
      <c r="MAB1364" s="110"/>
      <c r="MAC1364" s="110"/>
      <c r="MAD1364" s="110"/>
      <c r="MAE1364" s="110"/>
      <c r="MAF1364" s="110"/>
      <c r="MAG1364" s="110"/>
      <c r="MAH1364" s="110"/>
      <c r="MAI1364" s="110"/>
      <c r="MAJ1364" s="110"/>
      <c r="MAK1364" s="110"/>
      <c r="MAL1364" s="110"/>
      <c r="MAM1364" s="110"/>
      <c r="MAN1364" s="110"/>
      <c r="MAO1364" s="110"/>
      <c r="MAP1364" s="110"/>
      <c r="MAQ1364" s="110"/>
      <c r="MAR1364" s="110"/>
      <c r="MAS1364" s="110"/>
      <c r="MAT1364" s="110"/>
      <c r="MAU1364" s="110"/>
      <c r="MAV1364" s="110"/>
      <c r="MAW1364" s="110"/>
      <c r="MAX1364" s="110"/>
      <c r="MAY1364" s="110"/>
      <c r="MAZ1364" s="110"/>
      <c r="MBA1364" s="110"/>
      <c r="MBB1364" s="110"/>
      <c r="MBC1364" s="110"/>
      <c r="MBD1364" s="110"/>
      <c r="MBE1364" s="110"/>
      <c r="MBF1364" s="110"/>
      <c r="MBG1364" s="110"/>
      <c r="MBH1364" s="110"/>
      <c r="MBI1364" s="110"/>
      <c r="MBJ1364" s="110"/>
      <c r="MBK1364" s="110"/>
      <c r="MBL1364" s="110"/>
      <c r="MBM1364" s="110"/>
      <c r="MBN1364" s="110"/>
      <c r="MBO1364" s="110"/>
      <c r="MBP1364" s="110"/>
      <c r="MBQ1364" s="110"/>
      <c r="MBR1364" s="110"/>
      <c r="MBS1364" s="110"/>
      <c r="MBT1364" s="110"/>
      <c r="MBU1364" s="110"/>
      <c r="MBV1364" s="110"/>
      <c r="MBW1364" s="110"/>
      <c r="MBX1364" s="110"/>
      <c r="MBY1364" s="110"/>
      <c r="MBZ1364" s="110"/>
      <c r="MCA1364" s="110"/>
      <c r="MCB1364" s="110"/>
      <c r="MCC1364" s="110"/>
      <c r="MCD1364" s="110"/>
      <c r="MCE1364" s="110"/>
      <c r="MCF1364" s="110"/>
      <c r="MCG1364" s="110"/>
      <c r="MCH1364" s="110"/>
      <c r="MCI1364" s="110"/>
      <c r="MCJ1364" s="110"/>
      <c r="MCK1364" s="110"/>
      <c r="MCL1364" s="110"/>
      <c r="MCM1364" s="110"/>
      <c r="MCN1364" s="110"/>
      <c r="MCO1364" s="110"/>
      <c r="MCP1364" s="110"/>
      <c r="MCQ1364" s="110"/>
      <c r="MCR1364" s="110"/>
      <c r="MCS1364" s="110"/>
      <c r="MCT1364" s="110"/>
      <c r="MCU1364" s="110"/>
      <c r="MCV1364" s="110"/>
      <c r="MCW1364" s="110"/>
      <c r="MCX1364" s="110"/>
      <c r="MCY1364" s="110"/>
      <c r="MCZ1364" s="110"/>
      <c r="MDA1364" s="110"/>
      <c r="MDB1364" s="110"/>
      <c r="MDC1364" s="110"/>
      <c r="MDD1364" s="110"/>
      <c r="MDE1364" s="110"/>
      <c r="MDF1364" s="110"/>
      <c r="MDG1364" s="110"/>
      <c r="MDH1364" s="110"/>
      <c r="MDI1364" s="110"/>
      <c r="MDJ1364" s="110"/>
      <c r="MDK1364" s="110"/>
      <c r="MDL1364" s="110"/>
      <c r="MDM1364" s="110"/>
      <c r="MDN1364" s="110"/>
      <c r="MDO1364" s="110"/>
      <c r="MDP1364" s="110"/>
      <c r="MDQ1364" s="110"/>
      <c r="MDR1364" s="110"/>
      <c r="MDS1364" s="110"/>
      <c r="MDT1364" s="110"/>
      <c r="MDU1364" s="110"/>
      <c r="MDV1364" s="110"/>
      <c r="MDW1364" s="110"/>
      <c r="MDX1364" s="110"/>
      <c r="MDY1364" s="110"/>
      <c r="MDZ1364" s="110"/>
      <c r="MEA1364" s="110"/>
      <c r="MEB1364" s="110"/>
      <c r="MEC1364" s="110"/>
      <c r="MED1364" s="110"/>
      <c r="MEE1364" s="110"/>
      <c r="MEF1364" s="110"/>
      <c r="MEG1364" s="110"/>
      <c r="MEH1364" s="110"/>
      <c r="MEI1364" s="110"/>
      <c r="MEJ1364" s="110"/>
      <c r="MEK1364" s="110"/>
      <c r="MEL1364" s="110"/>
      <c r="MEM1364" s="110"/>
      <c r="MEN1364" s="110"/>
      <c r="MEO1364" s="110"/>
      <c r="MEP1364" s="110"/>
      <c r="MEQ1364" s="110"/>
      <c r="MER1364" s="110"/>
      <c r="MES1364" s="110"/>
      <c r="MET1364" s="110"/>
      <c r="MEU1364" s="110"/>
      <c r="MEV1364" s="110"/>
      <c r="MEW1364" s="110"/>
      <c r="MEX1364" s="110"/>
      <c r="MEY1364" s="110"/>
      <c r="MEZ1364" s="110"/>
      <c r="MFA1364" s="110"/>
      <c r="MFB1364" s="110"/>
      <c r="MFC1364" s="110"/>
      <c r="MFD1364" s="110"/>
      <c r="MFE1364" s="110"/>
      <c r="MFF1364" s="110"/>
      <c r="MFG1364" s="110"/>
      <c r="MFH1364" s="110"/>
      <c r="MFI1364" s="110"/>
      <c r="MFJ1364" s="110"/>
      <c r="MFK1364" s="110"/>
      <c r="MFL1364" s="110"/>
      <c r="MFM1364" s="110"/>
      <c r="MFN1364" s="110"/>
      <c r="MFO1364" s="110"/>
      <c r="MFP1364" s="110"/>
      <c r="MFQ1364" s="110"/>
      <c r="MFR1364" s="110"/>
      <c r="MFS1364" s="110"/>
      <c r="MFT1364" s="110"/>
      <c r="MFU1364" s="110"/>
      <c r="MFV1364" s="110"/>
      <c r="MFW1364" s="110"/>
      <c r="MFX1364" s="110"/>
      <c r="MFY1364" s="110"/>
      <c r="MFZ1364" s="110"/>
      <c r="MGA1364" s="110"/>
      <c r="MGB1364" s="110"/>
      <c r="MGC1364" s="110"/>
      <c r="MGD1364" s="110"/>
      <c r="MGE1364" s="110"/>
      <c r="MGF1364" s="110"/>
      <c r="MGG1364" s="110"/>
      <c r="MGH1364" s="110"/>
      <c r="MGI1364" s="110"/>
      <c r="MGJ1364" s="110"/>
      <c r="MGK1364" s="110"/>
      <c r="MGL1364" s="110"/>
      <c r="MGM1364" s="110"/>
      <c r="MGN1364" s="110"/>
      <c r="MGO1364" s="110"/>
      <c r="MGP1364" s="110"/>
      <c r="MGQ1364" s="110"/>
      <c r="MGR1364" s="110"/>
      <c r="MGS1364" s="110"/>
      <c r="MGT1364" s="110"/>
      <c r="MGU1364" s="110"/>
      <c r="MGV1364" s="110"/>
      <c r="MGW1364" s="110"/>
      <c r="MGX1364" s="110"/>
      <c r="MGY1364" s="110"/>
      <c r="MGZ1364" s="110"/>
      <c r="MHA1364" s="110"/>
      <c r="MHB1364" s="110"/>
      <c r="MHC1364" s="110"/>
      <c r="MHD1364" s="110"/>
      <c r="MHE1364" s="110"/>
      <c r="MHF1364" s="110"/>
      <c r="MHG1364" s="110"/>
      <c r="MHH1364" s="110"/>
      <c r="MHI1364" s="110"/>
      <c r="MHJ1364" s="110"/>
      <c r="MHK1364" s="110"/>
      <c r="MHL1364" s="110"/>
      <c r="MHM1364" s="110"/>
      <c r="MHN1364" s="110"/>
      <c r="MHO1364" s="110"/>
      <c r="MHP1364" s="110"/>
      <c r="MHQ1364" s="110"/>
      <c r="MHR1364" s="110"/>
      <c r="MHS1364" s="110"/>
      <c r="MHT1364" s="110"/>
      <c r="MHU1364" s="110"/>
      <c r="MHV1364" s="110"/>
      <c r="MHW1364" s="110"/>
      <c r="MHX1364" s="110"/>
      <c r="MHY1364" s="110"/>
      <c r="MHZ1364" s="110"/>
      <c r="MIA1364" s="110"/>
      <c r="MIB1364" s="110"/>
      <c r="MIC1364" s="110"/>
      <c r="MID1364" s="110"/>
      <c r="MIE1364" s="110"/>
      <c r="MIF1364" s="110"/>
      <c r="MIG1364" s="110"/>
      <c r="MIH1364" s="110"/>
      <c r="MII1364" s="110"/>
      <c r="MIJ1364" s="110"/>
      <c r="MIK1364" s="110"/>
      <c r="MIL1364" s="110"/>
      <c r="MIM1364" s="110"/>
      <c r="MIN1364" s="110"/>
      <c r="MIO1364" s="110"/>
      <c r="MIP1364" s="110"/>
      <c r="MIQ1364" s="110"/>
      <c r="MIR1364" s="110"/>
      <c r="MIS1364" s="110"/>
      <c r="MIT1364" s="110"/>
      <c r="MIU1364" s="110"/>
      <c r="MIV1364" s="110"/>
      <c r="MIW1364" s="110"/>
      <c r="MIX1364" s="110"/>
      <c r="MIY1364" s="110"/>
      <c r="MIZ1364" s="110"/>
      <c r="MJA1364" s="110"/>
      <c r="MJB1364" s="110"/>
      <c r="MJC1364" s="110"/>
      <c r="MJD1364" s="110"/>
      <c r="MJE1364" s="110"/>
      <c r="MJF1364" s="110"/>
      <c r="MJG1364" s="110"/>
      <c r="MJH1364" s="110"/>
      <c r="MJI1364" s="110"/>
      <c r="MJJ1364" s="110"/>
      <c r="MJK1364" s="110"/>
      <c r="MJL1364" s="110"/>
      <c r="MJM1364" s="110"/>
      <c r="MJN1364" s="110"/>
      <c r="MJO1364" s="110"/>
      <c r="MJP1364" s="110"/>
      <c r="MJQ1364" s="110"/>
      <c r="MJR1364" s="110"/>
      <c r="MJS1364" s="110"/>
      <c r="MJT1364" s="110"/>
      <c r="MJU1364" s="110"/>
      <c r="MJV1364" s="110"/>
      <c r="MJW1364" s="110"/>
      <c r="MJX1364" s="110"/>
      <c r="MJY1364" s="110"/>
      <c r="MJZ1364" s="110"/>
      <c r="MKA1364" s="110"/>
      <c r="MKB1364" s="110"/>
      <c r="MKC1364" s="110"/>
      <c r="MKD1364" s="110"/>
      <c r="MKE1364" s="110"/>
      <c r="MKF1364" s="110"/>
      <c r="MKG1364" s="110"/>
      <c r="MKH1364" s="110"/>
      <c r="MKI1364" s="110"/>
      <c r="MKJ1364" s="110"/>
      <c r="MKK1364" s="110"/>
      <c r="MKL1364" s="110"/>
      <c r="MKM1364" s="110"/>
      <c r="MKN1364" s="110"/>
      <c r="MKO1364" s="110"/>
      <c r="MKP1364" s="110"/>
      <c r="MKQ1364" s="110"/>
      <c r="MKR1364" s="110"/>
      <c r="MKS1364" s="110"/>
      <c r="MKT1364" s="110"/>
      <c r="MKU1364" s="110"/>
      <c r="MKV1364" s="110"/>
      <c r="MKW1364" s="110"/>
      <c r="MKX1364" s="110"/>
      <c r="MKY1364" s="110"/>
      <c r="MKZ1364" s="110"/>
      <c r="MLA1364" s="110"/>
      <c r="MLB1364" s="110"/>
      <c r="MLC1364" s="110"/>
      <c r="MLD1364" s="110"/>
      <c r="MLE1364" s="110"/>
      <c r="MLF1364" s="110"/>
      <c r="MLG1364" s="110"/>
      <c r="MLH1364" s="110"/>
      <c r="MLI1364" s="110"/>
      <c r="MLJ1364" s="110"/>
      <c r="MLK1364" s="110"/>
      <c r="MLL1364" s="110"/>
      <c r="MLM1364" s="110"/>
      <c r="MLN1364" s="110"/>
      <c r="MLO1364" s="110"/>
      <c r="MLP1364" s="110"/>
      <c r="MLQ1364" s="110"/>
      <c r="MLR1364" s="110"/>
      <c r="MLS1364" s="110"/>
      <c r="MLT1364" s="110"/>
      <c r="MLU1364" s="110"/>
      <c r="MLV1364" s="110"/>
      <c r="MLW1364" s="110"/>
      <c r="MLX1364" s="110"/>
      <c r="MLY1364" s="110"/>
      <c r="MLZ1364" s="110"/>
      <c r="MMA1364" s="110"/>
      <c r="MMB1364" s="110"/>
      <c r="MMC1364" s="110"/>
      <c r="MMD1364" s="110"/>
      <c r="MME1364" s="110"/>
      <c r="MMF1364" s="110"/>
      <c r="MMG1364" s="110"/>
      <c r="MMH1364" s="110"/>
      <c r="MMI1364" s="110"/>
      <c r="MMJ1364" s="110"/>
      <c r="MMK1364" s="110"/>
      <c r="MML1364" s="110"/>
      <c r="MMM1364" s="110"/>
      <c r="MMN1364" s="110"/>
      <c r="MMO1364" s="110"/>
      <c r="MMP1364" s="110"/>
      <c r="MMQ1364" s="110"/>
      <c r="MMR1364" s="110"/>
      <c r="MMS1364" s="110"/>
      <c r="MMT1364" s="110"/>
      <c r="MMU1364" s="110"/>
      <c r="MMV1364" s="110"/>
      <c r="MMW1364" s="110"/>
      <c r="MMX1364" s="110"/>
      <c r="MMY1364" s="110"/>
      <c r="MMZ1364" s="110"/>
      <c r="MNA1364" s="110"/>
      <c r="MNB1364" s="110"/>
      <c r="MNC1364" s="110"/>
      <c r="MND1364" s="110"/>
      <c r="MNE1364" s="110"/>
      <c r="MNF1364" s="110"/>
      <c r="MNG1364" s="110"/>
      <c r="MNH1364" s="110"/>
      <c r="MNI1364" s="110"/>
      <c r="MNJ1364" s="110"/>
      <c r="MNK1364" s="110"/>
      <c r="MNL1364" s="110"/>
      <c r="MNM1364" s="110"/>
      <c r="MNN1364" s="110"/>
      <c r="MNO1364" s="110"/>
      <c r="MNP1364" s="110"/>
      <c r="MNQ1364" s="110"/>
      <c r="MNR1364" s="110"/>
      <c r="MNS1364" s="110"/>
      <c r="MNT1364" s="110"/>
      <c r="MNU1364" s="110"/>
      <c r="MNV1364" s="110"/>
      <c r="MNW1364" s="110"/>
      <c r="MNX1364" s="110"/>
      <c r="MNY1364" s="110"/>
      <c r="MNZ1364" s="110"/>
      <c r="MOA1364" s="110"/>
      <c r="MOB1364" s="110"/>
      <c r="MOC1364" s="110"/>
      <c r="MOD1364" s="110"/>
      <c r="MOE1364" s="110"/>
      <c r="MOF1364" s="110"/>
      <c r="MOG1364" s="110"/>
      <c r="MOH1364" s="110"/>
      <c r="MOI1364" s="110"/>
      <c r="MOJ1364" s="110"/>
      <c r="MOK1364" s="110"/>
      <c r="MOL1364" s="110"/>
      <c r="MOM1364" s="110"/>
      <c r="MON1364" s="110"/>
      <c r="MOO1364" s="110"/>
      <c r="MOP1364" s="110"/>
      <c r="MOQ1364" s="110"/>
      <c r="MOR1364" s="110"/>
      <c r="MOS1364" s="110"/>
      <c r="MOT1364" s="110"/>
      <c r="MOU1364" s="110"/>
      <c r="MOV1364" s="110"/>
      <c r="MOW1364" s="110"/>
      <c r="MOX1364" s="110"/>
      <c r="MOY1364" s="110"/>
      <c r="MOZ1364" s="110"/>
      <c r="MPA1364" s="110"/>
      <c r="MPB1364" s="110"/>
      <c r="MPC1364" s="110"/>
      <c r="MPD1364" s="110"/>
      <c r="MPE1364" s="110"/>
      <c r="MPF1364" s="110"/>
      <c r="MPG1364" s="110"/>
      <c r="MPH1364" s="110"/>
      <c r="MPI1364" s="110"/>
      <c r="MPJ1364" s="110"/>
      <c r="MPK1364" s="110"/>
      <c r="MPL1364" s="110"/>
      <c r="MPM1364" s="110"/>
      <c r="MPN1364" s="110"/>
      <c r="MPO1364" s="110"/>
      <c r="MPP1364" s="110"/>
      <c r="MPQ1364" s="110"/>
      <c r="MPR1364" s="110"/>
      <c r="MPS1364" s="110"/>
      <c r="MPT1364" s="110"/>
      <c r="MPU1364" s="110"/>
      <c r="MPV1364" s="110"/>
      <c r="MPW1364" s="110"/>
      <c r="MPX1364" s="110"/>
      <c r="MPY1364" s="110"/>
      <c r="MPZ1364" s="110"/>
      <c r="MQA1364" s="110"/>
      <c r="MQB1364" s="110"/>
      <c r="MQC1364" s="110"/>
      <c r="MQD1364" s="110"/>
      <c r="MQE1364" s="110"/>
      <c r="MQF1364" s="110"/>
      <c r="MQG1364" s="110"/>
      <c r="MQH1364" s="110"/>
      <c r="MQI1364" s="110"/>
      <c r="MQJ1364" s="110"/>
      <c r="MQK1364" s="110"/>
      <c r="MQL1364" s="110"/>
      <c r="MQM1364" s="110"/>
      <c r="MQN1364" s="110"/>
      <c r="MQO1364" s="110"/>
      <c r="MQP1364" s="110"/>
      <c r="MQQ1364" s="110"/>
      <c r="MQR1364" s="110"/>
      <c r="MQS1364" s="110"/>
      <c r="MQT1364" s="110"/>
      <c r="MQU1364" s="110"/>
      <c r="MQV1364" s="110"/>
      <c r="MQW1364" s="110"/>
      <c r="MQX1364" s="110"/>
      <c r="MQY1364" s="110"/>
      <c r="MQZ1364" s="110"/>
      <c r="MRA1364" s="110"/>
      <c r="MRB1364" s="110"/>
      <c r="MRC1364" s="110"/>
      <c r="MRD1364" s="110"/>
      <c r="MRE1364" s="110"/>
      <c r="MRF1364" s="110"/>
      <c r="MRG1364" s="110"/>
      <c r="MRH1364" s="110"/>
      <c r="MRI1364" s="110"/>
      <c r="MRJ1364" s="110"/>
      <c r="MRK1364" s="110"/>
      <c r="MRL1364" s="110"/>
      <c r="MRM1364" s="110"/>
      <c r="MRN1364" s="110"/>
      <c r="MRO1364" s="110"/>
      <c r="MRP1364" s="110"/>
      <c r="MRQ1364" s="110"/>
      <c r="MRR1364" s="110"/>
      <c r="MRS1364" s="110"/>
      <c r="MRT1364" s="110"/>
      <c r="MRU1364" s="110"/>
      <c r="MRV1364" s="110"/>
      <c r="MRW1364" s="110"/>
      <c r="MRX1364" s="110"/>
      <c r="MRY1364" s="110"/>
      <c r="MRZ1364" s="110"/>
      <c r="MSA1364" s="110"/>
      <c r="MSB1364" s="110"/>
      <c r="MSC1364" s="110"/>
      <c r="MSD1364" s="110"/>
      <c r="MSE1364" s="110"/>
      <c r="MSF1364" s="110"/>
      <c r="MSG1364" s="110"/>
      <c r="MSH1364" s="110"/>
      <c r="MSI1364" s="110"/>
      <c r="MSJ1364" s="110"/>
      <c r="MSK1364" s="110"/>
      <c r="MSL1364" s="110"/>
      <c r="MSM1364" s="110"/>
      <c r="MSN1364" s="110"/>
      <c r="MSO1364" s="110"/>
      <c r="MSP1364" s="110"/>
      <c r="MSQ1364" s="110"/>
      <c r="MSR1364" s="110"/>
      <c r="MSS1364" s="110"/>
      <c r="MST1364" s="110"/>
      <c r="MSU1364" s="110"/>
      <c r="MSV1364" s="110"/>
      <c r="MSW1364" s="110"/>
      <c r="MSX1364" s="110"/>
      <c r="MSY1364" s="110"/>
      <c r="MSZ1364" s="110"/>
      <c r="MTA1364" s="110"/>
      <c r="MTB1364" s="110"/>
      <c r="MTC1364" s="110"/>
      <c r="MTD1364" s="110"/>
      <c r="MTE1364" s="110"/>
      <c r="MTF1364" s="110"/>
      <c r="MTG1364" s="110"/>
      <c r="MTH1364" s="110"/>
      <c r="MTI1364" s="110"/>
      <c r="MTJ1364" s="110"/>
      <c r="MTK1364" s="110"/>
      <c r="MTL1364" s="110"/>
      <c r="MTM1364" s="110"/>
      <c r="MTN1364" s="110"/>
      <c r="MTO1364" s="110"/>
      <c r="MTP1364" s="110"/>
      <c r="MTQ1364" s="110"/>
      <c r="MTR1364" s="110"/>
      <c r="MTS1364" s="110"/>
      <c r="MTT1364" s="110"/>
      <c r="MTU1364" s="110"/>
      <c r="MTV1364" s="110"/>
      <c r="MTW1364" s="110"/>
      <c r="MTX1364" s="110"/>
      <c r="MTY1364" s="110"/>
      <c r="MTZ1364" s="110"/>
      <c r="MUA1364" s="110"/>
      <c r="MUB1364" s="110"/>
      <c r="MUC1364" s="110"/>
      <c r="MUD1364" s="110"/>
      <c r="MUE1364" s="110"/>
      <c r="MUF1364" s="110"/>
      <c r="MUG1364" s="110"/>
      <c r="MUH1364" s="110"/>
      <c r="MUI1364" s="110"/>
      <c r="MUJ1364" s="110"/>
      <c r="MUK1364" s="110"/>
      <c r="MUL1364" s="110"/>
      <c r="MUM1364" s="110"/>
      <c r="MUN1364" s="110"/>
      <c r="MUO1364" s="110"/>
      <c r="MUP1364" s="110"/>
      <c r="MUQ1364" s="110"/>
      <c r="MUR1364" s="110"/>
      <c r="MUS1364" s="110"/>
      <c r="MUT1364" s="110"/>
      <c r="MUU1364" s="110"/>
      <c r="MUV1364" s="110"/>
      <c r="MUW1364" s="110"/>
      <c r="MUX1364" s="110"/>
      <c r="MUY1364" s="110"/>
      <c r="MUZ1364" s="110"/>
      <c r="MVA1364" s="110"/>
      <c r="MVB1364" s="110"/>
      <c r="MVC1364" s="110"/>
      <c r="MVD1364" s="110"/>
      <c r="MVE1364" s="110"/>
      <c r="MVF1364" s="110"/>
      <c r="MVG1364" s="110"/>
      <c r="MVH1364" s="110"/>
      <c r="MVI1364" s="110"/>
      <c r="MVJ1364" s="110"/>
      <c r="MVK1364" s="110"/>
      <c r="MVL1364" s="110"/>
      <c r="MVM1364" s="110"/>
      <c r="MVN1364" s="110"/>
      <c r="MVO1364" s="110"/>
      <c r="MVP1364" s="110"/>
      <c r="MVQ1364" s="110"/>
      <c r="MVR1364" s="110"/>
      <c r="MVS1364" s="110"/>
      <c r="MVT1364" s="110"/>
      <c r="MVU1364" s="110"/>
      <c r="MVV1364" s="110"/>
      <c r="MVW1364" s="110"/>
      <c r="MVX1364" s="110"/>
      <c r="MVY1364" s="110"/>
      <c r="MVZ1364" s="110"/>
      <c r="MWA1364" s="110"/>
      <c r="MWB1364" s="110"/>
      <c r="MWC1364" s="110"/>
      <c r="MWD1364" s="110"/>
      <c r="MWE1364" s="110"/>
      <c r="MWF1364" s="110"/>
      <c r="MWG1364" s="110"/>
      <c r="MWH1364" s="110"/>
      <c r="MWI1364" s="110"/>
      <c r="MWJ1364" s="110"/>
      <c r="MWK1364" s="110"/>
      <c r="MWL1364" s="110"/>
      <c r="MWM1364" s="110"/>
      <c r="MWN1364" s="110"/>
      <c r="MWO1364" s="110"/>
      <c r="MWP1364" s="110"/>
      <c r="MWQ1364" s="110"/>
      <c r="MWR1364" s="110"/>
      <c r="MWS1364" s="110"/>
      <c r="MWT1364" s="110"/>
      <c r="MWU1364" s="110"/>
      <c r="MWV1364" s="110"/>
      <c r="MWW1364" s="110"/>
      <c r="MWX1364" s="110"/>
      <c r="MWY1364" s="110"/>
      <c r="MWZ1364" s="110"/>
      <c r="MXA1364" s="110"/>
      <c r="MXB1364" s="110"/>
      <c r="MXC1364" s="110"/>
      <c r="MXD1364" s="110"/>
      <c r="MXE1364" s="110"/>
      <c r="MXF1364" s="110"/>
      <c r="MXG1364" s="110"/>
      <c r="MXH1364" s="110"/>
      <c r="MXI1364" s="110"/>
      <c r="MXJ1364" s="110"/>
      <c r="MXK1364" s="110"/>
      <c r="MXL1364" s="110"/>
      <c r="MXM1364" s="110"/>
      <c r="MXN1364" s="110"/>
      <c r="MXO1364" s="110"/>
      <c r="MXP1364" s="110"/>
      <c r="MXQ1364" s="110"/>
      <c r="MXR1364" s="110"/>
      <c r="MXS1364" s="110"/>
      <c r="MXT1364" s="110"/>
      <c r="MXU1364" s="110"/>
      <c r="MXV1364" s="110"/>
      <c r="MXW1364" s="110"/>
      <c r="MXX1364" s="110"/>
      <c r="MXY1364" s="110"/>
      <c r="MXZ1364" s="110"/>
      <c r="MYA1364" s="110"/>
      <c r="MYB1364" s="110"/>
      <c r="MYC1364" s="110"/>
      <c r="MYD1364" s="110"/>
      <c r="MYE1364" s="110"/>
      <c r="MYF1364" s="110"/>
      <c r="MYG1364" s="110"/>
      <c r="MYH1364" s="110"/>
      <c r="MYI1364" s="110"/>
      <c r="MYJ1364" s="110"/>
      <c r="MYK1364" s="110"/>
      <c r="MYL1364" s="110"/>
      <c r="MYM1364" s="110"/>
      <c r="MYN1364" s="110"/>
      <c r="MYO1364" s="110"/>
      <c r="MYP1364" s="110"/>
      <c r="MYQ1364" s="110"/>
      <c r="MYR1364" s="110"/>
      <c r="MYS1364" s="110"/>
      <c r="MYT1364" s="110"/>
      <c r="MYU1364" s="110"/>
      <c r="MYV1364" s="110"/>
      <c r="MYW1364" s="110"/>
      <c r="MYX1364" s="110"/>
      <c r="MYY1364" s="110"/>
      <c r="MYZ1364" s="110"/>
      <c r="MZA1364" s="110"/>
      <c r="MZB1364" s="110"/>
      <c r="MZC1364" s="110"/>
      <c r="MZD1364" s="110"/>
      <c r="MZE1364" s="110"/>
      <c r="MZF1364" s="110"/>
      <c r="MZG1364" s="110"/>
      <c r="MZH1364" s="110"/>
      <c r="MZI1364" s="110"/>
      <c r="MZJ1364" s="110"/>
      <c r="MZK1364" s="110"/>
      <c r="MZL1364" s="110"/>
      <c r="MZM1364" s="110"/>
      <c r="MZN1364" s="110"/>
      <c r="MZO1364" s="110"/>
      <c r="MZP1364" s="110"/>
      <c r="MZQ1364" s="110"/>
      <c r="MZR1364" s="110"/>
      <c r="MZS1364" s="110"/>
      <c r="MZT1364" s="110"/>
      <c r="MZU1364" s="110"/>
      <c r="MZV1364" s="110"/>
      <c r="MZW1364" s="110"/>
      <c r="MZX1364" s="110"/>
      <c r="MZY1364" s="110"/>
      <c r="MZZ1364" s="110"/>
      <c r="NAA1364" s="110"/>
      <c r="NAB1364" s="110"/>
      <c r="NAC1364" s="110"/>
      <c r="NAD1364" s="110"/>
      <c r="NAE1364" s="110"/>
      <c r="NAF1364" s="110"/>
      <c r="NAG1364" s="110"/>
      <c r="NAH1364" s="110"/>
      <c r="NAI1364" s="110"/>
      <c r="NAJ1364" s="110"/>
      <c r="NAK1364" s="110"/>
      <c r="NAL1364" s="110"/>
      <c r="NAM1364" s="110"/>
      <c r="NAN1364" s="110"/>
      <c r="NAO1364" s="110"/>
      <c r="NAP1364" s="110"/>
      <c r="NAQ1364" s="110"/>
      <c r="NAR1364" s="110"/>
      <c r="NAS1364" s="110"/>
      <c r="NAT1364" s="110"/>
      <c r="NAU1364" s="110"/>
      <c r="NAV1364" s="110"/>
      <c r="NAW1364" s="110"/>
      <c r="NAX1364" s="110"/>
      <c r="NAY1364" s="110"/>
      <c r="NAZ1364" s="110"/>
      <c r="NBA1364" s="110"/>
      <c r="NBB1364" s="110"/>
      <c r="NBC1364" s="110"/>
      <c r="NBD1364" s="110"/>
      <c r="NBE1364" s="110"/>
      <c r="NBF1364" s="110"/>
      <c r="NBG1364" s="110"/>
      <c r="NBH1364" s="110"/>
      <c r="NBI1364" s="110"/>
      <c r="NBJ1364" s="110"/>
      <c r="NBK1364" s="110"/>
      <c r="NBL1364" s="110"/>
      <c r="NBM1364" s="110"/>
      <c r="NBN1364" s="110"/>
      <c r="NBO1364" s="110"/>
      <c r="NBP1364" s="110"/>
      <c r="NBQ1364" s="110"/>
      <c r="NBR1364" s="110"/>
      <c r="NBS1364" s="110"/>
      <c r="NBT1364" s="110"/>
      <c r="NBU1364" s="110"/>
      <c r="NBV1364" s="110"/>
      <c r="NBW1364" s="110"/>
      <c r="NBX1364" s="110"/>
      <c r="NBY1364" s="110"/>
      <c r="NBZ1364" s="110"/>
      <c r="NCA1364" s="110"/>
      <c r="NCB1364" s="110"/>
      <c r="NCC1364" s="110"/>
      <c r="NCD1364" s="110"/>
      <c r="NCE1364" s="110"/>
      <c r="NCF1364" s="110"/>
      <c r="NCG1364" s="110"/>
      <c r="NCH1364" s="110"/>
      <c r="NCI1364" s="110"/>
      <c r="NCJ1364" s="110"/>
      <c r="NCK1364" s="110"/>
      <c r="NCL1364" s="110"/>
      <c r="NCM1364" s="110"/>
      <c r="NCN1364" s="110"/>
      <c r="NCO1364" s="110"/>
      <c r="NCP1364" s="110"/>
      <c r="NCQ1364" s="110"/>
      <c r="NCR1364" s="110"/>
      <c r="NCS1364" s="110"/>
      <c r="NCT1364" s="110"/>
      <c r="NCU1364" s="110"/>
      <c r="NCV1364" s="110"/>
      <c r="NCW1364" s="110"/>
      <c r="NCX1364" s="110"/>
      <c r="NCY1364" s="110"/>
      <c r="NCZ1364" s="110"/>
      <c r="NDA1364" s="110"/>
      <c r="NDB1364" s="110"/>
      <c r="NDC1364" s="110"/>
      <c r="NDD1364" s="110"/>
      <c r="NDE1364" s="110"/>
      <c r="NDF1364" s="110"/>
      <c r="NDG1364" s="110"/>
      <c r="NDH1364" s="110"/>
      <c r="NDI1364" s="110"/>
      <c r="NDJ1364" s="110"/>
      <c r="NDK1364" s="110"/>
      <c r="NDL1364" s="110"/>
      <c r="NDM1364" s="110"/>
      <c r="NDN1364" s="110"/>
      <c r="NDO1364" s="110"/>
      <c r="NDP1364" s="110"/>
      <c r="NDQ1364" s="110"/>
      <c r="NDR1364" s="110"/>
      <c r="NDS1364" s="110"/>
      <c r="NDT1364" s="110"/>
      <c r="NDU1364" s="110"/>
      <c r="NDV1364" s="110"/>
      <c r="NDW1364" s="110"/>
      <c r="NDX1364" s="110"/>
      <c r="NDY1364" s="110"/>
      <c r="NDZ1364" s="110"/>
      <c r="NEA1364" s="110"/>
      <c r="NEB1364" s="110"/>
      <c r="NEC1364" s="110"/>
      <c r="NED1364" s="110"/>
      <c r="NEE1364" s="110"/>
      <c r="NEF1364" s="110"/>
      <c r="NEG1364" s="110"/>
      <c r="NEH1364" s="110"/>
      <c r="NEI1364" s="110"/>
      <c r="NEJ1364" s="110"/>
      <c r="NEK1364" s="110"/>
      <c r="NEL1364" s="110"/>
      <c r="NEM1364" s="110"/>
      <c r="NEN1364" s="110"/>
      <c r="NEO1364" s="110"/>
      <c r="NEP1364" s="110"/>
      <c r="NEQ1364" s="110"/>
      <c r="NER1364" s="110"/>
      <c r="NES1364" s="110"/>
      <c r="NET1364" s="110"/>
      <c r="NEU1364" s="110"/>
      <c r="NEV1364" s="110"/>
      <c r="NEW1364" s="110"/>
      <c r="NEX1364" s="110"/>
      <c r="NEY1364" s="110"/>
      <c r="NEZ1364" s="110"/>
      <c r="NFA1364" s="110"/>
      <c r="NFB1364" s="110"/>
      <c r="NFC1364" s="110"/>
      <c r="NFD1364" s="110"/>
      <c r="NFE1364" s="110"/>
      <c r="NFF1364" s="110"/>
      <c r="NFG1364" s="110"/>
      <c r="NFH1364" s="110"/>
      <c r="NFI1364" s="110"/>
      <c r="NFJ1364" s="110"/>
      <c r="NFK1364" s="110"/>
      <c r="NFL1364" s="110"/>
      <c r="NFM1364" s="110"/>
      <c r="NFN1364" s="110"/>
      <c r="NFO1364" s="110"/>
      <c r="NFP1364" s="110"/>
      <c r="NFQ1364" s="110"/>
      <c r="NFR1364" s="110"/>
      <c r="NFS1364" s="110"/>
      <c r="NFT1364" s="110"/>
      <c r="NFU1364" s="110"/>
      <c r="NFV1364" s="110"/>
      <c r="NFW1364" s="110"/>
      <c r="NFX1364" s="110"/>
      <c r="NFY1364" s="110"/>
      <c r="NFZ1364" s="110"/>
      <c r="NGA1364" s="110"/>
      <c r="NGB1364" s="110"/>
      <c r="NGC1364" s="110"/>
      <c r="NGD1364" s="110"/>
      <c r="NGE1364" s="110"/>
      <c r="NGF1364" s="110"/>
      <c r="NGG1364" s="110"/>
      <c r="NGH1364" s="110"/>
      <c r="NGI1364" s="110"/>
      <c r="NGJ1364" s="110"/>
      <c r="NGK1364" s="110"/>
      <c r="NGL1364" s="110"/>
      <c r="NGM1364" s="110"/>
      <c r="NGN1364" s="110"/>
      <c r="NGO1364" s="110"/>
      <c r="NGP1364" s="110"/>
      <c r="NGQ1364" s="110"/>
      <c r="NGR1364" s="110"/>
      <c r="NGS1364" s="110"/>
      <c r="NGT1364" s="110"/>
      <c r="NGU1364" s="110"/>
      <c r="NGV1364" s="110"/>
      <c r="NGW1364" s="110"/>
      <c r="NGX1364" s="110"/>
      <c r="NGY1364" s="110"/>
      <c r="NGZ1364" s="110"/>
      <c r="NHA1364" s="110"/>
      <c r="NHB1364" s="110"/>
      <c r="NHC1364" s="110"/>
      <c r="NHD1364" s="110"/>
      <c r="NHE1364" s="110"/>
      <c r="NHF1364" s="110"/>
      <c r="NHG1364" s="110"/>
      <c r="NHH1364" s="110"/>
      <c r="NHI1364" s="110"/>
      <c r="NHJ1364" s="110"/>
      <c r="NHK1364" s="110"/>
      <c r="NHL1364" s="110"/>
      <c r="NHM1364" s="110"/>
      <c r="NHN1364" s="110"/>
      <c r="NHO1364" s="110"/>
      <c r="NHP1364" s="110"/>
      <c r="NHQ1364" s="110"/>
      <c r="NHR1364" s="110"/>
      <c r="NHS1364" s="110"/>
      <c r="NHT1364" s="110"/>
      <c r="NHU1364" s="110"/>
      <c r="NHV1364" s="110"/>
      <c r="NHW1364" s="110"/>
      <c r="NHX1364" s="110"/>
      <c r="NHY1364" s="110"/>
      <c r="NHZ1364" s="110"/>
      <c r="NIA1364" s="110"/>
      <c r="NIB1364" s="110"/>
      <c r="NIC1364" s="110"/>
      <c r="NID1364" s="110"/>
      <c r="NIE1364" s="110"/>
      <c r="NIF1364" s="110"/>
      <c r="NIG1364" s="110"/>
      <c r="NIH1364" s="110"/>
      <c r="NII1364" s="110"/>
      <c r="NIJ1364" s="110"/>
      <c r="NIK1364" s="110"/>
      <c r="NIL1364" s="110"/>
      <c r="NIM1364" s="110"/>
      <c r="NIN1364" s="110"/>
      <c r="NIO1364" s="110"/>
      <c r="NIP1364" s="110"/>
      <c r="NIQ1364" s="110"/>
      <c r="NIR1364" s="110"/>
      <c r="NIS1364" s="110"/>
      <c r="NIT1364" s="110"/>
      <c r="NIU1364" s="110"/>
      <c r="NIV1364" s="110"/>
      <c r="NIW1364" s="110"/>
      <c r="NIX1364" s="110"/>
      <c r="NIY1364" s="110"/>
      <c r="NIZ1364" s="110"/>
      <c r="NJA1364" s="110"/>
      <c r="NJB1364" s="110"/>
      <c r="NJC1364" s="110"/>
      <c r="NJD1364" s="110"/>
      <c r="NJE1364" s="110"/>
      <c r="NJF1364" s="110"/>
      <c r="NJG1364" s="110"/>
      <c r="NJH1364" s="110"/>
      <c r="NJI1364" s="110"/>
      <c r="NJJ1364" s="110"/>
      <c r="NJK1364" s="110"/>
      <c r="NJL1364" s="110"/>
      <c r="NJM1364" s="110"/>
      <c r="NJN1364" s="110"/>
      <c r="NJO1364" s="110"/>
      <c r="NJP1364" s="110"/>
      <c r="NJQ1364" s="110"/>
      <c r="NJR1364" s="110"/>
      <c r="NJS1364" s="110"/>
      <c r="NJT1364" s="110"/>
      <c r="NJU1364" s="110"/>
      <c r="NJV1364" s="110"/>
      <c r="NJW1364" s="110"/>
      <c r="NJX1364" s="110"/>
      <c r="NJY1364" s="110"/>
      <c r="NJZ1364" s="110"/>
      <c r="NKA1364" s="110"/>
      <c r="NKB1364" s="110"/>
      <c r="NKC1364" s="110"/>
      <c r="NKD1364" s="110"/>
      <c r="NKE1364" s="110"/>
      <c r="NKF1364" s="110"/>
      <c r="NKG1364" s="110"/>
      <c r="NKH1364" s="110"/>
      <c r="NKI1364" s="110"/>
      <c r="NKJ1364" s="110"/>
      <c r="NKK1364" s="110"/>
      <c r="NKL1364" s="110"/>
      <c r="NKM1364" s="110"/>
      <c r="NKN1364" s="110"/>
      <c r="NKO1364" s="110"/>
      <c r="NKP1364" s="110"/>
      <c r="NKQ1364" s="110"/>
      <c r="NKR1364" s="110"/>
      <c r="NKS1364" s="110"/>
      <c r="NKT1364" s="110"/>
      <c r="NKU1364" s="110"/>
      <c r="NKV1364" s="110"/>
      <c r="NKW1364" s="110"/>
      <c r="NKX1364" s="110"/>
      <c r="NKY1364" s="110"/>
      <c r="NKZ1364" s="110"/>
      <c r="NLA1364" s="110"/>
      <c r="NLB1364" s="110"/>
      <c r="NLC1364" s="110"/>
      <c r="NLD1364" s="110"/>
      <c r="NLE1364" s="110"/>
      <c r="NLF1364" s="110"/>
      <c r="NLG1364" s="110"/>
      <c r="NLH1364" s="110"/>
      <c r="NLI1364" s="110"/>
      <c r="NLJ1364" s="110"/>
      <c r="NLK1364" s="110"/>
      <c r="NLL1364" s="110"/>
      <c r="NLM1364" s="110"/>
      <c r="NLN1364" s="110"/>
      <c r="NLO1364" s="110"/>
      <c r="NLP1364" s="110"/>
      <c r="NLQ1364" s="110"/>
      <c r="NLR1364" s="110"/>
      <c r="NLS1364" s="110"/>
      <c r="NLT1364" s="110"/>
      <c r="NLU1364" s="110"/>
      <c r="NLV1364" s="110"/>
      <c r="NLW1364" s="110"/>
      <c r="NLX1364" s="110"/>
      <c r="NLY1364" s="110"/>
      <c r="NLZ1364" s="110"/>
      <c r="NMA1364" s="110"/>
      <c r="NMB1364" s="110"/>
      <c r="NMC1364" s="110"/>
      <c r="NMD1364" s="110"/>
      <c r="NME1364" s="110"/>
      <c r="NMF1364" s="110"/>
      <c r="NMG1364" s="110"/>
      <c r="NMH1364" s="110"/>
      <c r="NMI1364" s="110"/>
      <c r="NMJ1364" s="110"/>
      <c r="NMK1364" s="110"/>
      <c r="NML1364" s="110"/>
      <c r="NMM1364" s="110"/>
      <c r="NMN1364" s="110"/>
      <c r="NMO1364" s="110"/>
      <c r="NMP1364" s="110"/>
      <c r="NMQ1364" s="110"/>
      <c r="NMR1364" s="110"/>
      <c r="NMS1364" s="110"/>
      <c r="NMT1364" s="110"/>
      <c r="NMU1364" s="110"/>
      <c r="NMV1364" s="110"/>
      <c r="NMW1364" s="110"/>
      <c r="NMX1364" s="110"/>
      <c r="NMY1364" s="110"/>
      <c r="NMZ1364" s="110"/>
      <c r="NNA1364" s="110"/>
      <c r="NNB1364" s="110"/>
      <c r="NNC1364" s="110"/>
      <c r="NND1364" s="110"/>
      <c r="NNE1364" s="110"/>
      <c r="NNF1364" s="110"/>
      <c r="NNG1364" s="110"/>
      <c r="NNH1364" s="110"/>
      <c r="NNI1364" s="110"/>
      <c r="NNJ1364" s="110"/>
      <c r="NNK1364" s="110"/>
      <c r="NNL1364" s="110"/>
      <c r="NNM1364" s="110"/>
      <c r="NNN1364" s="110"/>
      <c r="NNO1364" s="110"/>
      <c r="NNP1364" s="110"/>
      <c r="NNQ1364" s="110"/>
      <c r="NNR1364" s="110"/>
      <c r="NNS1364" s="110"/>
      <c r="NNT1364" s="110"/>
      <c r="NNU1364" s="110"/>
      <c r="NNV1364" s="110"/>
      <c r="NNW1364" s="110"/>
      <c r="NNX1364" s="110"/>
      <c r="NNY1364" s="110"/>
      <c r="NNZ1364" s="110"/>
      <c r="NOA1364" s="110"/>
      <c r="NOB1364" s="110"/>
      <c r="NOC1364" s="110"/>
      <c r="NOD1364" s="110"/>
      <c r="NOE1364" s="110"/>
      <c r="NOF1364" s="110"/>
      <c r="NOG1364" s="110"/>
      <c r="NOH1364" s="110"/>
      <c r="NOI1364" s="110"/>
      <c r="NOJ1364" s="110"/>
      <c r="NOK1364" s="110"/>
      <c r="NOL1364" s="110"/>
      <c r="NOM1364" s="110"/>
      <c r="NON1364" s="110"/>
      <c r="NOO1364" s="110"/>
      <c r="NOP1364" s="110"/>
      <c r="NOQ1364" s="110"/>
      <c r="NOR1364" s="110"/>
      <c r="NOS1364" s="110"/>
      <c r="NOT1364" s="110"/>
      <c r="NOU1364" s="110"/>
      <c r="NOV1364" s="110"/>
      <c r="NOW1364" s="110"/>
      <c r="NOX1364" s="110"/>
      <c r="NOY1364" s="110"/>
      <c r="NOZ1364" s="110"/>
      <c r="NPA1364" s="110"/>
      <c r="NPB1364" s="110"/>
      <c r="NPC1364" s="110"/>
      <c r="NPD1364" s="110"/>
      <c r="NPE1364" s="110"/>
      <c r="NPF1364" s="110"/>
      <c r="NPG1364" s="110"/>
      <c r="NPH1364" s="110"/>
      <c r="NPI1364" s="110"/>
      <c r="NPJ1364" s="110"/>
      <c r="NPK1364" s="110"/>
      <c r="NPL1364" s="110"/>
      <c r="NPM1364" s="110"/>
      <c r="NPN1364" s="110"/>
      <c r="NPO1364" s="110"/>
      <c r="NPP1364" s="110"/>
      <c r="NPQ1364" s="110"/>
      <c r="NPR1364" s="110"/>
      <c r="NPS1364" s="110"/>
      <c r="NPT1364" s="110"/>
      <c r="NPU1364" s="110"/>
      <c r="NPV1364" s="110"/>
      <c r="NPW1364" s="110"/>
      <c r="NPX1364" s="110"/>
      <c r="NPY1364" s="110"/>
      <c r="NPZ1364" s="110"/>
      <c r="NQA1364" s="110"/>
      <c r="NQB1364" s="110"/>
      <c r="NQC1364" s="110"/>
      <c r="NQD1364" s="110"/>
      <c r="NQE1364" s="110"/>
      <c r="NQF1364" s="110"/>
      <c r="NQG1364" s="110"/>
      <c r="NQH1364" s="110"/>
      <c r="NQI1364" s="110"/>
      <c r="NQJ1364" s="110"/>
      <c r="NQK1364" s="110"/>
      <c r="NQL1364" s="110"/>
      <c r="NQM1364" s="110"/>
      <c r="NQN1364" s="110"/>
      <c r="NQO1364" s="110"/>
      <c r="NQP1364" s="110"/>
      <c r="NQQ1364" s="110"/>
      <c r="NQR1364" s="110"/>
      <c r="NQS1364" s="110"/>
      <c r="NQT1364" s="110"/>
      <c r="NQU1364" s="110"/>
      <c r="NQV1364" s="110"/>
      <c r="NQW1364" s="110"/>
      <c r="NQX1364" s="110"/>
      <c r="NQY1364" s="110"/>
      <c r="NQZ1364" s="110"/>
      <c r="NRA1364" s="110"/>
      <c r="NRB1364" s="110"/>
      <c r="NRC1364" s="110"/>
      <c r="NRD1364" s="110"/>
      <c r="NRE1364" s="110"/>
      <c r="NRF1364" s="110"/>
      <c r="NRG1364" s="110"/>
      <c r="NRH1364" s="110"/>
      <c r="NRI1364" s="110"/>
      <c r="NRJ1364" s="110"/>
      <c r="NRK1364" s="110"/>
      <c r="NRL1364" s="110"/>
      <c r="NRM1364" s="110"/>
      <c r="NRN1364" s="110"/>
      <c r="NRO1364" s="110"/>
      <c r="NRP1364" s="110"/>
      <c r="NRQ1364" s="110"/>
      <c r="NRR1364" s="110"/>
      <c r="NRS1364" s="110"/>
      <c r="NRT1364" s="110"/>
      <c r="NRU1364" s="110"/>
      <c r="NRV1364" s="110"/>
      <c r="NRW1364" s="110"/>
      <c r="NRX1364" s="110"/>
      <c r="NRY1364" s="110"/>
      <c r="NRZ1364" s="110"/>
      <c r="NSA1364" s="110"/>
      <c r="NSB1364" s="110"/>
      <c r="NSC1364" s="110"/>
      <c r="NSD1364" s="110"/>
      <c r="NSE1364" s="110"/>
      <c r="NSF1364" s="110"/>
      <c r="NSG1364" s="110"/>
      <c r="NSH1364" s="110"/>
      <c r="NSI1364" s="110"/>
      <c r="NSJ1364" s="110"/>
      <c r="NSK1364" s="110"/>
      <c r="NSL1364" s="110"/>
      <c r="NSM1364" s="110"/>
      <c r="NSN1364" s="110"/>
      <c r="NSO1364" s="110"/>
      <c r="NSP1364" s="110"/>
      <c r="NSQ1364" s="110"/>
      <c r="NSR1364" s="110"/>
      <c r="NSS1364" s="110"/>
      <c r="NST1364" s="110"/>
      <c r="NSU1364" s="110"/>
      <c r="NSV1364" s="110"/>
      <c r="NSW1364" s="110"/>
      <c r="NSX1364" s="110"/>
      <c r="NSY1364" s="110"/>
      <c r="NSZ1364" s="110"/>
      <c r="NTA1364" s="110"/>
      <c r="NTB1364" s="110"/>
      <c r="NTC1364" s="110"/>
      <c r="NTD1364" s="110"/>
      <c r="NTE1364" s="110"/>
      <c r="NTF1364" s="110"/>
      <c r="NTG1364" s="110"/>
      <c r="NTH1364" s="110"/>
      <c r="NTI1364" s="110"/>
      <c r="NTJ1364" s="110"/>
      <c r="NTK1364" s="110"/>
      <c r="NTL1364" s="110"/>
      <c r="NTM1364" s="110"/>
      <c r="NTN1364" s="110"/>
      <c r="NTO1364" s="110"/>
      <c r="NTP1364" s="110"/>
      <c r="NTQ1364" s="110"/>
      <c r="NTR1364" s="110"/>
      <c r="NTS1364" s="110"/>
      <c r="NTT1364" s="110"/>
      <c r="NTU1364" s="110"/>
      <c r="NTV1364" s="110"/>
      <c r="NTW1364" s="110"/>
      <c r="NTX1364" s="110"/>
      <c r="NTY1364" s="110"/>
      <c r="NTZ1364" s="110"/>
      <c r="NUA1364" s="110"/>
      <c r="NUB1364" s="110"/>
      <c r="NUC1364" s="110"/>
      <c r="NUD1364" s="110"/>
      <c r="NUE1364" s="110"/>
      <c r="NUF1364" s="110"/>
      <c r="NUG1364" s="110"/>
      <c r="NUH1364" s="110"/>
      <c r="NUI1364" s="110"/>
      <c r="NUJ1364" s="110"/>
      <c r="NUK1364" s="110"/>
      <c r="NUL1364" s="110"/>
      <c r="NUM1364" s="110"/>
      <c r="NUN1364" s="110"/>
      <c r="NUO1364" s="110"/>
      <c r="NUP1364" s="110"/>
      <c r="NUQ1364" s="110"/>
      <c r="NUR1364" s="110"/>
      <c r="NUS1364" s="110"/>
      <c r="NUT1364" s="110"/>
      <c r="NUU1364" s="110"/>
      <c r="NUV1364" s="110"/>
      <c r="NUW1364" s="110"/>
      <c r="NUX1364" s="110"/>
      <c r="NUY1364" s="110"/>
      <c r="NUZ1364" s="110"/>
      <c r="NVA1364" s="110"/>
      <c r="NVB1364" s="110"/>
      <c r="NVC1364" s="110"/>
      <c r="NVD1364" s="110"/>
      <c r="NVE1364" s="110"/>
      <c r="NVF1364" s="110"/>
      <c r="NVG1364" s="110"/>
      <c r="NVH1364" s="110"/>
      <c r="NVI1364" s="110"/>
      <c r="NVJ1364" s="110"/>
      <c r="NVK1364" s="110"/>
      <c r="NVL1364" s="110"/>
      <c r="NVM1364" s="110"/>
      <c r="NVN1364" s="110"/>
      <c r="NVO1364" s="110"/>
      <c r="NVP1364" s="110"/>
      <c r="NVQ1364" s="110"/>
      <c r="NVR1364" s="110"/>
      <c r="NVS1364" s="110"/>
      <c r="NVT1364" s="110"/>
      <c r="NVU1364" s="110"/>
      <c r="NVV1364" s="110"/>
      <c r="NVW1364" s="110"/>
      <c r="NVX1364" s="110"/>
      <c r="NVY1364" s="110"/>
      <c r="NVZ1364" s="110"/>
      <c r="NWA1364" s="110"/>
      <c r="NWB1364" s="110"/>
      <c r="NWC1364" s="110"/>
      <c r="NWD1364" s="110"/>
      <c r="NWE1364" s="110"/>
      <c r="NWF1364" s="110"/>
      <c r="NWG1364" s="110"/>
      <c r="NWH1364" s="110"/>
      <c r="NWI1364" s="110"/>
      <c r="NWJ1364" s="110"/>
      <c r="NWK1364" s="110"/>
      <c r="NWL1364" s="110"/>
      <c r="NWM1364" s="110"/>
      <c r="NWN1364" s="110"/>
      <c r="NWO1364" s="110"/>
      <c r="NWP1364" s="110"/>
      <c r="NWQ1364" s="110"/>
      <c r="NWR1364" s="110"/>
      <c r="NWS1364" s="110"/>
      <c r="NWT1364" s="110"/>
      <c r="NWU1364" s="110"/>
      <c r="NWV1364" s="110"/>
      <c r="NWW1364" s="110"/>
      <c r="NWX1364" s="110"/>
      <c r="NWY1364" s="110"/>
      <c r="NWZ1364" s="110"/>
      <c r="NXA1364" s="110"/>
      <c r="NXB1364" s="110"/>
      <c r="NXC1364" s="110"/>
      <c r="NXD1364" s="110"/>
      <c r="NXE1364" s="110"/>
      <c r="NXF1364" s="110"/>
      <c r="NXG1364" s="110"/>
      <c r="NXH1364" s="110"/>
      <c r="NXI1364" s="110"/>
      <c r="NXJ1364" s="110"/>
      <c r="NXK1364" s="110"/>
      <c r="NXL1364" s="110"/>
      <c r="NXM1364" s="110"/>
      <c r="NXN1364" s="110"/>
      <c r="NXO1364" s="110"/>
      <c r="NXP1364" s="110"/>
      <c r="NXQ1364" s="110"/>
      <c r="NXR1364" s="110"/>
      <c r="NXS1364" s="110"/>
      <c r="NXT1364" s="110"/>
      <c r="NXU1364" s="110"/>
      <c r="NXV1364" s="110"/>
      <c r="NXW1364" s="110"/>
      <c r="NXX1364" s="110"/>
      <c r="NXY1364" s="110"/>
      <c r="NXZ1364" s="110"/>
      <c r="NYA1364" s="110"/>
      <c r="NYB1364" s="110"/>
      <c r="NYC1364" s="110"/>
      <c r="NYD1364" s="110"/>
      <c r="NYE1364" s="110"/>
      <c r="NYF1364" s="110"/>
      <c r="NYG1364" s="110"/>
      <c r="NYH1364" s="110"/>
      <c r="NYI1364" s="110"/>
      <c r="NYJ1364" s="110"/>
      <c r="NYK1364" s="110"/>
      <c r="NYL1364" s="110"/>
      <c r="NYM1364" s="110"/>
      <c r="NYN1364" s="110"/>
      <c r="NYO1364" s="110"/>
      <c r="NYP1364" s="110"/>
      <c r="NYQ1364" s="110"/>
      <c r="NYR1364" s="110"/>
      <c r="NYS1364" s="110"/>
      <c r="NYT1364" s="110"/>
      <c r="NYU1364" s="110"/>
      <c r="NYV1364" s="110"/>
      <c r="NYW1364" s="110"/>
      <c r="NYX1364" s="110"/>
      <c r="NYY1364" s="110"/>
      <c r="NYZ1364" s="110"/>
      <c r="NZA1364" s="110"/>
      <c r="NZB1364" s="110"/>
      <c r="NZC1364" s="110"/>
      <c r="NZD1364" s="110"/>
      <c r="NZE1364" s="110"/>
      <c r="NZF1364" s="110"/>
      <c r="NZG1364" s="110"/>
      <c r="NZH1364" s="110"/>
      <c r="NZI1364" s="110"/>
      <c r="NZJ1364" s="110"/>
      <c r="NZK1364" s="110"/>
      <c r="NZL1364" s="110"/>
      <c r="NZM1364" s="110"/>
      <c r="NZN1364" s="110"/>
      <c r="NZO1364" s="110"/>
      <c r="NZP1364" s="110"/>
      <c r="NZQ1364" s="110"/>
      <c r="NZR1364" s="110"/>
      <c r="NZS1364" s="110"/>
      <c r="NZT1364" s="110"/>
      <c r="NZU1364" s="110"/>
      <c r="NZV1364" s="110"/>
      <c r="NZW1364" s="110"/>
      <c r="NZX1364" s="110"/>
      <c r="NZY1364" s="110"/>
      <c r="NZZ1364" s="110"/>
      <c r="OAA1364" s="110"/>
      <c r="OAB1364" s="110"/>
      <c r="OAC1364" s="110"/>
      <c r="OAD1364" s="110"/>
      <c r="OAE1364" s="110"/>
      <c r="OAF1364" s="110"/>
      <c r="OAG1364" s="110"/>
      <c r="OAH1364" s="110"/>
      <c r="OAI1364" s="110"/>
      <c r="OAJ1364" s="110"/>
      <c r="OAK1364" s="110"/>
      <c r="OAL1364" s="110"/>
      <c r="OAM1364" s="110"/>
      <c r="OAN1364" s="110"/>
      <c r="OAO1364" s="110"/>
      <c r="OAP1364" s="110"/>
      <c r="OAQ1364" s="110"/>
      <c r="OAR1364" s="110"/>
      <c r="OAS1364" s="110"/>
      <c r="OAT1364" s="110"/>
      <c r="OAU1364" s="110"/>
      <c r="OAV1364" s="110"/>
      <c r="OAW1364" s="110"/>
      <c r="OAX1364" s="110"/>
      <c r="OAY1364" s="110"/>
      <c r="OAZ1364" s="110"/>
      <c r="OBA1364" s="110"/>
      <c r="OBB1364" s="110"/>
      <c r="OBC1364" s="110"/>
      <c r="OBD1364" s="110"/>
      <c r="OBE1364" s="110"/>
      <c r="OBF1364" s="110"/>
      <c r="OBG1364" s="110"/>
      <c r="OBH1364" s="110"/>
      <c r="OBI1364" s="110"/>
      <c r="OBJ1364" s="110"/>
      <c r="OBK1364" s="110"/>
      <c r="OBL1364" s="110"/>
      <c r="OBM1364" s="110"/>
      <c r="OBN1364" s="110"/>
      <c r="OBO1364" s="110"/>
      <c r="OBP1364" s="110"/>
      <c r="OBQ1364" s="110"/>
      <c r="OBR1364" s="110"/>
      <c r="OBS1364" s="110"/>
      <c r="OBT1364" s="110"/>
      <c r="OBU1364" s="110"/>
      <c r="OBV1364" s="110"/>
      <c r="OBW1364" s="110"/>
      <c r="OBX1364" s="110"/>
      <c r="OBY1364" s="110"/>
      <c r="OBZ1364" s="110"/>
      <c r="OCA1364" s="110"/>
      <c r="OCB1364" s="110"/>
      <c r="OCC1364" s="110"/>
      <c r="OCD1364" s="110"/>
      <c r="OCE1364" s="110"/>
      <c r="OCF1364" s="110"/>
      <c r="OCG1364" s="110"/>
      <c r="OCH1364" s="110"/>
      <c r="OCI1364" s="110"/>
      <c r="OCJ1364" s="110"/>
      <c r="OCK1364" s="110"/>
      <c r="OCL1364" s="110"/>
      <c r="OCM1364" s="110"/>
      <c r="OCN1364" s="110"/>
      <c r="OCO1364" s="110"/>
      <c r="OCP1364" s="110"/>
      <c r="OCQ1364" s="110"/>
      <c r="OCR1364" s="110"/>
      <c r="OCS1364" s="110"/>
      <c r="OCT1364" s="110"/>
      <c r="OCU1364" s="110"/>
      <c r="OCV1364" s="110"/>
      <c r="OCW1364" s="110"/>
      <c r="OCX1364" s="110"/>
      <c r="OCY1364" s="110"/>
      <c r="OCZ1364" s="110"/>
      <c r="ODA1364" s="110"/>
      <c r="ODB1364" s="110"/>
      <c r="ODC1364" s="110"/>
      <c r="ODD1364" s="110"/>
      <c r="ODE1364" s="110"/>
      <c r="ODF1364" s="110"/>
      <c r="ODG1364" s="110"/>
      <c r="ODH1364" s="110"/>
      <c r="ODI1364" s="110"/>
      <c r="ODJ1364" s="110"/>
      <c r="ODK1364" s="110"/>
      <c r="ODL1364" s="110"/>
      <c r="ODM1364" s="110"/>
      <c r="ODN1364" s="110"/>
      <c r="ODO1364" s="110"/>
      <c r="ODP1364" s="110"/>
      <c r="ODQ1364" s="110"/>
      <c r="ODR1364" s="110"/>
      <c r="ODS1364" s="110"/>
      <c r="ODT1364" s="110"/>
      <c r="ODU1364" s="110"/>
      <c r="ODV1364" s="110"/>
      <c r="ODW1364" s="110"/>
      <c r="ODX1364" s="110"/>
      <c r="ODY1364" s="110"/>
      <c r="ODZ1364" s="110"/>
      <c r="OEA1364" s="110"/>
      <c r="OEB1364" s="110"/>
      <c r="OEC1364" s="110"/>
      <c r="OED1364" s="110"/>
      <c r="OEE1364" s="110"/>
      <c r="OEF1364" s="110"/>
      <c r="OEG1364" s="110"/>
      <c r="OEH1364" s="110"/>
      <c r="OEI1364" s="110"/>
      <c r="OEJ1364" s="110"/>
      <c r="OEK1364" s="110"/>
      <c r="OEL1364" s="110"/>
      <c r="OEM1364" s="110"/>
      <c r="OEN1364" s="110"/>
      <c r="OEO1364" s="110"/>
      <c r="OEP1364" s="110"/>
      <c r="OEQ1364" s="110"/>
      <c r="OER1364" s="110"/>
      <c r="OES1364" s="110"/>
      <c r="OET1364" s="110"/>
      <c r="OEU1364" s="110"/>
      <c r="OEV1364" s="110"/>
      <c r="OEW1364" s="110"/>
      <c r="OEX1364" s="110"/>
      <c r="OEY1364" s="110"/>
      <c r="OEZ1364" s="110"/>
      <c r="OFA1364" s="110"/>
      <c r="OFB1364" s="110"/>
      <c r="OFC1364" s="110"/>
      <c r="OFD1364" s="110"/>
      <c r="OFE1364" s="110"/>
      <c r="OFF1364" s="110"/>
      <c r="OFG1364" s="110"/>
      <c r="OFH1364" s="110"/>
      <c r="OFI1364" s="110"/>
      <c r="OFJ1364" s="110"/>
      <c r="OFK1364" s="110"/>
      <c r="OFL1364" s="110"/>
      <c r="OFM1364" s="110"/>
      <c r="OFN1364" s="110"/>
      <c r="OFO1364" s="110"/>
      <c r="OFP1364" s="110"/>
      <c r="OFQ1364" s="110"/>
      <c r="OFR1364" s="110"/>
      <c r="OFS1364" s="110"/>
      <c r="OFT1364" s="110"/>
      <c r="OFU1364" s="110"/>
      <c r="OFV1364" s="110"/>
      <c r="OFW1364" s="110"/>
      <c r="OFX1364" s="110"/>
      <c r="OFY1364" s="110"/>
      <c r="OFZ1364" s="110"/>
      <c r="OGA1364" s="110"/>
      <c r="OGB1364" s="110"/>
      <c r="OGC1364" s="110"/>
      <c r="OGD1364" s="110"/>
      <c r="OGE1364" s="110"/>
      <c r="OGF1364" s="110"/>
      <c r="OGG1364" s="110"/>
      <c r="OGH1364" s="110"/>
      <c r="OGI1364" s="110"/>
      <c r="OGJ1364" s="110"/>
      <c r="OGK1364" s="110"/>
      <c r="OGL1364" s="110"/>
      <c r="OGM1364" s="110"/>
      <c r="OGN1364" s="110"/>
      <c r="OGO1364" s="110"/>
      <c r="OGP1364" s="110"/>
      <c r="OGQ1364" s="110"/>
      <c r="OGR1364" s="110"/>
      <c r="OGS1364" s="110"/>
      <c r="OGT1364" s="110"/>
      <c r="OGU1364" s="110"/>
      <c r="OGV1364" s="110"/>
      <c r="OGW1364" s="110"/>
      <c r="OGX1364" s="110"/>
      <c r="OGY1364" s="110"/>
      <c r="OGZ1364" s="110"/>
      <c r="OHA1364" s="110"/>
      <c r="OHB1364" s="110"/>
      <c r="OHC1364" s="110"/>
      <c r="OHD1364" s="110"/>
      <c r="OHE1364" s="110"/>
      <c r="OHF1364" s="110"/>
      <c r="OHG1364" s="110"/>
      <c r="OHH1364" s="110"/>
      <c r="OHI1364" s="110"/>
      <c r="OHJ1364" s="110"/>
      <c r="OHK1364" s="110"/>
      <c r="OHL1364" s="110"/>
      <c r="OHM1364" s="110"/>
      <c r="OHN1364" s="110"/>
      <c r="OHO1364" s="110"/>
      <c r="OHP1364" s="110"/>
      <c r="OHQ1364" s="110"/>
      <c r="OHR1364" s="110"/>
      <c r="OHS1364" s="110"/>
      <c r="OHT1364" s="110"/>
      <c r="OHU1364" s="110"/>
      <c r="OHV1364" s="110"/>
      <c r="OHW1364" s="110"/>
      <c r="OHX1364" s="110"/>
      <c r="OHY1364" s="110"/>
      <c r="OHZ1364" s="110"/>
      <c r="OIA1364" s="110"/>
      <c r="OIB1364" s="110"/>
      <c r="OIC1364" s="110"/>
      <c r="OID1364" s="110"/>
      <c r="OIE1364" s="110"/>
      <c r="OIF1364" s="110"/>
      <c r="OIG1364" s="110"/>
      <c r="OIH1364" s="110"/>
      <c r="OII1364" s="110"/>
      <c r="OIJ1364" s="110"/>
      <c r="OIK1364" s="110"/>
      <c r="OIL1364" s="110"/>
      <c r="OIM1364" s="110"/>
      <c r="OIN1364" s="110"/>
      <c r="OIO1364" s="110"/>
      <c r="OIP1364" s="110"/>
      <c r="OIQ1364" s="110"/>
      <c r="OIR1364" s="110"/>
      <c r="OIS1364" s="110"/>
      <c r="OIT1364" s="110"/>
      <c r="OIU1364" s="110"/>
      <c r="OIV1364" s="110"/>
      <c r="OIW1364" s="110"/>
      <c r="OIX1364" s="110"/>
      <c r="OIY1364" s="110"/>
      <c r="OIZ1364" s="110"/>
      <c r="OJA1364" s="110"/>
      <c r="OJB1364" s="110"/>
      <c r="OJC1364" s="110"/>
      <c r="OJD1364" s="110"/>
      <c r="OJE1364" s="110"/>
      <c r="OJF1364" s="110"/>
      <c r="OJG1364" s="110"/>
      <c r="OJH1364" s="110"/>
      <c r="OJI1364" s="110"/>
      <c r="OJJ1364" s="110"/>
      <c r="OJK1364" s="110"/>
      <c r="OJL1364" s="110"/>
      <c r="OJM1364" s="110"/>
      <c r="OJN1364" s="110"/>
      <c r="OJO1364" s="110"/>
      <c r="OJP1364" s="110"/>
      <c r="OJQ1364" s="110"/>
      <c r="OJR1364" s="110"/>
      <c r="OJS1364" s="110"/>
      <c r="OJT1364" s="110"/>
      <c r="OJU1364" s="110"/>
      <c r="OJV1364" s="110"/>
      <c r="OJW1364" s="110"/>
      <c r="OJX1364" s="110"/>
      <c r="OJY1364" s="110"/>
      <c r="OJZ1364" s="110"/>
      <c r="OKA1364" s="110"/>
      <c r="OKB1364" s="110"/>
      <c r="OKC1364" s="110"/>
      <c r="OKD1364" s="110"/>
      <c r="OKE1364" s="110"/>
      <c r="OKF1364" s="110"/>
      <c r="OKG1364" s="110"/>
      <c r="OKH1364" s="110"/>
      <c r="OKI1364" s="110"/>
      <c r="OKJ1364" s="110"/>
      <c r="OKK1364" s="110"/>
      <c r="OKL1364" s="110"/>
      <c r="OKM1364" s="110"/>
      <c r="OKN1364" s="110"/>
      <c r="OKO1364" s="110"/>
      <c r="OKP1364" s="110"/>
      <c r="OKQ1364" s="110"/>
      <c r="OKR1364" s="110"/>
      <c r="OKS1364" s="110"/>
      <c r="OKT1364" s="110"/>
      <c r="OKU1364" s="110"/>
      <c r="OKV1364" s="110"/>
      <c r="OKW1364" s="110"/>
      <c r="OKX1364" s="110"/>
      <c r="OKY1364" s="110"/>
      <c r="OKZ1364" s="110"/>
      <c r="OLA1364" s="110"/>
      <c r="OLB1364" s="110"/>
      <c r="OLC1364" s="110"/>
      <c r="OLD1364" s="110"/>
      <c r="OLE1364" s="110"/>
      <c r="OLF1364" s="110"/>
      <c r="OLG1364" s="110"/>
      <c r="OLH1364" s="110"/>
      <c r="OLI1364" s="110"/>
      <c r="OLJ1364" s="110"/>
      <c r="OLK1364" s="110"/>
      <c r="OLL1364" s="110"/>
      <c r="OLM1364" s="110"/>
      <c r="OLN1364" s="110"/>
      <c r="OLO1364" s="110"/>
      <c r="OLP1364" s="110"/>
      <c r="OLQ1364" s="110"/>
      <c r="OLR1364" s="110"/>
      <c r="OLS1364" s="110"/>
      <c r="OLT1364" s="110"/>
      <c r="OLU1364" s="110"/>
      <c r="OLV1364" s="110"/>
      <c r="OLW1364" s="110"/>
      <c r="OLX1364" s="110"/>
      <c r="OLY1364" s="110"/>
      <c r="OLZ1364" s="110"/>
      <c r="OMA1364" s="110"/>
      <c r="OMB1364" s="110"/>
      <c r="OMC1364" s="110"/>
      <c r="OMD1364" s="110"/>
      <c r="OME1364" s="110"/>
      <c r="OMF1364" s="110"/>
      <c r="OMG1364" s="110"/>
      <c r="OMH1364" s="110"/>
      <c r="OMI1364" s="110"/>
      <c r="OMJ1364" s="110"/>
      <c r="OMK1364" s="110"/>
      <c r="OML1364" s="110"/>
      <c r="OMM1364" s="110"/>
      <c r="OMN1364" s="110"/>
      <c r="OMO1364" s="110"/>
      <c r="OMP1364" s="110"/>
      <c r="OMQ1364" s="110"/>
      <c r="OMR1364" s="110"/>
      <c r="OMS1364" s="110"/>
      <c r="OMT1364" s="110"/>
      <c r="OMU1364" s="110"/>
      <c r="OMV1364" s="110"/>
      <c r="OMW1364" s="110"/>
      <c r="OMX1364" s="110"/>
      <c r="OMY1364" s="110"/>
      <c r="OMZ1364" s="110"/>
      <c r="ONA1364" s="110"/>
      <c r="ONB1364" s="110"/>
      <c r="ONC1364" s="110"/>
      <c r="OND1364" s="110"/>
      <c r="ONE1364" s="110"/>
      <c r="ONF1364" s="110"/>
      <c r="ONG1364" s="110"/>
      <c r="ONH1364" s="110"/>
      <c r="ONI1364" s="110"/>
      <c r="ONJ1364" s="110"/>
      <c r="ONK1364" s="110"/>
      <c r="ONL1364" s="110"/>
      <c r="ONM1364" s="110"/>
      <c r="ONN1364" s="110"/>
      <c r="ONO1364" s="110"/>
      <c r="ONP1364" s="110"/>
      <c r="ONQ1364" s="110"/>
      <c r="ONR1364" s="110"/>
      <c r="ONS1364" s="110"/>
      <c r="ONT1364" s="110"/>
      <c r="ONU1364" s="110"/>
      <c r="ONV1364" s="110"/>
      <c r="ONW1364" s="110"/>
      <c r="ONX1364" s="110"/>
      <c r="ONY1364" s="110"/>
      <c r="ONZ1364" s="110"/>
      <c r="OOA1364" s="110"/>
      <c r="OOB1364" s="110"/>
      <c r="OOC1364" s="110"/>
      <c r="OOD1364" s="110"/>
      <c r="OOE1364" s="110"/>
      <c r="OOF1364" s="110"/>
      <c r="OOG1364" s="110"/>
      <c r="OOH1364" s="110"/>
      <c r="OOI1364" s="110"/>
      <c r="OOJ1364" s="110"/>
      <c r="OOK1364" s="110"/>
      <c r="OOL1364" s="110"/>
      <c r="OOM1364" s="110"/>
      <c r="OON1364" s="110"/>
      <c r="OOO1364" s="110"/>
      <c r="OOP1364" s="110"/>
      <c r="OOQ1364" s="110"/>
      <c r="OOR1364" s="110"/>
      <c r="OOS1364" s="110"/>
      <c r="OOT1364" s="110"/>
      <c r="OOU1364" s="110"/>
      <c r="OOV1364" s="110"/>
      <c r="OOW1364" s="110"/>
      <c r="OOX1364" s="110"/>
      <c r="OOY1364" s="110"/>
      <c r="OOZ1364" s="110"/>
      <c r="OPA1364" s="110"/>
      <c r="OPB1364" s="110"/>
      <c r="OPC1364" s="110"/>
      <c r="OPD1364" s="110"/>
      <c r="OPE1364" s="110"/>
      <c r="OPF1364" s="110"/>
      <c r="OPG1364" s="110"/>
      <c r="OPH1364" s="110"/>
      <c r="OPI1364" s="110"/>
      <c r="OPJ1364" s="110"/>
      <c r="OPK1364" s="110"/>
      <c r="OPL1364" s="110"/>
      <c r="OPM1364" s="110"/>
      <c r="OPN1364" s="110"/>
      <c r="OPO1364" s="110"/>
      <c r="OPP1364" s="110"/>
      <c r="OPQ1364" s="110"/>
      <c r="OPR1364" s="110"/>
      <c r="OPS1364" s="110"/>
      <c r="OPT1364" s="110"/>
      <c r="OPU1364" s="110"/>
      <c r="OPV1364" s="110"/>
      <c r="OPW1364" s="110"/>
      <c r="OPX1364" s="110"/>
      <c r="OPY1364" s="110"/>
      <c r="OPZ1364" s="110"/>
      <c r="OQA1364" s="110"/>
      <c r="OQB1364" s="110"/>
      <c r="OQC1364" s="110"/>
      <c r="OQD1364" s="110"/>
      <c r="OQE1364" s="110"/>
      <c r="OQF1364" s="110"/>
      <c r="OQG1364" s="110"/>
      <c r="OQH1364" s="110"/>
      <c r="OQI1364" s="110"/>
      <c r="OQJ1364" s="110"/>
      <c r="OQK1364" s="110"/>
      <c r="OQL1364" s="110"/>
      <c r="OQM1364" s="110"/>
      <c r="OQN1364" s="110"/>
      <c r="OQO1364" s="110"/>
      <c r="OQP1364" s="110"/>
      <c r="OQQ1364" s="110"/>
      <c r="OQR1364" s="110"/>
      <c r="OQS1364" s="110"/>
      <c r="OQT1364" s="110"/>
      <c r="OQU1364" s="110"/>
      <c r="OQV1364" s="110"/>
      <c r="OQW1364" s="110"/>
      <c r="OQX1364" s="110"/>
      <c r="OQY1364" s="110"/>
      <c r="OQZ1364" s="110"/>
      <c r="ORA1364" s="110"/>
      <c r="ORB1364" s="110"/>
      <c r="ORC1364" s="110"/>
      <c r="ORD1364" s="110"/>
      <c r="ORE1364" s="110"/>
      <c r="ORF1364" s="110"/>
      <c r="ORG1364" s="110"/>
      <c r="ORH1364" s="110"/>
      <c r="ORI1364" s="110"/>
      <c r="ORJ1364" s="110"/>
      <c r="ORK1364" s="110"/>
      <c r="ORL1364" s="110"/>
      <c r="ORM1364" s="110"/>
      <c r="ORN1364" s="110"/>
      <c r="ORO1364" s="110"/>
      <c r="ORP1364" s="110"/>
      <c r="ORQ1364" s="110"/>
      <c r="ORR1364" s="110"/>
      <c r="ORS1364" s="110"/>
      <c r="ORT1364" s="110"/>
      <c r="ORU1364" s="110"/>
      <c r="ORV1364" s="110"/>
      <c r="ORW1364" s="110"/>
      <c r="ORX1364" s="110"/>
      <c r="ORY1364" s="110"/>
      <c r="ORZ1364" s="110"/>
      <c r="OSA1364" s="110"/>
      <c r="OSB1364" s="110"/>
      <c r="OSC1364" s="110"/>
      <c r="OSD1364" s="110"/>
      <c r="OSE1364" s="110"/>
      <c r="OSF1364" s="110"/>
      <c r="OSG1364" s="110"/>
      <c r="OSH1364" s="110"/>
      <c r="OSI1364" s="110"/>
      <c r="OSJ1364" s="110"/>
      <c r="OSK1364" s="110"/>
      <c r="OSL1364" s="110"/>
      <c r="OSM1364" s="110"/>
      <c r="OSN1364" s="110"/>
      <c r="OSO1364" s="110"/>
      <c r="OSP1364" s="110"/>
      <c r="OSQ1364" s="110"/>
      <c r="OSR1364" s="110"/>
      <c r="OSS1364" s="110"/>
      <c r="OST1364" s="110"/>
      <c r="OSU1364" s="110"/>
      <c r="OSV1364" s="110"/>
      <c r="OSW1364" s="110"/>
      <c r="OSX1364" s="110"/>
      <c r="OSY1364" s="110"/>
      <c r="OSZ1364" s="110"/>
      <c r="OTA1364" s="110"/>
      <c r="OTB1364" s="110"/>
      <c r="OTC1364" s="110"/>
      <c r="OTD1364" s="110"/>
      <c r="OTE1364" s="110"/>
      <c r="OTF1364" s="110"/>
      <c r="OTG1364" s="110"/>
      <c r="OTH1364" s="110"/>
      <c r="OTI1364" s="110"/>
      <c r="OTJ1364" s="110"/>
      <c r="OTK1364" s="110"/>
      <c r="OTL1364" s="110"/>
      <c r="OTM1364" s="110"/>
      <c r="OTN1364" s="110"/>
      <c r="OTO1364" s="110"/>
      <c r="OTP1364" s="110"/>
      <c r="OTQ1364" s="110"/>
      <c r="OTR1364" s="110"/>
      <c r="OTS1364" s="110"/>
      <c r="OTT1364" s="110"/>
      <c r="OTU1364" s="110"/>
      <c r="OTV1364" s="110"/>
      <c r="OTW1364" s="110"/>
      <c r="OTX1364" s="110"/>
      <c r="OTY1364" s="110"/>
      <c r="OTZ1364" s="110"/>
      <c r="OUA1364" s="110"/>
      <c r="OUB1364" s="110"/>
      <c r="OUC1364" s="110"/>
      <c r="OUD1364" s="110"/>
      <c r="OUE1364" s="110"/>
      <c r="OUF1364" s="110"/>
      <c r="OUG1364" s="110"/>
      <c r="OUH1364" s="110"/>
      <c r="OUI1364" s="110"/>
      <c r="OUJ1364" s="110"/>
      <c r="OUK1364" s="110"/>
      <c r="OUL1364" s="110"/>
      <c r="OUM1364" s="110"/>
      <c r="OUN1364" s="110"/>
      <c r="OUO1364" s="110"/>
      <c r="OUP1364" s="110"/>
      <c r="OUQ1364" s="110"/>
      <c r="OUR1364" s="110"/>
      <c r="OUS1364" s="110"/>
      <c r="OUT1364" s="110"/>
      <c r="OUU1364" s="110"/>
      <c r="OUV1364" s="110"/>
      <c r="OUW1364" s="110"/>
      <c r="OUX1364" s="110"/>
      <c r="OUY1364" s="110"/>
      <c r="OUZ1364" s="110"/>
      <c r="OVA1364" s="110"/>
      <c r="OVB1364" s="110"/>
      <c r="OVC1364" s="110"/>
      <c r="OVD1364" s="110"/>
      <c r="OVE1364" s="110"/>
      <c r="OVF1364" s="110"/>
      <c r="OVG1364" s="110"/>
      <c r="OVH1364" s="110"/>
      <c r="OVI1364" s="110"/>
      <c r="OVJ1364" s="110"/>
      <c r="OVK1364" s="110"/>
      <c r="OVL1364" s="110"/>
      <c r="OVM1364" s="110"/>
      <c r="OVN1364" s="110"/>
      <c r="OVO1364" s="110"/>
      <c r="OVP1364" s="110"/>
      <c r="OVQ1364" s="110"/>
      <c r="OVR1364" s="110"/>
      <c r="OVS1364" s="110"/>
      <c r="OVT1364" s="110"/>
      <c r="OVU1364" s="110"/>
      <c r="OVV1364" s="110"/>
      <c r="OVW1364" s="110"/>
      <c r="OVX1364" s="110"/>
      <c r="OVY1364" s="110"/>
      <c r="OVZ1364" s="110"/>
      <c r="OWA1364" s="110"/>
      <c r="OWB1364" s="110"/>
      <c r="OWC1364" s="110"/>
      <c r="OWD1364" s="110"/>
      <c r="OWE1364" s="110"/>
      <c r="OWF1364" s="110"/>
      <c r="OWG1364" s="110"/>
      <c r="OWH1364" s="110"/>
      <c r="OWI1364" s="110"/>
      <c r="OWJ1364" s="110"/>
      <c r="OWK1364" s="110"/>
      <c r="OWL1364" s="110"/>
      <c r="OWM1364" s="110"/>
      <c r="OWN1364" s="110"/>
      <c r="OWO1364" s="110"/>
      <c r="OWP1364" s="110"/>
      <c r="OWQ1364" s="110"/>
      <c r="OWR1364" s="110"/>
      <c r="OWS1364" s="110"/>
      <c r="OWT1364" s="110"/>
      <c r="OWU1364" s="110"/>
      <c r="OWV1364" s="110"/>
      <c r="OWW1364" s="110"/>
      <c r="OWX1364" s="110"/>
      <c r="OWY1364" s="110"/>
      <c r="OWZ1364" s="110"/>
      <c r="OXA1364" s="110"/>
      <c r="OXB1364" s="110"/>
      <c r="OXC1364" s="110"/>
      <c r="OXD1364" s="110"/>
      <c r="OXE1364" s="110"/>
      <c r="OXF1364" s="110"/>
      <c r="OXG1364" s="110"/>
      <c r="OXH1364" s="110"/>
      <c r="OXI1364" s="110"/>
      <c r="OXJ1364" s="110"/>
      <c r="OXK1364" s="110"/>
      <c r="OXL1364" s="110"/>
      <c r="OXM1364" s="110"/>
      <c r="OXN1364" s="110"/>
      <c r="OXO1364" s="110"/>
      <c r="OXP1364" s="110"/>
      <c r="OXQ1364" s="110"/>
      <c r="OXR1364" s="110"/>
      <c r="OXS1364" s="110"/>
      <c r="OXT1364" s="110"/>
      <c r="OXU1364" s="110"/>
      <c r="OXV1364" s="110"/>
      <c r="OXW1364" s="110"/>
      <c r="OXX1364" s="110"/>
      <c r="OXY1364" s="110"/>
      <c r="OXZ1364" s="110"/>
      <c r="OYA1364" s="110"/>
      <c r="OYB1364" s="110"/>
      <c r="OYC1364" s="110"/>
      <c r="OYD1364" s="110"/>
      <c r="OYE1364" s="110"/>
      <c r="OYF1364" s="110"/>
      <c r="OYG1364" s="110"/>
      <c r="OYH1364" s="110"/>
      <c r="OYI1364" s="110"/>
      <c r="OYJ1364" s="110"/>
      <c r="OYK1364" s="110"/>
      <c r="OYL1364" s="110"/>
      <c r="OYM1364" s="110"/>
      <c r="OYN1364" s="110"/>
      <c r="OYO1364" s="110"/>
      <c r="OYP1364" s="110"/>
      <c r="OYQ1364" s="110"/>
      <c r="OYR1364" s="110"/>
      <c r="OYS1364" s="110"/>
      <c r="OYT1364" s="110"/>
      <c r="OYU1364" s="110"/>
      <c r="OYV1364" s="110"/>
      <c r="OYW1364" s="110"/>
      <c r="OYX1364" s="110"/>
      <c r="OYY1364" s="110"/>
      <c r="OYZ1364" s="110"/>
      <c r="OZA1364" s="110"/>
      <c r="OZB1364" s="110"/>
      <c r="OZC1364" s="110"/>
      <c r="OZD1364" s="110"/>
      <c r="OZE1364" s="110"/>
      <c r="OZF1364" s="110"/>
      <c r="OZG1364" s="110"/>
      <c r="OZH1364" s="110"/>
      <c r="OZI1364" s="110"/>
      <c r="OZJ1364" s="110"/>
      <c r="OZK1364" s="110"/>
      <c r="OZL1364" s="110"/>
      <c r="OZM1364" s="110"/>
      <c r="OZN1364" s="110"/>
      <c r="OZO1364" s="110"/>
      <c r="OZP1364" s="110"/>
      <c r="OZQ1364" s="110"/>
      <c r="OZR1364" s="110"/>
      <c r="OZS1364" s="110"/>
      <c r="OZT1364" s="110"/>
      <c r="OZU1364" s="110"/>
      <c r="OZV1364" s="110"/>
      <c r="OZW1364" s="110"/>
      <c r="OZX1364" s="110"/>
      <c r="OZY1364" s="110"/>
      <c r="OZZ1364" s="110"/>
      <c r="PAA1364" s="110"/>
      <c r="PAB1364" s="110"/>
      <c r="PAC1364" s="110"/>
      <c r="PAD1364" s="110"/>
      <c r="PAE1364" s="110"/>
      <c r="PAF1364" s="110"/>
      <c r="PAG1364" s="110"/>
      <c r="PAH1364" s="110"/>
      <c r="PAI1364" s="110"/>
      <c r="PAJ1364" s="110"/>
      <c r="PAK1364" s="110"/>
      <c r="PAL1364" s="110"/>
      <c r="PAM1364" s="110"/>
      <c r="PAN1364" s="110"/>
      <c r="PAO1364" s="110"/>
      <c r="PAP1364" s="110"/>
      <c r="PAQ1364" s="110"/>
      <c r="PAR1364" s="110"/>
      <c r="PAS1364" s="110"/>
      <c r="PAT1364" s="110"/>
      <c r="PAU1364" s="110"/>
      <c r="PAV1364" s="110"/>
      <c r="PAW1364" s="110"/>
      <c r="PAX1364" s="110"/>
      <c r="PAY1364" s="110"/>
      <c r="PAZ1364" s="110"/>
      <c r="PBA1364" s="110"/>
      <c r="PBB1364" s="110"/>
      <c r="PBC1364" s="110"/>
      <c r="PBD1364" s="110"/>
      <c r="PBE1364" s="110"/>
      <c r="PBF1364" s="110"/>
      <c r="PBG1364" s="110"/>
      <c r="PBH1364" s="110"/>
      <c r="PBI1364" s="110"/>
      <c r="PBJ1364" s="110"/>
      <c r="PBK1364" s="110"/>
      <c r="PBL1364" s="110"/>
      <c r="PBM1364" s="110"/>
      <c r="PBN1364" s="110"/>
      <c r="PBO1364" s="110"/>
      <c r="PBP1364" s="110"/>
      <c r="PBQ1364" s="110"/>
      <c r="PBR1364" s="110"/>
      <c r="PBS1364" s="110"/>
      <c r="PBT1364" s="110"/>
      <c r="PBU1364" s="110"/>
      <c r="PBV1364" s="110"/>
      <c r="PBW1364" s="110"/>
      <c r="PBX1364" s="110"/>
      <c r="PBY1364" s="110"/>
      <c r="PBZ1364" s="110"/>
      <c r="PCA1364" s="110"/>
      <c r="PCB1364" s="110"/>
      <c r="PCC1364" s="110"/>
      <c r="PCD1364" s="110"/>
      <c r="PCE1364" s="110"/>
      <c r="PCF1364" s="110"/>
      <c r="PCG1364" s="110"/>
      <c r="PCH1364" s="110"/>
      <c r="PCI1364" s="110"/>
      <c r="PCJ1364" s="110"/>
      <c r="PCK1364" s="110"/>
      <c r="PCL1364" s="110"/>
      <c r="PCM1364" s="110"/>
      <c r="PCN1364" s="110"/>
      <c r="PCO1364" s="110"/>
      <c r="PCP1364" s="110"/>
      <c r="PCQ1364" s="110"/>
      <c r="PCR1364" s="110"/>
      <c r="PCS1364" s="110"/>
      <c r="PCT1364" s="110"/>
      <c r="PCU1364" s="110"/>
      <c r="PCV1364" s="110"/>
      <c r="PCW1364" s="110"/>
      <c r="PCX1364" s="110"/>
      <c r="PCY1364" s="110"/>
      <c r="PCZ1364" s="110"/>
      <c r="PDA1364" s="110"/>
      <c r="PDB1364" s="110"/>
      <c r="PDC1364" s="110"/>
      <c r="PDD1364" s="110"/>
      <c r="PDE1364" s="110"/>
      <c r="PDF1364" s="110"/>
      <c r="PDG1364" s="110"/>
      <c r="PDH1364" s="110"/>
      <c r="PDI1364" s="110"/>
      <c r="PDJ1364" s="110"/>
      <c r="PDK1364" s="110"/>
      <c r="PDL1364" s="110"/>
      <c r="PDM1364" s="110"/>
      <c r="PDN1364" s="110"/>
      <c r="PDO1364" s="110"/>
      <c r="PDP1364" s="110"/>
      <c r="PDQ1364" s="110"/>
      <c r="PDR1364" s="110"/>
      <c r="PDS1364" s="110"/>
      <c r="PDT1364" s="110"/>
      <c r="PDU1364" s="110"/>
      <c r="PDV1364" s="110"/>
      <c r="PDW1364" s="110"/>
      <c r="PDX1364" s="110"/>
      <c r="PDY1364" s="110"/>
      <c r="PDZ1364" s="110"/>
      <c r="PEA1364" s="110"/>
      <c r="PEB1364" s="110"/>
      <c r="PEC1364" s="110"/>
      <c r="PED1364" s="110"/>
      <c r="PEE1364" s="110"/>
      <c r="PEF1364" s="110"/>
      <c r="PEG1364" s="110"/>
      <c r="PEH1364" s="110"/>
      <c r="PEI1364" s="110"/>
      <c r="PEJ1364" s="110"/>
      <c r="PEK1364" s="110"/>
      <c r="PEL1364" s="110"/>
      <c r="PEM1364" s="110"/>
      <c r="PEN1364" s="110"/>
      <c r="PEO1364" s="110"/>
      <c r="PEP1364" s="110"/>
      <c r="PEQ1364" s="110"/>
      <c r="PER1364" s="110"/>
      <c r="PES1364" s="110"/>
      <c r="PET1364" s="110"/>
      <c r="PEU1364" s="110"/>
      <c r="PEV1364" s="110"/>
      <c r="PEW1364" s="110"/>
      <c r="PEX1364" s="110"/>
      <c r="PEY1364" s="110"/>
      <c r="PEZ1364" s="110"/>
      <c r="PFA1364" s="110"/>
      <c r="PFB1364" s="110"/>
      <c r="PFC1364" s="110"/>
      <c r="PFD1364" s="110"/>
      <c r="PFE1364" s="110"/>
      <c r="PFF1364" s="110"/>
      <c r="PFG1364" s="110"/>
      <c r="PFH1364" s="110"/>
      <c r="PFI1364" s="110"/>
      <c r="PFJ1364" s="110"/>
      <c r="PFK1364" s="110"/>
      <c r="PFL1364" s="110"/>
      <c r="PFM1364" s="110"/>
      <c r="PFN1364" s="110"/>
      <c r="PFO1364" s="110"/>
      <c r="PFP1364" s="110"/>
      <c r="PFQ1364" s="110"/>
      <c r="PFR1364" s="110"/>
      <c r="PFS1364" s="110"/>
      <c r="PFT1364" s="110"/>
      <c r="PFU1364" s="110"/>
      <c r="PFV1364" s="110"/>
      <c r="PFW1364" s="110"/>
      <c r="PFX1364" s="110"/>
      <c r="PFY1364" s="110"/>
      <c r="PFZ1364" s="110"/>
      <c r="PGA1364" s="110"/>
      <c r="PGB1364" s="110"/>
      <c r="PGC1364" s="110"/>
      <c r="PGD1364" s="110"/>
      <c r="PGE1364" s="110"/>
      <c r="PGF1364" s="110"/>
      <c r="PGG1364" s="110"/>
      <c r="PGH1364" s="110"/>
      <c r="PGI1364" s="110"/>
      <c r="PGJ1364" s="110"/>
      <c r="PGK1364" s="110"/>
      <c r="PGL1364" s="110"/>
      <c r="PGM1364" s="110"/>
      <c r="PGN1364" s="110"/>
      <c r="PGO1364" s="110"/>
      <c r="PGP1364" s="110"/>
      <c r="PGQ1364" s="110"/>
      <c r="PGR1364" s="110"/>
      <c r="PGS1364" s="110"/>
      <c r="PGT1364" s="110"/>
      <c r="PGU1364" s="110"/>
      <c r="PGV1364" s="110"/>
      <c r="PGW1364" s="110"/>
      <c r="PGX1364" s="110"/>
      <c r="PGY1364" s="110"/>
      <c r="PGZ1364" s="110"/>
      <c r="PHA1364" s="110"/>
      <c r="PHB1364" s="110"/>
      <c r="PHC1364" s="110"/>
      <c r="PHD1364" s="110"/>
      <c r="PHE1364" s="110"/>
      <c r="PHF1364" s="110"/>
      <c r="PHG1364" s="110"/>
      <c r="PHH1364" s="110"/>
      <c r="PHI1364" s="110"/>
      <c r="PHJ1364" s="110"/>
      <c r="PHK1364" s="110"/>
      <c r="PHL1364" s="110"/>
      <c r="PHM1364" s="110"/>
      <c r="PHN1364" s="110"/>
      <c r="PHO1364" s="110"/>
      <c r="PHP1364" s="110"/>
      <c r="PHQ1364" s="110"/>
      <c r="PHR1364" s="110"/>
      <c r="PHS1364" s="110"/>
      <c r="PHT1364" s="110"/>
      <c r="PHU1364" s="110"/>
      <c r="PHV1364" s="110"/>
      <c r="PHW1364" s="110"/>
      <c r="PHX1364" s="110"/>
      <c r="PHY1364" s="110"/>
      <c r="PHZ1364" s="110"/>
      <c r="PIA1364" s="110"/>
      <c r="PIB1364" s="110"/>
      <c r="PIC1364" s="110"/>
      <c r="PID1364" s="110"/>
      <c r="PIE1364" s="110"/>
      <c r="PIF1364" s="110"/>
      <c r="PIG1364" s="110"/>
      <c r="PIH1364" s="110"/>
      <c r="PII1364" s="110"/>
      <c r="PIJ1364" s="110"/>
      <c r="PIK1364" s="110"/>
      <c r="PIL1364" s="110"/>
      <c r="PIM1364" s="110"/>
      <c r="PIN1364" s="110"/>
      <c r="PIO1364" s="110"/>
      <c r="PIP1364" s="110"/>
      <c r="PIQ1364" s="110"/>
      <c r="PIR1364" s="110"/>
      <c r="PIS1364" s="110"/>
      <c r="PIT1364" s="110"/>
      <c r="PIU1364" s="110"/>
      <c r="PIV1364" s="110"/>
      <c r="PIW1364" s="110"/>
      <c r="PIX1364" s="110"/>
      <c r="PIY1364" s="110"/>
      <c r="PIZ1364" s="110"/>
      <c r="PJA1364" s="110"/>
      <c r="PJB1364" s="110"/>
      <c r="PJC1364" s="110"/>
      <c r="PJD1364" s="110"/>
      <c r="PJE1364" s="110"/>
      <c r="PJF1364" s="110"/>
      <c r="PJG1364" s="110"/>
      <c r="PJH1364" s="110"/>
      <c r="PJI1364" s="110"/>
      <c r="PJJ1364" s="110"/>
      <c r="PJK1364" s="110"/>
      <c r="PJL1364" s="110"/>
      <c r="PJM1364" s="110"/>
      <c r="PJN1364" s="110"/>
      <c r="PJO1364" s="110"/>
      <c r="PJP1364" s="110"/>
      <c r="PJQ1364" s="110"/>
      <c r="PJR1364" s="110"/>
      <c r="PJS1364" s="110"/>
      <c r="PJT1364" s="110"/>
      <c r="PJU1364" s="110"/>
      <c r="PJV1364" s="110"/>
      <c r="PJW1364" s="110"/>
      <c r="PJX1364" s="110"/>
      <c r="PJY1364" s="110"/>
      <c r="PJZ1364" s="110"/>
      <c r="PKA1364" s="110"/>
      <c r="PKB1364" s="110"/>
      <c r="PKC1364" s="110"/>
      <c r="PKD1364" s="110"/>
      <c r="PKE1364" s="110"/>
      <c r="PKF1364" s="110"/>
      <c r="PKG1364" s="110"/>
      <c r="PKH1364" s="110"/>
      <c r="PKI1364" s="110"/>
      <c r="PKJ1364" s="110"/>
      <c r="PKK1364" s="110"/>
      <c r="PKL1364" s="110"/>
      <c r="PKM1364" s="110"/>
      <c r="PKN1364" s="110"/>
      <c r="PKO1364" s="110"/>
      <c r="PKP1364" s="110"/>
      <c r="PKQ1364" s="110"/>
      <c r="PKR1364" s="110"/>
      <c r="PKS1364" s="110"/>
      <c r="PKT1364" s="110"/>
      <c r="PKU1364" s="110"/>
      <c r="PKV1364" s="110"/>
      <c r="PKW1364" s="110"/>
      <c r="PKX1364" s="110"/>
      <c r="PKY1364" s="110"/>
      <c r="PKZ1364" s="110"/>
      <c r="PLA1364" s="110"/>
      <c r="PLB1364" s="110"/>
      <c r="PLC1364" s="110"/>
      <c r="PLD1364" s="110"/>
      <c r="PLE1364" s="110"/>
      <c r="PLF1364" s="110"/>
      <c r="PLG1364" s="110"/>
      <c r="PLH1364" s="110"/>
      <c r="PLI1364" s="110"/>
      <c r="PLJ1364" s="110"/>
      <c r="PLK1364" s="110"/>
      <c r="PLL1364" s="110"/>
      <c r="PLM1364" s="110"/>
      <c r="PLN1364" s="110"/>
      <c r="PLO1364" s="110"/>
      <c r="PLP1364" s="110"/>
      <c r="PLQ1364" s="110"/>
      <c r="PLR1364" s="110"/>
      <c r="PLS1364" s="110"/>
      <c r="PLT1364" s="110"/>
      <c r="PLU1364" s="110"/>
      <c r="PLV1364" s="110"/>
      <c r="PLW1364" s="110"/>
      <c r="PLX1364" s="110"/>
      <c r="PLY1364" s="110"/>
      <c r="PLZ1364" s="110"/>
      <c r="PMA1364" s="110"/>
      <c r="PMB1364" s="110"/>
      <c r="PMC1364" s="110"/>
      <c r="PMD1364" s="110"/>
      <c r="PME1364" s="110"/>
      <c r="PMF1364" s="110"/>
      <c r="PMG1364" s="110"/>
      <c r="PMH1364" s="110"/>
      <c r="PMI1364" s="110"/>
      <c r="PMJ1364" s="110"/>
      <c r="PMK1364" s="110"/>
      <c r="PML1364" s="110"/>
      <c r="PMM1364" s="110"/>
      <c r="PMN1364" s="110"/>
      <c r="PMO1364" s="110"/>
      <c r="PMP1364" s="110"/>
      <c r="PMQ1364" s="110"/>
      <c r="PMR1364" s="110"/>
      <c r="PMS1364" s="110"/>
      <c r="PMT1364" s="110"/>
      <c r="PMU1364" s="110"/>
      <c r="PMV1364" s="110"/>
      <c r="PMW1364" s="110"/>
      <c r="PMX1364" s="110"/>
      <c r="PMY1364" s="110"/>
      <c r="PMZ1364" s="110"/>
      <c r="PNA1364" s="110"/>
      <c r="PNB1364" s="110"/>
      <c r="PNC1364" s="110"/>
      <c r="PND1364" s="110"/>
      <c r="PNE1364" s="110"/>
      <c r="PNF1364" s="110"/>
      <c r="PNG1364" s="110"/>
      <c r="PNH1364" s="110"/>
      <c r="PNI1364" s="110"/>
      <c r="PNJ1364" s="110"/>
      <c r="PNK1364" s="110"/>
      <c r="PNL1364" s="110"/>
      <c r="PNM1364" s="110"/>
      <c r="PNN1364" s="110"/>
      <c r="PNO1364" s="110"/>
      <c r="PNP1364" s="110"/>
      <c r="PNQ1364" s="110"/>
      <c r="PNR1364" s="110"/>
      <c r="PNS1364" s="110"/>
      <c r="PNT1364" s="110"/>
      <c r="PNU1364" s="110"/>
      <c r="PNV1364" s="110"/>
      <c r="PNW1364" s="110"/>
      <c r="PNX1364" s="110"/>
      <c r="PNY1364" s="110"/>
      <c r="PNZ1364" s="110"/>
      <c r="POA1364" s="110"/>
      <c r="POB1364" s="110"/>
      <c r="POC1364" s="110"/>
      <c r="POD1364" s="110"/>
      <c r="POE1364" s="110"/>
      <c r="POF1364" s="110"/>
      <c r="POG1364" s="110"/>
      <c r="POH1364" s="110"/>
      <c r="POI1364" s="110"/>
      <c r="POJ1364" s="110"/>
      <c r="POK1364" s="110"/>
      <c r="POL1364" s="110"/>
      <c r="POM1364" s="110"/>
      <c r="PON1364" s="110"/>
      <c r="POO1364" s="110"/>
      <c r="POP1364" s="110"/>
      <c r="POQ1364" s="110"/>
      <c r="POR1364" s="110"/>
      <c r="POS1364" s="110"/>
      <c r="POT1364" s="110"/>
      <c r="POU1364" s="110"/>
      <c r="POV1364" s="110"/>
      <c r="POW1364" s="110"/>
      <c r="POX1364" s="110"/>
      <c r="POY1364" s="110"/>
      <c r="POZ1364" s="110"/>
      <c r="PPA1364" s="110"/>
      <c r="PPB1364" s="110"/>
      <c r="PPC1364" s="110"/>
      <c r="PPD1364" s="110"/>
      <c r="PPE1364" s="110"/>
      <c r="PPF1364" s="110"/>
      <c r="PPG1364" s="110"/>
      <c r="PPH1364" s="110"/>
      <c r="PPI1364" s="110"/>
      <c r="PPJ1364" s="110"/>
      <c r="PPK1364" s="110"/>
      <c r="PPL1364" s="110"/>
      <c r="PPM1364" s="110"/>
      <c r="PPN1364" s="110"/>
      <c r="PPO1364" s="110"/>
      <c r="PPP1364" s="110"/>
      <c r="PPQ1364" s="110"/>
      <c r="PPR1364" s="110"/>
      <c r="PPS1364" s="110"/>
      <c r="PPT1364" s="110"/>
      <c r="PPU1364" s="110"/>
      <c r="PPV1364" s="110"/>
      <c r="PPW1364" s="110"/>
      <c r="PPX1364" s="110"/>
      <c r="PPY1364" s="110"/>
      <c r="PPZ1364" s="110"/>
      <c r="PQA1364" s="110"/>
      <c r="PQB1364" s="110"/>
      <c r="PQC1364" s="110"/>
      <c r="PQD1364" s="110"/>
      <c r="PQE1364" s="110"/>
      <c r="PQF1364" s="110"/>
      <c r="PQG1364" s="110"/>
      <c r="PQH1364" s="110"/>
      <c r="PQI1364" s="110"/>
      <c r="PQJ1364" s="110"/>
      <c r="PQK1364" s="110"/>
      <c r="PQL1364" s="110"/>
      <c r="PQM1364" s="110"/>
      <c r="PQN1364" s="110"/>
      <c r="PQO1364" s="110"/>
      <c r="PQP1364" s="110"/>
      <c r="PQQ1364" s="110"/>
      <c r="PQR1364" s="110"/>
      <c r="PQS1364" s="110"/>
      <c r="PQT1364" s="110"/>
      <c r="PQU1364" s="110"/>
      <c r="PQV1364" s="110"/>
      <c r="PQW1364" s="110"/>
      <c r="PQX1364" s="110"/>
      <c r="PQY1364" s="110"/>
      <c r="PQZ1364" s="110"/>
      <c r="PRA1364" s="110"/>
      <c r="PRB1364" s="110"/>
      <c r="PRC1364" s="110"/>
      <c r="PRD1364" s="110"/>
      <c r="PRE1364" s="110"/>
      <c r="PRF1364" s="110"/>
      <c r="PRG1364" s="110"/>
      <c r="PRH1364" s="110"/>
      <c r="PRI1364" s="110"/>
      <c r="PRJ1364" s="110"/>
      <c r="PRK1364" s="110"/>
      <c r="PRL1364" s="110"/>
      <c r="PRM1364" s="110"/>
      <c r="PRN1364" s="110"/>
      <c r="PRO1364" s="110"/>
      <c r="PRP1364" s="110"/>
      <c r="PRQ1364" s="110"/>
      <c r="PRR1364" s="110"/>
      <c r="PRS1364" s="110"/>
      <c r="PRT1364" s="110"/>
      <c r="PRU1364" s="110"/>
      <c r="PRV1364" s="110"/>
      <c r="PRW1364" s="110"/>
      <c r="PRX1364" s="110"/>
      <c r="PRY1364" s="110"/>
      <c r="PRZ1364" s="110"/>
      <c r="PSA1364" s="110"/>
      <c r="PSB1364" s="110"/>
      <c r="PSC1364" s="110"/>
      <c r="PSD1364" s="110"/>
      <c r="PSE1364" s="110"/>
      <c r="PSF1364" s="110"/>
      <c r="PSG1364" s="110"/>
      <c r="PSH1364" s="110"/>
      <c r="PSI1364" s="110"/>
      <c r="PSJ1364" s="110"/>
      <c r="PSK1364" s="110"/>
      <c r="PSL1364" s="110"/>
      <c r="PSM1364" s="110"/>
      <c r="PSN1364" s="110"/>
      <c r="PSO1364" s="110"/>
      <c r="PSP1364" s="110"/>
      <c r="PSQ1364" s="110"/>
      <c r="PSR1364" s="110"/>
      <c r="PSS1364" s="110"/>
      <c r="PST1364" s="110"/>
      <c r="PSU1364" s="110"/>
      <c r="PSV1364" s="110"/>
      <c r="PSW1364" s="110"/>
      <c r="PSX1364" s="110"/>
      <c r="PSY1364" s="110"/>
      <c r="PSZ1364" s="110"/>
      <c r="PTA1364" s="110"/>
      <c r="PTB1364" s="110"/>
      <c r="PTC1364" s="110"/>
      <c r="PTD1364" s="110"/>
      <c r="PTE1364" s="110"/>
      <c r="PTF1364" s="110"/>
      <c r="PTG1364" s="110"/>
      <c r="PTH1364" s="110"/>
      <c r="PTI1364" s="110"/>
      <c r="PTJ1364" s="110"/>
      <c r="PTK1364" s="110"/>
      <c r="PTL1364" s="110"/>
      <c r="PTM1364" s="110"/>
      <c r="PTN1364" s="110"/>
      <c r="PTO1364" s="110"/>
      <c r="PTP1364" s="110"/>
      <c r="PTQ1364" s="110"/>
      <c r="PTR1364" s="110"/>
      <c r="PTS1364" s="110"/>
      <c r="PTT1364" s="110"/>
      <c r="PTU1364" s="110"/>
      <c r="PTV1364" s="110"/>
      <c r="PTW1364" s="110"/>
      <c r="PTX1364" s="110"/>
      <c r="PTY1364" s="110"/>
      <c r="PTZ1364" s="110"/>
      <c r="PUA1364" s="110"/>
      <c r="PUB1364" s="110"/>
      <c r="PUC1364" s="110"/>
      <c r="PUD1364" s="110"/>
      <c r="PUE1364" s="110"/>
      <c r="PUF1364" s="110"/>
      <c r="PUG1364" s="110"/>
      <c r="PUH1364" s="110"/>
      <c r="PUI1364" s="110"/>
      <c r="PUJ1364" s="110"/>
      <c r="PUK1364" s="110"/>
      <c r="PUL1364" s="110"/>
      <c r="PUM1364" s="110"/>
      <c r="PUN1364" s="110"/>
      <c r="PUO1364" s="110"/>
      <c r="PUP1364" s="110"/>
      <c r="PUQ1364" s="110"/>
      <c r="PUR1364" s="110"/>
      <c r="PUS1364" s="110"/>
      <c r="PUT1364" s="110"/>
      <c r="PUU1364" s="110"/>
      <c r="PUV1364" s="110"/>
      <c r="PUW1364" s="110"/>
      <c r="PUX1364" s="110"/>
      <c r="PUY1364" s="110"/>
      <c r="PUZ1364" s="110"/>
      <c r="PVA1364" s="110"/>
      <c r="PVB1364" s="110"/>
      <c r="PVC1364" s="110"/>
      <c r="PVD1364" s="110"/>
      <c r="PVE1364" s="110"/>
      <c r="PVF1364" s="110"/>
      <c r="PVG1364" s="110"/>
      <c r="PVH1364" s="110"/>
      <c r="PVI1364" s="110"/>
      <c r="PVJ1364" s="110"/>
      <c r="PVK1364" s="110"/>
      <c r="PVL1364" s="110"/>
      <c r="PVM1364" s="110"/>
      <c r="PVN1364" s="110"/>
      <c r="PVO1364" s="110"/>
      <c r="PVP1364" s="110"/>
      <c r="PVQ1364" s="110"/>
      <c r="PVR1364" s="110"/>
      <c r="PVS1364" s="110"/>
      <c r="PVT1364" s="110"/>
      <c r="PVU1364" s="110"/>
      <c r="PVV1364" s="110"/>
      <c r="PVW1364" s="110"/>
      <c r="PVX1364" s="110"/>
      <c r="PVY1364" s="110"/>
      <c r="PVZ1364" s="110"/>
      <c r="PWA1364" s="110"/>
      <c r="PWB1364" s="110"/>
      <c r="PWC1364" s="110"/>
      <c r="PWD1364" s="110"/>
      <c r="PWE1364" s="110"/>
      <c r="PWF1364" s="110"/>
      <c r="PWG1364" s="110"/>
      <c r="PWH1364" s="110"/>
      <c r="PWI1364" s="110"/>
      <c r="PWJ1364" s="110"/>
      <c r="PWK1364" s="110"/>
      <c r="PWL1364" s="110"/>
      <c r="PWM1364" s="110"/>
      <c r="PWN1364" s="110"/>
      <c r="PWO1364" s="110"/>
      <c r="PWP1364" s="110"/>
      <c r="PWQ1364" s="110"/>
      <c r="PWR1364" s="110"/>
      <c r="PWS1364" s="110"/>
      <c r="PWT1364" s="110"/>
      <c r="PWU1364" s="110"/>
      <c r="PWV1364" s="110"/>
      <c r="PWW1364" s="110"/>
      <c r="PWX1364" s="110"/>
      <c r="PWY1364" s="110"/>
      <c r="PWZ1364" s="110"/>
      <c r="PXA1364" s="110"/>
      <c r="PXB1364" s="110"/>
      <c r="PXC1364" s="110"/>
      <c r="PXD1364" s="110"/>
      <c r="PXE1364" s="110"/>
      <c r="PXF1364" s="110"/>
      <c r="PXG1364" s="110"/>
      <c r="PXH1364" s="110"/>
      <c r="PXI1364" s="110"/>
      <c r="PXJ1364" s="110"/>
      <c r="PXK1364" s="110"/>
      <c r="PXL1364" s="110"/>
      <c r="PXM1364" s="110"/>
      <c r="PXN1364" s="110"/>
      <c r="PXO1364" s="110"/>
      <c r="PXP1364" s="110"/>
      <c r="PXQ1364" s="110"/>
      <c r="PXR1364" s="110"/>
      <c r="PXS1364" s="110"/>
      <c r="PXT1364" s="110"/>
      <c r="PXU1364" s="110"/>
      <c r="PXV1364" s="110"/>
      <c r="PXW1364" s="110"/>
      <c r="PXX1364" s="110"/>
      <c r="PXY1364" s="110"/>
      <c r="PXZ1364" s="110"/>
      <c r="PYA1364" s="110"/>
      <c r="PYB1364" s="110"/>
      <c r="PYC1364" s="110"/>
      <c r="PYD1364" s="110"/>
      <c r="PYE1364" s="110"/>
      <c r="PYF1364" s="110"/>
      <c r="PYG1364" s="110"/>
      <c r="PYH1364" s="110"/>
      <c r="PYI1364" s="110"/>
      <c r="PYJ1364" s="110"/>
      <c r="PYK1364" s="110"/>
      <c r="PYL1364" s="110"/>
      <c r="PYM1364" s="110"/>
      <c r="PYN1364" s="110"/>
      <c r="PYO1364" s="110"/>
      <c r="PYP1364" s="110"/>
      <c r="PYQ1364" s="110"/>
      <c r="PYR1364" s="110"/>
      <c r="PYS1364" s="110"/>
      <c r="PYT1364" s="110"/>
      <c r="PYU1364" s="110"/>
      <c r="PYV1364" s="110"/>
      <c r="PYW1364" s="110"/>
      <c r="PYX1364" s="110"/>
      <c r="PYY1364" s="110"/>
      <c r="PYZ1364" s="110"/>
      <c r="PZA1364" s="110"/>
      <c r="PZB1364" s="110"/>
      <c r="PZC1364" s="110"/>
      <c r="PZD1364" s="110"/>
      <c r="PZE1364" s="110"/>
      <c r="PZF1364" s="110"/>
      <c r="PZG1364" s="110"/>
      <c r="PZH1364" s="110"/>
      <c r="PZI1364" s="110"/>
      <c r="PZJ1364" s="110"/>
      <c r="PZK1364" s="110"/>
      <c r="PZL1364" s="110"/>
      <c r="PZM1364" s="110"/>
      <c r="PZN1364" s="110"/>
      <c r="PZO1364" s="110"/>
      <c r="PZP1364" s="110"/>
      <c r="PZQ1364" s="110"/>
      <c r="PZR1364" s="110"/>
      <c r="PZS1364" s="110"/>
      <c r="PZT1364" s="110"/>
      <c r="PZU1364" s="110"/>
      <c r="PZV1364" s="110"/>
      <c r="PZW1364" s="110"/>
      <c r="PZX1364" s="110"/>
      <c r="PZY1364" s="110"/>
      <c r="PZZ1364" s="110"/>
      <c r="QAA1364" s="110"/>
      <c r="QAB1364" s="110"/>
      <c r="QAC1364" s="110"/>
      <c r="QAD1364" s="110"/>
      <c r="QAE1364" s="110"/>
      <c r="QAF1364" s="110"/>
      <c r="QAG1364" s="110"/>
      <c r="QAH1364" s="110"/>
      <c r="QAI1364" s="110"/>
      <c r="QAJ1364" s="110"/>
      <c r="QAK1364" s="110"/>
      <c r="QAL1364" s="110"/>
      <c r="QAM1364" s="110"/>
      <c r="QAN1364" s="110"/>
      <c r="QAO1364" s="110"/>
      <c r="QAP1364" s="110"/>
      <c r="QAQ1364" s="110"/>
      <c r="QAR1364" s="110"/>
      <c r="QAS1364" s="110"/>
      <c r="QAT1364" s="110"/>
      <c r="QAU1364" s="110"/>
      <c r="QAV1364" s="110"/>
      <c r="QAW1364" s="110"/>
      <c r="QAX1364" s="110"/>
      <c r="QAY1364" s="110"/>
      <c r="QAZ1364" s="110"/>
      <c r="QBA1364" s="110"/>
      <c r="QBB1364" s="110"/>
      <c r="QBC1364" s="110"/>
      <c r="QBD1364" s="110"/>
      <c r="QBE1364" s="110"/>
      <c r="QBF1364" s="110"/>
      <c r="QBG1364" s="110"/>
      <c r="QBH1364" s="110"/>
      <c r="QBI1364" s="110"/>
      <c r="QBJ1364" s="110"/>
      <c r="QBK1364" s="110"/>
      <c r="QBL1364" s="110"/>
      <c r="QBM1364" s="110"/>
      <c r="QBN1364" s="110"/>
      <c r="QBO1364" s="110"/>
      <c r="QBP1364" s="110"/>
      <c r="QBQ1364" s="110"/>
      <c r="QBR1364" s="110"/>
      <c r="QBS1364" s="110"/>
      <c r="QBT1364" s="110"/>
      <c r="QBU1364" s="110"/>
      <c r="QBV1364" s="110"/>
      <c r="QBW1364" s="110"/>
      <c r="QBX1364" s="110"/>
      <c r="QBY1364" s="110"/>
      <c r="QBZ1364" s="110"/>
      <c r="QCA1364" s="110"/>
      <c r="QCB1364" s="110"/>
      <c r="QCC1364" s="110"/>
      <c r="QCD1364" s="110"/>
      <c r="QCE1364" s="110"/>
      <c r="QCF1364" s="110"/>
      <c r="QCG1364" s="110"/>
      <c r="QCH1364" s="110"/>
      <c r="QCI1364" s="110"/>
      <c r="QCJ1364" s="110"/>
      <c r="QCK1364" s="110"/>
      <c r="QCL1364" s="110"/>
      <c r="QCM1364" s="110"/>
      <c r="QCN1364" s="110"/>
      <c r="QCO1364" s="110"/>
      <c r="QCP1364" s="110"/>
      <c r="QCQ1364" s="110"/>
      <c r="QCR1364" s="110"/>
      <c r="QCS1364" s="110"/>
      <c r="QCT1364" s="110"/>
      <c r="QCU1364" s="110"/>
      <c r="QCV1364" s="110"/>
      <c r="QCW1364" s="110"/>
      <c r="QCX1364" s="110"/>
      <c r="QCY1364" s="110"/>
      <c r="QCZ1364" s="110"/>
      <c r="QDA1364" s="110"/>
      <c r="QDB1364" s="110"/>
      <c r="QDC1364" s="110"/>
      <c r="QDD1364" s="110"/>
      <c r="QDE1364" s="110"/>
      <c r="QDF1364" s="110"/>
      <c r="QDG1364" s="110"/>
      <c r="QDH1364" s="110"/>
      <c r="QDI1364" s="110"/>
      <c r="QDJ1364" s="110"/>
      <c r="QDK1364" s="110"/>
      <c r="QDL1364" s="110"/>
      <c r="QDM1364" s="110"/>
      <c r="QDN1364" s="110"/>
      <c r="QDO1364" s="110"/>
      <c r="QDP1364" s="110"/>
      <c r="QDQ1364" s="110"/>
      <c r="QDR1364" s="110"/>
      <c r="QDS1364" s="110"/>
      <c r="QDT1364" s="110"/>
      <c r="QDU1364" s="110"/>
      <c r="QDV1364" s="110"/>
      <c r="QDW1364" s="110"/>
      <c r="QDX1364" s="110"/>
      <c r="QDY1364" s="110"/>
      <c r="QDZ1364" s="110"/>
      <c r="QEA1364" s="110"/>
      <c r="QEB1364" s="110"/>
      <c r="QEC1364" s="110"/>
      <c r="QED1364" s="110"/>
      <c r="QEE1364" s="110"/>
      <c r="QEF1364" s="110"/>
      <c r="QEG1364" s="110"/>
      <c r="QEH1364" s="110"/>
      <c r="QEI1364" s="110"/>
      <c r="QEJ1364" s="110"/>
      <c r="QEK1364" s="110"/>
      <c r="QEL1364" s="110"/>
      <c r="QEM1364" s="110"/>
      <c r="QEN1364" s="110"/>
      <c r="QEO1364" s="110"/>
      <c r="QEP1364" s="110"/>
      <c r="QEQ1364" s="110"/>
      <c r="QER1364" s="110"/>
      <c r="QES1364" s="110"/>
      <c r="QET1364" s="110"/>
      <c r="QEU1364" s="110"/>
      <c r="QEV1364" s="110"/>
      <c r="QEW1364" s="110"/>
      <c r="QEX1364" s="110"/>
      <c r="QEY1364" s="110"/>
      <c r="QEZ1364" s="110"/>
      <c r="QFA1364" s="110"/>
      <c r="QFB1364" s="110"/>
      <c r="QFC1364" s="110"/>
      <c r="QFD1364" s="110"/>
      <c r="QFE1364" s="110"/>
      <c r="QFF1364" s="110"/>
      <c r="QFG1364" s="110"/>
      <c r="QFH1364" s="110"/>
      <c r="QFI1364" s="110"/>
      <c r="QFJ1364" s="110"/>
      <c r="QFK1364" s="110"/>
      <c r="QFL1364" s="110"/>
      <c r="QFM1364" s="110"/>
      <c r="QFN1364" s="110"/>
      <c r="QFO1364" s="110"/>
      <c r="QFP1364" s="110"/>
      <c r="QFQ1364" s="110"/>
      <c r="QFR1364" s="110"/>
      <c r="QFS1364" s="110"/>
      <c r="QFT1364" s="110"/>
      <c r="QFU1364" s="110"/>
      <c r="QFV1364" s="110"/>
      <c r="QFW1364" s="110"/>
      <c r="QFX1364" s="110"/>
      <c r="QFY1364" s="110"/>
      <c r="QFZ1364" s="110"/>
      <c r="QGA1364" s="110"/>
      <c r="QGB1364" s="110"/>
      <c r="QGC1364" s="110"/>
      <c r="QGD1364" s="110"/>
      <c r="QGE1364" s="110"/>
      <c r="QGF1364" s="110"/>
      <c r="QGG1364" s="110"/>
      <c r="QGH1364" s="110"/>
      <c r="QGI1364" s="110"/>
      <c r="QGJ1364" s="110"/>
      <c r="QGK1364" s="110"/>
      <c r="QGL1364" s="110"/>
      <c r="QGM1364" s="110"/>
      <c r="QGN1364" s="110"/>
      <c r="QGO1364" s="110"/>
      <c r="QGP1364" s="110"/>
      <c r="QGQ1364" s="110"/>
      <c r="QGR1364" s="110"/>
      <c r="QGS1364" s="110"/>
      <c r="QGT1364" s="110"/>
      <c r="QGU1364" s="110"/>
      <c r="QGV1364" s="110"/>
      <c r="QGW1364" s="110"/>
      <c r="QGX1364" s="110"/>
      <c r="QGY1364" s="110"/>
      <c r="QGZ1364" s="110"/>
      <c r="QHA1364" s="110"/>
      <c r="QHB1364" s="110"/>
      <c r="QHC1364" s="110"/>
      <c r="QHD1364" s="110"/>
      <c r="QHE1364" s="110"/>
      <c r="QHF1364" s="110"/>
      <c r="QHG1364" s="110"/>
      <c r="QHH1364" s="110"/>
      <c r="QHI1364" s="110"/>
      <c r="QHJ1364" s="110"/>
      <c r="QHK1364" s="110"/>
      <c r="QHL1364" s="110"/>
      <c r="QHM1364" s="110"/>
      <c r="QHN1364" s="110"/>
      <c r="QHO1364" s="110"/>
      <c r="QHP1364" s="110"/>
      <c r="QHQ1364" s="110"/>
      <c r="QHR1364" s="110"/>
      <c r="QHS1364" s="110"/>
      <c r="QHT1364" s="110"/>
      <c r="QHU1364" s="110"/>
      <c r="QHV1364" s="110"/>
      <c r="QHW1364" s="110"/>
      <c r="QHX1364" s="110"/>
      <c r="QHY1364" s="110"/>
      <c r="QHZ1364" s="110"/>
      <c r="QIA1364" s="110"/>
      <c r="QIB1364" s="110"/>
      <c r="QIC1364" s="110"/>
      <c r="QID1364" s="110"/>
      <c r="QIE1364" s="110"/>
      <c r="QIF1364" s="110"/>
      <c r="QIG1364" s="110"/>
      <c r="QIH1364" s="110"/>
      <c r="QII1364" s="110"/>
      <c r="QIJ1364" s="110"/>
      <c r="QIK1364" s="110"/>
      <c r="QIL1364" s="110"/>
      <c r="QIM1364" s="110"/>
      <c r="QIN1364" s="110"/>
      <c r="QIO1364" s="110"/>
      <c r="QIP1364" s="110"/>
      <c r="QIQ1364" s="110"/>
      <c r="QIR1364" s="110"/>
      <c r="QIS1364" s="110"/>
      <c r="QIT1364" s="110"/>
      <c r="QIU1364" s="110"/>
      <c r="QIV1364" s="110"/>
      <c r="QIW1364" s="110"/>
      <c r="QIX1364" s="110"/>
      <c r="QIY1364" s="110"/>
      <c r="QIZ1364" s="110"/>
      <c r="QJA1364" s="110"/>
      <c r="QJB1364" s="110"/>
      <c r="QJC1364" s="110"/>
      <c r="QJD1364" s="110"/>
      <c r="QJE1364" s="110"/>
      <c r="QJF1364" s="110"/>
      <c r="QJG1364" s="110"/>
      <c r="QJH1364" s="110"/>
      <c r="QJI1364" s="110"/>
      <c r="QJJ1364" s="110"/>
      <c r="QJK1364" s="110"/>
      <c r="QJL1364" s="110"/>
      <c r="QJM1364" s="110"/>
      <c r="QJN1364" s="110"/>
      <c r="QJO1364" s="110"/>
      <c r="QJP1364" s="110"/>
      <c r="QJQ1364" s="110"/>
      <c r="QJR1364" s="110"/>
      <c r="QJS1364" s="110"/>
      <c r="QJT1364" s="110"/>
      <c r="QJU1364" s="110"/>
      <c r="QJV1364" s="110"/>
      <c r="QJW1364" s="110"/>
      <c r="QJX1364" s="110"/>
      <c r="QJY1364" s="110"/>
      <c r="QJZ1364" s="110"/>
      <c r="QKA1364" s="110"/>
      <c r="QKB1364" s="110"/>
      <c r="QKC1364" s="110"/>
      <c r="QKD1364" s="110"/>
      <c r="QKE1364" s="110"/>
      <c r="QKF1364" s="110"/>
      <c r="QKG1364" s="110"/>
      <c r="QKH1364" s="110"/>
      <c r="QKI1364" s="110"/>
      <c r="QKJ1364" s="110"/>
      <c r="QKK1364" s="110"/>
      <c r="QKL1364" s="110"/>
      <c r="QKM1364" s="110"/>
      <c r="QKN1364" s="110"/>
      <c r="QKO1364" s="110"/>
      <c r="QKP1364" s="110"/>
      <c r="QKQ1364" s="110"/>
      <c r="QKR1364" s="110"/>
      <c r="QKS1364" s="110"/>
      <c r="QKT1364" s="110"/>
      <c r="QKU1364" s="110"/>
      <c r="QKV1364" s="110"/>
      <c r="QKW1364" s="110"/>
      <c r="QKX1364" s="110"/>
      <c r="QKY1364" s="110"/>
      <c r="QKZ1364" s="110"/>
      <c r="QLA1364" s="110"/>
      <c r="QLB1364" s="110"/>
      <c r="QLC1364" s="110"/>
      <c r="QLD1364" s="110"/>
      <c r="QLE1364" s="110"/>
      <c r="QLF1364" s="110"/>
      <c r="QLG1364" s="110"/>
      <c r="QLH1364" s="110"/>
      <c r="QLI1364" s="110"/>
      <c r="QLJ1364" s="110"/>
      <c r="QLK1364" s="110"/>
      <c r="QLL1364" s="110"/>
      <c r="QLM1364" s="110"/>
      <c r="QLN1364" s="110"/>
      <c r="QLO1364" s="110"/>
      <c r="QLP1364" s="110"/>
      <c r="QLQ1364" s="110"/>
      <c r="QLR1364" s="110"/>
      <c r="QLS1364" s="110"/>
      <c r="QLT1364" s="110"/>
      <c r="QLU1364" s="110"/>
      <c r="QLV1364" s="110"/>
      <c r="QLW1364" s="110"/>
      <c r="QLX1364" s="110"/>
      <c r="QLY1364" s="110"/>
      <c r="QLZ1364" s="110"/>
      <c r="QMA1364" s="110"/>
      <c r="QMB1364" s="110"/>
      <c r="QMC1364" s="110"/>
      <c r="QMD1364" s="110"/>
      <c r="QME1364" s="110"/>
      <c r="QMF1364" s="110"/>
      <c r="QMG1364" s="110"/>
      <c r="QMH1364" s="110"/>
      <c r="QMI1364" s="110"/>
      <c r="QMJ1364" s="110"/>
      <c r="QMK1364" s="110"/>
      <c r="QML1364" s="110"/>
      <c r="QMM1364" s="110"/>
      <c r="QMN1364" s="110"/>
      <c r="QMO1364" s="110"/>
      <c r="QMP1364" s="110"/>
      <c r="QMQ1364" s="110"/>
      <c r="QMR1364" s="110"/>
      <c r="QMS1364" s="110"/>
      <c r="QMT1364" s="110"/>
      <c r="QMU1364" s="110"/>
      <c r="QMV1364" s="110"/>
      <c r="QMW1364" s="110"/>
      <c r="QMX1364" s="110"/>
      <c r="QMY1364" s="110"/>
      <c r="QMZ1364" s="110"/>
      <c r="QNA1364" s="110"/>
      <c r="QNB1364" s="110"/>
      <c r="QNC1364" s="110"/>
      <c r="QND1364" s="110"/>
      <c r="QNE1364" s="110"/>
      <c r="QNF1364" s="110"/>
      <c r="QNG1364" s="110"/>
      <c r="QNH1364" s="110"/>
      <c r="QNI1364" s="110"/>
      <c r="QNJ1364" s="110"/>
      <c r="QNK1364" s="110"/>
      <c r="QNL1364" s="110"/>
      <c r="QNM1364" s="110"/>
      <c r="QNN1364" s="110"/>
      <c r="QNO1364" s="110"/>
      <c r="QNP1364" s="110"/>
      <c r="QNQ1364" s="110"/>
      <c r="QNR1364" s="110"/>
      <c r="QNS1364" s="110"/>
      <c r="QNT1364" s="110"/>
      <c r="QNU1364" s="110"/>
      <c r="QNV1364" s="110"/>
      <c r="QNW1364" s="110"/>
      <c r="QNX1364" s="110"/>
      <c r="QNY1364" s="110"/>
      <c r="QNZ1364" s="110"/>
      <c r="QOA1364" s="110"/>
      <c r="QOB1364" s="110"/>
      <c r="QOC1364" s="110"/>
      <c r="QOD1364" s="110"/>
      <c r="QOE1364" s="110"/>
      <c r="QOF1364" s="110"/>
      <c r="QOG1364" s="110"/>
      <c r="QOH1364" s="110"/>
      <c r="QOI1364" s="110"/>
      <c r="QOJ1364" s="110"/>
      <c r="QOK1364" s="110"/>
      <c r="QOL1364" s="110"/>
      <c r="QOM1364" s="110"/>
      <c r="QON1364" s="110"/>
      <c r="QOO1364" s="110"/>
      <c r="QOP1364" s="110"/>
      <c r="QOQ1364" s="110"/>
      <c r="QOR1364" s="110"/>
      <c r="QOS1364" s="110"/>
      <c r="QOT1364" s="110"/>
      <c r="QOU1364" s="110"/>
      <c r="QOV1364" s="110"/>
      <c r="QOW1364" s="110"/>
      <c r="QOX1364" s="110"/>
      <c r="QOY1364" s="110"/>
      <c r="QOZ1364" s="110"/>
      <c r="QPA1364" s="110"/>
      <c r="QPB1364" s="110"/>
      <c r="QPC1364" s="110"/>
      <c r="QPD1364" s="110"/>
      <c r="QPE1364" s="110"/>
      <c r="QPF1364" s="110"/>
      <c r="QPG1364" s="110"/>
      <c r="QPH1364" s="110"/>
      <c r="QPI1364" s="110"/>
      <c r="QPJ1364" s="110"/>
      <c r="QPK1364" s="110"/>
      <c r="QPL1364" s="110"/>
      <c r="QPM1364" s="110"/>
      <c r="QPN1364" s="110"/>
      <c r="QPO1364" s="110"/>
      <c r="QPP1364" s="110"/>
      <c r="QPQ1364" s="110"/>
      <c r="QPR1364" s="110"/>
      <c r="QPS1364" s="110"/>
      <c r="QPT1364" s="110"/>
      <c r="QPU1364" s="110"/>
      <c r="QPV1364" s="110"/>
      <c r="QPW1364" s="110"/>
      <c r="QPX1364" s="110"/>
      <c r="QPY1364" s="110"/>
      <c r="QPZ1364" s="110"/>
      <c r="QQA1364" s="110"/>
      <c r="QQB1364" s="110"/>
      <c r="QQC1364" s="110"/>
      <c r="QQD1364" s="110"/>
      <c r="QQE1364" s="110"/>
      <c r="QQF1364" s="110"/>
      <c r="QQG1364" s="110"/>
      <c r="QQH1364" s="110"/>
      <c r="QQI1364" s="110"/>
      <c r="QQJ1364" s="110"/>
      <c r="QQK1364" s="110"/>
      <c r="QQL1364" s="110"/>
      <c r="QQM1364" s="110"/>
      <c r="QQN1364" s="110"/>
      <c r="QQO1364" s="110"/>
      <c r="QQP1364" s="110"/>
      <c r="QQQ1364" s="110"/>
      <c r="QQR1364" s="110"/>
      <c r="QQS1364" s="110"/>
      <c r="QQT1364" s="110"/>
      <c r="QQU1364" s="110"/>
      <c r="QQV1364" s="110"/>
      <c r="QQW1364" s="110"/>
      <c r="QQX1364" s="110"/>
      <c r="QQY1364" s="110"/>
      <c r="QQZ1364" s="110"/>
      <c r="QRA1364" s="110"/>
      <c r="QRB1364" s="110"/>
      <c r="QRC1364" s="110"/>
      <c r="QRD1364" s="110"/>
      <c r="QRE1364" s="110"/>
      <c r="QRF1364" s="110"/>
      <c r="QRG1364" s="110"/>
      <c r="QRH1364" s="110"/>
      <c r="QRI1364" s="110"/>
      <c r="QRJ1364" s="110"/>
      <c r="QRK1364" s="110"/>
      <c r="QRL1364" s="110"/>
      <c r="QRM1364" s="110"/>
      <c r="QRN1364" s="110"/>
      <c r="QRO1364" s="110"/>
      <c r="QRP1364" s="110"/>
      <c r="QRQ1364" s="110"/>
      <c r="QRR1364" s="110"/>
      <c r="QRS1364" s="110"/>
      <c r="QRT1364" s="110"/>
      <c r="QRU1364" s="110"/>
      <c r="QRV1364" s="110"/>
      <c r="QRW1364" s="110"/>
      <c r="QRX1364" s="110"/>
      <c r="QRY1364" s="110"/>
      <c r="QRZ1364" s="110"/>
      <c r="QSA1364" s="110"/>
      <c r="QSB1364" s="110"/>
      <c r="QSC1364" s="110"/>
      <c r="QSD1364" s="110"/>
      <c r="QSE1364" s="110"/>
      <c r="QSF1364" s="110"/>
      <c r="QSG1364" s="110"/>
      <c r="QSH1364" s="110"/>
      <c r="QSI1364" s="110"/>
      <c r="QSJ1364" s="110"/>
      <c r="QSK1364" s="110"/>
      <c r="QSL1364" s="110"/>
      <c r="QSM1364" s="110"/>
      <c r="QSN1364" s="110"/>
      <c r="QSO1364" s="110"/>
      <c r="QSP1364" s="110"/>
      <c r="QSQ1364" s="110"/>
      <c r="QSR1364" s="110"/>
      <c r="QSS1364" s="110"/>
      <c r="QST1364" s="110"/>
      <c r="QSU1364" s="110"/>
      <c r="QSV1364" s="110"/>
      <c r="QSW1364" s="110"/>
      <c r="QSX1364" s="110"/>
      <c r="QSY1364" s="110"/>
      <c r="QSZ1364" s="110"/>
      <c r="QTA1364" s="110"/>
      <c r="QTB1364" s="110"/>
      <c r="QTC1364" s="110"/>
      <c r="QTD1364" s="110"/>
      <c r="QTE1364" s="110"/>
      <c r="QTF1364" s="110"/>
      <c r="QTG1364" s="110"/>
      <c r="QTH1364" s="110"/>
      <c r="QTI1364" s="110"/>
      <c r="QTJ1364" s="110"/>
      <c r="QTK1364" s="110"/>
      <c r="QTL1364" s="110"/>
      <c r="QTM1364" s="110"/>
      <c r="QTN1364" s="110"/>
      <c r="QTO1364" s="110"/>
      <c r="QTP1364" s="110"/>
      <c r="QTQ1364" s="110"/>
      <c r="QTR1364" s="110"/>
      <c r="QTS1364" s="110"/>
      <c r="QTT1364" s="110"/>
      <c r="QTU1364" s="110"/>
      <c r="QTV1364" s="110"/>
      <c r="QTW1364" s="110"/>
      <c r="QTX1364" s="110"/>
      <c r="QTY1364" s="110"/>
      <c r="QTZ1364" s="110"/>
      <c r="QUA1364" s="110"/>
      <c r="QUB1364" s="110"/>
      <c r="QUC1364" s="110"/>
      <c r="QUD1364" s="110"/>
      <c r="QUE1364" s="110"/>
      <c r="QUF1364" s="110"/>
      <c r="QUG1364" s="110"/>
      <c r="QUH1364" s="110"/>
      <c r="QUI1364" s="110"/>
      <c r="QUJ1364" s="110"/>
      <c r="QUK1364" s="110"/>
      <c r="QUL1364" s="110"/>
      <c r="QUM1364" s="110"/>
      <c r="QUN1364" s="110"/>
      <c r="QUO1364" s="110"/>
      <c r="QUP1364" s="110"/>
      <c r="QUQ1364" s="110"/>
      <c r="QUR1364" s="110"/>
      <c r="QUS1364" s="110"/>
      <c r="QUT1364" s="110"/>
      <c r="QUU1364" s="110"/>
      <c r="QUV1364" s="110"/>
      <c r="QUW1364" s="110"/>
      <c r="QUX1364" s="110"/>
      <c r="QUY1364" s="110"/>
      <c r="QUZ1364" s="110"/>
      <c r="QVA1364" s="110"/>
      <c r="QVB1364" s="110"/>
      <c r="QVC1364" s="110"/>
      <c r="QVD1364" s="110"/>
      <c r="QVE1364" s="110"/>
      <c r="QVF1364" s="110"/>
      <c r="QVG1364" s="110"/>
      <c r="QVH1364" s="110"/>
      <c r="QVI1364" s="110"/>
      <c r="QVJ1364" s="110"/>
      <c r="QVK1364" s="110"/>
      <c r="QVL1364" s="110"/>
      <c r="QVM1364" s="110"/>
      <c r="QVN1364" s="110"/>
      <c r="QVO1364" s="110"/>
      <c r="QVP1364" s="110"/>
      <c r="QVQ1364" s="110"/>
      <c r="QVR1364" s="110"/>
      <c r="QVS1364" s="110"/>
      <c r="QVT1364" s="110"/>
      <c r="QVU1364" s="110"/>
      <c r="QVV1364" s="110"/>
      <c r="QVW1364" s="110"/>
      <c r="QVX1364" s="110"/>
      <c r="QVY1364" s="110"/>
      <c r="QVZ1364" s="110"/>
      <c r="QWA1364" s="110"/>
      <c r="QWB1364" s="110"/>
      <c r="QWC1364" s="110"/>
      <c r="QWD1364" s="110"/>
      <c r="QWE1364" s="110"/>
      <c r="QWF1364" s="110"/>
      <c r="QWG1364" s="110"/>
      <c r="QWH1364" s="110"/>
      <c r="QWI1364" s="110"/>
      <c r="QWJ1364" s="110"/>
      <c r="QWK1364" s="110"/>
      <c r="QWL1364" s="110"/>
      <c r="QWM1364" s="110"/>
      <c r="QWN1364" s="110"/>
      <c r="QWO1364" s="110"/>
      <c r="QWP1364" s="110"/>
      <c r="QWQ1364" s="110"/>
      <c r="QWR1364" s="110"/>
      <c r="QWS1364" s="110"/>
      <c r="QWT1364" s="110"/>
      <c r="QWU1364" s="110"/>
      <c r="QWV1364" s="110"/>
      <c r="QWW1364" s="110"/>
      <c r="QWX1364" s="110"/>
      <c r="QWY1364" s="110"/>
      <c r="QWZ1364" s="110"/>
      <c r="QXA1364" s="110"/>
      <c r="QXB1364" s="110"/>
      <c r="QXC1364" s="110"/>
      <c r="QXD1364" s="110"/>
      <c r="QXE1364" s="110"/>
      <c r="QXF1364" s="110"/>
      <c r="QXG1364" s="110"/>
      <c r="QXH1364" s="110"/>
      <c r="QXI1364" s="110"/>
      <c r="QXJ1364" s="110"/>
      <c r="QXK1364" s="110"/>
      <c r="QXL1364" s="110"/>
      <c r="QXM1364" s="110"/>
      <c r="QXN1364" s="110"/>
      <c r="QXO1364" s="110"/>
      <c r="QXP1364" s="110"/>
      <c r="QXQ1364" s="110"/>
      <c r="QXR1364" s="110"/>
      <c r="QXS1364" s="110"/>
      <c r="QXT1364" s="110"/>
      <c r="QXU1364" s="110"/>
      <c r="QXV1364" s="110"/>
      <c r="QXW1364" s="110"/>
      <c r="QXX1364" s="110"/>
      <c r="QXY1364" s="110"/>
      <c r="QXZ1364" s="110"/>
      <c r="QYA1364" s="110"/>
      <c r="QYB1364" s="110"/>
      <c r="QYC1364" s="110"/>
      <c r="QYD1364" s="110"/>
      <c r="QYE1364" s="110"/>
      <c r="QYF1364" s="110"/>
      <c r="QYG1364" s="110"/>
      <c r="QYH1364" s="110"/>
      <c r="QYI1364" s="110"/>
      <c r="QYJ1364" s="110"/>
      <c r="QYK1364" s="110"/>
      <c r="QYL1364" s="110"/>
      <c r="QYM1364" s="110"/>
      <c r="QYN1364" s="110"/>
      <c r="QYO1364" s="110"/>
      <c r="QYP1364" s="110"/>
      <c r="QYQ1364" s="110"/>
      <c r="QYR1364" s="110"/>
      <c r="QYS1364" s="110"/>
      <c r="QYT1364" s="110"/>
      <c r="QYU1364" s="110"/>
      <c r="QYV1364" s="110"/>
      <c r="QYW1364" s="110"/>
      <c r="QYX1364" s="110"/>
      <c r="QYY1364" s="110"/>
      <c r="QYZ1364" s="110"/>
      <c r="QZA1364" s="110"/>
      <c r="QZB1364" s="110"/>
      <c r="QZC1364" s="110"/>
      <c r="QZD1364" s="110"/>
      <c r="QZE1364" s="110"/>
      <c r="QZF1364" s="110"/>
      <c r="QZG1364" s="110"/>
      <c r="QZH1364" s="110"/>
      <c r="QZI1364" s="110"/>
      <c r="QZJ1364" s="110"/>
      <c r="QZK1364" s="110"/>
      <c r="QZL1364" s="110"/>
      <c r="QZM1364" s="110"/>
      <c r="QZN1364" s="110"/>
      <c r="QZO1364" s="110"/>
      <c r="QZP1364" s="110"/>
      <c r="QZQ1364" s="110"/>
      <c r="QZR1364" s="110"/>
      <c r="QZS1364" s="110"/>
      <c r="QZT1364" s="110"/>
      <c r="QZU1364" s="110"/>
      <c r="QZV1364" s="110"/>
      <c r="QZW1364" s="110"/>
      <c r="QZX1364" s="110"/>
      <c r="QZY1364" s="110"/>
      <c r="QZZ1364" s="110"/>
      <c r="RAA1364" s="110"/>
      <c r="RAB1364" s="110"/>
      <c r="RAC1364" s="110"/>
      <c r="RAD1364" s="110"/>
      <c r="RAE1364" s="110"/>
      <c r="RAF1364" s="110"/>
      <c r="RAG1364" s="110"/>
      <c r="RAH1364" s="110"/>
      <c r="RAI1364" s="110"/>
      <c r="RAJ1364" s="110"/>
      <c r="RAK1364" s="110"/>
      <c r="RAL1364" s="110"/>
      <c r="RAM1364" s="110"/>
      <c r="RAN1364" s="110"/>
      <c r="RAO1364" s="110"/>
      <c r="RAP1364" s="110"/>
      <c r="RAQ1364" s="110"/>
      <c r="RAR1364" s="110"/>
      <c r="RAS1364" s="110"/>
      <c r="RAT1364" s="110"/>
      <c r="RAU1364" s="110"/>
      <c r="RAV1364" s="110"/>
      <c r="RAW1364" s="110"/>
      <c r="RAX1364" s="110"/>
      <c r="RAY1364" s="110"/>
      <c r="RAZ1364" s="110"/>
      <c r="RBA1364" s="110"/>
      <c r="RBB1364" s="110"/>
      <c r="RBC1364" s="110"/>
      <c r="RBD1364" s="110"/>
      <c r="RBE1364" s="110"/>
      <c r="RBF1364" s="110"/>
      <c r="RBG1364" s="110"/>
      <c r="RBH1364" s="110"/>
      <c r="RBI1364" s="110"/>
      <c r="RBJ1364" s="110"/>
      <c r="RBK1364" s="110"/>
      <c r="RBL1364" s="110"/>
      <c r="RBM1364" s="110"/>
      <c r="RBN1364" s="110"/>
      <c r="RBO1364" s="110"/>
      <c r="RBP1364" s="110"/>
      <c r="RBQ1364" s="110"/>
      <c r="RBR1364" s="110"/>
      <c r="RBS1364" s="110"/>
      <c r="RBT1364" s="110"/>
      <c r="RBU1364" s="110"/>
      <c r="RBV1364" s="110"/>
      <c r="RBW1364" s="110"/>
      <c r="RBX1364" s="110"/>
      <c r="RBY1364" s="110"/>
      <c r="RBZ1364" s="110"/>
      <c r="RCA1364" s="110"/>
      <c r="RCB1364" s="110"/>
      <c r="RCC1364" s="110"/>
      <c r="RCD1364" s="110"/>
      <c r="RCE1364" s="110"/>
      <c r="RCF1364" s="110"/>
      <c r="RCG1364" s="110"/>
      <c r="RCH1364" s="110"/>
      <c r="RCI1364" s="110"/>
      <c r="RCJ1364" s="110"/>
      <c r="RCK1364" s="110"/>
      <c r="RCL1364" s="110"/>
      <c r="RCM1364" s="110"/>
      <c r="RCN1364" s="110"/>
      <c r="RCO1364" s="110"/>
      <c r="RCP1364" s="110"/>
      <c r="RCQ1364" s="110"/>
      <c r="RCR1364" s="110"/>
      <c r="RCS1364" s="110"/>
      <c r="RCT1364" s="110"/>
      <c r="RCU1364" s="110"/>
      <c r="RCV1364" s="110"/>
      <c r="RCW1364" s="110"/>
      <c r="RCX1364" s="110"/>
      <c r="RCY1364" s="110"/>
      <c r="RCZ1364" s="110"/>
      <c r="RDA1364" s="110"/>
      <c r="RDB1364" s="110"/>
      <c r="RDC1364" s="110"/>
      <c r="RDD1364" s="110"/>
      <c r="RDE1364" s="110"/>
      <c r="RDF1364" s="110"/>
      <c r="RDG1364" s="110"/>
      <c r="RDH1364" s="110"/>
      <c r="RDI1364" s="110"/>
      <c r="RDJ1364" s="110"/>
      <c r="RDK1364" s="110"/>
      <c r="RDL1364" s="110"/>
      <c r="RDM1364" s="110"/>
      <c r="RDN1364" s="110"/>
      <c r="RDO1364" s="110"/>
      <c r="RDP1364" s="110"/>
      <c r="RDQ1364" s="110"/>
      <c r="RDR1364" s="110"/>
      <c r="RDS1364" s="110"/>
      <c r="RDT1364" s="110"/>
      <c r="RDU1364" s="110"/>
      <c r="RDV1364" s="110"/>
      <c r="RDW1364" s="110"/>
      <c r="RDX1364" s="110"/>
      <c r="RDY1364" s="110"/>
      <c r="RDZ1364" s="110"/>
      <c r="REA1364" s="110"/>
      <c r="REB1364" s="110"/>
      <c r="REC1364" s="110"/>
      <c r="RED1364" s="110"/>
      <c r="REE1364" s="110"/>
      <c r="REF1364" s="110"/>
      <c r="REG1364" s="110"/>
      <c r="REH1364" s="110"/>
      <c r="REI1364" s="110"/>
      <c r="REJ1364" s="110"/>
      <c r="REK1364" s="110"/>
      <c r="REL1364" s="110"/>
      <c r="REM1364" s="110"/>
      <c r="REN1364" s="110"/>
      <c r="REO1364" s="110"/>
      <c r="REP1364" s="110"/>
      <c r="REQ1364" s="110"/>
      <c r="RER1364" s="110"/>
      <c r="RES1364" s="110"/>
      <c r="RET1364" s="110"/>
      <c r="REU1364" s="110"/>
      <c r="REV1364" s="110"/>
      <c r="REW1364" s="110"/>
      <c r="REX1364" s="110"/>
      <c r="REY1364" s="110"/>
      <c r="REZ1364" s="110"/>
      <c r="RFA1364" s="110"/>
      <c r="RFB1364" s="110"/>
      <c r="RFC1364" s="110"/>
      <c r="RFD1364" s="110"/>
      <c r="RFE1364" s="110"/>
      <c r="RFF1364" s="110"/>
      <c r="RFG1364" s="110"/>
      <c r="RFH1364" s="110"/>
      <c r="RFI1364" s="110"/>
      <c r="RFJ1364" s="110"/>
      <c r="RFK1364" s="110"/>
      <c r="RFL1364" s="110"/>
      <c r="RFM1364" s="110"/>
      <c r="RFN1364" s="110"/>
      <c r="RFO1364" s="110"/>
      <c r="RFP1364" s="110"/>
      <c r="RFQ1364" s="110"/>
      <c r="RFR1364" s="110"/>
      <c r="RFS1364" s="110"/>
      <c r="RFT1364" s="110"/>
      <c r="RFU1364" s="110"/>
      <c r="RFV1364" s="110"/>
      <c r="RFW1364" s="110"/>
      <c r="RFX1364" s="110"/>
      <c r="RFY1364" s="110"/>
      <c r="RFZ1364" s="110"/>
      <c r="RGA1364" s="110"/>
      <c r="RGB1364" s="110"/>
      <c r="RGC1364" s="110"/>
      <c r="RGD1364" s="110"/>
      <c r="RGE1364" s="110"/>
      <c r="RGF1364" s="110"/>
      <c r="RGG1364" s="110"/>
      <c r="RGH1364" s="110"/>
      <c r="RGI1364" s="110"/>
      <c r="RGJ1364" s="110"/>
      <c r="RGK1364" s="110"/>
      <c r="RGL1364" s="110"/>
      <c r="RGM1364" s="110"/>
      <c r="RGN1364" s="110"/>
      <c r="RGO1364" s="110"/>
      <c r="RGP1364" s="110"/>
      <c r="RGQ1364" s="110"/>
      <c r="RGR1364" s="110"/>
      <c r="RGS1364" s="110"/>
      <c r="RGT1364" s="110"/>
      <c r="RGU1364" s="110"/>
      <c r="RGV1364" s="110"/>
      <c r="RGW1364" s="110"/>
      <c r="RGX1364" s="110"/>
      <c r="RGY1364" s="110"/>
      <c r="RGZ1364" s="110"/>
      <c r="RHA1364" s="110"/>
      <c r="RHB1364" s="110"/>
      <c r="RHC1364" s="110"/>
      <c r="RHD1364" s="110"/>
      <c r="RHE1364" s="110"/>
      <c r="RHF1364" s="110"/>
      <c r="RHG1364" s="110"/>
      <c r="RHH1364" s="110"/>
      <c r="RHI1364" s="110"/>
      <c r="RHJ1364" s="110"/>
      <c r="RHK1364" s="110"/>
      <c r="RHL1364" s="110"/>
      <c r="RHM1364" s="110"/>
      <c r="RHN1364" s="110"/>
      <c r="RHO1364" s="110"/>
      <c r="RHP1364" s="110"/>
      <c r="RHQ1364" s="110"/>
      <c r="RHR1364" s="110"/>
      <c r="RHS1364" s="110"/>
      <c r="RHT1364" s="110"/>
      <c r="RHU1364" s="110"/>
      <c r="RHV1364" s="110"/>
      <c r="RHW1364" s="110"/>
      <c r="RHX1364" s="110"/>
      <c r="RHY1364" s="110"/>
      <c r="RHZ1364" s="110"/>
      <c r="RIA1364" s="110"/>
      <c r="RIB1364" s="110"/>
      <c r="RIC1364" s="110"/>
      <c r="RID1364" s="110"/>
      <c r="RIE1364" s="110"/>
      <c r="RIF1364" s="110"/>
      <c r="RIG1364" s="110"/>
      <c r="RIH1364" s="110"/>
      <c r="RII1364" s="110"/>
      <c r="RIJ1364" s="110"/>
      <c r="RIK1364" s="110"/>
      <c r="RIL1364" s="110"/>
      <c r="RIM1364" s="110"/>
      <c r="RIN1364" s="110"/>
      <c r="RIO1364" s="110"/>
      <c r="RIP1364" s="110"/>
      <c r="RIQ1364" s="110"/>
      <c r="RIR1364" s="110"/>
      <c r="RIS1364" s="110"/>
      <c r="RIT1364" s="110"/>
      <c r="RIU1364" s="110"/>
      <c r="RIV1364" s="110"/>
      <c r="RIW1364" s="110"/>
      <c r="RIX1364" s="110"/>
      <c r="RIY1364" s="110"/>
      <c r="RIZ1364" s="110"/>
      <c r="RJA1364" s="110"/>
      <c r="RJB1364" s="110"/>
      <c r="RJC1364" s="110"/>
      <c r="RJD1364" s="110"/>
      <c r="RJE1364" s="110"/>
      <c r="RJF1364" s="110"/>
      <c r="RJG1364" s="110"/>
      <c r="RJH1364" s="110"/>
      <c r="RJI1364" s="110"/>
      <c r="RJJ1364" s="110"/>
      <c r="RJK1364" s="110"/>
      <c r="RJL1364" s="110"/>
      <c r="RJM1364" s="110"/>
      <c r="RJN1364" s="110"/>
      <c r="RJO1364" s="110"/>
      <c r="RJP1364" s="110"/>
      <c r="RJQ1364" s="110"/>
      <c r="RJR1364" s="110"/>
      <c r="RJS1364" s="110"/>
      <c r="RJT1364" s="110"/>
      <c r="RJU1364" s="110"/>
      <c r="RJV1364" s="110"/>
      <c r="RJW1364" s="110"/>
      <c r="RJX1364" s="110"/>
      <c r="RJY1364" s="110"/>
      <c r="RJZ1364" s="110"/>
      <c r="RKA1364" s="110"/>
      <c r="RKB1364" s="110"/>
      <c r="RKC1364" s="110"/>
      <c r="RKD1364" s="110"/>
      <c r="RKE1364" s="110"/>
      <c r="RKF1364" s="110"/>
      <c r="RKG1364" s="110"/>
      <c r="RKH1364" s="110"/>
      <c r="RKI1364" s="110"/>
      <c r="RKJ1364" s="110"/>
      <c r="RKK1364" s="110"/>
      <c r="RKL1364" s="110"/>
      <c r="RKM1364" s="110"/>
      <c r="RKN1364" s="110"/>
      <c r="RKO1364" s="110"/>
      <c r="RKP1364" s="110"/>
      <c r="RKQ1364" s="110"/>
      <c r="RKR1364" s="110"/>
      <c r="RKS1364" s="110"/>
      <c r="RKT1364" s="110"/>
      <c r="RKU1364" s="110"/>
      <c r="RKV1364" s="110"/>
      <c r="RKW1364" s="110"/>
      <c r="RKX1364" s="110"/>
      <c r="RKY1364" s="110"/>
      <c r="RKZ1364" s="110"/>
      <c r="RLA1364" s="110"/>
      <c r="RLB1364" s="110"/>
      <c r="RLC1364" s="110"/>
      <c r="RLD1364" s="110"/>
      <c r="RLE1364" s="110"/>
      <c r="RLF1364" s="110"/>
      <c r="RLG1364" s="110"/>
      <c r="RLH1364" s="110"/>
      <c r="RLI1364" s="110"/>
      <c r="RLJ1364" s="110"/>
      <c r="RLK1364" s="110"/>
      <c r="RLL1364" s="110"/>
      <c r="RLM1364" s="110"/>
      <c r="RLN1364" s="110"/>
      <c r="RLO1364" s="110"/>
      <c r="RLP1364" s="110"/>
      <c r="RLQ1364" s="110"/>
      <c r="RLR1364" s="110"/>
      <c r="RLS1364" s="110"/>
      <c r="RLT1364" s="110"/>
      <c r="RLU1364" s="110"/>
      <c r="RLV1364" s="110"/>
      <c r="RLW1364" s="110"/>
      <c r="RLX1364" s="110"/>
      <c r="RLY1364" s="110"/>
      <c r="RLZ1364" s="110"/>
      <c r="RMA1364" s="110"/>
      <c r="RMB1364" s="110"/>
      <c r="RMC1364" s="110"/>
      <c r="RMD1364" s="110"/>
      <c r="RME1364" s="110"/>
      <c r="RMF1364" s="110"/>
      <c r="RMG1364" s="110"/>
      <c r="RMH1364" s="110"/>
      <c r="RMI1364" s="110"/>
      <c r="RMJ1364" s="110"/>
      <c r="RMK1364" s="110"/>
      <c r="RML1364" s="110"/>
      <c r="RMM1364" s="110"/>
      <c r="RMN1364" s="110"/>
      <c r="RMO1364" s="110"/>
      <c r="RMP1364" s="110"/>
      <c r="RMQ1364" s="110"/>
      <c r="RMR1364" s="110"/>
      <c r="RMS1364" s="110"/>
      <c r="RMT1364" s="110"/>
      <c r="RMU1364" s="110"/>
      <c r="RMV1364" s="110"/>
      <c r="RMW1364" s="110"/>
      <c r="RMX1364" s="110"/>
      <c r="RMY1364" s="110"/>
      <c r="RMZ1364" s="110"/>
      <c r="RNA1364" s="110"/>
      <c r="RNB1364" s="110"/>
      <c r="RNC1364" s="110"/>
      <c r="RND1364" s="110"/>
      <c r="RNE1364" s="110"/>
      <c r="RNF1364" s="110"/>
      <c r="RNG1364" s="110"/>
      <c r="RNH1364" s="110"/>
      <c r="RNI1364" s="110"/>
      <c r="RNJ1364" s="110"/>
      <c r="RNK1364" s="110"/>
      <c r="RNL1364" s="110"/>
      <c r="RNM1364" s="110"/>
      <c r="RNN1364" s="110"/>
      <c r="RNO1364" s="110"/>
      <c r="RNP1364" s="110"/>
      <c r="RNQ1364" s="110"/>
      <c r="RNR1364" s="110"/>
      <c r="RNS1364" s="110"/>
      <c r="RNT1364" s="110"/>
      <c r="RNU1364" s="110"/>
      <c r="RNV1364" s="110"/>
      <c r="RNW1364" s="110"/>
      <c r="RNX1364" s="110"/>
      <c r="RNY1364" s="110"/>
      <c r="RNZ1364" s="110"/>
      <c r="ROA1364" s="110"/>
      <c r="ROB1364" s="110"/>
      <c r="ROC1364" s="110"/>
      <c r="ROD1364" s="110"/>
      <c r="ROE1364" s="110"/>
      <c r="ROF1364" s="110"/>
      <c r="ROG1364" s="110"/>
      <c r="ROH1364" s="110"/>
      <c r="ROI1364" s="110"/>
      <c r="ROJ1364" s="110"/>
      <c r="ROK1364" s="110"/>
      <c r="ROL1364" s="110"/>
      <c r="ROM1364" s="110"/>
      <c r="RON1364" s="110"/>
      <c r="ROO1364" s="110"/>
      <c r="ROP1364" s="110"/>
      <c r="ROQ1364" s="110"/>
      <c r="ROR1364" s="110"/>
      <c r="ROS1364" s="110"/>
      <c r="ROT1364" s="110"/>
      <c r="ROU1364" s="110"/>
      <c r="ROV1364" s="110"/>
      <c r="ROW1364" s="110"/>
      <c r="ROX1364" s="110"/>
      <c r="ROY1364" s="110"/>
      <c r="ROZ1364" s="110"/>
      <c r="RPA1364" s="110"/>
      <c r="RPB1364" s="110"/>
      <c r="RPC1364" s="110"/>
      <c r="RPD1364" s="110"/>
      <c r="RPE1364" s="110"/>
      <c r="RPF1364" s="110"/>
      <c r="RPG1364" s="110"/>
      <c r="RPH1364" s="110"/>
      <c r="RPI1364" s="110"/>
      <c r="RPJ1364" s="110"/>
      <c r="RPK1364" s="110"/>
      <c r="RPL1364" s="110"/>
      <c r="RPM1364" s="110"/>
      <c r="RPN1364" s="110"/>
      <c r="RPO1364" s="110"/>
      <c r="RPP1364" s="110"/>
      <c r="RPQ1364" s="110"/>
      <c r="RPR1364" s="110"/>
      <c r="RPS1364" s="110"/>
      <c r="RPT1364" s="110"/>
      <c r="RPU1364" s="110"/>
      <c r="RPV1364" s="110"/>
      <c r="RPW1364" s="110"/>
      <c r="RPX1364" s="110"/>
      <c r="RPY1364" s="110"/>
      <c r="RPZ1364" s="110"/>
      <c r="RQA1364" s="110"/>
      <c r="RQB1364" s="110"/>
      <c r="RQC1364" s="110"/>
      <c r="RQD1364" s="110"/>
      <c r="RQE1364" s="110"/>
      <c r="RQF1364" s="110"/>
      <c r="RQG1364" s="110"/>
      <c r="RQH1364" s="110"/>
      <c r="RQI1364" s="110"/>
      <c r="RQJ1364" s="110"/>
      <c r="RQK1364" s="110"/>
      <c r="RQL1364" s="110"/>
      <c r="RQM1364" s="110"/>
      <c r="RQN1364" s="110"/>
      <c r="RQO1364" s="110"/>
      <c r="RQP1364" s="110"/>
      <c r="RQQ1364" s="110"/>
      <c r="RQR1364" s="110"/>
      <c r="RQS1364" s="110"/>
      <c r="RQT1364" s="110"/>
      <c r="RQU1364" s="110"/>
      <c r="RQV1364" s="110"/>
      <c r="RQW1364" s="110"/>
      <c r="RQX1364" s="110"/>
      <c r="RQY1364" s="110"/>
      <c r="RQZ1364" s="110"/>
      <c r="RRA1364" s="110"/>
      <c r="RRB1364" s="110"/>
      <c r="RRC1364" s="110"/>
      <c r="RRD1364" s="110"/>
      <c r="RRE1364" s="110"/>
      <c r="RRF1364" s="110"/>
      <c r="RRG1364" s="110"/>
      <c r="RRH1364" s="110"/>
      <c r="RRI1364" s="110"/>
      <c r="RRJ1364" s="110"/>
      <c r="RRK1364" s="110"/>
      <c r="RRL1364" s="110"/>
      <c r="RRM1364" s="110"/>
      <c r="RRN1364" s="110"/>
      <c r="RRO1364" s="110"/>
      <c r="RRP1364" s="110"/>
      <c r="RRQ1364" s="110"/>
      <c r="RRR1364" s="110"/>
      <c r="RRS1364" s="110"/>
      <c r="RRT1364" s="110"/>
      <c r="RRU1364" s="110"/>
      <c r="RRV1364" s="110"/>
      <c r="RRW1364" s="110"/>
      <c r="RRX1364" s="110"/>
      <c r="RRY1364" s="110"/>
      <c r="RRZ1364" s="110"/>
      <c r="RSA1364" s="110"/>
      <c r="RSB1364" s="110"/>
      <c r="RSC1364" s="110"/>
      <c r="RSD1364" s="110"/>
      <c r="RSE1364" s="110"/>
      <c r="RSF1364" s="110"/>
      <c r="RSG1364" s="110"/>
      <c r="RSH1364" s="110"/>
      <c r="RSI1364" s="110"/>
      <c r="RSJ1364" s="110"/>
      <c r="RSK1364" s="110"/>
      <c r="RSL1364" s="110"/>
      <c r="RSM1364" s="110"/>
      <c r="RSN1364" s="110"/>
      <c r="RSO1364" s="110"/>
      <c r="RSP1364" s="110"/>
      <c r="RSQ1364" s="110"/>
      <c r="RSR1364" s="110"/>
      <c r="RSS1364" s="110"/>
      <c r="RST1364" s="110"/>
      <c r="RSU1364" s="110"/>
      <c r="RSV1364" s="110"/>
      <c r="RSW1364" s="110"/>
      <c r="RSX1364" s="110"/>
      <c r="RSY1364" s="110"/>
      <c r="RSZ1364" s="110"/>
      <c r="RTA1364" s="110"/>
      <c r="RTB1364" s="110"/>
      <c r="RTC1364" s="110"/>
      <c r="RTD1364" s="110"/>
      <c r="RTE1364" s="110"/>
      <c r="RTF1364" s="110"/>
      <c r="RTG1364" s="110"/>
      <c r="RTH1364" s="110"/>
      <c r="RTI1364" s="110"/>
      <c r="RTJ1364" s="110"/>
      <c r="RTK1364" s="110"/>
      <c r="RTL1364" s="110"/>
      <c r="RTM1364" s="110"/>
      <c r="RTN1364" s="110"/>
      <c r="RTO1364" s="110"/>
      <c r="RTP1364" s="110"/>
      <c r="RTQ1364" s="110"/>
      <c r="RTR1364" s="110"/>
      <c r="RTS1364" s="110"/>
      <c r="RTT1364" s="110"/>
      <c r="RTU1364" s="110"/>
      <c r="RTV1364" s="110"/>
      <c r="RTW1364" s="110"/>
      <c r="RTX1364" s="110"/>
      <c r="RTY1364" s="110"/>
      <c r="RTZ1364" s="110"/>
      <c r="RUA1364" s="110"/>
      <c r="RUB1364" s="110"/>
      <c r="RUC1364" s="110"/>
      <c r="RUD1364" s="110"/>
      <c r="RUE1364" s="110"/>
      <c r="RUF1364" s="110"/>
      <c r="RUG1364" s="110"/>
      <c r="RUH1364" s="110"/>
      <c r="RUI1364" s="110"/>
      <c r="RUJ1364" s="110"/>
      <c r="RUK1364" s="110"/>
      <c r="RUL1364" s="110"/>
      <c r="RUM1364" s="110"/>
      <c r="RUN1364" s="110"/>
      <c r="RUO1364" s="110"/>
      <c r="RUP1364" s="110"/>
      <c r="RUQ1364" s="110"/>
      <c r="RUR1364" s="110"/>
      <c r="RUS1364" s="110"/>
      <c r="RUT1364" s="110"/>
      <c r="RUU1364" s="110"/>
      <c r="RUV1364" s="110"/>
      <c r="RUW1364" s="110"/>
      <c r="RUX1364" s="110"/>
      <c r="RUY1364" s="110"/>
      <c r="RUZ1364" s="110"/>
      <c r="RVA1364" s="110"/>
      <c r="RVB1364" s="110"/>
      <c r="RVC1364" s="110"/>
      <c r="RVD1364" s="110"/>
      <c r="RVE1364" s="110"/>
      <c r="RVF1364" s="110"/>
      <c r="RVG1364" s="110"/>
      <c r="RVH1364" s="110"/>
      <c r="RVI1364" s="110"/>
      <c r="RVJ1364" s="110"/>
      <c r="RVK1364" s="110"/>
      <c r="RVL1364" s="110"/>
      <c r="RVM1364" s="110"/>
      <c r="RVN1364" s="110"/>
      <c r="RVO1364" s="110"/>
      <c r="RVP1364" s="110"/>
      <c r="RVQ1364" s="110"/>
      <c r="RVR1364" s="110"/>
      <c r="RVS1364" s="110"/>
      <c r="RVT1364" s="110"/>
      <c r="RVU1364" s="110"/>
      <c r="RVV1364" s="110"/>
      <c r="RVW1364" s="110"/>
      <c r="RVX1364" s="110"/>
      <c r="RVY1364" s="110"/>
      <c r="RVZ1364" s="110"/>
      <c r="RWA1364" s="110"/>
      <c r="RWB1364" s="110"/>
      <c r="RWC1364" s="110"/>
      <c r="RWD1364" s="110"/>
      <c r="RWE1364" s="110"/>
      <c r="RWF1364" s="110"/>
      <c r="RWG1364" s="110"/>
      <c r="RWH1364" s="110"/>
      <c r="RWI1364" s="110"/>
      <c r="RWJ1364" s="110"/>
      <c r="RWK1364" s="110"/>
      <c r="RWL1364" s="110"/>
      <c r="RWM1364" s="110"/>
      <c r="RWN1364" s="110"/>
      <c r="RWO1364" s="110"/>
      <c r="RWP1364" s="110"/>
      <c r="RWQ1364" s="110"/>
      <c r="RWR1364" s="110"/>
      <c r="RWS1364" s="110"/>
      <c r="RWT1364" s="110"/>
      <c r="RWU1364" s="110"/>
      <c r="RWV1364" s="110"/>
      <c r="RWW1364" s="110"/>
      <c r="RWX1364" s="110"/>
      <c r="RWY1364" s="110"/>
      <c r="RWZ1364" s="110"/>
      <c r="RXA1364" s="110"/>
      <c r="RXB1364" s="110"/>
      <c r="RXC1364" s="110"/>
      <c r="RXD1364" s="110"/>
      <c r="RXE1364" s="110"/>
      <c r="RXF1364" s="110"/>
      <c r="RXG1364" s="110"/>
      <c r="RXH1364" s="110"/>
      <c r="RXI1364" s="110"/>
      <c r="RXJ1364" s="110"/>
      <c r="RXK1364" s="110"/>
      <c r="RXL1364" s="110"/>
      <c r="RXM1364" s="110"/>
      <c r="RXN1364" s="110"/>
      <c r="RXO1364" s="110"/>
      <c r="RXP1364" s="110"/>
      <c r="RXQ1364" s="110"/>
      <c r="RXR1364" s="110"/>
      <c r="RXS1364" s="110"/>
      <c r="RXT1364" s="110"/>
      <c r="RXU1364" s="110"/>
      <c r="RXV1364" s="110"/>
      <c r="RXW1364" s="110"/>
      <c r="RXX1364" s="110"/>
      <c r="RXY1364" s="110"/>
      <c r="RXZ1364" s="110"/>
      <c r="RYA1364" s="110"/>
      <c r="RYB1364" s="110"/>
      <c r="RYC1364" s="110"/>
      <c r="RYD1364" s="110"/>
      <c r="RYE1364" s="110"/>
      <c r="RYF1364" s="110"/>
      <c r="RYG1364" s="110"/>
      <c r="RYH1364" s="110"/>
      <c r="RYI1364" s="110"/>
      <c r="RYJ1364" s="110"/>
      <c r="RYK1364" s="110"/>
      <c r="RYL1364" s="110"/>
      <c r="RYM1364" s="110"/>
      <c r="RYN1364" s="110"/>
      <c r="RYO1364" s="110"/>
      <c r="RYP1364" s="110"/>
      <c r="RYQ1364" s="110"/>
      <c r="RYR1364" s="110"/>
      <c r="RYS1364" s="110"/>
      <c r="RYT1364" s="110"/>
      <c r="RYU1364" s="110"/>
      <c r="RYV1364" s="110"/>
      <c r="RYW1364" s="110"/>
      <c r="RYX1364" s="110"/>
      <c r="RYY1364" s="110"/>
      <c r="RYZ1364" s="110"/>
      <c r="RZA1364" s="110"/>
      <c r="RZB1364" s="110"/>
      <c r="RZC1364" s="110"/>
      <c r="RZD1364" s="110"/>
      <c r="RZE1364" s="110"/>
      <c r="RZF1364" s="110"/>
      <c r="RZG1364" s="110"/>
      <c r="RZH1364" s="110"/>
      <c r="RZI1364" s="110"/>
      <c r="RZJ1364" s="110"/>
      <c r="RZK1364" s="110"/>
      <c r="RZL1364" s="110"/>
      <c r="RZM1364" s="110"/>
      <c r="RZN1364" s="110"/>
      <c r="RZO1364" s="110"/>
      <c r="RZP1364" s="110"/>
      <c r="RZQ1364" s="110"/>
      <c r="RZR1364" s="110"/>
      <c r="RZS1364" s="110"/>
      <c r="RZT1364" s="110"/>
      <c r="RZU1364" s="110"/>
      <c r="RZV1364" s="110"/>
      <c r="RZW1364" s="110"/>
      <c r="RZX1364" s="110"/>
      <c r="RZY1364" s="110"/>
      <c r="RZZ1364" s="110"/>
      <c r="SAA1364" s="110"/>
      <c r="SAB1364" s="110"/>
      <c r="SAC1364" s="110"/>
      <c r="SAD1364" s="110"/>
      <c r="SAE1364" s="110"/>
      <c r="SAF1364" s="110"/>
      <c r="SAG1364" s="110"/>
      <c r="SAH1364" s="110"/>
      <c r="SAI1364" s="110"/>
      <c r="SAJ1364" s="110"/>
      <c r="SAK1364" s="110"/>
      <c r="SAL1364" s="110"/>
      <c r="SAM1364" s="110"/>
      <c r="SAN1364" s="110"/>
      <c r="SAO1364" s="110"/>
      <c r="SAP1364" s="110"/>
      <c r="SAQ1364" s="110"/>
      <c r="SAR1364" s="110"/>
      <c r="SAS1364" s="110"/>
      <c r="SAT1364" s="110"/>
      <c r="SAU1364" s="110"/>
      <c r="SAV1364" s="110"/>
      <c r="SAW1364" s="110"/>
      <c r="SAX1364" s="110"/>
      <c r="SAY1364" s="110"/>
      <c r="SAZ1364" s="110"/>
      <c r="SBA1364" s="110"/>
      <c r="SBB1364" s="110"/>
      <c r="SBC1364" s="110"/>
      <c r="SBD1364" s="110"/>
      <c r="SBE1364" s="110"/>
      <c r="SBF1364" s="110"/>
      <c r="SBG1364" s="110"/>
      <c r="SBH1364" s="110"/>
      <c r="SBI1364" s="110"/>
      <c r="SBJ1364" s="110"/>
      <c r="SBK1364" s="110"/>
      <c r="SBL1364" s="110"/>
      <c r="SBM1364" s="110"/>
      <c r="SBN1364" s="110"/>
      <c r="SBO1364" s="110"/>
      <c r="SBP1364" s="110"/>
      <c r="SBQ1364" s="110"/>
      <c r="SBR1364" s="110"/>
      <c r="SBS1364" s="110"/>
      <c r="SBT1364" s="110"/>
      <c r="SBU1364" s="110"/>
      <c r="SBV1364" s="110"/>
      <c r="SBW1364" s="110"/>
      <c r="SBX1364" s="110"/>
      <c r="SBY1364" s="110"/>
      <c r="SBZ1364" s="110"/>
      <c r="SCA1364" s="110"/>
      <c r="SCB1364" s="110"/>
      <c r="SCC1364" s="110"/>
      <c r="SCD1364" s="110"/>
      <c r="SCE1364" s="110"/>
      <c r="SCF1364" s="110"/>
      <c r="SCG1364" s="110"/>
      <c r="SCH1364" s="110"/>
      <c r="SCI1364" s="110"/>
      <c r="SCJ1364" s="110"/>
      <c r="SCK1364" s="110"/>
      <c r="SCL1364" s="110"/>
      <c r="SCM1364" s="110"/>
      <c r="SCN1364" s="110"/>
      <c r="SCO1364" s="110"/>
      <c r="SCP1364" s="110"/>
      <c r="SCQ1364" s="110"/>
      <c r="SCR1364" s="110"/>
      <c r="SCS1364" s="110"/>
      <c r="SCT1364" s="110"/>
      <c r="SCU1364" s="110"/>
      <c r="SCV1364" s="110"/>
      <c r="SCW1364" s="110"/>
      <c r="SCX1364" s="110"/>
      <c r="SCY1364" s="110"/>
      <c r="SCZ1364" s="110"/>
      <c r="SDA1364" s="110"/>
      <c r="SDB1364" s="110"/>
      <c r="SDC1364" s="110"/>
      <c r="SDD1364" s="110"/>
      <c r="SDE1364" s="110"/>
      <c r="SDF1364" s="110"/>
      <c r="SDG1364" s="110"/>
      <c r="SDH1364" s="110"/>
      <c r="SDI1364" s="110"/>
      <c r="SDJ1364" s="110"/>
      <c r="SDK1364" s="110"/>
      <c r="SDL1364" s="110"/>
      <c r="SDM1364" s="110"/>
      <c r="SDN1364" s="110"/>
      <c r="SDO1364" s="110"/>
      <c r="SDP1364" s="110"/>
      <c r="SDQ1364" s="110"/>
      <c r="SDR1364" s="110"/>
      <c r="SDS1364" s="110"/>
      <c r="SDT1364" s="110"/>
      <c r="SDU1364" s="110"/>
      <c r="SDV1364" s="110"/>
      <c r="SDW1364" s="110"/>
      <c r="SDX1364" s="110"/>
      <c r="SDY1364" s="110"/>
      <c r="SDZ1364" s="110"/>
      <c r="SEA1364" s="110"/>
      <c r="SEB1364" s="110"/>
      <c r="SEC1364" s="110"/>
      <c r="SED1364" s="110"/>
      <c r="SEE1364" s="110"/>
      <c r="SEF1364" s="110"/>
      <c r="SEG1364" s="110"/>
      <c r="SEH1364" s="110"/>
      <c r="SEI1364" s="110"/>
      <c r="SEJ1364" s="110"/>
      <c r="SEK1364" s="110"/>
      <c r="SEL1364" s="110"/>
      <c r="SEM1364" s="110"/>
      <c r="SEN1364" s="110"/>
      <c r="SEO1364" s="110"/>
      <c r="SEP1364" s="110"/>
      <c r="SEQ1364" s="110"/>
      <c r="SER1364" s="110"/>
      <c r="SES1364" s="110"/>
      <c r="SET1364" s="110"/>
      <c r="SEU1364" s="110"/>
      <c r="SEV1364" s="110"/>
      <c r="SEW1364" s="110"/>
      <c r="SEX1364" s="110"/>
      <c r="SEY1364" s="110"/>
      <c r="SEZ1364" s="110"/>
      <c r="SFA1364" s="110"/>
      <c r="SFB1364" s="110"/>
      <c r="SFC1364" s="110"/>
      <c r="SFD1364" s="110"/>
      <c r="SFE1364" s="110"/>
      <c r="SFF1364" s="110"/>
      <c r="SFG1364" s="110"/>
      <c r="SFH1364" s="110"/>
      <c r="SFI1364" s="110"/>
      <c r="SFJ1364" s="110"/>
      <c r="SFK1364" s="110"/>
      <c r="SFL1364" s="110"/>
      <c r="SFM1364" s="110"/>
      <c r="SFN1364" s="110"/>
      <c r="SFO1364" s="110"/>
      <c r="SFP1364" s="110"/>
      <c r="SFQ1364" s="110"/>
      <c r="SFR1364" s="110"/>
      <c r="SFS1364" s="110"/>
      <c r="SFT1364" s="110"/>
      <c r="SFU1364" s="110"/>
      <c r="SFV1364" s="110"/>
      <c r="SFW1364" s="110"/>
      <c r="SFX1364" s="110"/>
      <c r="SFY1364" s="110"/>
      <c r="SFZ1364" s="110"/>
      <c r="SGA1364" s="110"/>
      <c r="SGB1364" s="110"/>
      <c r="SGC1364" s="110"/>
      <c r="SGD1364" s="110"/>
      <c r="SGE1364" s="110"/>
      <c r="SGF1364" s="110"/>
      <c r="SGG1364" s="110"/>
      <c r="SGH1364" s="110"/>
      <c r="SGI1364" s="110"/>
      <c r="SGJ1364" s="110"/>
      <c r="SGK1364" s="110"/>
      <c r="SGL1364" s="110"/>
      <c r="SGM1364" s="110"/>
      <c r="SGN1364" s="110"/>
      <c r="SGO1364" s="110"/>
      <c r="SGP1364" s="110"/>
      <c r="SGQ1364" s="110"/>
      <c r="SGR1364" s="110"/>
      <c r="SGS1364" s="110"/>
      <c r="SGT1364" s="110"/>
      <c r="SGU1364" s="110"/>
      <c r="SGV1364" s="110"/>
      <c r="SGW1364" s="110"/>
      <c r="SGX1364" s="110"/>
      <c r="SGY1364" s="110"/>
      <c r="SGZ1364" s="110"/>
      <c r="SHA1364" s="110"/>
      <c r="SHB1364" s="110"/>
      <c r="SHC1364" s="110"/>
      <c r="SHD1364" s="110"/>
      <c r="SHE1364" s="110"/>
      <c r="SHF1364" s="110"/>
      <c r="SHG1364" s="110"/>
      <c r="SHH1364" s="110"/>
      <c r="SHI1364" s="110"/>
      <c r="SHJ1364" s="110"/>
      <c r="SHK1364" s="110"/>
      <c r="SHL1364" s="110"/>
      <c r="SHM1364" s="110"/>
      <c r="SHN1364" s="110"/>
      <c r="SHO1364" s="110"/>
      <c r="SHP1364" s="110"/>
      <c r="SHQ1364" s="110"/>
      <c r="SHR1364" s="110"/>
      <c r="SHS1364" s="110"/>
      <c r="SHT1364" s="110"/>
      <c r="SHU1364" s="110"/>
      <c r="SHV1364" s="110"/>
      <c r="SHW1364" s="110"/>
      <c r="SHX1364" s="110"/>
      <c r="SHY1364" s="110"/>
      <c r="SHZ1364" s="110"/>
      <c r="SIA1364" s="110"/>
      <c r="SIB1364" s="110"/>
      <c r="SIC1364" s="110"/>
      <c r="SID1364" s="110"/>
      <c r="SIE1364" s="110"/>
      <c r="SIF1364" s="110"/>
      <c r="SIG1364" s="110"/>
      <c r="SIH1364" s="110"/>
      <c r="SII1364" s="110"/>
      <c r="SIJ1364" s="110"/>
      <c r="SIK1364" s="110"/>
      <c r="SIL1364" s="110"/>
      <c r="SIM1364" s="110"/>
      <c r="SIN1364" s="110"/>
      <c r="SIO1364" s="110"/>
      <c r="SIP1364" s="110"/>
      <c r="SIQ1364" s="110"/>
      <c r="SIR1364" s="110"/>
      <c r="SIS1364" s="110"/>
      <c r="SIT1364" s="110"/>
      <c r="SIU1364" s="110"/>
      <c r="SIV1364" s="110"/>
      <c r="SIW1364" s="110"/>
      <c r="SIX1364" s="110"/>
      <c r="SIY1364" s="110"/>
      <c r="SIZ1364" s="110"/>
      <c r="SJA1364" s="110"/>
      <c r="SJB1364" s="110"/>
      <c r="SJC1364" s="110"/>
      <c r="SJD1364" s="110"/>
      <c r="SJE1364" s="110"/>
      <c r="SJF1364" s="110"/>
      <c r="SJG1364" s="110"/>
      <c r="SJH1364" s="110"/>
      <c r="SJI1364" s="110"/>
      <c r="SJJ1364" s="110"/>
      <c r="SJK1364" s="110"/>
      <c r="SJL1364" s="110"/>
      <c r="SJM1364" s="110"/>
      <c r="SJN1364" s="110"/>
      <c r="SJO1364" s="110"/>
      <c r="SJP1364" s="110"/>
      <c r="SJQ1364" s="110"/>
      <c r="SJR1364" s="110"/>
      <c r="SJS1364" s="110"/>
      <c r="SJT1364" s="110"/>
      <c r="SJU1364" s="110"/>
      <c r="SJV1364" s="110"/>
      <c r="SJW1364" s="110"/>
      <c r="SJX1364" s="110"/>
      <c r="SJY1364" s="110"/>
      <c r="SJZ1364" s="110"/>
      <c r="SKA1364" s="110"/>
      <c r="SKB1364" s="110"/>
      <c r="SKC1364" s="110"/>
      <c r="SKD1364" s="110"/>
      <c r="SKE1364" s="110"/>
      <c r="SKF1364" s="110"/>
      <c r="SKG1364" s="110"/>
      <c r="SKH1364" s="110"/>
      <c r="SKI1364" s="110"/>
      <c r="SKJ1364" s="110"/>
      <c r="SKK1364" s="110"/>
      <c r="SKL1364" s="110"/>
      <c r="SKM1364" s="110"/>
      <c r="SKN1364" s="110"/>
      <c r="SKO1364" s="110"/>
      <c r="SKP1364" s="110"/>
      <c r="SKQ1364" s="110"/>
      <c r="SKR1364" s="110"/>
      <c r="SKS1364" s="110"/>
      <c r="SKT1364" s="110"/>
      <c r="SKU1364" s="110"/>
      <c r="SKV1364" s="110"/>
      <c r="SKW1364" s="110"/>
      <c r="SKX1364" s="110"/>
      <c r="SKY1364" s="110"/>
      <c r="SKZ1364" s="110"/>
      <c r="SLA1364" s="110"/>
      <c r="SLB1364" s="110"/>
      <c r="SLC1364" s="110"/>
      <c r="SLD1364" s="110"/>
      <c r="SLE1364" s="110"/>
      <c r="SLF1364" s="110"/>
      <c r="SLG1364" s="110"/>
      <c r="SLH1364" s="110"/>
      <c r="SLI1364" s="110"/>
      <c r="SLJ1364" s="110"/>
      <c r="SLK1364" s="110"/>
      <c r="SLL1364" s="110"/>
      <c r="SLM1364" s="110"/>
      <c r="SLN1364" s="110"/>
      <c r="SLO1364" s="110"/>
      <c r="SLP1364" s="110"/>
      <c r="SLQ1364" s="110"/>
      <c r="SLR1364" s="110"/>
      <c r="SLS1364" s="110"/>
      <c r="SLT1364" s="110"/>
      <c r="SLU1364" s="110"/>
      <c r="SLV1364" s="110"/>
      <c r="SLW1364" s="110"/>
      <c r="SLX1364" s="110"/>
      <c r="SLY1364" s="110"/>
      <c r="SLZ1364" s="110"/>
      <c r="SMA1364" s="110"/>
      <c r="SMB1364" s="110"/>
      <c r="SMC1364" s="110"/>
      <c r="SMD1364" s="110"/>
      <c r="SME1364" s="110"/>
      <c r="SMF1364" s="110"/>
      <c r="SMG1364" s="110"/>
      <c r="SMH1364" s="110"/>
      <c r="SMI1364" s="110"/>
      <c r="SMJ1364" s="110"/>
      <c r="SMK1364" s="110"/>
      <c r="SML1364" s="110"/>
      <c r="SMM1364" s="110"/>
      <c r="SMN1364" s="110"/>
      <c r="SMO1364" s="110"/>
      <c r="SMP1364" s="110"/>
      <c r="SMQ1364" s="110"/>
      <c r="SMR1364" s="110"/>
      <c r="SMS1364" s="110"/>
      <c r="SMT1364" s="110"/>
      <c r="SMU1364" s="110"/>
      <c r="SMV1364" s="110"/>
      <c r="SMW1364" s="110"/>
      <c r="SMX1364" s="110"/>
      <c r="SMY1364" s="110"/>
      <c r="SMZ1364" s="110"/>
      <c r="SNA1364" s="110"/>
      <c r="SNB1364" s="110"/>
      <c r="SNC1364" s="110"/>
      <c r="SND1364" s="110"/>
      <c r="SNE1364" s="110"/>
      <c r="SNF1364" s="110"/>
      <c r="SNG1364" s="110"/>
      <c r="SNH1364" s="110"/>
      <c r="SNI1364" s="110"/>
      <c r="SNJ1364" s="110"/>
      <c r="SNK1364" s="110"/>
      <c r="SNL1364" s="110"/>
      <c r="SNM1364" s="110"/>
      <c r="SNN1364" s="110"/>
      <c r="SNO1364" s="110"/>
      <c r="SNP1364" s="110"/>
      <c r="SNQ1364" s="110"/>
      <c r="SNR1364" s="110"/>
      <c r="SNS1364" s="110"/>
      <c r="SNT1364" s="110"/>
      <c r="SNU1364" s="110"/>
      <c r="SNV1364" s="110"/>
      <c r="SNW1364" s="110"/>
      <c r="SNX1364" s="110"/>
      <c r="SNY1364" s="110"/>
      <c r="SNZ1364" s="110"/>
      <c r="SOA1364" s="110"/>
      <c r="SOB1364" s="110"/>
      <c r="SOC1364" s="110"/>
      <c r="SOD1364" s="110"/>
      <c r="SOE1364" s="110"/>
      <c r="SOF1364" s="110"/>
      <c r="SOG1364" s="110"/>
      <c r="SOH1364" s="110"/>
      <c r="SOI1364" s="110"/>
      <c r="SOJ1364" s="110"/>
      <c r="SOK1364" s="110"/>
      <c r="SOL1364" s="110"/>
      <c r="SOM1364" s="110"/>
      <c r="SON1364" s="110"/>
      <c r="SOO1364" s="110"/>
      <c r="SOP1364" s="110"/>
      <c r="SOQ1364" s="110"/>
      <c r="SOR1364" s="110"/>
      <c r="SOS1364" s="110"/>
      <c r="SOT1364" s="110"/>
      <c r="SOU1364" s="110"/>
      <c r="SOV1364" s="110"/>
      <c r="SOW1364" s="110"/>
      <c r="SOX1364" s="110"/>
      <c r="SOY1364" s="110"/>
      <c r="SOZ1364" s="110"/>
      <c r="SPA1364" s="110"/>
      <c r="SPB1364" s="110"/>
      <c r="SPC1364" s="110"/>
      <c r="SPD1364" s="110"/>
      <c r="SPE1364" s="110"/>
      <c r="SPF1364" s="110"/>
      <c r="SPG1364" s="110"/>
      <c r="SPH1364" s="110"/>
      <c r="SPI1364" s="110"/>
      <c r="SPJ1364" s="110"/>
      <c r="SPK1364" s="110"/>
      <c r="SPL1364" s="110"/>
      <c r="SPM1364" s="110"/>
      <c r="SPN1364" s="110"/>
      <c r="SPO1364" s="110"/>
      <c r="SPP1364" s="110"/>
      <c r="SPQ1364" s="110"/>
      <c r="SPR1364" s="110"/>
      <c r="SPS1364" s="110"/>
      <c r="SPT1364" s="110"/>
      <c r="SPU1364" s="110"/>
      <c r="SPV1364" s="110"/>
      <c r="SPW1364" s="110"/>
      <c r="SPX1364" s="110"/>
      <c r="SPY1364" s="110"/>
      <c r="SPZ1364" s="110"/>
      <c r="SQA1364" s="110"/>
      <c r="SQB1364" s="110"/>
      <c r="SQC1364" s="110"/>
      <c r="SQD1364" s="110"/>
      <c r="SQE1364" s="110"/>
      <c r="SQF1364" s="110"/>
      <c r="SQG1364" s="110"/>
      <c r="SQH1364" s="110"/>
      <c r="SQI1364" s="110"/>
      <c r="SQJ1364" s="110"/>
      <c r="SQK1364" s="110"/>
      <c r="SQL1364" s="110"/>
      <c r="SQM1364" s="110"/>
      <c r="SQN1364" s="110"/>
      <c r="SQO1364" s="110"/>
      <c r="SQP1364" s="110"/>
      <c r="SQQ1364" s="110"/>
      <c r="SQR1364" s="110"/>
      <c r="SQS1364" s="110"/>
      <c r="SQT1364" s="110"/>
      <c r="SQU1364" s="110"/>
      <c r="SQV1364" s="110"/>
      <c r="SQW1364" s="110"/>
      <c r="SQX1364" s="110"/>
      <c r="SQY1364" s="110"/>
      <c r="SQZ1364" s="110"/>
      <c r="SRA1364" s="110"/>
      <c r="SRB1364" s="110"/>
      <c r="SRC1364" s="110"/>
      <c r="SRD1364" s="110"/>
      <c r="SRE1364" s="110"/>
      <c r="SRF1364" s="110"/>
      <c r="SRG1364" s="110"/>
      <c r="SRH1364" s="110"/>
      <c r="SRI1364" s="110"/>
      <c r="SRJ1364" s="110"/>
      <c r="SRK1364" s="110"/>
      <c r="SRL1364" s="110"/>
      <c r="SRM1364" s="110"/>
      <c r="SRN1364" s="110"/>
      <c r="SRO1364" s="110"/>
      <c r="SRP1364" s="110"/>
      <c r="SRQ1364" s="110"/>
      <c r="SRR1364" s="110"/>
      <c r="SRS1364" s="110"/>
      <c r="SRT1364" s="110"/>
      <c r="SRU1364" s="110"/>
      <c r="SRV1364" s="110"/>
      <c r="SRW1364" s="110"/>
      <c r="SRX1364" s="110"/>
      <c r="SRY1364" s="110"/>
      <c r="SRZ1364" s="110"/>
      <c r="SSA1364" s="110"/>
      <c r="SSB1364" s="110"/>
      <c r="SSC1364" s="110"/>
      <c r="SSD1364" s="110"/>
      <c r="SSE1364" s="110"/>
      <c r="SSF1364" s="110"/>
      <c r="SSG1364" s="110"/>
      <c r="SSH1364" s="110"/>
      <c r="SSI1364" s="110"/>
      <c r="SSJ1364" s="110"/>
      <c r="SSK1364" s="110"/>
      <c r="SSL1364" s="110"/>
      <c r="SSM1364" s="110"/>
      <c r="SSN1364" s="110"/>
      <c r="SSO1364" s="110"/>
      <c r="SSP1364" s="110"/>
      <c r="SSQ1364" s="110"/>
      <c r="SSR1364" s="110"/>
      <c r="SSS1364" s="110"/>
      <c r="SST1364" s="110"/>
      <c r="SSU1364" s="110"/>
      <c r="SSV1364" s="110"/>
      <c r="SSW1364" s="110"/>
      <c r="SSX1364" s="110"/>
      <c r="SSY1364" s="110"/>
      <c r="SSZ1364" s="110"/>
      <c r="STA1364" s="110"/>
      <c r="STB1364" s="110"/>
      <c r="STC1364" s="110"/>
      <c r="STD1364" s="110"/>
      <c r="STE1364" s="110"/>
      <c r="STF1364" s="110"/>
      <c r="STG1364" s="110"/>
      <c r="STH1364" s="110"/>
      <c r="STI1364" s="110"/>
      <c r="STJ1364" s="110"/>
      <c r="STK1364" s="110"/>
      <c r="STL1364" s="110"/>
      <c r="STM1364" s="110"/>
      <c r="STN1364" s="110"/>
      <c r="STO1364" s="110"/>
      <c r="STP1364" s="110"/>
      <c r="STQ1364" s="110"/>
      <c r="STR1364" s="110"/>
      <c r="STS1364" s="110"/>
      <c r="STT1364" s="110"/>
      <c r="STU1364" s="110"/>
      <c r="STV1364" s="110"/>
      <c r="STW1364" s="110"/>
      <c r="STX1364" s="110"/>
      <c r="STY1364" s="110"/>
      <c r="STZ1364" s="110"/>
      <c r="SUA1364" s="110"/>
      <c r="SUB1364" s="110"/>
      <c r="SUC1364" s="110"/>
      <c r="SUD1364" s="110"/>
      <c r="SUE1364" s="110"/>
      <c r="SUF1364" s="110"/>
      <c r="SUG1364" s="110"/>
      <c r="SUH1364" s="110"/>
      <c r="SUI1364" s="110"/>
      <c r="SUJ1364" s="110"/>
      <c r="SUK1364" s="110"/>
      <c r="SUL1364" s="110"/>
      <c r="SUM1364" s="110"/>
      <c r="SUN1364" s="110"/>
      <c r="SUO1364" s="110"/>
      <c r="SUP1364" s="110"/>
      <c r="SUQ1364" s="110"/>
      <c r="SUR1364" s="110"/>
      <c r="SUS1364" s="110"/>
      <c r="SUT1364" s="110"/>
      <c r="SUU1364" s="110"/>
      <c r="SUV1364" s="110"/>
      <c r="SUW1364" s="110"/>
      <c r="SUX1364" s="110"/>
      <c r="SUY1364" s="110"/>
      <c r="SUZ1364" s="110"/>
      <c r="SVA1364" s="110"/>
      <c r="SVB1364" s="110"/>
      <c r="SVC1364" s="110"/>
      <c r="SVD1364" s="110"/>
      <c r="SVE1364" s="110"/>
      <c r="SVF1364" s="110"/>
      <c r="SVG1364" s="110"/>
      <c r="SVH1364" s="110"/>
      <c r="SVI1364" s="110"/>
      <c r="SVJ1364" s="110"/>
      <c r="SVK1364" s="110"/>
      <c r="SVL1364" s="110"/>
      <c r="SVM1364" s="110"/>
      <c r="SVN1364" s="110"/>
      <c r="SVO1364" s="110"/>
      <c r="SVP1364" s="110"/>
      <c r="SVQ1364" s="110"/>
      <c r="SVR1364" s="110"/>
      <c r="SVS1364" s="110"/>
      <c r="SVT1364" s="110"/>
      <c r="SVU1364" s="110"/>
      <c r="SVV1364" s="110"/>
      <c r="SVW1364" s="110"/>
      <c r="SVX1364" s="110"/>
      <c r="SVY1364" s="110"/>
      <c r="SVZ1364" s="110"/>
      <c r="SWA1364" s="110"/>
      <c r="SWB1364" s="110"/>
      <c r="SWC1364" s="110"/>
      <c r="SWD1364" s="110"/>
      <c r="SWE1364" s="110"/>
      <c r="SWF1364" s="110"/>
      <c r="SWG1364" s="110"/>
      <c r="SWH1364" s="110"/>
      <c r="SWI1364" s="110"/>
      <c r="SWJ1364" s="110"/>
      <c r="SWK1364" s="110"/>
      <c r="SWL1364" s="110"/>
      <c r="SWM1364" s="110"/>
      <c r="SWN1364" s="110"/>
      <c r="SWO1364" s="110"/>
      <c r="SWP1364" s="110"/>
      <c r="SWQ1364" s="110"/>
      <c r="SWR1364" s="110"/>
      <c r="SWS1364" s="110"/>
      <c r="SWT1364" s="110"/>
      <c r="SWU1364" s="110"/>
      <c r="SWV1364" s="110"/>
      <c r="SWW1364" s="110"/>
      <c r="SWX1364" s="110"/>
      <c r="SWY1364" s="110"/>
      <c r="SWZ1364" s="110"/>
      <c r="SXA1364" s="110"/>
      <c r="SXB1364" s="110"/>
      <c r="SXC1364" s="110"/>
      <c r="SXD1364" s="110"/>
      <c r="SXE1364" s="110"/>
      <c r="SXF1364" s="110"/>
      <c r="SXG1364" s="110"/>
      <c r="SXH1364" s="110"/>
      <c r="SXI1364" s="110"/>
      <c r="SXJ1364" s="110"/>
      <c r="SXK1364" s="110"/>
      <c r="SXL1364" s="110"/>
      <c r="SXM1364" s="110"/>
      <c r="SXN1364" s="110"/>
      <c r="SXO1364" s="110"/>
      <c r="SXP1364" s="110"/>
      <c r="SXQ1364" s="110"/>
      <c r="SXR1364" s="110"/>
      <c r="SXS1364" s="110"/>
      <c r="SXT1364" s="110"/>
      <c r="SXU1364" s="110"/>
      <c r="SXV1364" s="110"/>
      <c r="SXW1364" s="110"/>
      <c r="SXX1364" s="110"/>
      <c r="SXY1364" s="110"/>
      <c r="SXZ1364" s="110"/>
      <c r="SYA1364" s="110"/>
      <c r="SYB1364" s="110"/>
      <c r="SYC1364" s="110"/>
      <c r="SYD1364" s="110"/>
      <c r="SYE1364" s="110"/>
      <c r="SYF1364" s="110"/>
      <c r="SYG1364" s="110"/>
      <c r="SYH1364" s="110"/>
      <c r="SYI1364" s="110"/>
      <c r="SYJ1364" s="110"/>
      <c r="SYK1364" s="110"/>
      <c r="SYL1364" s="110"/>
      <c r="SYM1364" s="110"/>
      <c r="SYN1364" s="110"/>
      <c r="SYO1364" s="110"/>
      <c r="SYP1364" s="110"/>
      <c r="SYQ1364" s="110"/>
      <c r="SYR1364" s="110"/>
      <c r="SYS1364" s="110"/>
      <c r="SYT1364" s="110"/>
      <c r="SYU1364" s="110"/>
      <c r="SYV1364" s="110"/>
      <c r="SYW1364" s="110"/>
      <c r="SYX1364" s="110"/>
      <c r="SYY1364" s="110"/>
      <c r="SYZ1364" s="110"/>
      <c r="SZA1364" s="110"/>
      <c r="SZB1364" s="110"/>
      <c r="SZC1364" s="110"/>
      <c r="SZD1364" s="110"/>
      <c r="SZE1364" s="110"/>
      <c r="SZF1364" s="110"/>
      <c r="SZG1364" s="110"/>
      <c r="SZH1364" s="110"/>
      <c r="SZI1364" s="110"/>
      <c r="SZJ1364" s="110"/>
      <c r="SZK1364" s="110"/>
      <c r="SZL1364" s="110"/>
      <c r="SZM1364" s="110"/>
      <c r="SZN1364" s="110"/>
      <c r="SZO1364" s="110"/>
      <c r="SZP1364" s="110"/>
      <c r="SZQ1364" s="110"/>
      <c r="SZR1364" s="110"/>
      <c r="SZS1364" s="110"/>
      <c r="SZT1364" s="110"/>
      <c r="SZU1364" s="110"/>
      <c r="SZV1364" s="110"/>
      <c r="SZW1364" s="110"/>
      <c r="SZX1364" s="110"/>
      <c r="SZY1364" s="110"/>
      <c r="SZZ1364" s="110"/>
      <c r="TAA1364" s="110"/>
      <c r="TAB1364" s="110"/>
      <c r="TAC1364" s="110"/>
      <c r="TAD1364" s="110"/>
      <c r="TAE1364" s="110"/>
      <c r="TAF1364" s="110"/>
      <c r="TAG1364" s="110"/>
      <c r="TAH1364" s="110"/>
      <c r="TAI1364" s="110"/>
      <c r="TAJ1364" s="110"/>
      <c r="TAK1364" s="110"/>
      <c r="TAL1364" s="110"/>
      <c r="TAM1364" s="110"/>
      <c r="TAN1364" s="110"/>
      <c r="TAO1364" s="110"/>
      <c r="TAP1364" s="110"/>
      <c r="TAQ1364" s="110"/>
      <c r="TAR1364" s="110"/>
      <c r="TAS1364" s="110"/>
      <c r="TAT1364" s="110"/>
      <c r="TAU1364" s="110"/>
      <c r="TAV1364" s="110"/>
      <c r="TAW1364" s="110"/>
      <c r="TAX1364" s="110"/>
      <c r="TAY1364" s="110"/>
      <c r="TAZ1364" s="110"/>
      <c r="TBA1364" s="110"/>
      <c r="TBB1364" s="110"/>
      <c r="TBC1364" s="110"/>
      <c r="TBD1364" s="110"/>
      <c r="TBE1364" s="110"/>
      <c r="TBF1364" s="110"/>
      <c r="TBG1364" s="110"/>
      <c r="TBH1364" s="110"/>
      <c r="TBI1364" s="110"/>
      <c r="TBJ1364" s="110"/>
      <c r="TBK1364" s="110"/>
      <c r="TBL1364" s="110"/>
      <c r="TBM1364" s="110"/>
      <c r="TBN1364" s="110"/>
      <c r="TBO1364" s="110"/>
      <c r="TBP1364" s="110"/>
      <c r="TBQ1364" s="110"/>
      <c r="TBR1364" s="110"/>
      <c r="TBS1364" s="110"/>
      <c r="TBT1364" s="110"/>
      <c r="TBU1364" s="110"/>
      <c r="TBV1364" s="110"/>
      <c r="TBW1364" s="110"/>
      <c r="TBX1364" s="110"/>
      <c r="TBY1364" s="110"/>
      <c r="TBZ1364" s="110"/>
      <c r="TCA1364" s="110"/>
      <c r="TCB1364" s="110"/>
      <c r="TCC1364" s="110"/>
      <c r="TCD1364" s="110"/>
      <c r="TCE1364" s="110"/>
      <c r="TCF1364" s="110"/>
      <c r="TCG1364" s="110"/>
      <c r="TCH1364" s="110"/>
      <c r="TCI1364" s="110"/>
      <c r="TCJ1364" s="110"/>
      <c r="TCK1364" s="110"/>
      <c r="TCL1364" s="110"/>
      <c r="TCM1364" s="110"/>
      <c r="TCN1364" s="110"/>
      <c r="TCO1364" s="110"/>
      <c r="TCP1364" s="110"/>
      <c r="TCQ1364" s="110"/>
      <c r="TCR1364" s="110"/>
      <c r="TCS1364" s="110"/>
      <c r="TCT1364" s="110"/>
      <c r="TCU1364" s="110"/>
      <c r="TCV1364" s="110"/>
      <c r="TCW1364" s="110"/>
      <c r="TCX1364" s="110"/>
      <c r="TCY1364" s="110"/>
      <c r="TCZ1364" s="110"/>
      <c r="TDA1364" s="110"/>
      <c r="TDB1364" s="110"/>
      <c r="TDC1364" s="110"/>
      <c r="TDD1364" s="110"/>
      <c r="TDE1364" s="110"/>
      <c r="TDF1364" s="110"/>
      <c r="TDG1364" s="110"/>
      <c r="TDH1364" s="110"/>
      <c r="TDI1364" s="110"/>
      <c r="TDJ1364" s="110"/>
      <c r="TDK1364" s="110"/>
      <c r="TDL1364" s="110"/>
      <c r="TDM1364" s="110"/>
      <c r="TDN1364" s="110"/>
      <c r="TDO1364" s="110"/>
      <c r="TDP1364" s="110"/>
      <c r="TDQ1364" s="110"/>
      <c r="TDR1364" s="110"/>
      <c r="TDS1364" s="110"/>
      <c r="TDT1364" s="110"/>
      <c r="TDU1364" s="110"/>
      <c r="TDV1364" s="110"/>
      <c r="TDW1364" s="110"/>
      <c r="TDX1364" s="110"/>
      <c r="TDY1364" s="110"/>
      <c r="TDZ1364" s="110"/>
      <c r="TEA1364" s="110"/>
      <c r="TEB1364" s="110"/>
      <c r="TEC1364" s="110"/>
      <c r="TED1364" s="110"/>
      <c r="TEE1364" s="110"/>
      <c r="TEF1364" s="110"/>
      <c r="TEG1364" s="110"/>
      <c r="TEH1364" s="110"/>
      <c r="TEI1364" s="110"/>
      <c r="TEJ1364" s="110"/>
      <c r="TEK1364" s="110"/>
      <c r="TEL1364" s="110"/>
      <c r="TEM1364" s="110"/>
      <c r="TEN1364" s="110"/>
      <c r="TEO1364" s="110"/>
      <c r="TEP1364" s="110"/>
      <c r="TEQ1364" s="110"/>
      <c r="TER1364" s="110"/>
      <c r="TES1364" s="110"/>
      <c r="TET1364" s="110"/>
      <c r="TEU1364" s="110"/>
      <c r="TEV1364" s="110"/>
      <c r="TEW1364" s="110"/>
      <c r="TEX1364" s="110"/>
      <c r="TEY1364" s="110"/>
      <c r="TEZ1364" s="110"/>
      <c r="TFA1364" s="110"/>
      <c r="TFB1364" s="110"/>
      <c r="TFC1364" s="110"/>
      <c r="TFD1364" s="110"/>
      <c r="TFE1364" s="110"/>
      <c r="TFF1364" s="110"/>
      <c r="TFG1364" s="110"/>
      <c r="TFH1364" s="110"/>
      <c r="TFI1364" s="110"/>
      <c r="TFJ1364" s="110"/>
      <c r="TFK1364" s="110"/>
      <c r="TFL1364" s="110"/>
      <c r="TFM1364" s="110"/>
      <c r="TFN1364" s="110"/>
      <c r="TFO1364" s="110"/>
      <c r="TFP1364" s="110"/>
      <c r="TFQ1364" s="110"/>
      <c r="TFR1364" s="110"/>
      <c r="TFS1364" s="110"/>
      <c r="TFT1364" s="110"/>
      <c r="TFU1364" s="110"/>
      <c r="TFV1364" s="110"/>
      <c r="TFW1364" s="110"/>
      <c r="TFX1364" s="110"/>
      <c r="TFY1364" s="110"/>
      <c r="TFZ1364" s="110"/>
      <c r="TGA1364" s="110"/>
      <c r="TGB1364" s="110"/>
      <c r="TGC1364" s="110"/>
      <c r="TGD1364" s="110"/>
      <c r="TGE1364" s="110"/>
      <c r="TGF1364" s="110"/>
      <c r="TGG1364" s="110"/>
      <c r="TGH1364" s="110"/>
      <c r="TGI1364" s="110"/>
      <c r="TGJ1364" s="110"/>
      <c r="TGK1364" s="110"/>
      <c r="TGL1364" s="110"/>
      <c r="TGM1364" s="110"/>
      <c r="TGN1364" s="110"/>
      <c r="TGO1364" s="110"/>
      <c r="TGP1364" s="110"/>
      <c r="TGQ1364" s="110"/>
      <c r="TGR1364" s="110"/>
      <c r="TGS1364" s="110"/>
      <c r="TGT1364" s="110"/>
      <c r="TGU1364" s="110"/>
      <c r="TGV1364" s="110"/>
      <c r="TGW1364" s="110"/>
      <c r="TGX1364" s="110"/>
      <c r="TGY1364" s="110"/>
      <c r="TGZ1364" s="110"/>
      <c r="THA1364" s="110"/>
      <c r="THB1364" s="110"/>
      <c r="THC1364" s="110"/>
      <c r="THD1364" s="110"/>
      <c r="THE1364" s="110"/>
      <c r="THF1364" s="110"/>
      <c r="THG1364" s="110"/>
      <c r="THH1364" s="110"/>
      <c r="THI1364" s="110"/>
      <c r="THJ1364" s="110"/>
      <c r="THK1364" s="110"/>
      <c r="THL1364" s="110"/>
      <c r="THM1364" s="110"/>
      <c r="THN1364" s="110"/>
      <c r="THO1364" s="110"/>
      <c r="THP1364" s="110"/>
      <c r="THQ1364" s="110"/>
      <c r="THR1364" s="110"/>
      <c r="THS1364" s="110"/>
      <c r="THT1364" s="110"/>
      <c r="THU1364" s="110"/>
      <c r="THV1364" s="110"/>
      <c r="THW1364" s="110"/>
      <c r="THX1364" s="110"/>
      <c r="THY1364" s="110"/>
      <c r="THZ1364" s="110"/>
      <c r="TIA1364" s="110"/>
      <c r="TIB1364" s="110"/>
      <c r="TIC1364" s="110"/>
      <c r="TID1364" s="110"/>
      <c r="TIE1364" s="110"/>
      <c r="TIF1364" s="110"/>
      <c r="TIG1364" s="110"/>
      <c r="TIH1364" s="110"/>
      <c r="TII1364" s="110"/>
      <c r="TIJ1364" s="110"/>
      <c r="TIK1364" s="110"/>
      <c r="TIL1364" s="110"/>
      <c r="TIM1364" s="110"/>
      <c r="TIN1364" s="110"/>
      <c r="TIO1364" s="110"/>
      <c r="TIP1364" s="110"/>
      <c r="TIQ1364" s="110"/>
      <c r="TIR1364" s="110"/>
      <c r="TIS1364" s="110"/>
      <c r="TIT1364" s="110"/>
      <c r="TIU1364" s="110"/>
      <c r="TIV1364" s="110"/>
      <c r="TIW1364" s="110"/>
      <c r="TIX1364" s="110"/>
      <c r="TIY1364" s="110"/>
      <c r="TIZ1364" s="110"/>
      <c r="TJA1364" s="110"/>
      <c r="TJB1364" s="110"/>
      <c r="TJC1364" s="110"/>
      <c r="TJD1364" s="110"/>
      <c r="TJE1364" s="110"/>
      <c r="TJF1364" s="110"/>
      <c r="TJG1364" s="110"/>
      <c r="TJH1364" s="110"/>
      <c r="TJI1364" s="110"/>
      <c r="TJJ1364" s="110"/>
      <c r="TJK1364" s="110"/>
      <c r="TJL1364" s="110"/>
      <c r="TJM1364" s="110"/>
      <c r="TJN1364" s="110"/>
      <c r="TJO1364" s="110"/>
      <c r="TJP1364" s="110"/>
      <c r="TJQ1364" s="110"/>
      <c r="TJR1364" s="110"/>
      <c r="TJS1364" s="110"/>
      <c r="TJT1364" s="110"/>
      <c r="TJU1364" s="110"/>
      <c r="TJV1364" s="110"/>
      <c r="TJW1364" s="110"/>
      <c r="TJX1364" s="110"/>
      <c r="TJY1364" s="110"/>
      <c r="TJZ1364" s="110"/>
      <c r="TKA1364" s="110"/>
      <c r="TKB1364" s="110"/>
      <c r="TKC1364" s="110"/>
      <c r="TKD1364" s="110"/>
      <c r="TKE1364" s="110"/>
      <c r="TKF1364" s="110"/>
      <c r="TKG1364" s="110"/>
      <c r="TKH1364" s="110"/>
      <c r="TKI1364" s="110"/>
      <c r="TKJ1364" s="110"/>
      <c r="TKK1364" s="110"/>
      <c r="TKL1364" s="110"/>
      <c r="TKM1364" s="110"/>
      <c r="TKN1364" s="110"/>
      <c r="TKO1364" s="110"/>
      <c r="TKP1364" s="110"/>
      <c r="TKQ1364" s="110"/>
      <c r="TKR1364" s="110"/>
      <c r="TKS1364" s="110"/>
      <c r="TKT1364" s="110"/>
      <c r="TKU1364" s="110"/>
      <c r="TKV1364" s="110"/>
      <c r="TKW1364" s="110"/>
      <c r="TKX1364" s="110"/>
      <c r="TKY1364" s="110"/>
      <c r="TKZ1364" s="110"/>
      <c r="TLA1364" s="110"/>
      <c r="TLB1364" s="110"/>
      <c r="TLC1364" s="110"/>
      <c r="TLD1364" s="110"/>
      <c r="TLE1364" s="110"/>
      <c r="TLF1364" s="110"/>
      <c r="TLG1364" s="110"/>
      <c r="TLH1364" s="110"/>
      <c r="TLI1364" s="110"/>
      <c r="TLJ1364" s="110"/>
      <c r="TLK1364" s="110"/>
      <c r="TLL1364" s="110"/>
      <c r="TLM1364" s="110"/>
      <c r="TLN1364" s="110"/>
      <c r="TLO1364" s="110"/>
      <c r="TLP1364" s="110"/>
      <c r="TLQ1364" s="110"/>
      <c r="TLR1364" s="110"/>
      <c r="TLS1364" s="110"/>
      <c r="TLT1364" s="110"/>
      <c r="TLU1364" s="110"/>
      <c r="TLV1364" s="110"/>
      <c r="TLW1364" s="110"/>
      <c r="TLX1364" s="110"/>
      <c r="TLY1364" s="110"/>
      <c r="TLZ1364" s="110"/>
      <c r="TMA1364" s="110"/>
      <c r="TMB1364" s="110"/>
      <c r="TMC1364" s="110"/>
      <c r="TMD1364" s="110"/>
      <c r="TME1364" s="110"/>
      <c r="TMF1364" s="110"/>
      <c r="TMG1364" s="110"/>
      <c r="TMH1364" s="110"/>
      <c r="TMI1364" s="110"/>
      <c r="TMJ1364" s="110"/>
      <c r="TMK1364" s="110"/>
      <c r="TML1364" s="110"/>
      <c r="TMM1364" s="110"/>
      <c r="TMN1364" s="110"/>
      <c r="TMO1364" s="110"/>
      <c r="TMP1364" s="110"/>
      <c r="TMQ1364" s="110"/>
      <c r="TMR1364" s="110"/>
      <c r="TMS1364" s="110"/>
      <c r="TMT1364" s="110"/>
      <c r="TMU1364" s="110"/>
      <c r="TMV1364" s="110"/>
      <c r="TMW1364" s="110"/>
      <c r="TMX1364" s="110"/>
      <c r="TMY1364" s="110"/>
      <c r="TMZ1364" s="110"/>
      <c r="TNA1364" s="110"/>
      <c r="TNB1364" s="110"/>
      <c r="TNC1364" s="110"/>
      <c r="TND1364" s="110"/>
      <c r="TNE1364" s="110"/>
      <c r="TNF1364" s="110"/>
      <c r="TNG1364" s="110"/>
      <c r="TNH1364" s="110"/>
      <c r="TNI1364" s="110"/>
      <c r="TNJ1364" s="110"/>
      <c r="TNK1364" s="110"/>
      <c r="TNL1364" s="110"/>
      <c r="TNM1364" s="110"/>
      <c r="TNN1364" s="110"/>
      <c r="TNO1364" s="110"/>
      <c r="TNP1364" s="110"/>
      <c r="TNQ1364" s="110"/>
      <c r="TNR1364" s="110"/>
      <c r="TNS1364" s="110"/>
      <c r="TNT1364" s="110"/>
      <c r="TNU1364" s="110"/>
      <c r="TNV1364" s="110"/>
      <c r="TNW1364" s="110"/>
      <c r="TNX1364" s="110"/>
      <c r="TNY1364" s="110"/>
      <c r="TNZ1364" s="110"/>
      <c r="TOA1364" s="110"/>
      <c r="TOB1364" s="110"/>
      <c r="TOC1364" s="110"/>
      <c r="TOD1364" s="110"/>
      <c r="TOE1364" s="110"/>
      <c r="TOF1364" s="110"/>
      <c r="TOG1364" s="110"/>
      <c r="TOH1364" s="110"/>
      <c r="TOI1364" s="110"/>
      <c r="TOJ1364" s="110"/>
      <c r="TOK1364" s="110"/>
      <c r="TOL1364" s="110"/>
      <c r="TOM1364" s="110"/>
      <c r="TON1364" s="110"/>
      <c r="TOO1364" s="110"/>
      <c r="TOP1364" s="110"/>
      <c r="TOQ1364" s="110"/>
      <c r="TOR1364" s="110"/>
      <c r="TOS1364" s="110"/>
      <c r="TOT1364" s="110"/>
      <c r="TOU1364" s="110"/>
      <c r="TOV1364" s="110"/>
      <c r="TOW1364" s="110"/>
      <c r="TOX1364" s="110"/>
      <c r="TOY1364" s="110"/>
      <c r="TOZ1364" s="110"/>
      <c r="TPA1364" s="110"/>
      <c r="TPB1364" s="110"/>
      <c r="TPC1364" s="110"/>
      <c r="TPD1364" s="110"/>
      <c r="TPE1364" s="110"/>
      <c r="TPF1364" s="110"/>
      <c r="TPG1364" s="110"/>
      <c r="TPH1364" s="110"/>
      <c r="TPI1364" s="110"/>
      <c r="TPJ1364" s="110"/>
      <c r="TPK1364" s="110"/>
      <c r="TPL1364" s="110"/>
      <c r="TPM1364" s="110"/>
      <c r="TPN1364" s="110"/>
      <c r="TPO1364" s="110"/>
      <c r="TPP1364" s="110"/>
      <c r="TPQ1364" s="110"/>
      <c r="TPR1364" s="110"/>
      <c r="TPS1364" s="110"/>
      <c r="TPT1364" s="110"/>
      <c r="TPU1364" s="110"/>
      <c r="TPV1364" s="110"/>
      <c r="TPW1364" s="110"/>
      <c r="TPX1364" s="110"/>
      <c r="TPY1364" s="110"/>
      <c r="TPZ1364" s="110"/>
      <c r="TQA1364" s="110"/>
      <c r="TQB1364" s="110"/>
      <c r="TQC1364" s="110"/>
      <c r="TQD1364" s="110"/>
      <c r="TQE1364" s="110"/>
      <c r="TQF1364" s="110"/>
      <c r="TQG1364" s="110"/>
      <c r="TQH1364" s="110"/>
      <c r="TQI1364" s="110"/>
      <c r="TQJ1364" s="110"/>
      <c r="TQK1364" s="110"/>
      <c r="TQL1364" s="110"/>
      <c r="TQM1364" s="110"/>
      <c r="TQN1364" s="110"/>
      <c r="TQO1364" s="110"/>
      <c r="TQP1364" s="110"/>
      <c r="TQQ1364" s="110"/>
      <c r="TQR1364" s="110"/>
      <c r="TQS1364" s="110"/>
      <c r="TQT1364" s="110"/>
      <c r="TQU1364" s="110"/>
      <c r="TQV1364" s="110"/>
      <c r="TQW1364" s="110"/>
      <c r="TQX1364" s="110"/>
      <c r="TQY1364" s="110"/>
      <c r="TQZ1364" s="110"/>
      <c r="TRA1364" s="110"/>
      <c r="TRB1364" s="110"/>
      <c r="TRC1364" s="110"/>
      <c r="TRD1364" s="110"/>
      <c r="TRE1364" s="110"/>
      <c r="TRF1364" s="110"/>
      <c r="TRG1364" s="110"/>
      <c r="TRH1364" s="110"/>
      <c r="TRI1364" s="110"/>
      <c r="TRJ1364" s="110"/>
      <c r="TRK1364" s="110"/>
      <c r="TRL1364" s="110"/>
      <c r="TRM1364" s="110"/>
      <c r="TRN1364" s="110"/>
      <c r="TRO1364" s="110"/>
      <c r="TRP1364" s="110"/>
      <c r="TRQ1364" s="110"/>
      <c r="TRR1364" s="110"/>
      <c r="TRS1364" s="110"/>
      <c r="TRT1364" s="110"/>
      <c r="TRU1364" s="110"/>
      <c r="TRV1364" s="110"/>
      <c r="TRW1364" s="110"/>
      <c r="TRX1364" s="110"/>
      <c r="TRY1364" s="110"/>
      <c r="TRZ1364" s="110"/>
      <c r="TSA1364" s="110"/>
      <c r="TSB1364" s="110"/>
      <c r="TSC1364" s="110"/>
      <c r="TSD1364" s="110"/>
      <c r="TSE1364" s="110"/>
      <c r="TSF1364" s="110"/>
      <c r="TSG1364" s="110"/>
      <c r="TSH1364" s="110"/>
      <c r="TSI1364" s="110"/>
      <c r="TSJ1364" s="110"/>
      <c r="TSK1364" s="110"/>
      <c r="TSL1364" s="110"/>
      <c r="TSM1364" s="110"/>
      <c r="TSN1364" s="110"/>
      <c r="TSO1364" s="110"/>
      <c r="TSP1364" s="110"/>
      <c r="TSQ1364" s="110"/>
      <c r="TSR1364" s="110"/>
      <c r="TSS1364" s="110"/>
      <c r="TST1364" s="110"/>
      <c r="TSU1364" s="110"/>
      <c r="TSV1364" s="110"/>
      <c r="TSW1364" s="110"/>
      <c r="TSX1364" s="110"/>
      <c r="TSY1364" s="110"/>
      <c r="TSZ1364" s="110"/>
      <c r="TTA1364" s="110"/>
      <c r="TTB1364" s="110"/>
      <c r="TTC1364" s="110"/>
      <c r="TTD1364" s="110"/>
      <c r="TTE1364" s="110"/>
      <c r="TTF1364" s="110"/>
      <c r="TTG1364" s="110"/>
      <c r="TTH1364" s="110"/>
      <c r="TTI1364" s="110"/>
      <c r="TTJ1364" s="110"/>
      <c r="TTK1364" s="110"/>
      <c r="TTL1364" s="110"/>
      <c r="TTM1364" s="110"/>
      <c r="TTN1364" s="110"/>
      <c r="TTO1364" s="110"/>
      <c r="TTP1364" s="110"/>
      <c r="TTQ1364" s="110"/>
      <c r="TTR1364" s="110"/>
      <c r="TTS1364" s="110"/>
      <c r="TTT1364" s="110"/>
      <c r="TTU1364" s="110"/>
      <c r="TTV1364" s="110"/>
      <c r="TTW1364" s="110"/>
      <c r="TTX1364" s="110"/>
      <c r="TTY1364" s="110"/>
      <c r="TTZ1364" s="110"/>
      <c r="TUA1364" s="110"/>
      <c r="TUB1364" s="110"/>
      <c r="TUC1364" s="110"/>
      <c r="TUD1364" s="110"/>
      <c r="TUE1364" s="110"/>
      <c r="TUF1364" s="110"/>
      <c r="TUG1364" s="110"/>
      <c r="TUH1364" s="110"/>
      <c r="TUI1364" s="110"/>
      <c r="TUJ1364" s="110"/>
      <c r="TUK1364" s="110"/>
      <c r="TUL1364" s="110"/>
      <c r="TUM1364" s="110"/>
      <c r="TUN1364" s="110"/>
      <c r="TUO1364" s="110"/>
      <c r="TUP1364" s="110"/>
      <c r="TUQ1364" s="110"/>
      <c r="TUR1364" s="110"/>
      <c r="TUS1364" s="110"/>
      <c r="TUT1364" s="110"/>
      <c r="TUU1364" s="110"/>
      <c r="TUV1364" s="110"/>
      <c r="TUW1364" s="110"/>
      <c r="TUX1364" s="110"/>
      <c r="TUY1364" s="110"/>
      <c r="TUZ1364" s="110"/>
      <c r="TVA1364" s="110"/>
      <c r="TVB1364" s="110"/>
      <c r="TVC1364" s="110"/>
      <c r="TVD1364" s="110"/>
      <c r="TVE1364" s="110"/>
      <c r="TVF1364" s="110"/>
      <c r="TVG1364" s="110"/>
      <c r="TVH1364" s="110"/>
      <c r="TVI1364" s="110"/>
      <c r="TVJ1364" s="110"/>
      <c r="TVK1364" s="110"/>
      <c r="TVL1364" s="110"/>
      <c r="TVM1364" s="110"/>
      <c r="TVN1364" s="110"/>
      <c r="TVO1364" s="110"/>
      <c r="TVP1364" s="110"/>
      <c r="TVQ1364" s="110"/>
      <c r="TVR1364" s="110"/>
      <c r="TVS1364" s="110"/>
      <c r="TVT1364" s="110"/>
      <c r="TVU1364" s="110"/>
      <c r="TVV1364" s="110"/>
      <c r="TVW1364" s="110"/>
      <c r="TVX1364" s="110"/>
      <c r="TVY1364" s="110"/>
      <c r="TVZ1364" s="110"/>
      <c r="TWA1364" s="110"/>
      <c r="TWB1364" s="110"/>
      <c r="TWC1364" s="110"/>
      <c r="TWD1364" s="110"/>
      <c r="TWE1364" s="110"/>
      <c r="TWF1364" s="110"/>
      <c r="TWG1364" s="110"/>
      <c r="TWH1364" s="110"/>
      <c r="TWI1364" s="110"/>
      <c r="TWJ1364" s="110"/>
      <c r="TWK1364" s="110"/>
      <c r="TWL1364" s="110"/>
      <c r="TWM1364" s="110"/>
      <c r="TWN1364" s="110"/>
      <c r="TWO1364" s="110"/>
      <c r="TWP1364" s="110"/>
      <c r="TWQ1364" s="110"/>
      <c r="TWR1364" s="110"/>
      <c r="TWS1364" s="110"/>
      <c r="TWT1364" s="110"/>
      <c r="TWU1364" s="110"/>
      <c r="TWV1364" s="110"/>
      <c r="TWW1364" s="110"/>
      <c r="TWX1364" s="110"/>
      <c r="TWY1364" s="110"/>
      <c r="TWZ1364" s="110"/>
      <c r="TXA1364" s="110"/>
      <c r="TXB1364" s="110"/>
      <c r="TXC1364" s="110"/>
      <c r="TXD1364" s="110"/>
      <c r="TXE1364" s="110"/>
      <c r="TXF1364" s="110"/>
      <c r="TXG1364" s="110"/>
      <c r="TXH1364" s="110"/>
      <c r="TXI1364" s="110"/>
      <c r="TXJ1364" s="110"/>
      <c r="TXK1364" s="110"/>
      <c r="TXL1364" s="110"/>
      <c r="TXM1364" s="110"/>
      <c r="TXN1364" s="110"/>
      <c r="TXO1364" s="110"/>
      <c r="TXP1364" s="110"/>
      <c r="TXQ1364" s="110"/>
      <c r="TXR1364" s="110"/>
      <c r="TXS1364" s="110"/>
      <c r="TXT1364" s="110"/>
      <c r="TXU1364" s="110"/>
      <c r="TXV1364" s="110"/>
      <c r="TXW1364" s="110"/>
      <c r="TXX1364" s="110"/>
      <c r="TXY1364" s="110"/>
      <c r="TXZ1364" s="110"/>
      <c r="TYA1364" s="110"/>
      <c r="TYB1364" s="110"/>
      <c r="TYC1364" s="110"/>
      <c r="TYD1364" s="110"/>
      <c r="TYE1364" s="110"/>
      <c r="TYF1364" s="110"/>
      <c r="TYG1364" s="110"/>
      <c r="TYH1364" s="110"/>
      <c r="TYI1364" s="110"/>
      <c r="TYJ1364" s="110"/>
      <c r="TYK1364" s="110"/>
      <c r="TYL1364" s="110"/>
      <c r="TYM1364" s="110"/>
      <c r="TYN1364" s="110"/>
      <c r="TYO1364" s="110"/>
      <c r="TYP1364" s="110"/>
      <c r="TYQ1364" s="110"/>
      <c r="TYR1364" s="110"/>
      <c r="TYS1364" s="110"/>
      <c r="TYT1364" s="110"/>
      <c r="TYU1364" s="110"/>
      <c r="TYV1364" s="110"/>
      <c r="TYW1364" s="110"/>
      <c r="TYX1364" s="110"/>
      <c r="TYY1364" s="110"/>
      <c r="TYZ1364" s="110"/>
      <c r="TZA1364" s="110"/>
      <c r="TZB1364" s="110"/>
      <c r="TZC1364" s="110"/>
      <c r="TZD1364" s="110"/>
      <c r="TZE1364" s="110"/>
      <c r="TZF1364" s="110"/>
      <c r="TZG1364" s="110"/>
      <c r="TZH1364" s="110"/>
      <c r="TZI1364" s="110"/>
      <c r="TZJ1364" s="110"/>
      <c r="TZK1364" s="110"/>
      <c r="TZL1364" s="110"/>
      <c r="TZM1364" s="110"/>
      <c r="TZN1364" s="110"/>
      <c r="TZO1364" s="110"/>
      <c r="TZP1364" s="110"/>
      <c r="TZQ1364" s="110"/>
      <c r="TZR1364" s="110"/>
      <c r="TZS1364" s="110"/>
      <c r="TZT1364" s="110"/>
      <c r="TZU1364" s="110"/>
      <c r="TZV1364" s="110"/>
      <c r="TZW1364" s="110"/>
      <c r="TZX1364" s="110"/>
      <c r="TZY1364" s="110"/>
      <c r="TZZ1364" s="110"/>
      <c r="UAA1364" s="110"/>
      <c r="UAB1364" s="110"/>
      <c r="UAC1364" s="110"/>
      <c r="UAD1364" s="110"/>
      <c r="UAE1364" s="110"/>
      <c r="UAF1364" s="110"/>
      <c r="UAG1364" s="110"/>
      <c r="UAH1364" s="110"/>
      <c r="UAI1364" s="110"/>
      <c r="UAJ1364" s="110"/>
      <c r="UAK1364" s="110"/>
      <c r="UAL1364" s="110"/>
      <c r="UAM1364" s="110"/>
      <c r="UAN1364" s="110"/>
      <c r="UAO1364" s="110"/>
      <c r="UAP1364" s="110"/>
      <c r="UAQ1364" s="110"/>
      <c r="UAR1364" s="110"/>
      <c r="UAS1364" s="110"/>
      <c r="UAT1364" s="110"/>
      <c r="UAU1364" s="110"/>
      <c r="UAV1364" s="110"/>
      <c r="UAW1364" s="110"/>
      <c r="UAX1364" s="110"/>
      <c r="UAY1364" s="110"/>
      <c r="UAZ1364" s="110"/>
      <c r="UBA1364" s="110"/>
      <c r="UBB1364" s="110"/>
      <c r="UBC1364" s="110"/>
      <c r="UBD1364" s="110"/>
      <c r="UBE1364" s="110"/>
      <c r="UBF1364" s="110"/>
      <c r="UBG1364" s="110"/>
      <c r="UBH1364" s="110"/>
      <c r="UBI1364" s="110"/>
      <c r="UBJ1364" s="110"/>
      <c r="UBK1364" s="110"/>
      <c r="UBL1364" s="110"/>
      <c r="UBM1364" s="110"/>
      <c r="UBN1364" s="110"/>
      <c r="UBO1364" s="110"/>
      <c r="UBP1364" s="110"/>
      <c r="UBQ1364" s="110"/>
      <c r="UBR1364" s="110"/>
      <c r="UBS1364" s="110"/>
      <c r="UBT1364" s="110"/>
      <c r="UBU1364" s="110"/>
      <c r="UBV1364" s="110"/>
      <c r="UBW1364" s="110"/>
      <c r="UBX1364" s="110"/>
      <c r="UBY1364" s="110"/>
      <c r="UBZ1364" s="110"/>
      <c r="UCA1364" s="110"/>
      <c r="UCB1364" s="110"/>
      <c r="UCC1364" s="110"/>
      <c r="UCD1364" s="110"/>
      <c r="UCE1364" s="110"/>
      <c r="UCF1364" s="110"/>
      <c r="UCG1364" s="110"/>
      <c r="UCH1364" s="110"/>
      <c r="UCI1364" s="110"/>
      <c r="UCJ1364" s="110"/>
      <c r="UCK1364" s="110"/>
      <c r="UCL1364" s="110"/>
      <c r="UCM1364" s="110"/>
      <c r="UCN1364" s="110"/>
      <c r="UCO1364" s="110"/>
      <c r="UCP1364" s="110"/>
      <c r="UCQ1364" s="110"/>
      <c r="UCR1364" s="110"/>
      <c r="UCS1364" s="110"/>
      <c r="UCT1364" s="110"/>
      <c r="UCU1364" s="110"/>
      <c r="UCV1364" s="110"/>
      <c r="UCW1364" s="110"/>
      <c r="UCX1364" s="110"/>
      <c r="UCY1364" s="110"/>
      <c r="UCZ1364" s="110"/>
      <c r="UDA1364" s="110"/>
      <c r="UDB1364" s="110"/>
      <c r="UDC1364" s="110"/>
      <c r="UDD1364" s="110"/>
      <c r="UDE1364" s="110"/>
      <c r="UDF1364" s="110"/>
      <c r="UDG1364" s="110"/>
      <c r="UDH1364" s="110"/>
      <c r="UDI1364" s="110"/>
      <c r="UDJ1364" s="110"/>
      <c r="UDK1364" s="110"/>
      <c r="UDL1364" s="110"/>
      <c r="UDM1364" s="110"/>
      <c r="UDN1364" s="110"/>
      <c r="UDO1364" s="110"/>
      <c r="UDP1364" s="110"/>
      <c r="UDQ1364" s="110"/>
      <c r="UDR1364" s="110"/>
      <c r="UDS1364" s="110"/>
      <c r="UDT1364" s="110"/>
      <c r="UDU1364" s="110"/>
      <c r="UDV1364" s="110"/>
      <c r="UDW1364" s="110"/>
      <c r="UDX1364" s="110"/>
      <c r="UDY1364" s="110"/>
      <c r="UDZ1364" s="110"/>
      <c r="UEA1364" s="110"/>
      <c r="UEB1364" s="110"/>
      <c r="UEC1364" s="110"/>
      <c r="UED1364" s="110"/>
      <c r="UEE1364" s="110"/>
      <c r="UEF1364" s="110"/>
      <c r="UEG1364" s="110"/>
      <c r="UEH1364" s="110"/>
      <c r="UEI1364" s="110"/>
      <c r="UEJ1364" s="110"/>
      <c r="UEK1364" s="110"/>
      <c r="UEL1364" s="110"/>
      <c r="UEM1364" s="110"/>
      <c r="UEN1364" s="110"/>
      <c r="UEO1364" s="110"/>
      <c r="UEP1364" s="110"/>
      <c r="UEQ1364" s="110"/>
      <c r="UER1364" s="110"/>
      <c r="UES1364" s="110"/>
      <c r="UET1364" s="110"/>
      <c r="UEU1364" s="110"/>
      <c r="UEV1364" s="110"/>
      <c r="UEW1364" s="110"/>
      <c r="UEX1364" s="110"/>
      <c r="UEY1364" s="110"/>
      <c r="UEZ1364" s="110"/>
      <c r="UFA1364" s="110"/>
      <c r="UFB1364" s="110"/>
      <c r="UFC1364" s="110"/>
      <c r="UFD1364" s="110"/>
      <c r="UFE1364" s="110"/>
      <c r="UFF1364" s="110"/>
      <c r="UFG1364" s="110"/>
      <c r="UFH1364" s="110"/>
      <c r="UFI1364" s="110"/>
      <c r="UFJ1364" s="110"/>
      <c r="UFK1364" s="110"/>
      <c r="UFL1364" s="110"/>
      <c r="UFM1364" s="110"/>
      <c r="UFN1364" s="110"/>
      <c r="UFO1364" s="110"/>
      <c r="UFP1364" s="110"/>
      <c r="UFQ1364" s="110"/>
      <c r="UFR1364" s="110"/>
      <c r="UFS1364" s="110"/>
      <c r="UFT1364" s="110"/>
      <c r="UFU1364" s="110"/>
      <c r="UFV1364" s="110"/>
      <c r="UFW1364" s="110"/>
      <c r="UFX1364" s="110"/>
      <c r="UFY1364" s="110"/>
      <c r="UFZ1364" s="110"/>
      <c r="UGA1364" s="110"/>
      <c r="UGB1364" s="110"/>
      <c r="UGC1364" s="110"/>
      <c r="UGD1364" s="110"/>
      <c r="UGE1364" s="110"/>
      <c r="UGF1364" s="110"/>
      <c r="UGG1364" s="110"/>
      <c r="UGH1364" s="110"/>
      <c r="UGI1364" s="110"/>
      <c r="UGJ1364" s="110"/>
      <c r="UGK1364" s="110"/>
      <c r="UGL1364" s="110"/>
      <c r="UGM1364" s="110"/>
      <c r="UGN1364" s="110"/>
      <c r="UGO1364" s="110"/>
      <c r="UGP1364" s="110"/>
      <c r="UGQ1364" s="110"/>
      <c r="UGR1364" s="110"/>
      <c r="UGS1364" s="110"/>
      <c r="UGT1364" s="110"/>
      <c r="UGU1364" s="110"/>
      <c r="UGV1364" s="110"/>
      <c r="UGW1364" s="110"/>
      <c r="UGX1364" s="110"/>
      <c r="UGY1364" s="110"/>
      <c r="UGZ1364" s="110"/>
      <c r="UHA1364" s="110"/>
      <c r="UHB1364" s="110"/>
      <c r="UHC1364" s="110"/>
      <c r="UHD1364" s="110"/>
      <c r="UHE1364" s="110"/>
      <c r="UHF1364" s="110"/>
      <c r="UHG1364" s="110"/>
      <c r="UHH1364" s="110"/>
      <c r="UHI1364" s="110"/>
      <c r="UHJ1364" s="110"/>
      <c r="UHK1364" s="110"/>
      <c r="UHL1364" s="110"/>
      <c r="UHM1364" s="110"/>
      <c r="UHN1364" s="110"/>
      <c r="UHO1364" s="110"/>
      <c r="UHP1364" s="110"/>
      <c r="UHQ1364" s="110"/>
      <c r="UHR1364" s="110"/>
      <c r="UHS1364" s="110"/>
      <c r="UHT1364" s="110"/>
      <c r="UHU1364" s="110"/>
      <c r="UHV1364" s="110"/>
      <c r="UHW1364" s="110"/>
      <c r="UHX1364" s="110"/>
      <c r="UHY1364" s="110"/>
      <c r="UHZ1364" s="110"/>
      <c r="UIA1364" s="110"/>
      <c r="UIB1364" s="110"/>
      <c r="UIC1364" s="110"/>
      <c r="UID1364" s="110"/>
      <c r="UIE1364" s="110"/>
      <c r="UIF1364" s="110"/>
      <c r="UIG1364" s="110"/>
      <c r="UIH1364" s="110"/>
      <c r="UII1364" s="110"/>
      <c r="UIJ1364" s="110"/>
      <c r="UIK1364" s="110"/>
      <c r="UIL1364" s="110"/>
      <c r="UIM1364" s="110"/>
      <c r="UIN1364" s="110"/>
      <c r="UIO1364" s="110"/>
      <c r="UIP1364" s="110"/>
      <c r="UIQ1364" s="110"/>
      <c r="UIR1364" s="110"/>
      <c r="UIS1364" s="110"/>
      <c r="UIT1364" s="110"/>
      <c r="UIU1364" s="110"/>
      <c r="UIV1364" s="110"/>
      <c r="UIW1364" s="110"/>
      <c r="UIX1364" s="110"/>
      <c r="UIY1364" s="110"/>
      <c r="UIZ1364" s="110"/>
      <c r="UJA1364" s="110"/>
      <c r="UJB1364" s="110"/>
      <c r="UJC1364" s="110"/>
      <c r="UJD1364" s="110"/>
      <c r="UJE1364" s="110"/>
      <c r="UJF1364" s="110"/>
      <c r="UJG1364" s="110"/>
      <c r="UJH1364" s="110"/>
      <c r="UJI1364" s="110"/>
      <c r="UJJ1364" s="110"/>
      <c r="UJK1364" s="110"/>
      <c r="UJL1364" s="110"/>
      <c r="UJM1364" s="110"/>
      <c r="UJN1364" s="110"/>
      <c r="UJO1364" s="110"/>
      <c r="UJP1364" s="110"/>
      <c r="UJQ1364" s="110"/>
      <c r="UJR1364" s="110"/>
      <c r="UJS1364" s="110"/>
      <c r="UJT1364" s="110"/>
      <c r="UJU1364" s="110"/>
      <c r="UJV1364" s="110"/>
      <c r="UJW1364" s="110"/>
      <c r="UJX1364" s="110"/>
      <c r="UJY1364" s="110"/>
      <c r="UJZ1364" s="110"/>
      <c r="UKA1364" s="110"/>
      <c r="UKB1364" s="110"/>
      <c r="UKC1364" s="110"/>
      <c r="UKD1364" s="110"/>
      <c r="UKE1364" s="110"/>
      <c r="UKF1364" s="110"/>
      <c r="UKG1364" s="110"/>
      <c r="UKH1364" s="110"/>
      <c r="UKI1364" s="110"/>
      <c r="UKJ1364" s="110"/>
      <c r="UKK1364" s="110"/>
      <c r="UKL1364" s="110"/>
      <c r="UKM1364" s="110"/>
      <c r="UKN1364" s="110"/>
      <c r="UKO1364" s="110"/>
      <c r="UKP1364" s="110"/>
      <c r="UKQ1364" s="110"/>
      <c r="UKR1364" s="110"/>
      <c r="UKS1364" s="110"/>
      <c r="UKT1364" s="110"/>
      <c r="UKU1364" s="110"/>
      <c r="UKV1364" s="110"/>
      <c r="UKW1364" s="110"/>
      <c r="UKX1364" s="110"/>
      <c r="UKY1364" s="110"/>
      <c r="UKZ1364" s="110"/>
      <c r="ULA1364" s="110"/>
      <c r="ULB1364" s="110"/>
      <c r="ULC1364" s="110"/>
      <c r="ULD1364" s="110"/>
      <c r="ULE1364" s="110"/>
      <c r="ULF1364" s="110"/>
      <c r="ULG1364" s="110"/>
      <c r="ULH1364" s="110"/>
      <c r="ULI1364" s="110"/>
      <c r="ULJ1364" s="110"/>
      <c r="ULK1364" s="110"/>
      <c r="ULL1364" s="110"/>
      <c r="ULM1364" s="110"/>
      <c r="ULN1364" s="110"/>
      <c r="ULO1364" s="110"/>
      <c r="ULP1364" s="110"/>
      <c r="ULQ1364" s="110"/>
      <c r="ULR1364" s="110"/>
      <c r="ULS1364" s="110"/>
      <c r="ULT1364" s="110"/>
      <c r="ULU1364" s="110"/>
      <c r="ULV1364" s="110"/>
      <c r="ULW1364" s="110"/>
      <c r="ULX1364" s="110"/>
      <c r="ULY1364" s="110"/>
      <c r="ULZ1364" s="110"/>
      <c r="UMA1364" s="110"/>
      <c r="UMB1364" s="110"/>
      <c r="UMC1364" s="110"/>
      <c r="UMD1364" s="110"/>
      <c r="UME1364" s="110"/>
      <c r="UMF1364" s="110"/>
      <c r="UMG1364" s="110"/>
      <c r="UMH1364" s="110"/>
      <c r="UMI1364" s="110"/>
      <c r="UMJ1364" s="110"/>
      <c r="UMK1364" s="110"/>
      <c r="UML1364" s="110"/>
      <c r="UMM1364" s="110"/>
      <c r="UMN1364" s="110"/>
      <c r="UMO1364" s="110"/>
      <c r="UMP1364" s="110"/>
      <c r="UMQ1364" s="110"/>
      <c r="UMR1364" s="110"/>
      <c r="UMS1364" s="110"/>
      <c r="UMT1364" s="110"/>
      <c r="UMU1364" s="110"/>
      <c r="UMV1364" s="110"/>
      <c r="UMW1364" s="110"/>
      <c r="UMX1364" s="110"/>
      <c r="UMY1364" s="110"/>
      <c r="UMZ1364" s="110"/>
      <c r="UNA1364" s="110"/>
      <c r="UNB1364" s="110"/>
      <c r="UNC1364" s="110"/>
      <c r="UND1364" s="110"/>
      <c r="UNE1364" s="110"/>
      <c r="UNF1364" s="110"/>
      <c r="UNG1364" s="110"/>
      <c r="UNH1364" s="110"/>
      <c r="UNI1364" s="110"/>
      <c r="UNJ1364" s="110"/>
      <c r="UNK1364" s="110"/>
      <c r="UNL1364" s="110"/>
      <c r="UNM1364" s="110"/>
      <c r="UNN1364" s="110"/>
      <c r="UNO1364" s="110"/>
      <c r="UNP1364" s="110"/>
      <c r="UNQ1364" s="110"/>
      <c r="UNR1364" s="110"/>
      <c r="UNS1364" s="110"/>
      <c r="UNT1364" s="110"/>
      <c r="UNU1364" s="110"/>
      <c r="UNV1364" s="110"/>
      <c r="UNW1364" s="110"/>
      <c r="UNX1364" s="110"/>
      <c r="UNY1364" s="110"/>
      <c r="UNZ1364" s="110"/>
      <c r="UOA1364" s="110"/>
      <c r="UOB1364" s="110"/>
      <c r="UOC1364" s="110"/>
      <c r="UOD1364" s="110"/>
      <c r="UOE1364" s="110"/>
      <c r="UOF1364" s="110"/>
      <c r="UOG1364" s="110"/>
      <c r="UOH1364" s="110"/>
      <c r="UOI1364" s="110"/>
      <c r="UOJ1364" s="110"/>
      <c r="UOK1364" s="110"/>
      <c r="UOL1364" s="110"/>
      <c r="UOM1364" s="110"/>
      <c r="UON1364" s="110"/>
      <c r="UOO1364" s="110"/>
      <c r="UOP1364" s="110"/>
      <c r="UOQ1364" s="110"/>
      <c r="UOR1364" s="110"/>
      <c r="UOS1364" s="110"/>
      <c r="UOT1364" s="110"/>
      <c r="UOU1364" s="110"/>
      <c r="UOV1364" s="110"/>
      <c r="UOW1364" s="110"/>
      <c r="UOX1364" s="110"/>
      <c r="UOY1364" s="110"/>
      <c r="UOZ1364" s="110"/>
      <c r="UPA1364" s="110"/>
      <c r="UPB1364" s="110"/>
      <c r="UPC1364" s="110"/>
      <c r="UPD1364" s="110"/>
      <c r="UPE1364" s="110"/>
      <c r="UPF1364" s="110"/>
      <c r="UPG1364" s="110"/>
      <c r="UPH1364" s="110"/>
      <c r="UPI1364" s="110"/>
      <c r="UPJ1364" s="110"/>
      <c r="UPK1364" s="110"/>
      <c r="UPL1364" s="110"/>
      <c r="UPM1364" s="110"/>
      <c r="UPN1364" s="110"/>
      <c r="UPO1364" s="110"/>
      <c r="UPP1364" s="110"/>
      <c r="UPQ1364" s="110"/>
      <c r="UPR1364" s="110"/>
      <c r="UPS1364" s="110"/>
      <c r="UPT1364" s="110"/>
      <c r="UPU1364" s="110"/>
      <c r="UPV1364" s="110"/>
      <c r="UPW1364" s="110"/>
      <c r="UPX1364" s="110"/>
      <c r="UPY1364" s="110"/>
      <c r="UPZ1364" s="110"/>
      <c r="UQA1364" s="110"/>
      <c r="UQB1364" s="110"/>
      <c r="UQC1364" s="110"/>
      <c r="UQD1364" s="110"/>
      <c r="UQE1364" s="110"/>
      <c r="UQF1364" s="110"/>
      <c r="UQG1364" s="110"/>
      <c r="UQH1364" s="110"/>
      <c r="UQI1364" s="110"/>
      <c r="UQJ1364" s="110"/>
      <c r="UQK1364" s="110"/>
      <c r="UQL1364" s="110"/>
      <c r="UQM1364" s="110"/>
      <c r="UQN1364" s="110"/>
      <c r="UQO1364" s="110"/>
      <c r="UQP1364" s="110"/>
      <c r="UQQ1364" s="110"/>
      <c r="UQR1364" s="110"/>
      <c r="UQS1364" s="110"/>
      <c r="UQT1364" s="110"/>
      <c r="UQU1364" s="110"/>
      <c r="UQV1364" s="110"/>
      <c r="UQW1364" s="110"/>
      <c r="UQX1364" s="110"/>
      <c r="UQY1364" s="110"/>
      <c r="UQZ1364" s="110"/>
      <c r="URA1364" s="110"/>
      <c r="URB1364" s="110"/>
      <c r="URC1364" s="110"/>
      <c r="URD1364" s="110"/>
      <c r="URE1364" s="110"/>
      <c r="URF1364" s="110"/>
      <c r="URG1364" s="110"/>
      <c r="URH1364" s="110"/>
      <c r="URI1364" s="110"/>
      <c r="URJ1364" s="110"/>
      <c r="URK1364" s="110"/>
      <c r="URL1364" s="110"/>
      <c r="URM1364" s="110"/>
      <c r="URN1364" s="110"/>
      <c r="URO1364" s="110"/>
      <c r="URP1364" s="110"/>
      <c r="URQ1364" s="110"/>
      <c r="URR1364" s="110"/>
      <c r="URS1364" s="110"/>
      <c r="URT1364" s="110"/>
      <c r="URU1364" s="110"/>
      <c r="URV1364" s="110"/>
      <c r="URW1364" s="110"/>
      <c r="URX1364" s="110"/>
      <c r="URY1364" s="110"/>
      <c r="URZ1364" s="110"/>
      <c r="USA1364" s="110"/>
      <c r="USB1364" s="110"/>
      <c r="USC1364" s="110"/>
      <c r="USD1364" s="110"/>
      <c r="USE1364" s="110"/>
      <c r="USF1364" s="110"/>
      <c r="USG1364" s="110"/>
      <c r="USH1364" s="110"/>
      <c r="USI1364" s="110"/>
      <c r="USJ1364" s="110"/>
      <c r="USK1364" s="110"/>
      <c r="USL1364" s="110"/>
      <c r="USM1364" s="110"/>
      <c r="USN1364" s="110"/>
      <c r="USO1364" s="110"/>
      <c r="USP1364" s="110"/>
      <c r="USQ1364" s="110"/>
      <c r="USR1364" s="110"/>
      <c r="USS1364" s="110"/>
      <c r="UST1364" s="110"/>
      <c r="USU1364" s="110"/>
      <c r="USV1364" s="110"/>
      <c r="USW1364" s="110"/>
      <c r="USX1364" s="110"/>
      <c r="USY1364" s="110"/>
      <c r="USZ1364" s="110"/>
      <c r="UTA1364" s="110"/>
      <c r="UTB1364" s="110"/>
      <c r="UTC1364" s="110"/>
      <c r="UTD1364" s="110"/>
      <c r="UTE1364" s="110"/>
      <c r="UTF1364" s="110"/>
      <c r="UTG1364" s="110"/>
      <c r="UTH1364" s="110"/>
      <c r="UTI1364" s="110"/>
      <c r="UTJ1364" s="110"/>
      <c r="UTK1364" s="110"/>
      <c r="UTL1364" s="110"/>
      <c r="UTM1364" s="110"/>
      <c r="UTN1364" s="110"/>
      <c r="UTO1364" s="110"/>
      <c r="UTP1364" s="110"/>
      <c r="UTQ1364" s="110"/>
      <c r="UTR1364" s="110"/>
      <c r="UTS1364" s="110"/>
      <c r="UTT1364" s="110"/>
      <c r="UTU1364" s="110"/>
      <c r="UTV1364" s="110"/>
      <c r="UTW1364" s="110"/>
      <c r="UTX1364" s="110"/>
      <c r="UTY1364" s="110"/>
      <c r="UTZ1364" s="110"/>
      <c r="UUA1364" s="110"/>
      <c r="UUB1364" s="110"/>
      <c r="UUC1364" s="110"/>
      <c r="UUD1364" s="110"/>
      <c r="UUE1364" s="110"/>
      <c r="UUF1364" s="110"/>
      <c r="UUG1364" s="110"/>
      <c r="UUH1364" s="110"/>
      <c r="UUI1364" s="110"/>
      <c r="UUJ1364" s="110"/>
      <c r="UUK1364" s="110"/>
      <c r="UUL1364" s="110"/>
      <c r="UUM1364" s="110"/>
      <c r="UUN1364" s="110"/>
      <c r="UUO1364" s="110"/>
      <c r="UUP1364" s="110"/>
      <c r="UUQ1364" s="110"/>
      <c r="UUR1364" s="110"/>
      <c r="UUS1364" s="110"/>
      <c r="UUT1364" s="110"/>
      <c r="UUU1364" s="110"/>
      <c r="UUV1364" s="110"/>
      <c r="UUW1364" s="110"/>
      <c r="UUX1364" s="110"/>
      <c r="UUY1364" s="110"/>
      <c r="UUZ1364" s="110"/>
      <c r="UVA1364" s="110"/>
      <c r="UVB1364" s="110"/>
      <c r="UVC1364" s="110"/>
      <c r="UVD1364" s="110"/>
      <c r="UVE1364" s="110"/>
      <c r="UVF1364" s="110"/>
      <c r="UVG1364" s="110"/>
      <c r="UVH1364" s="110"/>
      <c r="UVI1364" s="110"/>
      <c r="UVJ1364" s="110"/>
      <c r="UVK1364" s="110"/>
      <c r="UVL1364" s="110"/>
      <c r="UVM1364" s="110"/>
      <c r="UVN1364" s="110"/>
      <c r="UVO1364" s="110"/>
      <c r="UVP1364" s="110"/>
      <c r="UVQ1364" s="110"/>
      <c r="UVR1364" s="110"/>
      <c r="UVS1364" s="110"/>
      <c r="UVT1364" s="110"/>
      <c r="UVU1364" s="110"/>
      <c r="UVV1364" s="110"/>
      <c r="UVW1364" s="110"/>
      <c r="UVX1364" s="110"/>
      <c r="UVY1364" s="110"/>
      <c r="UVZ1364" s="110"/>
      <c r="UWA1364" s="110"/>
      <c r="UWB1364" s="110"/>
      <c r="UWC1364" s="110"/>
      <c r="UWD1364" s="110"/>
      <c r="UWE1364" s="110"/>
      <c r="UWF1364" s="110"/>
      <c r="UWG1364" s="110"/>
      <c r="UWH1364" s="110"/>
      <c r="UWI1364" s="110"/>
      <c r="UWJ1364" s="110"/>
      <c r="UWK1364" s="110"/>
      <c r="UWL1364" s="110"/>
      <c r="UWM1364" s="110"/>
      <c r="UWN1364" s="110"/>
      <c r="UWO1364" s="110"/>
      <c r="UWP1364" s="110"/>
      <c r="UWQ1364" s="110"/>
      <c r="UWR1364" s="110"/>
      <c r="UWS1364" s="110"/>
      <c r="UWT1364" s="110"/>
      <c r="UWU1364" s="110"/>
      <c r="UWV1364" s="110"/>
      <c r="UWW1364" s="110"/>
      <c r="UWX1364" s="110"/>
      <c r="UWY1364" s="110"/>
      <c r="UWZ1364" s="110"/>
      <c r="UXA1364" s="110"/>
      <c r="UXB1364" s="110"/>
      <c r="UXC1364" s="110"/>
      <c r="UXD1364" s="110"/>
      <c r="UXE1364" s="110"/>
      <c r="UXF1364" s="110"/>
      <c r="UXG1364" s="110"/>
      <c r="UXH1364" s="110"/>
      <c r="UXI1364" s="110"/>
      <c r="UXJ1364" s="110"/>
      <c r="UXK1364" s="110"/>
      <c r="UXL1364" s="110"/>
      <c r="UXM1364" s="110"/>
      <c r="UXN1364" s="110"/>
      <c r="UXO1364" s="110"/>
      <c r="UXP1364" s="110"/>
      <c r="UXQ1364" s="110"/>
      <c r="UXR1364" s="110"/>
      <c r="UXS1364" s="110"/>
      <c r="UXT1364" s="110"/>
      <c r="UXU1364" s="110"/>
      <c r="UXV1364" s="110"/>
      <c r="UXW1364" s="110"/>
      <c r="UXX1364" s="110"/>
      <c r="UXY1364" s="110"/>
      <c r="UXZ1364" s="110"/>
      <c r="UYA1364" s="110"/>
      <c r="UYB1364" s="110"/>
      <c r="UYC1364" s="110"/>
      <c r="UYD1364" s="110"/>
      <c r="UYE1364" s="110"/>
      <c r="UYF1364" s="110"/>
      <c r="UYG1364" s="110"/>
      <c r="UYH1364" s="110"/>
      <c r="UYI1364" s="110"/>
      <c r="UYJ1364" s="110"/>
      <c r="UYK1364" s="110"/>
      <c r="UYL1364" s="110"/>
      <c r="UYM1364" s="110"/>
      <c r="UYN1364" s="110"/>
      <c r="UYO1364" s="110"/>
      <c r="UYP1364" s="110"/>
      <c r="UYQ1364" s="110"/>
      <c r="UYR1364" s="110"/>
      <c r="UYS1364" s="110"/>
      <c r="UYT1364" s="110"/>
      <c r="UYU1364" s="110"/>
      <c r="UYV1364" s="110"/>
      <c r="UYW1364" s="110"/>
      <c r="UYX1364" s="110"/>
      <c r="UYY1364" s="110"/>
      <c r="UYZ1364" s="110"/>
      <c r="UZA1364" s="110"/>
      <c r="UZB1364" s="110"/>
      <c r="UZC1364" s="110"/>
      <c r="UZD1364" s="110"/>
      <c r="UZE1364" s="110"/>
      <c r="UZF1364" s="110"/>
      <c r="UZG1364" s="110"/>
      <c r="UZH1364" s="110"/>
      <c r="UZI1364" s="110"/>
      <c r="UZJ1364" s="110"/>
      <c r="UZK1364" s="110"/>
      <c r="UZL1364" s="110"/>
      <c r="UZM1364" s="110"/>
      <c r="UZN1364" s="110"/>
      <c r="UZO1364" s="110"/>
      <c r="UZP1364" s="110"/>
      <c r="UZQ1364" s="110"/>
      <c r="UZR1364" s="110"/>
      <c r="UZS1364" s="110"/>
      <c r="UZT1364" s="110"/>
      <c r="UZU1364" s="110"/>
      <c r="UZV1364" s="110"/>
      <c r="UZW1364" s="110"/>
      <c r="UZX1364" s="110"/>
      <c r="UZY1364" s="110"/>
      <c r="UZZ1364" s="110"/>
      <c r="VAA1364" s="110"/>
      <c r="VAB1364" s="110"/>
      <c r="VAC1364" s="110"/>
      <c r="VAD1364" s="110"/>
      <c r="VAE1364" s="110"/>
      <c r="VAF1364" s="110"/>
      <c r="VAG1364" s="110"/>
      <c r="VAH1364" s="110"/>
      <c r="VAI1364" s="110"/>
      <c r="VAJ1364" s="110"/>
      <c r="VAK1364" s="110"/>
      <c r="VAL1364" s="110"/>
      <c r="VAM1364" s="110"/>
      <c r="VAN1364" s="110"/>
      <c r="VAO1364" s="110"/>
      <c r="VAP1364" s="110"/>
      <c r="VAQ1364" s="110"/>
      <c r="VAR1364" s="110"/>
      <c r="VAS1364" s="110"/>
      <c r="VAT1364" s="110"/>
      <c r="VAU1364" s="110"/>
      <c r="VAV1364" s="110"/>
      <c r="VAW1364" s="110"/>
      <c r="VAX1364" s="110"/>
      <c r="VAY1364" s="110"/>
      <c r="VAZ1364" s="110"/>
      <c r="VBA1364" s="110"/>
      <c r="VBB1364" s="110"/>
      <c r="VBC1364" s="110"/>
      <c r="VBD1364" s="110"/>
      <c r="VBE1364" s="110"/>
      <c r="VBF1364" s="110"/>
      <c r="VBG1364" s="110"/>
      <c r="VBH1364" s="110"/>
      <c r="VBI1364" s="110"/>
      <c r="VBJ1364" s="110"/>
      <c r="VBK1364" s="110"/>
      <c r="VBL1364" s="110"/>
      <c r="VBM1364" s="110"/>
      <c r="VBN1364" s="110"/>
      <c r="VBO1364" s="110"/>
      <c r="VBP1364" s="110"/>
      <c r="VBQ1364" s="110"/>
      <c r="VBR1364" s="110"/>
      <c r="VBS1364" s="110"/>
      <c r="VBT1364" s="110"/>
      <c r="VBU1364" s="110"/>
      <c r="VBV1364" s="110"/>
      <c r="VBW1364" s="110"/>
      <c r="VBX1364" s="110"/>
      <c r="VBY1364" s="110"/>
      <c r="VBZ1364" s="110"/>
      <c r="VCA1364" s="110"/>
      <c r="VCB1364" s="110"/>
      <c r="VCC1364" s="110"/>
      <c r="VCD1364" s="110"/>
      <c r="VCE1364" s="110"/>
      <c r="VCF1364" s="110"/>
      <c r="VCG1364" s="110"/>
      <c r="VCH1364" s="110"/>
      <c r="VCI1364" s="110"/>
      <c r="VCJ1364" s="110"/>
      <c r="VCK1364" s="110"/>
      <c r="VCL1364" s="110"/>
      <c r="VCM1364" s="110"/>
      <c r="VCN1364" s="110"/>
      <c r="VCO1364" s="110"/>
      <c r="VCP1364" s="110"/>
      <c r="VCQ1364" s="110"/>
      <c r="VCR1364" s="110"/>
      <c r="VCS1364" s="110"/>
      <c r="VCT1364" s="110"/>
      <c r="VCU1364" s="110"/>
      <c r="VCV1364" s="110"/>
      <c r="VCW1364" s="110"/>
      <c r="VCX1364" s="110"/>
      <c r="VCY1364" s="110"/>
      <c r="VCZ1364" s="110"/>
      <c r="VDA1364" s="110"/>
      <c r="VDB1364" s="110"/>
      <c r="VDC1364" s="110"/>
      <c r="VDD1364" s="110"/>
      <c r="VDE1364" s="110"/>
      <c r="VDF1364" s="110"/>
      <c r="VDG1364" s="110"/>
      <c r="VDH1364" s="110"/>
      <c r="VDI1364" s="110"/>
      <c r="VDJ1364" s="110"/>
      <c r="VDK1364" s="110"/>
      <c r="VDL1364" s="110"/>
      <c r="VDM1364" s="110"/>
      <c r="VDN1364" s="110"/>
      <c r="VDO1364" s="110"/>
      <c r="VDP1364" s="110"/>
      <c r="VDQ1364" s="110"/>
      <c r="VDR1364" s="110"/>
      <c r="VDS1364" s="110"/>
      <c r="VDT1364" s="110"/>
      <c r="VDU1364" s="110"/>
      <c r="VDV1364" s="110"/>
      <c r="VDW1364" s="110"/>
      <c r="VDX1364" s="110"/>
      <c r="VDY1364" s="110"/>
      <c r="VDZ1364" s="110"/>
      <c r="VEA1364" s="110"/>
      <c r="VEB1364" s="110"/>
      <c r="VEC1364" s="110"/>
      <c r="VED1364" s="110"/>
      <c r="VEE1364" s="110"/>
      <c r="VEF1364" s="110"/>
      <c r="VEG1364" s="110"/>
      <c r="VEH1364" s="110"/>
      <c r="VEI1364" s="110"/>
      <c r="VEJ1364" s="110"/>
      <c r="VEK1364" s="110"/>
      <c r="VEL1364" s="110"/>
      <c r="VEM1364" s="110"/>
      <c r="VEN1364" s="110"/>
      <c r="VEO1364" s="110"/>
      <c r="VEP1364" s="110"/>
      <c r="VEQ1364" s="110"/>
      <c r="VER1364" s="110"/>
      <c r="VES1364" s="110"/>
      <c r="VET1364" s="110"/>
      <c r="VEU1364" s="110"/>
      <c r="VEV1364" s="110"/>
      <c r="VEW1364" s="110"/>
      <c r="VEX1364" s="110"/>
      <c r="VEY1364" s="110"/>
      <c r="VEZ1364" s="110"/>
      <c r="VFA1364" s="110"/>
      <c r="VFB1364" s="110"/>
      <c r="VFC1364" s="110"/>
      <c r="VFD1364" s="110"/>
      <c r="VFE1364" s="110"/>
      <c r="VFF1364" s="110"/>
      <c r="VFG1364" s="110"/>
      <c r="VFH1364" s="110"/>
      <c r="VFI1364" s="110"/>
      <c r="VFJ1364" s="110"/>
      <c r="VFK1364" s="110"/>
      <c r="VFL1364" s="110"/>
      <c r="VFM1364" s="110"/>
      <c r="VFN1364" s="110"/>
      <c r="VFO1364" s="110"/>
      <c r="VFP1364" s="110"/>
      <c r="VFQ1364" s="110"/>
      <c r="VFR1364" s="110"/>
      <c r="VFS1364" s="110"/>
      <c r="VFT1364" s="110"/>
      <c r="VFU1364" s="110"/>
      <c r="VFV1364" s="110"/>
      <c r="VFW1364" s="110"/>
      <c r="VFX1364" s="110"/>
      <c r="VFY1364" s="110"/>
      <c r="VFZ1364" s="110"/>
      <c r="VGA1364" s="110"/>
      <c r="VGB1364" s="110"/>
      <c r="VGC1364" s="110"/>
      <c r="VGD1364" s="110"/>
      <c r="VGE1364" s="110"/>
      <c r="VGF1364" s="110"/>
      <c r="VGG1364" s="110"/>
      <c r="VGH1364" s="110"/>
      <c r="VGI1364" s="110"/>
      <c r="VGJ1364" s="110"/>
      <c r="VGK1364" s="110"/>
      <c r="VGL1364" s="110"/>
      <c r="VGM1364" s="110"/>
      <c r="VGN1364" s="110"/>
      <c r="VGO1364" s="110"/>
      <c r="VGP1364" s="110"/>
      <c r="VGQ1364" s="110"/>
      <c r="VGR1364" s="110"/>
      <c r="VGS1364" s="110"/>
      <c r="VGT1364" s="110"/>
      <c r="VGU1364" s="110"/>
      <c r="VGV1364" s="110"/>
      <c r="VGW1364" s="110"/>
      <c r="VGX1364" s="110"/>
      <c r="VGY1364" s="110"/>
      <c r="VGZ1364" s="110"/>
      <c r="VHA1364" s="110"/>
      <c r="VHB1364" s="110"/>
      <c r="VHC1364" s="110"/>
      <c r="VHD1364" s="110"/>
      <c r="VHE1364" s="110"/>
      <c r="VHF1364" s="110"/>
      <c r="VHG1364" s="110"/>
      <c r="VHH1364" s="110"/>
      <c r="VHI1364" s="110"/>
      <c r="VHJ1364" s="110"/>
      <c r="VHK1364" s="110"/>
      <c r="VHL1364" s="110"/>
      <c r="VHM1364" s="110"/>
      <c r="VHN1364" s="110"/>
      <c r="VHO1364" s="110"/>
      <c r="VHP1364" s="110"/>
      <c r="VHQ1364" s="110"/>
      <c r="VHR1364" s="110"/>
      <c r="VHS1364" s="110"/>
      <c r="VHT1364" s="110"/>
      <c r="VHU1364" s="110"/>
      <c r="VHV1364" s="110"/>
      <c r="VHW1364" s="110"/>
      <c r="VHX1364" s="110"/>
      <c r="VHY1364" s="110"/>
      <c r="VHZ1364" s="110"/>
      <c r="VIA1364" s="110"/>
      <c r="VIB1364" s="110"/>
      <c r="VIC1364" s="110"/>
      <c r="VID1364" s="110"/>
      <c r="VIE1364" s="110"/>
      <c r="VIF1364" s="110"/>
      <c r="VIG1364" s="110"/>
      <c r="VIH1364" s="110"/>
      <c r="VII1364" s="110"/>
      <c r="VIJ1364" s="110"/>
      <c r="VIK1364" s="110"/>
      <c r="VIL1364" s="110"/>
      <c r="VIM1364" s="110"/>
      <c r="VIN1364" s="110"/>
      <c r="VIO1364" s="110"/>
      <c r="VIP1364" s="110"/>
      <c r="VIQ1364" s="110"/>
      <c r="VIR1364" s="110"/>
      <c r="VIS1364" s="110"/>
      <c r="VIT1364" s="110"/>
      <c r="VIU1364" s="110"/>
      <c r="VIV1364" s="110"/>
      <c r="VIW1364" s="110"/>
      <c r="VIX1364" s="110"/>
      <c r="VIY1364" s="110"/>
      <c r="VIZ1364" s="110"/>
      <c r="VJA1364" s="110"/>
      <c r="VJB1364" s="110"/>
      <c r="VJC1364" s="110"/>
      <c r="VJD1364" s="110"/>
      <c r="VJE1364" s="110"/>
      <c r="VJF1364" s="110"/>
      <c r="VJG1364" s="110"/>
      <c r="VJH1364" s="110"/>
      <c r="VJI1364" s="110"/>
      <c r="VJJ1364" s="110"/>
      <c r="VJK1364" s="110"/>
      <c r="VJL1364" s="110"/>
      <c r="VJM1364" s="110"/>
      <c r="VJN1364" s="110"/>
      <c r="VJO1364" s="110"/>
      <c r="VJP1364" s="110"/>
      <c r="VJQ1364" s="110"/>
      <c r="VJR1364" s="110"/>
      <c r="VJS1364" s="110"/>
      <c r="VJT1364" s="110"/>
      <c r="VJU1364" s="110"/>
      <c r="VJV1364" s="110"/>
      <c r="VJW1364" s="110"/>
      <c r="VJX1364" s="110"/>
      <c r="VJY1364" s="110"/>
      <c r="VJZ1364" s="110"/>
      <c r="VKA1364" s="110"/>
      <c r="VKB1364" s="110"/>
      <c r="VKC1364" s="110"/>
      <c r="VKD1364" s="110"/>
      <c r="VKE1364" s="110"/>
      <c r="VKF1364" s="110"/>
      <c r="VKG1364" s="110"/>
      <c r="VKH1364" s="110"/>
      <c r="VKI1364" s="110"/>
      <c r="VKJ1364" s="110"/>
      <c r="VKK1364" s="110"/>
      <c r="VKL1364" s="110"/>
      <c r="VKM1364" s="110"/>
      <c r="VKN1364" s="110"/>
      <c r="VKO1364" s="110"/>
      <c r="VKP1364" s="110"/>
      <c r="VKQ1364" s="110"/>
      <c r="VKR1364" s="110"/>
      <c r="VKS1364" s="110"/>
      <c r="VKT1364" s="110"/>
      <c r="VKU1364" s="110"/>
      <c r="VKV1364" s="110"/>
      <c r="VKW1364" s="110"/>
      <c r="VKX1364" s="110"/>
      <c r="VKY1364" s="110"/>
      <c r="VKZ1364" s="110"/>
      <c r="VLA1364" s="110"/>
      <c r="VLB1364" s="110"/>
      <c r="VLC1364" s="110"/>
      <c r="VLD1364" s="110"/>
      <c r="VLE1364" s="110"/>
      <c r="VLF1364" s="110"/>
      <c r="VLG1364" s="110"/>
      <c r="VLH1364" s="110"/>
      <c r="VLI1364" s="110"/>
      <c r="VLJ1364" s="110"/>
      <c r="VLK1364" s="110"/>
      <c r="VLL1364" s="110"/>
      <c r="VLM1364" s="110"/>
      <c r="VLN1364" s="110"/>
      <c r="VLO1364" s="110"/>
      <c r="VLP1364" s="110"/>
      <c r="VLQ1364" s="110"/>
      <c r="VLR1364" s="110"/>
      <c r="VLS1364" s="110"/>
      <c r="VLT1364" s="110"/>
      <c r="VLU1364" s="110"/>
      <c r="VLV1364" s="110"/>
      <c r="VLW1364" s="110"/>
      <c r="VLX1364" s="110"/>
      <c r="VLY1364" s="110"/>
      <c r="VLZ1364" s="110"/>
      <c r="VMA1364" s="110"/>
      <c r="VMB1364" s="110"/>
      <c r="VMC1364" s="110"/>
      <c r="VMD1364" s="110"/>
      <c r="VME1364" s="110"/>
      <c r="VMF1364" s="110"/>
      <c r="VMG1364" s="110"/>
      <c r="VMH1364" s="110"/>
      <c r="VMI1364" s="110"/>
      <c r="VMJ1364" s="110"/>
      <c r="VMK1364" s="110"/>
      <c r="VML1364" s="110"/>
      <c r="VMM1364" s="110"/>
      <c r="VMN1364" s="110"/>
      <c r="VMO1364" s="110"/>
      <c r="VMP1364" s="110"/>
      <c r="VMQ1364" s="110"/>
      <c r="VMR1364" s="110"/>
      <c r="VMS1364" s="110"/>
      <c r="VMT1364" s="110"/>
      <c r="VMU1364" s="110"/>
      <c r="VMV1364" s="110"/>
      <c r="VMW1364" s="110"/>
      <c r="VMX1364" s="110"/>
      <c r="VMY1364" s="110"/>
      <c r="VMZ1364" s="110"/>
      <c r="VNA1364" s="110"/>
      <c r="VNB1364" s="110"/>
      <c r="VNC1364" s="110"/>
      <c r="VND1364" s="110"/>
      <c r="VNE1364" s="110"/>
      <c r="VNF1364" s="110"/>
      <c r="VNG1364" s="110"/>
      <c r="VNH1364" s="110"/>
      <c r="VNI1364" s="110"/>
      <c r="VNJ1364" s="110"/>
      <c r="VNK1364" s="110"/>
      <c r="VNL1364" s="110"/>
      <c r="VNM1364" s="110"/>
      <c r="VNN1364" s="110"/>
      <c r="VNO1364" s="110"/>
      <c r="VNP1364" s="110"/>
      <c r="VNQ1364" s="110"/>
      <c r="VNR1364" s="110"/>
      <c r="VNS1364" s="110"/>
      <c r="VNT1364" s="110"/>
      <c r="VNU1364" s="110"/>
      <c r="VNV1364" s="110"/>
      <c r="VNW1364" s="110"/>
      <c r="VNX1364" s="110"/>
      <c r="VNY1364" s="110"/>
      <c r="VNZ1364" s="110"/>
      <c r="VOA1364" s="110"/>
      <c r="VOB1364" s="110"/>
      <c r="VOC1364" s="110"/>
      <c r="VOD1364" s="110"/>
      <c r="VOE1364" s="110"/>
      <c r="VOF1364" s="110"/>
      <c r="VOG1364" s="110"/>
      <c r="VOH1364" s="110"/>
      <c r="VOI1364" s="110"/>
      <c r="VOJ1364" s="110"/>
      <c r="VOK1364" s="110"/>
      <c r="VOL1364" s="110"/>
      <c r="VOM1364" s="110"/>
      <c r="VON1364" s="110"/>
      <c r="VOO1364" s="110"/>
      <c r="VOP1364" s="110"/>
      <c r="VOQ1364" s="110"/>
      <c r="VOR1364" s="110"/>
      <c r="VOS1364" s="110"/>
      <c r="VOT1364" s="110"/>
      <c r="VOU1364" s="110"/>
      <c r="VOV1364" s="110"/>
      <c r="VOW1364" s="110"/>
      <c r="VOX1364" s="110"/>
      <c r="VOY1364" s="110"/>
      <c r="VOZ1364" s="110"/>
      <c r="VPA1364" s="110"/>
      <c r="VPB1364" s="110"/>
      <c r="VPC1364" s="110"/>
      <c r="VPD1364" s="110"/>
      <c r="VPE1364" s="110"/>
      <c r="VPF1364" s="110"/>
      <c r="VPG1364" s="110"/>
      <c r="VPH1364" s="110"/>
      <c r="VPI1364" s="110"/>
      <c r="VPJ1364" s="110"/>
      <c r="VPK1364" s="110"/>
      <c r="VPL1364" s="110"/>
      <c r="VPM1364" s="110"/>
      <c r="VPN1364" s="110"/>
      <c r="VPO1364" s="110"/>
      <c r="VPP1364" s="110"/>
      <c r="VPQ1364" s="110"/>
      <c r="VPR1364" s="110"/>
      <c r="VPS1364" s="110"/>
      <c r="VPT1364" s="110"/>
      <c r="VPU1364" s="110"/>
      <c r="VPV1364" s="110"/>
      <c r="VPW1364" s="110"/>
      <c r="VPX1364" s="110"/>
      <c r="VPY1364" s="110"/>
      <c r="VPZ1364" s="110"/>
      <c r="VQA1364" s="110"/>
      <c r="VQB1364" s="110"/>
      <c r="VQC1364" s="110"/>
      <c r="VQD1364" s="110"/>
      <c r="VQE1364" s="110"/>
      <c r="VQF1364" s="110"/>
      <c r="VQG1364" s="110"/>
      <c r="VQH1364" s="110"/>
      <c r="VQI1364" s="110"/>
      <c r="VQJ1364" s="110"/>
      <c r="VQK1364" s="110"/>
      <c r="VQL1364" s="110"/>
      <c r="VQM1364" s="110"/>
      <c r="VQN1364" s="110"/>
      <c r="VQO1364" s="110"/>
      <c r="VQP1364" s="110"/>
      <c r="VQQ1364" s="110"/>
      <c r="VQR1364" s="110"/>
      <c r="VQS1364" s="110"/>
      <c r="VQT1364" s="110"/>
      <c r="VQU1364" s="110"/>
      <c r="VQV1364" s="110"/>
      <c r="VQW1364" s="110"/>
      <c r="VQX1364" s="110"/>
      <c r="VQY1364" s="110"/>
      <c r="VQZ1364" s="110"/>
      <c r="VRA1364" s="110"/>
      <c r="VRB1364" s="110"/>
      <c r="VRC1364" s="110"/>
      <c r="VRD1364" s="110"/>
      <c r="VRE1364" s="110"/>
      <c r="VRF1364" s="110"/>
      <c r="VRG1364" s="110"/>
      <c r="VRH1364" s="110"/>
      <c r="VRI1364" s="110"/>
      <c r="VRJ1364" s="110"/>
      <c r="VRK1364" s="110"/>
      <c r="VRL1364" s="110"/>
      <c r="VRM1364" s="110"/>
      <c r="VRN1364" s="110"/>
      <c r="VRO1364" s="110"/>
      <c r="VRP1364" s="110"/>
      <c r="VRQ1364" s="110"/>
      <c r="VRR1364" s="110"/>
      <c r="VRS1364" s="110"/>
      <c r="VRT1364" s="110"/>
      <c r="VRU1364" s="110"/>
      <c r="VRV1364" s="110"/>
      <c r="VRW1364" s="110"/>
      <c r="VRX1364" s="110"/>
      <c r="VRY1364" s="110"/>
      <c r="VRZ1364" s="110"/>
      <c r="VSA1364" s="110"/>
      <c r="VSB1364" s="110"/>
      <c r="VSC1364" s="110"/>
      <c r="VSD1364" s="110"/>
      <c r="VSE1364" s="110"/>
      <c r="VSF1364" s="110"/>
      <c r="VSG1364" s="110"/>
      <c r="VSH1364" s="110"/>
      <c r="VSI1364" s="110"/>
      <c r="VSJ1364" s="110"/>
      <c r="VSK1364" s="110"/>
      <c r="VSL1364" s="110"/>
      <c r="VSM1364" s="110"/>
      <c r="VSN1364" s="110"/>
      <c r="VSO1364" s="110"/>
      <c r="VSP1364" s="110"/>
      <c r="VSQ1364" s="110"/>
      <c r="VSR1364" s="110"/>
      <c r="VSS1364" s="110"/>
      <c r="VST1364" s="110"/>
      <c r="VSU1364" s="110"/>
      <c r="VSV1364" s="110"/>
      <c r="VSW1364" s="110"/>
      <c r="VSX1364" s="110"/>
      <c r="VSY1364" s="110"/>
      <c r="VSZ1364" s="110"/>
      <c r="VTA1364" s="110"/>
      <c r="VTB1364" s="110"/>
      <c r="VTC1364" s="110"/>
      <c r="VTD1364" s="110"/>
      <c r="VTE1364" s="110"/>
      <c r="VTF1364" s="110"/>
      <c r="VTG1364" s="110"/>
      <c r="VTH1364" s="110"/>
      <c r="VTI1364" s="110"/>
      <c r="VTJ1364" s="110"/>
      <c r="VTK1364" s="110"/>
      <c r="VTL1364" s="110"/>
      <c r="VTM1364" s="110"/>
      <c r="VTN1364" s="110"/>
      <c r="VTO1364" s="110"/>
      <c r="VTP1364" s="110"/>
      <c r="VTQ1364" s="110"/>
      <c r="VTR1364" s="110"/>
      <c r="VTS1364" s="110"/>
      <c r="VTT1364" s="110"/>
      <c r="VTU1364" s="110"/>
      <c r="VTV1364" s="110"/>
      <c r="VTW1364" s="110"/>
      <c r="VTX1364" s="110"/>
      <c r="VTY1364" s="110"/>
      <c r="VTZ1364" s="110"/>
      <c r="VUA1364" s="110"/>
      <c r="VUB1364" s="110"/>
      <c r="VUC1364" s="110"/>
      <c r="VUD1364" s="110"/>
      <c r="VUE1364" s="110"/>
      <c r="VUF1364" s="110"/>
      <c r="VUG1364" s="110"/>
      <c r="VUH1364" s="110"/>
      <c r="VUI1364" s="110"/>
      <c r="VUJ1364" s="110"/>
      <c r="VUK1364" s="110"/>
      <c r="VUL1364" s="110"/>
      <c r="VUM1364" s="110"/>
      <c r="VUN1364" s="110"/>
      <c r="VUO1364" s="110"/>
      <c r="VUP1364" s="110"/>
      <c r="VUQ1364" s="110"/>
      <c r="VUR1364" s="110"/>
      <c r="VUS1364" s="110"/>
      <c r="VUT1364" s="110"/>
      <c r="VUU1364" s="110"/>
      <c r="VUV1364" s="110"/>
      <c r="VUW1364" s="110"/>
      <c r="VUX1364" s="110"/>
      <c r="VUY1364" s="110"/>
      <c r="VUZ1364" s="110"/>
      <c r="VVA1364" s="110"/>
      <c r="VVB1364" s="110"/>
      <c r="VVC1364" s="110"/>
      <c r="VVD1364" s="110"/>
      <c r="VVE1364" s="110"/>
      <c r="VVF1364" s="110"/>
      <c r="VVG1364" s="110"/>
      <c r="VVH1364" s="110"/>
      <c r="VVI1364" s="110"/>
      <c r="VVJ1364" s="110"/>
      <c r="VVK1364" s="110"/>
      <c r="VVL1364" s="110"/>
      <c r="VVM1364" s="110"/>
      <c r="VVN1364" s="110"/>
      <c r="VVO1364" s="110"/>
      <c r="VVP1364" s="110"/>
      <c r="VVQ1364" s="110"/>
      <c r="VVR1364" s="110"/>
      <c r="VVS1364" s="110"/>
      <c r="VVT1364" s="110"/>
      <c r="VVU1364" s="110"/>
      <c r="VVV1364" s="110"/>
      <c r="VVW1364" s="110"/>
      <c r="VVX1364" s="110"/>
      <c r="VVY1364" s="110"/>
      <c r="VVZ1364" s="110"/>
      <c r="VWA1364" s="110"/>
      <c r="VWB1364" s="110"/>
      <c r="VWC1364" s="110"/>
      <c r="VWD1364" s="110"/>
      <c r="VWE1364" s="110"/>
      <c r="VWF1364" s="110"/>
      <c r="VWG1364" s="110"/>
      <c r="VWH1364" s="110"/>
      <c r="VWI1364" s="110"/>
      <c r="VWJ1364" s="110"/>
      <c r="VWK1364" s="110"/>
      <c r="VWL1364" s="110"/>
      <c r="VWM1364" s="110"/>
      <c r="VWN1364" s="110"/>
      <c r="VWO1364" s="110"/>
      <c r="VWP1364" s="110"/>
      <c r="VWQ1364" s="110"/>
      <c r="VWR1364" s="110"/>
      <c r="VWS1364" s="110"/>
      <c r="VWT1364" s="110"/>
      <c r="VWU1364" s="110"/>
      <c r="VWV1364" s="110"/>
      <c r="VWW1364" s="110"/>
      <c r="VWX1364" s="110"/>
      <c r="VWY1364" s="110"/>
      <c r="VWZ1364" s="110"/>
      <c r="VXA1364" s="110"/>
      <c r="VXB1364" s="110"/>
      <c r="VXC1364" s="110"/>
      <c r="VXD1364" s="110"/>
      <c r="VXE1364" s="110"/>
      <c r="VXF1364" s="110"/>
      <c r="VXG1364" s="110"/>
      <c r="VXH1364" s="110"/>
      <c r="VXI1364" s="110"/>
      <c r="VXJ1364" s="110"/>
      <c r="VXK1364" s="110"/>
      <c r="VXL1364" s="110"/>
      <c r="VXM1364" s="110"/>
      <c r="VXN1364" s="110"/>
      <c r="VXO1364" s="110"/>
      <c r="VXP1364" s="110"/>
      <c r="VXQ1364" s="110"/>
      <c r="VXR1364" s="110"/>
      <c r="VXS1364" s="110"/>
      <c r="VXT1364" s="110"/>
      <c r="VXU1364" s="110"/>
      <c r="VXV1364" s="110"/>
      <c r="VXW1364" s="110"/>
      <c r="VXX1364" s="110"/>
      <c r="VXY1364" s="110"/>
      <c r="VXZ1364" s="110"/>
      <c r="VYA1364" s="110"/>
      <c r="VYB1364" s="110"/>
      <c r="VYC1364" s="110"/>
      <c r="VYD1364" s="110"/>
      <c r="VYE1364" s="110"/>
      <c r="VYF1364" s="110"/>
      <c r="VYG1364" s="110"/>
      <c r="VYH1364" s="110"/>
      <c r="VYI1364" s="110"/>
      <c r="VYJ1364" s="110"/>
      <c r="VYK1364" s="110"/>
      <c r="VYL1364" s="110"/>
      <c r="VYM1364" s="110"/>
      <c r="VYN1364" s="110"/>
      <c r="VYO1364" s="110"/>
      <c r="VYP1364" s="110"/>
      <c r="VYQ1364" s="110"/>
      <c r="VYR1364" s="110"/>
      <c r="VYS1364" s="110"/>
      <c r="VYT1364" s="110"/>
      <c r="VYU1364" s="110"/>
      <c r="VYV1364" s="110"/>
      <c r="VYW1364" s="110"/>
      <c r="VYX1364" s="110"/>
      <c r="VYY1364" s="110"/>
      <c r="VYZ1364" s="110"/>
      <c r="VZA1364" s="110"/>
      <c r="VZB1364" s="110"/>
      <c r="VZC1364" s="110"/>
      <c r="VZD1364" s="110"/>
      <c r="VZE1364" s="110"/>
      <c r="VZF1364" s="110"/>
      <c r="VZG1364" s="110"/>
      <c r="VZH1364" s="110"/>
      <c r="VZI1364" s="110"/>
      <c r="VZJ1364" s="110"/>
      <c r="VZK1364" s="110"/>
      <c r="VZL1364" s="110"/>
      <c r="VZM1364" s="110"/>
      <c r="VZN1364" s="110"/>
      <c r="VZO1364" s="110"/>
      <c r="VZP1364" s="110"/>
      <c r="VZQ1364" s="110"/>
      <c r="VZR1364" s="110"/>
      <c r="VZS1364" s="110"/>
      <c r="VZT1364" s="110"/>
      <c r="VZU1364" s="110"/>
      <c r="VZV1364" s="110"/>
      <c r="VZW1364" s="110"/>
      <c r="VZX1364" s="110"/>
      <c r="VZY1364" s="110"/>
      <c r="VZZ1364" s="110"/>
      <c r="WAA1364" s="110"/>
      <c r="WAB1364" s="110"/>
      <c r="WAC1364" s="110"/>
      <c r="WAD1364" s="110"/>
      <c r="WAE1364" s="110"/>
      <c r="WAF1364" s="110"/>
      <c r="WAG1364" s="110"/>
      <c r="WAH1364" s="110"/>
      <c r="WAI1364" s="110"/>
      <c r="WAJ1364" s="110"/>
      <c r="WAK1364" s="110"/>
      <c r="WAL1364" s="110"/>
      <c r="WAM1364" s="110"/>
      <c r="WAN1364" s="110"/>
      <c r="WAO1364" s="110"/>
      <c r="WAP1364" s="110"/>
      <c r="WAQ1364" s="110"/>
      <c r="WAR1364" s="110"/>
      <c r="WAS1364" s="110"/>
      <c r="WAT1364" s="110"/>
      <c r="WAU1364" s="110"/>
      <c r="WAV1364" s="110"/>
      <c r="WAW1364" s="110"/>
      <c r="WAX1364" s="110"/>
      <c r="WAY1364" s="110"/>
      <c r="WAZ1364" s="110"/>
      <c r="WBA1364" s="110"/>
      <c r="WBB1364" s="110"/>
      <c r="WBC1364" s="110"/>
      <c r="WBD1364" s="110"/>
      <c r="WBE1364" s="110"/>
      <c r="WBF1364" s="110"/>
      <c r="WBG1364" s="110"/>
      <c r="WBH1364" s="110"/>
      <c r="WBI1364" s="110"/>
      <c r="WBJ1364" s="110"/>
      <c r="WBK1364" s="110"/>
      <c r="WBL1364" s="110"/>
      <c r="WBM1364" s="110"/>
      <c r="WBN1364" s="110"/>
      <c r="WBO1364" s="110"/>
      <c r="WBP1364" s="110"/>
      <c r="WBQ1364" s="110"/>
      <c r="WBR1364" s="110"/>
      <c r="WBS1364" s="110"/>
      <c r="WBT1364" s="110"/>
      <c r="WBU1364" s="110"/>
      <c r="WBV1364" s="110"/>
      <c r="WBW1364" s="110"/>
      <c r="WBX1364" s="110"/>
      <c r="WBY1364" s="110"/>
      <c r="WBZ1364" s="110"/>
      <c r="WCA1364" s="110"/>
      <c r="WCB1364" s="110"/>
      <c r="WCC1364" s="110"/>
      <c r="WCD1364" s="110"/>
      <c r="WCE1364" s="110"/>
      <c r="WCF1364" s="110"/>
      <c r="WCG1364" s="110"/>
      <c r="WCH1364" s="110"/>
      <c r="WCI1364" s="110"/>
      <c r="WCJ1364" s="110"/>
      <c r="WCK1364" s="110"/>
      <c r="WCL1364" s="110"/>
      <c r="WCM1364" s="110"/>
      <c r="WCN1364" s="110"/>
      <c r="WCO1364" s="110"/>
      <c r="WCP1364" s="110"/>
      <c r="WCQ1364" s="110"/>
      <c r="WCR1364" s="110"/>
      <c r="WCS1364" s="110"/>
      <c r="WCT1364" s="110"/>
      <c r="WCU1364" s="110"/>
      <c r="WCV1364" s="110"/>
      <c r="WCW1364" s="110"/>
      <c r="WCX1364" s="110"/>
      <c r="WCY1364" s="110"/>
      <c r="WCZ1364" s="110"/>
      <c r="WDA1364" s="110"/>
      <c r="WDB1364" s="110"/>
      <c r="WDC1364" s="110"/>
      <c r="WDD1364" s="110"/>
      <c r="WDE1364" s="110"/>
      <c r="WDF1364" s="110"/>
      <c r="WDG1364" s="110"/>
      <c r="WDH1364" s="110"/>
      <c r="WDI1364" s="110"/>
      <c r="WDJ1364" s="110"/>
      <c r="WDK1364" s="110"/>
      <c r="WDL1364" s="110"/>
      <c r="WDM1364" s="110"/>
      <c r="WDN1364" s="110"/>
      <c r="WDO1364" s="110"/>
      <c r="WDP1364" s="110"/>
      <c r="WDQ1364" s="110"/>
      <c r="WDR1364" s="110"/>
      <c r="WDS1364" s="110"/>
      <c r="WDT1364" s="110"/>
      <c r="WDU1364" s="110"/>
      <c r="WDV1364" s="110"/>
      <c r="WDW1364" s="110"/>
      <c r="WDX1364" s="110"/>
      <c r="WDY1364" s="110"/>
      <c r="WDZ1364" s="110"/>
      <c r="WEA1364" s="110"/>
      <c r="WEB1364" s="110"/>
      <c r="WEC1364" s="110"/>
      <c r="WED1364" s="110"/>
      <c r="WEE1364" s="110"/>
      <c r="WEF1364" s="110"/>
      <c r="WEG1364" s="110"/>
      <c r="WEH1364" s="110"/>
      <c r="WEI1364" s="110"/>
      <c r="WEJ1364" s="110"/>
      <c r="WEK1364" s="110"/>
      <c r="WEL1364" s="110"/>
      <c r="WEM1364" s="110"/>
      <c r="WEN1364" s="110"/>
      <c r="WEO1364" s="110"/>
      <c r="WEP1364" s="110"/>
      <c r="WEQ1364" s="110"/>
      <c r="WER1364" s="110"/>
      <c r="WES1364" s="110"/>
      <c r="WET1364" s="110"/>
      <c r="WEU1364" s="110"/>
      <c r="WEV1364" s="110"/>
      <c r="WEW1364" s="110"/>
      <c r="WEX1364" s="110"/>
      <c r="WEY1364" s="110"/>
      <c r="WEZ1364" s="110"/>
      <c r="WFA1364" s="110"/>
      <c r="WFB1364" s="110"/>
      <c r="WFC1364" s="110"/>
      <c r="WFD1364" s="110"/>
      <c r="WFE1364" s="110"/>
      <c r="WFF1364" s="110"/>
      <c r="WFG1364" s="110"/>
      <c r="WFH1364" s="110"/>
      <c r="WFI1364" s="110"/>
      <c r="WFJ1364" s="110"/>
      <c r="WFK1364" s="110"/>
      <c r="WFL1364" s="110"/>
      <c r="WFM1364" s="110"/>
      <c r="WFN1364" s="110"/>
      <c r="WFO1364" s="110"/>
      <c r="WFP1364" s="110"/>
      <c r="WFQ1364" s="110"/>
      <c r="WFR1364" s="110"/>
      <c r="WFS1364" s="110"/>
      <c r="WFT1364" s="110"/>
      <c r="WFU1364" s="110"/>
      <c r="WFV1364" s="110"/>
      <c r="WFW1364" s="110"/>
      <c r="WFX1364" s="110"/>
      <c r="WFY1364" s="110"/>
      <c r="WFZ1364" s="110"/>
      <c r="WGA1364" s="110"/>
      <c r="WGB1364" s="110"/>
      <c r="WGC1364" s="110"/>
      <c r="WGD1364" s="110"/>
      <c r="WGE1364" s="110"/>
      <c r="WGF1364" s="110"/>
      <c r="WGG1364" s="110"/>
      <c r="WGH1364" s="110"/>
      <c r="WGI1364" s="110"/>
      <c r="WGJ1364" s="110"/>
      <c r="WGK1364" s="110"/>
      <c r="WGL1364" s="110"/>
      <c r="WGM1364" s="110"/>
      <c r="WGN1364" s="110"/>
      <c r="WGO1364" s="110"/>
      <c r="WGP1364" s="110"/>
      <c r="WGQ1364" s="110"/>
      <c r="WGR1364" s="110"/>
      <c r="WGS1364" s="110"/>
      <c r="WGT1364" s="110"/>
      <c r="WGU1364" s="110"/>
      <c r="WGV1364" s="110"/>
      <c r="WGW1364" s="110"/>
      <c r="WGX1364" s="110"/>
      <c r="WGY1364" s="110"/>
      <c r="WGZ1364" s="110"/>
      <c r="WHA1364" s="110"/>
      <c r="WHB1364" s="110"/>
      <c r="WHC1364" s="110"/>
      <c r="WHD1364" s="110"/>
      <c r="WHE1364" s="110"/>
      <c r="WHF1364" s="110"/>
      <c r="WHG1364" s="110"/>
      <c r="WHH1364" s="110"/>
      <c r="WHI1364" s="110"/>
      <c r="WHJ1364" s="110"/>
      <c r="WHK1364" s="110"/>
      <c r="WHL1364" s="110"/>
      <c r="WHM1364" s="110"/>
      <c r="WHN1364" s="110"/>
      <c r="WHO1364" s="110"/>
      <c r="WHP1364" s="110"/>
      <c r="WHQ1364" s="110"/>
      <c r="WHR1364" s="110"/>
      <c r="WHS1364" s="110"/>
      <c r="WHT1364" s="110"/>
      <c r="WHU1364" s="110"/>
      <c r="WHV1364" s="110"/>
      <c r="WHW1364" s="110"/>
      <c r="WHX1364" s="110"/>
      <c r="WHY1364" s="110"/>
      <c r="WHZ1364" s="110"/>
      <c r="WIA1364" s="110"/>
      <c r="WIB1364" s="110"/>
      <c r="WIC1364" s="110"/>
      <c r="WID1364" s="110"/>
      <c r="WIE1364" s="110"/>
      <c r="WIF1364" s="110"/>
      <c r="WIG1364" s="110"/>
      <c r="WIH1364" s="110"/>
      <c r="WII1364" s="110"/>
      <c r="WIJ1364" s="110"/>
      <c r="WIK1364" s="110"/>
      <c r="WIL1364" s="110"/>
      <c r="WIM1364" s="110"/>
      <c r="WIN1364" s="110"/>
      <c r="WIO1364" s="110"/>
      <c r="WIP1364" s="110"/>
      <c r="WIQ1364" s="110"/>
      <c r="WIR1364" s="110"/>
      <c r="WIS1364" s="110"/>
      <c r="WIT1364" s="110"/>
      <c r="WIU1364" s="110"/>
      <c r="WIV1364" s="110"/>
      <c r="WIW1364" s="110"/>
      <c r="WIX1364" s="110"/>
      <c r="WIY1364" s="110"/>
      <c r="WIZ1364" s="110"/>
      <c r="WJA1364" s="110"/>
      <c r="WJB1364" s="110"/>
      <c r="WJC1364" s="110"/>
      <c r="WJD1364" s="110"/>
      <c r="WJE1364" s="110"/>
      <c r="WJF1364" s="110"/>
      <c r="WJG1364" s="110"/>
      <c r="WJH1364" s="110"/>
      <c r="WJI1364" s="110"/>
      <c r="WJJ1364" s="110"/>
      <c r="WJK1364" s="110"/>
      <c r="WJL1364" s="110"/>
      <c r="WJM1364" s="110"/>
      <c r="WJN1364" s="110"/>
      <c r="WJO1364" s="110"/>
      <c r="WJP1364" s="110"/>
      <c r="WJQ1364" s="110"/>
      <c r="WJR1364" s="110"/>
      <c r="WJS1364" s="110"/>
      <c r="WJT1364" s="110"/>
      <c r="WJU1364" s="110"/>
      <c r="WJV1364" s="110"/>
      <c r="WJW1364" s="110"/>
      <c r="WJX1364" s="110"/>
      <c r="WJY1364" s="110"/>
      <c r="WJZ1364" s="110"/>
      <c r="WKA1364" s="110"/>
      <c r="WKB1364" s="110"/>
      <c r="WKC1364" s="110"/>
      <c r="WKD1364" s="110"/>
      <c r="WKE1364" s="110"/>
      <c r="WKF1364" s="110"/>
      <c r="WKG1364" s="110"/>
      <c r="WKH1364" s="110"/>
      <c r="WKI1364" s="110"/>
      <c r="WKJ1364" s="110"/>
      <c r="WKK1364" s="110"/>
      <c r="WKL1364" s="110"/>
      <c r="WKM1364" s="110"/>
      <c r="WKN1364" s="110"/>
      <c r="WKO1364" s="110"/>
      <c r="WKP1364" s="110"/>
      <c r="WKQ1364" s="110"/>
      <c r="WKR1364" s="110"/>
      <c r="WKS1364" s="110"/>
      <c r="WKT1364" s="110"/>
      <c r="WKU1364" s="110"/>
      <c r="WKV1364" s="110"/>
      <c r="WKW1364" s="110"/>
      <c r="WKX1364" s="110"/>
      <c r="WKY1364" s="110"/>
      <c r="WKZ1364" s="110"/>
      <c r="WLA1364" s="110"/>
      <c r="WLB1364" s="110"/>
      <c r="WLC1364" s="110"/>
      <c r="WLD1364" s="110"/>
      <c r="WLE1364" s="110"/>
      <c r="WLF1364" s="110"/>
      <c r="WLG1364" s="110"/>
      <c r="WLH1364" s="110"/>
      <c r="WLI1364" s="110"/>
      <c r="WLJ1364" s="110"/>
      <c r="WLK1364" s="110"/>
      <c r="WLL1364" s="110"/>
      <c r="WLM1364" s="110"/>
      <c r="WLN1364" s="110"/>
      <c r="WLO1364" s="110"/>
      <c r="WLP1364" s="110"/>
      <c r="WLQ1364" s="110"/>
      <c r="WLR1364" s="110"/>
      <c r="WLS1364" s="110"/>
      <c r="WLT1364" s="110"/>
      <c r="WLU1364" s="110"/>
      <c r="WLV1364" s="110"/>
      <c r="WLW1364" s="110"/>
      <c r="WLX1364" s="110"/>
      <c r="WLY1364" s="110"/>
      <c r="WLZ1364" s="110"/>
      <c r="WMA1364" s="110"/>
      <c r="WMB1364" s="110"/>
      <c r="WMC1364" s="110"/>
      <c r="WMD1364" s="110"/>
      <c r="WME1364" s="110"/>
      <c r="WMF1364" s="110"/>
      <c r="WMG1364" s="110"/>
      <c r="WMH1364" s="110"/>
      <c r="WMI1364" s="110"/>
      <c r="WMJ1364" s="110"/>
      <c r="WMK1364" s="110"/>
      <c r="WML1364" s="110"/>
      <c r="WMM1364" s="110"/>
      <c r="WMN1364" s="110"/>
      <c r="WMO1364" s="110"/>
      <c r="WMP1364" s="110"/>
      <c r="WMQ1364" s="110"/>
      <c r="WMR1364" s="110"/>
      <c r="WMS1364" s="110"/>
      <c r="WMT1364" s="110"/>
      <c r="WMU1364" s="110"/>
      <c r="WMV1364" s="110"/>
      <c r="WMW1364" s="110"/>
      <c r="WMX1364" s="110"/>
      <c r="WMY1364" s="110"/>
      <c r="WMZ1364" s="110"/>
      <c r="WNA1364" s="110"/>
      <c r="WNB1364" s="110"/>
      <c r="WNC1364" s="110"/>
      <c r="WND1364" s="110"/>
      <c r="WNE1364" s="110"/>
      <c r="WNF1364" s="110"/>
      <c r="WNG1364" s="110"/>
      <c r="WNH1364" s="110"/>
      <c r="WNI1364" s="110"/>
      <c r="WNJ1364" s="110"/>
      <c r="WNK1364" s="110"/>
      <c r="WNL1364" s="110"/>
      <c r="WNM1364" s="110"/>
      <c r="WNN1364" s="110"/>
      <c r="WNO1364" s="110"/>
      <c r="WNP1364" s="110"/>
      <c r="WNQ1364" s="110"/>
      <c r="WNR1364" s="110"/>
      <c r="WNS1364" s="110"/>
      <c r="WNT1364" s="110"/>
      <c r="WNU1364" s="110"/>
      <c r="WNV1364" s="110"/>
      <c r="WNW1364" s="110"/>
      <c r="WNX1364" s="110"/>
      <c r="WNY1364" s="110"/>
      <c r="WNZ1364" s="110"/>
      <c r="WOA1364" s="110"/>
      <c r="WOB1364" s="110"/>
      <c r="WOC1364" s="110"/>
      <c r="WOD1364" s="110"/>
      <c r="WOE1364" s="110"/>
      <c r="WOF1364" s="110"/>
      <c r="WOG1364" s="110"/>
      <c r="WOH1364" s="110"/>
      <c r="WOI1364" s="110"/>
      <c r="WOJ1364" s="110"/>
      <c r="WOK1364" s="110"/>
      <c r="WOL1364" s="110"/>
      <c r="WOM1364" s="110"/>
      <c r="WON1364" s="110"/>
      <c r="WOO1364" s="110"/>
      <c r="WOP1364" s="110"/>
      <c r="WOQ1364" s="110"/>
      <c r="WOR1364" s="110"/>
      <c r="WOS1364" s="110"/>
      <c r="WOT1364" s="110"/>
      <c r="WOU1364" s="110"/>
      <c r="WOV1364" s="110"/>
      <c r="WOW1364" s="110"/>
      <c r="WOX1364" s="110"/>
      <c r="WOY1364" s="110"/>
      <c r="WOZ1364" s="110"/>
      <c r="WPA1364" s="110"/>
      <c r="WPB1364" s="110"/>
      <c r="WPC1364" s="110"/>
      <c r="WPD1364" s="110"/>
      <c r="WPE1364" s="110"/>
      <c r="WPF1364" s="110"/>
      <c r="WPG1364" s="110"/>
      <c r="WPH1364" s="110"/>
      <c r="WPI1364" s="110"/>
      <c r="WPJ1364" s="110"/>
      <c r="WPK1364" s="110"/>
      <c r="WPL1364" s="110"/>
      <c r="WPM1364" s="110"/>
      <c r="WPN1364" s="110"/>
      <c r="WPO1364" s="110"/>
      <c r="WPP1364" s="110"/>
      <c r="WPQ1364" s="110"/>
      <c r="WPR1364" s="110"/>
      <c r="WPS1364" s="110"/>
      <c r="WPT1364" s="110"/>
      <c r="WPU1364" s="110"/>
      <c r="WPV1364" s="110"/>
      <c r="WPW1364" s="110"/>
      <c r="WPX1364" s="110"/>
      <c r="WPY1364" s="110"/>
      <c r="WPZ1364" s="110"/>
      <c r="WQA1364" s="110"/>
      <c r="WQB1364" s="110"/>
      <c r="WQC1364" s="110"/>
      <c r="WQD1364" s="110"/>
      <c r="WQE1364" s="110"/>
      <c r="WQF1364" s="110"/>
      <c r="WQG1364" s="110"/>
      <c r="WQH1364" s="110"/>
      <c r="WQI1364" s="110"/>
      <c r="WQJ1364" s="110"/>
      <c r="WQK1364" s="110"/>
      <c r="WQL1364" s="110"/>
      <c r="WQM1364" s="110"/>
      <c r="WQN1364" s="110"/>
      <c r="WQO1364" s="110"/>
      <c r="WQP1364" s="110"/>
      <c r="WQQ1364" s="110"/>
      <c r="WQR1364" s="110"/>
      <c r="WQS1364" s="110"/>
      <c r="WQT1364" s="110"/>
      <c r="WQU1364" s="110"/>
      <c r="WQV1364" s="110"/>
      <c r="WQW1364" s="110"/>
      <c r="WQX1364" s="110"/>
      <c r="WQY1364" s="110"/>
      <c r="WQZ1364" s="110"/>
      <c r="WRA1364" s="110"/>
      <c r="WRB1364" s="110"/>
      <c r="WRC1364" s="110"/>
      <c r="WRD1364" s="110"/>
      <c r="WRE1364" s="110"/>
      <c r="WRF1364" s="110"/>
      <c r="WRG1364" s="110"/>
      <c r="WRH1364" s="110"/>
      <c r="WRI1364" s="110"/>
      <c r="WRJ1364" s="110"/>
      <c r="WRK1364" s="110"/>
      <c r="WRL1364" s="110"/>
      <c r="WRM1364" s="110"/>
      <c r="WRN1364" s="110"/>
      <c r="WRO1364" s="110"/>
      <c r="WRP1364" s="110"/>
      <c r="WRQ1364" s="110"/>
      <c r="WRR1364" s="110"/>
      <c r="WRS1364" s="110"/>
      <c r="WRT1364" s="110"/>
      <c r="WRU1364" s="110"/>
      <c r="WRV1364" s="110"/>
      <c r="WRW1364" s="110"/>
      <c r="WRX1364" s="110"/>
      <c r="WRY1364" s="110"/>
      <c r="WRZ1364" s="110"/>
      <c r="WSA1364" s="110"/>
      <c r="WSB1364" s="110"/>
      <c r="WSC1364" s="110"/>
      <c r="WSD1364" s="110"/>
      <c r="WSE1364" s="110"/>
      <c r="WSF1364" s="110"/>
      <c r="WSG1364" s="110"/>
      <c r="WSH1364" s="110"/>
      <c r="WSI1364" s="110"/>
      <c r="WSJ1364" s="110"/>
      <c r="WSK1364" s="110"/>
      <c r="WSL1364" s="110"/>
      <c r="WSM1364" s="110"/>
      <c r="WSN1364" s="110"/>
      <c r="WSO1364" s="110"/>
      <c r="WSP1364" s="110"/>
      <c r="WSQ1364" s="110"/>
      <c r="WSR1364" s="110"/>
      <c r="WSS1364" s="110"/>
      <c r="WST1364" s="110"/>
      <c r="WSU1364" s="110"/>
      <c r="WSV1364" s="110"/>
      <c r="WSW1364" s="110"/>
      <c r="WSX1364" s="110"/>
      <c r="WSY1364" s="110"/>
      <c r="WSZ1364" s="110"/>
      <c r="WTA1364" s="110"/>
      <c r="WTB1364" s="110"/>
      <c r="WTC1364" s="110"/>
      <c r="WTD1364" s="110"/>
      <c r="WTE1364" s="110"/>
      <c r="WTF1364" s="110"/>
      <c r="WTG1364" s="110"/>
      <c r="WTH1364" s="110"/>
      <c r="WTI1364" s="110"/>
      <c r="WTJ1364" s="110"/>
      <c r="WTK1364" s="110"/>
      <c r="WTL1364" s="110"/>
      <c r="WTM1364" s="110"/>
      <c r="WTN1364" s="110"/>
      <c r="WTO1364" s="110"/>
      <c r="WTP1364" s="110"/>
      <c r="WTQ1364" s="110"/>
      <c r="WTR1364" s="110"/>
      <c r="WTS1364" s="110"/>
      <c r="WTT1364" s="110"/>
      <c r="WTU1364" s="110"/>
      <c r="WTV1364" s="110"/>
      <c r="WTW1364" s="110"/>
      <c r="WTX1364" s="110"/>
      <c r="WTY1364" s="110"/>
      <c r="WTZ1364" s="110"/>
      <c r="WUA1364" s="110"/>
      <c r="WUB1364" s="110"/>
      <c r="WUC1364" s="110"/>
      <c r="WUD1364" s="110"/>
      <c r="WUE1364" s="110"/>
      <c r="WUF1364" s="110"/>
      <c r="WUG1364" s="110"/>
      <c r="WUH1364" s="110"/>
      <c r="WUI1364" s="110"/>
      <c r="WUJ1364" s="110"/>
      <c r="WUK1364" s="110"/>
      <c r="WUL1364" s="110"/>
      <c r="WUM1364" s="110"/>
      <c r="WUN1364" s="110"/>
      <c r="WUO1364" s="110"/>
      <c r="WUP1364" s="110"/>
      <c r="WUQ1364" s="110"/>
      <c r="WUR1364" s="110"/>
      <c r="WUS1364" s="110"/>
      <c r="WUT1364" s="110"/>
      <c r="WUU1364" s="110"/>
      <c r="WUV1364" s="110"/>
      <c r="WUW1364" s="110"/>
      <c r="WUX1364" s="110"/>
      <c r="WUY1364" s="110"/>
      <c r="WUZ1364" s="110"/>
      <c r="WVA1364" s="110"/>
      <c r="WVB1364" s="110"/>
      <c r="WVC1364" s="110"/>
      <c r="WVD1364" s="110"/>
      <c r="WVE1364" s="110"/>
      <c r="WVF1364" s="110"/>
      <c r="WVG1364" s="110"/>
      <c r="WVH1364" s="110"/>
      <c r="WVI1364" s="110"/>
      <c r="WVJ1364" s="110"/>
      <c r="WVK1364" s="110"/>
      <c r="WVL1364" s="110"/>
      <c r="WVM1364" s="110"/>
      <c r="WVN1364" s="110"/>
      <c r="WVO1364" s="110"/>
      <c r="WVP1364" s="110"/>
      <c r="WVQ1364" s="110"/>
      <c r="WVR1364" s="110"/>
      <c r="WVS1364" s="110"/>
      <c r="WVT1364" s="110"/>
      <c r="WVU1364" s="110"/>
      <c r="WVV1364" s="110"/>
      <c r="WVW1364" s="110"/>
      <c r="WVX1364" s="110"/>
      <c r="WVY1364" s="110"/>
      <c r="WVZ1364" s="110"/>
      <c r="WWA1364" s="110"/>
      <c r="WWB1364" s="110"/>
      <c r="WWC1364" s="110"/>
      <c r="WWD1364" s="110"/>
      <c r="WWE1364" s="110"/>
      <c r="WWF1364" s="110"/>
      <c r="WWG1364" s="110"/>
      <c r="WWH1364" s="110"/>
      <c r="WWI1364" s="110"/>
      <c r="WWJ1364" s="110"/>
      <c r="WWK1364" s="110"/>
      <c r="WWL1364" s="110"/>
      <c r="WWM1364" s="110"/>
      <c r="WWN1364" s="110"/>
      <c r="WWO1364" s="110"/>
      <c r="WWP1364" s="110"/>
      <c r="WWQ1364" s="110"/>
      <c r="WWR1364" s="110"/>
      <c r="WWS1364" s="110"/>
      <c r="WWT1364" s="110"/>
      <c r="WWU1364" s="110"/>
      <c r="WWV1364" s="110"/>
      <c r="WWW1364" s="110"/>
      <c r="WWX1364" s="110"/>
      <c r="WWY1364" s="110"/>
      <c r="WWZ1364" s="110"/>
      <c r="WXA1364" s="110"/>
      <c r="WXB1364" s="110"/>
      <c r="WXC1364" s="110"/>
      <c r="WXD1364" s="110"/>
      <c r="WXE1364" s="110"/>
      <c r="WXF1364" s="110"/>
      <c r="WXG1364" s="110"/>
      <c r="WXH1364" s="110"/>
      <c r="WXI1364" s="110"/>
      <c r="WXJ1364" s="110"/>
      <c r="WXK1364" s="110"/>
      <c r="WXL1364" s="110"/>
      <c r="WXM1364" s="110"/>
      <c r="WXN1364" s="110"/>
      <c r="WXO1364" s="110"/>
      <c r="WXP1364" s="110"/>
      <c r="WXQ1364" s="110"/>
      <c r="WXR1364" s="110"/>
      <c r="WXS1364" s="110"/>
      <c r="WXT1364" s="110"/>
      <c r="WXU1364" s="110"/>
      <c r="WXV1364" s="110"/>
      <c r="WXW1364" s="110"/>
      <c r="WXX1364" s="110"/>
      <c r="WXY1364" s="110"/>
      <c r="WXZ1364" s="110"/>
      <c r="WYA1364" s="110"/>
      <c r="WYB1364" s="110"/>
      <c r="WYC1364" s="110"/>
      <c r="WYD1364" s="110"/>
      <c r="WYE1364" s="110"/>
      <c r="WYF1364" s="110"/>
      <c r="WYG1364" s="110"/>
      <c r="WYH1364" s="110"/>
      <c r="WYI1364" s="110"/>
      <c r="WYJ1364" s="110"/>
      <c r="WYK1364" s="110"/>
      <c r="WYL1364" s="110"/>
      <c r="WYM1364" s="110"/>
      <c r="WYN1364" s="110"/>
      <c r="WYO1364" s="110"/>
      <c r="WYP1364" s="110"/>
      <c r="WYQ1364" s="110"/>
      <c r="WYR1364" s="110"/>
      <c r="WYS1364" s="110"/>
      <c r="WYT1364" s="110"/>
      <c r="WYU1364" s="110"/>
      <c r="WYV1364" s="110"/>
      <c r="WYW1364" s="110"/>
      <c r="WYX1364" s="110"/>
      <c r="WYY1364" s="110"/>
      <c r="WYZ1364" s="110"/>
      <c r="WZA1364" s="110"/>
      <c r="WZB1364" s="110"/>
      <c r="WZC1364" s="110"/>
      <c r="WZD1364" s="110"/>
      <c r="WZE1364" s="110"/>
      <c r="WZF1364" s="110"/>
      <c r="WZG1364" s="110"/>
      <c r="WZH1364" s="110"/>
      <c r="WZI1364" s="110"/>
      <c r="WZJ1364" s="110"/>
      <c r="WZK1364" s="110"/>
      <c r="WZL1364" s="110"/>
      <c r="WZM1364" s="110"/>
      <c r="WZN1364" s="110"/>
      <c r="WZO1364" s="110"/>
      <c r="WZP1364" s="110"/>
      <c r="WZQ1364" s="110"/>
      <c r="WZR1364" s="110"/>
      <c r="WZS1364" s="110"/>
      <c r="WZT1364" s="110"/>
      <c r="WZU1364" s="110"/>
      <c r="WZV1364" s="110"/>
      <c r="WZW1364" s="110"/>
      <c r="WZX1364" s="110"/>
      <c r="WZY1364" s="110"/>
      <c r="WZZ1364" s="110"/>
      <c r="XAA1364" s="110"/>
      <c r="XAB1364" s="110"/>
      <c r="XAC1364" s="110"/>
      <c r="XAD1364" s="110"/>
      <c r="XAE1364" s="110"/>
      <c r="XAF1364" s="110"/>
      <c r="XAG1364" s="110"/>
      <c r="XAH1364" s="110"/>
      <c r="XAI1364" s="110"/>
      <c r="XAJ1364" s="110"/>
      <c r="XAK1364" s="110"/>
      <c r="XAL1364" s="110"/>
      <c r="XAM1364" s="110"/>
      <c r="XAN1364" s="110"/>
      <c r="XAO1364" s="110"/>
      <c r="XAP1364" s="110"/>
      <c r="XAQ1364" s="110"/>
      <c r="XAR1364" s="110"/>
      <c r="XAS1364" s="110"/>
      <c r="XAT1364" s="110"/>
      <c r="XAU1364" s="110"/>
      <c r="XAV1364" s="110"/>
      <c r="XAW1364" s="110"/>
      <c r="XAX1364" s="110"/>
      <c r="XAY1364" s="110"/>
      <c r="XAZ1364" s="110"/>
      <c r="XBA1364" s="110"/>
      <c r="XBB1364" s="110"/>
      <c r="XBC1364" s="110"/>
      <c r="XBD1364" s="110"/>
      <c r="XBE1364" s="110"/>
      <c r="XBF1364" s="110"/>
      <c r="XBG1364" s="110"/>
      <c r="XBH1364" s="110"/>
      <c r="XBI1364" s="110"/>
      <c r="XBJ1364" s="110"/>
      <c r="XBK1364" s="110"/>
      <c r="XBL1364" s="110"/>
      <c r="XBM1364" s="110"/>
      <c r="XBN1364" s="110"/>
      <c r="XBO1364" s="110"/>
      <c r="XBP1364" s="110"/>
      <c r="XBQ1364" s="110"/>
      <c r="XBR1364" s="110"/>
      <c r="XBS1364" s="110"/>
      <c r="XBT1364" s="110"/>
      <c r="XBU1364" s="110"/>
      <c r="XBV1364" s="110"/>
      <c r="XBW1364" s="110"/>
      <c r="XBX1364" s="110"/>
      <c r="XBY1364" s="110"/>
      <c r="XBZ1364" s="110"/>
      <c r="XCA1364" s="110"/>
      <c r="XCB1364" s="110"/>
      <c r="XCC1364" s="110"/>
      <c r="XCD1364" s="110"/>
      <c r="XCE1364" s="110"/>
      <c r="XCF1364" s="110"/>
      <c r="XCG1364" s="110"/>
      <c r="XCH1364" s="110"/>
      <c r="XCI1364" s="110"/>
      <c r="XCJ1364" s="110"/>
      <c r="XCK1364" s="110"/>
      <c r="XCL1364" s="110"/>
      <c r="XCM1364" s="110"/>
      <c r="XCN1364" s="110"/>
      <c r="XCO1364" s="110"/>
      <c r="XCP1364" s="110"/>
      <c r="XCQ1364" s="110"/>
      <c r="XCR1364" s="110"/>
      <c r="XCS1364" s="110"/>
      <c r="XCT1364" s="110"/>
      <c r="XCU1364" s="110"/>
      <c r="XCV1364" s="110"/>
      <c r="XCW1364" s="110"/>
      <c r="XCX1364" s="110"/>
      <c r="XCY1364" s="110"/>
      <c r="XCZ1364" s="110"/>
      <c r="XDA1364" s="110"/>
      <c r="XDB1364" s="110"/>
      <c r="XDC1364" s="110"/>
      <c r="XDD1364" s="110"/>
      <c r="XDE1364" s="110"/>
      <c r="XDF1364" s="110"/>
      <c r="XDG1364" s="110"/>
      <c r="XDH1364" s="110"/>
      <c r="XDI1364" s="110"/>
      <c r="XDJ1364" s="110"/>
      <c r="XDK1364" s="110"/>
      <c r="XDL1364" s="110"/>
      <c r="XDM1364" s="110"/>
      <c r="XDN1364" s="110"/>
      <c r="XDO1364" s="110"/>
      <c r="XDP1364" s="110"/>
      <c r="XDQ1364" s="110"/>
      <c r="XDR1364" s="110"/>
      <c r="XDS1364" s="110"/>
      <c r="XDT1364" s="110"/>
      <c r="XDU1364" s="110"/>
      <c r="XDV1364" s="110"/>
      <c r="XDW1364" s="110"/>
      <c r="XDX1364" s="110"/>
      <c r="XDY1364" s="110"/>
      <c r="XDZ1364" s="110"/>
      <c r="XEA1364" s="110"/>
      <c r="XEB1364" s="110"/>
      <c r="XEC1364" s="110"/>
      <c r="XED1364" s="110"/>
      <c r="XEE1364" s="110"/>
      <c r="XEF1364" s="110"/>
      <c r="XEG1364" s="110"/>
      <c r="XEH1364" s="110"/>
      <c r="XEI1364" s="110"/>
      <c r="XEJ1364" s="110"/>
      <c r="XEK1364" s="110"/>
      <c r="XEL1364" s="110"/>
      <c r="XEM1364" s="110"/>
      <c r="XEN1364" s="110"/>
      <c r="XEO1364" s="110"/>
      <c r="XEP1364" s="110"/>
      <c r="XEQ1364" s="110"/>
      <c r="XER1364" s="110"/>
      <c r="XES1364" s="110"/>
      <c r="XET1364" s="110"/>
      <c r="XEU1364" s="110"/>
      <c r="XEV1364" s="110"/>
      <c r="XEW1364" s="110"/>
      <c r="XEX1364" s="110"/>
      <c r="XEY1364" s="110"/>
      <c r="XEZ1364" s="110"/>
      <c r="XFA1364" s="110"/>
      <c r="XFB1364" s="110"/>
    </row>
    <row r="1365" spans="1:16382" ht="11.25" customHeight="1" x14ac:dyDescent="0.15">
      <c r="A1365" s="110" t="s">
        <v>699</v>
      </c>
      <c r="B1365" s="110"/>
      <c r="C1365" s="111" t="s">
        <v>37</v>
      </c>
      <c r="D1365" s="111">
        <v>2023</v>
      </c>
      <c r="E1365" s="146">
        <v>45291</v>
      </c>
      <c r="F1365" s="111"/>
      <c r="G1365" s="111">
        <v>21250011</v>
      </c>
      <c r="H1365" s="111"/>
      <c r="I1365" s="111"/>
      <c r="J1365" s="111"/>
      <c r="K1365" s="112" t="s">
        <v>705</v>
      </c>
      <c r="L1365" s="168">
        <v>60949.59</v>
      </c>
      <c r="M1365" s="120">
        <v>23251</v>
      </c>
      <c r="N1365" s="120">
        <f t="shared" si="941"/>
        <v>37698.589999999997</v>
      </c>
      <c r="O1365" s="119">
        <f t="shared" si="942"/>
        <v>0.61852081367569489</v>
      </c>
      <c r="P1365" s="120">
        <v>60949.59</v>
      </c>
      <c r="Q1365" s="111">
        <v>2732</v>
      </c>
      <c r="R1365" s="117"/>
      <c r="S1365" s="117"/>
      <c r="T1365" s="117"/>
      <c r="U1365" s="117">
        <v>27580.21</v>
      </c>
      <c r="V1365" s="117"/>
      <c r="W1365" s="26">
        <f t="shared" si="934"/>
        <v>27580.21</v>
      </c>
      <c r="X1365" s="118" t="str">
        <f t="shared" si="935"/>
        <v/>
      </c>
      <c r="Y1365" s="119">
        <f t="shared" si="936"/>
        <v>0.45250854025433151</v>
      </c>
      <c r="Z1365" s="117">
        <f t="shared" si="937"/>
        <v>33369.379999999997</v>
      </c>
      <c r="AA1365" s="119">
        <f t="shared" si="938"/>
        <v>0.54749145974566849</v>
      </c>
      <c r="AB1365" s="120">
        <f t="shared" si="940"/>
        <v>-4329.2099999999991</v>
      </c>
      <c r="AC1365" s="119">
        <f t="shared" si="939"/>
        <v>-7.1029353930026407E-2</v>
      </c>
      <c r="AD1365" s="110" t="s">
        <v>706</v>
      </c>
      <c r="AE1365" s="110"/>
      <c r="AF1365" s="110"/>
      <c r="AG1365" s="121"/>
      <c r="AH1365" s="110"/>
      <c r="AI1365" s="110"/>
      <c r="AJ1365" s="110"/>
      <c r="AK1365" s="110"/>
      <c r="AL1365" s="110"/>
      <c r="AM1365" s="110"/>
      <c r="AN1365" s="110"/>
      <c r="AO1365" s="110"/>
      <c r="AP1365" s="110"/>
      <c r="AQ1365" s="110"/>
      <c r="AR1365" s="110"/>
      <c r="AS1365" s="110"/>
      <c r="AT1365" s="110"/>
      <c r="AU1365" s="110"/>
      <c r="AV1365" s="110"/>
      <c r="AW1365" s="110"/>
      <c r="AX1365" s="110"/>
      <c r="AY1365" s="110"/>
      <c r="AZ1365" s="110"/>
      <c r="BA1365" s="110"/>
      <c r="BB1365" s="110"/>
      <c r="BC1365" s="110"/>
      <c r="BD1365" s="110"/>
      <c r="BE1365" s="110"/>
      <c r="BF1365" s="110"/>
      <c r="BG1365" s="110"/>
      <c r="BH1365" s="110"/>
      <c r="BI1365" s="110"/>
      <c r="BJ1365" s="110"/>
      <c r="BK1365" s="110"/>
      <c r="BL1365" s="110"/>
      <c r="BM1365" s="110"/>
      <c r="BN1365" s="110"/>
      <c r="BO1365" s="110"/>
      <c r="BP1365" s="110"/>
      <c r="BQ1365" s="110"/>
      <c r="BR1365" s="110"/>
      <c r="BS1365" s="110"/>
      <c r="BT1365" s="110"/>
      <c r="BU1365" s="110"/>
      <c r="BV1365" s="110"/>
      <c r="BW1365" s="110"/>
      <c r="BX1365" s="110"/>
      <c r="BY1365" s="110"/>
      <c r="BZ1365" s="110"/>
      <c r="CA1365" s="110"/>
      <c r="CB1365" s="110"/>
      <c r="CC1365" s="110"/>
      <c r="CD1365" s="110"/>
      <c r="CE1365" s="110"/>
      <c r="CF1365" s="110"/>
      <c r="CG1365" s="110"/>
      <c r="CH1365" s="110"/>
      <c r="CI1365" s="110"/>
      <c r="CJ1365" s="110"/>
      <c r="CK1365" s="110"/>
      <c r="CL1365" s="110"/>
      <c r="CM1365" s="110"/>
      <c r="CN1365" s="110"/>
      <c r="CO1365" s="110"/>
      <c r="CP1365" s="110"/>
      <c r="CQ1365" s="110"/>
      <c r="CR1365" s="110"/>
      <c r="CS1365" s="110"/>
      <c r="CT1365" s="110"/>
      <c r="CU1365" s="110"/>
      <c r="CV1365" s="110"/>
      <c r="CW1365" s="110"/>
      <c r="CX1365" s="110"/>
      <c r="CY1365" s="110"/>
      <c r="CZ1365" s="110"/>
      <c r="DA1365" s="110"/>
      <c r="DB1365" s="110"/>
      <c r="DC1365" s="110"/>
      <c r="DD1365" s="110"/>
      <c r="DE1365" s="110"/>
      <c r="DF1365" s="110"/>
      <c r="DG1365" s="110"/>
      <c r="DH1365" s="110"/>
      <c r="DI1365" s="110"/>
      <c r="DJ1365" s="110"/>
      <c r="DK1365" s="110"/>
      <c r="DL1365" s="110"/>
      <c r="DM1365" s="110"/>
      <c r="DN1365" s="110"/>
      <c r="DO1365" s="110"/>
      <c r="DP1365" s="110"/>
      <c r="DQ1365" s="110"/>
      <c r="DR1365" s="110"/>
      <c r="DS1365" s="110"/>
      <c r="DT1365" s="110"/>
      <c r="DU1365" s="110"/>
      <c r="DV1365" s="110"/>
      <c r="DW1365" s="110"/>
      <c r="DX1365" s="110"/>
      <c r="DY1365" s="110"/>
      <c r="DZ1365" s="110"/>
      <c r="EA1365" s="110"/>
      <c r="EB1365" s="110"/>
      <c r="EC1365" s="110"/>
      <c r="ED1365" s="110"/>
      <c r="EE1365" s="110"/>
      <c r="EF1365" s="110"/>
      <c r="EG1365" s="110"/>
      <c r="EH1365" s="110"/>
      <c r="EI1365" s="110"/>
      <c r="EJ1365" s="110"/>
      <c r="EK1365" s="110"/>
      <c r="EL1365" s="110"/>
      <c r="EM1365" s="110"/>
      <c r="EN1365" s="110"/>
      <c r="EO1365" s="110"/>
      <c r="EP1365" s="110"/>
      <c r="EQ1365" s="110"/>
      <c r="ER1365" s="110"/>
      <c r="ES1365" s="110"/>
      <c r="ET1365" s="110"/>
      <c r="EU1365" s="110"/>
      <c r="EV1365" s="110"/>
      <c r="EW1365" s="110"/>
      <c r="EX1365" s="110"/>
      <c r="EY1365" s="110"/>
      <c r="EZ1365" s="110"/>
      <c r="FA1365" s="110"/>
      <c r="FB1365" s="110"/>
      <c r="FC1365" s="110"/>
      <c r="FD1365" s="110"/>
      <c r="FE1365" s="110"/>
      <c r="FF1365" s="110"/>
      <c r="FG1365" s="110"/>
      <c r="FH1365" s="110"/>
      <c r="FI1365" s="110"/>
      <c r="FJ1365" s="110"/>
      <c r="FK1365" s="110"/>
      <c r="FL1365" s="110"/>
      <c r="FM1365" s="110"/>
      <c r="FN1365" s="110"/>
      <c r="FO1365" s="110"/>
      <c r="FP1365" s="110"/>
      <c r="FQ1365" s="110"/>
      <c r="FR1365" s="110"/>
      <c r="FS1365" s="110"/>
      <c r="FT1365" s="110"/>
      <c r="FU1365" s="110"/>
      <c r="FV1365" s="110"/>
      <c r="FW1365" s="110"/>
      <c r="FX1365" s="110"/>
      <c r="FY1365" s="110"/>
      <c r="FZ1365" s="110"/>
      <c r="GA1365" s="110"/>
      <c r="GB1365" s="110"/>
      <c r="GC1365" s="110"/>
      <c r="GD1365" s="110"/>
      <c r="GE1365" s="110"/>
      <c r="GF1365" s="110"/>
      <c r="GG1365" s="110"/>
      <c r="GH1365" s="110"/>
      <c r="GI1365" s="110"/>
      <c r="GJ1365" s="110"/>
      <c r="GK1365" s="110"/>
      <c r="GL1365" s="110"/>
      <c r="GM1365" s="110"/>
      <c r="GN1365" s="110"/>
      <c r="GO1365" s="110"/>
      <c r="GP1365" s="110"/>
      <c r="GQ1365" s="110"/>
      <c r="GR1365" s="110"/>
      <c r="GS1365" s="110"/>
      <c r="GT1365" s="110"/>
      <c r="GU1365" s="110"/>
      <c r="GV1365" s="110"/>
      <c r="GW1365" s="110"/>
      <c r="GX1365" s="110"/>
      <c r="GY1365" s="110"/>
      <c r="GZ1365" s="110"/>
      <c r="HA1365" s="110"/>
      <c r="HB1365" s="110"/>
      <c r="HC1365" s="110"/>
      <c r="HD1365" s="110"/>
      <c r="HE1365" s="110"/>
      <c r="HF1365" s="110"/>
      <c r="HG1365" s="110"/>
      <c r="HH1365" s="110"/>
      <c r="HI1365" s="110"/>
      <c r="HJ1365" s="110"/>
      <c r="HK1365" s="110"/>
      <c r="HL1365" s="110"/>
      <c r="HM1365" s="110"/>
      <c r="HN1365" s="110"/>
      <c r="HO1365" s="110"/>
      <c r="HP1365" s="110"/>
      <c r="HQ1365" s="110"/>
      <c r="HR1365" s="110"/>
      <c r="HS1365" s="110"/>
      <c r="HT1365" s="110"/>
      <c r="HU1365" s="110"/>
      <c r="HV1365" s="110"/>
      <c r="HW1365" s="110"/>
      <c r="HX1365" s="110"/>
      <c r="HY1365" s="110"/>
      <c r="HZ1365" s="110"/>
      <c r="IA1365" s="110"/>
      <c r="IB1365" s="110"/>
      <c r="IC1365" s="110"/>
      <c r="ID1365" s="110"/>
      <c r="IE1365" s="110"/>
      <c r="IF1365" s="110"/>
      <c r="IG1365" s="110"/>
      <c r="IH1365" s="110"/>
      <c r="II1365" s="110"/>
      <c r="IJ1365" s="110"/>
      <c r="IK1365" s="110"/>
      <c r="IL1365" s="110"/>
      <c r="IM1365" s="110"/>
      <c r="IN1365" s="110"/>
      <c r="IO1365" s="110"/>
      <c r="IP1365" s="110"/>
      <c r="IQ1365" s="110"/>
      <c r="IR1365" s="110"/>
      <c r="IS1365" s="110"/>
      <c r="IT1365" s="110"/>
      <c r="IU1365" s="110"/>
      <c r="IV1365" s="110"/>
      <c r="IW1365" s="110"/>
      <c r="IX1365" s="110"/>
      <c r="IY1365" s="110"/>
      <c r="IZ1365" s="110"/>
      <c r="JA1365" s="110"/>
      <c r="JB1365" s="110"/>
      <c r="JC1365" s="110"/>
      <c r="JD1365" s="110"/>
      <c r="JE1365" s="110"/>
      <c r="JF1365" s="110"/>
      <c r="JG1365" s="110"/>
      <c r="JH1365" s="110"/>
      <c r="JI1365" s="110"/>
      <c r="JJ1365" s="110"/>
      <c r="JK1365" s="110"/>
      <c r="JL1365" s="110"/>
      <c r="JM1365" s="110"/>
      <c r="JN1365" s="110"/>
      <c r="JO1365" s="110"/>
      <c r="JP1365" s="110"/>
      <c r="JQ1365" s="110"/>
      <c r="JR1365" s="110"/>
      <c r="JS1365" s="110"/>
      <c r="JT1365" s="110"/>
      <c r="JU1365" s="110"/>
      <c r="JV1365" s="110"/>
      <c r="JW1365" s="110"/>
      <c r="JX1365" s="110"/>
      <c r="JY1365" s="110"/>
      <c r="JZ1365" s="110"/>
      <c r="KA1365" s="110"/>
      <c r="KB1365" s="110"/>
      <c r="KC1365" s="110"/>
      <c r="KD1365" s="110"/>
      <c r="KE1365" s="110"/>
      <c r="KF1365" s="110"/>
      <c r="KG1365" s="110"/>
      <c r="KH1365" s="110"/>
      <c r="KI1365" s="110"/>
      <c r="KJ1365" s="110"/>
      <c r="KK1365" s="110"/>
      <c r="KL1365" s="110"/>
      <c r="KM1365" s="110"/>
      <c r="KN1365" s="110"/>
      <c r="KO1365" s="110"/>
      <c r="KP1365" s="110"/>
      <c r="KQ1365" s="110"/>
      <c r="KR1365" s="110"/>
      <c r="KS1365" s="110"/>
      <c r="KT1365" s="110"/>
      <c r="KU1365" s="110"/>
      <c r="KV1365" s="110"/>
      <c r="KW1365" s="110"/>
      <c r="KX1365" s="110"/>
      <c r="KY1365" s="110"/>
      <c r="KZ1365" s="110"/>
      <c r="LA1365" s="110"/>
      <c r="LB1365" s="110"/>
      <c r="LC1365" s="110"/>
      <c r="LD1365" s="110"/>
      <c r="LE1365" s="110"/>
      <c r="LF1365" s="110"/>
      <c r="LG1365" s="110"/>
      <c r="LH1365" s="110"/>
      <c r="LI1365" s="110"/>
      <c r="LJ1365" s="110"/>
      <c r="LK1365" s="110"/>
      <c r="LL1365" s="110"/>
      <c r="LM1365" s="110"/>
      <c r="LN1365" s="110"/>
      <c r="LO1365" s="110"/>
      <c r="LP1365" s="110"/>
      <c r="LQ1365" s="110"/>
      <c r="LR1365" s="110"/>
      <c r="LS1365" s="110"/>
      <c r="LT1365" s="110"/>
      <c r="LU1365" s="110"/>
      <c r="LV1365" s="110"/>
      <c r="LW1365" s="110"/>
      <c r="LX1365" s="110"/>
      <c r="LY1365" s="110"/>
      <c r="LZ1365" s="110"/>
      <c r="MA1365" s="110"/>
      <c r="MB1365" s="110"/>
      <c r="MC1365" s="110"/>
      <c r="MD1365" s="110"/>
      <c r="ME1365" s="110"/>
      <c r="MF1365" s="110"/>
      <c r="MG1365" s="110"/>
      <c r="MH1365" s="110"/>
      <c r="MI1365" s="110"/>
      <c r="MJ1365" s="110"/>
      <c r="MK1365" s="110"/>
      <c r="ML1365" s="110"/>
      <c r="MM1365" s="110"/>
      <c r="MN1365" s="110"/>
      <c r="MO1365" s="110"/>
      <c r="MP1365" s="110"/>
      <c r="MQ1365" s="110"/>
      <c r="MR1365" s="110"/>
      <c r="MS1365" s="110"/>
      <c r="MT1365" s="110"/>
      <c r="MU1365" s="110"/>
      <c r="MV1365" s="110"/>
      <c r="MW1365" s="110"/>
      <c r="MX1365" s="110"/>
      <c r="MY1365" s="110"/>
      <c r="MZ1365" s="110"/>
      <c r="NA1365" s="110"/>
      <c r="NB1365" s="110"/>
      <c r="NC1365" s="110"/>
      <c r="ND1365" s="110"/>
      <c r="NE1365" s="110"/>
      <c r="NF1365" s="110"/>
      <c r="NG1365" s="110"/>
      <c r="NH1365" s="110"/>
      <c r="NI1365" s="110"/>
      <c r="NJ1365" s="110"/>
      <c r="NK1365" s="110"/>
      <c r="NL1365" s="110"/>
      <c r="NM1365" s="110"/>
      <c r="NN1365" s="110"/>
      <c r="NO1365" s="110"/>
      <c r="NP1365" s="110"/>
      <c r="NQ1365" s="110"/>
      <c r="NR1365" s="110"/>
      <c r="NS1365" s="110"/>
      <c r="NT1365" s="110"/>
      <c r="NU1365" s="110"/>
      <c r="NV1365" s="110"/>
      <c r="NW1365" s="110"/>
      <c r="NX1365" s="110"/>
      <c r="NY1365" s="110"/>
      <c r="NZ1365" s="110"/>
      <c r="OA1365" s="110"/>
      <c r="OB1365" s="110"/>
      <c r="OC1365" s="110"/>
      <c r="OD1365" s="110"/>
      <c r="OE1365" s="110"/>
      <c r="OF1365" s="110"/>
      <c r="OG1365" s="110"/>
      <c r="OH1365" s="110"/>
      <c r="OI1365" s="110"/>
      <c r="OJ1365" s="110"/>
      <c r="OK1365" s="110"/>
      <c r="OL1365" s="110"/>
      <c r="OM1365" s="110"/>
      <c r="ON1365" s="110"/>
      <c r="OO1365" s="110"/>
      <c r="OP1365" s="110"/>
      <c r="OQ1365" s="110"/>
      <c r="OR1365" s="110"/>
      <c r="OS1365" s="110"/>
      <c r="OT1365" s="110"/>
      <c r="OU1365" s="110"/>
      <c r="OV1365" s="110"/>
      <c r="OW1365" s="110"/>
      <c r="OX1365" s="110"/>
      <c r="OY1365" s="110"/>
      <c r="OZ1365" s="110"/>
      <c r="PA1365" s="110"/>
      <c r="PB1365" s="110"/>
      <c r="PC1365" s="110"/>
      <c r="PD1365" s="110"/>
      <c r="PE1365" s="110"/>
      <c r="PF1365" s="110"/>
      <c r="PG1365" s="110"/>
      <c r="PH1365" s="110"/>
      <c r="PI1365" s="110"/>
      <c r="PJ1365" s="110"/>
      <c r="PK1365" s="110"/>
      <c r="PL1365" s="110"/>
      <c r="PM1365" s="110"/>
      <c r="PN1365" s="110"/>
      <c r="PO1365" s="110"/>
      <c r="PP1365" s="110"/>
      <c r="PQ1365" s="110"/>
      <c r="PR1365" s="110"/>
      <c r="PS1365" s="110"/>
      <c r="PT1365" s="110"/>
      <c r="PU1365" s="110"/>
      <c r="PV1365" s="110"/>
      <c r="PW1365" s="110"/>
      <c r="PX1365" s="110"/>
      <c r="PY1365" s="110"/>
      <c r="PZ1365" s="110"/>
      <c r="QA1365" s="110"/>
      <c r="QB1365" s="110"/>
      <c r="QC1365" s="110"/>
      <c r="QD1365" s="110"/>
      <c r="QE1365" s="110"/>
      <c r="QF1365" s="110"/>
      <c r="QG1365" s="110"/>
      <c r="QH1365" s="110"/>
      <c r="QI1365" s="110"/>
      <c r="QJ1365" s="110"/>
      <c r="QK1365" s="110"/>
      <c r="QL1365" s="110"/>
      <c r="QM1365" s="110"/>
      <c r="QN1365" s="110"/>
      <c r="QO1365" s="110"/>
      <c r="QP1365" s="110"/>
      <c r="QQ1365" s="110"/>
      <c r="QR1365" s="110"/>
      <c r="QS1365" s="110"/>
      <c r="QT1365" s="110"/>
      <c r="QU1365" s="110"/>
      <c r="QV1365" s="110"/>
      <c r="QW1365" s="110"/>
      <c r="QX1365" s="110"/>
      <c r="QY1365" s="110"/>
      <c r="QZ1365" s="110"/>
      <c r="RA1365" s="110"/>
      <c r="RB1365" s="110"/>
      <c r="RC1365" s="110"/>
      <c r="RD1365" s="110"/>
      <c r="RE1365" s="110"/>
      <c r="RF1365" s="110"/>
      <c r="RG1365" s="110"/>
      <c r="RH1365" s="110"/>
      <c r="RI1365" s="110"/>
      <c r="RJ1365" s="110"/>
      <c r="RK1365" s="110"/>
      <c r="RL1365" s="110"/>
      <c r="RM1365" s="110"/>
      <c r="RN1365" s="110"/>
      <c r="RO1365" s="110"/>
      <c r="RP1365" s="110"/>
      <c r="RQ1365" s="110"/>
      <c r="RR1365" s="110"/>
      <c r="RS1365" s="110"/>
      <c r="RT1365" s="110"/>
      <c r="RU1365" s="110"/>
      <c r="RV1365" s="110"/>
      <c r="RW1365" s="110"/>
      <c r="RX1365" s="110"/>
      <c r="RY1365" s="110"/>
      <c r="RZ1365" s="110"/>
      <c r="SA1365" s="110"/>
      <c r="SB1365" s="110"/>
      <c r="SC1365" s="110"/>
      <c r="SD1365" s="110"/>
      <c r="SE1365" s="110"/>
      <c r="SF1365" s="110"/>
      <c r="SG1365" s="110"/>
      <c r="SH1365" s="110"/>
      <c r="SI1365" s="110"/>
      <c r="SJ1365" s="110"/>
      <c r="SK1365" s="110"/>
      <c r="SL1365" s="110"/>
      <c r="SM1365" s="110"/>
      <c r="SN1365" s="110"/>
      <c r="SO1365" s="110"/>
      <c r="SP1365" s="110"/>
      <c r="SQ1365" s="110"/>
      <c r="SR1365" s="110"/>
      <c r="SS1365" s="110"/>
      <c r="ST1365" s="110"/>
      <c r="SU1365" s="110"/>
      <c r="SV1365" s="110"/>
      <c r="SW1365" s="110"/>
      <c r="SX1365" s="110"/>
      <c r="SY1365" s="110"/>
      <c r="SZ1365" s="110"/>
      <c r="TA1365" s="110"/>
      <c r="TB1365" s="110"/>
      <c r="TC1365" s="110"/>
      <c r="TD1365" s="110"/>
      <c r="TE1365" s="110"/>
      <c r="TF1365" s="110"/>
      <c r="TG1365" s="110"/>
      <c r="TH1365" s="110"/>
      <c r="TI1365" s="110"/>
      <c r="TJ1365" s="110"/>
      <c r="TK1365" s="110"/>
      <c r="TL1365" s="110"/>
      <c r="TM1365" s="110"/>
      <c r="TN1365" s="110"/>
      <c r="TO1365" s="110"/>
      <c r="TP1365" s="110"/>
      <c r="TQ1365" s="110"/>
      <c r="TR1365" s="110"/>
      <c r="TS1365" s="110"/>
      <c r="TT1365" s="110"/>
      <c r="TU1365" s="110"/>
      <c r="TV1365" s="110"/>
      <c r="TW1365" s="110"/>
      <c r="TX1365" s="110"/>
      <c r="TY1365" s="110"/>
      <c r="TZ1365" s="110"/>
      <c r="UA1365" s="110"/>
      <c r="UB1365" s="110"/>
      <c r="UC1365" s="110"/>
      <c r="UD1365" s="110"/>
      <c r="UE1365" s="110"/>
      <c r="UF1365" s="110"/>
      <c r="UG1365" s="110"/>
      <c r="UH1365" s="110"/>
      <c r="UI1365" s="110"/>
      <c r="UJ1365" s="110"/>
      <c r="UK1365" s="110"/>
      <c r="UL1365" s="110"/>
      <c r="UM1365" s="110"/>
      <c r="UN1365" s="110"/>
      <c r="UO1365" s="110"/>
      <c r="UP1365" s="110"/>
      <c r="UQ1365" s="110"/>
      <c r="UR1365" s="110"/>
      <c r="US1365" s="110"/>
      <c r="UT1365" s="110"/>
      <c r="UU1365" s="110"/>
      <c r="UV1365" s="110"/>
      <c r="UW1365" s="110"/>
      <c r="UX1365" s="110"/>
      <c r="UY1365" s="110"/>
      <c r="UZ1365" s="110"/>
      <c r="VA1365" s="110"/>
      <c r="VB1365" s="110"/>
      <c r="VC1365" s="110"/>
      <c r="VD1365" s="110"/>
      <c r="VE1365" s="110"/>
      <c r="VF1365" s="110"/>
      <c r="VG1365" s="110"/>
      <c r="VH1365" s="110"/>
      <c r="VI1365" s="110"/>
      <c r="VJ1365" s="110"/>
      <c r="VK1365" s="110"/>
      <c r="VL1365" s="110"/>
      <c r="VM1365" s="110"/>
      <c r="VN1365" s="110"/>
      <c r="VO1365" s="110"/>
      <c r="VP1365" s="110"/>
      <c r="VQ1365" s="110"/>
      <c r="VR1365" s="110"/>
      <c r="VS1365" s="110"/>
      <c r="VT1365" s="110"/>
      <c r="VU1365" s="110"/>
      <c r="VV1365" s="110"/>
      <c r="VW1365" s="110"/>
      <c r="VX1365" s="110"/>
      <c r="VY1365" s="110"/>
      <c r="VZ1365" s="110"/>
      <c r="WA1365" s="110"/>
      <c r="WB1365" s="110"/>
      <c r="WC1365" s="110"/>
      <c r="WD1365" s="110"/>
      <c r="WE1365" s="110"/>
      <c r="WF1365" s="110"/>
      <c r="WG1365" s="110"/>
      <c r="WH1365" s="110"/>
      <c r="WI1365" s="110"/>
      <c r="WJ1365" s="110"/>
      <c r="WK1365" s="110"/>
      <c r="WL1365" s="110"/>
      <c r="WM1365" s="110"/>
      <c r="WN1365" s="110"/>
      <c r="WO1365" s="110"/>
      <c r="WP1365" s="110"/>
      <c r="WQ1365" s="110"/>
      <c r="WR1365" s="110"/>
      <c r="WS1365" s="110"/>
      <c r="WT1365" s="110"/>
      <c r="WU1365" s="110"/>
      <c r="WV1365" s="110"/>
      <c r="WW1365" s="110"/>
      <c r="WX1365" s="110"/>
      <c r="WY1365" s="110"/>
      <c r="WZ1365" s="110"/>
      <c r="XA1365" s="110"/>
      <c r="XB1365" s="110"/>
      <c r="XC1365" s="110"/>
      <c r="XD1365" s="110"/>
      <c r="XE1365" s="110"/>
      <c r="XF1365" s="110"/>
      <c r="XG1365" s="110"/>
      <c r="XH1365" s="110"/>
      <c r="XI1365" s="110"/>
      <c r="XJ1365" s="110"/>
      <c r="XK1365" s="110"/>
      <c r="XL1365" s="110"/>
      <c r="XM1365" s="110"/>
      <c r="XN1365" s="110"/>
      <c r="XO1365" s="110"/>
      <c r="XP1365" s="110"/>
      <c r="XQ1365" s="110"/>
      <c r="XR1365" s="110"/>
      <c r="XS1365" s="110"/>
      <c r="XT1365" s="110"/>
      <c r="XU1365" s="110"/>
      <c r="XV1365" s="110"/>
      <c r="XW1365" s="110"/>
      <c r="XX1365" s="110"/>
      <c r="XY1365" s="110"/>
      <c r="XZ1365" s="110"/>
      <c r="YA1365" s="110"/>
      <c r="YB1365" s="110"/>
      <c r="YC1365" s="110"/>
      <c r="YD1365" s="110"/>
      <c r="YE1365" s="110"/>
      <c r="YF1365" s="110"/>
      <c r="YG1365" s="110"/>
      <c r="YH1365" s="110"/>
      <c r="YI1365" s="110"/>
      <c r="YJ1365" s="110"/>
      <c r="YK1365" s="110"/>
      <c r="YL1365" s="110"/>
      <c r="YM1365" s="110"/>
      <c r="YN1365" s="110"/>
      <c r="YO1365" s="110"/>
      <c r="YP1365" s="110"/>
      <c r="YQ1365" s="110"/>
      <c r="YR1365" s="110"/>
      <c r="YS1365" s="110"/>
      <c r="YT1365" s="110"/>
      <c r="YU1365" s="110"/>
      <c r="YV1365" s="110"/>
      <c r="YW1365" s="110"/>
      <c r="YX1365" s="110"/>
      <c r="YY1365" s="110"/>
      <c r="YZ1365" s="110"/>
      <c r="ZA1365" s="110"/>
      <c r="ZB1365" s="110"/>
      <c r="ZC1365" s="110"/>
      <c r="ZD1365" s="110"/>
      <c r="ZE1365" s="110"/>
      <c r="ZF1365" s="110"/>
      <c r="ZG1365" s="110"/>
      <c r="ZH1365" s="110"/>
      <c r="ZI1365" s="110"/>
      <c r="ZJ1365" s="110"/>
      <c r="ZK1365" s="110"/>
      <c r="ZL1365" s="110"/>
      <c r="ZM1365" s="110"/>
      <c r="ZN1365" s="110"/>
      <c r="ZO1365" s="110"/>
      <c r="ZP1365" s="110"/>
      <c r="ZQ1365" s="110"/>
      <c r="ZR1365" s="110"/>
      <c r="ZS1365" s="110"/>
      <c r="ZT1365" s="110"/>
      <c r="ZU1365" s="110"/>
      <c r="ZV1365" s="110"/>
      <c r="ZW1365" s="110"/>
      <c r="ZX1365" s="110"/>
      <c r="ZY1365" s="110"/>
      <c r="ZZ1365" s="110"/>
      <c r="AAA1365" s="110"/>
      <c r="AAB1365" s="110"/>
      <c r="AAC1365" s="110"/>
      <c r="AAD1365" s="110"/>
      <c r="AAE1365" s="110"/>
      <c r="AAF1365" s="110"/>
      <c r="AAG1365" s="110"/>
      <c r="AAH1365" s="110"/>
      <c r="AAI1365" s="110"/>
      <c r="AAJ1365" s="110"/>
      <c r="AAK1365" s="110"/>
      <c r="AAL1365" s="110"/>
      <c r="AAM1365" s="110"/>
      <c r="AAN1365" s="110"/>
      <c r="AAO1365" s="110"/>
      <c r="AAP1365" s="110"/>
      <c r="AAQ1365" s="110"/>
      <c r="AAR1365" s="110"/>
      <c r="AAS1365" s="110"/>
      <c r="AAT1365" s="110"/>
      <c r="AAU1365" s="110"/>
      <c r="AAV1365" s="110"/>
      <c r="AAW1365" s="110"/>
      <c r="AAX1365" s="110"/>
      <c r="AAY1365" s="110"/>
      <c r="AAZ1365" s="110"/>
      <c r="ABA1365" s="110"/>
      <c r="ABB1365" s="110"/>
      <c r="ABC1365" s="110"/>
      <c r="ABD1365" s="110"/>
      <c r="ABE1365" s="110"/>
      <c r="ABF1365" s="110"/>
      <c r="ABG1365" s="110"/>
      <c r="ABH1365" s="110"/>
      <c r="ABI1365" s="110"/>
      <c r="ABJ1365" s="110"/>
      <c r="ABK1365" s="110"/>
      <c r="ABL1365" s="110"/>
      <c r="ABM1365" s="110"/>
      <c r="ABN1365" s="110"/>
      <c r="ABO1365" s="110"/>
      <c r="ABP1365" s="110"/>
      <c r="ABQ1365" s="110"/>
      <c r="ABR1365" s="110"/>
      <c r="ABS1365" s="110"/>
      <c r="ABT1365" s="110"/>
      <c r="ABU1365" s="110"/>
      <c r="ABV1365" s="110"/>
      <c r="ABW1365" s="110"/>
      <c r="ABX1365" s="110"/>
      <c r="ABY1365" s="110"/>
      <c r="ABZ1365" s="110"/>
      <c r="ACA1365" s="110"/>
      <c r="ACB1365" s="110"/>
      <c r="ACC1365" s="110"/>
      <c r="ACD1365" s="110"/>
      <c r="ACE1365" s="110"/>
      <c r="ACF1365" s="110"/>
      <c r="ACG1365" s="110"/>
      <c r="ACH1365" s="110"/>
      <c r="ACI1365" s="110"/>
      <c r="ACJ1365" s="110"/>
      <c r="ACK1365" s="110"/>
      <c r="ACL1365" s="110"/>
      <c r="ACM1365" s="110"/>
      <c r="ACN1365" s="110"/>
      <c r="ACO1365" s="110"/>
      <c r="ACP1365" s="110"/>
      <c r="ACQ1365" s="110"/>
      <c r="ACR1365" s="110"/>
      <c r="ACS1365" s="110"/>
      <c r="ACT1365" s="110"/>
      <c r="ACU1365" s="110"/>
      <c r="ACV1365" s="110"/>
      <c r="ACW1365" s="110"/>
      <c r="ACX1365" s="110"/>
      <c r="ACY1365" s="110"/>
      <c r="ACZ1365" s="110"/>
      <c r="ADA1365" s="110"/>
      <c r="ADB1365" s="110"/>
      <c r="ADC1365" s="110"/>
      <c r="ADD1365" s="110"/>
      <c r="ADE1365" s="110"/>
      <c r="ADF1365" s="110"/>
      <c r="ADG1365" s="110"/>
      <c r="ADH1365" s="110"/>
      <c r="ADI1365" s="110"/>
      <c r="ADJ1365" s="110"/>
      <c r="ADK1365" s="110"/>
      <c r="ADL1365" s="110"/>
      <c r="ADM1365" s="110"/>
      <c r="ADN1365" s="110"/>
      <c r="ADO1365" s="110"/>
      <c r="ADP1365" s="110"/>
      <c r="ADQ1365" s="110"/>
      <c r="ADR1365" s="110"/>
      <c r="ADS1365" s="110"/>
      <c r="ADT1365" s="110"/>
      <c r="ADU1365" s="110"/>
      <c r="ADV1365" s="110"/>
      <c r="ADW1365" s="110"/>
      <c r="ADX1365" s="110"/>
      <c r="ADY1365" s="110"/>
      <c r="ADZ1365" s="110"/>
      <c r="AEA1365" s="110"/>
      <c r="AEB1365" s="110"/>
      <c r="AEC1365" s="110"/>
      <c r="AED1365" s="110"/>
      <c r="AEE1365" s="110"/>
      <c r="AEF1365" s="110"/>
      <c r="AEG1365" s="110"/>
      <c r="AEH1365" s="110"/>
      <c r="AEI1365" s="110"/>
      <c r="AEJ1365" s="110"/>
      <c r="AEK1365" s="110"/>
      <c r="AEL1365" s="110"/>
      <c r="AEM1365" s="110"/>
      <c r="AEN1365" s="110"/>
      <c r="AEO1365" s="110"/>
      <c r="AEP1365" s="110"/>
      <c r="AEQ1365" s="110"/>
      <c r="AER1365" s="110"/>
      <c r="AES1365" s="110"/>
      <c r="AET1365" s="110"/>
      <c r="AEU1365" s="110"/>
      <c r="AEV1365" s="110"/>
      <c r="AEW1365" s="110"/>
      <c r="AEX1365" s="110"/>
      <c r="AEY1365" s="110"/>
      <c r="AEZ1365" s="110"/>
      <c r="AFA1365" s="110"/>
      <c r="AFB1365" s="110"/>
      <c r="AFC1365" s="110"/>
      <c r="AFD1365" s="110"/>
      <c r="AFE1365" s="110"/>
      <c r="AFF1365" s="110"/>
      <c r="AFG1365" s="110"/>
      <c r="AFH1365" s="110"/>
      <c r="AFI1365" s="110"/>
      <c r="AFJ1365" s="110"/>
      <c r="AFK1365" s="110"/>
      <c r="AFL1365" s="110"/>
      <c r="AFM1365" s="110"/>
      <c r="AFN1365" s="110"/>
      <c r="AFO1365" s="110"/>
      <c r="AFP1365" s="110"/>
      <c r="AFQ1365" s="110"/>
      <c r="AFR1365" s="110"/>
      <c r="AFS1365" s="110"/>
      <c r="AFT1365" s="110"/>
      <c r="AFU1365" s="110"/>
      <c r="AFV1365" s="110"/>
      <c r="AFW1365" s="110"/>
      <c r="AFX1365" s="110"/>
      <c r="AFY1365" s="110"/>
      <c r="AFZ1365" s="110"/>
      <c r="AGA1365" s="110"/>
      <c r="AGB1365" s="110"/>
      <c r="AGC1365" s="110"/>
      <c r="AGD1365" s="110"/>
      <c r="AGE1365" s="110"/>
      <c r="AGF1365" s="110"/>
      <c r="AGG1365" s="110"/>
      <c r="AGH1365" s="110"/>
      <c r="AGI1365" s="110"/>
      <c r="AGJ1365" s="110"/>
      <c r="AGK1365" s="110"/>
      <c r="AGL1365" s="110"/>
      <c r="AGM1365" s="110"/>
      <c r="AGN1365" s="110"/>
      <c r="AGO1365" s="110"/>
      <c r="AGP1365" s="110"/>
      <c r="AGQ1365" s="110"/>
      <c r="AGR1365" s="110"/>
      <c r="AGS1365" s="110"/>
      <c r="AGT1365" s="110"/>
      <c r="AGU1365" s="110"/>
      <c r="AGV1365" s="110"/>
      <c r="AGW1365" s="110"/>
      <c r="AGX1365" s="110"/>
      <c r="AGY1365" s="110"/>
      <c r="AGZ1365" s="110"/>
      <c r="AHA1365" s="110"/>
      <c r="AHB1365" s="110"/>
      <c r="AHC1365" s="110"/>
      <c r="AHD1365" s="110"/>
      <c r="AHE1365" s="110"/>
      <c r="AHF1365" s="110"/>
      <c r="AHG1365" s="110"/>
      <c r="AHH1365" s="110"/>
      <c r="AHI1365" s="110"/>
      <c r="AHJ1365" s="110"/>
      <c r="AHK1365" s="110"/>
      <c r="AHL1365" s="110"/>
      <c r="AHM1365" s="110"/>
      <c r="AHN1365" s="110"/>
      <c r="AHO1365" s="110"/>
      <c r="AHP1365" s="110"/>
      <c r="AHQ1365" s="110"/>
      <c r="AHR1365" s="110"/>
      <c r="AHS1365" s="110"/>
      <c r="AHT1365" s="110"/>
      <c r="AHU1365" s="110"/>
      <c r="AHV1365" s="110"/>
      <c r="AHW1365" s="110"/>
      <c r="AHX1365" s="110"/>
      <c r="AHY1365" s="110"/>
      <c r="AHZ1365" s="110"/>
      <c r="AIA1365" s="110"/>
      <c r="AIB1365" s="110"/>
      <c r="AIC1365" s="110"/>
      <c r="AID1365" s="110"/>
      <c r="AIE1365" s="110"/>
      <c r="AIF1365" s="110"/>
      <c r="AIG1365" s="110"/>
      <c r="AIH1365" s="110"/>
      <c r="AII1365" s="110"/>
      <c r="AIJ1365" s="110"/>
      <c r="AIK1365" s="110"/>
      <c r="AIL1365" s="110"/>
      <c r="AIM1365" s="110"/>
      <c r="AIN1365" s="110"/>
      <c r="AIO1365" s="110"/>
      <c r="AIP1365" s="110"/>
      <c r="AIQ1365" s="110"/>
      <c r="AIR1365" s="110"/>
      <c r="AIS1365" s="110"/>
      <c r="AIT1365" s="110"/>
      <c r="AIU1365" s="110"/>
      <c r="AIV1365" s="110"/>
      <c r="AIW1365" s="110"/>
      <c r="AIX1365" s="110"/>
      <c r="AIY1365" s="110"/>
      <c r="AIZ1365" s="110"/>
      <c r="AJA1365" s="110"/>
      <c r="AJB1365" s="110"/>
      <c r="AJC1365" s="110"/>
      <c r="AJD1365" s="110"/>
      <c r="AJE1365" s="110"/>
      <c r="AJF1365" s="110"/>
      <c r="AJG1365" s="110"/>
      <c r="AJH1365" s="110"/>
      <c r="AJI1365" s="110"/>
      <c r="AJJ1365" s="110"/>
      <c r="AJK1365" s="110"/>
      <c r="AJL1365" s="110"/>
      <c r="AJM1365" s="110"/>
      <c r="AJN1365" s="110"/>
      <c r="AJO1365" s="110"/>
      <c r="AJP1365" s="110"/>
      <c r="AJQ1365" s="110"/>
      <c r="AJR1365" s="110"/>
      <c r="AJS1365" s="110"/>
      <c r="AJT1365" s="110"/>
      <c r="AJU1365" s="110"/>
      <c r="AJV1365" s="110"/>
      <c r="AJW1365" s="110"/>
      <c r="AJX1365" s="110"/>
      <c r="AJY1365" s="110"/>
      <c r="AJZ1365" s="110"/>
      <c r="AKA1365" s="110"/>
      <c r="AKB1365" s="110"/>
      <c r="AKC1365" s="110"/>
      <c r="AKD1365" s="110"/>
      <c r="AKE1365" s="110"/>
      <c r="AKF1365" s="110"/>
      <c r="AKG1365" s="110"/>
      <c r="AKH1365" s="110"/>
      <c r="AKI1365" s="110"/>
      <c r="AKJ1365" s="110"/>
      <c r="AKK1365" s="110"/>
      <c r="AKL1365" s="110"/>
      <c r="AKM1365" s="110"/>
      <c r="AKN1365" s="110"/>
      <c r="AKO1365" s="110"/>
      <c r="AKP1365" s="110"/>
      <c r="AKQ1365" s="110"/>
      <c r="AKR1365" s="110"/>
      <c r="AKS1365" s="110"/>
      <c r="AKT1365" s="110"/>
      <c r="AKU1365" s="110"/>
      <c r="AKV1365" s="110"/>
      <c r="AKW1365" s="110"/>
      <c r="AKX1365" s="110"/>
      <c r="AKY1365" s="110"/>
      <c r="AKZ1365" s="110"/>
      <c r="ALA1365" s="110"/>
      <c r="ALB1365" s="110"/>
      <c r="ALC1365" s="110"/>
      <c r="ALD1365" s="110"/>
      <c r="ALE1365" s="110"/>
      <c r="ALF1365" s="110"/>
      <c r="ALG1365" s="110"/>
      <c r="ALH1365" s="110"/>
      <c r="ALI1365" s="110"/>
      <c r="ALJ1365" s="110"/>
      <c r="ALK1365" s="110"/>
      <c r="ALL1365" s="110"/>
      <c r="ALM1365" s="110"/>
      <c r="ALN1365" s="110"/>
      <c r="ALO1365" s="110"/>
      <c r="ALP1365" s="110"/>
      <c r="ALQ1365" s="110"/>
      <c r="ALR1365" s="110"/>
      <c r="ALS1365" s="110"/>
      <c r="ALT1365" s="110"/>
      <c r="ALU1365" s="110"/>
      <c r="ALV1365" s="110"/>
      <c r="ALW1365" s="110"/>
      <c r="ALX1365" s="110"/>
      <c r="ALY1365" s="110"/>
      <c r="ALZ1365" s="110"/>
      <c r="AMA1365" s="110"/>
      <c r="AMB1365" s="110"/>
      <c r="AMC1365" s="110"/>
      <c r="AMD1365" s="110"/>
      <c r="AME1365" s="110"/>
      <c r="AMF1365" s="110"/>
      <c r="AMG1365" s="110"/>
      <c r="AMH1365" s="110"/>
      <c r="AMI1365" s="110"/>
      <c r="AMJ1365" s="110"/>
      <c r="AMK1365" s="110"/>
      <c r="AML1365" s="110"/>
      <c r="AMM1365" s="110"/>
      <c r="AMN1365" s="110"/>
      <c r="AMO1365" s="110"/>
      <c r="AMP1365" s="110"/>
      <c r="AMQ1365" s="110"/>
      <c r="AMR1365" s="110"/>
      <c r="AMS1365" s="110"/>
      <c r="AMT1365" s="110"/>
      <c r="AMU1365" s="110"/>
      <c r="AMV1365" s="110"/>
      <c r="AMW1365" s="110"/>
      <c r="AMX1365" s="110"/>
      <c r="AMY1365" s="110"/>
      <c r="AMZ1365" s="110"/>
      <c r="ANA1365" s="110"/>
      <c r="ANB1365" s="110"/>
      <c r="ANC1365" s="110"/>
      <c r="AND1365" s="110"/>
      <c r="ANE1365" s="110"/>
      <c r="ANF1365" s="110"/>
      <c r="ANG1365" s="110"/>
      <c r="ANH1365" s="110"/>
      <c r="ANI1365" s="110"/>
      <c r="ANJ1365" s="110"/>
      <c r="ANK1365" s="110"/>
      <c r="ANL1365" s="110"/>
      <c r="ANM1365" s="110"/>
      <c r="ANN1365" s="110"/>
      <c r="ANO1365" s="110"/>
      <c r="ANP1365" s="110"/>
      <c r="ANQ1365" s="110"/>
      <c r="ANR1365" s="110"/>
      <c r="ANS1365" s="110"/>
      <c r="ANT1365" s="110"/>
      <c r="ANU1365" s="110"/>
      <c r="ANV1365" s="110"/>
      <c r="ANW1365" s="110"/>
      <c r="ANX1365" s="110"/>
      <c r="ANY1365" s="110"/>
      <c r="ANZ1365" s="110"/>
      <c r="AOA1365" s="110"/>
      <c r="AOB1365" s="110"/>
      <c r="AOC1365" s="110"/>
      <c r="AOD1365" s="110"/>
      <c r="AOE1365" s="110"/>
      <c r="AOF1365" s="110"/>
      <c r="AOG1365" s="110"/>
      <c r="AOH1365" s="110"/>
      <c r="AOI1365" s="110"/>
      <c r="AOJ1365" s="110"/>
      <c r="AOK1365" s="110"/>
      <c r="AOL1365" s="110"/>
      <c r="AOM1365" s="110"/>
      <c r="AON1365" s="110"/>
      <c r="AOO1365" s="110"/>
      <c r="AOP1365" s="110"/>
      <c r="AOQ1365" s="110"/>
      <c r="AOR1365" s="110"/>
      <c r="AOS1365" s="110"/>
      <c r="AOT1365" s="110"/>
      <c r="AOU1365" s="110"/>
      <c r="AOV1365" s="110"/>
      <c r="AOW1365" s="110"/>
      <c r="AOX1365" s="110"/>
      <c r="AOY1365" s="110"/>
      <c r="AOZ1365" s="110"/>
      <c r="APA1365" s="110"/>
      <c r="APB1365" s="110"/>
      <c r="APC1365" s="110"/>
      <c r="APD1365" s="110"/>
      <c r="APE1365" s="110"/>
      <c r="APF1365" s="110"/>
      <c r="APG1365" s="110"/>
      <c r="APH1365" s="110"/>
      <c r="API1365" s="110"/>
      <c r="APJ1365" s="110"/>
      <c r="APK1365" s="110"/>
      <c r="APL1365" s="110"/>
      <c r="APM1365" s="110"/>
      <c r="APN1365" s="110"/>
      <c r="APO1365" s="110"/>
      <c r="APP1365" s="110"/>
      <c r="APQ1365" s="110"/>
      <c r="APR1365" s="110"/>
      <c r="APS1365" s="110"/>
      <c r="APT1365" s="110"/>
      <c r="APU1365" s="110"/>
      <c r="APV1365" s="110"/>
      <c r="APW1365" s="110"/>
      <c r="APX1365" s="110"/>
      <c r="APY1365" s="110"/>
      <c r="APZ1365" s="110"/>
      <c r="AQA1365" s="110"/>
      <c r="AQB1365" s="110"/>
      <c r="AQC1365" s="110"/>
      <c r="AQD1365" s="110"/>
      <c r="AQE1365" s="110"/>
      <c r="AQF1365" s="110"/>
      <c r="AQG1365" s="110"/>
      <c r="AQH1365" s="110"/>
      <c r="AQI1365" s="110"/>
      <c r="AQJ1365" s="110"/>
      <c r="AQK1365" s="110"/>
      <c r="AQL1365" s="110"/>
      <c r="AQM1365" s="110"/>
      <c r="AQN1365" s="110"/>
      <c r="AQO1365" s="110"/>
      <c r="AQP1365" s="110"/>
      <c r="AQQ1365" s="110"/>
      <c r="AQR1365" s="110"/>
      <c r="AQS1365" s="110"/>
      <c r="AQT1365" s="110"/>
      <c r="AQU1365" s="110"/>
      <c r="AQV1365" s="110"/>
      <c r="AQW1365" s="110"/>
      <c r="AQX1365" s="110"/>
      <c r="AQY1365" s="110"/>
      <c r="AQZ1365" s="110"/>
      <c r="ARA1365" s="110"/>
      <c r="ARB1365" s="110"/>
      <c r="ARC1365" s="110"/>
      <c r="ARD1365" s="110"/>
      <c r="ARE1365" s="110"/>
      <c r="ARF1365" s="110"/>
      <c r="ARG1365" s="110"/>
      <c r="ARH1365" s="110"/>
      <c r="ARI1365" s="110"/>
      <c r="ARJ1365" s="110"/>
      <c r="ARK1365" s="110"/>
      <c r="ARL1365" s="110"/>
      <c r="ARM1365" s="110"/>
      <c r="ARN1365" s="110"/>
      <c r="ARO1365" s="110"/>
      <c r="ARP1365" s="110"/>
      <c r="ARQ1365" s="110"/>
      <c r="ARR1365" s="110"/>
      <c r="ARS1365" s="110"/>
      <c r="ART1365" s="110"/>
      <c r="ARU1365" s="110"/>
      <c r="ARV1365" s="110"/>
      <c r="ARW1365" s="110"/>
      <c r="ARX1365" s="110"/>
      <c r="ARY1365" s="110"/>
      <c r="ARZ1365" s="110"/>
      <c r="ASA1365" s="110"/>
      <c r="ASB1365" s="110"/>
      <c r="ASC1365" s="110"/>
      <c r="ASD1365" s="110"/>
      <c r="ASE1365" s="110"/>
      <c r="ASF1365" s="110"/>
      <c r="ASG1365" s="110"/>
      <c r="ASH1365" s="110"/>
      <c r="ASI1365" s="110"/>
      <c r="ASJ1365" s="110"/>
      <c r="ASK1365" s="110"/>
      <c r="ASL1365" s="110"/>
      <c r="ASM1365" s="110"/>
      <c r="ASN1365" s="110"/>
      <c r="ASO1365" s="110"/>
      <c r="ASP1365" s="110"/>
      <c r="ASQ1365" s="110"/>
      <c r="ASR1365" s="110"/>
      <c r="ASS1365" s="110"/>
      <c r="AST1365" s="110"/>
      <c r="ASU1365" s="110"/>
      <c r="ASV1365" s="110"/>
      <c r="ASW1365" s="110"/>
      <c r="ASX1365" s="110"/>
      <c r="ASY1365" s="110"/>
      <c r="ASZ1365" s="110"/>
      <c r="ATA1365" s="110"/>
      <c r="ATB1365" s="110"/>
      <c r="ATC1365" s="110"/>
      <c r="ATD1365" s="110"/>
      <c r="ATE1365" s="110"/>
      <c r="ATF1365" s="110"/>
      <c r="ATG1365" s="110"/>
      <c r="ATH1365" s="110"/>
      <c r="ATI1365" s="110"/>
      <c r="ATJ1365" s="110"/>
      <c r="ATK1365" s="110"/>
      <c r="ATL1365" s="110"/>
      <c r="ATM1365" s="110"/>
      <c r="ATN1365" s="110"/>
      <c r="ATO1365" s="110"/>
      <c r="ATP1365" s="110"/>
      <c r="ATQ1365" s="110"/>
      <c r="ATR1365" s="110"/>
      <c r="ATS1365" s="110"/>
      <c r="ATT1365" s="110"/>
      <c r="ATU1365" s="110"/>
      <c r="ATV1365" s="110"/>
      <c r="ATW1365" s="110"/>
      <c r="ATX1365" s="110"/>
      <c r="ATY1365" s="110"/>
      <c r="ATZ1365" s="110"/>
      <c r="AUA1365" s="110"/>
      <c r="AUB1365" s="110"/>
      <c r="AUC1365" s="110"/>
      <c r="AUD1365" s="110"/>
      <c r="AUE1365" s="110"/>
      <c r="AUF1365" s="110"/>
      <c r="AUG1365" s="110"/>
      <c r="AUH1365" s="110"/>
      <c r="AUI1365" s="110"/>
      <c r="AUJ1365" s="110"/>
      <c r="AUK1365" s="110"/>
      <c r="AUL1365" s="110"/>
      <c r="AUM1365" s="110"/>
      <c r="AUN1365" s="110"/>
      <c r="AUO1365" s="110"/>
      <c r="AUP1365" s="110"/>
      <c r="AUQ1365" s="110"/>
      <c r="AUR1365" s="110"/>
      <c r="AUS1365" s="110"/>
      <c r="AUT1365" s="110"/>
      <c r="AUU1365" s="110"/>
      <c r="AUV1365" s="110"/>
      <c r="AUW1365" s="110"/>
      <c r="AUX1365" s="110"/>
      <c r="AUY1365" s="110"/>
      <c r="AUZ1365" s="110"/>
      <c r="AVA1365" s="110"/>
      <c r="AVB1365" s="110"/>
      <c r="AVC1365" s="110"/>
      <c r="AVD1365" s="110"/>
      <c r="AVE1365" s="110"/>
      <c r="AVF1365" s="110"/>
      <c r="AVG1365" s="110"/>
      <c r="AVH1365" s="110"/>
      <c r="AVI1365" s="110"/>
      <c r="AVJ1365" s="110"/>
      <c r="AVK1365" s="110"/>
      <c r="AVL1365" s="110"/>
      <c r="AVM1365" s="110"/>
      <c r="AVN1365" s="110"/>
      <c r="AVO1365" s="110"/>
      <c r="AVP1365" s="110"/>
      <c r="AVQ1365" s="110"/>
      <c r="AVR1365" s="110"/>
      <c r="AVS1365" s="110"/>
      <c r="AVT1365" s="110"/>
      <c r="AVU1365" s="110"/>
      <c r="AVV1365" s="110"/>
      <c r="AVW1365" s="110"/>
      <c r="AVX1365" s="110"/>
      <c r="AVY1365" s="110"/>
      <c r="AVZ1365" s="110"/>
      <c r="AWA1365" s="110"/>
      <c r="AWB1365" s="110"/>
      <c r="AWC1365" s="110"/>
      <c r="AWD1365" s="110"/>
      <c r="AWE1365" s="110"/>
      <c r="AWF1365" s="110"/>
      <c r="AWG1365" s="110"/>
      <c r="AWH1365" s="110"/>
      <c r="AWI1365" s="110"/>
      <c r="AWJ1365" s="110"/>
      <c r="AWK1365" s="110"/>
      <c r="AWL1365" s="110"/>
      <c r="AWM1365" s="110"/>
      <c r="AWN1365" s="110"/>
      <c r="AWO1365" s="110"/>
      <c r="AWP1365" s="110"/>
      <c r="AWQ1365" s="110"/>
      <c r="AWR1365" s="110"/>
      <c r="AWS1365" s="110"/>
      <c r="AWT1365" s="110"/>
      <c r="AWU1365" s="110"/>
      <c r="AWV1365" s="110"/>
      <c r="AWW1365" s="110"/>
      <c r="AWX1365" s="110"/>
      <c r="AWY1365" s="110"/>
      <c r="AWZ1365" s="110"/>
      <c r="AXA1365" s="110"/>
      <c r="AXB1365" s="110"/>
      <c r="AXC1365" s="110"/>
      <c r="AXD1365" s="110"/>
      <c r="AXE1365" s="110"/>
      <c r="AXF1365" s="110"/>
      <c r="AXG1365" s="110"/>
      <c r="AXH1365" s="110"/>
      <c r="AXI1365" s="110"/>
      <c r="AXJ1365" s="110"/>
      <c r="AXK1365" s="110"/>
      <c r="AXL1365" s="110"/>
      <c r="AXM1365" s="110"/>
      <c r="AXN1365" s="110"/>
      <c r="AXO1365" s="110"/>
      <c r="AXP1365" s="110"/>
      <c r="AXQ1365" s="110"/>
      <c r="AXR1365" s="110"/>
      <c r="AXS1365" s="110"/>
      <c r="AXT1365" s="110"/>
      <c r="AXU1365" s="110"/>
      <c r="AXV1365" s="110"/>
      <c r="AXW1365" s="110"/>
      <c r="AXX1365" s="110"/>
      <c r="AXY1365" s="110"/>
      <c r="AXZ1365" s="110"/>
      <c r="AYA1365" s="110"/>
      <c r="AYB1365" s="110"/>
      <c r="AYC1365" s="110"/>
      <c r="AYD1365" s="110"/>
      <c r="AYE1365" s="110"/>
      <c r="AYF1365" s="110"/>
      <c r="AYG1365" s="110"/>
      <c r="AYH1365" s="110"/>
      <c r="AYI1365" s="110"/>
      <c r="AYJ1365" s="110"/>
      <c r="AYK1365" s="110"/>
      <c r="AYL1365" s="110"/>
      <c r="AYM1365" s="110"/>
      <c r="AYN1365" s="110"/>
      <c r="AYO1365" s="110"/>
      <c r="AYP1365" s="110"/>
      <c r="AYQ1365" s="110"/>
      <c r="AYR1365" s="110"/>
      <c r="AYS1365" s="110"/>
      <c r="AYT1365" s="110"/>
      <c r="AYU1365" s="110"/>
      <c r="AYV1365" s="110"/>
      <c r="AYW1365" s="110"/>
      <c r="AYX1365" s="110"/>
      <c r="AYY1365" s="110"/>
      <c r="AYZ1365" s="110"/>
      <c r="AZA1365" s="110"/>
      <c r="AZB1365" s="110"/>
      <c r="AZC1365" s="110"/>
      <c r="AZD1365" s="110"/>
      <c r="AZE1365" s="110"/>
      <c r="AZF1365" s="110"/>
      <c r="AZG1365" s="110"/>
      <c r="AZH1365" s="110"/>
      <c r="AZI1365" s="110"/>
      <c r="AZJ1365" s="110"/>
      <c r="AZK1365" s="110"/>
      <c r="AZL1365" s="110"/>
      <c r="AZM1365" s="110"/>
      <c r="AZN1365" s="110"/>
      <c r="AZO1365" s="110"/>
      <c r="AZP1365" s="110"/>
      <c r="AZQ1365" s="110"/>
      <c r="AZR1365" s="110"/>
      <c r="AZS1365" s="110"/>
      <c r="AZT1365" s="110"/>
      <c r="AZU1365" s="110"/>
      <c r="AZV1365" s="110"/>
      <c r="AZW1365" s="110"/>
      <c r="AZX1365" s="110"/>
      <c r="AZY1365" s="110"/>
      <c r="AZZ1365" s="110"/>
      <c r="BAA1365" s="110"/>
      <c r="BAB1365" s="110"/>
      <c r="BAC1365" s="110"/>
      <c r="BAD1365" s="110"/>
      <c r="BAE1365" s="110"/>
      <c r="BAF1365" s="110"/>
      <c r="BAG1365" s="110"/>
      <c r="BAH1365" s="110"/>
      <c r="BAI1365" s="110"/>
      <c r="BAJ1365" s="110"/>
      <c r="BAK1365" s="110"/>
      <c r="BAL1365" s="110"/>
      <c r="BAM1365" s="110"/>
      <c r="BAN1365" s="110"/>
      <c r="BAO1365" s="110"/>
      <c r="BAP1365" s="110"/>
      <c r="BAQ1365" s="110"/>
      <c r="BAR1365" s="110"/>
      <c r="BAS1365" s="110"/>
      <c r="BAT1365" s="110"/>
      <c r="BAU1365" s="110"/>
      <c r="BAV1365" s="110"/>
      <c r="BAW1365" s="110"/>
      <c r="BAX1365" s="110"/>
      <c r="BAY1365" s="110"/>
      <c r="BAZ1365" s="110"/>
      <c r="BBA1365" s="110"/>
      <c r="BBB1365" s="110"/>
      <c r="BBC1365" s="110"/>
      <c r="BBD1365" s="110"/>
      <c r="BBE1365" s="110"/>
      <c r="BBF1365" s="110"/>
      <c r="BBG1365" s="110"/>
      <c r="BBH1365" s="110"/>
      <c r="BBI1365" s="110"/>
      <c r="BBJ1365" s="110"/>
      <c r="BBK1365" s="110"/>
      <c r="BBL1365" s="110"/>
      <c r="BBM1365" s="110"/>
      <c r="BBN1365" s="110"/>
      <c r="BBO1365" s="110"/>
      <c r="BBP1365" s="110"/>
      <c r="BBQ1365" s="110"/>
      <c r="BBR1365" s="110"/>
      <c r="BBS1365" s="110"/>
      <c r="BBT1365" s="110"/>
      <c r="BBU1365" s="110"/>
      <c r="BBV1365" s="110"/>
      <c r="BBW1365" s="110"/>
      <c r="BBX1365" s="110"/>
      <c r="BBY1365" s="110"/>
      <c r="BBZ1365" s="110"/>
      <c r="BCA1365" s="110"/>
      <c r="BCB1365" s="110"/>
      <c r="BCC1365" s="110"/>
      <c r="BCD1365" s="110"/>
      <c r="BCE1365" s="110"/>
      <c r="BCF1365" s="110"/>
      <c r="BCG1365" s="110"/>
      <c r="BCH1365" s="110"/>
      <c r="BCI1365" s="110"/>
      <c r="BCJ1365" s="110"/>
      <c r="BCK1365" s="110"/>
      <c r="BCL1365" s="110"/>
      <c r="BCM1365" s="110"/>
      <c r="BCN1365" s="110"/>
      <c r="BCO1365" s="110"/>
      <c r="BCP1365" s="110"/>
      <c r="BCQ1365" s="110"/>
      <c r="BCR1365" s="110"/>
      <c r="BCS1365" s="110"/>
      <c r="BCT1365" s="110"/>
      <c r="BCU1365" s="110"/>
      <c r="BCV1365" s="110"/>
      <c r="BCW1365" s="110"/>
      <c r="BCX1365" s="110"/>
      <c r="BCY1365" s="110"/>
      <c r="BCZ1365" s="110"/>
      <c r="BDA1365" s="110"/>
      <c r="BDB1365" s="110"/>
      <c r="BDC1365" s="110"/>
      <c r="BDD1365" s="110"/>
      <c r="BDE1365" s="110"/>
      <c r="BDF1365" s="110"/>
      <c r="BDG1365" s="110"/>
      <c r="BDH1365" s="110"/>
      <c r="BDI1365" s="110"/>
      <c r="BDJ1365" s="110"/>
      <c r="BDK1365" s="110"/>
      <c r="BDL1365" s="110"/>
      <c r="BDM1365" s="110"/>
      <c r="BDN1365" s="110"/>
      <c r="BDO1365" s="110"/>
      <c r="BDP1365" s="110"/>
      <c r="BDQ1365" s="110"/>
      <c r="BDR1365" s="110"/>
      <c r="BDS1365" s="110"/>
      <c r="BDT1365" s="110"/>
      <c r="BDU1365" s="110"/>
      <c r="BDV1365" s="110"/>
      <c r="BDW1365" s="110"/>
      <c r="BDX1365" s="110"/>
      <c r="BDY1365" s="110"/>
      <c r="BDZ1365" s="110"/>
      <c r="BEA1365" s="110"/>
      <c r="BEB1365" s="110"/>
      <c r="BEC1365" s="110"/>
      <c r="BED1365" s="110"/>
      <c r="BEE1365" s="110"/>
      <c r="BEF1365" s="110"/>
      <c r="BEG1365" s="110"/>
      <c r="BEH1365" s="110"/>
      <c r="BEI1365" s="110"/>
      <c r="BEJ1365" s="110"/>
      <c r="BEK1365" s="110"/>
      <c r="BEL1365" s="110"/>
      <c r="BEM1365" s="110"/>
      <c r="BEN1365" s="110"/>
      <c r="BEO1365" s="110"/>
      <c r="BEP1365" s="110"/>
      <c r="BEQ1365" s="110"/>
      <c r="BER1365" s="110"/>
      <c r="BES1365" s="110"/>
      <c r="BET1365" s="110"/>
      <c r="BEU1365" s="110"/>
      <c r="BEV1365" s="110"/>
      <c r="BEW1365" s="110"/>
      <c r="BEX1365" s="110"/>
      <c r="BEY1365" s="110"/>
      <c r="BEZ1365" s="110"/>
      <c r="BFA1365" s="110"/>
      <c r="BFB1365" s="110"/>
      <c r="BFC1365" s="110"/>
      <c r="BFD1365" s="110"/>
      <c r="BFE1365" s="110"/>
      <c r="BFF1365" s="110"/>
      <c r="BFG1365" s="110"/>
      <c r="BFH1365" s="110"/>
      <c r="BFI1365" s="110"/>
      <c r="BFJ1365" s="110"/>
      <c r="BFK1365" s="110"/>
      <c r="BFL1365" s="110"/>
      <c r="BFM1365" s="110"/>
      <c r="BFN1365" s="110"/>
      <c r="BFO1365" s="110"/>
      <c r="BFP1365" s="110"/>
      <c r="BFQ1365" s="110"/>
      <c r="BFR1365" s="110"/>
      <c r="BFS1365" s="110"/>
      <c r="BFT1365" s="110"/>
      <c r="BFU1365" s="110"/>
      <c r="BFV1365" s="110"/>
      <c r="BFW1365" s="110"/>
      <c r="BFX1365" s="110"/>
      <c r="BFY1365" s="110"/>
      <c r="BFZ1365" s="110"/>
      <c r="BGA1365" s="110"/>
      <c r="BGB1365" s="110"/>
      <c r="BGC1365" s="110"/>
      <c r="BGD1365" s="110"/>
      <c r="BGE1365" s="110"/>
      <c r="BGF1365" s="110"/>
      <c r="BGG1365" s="110"/>
      <c r="BGH1365" s="110"/>
      <c r="BGI1365" s="110"/>
      <c r="BGJ1365" s="110"/>
      <c r="BGK1365" s="110"/>
      <c r="BGL1365" s="110"/>
      <c r="BGM1365" s="110"/>
      <c r="BGN1365" s="110"/>
      <c r="BGO1365" s="110"/>
      <c r="BGP1365" s="110"/>
      <c r="BGQ1365" s="110"/>
      <c r="BGR1365" s="110"/>
      <c r="BGS1365" s="110"/>
      <c r="BGT1365" s="110"/>
      <c r="BGU1365" s="110"/>
      <c r="BGV1365" s="110"/>
      <c r="BGW1365" s="110"/>
      <c r="BGX1365" s="110"/>
      <c r="BGY1365" s="110"/>
      <c r="BGZ1365" s="110"/>
      <c r="BHA1365" s="110"/>
      <c r="BHB1365" s="110"/>
      <c r="BHC1365" s="110"/>
      <c r="BHD1365" s="110"/>
      <c r="BHE1365" s="110"/>
      <c r="BHF1365" s="110"/>
      <c r="BHG1365" s="110"/>
      <c r="BHH1365" s="110"/>
      <c r="BHI1365" s="110"/>
      <c r="BHJ1365" s="110"/>
      <c r="BHK1365" s="110"/>
      <c r="BHL1365" s="110"/>
      <c r="BHM1365" s="110"/>
      <c r="BHN1365" s="110"/>
      <c r="BHO1365" s="110"/>
      <c r="BHP1365" s="110"/>
      <c r="BHQ1365" s="110"/>
      <c r="BHR1365" s="110"/>
      <c r="BHS1365" s="110"/>
      <c r="BHT1365" s="110"/>
      <c r="BHU1365" s="110"/>
      <c r="BHV1365" s="110"/>
      <c r="BHW1365" s="110"/>
      <c r="BHX1365" s="110"/>
      <c r="BHY1365" s="110"/>
      <c r="BHZ1365" s="110"/>
      <c r="BIA1365" s="110"/>
      <c r="BIB1365" s="110"/>
      <c r="BIC1365" s="110"/>
      <c r="BID1365" s="110"/>
      <c r="BIE1365" s="110"/>
      <c r="BIF1365" s="110"/>
      <c r="BIG1365" s="110"/>
      <c r="BIH1365" s="110"/>
      <c r="BII1365" s="110"/>
      <c r="BIJ1365" s="110"/>
      <c r="BIK1365" s="110"/>
      <c r="BIL1365" s="110"/>
      <c r="BIM1365" s="110"/>
      <c r="BIN1365" s="110"/>
      <c r="BIO1365" s="110"/>
      <c r="BIP1365" s="110"/>
      <c r="BIQ1365" s="110"/>
      <c r="BIR1365" s="110"/>
      <c r="BIS1365" s="110"/>
      <c r="BIT1365" s="110"/>
      <c r="BIU1365" s="110"/>
      <c r="BIV1365" s="110"/>
      <c r="BIW1365" s="110"/>
      <c r="BIX1365" s="110"/>
      <c r="BIY1365" s="110"/>
      <c r="BIZ1365" s="110"/>
      <c r="BJA1365" s="110"/>
      <c r="BJB1365" s="110"/>
      <c r="BJC1365" s="110"/>
      <c r="BJD1365" s="110"/>
      <c r="BJE1365" s="110"/>
      <c r="BJF1365" s="110"/>
      <c r="BJG1365" s="110"/>
      <c r="BJH1365" s="110"/>
      <c r="BJI1365" s="110"/>
      <c r="BJJ1365" s="110"/>
      <c r="BJK1365" s="110"/>
      <c r="BJL1365" s="110"/>
      <c r="BJM1365" s="110"/>
      <c r="BJN1365" s="110"/>
      <c r="BJO1365" s="110"/>
      <c r="BJP1365" s="110"/>
      <c r="BJQ1365" s="110"/>
      <c r="BJR1365" s="110"/>
      <c r="BJS1365" s="110"/>
      <c r="BJT1365" s="110"/>
      <c r="BJU1365" s="110"/>
      <c r="BJV1365" s="110"/>
      <c r="BJW1365" s="110"/>
      <c r="BJX1365" s="110"/>
      <c r="BJY1365" s="110"/>
      <c r="BJZ1365" s="110"/>
      <c r="BKA1365" s="110"/>
      <c r="BKB1365" s="110"/>
      <c r="BKC1365" s="110"/>
      <c r="BKD1365" s="110"/>
      <c r="BKE1365" s="110"/>
      <c r="BKF1365" s="110"/>
      <c r="BKG1365" s="110"/>
      <c r="BKH1365" s="110"/>
      <c r="BKI1365" s="110"/>
      <c r="BKJ1365" s="110"/>
      <c r="BKK1365" s="110"/>
      <c r="BKL1365" s="110"/>
      <c r="BKM1365" s="110"/>
      <c r="BKN1365" s="110"/>
      <c r="BKO1365" s="110"/>
      <c r="BKP1365" s="110"/>
      <c r="BKQ1365" s="110"/>
      <c r="BKR1365" s="110"/>
      <c r="BKS1365" s="110"/>
      <c r="BKT1365" s="110"/>
      <c r="BKU1365" s="110"/>
      <c r="BKV1365" s="110"/>
      <c r="BKW1365" s="110"/>
      <c r="BKX1365" s="110"/>
      <c r="BKY1365" s="110"/>
      <c r="BKZ1365" s="110"/>
      <c r="BLA1365" s="110"/>
      <c r="BLB1365" s="110"/>
      <c r="BLC1365" s="110"/>
      <c r="BLD1365" s="110"/>
      <c r="BLE1365" s="110"/>
      <c r="BLF1365" s="110"/>
      <c r="BLG1365" s="110"/>
      <c r="BLH1365" s="110"/>
      <c r="BLI1365" s="110"/>
      <c r="BLJ1365" s="110"/>
      <c r="BLK1365" s="110"/>
      <c r="BLL1365" s="110"/>
      <c r="BLM1365" s="110"/>
      <c r="BLN1365" s="110"/>
      <c r="BLO1365" s="110"/>
      <c r="BLP1365" s="110"/>
      <c r="BLQ1365" s="110"/>
      <c r="BLR1365" s="110"/>
      <c r="BLS1365" s="110"/>
      <c r="BLT1365" s="110"/>
      <c r="BLU1365" s="110"/>
      <c r="BLV1365" s="110"/>
      <c r="BLW1365" s="110"/>
      <c r="BLX1365" s="110"/>
      <c r="BLY1365" s="110"/>
      <c r="BLZ1365" s="110"/>
      <c r="BMA1365" s="110"/>
      <c r="BMB1365" s="110"/>
      <c r="BMC1365" s="110"/>
      <c r="BMD1365" s="110"/>
      <c r="BME1365" s="110"/>
      <c r="BMF1365" s="110"/>
      <c r="BMG1365" s="110"/>
      <c r="BMH1365" s="110"/>
      <c r="BMI1365" s="110"/>
      <c r="BMJ1365" s="110"/>
      <c r="BMK1365" s="110"/>
      <c r="BML1365" s="110"/>
      <c r="BMM1365" s="110"/>
      <c r="BMN1365" s="110"/>
      <c r="BMO1365" s="110"/>
      <c r="BMP1365" s="110"/>
      <c r="BMQ1365" s="110"/>
      <c r="BMR1365" s="110"/>
      <c r="BMS1365" s="110"/>
      <c r="BMT1365" s="110"/>
      <c r="BMU1365" s="110"/>
      <c r="BMV1365" s="110"/>
      <c r="BMW1365" s="110"/>
      <c r="BMX1365" s="110"/>
      <c r="BMY1365" s="110"/>
      <c r="BMZ1365" s="110"/>
      <c r="BNA1365" s="110"/>
      <c r="BNB1365" s="110"/>
      <c r="BNC1365" s="110"/>
      <c r="BND1365" s="110"/>
      <c r="BNE1365" s="110"/>
      <c r="BNF1365" s="110"/>
      <c r="BNG1365" s="110"/>
      <c r="BNH1365" s="110"/>
      <c r="BNI1365" s="110"/>
      <c r="BNJ1365" s="110"/>
      <c r="BNK1365" s="110"/>
      <c r="BNL1365" s="110"/>
      <c r="BNM1365" s="110"/>
      <c r="BNN1365" s="110"/>
      <c r="BNO1365" s="110"/>
      <c r="BNP1365" s="110"/>
      <c r="BNQ1365" s="110"/>
      <c r="BNR1365" s="110"/>
      <c r="BNS1365" s="110"/>
      <c r="BNT1365" s="110"/>
      <c r="BNU1365" s="110"/>
      <c r="BNV1365" s="110"/>
      <c r="BNW1365" s="110"/>
      <c r="BNX1365" s="110"/>
      <c r="BNY1365" s="110"/>
      <c r="BNZ1365" s="110"/>
      <c r="BOA1365" s="110"/>
      <c r="BOB1365" s="110"/>
      <c r="BOC1365" s="110"/>
      <c r="BOD1365" s="110"/>
      <c r="BOE1365" s="110"/>
      <c r="BOF1365" s="110"/>
      <c r="BOG1365" s="110"/>
      <c r="BOH1365" s="110"/>
      <c r="BOI1365" s="110"/>
      <c r="BOJ1365" s="110"/>
      <c r="BOK1365" s="110"/>
      <c r="BOL1365" s="110"/>
      <c r="BOM1365" s="110"/>
      <c r="BON1365" s="110"/>
      <c r="BOO1365" s="110"/>
      <c r="BOP1365" s="110"/>
      <c r="BOQ1365" s="110"/>
      <c r="BOR1365" s="110"/>
      <c r="BOS1365" s="110"/>
      <c r="BOT1365" s="110"/>
      <c r="BOU1365" s="110"/>
      <c r="BOV1365" s="110"/>
      <c r="BOW1365" s="110"/>
      <c r="BOX1365" s="110"/>
      <c r="BOY1365" s="110"/>
      <c r="BOZ1365" s="110"/>
      <c r="BPA1365" s="110"/>
      <c r="BPB1365" s="110"/>
      <c r="BPC1365" s="110"/>
      <c r="BPD1365" s="110"/>
      <c r="BPE1365" s="110"/>
      <c r="BPF1365" s="110"/>
      <c r="BPG1365" s="110"/>
      <c r="BPH1365" s="110"/>
      <c r="BPI1365" s="110"/>
      <c r="BPJ1365" s="110"/>
      <c r="BPK1365" s="110"/>
      <c r="BPL1365" s="110"/>
      <c r="BPM1365" s="110"/>
      <c r="BPN1365" s="110"/>
      <c r="BPO1365" s="110"/>
      <c r="BPP1365" s="110"/>
      <c r="BPQ1365" s="110"/>
      <c r="BPR1365" s="110"/>
      <c r="BPS1365" s="110"/>
      <c r="BPT1365" s="110"/>
      <c r="BPU1365" s="110"/>
      <c r="BPV1365" s="110"/>
      <c r="BPW1365" s="110"/>
      <c r="BPX1365" s="110"/>
      <c r="BPY1365" s="110"/>
      <c r="BPZ1365" s="110"/>
      <c r="BQA1365" s="110"/>
      <c r="BQB1365" s="110"/>
      <c r="BQC1365" s="110"/>
      <c r="BQD1365" s="110"/>
      <c r="BQE1365" s="110"/>
      <c r="BQF1365" s="110"/>
      <c r="BQG1365" s="110"/>
      <c r="BQH1365" s="110"/>
      <c r="BQI1365" s="110"/>
      <c r="BQJ1365" s="110"/>
      <c r="BQK1365" s="110"/>
      <c r="BQL1365" s="110"/>
      <c r="BQM1365" s="110"/>
      <c r="BQN1365" s="110"/>
      <c r="BQO1365" s="110"/>
      <c r="BQP1365" s="110"/>
      <c r="BQQ1365" s="110"/>
      <c r="BQR1365" s="110"/>
      <c r="BQS1365" s="110"/>
      <c r="BQT1365" s="110"/>
      <c r="BQU1365" s="110"/>
      <c r="BQV1365" s="110"/>
      <c r="BQW1365" s="110"/>
      <c r="BQX1365" s="110"/>
      <c r="BQY1365" s="110"/>
      <c r="BQZ1365" s="110"/>
      <c r="BRA1365" s="110"/>
      <c r="BRB1365" s="110"/>
      <c r="BRC1365" s="110"/>
      <c r="BRD1365" s="110"/>
      <c r="BRE1365" s="110"/>
      <c r="BRF1365" s="110"/>
      <c r="BRG1365" s="110"/>
      <c r="BRH1365" s="110"/>
      <c r="BRI1365" s="110"/>
      <c r="BRJ1365" s="110"/>
      <c r="BRK1365" s="110"/>
      <c r="BRL1365" s="110"/>
      <c r="BRM1365" s="110"/>
      <c r="BRN1365" s="110"/>
      <c r="BRO1365" s="110"/>
      <c r="BRP1365" s="110"/>
      <c r="BRQ1365" s="110"/>
      <c r="BRR1365" s="110"/>
      <c r="BRS1365" s="110"/>
      <c r="BRT1365" s="110"/>
      <c r="BRU1365" s="110"/>
      <c r="BRV1365" s="110"/>
      <c r="BRW1365" s="110"/>
      <c r="BRX1365" s="110"/>
      <c r="BRY1365" s="110"/>
      <c r="BRZ1365" s="110"/>
      <c r="BSA1365" s="110"/>
      <c r="BSB1365" s="110"/>
      <c r="BSC1365" s="110"/>
      <c r="BSD1365" s="110"/>
      <c r="BSE1365" s="110"/>
      <c r="BSF1365" s="110"/>
      <c r="BSG1365" s="110"/>
      <c r="BSH1365" s="110"/>
      <c r="BSI1365" s="110"/>
      <c r="BSJ1365" s="110"/>
      <c r="BSK1365" s="110"/>
      <c r="BSL1365" s="110"/>
      <c r="BSM1365" s="110"/>
      <c r="BSN1365" s="110"/>
      <c r="BSO1365" s="110"/>
      <c r="BSP1365" s="110"/>
      <c r="BSQ1365" s="110"/>
      <c r="BSR1365" s="110"/>
      <c r="BSS1365" s="110"/>
      <c r="BST1365" s="110"/>
      <c r="BSU1365" s="110"/>
      <c r="BSV1365" s="110"/>
      <c r="BSW1365" s="110"/>
      <c r="BSX1365" s="110"/>
      <c r="BSY1365" s="110"/>
      <c r="BSZ1365" s="110"/>
      <c r="BTA1365" s="110"/>
      <c r="BTB1365" s="110"/>
      <c r="BTC1365" s="110"/>
      <c r="BTD1365" s="110"/>
      <c r="BTE1365" s="110"/>
      <c r="BTF1365" s="110"/>
      <c r="BTG1365" s="110"/>
      <c r="BTH1365" s="110"/>
      <c r="BTI1365" s="110"/>
      <c r="BTJ1365" s="110"/>
      <c r="BTK1365" s="110"/>
      <c r="BTL1365" s="110"/>
      <c r="BTM1365" s="110"/>
      <c r="BTN1365" s="110"/>
      <c r="BTO1365" s="110"/>
      <c r="BTP1365" s="110"/>
      <c r="BTQ1365" s="110"/>
      <c r="BTR1365" s="110"/>
      <c r="BTS1365" s="110"/>
      <c r="BTT1365" s="110"/>
      <c r="BTU1365" s="110"/>
      <c r="BTV1365" s="110"/>
      <c r="BTW1365" s="110"/>
      <c r="BTX1365" s="110"/>
      <c r="BTY1365" s="110"/>
      <c r="BTZ1365" s="110"/>
      <c r="BUA1365" s="110"/>
      <c r="BUB1365" s="110"/>
      <c r="BUC1365" s="110"/>
      <c r="BUD1365" s="110"/>
      <c r="BUE1365" s="110"/>
      <c r="BUF1365" s="110"/>
      <c r="BUG1365" s="110"/>
      <c r="BUH1365" s="110"/>
      <c r="BUI1365" s="110"/>
      <c r="BUJ1365" s="110"/>
      <c r="BUK1365" s="110"/>
      <c r="BUL1365" s="110"/>
      <c r="BUM1365" s="110"/>
      <c r="BUN1365" s="110"/>
      <c r="BUO1365" s="110"/>
      <c r="BUP1365" s="110"/>
      <c r="BUQ1365" s="110"/>
      <c r="BUR1365" s="110"/>
      <c r="BUS1365" s="110"/>
      <c r="BUT1365" s="110"/>
      <c r="BUU1365" s="110"/>
      <c r="BUV1365" s="110"/>
      <c r="BUW1365" s="110"/>
      <c r="BUX1365" s="110"/>
      <c r="BUY1365" s="110"/>
      <c r="BUZ1365" s="110"/>
      <c r="BVA1365" s="110"/>
      <c r="BVB1365" s="110"/>
      <c r="BVC1365" s="110"/>
      <c r="BVD1365" s="110"/>
      <c r="BVE1365" s="110"/>
      <c r="BVF1365" s="110"/>
      <c r="BVG1365" s="110"/>
      <c r="BVH1365" s="110"/>
      <c r="BVI1365" s="110"/>
      <c r="BVJ1365" s="110"/>
      <c r="BVK1365" s="110"/>
      <c r="BVL1365" s="110"/>
      <c r="BVM1365" s="110"/>
      <c r="BVN1365" s="110"/>
      <c r="BVO1365" s="110"/>
      <c r="BVP1365" s="110"/>
      <c r="BVQ1365" s="110"/>
      <c r="BVR1365" s="110"/>
      <c r="BVS1365" s="110"/>
      <c r="BVT1365" s="110"/>
      <c r="BVU1365" s="110"/>
      <c r="BVV1365" s="110"/>
      <c r="BVW1365" s="110"/>
      <c r="BVX1365" s="110"/>
      <c r="BVY1365" s="110"/>
      <c r="BVZ1365" s="110"/>
      <c r="BWA1365" s="110"/>
      <c r="BWB1365" s="110"/>
      <c r="BWC1365" s="110"/>
      <c r="BWD1365" s="110"/>
      <c r="BWE1365" s="110"/>
      <c r="BWF1365" s="110"/>
      <c r="BWG1365" s="110"/>
      <c r="BWH1365" s="110"/>
      <c r="BWI1365" s="110"/>
      <c r="BWJ1365" s="110"/>
      <c r="BWK1365" s="110"/>
      <c r="BWL1365" s="110"/>
      <c r="BWM1365" s="110"/>
      <c r="BWN1365" s="110"/>
      <c r="BWO1365" s="110"/>
      <c r="BWP1365" s="110"/>
      <c r="BWQ1365" s="110"/>
      <c r="BWR1365" s="110"/>
      <c r="BWS1365" s="110"/>
      <c r="BWT1365" s="110"/>
      <c r="BWU1365" s="110"/>
      <c r="BWV1365" s="110"/>
      <c r="BWW1365" s="110"/>
      <c r="BWX1365" s="110"/>
      <c r="BWY1365" s="110"/>
      <c r="BWZ1365" s="110"/>
      <c r="BXA1365" s="110"/>
      <c r="BXB1365" s="110"/>
      <c r="BXC1365" s="110"/>
      <c r="BXD1365" s="110"/>
      <c r="BXE1365" s="110"/>
      <c r="BXF1365" s="110"/>
      <c r="BXG1365" s="110"/>
      <c r="BXH1365" s="110"/>
      <c r="BXI1365" s="110"/>
      <c r="BXJ1365" s="110"/>
      <c r="BXK1365" s="110"/>
      <c r="BXL1365" s="110"/>
      <c r="BXM1365" s="110"/>
      <c r="BXN1365" s="110"/>
      <c r="BXO1365" s="110"/>
      <c r="BXP1365" s="110"/>
      <c r="BXQ1365" s="110"/>
      <c r="BXR1365" s="110"/>
      <c r="BXS1365" s="110"/>
      <c r="BXT1365" s="110"/>
      <c r="BXU1365" s="110"/>
      <c r="BXV1365" s="110"/>
      <c r="BXW1365" s="110"/>
      <c r="BXX1365" s="110"/>
      <c r="BXY1365" s="110"/>
      <c r="BXZ1365" s="110"/>
      <c r="BYA1365" s="110"/>
      <c r="BYB1365" s="110"/>
      <c r="BYC1365" s="110"/>
      <c r="BYD1365" s="110"/>
      <c r="BYE1365" s="110"/>
      <c r="BYF1365" s="110"/>
      <c r="BYG1365" s="110"/>
      <c r="BYH1365" s="110"/>
      <c r="BYI1365" s="110"/>
      <c r="BYJ1365" s="110"/>
      <c r="BYK1365" s="110"/>
      <c r="BYL1365" s="110"/>
      <c r="BYM1365" s="110"/>
      <c r="BYN1365" s="110"/>
      <c r="BYO1365" s="110"/>
      <c r="BYP1365" s="110"/>
      <c r="BYQ1365" s="110"/>
      <c r="BYR1365" s="110"/>
      <c r="BYS1365" s="110"/>
      <c r="BYT1365" s="110"/>
      <c r="BYU1365" s="110"/>
      <c r="BYV1365" s="110"/>
      <c r="BYW1365" s="110"/>
      <c r="BYX1365" s="110"/>
      <c r="BYY1365" s="110"/>
      <c r="BYZ1365" s="110"/>
      <c r="BZA1365" s="110"/>
      <c r="BZB1365" s="110"/>
      <c r="BZC1365" s="110"/>
      <c r="BZD1365" s="110"/>
      <c r="BZE1365" s="110"/>
      <c r="BZF1365" s="110"/>
      <c r="BZG1365" s="110"/>
      <c r="BZH1365" s="110"/>
      <c r="BZI1365" s="110"/>
      <c r="BZJ1365" s="110"/>
      <c r="BZK1365" s="110"/>
      <c r="BZL1365" s="110"/>
      <c r="BZM1365" s="110"/>
      <c r="BZN1365" s="110"/>
      <c r="BZO1365" s="110"/>
      <c r="BZP1365" s="110"/>
      <c r="BZQ1365" s="110"/>
      <c r="BZR1365" s="110"/>
      <c r="BZS1365" s="110"/>
      <c r="BZT1365" s="110"/>
      <c r="BZU1365" s="110"/>
      <c r="BZV1365" s="110"/>
      <c r="BZW1365" s="110"/>
      <c r="BZX1365" s="110"/>
      <c r="BZY1365" s="110"/>
      <c r="BZZ1365" s="110"/>
      <c r="CAA1365" s="110"/>
      <c r="CAB1365" s="110"/>
      <c r="CAC1365" s="110"/>
      <c r="CAD1365" s="110"/>
      <c r="CAE1365" s="110"/>
      <c r="CAF1365" s="110"/>
      <c r="CAG1365" s="110"/>
      <c r="CAH1365" s="110"/>
      <c r="CAI1365" s="110"/>
      <c r="CAJ1365" s="110"/>
      <c r="CAK1365" s="110"/>
      <c r="CAL1365" s="110"/>
      <c r="CAM1365" s="110"/>
      <c r="CAN1365" s="110"/>
      <c r="CAO1365" s="110"/>
      <c r="CAP1365" s="110"/>
      <c r="CAQ1365" s="110"/>
      <c r="CAR1365" s="110"/>
      <c r="CAS1365" s="110"/>
      <c r="CAT1365" s="110"/>
      <c r="CAU1365" s="110"/>
      <c r="CAV1365" s="110"/>
      <c r="CAW1365" s="110"/>
      <c r="CAX1365" s="110"/>
      <c r="CAY1365" s="110"/>
      <c r="CAZ1365" s="110"/>
      <c r="CBA1365" s="110"/>
      <c r="CBB1365" s="110"/>
      <c r="CBC1365" s="110"/>
      <c r="CBD1365" s="110"/>
      <c r="CBE1365" s="110"/>
      <c r="CBF1365" s="110"/>
      <c r="CBG1365" s="110"/>
      <c r="CBH1365" s="110"/>
      <c r="CBI1365" s="110"/>
      <c r="CBJ1365" s="110"/>
      <c r="CBK1365" s="110"/>
      <c r="CBL1365" s="110"/>
      <c r="CBM1365" s="110"/>
      <c r="CBN1365" s="110"/>
      <c r="CBO1365" s="110"/>
      <c r="CBP1365" s="110"/>
      <c r="CBQ1365" s="110"/>
      <c r="CBR1365" s="110"/>
      <c r="CBS1365" s="110"/>
      <c r="CBT1365" s="110"/>
      <c r="CBU1365" s="110"/>
      <c r="CBV1365" s="110"/>
      <c r="CBW1365" s="110"/>
      <c r="CBX1365" s="110"/>
      <c r="CBY1365" s="110"/>
      <c r="CBZ1365" s="110"/>
      <c r="CCA1365" s="110"/>
      <c r="CCB1365" s="110"/>
      <c r="CCC1365" s="110"/>
      <c r="CCD1365" s="110"/>
      <c r="CCE1365" s="110"/>
      <c r="CCF1365" s="110"/>
      <c r="CCG1365" s="110"/>
      <c r="CCH1365" s="110"/>
      <c r="CCI1365" s="110"/>
      <c r="CCJ1365" s="110"/>
      <c r="CCK1365" s="110"/>
      <c r="CCL1365" s="110"/>
      <c r="CCM1365" s="110"/>
      <c r="CCN1365" s="110"/>
      <c r="CCO1365" s="110"/>
      <c r="CCP1365" s="110"/>
      <c r="CCQ1365" s="110"/>
      <c r="CCR1365" s="110"/>
      <c r="CCS1365" s="110"/>
      <c r="CCT1365" s="110"/>
      <c r="CCU1365" s="110"/>
      <c r="CCV1365" s="110"/>
      <c r="CCW1365" s="110"/>
      <c r="CCX1365" s="110"/>
      <c r="CCY1365" s="110"/>
      <c r="CCZ1365" s="110"/>
      <c r="CDA1365" s="110"/>
      <c r="CDB1365" s="110"/>
      <c r="CDC1365" s="110"/>
      <c r="CDD1365" s="110"/>
      <c r="CDE1365" s="110"/>
      <c r="CDF1365" s="110"/>
      <c r="CDG1365" s="110"/>
      <c r="CDH1365" s="110"/>
      <c r="CDI1365" s="110"/>
      <c r="CDJ1365" s="110"/>
      <c r="CDK1365" s="110"/>
      <c r="CDL1365" s="110"/>
      <c r="CDM1365" s="110"/>
      <c r="CDN1365" s="110"/>
      <c r="CDO1365" s="110"/>
      <c r="CDP1365" s="110"/>
      <c r="CDQ1365" s="110"/>
      <c r="CDR1365" s="110"/>
      <c r="CDS1365" s="110"/>
      <c r="CDT1365" s="110"/>
      <c r="CDU1365" s="110"/>
      <c r="CDV1365" s="110"/>
      <c r="CDW1365" s="110"/>
      <c r="CDX1365" s="110"/>
      <c r="CDY1365" s="110"/>
      <c r="CDZ1365" s="110"/>
      <c r="CEA1365" s="110"/>
      <c r="CEB1365" s="110"/>
      <c r="CEC1365" s="110"/>
      <c r="CED1365" s="110"/>
      <c r="CEE1365" s="110"/>
      <c r="CEF1365" s="110"/>
      <c r="CEG1365" s="110"/>
      <c r="CEH1365" s="110"/>
      <c r="CEI1365" s="110"/>
      <c r="CEJ1365" s="110"/>
      <c r="CEK1365" s="110"/>
      <c r="CEL1365" s="110"/>
      <c r="CEM1365" s="110"/>
      <c r="CEN1365" s="110"/>
      <c r="CEO1365" s="110"/>
      <c r="CEP1365" s="110"/>
      <c r="CEQ1365" s="110"/>
      <c r="CER1365" s="110"/>
      <c r="CES1365" s="110"/>
      <c r="CET1365" s="110"/>
      <c r="CEU1365" s="110"/>
      <c r="CEV1365" s="110"/>
      <c r="CEW1365" s="110"/>
      <c r="CEX1365" s="110"/>
      <c r="CEY1365" s="110"/>
      <c r="CEZ1365" s="110"/>
      <c r="CFA1365" s="110"/>
      <c r="CFB1365" s="110"/>
      <c r="CFC1365" s="110"/>
      <c r="CFD1365" s="110"/>
      <c r="CFE1365" s="110"/>
      <c r="CFF1365" s="110"/>
      <c r="CFG1365" s="110"/>
      <c r="CFH1365" s="110"/>
      <c r="CFI1365" s="110"/>
      <c r="CFJ1365" s="110"/>
      <c r="CFK1365" s="110"/>
      <c r="CFL1365" s="110"/>
      <c r="CFM1365" s="110"/>
      <c r="CFN1365" s="110"/>
      <c r="CFO1365" s="110"/>
      <c r="CFP1365" s="110"/>
      <c r="CFQ1365" s="110"/>
      <c r="CFR1365" s="110"/>
      <c r="CFS1365" s="110"/>
      <c r="CFT1365" s="110"/>
      <c r="CFU1365" s="110"/>
      <c r="CFV1365" s="110"/>
      <c r="CFW1365" s="110"/>
      <c r="CFX1365" s="110"/>
      <c r="CFY1365" s="110"/>
      <c r="CFZ1365" s="110"/>
      <c r="CGA1365" s="110"/>
      <c r="CGB1365" s="110"/>
      <c r="CGC1365" s="110"/>
      <c r="CGD1365" s="110"/>
      <c r="CGE1365" s="110"/>
      <c r="CGF1365" s="110"/>
      <c r="CGG1365" s="110"/>
      <c r="CGH1365" s="110"/>
      <c r="CGI1365" s="110"/>
      <c r="CGJ1365" s="110"/>
      <c r="CGK1365" s="110"/>
      <c r="CGL1365" s="110"/>
      <c r="CGM1365" s="110"/>
      <c r="CGN1365" s="110"/>
      <c r="CGO1365" s="110"/>
      <c r="CGP1365" s="110"/>
      <c r="CGQ1365" s="110"/>
      <c r="CGR1365" s="110"/>
      <c r="CGS1365" s="110"/>
      <c r="CGT1365" s="110"/>
      <c r="CGU1365" s="110"/>
      <c r="CGV1365" s="110"/>
      <c r="CGW1365" s="110"/>
      <c r="CGX1365" s="110"/>
      <c r="CGY1365" s="110"/>
      <c r="CGZ1365" s="110"/>
      <c r="CHA1365" s="110"/>
      <c r="CHB1365" s="110"/>
      <c r="CHC1365" s="110"/>
      <c r="CHD1365" s="110"/>
      <c r="CHE1365" s="110"/>
      <c r="CHF1365" s="110"/>
      <c r="CHG1365" s="110"/>
      <c r="CHH1365" s="110"/>
      <c r="CHI1365" s="110"/>
      <c r="CHJ1365" s="110"/>
      <c r="CHK1365" s="110"/>
      <c r="CHL1365" s="110"/>
      <c r="CHM1365" s="110"/>
      <c r="CHN1365" s="110"/>
      <c r="CHO1365" s="110"/>
      <c r="CHP1365" s="110"/>
      <c r="CHQ1365" s="110"/>
      <c r="CHR1365" s="110"/>
      <c r="CHS1365" s="110"/>
      <c r="CHT1365" s="110"/>
      <c r="CHU1365" s="110"/>
      <c r="CHV1365" s="110"/>
      <c r="CHW1365" s="110"/>
      <c r="CHX1365" s="110"/>
      <c r="CHY1365" s="110"/>
      <c r="CHZ1365" s="110"/>
      <c r="CIA1365" s="110"/>
      <c r="CIB1365" s="110"/>
      <c r="CIC1365" s="110"/>
      <c r="CID1365" s="110"/>
      <c r="CIE1365" s="110"/>
      <c r="CIF1365" s="110"/>
      <c r="CIG1365" s="110"/>
      <c r="CIH1365" s="110"/>
      <c r="CII1365" s="110"/>
      <c r="CIJ1365" s="110"/>
      <c r="CIK1365" s="110"/>
      <c r="CIL1365" s="110"/>
      <c r="CIM1365" s="110"/>
      <c r="CIN1365" s="110"/>
      <c r="CIO1365" s="110"/>
      <c r="CIP1365" s="110"/>
      <c r="CIQ1365" s="110"/>
      <c r="CIR1365" s="110"/>
      <c r="CIS1365" s="110"/>
      <c r="CIT1365" s="110"/>
      <c r="CIU1365" s="110"/>
      <c r="CIV1365" s="110"/>
      <c r="CIW1365" s="110"/>
      <c r="CIX1365" s="110"/>
      <c r="CIY1365" s="110"/>
      <c r="CIZ1365" s="110"/>
      <c r="CJA1365" s="110"/>
      <c r="CJB1365" s="110"/>
      <c r="CJC1365" s="110"/>
      <c r="CJD1365" s="110"/>
      <c r="CJE1365" s="110"/>
      <c r="CJF1365" s="110"/>
      <c r="CJG1365" s="110"/>
      <c r="CJH1365" s="110"/>
      <c r="CJI1365" s="110"/>
      <c r="CJJ1365" s="110"/>
      <c r="CJK1365" s="110"/>
      <c r="CJL1365" s="110"/>
      <c r="CJM1365" s="110"/>
      <c r="CJN1365" s="110"/>
      <c r="CJO1365" s="110"/>
      <c r="CJP1365" s="110"/>
      <c r="CJQ1365" s="110"/>
      <c r="CJR1365" s="110"/>
      <c r="CJS1365" s="110"/>
      <c r="CJT1365" s="110"/>
      <c r="CJU1365" s="110"/>
      <c r="CJV1365" s="110"/>
      <c r="CJW1365" s="110"/>
      <c r="CJX1365" s="110"/>
      <c r="CJY1365" s="110"/>
      <c r="CJZ1365" s="110"/>
      <c r="CKA1365" s="110"/>
      <c r="CKB1365" s="110"/>
      <c r="CKC1365" s="110"/>
      <c r="CKD1365" s="110"/>
      <c r="CKE1365" s="110"/>
      <c r="CKF1365" s="110"/>
      <c r="CKG1365" s="110"/>
      <c r="CKH1365" s="110"/>
      <c r="CKI1365" s="110"/>
      <c r="CKJ1365" s="110"/>
      <c r="CKK1365" s="110"/>
      <c r="CKL1365" s="110"/>
      <c r="CKM1365" s="110"/>
      <c r="CKN1365" s="110"/>
      <c r="CKO1365" s="110"/>
      <c r="CKP1365" s="110"/>
      <c r="CKQ1365" s="110"/>
      <c r="CKR1365" s="110"/>
      <c r="CKS1365" s="110"/>
      <c r="CKT1365" s="110"/>
      <c r="CKU1365" s="110"/>
      <c r="CKV1365" s="110"/>
      <c r="CKW1365" s="110"/>
      <c r="CKX1365" s="110"/>
      <c r="CKY1365" s="110"/>
      <c r="CKZ1365" s="110"/>
      <c r="CLA1365" s="110"/>
      <c r="CLB1365" s="110"/>
      <c r="CLC1365" s="110"/>
      <c r="CLD1365" s="110"/>
      <c r="CLE1365" s="110"/>
      <c r="CLF1365" s="110"/>
      <c r="CLG1365" s="110"/>
      <c r="CLH1365" s="110"/>
      <c r="CLI1365" s="110"/>
      <c r="CLJ1365" s="110"/>
      <c r="CLK1365" s="110"/>
      <c r="CLL1365" s="110"/>
      <c r="CLM1365" s="110"/>
      <c r="CLN1365" s="110"/>
      <c r="CLO1365" s="110"/>
      <c r="CLP1365" s="110"/>
      <c r="CLQ1365" s="110"/>
      <c r="CLR1365" s="110"/>
      <c r="CLS1365" s="110"/>
      <c r="CLT1365" s="110"/>
      <c r="CLU1365" s="110"/>
      <c r="CLV1365" s="110"/>
      <c r="CLW1365" s="110"/>
      <c r="CLX1365" s="110"/>
      <c r="CLY1365" s="110"/>
      <c r="CLZ1365" s="110"/>
      <c r="CMA1365" s="110"/>
      <c r="CMB1365" s="110"/>
      <c r="CMC1365" s="110"/>
      <c r="CMD1365" s="110"/>
      <c r="CME1365" s="110"/>
      <c r="CMF1365" s="110"/>
      <c r="CMG1365" s="110"/>
      <c r="CMH1365" s="110"/>
      <c r="CMI1365" s="110"/>
      <c r="CMJ1365" s="110"/>
      <c r="CMK1365" s="110"/>
      <c r="CML1365" s="110"/>
      <c r="CMM1365" s="110"/>
      <c r="CMN1365" s="110"/>
      <c r="CMO1365" s="110"/>
      <c r="CMP1365" s="110"/>
      <c r="CMQ1365" s="110"/>
      <c r="CMR1365" s="110"/>
      <c r="CMS1365" s="110"/>
      <c r="CMT1365" s="110"/>
      <c r="CMU1365" s="110"/>
      <c r="CMV1365" s="110"/>
      <c r="CMW1365" s="110"/>
      <c r="CMX1365" s="110"/>
      <c r="CMY1365" s="110"/>
      <c r="CMZ1365" s="110"/>
      <c r="CNA1365" s="110"/>
      <c r="CNB1365" s="110"/>
      <c r="CNC1365" s="110"/>
      <c r="CND1365" s="110"/>
      <c r="CNE1365" s="110"/>
      <c r="CNF1365" s="110"/>
      <c r="CNG1365" s="110"/>
      <c r="CNH1365" s="110"/>
      <c r="CNI1365" s="110"/>
      <c r="CNJ1365" s="110"/>
      <c r="CNK1365" s="110"/>
      <c r="CNL1365" s="110"/>
      <c r="CNM1365" s="110"/>
      <c r="CNN1365" s="110"/>
      <c r="CNO1365" s="110"/>
      <c r="CNP1365" s="110"/>
      <c r="CNQ1365" s="110"/>
      <c r="CNR1365" s="110"/>
      <c r="CNS1365" s="110"/>
      <c r="CNT1365" s="110"/>
      <c r="CNU1365" s="110"/>
      <c r="CNV1365" s="110"/>
      <c r="CNW1365" s="110"/>
      <c r="CNX1365" s="110"/>
      <c r="CNY1365" s="110"/>
      <c r="CNZ1365" s="110"/>
      <c r="COA1365" s="110"/>
      <c r="COB1365" s="110"/>
      <c r="COC1365" s="110"/>
      <c r="COD1365" s="110"/>
      <c r="COE1365" s="110"/>
      <c r="COF1365" s="110"/>
      <c r="COG1365" s="110"/>
      <c r="COH1365" s="110"/>
      <c r="COI1365" s="110"/>
      <c r="COJ1365" s="110"/>
      <c r="COK1365" s="110"/>
      <c r="COL1365" s="110"/>
      <c r="COM1365" s="110"/>
      <c r="CON1365" s="110"/>
      <c r="COO1365" s="110"/>
      <c r="COP1365" s="110"/>
      <c r="COQ1365" s="110"/>
      <c r="COR1365" s="110"/>
      <c r="COS1365" s="110"/>
      <c r="COT1365" s="110"/>
      <c r="COU1365" s="110"/>
      <c r="COV1365" s="110"/>
      <c r="COW1365" s="110"/>
      <c r="COX1365" s="110"/>
      <c r="COY1365" s="110"/>
      <c r="COZ1365" s="110"/>
      <c r="CPA1365" s="110"/>
      <c r="CPB1365" s="110"/>
      <c r="CPC1365" s="110"/>
      <c r="CPD1365" s="110"/>
      <c r="CPE1365" s="110"/>
      <c r="CPF1365" s="110"/>
      <c r="CPG1365" s="110"/>
      <c r="CPH1365" s="110"/>
      <c r="CPI1365" s="110"/>
      <c r="CPJ1365" s="110"/>
      <c r="CPK1365" s="110"/>
      <c r="CPL1365" s="110"/>
      <c r="CPM1365" s="110"/>
      <c r="CPN1365" s="110"/>
      <c r="CPO1365" s="110"/>
      <c r="CPP1365" s="110"/>
      <c r="CPQ1365" s="110"/>
      <c r="CPR1365" s="110"/>
      <c r="CPS1365" s="110"/>
      <c r="CPT1365" s="110"/>
      <c r="CPU1365" s="110"/>
      <c r="CPV1365" s="110"/>
      <c r="CPW1365" s="110"/>
      <c r="CPX1365" s="110"/>
      <c r="CPY1365" s="110"/>
      <c r="CPZ1365" s="110"/>
      <c r="CQA1365" s="110"/>
      <c r="CQB1365" s="110"/>
      <c r="CQC1365" s="110"/>
      <c r="CQD1365" s="110"/>
      <c r="CQE1365" s="110"/>
      <c r="CQF1365" s="110"/>
      <c r="CQG1365" s="110"/>
      <c r="CQH1365" s="110"/>
      <c r="CQI1365" s="110"/>
      <c r="CQJ1365" s="110"/>
      <c r="CQK1365" s="110"/>
      <c r="CQL1365" s="110"/>
      <c r="CQM1365" s="110"/>
      <c r="CQN1365" s="110"/>
      <c r="CQO1365" s="110"/>
      <c r="CQP1365" s="110"/>
      <c r="CQQ1365" s="110"/>
      <c r="CQR1365" s="110"/>
      <c r="CQS1365" s="110"/>
      <c r="CQT1365" s="110"/>
      <c r="CQU1365" s="110"/>
      <c r="CQV1365" s="110"/>
      <c r="CQW1365" s="110"/>
      <c r="CQX1365" s="110"/>
      <c r="CQY1365" s="110"/>
      <c r="CQZ1365" s="110"/>
      <c r="CRA1365" s="110"/>
      <c r="CRB1365" s="110"/>
      <c r="CRC1365" s="110"/>
      <c r="CRD1365" s="110"/>
      <c r="CRE1365" s="110"/>
      <c r="CRF1365" s="110"/>
      <c r="CRG1365" s="110"/>
      <c r="CRH1365" s="110"/>
      <c r="CRI1365" s="110"/>
      <c r="CRJ1365" s="110"/>
      <c r="CRK1365" s="110"/>
      <c r="CRL1365" s="110"/>
      <c r="CRM1365" s="110"/>
      <c r="CRN1365" s="110"/>
      <c r="CRO1365" s="110"/>
      <c r="CRP1365" s="110"/>
      <c r="CRQ1365" s="110"/>
      <c r="CRR1365" s="110"/>
      <c r="CRS1365" s="110"/>
      <c r="CRT1365" s="110"/>
      <c r="CRU1365" s="110"/>
      <c r="CRV1365" s="110"/>
      <c r="CRW1365" s="110"/>
      <c r="CRX1365" s="110"/>
      <c r="CRY1365" s="110"/>
      <c r="CRZ1365" s="110"/>
      <c r="CSA1365" s="110"/>
      <c r="CSB1365" s="110"/>
      <c r="CSC1365" s="110"/>
      <c r="CSD1365" s="110"/>
      <c r="CSE1365" s="110"/>
      <c r="CSF1365" s="110"/>
      <c r="CSG1365" s="110"/>
      <c r="CSH1365" s="110"/>
      <c r="CSI1365" s="110"/>
      <c r="CSJ1365" s="110"/>
      <c r="CSK1365" s="110"/>
      <c r="CSL1365" s="110"/>
      <c r="CSM1365" s="110"/>
      <c r="CSN1365" s="110"/>
      <c r="CSO1365" s="110"/>
      <c r="CSP1365" s="110"/>
      <c r="CSQ1365" s="110"/>
      <c r="CSR1365" s="110"/>
      <c r="CSS1365" s="110"/>
      <c r="CST1365" s="110"/>
      <c r="CSU1365" s="110"/>
      <c r="CSV1365" s="110"/>
      <c r="CSW1365" s="110"/>
      <c r="CSX1365" s="110"/>
      <c r="CSY1365" s="110"/>
      <c r="CSZ1365" s="110"/>
      <c r="CTA1365" s="110"/>
      <c r="CTB1365" s="110"/>
      <c r="CTC1365" s="110"/>
      <c r="CTD1365" s="110"/>
      <c r="CTE1365" s="110"/>
      <c r="CTF1365" s="110"/>
      <c r="CTG1365" s="110"/>
      <c r="CTH1365" s="110"/>
      <c r="CTI1365" s="110"/>
      <c r="CTJ1365" s="110"/>
      <c r="CTK1365" s="110"/>
      <c r="CTL1365" s="110"/>
      <c r="CTM1365" s="110"/>
      <c r="CTN1365" s="110"/>
      <c r="CTO1365" s="110"/>
      <c r="CTP1365" s="110"/>
      <c r="CTQ1365" s="110"/>
      <c r="CTR1365" s="110"/>
      <c r="CTS1365" s="110"/>
      <c r="CTT1365" s="110"/>
      <c r="CTU1365" s="110"/>
      <c r="CTV1365" s="110"/>
      <c r="CTW1365" s="110"/>
      <c r="CTX1365" s="110"/>
      <c r="CTY1365" s="110"/>
      <c r="CTZ1365" s="110"/>
      <c r="CUA1365" s="110"/>
      <c r="CUB1365" s="110"/>
      <c r="CUC1365" s="110"/>
      <c r="CUD1365" s="110"/>
      <c r="CUE1365" s="110"/>
      <c r="CUF1365" s="110"/>
      <c r="CUG1365" s="110"/>
      <c r="CUH1365" s="110"/>
      <c r="CUI1365" s="110"/>
      <c r="CUJ1365" s="110"/>
      <c r="CUK1365" s="110"/>
      <c r="CUL1365" s="110"/>
      <c r="CUM1365" s="110"/>
      <c r="CUN1365" s="110"/>
      <c r="CUO1365" s="110"/>
      <c r="CUP1365" s="110"/>
      <c r="CUQ1365" s="110"/>
      <c r="CUR1365" s="110"/>
      <c r="CUS1365" s="110"/>
      <c r="CUT1365" s="110"/>
      <c r="CUU1365" s="110"/>
      <c r="CUV1365" s="110"/>
      <c r="CUW1365" s="110"/>
      <c r="CUX1365" s="110"/>
      <c r="CUY1365" s="110"/>
      <c r="CUZ1365" s="110"/>
      <c r="CVA1365" s="110"/>
      <c r="CVB1365" s="110"/>
      <c r="CVC1365" s="110"/>
      <c r="CVD1365" s="110"/>
      <c r="CVE1365" s="110"/>
      <c r="CVF1365" s="110"/>
      <c r="CVG1365" s="110"/>
      <c r="CVH1365" s="110"/>
      <c r="CVI1365" s="110"/>
      <c r="CVJ1365" s="110"/>
      <c r="CVK1365" s="110"/>
      <c r="CVL1365" s="110"/>
      <c r="CVM1365" s="110"/>
      <c r="CVN1365" s="110"/>
      <c r="CVO1365" s="110"/>
      <c r="CVP1365" s="110"/>
      <c r="CVQ1365" s="110"/>
      <c r="CVR1365" s="110"/>
      <c r="CVS1365" s="110"/>
      <c r="CVT1365" s="110"/>
      <c r="CVU1365" s="110"/>
      <c r="CVV1365" s="110"/>
      <c r="CVW1365" s="110"/>
      <c r="CVX1365" s="110"/>
      <c r="CVY1365" s="110"/>
      <c r="CVZ1365" s="110"/>
      <c r="CWA1365" s="110"/>
      <c r="CWB1365" s="110"/>
      <c r="CWC1365" s="110"/>
      <c r="CWD1365" s="110"/>
      <c r="CWE1365" s="110"/>
      <c r="CWF1365" s="110"/>
      <c r="CWG1365" s="110"/>
      <c r="CWH1365" s="110"/>
      <c r="CWI1365" s="110"/>
      <c r="CWJ1365" s="110"/>
      <c r="CWK1365" s="110"/>
      <c r="CWL1365" s="110"/>
      <c r="CWM1365" s="110"/>
      <c r="CWN1365" s="110"/>
      <c r="CWO1365" s="110"/>
      <c r="CWP1365" s="110"/>
      <c r="CWQ1365" s="110"/>
      <c r="CWR1365" s="110"/>
      <c r="CWS1365" s="110"/>
      <c r="CWT1365" s="110"/>
      <c r="CWU1365" s="110"/>
      <c r="CWV1365" s="110"/>
      <c r="CWW1365" s="110"/>
      <c r="CWX1365" s="110"/>
      <c r="CWY1365" s="110"/>
      <c r="CWZ1365" s="110"/>
      <c r="CXA1365" s="110"/>
      <c r="CXB1365" s="110"/>
      <c r="CXC1365" s="110"/>
      <c r="CXD1365" s="110"/>
      <c r="CXE1365" s="110"/>
      <c r="CXF1365" s="110"/>
      <c r="CXG1365" s="110"/>
      <c r="CXH1365" s="110"/>
      <c r="CXI1365" s="110"/>
      <c r="CXJ1365" s="110"/>
      <c r="CXK1365" s="110"/>
      <c r="CXL1365" s="110"/>
      <c r="CXM1365" s="110"/>
      <c r="CXN1365" s="110"/>
      <c r="CXO1365" s="110"/>
      <c r="CXP1365" s="110"/>
      <c r="CXQ1365" s="110"/>
      <c r="CXR1365" s="110"/>
      <c r="CXS1365" s="110"/>
      <c r="CXT1365" s="110"/>
      <c r="CXU1365" s="110"/>
      <c r="CXV1365" s="110"/>
      <c r="CXW1365" s="110"/>
      <c r="CXX1365" s="110"/>
      <c r="CXY1365" s="110"/>
      <c r="CXZ1365" s="110"/>
      <c r="CYA1365" s="110"/>
      <c r="CYB1365" s="110"/>
      <c r="CYC1365" s="110"/>
      <c r="CYD1365" s="110"/>
      <c r="CYE1365" s="110"/>
      <c r="CYF1365" s="110"/>
      <c r="CYG1365" s="110"/>
      <c r="CYH1365" s="110"/>
      <c r="CYI1365" s="110"/>
      <c r="CYJ1365" s="110"/>
      <c r="CYK1365" s="110"/>
      <c r="CYL1365" s="110"/>
      <c r="CYM1365" s="110"/>
      <c r="CYN1365" s="110"/>
      <c r="CYO1365" s="110"/>
      <c r="CYP1365" s="110"/>
      <c r="CYQ1365" s="110"/>
      <c r="CYR1365" s="110"/>
      <c r="CYS1365" s="110"/>
      <c r="CYT1365" s="110"/>
      <c r="CYU1365" s="110"/>
      <c r="CYV1365" s="110"/>
      <c r="CYW1365" s="110"/>
      <c r="CYX1365" s="110"/>
      <c r="CYY1365" s="110"/>
      <c r="CYZ1365" s="110"/>
      <c r="CZA1365" s="110"/>
      <c r="CZB1365" s="110"/>
      <c r="CZC1365" s="110"/>
      <c r="CZD1365" s="110"/>
      <c r="CZE1365" s="110"/>
      <c r="CZF1365" s="110"/>
      <c r="CZG1365" s="110"/>
      <c r="CZH1365" s="110"/>
      <c r="CZI1365" s="110"/>
      <c r="CZJ1365" s="110"/>
      <c r="CZK1365" s="110"/>
      <c r="CZL1365" s="110"/>
      <c r="CZM1365" s="110"/>
      <c r="CZN1365" s="110"/>
      <c r="CZO1365" s="110"/>
      <c r="CZP1365" s="110"/>
      <c r="CZQ1365" s="110"/>
      <c r="CZR1365" s="110"/>
      <c r="CZS1365" s="110"/>
      <c r="CZT1365" s="110"/>
      <c r="CZU1365" s="110"/>
      <c r="CZV1365" s="110"/>
      <c r="CZW1365" s="110"/>
      <c r="CZX1365" s="110"/>
      <c r="CZY1365" s="110"/>
      <c r="CZZ1365" s="110"/>
      <c r="DAA1365" s="110"/>
      <c r="DAB1365" s="110"/>
      <c r="DAC1365" s="110"/>
      <c r="DAD1365" s="110"/>
      <c r="DAE1365" s="110"/>
      <c r="DAF1365" s="110"/>
      <c r="DAG1365" s="110"/>
      <c r="DAH1365" s="110"/>
      <c r="DAI1365" s="110"/>
      <c r="DAJ1365" s="110"/>
      <c r="DAK1365" s="110"/>
      <c r="DAL1365" s="110"/>
      <c r="DAM1365" s="110"/>
      <c r="DAN1365" s="110"/>
      <c r="DAO1365" s="110"/>
      <c r="DAP1365" s="110"/>
      <c r="DAQ1365" s="110"/>
      <c r="DAR1365" s="110"/>
      <c r="DAS1365" s="110"/>
      <c r="DAT1365" s="110"/>
      <c r="DAU1365" s="110"/>
      <c r="DAV1365" s="110"/>
      <c r="DAW1365" s="110"/>
      <c r="DAX1365" s="110"/>
      <c r="DAY1365" s="110"/>
      <c r="DAZ1365" s="110"/>
      <c r="DBA1365" s="110"/>
      <c r="DBB1365" s="110"/>
      <c r="DBC1365" s="110"/>
      <c r="DBD1365" s="110"/>
      <c r="DBE1365" s="110"/>
      <c r="DBF1365" s="110"/>
      <c r="DBG1365" s="110"/>
      <c r="DBH1365" s="110"/>
      <c r="DBI1365" s="110"/>
      <c r="DBJ1365" s="110"/>
      <c r="DBK1365" s="110"/>
      <c r="DBL1365" s="110"/>
      <c r="DBM1365" s="110"/>
      <c r="DBN1365" s="110"/>
      <c r="DBO1365" s="110"/>
      <c r="DBP1365" s="110"/>
      <c r="DBQ1365" s="110"/>
      <c r="DBR1365" s="110"/>
      <c r="DBS1365" s="110"/>
      <c r="DBT1365" s="110"/>
      <c r="DBU1365" s="110"/>
      <c r="DBV1365" s="110"/>
      <c r="DBW1365" s="110"/>
      <c r="DBX1365" s="110"/>
      <c r="DBY1365" s="110"/>
      <c r="DBZ1365" s="110"/>
      <c r="DCA1365" s="110"/>
      <c r="DCB1365" s="110"/>
      <c r="DCC1365" s="110"/>
      <c r="DCD1365" s="110"/>
      <c r="DCE1365" s="110"/>
      <c r="DCF1365" s="110"/>
      <c r="DCG1365" s="110"/>
      <c r="DCH1365" s="110"/>
      <c r="DCI1365" s="110"/>
      <c r="DCJ1365" s="110"/>
      <c r="DCK1365" s="110"/>
      <c r="DCL1365" s="110"/>
      <c r="DCM1365" s="110"/>
      <c r="DCN1365" s="110"/>
      <c r="DCO1365" s="110"/>
      <c r="DCP1365" s="110"/>
      <c r="DCQ1365" s="110"/>
      <c r="DCR1365" s="110"/>
      <c r="DCS1365" s="110"/>
      <c r="DCT1365" s="110"/>
      <c r="DCU1365" s="110"/>
      <c r="DCV1365" s="110"/>
      <c r="DCW1365" s="110"/>
      <c r="DCX1365" s="110"/>
      <c r="DCY1365" s="110"/>
      <c r="DCZ1365" s="110"/>
      <c r="DDA1365" s="110"/>
      <c r="DDB1365" s="110"/>
      <c r="DDC1365" s="110"/>
      <c r="DDD1365" s="110"/>
      <c r="DDE1365" s="110"/>
      <c r="DDF1365" s="110"/>
      <c r="DDG1365" s="110"/>
      <c r="DDH1365" s="110"/>
      <c r="DDI1365" s="110"/>
      <c r="DDJ1365" s="110"/>
      <c r="DDK1365" s="110"/>
      <c r="DDL1365" s="110"/>
      <c r="DDM1365" s="110"/>
      <c r="DDN1365" s="110"/>
      <c r="DDO1365" s="110"/>
      <c r="DDP1365" s="110"/>
      <c r="DDQ1365" s="110"/>
      <c r="DDR1365" s="110"/>
      <c r="DDS1365" s="110"/>
      <c r="DDT1365" s="110"/>
      <c r="DDU1365" s="110"/>
      <c r="DDV1365" s="110"/>
      <c r="DDW1365" s="110"/>
      <c r="DDX1365" s="110"/>
      <c r="DDY1365" s="110"/>
      <c r="DDZ1365" s="110"/>
      <c r="DEA1365" s="110"/>
      <c r="DEB1365" s="110"/>
      <c r="DEC1365" s="110"/>
      <c r="DED1365" s="110"/>
      <c r="DEE1365" s="110"/>
      <c r="DEF1365" s="110"/>
      <c r="DEG1365" s="110"/>
      <c r="DEH1365" s="110"/>
      <c r="DEI1365" s="110"/>
      <c r="DEJ1365" s="110"/>
      <c r="DEK1365" s="110"/>
      <c r="DEL1365" s="110"/>
      <c r="DEM1365" s="110"/>
      <c r="DEN1365" s="110"/>
      <c r="DEO1365" s="110"/>
      <c r="DEP1365" s="110"/>
      <c r="DEQ1365" s="110"/>
      <c r="DER1365" s="110"/>
      <c r="DES1365" s="110"/>
      <c r="DET1365" s="110"/>
      <c r="DEU1365" s="110"/>
      <c r="DEV1365" s="110"/>
      <c r="DEW1365" s="110"/>
      <c r="DEX1365" s="110"/>
      <c r="DEY1365" s="110"/>
      <c r="DEZ1365" s="110"/>
      <c r="DFA1365" s="110"/>
      <c r="DFB1365" s="110"/>
      <c r="DFC1365" s="110"/>
      <c r="DFD1365" s="110"/>
      <c r="DFE1365" s="110"/>
      <c r="DFF1365" s="110"/>
      <c r="DFG1365" s="110"/>
      <c r="DFH1365" s="110"/>
      <c r="DFI1365" s="110"/>
      <c r="DFJ1365" s="110"/>
      <c r="DFK1365" s="110"/>
      <c r="DFL1365" s="110"/>
      <c r="DFM1365" s="110"/>
      <c r="DFN1365" s="110"/>
      <c r="DFO1365" s="110"/>
      <c r="DFP1365" s="110"/>
      <c r="DFQ1365" s="110"/>
      <c r="DFR1365" s="110"/>
      <c r="DFS1365" s="110"/>
      <c r="DFT1365" s="110"/>
      <c r="DFU1365" s="110"/>
      <c r="DFV1365" s="110"/>
      <c r="DFW1365" s="110"/>
      <c r="DFX1365" s="110"/>
      <c r="DFY1365" s="110"/>
      <c r="DFZ1365" s="110"/>
      <c r="DGA1365" s="110"/>
      <c r="DGB1365" s="110"/>
      <c r="DGC1365" s="110"/>
      <c r="DGD1365" s="110"/>
      <c r="DGE1365" s="110"/>
      <c r="DGF1365" s="110"/>
      <c r="DGG1365" s="110"/>
      <c r="DGH1365" s="110"/>
      <c r="DGI1365" s="110"/>
      <c r="DGJ1365" s="110"/>
      <c r="DGK1365" s="110"/>
      <c r="DGL1365" s="110"/>
      <c r="DGM1365" s="110"/>
      <c r="DGN1365" s="110"/>
      <c r="DGO1365" s="110"/>
      <c r="DGP1365" s="110"/>
      <c r="DGQ1365" s="110"/>
      <c r="DGR1365" s="110"/>
      <c r="DGS1365" s="110"/>
      <c r="DGT1365" s="110"/>
      <c r="DGU1365" s="110"/>
      <c r="DGV1365" s="110"/>
      <c r="DGW1365" s="110"/>
      <c r="DGX1365" s="110"/>
      <c r="DGY1365" s="110"/>
      <c r="DGZ1365" s="110"/>
      <c r="DHA1365" s="110"/>
      <c r="DHB1365" s="110"/>
      <c r="DHC1365" s="110"/>
      <c r="DHD1365" s="110"/>
      <c r="DHE1365" s="110"/>
      <c r="DHF1365" s="110"/>
      <c r="DHG1365" s="110"/>
      <c r="DHH1365" s="110"/>
      <c r="DHI1365" s="110"/>
      <c r="DHJ1365" s="110"/>
      <c r="DHK1365" s="110"/>
      <c r="DHL1365" s="110"/>
      <c r="DHM1365" s="110"/>
      <c r="DHN1365" s="110"/>
      <c r="DHO1365" s="110"/>
      <c r="DHP1365" s="110"/>
      <c r="DHQ1365" s="110"/>
      <c r="DHR1365" s="110"/>
      <c r="DHS1365" s="110"/>
      <c r="DHT1365" s="110"/>
      <c r="DHU1365" s="110"/>
      <c r="DHV1365" s="110"/>
      <c r="DHW1365" s="110"/>
      <c r="DHX1365" s="110"/>
      <c r="DHY1365" s="110"/>
      <c r="DHZ1365" s="110"/>
      <c r="DIA1365" s="110"/>
      <c r="DIB1365" s="110"/>
      <c r="DIC1365" s="110"/>
      <c r="DID1365" s="110"/>
      <c r="DIE1365" s="110"/>
      <c r="DIF1365" s="110"/>
      <c r="DIG1365" s="110"/>
      <c r="DIH1365" s="110"/>
      <c r="DII1365" s="110"/>
      <c r="DIJ1365" s="110"/>
      <c r="DIK1365" s="110"/>
      <c r="DIL1365" s="110"/>
      <c r="DIM1365" s="110"/>
      <c r="DIN1365" s="110"/>
      <c r="DIO1365" s="110"/>
      <c r="DIP1365" s="110"/>
      <c r="DIQ1365" s="110"/>
      <c r="DIR1365" s="110"/>
      <c r="DIS1365" s="110"/>
      <c r="DIT1365" s="110"/>
      <c r="DIU1365" s="110"/>
      <c r="DIV1365" s="110"/>
      <c r="DIW1365" s="110"/>
      <c r="DIX1365" s="110"/>
      <c r="DIY1365" s="110"/>
      <c r="DIZ1365" s="110"/>
      <c r="DJA1365" s="110"/>
      <c r="DJB1365" s="110"/>
      <c r="DJC1365" s="110"/>
      <c r="DJD1365" s="110"/>
      <c r="DJE1365" s="110"/>
      <c r="DJF1365" s="110"/>
      <c r="DJG1365" s="110"/>
      <c r="DJH1365" s="110"/>
      <c r="DJI1365" s="110"/>
      <c r="DJJ1365" s="110"/>
      <c r="DJK1365" s="110"/>
      <c r="DJL1365" s="110"/>
      <c r="DJM1365" s="110"/>
      <c r="DJN1365" s="110"/>
      <c r="DJO1365" s="110"/>
      <c r="DJP1365" s="110"/>
      <c r="DJQ1365" s="110"/>
      <c r="DJR1365" s="110"/>
      <c r="DJS1365" s="110"/>
      <c r="DJT1365" s="110"/>
      <c r="DJU1365" s="110"/>
      <c r="DJV1365" s="110"/>
      <c r="DJW1365" s="110"/>
      <c r="DJX1365" s="110"/>
      <c r="DJY1365" s="110"/>
      <c r="DJZ1365" s="110"/>
      <c r="DKA1365" s="110"/>
      <c r="DKB1365" s="110"/>
      <c r="DKC1365" s="110"/>
      <c r="DKD1365" s="110"/>
      <c r="DKE1365" s="110"/>
      <c r="DKF1365" s="110"/>
      <c r="DKG1365" s="110"/>
      <c r="DKH1365" s="110"/>
      <c r="DKI1365" s="110"/>
      <c r="DKJ1365" s="110"/>
      <c r="DKK1365" s="110"/>
      <c r="DKL1365" s="110"/>
      <c r="DKM1365" s="110"/>
      <c r="DKN1365" s="110"/>
      <c r="DKO1365" s="110"/>
      <c r="DKP1365" s="110"/>
      <c r="DKQ1365" s="110"/>
      <c r="DKR1365" s="110"/>
      <c r="DKS1365" s="110"/>
      <c r="DKT1365" s="110"/>
      <c r="DKU1365" s="110"/>
      <c r="DKV1365" s="110"/>
      <c r="DKW1365" s="110"/>
      <c r="DKX1365" s="110"/>
      <c r="DKY1365" s="110"/>
      <c r="DKZ1365" s="110"/>
      <c r="DLA1365" s="110"/>
      <c r="DLB1365" s="110"/>
      <c r="DLC1365" s="110"/>
      <c r="DLD1365" s="110"/>
      <c r="DLE1365" s="110"/>
      <c r="DLF1365" s="110"/>
      <c r="DLG1365" s="110"/>
      <c r="DLH1365" s="110"/>
      <c r="DLI1365" s="110"/>
      <c r="DLJ1365" s="110"/>
      <c r="DLK1365" s="110"/>
      <c r="DLL1365" s="110"/>
      <c r="DLM1365" s="110"/>
      <c r="DLN1365" s="110"/>
      <c r="DLO1365" s="110"/>
      <c r="DLP1365" s="110"/>
      <c r="DLQ1365" s="110"/>
      <c r="DLR1365" s="110"/>
      <c r="DLS1365" s="110"/>
      <c r="DLT1365" s="110"/>
      <c r="DLU1365" s="110"/>
      <c r="DLV1365" s="110"/>
      <c r="DLW1365" s="110"/>
      <c r="DLX1365" s="110"/>
      <c r="DLY1365" s="110"/>
      <c r="DLZ1365" s="110"/>
      <c r="DMA1365" s="110"/>
      <c r="DMB1365" s="110"/>
      <c r="DMC1365" s="110"/>
      <c r="DMD1365" s="110"/>
      <c r="DME1365" s="110"/>
      <c r="DMF1365" s="110"/>
      <c r="DMG1365" s="110"/>
      <c r="DMH1365" s="110"/>
      <c r="DMI1365" s="110"/>
      <c r="DMJ1365" s="110"/>
      <c r="DMK1365" s="110"/>
      <c r="DML1365" s="110"/>
      <c r="DMM1365" s="110"/>
      <c r="DMN1365" s="110"/>
      <c r="DMO1365" s="110"/>
      <c r="DMP1365" s="110"/>
      <c r="DMQ1365" s="110"/>
      <c r="DMR1365" s="110"/>
      <c r="DMS1365" s="110"/>
      <c r="DMT1365" s="110"/>
      <c r="DMU1365" s="110"/>
      <c r="DMV1365" s="110"/>
      <c r="DMW1365" s="110"/>
      <c r="DMX1365" s="110"/>
      <c r="DMY1365" s="110"/>
      <c r="DMZ1365" s="110"/>
      <c r="DNA1365" s="110"/>
      <c r="DNB1365" s="110"/>
      <c r="DNC1365" s="110"/>
      <c r="DND1365" s="110"/>
      <c r="DNE1365" s="110"/>
      <c r="DNF1365" s="110"/>
      <c r="DNG1365" s="110"/>
      <c r="DNH1365" s="110"/>
      <c r="DNI1365" s="110"/>
      <c r="DNJ1365" s="110"/>
      <c r="DNK1365" s="110"/>
      <c r="DNL1365" s="110"/>
      <c r="DNM1365" s="110"/>
      <c r="DNN1365" s="110"/>
      <c r="DNO1365" s="110"/>
      <c r="DNP1365" s="110"/>
      <c r="DNQ1365" s="110"/>
      <c r="DNR1365" s="110"/>
      <c r="DNS1365" s="110"/>
      <c r="DNT1365" s="110"/>
      <c r="DNU1365" s="110"/>
      <c r="DNV1365" s="110"/>
      <c r="DNW1365" s="110"/>
      <c r="DNX1365" s="110"/>
      <c r="DNY1365" s="110"/>
      <c r="DNZ1365" s="110"/>
      <c r="DOA1365" s="110"/>
      <c r="DOB1365" s="110"/>
      <c r="DOC1365" s="110"/>
      <c r="DOD1365" s="110"/>
      <c r="DOE1365" s="110"/>
      <c r="DOF1365" s="110"/>
      <c r="DOG1365" s="110"/>
      <c r="DOH1365" s="110"/>
      <c r="DOI1365" s="110"/>
      <c r="DOJ1365" s="110"/>
      <c r="DOK1365" s="110"/>
      <c r="DOL1365" s="110"/>
      <c r="DOM1365" s="110"/>
      <c r="DON1365" s="110"/>
      <c r="DOO1365" s="110"/>
      <c r="DOP1365" s="110"/>
      <c r="DOQ1365" s="110"/>
      <c r="DOR1365" s="110"/>
      <c r="DOS1365" s="110"/>
      <c r="DOT1365" s="110"/>
      <c r="DOU1365" s="110"/>
      <c r="DOV1365" s="110"/>
      <c r="DOW1365" s="110"/>
      <c r="DOX1365" s="110"/>
      <c r="DOY1365" s="110"/>
      <c r="DOZ1365" s="110"/>
      <c r="DPA1365" s="110"/>
      <c r="DPB1365" s="110"/>
      <c r="DPC1365" s="110"/>
      <c r="DPD1365" s="110"/>
      <c r="DPE1365" s="110"/>
      <c r="DPF1365" s="110"/>
      <c r="DPG1365" s="110"/>
      <c r="DPH1365" s="110"/>
      <c r="DPI1365" s="110"/>
      <c r="DPJ1365" s="110"/>
      <c r="DPK1365" s="110"/>
      <c r="DPL1365" s="110"/>
      <c r="DPM1365" s="110"/>
      <c r="DPN1365" s="110"/>
      <c r="DPO1365" s="110"/>
      <c r="DPP1365" s="110"/>
      <c r="DPQ1365" s="110"/>
      <c r="DPR1365" s="110"/>
      <c r="DPS1365" s="110"/>
      <c r="DPT1365" s="110"/>
      <c r="DPU1365" s="110"/>
      <c r="DPV1365" s="110"/>
      <c r="DPW1365" s="110"/>
      <c r="DPX1365" s="110"/>
      <c r="DPY1365" s="110"/>
      <c r="DPZ1365" s="110"/>
      <c r="DQA1365" s="110"/>
      <c r="DQB1365" s="110"/>
      <c r="DQC1365" s="110"/>
      <c r="DQD1365" s="110"/>
      <c r="DQE1365" s="110"/>
      <c r="DQF1365" s="110"/>
      <c r="DQG1365" s="110"/>
      <c r="DQH1365" s="110"/>
      <c r="DQI1365" s="110"/>
      <c r="DQJ1365" s="110"/>
      <c r="DQK1365" s="110"/>
      <c r="DQL1365" s="110"/>
      <c r="DQM1365" s="110"/>
      <c r="DQN1365" s="110"/>
      <c r="DQO1365" s="110"/>
      <c r="DQP1365" s="110"/>
      <c r="DQQ1365" s="110"/>
      <c r="DQR1365" s="110"/>
      <c r="DQS1365" s="110"/>
      <c r="DQT1365" s="110"/>
      <c r="DQU1365" s="110"/>
      <c r="DQV1365" s="110"/>
      <c r="DQW1365" s="110"/>
      <c r="DQX1365" s="110"/>
      <c r="DQY1365" s="110"/>
      <c r="DQZ1365" s="110"/>
      <c r="DRA1365" s="110"/>
      <c r="DRB1365" s="110"/>
      <c r="DRC1365" s="110"/>
      <c r="DRD1365" s="110"/>
      <c r="DRE1365" s="110"/>
      <c r="DRF1365" s="110"/>
      <c r="DRG1365" s="110"/>
      <c r="DRH1365" s="110"/>
      <c r="DRI1365" s="110"/>
      <c r="DRJ1365" s="110"/>
      <c r="DRK1365" s="110"/>
      <c r="DRL1365" s="110"/>
      <c r="DRM1365" s="110"/>
      <c r="DRN1365" s="110"/>
      <c r="DRO1365" s="110"/>
      <c r="DRP1365" s="110"/>
      <c r="DRQ1365" s="110"/>
      <c r="DRR1365" s="110"/>
      <c r="DRS1365" s="110"/>
      <c r="DRT1365" s="110"/>
      <c r="DRU1365" s="110"/>
      <c r="DRV1365" s="110"/>
      <c r="DRW1365" s="110"/>
      <c r="DRX1365" s="110"/>
      <c r="DRY1365" s="110"/>
      <c r="DRZ1365" s="110"/>
      <c r="DSA1365" s="110"/>
      <c r="DSB1365" s="110"/>
      <c r="DSC1365" s="110"/>
      <c r="DSD1365" s="110"/>
      <c r="DSE1365" s="110"/>
      <c r="DSF1365" s="110"/>
      <c r="DSG1365" s="110"/>
      <c r="DSH1365" s="110"/>
      <c r="DSI1365" s="110"/>
      <c r="DSJ1365" s="110"/>
      <c r="DSK1365" s="110"/>
      <c r="DSL1365" s="110"/>
      <c r="DSM1365" s="110"/>
      <c r="DSN1365" s="110"/>
      <c r="DSO1365" s="110"/>
      <c r="DSP1365" s="110"/>
      <c r="DSQ1365" s="110"/>
      <c r="DSR1365" s="110"/>
      <c r="DSS1365" s="110"/>
      <c r="DST1365" s="110"/>
      <c r="DSU1365" s="110"/>
      <c r="DSV1365" s="110"/>
      <c r="DSW1365" s="110"/>
      <c r="DSX1365" s="110"/>
      <c r="DSY1365" s="110"/>
      <c r="DSZ1365" s="110"/>
      <c r="DTA1365" s="110"/>
      <c r="DTB1365" s="110"/>
      <c r="DTC1365" s="110"/>
      <c r="DTD1365" s="110"/>
      <c r="DTE1365" s="110"/>
      <c r="DTF1365" s="110"/>
      <c r="DTG1365" s="110"/>
      <c r="DTH1365" s="110"/>
      <c r="DTI1365" s="110"/>
      <c r="DTJ1365" s="110"/>
      <c r="DTK1365" s="110"/>
      <c r="DTL1365" s="110"/>
      <c r="DTM1365" s="110"/>
      <c r="DTN1365" s="110"/>
      <c r="DTO1365" s="110"/>
      <c r="DTP1365" s="110"/>
      <c r="DTQ1365" s="110"/>
      <c r="DTR1365" s="110"/>
      <c r="DTS1365" s="110"/>
      <c r="DTT1365" s="110"/>
      <c r="DTU1365" s="110"/>
      <c r="DTV1365" s="110"/>
      <c r="DTW1365" s="110"/>
      <c r="DTX1365" s="110"/>
      <c r="DTY1365" s="110"/>
      <c r="DTZ1365" s="110"/>
      <c r="DUA1365" s="110"/>
      <c r="DUB1365" s="110"/>
      <c r="DUC1365" s="110"/>
      <c r="DUD1365" s="110"/>
      <c r="DUE1365" s="110"/>
      <c r="DUF1365" s="110"/>
      <c r="DUG1365" s="110"/>
      <c r="DUH1365" s="110"/>
      <c r="DUI1365" s="110"/>
      <c r="DUJ1365" s="110"/>
      <c r="DUK1365" s="110"/>
      <c r="DUL1365" s="110"/>
      <c r="DUM1365" s="110"/>
      <c r="DUN1365" s="110"/>
      <c r="DUO1365" s="110"/>
      <c r="DUP1365" s="110"/>
      <c r="DUQ1365" s="110"/>
      <c r="DUR1365" s="110"/>
      <c r="DUS1365" s="110"/>
      <c r="DUT1365" s="110"/>
      <c r="DUU1365" s="110"/>
      <c r="DUV1365" s="110"/>
      <c r="DUW1365" s="110"/>
      <c r="DUX1365" s="110"/>
      <c r="DUY1365" s="110"/>
      <c r="DUZ1365" s="110"/>
      <c r="DVA1365" s="110"/>
      <c r="DVB1365" s="110"/>
      <c r="DVC1365" s="110"/>
      <c r="DVD1365" s="110"/>
      <c r="DVE1365" s="110"/>
      <c r="DVF1365" s="110"/>
      <c r="DVG1365" s="110"/>
      <c r="DVH1365" s="110"/>
      <c r="DVI1365" s="110"/>
      <c r="DVJ1365" s="110"/>
      <c r="DVK1365" s="110"/>
      <c r="DVL1365" s="110"/>
      <c r="DVM1365" s="110"/>
      <c r="DVN1365" s="110"/>
      <c r="DVO1365" s="110"/>
      <c r="DVP1365" s="110"/>
      <c r="DVQ1365" s="110"/>
      <c r="DVR1365" s="110"/>
      <c r="DVS1365" s="110"/>
      <c r="DVT1365" s="110"/>
      <c r="DVU1365" s="110"/>
      <c r="DVV1365" s="110"/>
      <c r="DVW1365" s="110"/>
      <c r="DVX1365" s="110"/>
      <c r="DVY1365" s="110"/>
      <c r="DVZ1365" s="110"/>
      <c r="DWA1365" s="110"/>
      <c r="DWB1365" s="110"/>
      <c r="DWC1365" s="110"/>
      <c r="DWD1365" s="110"/>
      <c r="DWE1365" s="110"/>
      <c r="DWF1365" s="110"/>
      <c r="DWG1365" s="110"/>
      <c r="DWH1365" s="110"/>
      <c r="DWI1365" s="110"/>
      <c r="DWJ1365" s="110"/>
      <c r="DWK1365" s="110"/>
      <c r="DWL1365" s="110"/>
      <c r="DWM1365" s="110"/>
      <c r="DWN1365" s="110"/>
      <c r="DWO1365" s="110"/>
      <c r="DWP1365" s="110"/>
      <c r="DWQ1365" s="110"/>
      <c r="DWR1365" s="110"/>
      <c r="DWS1365" s="110"/>
      <c r="DWT1365" s="110"/>
      <c r="DWU1365" s="110"/>
      <c r="DWV1365" s="110"/>
      <c r="DWW1365" s="110"/>
      <c r="DWX1365" s="110"/>
      <c r="DWY1365" s="110"/>
      <c r="DWZ1365" s="110"/>
      <c r="DXA1365" s="110"/>
      <c r="DXB1365" s="110"/>
      <c r="DXC1365" s="110"/>
      <c r="DXD1365" s="110"/>
      <c r="DXE1365" s="110"/>
      <c r="DXF1365" s="110"/>
      <c r="DXG1365" s="110"/>
      <c r="DXH1365" s="110"/>
      <c r="DXI1365" s="110"/>
      <c r="DXJ1365" s="110"/>
      <c r="DXK1365" s="110"/>
      <c r="DXL1365" s="110"/>
      <c r="DXM1365" s="110"/>
      <c r="DXN1365" s="110"/>
      <c r="DXO1365" s="110"/>
      <c r="DXP1365" s="110"/>
      <c r="DXQ1365" s="110"/>
      <c r="DXR1365" s="110"/>
      <c r="DXS1365" s="110"/>
      <c r="DXT1365" s="110"/>
      <c r="DXU1365" s="110"/>
      <c r="DXV1365" s="110"/>
      <c r="DXW1365" s="110"/>
      <c r="DXX1365" s="110"/>
      <c r="DXY1365" s="110"/>
      <c r="DXZ1365" s="110"/>
      <c r="DYA1365" s="110"/>
      <c r="DYB1365" s="110"/>
      <c r="DYC1365" s="110"/>
      <c r="DYD1365" s="110"/>
      <c r="DYE1365" s="110"/>
      <c r="DYF1365" s="110"/>
      <c r="DYG1365" s="110"/>
      <c r="DYH1365" s="110"/>
      <c r="DYI1365" s="110"/>
      <c r="DYJ1365" s="110"/>
      <c r="DYK1365" s="110"/>
      <c r="DYL1365" s="110"/>
      <c r="DYM1365" s="110"/>
      <c r="DYN1365" s="110"/>
      <c r="DYO1365" s="110"/>
      <c r="DYP1365" s="110"/>
      <c r="DYQ1365" s="110"/>
      <c r="DYR1365" s="110"/>
      <c r="DYS1365" s="110"/>
      <c r="DYT1365" s="110"/>
      <c r="DYU1365" s="110"/>
      <c r="DYV1365" s="110"/>
      <c r="DYW1365" s="110"/>
      <c r="DYX1365" s="110"/>
      <c r="DYY1365" s="110"/>
      <c r="DYZ1365" s="110"/>
      <c r="DZA1365" s="110"/>
      <c r="DZB1365" s="110"/>
      <c r="DZC1365" s="110"/>
      <c r="DZD1365" s="110"/>
      <c r="DZE1365" s="110"/>
      <c r="DZF1365" s="110"/>
      <c r="DZG1365" s="110"/>
      <c r="DZH1365" s="110"/>
      <c r="DZI1365" s="110"/>
      <c r="DZJ1365" s="110"/>
      <c r="DZK1365" s="110"/>
      <c r="DZL1365" s="110"/>
      <c r="DZM1365" s="110"/>
      <c r="DZN1365" s="110"/>
      <c r="DZO1365" s="110"/>
      <c r="DZP1365" s="110"/>
      <c r="DZQ1365" s="110"/>
      <c r="DZR1365" s="110"/>
      <c r="DZS1365" s="110"/>
      <c r="DZT1365" s="110"/>
      <c r="DZU1365" s="110"/>
      <c r="DZV1365" s="110"/>
      <c r="DZW1365" s="110"/>
      <c r="DZX1365" s="110"/>
      <c r="DZY1365" s="110"/>
      <c r="DZZ1365" s="110"/>
      <c r="EAA1365" s="110"/>
      <c r="EAB1365" s="110"/>
      <c r="EAC1365" s="110"/>
      <c r="EAD1365" s="110"/>
      <c r="EAE1365" s="110"/>
      <c r="EAF1365" s="110"/>
      <c r="EAG1365" s="110"/>
      <c r="EAH1365" s="110"/>
      <c r="EAI1365" s="110"/>
      <c r="EAJ1365" s="110"/>
      <c r="EAK1365" s="110"/>
      <c r="EAL1365" s="110"/>
      <c r="EAM1365" s="110"/>
      <c r="EAN1365" s="110"/>
      <c r="EAO1365" s="110"/>
      <c r="EAP1365" s="110"/>
      <c r="EAQ1365" s="110"/>
      <c r="EAR1365" s="110"/>
      <c r="EAS1365" s="110"/>
      <c r="EAT1365" s="110"/>
      <c r="EAU1365" s="110"/>
      <c r="EAV1365" s="110"/>
      <c r="EAW1365" s="110"/>
      <c r="EAX1365" s="110"/>
      <c r="EAY1365" s="110"/>
      <c r="EAZ1365" s="110"/>
      <c r="EBA1365" s="110"/>
      <c r="EBB1365" s="110"/>
      <c r="EBC1365" s="110"/>
      <c r="EBD1365" s="110"/>
      <c r="EBE1365" s="110"/>
      <c r="EBF1365" s="110"/>
      <c r="EBG1365" s="110"/>
      <c r="EBH1365" s="110"/>
      <c r="EBI1365" s="110"/>
      <c r="EBJ1365" s="110"/>
      <c r="EBK1365" s="110"/>
      <c r="EBL1365" s="110"/>
      <c r="EBM1365" s="110"/>
      <c r="EBN1365" s="110"/>
      <c r="EBO1365" s="110"/>
      <c r="EBP1365" s="110"/>
      <c r="EBQ1365" s="110"/>
      <c r="EBR1365" s="110"/>
      <c r="EBS1365" s="110"/>
      <c r="EBT1365" s="110"/>
      <c r="EBU1365" s="110"/>
      <c r="EBV1365" s="110"/>
      <c r="EBW1365" s="110"/>
      <c r="EBX1365" s="110"/>
      <c r="EBY1365" s="110"/>
      <c r="EBZ1365" s="110"/>
      <c r="ECA1365" s="110"/>
      <c r="ECB1365" s="110"/>
      <c r="ECC1365" s="110"/>
      <c r="ECD1365" s="110"/>
      <c r="ECE1365" s="110"/>
      <c r="ECF1365" s="110"/>
      <c r="ECG1365" s="110"/>
      <c r="ECH1365" s="110"/>
      <c r="ECI1365" s="110"/>
      <c r="ECJ1365" s="110"/>
      <c r="ECK1365" s="110"/>
      <c r="ECL1365" s="110"/>
      <c r="ECM1365" s="110"/>
      <c r="ECN1365" s="110"/>
      <c r="ECO1365" s="110"/>
      <c r="ECP1365" s="110"/>
      <c r="ECQ1365" s="110"/>
      <c r="ECR1365" s="110"/>
      <c r="ECS1365" s="110"/>
      <c r="ECT1365" s="110"/>
      <c r="ECU1365" s="110"/>
      <c r="ECV1365" s="110"/>
      <c r="ECW1365" s="110"/>
      <c r="ECX1365" s="110"/>
      <c r="ECY1365" s="110"/>
      <c r="ECZ1365" s="110"/>
      <c r="EDA1365" s="110"/>
      <c r="EDB1365" s="110"/>
      <c r="EDC1365" s="110"/>
      <c r="EDD1365" s="110"/>
      <c r="EDE1365" s="110"/>
      <c r="EDF1365" s="110"/>
      <c r="EDG1365" s="110"/>
      <c r="EDH1365" s="110"/>
      <c r="EDI1365" s="110"/>
      <c r="EDJ1365" s="110"/>
      <c r="EDK1365" s="110"/>
      <c r="EDL1365" s="110"/>
      <c r="EDM1365" s="110"/>
      <c r="EDN1365" s="110"/>
      <c r="EDO1365" s="110"/>
      <c r="EDP1365" s="110"/>
      <c r="EDQ1365" s="110"/>
      <c r="EDR1365" s="110"/>
      <c r="EDS1365" s="110"/>
      <c r="EDT1365" s="110"/>
      <c r="EDU1365" s="110"/>
      <c r="EDV1365" s="110"/>
      <c r="EDW1365" s="110"/>
      <c r="EDX1365" s="110"/>
      <c r="EDY1365" s="110"/>
      <c r="EDZ1365" s="110"/>
      <c r="EEA1365" s="110"/>
      <c r="EEB1365" s="110"/>
      <c r="EEC1365" s="110"/>
      <c r="EED1365" s="110"/>
      <c r="EEE1365" s="110"/>
      <c r="EEF1365" s="110"/>
      <c r="EEG1365" s="110"/>
      <c r="EEH1365" s="110"/>
      <c r="EEI1365" s="110"/>
      <c r="EEJ1365" s="110"/>
      <c r="EEK1365" s="110"/>
      <c r="EEL1365" s="110"/>
      <c r="EEM1365" s="110"/>
      <c r="EEN1365" s="110"/>
      <c r="EEO1365" s="110"/>
      <c r="EEP1365" s="110"/>
      <c r="EEQ1365" s="110"/>
      <c r="EER1365" s="110"/>
      <c r="EES1365" s="110"/>
      <c r="EET1365" s="110"/>
      <c r="EEU1365" s="110"/>
      <c r="EEV1365" s="110"/>
      <c r="EEW1365" s="110"/>
      <c r="EEX1365" s="110"/>
      <c r="EEY1365" s="110"/>
      <c r="EEZ1365" s="110"/>
      <c r="EFA1365" s="110"/>
      <c r="EFB1365" s="110"/>
      <c r="EFC1365" s="110"/>
      <c r="EFD1365" s="110"/>
      <c r="EFE1365" s="110"/>
      <c r="EFF1365" s="110"/>
      <c r="EFG1365" s="110"/>
      <c r="EFH1365" s="110"/>
      <c r="EFI1365" s="110"/>
      <c r="EFJ1365" s="110"/>
      <c r="EFK1365" s="110"/>
      <c r="EFL1365" s="110"/>
      <c r="EFM1365" s="110"/>
      <c r="EFN1365" s="110"/>
      <c r="EFO1365" s="110"/>
      <c r="EFP1365" s="110"/>
      <c r="EFQ1365" s="110"/>
      <c r="EFR1365" s="110"/>
      <c r="EFS1365" s="110"/>
      <c r="EFT1365" s="110"/>
      <c r="EFU1365" s="110"/>
      <c r="EFV1365" s="110"/>
      <c r="EFW1365" s="110"/>
      <c r="EFX1365" s="110"/>
      <c r="EFY1365" s="110"/>
      <c r="EFZ1365" s="110"/>
      <c r="EGA1365" s="110"/>
      <c r="EGB1365" s="110"/>
      <c r="EGC1365" s="110"/>
      <c r="EGD1365" s="110"/>
      <c r="EGE1365" s="110"/>
      <c r="EGF1365" s="110"/>
      <c r="EGG1365" s="110"/>
      <c r="EGH1365" s="110"/>
      <c r="EGI1365" s="110"/>
      <c r="EGJ1365" s="110"/>
      <c r="EGK1365" s="110"/>
      <c r="EGL1365" s="110"/>
      <c r="EGM1365" s="110"/>
      <c r="EGN1365" s="110"/>
      <c r="EGO1365" s="110"/>
      <c r="EGP1365" s="110"/>
      <c r="EGQ1365" s="110"/>
      <c r="EGR1365" s="110"/>
      <c r="EGS1365" s="110"/>
      <c r="EGT1365" s="110"/>
      <c r="EGU1365" s="110"/>
      <c r="EGV1365" s="110"/>
      <c r="EGW1365" s="110"/>
      <c r="EGX1365" s="110"/>
      <c r="EGY1365" s="110"/>
      <c r="EGZ1365" s="110"/>
      <c r="EHA1365" s="110"/>
      <c r="EHB1365" s="110"/>
      <c r="EHC1365" s="110"/>
      <c r="EHD1365" s="110"/>
      <c r="EHE1365" s="110"/>
      <c r="EHF1365" s="110"/>
      <c r="EHG1365" s="110"/>
      <c r="EHH1365" s="110"/>
      <c r="EHI1365" s="110"/>
      <c r="EHJ1365" s="110"/>
      <c r="EHK1365" s="110"/>
      <c r="EHL1365" s="110"/>
      <c r="EHM1365" s="110"/>
      <c r="EHN1365" s="110"/>
      <c r="EHO1365" s="110"/>
      <c r="EHP1365" s="110"/>
      <c r="EHQ1365" s="110"/>
      <c r="EHR1365" s="110"/>
      <c r="EHS1365" s="110"/>
      <c r="EHT1365" s="110"/>
      <c r="EHU1365" s="110"/>
      <c r="EHV1365" s="110"/>
      <c r="EHW1365" s="110"/>
      <c r="EHX1365" s="110"/>
      <c r="EHY1365" s="110"/>
      <c r="EHZ1365" s="110"/>
      <c r="EIA1365" s="110"/>
      <c r="EIB1365" s="110"/>
      <c r="EIC1365" s="110"/>
      <c r="EID1365" s="110"/>
      <c r="EIE1365" s="110"/>
      <c r="EIF1365" s="110"/>
      <c r="EIG1365" s="110"/>
      <c r="EIH1365" s="110"/>
      <c r="EII1365" s="110"/>
      <c r="EIJ1365" s="110"/>
      <c r="EIK1365" s="110"/>
      <c r="EIL1365" s="110"/>
      <c r="EIM1365" s="110"/>
      <c r="EIN1365" s="110"/>
      <c r="EIO1365" s="110"/>
      <c r="EIP1365" s="110"/>
      <c r="EIQ1365" s="110"/>
      <c r="EIR1365" s="110"/>
      <c r="EIS1365" s="110"/>
      <c r="EIT1365" s="110"/>
      <c r="EIU1365" s="110"/>
      <c r="EIV1365" s="110"/>
      <c r="EIW1365" s="110"/>
      <c r="EIX1365" s="110"/>
      <c r="EIY1365" s="110"/>
      <c r="EIZ1365" s="110"/>
      <c r="EJA1365" s="110"/>
      <c r="EJB1365" s="110"/>
      <c r="EJC1365" s="110"/>
      <c r="EJD1365" s="110"/>
      <c r="EJE1365" s="110"/>
      <c r="EJF1365" s="110"/>
      <c r="EJG1365" s="110"/>
      <c r="EJH1365" s="110"/>
      <c r="EJI1365" s="110"/>
      <c r="EJJ1365" s="110"/>
      <c r="EJK1365" s="110"/>
      <c r="EJL1365" s="110"/>
      <c r="EJM1365" s="110"/>
      <c r="EJN1365" s="110"/>
      <c r="EJO1365" s="110"/>
      <c r="EJP1365" s="110"/>
      <c r="EJQ1365" s="110"/>
      <c r="EJR1365" s="110"/>
      <c r="EJS1365" s="110"/>
      <c r="EJT1365" s="110"/>
      <c r="EJU1365" s="110"/>
      <c r="EJV1365" s="110"/>
      <c r="EJW1365" s="110"/>
      <c r="EJX1365" s="110"/>
      <c r="EJY1365" s="110"/>
      <c r="EJZ1365" s="110"/>
      <c r="EKA1365" s="110"/>
      <c r="EKB1365" s="110"/>
      <c r="EKC1365" s="110"/>
      <c r="EKD1365" s="110"/>
      <c r="EKE1365" s="110"/>
      <c r="EKF1365" s="110"/>
      <c r="EKG1365" s="110"/>
      <c r="EKH1365" s="110"/>
      <c r="EKI1365" s="110"/>
      <c r="EKJ1365" s="110"/>
      <c r="EKK1365" s="110"/>
      <c r="EKL1365" s="110"/>
      <c r="EKM1365" s="110"/>
      <c r="EKN1365" s="110"/>
      <c r="EKO1365" s="110"/>
      <c r="EKP1365" s="110"/>
      <c r="EKQ1365" s="110"/>
      <c r="EKR1365" s="110"/>
      <c r="EKS1365" s="110"/>
      <c r="EKT1365" s="110"/>
      <c r="EKU1365" s="110"/>
      <c r="EKV1365" s="110"/>
      <c r="EKW1365" s="110"/>
      <c r="EKX1365" s="110"/>
      <c r="EKY1365" s="110"/>
      <c r="EKZ1365" s="110"/>
      <c r="ELA1365" s="110"/>
      <c r="ELB1365" s="110"/>
      <c r="ELC1365" s="110"/>
      <c r="ELD1365" s="110"/>
      <c r="ELE1365" s="110"/>
      <c r="ELF1365" s="110"/>
      <c r="ELG1365" s="110"/>
      <c r="ELH1365" s="110"/>
      <c r="ELI1365" s="110"/>
      <c r="ELJ1365" s="110"/>
      <c r="ELK1365" s="110"/>
      <c r="ELL1365" s="110"/>
      <c r="ELM1365" s="110"/>
      <c r="ELN1365" s="110"/>
      <c r="ELO1365" s="110"/>
      <c r="ELP1365" s="110"/>
      <c r="ELQ1365" s="110"/>
      <c r="ELR1365" s="110"/>
      <c r="ELS1365" s="110"/>
      <c r="ELT1365" s="110"/>
      <c r="ELU1365" s="110"/>
      <c r="ELV1365" s="110"/>
      <c r="ELW1365" s="110"/>
      <c r="ELX1365" s="110"/>
      <c r="ELY1365" s="110"/>
      <c r="ELZ1365" s="110"/>
      <c r="EMA1365" s="110"/>
      <c r="EMB1365" s="110"/>
      <c r="EMC1365" s="110"/>
      <c r="EMD1365" s="110"/>
      <c r="EME1365" s="110"/>
      <c r="EMF1365" s="110"/>
      <c r="EMG1365" s="110"/>
      <c r="EMH1365" s="110"/>
      <c r="EMI1365" s="110"/>
      <c r="EMJ1365" s="110"/>
      <c r="EMK1365" s="110"/>
      <c r="EML1365" s="110"/>
      <c r="EMM1365" s="110"/>
      <c r="EMN1365" s="110"/>
      <c r="EMO1365" s="110"/>
      <c r="EMP1365" s="110"/>
      <c r="EMQ1365" s="110"/>
      <c r="EMR1365" s="110"/>
      <c r="EMS1365" s="110"/>
      <c r="EMT1365" s="110"/>
      <c r="EMU1365" s="110"/>
      <c r="EMV1365" s="110"/>
      <c r="EMW1365" s="110"/>
      <c r="EMX1365" s="110"/>
      <c r="EMY1365" s="110"/>
      <c r="EMZ1365" s="110"/>
      <c r="ENA1365" s="110"/>
      <c r="ENB1365" s="110"/>
      <c r="ENC1365" s="110"/>
      <c r="END1365" s="110"/>
      <c r="ENE1365" s="110"/>
      <c r="ENF1365" s="110"/>
      <c r="ENG1365" s="110"/>
      <c r="ENH1365" s="110"/>
      <c r="ENI1365" s="110"/>
      <c r="ENJ1365" s="110"/>
      <c r="ENK1365" s="110"/>
      <c r="ENL1365" s="110"/>
      <c r="ENM1365" s="110"/>
      <c r="ENN1365" s="110"/>
      <c r="ENO1365" s="110"/>
      <c r="ENP1365" s="110"/>
      <c r="ENQ1365" s="110"/>
      <c r="ENR1365" s="110"/>
      <c r="ENS1365" s="110"/>
      <c r="ENT1365" s="110"/>
      <c r="ENU1365" s="110"/>
      <c r="ENV1365" s="110"/>
      <c r="ENW1365" s="110"/>
      <c r="ENX1365" s="110"/>
      <c r="ENY1365" s="110"/>
      <c r="ENZ1365" s="110"/>
      <c r="EOA1365" s="110"/>
      <c r="EOB1365" s="110"/>
      <c r="EOC1365" s="110"/>
      <c r="EOD1365" s="110"/>
      <c r="EOE1365" s="110"/>
      <c r="EOF1365" s="110"/>
      <c r="EOG1365" s="110"/>
      <c r="EOH1365" s="110"/>
      <c r="EOI1365" s="110"/>
      <c r="EOJ1365" s="110"/>
      <c r="EOK1365" s="110"/>
      <c r="EOL1365" s="110"/>
      <c r="EOM1365" s="110"/>
      <c r="EON1365" s="110"/>
      <c r="EOO1365" s="110"/>
      <c r="EOP1365" s="110"/>
      <c r="EOQ1365" s="110"/>
      <c r="EOR1365" s="110"/>
      <c r="EOS1365" s="110"/>
      <c r="EOT1365" s="110"/>
      <c r="EOU1365" s="110"/>
      <c r="EOV1365" s="110"/>
      <c r="EOW1365" s="110"/>
      <c r="EOX1365" s="110"/>
      <c r="EOY1365" s="110"/>
      <c r="EOZ1365" s="110"/>
      <c r="EPA1365" s="110"/>
      <c r="EPB1365" s="110"/>
      <c r="EPC1365" s="110"/>
      <c r="EPD1365" s="110"/>
      <c r="EPE1365" s="110"/>
      <c r="EPF1365" s="110"/>
      <c r="EPG1365" s="110"/>
      <c r="EPH1365" s="110"/>
      <c r="EPI1365" s="110"/>
      <c r="EPJ1365" s="110"/>
      <c r="EPK1365" s="110"/>
      <c r="EPL1365" s="110"/>
      <c r="EPM1365" s="110"/>
      <c r="EPN1365" s="110"/>
      <c r="EPO1365" s="110"/>
      <c r="EPP1365" s="110"/>
      <c r="EPQ1365" s="110"/>
      <c r="EPR1365" s="110"/>
      <c r="EPS1365" s="110"/>
      <c r="EPT1365" s="110"/>
      <c r="EPU1365" s="110"/>
      <c r="EPV1365" s="110"/>
      <c r="EPW1365" s="110"/>
      <c r="EPX1365" s="110"/>
      <c r="EPY1365" s="110"/>
      <c r="EPZ1365" s="110"/>
      <c r="EQA1365" s="110"/>
      <c r="EQB1365" s="110"/>
      <c r="EQC1365" s="110"/>
      <c r="EQD1365" s="110"/>
      <c r="EQE1365" s="110"/>
      <c r="EQF1365" s="110"/>
      <c r="EQG1365" s="110"/>
      <c r="EQH1365" s="110"/>
      <c r="EQI1365" s="110"/>
      <c r="EQJ1365" s="110"/>
      <c r="EQK1365" s="110"/>
      <c r="EQL1365" s="110"/>
      <c r="EQM1365" s="110"/>
      <c r="EQN1365" s="110"/>
      <c r="EQO1365" s="110"/>
      <c r="EQP1365" s="110"/>
      <c r="EQQ1365" s="110"/>
      <c r="EQR1365" s="110"/>
      <c r="EQS1365" s="110"/>
      <c r="EQT1365" s="110"/>
      <c r="EQU1365" s="110"/>
      <c r="EQV1365" s="110"/>
      <c r="EQW1365" s="110"/>
      <c r="EQX1365" s="110"/>
      <c r="EQY1365" s="110"/>
      <c r="EQZ1365" s="110"/>
      <c r="ERA1365" s="110"/>
      <c r="ERB1365" s="110"/>
      <c r="ERC1365" s="110"/>
      <c r="ERD1365" s="110"/>
      <c r="ERE1365" s="110"/>
      <c r="ERF1365" s="110"/>
      <c r="ERG1365" s="110"/>
      <c r="ERH1365" s="110"/>
      <c r="ERI1365" s="110"/>
      <c r="ERJ1365" s="110"/>
      <c r="ERK1365" s="110"/>
      <c r="ERL1365" s="110"/>
      <c r="ERM1365" s="110"/>
      <c r="ERN1365" s="110"/>
      <c r="ERO1365" s="110"/>
      <c r="ERP1365" s="110"/>
      <c r="ERQ1365" s="110"/>
      <c r="ERR1365" s="110"/>
      <c r="ERS1365" s="110"/>
      <c r="ERT1365" s="110"/>
      <c r="ERU1365" s="110"/>
      <c r="ERV1365" s="110"/>
      <c r="ERW1365" s="110"/>
      <c r="ERX1365" s="110"/>
      <c r="ERY1365" s="110"/>
      <c r="ERZ1365" s="110"/>
      <c r="ESA1365" s="110"/>
      <c r="ESB1365" s="110"/>
      <c r="ESC1365" s="110"/>
      <c r="ESD1365" s="110"/>
      <c r="ESE1365" s="110"/>
      <c r="ESF1365" s="110"/>
      <c r="ESG1365" s="110"/>
      <c r="ESH1365" s="110"/>
      <c r="ESI1365" s="110"/>
      <c r="ESJ1365" s="110"/>
      <c r="ESK1365" s="110"/>
      <c r="ESL1365" s="110"/>
      <c r="ESM1365" s="110"/>
      <c r="ESN1365" s="110"/>
      <c r="ESO1365" s="110"/>
      <c r="ESP1365" s="110"/>
      <c r="ESQ1365" s="110"/>
      <c r="ESR1365" s="110"/>
      <c r="ESS1365" s="110"/>
      <c r="EST1365" s="110"/>
      <c r="ESU1365" s="110"/>
      <c r="ESV1365" s="110"/>
      <c r="ESW1365" s="110"/>
      <c r="ESX1365" s="110"/>
      <c r="ESY1365" s="110"/>
      <c r="ESZ1365" s="110"/>
      <c r="ETA1365" s="110"/>
      <c r="ETB1365" s="110"/>
      <c r="ETC1365" s="110"/>
      <c r="ETD1365" s="110"/>
      <c r="ETE1365" s="110"/>
      <c r="ETF1365" s="110"/>
      <c r="ETG1365" s="110"/>
      <c r="ETH1365" s="110"/>
      <c r="ETI1365" s="110"/>
      <c r="ETJ1365" s="110"/>
      <c r="ETK1365" s="110"/>
      <c r="ETL1365" s="110"/>
      <c r="ETM1365" s="110"/>
      <c r="ETN1365" s="110"/>
      <c r="ETO1365" s="110"/>
      <c r="ETP1365" s="110"/>
      <c r="ETQ1365" s="110"/>
      <c r="ETR1365" s="110"/>
      <c r="ETS1365" s="110"/>
      <c r="ETT1365" s="110"/>
      <c r="ETU1365" s="110"/>
      <c r="ETV1365" s="110"/>
      <c r="ETW1365" s="110"/>
      <c r="ETX1365" s="110"/>
      <c r="ETY1365" s="110"/>
      <c r="ETZ1365" s="110"/>
      <c r="EUA1365" s="110"/>
      <c r="EUB1365" s="110"/>
      <c r="EUC1365" s="110"/>
      <c r="EUD1365" s="110"/>
      <c r="EUE1365" s="110"/>
      <c r="EUF1365" s="110"/>
      <c r="EUG1365" s="110"/>
      <c r="EUH1365" s="110"/>
      <c r="EUI1365" s="110"/>
      <c r="EUJ1365" s="110"/>
      <c r="EUK1365" s="110"/>
      <c r="EUL1365" s="110"/>
      <c r="EUM1365" s="110"/>
      <c r="EUN1365" s="110"/>
      <c r="EUO1365" s="110"/>
      <c r="EUP1365" s="110"/>
      <c r="EUQ1365" s="110"/>
      <c r="EUR1365" s="110"/>
      <c r="EUS1365" s="110"/>
      <c r="EUT1365" s="110"/>
      <c r="EUU1365" s="110"/>
      <c r="EUV1365" s="110"/>
      <c r="EUW1365" s="110"/>
      <c r="EUX1365" s="110"/>
      <c r="EUY1365" s="110"/>
      <c r="EUZ1365" s="110"/>
      <c r="EVA1365" s="110"/>
      <c r="EVB1365" s="110"/>
      <c r="EVC1365" s="110"/>
      <c r="EVD1365" s="110"/>
      <c r="EVE1365" s="110"/>
      <c r="EVF1365" s="110"/>
      <c r="EVG1365" s="110"/>
      <c r="EVH1365" s="110"/>
      <c r="EVI1365" s="110"/>
      <c r="EVJ1365" s="110"/>
      <c r="EVK1365" s="110"/>
      <c r="EVL1365" s="110"/>
      <c r="EVM1365" s="110"/>
      <c r="EVN1365" s="110"/>
      <c r="EVO1365" s="110"/>
      <c r="EVP1365" s="110"/>
      <c r="EVQ1365" s="110"/>
      <c r="EVR1365" s="110"/>
      <c r="EVS1365" s="110"/>
      <c r="EVT1365" s="110"/>
      <c r="EVU1365" s="110"/>
      <c r="EVV1365" s="110"/>
      <c r="EVW1365" s="110"/>
      <c r="EVX1365" s="110"/>
      <c r="EVY1365" s="110"/>
      <c r="EVZ1365" s="110"/>
      <c r="EWA1365" s="110"/>
      <c r="EWB1365" s="110"/>
      <c r="EWC1365" s="110"/>
      <c r="EWD1365" s="110"/>
      <c r="EWE1365" s="110"/>
      <c r="EWF1365" s="110"/>
      <c r="EWG1365" s="110"/>
      <c r="EWH1365" s="110"/>
      <c r="EWI1365" s="110"/>
      <c r="EWJ1365" s="110"/>
      <c r="EWK1365" s="110"/>
      <c r="EWL1365" s="110"/>
      <c r="EWM1365" s="110"/>
      <c r="EWN1365" s="110"/>
      <c r="EWO1365" s="110"/>
      <c r="EWP1365" s="110"/>
      <c r="EWQ1365" s="110"/>
      <c r="EWR1365" s="110"/>
      <c r="EWS1365" s="110"/>
      <c r="EWT1365" s="110"/>
      <c r="EWU1365" s="110"/>
      <c r="EWV1365" s="110"/>
      <c r="EWW1365" s="110"/>
      <c r="EWX1365" s="110"/>
      <c r="EWY1365" s="110"/>
      <c r="EWZ1365" s="110"/>
      <c r="EXA1365" s="110"/>
      <c r="EXB1365" s="110"/>
      <c r="EXC1365" s="110"/>
      <c r="EXD1365" s="110"/>
      <c r="EXE1365" s="110"/>
      <c r="EXF1365" s="110"/>
      <c r="EXG1365" s="110"/>
      <c r="EXH1365" s="110"/>
      <c r="EXI1365" s="110"/>
      <c r="EXJ1365" s="110"/>
      <c r="EXK1365" s="110"/>
      <c r="EXL1365" s="110"/>
      <c r="EXM1365" s="110"/>
      <c r="EXN1365" s="110"/>
      <c r="EXO1365" s="110"/>
      <c r="EXP1365" s="110"/>
      <c r="EXQ1365" s="110"/>
      <c r="EXR1365" s="110"/>
      <c r="EXS1365" s="110"/>
      <c r="EXT1365" s="110"/>
      <c r="EXU1365" s="110"/>
      <c r="EXV1365" s="110"/>
      <c r="EXW1365" s="110"/>
      <c r="EXX1365" s="110"/>
      <c r="EXY1365" s="110"/>
      <c r="EXZ1365" s="110"/>
      <c r="EYA1365" s="110"/>
      <c r="EYB1365" s="110"/>
      <c r="EYC1365" s="110"/>
      <c r="EYD1365" s="110"/>
      <c r="EYE1365" s="110"/>
      <c r="EYF1365" s="110"/>
      <c r="EYG1365" s="110"/>
      <c r="EYH1365" s="110"/>
      <c r="EYI1365" s="110"/>
      <c r="EYJ1365" s="110"/>
      <c r="EYK1365" s="110"/>
      <c r="EYL1365" s="110"/>
      <c r="EYM1365" s="110"/>
      <c r="EYN1365" s="110"/>
      <c r="EYO1365" s="110"/>
      <c r="EYP1365" s="110"/>
      <c r="EYQ1365" s="110"/>
      <c r="EYR1365" s="110"/>
      <c r="EYS1365" s="110"/>
      <c r="EYT1365" s="110"/>
      <c r="EYU1365" s="110"/>
      <c r="EYV1365" s="110"/>
      <c r="EYW1365" s="110"/>
      <c r="EYX1365" s="110"/>
      <c r="EYY1365" s="110"/>
      <c r="EYZ1365" s="110"/>
      <c r="EZA1365" s="110"/>
      <c r="EZB1365" s="110"/>
      <c r="EZC1365" s="110"/>
      <c r="EZD1365" s="110"/>
      <c r="EZE1365" s="110"/>
      <c r="EZF1365" s="110"/>
      <c r="EZG1365" s="110"/>
      <c r="EZH1365" s="110"/>
      <c r="EZI1365" s="110"/>
      <c r="EZJ1365" s="110"/>
      <c r="EZK1365" s="110"/>
      <c r="EZL1365" s="110"/>
      <c r="EZM1365" s="110"/>
      <c r="EZN1365" s="110"/>
      <c r="EZO1365" s="110"/>
      <c r="EZP1365" s="110"/>
      <c r="EZQ1365" s="110"/>
      <c r="EZR1365" s="110"/>
      <c r="EZS1365" s="110"/>
      <c r="EZT1365" s="110"/>
      <c r="EZU1365" s="110"/>
      <c r="EZV1365" s="110"/>
      <c r="EZW1365" s="110"/>
      <c r="EZX1365" s="110"/>
      <c r="EZY1365" s="110"/>
      <c r="EZZ1365" s="110"/>
      <c r="FAA1365" s="110"/>
      <c r="FAB1365" s="110"/>
      <c r="FAC1365" s="110"/>
      <c r="FAD1365" s="110"/>
      <c r="FAE1365" s="110"/>
      <c r="FAF1365" s="110"/>
      <c r="FAG1365" s="110"/>
      <c r="FAH1365" s="110"/>
      <c r="FAI1365" s="110"/>
      <c r="FAJ1365" s="110"/>
      <c r="FAK1365" s="110"/>
      <c r="FAL1365" s="110"/>
      <c r="FAM1365" s="110"/>
      <c r="FAN1365" s="110"/>
      <c r="FAO1365" s="110"/>
      <c r="FAP1365" s="110"/>
      <c r="FAQ1365" s="110"/>
      <c r="FAR1365" s="110"/>
      <c r="FAS1365" s="110"/>
      <c r="FAT1365" s="110"/>
      <c r="FAU1365" s="110"/>
      <c r="FAV1365" s="110"/>
      <c r="FAW1365" s="110"/>
      <c r="FAX1365" s="110"/>
      <c r="FAY1365" s="110"/>
      <c r="FAZ1365" s="110"/>
      <c r="FBA1365" s="110"/>
      <c r="FBB1365" s="110"/>
      <c r="FBC1365" s="110"/>
      <c r="FBD1365" s="110"/>
      <c r="FBE1365" s="110"/>
      <c r="FBF1365" s="110"/>
      <c r="FBG1365" s="110"/>
      <c r="FBH1365" s="110"/>
      <c r="FBI1365" s="110"/>
      <c r="FBJ1365" s="110"/>
      <c r="FBK1365" s="110"/>
      <c r="FBL1365" s="110"/>
      <c r="FBM1365" s="110"/>
      <c r="FBN1365" s="110"/>
      <c r="FBO1365" s="110"/>
      <c r="FBP1365" s="110"/>
      <c r="FBQ1365" s="110"/>
      <c r="FBR1365" s="110"/>
      <c r="FBS1365" s="110"/>
      <c r="FBT1365" s="110"/>
      <c r="FBU1365" s="110"/>
      <c r="FBV1365" s="110"/>
      <c r="FBW1365" s="110"/>
      <c r="FBX1365" s="110"/>
      <c r="FBY1365" s="110"/>
      <c r="FBZ1365" s="110"/>
      <c r="FCA1365" s="110"/>
      <c r="FCB1365" s="110"/>
      <c r="FCC1365" s="110"/>
      <c r="FCD1365" s="110"/>
      <c r="FCE1365" s="110"/>
      <c r="FCF1365" s="110"/>
      <c r="FCG1365" s="110"/>
      <c r="FCH1365" s="110"/>
      <c r="FCI1365" s="110"/>
      <c r="FCJ1365" s="110"/>
      <c r="FCK1365" s="110"/>
      <c r="FCL1365" s="110"/>
      <c r="FCM1365" s="110"/>
      <c r="FCN1365" s="110"/>
      <c r="FCO1365" s="110"/>
      <c r="FCP1365" s="110"/>
      <c r="FCQ1365" s="110"/>
      <c r="FCR1365" s="110"/>
      <c r="FCS1365" s="110"/>
      <c r="FCT1365" s="110"/>
      <c r="FCU1365" s="110"/>
      <c r="FCV1365" s="110"/>
      <c r="FCW1365" s="110"/>
      <c r="FCX1365" s="110"/>
      <c r="FCY1365" s="110"/>
      <c r="FCZ1365" s="110"/>
      <c r="FDA1365" s="110"/>
      <c r="FDB1365" s="110"/>
      <c r="FDC1365" s="110"/>
      <c r="FDD1365" s="110"/>
      <c r="FDE1365" s="110"/>
      <c r="FDF1365" s="110"/>
      <c r="FDG1365" s="110"/>
      <c r="FDH1365" s="110"/>
      <c r="FDI1365" s="110"/>
      <c r="FDJ1365" s="110"/>
      <c r="FDK1365" s="110"/>
      <c r="FDL1365" s="110"/>
      <c r="FDM1365" s="110"/>
      <c r="FDN1365" s="110"/>
      <c r="FDO1365" s="110"/>
      <c r="FDP1365" s="110"/>
      <c r="FDQ1365" s="110"/>
      <c r="FDR1365" s="110"/>
      <c r="FDS1365" s="110"/>
      <c r="FDT1365" s="110"/>
      <c r="FDU1365" s="110"/>
      <c r="FDV1365" s="110"/>
      <c r="FDW1365" s="110"/>
      <c r="FDX1365" s="110"/>
      <c r="FDY1365" s="110"/>
      <c r="FDZ1365" s="110"/>
      <c r="FEA1365" s="110"/>
      <c r="FEB1365" s="110"/>
      <c r="FEC1365" s="110"/>
      <c r="FED1365" s="110"/>
      <c r="FEE1365" s="110"/>
      <c r="FEF1365" s="110"/>
      <c r="FEG1365" s="110"/>
      <c r="FEH1365" s="110"/>
      <c r="FEI1365" s="110"/>
      <c r="FEJ1365" s="110"/>
      <c r="FEK1365" s="110"/>
      <c r="FEL1365" s="110"/>
      <c r="FEM1365" s="110"/>
      <c r="FEN1365" s="110"/>
      <c r="FEO1365" s="110"/>
      <c r="FEP1365" s="110"/>
      <c r="FEQ1365" s="110"/>
      <c r="FER1365" s="110"/>
      <c r="FES1365" s="110"/>
      <c r="FET1365" s="110"/>
      <c r="FEU1365" s="110"/>
      <c r="FEV1365" s="110"/>
      <c r="FEW1365" s="110"/>
      <c r="FEX1365" s="110"/>
      <c r="FEY1365" s="110"/>
      <c r="FEZ1365" s="110"/>
      <c r="FFA1365" s="110"/>
      <c r="FFB1365" s="110"/>
      <c r="FFC1365" s="110"/>
      <c r="FFD1365" s="110"/>
      <c r="FFE1365" s="110"/>
      <c r="FFF1365" s="110"/>
      <c r="FFG1365" s="110"/>
      <c r="FFH1365" s="110"/>
      <c r="FFI1365" s="110"/>
      <c r="FFJ1365" s="110"/>
      <c r="FFK1365" s="110"/>
      <c r="FFL1365" s="110"/>
      <c r="FFM1365" s="110"/>
      <c r="FFN1365" s="110"/>
      <c r="FFO1365" s="110"/>
      <c r="FFP1365" s="110"/>
      <c r="FFQ1365" s="110"/>
      <c r="FFR1365" s="110"/>
      <c r="FFS1365" s="110"/>
      <c r="FFT1365" s="110"/>
      <c r="FFU1365" s="110"/>
      <c r="FFV1365" s="110"/>
      <c r="FFW1365" s="110"/>
      <c r="FFX1365" s="110"/>
      <c r="FFY1365" s="110"/>
      <c r="FFZ1365" s="110"/>
      <c r="FGA1365" s="110"/>
      <c r="FGB1365" s="110"/>
      <c r="FGC1365" s="110"/>
      <c r="FGD1365" s="110"/>
      <c r="FGE1365" s="110"/>
      <c r="FGF1365" s="110"/>
      <c r="FGG1365" s="110"/>
      <c r="FGH1365" s="110"/>
      <c r="FGI1365" s="110"/>
      <c r="FGJ1365" s="110"/>
      <c r="FGK1365" s="110"/>
      <c r="FGL1365" s="110"/>
      <c r="FGM1365" s="110"/>
      <c r="FGN1365" s="110"/>
      <c r="FGO1365" s="110"/>
      <c r="FGP1365" s="110"/>
      <c r="FGQ1365" s="110"/>
      <c r="FGR1365" s="110"/>
      <c r="FGS1365" s="110"/>
      <c r="FGT1365" s="110"/>
      <c r="FGU1365" s="110"/>
      <c r="FGV1365" s="110"/>
      <c r="FGW1365" s="110"/>
      <c r="FGX1365" s="110"/>
      <c r="FGY1365" s="110"/>
      <c r="FGZ1365" s="110"/>
      <c r="FHA1365" s="110"/>
      <c r="FHB1365" s="110"/>
      <c r="FHC1365" s="110"/>
      <c r="FHD1365" s="110"/>
      <c r="FHE1365" s="110"/>
      <c r="FHF1365" s="110"/>
      <c r="FHG1365" s="110"/>
      <c r="FHH1365" s="110"/>
      <c r="FHI1365" s="110"/>
      <c r="FHJ1365" s="110"/>
      <c r="FHK1365" s="110"/>
      <c r="FHL1365" s="110"/>
      <c r="FHM1365" s="110"/>
      <c r="FHN1365" s="110"/>
      <c r="FHO1365" s="110"/>
      <c r="FHP1365" s="110"/>
      <c r="FHQ1365" s="110"/>
      <c r="FHR1365" s="110"/>
      <c r="FHS1365" s="110"/>
      <c r="FHT1365" s="110"/>
      <c r="FHU1365" s="110"/>
      <c r="FHV1365" s="110"/>
      <c r="FHW1365" s="110"/>
      <c r="FHX1365" s="110"/>
      <c r="FHY1365" s="110"/>
      <c r="FHZ1365" s="110"/>
      <c r="FIA1365" s="110"/>
      <c r="FIB1365" s="110"/>
      <c r="FIC1365" s="110"/>
      <c r="FID1365" s="110"/>
      <c r="FIE1365" s="110"/>
      <c r="FIF1365" s="110"/>
      <c r="FIG1365" s="110"/>
      <c r="FIH1365" s="110"/>
      <c r="FII1365" s="110"/>
      <c r="FIJ1365" s="110"/>
      <c r="FIK1365" s="110"/>
      <c r="FIL1365" s="110"/>
      <c r="FIM1365" s="110"/>
      <c r="FIN1365" s="110"/>
      <c r="FIO1365" s="110"/>
      <c r="FIP1365" s="110"/>
      <c r="FIQ1365" s="110"/>
      <c r="FIR1365" s="110"/>
      <c r="FIS1365" s="110"/>
      <c r="FIT1365" s="110"/>
      <c r="FIU1365" s="110"/>
      <c r="FIV1365" s="110"/>
      <c r="FIW1365" s="110"/>
      <c r="FIX1365" s="110"/>
      <c r="FIY1365" s="110"/>
      <c r="FIZ1365" s="110"/>
      <c r="FJA1365" s="110"/>
      <c r="FJB1365" s="110"/>
      <c r="FJC1365" s="110"/>
      <c r="FJD1365" s="110"/>
      <c r="FJE1365" s="110"/>
      <c r="FJF1365" s="110"/>
      <c r="FJG1365" s="110"/>
      <c r="FJH1365" s="110"/>
      <c r="FJI1365" s="110"/>
      <c r="FJJ1365" s="110"/>
      <c r="FJK1365" s="110"/>
      <c r="FJL1365" s="110"/>
      <c r="FJM1365" s="110"/>
      <c r="FJN1365" s="110"/>
      <c r="FJO1365" s="110"/>
      <c r="FJP1365" s="110"/>
      <c r="FJQ1365" s="110"/>
      <c r="FJR1365" s="110"/>
      <c r="FJS1365" s="110"/>
      <c r="FJT1365" s="110"/>
      <c r="FJU1365" s="110"/>
      <c r="FJV1365" s="110"/>
      <c r="FJW1365" s="110"/>
      <c r="FJX1365" s="110"/>
      <c r="FJY1365" s="110"/>
      <c r="FJZ1365" s="110"/>
      <c r="FKA1365" s="110"/>
      <c r="FKB1365" s="110"/>
      <c r="FKC1365" s="110"/>
      <c r="FKD1365" s="110"/>
      <c r="FKE1365" s="110"/>
      <c r="FKF1365" s="110"/>
      <c r="FKG1365" s="110"/>
      <c r="FKH1365" s="110"/>
      <c r="FKI1365" s="110"/>
      <c r="FKJ1365" s="110"/>
      <c r="FKK1365" s="110"/>
      <c r="FKL1365" s="110"/>
      <c r="FKM1365" s="110"/>
      <c r="FKN1365" s="110"/>
      <c r="FKO1365" s="110"/>
      <c r="FKP1365" s="110"/>
      <c r="FKQ1365" s="110"/>
      <c r="FKR1365" s="110"/>
      <c r="FKS1365" s="110"/>
      <c r="FKT1365" s="110"/>
      <c r="FKU1365" s="110"/>
      <c r="FKV1365" s="110"/>
      <c r="FKW1365" s="110"/>
      <c r="FKX1365" s="110"/>
      <c r="FKY1365" s="110"/>
      <c r="FKZ1365" s="110"/>
      <c r="FLA1365" s="110"/>
      <c r="FLB1365" s="110"/>
      <c r="FLC1365" s="110"/>
      <c r="FLD1365" s="110"/>
      <c r="FLE1365" s="110"/>
      <c r="FLF1365" s="110"/>
      <c r="FLG1365" s="110"/>
      <c r="FLH1365" s="110"/>
      <c r="FLI1365" s="110"/>
      <c r="FLJ1365" s="110"/>
      <c r="FLK1365" s="110"/>
      <c r="FLL1365" s="110"/>
      <c r="FLM1365" s="110"/>
      <c r="FLN1365" s="110"/>
      <c r="FLO1365" s="110"/>
      <c r="FLP1365" s="110"/>
      <c r="FLQ1365" s="110"/>
      <c r="FLR1365" s="110"/>
      <c r="FLS1365" s="110"/>
      <c r="FLT1365" s="110"/>
      <c r="FLU1365" s="110"/>
      <c r="FLV1365" s="110"/>
      <c r="FLW1365" s="110"/>
      <c r="FLX1365" s="110"/>
      <c r="FLY1365" s="110"/>
      <c r="FLZ1365" s="110"/>
      <c r="FMA1365" s="110"/>
      <c r="FMB1365" s="110"/>
      <c r="FMC1365" s="110"/>
      <c r="FMD1365" s="110"/>
      <c r="FME1365" s="110"/>
      <c r="FMF1365" s="110"/>
      <c r="FMG1365" s="110"/>
      <c r="FMH1365" s="110"/>
      <c r="FMI1365" s="110"/>
      <c r="FMJ1365" s="110"/>
      <c r="FMK1365" s="110"/>
      <c r="FML1365" s="110"/>
      <c r="FMM1365" s="110"/>
      <c r="FMN1365" s="110"/>
      <c r="FMO1365" s="110"/>
      <c r="FMP1365" s="110"/>
      <c r="FMQ1365" s="110"/>
      <c r="FMR1365" s="110"/>
      <c r="FMS1365" s="110"/>
      <c r="FMT1365" s="110"/>
      <c r="FMU1365" s="110"/>
      <c r="FMV1365" s="110"/>
      <c r="FMW1365" s="110"/>
      <c r="FMX1365" s="110"/>
      <c r="FMY1365" s="110"/>
      <c r="FMZ1365" s="110"/>
      <c r="FNA1365" s="110"/>
      <c r="FNB1365" s="110"/>
      <c r="FNC1365" s="110"/>
      <c r="FND1365" s="110"/>
      <c r="FNE1365" s="110"/>
      <c r="FNF1365" s="110"/>
      <c r="FNG1365" s="110"/>
      <c r="FNH1365" s="110"/>
      <c r="FNI1365" s="110"/>
      <c r="FNJ1365" s="110"/>
      <c r="FNK1365" s="110"/>
      <c r="FNL1365" s="110"/>
      <c r="FNM1365" s="110"/>
      <c r="FNN1365" s="110"/>
      <c r="FNO1365" s="110"/>
      <c r="FNP1365" s="110"/>
      <c r="FNQ1365" s="110"/>
      <c r="FNR1365" s="110"/>
      <c r="FNS1365" s="110"/>
      <c r="FNT1365" s="110"/>
      <c r="FNU1365" s="110"/>
      <c r="FNV1365" s="110"/>
      <c r="FNW1365" s="110"/>
      <c r="FNX1365" s="110"/>
      <c r="FNY1365" s="110"/>
      <c r="FNZ1365" s="110"/>
      <c r="FOA1365" s="110"/>
      <c r="FOB1365" s="110"/>
      <c r="FOC1365" s="110"/>
      <c r="FOD1365" s="110"/>
      <c r="FOE1365" s="110"/>
      <c r="FOF1365" s="110"/>
      <c r="FOG1365" s="110"/>
      <c r="FOH1365" s="110"/>
      <c r="FOI1365" s="110"/>
      <c r="FOJ1365" s="110"/>
      <c r="FOK1365" s="110"/>
      <c r="FOL1365" s="110"/>
      <c r="FOM1365" s="110"/>
      <c r="FON1365" s="110"/>
      <c r="FOO1365" s="110"/>
      <c r="FOP1365" s="110"/>
      <c r="FOQ1365" s="110"/>
      <c r="FOR1365" s="110"/>
      <c r="FOS1365" s="110"/>
      <c r="FOT1365" s="110"/>
      <c r="FOU1365" s="110"/>
      <c r="FOV1365" s="110"/>
      <c r="FOW1365" s="110"/>
      <c r="FOX1365" s="110"/>
      <c r="FOY1365" s="110"/>
      <c r="FOZ1365" s="110"/>
      <c r="FPA1365" s="110"/>
      <c r="FPB1365" s="110"/>
      <c r="FPC1365" s="110"/>
      <c r="FPD1365" s="110"/>
      <c r="FPE1365" s="110"/>
      <c r="FPF1365" s="110"/>
      <c r="FPG1365" s="110"/>
      <c r="FPH1365" s="110"/>
      <c r="FPI1365" s="110"/>
      <c r="FPJ1365" s="110"/>
      <c r="FPK1365" s="110"/>
      <c r="FPL1365" s="110"/>
      <c r="FPM1365" s="110"/>
      <c r="FPN1365" s="110"/>
      <c r="FPO1365" s="110"/>
      <c r="FPP1365" s="110"/>
      <c r="FPQ1365" s="110"/>
      <c r="FPR1365" s="110"/>
      <c r="FPS1365" s="110"/>
      <c r="FPT1365" s="110"/>
      <c r="FPU1365" s="110"/>
      <c r="FPV1365" s="110"/>
      <c r="FPW1365" s="110"/>
      <c r="FPX1365" s="110"/>
      <c r="FPY1365" s="110"/>
      <c r="FPZ1365" s="110"/>
      <c r="FQA1365" s="110"/>
      <c r="FQB1365" s="110"/>
      <c r="FQC1365" s="110"/>
      <c r="FQD1365" s="110"/>
      <c r="FQE1365" s="110"/>
      <c r="FQF1365" s="110"/>
      <c r="FQG1365" s="110"/>
      <c r="FQH1365" s="110"/>
      <c r="FQI1365" s="110"/>
      <c r="FQJ1365" s="110"/>
      <c r="FQK1365" s="110"/>
      <c r="FQL1365" s="110"/>
      <c r="FQM1365" s="110"/>
      <c r="FQN1365" s="110"/>
      <c r="FQO1365" s="110"/>
      <c r="FQP1365" s="110"/>
      <c r="FQQ1365" s="110"/>
      <c r="FQR1365" s="110"/>
      <c r="FQS1365" s="110"/>
      <c r="FQT1365" s="110"/>
      <c r="FQU1365" s="110"/>
      <c r="FQV1365" s="110"/>
      <c r="FQW1365" s="110"/>
      <c r="FQX1365" s="110"/>
      <c r="FQY1365" s="110"/>
      <c r="FQZ1365" s="110"/>
      <c r="FRA1365" s="110"/>
      <c r="FRB1365" s="110"/>
      <c r="FRC1365" s="110"/>
      <c r="FRD1365" s="110"/>
      <c r="FRE1365" s="110"/>
      <c r="FRF1365" s="110"/>
      <c r="FRG1365" s="110"/>
      <c r="FRH1365" s="110"/>
      <c r="FRI1365" s="110"/>
      <c r="FRJ1365" s="110"/>
      <c r="FRK1365" s="110"/>
      <c r="FRL1365" s="110"/>
      <c r="FRM1365" s="110"/>
      <c r="FRN1365" s="110"/>
      <c r="FRO1365" s="110"/>
      <c r="FRP1365" s="110"/>
      <c r="FRQ1365" s="110"/>
      <c r="FRR1365" s="110"/>
      <c r="FRS1365" s="110"/>
      <c r="FRT1365" s="110"/>
      <c r="FRU1365" s="110"/>
      <c r="FRV1365" s="110"/>
      <c r="FRW1365" s="110"/>
      <c r="FRX1365" s="110"/>
      <c r="FRY1365" s="110"/>
      <c r="FRZ1365" s="110"/>
      <c r="FSA1365" s="110"/>
      <c r="FSB1365" s="110"/>
      <c r="FSC1365" s="110"/>
      <c r="FSD1365" s="110"/>
      <c r="FSE1365" s="110"/>
      <c r="FSF1365" s="110"/>
      <c r="FSG1365" s="110"/>
      <c r="FSH1365" s="110"/>
      <c r="FSI1365" s="110"/>
      <c r="FSJ1365" s="110"/>
      <c r="FSK1365" s="110"/>
      <c r="FSL1365" s="110"/>
      <c r="FSM1365" s="110"/>
      <c r="FSN1365" s="110"/>
      <c r="FSO1365" s="110"/>
      <c r="FSP1365" s="110"/>
      <c r="FSQ1365" s="110"/>
      <c r="FSR1365" s="110"/>
      <c r="FSS1365" s="110"/>
      <c r="FST1365" s="110"/>
      <c r="FSU1365" s="110"/>
      <c r="FSV1365" s="110"/>
      <c r="FSW1365" s="110"/>
      <c r="FSX1365" s="110"/>
      <c r="FSY1365" s="110"/>
      <c r="FSZ1365" s="110"/>
      <c r="FTA1365" s="110"/>
      <c r="FTB1365" s="110"/>
      <c r="FTC1365" s="110"/>
      <c r="FTD1365" s="110"/>
      <c r="FTE1365" s="110"/>
      <c r="FTF1365" s="110"/>
      <c r="FTG1365" s="110"/>
      <c r="FTH1365" s="110"/>
      <c r="FTI1365" s="110"/>
      <c r="FTJ1365" s="110"/>
      <c r="FTK1365" s="110"/>
      <c r="FTL1365" s="110"/>
      <c r="FTM1365" s="110"/>
      <c r="FTN1365" s="110"/>
      <c r="FTO1365" s="110"/>
      <c r="FTP1365" s="110"/>
      <c r="FTQ1365" s="110"/>
      <c r="FTR1365" s="110"/>
      <c r="FTS1365" s="110"/>
      <c r="FTT1365" s="110"/>
      <c r="FTU1365" s="110"/>
      <c r="FTV1365" s="110"/>
      <c r="FTW1365" s="110"/>
      <c r="FTX1365" s="110"/>
      <c r="FTY1365" s="110"/>
      <c r="FTZ1365" s="110"/>
      <c r="FUA1365" s="110"/>
      <c r="FUB1365" s="110"/>
      <c r="FUC1365" s="110"/>
      <c r="FUD1365" s="110"/>
      <c r="FUE1365" s="110"/>
      <c r="FUF1365" s="110"/>
      <c r="FUG1365" s="110"/>
      <c r="FUH1365" s="110"/>
      <c r="FUI1365" s="110"/>
      <c r="FUJ1365" s="110"/>
      <c r="FUK1365" s="110"/>
      <c r="FUL1365" s="110"/>
      <c r="FUM1365" s="110"/>
      <c r="FUN1365" s="110"/>
      <c r="FUO1365" s="110"/>
      <c r="FUP1365" s="110"/>
      <c r="FUQ1365" s="110"/>
      <c r="FUR1365" s="110"/>
      <c r="FUS1365" s="110"/>
      <c r="FUT1365" s="110"/>
      <c r="FUU1365" s="110"/>
      <c r="FUV1365" s="110"/>
      <c r="FUW1365" s="110"/>
      <c r="FUX1365" s="110"/>
      <c r="FUY1365" s="110"/>
      <c r="FUZ1365" s="110"/>
      <c r="FVA1365" s="110"/>
      <c r="FVB1365" s="110"/>
      <c r="FVC1365" s="110"/>
      <c r="FVD1365" s="110"/>
      <c r="FVE1365" s="110"/>
      <c r="FVF1365" s="110"/>
      <c r="FVG1365" s="110"/>
      <c r="FVH1365" s="110"/>
      <c r="FVI1365" s="110"/>
      <c r="FVJ1365" s="110"/>
      <c r="FVK1365" s="110"/>
      <c r="FVL1365" s="110"/>
      <c r="FVM1365" s="110"/>
      <c r="FVN1365" s="110"/>
      <c r="FVO1365" s="110"/>
      <c r="FVP1365" s="110"/>
      <c r="FVQ1365" s="110"/>
      <c r="FVR1365" s="110"/>
      <c r="FVS1365" s="110"/>
      <c r="FVT1365" s="110"/>
      <c r="FVU1365" s="110"/>
      <c r="FVV1365" s="110"/>
      <c r="FVW1365" s="110"/>
      <c r="FVX1365" s="110"/>
      <c r="FVY1365" s="110"/>
      <c r="FVZ1365" s="110"/>
      <c r="FWA1365" s="110"/>
      <c r="FWB1365" s="110"/>
      <c r="FWC1365" s="110"/>
      <c r="FWD1365" s="110"/>
      <c r="FWE1365" s="110"/>
      <c r="FWF1365" s="110"/>
      <c r="FWG1365" s="110"/>
      <c r="FWH1365" s="110"/>
      <c r="FWI1365" s="110"/>
      <c r="FWJ1365" s="110"/>
      <c r="FWK1365" s="110"/>
      <c r="FWL1365" s="110"/>
      <c r="FWM1365" s="110"/>
      <c r="FWN1365" s="110"/>
      <c r="FWO1365" s="110"/>
      <c r="FWP1365" s="110"/>
      <c r="FWQ1365" s="110"/>
      <c r="FWR1365" s="110"/>
      <c r="FWS1365" s="110"/>
      <c r="FWT1365" s="110"/>
      <c r="FWU1365" s="110"/>
      <c r="FWV1365" s="110"/>
      <c r="FWW1365" s="110"/>
      <c r="FWX1365" s="110"/>
      <c r="FWY1365" s="110"/>
      <c r="FWZ1365" s="110"/>
      <c r="FXA1365" s="110"/>
      <c r="FXB1365" s="110"/>
      <c r="FXC1365" s="110"/>
      <c r="FXD1365" s="110"/>
      <c r="FXE1365" s="110"/>
      <c r="FXF1365" s="110"/>
      <c r="FXG1365" s="110"/>
      <c r="FXH1365" s="110"/>
      <c r="FXI1365" s="110"/>
      <c r="FXJ1365" s="110"/>
      <c r="FXK1365" s="110"/>
      <c r="FXL1365" s="110"/>
      <c r="FXM1365" s="110"/>
      <c r="FXN1365" s="110"/>
      <c r="FXO1365" s="110"/>
      <c r="FXP1365" s="110"/>
      <c r="FXQ1365" s="110"/>
      <c r="FXR1365" s="110"/>
      <c r="FXS1365" s="110"/>
      <c r="FXT1365" s="110"/>
      <c r="FXU1365" s="110"/>
      <c r="FXV1365" s="110"/>
      <c r="FXW1365" s="110"/>
      <c r="FXX1365" s="110"/>
      <c r="FXY1365" s="110"/>
      <c r="FXZ1365" s="110"/>
      <c r="FYA1365" s="110"/>
      <c r="FYB1365" s="110"/>
      <c r="FYC1365" s="110"/>
      <c r="FYD1365" s="110"/>
      <c r="FYE1365" s="110"/>
      <c r="FYF1365" s="110"/>
      <c r="FYG1365" s="110"/>
      <c r="FYH1365" s="110"/>
      <c r="FYI1365" s="110"/>
      <c r="FYJ1365" s="110"/>
      <c r="FYK1365" s="110"/>
      <c r="FYL1365" s="110"/>
      <c r="FYM1365" s="110"/>
      <c r="FYN1365" s="110"/>
      <c r="FYO1365" s="110"/>
      <c r="FYP1365" s="110"/>
      <c r="FYQ1365" s="110"/>
      <c r="FYR1365" s="110"/>
      <c r="FYS1365" s="110"/>
      <c r="FYT1365" s="110"/>
      <c r="FYU1365" s="110"/>
      <c r="FYV1365" s="110"/>
      <c r="FYW1365" s="110"/>
      <c r="FYX1365" s="110"/>
      <c r="FYY1365" s="110"/>
      <c r="FYZ1365" s="110"/>
      <c r="FZA1365" s="110"/>
      <c r="FZB1365" s="110"/>
      <c r="FZC1365" s="110"/>
      <c r="FZD1365" s="110"/>
      <c r="FZE1365" s="110"/>
      <c r="FZF1365" s="110"/>
      <c r="FZG1365" s="110"/>
      <c r="FZH1365" s="110"/>
      <c r="FZI1365" s="110"/>
      <c r="FZJ1365" s="110"/>
      <c r="FZK1365" s="110"/>
      <c r="FZL1365" s="110"/>
      <c r="FZM1365" s="110"/>
      <c r="FZN1365" s="110"/>
      <c r="FZO1365" s="110"/>
      <c r="FZP1365" s="110"/>
      <c r="FZQ1365" s="110"/>
      <c r="FZR1365" s="110"/>
      <c r="FZS1365" s="110"/>
      <c r="FZT1365" s="110"/>
      <c r="FZU1365" s="110"/>
      <c r="FZV1365" s="110"/>
      <c r="FZW1365" s="110"/>
      <c r="FZX1365" s="110"/>
      <c r="FZY1365" s="110"/>
      <c r="FZZ1365" s="110"/>
      <c r="GAA1365" s="110"/>
      <c r="GAB1365" s="110"/>
      <c r="GAC1365" s="110"/>
      <c r="GAD1365" s="110"/>
      <c r="GAE1365" s="110"/>
      <c r="GAF1365" s="110"/>
      <c r="GAG1365" s="110"/>
      <c r="GAH1365" s="110"/>
      <c r="GAI1365" s="110"/>
      <c r="GAJ1365" s="110"/>
      <c r="GAK1365" s="110"/>
      <c r="GAL1365" s="110"/>
      <c r="GAM1365" s="110"/>
      <c r="GAN1365" s="110"/>
      <c r="GAO1365" s="110"/>
      <c r="GAP1365" s="110"/>
      <c r="GAQ1365" s="110"/>
      <c r="GAR1365" s="110"/>
      <c r="GAS1365" s="110"/>
      <c r="GAT1365" s="110"/>
      <c r="GAU1365" s="110"/>
      <c r="GAV1365" s="110"/>
      <c r="GAW1365" s="110"/>
      <c r="GAX1365" s="110"/>
      <c r="GAY1365" s="110"/>
      <c r="GAZ1365" s="110"/>
      <c r="GBA1365" s="110"/>
      <c r="GBB1365" s="110"/>
      <c r="GBC1365" s="110"/>
      <c r="GBD1365" s="110"/>
      <c r="GBE1365" s="110"/>
      <c r="GBF1365" s="110"/>
      <c r="GBG1365" s="110"/>
      <c r="GBH1365" s="110"/>
      <c r="GBI1365" s="110"/>
      <c r="GBJ1365" s="110"/>
      <c r="GBK1365" s="110"/>
      <c r="GBL1365" s="110"/>
      <c r="GBM1365" s="110"/>
      <c r="GBN1365" s="110"/>
      <c r="GBO1365" s="110"/>
      <c r="GBP1365" s="110"/>
      <c r="GBQ1365" s="110"/>
      <c r="GBR1365" s="110"/>
      <c r="GBS1365" s="110"/>
      <c r="GBT1365" s="110"/>
      <c r="GBU1365" s="110"/>
      <c r="GBV1365" s="110"/>
      <c r="GBW1365" s="110"/>
      <c r="GBX1365" s="110"/>
      <c r="GBY1365" s="110"/>
      <c r="GBZ1365" s="110"/>
      <c r="GCA1365" s="110"/>
      <c r="GCB1365" s="110"/>
      <c r="GCC1365" s="110"/>
      <c r="GCD1365" s="110"/>
      <c r="GCE1365" s="110"/>
      <c r="GCF1365" s="110"/>
      <c r="GCG1365" s="110"/>
      <c r="GCH1365" s="110"/>
      <c r="GCI1365" s="110"/>
      <c r="GCJ1365" s="110"/>
      <c r="GCK1365" s="110"/>
      <c r="GCL1365" s="110"/>
      <c r="GCM1365" s="110"/>
      <c r="GCN1365" s="110"/>
      <c r="GCO1365" s="110"/>
      <c r="GCP1365" s="110"/>
      <c r="GCQ1365" s="110"/>
      <c r="GCR1365" s="110"/>
      <c r="GCS1365" s="110"/>
      <c r="GCT1365" s="110"/>
      <c r="GCU1365" s="110"/>
      <c r="GCV1365" s="110"/>
      <c r="GCW1365" s="110"/>
      <c r="GCX1365" s="110"/>
      <c r="GCY1365" s="110"/>
      <c r="GCZ1365" s="110"/>
      <c r="GDA1365" s="110"/>
      <c r="GDB1365" s="110"/>
      <c r="GDC1365" s="110"/>
      <c r="GDD1365" s="110"/>
      <c r="GDE1365" s="110"/>
      <c r="GDF1365" s="110"/>
      <c r="GDG1365" s="110"/>
      <c r="GDH1365" s="110"/>
      <c r="GDI1365" s="110"/>
      <c r="GDJ1365" s="110"/>
      <c r="GDK1365" s="110"/>
      <c r="GDL1365" s="110"/>
      <c r="GDM1365" s="110"/>
      <c r="GDN1365" s="110"/>
      <c r="GDO1365" s="110"/>
      <c r="GDP1365" s="110"/>
      <c r="GDQ1365" s="110"/>
      <c r="GDR1365" s="110"/>
      <c r="GDS1365" s="110"/>
      <c r="GDT1365" s="110"/>
      <c r="GDU1365" s="110"/>
      <c r="GDV1365" s="110"/>
      <c r="GDW1365" s="110"/>
      <c r="GDX1365" s="110"/>
      <c r="GDY1365" s="110"/>
      <c r="GDZ1365" s="110"/>
      <c r="GEA1365" s="110"/>
      <c r="GEB1365" s="110"/>
      <c r="GEC1365" s="110"/>
      <c r="GED1365" s="110"/>
      <c r="GEE1365" s="110"/>
      <c r="GEF1365" s="110"/>
      <c r="GEG1365" s="110"/>
      <c r="GEH1365" s="110"/>
      <c r="GEI1365" s="110"/>
      <c r="GEJ1365" s="110"/>
      <c r="GEK1365" s="110"/>
      <c r="GEL1365" s="110"/>
      <c r="GEM1365" s="110"/>
      <c r="GEN1365" s="110"/>
      <c r="GEO1365" s="110"/>
      <c r="GEP1365" s="110"/>
      <c r="GEQ1365" s="110"/>
      <c r="GER1365" s="110"/>
      <c r="GES1365" s="110"/>
      <c r="GET1365" s="110"/>
      <c r="GEU1365" s="110"/>
      <c r="GEV1365" s="110"/>
      <c r="GEW1365" s="110"/>
      <c r="GEX1365" s="110"/>
      <c r="GEY1365" s="110"/>
      <c r="GEZ1365" s="110"/>
      <c r="GFA1365" s="110"/>
      <c r="GFB1365" s="110"/>
      <c r="GFC1365" s="110"/>
      <c r="GFD1365" s="110"/>
      <c r="GFE1365" s="110"/>
      <c r="GFF1365" s="110"/>
      <c r="GFG1365" s="110"/>
      <c r="GFH1365" s="110"/>
      <c r="GFI1365" s="110"/>
      <c r="GFJ1365" s="110"/>
      <c r="GFK1365" s="110"/>
      <c r="GFL1365" s="110"/>
      <c r="GFM1365" s="110"/>
      <c r="GFN1365" s="110"/>
      <c r="GFO1365" s="110"/>
      <c r="GFP1365" s="110"/>
      <c r="GFQ1365" s="110"/>
      <c r="GFR1365" s="110"/>
      <c r="GFS1365" s="110"/>
      <c r="GFT1365" s="110"/>
      <c r="GFU1365" s="110"/>
      <c r="GFV1365" s="110"/>
      <c r="GFW1365" s="110"/>
      <c r="GFX1365" s="110"/>
      <c r="GFY1365" s="110"/>
      <c r="GFZ1365" s="110"/>
      <c r="GGA1365" s="110"/>
      <c r="GGB1365" s="110"/>
      <c r="GGC1365" s="110"/>
      <c r="GGD1365" s="110"/>
      <c r="GGE1365" s="110"/>
      <c r="GGF1365" s="110"/>
      <c r="GGG1365" s="110"/>
      <c r="GGH1365" s="110"/>
      <c r="GGI1365" s="110"/>
      <c r="GGJ1365" s="110"/>
      <c r="GGK1365" s="110"/>
      <c r="GGL1365" s="110"/>
      <c r="GGM1365" s="110"/>
      <c r="GGN1365" s="110"/>
      <c r="GGO1365" s="110"/>
      <c r="GGP1365" s="110"/>
      <c r="GGQ1365" s="110"/>
      <c r="GGR1365" s="110"/>
      <c r="GGS1365" s="110"/>
      <c r="GGT1365" s="110"/>
      <c r="GGU1365" s="110"/>
      <c r="GGV1365" s="110"/>
      <c r="GGW1365" s="110"/>
      <c r="GGX1365" s="110"/>
      <c r="GGY1365" s="110"/>
      <c r="GGZ1365" s="110"/>
      <c r="GHA1365" s="110"/>
      <c r="GHB1365" s="110"/>
      <c r="GHC1365" s="110"/>
      <c r="GHD1365" s="110"/>
      <c r="GHE1365" s="110"/>
      <c r="GHF1365" s="110"/>
      <c r="GHG1365" s="110"/>
      <c r="GHH1365" s="110"/>
      <c r="GHI1365" s="110"/>
      <c r="GHJ1365" s="110"/>
      <c r="GHK1365" s="110"/>
      <c r="GHL1365" s="110"/>
      <c r="GHM1365" s="110"/>
      <c r="GHN1365" s="110"/>
      <c r="GHO1365" s="110"/>
      <c r="GHP1365" s="110"/>
      <c r="GHQ1365" s="110"/>
      <c r="GHR1365" s="110"/>
      <c r="GHS1365" s="110"/>
      <c r="GHT1365" s="110"/>
      <c r="GHU1365" s="110"/>
      <c r="GHV1365" s="110"/>
      <c r="GHW1365" s="110"/>
      <c r="GHX1365" s="110"/>
      <c r="GHY1365" s="110"/>
      <c r="GHZ1365" s="110"/>
      <c r="GIA1365" s="110"/>
      <c r="GIB1365" s="110"/>
      <c r="GIC1365" s="110"/>
      <c r="GID1365" s="110"/>
      <c r="GIE1365" s="110"/>
      <c r="GIF1365" s="110"/>
      <c r="GIG1365" s="110"/>
      <c r="GIH1365" s="110"/>
      <c r="GII1365" s="110"/>
      <c r="GIJ1365" s="110"/>
      <c r="GIK1365" s="110"/>
      <c r="GIL1365" s="110"/>
      <c r="GIM1365" s="110"/>
      <c r="GIN1365" s="110"/>
      <c r="GIO1365" s="110"/>
      <c r="GIP1365" s="110"/>
      <c r="GIQ1365" s="110"/>
      <c r="GIR1365" s="110"/>
      <c r="GIS1365" s="110"/>
      <c r="GIT1365" s="110"/>
      <c r="GIU1365" s="110"/>
      <c r="GIV1365" s="110"/>
      <c r="GIW1365" s="110"/>
      <c r="GIX1365" s="110"/>
      <c r="GIY1365" s="110"/>
      <c r="GIZ1365" s="110"/>
      <c r="GJA1365" s="110"/>
      <c r="GJB1365" s="110"/>
      <c r="GJC1365" s="110"/>
      <c r="GJD1365" s="110"/>
      <c r="GJE1365" s="110"/>
      <c r="GJF1365" s="110"/>
      <c r="GJG1365" s="110"/>
      <c r="GJH1365" s="110"/>
      <c r="GJI1365" s="110"/>
      <c r="GJJ1365" s="110"/>
      <c r="GJK1365" s="110"/>
      <c r="GJL1365" s="110"/>
      <c r="GJM1365" s="110"/>
      <c r="GJN1365" s="110"/>
      <c r="GJO1365" s="110"/>
      <c r="GJP1365" s="110"/>
      <c r="GJQ1365" s="110"/>
      <c r="GJR1365" s="110"/>
      <c r="GJS1365" s="110"/>
      <c r="GJT1365" s="110"/>
      <c r="GJU1365" s="110"/>
      <c r="GJV1365" s="110"/>
      <c r="GJW1365" s="110"/>
      <c r="GJX1365" s="110"/>
      <c r="GJY1365" s="110"/>
      <c r="GJZ1365" s="110"/>
      <c r="GKA1365" s="110"/>
      <c r="GKB1365" s="110"/>
      <c r="GKC1365" s="110"/>
      <c r="GKD1365" s="110"/>
      <c r="GKE1365" s="110"/>
      <c r="GKF1365" s="110"/>
      <c r="GKG1365" s="110"/>
      <c r="GKH1365" s="110"/>
      <c r="GKI1365" s="110"/>
      <c r="GKJ1365" s="110"/>
      <c r="GKK1365" s="110"/>
      <c r="GKL1365" s="110"/>
      <c r="GKM1365" s="110"/>
      <c r="GKN1365" s="110"/>
      <c r="GKO1365" s="110"/>
      <c r="GKP1365" s="110"/>
      <c r="GKQ1365" s="110"/>
      <c r="GKR1365" s="110"/>
      <c r="GKS1365" s="110"/>
      <c r="GKT1365" s="110"/>
      <c r="GKU1365" s="110"/>
      <c r="GKV1365" s="110"/>
      <c r="GKW1365" s="110"/>
      <c r="GKX1365" s="110"/>
      <c r="GKY1365" s="110"/>
      <c r="GKZ1365" s="110"/>
      <c r="GLA1365" s="110"/>
      <c r="GLB1365" s="110"/>
      <c r="GLC1365" s="110"/>
      <c r="GLD1365" s="110"/>
      <c r="GLE1365" s="110"/>
      <c r="GLF1365" s="110"/>
      <c r="GLG1365" s="110"/>
      <c r="GLH1365" s="110"/>
      <c r="GLI1365" s="110"/>
      <c r="GLJ1365" s="110"/>
      <c r="GLK1365" s="110"/>
      <c r="GLL1365" s="110"/>
      <c r="GLM1365" s="110"/>
      <c r="GLN1365" s="110"/>
      <c r="GLO1365" s="110"/>
      <c r="GLP1365" s="110"/>
      <c r="GLQ1365" s="110"/>
      <c r="GLR1365" s="110"/>
      <c r="GLS1365" s="110"/>
      <c r="GLT1365" s="110"/>
      <c r="GLU1365" s="110"/>
      <c r="GLV1365" s="110"/>
      <c r="GLW1365" s="110"/>
      <c r="GLX1365" s="110"/>
      <c r="GLY1365" s="110"/>
      <c r="GLZ1365" s="110"/>
      <c r="GMA1365" s="110"/>
      <c r="GMB1365" s="110"/>
      <c r="GMC1365" s="110"/>
      <c r="GMD1365" s="110"/>
      <c r="GME1365" s="110"/>
      <c r="GMF1365" s="110"/>
      <c r="GMG1365" s="110"/>
      <c r="GMH1365" s="110"/>
      <c r="GMI1365" s="110"/>
      <c r="GMJ1365" s="110"/>
      <c r="GMK1365" s="110"/>
      <c r="GML1365" s="110"/>
      <c r="GMM1365" s="110"/>
      <c r="GMN1365" s="110"/>
      <c r="GMO1365" s="110"/>
      <c r="GMP1365" s="110"/>
      <c r="GMQ1365" s="110"/>
      <c r="GMR1365" s="110"/>
      <c r="GMS1365" s="110"/>
      <c r="GMT1365" s="110"/>
      <c r="GMU1365" s="110"/>
      <c r="GMV1365" s="110"/>
      <c r="GMW1365" s="110"/>
      <c r="GMX1365" s="110"/>
      <c r="GMY1365" s="110"/>
      <c r="GMZ1365" s="110"/>
      <c r="GNA1365" s="110"/>
      <c r="GNB1365" s="110"/>
      <c r="GNC1365" s="110"/>
      <c r="GND1365" s="110"/>
      <c r="GNE1365" s="110"/>
      <c r="GNF1365" s="110"/>
      <c r="GNG1365" s="110"/>
      <c r="GNH1365" s="110"/>
      <c r="GNI1365" s="110"/>
      <c r="GNJ1365" s="110"/>
      <c r="GNK1365" s="110"/>
      <c r="GNL1365" s="110"/>
      <c r="GNM1365" s="110"/>
      <c r="GNN1365" s="110"/>
      <c r="GNO1365" s="110"/>
      <c r="GNP1365" s="110"/>
      <c r="GNQ1365" s="110"/>
      <c r="GNR1365" s="110"/>
      <c r="GNS1365" s="110"/>
      <c r="GNT1365" s="110"/>
      <c r="GNU1365" s="110"/>
      <c r="GNV1365" s="110"/>
      <c r="GNW1365" s="110"/>
      <c r="GNX1365" s="110"/>
      <c r="GNY1365" s="110"/>
      <c r="GNZ1365" s="110"/>
      <c r="GOA1365" s="110"/>
      <c r="GOB1365" s="110"/>
      <c r="GOC1365" s="110"/>
      <c r="GOD1365" s="110"/>
      <c r="GOE1365" s="110"/>
      <c r="GOF1365" s="110"/>
      <c r="GOG1365" s="110"/>
      <c r="GOH1365" s="110"/>
      <c r="GOI1365" s="110"/>
      <c r="GOJ1365" s="110"/>
      <c r="GOK1365" s="110"/>
      <c r="GOL1365" s="110"/>
      <c r="GOM1365" s="110"/>
      <c r="GON1365" s="110"/>
      <c r="GOO1365" s="110"/>
      <c r="GOP1365" s="110"/>
      <c r="GOQ1365" s="110"/>
      <c r="GOR1365" s="110"/>
      <c r="GOS1365" s="110"/>
      <c r="GOT1365" s="110"/>
      <c r="GOU1365" s="110"/>
      <c r="GOV1365" s="110"/>
      <c r="GOW1365" s="110"/>
      <c r="GOX1365" s="110"/>
      <c r="GOY1365" s="110"/>
      <c r="GOZ1365" s="110"/>
      <c r="GPA1365" s="110"/>
      <c r="GPB1365" s="110"/>
      <c r="GPC1365" s="110"/>
      <c r="GPD1365" s="110"/>
      <c r="GPE1365" s="110"/>
      <c r="GPF1365" s="110"/>
      <c r="GPG1365" s="110"/>
      <c r="GPH1365" s="110"/>
      <c r="GPI1365" s="110"/>
      <c r="GPJ1365" s="110"/>
      <c r="GPK1365" s="110"/>
      <c r="GPL1365" s="110"/>
      <c r="GPM1365" s="110"/>
      <c r="GPN1365" s="110"/>
      <c r="GPO1365" s="110"/>
      <c r="GPP1365" s="110"/>
      <c r="GPQ1365" s="110"/>
      <c r="GPR1365" s="110"/>
      <c r="GPS1365" s="110"/>
      <c r="GPT1365" s="110"/>
      <c r="GPU1365" s="110"/>
      <c r="GPV1365" s="110"/>
      <c r="GPW1365" s="110"/>
      <c r="GPX1365" s="110"/>
      <c r="GPY1365" s="110"/>
      <c r="GPZ1365" s="110"/>
      <c r="GQA1365" s="110"/>
      <c r="GQB1365" s="110"/>
      <c r="GQC1365" s="110"/>
      <c r="GQD1365" s="110"/>
      <c r="GQE1365" s="110"/>
      <c r="GQF1365" s="110"/>
      <c r="GQG1365" s="110"/>
      <c r="GQH1365" s="110"/>
      <c r="GQI1365" s="110"/>
      <c r="GQJ1365" s="110"/>
      <c r="GQK1365" s="110"/>
      <c r="GQL1365" s="110"/>
      <c r="GQM1365" s="110"/>
      <c r="GQN1365" s="110"/>
      <c r="GQO1365" s="110"/>
      <c r="GQP1365" s="110"/>
      <c r="GQQ1365" s="110"/>
      <c r="GQR1365" s="110"/>
      <c r="GQS1365" s="110"/>
      <c r="GQT1365" s="110"/>
      <c r="GQU1365" s="110"/>
      <c r="GQV1365" s="110"/>
      <c r="GQW1365" s="110"/>
      <c r="GQX1365" s="110"/>
      <c r="GQY1365" s="110"/>
      <c r="GQZ1365" s="110"/>
      <c r="GRA1365" s="110"/>
      <c r="GRB1365" s="110"/>
      <c r="GRC1365" s="110"/>
      <c r="GRD1365" s="110"/>
      <c r="GRE1365" s="110"/>
      <c r="GRF1365" s="110"/>
      <c r="GRG1365" s="110"/>
      <c r="GRH1365" s="110"/>
      <c r="GRI1365" s="110"/>
      <c r="GRJ1365" s="110"/>
      <c r="GRK1365" s="110"/>
      <c r="GRL1365" s="110"/>
      <c r="GRM1365" s="110"/>
      <c r="GRN1365" s="110"/>
      <c r="GRO1365" s="110"/>
      <c r="GRP1365" s="110"/>
      <c r="GRQ1365" s="110"/>
      <c r="GRR1365" s="110"/>
      <c r="GRS1365" s="110"/>
      <c r="GRT1365" s="110"/>
      <c r="GRU1365" s="110"/>
      <c r="GRV1365" s="110"/>
      <c r="GRW1365" s="110"/>
      <c r="GRX1365" s="110"/>
      <c r="GRY1365" s="110"/>
      <c r="GRZ1365" s="110"/>
      <c r="GSA1365" s="110"/>
      <c r="GSB1365" s="110"/>
      <c r="GSC1365" s="110"/>
      <c r="GSD1365" s="110"/>
      <c r="GSE1365" s="110"/>
      <c r="GSF1365" s="110"/>
      <c r="GSG1365" s="110"/>
      <c r="GSH1365" s="110"/>
      <c r="GSI1365" s="110"/>
      <c r="GSJ1365" s="110"/>
      <c r="GSK1365" s="110"/>
      <c r="GSL1365" s="110"/>
      <c r="GSM1365" s="110"/>
      <c r="GSN1365" s="110"/>
      <c r="GSO1365" s="110"/>
      <c r="GSP1365" s="110"/>
      <c r="GSQ1365" s="110"/>
      <c r="GSR1365" s="110"/>
      <c r="GSS1365" s="110"/>
      <c r="GST1365" s="110"/>
      <c r="GSU1365" s="110"/>
      <c r="GSV1365" s="110"/>
      <c r="GSW1365" s="110"/>
      <c r="GSX1365" s="110"/>
      <c r="GSY1365" s="110"/>
      <c r="GSZ1365" s="110"/>
      <c r="GTA1365" s="110"/>
      <c r="GTB1365" s="110"/>
      <c r="GTC1365" s="110"/>
      <c r="GTD1365" s="110"/>
      <c r="GTE1365" s="110"/>
      <c r="GTF1365" s="110"/>
      <c r="GTG1365" s="110"/>
      <c r="GTH1365" s="110"/>
      <c r="GTI1365" s="110"/>
      <c r="GTJ1365" s="110"/>
      <c r="GTK1365" s="110"/>
      <c r="GTL1365" s="110"/>
      <c r="GTM1365" s="110"/>
      <c r="GTN1365" s="110"/>
      <c r="GTO1365" s="110"/>
      <c r="GTP1365" s="110"/>
      <c r="GTQ1365" s="110"/>
      <c r="GTR1365" s="110"/>
      <c r="GTS1365" s="110"/>
      <c r="GTT1365" s="110"/>
      <c r="GTU1365" s="110"/>
      <c r="GTV1365" s="110"/>
      <c r="GTW1365" s="110"/>
      <c r="GTX1365" s="110"/>
      <c r="GTY1365" s="110"/>
      <c r="GTZ1365" s="110"/>
      <c r="GUA1365" s="110"/>
      <c r="GUB1365" s="110"/>
      <c r="GUC1365" s="110"/>
      <c r="GUD1365" s="110"/>
      <c r="GUE1365" s="110"/>
      <c r="GUF1365" s="110"/>
      <c r="GUG1365" s="110"/>
      <c r="GUH1365" s="110"/>
      <c r="GUI1365" s="110"/>
      <c r="GUJ1365" s="110"/>
      <c r="GUK1365" s="110"/>
      <c r="GUL1365" s="110"/>
      <c r="GUM1365" s="110"/>
      <c r="GUN1365" s="110"/>
      <c r="GUO1365" s="110"/>
      <c r="GUP1365" s="110"/>
      <c r="GUQ1365" s="110"/>
      <c r="GUR1365" s="110"/>
      <c r="GUS1365" s="110"/>
      <c r="GUT1365" s="110"/>
      <c r="GUU1365" s="110"/>
      <c r="GUV1365" s="110"/>
      <c r="GUW1365" s="110"/>
      <c r="GUX1365" s="110"/>
      <c r="GUY1365" s="110"/>
      <c r="GUZ1365" s="110"/>
      <c r="GVA1365" s="110"/>
      <c r="GVB1365" s="110"/>
      <c r="GVC1365" s="110"/>
      <c r="GVD1365" s="110"/>
      <c r="GVE1365" s="110"/>
      <c r="GVF1365" s="110"/>
      <c r="GVG1365" s="110"/>
      <c r="GVH1365" s="110"/>
      <c r="GVI1365" s="110"/>
      <c r="GVJ1365" s="110"/>
      <c r="GVK1365" s="110"/>
      <c r="GVL1365" s="110"/>
      <c r="GVM1365" s="110"/>
      <c r="GVN1365" s="110"/>
      <c r="GVO1365" s="110"/>
      <c r="GVP1365" s="110"/>
      <c r="GVQ1365" s="110"/>
      <c r="GVR1365" s="110"/>
      <c r="GVS1365" s="110"/>
      <c r="GVT1365" s="110"/>
      <c r="GVU1365" s="110"/>
      <c r="GVV1365" s="110"/>
      <c r="GVW1365" s="110"/>
      <c r="GVX1365" s="110"/>
      <c r="GVY1365" s="110"/>
      <c r="GVZ1365" s="110"/>
      <c r="GWA1365" s="110"/>
      <c r="GWB1365" s="110"/>
      <c r="GWC1365" s="110"/>
      <c r="GWD1365" s="110"/>
      <c r="GWE1365" s="110"/>
      <c r="GWF1365" s="110"/>
      <c r="GWG1365" s="110"/>
      <c r="GWH1365" s="110"/>
      <c r="GWI1365" s="110"/>
      <c r="GWJ1365" s="110"/>
      <c r="GWK1365" s="110"/>
      <c r="GWL1365" s="110"/>
      <c r="GWM1365" s="110"/>
      <c r="GWN1365" s="110"/>
      <c r="GWO1365" s="110"/>
      <c r="GWP1365" s="110"/>
      <c r="GWQ1365" s="110"/>
      <c r="GWR1365" s="110"/>
      <c r="GWS1365" s="110"/>
      <c r="GWT1365" s="110"/>
      <c r="GWU1365" s="110"/>
      <c r="GWV1365" s="110"/>
      <c r="GWW1365" s="110"/>
      <c r="GWX1365" s="110"/>
      <c r="GWY1365" s="110"/>
      <c r="GWZ1365" s="110"/>
      <c r="GXA1365" s="110"/>
      <c r="GXB1365" s="110"/>
      <c r="GXC1365" s="110"/>
      <c r="GXD1365" s="110"/>
      <c r="GXE1365" s="110"/>
      <c r="GXF1365" s="110"/>
      <c r="GXG1365" s="110"/>
      <c r="GXH1365" s="110"/>
      <c r="GXI1365" s="110"/>
      <c r="GXJ1365" s="110"/>
      <c r="GXK1365" s="110"/>
      <c r="GXL1365" s="110"/>
      <c r="GXM1365" s="110"/>
      <c r="GXN1365" s="110"/>
      <c r="GXO1365" s="110"/>
      <c r="GXP1365" s="110"/>
      <c r="GXQ1365" s="110"/>
      <c r="GXR1365" s="110"/>
      <c r="GXS1365" s="110"/>
      <c r="GXT1365" s="110"/>
      <c r="GXU1365" s="110"/>
      <c r="GXV1365" s="110"/>
      <c r="GXW1365" s="110"/>
      <c r="GXX1365" s="110"/>
      <c r="GXY1365" s="110"/>
      <c r="GXZ1365" s="110"/>
      <c r="GYA1365" s="110"/>
      <c r="GYB1365" s="110"/>
      <c r="GYC1365" s="110"/>
      <c r="GYD1365" s="110"/>
      <c r="GYE1365" s="110"/>
      <c r="GYF1365" s="110"/>
      <c r="GYG1365" s="110"/>
      <c r="GYH1365" s="110"/>
      <c r="GYI1365" s="110"/>
      <c r="GYJ1365" s="110"/>
      <c r="GYK1365" s="110"/>
      <c r="GYL1365" s="110"/>
      <c r="GYM1365" s="110"/>
      <c r="GYN1365" s="110"/>
      <c r="GYO1365" s="110"/>
      <c r="GYP1365" s="110"/>
      <c r="GYQ1365" s="110"/>
      <c r="GYR1365" s="110"/>
      <c r="GYS1365" s="110"/>
      <c r="GYT1365" s="110"/>
      <c r="GYU1365" s="110"/>
      <c r="GYV1365" s="110"/>
      <c r="GYW1365" s="110"/>
      <c r="GYX1365" s="110"/>
      <c r="GYY1365" s="110"/>
      <c r="GYZ1365" s="110"/>
      <c r="GZA1365" s="110"/>
      <c r="GZB1365" s="110"/>
      <c r="GZC1365" s="110"/>
      <c r="GZD1365" s="110"/>
      <c r="GZE1365" s="110"/>
      <c r="GZF1365" s="110"/>
      <c r="GZG1365" s="110"/>
      <c r="GZH1365" s="110"/>
      <c r="GZI1365" s="110"/>
      <c r="GZJ1365" s="110"/>
      <c r="GZK1365" s="110"/>
      <c r="GZL1365" s="110"/>
      <c r="GZM1365" s="110"/>
      <c r="GZN1365" s="110"/>
      <c r="GZO1365" s="110"/>
      <c r="GZP1365" s="110"/>
      <c r="GZQ1365" s="110"/>
      <c r="GZR1365" s="110"/>
      <c r="GZS1365" s="110"/>
      <c r="GZT1365" s="110"/>
      <c r="GZU1365" s="110"/>
      <c r="GZV1365" s="110"/>
      <c r="GZW1365" s="110"/>
      <c r="GZX1365" s="110"/>
      <c r="GZY1365" s="110"/>
      <c r="GZZ1365" s="110"/>
      <c r="HAA1365" s="110"/>
      <c r="HAB1365" s="110"/>
      <c r="HAC1365" s="110"/>
      <c r="HAD1365" s="110"/>
      <c r="HAE1365" s="110"/>
      <c r="HAF1365" s="110"/>
      <c r="HAG1365" s="110"/>
      <c r="HAH1365" s="110"/>
      <c r="HAI1365" s="110"/>
      <c r="HAJ1365" s="110"/>
      <c r="HAK1365" s="110"/>
      <c r="HAL1365" s="110"/>
      <c r="HAM1365" s="110"/>
      <c r="HAN1365" s="110"/>
      <c r="HAO1365" s="110"/>
      <c r="HAP1365" s="110"/>
      <c r="HAQ1365" s="110"/>
      <c r="HAR1365" s="110"/>
      <c r="HAS1365" s="110"/>
      <c r="HAT1365" s="110"/>
      <c r="HAU1365" s="110"/>
      <c r="HAV1365" s="110"/>
      <c r="HAW1365" s="110"/>
      <c r="HAX1365" s="110"/>
      <c r="HAY1365" s="110"/>
      <c r="HAZ1365" s="110"/>
      <c r="HBA1365" s="110"/>
      <c r="HBB1365" s="110"/>
      <c r="HBC1365" s="110"/>
      <c r="HBD1365" s="110"/>
      <c r="HBE1365" s="110"/>
      <c r="HBF1365" s="110"/>
      <c r="HBG1365" s="110"/>
      <c r="HBH1365" s="110"/>
      <c r="HBI1365" s="110"/>
      <c r="HBJ1365" s="110"/>
      <c r="HBK1365" s="110"/>
      <c r="HBL1365" s="110"/>
      <c r="HBM1365" s="110"/>
      <c r="HBN1365" s="110"/>
      <c r="HBO1365" s="110"/>
      <c r="HBP1365" s="110"/>
      <c r="HBQ1365" s="110"/>
      <c r="HBR1365" s="110"/>
      <c r="HBS1365" s="110"/>
      <c r="HBT1365" s="110"/>
      <c r="HBU1365" s="110"/>
      <c r="HBV1365" s="110"/>
      <c r="HBW1365" s="110"/>
      <c r="HBX1365" s="110"/>
      <c r="HBY1365" s="110"/>
      <c r="HBZ1365" s="110"/>
      <c r="HCA1365" s="110"/>
      <c r="HCB1365" s="110"/>
      <c r="HCC1365" s="110"/>
      <c r="HCD1365" s="110"/>
      <c r="HCE1365" s="110"/>
      <c r="HCF1365" s="110"/>
      <c r="HCG1365" s="110"/>
      <c r="HCH1365" s="110"/>
      <c r="HCI1365" s="110"/>
      <c r="HCJ1365" s="110"/>
      <c r="HCK1365" s="110"/>
      <c r="HCL1365" s="110"/>
      <c r="HCM1365" s="110"/>
      <c r="HCN1365" s="110"/>
      <c r="HCO1365" s="110"/>
      <c r="HCP1365" s="110"/>
      <c r="HCQ1365" s="110"/>
      <c r="HCR1365" s="110"/>
      <c r="HCS1365" s="110"/>
      <c r="HCT1365" s="110"/>
      <c r="HCU1365" s="110"/>
      <c r="HCV1365" s="110"/>
      <c r="HCW1365" s="110"/>
      <c r="HCX1365" s="110"/>
      <c r="HCY1365" s="110"/>
      <c r="HCZ1365" s="110"/>
      <c r="HDA1365" s="110"/>
      <c r="HDB1365" s="110"/>
      <c r="HDC1365" s="110"/>
      <c r="HDD1365" s="110"/>
      <c r="HDE1365" s="110"/>
      <c r="HDF1365" s="110"/>
      <c r="HDG1365" s="110"/>
      <c r="HDH1365" s="110"/>
      <c r="HDI1365" s="110"/>
      <c r="HDJ1365" s="110"/>
      <c r="HDK1365" s="110"/>
      <c r="HDL1365" s="110"/>
      <c r="HDM1365" s="110"/>
      <c r="HDN1365" s="110"/>
      <c r="HDO1365" s="110"/>
      <c r="HDP1365" s="110"/>
      <c r="HDQ1365" s="110"/>
      <c r="HDR1365" s="110"/>
      <c r="HDS1365" s="110"/>
      <c r="HDT1365" s="110"/>
      <c r="HDU1365" s="110"/>
      <c r="HDV1365" s="110"/>
      <c r="HDW1365" s="110"/>
      <c r="HDX1365" s="110"/>
      <c r="HDY1365" s="110"/>
      <c r="HDZ1365" s="110"/>
      <c r="HEA1365" s="110"/>
      <c r="HEB1365" s="110"/>
      <c r="HEC1365" s="110"/>
      <c r="HED1365" s="110"/>
      <c r="HEE1365" s="110"/>
      <c r="HEF1365" s="110"/>
      <c r="HEG1365" s="110"/>
      <c r="HEH1365" s="110"/>
      <c r="HEI1365" s="110"/>
      <c r="HEJ1365" s="110"/>
      <c r="HEK1365" s="110"/>
      <c r="HEL1365" s="110"/>
      <c r="HEM1365" s="110"/>
      <c r="HEN1365" s="110"/>
      <c r="HEO1365" s="110"/>
      <c r="HEP1365" s="110"/>
      <c r="HEQ1365" s="110"/>
      <c r="HER1365" s="110"/>
      <c r="HES1365" s="110"/>
      <c r="HET1365" s="110"/>
      <c r="HEU1365" s="110"/>
      <c r="HEV1365" s="110"/>
      <c r="HEW1365" s="110"/>
      <c r="HEX1365" s="110"/>
      <c r="HEY1365" s="110"/>
      <c r="HEZ1365" s="110"/>
      <c r="HFA1365" s="110"/>
      <c r="HFB1365" s="110"/>
      <c r="HFC1365" s="110"/>
      <c r="HFD1365" s="110"/>
      <c r="HFE1365" s="110"/>
      <c r="HFF1365" s="110"/>
      <c r="HFG1365" s="110"/>
      <c r="HFH1365" s="110"/>
      <c r="HFI1365" s="110"/>
      <c r="HFJ1365" s="110"/>
      <c r="HFK1365" s="110"/>
      <c r="HFL1365" s="110"/>
      <c r="HFM1365" s="110"/>
      <c r="HFN1365" s="110"/>
      <c r="HFO1365" s="110"/>
      <c r="HFP1365" s="110"/>
      <c r="HFQ1365" s="110"/>
      <c r="HFR1365" s="110"/>
      <c r="HFS1365" s="110"/>
      <c r="HFT1365" s="110"/>
      <c r="HFU1365" s="110"/>
      <c r="HFV1365" s="110"/>
      <c r="HFW1365" s="110"/>
      <c r="HFX1365" s="110"/>
      <c r="HFY1365" s="110"/>
      <c r="HFZ1365" s="110"/>
      <c r="HGA1365" s="110"/>
      <c r="HGB1365" s="110"/>
      <c r="HGC1365" s="110"/>
      <c r="HGD1365" s="110"/>
      <c r="HGE1365" s="110"/>
      <c r="HGF1365" s="110"/>
      <c r="HGG1365" s="110"/>
      <c r="HGH1365" s="110"/>
      <c r="HGI1365" s="110"/>
      <c r="HGJ1365" s="110"/>
      <c r="HGK1365" s="110"/>
      <c r="HGL1365" s="110"/>
      <c r="HGM1365" s="110"/>
      <c r="HGN1365" s="110"/>
      <c r="HGO1365" s="110"/>
      <c r="HGP1365" s="110"/>
      <c r="HGQ1365" s="110"/>
      <c r="HGR1365" s="110"/>
      <c r="HGS1365" s="110"/>
      <c r="HGT1365" s="110"/>
      <c r="HGU1365" s="110"/>
      <c r="HGV1365" s="110"/>
      <c r="HGW1365" s="110"/>
      <c r="HGX1365" s="110"/>
      <c r="HGY1365" s="110"/>
      <c r="HGZ1365" s="110"/>
      <c r="HHA1365" s="110"/>
      <c r="HHB1365" s="110"/>
      <c r="HHC1365" s="110"/>
      <c r="HHD1365" s="110"/>
      <c r="HHE1365" s="110"/>
      <c r="HHF1365" s="110"/>
      <c r="HHG1365" s="110"/>
      <c r="HHH1365" s="110"/>
      <c r="HHI1365" s="110"/>
      <c r="HHJ1365" s="110"/>
      <c r="HHK1365" s="110"/>
      <c r="HHL1365" s="110"/>
      <c r="HHM1365" s="110"/>
      <c r="HHN1365" s="110"/>
      <c r="HHO1365" s="110"/>
      <c r="HHP1365" s="110"/>
      <c r="HHQ1365" s="110"/>
      <c r="HHR1365" s="110"/>
      <c r="HHS1365" s="110"/>
      <c r="HHT1365" s="110"/>
      <c r="HHU1365" s="110"/>
      <c r="HHV1365" s="110"/>
      <c r="HHW1365" s="110"/>
      <c r="HHX1365" s="110"/>
      <c r="HHY1365" s="110"/>
      <c r="HHZ1365" s="110"/>
      <c r="HIA1365" s="110"/>
      <c r="HIB1365" s="110"/>
      <c r="HIC1365" s="110"/>
      <c r="HID1365" s="110"/>
      <c r="HIE1365" s="110"/>
      <c r="HIF1365" s="110"/>
      <c r="HIG1365" s="110"/>
      <c r="HIH1365" s="110"/>
      <c r="HII1365" s="110"/>
      <c r="HIJ1365" s="110"/>
      <c r="HIK1365" s="110"/>
      <c r="HIL1365" s="110"/>
      <c r="HIM1365" s="110"/>
      <c r="HIN1365" s="110"/>
      <c r="HIO1365" s="110"/>
      <c r="HIP1365" s="110"/>
      <c r="HIQ1365" s="110"/>
      <c r="HIR1365" s="110"/>
      <c r="HIS1365" s="110"/>
      <c r="HIT1365" s="110"/>
      <c r="HIU1365" s="110"/>
      <c r="HIV1365" s="110"/>
      <c r="HIW1365" s="110"/>
      <c r="HIX1365" s="110"/>
      <c r="HIY1365" s="110"/>
      <c r="HIZ1365" s="110"/>
      <c r="HJA1365" s="110"/>
      <c r="HJB1365" s="110"/>
      <c r="HJC1365" s="110"/>
      <c r="HJD1365" s="110"/>
      <c r="HJE1365" s="110"/>
      <c r="HJF1365" s="110"/>
      <c r="HJG1365" s="110"/>
      <c r="HJH1365" s="110"/>
      <c r="HJI1365" s="110"/>
      <c r="HJJ1365" s="110"/>
      <c r="HJK1365" s="110"/>
      <c r="HJL1365" s="110"/>
      <c r="HJM1365" s="110"/>
      <c r="HJN1365" s="110"/>
      <c r="HJO1365" s="110"/>
      <c r="HJP1365" s="110"/>
      <c r="HJQ1365" s="110"/>
      <c r="HJR1365" s="110"/>
      <c r="HJS1365" s="110"/>
      <c r="HJT1365" s="110"/>
      <c r="HJU1365" s="110"/>
      <c r="HJV1365" s="110"/>
      <c r="HJW1365" s="110"/>
      <c r="HJX1365" s="110"/>
      <c r="HJY1365" s="110"/>
      <c r="HJZ1365" s="110"/>
      <c r="HKA1365" s="110"/>
      <c r="HKB1365" s="110"/>
      <c r="HKC1365" s="110"/>
      <c r="HKD1365" s="110"/>
      <c r="HKE1365" s="110"/>
      <c r="HKF1365" s="110"/>
      <c r="HKG1365" s="110"/>
      <c r="HKH1365" s="110"/>
      <c r="HKI1365" s="110"/>
      <c r="HKJ1365" s="110"/>
      <c r="HKK1365" s="110"/>
      <c r="HKL1365" s="110"/>
      <c r="HKM1365" s="110"/>
      <c r="HKN1365" s="110"/>
      <c r="HKO1365" s="110"/>
      <c r="HKP1365" s="110"/>
      <c r="HKQ1365" s="110"/>
      <c r="HKR1365" s="110"/>
      <c r="HKS1365" s="110"/>
      <c r="HKT1365" s="110"/>
      <c r="HKU1365" s="110"/>
      <c r="HKV1365" s="110"/>
      <c r="HKW1365" s="110"/>
      <c r="HKX1365" s="110"/>
      <c r="HKY1365" s="110"/>
      <c r="HKZ1365" s="110"/>
      <c r="HLA1365" s="110"/>
      <c r="HLB1365" s="110"/>
      <c r="HLC1365" s="110"/>
      <c r="HLD1365" s="110"/>
      <c r="HLE1365" s="110"/>
      <c r="HLF1365" s="110"/>
      <c r="HLG1365" s="110"/>
      <c r="HLH1365" s="110"/>
      <c r="HLI1365" s="110"/>
      <c r="HLJ1365" s="110"/>
      <c r="HLK1365" s="110"/>
      <c r="HLL1365" s="110"/>
      <c r="HLM1365" s="110"/>
      <c r="HLN1365" s="110"/>
      <c r="HLO1365" s="110"/>
      <c r="HLP1365" s="110"/>
      <c r="HLQ1365" s="110"/>
      <c r="HLR1365" s="110"/>
      <c r="HLS1365" s="110"/>
      <c r="HLT1365" s="110"/>
      <c r="HLU1365" s="110"/>
      <c r="HLV1365" s="110"/>
      <c r="HLW1365" s="110"/>
      <c r="HLX1365" s="110"/>
      <c r="HLY1365" s="110"/>
      <c r="HLZ1365" s="110"/>
      <c r="HMA1365" s="110"/>
      <c r="HMB1365" s="110"/>
      <c r="HMC1365" s="110"/>
      <c r="HMD1365" s="110"/>
      <c r="HME1365" s="110"/>
      <c r="HMF1365" s="110"/>
      <c r="HMG1365" s="110"/>
      <c r="HMH1365" s="110"/>
      <c r="HMI1365" s="110"/>
      <c r="HMJ1365" s="110"/>
      <c r="HMK1365" s="110"/>
      <c r="HML1365" s="110"/>
      <c r="HMM1365" s="110"/>
      <c r="HMN1365" s="110"/>
      <c r="HMO1365" s="110"/>
      <c r="HMP1365" s="110"/>
      <c r="HMQ1365" s="110"/>
      <c r="HMR1365" s="110"/>
      <c r="HMS1365" s="110"/>
      <c r="HMT1365" s="110"/>
      <c r="HMU1365" s="110"/>
      <c r="HMV1365" s="110"/>
      <c r="HMW1365" s="110"/>
      <c r="HMX1365" s="110"/>
      <c r="HMY1365" s="110"/>
      <c r="HMZ1365" s="110"/>
      <c r="HNA1365" s="110"/>
      <c r="HNB1365" s="110"/>
      <c r="HNC1365" s="110"/>
      <c r="HND1365" s="110"/>
      <c r="HNE1365" s="110"/>
      <c r="HNF1365" s="110"/>
      <c r="HNG1365" s="110"/>
      <c r="HNH1365" s="110"/>
      <c r="HNI1365" s="110"/>
      <c r="HNJ1365" s="110"/>
      <c r="HNK1365" s="110"/>
      <c r="HNL1365" s="110"/>
      <c r="HNM1365" s="110"/>
      <c r="HNN1365" s="110"/>
      <c r="HNO1365" s="110"/>
      <c r="HNP1365" s="110"/>
      <c r="HNQ1365" s="110"/>
      <c r="HNR1365" s="110"/>
      <c r="HNS1365" s="110"/>
      <c r="HNT1365" s="110"/>
      <c r="HNU1365" s="110"/>
      <c r="HNV1365" s="110"/>
      <c r="HNW1365" s="110"/>
      <c r="HNX1365" s="110"/>
      <c r="HNY1365" s="110"/>
      <c r="HNZ1365" s="110"/>
      <c r="HOA1365" s="110"/>
      <c r="HOB1365" s="110"/>
      <c r="HOC1365" s="110"/>
      <c r="HOD1365" s="110"/>
      <c r="HOE1365" s="110"/>
      <c r="HOF1365" s="110"/>
      <c r="HOG1365" s="110"/>
      <c r="HOH1365" s="110"/>
      <c r="HOI1365" s="110"/>
      <c r="HOJ1365" s="110"/>
      <c r="HOK1365" s="110"/>
      <c r="HOL1365" s="110"/>
      <c r="HOM1365" s="110"/>
      <c r="HON1365" s="110"/>
      <c r="HOO1365" s="110"/>
      <c r="HOP1365" s="110"/>
      <c r="HOQ1365" s="110"/>
      <c r="HOR1365" s="110"/>
      <c r="HOS1365" s="110"/>
      <c r="HOT1365" s="110"/>
      <c r="HOU1365" s="110"/>
      <c r="HOV1365" s="110"/>
      <c r="HOW1365" s="110"/>
      <c r="HOX1365" s="110"/>
      <c r="HOY1365" s="110"/>
      <c r="HOZ1365" s="110"/>
      <c r="HPA1365" s="110"/>
      <c r="HPB1365" s="110"/>
      <c r="HPC1365" s="110"/>
      <c r="HPD1365" s="110"/>
      <c r="HPE1365" s="110"/>
      <c r="HPF1365" s="110"/>
      <c r="HPG1365" s="110"/>
      <c r="HPH1365" s="110"/>
      <c r="HPI1365" s="110"/>
      <c r="HPJ1365" s="110"/>
      <c r="HPK1365" s="110"/>
      <c r="HPL1365" s="110"/>
      <c r="HPM1365" s="110"/>
      <c r="HPN1365" s="110"/>
      <c r="HPO1365" s="110"/>
      <c r="HPP1365" s="110"/>
      <c r="HPQ1365" s="110"/>
      <c r="HPR1365" s="110"/>
      <c r="HPS1365" s="110"/>
      <c r="HPT1365" s="110"/>
      <c r="HPU1365" s="110"/>
      <c r="HPV1365" s="110"/>
      <c r="HPW1365" s="110"/>
      <c r="HPX1365" s="110"/>
      <c r="HPY1365" s="110"/>
      <c r="HPZ1365" s="110"/>
      <c r="HQA1365" s="110"/>
      <c r="HQB1365" s="110"/>
      <c r="HQC1365" s="110"/>
      <c r="HQD1365" s="110"/>
      <c r="HQE1365" s="110"/>
      <c r="HQF1365" s="110"/>
      <c r="HQG1365" s="110"/>
      <c r="HQH1365" s="110"/>
      <c r="HQI1365" s="110"/>
      <c r="HQJ1365" s="110"/>
      <c r="HQK1365" s="110"/>
      <c r="HQL1365" s="110"/>
      <c r="HQM1365" s="110"/>
      <c r="HQN1365" s="110"/>
      <c r="HQO1365" s="110"/>
      <c r="HQP1365" s="110"/>
      <c r="HQQ1365" s="110"/>
      <c r="HQR1365" s="110"/>
      <c r="HQS1365" s="110"/>
      <c r="HQT1365" s="110"/>
      <c r="HQU1365" s="110"/>
      <c r="HQV1365" s="110"/>
      <c r="HQW1365" s="110"/>
      <c r="HQX1365" s="110"/>
      <c r="HQY1365" s="110"/>
      <c r="HQZ1365" s="110"/>
      <c r="HRA1365" s="110"/>
      <c r="HRB1365" s="110"/>
      <c r="HRC1365" s="110"/>
      <c r="HRD1365" s="110"/>
      <c r="HRE1365" s="110"/>
      <c r="HRF1365" s="110"/>
      <c r="HRG1365" s="110"/>
      <c r="HRH1365" s="110"/>
      <c r="HRI1365" s="110"/>
      <c r="HRJ1365" s="110"/>
      <c r="HRK1365" s="110"/>
      <c r="HRL1365" s="110"/>
      <c r="HRM1365" s="110"/>
      <c r="HRN1365" s="110"/>
      <c r="HRO1365" s="110"/>
      <c r="HRP1365" s="110"/>
      <c r="HRQ1365" s="110"/>
      <c r="HRR1365" s="110"/>
      <c r="HRS1365" s="110"/>
      <c r="HRT1365" s="110"/>
      <c r="HRU1365" s="110"/>
      <c r="HRV1365" s="110"/>
      <c r="HRW1365" s="110"/>
      <c r="HRX1365" s="110"/>
      <c r="HRY1365" s="110"/>
      <c r="HRZ1365" s="110"/>
      <c r="HSA1365" s="110"/>
      <c r="HSB1365" s="110"/>
      <c r="HSC1365" s="110"/>
      <c r="HSD1365" s="110"/>
      <c r="HSE1365" s="110"/>
      <c r="HSF1365" s="110"/>
      <c r="HSG1365" s="110"/>
      <c r="HSH1365" s="110"/>
      <c r="HSI1365" s="110"/>
      <c r="HSJ1365" s="110"/>
      <c r="HSK1365" s="110"/>
      <c r="HSL1365" s="110"/>
      <c r="HSM1365" s="110"/>
      <c r="HSN1365" s="110"/>
      <c r="HSO1365" s="110"/>
      <c r="HSP1365" s="110"/>
      <c r="HSQ1365" s="110"/>
      <c r="HSR1365" s="110"/>
      <c r="HSS1365" s="110"/>
      <c r="HST1365" s="110"/>
      <c r="HSU1365" s="110"/>
      <c r="HSV1365" s="110"/>
      <c r="HSW1365" s="110"/>
      <c r="HSX1365" s="110"/>
      <c r="HSY1365" s="110"/>
      <c r="HSZ1365" s="110"/>
      <c r="HTA1365" s="110"/>
      <c r="HTB1365" s="110"/>
      <c r="HTC1365" s="110"/>
      <c r="HTD1365" s="110"/>
      <c r="HTE1365" s="110"/>
      <c r="HTF1365" s="110"/>
      <c r="HTG1365" s="110"/>
      <c r="HTH1365" s="110"/>
      <c r="HTI1365" s="110"/>
      <c r="HTJ1365" s="110"/>
      <c r="HTK1365" s="110"/>
      <c r="HTL1365" s="110"/>
      <c r="HTM1365" s="110"/>
      <c r="HTN1365" s="110"/>
      <c r="HTO1365" s="110"/>
      <c r="HTP1365" s="110"/>
      <c r="HTQ1365" s="110"/>
      <c r="HTR1365" s="110"/>
      <c r="HTS1365" s="110"/>
      <c r="HTT1365" s="110"/>
      <c r="HTU1365" s="110"/>
      <c r="HTV1365" s="110"/>
      <c r="HTW1365" s="110"/>
      <c r="HTX1365" s="110"/>
      <c r="HTY1365" s="110"/>
      <c r="HTZ1365" s="110"/>
      <c r="HUA1365" s="110"/>
      <c r="HUB1365" s="110"/>
      <c r="HUC1365" s="110"/>
      <c r="HUD1365" s="110"/>
      <c r="HUE1365" s="110"/>
      <c r="HUF1365" s="110"/>
      <c r="HUG1365" s="110"/>
      <c r="HUH1365" s="110"/>
      <c r="HUI1365" s="110"/>
      <c r="HUJ1365" s="110"/>
      <c r="HUK1365" s="110"/>
      <c r="HUL1365" s="110"/>
      <c r="HUM1365" s="110"/>
      <c r="HUN1365" s="110"/>
      <c r="HUO1365" s="110"/>
      <c r="HUP1365" s="110"/>
      <c r="HUQ1365" s="110"/>
      <c r="HUR1365" s="110"/>
      <c r="HUS1365" s="110"/>
      <c r="HUT1365" s="110"/>
      <c r="HUU1365" s="110"/>
      <c r="HUV1365" s="110"/>
      <c r="HUW1365" s="110"/>
      <c r="HUX1365" s="110"/>
      <c r="HUY1365" s="110"/>
      <c r="HUZ1365" s="110"/>
      <c r="HVA1365" s="110"/>
      <c r="HVB1365" s="110"/>
      <c r="HVC1365" s="110"/>
      <c r="HVD1365" s="110"/>
      <c r="HVE1365" s="110"/>
      <c r="HVF1365" s="110"/>
      <c r="HVG1365" s="110"/>
      <c r="HVH1365" s="110"/>
      <c r="HVI1365" s="110"/>
      <c r="HVJ1365" s="110"/>
      <c r="HVK1365" s="110"/>
      <c r="HVL1365" s="110"/>
      <c r="HVM1365" s="110"/>
      <c r="HVN1365" s="110"/>
      <c r="HVO1365" s="110"/>
      <c r="HVP1365" s="110"/>
      <c r="HVQ1365" s="110"/>
      <c r="HVR1365" s="110"/>
      <c r="HVS1365" s="110"/>
      <c r="HVT1365" s="110"/>
      <c r="HVU1365" s="110"/>
      <c r="HVV1365" s="110"/>
      <c r="HVW1365" s="110"/>
      <c r="HVX1365" s="110"/>
      <c r="HVY1365" s="110"/>
      <c r="HVZ1365" s="110"/>
      <c r="HWA1365" s="110"/>
      <c r="HWB1365" s="110"/>
      <c r="HWC1365" s="110"/>
      <c r="HWD1365" s="110"/>
      <c r="HWE1365" s="110"/>
      <c r="HWF1365" s="110"/>
      <c r="HWG1365" s="110"/>
      <c r="HWH1365" s="110"/>
      <c r="HWI1365" s="110"/>
      <c r="HWJ1365" s="110"/>
      <c r="HWK1365" s="110"/>
      <c r="HWL1365" s="110"/>
      <c r="HWM1365" s="110"/>
      <c r="HWN1365" s="110"/>
      <c r="HWO1365" s="110"/>
      <c r="HWP1365" s="110"/>
      <c r="HWQ1365" s="110"/>
      <c r="HWR1365" s="110"/>
      <c r="HWS1365" s="110"/>
      <c r="HWT1365" s="110"/>
      <c r="HWU1365" s="110"/>
      <c r="HWV1365" s="110"/>
      <c r="HWW1365" s="110"/>
      <c r="HWX1365" s="110"/>
      <c r="HWY1365" s="110"/>
      <c r="HWZ1365" s="110"/>
      <c r="HXA1365" s="110"/>
      <c r="HXB1365" s="110"/>
      <c r="HXC1365" s="110"/>
      <c r="HXD1365" s="110"/>
      <c r="HXE1365" s="110"/>
      <c r="HXF1365" s="110"/>
      <c r="HXG1365" s="110"/>
      <c r="HXH1365" s="110"/>
      <c r="HXI1365" s="110"/>
      <c r="HXJ1365" s="110"/>
      <c r="HXK1365" s="110"/>
      <c r="HXL1365" s="110"/>
      <c r="HXM1365" s="110"/>
      <c r="HXN1365" s="110"/>
      <c r="HXO1365" s="110"/>
      <c r="HXP1365" s="110"/>
      <c r="HXQ1365" s="110"/>
      <c r="HXR1365" s="110"/>
      <c r="HXS1365" s="110"/>
      <c r="HXT1365" s="110"/>
      <c r="HXU1365" s="110"/>
      <c r="HXV1365" s="110"/>
      <c r="HXW1365" s="110"/>
      <c r="HXX1365" s="110"/>
      <c r="HXY1365" s="110"/>
      <c r="HXZ1365" s="110"/>
      <c r="HYA1365" s="110"/>
      <c r="HYB1365" s="110"/>
      <c r="HYC1365" s="110"/>
      <c r="HYD1365" s="110"/>
      <c r="HYE1365" s="110"/>
      <c r="HYF1365" s="110"/>
      <c r="HYG1365" s="110"/>
      <c r="HYH1365" s="110"/>
      <c r="HYI1365" s="110"/>
      <c r="HYJ1365" s="110"/>
      <c r="HYK1365" s="110"/>
      <c r="HYL1365" s="110"/>
      <c r="HYM1365" s="110"/>
      <c r="HYN1365" s="110"/>
      <c r="HYO1365" s="110"/>
      <c r="HYP1365" s="110"/>
      <c r="HYQ1365" s="110"/>
      <c r="HYR1365" s="110"/>
      <c r="HYS1365" s="110"/>
      <c r="HYT1365" s="110"/>
      <c r="HYU1365" s="110"/>
      <c r="HYV1365" s="110"/>
      <c r="HYW1365" s="110"/>
      <c r="HYX1365" s="110"/>
      <c r="HYY1365" s="110"/>
      <c r="HYZ1365" s="110"/>
      <c r="HZA1365" s="110"/>
      <c r="HZB1365" s="110"/>
      <c r="HZC1365" s="110"/>
      <c r="HZD1365" s="110"/>
      <c r="HZE1365" s="110"/>
      <c r="HZF1365" s="110"/>
      <c r="HZG1365" s="110"/>
      <c r="HZH1365" s="110"/>
      <c r="HZI1365" s="110"/>
      <c r="HZJ1365" s="110"/>
      <c r="HZK1365" s="110"/>
      <c r="HZL1365" s="110"/>
      <c r="HZM1365" s="110"/>
      <c r="HZN1365" s="110"/>
      <c r="HZO1365" s="110"/>
      <c r="HZP1365" s="110"/>
      <c r="HZQ1365" s="110"/>
      <c r="HZR1365" s="110"/>
      <c r="HZS1365" s="110"/>
      <c r="HZT1365" s="110"/>
      <c r="HZU1365" s="110"/>
      <c r="HZV1365" s="110"/>
      <c r="HZW1365" s="110"/>
      <c r="HZX1365" s="110"/>
      <c r="HZY1365" s="110"/>
      <c r="HZZ1365" s="110"/>
      <c r="IAA1365" s="110"/>
      <c r="IAB1365" s="110"/>
      <c r="IAC1365" s="110"/>
      <c r="IAD1365" s="110"/>
      <c r="IAE1365" s="110"/>
      <c r="IAF1365" s="110"/>
      <c r="IAG1365" s="110"/>
      <c r="IAH1365" s="110"/>
      <c r="IAI1365" s="110"/>
      <c r="IAJ1365" s="110"/>
      <c r="IAK1365" s="110"/>
      <c r="IAL1365" s="110"/>
      <c r="IAM1365" s="110"/>
      <c r="IAN1365" s="110"/>
      <c r="IAO1365" s="110"/>
      <c r="IAP1365" s="110"/>
      <c r="IAQ1365" s="110"/>
      <c r="IAR1365" s="110"/>
      <c r="IAS1365" s="110"/>
      <c r="IAT1365" s="110"/>
      <c r="IAU1365" s="110"/>
      <c r="IAV1365" s="110"/>
      <c r="IAW1365" s="110"/>
      <c r="IAX1365" s="110"/>
      <c r="IAY1365" s="110"/>
      <c r="IAZ1365" s="110"/>
      <c r="IBA1365" s="110"/>
      <c r="IBB1365" s="110"/>
      <c r="IBC1365" s="110"/>
      <c r="IBD1365" s="110"/>
      <c r="IBE1365" s="110"/>
      <c r="IBF1365" s="110"/>
      <c r="IBG1365" s="110"/>
      <c r="IBH1365" s="110"/>
      <c r="IBI1365" s="110"/>
      <c r="IBJ1365" s="110"/>
      <c r="IBK1365" s="110"/>
      <c r="IBL1365" s="110"/>
      <c r="IBM1365" s="110"/>
      <c r="IBN1365" s="110"/>
      <c r="IBO1365" s="110"/>
      <c r="IBP1365" s="110"/>
      <c r="IBQ1365" s="110"/>
      <c r="IBR1365" s="110"/>
      <c r="IBS1365" s="110"/>
      <c r="IBT1365" s="110"/>
      <c r="IBU1365" s="110"/>
      <c r="IBV1365" s="110"/>
      <c r="IBW1365" s="110"/>
      <c r="IBX1365" s="110"/>
      <c r="IBY1365" s="110"/>
      <c r="IBZ1365" s="110"/>
      <c r="ICA1365" s="110"/>
      <c r="ICB1365" s="110"/>
      <c r="ICC1365" s="110"/>
      <c r="ICD1365" s="110"/>
      <c r="ICE1365" s="110"/>
      <c r="ICF1365" s="110"/>
      <c r="ICG1365" s="110"/>
      <c r="ICH1365" s="110"/>
      <c r="ICI1365" s="110"/>
      <c r="ICJ1365" s="110"/>
      <c r="ICK1365" s="110"/>
      <c r="ICL1365" s="110"/>
      <c r="ICM1365" s="110"/>
      <c r="ICN1365" s="110"/>
      <c r="ICO1365" s="110"/>
      <c r="ICP1365" s="110"/>
      <c r="ICQ1365" s="110"/>
      <c r="ICR1365" s="110"/>
      <c r="ICS1365" s="110"/>
      <c r="ICT1365" s="110"/>
      <c r="ICU1365" s="110"/>
      <c r="ICV1365" s="110"/>
      <c r="ICW1365" s="110"/>
      <c r="ICX1365" s="110"/>
      <c r="ICY1365" s="110"/>
      <c r="ICZ1365" s="110"/>
      <c r="IDA1365" s="110"/>
      <c r="IDB1365" s="110"/>
      <c r="IDC1365" s="110"/>
      <c r="IDD1365" s="110"/>
      <c r="IDE1365" s="110"/>
      <c r="IDF1365" s="110"/>
      <c r="IDG1365" s="110"/>
      <c r="IDH1365" s="110"/>
      <c r="IDI1365" s="110"/>
      <c r="IDJ1365" s="110"/>
      <c r="IDK1365" s="110"/>
      <c r="IDL1365" s="110"/>
      <c r="IDM1365" s="110"/>
      <c r="IDN1365" s="110"/>
      <c r="IDO1365" s="110"/>
      <c r="IDP1365" s="110"/>
      <c r="IDQ1365" s="110"/>
      <c r="IDR1365" s="110"/>
      <c r="IDS1365" s="110"/>
      <c r="IDT1365" s="110"/>
      <c r="IDU1365" s="110"/>
      <c r="IDV1365" s="110"/>
      <c r="IDW1365" s="110"/>
      <c r="IDX1365" s="110"/>
      <c r="IDY1365" s="110"/>
      <c r="IDZ1365" s="110"/>
      <c r="IEA1365" s="110"/>
      <c r="IEB1365" s="110"/>
      <c r="IEC1365" s="110"/>
      <c r="IED1365" s="110"/>
      <c r="IEE1365" s="110"/>
      <c r="IEF1365" s="110"/>
      <c r="IEG1365" s="110"/>
      <c r="IEH1365" s="110"/>
      <c r="IEI1365" s="110"/>
      <c r="IEJ1365" s="110"/>
      <c r="IEK1365" s="110"/>
      <c r="IEL1365" s="110"/>
      <c r="IEM1365" s="110"/>
      <c r="IEN1365" s="110"/>
      <c r="IEO1365" s="110"/>
      <c r="IEP1365" s="110"/>
      <c r="IEQ1365" s="110"/>
      <c r="IER1365" s="110"/>
      <c r="IES1365" s="110"/>
      <c r="IET1365" s="110"/>
      <c r="IEU1365" s="110"/>
      <c r="IEV1365" s="110"/>
      <c r="IEW1365" s="110"/>
      <c r="IEX1365" s="110"/>
      <c r="IEY1365" s="110"/>
      <c r="IEZ1365" s="110"/>
      <c r="IFA1365" s="110"/>
      <c r="IFB1365" s="110"/>
      <c r="IFC1365" s="110"/>
      <c r="IFD1365" s="110"/>
      <c r="IFE1365" s="110"/>
      <c r="IFF1365" s="110"/>
      <c r="IFG1365" s="110"/>
      <c r="IFH1365" s="110"/>
      <c r="IFI1365" s="110"/>
      <c r="IFJ1365" s="110"/>
      <c r="IFK1365" s="110"/>
      <c r="IFL1365" s="110"/>
      <c r="IFM1365" s="110"/>
      <c r="IFN1365" s="110"/>
      <c r="IFO1365" s="110"/>
      <c r="IFP1365" s="110"/>
      <c r="IFQ1365" s="110"/>
      <c r="IFR1365" s="110"/>
      <c r="IFS1365" s="110"/>
      <c r="IFT1365" s="110"/>
      <c r="IFU1365" s="110"/>
      <c r="IFV1365" s="110"/>
      <c r="IFW1365" s="110"/>
      <c r="IFX1365" s="110"/>
      <c r="IFY1365" s="110"/>
      <c r="IFZ1365" s="110"/>
      <c r="IGA1365" s="110"/>
      <c r="IGB1365" s="110"/>
      <c r="IGC1365" s="110"/>
      <c r="IGD1365" s="110"/>
      <c r="IGE1365" s="110"/>
      <c r="IGF1365" s="110"/>
      <c r="IGG1365" s="110"/>
      <c r="IGH1365" s="110"/>
      <c r="IGI1365" s="110"/>
      <c r="IGJ1365" s="110"/>
      <c r="IGK1365" s="110"/>
      <c r="IGL1365" s="110"/>
      <c r="IGM1365" s="110"/>
      <c r="IGN1365" s="110"/>
      <c r="IGO1365" s="110"/>
      <c r="IGP1365" s="110"/>
      <c r="IGQ1365" s="110"/>
      <c r="IGR1365" s="110"/>
      <c r="IGS1365" s="110"/>
      <c r="IGT1365" s="110"/>
      <c r="IGU1365" s="110"/>
      <c r="IGV1365" s="110"/>
      <c r="IGW1365" s="110"/>
      <c r="IGX1365" s="110"/>
      <c r="IGY1365" s="110"/>
      <c r="IGZ1365" s="110"/>
      <c r="IHA1365" s="110"/>
      <c r="IHB1365" s="110"/>
      <c r="IHC1365" s="110"/>
      <c r="IHD1365" s="110"/>
      <c r="IHE1365" s="110"/>
      <c r="IHF1365" s="110"/>
      <c r="IHG1365" s="110"/>
      <c r="IHH1365" s="110"/>
      <c r="IHI1365" s="110"/>
      <c r="IHJ1365" s="110"/>
      <c r="IHK1365" s="110"/>
      <c r="IHL1365" s="110"/>
      <c r="IHM1365" s="110"/>
      <c r="IHN1365" s="110"/>
      <c r="IHO1365" s="110"/>
      <c r="IHP1365" s="110"/>
      <c r="IHQ1365" s="110"/>
      <c r="IHR1365" s="110"/>
      <c r="IHS1365" s="110"/>
      <c r="IHT1365" s="110"/>
      <c r="IHU1365" s="110"/>
      <c r="IHV1365" s="110"/>
      <c r="IHW1365" s="110"/>
      <c r="IHX1365" s="110"/>
      <c r="IHY1365" s="110"/>
      <c r="IHZ1365" s="110"/>
      <c r="IIA1365" s="110"/>
      <c r="IIB1365" s="110"/>
      <c r="IIC1365" s="110"/>
      <c r="IID1365" s="110"/>
      <c r="IIE1365" s="110"/>
      <c r="IIF1365" s="110"/>
      <c r="IIG1365" s="110"/>
      <c r="IIH1365" s="110"/>
      <c r="III1365" s="110"/>
      <c r="IIJ1365" s="110"/>
      <c r="IIK1365" s="110"/>
      <c r="IIL1365" s="110"/>
      <c r="IIM1365" s="110"/>
      <c r="IIN1365" s="110"/>
      <c r="IIO1365" s="110"/>
      <c r="IIP1365" s="110"/>
      <c r="IIQ1365" s="110"/>
      <c r="IIR1365" s="110"/>
      <c r="IIS1365" s="110"/>
      <c r="IIT1365" s="110"/>
      <c r="IIU1365" s="110"/>
      <c r="IIV1365" s="110"/>
      <c r="IIW1365" s="110"/>
      <c r="IIX1365" s="110"/>
      <c r="IIY1365" s="110"/>
      <c r="IIZ1365" s="110"/>
      <c r="IJA1365" s="110"/>
      <c r="IJB1365" s="110"/>
      <c r="IJC1365" s="110"/>
      <c r="IJD1365" s="110"/>
      <c r="IJE1365" s="110"/>
      <c r="IJF1365" s="110"/>
      <c r="IJG1365" s="110"/>
      <c r="IJH1365" s="110"/>
      <c r="IJI1365" s="110"/>
      <c r="IJJ1365" s="110"/>
      <c r="IJK1365" s="110"/>
      <c r="IJL1365" s="110"/>
      <c r="IJM1365" s="110"/>
      <c r="IJN1365" s="110"/>
      <c r="IJO1365" s="110"/>
      <c r="IJP1365" s="110"/>
      <c r="IJQ1365" s="110"/>
      <c r="IJR1365" s="110"/>
      <c r="IJS1365" s="110"/>
      <c r="IJT1365" s="110"/>
      <c r="IJU1365" s="110"/>
      <c r="IJV1365" s="110"/>
      <c r="IJW1365" s="110"/>
      <c r="IJX1365" s="110"/>
      <c r="IJY1365" s="110"/>
      <c r="IJZ1365" s="110"/>
      <c r="IKA1365" s="110"/>
      <c r="IKB1365" s="110"/>
      <c r="IKC1365" s="110"/>
      <c r="IKD1365" s="110"/>
      <c r="IKE1365" s="110"/>
      <c r="IKF1365" s="110"/>
      <c r="IKG1365" s="110"/>
      <c r="IKH1365" s="110"/>
      <c r="IKI1365" s="110"/>
      <c r="IKJ1365" s="110"/>
      <c r="IKK1365" s="110"/>
      <c r="IKL1365" s="110"/>
      <c r="IKM1365" s="110"/>
      <c r="IKN1365" s="110"/>
      <c r="IKO1365" s="110"/>
      <c r="IKP1365" s="110"/>
      <c r="IKQ1365" s="110"/>
      <c r="IKR1365" s="110"/>
      <c r="IKS1365" s="110"/>
      <c r="IKT1365" s="110"/>
      <c r="IKU1365" s="110"/>
      <c r="IKV1365" s="110"/>
      <c r="IKW1365" s="110"/>
      <c r="IKX1365" s="110"/>
      <c r="IKY1365" s="110"/>
      <c r="IKZ1365" s="110"/>
      <c r="ILA1365" s="110"/>
      <c r="ILB1365" s="110"/>
      <c r="ILC1365" s="110"/>
      <c r="ILD1365" s="110"/>
      <c r="ILE1365" s="110"/>
      <c r="ILF1365" s="110"/>
      <c r="ILG1365" s="110"/>
      <c r="ILH1365" s="110"/>
      <c r="ILI1365" s="110"/>
      <c r="ILJ1365" s="110"/>
      <c r="ILK1365" s="110"/>
      <c r="ILL1365" s="110"/>
      <c r="ILM1365" s="110"/>
      <c r="ILN1365" s="110"/>
      <c r="ILO1365" s="110"/>
      <c r="ILP1365" s="110"/>
      <c r="ILQ1365" s="110"/>
      <c r="ILR1365" s="110"/>
      <c r="ILS1365" s="110"/>
      <c r="ILT1365" s="110"/>
      <c r="ILU1365" s="110"/>
      <c r="ILV1365" s="110"/>
      <c r="ILW1365" s="110"/>
      <c r="ILX1365" s="110"/>
      <c r="ILY1365" s="110"/>
      <c r="ILZ1365" s="110"/>
      <c r="IMA1365" s="110"/>
      <c r="IMB1365" s="110"/>
      <c r="IMC1365" s="110"/>
      <c r="IMD1365" s="110"/>
      <c r="IME1365" s="110"/>
      <c r="IMF1365" s="110"/>
      <c r="IMG1365" s="110"/>
      <c r="IMH1365" s="110"/>
      <c r="IMI1365" s="110"/>
      <c r="IMJ1365" s="110"/>
      <c r="IMK1365" s="110"/>
      <c r="IML1365" s="110"/>
      <c r="IMM1365" s="110"/>
      <c r="IMN1365" s="110"/>
      <c r="IMO1365" s="110"/>
      <c r="IMP1365" s="110"/>
      <c r="IMQ1365" s="110"/>
      <c r="IMR1365" s="110"/>
      <c r="IMS1365" s="110"/>
      <c r="IMT1365" s="110"/>
      <c r="IMU1365" s="110"/>
      <c r="IMV1365" s="110"/>
      <c r="IMW1365" s="110"/>
      <c r="IMX1365" s="110"/>
      <c r="IMY1365" s="110"/>
      <c r="IMZ1365" s="110"/>
      <c r="INA1365" s="110"/>
      <c r="INB1365" s="110"/>
      <c r="INC1365" s="110"/>
      <c r="IND1365" s="110"/>
      <c r="INE1365" s="110"/>
      <c r="INF1365" s="110"/>
      <c r="ING1365" s="110"/>
      <c r="INH1365" s="110"/>
      <c r="INI1365" s="110"/>
      <c r="INJ1365" s="110"/>
      <c r="INK1365" s="110"/>
      <c r="INL1365" s="110"/>
      <c r="INM1365" s="110"/>
      <c r="INN1365" s="110"/>
      <c r="INO1365" s="110"/>
      <c r="INP1365" s="110"/>
      <c r="INQ1365" s="110"/>
      <c r="INR1365" s="110"/>
      <c r="INS1365" s="110"/>
      <c r="INT1365" s="110"/>
      <c r="INU1365" s="110"/>
      <c r="INV1365" s="110"/>
      <c r="INW1365" s="110"/>
      <c r="INX1365" s="110"/>
      <c r="INY1365" s="110"/>
      <c r="INZ1365" s="110"/>
      <c r="IOA1365" s="110"/>
      <c r="IOB1365" s="110"/>
      <c r="IOC1365" s="110"/>
      <c r="IOD1365" s="110"/>
      <c r="IOE1365" s="110"/>
      <c r="IOF1365" s="110"/>
      <c r="IOG1365" s="110"/>
      <c r="IOH1365" s="110"/>
      <c r="IOI1365" s="110"/>
      <c r="IOJ1365" s="110"/>
      <c r="IOK1365" s="110"/>
      <c r="IOL1365" s="110"/>
      <c r="IOM1365" s="110"/>
      <c r="ION1365" s="110"/>
      <c r="IOO1365" s="110"/>
      <c r="IOP1365" s="110"/>
      <c r="IOQ1365" s="110"/>
      <c r="IOR1365" s="110"/>
      <c r="IOS1365" s="110"/>
      <c r="IOT1365" s="110"/>
      <c r="IOU1365" s="110"/>
      <c r="IOV1365" s="110"/>
      <c r="IOW1365" s="110"/>
      <c r="IOX1365" s="110"/>
      <c r="IOY1365" s="110"/>
      <c r="IOZ1365" s="110"/>
      <c r="IPA1365" s="110"/>
      <c r="IPB1365" s="110"/>
      <c r="IPC1365" s="110"/>
      <c r="IPD1365" s="110"/>
      <c r="IPE1365" s="110"/>
      <c r="IPF1365" s="110"/>
      <c r="IPG1365" s="110"/>
      <c r="IPH1365" s="110"/>
      <c r="IPI1365" s="110"/>
      <c r="IPJ1365" s="110"/>
      <c r="IPK1365" s="110"/>
      <c r="IPL1365" s="110"/>
      <c r="IPM1365" s="110"/>
      <c r="IPN1365" s="110"/>
      <c r="IPO1365" s="110"/>
      <c r="IPP1365" s="110"/>
      <c r="IPQ1365" s="110"/>
      <c r="IPR1365" s="110"/>
      <c r="IPS1365" s="110"/>
      <c r="IPT1365" s="110"/>
      <c r="IPU1365" s="110"/>
      <c r="IPV1365" s="110"/>
      <c r="IPW1365" s="110"/>
      <c r="IPX1365" s="110"/>
      <c r="IPY1365" s="110"/>
      <c r="IPZ1365" s="110"/>
      <c r="IQA1365" s="110"/>
      <c r="IQB1365" s="110"/>
      <c r="IQC1365" s="110"/>
      <c r="IQD1365" s="110"/>
      <c r="IQE1365" s="110"/>
      <c r="IQF1365" s="110"/>
      <c r="IQG1365" s="110"/>
      <c r="IQH1365" s="110"/>
      <c r="IQI1365" s="110"/>
      <c r="IQJ1365" s="110"/>
      <c r="IQK1365" s="110"/>
      <c r="IQL1365" s="110"/>
      <c r="IQM1365" s="110"/>
      <c r="IQN1365" s="110"/>
      <c r="IQO1365" s="110"/>
      <c r="IQP1365" s="110"/>
      <c r="IQQ1365" s="110"/>
      <c r="IQR1365" s="110"/>
      <c r="IQS1365" s="110"/>
      <c r="IQT1365" s="110"/>
      <c r="IQU1365" s="110"/>
      <c r="IQV1365" s="110"/>
      <c r="IQW1365" s="110"/>
      <c r="IQX1365" s="110"/>
      <c r="IQY1365" s="110"/>
      <c r="IQZ1365" s="110"/>
      <c r="IRA1365" s="110"/>
      <c r="IRB1365" s="110"/>
      <c r="IRC1365" s="110"/>
      <c r="IRD1365" s="110"/>
      <c r="IRE1365" s="110"/>
      <c r="IRF1365" s="110"/>
      <c r="IRG1365" s="110"/>
      <c r="IRH1365" s="110"/>
      <c r="IRI1365" s="110"/>
      <c r="IRJ1365" s="110"/>
      <c r="IRK1365" s="110"/>
      <c r="IRL1365" s="110"/>
      <c r="IRM1365" s="110"/>
      <c r="IRN1365" s="110"/>
      <c r="IRO1365" s="110"/>
      <c r="IRP1365" s="110"/>
      <c r="IRQ1365" s="110"/>
      <c r="IRR1365" s="110"/>
      <c r="IRS1365" s="110"/>
      <c r="IRT1365" s="110"/>
      <c r="IRU1365" s="110"/>
      <c r="IRV1365" s="110"/>
      <c r="IRW1365" s="110"/>
      <c r="IRX1365" s="110"/>
      <c r="IRY1365" s="110"/>
      <c r="IRZ1365" s="110"/>
      <c r="ISA1365" s="110"/>
      <c r="ISB1365" s="110"/>
      <c r="ISC1365" s="110"/>
      <c r="ISD1365" s="110"/>
      <c r="ISE1365" s="110"/>
      <c r="ISF1365" s="110"/>
      <c r="ISG1365" s="110"/>
      <c r="ISH1365" s="110"/>
      <c r="ISI1365" s="110"/>
      <c r="ISJ1365" s="110"/>
      <c r="ISK1365" s="110"/>
      <c r="ISL1365" s="110"/>
      <c r="ISM1365" s="110"/>
      <c r="ISN1365" s="110"/>
      <c r="ISO1365" s="110"/>
      <c r="ISP1365" s="110"/>
      <c r="ISQ1365" s="110"/>
      <c r="ISR1365" s="110"/>
      <c r="ISS1365" s="110"/>
      <c r="IST1365" s="110"/>
      <c r="ISU1365" s="110"/>
      <c r="ISV1365" s="110"/>
      <c r="ISW1365" s="110"/>
      <c r="ISX1365" s="110"/>
      <c r="ISY1365" s="110"/>
      <c r="ISZ1365" s="110"/>
      <c r="ITA1365" s="110"/>
      <c r="ITB1365" s="110"/>
      <c r="ITC1365" s="110"/>
      <c r="ITD1365" s="110"/>
      <c r="ITE1365" s="110"/>
      <c r="ITF1365" s="110"/>
      <c r="ITG1365" s="110"/>
      <c r="ITH1365" s="110"/>
      <c r="ITI1365" s="110"/>
      <c r="ITJ1365" s="110"/>
      <c r="ITK1365" s="110"/>
      <c r="ITL1365" s="110"/>
      <c r="ITM1365" s="110"/>
      <c r="ITN1365" s="110"/>
      <c r="ITO1365" s="110"/>
      <c r="ITP1365" s="110"/>
      <c r="ITQ1365" s="110"/>
      <c r="ITR1365" s="110"/>
      <c r="ITS1365" s="110"/>
      <c r="ITT1365" s="110"/>
      <c r="ITU1365" s="110"/>
      <c r="ITV1365" s="110"/>
      <c r="ITW1365" s="110"/>
      <c r="ITX1365" s="110"/>
      <c r="ITY1365" s="110"/>
      <c r="ITZ1365" s="110"/>
      <c r="IUA1365" s="110"/>
      <c r="IUB1365" s="110"/>
      <c r="IUC1365" s="110"/>
      <c r="IUD1365" s="110"/>
      <c r="IUE1365" s="110"/>
      <c r="IUF1365" s="110"/>
      <c r="IUG1365" s="110"/>
      <c r="IUH1365" s="110"/>
      <c r="IUI1365" s="110"/>
      <c r="IUJ1365" s="110"/>
      <c r="IUK1365" s="110"/>
      <c r="IUL1365" s="110"/>
      <c r="IUM1365" s="110"/>
      <c r="IUN1365" s="110"/>
      <c r="IUO1365" s="110"/>
      <c r="IUP1365" s="110"/>
      <c r="IUQ1365" s="110"/>
      <c r="IUR1365" s="110"/>
      <c r="IUS1365" s="110"/>
      <c r="IUT1365" s="110"/>
      <c r="IUU1365" s="110"/>
      <c r="IUV1365" s="110"/>
      <c r="IUW1365" s="110"/>
      <c r="IUX1365" s="110"/>
      <c r="IUY1365" s="110"/>
      <c r="IUZ1365" s="110"/>
      <c r="IVA1365" s="110"/>
      <c r="IVB1365" s="110"/>
      <c r="IVC1365" s="110"/>
      <c r="IVD1365" s="110"/>
      <c r="IVE1365" s="110"/>
      <c r="IVF1365" s="110"/>
      <c r="IVG1365" s="110"/>
      <c r="IVH1365" s="110"/>
      <c r="IVI1365" s="110"/>
      <c r="IVJ1365" s="110"/>
      <c r="IVK1365" s="110"/>
      <c r="IVL1365" s="110"/>
      <c r="IVM1365" s="110"/>
      <c r="IVN1365" s="110"/>
      <c r="IVO1365" s="110"/>
      <c r="IVP1365" s="110"/>
      <c r="IVQ1365" s="110"/>
      <c r="IVR1365" s="110"/>
      <c r="IVS1365" s="110"/>
      <c r="IVT1365" s="110"/>
      <c r="IVU1365" s="110"/>
      <c r="IVV1365" s="110"/>
      <c r="IVW1365" s="110"/>
      <c r="IVX1365" s="110"/>
      <c r="IVY1365" s="110"/>
      <c r="IVZ1365" s="110"/>
      <c r="IWA1365" s="110"/>
      <c r="IWB1365" s="110"/>
      <c r="IWC1365" s="110"/>
      <c r="IWD1365" s="110"/>
      <c r="IWE1365" s="110"/>
      <c r="IWF1365" s="110"/>
      <c r="IWG1365" s="110"/>
      <c r="IWH1365" s="110"/>
      <c r="IWI1365" s="110"/>
      <c r="IWJ1365" s="110"/>
      <c r="IWK1365" s="110"/>
      <c r="IWL1365" s="110"/>
      <c r="IWM1365" s="110"/>
      <c r="IWN1365" s="110"/>
      <c r="IWO1365" s="110"/>
      <c r="IWP1365" s="110"/>
      <c r="IWQ1365" s="110"/>
      <c r="IWR1365" s="110"/>
      <c r="IWS1365" s="110"/>
      <c r="IWT1365" s="110"/>
      <c r="IWU1365" s="110"/>
      <c r="IWV1365" s="110"/>
      <c r="IWW1365" s="110"/>
      <c r="IWX1365" s="110"/>
      <c r="IWY1365" s="110"/>
      <c r="IWZ1365" s="110"/>
      <c r="IXA1365" s="110"/>
      <c r="IXB1365" s="110"/>
      <c r="IXC1365" s="110"/>
      <c r="IXD1365" s="110"/>
      <c r="IXE1365" s="110"/>
      <c r="IXF1365" s="110"/>
      <c r="IXG1365" s="110"/>
      <c r="IXH1365" s="110"/>
      <c r="IXI1365" s="110"/>
      <c r="IXJ1365" s="110"/>
      <c r="IXK1365" s="110"/>
      <c r="IXL1365" s="110"/>
      <c r="IXM1365" s="110"/>
      <c r="IXN1365" s="110"/>
      <c r="IXO1365" s="110"/>
      <c r="IXP1365" s="110"/>
      <c r="IXQ1365" s="110"/>
      <c r="IXR1365" s="110"/>
      <c r="IXS1365" s="110"/>
      <c r="IXT1365" s="110"/>
      <c r="IXU1365" s="110"/>
      <c r="IXV1365" s="110"/>
      <c r="IXW1365" s="110"/>
      <c r="IXX1365" s="110"/>
      <c r="IXY1365" s="110"/>
      <c r="IXZ1365" s="110"/>
      <c r="IYA1365" s="110"/>
      <c r="IYB1365" s="110"/>
      <c r="IYC1365" s="110"/>
      <c r="IYD1365" s="110"/>
      <c r="IYE1365" s="110"/>
      <c r="IYF1365" s="110"/>
      <c r="IYG1365" s="110"/>
      <c r="IYH1365" s="110"/>
      <c r="IYI1365" s="110"/>
      <c r="IYJ1365" s="110"/>
      <c r="IYK1365" s="110"/>
      <c r="IYL1365" s="110"/>
      <c r="IYM1365" s="110"/>
      <c r="IYN1365" s="110"/>
      <c r="IYO1365" s="110"/>
      <c r="IYP1365" s="110"/>
      <c r="IYQ1365" s="110"/>
      <c r="IYR1365" s="110"/>
      <c r="IYS1365" s="110"/>
      <c r="IYT1365" s="110"/>
      <c r="IYU1365" s="110"/>
      <c r="IYV1365" s="110"/>
      <c r="IYW1365" s="110"/>
      <c r="IYX1365" s="110"/>
      <c r="IYY1365" s="110"/>
      <c r="IYZ1365" s="110"/>
      <c r="IZA1365" s="110"/>
      <c r="IZB1365" s="110"/>
      <c r="IZC1365" s="110"/>
      <c r="IZD1365" s="110"/>
      <c r="IZE1365" s="110"/>
      <c r="IZF1365" s="110"/>
      <c r="IZG1365" s="110"/>
      <c r="IZH1365" s="110"/>
      <c r="IZI1365" s="110"/>
      <c r="IZJ1365" s="110"/>
      <c r="IZK1365" s="110"/>
      <c r="IZL1365" s="110"/>
      <c r="IZM1365" s="110"/>
      <c r="IZN1365" s="110"/>
      <c r="IZO1365" s="110"/>
      <c r="IZP1365" s="110"/>
      <c r="IZQ1365" s="110"/>
      <c r="IZR1365" s="110"/>
      <c r="IZS1365" s="110"/>
      <c r="IZT1365" s="110"/>
      <c r="IZU1365" s="110"/>
      <c r="IZV1365" s="110"/>
      <c r="IZW1365" s="110"/>
      <c r="IZX1365" s="110"/>
      <c r="IZY1365" s="110"/>
      <c r="IZZ1365" s="110"/>
      <c r="JAA1365" s="110"/>
      <c r="JAB1365" s="110"/>
      <c r="JAC1365" s="110"/>
      <c r="JAD1365" s="110"/>
      <c r="JAE1365" s="110"/>
      <c r="JAF1365" s="110"/>
      <c r="JAG1365" s="110"/>
      <c r="JAH1365" s="110"/>
      <c r="JAI1365" s="110"/>
      <c r="JAJ1365" s="110"/>
      <c r="JAK1365" s="110"/>
      <c r="JAL1365" s="110"/>
      <c r="JAM1365" s="110"/>
      <c r="JAN1365" s="110"/>
      <c r="JAO1365" s="110"/>
      <c r="JAP1365" s="110"/>
      <c r="JAQ1365" s="110"/>
      <c r="JAR1365" s="110"/>
      <c r="JAS1365" s="110"/>
      <c r="JAT1365" s="110"/>
      <c r="JAU1365" s="110"/>
      <c r="JAV1365" s="110"/>
      <c r="JAW1365" s="110"/>
      <c r="JAX1365" s="110"/>
      <c r="JAY1365" s="110"/>
      <c r="JAZ1365" s="110"/>
      <c r="JBA1365" s="110"/>
      <c r="JBB1365" s="110"/>
      <c r="JBC1365" s="110"/>
      <c r="JBD1365" s="110"/>
      <c r="JBE1365" s="110"/>
      <c r="JBF1365" s="110"/>
      <c r="JBG1365" s="110"/>
      <c r="JBH1365" s="110"/>
      <c r="JBI1365" s="110"/>
      <c r="JBJ1365" s="110"/>
      <c r="JBK1365" s="110"/>
      <c r="JBL1365" s="110"/>
      <c r="JBM1365" s="110"/>
      <c r="JBN1365" s="110"/>
      <c r="JBO1365" s="110"/>
      <c r="JBP1365" s="110"/>
      <c r="JBQ1365" s="110"/>
      <c r="JBR1365" s="110"/>
      <c r="JBS1365" s="110"/>
      <c r="JBT1365" s="110"/>
      <c r="JBU1365" s="110"/>
      <c r="JBV1365" s="110"/>
      <c r="JBW1365" s="110"/>
      <c r="JBX1365" s="110"/>
      <c r="JBY1365" s="110"/>
      <c r="JBZ1365" s="110"/>
      <c r="JCA1365" s="110"/>
      <c r="JCB1365" s="110"/>
      <c r="JCC1365" s="110"/>
      <c r="JCD1365" s="110"/>
      <c r="JCE1365" s="110"/>
      <c r="JCF1365" s="110"/>
      <c r="JCG1365" s="110"/>
      <c r="JCH1365" s="110"/>
      <c r="JCI1365" s="110"/>
      <c r="JCJ1365" s="110"/>
      <c r="JCK1365" s="110"/>
      <c r="JCL1365" s="110"/>
      <c r="JCM1365" s="110"/>
      <c r="JCN1365" s="110"/>
      <c r="JCO1365" s="110"/>
      <c r="JCP1365" s="110"/>
      <c r="JCQ1365" s="110"/>
      <c r="JCR1365" s="110"/>
      <c r="JCS1365" s="110"/>
      <c r="JCT1365" s="110"/>
      <c r="JCU1365" s="110"/>
      <c r="JCV1365" s="110"/>
      <c r="JCW1365" s="110"/>
      <c r="JCX1365" s="110"/>
      <c r="JCY1365" s="110"/>
      <c r="JCZ1365" s="110"/>
      <c r="JDA1365" s="110"/>
      <c r="JDB1365" s="110"/>
      <c r="JDC1365" s="110"/>
      <c r="JDD1365" s="110"/>
      <c r="JDE1365" s="110"/>
      <c r="JDF1365" s="110"/>
      <c r="JDG1365" s="110"/>
      <c r="JDH1365" s="110"/>
      <c r="JDI1365" s="110"/>
      <c r="JDJ1365" s="110"/>
      <c r="JDK1365" s="110"/>
      <c r="JDL1365" s="110"/>
      <c r="JDM1365" s="110"/>
      <c r="JDN1365" s="110"/>
      <c r="JDO1365" s="110"/>
      <c r="JDP1365" s="110"/>
      <c r="JDQ1365" s="110"/>
      <c r="JDR1365" s="110"/>
      <c r="JDS1365" s="110"/>
      <c r="JDT1365" s="110"/>
      <c r="JDU1365" s="110"/>
      <c r="JDV1365" s="110"/>
      <c r="JDW1365" s="110"/>
      <c r="JDX1365" s="110"/>
      <c r="JDY1365" s="110"/>
      <c r="JDZ1365" s="110"/>
      <c r="JEA1365" s="110"/>
      <c r="JEB1365" s="110"/>
      <c r="JEC1365" s="110"/>
      <c r="JED1365" s="110"/>
      <c r="JEE1365" s="110"/>
      <c r="JEF1365" s="110"/>
      <c r="JEG1365" s="110"/>
      <c r="JEH1365" s="110"/>
      <c r="JEI1365" s="110"/>
      <c r="JEJ1365" s="110"/>
      <c r="JEK1365" s="110"/>
      <c r="JEL1365" s="110"/>
      <c r="JEM1365" s="110"/>
      <c r="JEN1365" s="110"/>
      <c r="JEO1365" s="110"/>
      <c r="JEP1365" s="110"/>
      <c r="JEQ1365" s="110"/>
      <c r="JER1365" s="110"/>
      <c r="JES1365" s="110"/>
      <c r="JET1365" s="110"/>
      <c r="JEU1365" s="110"/>
      <c r="JEV1365" s="110"/>
      <c r="JEW1365" s="110"/>
      <c r="JEX1365" s="110"/>
      <c r="JEY1365" s="110"/>
      <c r="JEZ1365" s="110"/>
      <c r="JFA1365" s="110"/>
      <c r="JFB1365" s="110"/>
      <c r="JFC1365" s="110"/>
      <c r="JFD1365" s="110"/>
      <c r="JFE1365" s="110"/>
      <c r="JFF1365" s="110"/>
      <c r="JFG1365" s="110"/>
      <c r="JFH1365" s="110"/>
      <c r="JFI1365" s="110"/>
      <c r="JFJ1365" s="110"/>
      <c r="JFK1365" s="110"/>
      <c r="JFL1365" s="110"/>
      <c r="JFM1365" s="110"/>
      <c r="JFN1365" s="110"/>
      <c r="JFO1365" s="110"/>
      <c r="JFP1365" s="110"/>
      <c r="JFQ1365" s="110"/>
      <c r="JFR1365" s="110"/>
      <c r="JFS1365" s="110"/>
      <c r="JFT1365" s="110"/>
      <c r="JFU1365" s="110"/>
      <c r="JFV1365" s="110"/>
      <c r="JFW1365" s="110"/>
      <c r="JFX1365" s="110"/>
      <c r="JFY1365" s="110"/>
      <c r="JFZ1365" s="110"/>
      <c r="JGA1365" s="110"/>
      <c r="JGB1365" s="110"/>
      <c r="JGC1365" s="110"/>
      <c r="JGD1365" s="110"/>
      <c r="JGE1365" s="110"/>
      <c r="JGF1365" s="110"/>
      <c r="JGG1365" s="110"/>
      <c r="JGH1365" s="110"/>
      <c r="JGI1365" s="110"/>
      <c r="JGJ1365" s="110"/>
      <c r="JGK1365" s="110"/>
      <c r="JGL1365" s="110"/>
      <c r="JGM1365" s="110"/>
      <c r="JGN1365" s="110"/>
      <c r="JGO1365" s="110"/>
      <c r="JGP1365" s="110"/>
      <c r="JGQ1365" s="110"/>
      <c r="JGR1365" s="110"/>
      <c r="JGS1365" s="110"/>
      <c r="JGT1365" s="110"/>
      <c r="JGU1365" s="110"/>
      <c r="JGV1365" s="110"/>
      <c r="JGW1365" s="110"/>
      <c r="JGX1365" s="110"/>
      <c r="JGY1365" s="110"/>
      <c r="JGZ1365" s="110"/>
      <c r="JHA1365" s="110"/>
      <c r="JHB1365" s="110"/>
      <c r="JHC1365" s="110"/>
      <c r="JHD1365" s="110"/>
      <c r="JHE1365" s="110"/>
      <c r="JHF1365" s="110"/>
      <c r="JHG1365" s="110"/>
      <c r="JHH1365" s="110"/>
      <c r="JHI1365" s="110"/>
      <c r="JHJ1365" s="110"/>
      <c r="JHK1365" s="110"/>
      <c r="JHL1365" s="110"/>
      <c r="JHM1365" s="110"/>
      <c r="JHN1365" s="110"/>
      <c r="JHO1365" s="110"/>
      <c r="JHP1365" s="110"/>
      <c r="JHQ1365" s="110"/>
      <c r="JHR1365" s="110"/>
      <c r="JHS1365" s="110"/>
      <c r="JHT1365" s="110"/>
      <c r="JHU1365" s="110"/>
      <c r="JHV1365" s="110"/>
      <c r="JHW1365" s="110"/>
      <c r="JHX1365" s="110"/>
      <c r="JHY1365" s="110"/>
      <c r="JHZ1365" s="110"/>
      <c r="JIA1365" s="110"/>
      <c r="JIB1365" s="110"/>
      <c r="JIC1365" s="110"/>
      <c r="JID1365" s="110"/>
      <c r="JIE1365" s="110"/>
      <c r="JIF1365" s="110"/>
      <c r="JIG1365" s="110"/>
      <c r="JIH1365" s="110"/>
      <c r="JII1365" s="110"/>
      <c r="JIJ1365" s="110"/>
      <c r="JIK1365" s="110"/>
      <c r="JIL1365" s="110"/>
      <c r="JIM1365" s="110"/>
      <c r="JIN1365" s="110"/>
      <c r="JIO1365" s="110"/>
      <c r="JIP1365" s="110"/>
      <c r="JIQ1365" s="110"/>
      <c r="JIR1365" s="110"/>
      <c r="JIS1365" s="110"/>
      <c r="JIT1365" s="110"/>
      <c r="JIU1365" s="110"/>
      <c r="JIV1365" s="110"/>
      <c r="JIW1365" s="110"/>
      <c r="JIX1365" s="110"/>
      <c r="JIY1365" s="110"/>
      <c r="JIZ1365" s="110"/>
      <c r="JJA1365" s="110"/>
      <c r="JJB1365" s="110"/>
      <c r="JJC1365" s="110"/>
      <c r="JJD1365" s="110"/>
      <c r="JJE1365" s="110"/>
      <c r="JJF1365" s="110"/>
      <c r="JJG1365" s="110"/>
      <c r="JJH1365" s="110"/>
      <c r="JJI1365" s="110"/>
      <c r="JJJ1365" s="110"/>
      <c r="JJK1365" s="110"/>
      <c r="JJL1365" s="110"/>
      <c r="JJM1365" s="110"/>
      <c r="JJN1365" s="110"/>
      <c r="JJO1365" s="110"/>
      <c r="JJP1365" s="110"/>
      <c r="JJQ1365" s="110"/>
      <c r="JJR1365" s="110"/>
      <c r="JJS1365" s="110"/>
      <c r="JJT1365" s="110"/>
      <c r="JJU1365" s="110"/>
      <c r="JJV1365" s="110"/>
      <c r="JJW1365" s="110"/>
      <c r="JJX1365" s="110"/>
      <c r="JJY1365" s="110"/>
      <c r="JJZ1365" s="110"/>
      <c r="JKA1365" s="110"/>
      <c r="JKB1365" s="110"/>
      <c r="JKC1365" s="110"/>
      <c r="JKD1365" s="110"/>
      <c r="JKE1365" s="110"/>
      <c r="JKF1365" s="110"/>
      <c r="JKG1365" s="110"/>
      <c r="JKH1365" s="110"/>
      <c r="JKI1365" s="110"/>
      <c r="JKJ1365" s="110"/>
      <c r="JKK1365" s="110"/>
      <c r="JKL1365" s="110"/>
      <c r="JKM1365" s="110"/>
      <c r="JKN1365" s="110"/>
      <c r="JKO1365" s="110"/>
      <c r="JKP1365" s="110"/>
      <c r="JKQ1365" s="110"/>
      <c r="JKR1365" s="110"/>
      <c r="JKS1365" s="110"/>
      <c r="JKT1365" s="110"/>
      <c r="JKU1365" s="110"/>
      <c r="JKV1365" s="110"/>
      <c r="JKW1365" s="110"/>
      <c r="JKX1365" s="110"/>
      <c r="JKY1365" s="110"/>
      <c r="JKZ1365" s="110"/>
      <c r="JLA1365" s="110"/>
      <c r="JLB1365" s="110"/>
      <c r="JLC1365" s="110"/>
      <c r="JLD1365" s="110"/>
      <c r="JLE1365" s="110"/>
      <c r="JLF1365" s="110"/>
      <c r="JLG1365" s="110"/>
      <c r="JLH1365" s="110"/>
      <c r="JLI1365" s="110"/>
      <c r="JLJ1365" s="110"/>
      <c r="JLK1365" s="110"/>
      <c r="JLL1365" s="110"/>
      <c r="JLM1365" s="110"/>
      <c r="JLN1365" s="110"/>
      <c r="JLO1365" s="110"/>
      <c r="JLP1365" s="110"/>
      <c r="JLQ1365" s="110"/>
      <c r="JLR1365" s="110"/>
      <c r="JLS1365" s="110"/>
      <c r="JLT1365" s="110"/>
      <c r="JLU1365" s="110"/>
      <c r="JLV1365" s="110"/>
      <c r="JLW1365" s="110"/>
      <c r="JLX1365" s="110"/>
      <c r="JLY1365" s="110"/>
      <c r="JLZ1365" s="110"/>
      <c r="JMA1365" s="110"/>
      <c r="JMB1365" s="110"/>
      <c r="JMC1365" s="110"/>
      <c r="JMD1365" s="110"/>
      <c r="JME1365" s="110"/>
      <c r="JMF1365" s="110"/>
      <c r="JMG1365" s="110"/>
      <c r="JMH1365" s="110"/>
      <c r="JMI1365" s="110"/>
      <c r="JMJ1365" s="110"/>
      <c r="JMK1365" s="110"/>
      <c r="JML1365" s="110"/>
      <c r="JMM1365" s="110"/>
      <c r="JMN1365" s="110"/>
      <c r="JMO1365" s="110"/>
      <c r="JMP1365" s="110"/>
      <c r="JMQ1365" s="110"/>
      <c r="JMR1365" s="110"/>
      <c r="JMS1365" s="110"/>
      <c r="JMT1365" s="110"/>
      <c r="JMU1365" s="110"/>
      <c r="JMV1365" s="110"/>
      <c r="JMW1365" s="110"/>
      <c r="JMX1365" s="110"/>
      <c r="JMY1365" s="110"/>
      <c r="JMZ1365" s="110"/>
      <c r="JNA1365" s="110"/>
      <c r="JNB1365" s="110"/>
      <c r="JNC1365" s="110"/>
      <c r="JND1365" s="110"/>
      <c r="JNE1365" s="110"/>
      <c r="JNF1365" s="110"/>
      <c r="JNG1365" s="110"/>
      <c r="JNH1365" s="110"/>
      <c r="JNI1365" s="110"/>
      <c r="JNJ1365" s="110"/>
      <c r="JNK1365" s="110"/>
      <c r="JNL1365" s="110"/>
      <c r="JNM1365" s="110"/>
      <c r="JNN1365" s="110"/>
      <c r="JNO1365" s="110"/>
      <c r="JNP1365" s="110"/>
      <c r="JNQ1365" s="110"/>
      <c r="JNR1365" s="110"/>
      <c r="JNS1365" s="110"/>
      <c r="JNT1365" s="110"/>
      <c r="JNU1365" s="110"/>
      <c r="JNV1365" s="110"/>
      <c r="JNW1365" s="110"/>
      <c r="JNX1365" s="110"/>
      <c r="JNY1365" s="110"/>
      <c r="JNZ1365" s="110"/>
      <c r="JOA1365" s="110"/>
      <c r="JOB1365" s="110"/>
      <c r="JOC1365" s="110"/>
      <c r="JOD1365" s="110"/>
      <c r="JOE1365" s="110"/>
      <c r="JOF1365" s="110"/>
      <c r="JOG1365" s="110"/>
      <c r="JOH1365" s="110"/>
      <c r="JOI1365" s="110"/>
      <c r="JOJ1365" s="110"/>
      <c r="JOK1365" s="110"/>
      <c r="JOL1365" s="110"/>
      <c r="JOM1365" s="110"/>
      <c r="JON1365" s="110"/>
      <c r="JOO1365" s="110"/>
      <c r="JOP1365" s="110"/>
      <c r="JOQ1365" s="110"/>
      <c r="JOR1365" s="110"/>
      <c r="JOS1365" s="110"/>
      <c r="JOT1365" s="110"/>
      <c r="JOU1365" s="110"/>
      <c r="JOV1365" s="110"/>
      <c r="JOW1365" s="110"/>
      <c r="JOX1365" s="110"/>
      <c r="JOY1365" s="110"/>
      <c r="JOZ1365" s="110"/>
      <c r="JPA1365" s="110"/>
      <c r="JPB1365" s="110"/>
      <c r="JPC1365" s="110"/>
      <c r="JPD1365" s="110"/>
      <c r="JPE1365" s="110"/>
      <c r="JPF1365" s="110"/>
      <c r="JPG1365" s="110"/>
      <c r="JPH1365" s="110"/>
      <c r="JPI1365" s="110"/>
      <c r="JPJ1365" s="110"/>
      <c r="JPK1365" s="110"/>
      <c r="JPL1365" s="110"/>
      <c r="JPM1365" s="110"/>
      <c r="JPN1365" s="110"/>
      <c r="JPO1365" s="110"/>
      <c r="JPP1365" s="110"/>
      <c r="JPQ1365" s="110"/>
      <c r="JPR1365" s="110"/>
      <c r="JPS1365" s="110"/>
      <c r="JPT1365" s="110"/>
      <c r="JPU1365" s="110"/>
      <c r="JPV1365" s="110"/>
      <c r="JPW1365" s="110"/>
      <c r="JPX1365" s="110"/>
      <c r="JPY1365" s="110"/>
      <c r="JPZ1365" s="110"/>
      <c r="JQA1365" s="110"/>
      <c r="JQB1365" s="110"/>
      <c r="JQC1365" s="110"/>
      <c r="JQD1365" s="110"/>
      <c r="JQE1365" s="110"/>
      <c r="JQF1365" s="110"/>
      <c r="JQG1365" s="110"/>
      <c r="JQH1365" s="110"/>
      <c r="JQI1365" s="110"/>
      <c r="JQJ1365" s="110"/>
      <c r="JQK1365" s="110"/>
      <c r="JQL1365" s="110"/>
      <c r="JQM1365" s="110"/>
      <c r="JQN1365" s="110"/>
      <c r="JQO1365" s="110"/>
      <c r="JQP1365" s="110"/>
      <c r="JQQ1365" s="110"/>
      <c r="JQR1365" s="110"/>
      <c r="JQS1365" s="110"/>
      <c r="JQT1365" s="110"/>
      <c r="JQU1365" s="110"/>
      <c r="JQV1365" s="110"/>
      <c r="JQW1365" s="110"/>
      <c r="JQX1365" s="110"/>
      <c r="JQY1365" s="110"/>
      <c r="JQZ1365" s="110"/>
      <c r="JRA1365" s="110"/>
      <c r="JRB1365" s="110"/>
      <c r="JRC1365" s="110"/>
      <c r="JRD1365" s="110"/>
      <c r="JRE1365" s="110"/>
      <c r="JRF1365" s="110"/>
      <c r="JRG1365" s="110"/>
      <c r="JRH1365" s="110"/>
      <c r="JRI1365" s="110"/>
      <c r="JRJ1365" s="110"/>
      <c r="JRK1365" s="110"/>
      <c r="JRL1365" s="110"/>
      <c r="JRM1365" s="110"/>
      <c r="JRN1365" s="110"/>
      <c r="JRO1365" s="110"/>
      <c r="JRP1365" s="110"/>
      <c r="JRQ1365" s="110"/>
      <c r="JRR1365" s="110"/>
      <c r="JRS1365" s="110"/>
      <c r="JRT1365" s="110"/>
      <c r="JRU1365" s="110"/>
      <c r="JRV1365" s="110"/>
      <c r="JRW1365" s="110"/>
      <c r="JRX1365" s="110"/>
      <c r="JRY1365" s="110"/>
      <c r="JRZ1365" s="110"/>
      <c r="JSA1365" s="110"/>
      <c r="JSB1365" s="110"/>
      <c r="JSC1365" s="110"/>
      <c r="JSD1365" s="110"/>
      <c r="JSE1365" s="110"/>
      <c r="JSF1365" s="110"/>
      <c r="JSG1365" s="110"/>
      <c r="JSH1365" s="110"/>
      <c r="JSI1365" s="110"/>
      <c r="JSJ1365" s="110"/>
      <c r="JSK1365" s="110"/>
      <c r="JSL1365" s="110"/>
      <c r="JSM1365" s="110"/>
      <c r="JSN1365" s="110"/>
      <c r="JSO1365" s="110"/>
      <c r="JSP1365" s="110"/>
      <c r="JSQ1365" s="110"/>
      <c r="JSR1365" s="110"/>
      <c r="JSS1365" s="110"/>
      <c r="JST1365" s="110"/>
      <c r="JSU1365" s="110"/>
      <c r="JSV1365" s="110"/>
      <c r="JSW1365" s="110"/>
      <c r="JSX1365" s="110"/>
      <c r="JSY1365" s="110"/>
      <c r="JSZ1365" s="110"/>
      <c r="JTA1365" s="110"/>
      <c r="JTB1365" s="110"/>
      <c r="JTC1365" s="110"/>
      <c r="JTD1365" s="110"/>
      <c r="JTE1365" s="110"/>
      <c r="JTF1365" s="110"/>
      <c r="JTG1365" s="110"/>
      <c r="JTH1365" s="110"/>
      <c r="JTI1365" s="110"/>
      <c r="JTJ1365" s="110"/>
      <c r="JTK1365" s="110"/>
      <c r="JTL1365" s="110"/>
      <c r="JTM1365" s="110"/>
      <c r="JTN1365" s="110"/>
      <c r="JTO1365" s="110"/>
      <c r="JTP1365" s="110"/>
      <c r="JTQ1365" s="110"/>
      <c r="JTR1365" s="110"/>
      <c r="JTS1365" s="110"/>
      <c r="JTT1365" s="110"/>
      <c r="JTU1365" s="110"/>
      <c r="JTV1365" s="110"/>
      <c r="JTW1365" s="110"/>
      <c r="JTX1365" s="110"/>
      <c r="JTY1365" s="110"/>
      <c r="JTZ1365" s="110"/>
      <c r="JUA1365" s="110"/>
      <c r="JUB1365" s="110"/>
      <c r="JUC1365" s="110"/>
      <c r="JUD1365" s="110"/>
      <c r="JUE1365" s="110"/>
      <c r="JUF1365" s="110"/>
      <c r="JUG1365" s="110"/>
      <c r="JUH1365" s="110"/>
      <c r="JUI1365" s="110"/>
      <c r="JUJ1365" s="110"/>
      <c r="JUK1365" s="110"/>
      <c r="JUL1365" s="110"/>
      <c r="JUM1365" s="110"/>
      <c r="JUN1365" s="110"/>
      <c r="JUO1365" s="110"/>
      <c r="JUP1365" s="110"/>
      <c r="JUQ1365" s="110"/>
      <c r="JUR1365" s="110"/>
      <c r="JUS1365" s="110"/>
      <c r="JUT1365" s="110"/>
      <c r="JUU1365" s="110"/>
      <c r="JUV1365" s="110"/>
      <c r="JUW1365" s="110"/>
      <c r="JUX1365" s="110"/>
      <c r="JUY1365" s="110"/>
      <c r="JUZ1365" s="110"/>
      <c r="JVA1365" s="110"/>
      <c r="JVB1365" s="110"/>
      <c r="JVC1365" s="110"/>
      <c r="JVD1365" s="110"/>
      <c r="JVE1365" s="110"/>
      <c r="JVF1365" s="110"/>
      <c r="JVG1365" s="110"/>
      <c r="JVH1365" s="110"/>
      <c r="JVI1365" s="110"/>
      <c r="JVJ1365" s="110"/>
      <c r="JVK1365" s="110"/>
      <c r="JVL1365" s="110"/>
      <c r="JVM1365" s="110"/>
      <c r="JVN1365" s="110"/>
      <c r="JVO1365" s="110"/>
      <c r="JVP1365" s="110"/>
      <c r="JVQ1365" s="110"/>
      <c r="JVR1365" s="110"/>
      <c r="JVS1365" s="110"/>
      <c r="JVT1365" s="110"/>
      <c r="JVU1365" s="110"/>
      <c r="JVV1365" s="110"/>
      <c r="JVW1365" s="110"/>
      <c r="JVX1365" s="110"/>
      <c r="JVY1365" s="110"/>
      <c r="JVZ1365" s="110"/>
      <c r="JWA1365" s="110"/>
      <c r="JWB1365" s="110"/>
      <c r="JWC1365" s="110"/>
      <c r="JWD1365" s="110"/>
      <c r="JWE1365" s="110"/>
      <c r="JWF1365" s="110"/>
      <c r="JWG1365" s="110"/>
      <c r="JWH1365" s="110"/>
      <c r="JWI1365" s="110"/>
      <c r="JWJ1365" s="110"/>
      <c r="JWK1365" s="110"/>
      <c r="JWL1365" s="110"/>
      <c r="JWM1365" s="110"/>
      <c r="JWN1365" s="110"/>
      <c r="JWO1365" s="110"/>
      <c r="JWP1365" s="110"/>
      <c r="JWQ1365" s="110"/>
      <c r="JWR1365" s="110"/>
      <c r="JWS1365" s="110"/>
      <c r="JWT1365" s="110"/>
      <c r="JWU1365" s="110"/>
      <c r="JWV1365" s="110"/>
      <c r="JWW1365" s="110"/>
      <c r="JWX1365" s="110"/>
      <c r="JWY1365" s="110"/>
      <c r="JWZ1365" s="110"/>
      <c r="JXA1365" s="110"/>
      <c r="JXB1365" s="110"/>
      <c r="JXC1365" s="110"/>
      <c r="JXD1365" s="110"/>
      <c r="JXE1365" s="110"/>
      <c r="JXF1365" s="110"/>
      <c r="JXG1365" s="110"/>
      <c r="JXH1365" s="110"/>
      <c r="JXI1365" s="110"/>
      <c r="JXJ1365" s="110"/>
      <c r="JXK1365" s="110"/>
      <c r="JXL1365" s="110"/>
      <c r="JXM1365" s="110"/>
      <c r="JXN1365" s="110"/>
      <c r="JXO1365" s="110"/>
      <c r="JXP1365" s="110"/>
      <c r="JXQ1365" s="110"/>
      <c r="JXR1365" s="110"/>
      <c r="JXS1365" s="110"/>
      <c r="JXT1365" s="110"/>
      <c r="JXU1365" s="110"/>
      <c r="JXV1365" s="110"/>
      <c r="JXW1365" s="110"/>
      <c r="JXX1365" s="110"/>
      <c r="JXY1365" s="110"/>
      <c r="JXZ1365" s="110"/>
      <c r="JYA1365" s="110"/>
      <c r="JYB1365" s="110"/>
      <c r="JYC1365" s="110"/>
      <c r="JYD1365" s="110"/>
      <c r="JYE1365" s="110"/>
      <c r="JYF1365" s="110"/>
      <c r="JYG1365" s="110"/>
      <c r="JYH1365" s="110"/>
      <c r="JYI1365" s="110"/>
      <c r="JYJ1365" s="110"/>
      <c r="JYK1365" s="110"/>
      <c r="JYL1365" s="110"/>
      <c r="JYM1365" s="110"/>
      <c r="JYN1365" s="110"/>
      <c r="JYO1365" s="110"/>
      <c r="JYP1365" s="110"/>
      <c r="JYQ1365" s="110"/>
      <c r="JYR1365" s="110"/>
      <c r="JYS1365" s="110"/>
      <c r="JYT1365" s="110"/>
      <c r="JYU1365" s="110"/>
      <c r="JYV1365" s="110"/>
      <c r="JYW1365" s="110"/>
      <c r="JYX1365" s="110"/>
      <c r="JYY1365" s="110"/>
      <c r="JYZ1365" s="110"/>
      <c r="JZA1365" s="110"/>
      <c r="JZB1365" s="110"/>
      <c r="JZC1365" s="110"/>
      <c r="JZD1365" s="110"/>
      <c r="JZE1365" s="110"/>
      <c r="JZF1365" s="110"/>
      <c r="JZG1365" s="110"/>
      <c r="JZH1365" s="110"/>
      <c r="JZI1365" s="110"/>
      <c r="JZJ1365" s="110"/>
      <c r="JZK1365" s="110"/>
      <c r="JZL1365" s="110"/>
      <c r="JZM1365" s="110"/>
      <c r="JZN1365" s="110"/>
      <c r="JZO1365" s="110"/>
      <c r="JZP1365" s="110"/>
      <c r="JZQ1365" s="110"/>
      <c r="JZR1365" s="110"/>
      <c r="JZS1365" s="110"/>
      <c r="JZT1365" s="110"/>
      <c r="JZU1365" s="110"/>
      <c r="JZV1365" s="110"/>
      <c r="JZW1365" s="110"/>
      <c r="JZX1365" s="110"/>
      <c r="JZY1365" s="110"/>
      <c r="JZZ1365" s="110"/>
      <c r="KAA1365" s="110"/>
      <c r="KAB1365" s="110"/>
      <c r="KAC1365" s="110"/>
      <c r="KAD1365" s="110"/>
      <c r="KAE1365" s="110"/>
      <c r="KAF1365" s="110"/>
      <c r="KAG1365" s="110"/>
      <c r="KAH1365" s="110"/>
      <c r="KAI1365" s="110"/>
      <c r="KAJ1365" s="110"/>
      <c r="KAK1365" s="110"/>
      <c r="KAL1365" s="110"/>
      <c r="KAM1365" s="110"/>
      <c r="KAN1365" s="110"/>
      <c r="KAO1365" s="110"/>
      <c r="KAP1365" s="110"/>
      <c r="KAQ1365" s="110"/>
      <c r="KAR1365" s="110"/>
      <c r="KAS1365" s="110"/>
      <c r="KAT1365" s="110"/>
      <c r="KAU1365" s="110"/>
      <c r="KAV1365" s="110"/>
      <c r="KAW1365" s="110"/>
      <c r="KAX1365" s="110"/>
      <c r="KAY1365" s="110"/>
      <c r="KAZ1365" s="110"/>
      <c r="KBA1365" s="110"/>
      <c r="KBB1365" s="110"/>
      <c r="KBC1365" s="110"/>
      <c r="KBD1365" s="110"/>
      <c r="KBE1365" s="110"/>
      <c r="KBF1365" s="110"/>
      <c r="KBG1365" s="110"/>
      <c r="KBH1365" s="110"/>
      <c r="KBI1365" s="110"/>
      <c r="KBJ1365" s="110"/>
      <c r="KBK1365" s="110"/>
      <c r="KBL1365" s="110"/>
      <c r="KBM1365" s="110"/>
      <c r="KBN1365" s="110"/>
      <c r="KBO1365" s="110"/>
      <c r="KBP1365" s="110"/>
      <c r="KBQ1365" s="110"/>
      <c r="KBR1365" s="110"/>
      <c r="KBS1365" s="110"/>
      <c r="KBT1365" s="110"/>
      <c r="KBU1365" s="110"/>
      <c r="KBV1365" s="110"/>
      <c r="KBW1365" s="110"/>
      <c r="KBX1365" s="110"/>
      <c r="KBY1365" s="110"/>
      <c r="KBZ1365" s="110"/>
      <c r="KCA1365" s="110"/>
      <c r="KCB1365" s="110"/>
      <c r="KCC1365" s="110"/>
      <c r="KCD1365" s="110"/>
      <c r="KCE1365" s="110"/>
      <c r="KCF1365" s="110"/>
      <c r="KCG1365" s="110"/>
      <c r="KCH1365" s="110"/>
      <c r="KCI1365" s="110"/>
      <c r="KCJ1365" s="110"/>
      <c r="KCK1365" s="110"/>
      <c r="KCL1365" s="110"/>
      <c r="KCM1365" s="110"/>
      <c r="KCN1365" s="110"/>
      <c r="KCO1365" s="110"/>
      <c r="KCP1365" s="110"/>
      <c r="KCQ1365" s="110"/>
      <c r="KCR1365" s="110"/>
      <c r="KCS1365" s="110"/>
      <c r="KCT1365" s="110"/>
      <c r="KCU1365" s="110"/>
      <c r="KCV1365" s="110"/>
      <c r="KCW1365" s="110"/>
      <c r="KCX1365" s="110"/>
      <c r="KCY1365" s="110"/>
      <c r="KCZ1365" s="110"/>
      <c r="KDA1365" s="110"/>
      <c r="KDB1365" s="110"/>
      <c r="KDC1365" s="110"/>
      <c r="KDD1365" s="110"/>
      <c r="KDE1365" s="110"/>
      <c r="KDF1365" s="110"/>
      <c r="KDG1365" s="110"/>
      <c r="KDH1365" s="110"/>
      <c r="KDI1365" s="110"/>
      <c r="KDJ1365" s="110"/>
      <c r="KDK1365" s="110"/>
      <c r="KDL1365" s="110"/>
      <c r="KDM1365" s="110"/>
      <c r="KDN1365" s="110"/>
      <c r="KDO1365" s="110"/>
      <c r="KDP1365" s="110"/>
      <c r="KDQ1365" s="110"/>
      <c r="KDR1365" s="110"/>
      <c r="KDS1365" s="110"/>
      <c r="KDT1365" s="110"/>
      <c r="KDU1365" s="110"/>
      <c r="KDV1365" s="110"/>
      <c r="KDW1365" s="110"/>
      <c r="KDX1365" s="110"/>
      <c r="KDY1365" s="110"/>
      <c r="KDZ1365" s="110"/>
      <c r="KEA1365" s="110"/>
      <c r="KEB1365" s="110"/>
      <c r="KEC1365" s="110"/>
      <c r="KED1365" s="110"/>
      <c r="KEE1365" s="110"/>
      <c r="KEF1365" s="110"/>
      <c r="KEG1365" s="110"/>
      <c r="KEH1365" s="110"/>
      <c r="KEI1365" s="110"/>
      <c r="KEJ1365" s="110"/>
      <c r="KEK1365" s="110"/>
      <c r="KEL1365" s="110"/>
      <c r="KEM1365" s="110"/>
      <c r="KEN1365" s="110"/>
      <c r="KEO1365" s="110"/>
      <c r="KEP1365" s="110"/>
      <c r="KEQ1365" s="110"/>
      <c r="KER1365" s="110"/>
      <c r="KES1365" s="110"/>
      <c r="KET1365" s="110"/>
      <c r="KEU1365" s="110"/>
      <c r="KEV1365" s="110"/>
      <c r="KEW1365" s="110"/>
      <c r="KEX1365" s="110"/>
      <c r="KEY1365" s="110"/>
      <c r="KEZ1365" s="110"/>
      <c r="KFA1365" s="110"/>
      <c r="KFB1365" s="110"/>
      <c r="KFC1365" s="110"/>
      <c r="KFD1365" s="110"/>
      <c r="KFE1365" s="110"/>
      <c r="KFF1365" s="110"/>
      <c r="KFG1365" s="110"/>
      <c r="KFH1365" s="110"/>
      <c r="KFI1365" s="110"/>
      <c r="KFJ1365" s="110"/>
      <c r="KFK1365" s="110"/>
      <c r="KFL1365" s="110"/>
      <c r="KFM1365" s="110"/>
      <c r="KFN1365" s="110"/>
      <c r="KFO1365" s="110"/>
      <c r="KFP1365" s="110"/>
      <c r="KFQ1365" s="110"/>
      <c r="KFR1365" s="110"/>
      <c r="KFS1365" s="110"/>
      <c r="KFT1365" s="110"/>
      <c r="KFU1365" s="110"/>
      <c r="KFV1365" s="110"/>
      <c r="KFW1365" s="110"/>
      <c r="KFX1365" s="110"/>
      <c r="KFY1365" s="110"/>
      <c r="KFZ1365" s="110"/>
      <c r="KGA1365" s="110"/>
      <c r="KGB1365" s="110"/>
      <c r="KGC1365" s="110"/>
      <c r="KGD1365" s="110"/>
      <c r="KGE1365" s="110"/>
      <c r="KGF1365" s="110"/>
      <c r="KGG1365" s="110"/>
      <c r="KGH1365" s="110"/>
      <c r="KGI1365" s="110"/>
      <c r="KGJ1365" s="110"/>
      <c r="KGK1365" s="110"/>
      <c r="KGL1365" s="110"/>
      <c r="KGM1365" s="110"/>
      <c r="KGN1365" s="110"/>
      <c r="KGO1365" s="110"/>
      <c r="KGP1365" s="110"/>
      <c r="KGQ1365" s="110"/>
      <c r="KGR1365" s="110"/>
      <c r="KGS1365" s="110"/>
      <c r="KGT1365" s="110"/>
      <c r="KGU1365" s="110"/>
      <c r="KGV1365" s="110"/>
      <c r="KGW1365" s="110"/>
      <c r="KGX1365" s="110"/>
      <c r="KGY1365" s="110"/>
      <c r="KGZ1365" s="110"/>
      <c r="KHA1365" s="110"/>
      <c r="KHB1365" s="110"/>
      <c r="KHC1365" s="110"/>
      <c r="KHD1365" s="110"/>
      <c r="KHE1365" s="110"/>
      <c r="KHF1365" s="110"/>
      <c r="KHG1365" s="110"/>
      <c r="KHH1365" s="110"/>
      <c r="KHI1365" s="110"/>
      <c r="KHJ1365" s="110"/>
      <c r="KHK1365" s="110"/>
      <c r="KHL1365" s="110"/>
      <c r="KHM1365" s="110"/>
      <c r="KHN1365" s="110"/>
      <c r="KHO1365" s="110"/>
      <c r="KHP1365" s="110"/>
      <c r="KHQ1365" s="110"/>
      <c r="KHR1365" s="110"/>
      <c r="KHS1365" s="110"/>
      <c r="KHT1365" s="110"/>
      <c r="KHU1365" s="110"/>
      <c r="KHV1365" s="110"/>
      <c r="KHW1365" s="110"/>
      <c r="KHX1365" s="110"/>
      <c r="KHY1365" s="110"/>
      <c r="KHZ1365" s="110"/>
      <c r="KIA1365" s="110"/>
      <c r="KIB1365" s="110"/>
      <c r="KIC1365" s="110"/>
      <c r="KID1365" s="110"/>
      <c r="KIE1365" s="110"/>
      <c r="KIF1365" s="110"/>
      <c r="KIG1365" s="110"/>
      <c r="KIH1365" s="110"/>
      <c r="KII1365" s="110"/>
      <c r="KIJ1365" s="110"/>
      <c r="KIK1365" s="110"/>
      <c r="KIL1365" s="110"/>
      <c r="KIM1365" s="110"/>
      <c r="KIN1365" s="110"/>
      <c r="KIO1365" s="110"/>
      <c r="KIP1365" s="110"/>
      <c r="KIQ1365" s="110"/>
      <c r="KIR1365" s="110"/>
      <c r="KIS1365" s="110"/>
      <c r="KIT1365" s="110"/>
      <c r="KIU1365" s="110"/>
      <c r="KIV1365" s="110"/>
      <c r="KIW1365" s="110"/>
      <c r="KIX1365" s="110"/>
      <c r="KIY1365" s="110"/>
      <c r="KIZ1365" s="110"/>
      <c r="KJA1365" s="110"/>
      <c r="KJB1365" s="110"/>
      <c r="KJC1365" s="110"/>
      <c r="KJD1365" s="110"/>
      <c r="KJE1365" s="110"/>
      <c r="KJF1365" s="110"/>
      <c r="KJG1365" s="110"/>
      <c r="KJH1365" s="110"/>
      <c r="KJI1365" s="110"/>
      <c r="KJJ1365" s="110"/>
      <c r="KJK1365" s="110"/>
      <c r="KJL1365" s="110"/>
      <c r="KJM1365" s="110"/>
      <c r="KJN1365" s="110"/>
      <c r="KJO1365" s="110"/>
      <c r="KJP1365" s="110"/>
      <c r="KJQ1365" s="110"/>
      <c r="KJR1365" s="110"/>
      <c r="KJS1365" s="110"/>
      <c r="KJT1365" s="110"/>
      <c r="KJU1365" s="110"/>
      <c r="KJV1365" s="110"/>
      <c r="KJW1365" s="110"/>
      <c r="KJX1365" s="110"/>
      <c r="KJY1365" s="110"/>
      <c r="KJZ1365" s="110"/>
      <c r="KKA1365" s="110"/>
      <c r="KKB1365" s="110"/>
      <c r="KKC1365" s="110"/>
      <c r="KKD1365" s="110"/>
      <c r="KKE1365" s="110"/>
      <c r="KKF1365" s="110"/>
      <c r="KKG1365" s="110"/>
      <c r="KKH1365" s="110"/>
      <c r="KKI1365" s="110"/>
      <c r="KKJ1365" s="110"/>
      <c r="KKK1365" s="110"/>
      <c r="KKL1365" s="110"/>
      <c r="KKM1365" s="110"/>
      <c r="KKN1365" s="110"/>
      <c r="KKO1365" s="110"/>
      <c r="KKP1365" s="110"/>
      <c r="KKQ1365" s="110"/>
      <c r="KKR1365" s="110"/>
      <c r="KKS1365" s="110"/>
      <c r="KKT1365" s="110"/>
      <c r="KKU1365" s="110"/>
      <c r="KKV1365" s="110"/>
      <c r="KKW1365" s="110"/>
      <c r="KKX1365" s="110"/>
      <c r="KKY1365" s="110"/>
      <c r="KKZ1365" s="110"/>
      <c r="KLA1365" s="110"/>
      <c r="KLB1365" s="110"/>
      <c r="KLC1365" s="110"/>
      <c r="KLD1365" s="110"/>
      <c r="KLE1365" s="110"/>
      <c r="KLF1365" s="110"/>
      <c r="KLG1365" s="110"/>
      <c r="KLH1365" s="110"/>
      <c r="KLI1365" s="110"/>
      <c r="KLJ1365" s="110"/>
      <c r="KLK1365" s="110"/>
      <c r="KLL1365" s="110"/>
      <c r="KLM1365" s="110"/>
      <c r="KLN1365" s="110"/>
      <c r="KLO1365" s="110"/>
      <c r="KLP1365" s="110"/>
      <c r="KLQ1365" s="110"/>
      <c r="KLR1365" s="110"/>
      <c r="KLS1365" s="110"/>
      <c r="KLT1365" s="110"/>
      <c r="KLU1365" s="110"/>
      <c r="KLV1365" s="110"/>
      <c r="KLW1365" s="110"/>
      <c r="KLX1365" s="110"/>
      <c r="KLY1365" s="110"/>
      <c r="KLZ1365" s="110"/>
      <c r="KMA1365" s="110"/>
      <c r="KMB1365" s="110"/>
      <c r="KMC1365" s="110"/>
      <c r="KMD1365" s="110"/>
      <c r="KME1365" s="110"/>
      <c r="KMF1365" s="110"/>
      <c r="KMG1365" s="110"/>
      <c r="KMH1365" s="110"/>
      <c r="KMI1365" s="110"/>
      <c r="KMJ1365" s="110"/>
      <c r="KMK1365" s="110"/>
      <c r="KML1365" s="110"/>
      <c r="KMM1365" s="110"/>
      <c r="KMN1365" s="110"/>
      <c r="KMO1365" s="110"/>
      <c r="KMP1365" s="110"/>
      <c r="KMQ1365" s="110"/>
      <c r="KMR1365" s="110"/>
      <c r="KMS1365" s="110"/>
      <c r="KMT1365" s="110"/>
      <c r="KMU1365" s="110"/>
      <c r="KMV1365" s="110"/>
      <c r="KMW1365" s="110"/>
      <c r="KMX1365" s="110"/>
      <c r="KMY1365" s="110"/>
      <c r="KMZ1365" s="110"/>
      <c r="KNA1365" s="110"/>
      <c r="KNB1365" s="110"/>
      <c r="KNC1365" s="110"/>
      <c r="KND1365" s="110"/>
      <c r="KNE1365" s="110"/>
      <c r="KNF1365" s="110"/>
      <c r="KNG1365" s="110"/>
      <c r="KNH1365" s="110"/>
      <c r="KNI1365" s="110"/>
      <c r="KNJ1365" s="110"/>
      <c r="KNK1365" s="110"/>
      <c r="KNL1365" s="110"/>
      <c r="KNM1365" s="110"/>
      <c r="KNN1365" s="110"/>
      <c r="KNO1365" s="110"/>
      <c r="KNP1365" s="110"/>
      <c r="KNQ1365" s="110"/>
      <c r="KNR1365" s="110"/>
      <c r="KNS1365" s="110"/>
      <c r="KNT1365" s="110"/>
      <c r="KNU1365" s="110"/>
      <c r="KNV1365" s="110"/>
      <c r="KNW1365" s="110"/>
      <c r="KNX1365" s="110"/>
      <c r="KNY1365" s="110"/>
      <c r="KNZ1365" s="110"/>
      <c r="KOA1365" s="110"/>
      <c r="KOB1365" s="110"/>
      <c r="KOC1365" s="110"/>
      <c r="KOD1365" s="110"/>
      <c r="KOE1365" s="110"/>
      <c r="KOF1365" s="110"/>
      <c r="KOG1365" s="110"/>
      <c r="KOH1365" s="110"/>
      <c r="KOI1365" s="110"/>
      <c r="KOJ1365" s="110"/>
      <c r="KOK1365" s="110"/>
      <c r="KOL1365" s="110"/>
      <c r="KOM1365" s="110"/>
      <c r="KON1365" s="110"/>
      <c r="KOO1365" s="110"/>
      <c r="KOP1365" s="110"/>
      <c r="KOQ1365" s="110"/>
      <c r="KOR1365" s="110"/>
      <c r="KOS1365" s="110"/>
      <c r="KOT1365" s="110"/>
      <c r="KOU1365" s="110"/>
      <c r="KOV1365" s="110"/>
      <c r="KOW1365" s="110"/>
      <c r="KOX1365" s="110"/>
      <c r="KOY1365" s="110"/>
      <c r="KOZ1365" s="110"/>
      <c r="KPA1365" s="110"/>
      <c r="KPB1365" s="110"/>
      <c r="KPC1365" s="110"/>
      <c r="KPD1365" s="110"/>
      <c r="KPE1365" s="110"/>
      <c r="KPF1365" s="110"/>
      <c r="KPG1365" s="110"/>
      <c r="KPH1365" s="110"/>
      <c r="KPI1365" s="110"/>
      <c r="KPJ1365" s="110"/>
      <c r="KPK1365" s="110"/>
      <c r="KPL1365" s="110"/>
      <c r="KPM1365" s="110"/>
      <c r="KPN1365" s="110"/>
      <c r="KPO1365" s="110"/>
      <c r="KPP1365" s="110"/>
      <c r="KPQ1365" s="110"/>
      <c r="KPR1365" s="110"/>
      <c r="KPS1365" s="110"/>
      <c r="KPT1365" s="110"/>
      <c r="KPU1365" s="110"/>
      <c r="KPV1365" s="110"/>
      <c r="KPW1365" s="110"/>
      <c r="KPX1365" s="110"/>
      <c r="KPY1365" s="110"/>
      <c r="KPZ1365" s="110"/>
      <c r="KQA1365" s="110"/>
      <c r="KQB1365" s="110"/>
      <c r="KQC1365" s="110"/>
      <c r="KQD1365" s="110"/>
      <c r="KQE1365" s="110"/>
      <c r="KQF1365" s="110"/>
      <c r="KQG1365" s="110"/>
      <c r="KQH1365" s="110"/>
      <c r="KQI1365" s="110"/>
      <c r="KQJ1365" s="110"/>
      <c r="KQK1365" s="110"/>
      <c r="KQL1365" s="110"/>
      <c r="KQM1365" s="110"/>
      <c r="KQN1365" s="110"/>
      <c r="KQO1365" s="110"/>
      <c r="KQP1365" s="110"/>
      <c r="KQQ1365" s="110"/>
      <c r="KQR1365" s="110"/>
      <c r="KQS1365" s="110"/>
      <c r="KQT1365" s="110"/>
      <c r="KQU1365" s="110"/>
      <c r="KQV1365" s="110"/>
      <c r="KQW1365" s="110"/>
      <c r="KQX1365" s="110"/>
      <c r="KQY1365" s="110"/>
      <c r="KQZ1365" s="110"/>
      <c r="KRA1365" s="110"/>
      <c r="KRB1365" s="110"/>
      <c r="KRC1365" s="110"/>
      <c r="KRD1365" s="110"/>
      <c r="KRE1365" s="110"/>
      <c r="KRF1365" s="110"/>
      <c r="KRG1365" s="110"/>
      <c r="KRH1365" s="110"/>
      <c r="KRI1365" s="110"/>
      <c r="KRJ1365" s="110"/>
      <c r="KRK1365" s="110"/>
      <c r="KRL1365" s="110"/>
      <c r="KRM1365" s="110"/>
      <c r="KRN1365" s="110"/>
      <c r="KRO1365" s="110"/>
      <c r="KRP1365" s="110"/>
      <c r="KRQ1365" s="110"/>
      <c r="KRR1365" s="110"/>
      <c r="KRS1365" s="110"/>
      <c r="KRT1365" s="110"/>
      <c r="KRU1365" s="110"/>
      <c r="KRV1365" s="110"/>
      <c r="KRW1365" s="110"/>
      <c r="KRX1365" s="110"/>
      <c r="KRY1365" s="110"/>
      <c r="KRZ1365" s="110"/>
      <c r="KSA1365" s="110"/>
      <c r="KSB1365" s="110"/>
      <c r="KSC1365" s="110"/>
      <c r="KSD1365" s="110"/>
      <c r="KSE1365" s="110"/>
      <c r="KSF1365" s="110"/>
      <c r="KSG1365" s="110"/>
      <c r="KSH1365" s="110"/>
      <c r="KSI1365" s="110"/>
      <c r="KSJ1365" s="110"/>
      <c r="KSK1365" s="110"/>
      <c r="KSL1365" s="110"/>
      <c r="KSM1365" s="110"/>
      <c r="KSN1365" s="110"/>
      <c r="KSO1365" s="110"/>
      <c r="KSP1365" s="110"/>
      <c r="KSQ1365" s="110"/>
      <c r="KSR1365" s="110"/>
      <c r="KSS1365" s="110"/>
      <c r="KST1365" s="110"/>
      <c r="KSU1365" s="110"/>
      <c r="KSV1365" s="110"/>
      <c r="KSW1365" s="110"/>
      <c r="KSX1365" s="110"/>
      <c r="KSY1365" s="110"/>
      <c r="KSZ1365" s="110"/>
      <c r="KTA1365" s="110"/>
      <c r="KTB1365" s="110"/>
      <c r="KTC1365" s="110"/>
      <c r="KTD1365" s="110"/>
      <c r="KTE1365" s="110"/>
      <c r="KTF1365" s="110"/>
      <c r="KTG1365" s="110"/>
      <c r="KTH1365" s="110"/>
      <c r="KTI1365" s="110"/>
      <c r="KTJ1365" s="110"/>
      <c r="KTK1365" s="110"/>
      <c r="KTL1365" s="110"/>
      <c r="KTM1365" s="110"/>
      <c r="KTN1365" s="110"/>
      <c r="KTO1365" s="110"/>
      <c r="KTP1365" s="110"/>
      <c r="KTQ1365" s="110"/>
      <c r="KTR1365" s="110"/>
      <c r="KTS1365" s="110"/>
      <c r="KTT1365" s="110"/>
      <c r="KTU1365" s="110"/>
      <c r="KTV1365" s="110"/>
      <c r="KTW1365" s="110"/>
      <c r="KTX1365" s="110"/>
      <c r="KTY1365" s="110"/>
      <c r="KTZ1365" s="110"/>
      <c r="KUA1365" s="110"/>
      <c r="KUB1365" s="110"/>
      <c r="KUC1365" s="110"/>
      <c r="KUD1365" s="110"/>
      <c r="KUE1365" s="110"/>
      <c r="KUF1365" s="110"/>
      <c r="KUG1365" s="110"/>
      <c r="KUH1365" s="110"/>
      <c r="KUI1365" s="110"/>
      <c r="KUJ1365" s="110"/>
      <c r="KUK1365" s="110"/>
      <c r="KUL1365" s="110"/>
      <c r="KUM1365" s="110"/>
      <c r="KUN1365" s="110"/>
      <c r="KUO1365" s="110"/>
      <c r="KUP1365" s="110"/>
      <c r="KUQ1365" s="110"/>
      <c r="KUR1365" s="110"/>
      <c r="KUS1365" s="110"/>
      <c r="KUT1365" s="110"/>
      <c r="KUU1365" s="110"/>
      <c r="KUV1365" s="110"/>
      <c r="KUW1365" s="110"/>
      <c r="KUX1365" s="110"/>
      <c r="KUY1365" s="110"/>
      <c r="KUZ1365" s="110"/>
      <c r="KVA1365" s="110"/>
      <c r="KVB1365" s="110"/>
      <c r="KVC1365" s="110"/>
      <c r="KVD1365" s="110"/>
      <c r="KVE1365" s="110"/>
      <c r="KVF1365" s="110"/>
      <c r="KVG1365" s="110"/>
      <c r="KVH1365" s="110"/>
      <c r="KVI1365" s="110"/>
      <c r="KVJ1365" s="110"/>
      <c r="KVK1365" s="110"/>
      <c r="KVL1365" s="110"/>
      <c r="KVM1365" s="110"/>
      <c r="KVN1365" s="110"/>
      <c r="KVO1365" s="110"/>
      <c r="KVP1365" s="110"/>
      <c r="KVQ1365" s="110"/>
      <c r="KVR1365" s="110"/>
      <c r="KVS1365" s="110"/>
      <c r="KVT1365" s="110"/>
      <c r="KVU1365" s="110"/>
      <c r="KVV1365" s="110"/>
      <c r="KVW1365" s="110"/>
      <c r="KVX1365" s="110"/>
      <c r="KVY1365" s="110"/>
      <c r="KVZ1365" s="110"/>
      <c r="KWA1365" s="110"/>
      <c r="KWB1365" s="110"/>
      <c r="KWC1365" s="110"/>
      <c r="KWD1365" s="110"/>
      <c r="KWE1365" s="110"/>
      <c r="KWF1365" s="110"/>
      <c r="KWG1365" s="110"/>
      <c r="KWH1365" s="110"/>
      <c r="KWI1365" s="110"/>
      <c r="KWJ1365" s="110"/>
      <c r="KWK1365" s="110"/>
      <c r="KWL1365" s="110"/>
      <c r="KWM1365" s="110"/>
      <c r="KWN1365" s="110"/>
      <c r="KWO1365" s="110"/>
      <c r="KWP1365" s="110"/>
      <c r="KWQ1365" s="110"/>
      <c r="KWR1365" s="110"/>
      <c r="KWS1365" s="110"/>
      <c r="KWT1365" s="110"/>
      <c r="KWU1365" s="110"/>
      <c r="KWV1365" s="110"/>
      <c r="KWW1365" s="110"/>
      <c r="KWX1365" s="110"/>
      <c r="KWY1365" s="110"/>
      <c r="KWZ1365" s="110"/>
      <c r="KXA1365" s="110"/>
      <c r="KXB1365" s="110"/>
      <c r="KXC1365" s="110"/>
      <c r="KXD1365" s="110"/>
      <c r="KXE1365" s="110"/>
      <c r="KXF1365" s="110"/>
      <c r="KXG1365" s="110"/>
      <c r="KXH1365" s="110"/>
      <c r="KXI1365" s="110"/>
      <c r="KXJ1365" s="110"/>
      <c r="KXK1365" s="110"/>
      <c r="KXL1365" s="110"/>
      <c r="KXM1365" s="110"/>
      <c r="KXN1365" s="110"/>
      <c r="KXO1365" s="110"/>
      <c r="KXP1365" s="110"/>
      <c r="KXQ1365" s="110"/>
      <c r="KXR1365" s="110"/>
      <c r="KXS1365" s="110"/>
      <c r="KXT1365" s="110"/>
      <c r="KXU1365" s="110"/>
      <c r="KXV1365" s="110"/>
      <c r="KXW1365" s="110"/>
      <c r="KXX1365" s="110"/>
      <c r="KXY1365" s="110"/>
      <c r="KXZ1365" s="110"/>
      <c r="KYA1365" s="110"/>
      <c r="KYB1365" s="110"/>
      <c r="KYC1365" s="110"/>
      <c r="KYD1365" s="110"/>
      <c r="KYE1365" s="110"/>
      <c r="KYF1365" s="110"/>
      <c r="KYG1365" s="110"/>
      <c r="KYH1365" s="110"/>
      <c r="KYI1365" s="110"/>
      <c r="KYJ1365" s="110"/>
      <c r="KYK1365" s="110"/>
      <c r="KYL1365" s="110"/>
      <c r="KYM1365" s="110"/>
      <c r="KYN1365" s="110"/>
      <c r="KYO1365" s="110"/>
      <c r="KYP1365" s="110"/>
      <c r="KYQ1365" s="110"/>
      <c r="KYR1365" s="110"/>
      <c r="KYS1365" s="110"/>
      <c r="KYT1365" s="110"/>
      <c r="KYU1365" s="110"/>
      <c r="KYV1365" s="110"/>
      <c r="KYW1365" s="110"/>
      <c r="KYX1365" s="110"/>
      <c r="KYY1365" s="110"/>
      <c r="KYZ1365" s="110"/>
      <c r="KZA1365" s="110"/>
      <c r="KZB1365" s="110"/>
      <c r="KZC1365" s="110"/>
      <c r="KZD1365" s="110"/>
      <c r="KZE1365" s="110"/>
      <c r="KZF1365" s="110"/>
      <c r="KZG1365" s="110"/>
      <c r="KZH1365" s="110"/>
      <c r="KZI1365" s="110"/>
      <c r="KZJ1365" s="110"/>
      <c r="KZK1365" s="110"/>
      <c r="KZL1365" s="110"/>
      <c r="KZM1365" s="110"/>
      <c r="KZN1365" s="110"/>
      <c r="KZO1365" s="110"/>
      <c r="KZP1365" s="110"/>
      <c r="KZQ1365" s="110"/>
      <c r="KZR1365" s="110"/>
      <c r="KZS1365" s="110"/>
      <c r="KZT1365" s="110"/>
      <c r="KZU1365" s="110"/>
      <c r="KZV1365" s="110"/>
      <c r="KZW1365" s="110"/>
      <c r="KZX1365" s="110"/>
      <c r="KZY1365" s="110"/>
      <c r="KZZ1365" s="110"/>
      <c r="LAA1365" s="110"/>
      <c r="LAB1365" s="110"/>
      <c r="LAC1365" s="110"/>
      <c r="LAD1365" s="110"/>
      <c r="LAE1365" s="110"/>
      <c r="LAF1365" s="110"/>
      <c r="LAG1365" s="110"/>
      <c r="LAH1365" s="110"/>
      <c r="LAI1365" s="110"/>
      <c r="LAJ1365" s="110"/>
      <c r="LAK1365" s="110"/>
      <c r="LAL1365" s="110"/>
      <c r="LAM1365" s="110"/>
      <c r="LAN1365" s="110"/>
      <c r="LAO1365" s="110"/>
      <c r="LAP1365" s="110"/>
      <c r="LAQ1365" s="110"/>
      <c r="LAR1365" s="110"/>
      <c r="LAS1365" s="110"/>
      <c r="LAT1365" s="110"/>
      <c r="LAU1365" s="110"/>
      <c r="LAV1365" s="110"/>
      <c r="LAW1365" s="110"/>
      <c r="LAX1365" s="110"/>
      <c r="LAY1365" s="110"/>
      <c r="LAZ1365" s="110"/>
      <c r="LBA1365" s="110"/>
      <c r="LBB1365" s="110"/>
      <c r="LBC1365" s="110"/>
      <c r="LBD1365" s="110"/>
      <c r="LBE1365" s="110"/>
      <c r="LBF1365" s="110"/>
      <c r="LBG1365" s="110"/>
      <c r="LBH1365" s="110"/>
      <c r="LBI1365" s="110"/>
      <c r="LBJ1365" s="110"/>
      <c r="LBK1365" s="110"/>
      <c r="LBL1365" s="110"/>
      <c r="LBM1365" s="110"/>
      <c r="LBN1365" s="110"/>
      <c r="LBO1365" s="110"/>
      <c r="LBP1365" s="110"/>
      <c r="LBQ1365" s="110"/>
      <c r="LBR1365" s="110"/>
      <c r="LBS1365" s="110"/>
      <c r="LBT1365" s="110"/>
      <c r="LBU1365" s="110"/>
      <c r="LBV1365" s="110"/>
      <c r="LBW1365" s="110"/>
      <c r="LBX1365" s="110"/>
      <c r="LBY1365" s="110"/>
      <c r="LBZ1365" s="110"/>
      <c r="LCA1365" s="110"/>
      <c r="LCB1365" s="110"/>
      <c r="LCC1365" s="110"/>
      <c r="LCD1365" s="110"/>
      <c r="LCE1365" s="110"/>
      <c r="LCF1365" s="110"/>
      <c r="LCG1365" s="110"/>
      <c r="LCH1365" s="110"/>
      <c r="LCI1365" s="110"/>
      <c r="LCJ1365" s="110"/>
      <c r="LCK1365" s="110"/>
      <c r="LCL1365" s="110"/>
      <c r="LCM1365" s="110"/>
      <c r="LCN1365" s="110"/>
      <c r="LCO1365" s="110"/>
      <c r="LCP1365" s="110"/>
      <c r="LCQ1365" s="110"/>
      <c r="LCR1365" s="110"/>
      <c r="LCS1365" s="110"/>
      <c r="LCT1365" s="110"/>
      <c r="LCU1365" s="110"/>
      <c r="LCV1365" s="110"/>
      <c r="LCW1365" s="110"/>
      <c r="LCX1365" s="110"/>
      <c r="LCY1365" s="110"/>
      <c r="LCZ1365" s="110"/>
      <c r="LDA1365" s="110"/>
      <c r="LDB1365" s="110"/>
      <c r="LDC1365" s="110"/>
      <c r="LDD1365" s="110"/>
      <c r="LDE1365" s="110"/>
      <c r="LDF1365" s="110"/>
      <c r="LDG1365" s="110"/>
      <c r="LDH1365" s="110"/>
      <c r="LDI1365" s="110"/>
      <c r="LDJ1365" s="110"/>
      <c r="LDK1365" s="110"/>
      <c r="LDL1365" s="110"/>
      <c r="LDM1365" s="110"/>
      <c r="LDN1365" s="110"/>
      <c r="LDO1365" s="110"/>
      <c r="LDP1365" s="110"/>
      <c r="LDQ1365" s="110"/>
      <c r="LDR1365" s="110"/>
      <c r="LDS1365" s="110"/>
      <c r="LDT1365" s="110"/>
      <c r="LDU1365" s="110"/>
      <c r="LDV1365" s="110"/>
      <c r="LDW1365" s="110"/>
      <c r="LDX1365" s="110"/>
      <c r="LDY1365" s="110"/>
      <c r="LDZ1365" s="110"/>
      <c r="LEA1365" s="110"/>
      <c r="LEB1365" s="110"/>
      <c r="LEC1365" s="110"/>
      <c r="LED1365" s="110"/>
      <c r="LEE1365" s="110"/>
      <c r="LEF1365" s="110"/>
      <c r="LEG1365" s="110"/>
      <c r="LEH1365" s="110"/>
      <c r="LEI1365" s="110"/>
      <c r="LEJ1365" s="110"/>
      <c r="LEK1365" s="110"/>
      <c r="LEL1365" s="110"/>
      <c r="LEM1365" s="110"/>
      <c r="LEN1365" s="110"/>
      <c r="LEO1365" s="110"/>
      <c r="LEP1365" s="110"/>
      <c r="LEQ1365" s="110"/>
      <c r="LER1365" s="110"/>
      <c r="LES1365" s="110"/>
      <c r="LET1365" s="110"/>
      <c r="LEU1365" s="110"/>
      <c r="LEV1365" s="110"/>
      <c r="LEW1365" s="110"/>
      <c r="LEX1365" s="110"/>
      <c r="LEY1365" s="110"/>
      <c r="LEZ1365" s="110"/>
      <c r="LFA1365" s="110"/>
      <c r="LFB1365" s="110"/>
      <c r="LFC1365" s="110"/>
      <c r="LFD1365" s="110"/>
      <c r="LFE1365" s="110"/>
      <c r="LFF1365" s="110"/>
      <c r="LFG1365" s="110"/>
      <c r="LFH1365" s="110"/>
      <c r="LFI1365" s="110"/>
      <c r="LFJ1365" s="110"/>
      <c r="LFK1365" s="110"/>
      <c r="LFL1365" s="110"/>
      <c r="LFM1365" s="110"/>
      <c r="LFN1365" s="110"/>
      <c r="LFO1365" s="110"/>
      <c r="LFP1365" s="110"/>
      <c r="LFQ1365" s="110"/>
      <c r="LFR1365" s="110"/>
      <c r="LFS1365" s="110"/>
      <c r="LFT1365" s="110"/>
      <c r="LFU1365" s="110"/>
      <c r="LFV1365" s="110"/>
      <c r="LFW1365" s="110"/>
      <c r="LFX1365" s="110"/>
      <c r="LFY1365" s="110"/>
      <c r="LFZ1365" s="110"/>
      <c r="LGA1365" s="110"/>
      <c r="LGB1365" s="110"/>
      <c r="LGC1365" s="110"/>
      <c r="LGD1365" s="110"/>
      <c r="LGE1365" s="110"/>
      <c r="LGF1365" s="110"/>
      <c r="LGG1365" s="110"/>
      <c r="LGH1365" s="110"/>
      <c r="LGI1365" s="110"/>
      <c r="LGJ1365" s="110"/>
      <c r="LGK1365" s="110"/>
      <c r="LGL1365" s="110"/>
      <c r="LGM1365" s="110"/>
      <c r="LGN1365" s="110"/>
      <c r="LGO1365" s="110"/>
      <c r="LGP1365" s="110"/>
      <c r="LGQ1365" s="110"/>
      <c r="LGR1365" s="110"/>
      <c r="LGS1365" s="110"/>
      <c r="LGT1365" s="110"/>
      <c r="LGU1365" s="110"/>
      <c r="LGV1365" s="110"/>
      <c r="LGW1365" s="110"/>
      <c r="LGX1365" s="110"/>
      <c r="LGY1365" s="110"/>
      <c r="LGZ1365" s="110"/>
      <c r="LHA1365" s="110"/>
      <c r="LHB1365" s="110"/>
      <c r="LHC1365" s="110"/>
      <c r="LHD1365" s="110"/>
      <c r="LHE1365" s="110"/>
      <c r="LHF1365" s="110"/>
      <c r="LHG1365" s="110"/>
      <c r="LHH1365" s="110"/>
      <c r="LHI1365" s="110"/>
      <c r="LHJ1365" s="110"/>
      <c r="LHK1365" s="110"/>
      <c r="LHL1365" s="110"/>
      <c r="LHM1365" s="110"/>
      <c r="LHN1365" s="110"/>
      <c r="LHO1365" s="110"/>
      <c r="LHP1365" s="110"/>
      <c r="LHQ1365" s="110"/>
      <c r="LHR1365" s="110"/>
      <c r="LHS1365" s="110"/>
      <c r="LHT1365" s="110"/>
      <c r="LHU1365" s="110"/>
      <c r="LHV1365" s="110"/>
      <c r="LHW1365" s="110"/>
      <c r="LHX1365" s="110"/>
      <c r="LHY1365" s="110"/>
      <c r="LHZ1365" s="110"/>
      <c r="LIA1365" s="110"/>
      <c r="LIB1365" s="110"/>
      <c r="LIC1365" s="110"/>
      <c r="LID1365" s="110"/>
      <c r="LIE1365" s="110"/>
      <c r="LIF1365" s="110"/>
      <c r="LIG1365" s="110"/>
      <c r="LIH1365" s="110"/>
      <c r="LII1365" s="110"/>
      <c r="LIJ1365" s="110"/>
      <c r="LIK1365" s="110"/>
      <c r="LIL1365" s="110"/>
      <c r="LIM1365" s="110"/>
      <c r="LIN1365" s="110"/>
      <c r="LIO1365" s="110"/>
      <c r="LIP1365" s="110"/>
      <c r="LIQ1365" s="110"/>
      <c r="LIR1365" s="110"/>
      <c r="LIS1365" s="110"/>
      <c r="LIT1365" s="110"/>
      <c r="LIU1365" s="110"/>
      <c r="LIV1365" s="110"/>
      <c r="LIW1365" s="110"/>
      <c r="LIX1365" s="110"/>
      <c r="LIY1365" s="110"/>
      <c r="LIZ1365" s="110"/>
      <c r="LJA1365" s="110"/>
      <c r="LJB1365" s="110"/>
      <c r="LJC1365" s="110"/>
      <c r="LJD1365" s="110"/>
      <c r="LJE1365" s="110"/>
      <c r="LJF1365" s="110"/>
      <c r="LJG1365" s="110"/>
      <c r="LJH1365" s="110"/>
      <c r="LJI1365" s="110"/>
      <c r="LJJ1365" s="110"/>
      <c r="LJK1365" s="110"/>
      <c r="LJL1365" s="110"/>
      <c r="LJM1365" s="110"/>
      <c r="LJN1365" s="110"/>
      <c r="LJO1365" s="110"/>
      <c r="LJP1365" s="110"/>
      <c r="LJQ1365" s="110"/>
      <c r="LJR1365" s="110"/>
      <c r="LJS1365" s="110"/>
      <c r="LJT1365" s="110"/>
      <c r="LJU1365" s="110"/>
      <c r="LJV1365" s="110"/>
      <c r="LJW1365" s="110"/>
      <c r="LJX1365" s="110"/>
      <c r="LJY1365" s="110"/>
      <c r="LJZ1365" s="110"/>
      <c r="LKA1365" s="110"/>
      <c r="LKB1365" s="110"/>
      <c r="LKC1365" s="110"/>
      <c r="LKD1365" s="110"/>
      <c r="LKE1365" s="110"/>
      <c r="LKF1365" s="110"/>
      <c r="LKG1365" s="110"/>
      <c r="LKH1365" s="110"/>
      <c r="LKI1365" s="110"/>
      <c r="LKJ1365" s="110"/>
      <c r="LKK1365" s="110"/>
      <c r="LKL1365" s="110"/>
      <c r="LKM1365" s="110"/>
      <c r="LKN1365" s="110"/>
      <c r="LKO1365" s="110"/>
      <c r="LKP1365" s="110"/>
      <c r="LKQ1365" s="110"/>
      <c r="LKR1365" s="110"/>
      <c r="LKS1365" s="110"/>
      <c r="LKT1365" s="110"/>
      <c r="LKU1365" s="110"/>
      <c r="LKV1365" s="110"/>
      <c r="LKW1365" s="110"/>
      <c r="LKX1365" s="110"/>
      <c r="LKY1365" s="110"/>
      <c r="LKZ1365" s="110"/>
      <c r="LLA1365" s="110"/>
      <c r="LLB1365" s="110"/>
      <c r="LLC1365" s="110"/>
      <c r="LLD1365" s="110"/>
      <c r="LLE1365" s="110"/>
      <c r="LLF1365" s="110"/>
      <c r="LLG1365" s="110"/>
      <c r="LLH1365" s="110"/>
      <c r="LLI1365" s="110"/>
      <c r="LLJ1365" s="110"/>
      <c r="LLK1365" s="110"/>
      <c r="LLL1365" s="110"/>
      <c r="LLM1365" s="110"/>
      <c r="LLN1365" s="110"/>
      <c r="LLO1365" s="110"/>
      <c r="LLP1365" s="110"/>
      <c r="LLQ1365" s="110"/>
      <c r="LLR1365" s="110"/>
      <c r="LLS1365" s="110"/>
      <c r="LLT1365" s="110"/>
      <c r="LLU1365" s="110"/>
      <c r="LLV1365" s="110"/>
      <c r="LLW1365" s="110"/>
      <c r="LLX1365" s="110"/>
      <c r="LLY1365" s="110"/>
      <c r="LLZ1365" s="110"/>
      <c r="LMA1365" s="110"/>
      <c r="LMB1365" s="110"/>
      <c r="LMC1365" s="110"/>
      <c r="LMD1365" s="110"/>
      <c r="LME1365" s="110"/>
      <c r="LMF1365" s="110"/>
      <c r="LMG1365" s="110"/>
      <c r="LMH1365" s="110"/>
      <c r="LMI1365" s="110"/>
      <c r="LMJ1365" s="110"/>
      <c r="LMK1365" s="110"/>
      <c r="LML1365" s="110"/>
      <c r="LMM1365" s="110"/>
      <c r="LMN1365" s="110"/>
      <c r="LMO1365" s="110"/>
      <c r="LMP1365" s="110"/>
      <c r="LMQ1365" s="110"/>
      <c r="LMR1365" s="110"/>
      <c r="LMS1365" s="110"/>
      <c r="LMT1365" s="110"/>
      <c r="LMU1365" s="110"/>
      <c r="LMV1365" s="110"/>
      <c r="LMW1365" s="110"/>
      <c r="LMX1365" s="110"/>
      <c r="LMY1365" s="110"/>
      <c r="LMZ1365" s="110"/>
      <c r="LNA1365" s="110"/>
      <c r="LNB1365" s="110"/>
      <c r="LNC1365" s="110"/>
      <c r="LND1365" s="110"/>
      <c r="LNE1365" s="110"/>
      <c r="LNF1365" s="110"/>
      <c r="LNG1365" s="110"/>
      <c r="LNH1365" s="110"/>
      <c r="LNI1365" s="110"/>
      <c r="LNJ1365" s="110"/>
      <c r="LNK1365" s="110"/>
      <c r="LNL1365" s="110"/>
      <c r="LNM1365" s="110"/>
      <c r="LNN1365" s="110"/>
      <c r="LNO1365" s="110"/>
      <c r="LNP1365" s="110"/>
      <c r="LNQ1365" s="110"/>
      <c r="LNR1365" s="110"/>
      <c r="LNS1365" s="110"/>
      <c r="LNT1365" s="110"/>
      <c r="LNU1365" s="110"/>
      <c r="LNV1365" s="110"/>
      <c r="LNW1365" s="110"/>
      <c r="LNX1365" s="110"/>
      <c r="LNY1365" s="110"/>
      <c r="LNZ1365" s="110"/>
      <c r="LOA1365" s="110"/>
      <c r="LOB1365" s="110"/>
      <c r="LOC1365" s="110"/>
      <c r="LOD1365" s="110"/>
      <c r="LOE1365" s="110"/>
      <c r="LOF1365" s="110"/>
      <c r="LOG1365" s="110"/>
      <c r="LOH1365" s="110"/>
      <c r="LOI1365" s="110"/>
      <c r="LOJ1365" s="110"/>
      <c r="LOK1365" s="110"/>
      <c r="LOL1365" s="110"/>
      <c r="LOM1365" s="110"/>
      <c r="LON1365" s="110"/>
      <c r="LOO1365" s="110"/>
      <c r="LOP1365" s="110"/>
      <c r="LOQ1365" s="110"/>
      <c r="LOR1365" s="110"/>
      <c r="LOS1365" s="110"/>
      <c r="LOT1365" s="110"/>
      <c r="LOU1365" s="110"/>
      <c r="LOV1365" s="110"/>
      <c r="LOW1365" s="110"/>
      <c r="LOX1365" s="110"/>
      <c r="LOY1365" s="110"/>
      <c r="LOZ1365" s="110"/>
      <c r="LPA1365" s="110"/>
      <c r="LPB1365" s="110"/>
      <c r="LPC1365" s="110"/>
      <c r="LPD1365" s="110"/>
      <c r="LPE1365" s="110"/>
      <c r="LPF1365" s="110"/>
      <c r="LPG1365" s="110"/>
      <c r="LPH1365" s="110"/>
      <c r="LPI1365" s="110"/>
      <c r="LPJ1365" s="110"/>
      <c r="LPK1365" s="110"/>
      <c r="LPL1365" s="110"/>
      <c r="LPM1365" s="110"/>
      <c r="LPN1365" s="110"/>
      <c r="LPO1365" s="110"/>
      <c r="LPP1365" s="110"/>
      <c r="LPQ1365" s="110"/>
      <c r="LPR1365" s="110"/>
      <c r="LPS1365" s="110"/>
      <c r="LPT1365" s="110"/>
      <c r="LPU1365" s="110"/>
      <c r="LPV1365" s="110"/>
      <c r="LPW1365" s="110"/>
      <c r="LPX1365" s="110"/>
      <c r="LPY1365" s="110"/>
      <c r="LPZ1365" s="110"/>
      <c r="LQA1365" s="110"/>
      <c r="LQB1365" s="110"/>
      <c r="LQC1365" s="110"/>
      <c r="LQD1365" s="110"/>
      <c r="LQE1365" s="110"/>
      <c r="LQF1365" s="110"/>
      <c r="LQG1365" s="110"/>
      <c r="LQH1365" s="110"/>
      <c r="LQI1365" s="110"/>
      <c r="LQJ1365" s="110"/>
      <c r="LQK1365" s="110"/>
      <c r="LQL1365" s="110"/>
      <c r="LQM1365" s="110"/>
      <c r="LQN1365" s="110"/>
      <c r="LQO1365" s="110"/>
      <c r="LQP1365" s="110"/>
      <c r="LQQ1365" s="110"/>
      <c r="LQR1365" s="110"/>
      <c r="LQS1365" s="110"/>
      <c r="LQT1365" s="110"/>
      <c r="LQU1365" s="110"/>
      <c r="LQV1365" s="110"/>
      <c r="LQW1365" s="110"/>
      <c r="LQX1365" s="110"/>
      <c r="LQY1365" s="110"/>
      <c r="LQZ1365" s="110"/>
      <c r="LRA1365" s="110"/>
      <c r="LRB1365" s="110"/>
      <c r="LRC1365" s="110"/>
      <c r="LRD1365" s="110"/>
      <c r="LRE1365" s="110"/>
      <c r="LRF1365" s="110"/>
      <c r="LRG1365" s="110"/>
      <c r="LRH1365" s="110"/>
      <c r="LRI1365" s="110"/>
      <c r="LRJ1365" s="110"/>
      <c r="LRK1365" s="110"/>
      <c r="LRL1365" s="110"/>
      <c r="LRM1365" s="110"/>
      <c r="LRN1365" s="110"/>
      <c r="LRO1365" s="110"/>
      <c r="LRP1365" s="110"/>
      <c r="LRQ1365" s="110"/>
      <c r="LRR1365" s="110"/>
      <c r="LRS1365" s="110"/>
      <c r="LRT1365" s="110"/>
      <c r="LRU1365" s="110"/>
      <c r="LRV1365" s="110"/>
      <c r="LRW1365" s="110"/>
      <c r="LRX1365" s="110"/>
      <c r="LRY1365" s="110"/>
      <c r="LRZ1365" s="110"/>
      <c r="LSA1365" s="110"/>
      <c r="LSB1365" s="110"/>
      <c r="LSC1365" s="110"/>
      <c r="LSD1365" s="110"/>
      <c r="LSE1365" s="110"/>
      <c r="LSF1365" s="110"/>
      <c r="LSG1365" s="110"/>
      <c r="LSH1365" s="110"/>
      <c r="LSI1365" s="110"/>
      <c r="LSJ1365" s="110"/>
      <c r="LSK1365" s="110"/>
      <c r="LSL1365" s="110"/>
      <c r="LSM1365" s="110"/>
      <c r="LSN1365" s="110"/>
      <c r="LSO1365" s="110"/>
      <c r="LSP1365" s="110"/>
      <c r="LSQ1365" s="110"/>
      <c r="LSR1365" s="110"/>
      <c r="LSS1365" s="110"/>
      <c r="LST1365" s="110"/>
      <c r="LSU1365" s="110"/>
      <c r="LSV1365" s="110"/>
      <c r="LSW1365" s="110"/>
      <c r="LSX1365" s="110"/>
      <c r="LSY1365" s="110"/>
      <c r="LSZ1365" s="110"/>
      <c r="LTA1365" s="110"/>
      <c r="LTB1365" s="110"/>
      <c r="LTC1365" s="110"/>
      <c r="LTD1365" s="110"/>
      <c r="LTE1365" s="110"/>
      <c r="LTF1365" s="110"/>
      <c r="LTG1365" s="110"/>
      <c r="LTH1365" s="110"/>
      <c r="LTI1365" s="110"/>
      <c r="LTJ1365" s="110"/>
      <c r="LTK1365" s="110"/>
      <c r="LTL1365" s="110"/>
      <c r="LTM1365" s="110"/>
      <c r="LTN1365" s="110"/>
      <c r="LTO1365" s="110"/>
      <c r="LTP1365" s="110"/>
      <c r="LTQ1365" s="110"/>
      <c r="LTR1365" s="110"/>
      <c r="LTS1365" s="110"/>
      <c r="LTT1365" s="110"/>
      <c r="LTU1365" s="110"/>
      <c r="LTV1365" s="110"/>
      <c r="LTW1365" s="110"/>
      <c r="LTX1365" s="110"/>
      <c r="LTY1365" s="110"/>
      <c r="LTZ1365" s="110"/>
      <c r="LUA1365" s="110"/>
      <c r="LUB1365" s="110"/>
      <c r="LUC1365" s="110"/>
      <c r="LUD1365" s="110"/>
      <c r="LUE1365" s="110"/>
      <c r="LUF1365" s="110"/>
      <c r="LUG1365" s="110"/>
      <c r="LUH1365" s="110"/>
      <c r="LUI1365" s="110"/>
      <c r="LUJ1365" s="110"/>
      <c r="LUK1365" s="110"/>
      <c r="LUL1365" s="110"/>
      <c r="LUM1365" s="110"/>
      <c r="LUN1365" s="110"/>
      <c r="LUO1365" s="110"/>
      <c r="LUP1365" s="110"/>
      <c r="LUQ1365" s="110"/>
      <c r="LUR1365" s="110"/>
      <c r="LUS1365" s="110"/>
      <c r="LUT1365" s="110"/>
      <c r="LUU1365" s="110"/>
      <c r="LUV1365" s="110"/>
      <c r="LUW1365" s="110"/>
      <c r="LUX1365" s="110"/>
      <c r="LUY1365" s="110"/>
      <c r="LUZ1365" s="110"/>
      <c r="LVA1365" s="110"/>
      <c r="LVB1365" s="110"/>
      <c r="LVC1365" s="110"/>
      <c r="LVD1365" s="110"/>
      <c r="LVE1365" s="110"/>
      <c r="LVF1365" s="110"/>
      <c r="LVG1365" s="110"/>
      <c r="LVH1365" s="110"/>
      <c r="LVI1365" s="110"/>
      <c r="LVJ1365" s="110"/>
      <c r="LVK1365" s="110"/>
      <c r="LVL1365" s="110"/>
      <c r="LVM1365" s="110"/>
      <c r="LVN1365" s="110"/>
      <c r="LVO1365" s="110"/>
      <c r="LVP1365" s="110"/>
      <c r="LVQ1365" s="110"/>
      <c r="LVR1365" s="110"/>
      <c r="LVS1365" s="110"/>
      <c r="LVT1365" s="110"/>
      <c r="LVU1365" s="110"/>
      <c r="LVV1365" s="110"/>
      <c r="LVW1365" s="110"/>
      <c r="LVX1365" s="110"/>
      <c r="LVY1365" s="110"/>
      <c r="LVZ1365" s="110"/>
      <c r="LWA1365" s="110"/>
      <c r="LWB1365" s="110"/>
      <c r="LWC1365" s="110"/>
      <c r="LWD1365" s="110"/>
      <c r="LWE1365" s="110"/>
      <c r="LWF1365" s="110"/>
      <c r="LWG1365" s="110"/>
      <c r="LWH1365" s="110"/>
      <c r="LWI1365" s="110"/>
      <c r="LWJ1365" s="110"/>
      <c r="LWK1365" s="110"/>
      <c r="LWL1365" s="110"/>
      <c r="LWM1365" s="110"/>
      <c r="LWN1365" s="110"/>
      <c r="LWO1365" s="110"/>
      <c r="LWP1365" s="110"/>
      <c r="LWQ1365" s="110"/>
      <c r="LWR1365" s="110"/>
      <c r="LWS1365" s="110"/>
      <c r="LWT1365" s="110"/>
      <c r="LWU1365" s="110"/>
      <c r="LWV1365" s="110"/>
      <c r="LWW1365" s="110"/>
      <c r="LWX1365" s="110"/>
      <c r="LWY1365" s="110"/>
      <c r="LWZ1365" s="110"/>
      <c r="LXA1365" s="110"/>
      <c r="LXB1365" s="110"/>
      <c r="LXC1365" s="110"/>
      <c r="LXD1365" s="110"/>
      <c r="LXE1365" s="110"/>
      <c r="LXF1365" s="110"/>
      <c r="LXG1365" s="110"/>
      <c r="LXH1365" s="110"/>
      <c r="LXI1365" s="110"/>
      <c r="LXJ1365" s="110"/>
      <c r="LXK1365" s="110"/>
      <c r="LXL1365" s="110"/>
      <c r="LXM1365" s="110"/>
      <c r="LXN1365" s="110"/>
      <c r="LXO1365" s="110"/>
      <c r="LXP1365" s="110"/>
      <c r="LXQ1365" s="110"/>
      <c r="LXR1365" s="110"/>
      <c r="LXS1365" s="110"/>
      <c r="LXT1365" s="110"/>
      <c r="LXU1365" s="110"/>
      <c r="LXV1365" s="110"/>
      <c r="LXW1365" s="110"/>
      <c r="LXX1365" s="110"/>
      <c r="LXY1365" s="110"/>
      <c r="LXZ1365" s="110"/>
      <c r="LYA1365" s="110"/>
      <c r="LYB1365" s="110"/>
      <c r="LYC1365" s="110"/>
      <c r="LYD1365" s="110"/>
      <c r="LYE1365" s="110"/>
      <c r="LYF1365" s="110"/>
      <c r="LYG1365" s="110"/>
      <c r="LYH1365" s="110"/>
      <c r="LYI1365" s="110"/>
      <c r="LYJ1365" s="110"/>
      <c r="LYK1365" s="110"/>
      <c r="LYL1365" s="110"/>
      <c r="LYM1365" s="110"/>
      <c r="LYN1365" s="110"/>
      <c r="LYO1365" s="110"/>
      <c r="LYP1365" s="110"/>
      <c r="LYQ1365" s="110"/>
      <c r="LYR1365" s="110"/>
      <c r="LYS1365" s="110"/>
      <c r="LYT1365" s="110"/>
      <c r="LYU1365" s="110"/>
      <c r="LYV1365" s="110"/>
      <c r="LYW1365" s="110"/>
      <c r="LYX1365" s="110"/>
      <c r="LYY1365" s="110"/>
      <c r="LYZ1365" s="110"/>
      <c r="LZA1365" s="110"/>
      <c r="LZB1365" s="110"/>
      <c r="LZC1365" s="110"/>
      <c r="LZD1365" s="110"/>
      <c r="LZE1365" s="110"/>
      <c r="LZF1365" s="110"/>
      <c r="LZG1365" s="110"/>
      <c r="LZH1365" s="110"/>
      <c r="LZI1365" s="110"/>
      <c r="LZJ1365" s="110"/>
      <c r="LZK1365" s="110"/>
      <c r="LZL1365" s="110"/>
      <c r="LZM1365" s="110"/>
      <c r="LZN1365" s="110"/>
      <c r="LZO1365" s="110"/>
      <c r="LZP1365" s="110"/>
      <c r="LZQ1365" s="110"/>
      <c r="LZR1365" s="110"/>
      <c r="LZS1365" s="110"/>
      <c r="LZT1365" s="110"/>
      <c r="LZU1365" s="110"/>
      <c r="LZV1365" s="110"/>
      <c r="LZW1365" s="110"/>
      <c r="LZX1365" s="110"/>
      <c r="LZY1365" s="110"/>
      <c r="LZZ1365" s="110"/>
      <c r="MAA1365" s="110"/>
      <c r="MAB1365" s="110"/>
      <c r="MAC1365" s="110"/>
      <c r="MAD1365" s="110"/>
      <c r="MAE1365" s="110"/>
      <c r="MAF1365" s="110"/>
      <c r="MAG1365" s="110"/>
      <c r="MAH1365" s="110"/>
      <c r="MAI1365" s="110"/>
      <c r="MAJ1365" s="110"/>
      <c r="MAK1365" s="110"/>
      <c r="MAL1365" s="110"/>
      <c r="MAM1365" s="110"/>
      <c r="MAN1365" s="110"/>
      <c r="MAO1365" s="110"/>
      <c r="MAP1365" s="110"/>
      <c r="MAQ1365" s="110"/>
      <c r="MAR1365" s="110"/>
      <c r="MAS1365" s="110"/>
      <c r="MAT1365" s="110"/>
      <c r="MAU1365" s="110"/>
      <c r="MAV1365" s="110"/>
      <c r="MAW1365" s="110"/>
      <c r="MAX1365" s="110"/>
      <c r="MAY1365" s="110"/>
      <c r="MAZ1365" s="110"/>
      <c r="MBA1365" s="110"/>
      <c r="MBB1365" s="110"/>
      <c r="MBC1365" s="110"/>
      <c r="MBD1365" s="110"/>
      <c r="MBE1365" s="110"/>
      <c r="MBF1365" s="110"/>
      <c r="MBG1365" s="110"/>
      <c r="MBH1365" s="110"/>
      <c r="MBI1365" s="110"/>
      <c r="MBJ1365" s="110"/>
      <c r="MBK1365" s="110"/>
      <c r="MBL1365" s="110"/>
      <c r="MBM1365" s="110"/>
      <c r="MBN1365" s="110"/>
      <c r="MBO1365" s="110"/>
      <c r="MBP1365" s="110"/>
      <c r="MBQ1365" s="110"/>
      <c r="MBR1365" s="110"/>
      <c r="MBS1365" s="110"/>
      <c r="MBT1365" s="110"/>
      <c r="MBU1365" s="110"/>
      <c r="MBV1365" s="110"/>
      <c r="MBW1365" s="110"/>
      <c r="MBX1365" s="110"/>
      <c r="MBY1365" s="110"/>
      <c r="MBZ1365" s="110"/>
      <c r="MCA1365" s="110"/>
      <c r="MCB1365" s="110"/>
      <c r="MCC1365" s="110"/>
      <c r="MCD1365" s="110"/>
      <c r="MCE1365" s="110"/>
      <c r="MCF1365" s="110"/>
      <c r="MCG1365" s="110"/>
      <c r="MCH1365" s="110"/>
      <c r="MCI1365" s="110"/>
      <c r="MCJ1365" s="110"/>
      <c r="MCK1365" s="110"/>
      <c r="MCL1365" s="110"/>
      <c r="MCM1365" s="110"/>
      <c r="MCN1365" s="110"/>
      <c r="MCO1365" s="110"/>
      <c r="MCP1365" s="110"/>
      <c r="MCQ1365" s="110"/>
      <c r="MCR1365" s="110"/>
      <c r="MCS1365" s="110"/>
      <c r="MCT1365" s="110"/>
      <c r="MCU1365" s="110"/>
      <c r="MCV1365" s="110"/>
      <c r="MCW1365" s="110"/>
      <c r="MCX1365" s="110"/>
      <c r="MCY1365" s="110"/>
      <c r="MCZ1365" s="110"/>
      <c r="MDA1365" s="110"/>
      <c r="MDB1365" s="110"/>
      <c r="MDC1365" s="110"/>
      <c r="MDD1365" s="110"/>
      <c r="MDE1365" s="110"/>
      <c r="MDF1365" s="110"/>
      <c r="MDG1365" s="110"/>
      <c r="MDH1365" s="110"/>
      <c r="MDI1365" s="110"/>
      <c r="MDJ1365" s="110"/>
      <c r="MDK1365" s="110"/>
      <c r="MDL1365" s="110"/>
      <c r="MDM1365" s="110"/>
      <c r="MDN1365" s="110"/>
      <c r="MDO1365" s="110"/>
      <c r="MDP1365" s="110"/>
      <c r="MDQ1365" s="110"/>
      <c r="MDR1365" s="110"/>
      <c r="MDS1365" s="110"/>
      <c r="MDT1365" s="110"/>
      <c r="MDU1365" s="110"/>
      <c r="MDV1365" s="110"/>
      <c r="MDW1365" s="110"/>
      <c r="MDX1365" s="110"/>
      <c r="MDY1365" s="110"/>
      <c r="MDZ1365" s="110"/>
      <c r="MEA1365" s="110"/>
      <c r="MEB1365" s="110"/>
      <c r="MEC1365" s="110"/>
      <c r="MED1365" s="110"/>
      <c r="MEE1365" s="110"/>
      <c r="MEF1365" s="110"/>
      <c r="MEG1365" s="110"/>
      <c r="MEH1365" s="110"/>
      <c r="MEI1365" s="110"/>
      <c r="MEJ1365" s="110"/>
      <c r="MEK1365" s="110"/>
      <c r="MEL1365" s="110"/>
      <c r="MEM1365" s="110"/>
      <c r="MEN1365" s="110"/>
      <c r="MEO1365" s="110"/>
      <c r="MEP1365" s="110"/>
      <c r="MEQ1365" s="110"/>
      <c r="MER1365" s="110"/>
      <c r="MES1365" s="110"/>
      <c r="MET1365" s="110"/>
      <c r="MEU1365" s="110"/>
      <c r="MEV1365" s="110"/>
      <c r="MEW1365" s="110"/>
      <c r="MEX1365" s="110"/>
      <c r="MEY1365" s="110"/>
      <c r="MEZ1365" s="110"/>
      <c r="MFA1365" s="110"/>
      <c r="MFB1365" s="110"/>
      <c r="MFC1365" s="110"/>
      <c r="MFD1365" s="110"/>
      <c r="MFE1365" s="110"/>
      <c r="MFF1365" s="110"/>
      <c r="MFG1365" s="110"/>
      <c r="MFH1365" s="110"/>
      <c r="MFI1365" s="110"/>
      <c r="MFJ1365" s="110"/>
      <c r="MFK1365" s="110"/>
      <c r="MFL1365" s="110"/>
      <c r="MFM1365" s="110"/>
      <c r="MFN1365" s="110"/>
      <c r="MFO1365" s="110"/>
      <c r="MFP1365" s="110"/>
      <c r="MFQ1365" s="110"/>
      <c r="MFR1365" s="110"/>
      <c r="MFS1365" s="110"/>
      <c r="MFT1365" s="110"/>
      <c r="MFU1365" s="110"/>
      <c r="MFV1365" s="110"/>
      <c r="MFW1365" s="110"/>
      <c r="MFX1365" s="110"/>
      <c r="MFY1365" s="110"/>
      <c r="MFZ1365" s="110"/>
      <c r="MGA1365" s="110"/>
      <c r="MGB1365" s="110"/>
      <c r="MGC1365" s="110"/>
      <c r="MGD1365" s="110"/>
      <c r="MGE1365" s="110"/>
      <c r="MGF1365" s="110"/>
      <c r="MGG1365" s="110"/>
      <c r="MGH1365" s="110"/>
      <c r="MGI1365" s="110"/>
      <c r="MGJ1365" s="110"/>
      <c r="MGK1365" s="110"/>
      <c r="MGL1365" s="110"/>
      <c r="MGM1365" s="110"/>
      <c r="MGN1365" s="110"/>
      <c r="MGO1365" s="110"/>
      <c r="MGP1365" s="110"/>
      <c r="MGQ1365" s="110"/>
      <c r="MGR1365" s="110"/>
      <c r="MGS1365" s="110"/>
      <c r="MGT1365" s="110"/>
      <c r="MGU1365" s="110"/>
      <c r="MGV1365" s="110"/>
      <c r="MGW1365" s="110"/>
      <c r="MGX1365" s="110"/>
      <c r="MGY1365" s="110"/>
      <c r="MGZ1365" s="110"/>
      <c r="MHA1365" s="110"/>
      <c r="MHB1365" s="110"/>
      <c r="MHC1365" s="110"/>
      <c r="MHD1365" s="110"/>
      <c r="MHE1365" s="110"/>
      <c r="MHF1365" s="110"/>
      <c r="MHG1365" s="110"/>
      <c r="MHH1365" s="110"/>
      <c r="MHI1365" s="110"/>
      <c r="MHJ1365" s="110"/>
      <c r="MHK1365" s="110"/>
      <c r="MHL1365" s="110"/>
      <c r="MHM1365" s="110"/>
      <c r="MHN1365" s="110"/>
      <c r="MHO1365" s="110"/>
      <c r="MHP1365" s="110"/>
      <c r="MHQ1365" s="110"/>
      <c r="MHR1365" s="110"/>
      <c r="MHS1365" s="110"/>
      <c r="MHT1365" s="110"/>
      <c r="MHU1365" s="110"/>
      <c r="MHV1365" s="110"/>
      <c r="MHW1365" s="110"/>
      <c r="MHX1365" s="110"/>
      <c r="MHY1365" s="110"/>
      <c r="MHZ1365" s="110"/>
      <c r="MIA1365" s="110"/>
      <c r="MIB1365" s="110"/>
      <c r="MIC1365" s="110"/>
      <c r="MID1365" s="110"/>
      <c r="MIE1365" s="110"/>
      <c r="MIF1365" s="110"/>
      <c r="MIG1365" s="110"/>
      <c r="MIH1365" s="110"/>
      <c r="MII1365" s="110"/>
      <c r="MIJ1365" s="110"/>
      <c r="MIK1365" s="110"/>
      <c r="MIL1365" s="110"/>
      <c r="MIM1365" s="110"/>
      <c r="MIN1365" s="110"/>
      <c r="MIO1365" s="110"/>
      <c r="MIP1365" s="110"/>
      <c r="MIQ1365" s="110"/>
      <c r="MIR1365" s="110"/>
      <c r="MIS1365" s="110"/>
      <c r="MIT1365" s="110"/>
      <c r="MIU1365" s="110"/>
      <c r="MIV1365" s="110"/>
      <c r="MIW1365" s="110"/>
      <c r="MIX1365" s="110"/>
      <c r="MIY1365" s="110"/>
      <c r="MIZ1365" s="110"/>
      <c r="MJA1365" s="110"/>
      <c r="MJB1365" s="110"/>
      <c r="MJC1365" s="110"/>
      <c r="MJD1365" s="110"/>
      <c r="MJE1365" s="110"/>
      <c r="MJF1365" s="110"/>
      <c r="MJG1365" s="110"/>
      <c r="MJH1365" s="110"/>
      <c r="MJI1365" s="110"/>
      <c r="MJJ1365" s="110"/>
      <c r="MJK1365" s="110"/>
      <c r="MJL1365" s="110"/>
      <c r="MJM1365" s="110"/>
      <c r="MJN1365" s="110"/>
      <c r="MJO1365" s="110"/>
      <c r="MJP1365" s="110"/>
      <c r="MJQ1365" s="110"/>
      <c r="MJR1365" s="110"/>
      <c r="MJS1365" s="110"/>
      <c r="MJT1365" s="110"/>
      <c r="MJU1365" s="110"/>
      <c r="MJV1365" s="110"/>
      <c r="MJW1365" s="110"/>
      <c r="MJX1365" s="110"/>
      <c r="MJY1365" s="110"/>
      <c r="MJZ1365" s="110"/>
      <c r="MKA1365" s="110"/>
      <c r="MKB1365" s="110"/>
      <c r="MKC1365" s="110"/>
      <c r="MKD1365" s="110"/>
      <c r="MKE1365" s="110"/>
      <c r="MKF1365" s="110"/>
      <c r="MKG1365" s="110"/>
      <c r="MKH1365" s="110"/>
      <c r="MKI1365" s="110"/>
      <c r="MKJ1365" s="110"/>
      <c r="MKK1365" s="110"/>
      <c r="MKL1365" s="110"/>
      <c r="MKM1365" s="110"/>
      <c r="MKN1365" s="110"/>
      <c r="MKO1365" s="110"/>
      <c r="MKP1365" s="110"/>
      <c r="MKQ1365" s="110"/>
      <c r="MKR1365" s="110"/>
      <c r="MKS1365" s="110"/>
      <c r="MKT1365" s="110"/>
      <c r="MKU1365" s="110"/>
      <c r="MKV1365" s="110"/>
      <c r="MKW1365" s="110"/>
      <c r="MKX1365" s="110"/>
      <c r="MKY1365" s="110"/>
      <c r="MKZ1365" s="110"/>
      <c r="MLA1365" s="110"/>
      <c r="MLB1365" s="110"/>
      <c r="MLC1365" s="110"/>
      <c r="MLD1365" s="110"/>
      <c r="MLE1365" s="110"/>
      <c r="MLF1365" s="110"/>
      <c r="MLG1365" s="110"/>
      <c r="MLH1365" s="110"/>
      <c r="MLI1365" s="110"/>
      <c r="MLJ1365" s="110"/>
      <c r="MLK1365" s="110"/>
      <c r="MLL1365" s="110"/>
      <c r="MLM1365" s="110"/>
      <c r="MLN1365" s="110"/>
      <c r="MLO1365" s="110"/>
      <c r="MLP1365" s="110"/>
      <c r="MLQ1365" s="110"/>
      <c r="MLR1365" s="110"/>
      <c r="MLS1365" s="110"/>
      <c r="MLT1365" s="110"/>
      <c r="MLU1365" s="110"/>
      <c r="MLV1365" s="110"/>
      <c r="MLW1365" s="110"/>
      <c r="MLX1365" s="110"/>
      <c r="MLY1365" s="110"/>
      <c r="MLZ1365" s="110"/>
      <c r="MMA1365" s="110"/>
      <c r="MMB1365" s="110"/>
      <c r="MMC1365" s="110"/>
      <c r="MMD1365" s="110"/>
      <c r="MME1365" s="110"/>
      <c r="MMF1365" s="110"/>
      <c r="MMG1365" s="110"/>
      <c r="MMH1365" s="110"/>
      <c r="MMI1365" s="110"/>
      <c r="MMJ1365" s="110"/>
      <c r="MMK1365" s="110"/>
      <c r="MML1365" s="110"/>
      <c r="MMM1365" s="110"/>
      <c r="MMN1365" s="110"/>
      <c r="MMO1365" s="110"/>
      <c r="MMP1365" s="110"/>
      <c r="MMQ1365" s="110"/>
      <c r="MMR1365" s="110"/>
      <c r="MMS1365" s="110"/>
      <c r="MMT1365" s="110"/>
      <c r="MMU1365" s="110"/>
      <c r="MMV1365" s="110"/>
      <c r="MMW1365" s="110"/>
      <c r="MMX1365" s="110"/>
      <c r="MMY1365" s="110"/>
      <c r="MMZ1365" s="110"/>
      <c r="MNA1365" s="110"/>
      <c r="MNB1365" s="110"/>
      <c r="MNC1365" s="110"/>
      <c r="MND1365" s="110"/>
      <c r="MNE1365" s="110"/>
      <c r="MNF1365" s="110"/>
      <c r="MNG1365" s="110"/>
      <c r="MNH1365" s="110"/>
      <c r="MNI1365" s="110"/>
      <c r="MNJ1365" s="110"/>
      <c r="MNK1365" s="110"/>
      <c r="MNL1365" s="110"/>
      <c r="MNM1365" s="110"/>
      <c r="MNN1365" s="110"/>
      <c r="MNO1365" s="110"/>
      <c r="MNP1365" s="110"/>
      <c r="MNQ1365" s="110"/>
      <c r="MNR1365" s="110"/>
      <c r="MNS1365" s="110"/>
      <c r="MNT1365" s="110"/>
      <c r="MNU1365" s="110"/>
      <c r="MNV1365" s="110"/>
      <c r="MNW1365" s="110"/>
      <c r="MNX1365" s="110"/>
      <c r="MNY1365" s="110"/>
      <c r="MNZ1365" s="110"/>
      <c r="MOA1365" s="110"/>
      <c r="MOB1365" s="110"/>
      <c r="MOC1365" s="110"/>
      <c r="MOD1365" s="110"/>
      <c r="MOE1365" s="110"/>
      <c r="MOF1365" s="110"/>
      <c r="MOG1365" s="110"/>
      <c r="MOH1365" s="110"/>
      <c r="MOI1365" s="110"/>
      <c r="MOJ1365" s="110"/>
      <c r="MOK1365" s="110"/>
      <c r="MOL1365" s="110"/>
      <c r="MOM1365" s="110"/>
      <c r="MON1365" s="110"/>
      <c r="MOO1365" s="110"/>
      <c r="MOP1365" s="110"/>
      <c r="MOQ1365" s="110"/>
      <c r="MOR1365" s="110"/>
      <c r="MOS1365" s="110"/>
      <c r="MOT1365" s="110"/>
      <c r="MOU1365" s="110"/>
      <c r="MOV1365" s="110"/>
      <c r="MOW1365" s="110"/>
      <c r="MOX1365" s="110"/>
      <c r="MOY1365" s="110"/>
      <c r="MOZ1365" s="110"/>
      <c r="MPA1365" s="110"/>
      <c r="MPB1365" s="110"/>
      <c r="MPC1365" s="110"/>
      <c r="MPD1365" s="110"/>
      <c r="MPE1365" s="110"/>
      <c r="MPF1365" s="110"/>
      <c r="MPG1365" s="110"/>
      <c r="MPH1365" s="110"/>
      <c r="MPI1365" s="110"/>
      <c r="MPJ1365" s="110"/>
      <c r="MPK1365" s="110"/>
      <c r="MPL1365" s="110"/>
      <c r="MPM1365" s="110"/>
      <c r="MPN1365" s="110"/>
      <c r="MPO1365" s="110"/>
      <c r="MPP1365" s="110"/>
      <c r="MPQ1365" s="110"/>
      <c r="MPR1365" s="110"/>
      <c r="MPS1365" s="110"/>
      <c r="MPT1365" s="110"/>
      <c r="MPU1365" s="110"/>
      <c r="MPV1365" s="110"/>
      <c r="MPW1365" s="110"/>
      <c r="MPX1365" s="110"/>
      <c r="MPY1365" s="110"/>
      <c r="MPZ1365" s="110"/>
      <c r="MQA1365" s="110"/>
      <c r="MQB1365" s="110"/>
      <c r="MQC1365" s="110"/>
      <c r="MQD1365" s="110"/>
      <c r="MQE1365" s="110"/>
      <c r="MQF1365" s="110"/>
      <c r="MQG1365" s="110"/>
      <c r="MQH1365" s="110"/>
      <c r="MQI1365" s="110"/>
      <c r="MQJ1365" s="110"/>
      <c r="MQK1365" s="110"/>
      <c r="MQL1365" s="110"/>
      <c r="MQM1365" s="110"/>
      <c r="MQN1365" s="110"/>
      <c r="MQO1365" s="110"/>
      <c r="MQP1365" s="110"/>
      <c r="MQQ1365" s="110"/>
      <c r="MQR1365" s="110"/>
      <c r="MQS1365" s="110"/>
      <c r="MQT1365" s="110"/>
      <c r="MQU1365" s="110"/>
      <c r="MQV1365" s="110"/>
      <c r="MQW1365" s="110"/>
      <c r="MQX1365" s="110"/>
      <c r="MQY1365" s="110"/>
      <c r="MQZ1365" s="110"/>
      <c r="MRA1365" s="110"/>
      <c r="MRB1365" s="110"/>
      <c r="MRC1365" s="110"/>
      <c r="MRD1365" s="110"/>
      <c r="MRE1365" s="110"/>
      <c r="MRF1365" s="110"/>
      <c r="MRG1365" s="110"/>
      <c r="MRH1365" s="110"/>
      <c r="MRI1365" s="110"/>
      <c r="MRJ1365" s="110"/>
      <c r="MRK1365" s="110"/>
      <c r="MRL1365" s="110"/>
      <c r="MRM1365" s="110"/>
      <c r="MRN1365" s="110"/>
      <c r="MRO1365" s="110"/>
      <c r="MRP1365" s="110"/>
      <c r="MRQ1365" s="110"/>
      <c r="MRR1365" s="110"/>
      <c r="MRS1365" s="110"/>
      <c r="MRT1365" s="110"/>
      <c r="MRU1365" s="110"/>
      <c r="MRV1365" s="110"/>
      <c r="MRW1365" s="110"/>
      <c r="MRX1365" s="110"/>
      <c r="MRY1365" s="110"/>
      <c r="MRZ1365" s="110"/>
      <c r="MSA1365" s="110"/>
      <c r="MSB1365" s="110"/>
      <c r="MSC1365" s="110"/>
      <c r="MSD1365" s="110"/>
      <c r="MSE1365" s="110"/>
      <c r="MSF1365" s="110"/>
      <c r="MSG1365" s="110"/>
      <c r="MSH1365" s="110"/>
      <c r="MSI1365" s="110"/>
      <c r="MSJ1365" s="110"/>
      <c r="MSK1365" s="110"/>
      <c r="MSL1365" s="110"/>
      <c r="MSM1365" s="110"/>
      <c r="MSN1365" s="110"/>
      <c r="MSO1365" s="110"/>
      <c r="MSP1365" s="110"/>
      <c r="MSQ1365" s="110"/>
      <c r="MSR1365" s="110"/>
      <c r="MSS1365" s="110"/>
      <c r="MST1365" s="110"/>
      <c r="MSU1365" s="110"/>
      <c r="MSV1365" s="110"/>
      <c r="MSW1365" s="110"/>
      <c r="MSX1365" s="110"/>
      <c r="MSY1365" s="110"/>
      <c r="MSZ1365" s="110"/>
      <c r="MTA1365" s="110"/>
      <c r="MTB1365" s="110"/>
      <c r="MTC1365" s="110"/>
      <c r="MTD1365" s="110"/>
      <c r="MTE1365" s="110"/>
      <c r="MTF1365" s="110"/>
      <c r="MTG1365" s="110"/>
      <c r="MTH1365" s="110"/>
      <c r="MTI1365" s="110"/>
      <c r="MTJ1365" s="110"/>
      <c r="MTK1365" s="110"/>
      <c r="MTL1365" s="110"/>
      <c r="MTM1365" s="110"/>
      <c r="MTN1365" s="110"/>
      <c r="MTO1365" s="110"/>
      <c r="MTP1365" s="110"/>
      <c r="MTQ1365" s="110"/>
      <c r="MTR1365" s="110"/>
      <c r="MTS1365" s="110"/>
      <c r="MTT1365" s="110"/>
      <c r="MTU1365" s="110"/>
      <c r="MTV1365" s="110"/>
      <c r="MTW1365" s="110"/>
      <c r="MTX1365" s="110"/>
      <c r="MTY1365" s="110"/>
      <c r="MTZ1365" s="110"/>
      <c r="MUA1365" s="110"/>
      <c r="MUB1365" s="110"/>
      <c r="MUC1365" s="110"/>
      <c r="MUD1365" s="110"/>
      <c r="MUE1365" s="110"/>
      <c r="MUF1365" s="110"/>
      <c r="MUG1365" s="110"/>
      <c r="MUH1365" s="110"/>
      <c r="MUI1365" s="110"/>
      <c r="MUJ1365" s="110"/>
      <c r="MUK1365" s="110"/>
      <c r="MUL1365" s="110"/>
      <c r="MUM1365" s="110"/>
      <c r="MUN1365" s="110"/>
      <c r="MUO1365" s="110"/>
      <c r="MUP1365" s="110"/>
      <c r="MUQ1365" s="110"/>
      <c r="MUR1365" s="110"/>
      <c r="MUS1365" s="110"/>
      <c r="MUT1365" s="110"/>
      <c r="MUU1365" s="110"/>
      <c r="MUV1365" s="110"/>
      <c r="MUW1365" s="110"/>
      <c r="MUX1365" s="110"/>
      <c r="MUY1365" s="110"/>
      <c r="MUZ1365" s="110"/>
      <c r="MVA1365" s="110"/>
      <c r="MVB1365" s="110"/>
      <c r="MVC1365" s="110"/>
      <c r="MVD1365" s="110"/>
      <c r="MVE1365" s="110"/>
      <c r="MVF1365" s="110"/>
      <c r="MVG1365" s="110"/>
      <c r="MVH1365" s="110"/>
      <c r="MVI1365" s="110"/>
      <c r="MVJ1365" s="110"/>
      <c r="MVK1365" s="110"/>
      <c r="MVL1365" s="110"/>
      <c r="MVM1365" s="110"/>
      <c r="MVN1365" s="110"/>
      <c r="MVO1365" s="110"/>
      <c r="MVP1365" s="110"/>
      <c r="MVQ1365" s="110"/>
      <c r="MVR1365" s="110"/>
      <c r="MVS1365" s="110"/>
      <c r="MVT1365" s="110"/>
      <c r="MVU1365" s="110"/>
      <c r="MVV1365" s="110"/>
      <c r="MVW1365" s="110"/>
      <c r="MVX1365" s="110"/>
      <c r="MVY1365" s="110"/>
      <c r="MVZ1365" s="110"/>
      <c r="MWA1365" s="110"/>
      <c r="MWB1365" s="110"/>
      <c r="MWC1365" s="110"/>
      <c r="MWD1365" s="110"/>
      <c r="MWE1365" s="110"/>
      <c r="MWF1365" s="110"/>
      <c r="MWG1365" s="110"/>
      <c r="MWH1365" s="110"/>
      <c r="MWI1365" s="110"/>
      <c r="MWJ1365" s="110"/>
      <c r="MWK1365" s="110"/>
      <c r="MWL1365" s="110"/>
      <c r="MWM1365" s="110"/>
      <c r="MWN1365" s="110"/>
      <c r="MWO1365" s="110"/>
      <c r="MWP1365" s="110"/>
      <c r="MWQ1365" s="110"/>
      <c r="MWR1365" s="110"/>
      <c r="MWS1365" s="110"/>
      <c r="MWT1365" s="110"/>
      <c r="MWU1365" s="110"/>
      <c r="MWV1365" s="110"/>
      <c r="MWW1365" s="110"/>
      <c r="MWX1365" s="110"/>
      <c r="MWY1365" s="110"/>
      <c r="MWZ1365" s="110"/>
      <c r="MXA1365" s="110"/>
      <c r="MXB1365" s="110"/>
      <c r="MXC1365" s="110"/>
      <c r="MXD1365" s="110"/>
      <c r="MXE1365" s="110"/>
      <c r="MXF1365" s="110"/>
      <c r="MXG1365" s="110"/>
      <c r="MXH1365" s="110"/>
      <c r="MXI1365" s="110"/>
      <c r="MXJ1365" s="110"/>
      <c r="MXK1365" s="110"/>
      <c r="MXL1365" s="110"/>
      <c r="MXM1365" s="110"/>
      <c r="MXN1365" s="110"/>
      <c r="MXO1365" s="110"/>
      <c r="MXP1365" s="110"/>
      <c r="MXQ1365" s="110"/>
      <c r="MXR1365" s="110"/>
      <c r="MXS1365" s="110"/>
      <c r="MXT1365" s="110"/>
      <c r="MXU1365" s="110"/>
      <c r="MXV1365" s="110"/>
      <c r="MXW1365" s="110"/>
      <c r="MXX1365" s="110"/>
      <c r="MXY1365" s="110"/>
      <c r="MXZ1365" s="110"/>
      <c r="MYA1365" s="110"/>
      <c r="MYB1365" s="110"/>
      <c r="MYC1365" s="110"/>
      <c r="MYD1365" s="110"/>
      <c r="MYE1365" s="110"/>
      <c r="MYF1365" s="110"/>
      <c r="MYG1365" s="110"/>
      <c r="MYH1365" s="110"/>
      <c r="MYI1365" s="110"/>
      <c r="MYJ1365" s="110"/>
      <c r="MYK1365" s="110"/>
      <c r="MYL1365" s="110"/>
      <c r="MYM1365" s="110"/>
      <c r="MYN1365" s="110"/>
      <c r="MYO1365" s="110"/>
      <c r="MYP1365" s="110"/>
      <c r="MYQ1365" s="110"/>
      <c r="MYR1365" s="110"/>
      <c r="MYS1365" s="110"/>
      <c r="MYT1365" s="110"/>
      <c r="MYU1365" s="110"/>
      <c r="MYV1365" s="110"/>
      <c r="MYW1365" s="110"/>
      <c r="MYX1365" s="110"/>
      <c r="MYY1365" s="110"/>
      <c r="MYZ1365" s="110"/>
      <c r="MZA1365" s="110"/>
      <c r="MZB1365" s="110"/>
      <c r="MZC1365" s="110"/>
      <c r="MZD1365" s="110"/>
      <c r="MZE1365" s="110"/>
      <c r="MZF1365" s="110"/>
      <c r="MZG1365" s="110"/>
      <c r="MZH1365" s="110"/>
      <c r="MZI1365" s="110"/>
      <c r="MZJ1365" s="110"/>
      <c r="MZK1365" s="110"/>
      <c r="MZL1365" s="110"/>
      <c r="MZM1365" s="110"/>
      <c r="MZN1365" s="110"/>
      <c r="MZO1365" s="110"/>
      <c r="MZP1365" s="110"/>
      <c r="MZQ1365" s="110"/>
      <c r="MZR1365" s="110"/>
      <c r="MZS1365" s="110"/>
      <c r="MZT1365" s="110"/>
      <c r="MZU1365" s="110"/>
      <c r="MZV1365" s="110"/>
      <c r="MZW1365" s="110"/>
      <c r="MZX1365" s="110"/>
      <c r="MZY1365" s="110"/>
      <c r="MZZ1365" s="110"/>
      <c r="NAA1365" s="110"/>
      <c r="NAB1365" s="110"/>
      <c r="NAC1365" s="110"/>
      <c r="NAD1365" s="110"/>
      <c r="NAE1365" s="110"/>
      <c r="NAF1365" s="110"/>
      <c r="NAG1365" s="110"/>
      <c r="NAH1365" s="110"/>
      <c r="NAI1365" s="110"/>
      <c r="NAJ1365" s="110"/>
      <c r="NAK1365" s="110"/>
      <c r="NAL1365" s="110"/>
      <c r="NAM1365" s="110"/>
      <c r="NAN1365" s="110"/>
      <c r="NAO1365" s="110"/>
      <c r="NAP1365" s="110"/>
      <c r="NAQ1365" s="110"/>
      <c r="NAR1365" s="110"/>
      <c r="NAS1365" s="110"/>
      <c r="NAT1365" s="110"/>
      <c r="NAU1365" s="110"/>
      <c r="NAV1365" s="110"/>
      <c r="NAW1365" s="110"/>
      <c r="NAX1365" s="110"/>
      <c r="NAY1365" s="110"/>
      <c r="NAZ1365" s="110"/>
      <c r="NBA1365" s="110"/>
      <c r="NBB1365" s="110"/>
      <c r="NBC1365" s="110"/>
      <c r="NBD1365" s="110"/>
      <c r="NBE1365" s="110"/>
      <c r="NBF1365" s="110"/>
      <c r="NBG1365" s="110"/>
      <c r="NBH1365" s="110"/>
      <c r="NBI1365" s="110"/>
      <c r="NBJ1365" s="110"/>
      <c r="NBK1365" s="110"/>
      <c r="NBL1365" s="110"/>
      <c r="NBM1365" s="110"/>
      <c r="NBN1365" s="110"/>
      <c r="NBO1365" s="110"/>
      <c r="NBP1365" s="110"/>
      <c r="NBQ1365" s="110"/>
      <c r="NBR1365" s="110"/>
      <c r="NBS1365" s="110"/>
      <c r="NBT1365" s="110"/>
      <c r="NBU1365" s="110"/>
      <c r="NBV1365" s="110"/>
      <c r="NBW1365" s="110"/>
      <c r="NBX1365" s="110"/>
      <c r="NBY1365" s="110"/>
      <c r="NBZ1365" s="110"/>
      <c r="NCA1365" s="110"/>
      <c r="NCB1365" s="110"/>
      <c r="NCC1365" s="110"/>
      <c r="NCD1365" s="110"/>
      <c r="NCE1365" s="110"/>
      <c r="NCF1365" s="110"/>
      <c r="NCG1365" s="110"/>
      <c r="NCH1365" s="110"/>
      <c r="NCI1365" s="110"/>
      <c r="NCJ1365" s="110"/>
      <c r="NCK1365" s="110"/>
      <c r="NCL1365" s="110"/>
      <c r="NCM1365" s="110"/>
      <c r="NCN1365" s="110"/>
      <c r="NCO1365" s="110"/>
      <c r="NCP1365" s="110"/>
      <c r="NCQ1365" s="110"/>
      <c r="NCR1365" s="110"/>
      <c r="NCS1365" s="110"/>
      <c r="NCT1365" s="110"/>
      <c r="NCU1365" s="110"/>
      <c r="NCV1365" s="110"/>
      <c r="NCW1365" s="110"/>
      <c r="NCX1365" s="110"/>
      <c r="NCY1365" s="110"/>
      <c r="NCZ1365" s="110"/>
      <c r="NDA1365" s="110"/>
      <c r="NDB1365" s="110"/>
      <c r="NDC1365" s="110"/>
      <c r="NDD1365" s="110"/>
      <c r="NDE1365" s="110"/>
      <c r="NDF1365" s="110"/>
      <c r="NDG1365" s="110"/>
      <c r="NDH1365" s="110"/>
      <c r="NDI1365" s="110"/>
      <c r="NDJ1365" s="110"/>
      <c r="NDK1365" s="110"/>
      <c r="NDL1365" s="110"/>
      <c r="NDM1365" s="110"/>
      <c r="NDN1365" s="110"/>
      <c r="NDO1365" s="110"/>
      <c r="NDP1365" s="110"/>
      <c r="NDQ1365" s="110"/>
      <c r="NDR1365" s="110"/>
      <c r="NDS1365" s="110"/>
      <c r="NDT1365" s="110"/>
      <c r="NDU1365" s="110"/>
      <c r="NDV1365" s="110"/>
      <c r="NDW1365" s="110"/>
      <c r="NDX1365" s="110"/>
      <c r="NDY1365" s="110"/>
      <c r="NDZ1365" s="110"/>
      <c r="NEA1365" s="110"/>
      <c r="NEB1365" s="110"/>
      <c r="NEC1365" s="110"/>
      <c r="NED1365" s="110"/>
      <c r="NEE1365" s="110"/>
      <c r="NEF1365" s="110"/>
      <c r="NEG1365" s="110"/>
      <c r="NEH1365" s="110"/>
      <c r="NEI1365" s="110"/>
      <c r="NEJ1365" s="110"/>
      <c r="NEK1365" s="110"/>
      <c r="NEL1365" s="110"/>
      <c r="NEM1365" s="110"/>
      <c r="NEN1365" s="110"/>
      <c r="NEO1365" s="110"/>
      <c r="NEP1365" s="110"/>
      <c r="NEQ1365" s="110"/>
      <c r="NER1365" s="110"/>
      <c r="NES1365" s="110"/>
      <c r="NET1365" s="110"/>
      <c r="NEU1365" s="110"/>
      <c r="NEV1365" s="110"/>
      <c r="NEW1365" s="110"/>
      <c r="NEX1365" s="110"/>
      <c r="NEY1365" s="110"/>
      <c r="NEZ1365" s="110"/>
      <c r="NFA1365" s="110"/>
      <c r="NFB1365" s="110"/>
      <c r="NFC1365" s="110"/>
      <c r="NFD1365" s="110"/>
      <c r="NFE1365" s="110"/>
      <c r="NFF1365" s="110"/>
      <c r="NFG1365" s="110"/>
      <c r="NFH1365" s="110"/>
      <c r="NFI1365" s="110"/>
      <c r="NFJ1365" s="110"/>
      <c r="NFK1365" s="110"/>
      <c r="NFL1365" s="110"/>
      <c r="NFM1365" s="110"/>
      <c r="NFN1365" s="110"/>
      <c r="NFO1365" s="110"/>
      <c r="NFP1365" s="110"/>
      <c r="NFQ1365" s="110"/>
      <c r="NFR1365" s="110"/>
      <c r="NFS1365" s="110"/>
      <c r="NFT1365" s="110"/>
      <c r="NFU1365" s="110"/>
      <c r="NFV1365" s="110"/>
      <c r="NFW1365" s="110"/>
      <c r="NFX1365" s="110"/>
      <c r="NFY1365" s="110"/>
      <c r="NFZ1365" s="110"/>
      <c r="NGA1365" s="110"/>
      <c r="NGB1365" s="110"/>
      <c r="NGC1365" s="110"/>
      <c r="NGD1365" s="110"/>
      <c r="NGE1365" s="110"/>
      <c r="NGF1365" s="110"/>
      <c r="NGG1365" s="110"/>
      <c r="NGH1365" s="110"/>
      <c r="NGI1365" s="110"/>
      <c r="NGJ1365" s="110"/>
      <c r="NGK1365" s="110"/>
      <c r="NGL1365" s="110"/>
      <c r="NGM1365" s="110"/>
      <c r="NGN1365" s="110"/>
      <c r="NGO1365" s="110"/>
      <c r="NGP1365" s="110"/>
      <c r="NGQ1365" s="110"/>
      <c r="NGR1365" s="110"/>
      <c r="NGS1365" s="110"/>
      <c r="NGT1365" s="110"/>
      <c r="NGU1365" s="110"/>
      <c r="NGV1365" s="110"/>
      <c r="NGW1365" s="110"/>
      <c r="NGX1365" s="110"/>
      <c r="NGY1365" s="110"/>
      <c r="NGZ1365" s="110"/>
      <c r="NHA1365" s="110"/>
      <c r="NHB1365" s="110"/>
      <c r="NHC1365" s="110"/>
      <c r="NHD1365" s="110"/>
      <c r="NHE1365" s="110"/>
      <c r="NHF1365" s="110"/>
      <c r="NHG1365" s="110"/>
      <c r="NHH1365" s="110"/>
      <c r="NHI1365" s="110"/>
      <c r="NHJ1365" s="110"/>
      <c r="NHK1365" s="110"/>
      <c r="NHL1365" s="110"/>
      <c r="NHM1365" s="110"/>
      <c r="NHN1365" s="110"/>
      <c r="NHO1365" s="110"/>
      <c r="NHP1365" s="110"/>
      <c r="NHQ1365" s="110"/>
      <c r="NHR1365" s="110"/>
      <c r="NHS1365" s="110"/>
      <c r="NHT1365" s="110"/>
      <c r="NHU1365" s="110"/>
      <c r="NHV1365" s="110"/>
      <c r="NHW1365" s="110"/>
      <c r="NHX1365" s="110"/>
      <c r="NHY1365" s="110"/>
      <c r="NHZ1365" s="110"/>
      <c r="NIA1365" s="110"/>
      <c r="NIB1365" s="110"/>
      <c r="NIC1365" s="110"/>
      <c r="NID1365" s="110"/>
      <c r="NIE1365" s="110"/>
      <c r="NIF1365" s="110"/>
      <c r="NIG1365" s="110"/>
      <c r="NIH1365" s="110"/>
      <c r="NII1365" s="110"/>
      <c r="NIJ1365" s="110"/>
      <c r="NIK1365" s="110"/>
      <c r="NIL1365" s="110"/>
      <c r="NIM1365" s="110"/>
      <c r="NIN1365" s="110"/>
      <c r="NIO1365" s="110"/>
      <c r="NIP1365" s="110"/>
      <c r="NIQ1365" s="110"/>
      <c r="NIR1365" s="110"/>
      <c r="NIS1365" s="110"/>
      <c r="NIT1365" s="110"/>
      <c r="NIU1365" s="110"/>
      <c r="NIV1365" s="110"/>
      <c r="NIW1365" s="110"/>
      <c r="NIX1365" s="110"/>
      <c r="NIY1365" s="110"/>
      <c r="NIZ1365" s="110"/>
      <c r="NJA1365" s="110"/>
      <c r="NJB1365" s="110"/>
      <c r="NJC1365" s="110"/>
      <c r="NJD1365" s="110"/>
      <c r="NJE1365" s="110"/>
      <c r="NJF1365" s="110"/>
      <c r="NJG1365" s="110"/>
      <c r="NJH1365" s="110"/>
      <c r="NJI1365" s="110"/>
      <c r="NJJ1365" s="110"/>
      <c r="NJK1365" s="110"/>
      <c r="NJL1365" s="110"/>
      <c r="NJM1365" s="110"/>
      <c r="NJN1365" s="110"/>
      <c r="NJO1365" s="110"/>
      <c r="NJP1365" s="110"/>
      <c r="NJQ1365" s="110"/>
      <c r="NJR1365" s="110"/>
      <c r="NJS1365" s="110"/>
      <c r="NJT1365" s="110"/>
      <c r="NJU1365" s="110"/>
      <c r="NJV1365" s="110"/>
      <c r="NJW1365" s="110"/>
      <c r="NJX1365" s="110"/>
      <c r="NJY1365" s="110"/>
      <c r="NJZ1365" s="110"/>
      <c r="NKA1365" s="110"/>
      <c r="NKB1365" s="110"/>
      <c r="NKC1365" s="110"/>
      <c r="NKD1365" s="110"/>
      <c r="NKE1365" s="110"/>
      <c r="NKF1365" s="110"/>
      <c r="NKG1365" s="110"/>
      <c r="NKH1365" s="110"/>
      <c r="NKI1365" s="110"/>
      <c r="NKJ1365" s="110"/>
      <c r="NKK1365" s="110"/>
      <c r="NKL1365" s="110"/>
      <c r="NKM1365" s="110"/>
      <c r="NKN1365" s="110"/>
      <c r="NKO1365" s="110"/>
      <c r="NKP1365" s="110"/>
      <c r="NKQ1365" s="110"/>
      <c r="NKR1365" s="110"/>
      <c r="NKS1365" s="110"/>
      <c r="NKT1365" s="110"/>
      <c r="NKU1365" s="110"/>
      <c r="NKV1365" s="110"/>
      <c r="NKW1365" s="110"/>
      <c r="NKX1365" s="110"/>
      <c r="NKY1365" s="110"/>
      <c r="NKZ1365" s="110"/>
      <c r="NLA1365" s="110"/>
      <c r="NLB1365" s="110"/>
      <c r="NLC1365" s="110"/>
      <c r="NLD1365" s="110"/>
      <c r="NLE1365" s="110"/>
      <c r="NLF1365" s="110"/>
      <c r="NLG1365" s="110"/>
      <c r="NLH1365" s="110"/>
      <c r="NLI1365" s="110"/>
      <c r="NLJ1365" s="110"/>
      <c r="NLK1365" s="110"/>
      <c r="NLL1365" s="110"/>
      <c r="NLM1365" s="110"/>
      <c r="NLN1365" s="110"/>
      <c r="NLO1365" s="110"/>
      <c r="NLP1365" s="110"/>
      <c r="NLQ1365" s="110"/>
      <c r="NLR1365" s="110"/>
      <c r="NLS1365" s="110"/>
      <c r="NLT1365" s="110"/>
      <c r="NLU1365" s="110"/>
      <c r="NLV1365" s="110"/>
      <c r="NLW1365" s="110"/>
      <c r="NLX1365" s="110"/>
      <c r="NLY1365" s="110"/>
      <c r="NLZ1365" s="110"/>
      <c r="NMA1365" s="110"/>
      <c r="NMB1365" s="110"/>
      <c r="NMC1365" s="110"/>
      <c r="NMD1365" s="110"/>
      <c r="NME1365" s="110"/>
      <c r="NMF1365" s="110"/>
      <c r="NMG1365" s="110"/>
      <c r="NMH1365" s="110"/>
      <c r="NMI1365" s="110"/>
      <c r="NMJ1365" s="110"/>
      <c r="NMK1365" s="110"/>
      <c r="NML1365" s="110"/>
      <c r="NMM1365" s="110"/>
      <c r="NMN1365" s="110"/>
      <c r="NMO1365" s="110"/>
      <c r="NMP1365" s="110"/>
      <c r="NMQ1365" s="110"/>
      <c r="NMR1365" s="110"/>
      <c r="NMS1365" s="110"/>
      <c r="NMT1365" s="110"/>
      <c r="NMU1365" s="110"/>
      <c r="NMV1365" s="110"/>
      <c r="NMW1365" s="110"/>
      <c r="NMX1365" s="110"/>
      <c r="NMY1365" s="110"/>
      <c r="NMZ1365" s="110"/>
      <c r="NNA1365" s="110"/>
      <c r="NNB1365" s="110"/>
      <c r="NNC1365" s="110"/>
      <c r="NND1365" s="110"/>
      <c r="NNE1365" s="110"/>
      <c r="NNF1365" s="110"/>
      <c r="NNG1365" s="110"/>
      <c r="NNH1365" s="110"/>
      <c r="NNI1365" s="110"/>
      <c r="NNJ1365" s="110"/>
      <c r="NNK1365" s="110"/>
      <c r="NNL1365" s="110"/>
      <c r="NNM1365" s="110"/>
      <c r="NNN1365" s="110"/>
      <c r="NNO1365" s="110"/>
      <c r="NNP1365" s="110"/>
      <c r="NNQ1365" s="110"/>
      <c r="NNR1365" s="110"/>
      <c r="NNS1365" s="110"/>
      <c r="NNT1365" s="110"/>
      <c r="NNU1365" s="110"/>
      <c r="NNV1365" s="110"/>
      <c r="NNW1365" s="110"/>
      <c r="NNX1365" s="110"/>
      <c r="NNY1365" s="110"/>
      <c r="NNZ1365" s="110"/>
      <c r="NOA1365" s="110"/>
      <c r="NOB1365" s="110"/>
      <c r="NOC1365" s="110"/>
      <c r="NOD1365" s="110"/>
      <c r="NOE1365" s="110"/>
      <c r="NOF1365" s="110"/>
      <c r="NOG1365" s="110"/>
      <c r="NOH1365" s="110"/>
      <c r="NOI1365" s="110"/>
      <c r="NOJ1365" s="110"/>
      <c r="NOK1365" s="110"/>
      <c r="NOL1365" s="110"/>
      <c r="NOM1365" s="110"/>
      <c r="NON1365" s="110"/>
      <c r="NOO1365" s="110"/>
      <c r="NOP1365" s="110"/>
      <c r="NOQ1365" s="110"/>
      <c r="NOR1365" s="110"/>
      <c r="NOS1365" s="110"/>
      <c r="NOT1365" s="110"/>
      <c r="NOU1365" s="110"/>
      <c r="NOV1365" s="110"/>
      <c r="NOW1365" s="110"/>
      <c r="NOX1365" s="110"/>
      <c r="NOY1365" s="110"/>
      <c r="NOZ1365" s="110"/>
      <c r="NPA1365" s="110"/>
      <c r="NPB1365" s="110"/>
      <c r="NPC1365" s="110"/>
      <c r="NPD1365" s="110"/>
      <c r="NPE1365" s="110"/>
      <c r="NPF1365" s="110"/>
      <c r="NPG1365" s="110"/>
      <c r="NPH1365" s="110"/>
      <c r="NPI1365" s="110"/>
      <c r="NPJ1365" s="110"/>
      <c r="NPK1365" s="110"/>
      <c r="NPL1365" s="110"/>
      <c r="NPM1365" s="110"/>
      <c r="NPN1365" s="110"/>
      <c r="NPO1365" s="110"/>
      <c r="NPP1365" s="110"/>
      <c r="NPQ1365" s="110"/>
      <c r="NPR1365" s="110"/>
      <c r="NPS1365" s="110"/>
      <c r="NPT1365" s="110"/>
      <c r="NPU1365" s="110"/>
      <c r="NPV1365" s="110"/>
      <c r="NPW1365" s="110"/>
      <c r="NPX1365" s="110"/>
      <c r="NPY1365" s="110"/>
      <c r="NPZ1365" s="110"/>
      <c r="NQA1365" s="110"/>
      <c r="NQB1365" s="110"/>
      <c r="NQC1365" s="110"/>
      <c r="NQD1365" s="110"/>
      <c r="NQE1365" s="110"/>
      <c r="NQF1365" s="110"/>
      <c r="NQG1365" s="110"/>
      <c r="NQH1365" s="110"/>
      <c r="NQI1365" s="110"/>
      <c r="NQJ1365" s="110"/>
      <c r="NQK1365" s="110"/>
      <c r="NQL1365" s="110"/>
      <c r="NQM1365" s="110"/>
      <c r="NQN1365" s="110"/>
      <c r="NQO1365" s="110"/>
      <c r="NQP1365" s="110"/>
      <c r="NQQ1365" s="110"/>
      <c r="NQR1365" s="110"/>
      <c r="NQS1365" s="110"/>
      <c r="NQT1365" s="110"/>
      <c r="NQU1365" s="110"/>
      <c r="NQV1365" s="110"/>
      <c r="NQW1365" s="110"/>
      <c r="NQX1365" s="110"/>
      <c r="NQY1365" s="110"/>
      <c r="NQZ1365" s="110"/>
      <c r="NRA1365" s="110"/>
      <c r="NRB1365" s="110"/>
      <c r="NRC1365" s="110"/>
      <c r="NRD1365" s="110"/>
      <c r="NRE1365" s="110"/>
      <c r="NRF1365" s="110"/>
      <c r="NRG1365" s="110"/>
      <c r="NRH1365" s="110"/>
      <c r="NRI1365" s="110"/>
      <c r="NRJ1365" s="110"/>
      <c r="NRK1365" s="110"/>
      <c r="NRL1365" s="110"/>
      <c r="NRM1365" s="110"/>
      <c r="NRN1365" s="110"/>
      <c r="NRO1365" s="110"/>
      <c r="NRP1365" s="110"/>
      <c r="NRQ1365" s="110"/>
      <c r="NRR1365" s="110"/>
      <c r="NRS1365" s="110"/>
      <c r="NRT1365" s="110"/>
      <c r="NRU1365" s="110"/>
      <c r="NRV1365" s="110"/>
      <c r="NRW1365" s="110"/>
      <c r="NRX1365" s="110"/>
      <c r="NRY1365" s="110"/>
      <c r="NRZ1365" s="110"/>
      <c r="NSA1365" s="110"/>
      <c r="NSB1365" s="110"/>
      <c r="NSC1365" s="110"/>
      <c r="NSD1365" s="110"/>
      <c r="NSE1365" s="110"/>
      <c r="NSF1365" s="110"/>
      <c r="NSG1365" s="110"/>
      <c r="NSH1365" s="110"/>
      <c r="NSI1365" s="110"/>
      <c r="NSJ1365" s="110"/>
      <c r="NSK1365" s="110"/>
      <c r="NSL1365" s="110"/>
      <c r="NSM1365" s="110"/>
      <c r="NSN1365" s="110"/>
      <c r="NSO1365" s="110"/>
      <c r="NSP1365" s="110"/>
      <c r="NSQ1365" s="110"/>
      <c r="NSR1365" s="110"/>
      <c r="NSS1365" s="110"/>
      <c r="NST1365" s="110"/>
      <c r="NSU1365" s="110"/>
      <c r="NSV1365" s="110"/>
      <c r="NSW1365" s="110"/>
      <c r="NSX1365" s="110"/>
      <c r="NSY1365" s="110"/>
      <c r="NSZ1365" s="110"/>
      <c r="NTA1365" s="110"/>
      <c r="NTB1365" s="110"/>
      <c r="NTC1365" s="110"/>
      <c r="NTD1365" s="110"/>
      <c r="NTE1365" s="110"/>
      <c r="NTF1365" s="110"/>
      <c r="NTG1365" s="110"/>
      <c r="NTH1365" s="110"/>
      <c r="NTI1365" s="110"/>
      <c r="NTJ1365" s="110"/>
      <c r="NTK1365" s="110"/>
      <c r="NTL1365" s="110"/>
      <c r="NTM1365" s="110"/>
      <c r="NTN1365" s="110"/>
      <c r="NTO1365" s="110"/>
      <c r="NTP1365" s="110"/>
      <c r="NTQ1365" s="110"/>
      <c r="NTR1365" s="110"/>
      <c r="NTS1365" s="110"/>
      <c r="NTT1365" s="110"/>
      <c r="NTU1365" s="110"/>
      <c r="NTV1365" s="110"/>
      <c r="NTW1365" s="110"/>
      <c r="NTX1365" s="110"/>
      <c r="NTY1365" s="110"/>
      <c r="NTZ1365" s="110"/>
      <c r="NUA1365" s="110"/>
      <c r="NUB1365" s="110"/>
      <c r="NUC1365" s="110"/>
      <c r="NUD1365" s="110"/>
      <c r="NUE1365" s="110"/>
      <c r="NUF1365" s="110"/>
      <c r="NUG1365" s="110"/>
      <c r="NUH1365" s="110"/>
      <c r="NUI1365" s="110"/>
      <c r="NUJ1365" s="110"/>
      <c r="NUK1365" s="110"/>
      <c r="NUL1365" s="110"/>
      <c r="NUM1365" s="110"/>
      <c r="NUN1365" s="110"/>
      <c r="NUO1365" s="110"/>
      <c r="NUP1365" s="110"/>
      <c r="NUQ1365" s="110"/>
      <c r="NUR1365" s="110"/>
      <c r="NUS1365" s="110"/>
      <c r="NUT1365" s="110"/>
      <c r="NUU1365" s="110"/>
      <c r="NUV1365" s="110"/>
      <c r="NUW1365" s="110"/>
      <c r="NUX1365" s="110"/>
      <c r="NUY1365" s="110"/>
      <c r="NUZ1365" s="110"/>
      <c r="NVA1365" s="110"/>
      <c r="NVB1365" s="110"/>
      <c r="NVC1365" s="110"/>
      <c r="NVD1365" s="110"/>
      <c r="NVE1365" s="110"/>
      <c r="NVF1365" s="110"/>
      <c r="NVG1365" s="110"/>
      <c r="NVH1365" s="110"/>
      <c r="NVI1365" s="110"/>
      <c r="NVJ1365" s="110"/>
      <c r="NVK1365" s="110"/>
      <c r="NVL1365" s="110"/>
      <c r="NVM1365" s="110"/>
      <c r="NVN1365" s="110"/>
      <c r="NVO1365" s="110"/>
      <c r="NVP1365" s="110"/>
      <c r="NVQ1365" s="110"/>
      <c r="NVR1365" s="110"/>
      <c r="NVS1365" s="110"/>
      <c r="NVT1365" s="110"/>
      <c r="NVU1365" s="110"/>
      <c r="NVV1365" s="110"/>
      <c r="NVW1365" s="110"/>
      <c r="NVX1365" s="110"/>
      <c r="NVY1365" s="110"/>
      <c r="NVZ1365" s="110"/>
      <c r="NWA1365" s="110"/>
      <c r="NWB1365" s="110"/>
      <c r="NWC1365" s="110"/>
      <c r="NWD1365" s="110"/>
      <c r="NWE1365" s="110"/>
      <c r="NWF1365" s="110"/>
      <c r="NWG1365" s="110"/>
      <c r="NWH1365" s="110"/>
      <c r="NWI1365" s="110"/>
      <c r="NWJ1365" s="110"/>
      <c r="NWK1365" s="110"/>
      <c r="NWL1365" s="110"/>
      <c r="NWM1365" s="110"/>
      <c r="NWN1365" s="110"/>
      <c r="NWO1365" s="110"/>
      <c r="NWP1365" s="110"/>
      <c r="NWQ1365" s="110"/>
      <c r="NWR1365" s="110"/>
      <c r="NWS1365" s="110"/>
      <c r="NWT1365" s="110"/>
      <c r="NWU1365" s="110"/>
      <c r="NWV1365" s="110"/>
      <c r="NWW1365" s="110"/>
      <c r="NWX1365" s="110"/>
      <c r="NWY1365" s="110"/>
      <c r="NWZ1365" s="110"/>
      <c r="NXA1365" s="110"/>
      <c r="NXB1365" s="110"/>
      <c r="NXC1365" s="110"/>
      <c r="NXD1365" s="110"/>
      <c r="NXE1365" s="110"/>
      <c r="NXF1365" s="110"/>
      <c r="NXG1365" s="110"/>
      <c r="NXH1365" s="110"/>
      <c r="NXI1365" s="110"/>
      <c r="NXJ1365" s="110"/>
      <c r="NXK1365" s="110"/>
      <c r="NXL1365" s="110"/>
      <c r="NXM1365" s="110"/>
      <c r="NXN1365" s="110"/>
      <c r="NXO1365" s="110"/>
      <c r="NXP1365" s="110"/>
      <c r="NXQ1365" s="110"/>
      <c r="NXR1365" s="110"/>
      <c r="NXS1365" s="110"/>
      <c r="NXT1365" s="110"/>
      <c r="NXU1365" s="110"/>
      <c r="NXV1365" s="110"/>
      <c r="NXW1365" s="110"/>
      <c r="NXX1365" s="110"/>
      <c r="NXY1365" s="110"/>
      <c r="NXZ1365" s="110"/>
      <c r="NYA1365" s="110"/>
      <c r="NYB1365" s="110"/>
      <c r="NYC1365" s="110"/>
      <c r="NYD1365" s="110"/>
      <c r="NYE1365" s="110"/>
      <c r="NYF1365" s="110"/>
      <c r="NYG1365" s="110"/>
      <c r="NYH1365" s="110"/>
      <c r="NYI1365" s="110"/>
      <c r="NYJ1365" s="110"/>
      <c r="NYK1365" s="110"/>
      <c r="NYL1365" s="110"/>
      <c r="NYM1365" s="110"/>
      <c r="NYN1365" s="110"/>
      <c r="NYO1365" s="110"/>
      <c r="NYP1365" s="110"/>
      <c r="NYQ1365" s="110"/>
      <c r="NYR1365" s="110"/>
      <c r="NYS1365" s="110"/>
      <c r="NYT1365" s="110"/>
      <c r="NYU1365" s="110"/>
      <c r="NYV1365" s="110"/>
      <c r="NYW1365" s="110"/>
      <c r="NYX1365" s="110"/>
      <c r="NYY1365" s="110"/>
      <c r="NYZ1365" s="110"/>
      <c r="NZA1365" s="110"/>
      <c r="NZB1365" s="110"/>
      <c r="NZC1365" s="110"/>
      <c r="NZD1365" s="110"/>
      <c r="NZE1365" s="110"/>
      <c r="NZF1365" s="110"/>
      <c r="NZG1365" s="110"/>
      <c r="NZH1365" s="110"/>
      <c r="NZI1365" s="110"/>
      <c r="NZJ1365" s="110"/>
      <c r="NZK1365" s="110"/>
      <c r="NZL1365" s="110"/>
      <c r="NZM1365" s="110"/>
      <c r="NZN1365" s="110"/>
      <c r="NZO1365" s="110"/>
      <c r="NZP1365" s="110"/>
      <c r="NZQ1365" s="110"/>
      <c r="NZR1365" s="110"/>
      <c r="NZS1365" s="110"/>
      <c r="NZT1365" s="110"/>
      <c r="NZU1365" s="110"/>
      <c r="NZV1365" s="110"/>
      <c r="NZW1365" s="110"/>
      <c r="NZX1365" s="110"/>
      <c r="NZY1365" s="110"/>
      <c r="NZZ1365" s="110"/>
      <c r="OAA1365" s="110"/>
      <c r="OAB1365" s="110"/>
      <c r="OAC1365" s="110"/>
      <c r="OAD1365" s="110"/>
      <c r="OAE1365" s="110"/>
      <c r="OAF1365" s="110"/>
      <c r="OAG1365" s="110"/>
      <c r="OAH1365" s="110"/>
      <c r="OAI1365" s="110"/>
      <c r="OAJ1365" s="110"/>
      <c r="OAK1365" s="110"/>
      <c r="OAL1365" s="110"/>
      <c r="OAM1365" s="110"/>
      <c r="OAN1365" s="110"/>
      <c r="OAO1365" s="110"/>
      <c r="OAP1365" s="110"/>
      <c r="OAQ1365" s="110"/>
      <c r="OAR1365" s="110"/>
      <c r="OAS1365" s="110"/>
      <c r="OAT1365" s="110"/>
      <c r="OAU1365" s="110"/>
      <c r="OAV1365" s="110"/>
      <c r="OAW1365" s="110"/>
      <c r="OAX1365" s="110"/>
      <c r="OAY1365" s="110"/>
      <c r="OAZ1365" s="110"/>
      <c r="OBA1365" s="110"/>
      <c r="OBB1365" s="110"/>
      <c r="OBC1365" s="110"/>
      <c r="OBD1365" s="110"/>
      <c r="OBE1365" s="110"/>
      <c r="OBF1365" s="110"/>
      <c r="OBG1365" s="110"/>
      <c r="OBH1365" s="110"/>
      <c r="OBI1365" s="110"/>
      <c r="OBJ1365" s="110"/>
      <c r="OBK1365" s="110"/>
      <c r="OBL1365" s="110"/>
      <c r="OBM1365" s="110"/>
      <c r="OBN1365" s="110"/>
      <c r="OBO1365" s="110"/>
      <c r="OBP1365" s="110"/>
      <c r="OBQ1365" s="110"/>
      <c r="OBR1365" s="110"/>
      <c r="OBS1365" s="110"/>
      <c r="OBT1365" s="110"/>
      <c r="OBU1365" s="110"/>
      <c r="OBV1365" s="110"/>
      <c r="OBW1365" s="110"/>
      <c r="OBX1365" s="110"/>
      <c r="OBY1365" s="110"/>
      <c r="OBZ1365" s="110"/>
      <c r="OCA1365" s="110"/>
      <c r="OCB1365" s="110"/>
      <c r="OCC1365" s="110"/>
      <c r="OCD1365" s="110"/>
      <c r="OCE1365" s="110"/>
      <c r="OCF1365" s="110"/>
      <c r="OCG1365" s="110"/>
      <c r="OCH1365" s="110"/>
      <c r="OCI1365" s="110"/>
      <c r="OCJ1365" s="110"/>
      <c r="OCK1365" s="110"/>
      <c r="OCL1365" s="110"/>
      <c r="OCM1365" s="110"/>
      <c r="OCN1365" s="110"/>
      <c r="OCO1365" s="110"/>
      <c r="OCP1365" s="110"/>
      <c r="OCQ1365" s="110"/>
      <c r="OCR1365" s="110"/>
      <c r="OCS1365" s="110"/>
      <c r="OCT1365" s="110"/>
      <c r="OCU1365" s="110"/>
      <c r="OCV1365" s="110"/>
      <c r="OCW1365" s="110"/>
      <c r="OCX1365" s="110"/>
      <c r="OCY1365" s="110"/>
      <c r="OCZ1365" s="110"/>
      <c r="ODA1365" s="110"/>
      <c r="ODB1365" s="110"/>
      <c r="ODC1365" s="110"/>
      <c r="ODD1365" s="110"/>
      <c r="ODE1365" s="110"/>
      <c r="ODF1365" s="110"/>
      <c r="ODG1365" s="110"/>
      <c r="ODH1365" s="110"/>
      <c r="ODI1365" s="110"/>
      <c r="ODJ1365" s="110"/>
      <c r="ODK1365" s="110"/>
      <c r="ODL1365" s="110"/>
      <c r="ODM1365" s="110"/>
      <c r="ODN1365" s="110"/>
      <c r="ODO1365" s="110"/>
      <c r="ODP1365" s="110"/>
      <c r="ODQ1365" s="110"/>
      <c r="ODR1365" s="110"/>
      <c r="ODS1365" s="110"/>
      <c r="ODT1365" s="110"/>
      <c r="ODU1365" s="110"/>
      <c r="ODV1365" s="110"/>
      <c r="ODW1365" s="110"/>
      <c r="ODX1365" s="110"/>
      <c r="ODY1365" s="110"/>
      <c r="ODZ1365" s="110"/>
      <c r="OEA1365" s="110"/>
      <c r="OEB1365" s="110"/>
      <c r="OEC1365" s="110"/>
      <c r="OED1365" s="110"/>
      <c r="OEE1365" s="110"/>
      <c r="OEF1365" s="110"/>
      <c r="OEG1365" s="110"/>
      <c r="OEH1365" s="110"/>
      <c r="OEI1365" s="110"/>
      <c r="OEJ1365" s="110"/>
      <c r="OEK1365" s="110"/>
      <c r="OEL1365" s="110"/>
      <c r="OEM1365" s="110"/>
      <c r="OEN1365" s="110"/>
      <c r="OEO1365" s="110"/>
      <c r="OEP1365" s="110"/>
      <c r="OEQ1365" s="110"/>
      <c r="OER1365" s="110"/>
      <c r="OES1365" s="110"/>
      <c r="OET1365" s="110"/>
      <c r="OEU1365" s="110"/>
      <c r="OEV1365" s="110"/>
      <c r="OEW1365" s="110"/>
      <c r="OEX1365" s="110"/>
      <c r="OEY1365" s="110"/>
      <c r="OEZ1365" s="110"/>
      <c r="OFA1365" s="110"/>
      <c r="OFB1365" s="110"/>
      <c r="OFC1365" s="110"/>
      <c r="OFD1365" s="110"/>
      <c r="OFE1365" s="110"/>
      <c r="OFF1365" s="110"/>
      <c r="OFG1365" s="110"/>
      <c r="OFH1365" s="110"/>
      <c r="OFI1365" s="110"/>
      <c r="OFJ1365" s="110"/>
      <c r="OFK1365" s="110"/>
      <c r="OFL1365" s="110"/>
      <c r="OFM1365" s="110"/>
      <c r="OFN1365" s="110"/>
      <c r="OFO1365" s="110"/>
      <c r="OFP1365" s="110"/>
      <c r="OFQ1365" s="110"/>
      <c r="OFR1365" s="110"/>
      <c r="OFS1365" s="110"/>
      <c r="OFT1365" s="110"/>
      <c r="OFU1365" s="110"/>
      <c r="OFV1365" s="110"/>
      <c r="OFW1365" s="110"/>
      <c r="OFX1365" s="110"/>
      <c r="OFY1365" s="110"/>
      <c r="OFZ1365" s="110"/>
      <c r="OGA1365" s="110"/>
      <c r="OGB1365" s="110"/>
      <c r="OGC1365" s="110"/>
      <c r="OGD1365" s="110"/>
      <c r="OGE1365" s="110"/>
      <c r="OGF1365" s="110"/>
      <c r="OGG1365" s="110"/>
      <c r="OGH1365" s="110"/>
      <c r="OGI1365" s="110"/>
      <c r="OGJ1365" s="110"/>
      <c r="OGK1365" s="110"/>
      <c r="OGL1365" s="110"/>
      <c r="OGM1365" s="110"/>
      <c r="OGN1365" s="110"/>
      <c r="OGO1365" s="110"/>
      <c r="OGP1365" s="110"/>
      <c r="OGQ1365" s="110"/>
      <c r="OGR1365" s="110"/>
      <c r="OGS1365" s="110"/>
      <c r="OGT1365" s="110"/>
      <c r="OGU1365" s="110"/>
      <c r="OGV1365" s="110"/>
      <c r="OGW1365" s="110"/>
      <c r="OGX1365" s="110"/>
      <c r="OGY1365" s="110"/>
      <c r="OGZ1365" s="110"/>
      <c r="OHA1365" s="110"/>
      <c r="OHB1365" s="110"/>
      <c r="OHC1365" s="110"/>
      <c r="OHD1365" s="110"/>
      <c r="OHE1365" s="110"/>
      <c r="OHF1365" s="110"/>
      <c r="OHG1365" s="110"/>
      <c r="OHH1365" s="110"/>
      <c r="OHI1365" s="110"/>
      <c r="OHJ1365" s="110"/>
      <c r="OHK1365" s="110"/>
      <c r="OHL1365" s="110"/>
      <c r="OHM1365" s="110"/>
      <c r="OHN1365" s="110"/>
      <c r="OHO1365" s="110"/>
      <c r="OHP1365" s="110"/>
      <c r="OHQ1365" s="110"/>
      <c r="OHR1365" s="110"/>
      <c r="OHS1365" s="110"/>
      <c r="OHT1365" s="110"/>
      <c r="OHU1365" s="110"/>
      <c r="OHV1365" s="110"/>
      <c r="OHW1365" s="110"/>
      <c r="OHX1365" s="110"/>
      <c r="OHY1365" s="110"/>
      <c r="OHZ1365" s="110"/>
      <c r="OIA1365" s="110"/>
      <c r="OIB1365" s="110"/>
      <c r="OIC1365" s="110"/>
      <c r="OID1365" s="110"/>
      <c r="OIE1365" s="110"/>
      <c r="OIF1365" s="110"/>
      <c r="OIG1365" s="110"/>
      <c r="OIH1365" s="110"/>
      <c r="OII1365" s="110"/>
      <c r="OIJ1365" s="110"/>
      <c r="OIK1365" s="110"/>
      <c r="OIL1365" s="110"/>
      <c r="OIM1365" s="110"/>
      <c r="OIN1365" s="110"/>
      <c r="OIO1365" s="110"/>
      <c r="OIP1365" s="110"/>
      <c r="OIQ1365" s="110"/>
      <c r="OIR1365" s="110"/>
      <c r="OIS1365" s="110"/>
      <c r="OIT1365" s="110"/>
      <c r="OIU1365" s="110"/>
      <c r="OIV1365" s="110"/>
      <c r="OIW1365" s="110"/>
      <c r="OIX1365" s="110"/>
      <c r="OIY1365" s="110"/>
      <c r="OIZ1365" s="110"/>
      <c r="OJA1365" s="110"/>
      <c r="OJB1365" s="110"/>
      <c r="OJC1365" s="110"/>
      <c r="OJD1365" s="110"/>
      <c r="OJE1365" s="110"/>
      <c r="OJF1365" s="110"/>
      <c r="OJG1365" s="110"/>
      <c r="OJH1365" s="110"/>
      <c r="OJI1365" s="110"/>
      <c r="OJJ1365" s="110"/>
      <c r="OJK1365" s="110"/>
      <c r="OJL1365" s="110"/>
      <c r="OJM1365" s="110"/>
      <c r="OJN1365" s="110"/>
      <c r="OJO1365" s="110"/>
      <c r="OJP1365" s="110"/>
      <c r="OJQ1365" s="110"/>
      <c r="OJR1365" s="110"/>
      <c r="OJS1365" s="110"/>
      <c r="OJT1365" s="110"/>
      <c r="OJU1365" s="110"/>
      <c r="OJV1365" s="110"/>
      <c r="OJW1365" s="110"/>
      <c r="OJX1365" s="110"/>
      <c r="OJY1365" s="110"/>
      <c r="OJZ1365" s="110"/>
      <c r="OKA1365" s="110"/>
      <c r="OKB1365" s="110"/>
      <c r="OKC1365" s="110"/>
      <c r="OKD1365" s="110"/>
      <c r="OKE1365" s="110"/>
      <c r="OKF1365" s="110"/>
      <c r="OKG1365" s="110"/>
      <c r="OKH1365" s="110"/>
      <c r="OKI1365" s="110"/>
      <c r="OKJ1365" s="110"/>
      <c r="OKK1365" s="110"/>
      <c r="OKL1365" s="110"/>
      <c r="OKM1365" s="110"/>
      <c r="OKN1365" s="110"/>
      <c r="OKO1365" s="110"/>
      <c r="OKP1365" s="110"/>
      <c r="OKQ1365" s="110"/>
      <c r="OKR1365" s="110"/>
      <c r="OKS1365" s="110"/>
      <c r="OKT1365" s="110"/>
      <c r="OKU1365" s="110"/>
      <c r="OKV1365" s="110"/>
      <c r="OKW1365" s="110"/>
      <c r="OKX1365" s="110"/>
      <c r="OKY1365" s="110"/>
      <c r="OKZ1365" s="110"/>
      <c r="OLA1365" s="110"/>
      <c r="OLB1365" s="110"/>
      <c r="OLC1365" s="110"/>
      <c r="OLD1365" s="110"/>
      <c r="OLE1365" s="110"/>
      <c r="OLF1365" s="110"/>
      <c r="OLG1365" s="110"/>
      <c r="OLH1365" s="110"/>
      <c r="OLI1365" s="110"/>
      <c r="OLJ1365" s="110"/>
      <c r="OLK1365" s="110"/>
      <c r="OLL1365" s="110"/>
      <c r="OLM1365" s="110"/>
      <c r="OLN1365" s="110"/>
      <c r="OLO1365" s="110"/>
      <c r="OLP1365" s="110"/>
      <c r="OLQ1365" s="110"/>
      <c r="OLR1365" s="110"/>
      <c r="OLS1365" s="110"/>
      <c r="OLT1365" s="110"/>
      <c r="OLU1365" s="110"/>
      <c r="OLV1365" s="110"/>
      <c r="OLW1365" s="110"/>
      <c r="OLX1365" s="110"/>
      <c r="OLY1365" s="110"/>
      <c r="OLZ1365" s="110"/>
      <c r="OMA1365" s="110"/>
      <c r="OMB1365" s="110"/>
      <c r="OMC1365" s="110"/>
      <c r="OMD1365" s="110"/>
      <c r="OME1365" s="110"/>
      <c r="OMF1365" s="110"/>
      <c r="OMG1365" s="110"/>
      <c r="OMH1365" s="110"/>
      <c r="OMI1365" s="110"/>
      <c r="OMJ1365" s="110"/>
      <c r="OMK1365" s="110"/>
      <c r="OML1365" s="110"/>
      <c r="OMM1365" s="110"/>
      <c r="OMN1365" s="110"/>
      <c r="OMO1365" s="110"/>
      <c r="OMP1365" s="110"/>
      <c r="OMQ1365" s="110"/>
      <c r="OMR1365" s="110"/>
      <c r="OMS1365" s="110"/>
      <c r="OMT1365" s="110"/>
      <c r="OMU1365" s="110"/>
      <c r="OMV1365" s="110"/>
      <c r="OMW1365" s="110"/>
      <c r="OMX1365" s="110"/>
      <c r="OMY1365" s="110"/>
      <c r="OMZ1365" s="110"/>
      <c r="ONA1365" s="110"/>
      <c r="ONB1365" s="110"/>
      <c r="ONC1365" s="110"/>
      <c r="OND1365" s="110"/>
      <c r="ONE1365" s="110"/>
      <c r="ONF1365" s="110"/>
      <c r="ONG1365" s="110"/>
      <c r="ONH1365" s="110"/>
      <c r="ONI1365" s="110"/>
      <c r="ONJ1365" s="110"/>
      <c r="ONK1365" s="110"/>
      <c r="ONL1365" s="110"/>
      <c r="ONM1365" s="110"/>
      <c r="ONN1365" s="110"/>
      <c r="ONO1365" s="110"/>
      <c r="ONP1365" s="110"/>
      <c r="ONQ1365" s="110"/>
      <c r="ONR1365" s="110"/>
      <c r="ONS1365" s="110"/>
      <c r="ONT1365" s="110"/>
      <c r="ONU1365" s="110"/>
      <c r="ONV1365" s="110"/>
      <c r="ONW1365" s="110"/>
      <c r="ONX1365" s="110"/>
      <c r="ONY1365" s="110"/>
      <c r="ONZ1365" s="110"/>
      <c r="OOA1365" s="110"/>
      <c r="OOB1365" s="110"/>
      <c r="OOC1365" s="110"/>
      <c r="OOD1365" s="110"/>
      <c r="OOE1365" s="110"/>
      <c r="OOF1365" s="110"/>
      <c r="OOG1365" s="110"/>
      <c r="OOH1365" s="110"/>
      <c r="OOI1365" s="110"/>
      <c r="OOJ1365" s="110"/>
      <c r="OOK1365" s="110"/>
      <c r="OOL1365" s="110"/>
      <c r="OOM1365" s="110"/>
      <c r="OON1365" s="110"/>
      <c r="OOO1365" s="110"/>
      <c r="OOP1365" s="110"/>
      <c r="OOQ1365" s="110"/>
      <c r="OOR1365" s="110"/>
      <c r="OOS1365" s="110"/>
      <c r="OOT1365" s="110"/>
      <c r="OOU1365" s="110"/>
      <c r="OOV1365" s="110"/>
      <c r="OOW1365" s="110"/>
      <c r="OOX1365" s="110"/>
      <c r="OOY1365" s="110"/>
      <c r="OOZ1365" s="110"/>
      <c r="OPA1365" s="110"/>
      <c r="OPB1365" s="110"/>
      <c r="OPC1365" s="110"/>
      <c r="OPD1365" s="110"/>
      <c r="OPE1365" s="110"/>
      <c r="OPF1365" s="110"/>
      <c r="OPG1365" s="110"/>
      <c r="OPH1365" s="110"/>
      <c r="OPI1365" s="110"/>
      <c r="OPJ1365" s="110"/>
      <c r="OPK1365" s="110"/>
      <c r="OPL1365" s="110"/>
      <c r="OPM1365" s="110"/>
      <c r="OPN1365" s="110"/>
      <c r="OPO1365" s="110"/>
      <c r="OPP1365" s="110"/>
      <c r="OPQ1365" s="110"/>
      <c r="OPR1365" s="110"/>
      <c r="OPS1365" s="110"/>
      <c r="OPT1365" s="110"/>
      <c r="OPU1365" s="110"/>
      <c r="OPV1365" s="110"/>
      <c r="OPW1365" s="110"/>
      <c r="OPX1365" s="110"/>
      <c r="OPY1365" s="110"/>
      <c r="OPZ1365" s="110"/>
      <c r="OQA1365" s="110"/>
      <c r="OQB1365" s="110"/>
      <c r="OQC1365" s="110"/>
      <c r="OQD1365" s="110"/>
      <c r="OQE1365" s="110"/>
      <c r="OQF1365" s="110"/>
      <c r="OQG1365" s="110"/>
      <c r="OQH1365" s="110"/>
      <c r="OQI1365" s="110"/>
      <c r="OQJ1365" s="110"/>
      <c r="OQK1365" s="110"/>
      <c r="OQL1365" s="110"/>
      <c r="OQM1365" s="110"/>
      <c r="OQN1365" s="110"/>
      <c r="OQO1365" s="110"/>
      <c r="OQP1365" s="110"/>
      <c r="OQQ1365" s="110"/>
      <c r="OQR1365" s="110"/>
      <c r="OQS1365" s="110"/>
      <c r="OQT1365" s="110"/>
      <c r="OQU1365" s="110"/>
      <c r="OQV1365" s="110"/>
      <c r="OQW1365" s="110"/>
      <c r="OQX1365" s="110"/>
      <c r="OQY1365" s="110"/>
      <c r="OQZ1365" s="110"/>
      <c r="ORA1365" s="110"/>
      <c r="ORB1365" s="110"/>
      <c r="ORC1365" s="110"/>
      <c r="ORD1365" s="110"/>
      <c r="ORE1365" s="110"/>
      <c r="ORF1365" s="110"/>
      <c r="ORG1365" s="110"/>
      <c r="ORH1365" s="110"/>
      <c r="ORI1365" s="110"/>
      <c r="ORJ1365" s="110"/>
      <c r="ORK1365" s="110"/>
      <c r="ORL1365" s="110"/>
      <c r="ORM1365" s="110"/>
      <c r="ORN1365" s="110"/>
      <c r="ORO1365" s="110"/>
      <c r="ORP1365" s="110"/>
      <c r="ORQ1365" s="110"/>
      <c r="ORR1365" s="110"/>
      <c r="ORS1365" s="110"/>
      <c r="ORT1365" s="110"/>
      <c r="ORU1365" s="110"/>
      <c r="ORV1365" s="110"/>
      <c r="ORW1365" s="110"/>
      <c r="ORX1365" s="110"/>
      <c r="ORY1365" s="110"/>
      <c r="ORZ1365" s="110"/>
      <c r="OSA1365" s="110"/>
      <c r="OSB1365" s="110"/>
      <c r="OSC1365" s="110"/>
      <c r="OSD1365" s="110"/>
      <c r="OSE1365" s="110"/>
      <c r="OSF1365" s="110"/>
      <c r="OSG1365" s="110"/>
      <c r="OSH1365" s="110"/>
      <c r="OSI1365" s="110"/>
      <c r="OSJ1365" s="110"/>
      <c r="OSK1365" s="110"/>
      <c r="OSL1365" s="110"/>
      <c r="OSM1365" s="110"/>
      <c r="OSN1365" s="110"/>
      <c r="OSO1365" s="110"/>
      <c r="OSP1365" s="110"/>
      <c r="OSQ1365" s="110"/>
      <c r="OSR1365" s="110"/>
      <c r="OSS1365" s="110"/>
      <c r="OST1365" s="110"/>
      <c r="OSU1365" s="110"/>
      <c r="OSV1365" s="110"/>
      <c r="OSW1365" s="110"/>
      <c r="OSX1365" s="110"/>
      <c r="OSY1365" s="110"/>
      <c r="OSZ1365" s="110"/>
      <c r="OTA1365" s="110"/>
      <c r="OTB1365" s="110"/>
      <c r="OTC1365" s="110"/>
      <c r="OTD1365" s="110"/>
      <c r="OTE1365" s="110"/>
      <c r="OTF1365" s="110"/>
      <c r="OTG1365" s="110"/>
      <c r="OTH1365" s="110"/>
      <c r="OTI1365" s="110"/>
      <c r="OTJ1365" s="110"/>
      <c r="OTK1365" s="110"/>
      <c r="OTL1365" s="110"/>
      <c r="OTM1365" s="110"/>
      <c r="OTN1365" s="110"/>
      <c r="OTO1365" s="110"/>
      <c r="OTP1365" s="110"/>
      <c r="OTQ1365" s="110"/>
      <c r="OTR1365" s="110"/>
      <c r="OTS1365" s="110"/>
      <c r="OTT1365" s="110"/>
      <c r="OTU1365" s="110"/>
      <c r="OTV1365" s="110"/>
      <c r="OTW1365" s="110"/>
      <c r="OTX1365" s="110"/>
      <c r="OTY1365" s="110"/>
      <c r="OTZ1365" s="110"/>
      <c r="OUA1365" s="110"/>
      <c r="OUB1365" s="110"/>
      <c r="OUC1365" s="110"/>
      <c r="OUD1365" s="110"/>
      <c r="OUE1365" s="110"/>
      <c r="OUF1365" s="110"/>
      <c r="OUG1365" s="110"/>
      <c r="OUH1365" s="110"/>
      <c r="OUI1365" s="110"/>
      <c r="OUJ1365" s="110"/>
      <c r="OUK1365" s="110"/>
      <c r="OUL1365" s="110"/>
      <c r="OUM1365" s="110"/>
      <c r="OUN1365" s="110"/>
      <c r="OUO1365" s="110"/>
      <c r="OUP1365" s="110"/>
      <c r="OUQ1365" s="110"/>
      <c r="OUR1365" s="110"/>
      <c r="OUS1365" s="110"/>
      <c r="OUT1365" s="110"/>
      <c r="OUU1365" s="110"/>
      <c r="OUV1365" s="110"/>
      <c r="OUW1365" s="110"/>
      <c r="OUX1365" s="110"/>
      <c r="OUY1365" s="110"/>
      <c r="OUZ1365" s="110"/>
      <c r="OVA1365" s="110"/>
      <c r="OVB1365" s="110"/>
      <c r="OVC1365" s="110"/>
      <c r="OVD1365" s="110"/>
      <c r="OVE1365" s="110"/>
      <c r="OVF1365" s="110"/>
      <c r="OVG1365" s="110"/>
      <c r="OVH1365" s="110"/>
      <c r="OVI1365" s="110"/>
      <c r="OVJ1365" s="110"/>
      <c r="OVK1365" s="110"/>
      <c r="OVL1365" s="110"/>
      <c r="OVM1365" s="110"/>
      <c r="OVN1365" s="110"/>
      <c r="OVO1365" s="110"/>
      <c r="OVP1365" s="110"/>
      <c r="OVQ1365" s="110"/>
      <c r="OVR1365" s="110"/>
      <c r="OVS1365" s="110"/>
      <c r="OVT1365" s="110"/>
      <c r="OVU1365" s="110"/>
      <c r="OVV1365" s="110"/>
      <c r="OVW1365" s="110"/>
      <c r="OVX1365" s="110"/>
      <c r="OVY1365" s="110"/>
      <c r="OVZ1365" s="110"/>
      <c r="OWA1365" s="110"/>
      <c r="OWB1365" s="110"/>
      <c r="OWC1365" s="110"/>
      <c r="OWD1365" s="110"/>
      <c r="OWE1365" s="110"/>
      <c r="OWF1365" s="110"/>
      <c r="OWG1365" s="110"/>
      <c r="OWH1365" s="110"/>
      <c r="OWI1365" s="110"/>
      <c r="OWJ1365" s="110"/>
      <c r="OWK1365" s="110"/>
      <c r="OWL1365" s="110"/>
      <c r="OWM1365" s="110"/>
      <c r="OWN1365" s="110"/>
      <c r="OWO1365" s="110"/>
      <c r="OWP1365" s="110"/>
      <c r="OWQ1365" s="110"/>
      <c r="OWR1365" s="110"/>
      <c r="OWS1365" s="110"/>
      <c r="OWT1365" s="110"/>
      <c r="OWU1365" s="110"/>
      <c r="OWV1365" s="110"/>
      <c r="OWW1365" s="110"/>
      <c r="OWX1365" s="110"/>
      <c r="OWY1365" s="110"/>
      <c r="OWZ1365" s="110"/>
      <c r="OXA1365" s="110"/>
      <c r="OXB1365" s="110"/>
      <c r="OXC1365" s="110"/>
      <c r="OXD1365" s="110"/>
      <c r="OXE1365" s="110"/>
      <c r="OXF1365" s="110"/>
      <c r="OXG1365" s="110"/>
      <c r="OXH1365" s="110"/>
      <c r="OXI1365" s="110"/>
      <c r="OXJ1365" s="110"/>
      <c r="OXK1365" s="110"/>
      <c r="OXL1365" s="110"/>
      <c r="OXM1365" s="110"/>
      <c r="OXN1365" s="110"/>
      <c r="OXO1365" s="110"/>
      <c r="OXP1365" s="110"/>
      <c r="OXQ1365" s="110"/>
      <c r="OXR1365" s="110"/>
      <c r="OXS1365" s="110"/>
      <c r="OXT1365" s="110"/>
      <c r="OXU1365" s="110"/>
      <c r="OXV1365" s="110"/>
      <c r="OXW1365" s="110"/>
      <c r="OXX1365" s="110"/>
      <c r="OXY1365" s="110"/>
      <c r="OXZ1365" s="110"/>
      <c r="OYA1365" s="110"/>
      <c r="OYB1365" s="110"/>
      <c r="OYC1365" s="110"/>
      <c r="OYD1365" s="110"/>
      <c r="OYE1365" s="110"/>
      <c r="OYF1365" s="110"/>
      <c r="OYG1365" s="110"/>
      <c r="OYH1365" s="110"/>
      <c r="OYI1365" s="110"/>
      <c r="OYJ1365" s="110"/>
      <c r="OYK1365" s="110"/>
      <c r="OYL1365" s="110"/>
      <c r="OYM1365" s="110"/>
      <c r="OYN1365" s="110"/>
      <c r="OYO1365" s="110"/>
      <c r="OYP1365" s="110"/>
      <c r="OYQ1365" s="110"/>
      <c r="OYR1365" s="110"/>
      <c r="OYS1365" s="110"/>
      <c r="OYT1365" s="110"/>
      <c r="OYU1365" s="110"/>
      <c r="OYV1365" s="110"/>
      <c r="OYW1365" s="110"/>
      <c r="OYX1365" s="110"/>
      <c r="OYY1365" s="110"/>
      <c r="OYZ1365" s="110"/>
      <c r="OZA1365" s="110"/>
      <c r="OZB1365" s="110"/>
      <c r="OZC1365" s="110"/>
      <c r="OZD1365" s="110"/>
      <c r="OZE1365" s="110"/>
      <c r="OZF1365" s="110"/>
      <c r="OZG1365" s="110"/>
      <c r="OZH1365" s="110"/>
      <c r="OZI1365" s="110"/>
      <c r="OZJ1365" s="110"/>
      <c r="OZK1365" s="110"/>
      <c r="OZL1365" s="110"/>
      <c r="OZM1365" s="110"/>
      <c r="OZN1365" s="110"/>
      <c r="OZO1365" s="110"/>
      <c r="OZP1365" s="110"/>
      <c r="OZQ1365" s="110"/>
      <c r="OZR1365" s="110"/>
      <c r="OZS1365" s="110"/>
      <c r="OZT1365" s="110"/>
      <c r="OZU1365" s="110"/>
      <c r="OZV1365" s="110"/>
      <c r="OZW1365" s="110"/>
      <c r="OZX1365" s="110"/>
      <c r="OZY1365" s="110"/>
      <c r="OZZ1365" s="110"/>
      <c r="PAA1365" s="110"/>
      <c r="PAB1365" s="110"/>
      <c r="PAC1365" s="110"/>
      <c r="PAD1365" s="110"/>
      <c r="PAE1365" s="110"/>
      <c r="PAF1365" s="110"/>
      <c r="PAG1365" s="110"/>
      <c r="PAH1365" s="110"/>
      <c r="PAI1365" s="110"/>
      <c r="PAJ1365" s="110"/>
      <c r="PAK1365" s="110"/>
      <c r="PAL1365" s="110"/>
      <c r="PAM1365" s="110"/>
      <c r="PAN1365" s="110"/>
      <c r="PAO1365" s="110"/>
      <c r="PAP1365" s="110"/>
      <c r="PAQ1365" s="110"/>
      <c r="PAR1365" s="110"/>
      <c r="PAS1365" s="110"/>
      <c r="PAT1365" s="110"/>
      <c r="PAU1365" s="110"/>
      <c r="PAV1365" s="110"/>
      <c r="PAW1365" s="110"/>
      <c r="PAX1365" s="110"/>
      <c r="PAY1365" s="110"/>
      <c r="PAZ1365" s="110"/>
      <c r="PBA1365" s="110"/>
      <c r="PBB1365" s="110"/>
      <c r="PBC1365" s="110"/>
      <c r="PBD1365" s="110"/>
      <c r="PBE1365" s="110"/>
      <c r="PBF1365" s="110"/>
      <c r="PBG1365" s="110"/>
      <c r="PBH1365" s="110"/>
      <c r="PBI1365" s="110"/>
      <c r="PBJ1365" s="110"/>
      <c r="PBK1365" s="110"/>
      <c r="PBL1365" s="110"/>
      <c r="PBM1365" s="110"/>
      <c r="PBN1365" s="110"/>
      <c r="PBO1365" s="110"/>
      <c r="PBP1365" s="110"/>
      <c r="PBQ1365" s="110"/>
      <c r="PBR1365" s="110"/>
      <c r="PBS1365" s="110"/>
      <c r="PBT1365" s="110"/>
      <c r="PBU1365" s="110"/>
      <c r="PBV1365" s="110"/>
      <c r="PBW1365" s="110"/>
      <c r="PBX1365" s="110"/>
      <c r="PBY1365" s="110"/>
      <c r="PBZ1365" s="110"/>
      <c r="PCA1365" s="110"/>
      <c r="PCB1365" s="110"/>
      <c r="PCC1365" s="110"/>
      <c r="PCD1365" s="110"/>
      <c r="PCE1365" s="110"/>
      <c r="PCF1365" s="110"/>
      <c r="PCG1365" s="110"/>
      <c r="PCH1365" s="110"/>
      <c r="PCI1365" s="110"/>
      <c r="PCJ1365" s="110"/>
      <c r="PCK1365" s="110"/>
      <c r="PCL1365" s="110"/>
      <c r="PCM1365" s="110"/>
      <c r="PCN1365" s="110"/>
      <c r="PCO1365" s="110"/>
      <c r="PCP1365" s="110"/>
      <c r="PCQ1365" s="110"/>
      <c r="PCR1365" s="110"/>
      <c r="PCS1365" s="110"/>
      <c r="PCT1365" s="110"/>
      <c r="PCU1365" s="110"/>
      <c r="PCV1365" s="110"/>
      <c r="PCW1365" s="110"/>
      <c r="PCX1365" s="110"/>
      <c r="PCY1365" s="110"/>
      <c r="PCZ1365" s="110"/>
      <c r="PDA1365" s="110"/>
      <c r="PDB1365" s="110"/>
      <c r="PDC1365" s="110"/>
      <c r="PDD1365" s="110"/>
      <c r="PDE1365" s="110"/>
      <c r="PDF1365" s="110"/>
      <c r="PDG1365" s="110"/>
      <c r="PDH1365" s="110"/>
      <c r="PDI1365" s="110"/>
      <c r="PDJ1365" s="110"/>
      <c r="PDK1365" s="110"/>
      <c r="PDL1365" s="110"/>
      <c r="PDM1365" s="110"/>
      <c r="PDN1365" s="110"/>
      <c r="PDO1365" s="110"/>
      <c r="PDP1365" s="110"/>
      <c r="PDQ1365" s="110"/>
      <c r="PDR1365" s="110"/>
      <c r="PDS1365" s="110"/>
      <c r="PDT1365" s="110"/>
      <c r="PDU1365" s="110"/>
      <c r="PDV1365" s="110"/>
      <c r="PDW1365" s="110"/>
      <c r="PDX1365" s="110"/>
      <c r="PDY1365" s="110"/>
      <c r="PDZ1365" s="110"/>
      <c r="PEA1365" s="110"/>
      <c r="PEB1365" s="110"/>
      <c r="PEC1365" s="110"/>
      <c r="PED1365" s="110"/>
      <c r="PEE1365" s="110"/>
      <c r="PEF1365" s="110"/>
      <c r="PEG1365" s="110"/>
      <c r="PEH1365" s="110"/>
      <c r="PEI1365" s="110"/>
      <c r="PEJ1365" s="110"/>
      <c r="PEK1365" s="110"/>
      <c r="PEL1365" s="110"/>
      <c r="PEM1365" s="110"/>
      <c r="PEN1365" s="110"/>
      <c r="PEO1365" s="110"/>
      <c r="PEP1365" s="110"/>
      <c r="PEQ1365" s="110"/>
      <c r="PER1365" s="110"/>
      <c r="PES1365" s="110"/>
      <c r="PET1365" s="110"/>
      <c r="PEU1365" s="110"/>
      <c r="PEV1365" s="110"/>
      <c r="PEW1365" s="110"/>
      <c r="PEX1365" s="110"/>
      <c r="PEY1365" s="110"/>
      <c r="PEZ1365" s="110"/>
      <c r="PFA1365" s="110"/>
      <c r="PFB1365" s="110"/>
      <c r="PFC1365" s="110"/>
      <c r="PFD1365" s="110"/>
      <c r="PFE1365" s="110"/>
      <c r="PFF1365" s="110"/>
      <c r="PFG1365" s="110"/>
      <c r="PFH1365" s="110"/>
      <c r="PFI1365" s="110"/>
      <c r="PFJ1365" s="110"/>
      <c r="PFK1365" s="110"/>
      <c r="PFL1365" s="110"/>
      <c r="PFM1365" s="110"/>
      <c r="PFN1365" s="110"/>
      <c r="PFO1365" s="110"/>
      <c r="PFP1365" s="110"/>
      <c r="PFQ1365" s="110"/>
      <c r="PFR1365" s="110"/>
      <c r="PFS1365" s="110"/>
      <c r="PFT1365" s="110"/>
      <c r="PFU1365" s="110"/>
      <c r="PFV1365" s="110"/>
      <c r="PFW1365" s="110"/>
      <c r="PFX1365" s="110"/>
      <c r="PFY1365" s="110"/>
      <c r="PFZ1365" s="110"/>
      <c r="PGA1365" s="110"/>
      <c r="PGB1365" s="110"/>
      <c r="PGC1365" s="110"/>
      <c r="PGD1365" s="110"/>
      <c r="PGE1365" s="110"/>
      <c r="PGF1365" s="110"/>
      <c r="PGG1365" s="110"/>
      <c r="PGH1365" s="110"/>
      <c r="PGI1365" s="110"/>
      <c r="PGJ1365" s="110"/>
      <c r="PGK1365" s="110"/>
      <c r="PGL1365" s="110"/>
      <c r="PGM1365" s="110"/>
      <c r="PGN1365" s="110"/>
      <c r="PGO1365" s="110"/>
      <c r="PGP1365" s="110"/>
      <c r="PGQ1365" s="110"/>
      <c r="PGR1365" s="110"/>
      <c r="PGS1365" s="110"/>
      <c r="PGT1365" s="110"/>
      <c r="PGU1365" s="110"/>
      <c r="PGV1365" s="110"/>
      <c r="PGW1365" s="110"/>
      <c r="PGX1365" s="110"/>
      <c r="PGY1365" s="110"/>
      <c r="PGZ1365" s="110"/>
      <c r="PHA1365" s="110"/>
      <c r="PHB1365" s="110"/>
      <c r="PHC1365" s="110"/>
      <c r="PHD1365" s="110"/>
      <c r="PHE1365" s="110"/>
      <c r="PHF1365" s="110"/>
      <c r="PHG1365" s="110"/>
      <c r="PHH1365" s="110"/>
      <c r="PHI1365" s="110"/>
      <c r="PHJ1365" s="110"/>
      <c r="PHK1365" s="110"/>
      <c r="PHL1365" s="110"/>
      <c r="PHM1365" s="110"/>
      <c r="PHN1365" s="110"/>
      <c r="PHO1365" s="110"/>
      <c r="PHP1365" s="110"/>
      <c r="PHQ1365" s="110"/>
      <c r="PHR1365" s="110"/>
      <c r="PHS1365" s="110"/>
      <c r="PHT1365" s="110"/>
      <c r="PHU1365" s="110"/>
      <c r="PHV1365" s="110"/>
      <c r="PHW1365" s="110"/>
      <c r="PHX1365" s="110"/>
      <c r="PHY1365" s="110"/>
      <c r="PHZ1365" s="110"/>
      <c r="PIA1365" s="110"/>
      <c r="PIB1365" s="110"/>
      <c r="PIC1365" s="110"/>
      <c r="PID1365" s="110"/>
      <c r="PIE1365" s="110"/>
      <c r="PIF1365" s="110"/>
      <c r="PIG1365" s="110"/>
      <c r="PIH1365" s="110"/>
      <c r="PII1365" s="110"/>
      <c r="PIJ1365" s="110"/>
      <c r="PIK1365" s="110"/>
      <c r="PIL1365" s="110"/>
      <c r="PIM1365" s="110"/>
      <c r="PIN1365" s="110"/>
      <c r="PIO1365" s="110"/>
      <c r="PIP1365" s="110"/>
      <c r="PIQ1365" s="110"/>
      <c r="PIR1365" s="110"/>
      <c r="PIS1365" s="110"/>
      <c r="PIT1365" s="110"/>
      <c r="PIU1365" s="110"/>
      <c r="PIV1365" s="110"/>
      <c r="PIW1365" s="110"/>
      <c r="PIX1365" s="110"/>
      <c r="PIY1365" s="110"/>
      <c r="PIZ1365" s="110"/>
      <c r="PJA1365" s="110"/>
      <c r="PJB1365" s="110"/>
      <c r="PJC1365" s="110"/>
      <c r="PJD1365" s="110"/>
      <c r="PJE1365" s="110"/>
      <c r="PJF1365" s="110"/>
      <c r="PJG1365" s="110"/>
      <c r="PJH1365" s="110"/>
      <c r="PJI1365" s="110"/>
      <c r="PJJ1365" s="110"/>
      <c r="PJK1365" s="110"/>
      <c r="PJL1365" s="110"/>
      <c r="PJM1365" s="110"/>
      <c r="PJN1365" s="110"/>
      <c r="PJO1365" s="110"/>
      <c r="PJP1365" s="110"/>
      <c r="PJQ1365" s="110"/>
      <c r="PJR1365" s="110"/>
      <c r="PJS1365" s="110"/>
      <c r="PJT1365" s="110"/>
      <c r="PJU1365" s="110"/>
      <c r="PJV1365" s="110"/>
      <c r="PJW1365" s="110"/>
      <c r="PJX1365" s="110"/>
      <c r="PJY1365" s="110"/>
      <c r="PJZ1365" s="110"/>
      <c r="PKA1365" s="110"/>
      <c r="PKB1365" s="110"/>
      <c r="PKC1365" s="110"/>
      <c r="PKD1365" s="110"/>
      <c r="PKE1365" s="110"/>
      <c r="PKF1365" s="110"/>
      <c r="PKG1365" s="110"/>
      <c r="PKH1365" s="110"/>
      <c r="PKI1365" s="110"/>
      <c r="PKJ1365" s="110"/>
      <c r="PKK1365" s="110"/>
      <c r="PKL1365" s="110"/>
      <c r="PKM1365" s="110"/>
      <c r="PKN1365" s="110"/>
      <c r="PKO1365" s="110"/>
      <c r="PKP1365" s="110"/>
      <c r="PKQ1365" s="110"/>
      <c r="PKR1365" s="110"/>
      <c r="PKS1365" s="110"/>
      <c r="PKT1365" s="110"/>
      <c r="PKU1365" s="110"/>
      <c r="PKV1365" s="110"/>
      <c r="PKW1365" s="110"/>
      <c r="PKX1365" s="110"/>
      <c r="PKY1365" s="110"/>
      <c r="PKZ1365" s="110"/>
      <c r="PLA1365" s="110"/>
      <c r="PLB1365" s="110"/>
      <c r="PLC1365" s="110"/>
      <c r="PLD1365" s="110"/>
      <c r="PLE1365" s="110"/>
      <c r="PLF1365" s="110"/>
      <c r="PLG1365" s="110"/>
      <c r="PLH1365" s="110"/>
      <c r="PLI1365" s="110"/>
      <c r="PLJ1365" s="110"/>
      <c r="PLK1365" s="110"/>
      <c r="PLL1365" s="110"/>
      <c r="PLM1365" s="110"/>
      <c r="PLN1365" s="110"/>
      <c r="PLO1365" s="110"/>
      <c r="PLP1365" s="110"/>
      <c r="PLQ1365" s="110"/>
      <c r="PLR1365" s="110"/>
      <c r="PLS1365" s="110"/>
      <c r="PLT1365" s="110"/>
      <c r="PLU1365" s="110"/>
      <c r="PLV1365" s="110"/>
      <c r="PLW1365" s="110"/>
      <c r="PLX1365" s="110"/>
      <c r="PLY1365" s="110"/>
      <c r="PLZ1365" s="110"/>
      <c r="PMA1365" s="110"/>
      <c r="PMB1365" s="110"/>
      <c r="PMC1365" s="110"/>
      <c r="PMD1365" s="110"/>
      <c r="PME1365" s="110"/>
      <c r="PMF1365" s="110"/>
      <c r="PMG1365" s="110"/>
      <c r="PMH1365" s="110"/>
      <c r="PMI1365" s="110"/>
      <c r="PMJ1365" s="110"/>
      <c r="PMK1365" s="110"/>
      <c r="PML1365" s="110"/>
      <c r="PMM1365" s="110"/>
      <c r="PMN1365" s="110"/>
      <c r="PMO1365" s="110"/>
      <c r="PMP1365" s="110"/>
      <c r="PMQ1365" s="110"/>
      <c r="PMR1365" s="110"/>
      <c r="PMS1365" s="110"/>
      <c r="PMT1365" s="110"/>
      <c r="PMU1365" s="110"/>
      <c r="PMV1365" s="110"/>
      <c r="PMW1365" s="110"/>
      <c r="PMX1365" s="110"/>
      <c r="PMY1365" s="110"/>
      <c r="PMZ1365" s="110"/>
      <c r="PNA1365" s="110"/>
      <c r="PNB1365" s="110"/>
      <c r="PNC1365" s="110"/>
      <c r="PND1365" s="110"/>
      <c r="PNE1365" s="110"/>
      <c r="PNF1365" s="110"/>
      <c r="PNG1365" s="110"/>
      <c r="PNH1365" s="110"/>
      <c r="PNI1365" s="110"/>
      <c r="PNJ1365" s="110"/>
      <c r="PNK1365" s="110"/>
      <c r="PNL1365" s="110"/>
      <c r="PNM1365" s="110"/>
      <c r="PNN1365" s="110"/>
      <c r="PNO1365" s="110"/>
      <c r="PNP1365" s="110"/>
      <c r="PNQ1365" s="110"/>
      <c r="PNR1365" s="110"/>
      <c r="PNS1365" s="110"/>
      <c r="PNT1365" s="110"/>
      <c r="PNU1365" s="110"/>
      <c r="PNV1365" s="110"/>
      <c r="PNW1365" s="110"/>
      <c r="PNX1365" s="110"/>
      <c r="PNY1365" s="110"/>
      <c r="PNZ1365" s="110"/>
      <c r="POA1365" s="110"/>
      <c r="POB1365" s="110"/>
      <c r="POC1365" s="110"/>
      <c r="POD1365" s="110"/>
      <c r="POE1365" s="110"/>
      <c r="POF1365" s="110"/>
      <c r="POG1365" s="110"/>
      <c r="POH1365" s="110"/>
      <c r="POI1365" s="110"/>
      <c r="POJ1365" s="110"/>
      <c r="POK1365" s="110"/>
      <c r="POL1365" s="110"/>
      <c r="POM1365" s="110"/>
      <c r="PON1365" s="110"/>
      <c r="POO1365" s="110"/>
      <c r="POP1365" s="110"/>
      <c r="POQ1365" s="110"/>
      <c r="POR1365" s="110"/>
      <c r="POS1365" s="110"/>
      <c r="POT1365" s="110"/>
      <c r="POU1365" s="110"/>
      <c r="POV1365" s="110"/>
      <c r="POW1365" s="110"/>
      <c r="POX1365" s="110"/>
      <c r="POY1365" s="110"/>
      <c r="POZ1365" s="110"/>
      <c r="PPA1365" s="110"/>
      <c r="PPB1365" s="110"/>
      <c r="PPC1365" s="110"/>
      <c r="PPD1365" s="110"/>
      <c r="PPE1365" s="110"/>
      <c r="PPF1365" s="110"/>
      <c r="PPG1365" s="110"/>
      <c r="PPH1365" s="110"/>
      <c r="PPI1365" s="110"/>
      <c r="PPJ1365" s="110"/>
      <c r="PPK1365" s="110"/>
      <c r="PPL1365" s="110"/>
      <c r="PPM1365" s="110"/>
      <c r="PPN1365" s="110"/>
      <c r="PPO1365" s="110"/>
      <c r="PPP1365" s="110"/>
      <c r="PPQ1365" s="110"/>
      <c r="PPR1365" s="110"/>
      <c r="PPS1365" s="110"/>
      <c r="PPT1365" s="110"/>
      <c r="PPU1365" s="110"/>
      <c r="PPV1365" s="110"/>
      <c r="PPW1365" s="110"/>
      <c r="PPX1365" s="110"/>
      <c r="PPY1365" s="110"/>
      <c r="PPZ1365" s="110"/>
      <c r="PQA1365" s="110"/>
      <c r="PQB1365" s="110"/>
      <c r="PQC1365" s="110"/>
      <c r="PQD1365" s="110"/>
      <c r="PQE1365" s="110"/>
      <c r="PQF1365" s="110"/>
      <c r="PQG1365" s="110"/>
      <c r="PQH1365" s="110"/>
      <c r="PQI1365" s="110"/>
      <c r="PQJ1365" s="110"/>
      <c r="PQK1365" s="110"/>
      <c r="PQL1365" s="110"/>
      <c r="PQM1365" s="110"/>
      <c r="PQN1365" s="110"/>
      <c r="PQO1365" s="110"/>
      <c r="PQP1365" s="110"/>
      <c r="PQQ1365" s="110"/>
      <c r="PQR1365" s="110"/>
      <c r="PQS1365" s="110"/>
      <c r="PQT1365" s="110"/>
      <c r="PQU1365" s="110"/>
      <c r="PQV1365" s="110"/>
      <c r="PQW1365" s="110"/>
      <c r="PQX1365" s="110"/>
      <c r="PQY1365" s="110"/>
      <c r="PQZ1365" s="110"/>
      <c r="PRA1365" s="110"/>
      <c r="PRB1365" s="110"/>
      <c r="PRC1365" s="110"/>
      <c r="PRD1365" s="110"/>
      <c r="PRE1365" s="110"/>
      <c r="PRF1365" s="110"/>
      <c r="PRG1365" s="110"/>
      <c r="PRH1365" s="110"/>
      <c r="PRI1365" s="110"/>
      <c r="PRJ1365" s="110"/>
      <c r="PRK1365" s="110"/>
      <c r="PRL1365" s="110"/>
      <c r="PRM1365" s="110"/>
      <c r="PRN1365" s="110"/>
      <c r="PRO1365" s="110"/>
      <c r="PRP1365" s="110"/>
      <c r="PRQ1365" s="110"/>
      <c r="PRR1365" s="110"/>
      <c r="PRS1365" s="110"/>
      <c r="PRT1365" s="110"/>
      <c r="PRU1365" s="110"/>
      <c r="PRV1365" s="110"/>
      <c r="PRW1365" s="110"/>
      <c r="PRX1365" s="110"/>
      <c r="PRY1365" s="110"/>
      <c r="PRZ1365" s="110"/>
      <c r="PSA1365" s="110"/>
      <c r="PSB1365" s="110"/>
      <c r="PSC1365" s="110"/>
      <c r="PSD1365" s="110"/>
      <c r="PSE1365" s="110"/>
      <c r="PSF1365" s="110"/>
      <c r="PSG1365" s="110"/>
      <c r="PSH1365" s="110"/>
      <c r="PSI1365" s="110"/>
      <c r="PSJ1365" s="110"/>
      <c r="PSK1365" s="110"/>
      <c r="PSL1365" s="110"/>
      <c r="PSM1365" s="110"/>
      <c r="PSN1365" s="110"/>
      <c r="PSO1365" s="110"/>
      <c r="PSP1365" s="110"/>
      <c r="PSQ1365" s="110"/>
      <c r="PSR1365" s="110"/>
      <c r="PSS1365" s="110"/>
      <c r="PST1365" s="110"/>
      <c r="PSU1365" s="110"/>
      <c r="PSV1365" s="110"/>
      <c r="PSW1365" s="110"/>
      <c r="PSX1365" s="110"/>
      <c r="PSY1365" s="110"/>
      <c r="PSZ1365" s="110"/>
      <c r="PTA1365" s="110"/>
      <c r="PTB1365" s="110"/>
      <c r="PTC1365" s="110"/>
      <c r="PTD1365" s="110"/>
      <c r="PTE1365" s="110"/>
      <c r="PTF1365" s="110"/>
      <c r="PTG1365" s="110"/>
      <c r="PTH1365" s="110"/>
      <c r="PTI1365" s="110"/>
      <c r="PTJ1365" s="110"/>
      <c r="PTK1365" s="110"/>
      <c r="PTL1365" s="110"/>
      <c r="PTM1365" s="110"/>
      <c r="PTN1365" s="110"/>
      <c r="PTO1365" s="110"/>
      <c r="PTP1365" s="110"/>
      <c r="PTQ1365" s="110"/>
      <c r="PTR1365" s="110"/>
      <c r="PTS1365" s="110"/>
      <c r="PTT1365" s="110"/>
      <c r="PTU1365" s="110"/>
      <c r="PTV1365" s="110"/>
      <c r="PTW1365" s="110"/>
      <c r="PTX1365" s="110"/>
      <c r="PTY1365" s="110"/>
      <c r="PTZ1365" s="110"/>
      <c r="PUA1365" s="110"/>
      <c r="PUB1365" s="110"/>
      <c r="PUC1365" s="110"/>
      <c r="PUD1365" s="110"/>
      <c r="PUE1365" s="110"/>
      <c r="PUF1365" s="110"/>
      <c r="PUG1365" s="110"/>
      <c r="PUH1365" s="110"/>
      <c r="PUI1365" s="110"/>
      <c r="PUJ1365" s="110"/>
      <c r="PUK1365" s="110"/>
      <c r="PUL1365" s="110"/>
      <c r="PUM1365" s="110"/>
      <c r="PUN1365" s="110"/>
      <c r="PUO1365" s="110"/>
      <c r="PUP1365" s="110"/>
      <c r="PUQ1365" s="110"/>
      <c r="PUR1365" s="110"/>
      <c r="PUS1365" s="110"/>
      <c r="PUT1365" s="110"/>
      <c r="PUU1365" s="110"/>
      <c r="PUV1365" s="110"/>
      <c r="PUW1365" s="110"/>
      <c r="PUX1365" s="110"/>
      <c r="PUY1365" s="110"/>
      <c r="PUZ1365" s="110"/>
      <c r="PVA1365" s="110"/>
      <c r="PVB1365" s="110"/>
      <c r="PVC1365" s="110"/>
      <c r="PVD1365" s="110"/>
      <c r="PVE1365" s="110"/>
      <c r="PVF1365" s="110"/>
      <c r="PVG1365" s="110"/>
      <c r="PVH1365" s="110"/>
      <c r="PVI1365" s="110"/>
      <c r="PVJ1365" s="110"/>
      <c r="PVK1365" s="110"/>
      <c r="PVL1365" s="110"/>
      <c r="PVM1365" s="110"/>
      <c r="PVN1365" s="110"/>
      <c r="PVO1365" s="110"/>
      <c r="PVP1365" s="110"/>
      <c r="PVQ1365" s="110"/>
      <c r="PVR1365" s="110"/>
      <c r="PVS1365" s="110"/>
      <c r="PVT1365" s="110"/>
      <c r="PVU1365" s="110"/>
      <c r="PVV1365" s="110"/>
      <c r="PVW1365" s="110"/>
      <c r="PVX1365" s="110"/>
      <c r="PVY1365" s="110"/>
      <c r="PVZ1365" s="110"/>
      <c r="PWA1365" s="110"/>
      <c r="PWB1365" s="110"/>
      <c r="PWC1365" s="110"/>
      <c r="PWD1365" s="110"/>
      <c r="PWE1365" s="110"/>
      <c r="PWF1365" s="110"/>
      <c r="PWG1365" s="110"/>
      <c r="PWH1365" s="110"/>
      <c r="PWI1365" s="110"/>
      <c r="PWJ1365" s="110"/>
      <c r="PWK1365" s="110"/>
      <c r="PWL1365" s="110"/>
      <c r="PWM1365" s="110"/>
      <c r="PWN1365" s="110"/>
      <c r="PWO1365" s="110"/>
      <c r="PWP1365" s="110"/>
      <c r="PWQ1365" s="110"/>
      <c r="PWR1365" s="110"/>
      <c r="PWS1365" s="110"/>
      <c r="PWT1365" s="110"/>
      <c r="PWU1365" s="110"/>
      <c r="PWV1365" s="110"/>
      <c r="PWW1365" s="110"/>
      <c r="PWX1365" s="110"/>
      <c r="PWY1365" s="110"/>
      <c r="PWZ1365" s="110"/>
      <c r="PXA1365" s="110"/>
      <c r="PXB1365" s="110"/>
      <c r="PXC1365" s="110"/>
      <c r="PXD1365" s="110"/>
      <c r="PXE1365" s="110"/>
      <c r="PXF1365" s="110"/>
      <c r="PXG1365" s="110"/>
      <c r="PXH1365" s="110"/>
      <c r="PXI1365" s="110"/>
      <c r="PXJ1365" s="110"/>
      <c r="PXK1365" s="110"/>
      <c r="PXL1365" s="110"/>
      <c r="PXM1365" s="110"/>
      <c r="PXN1365" s="110"/>
      <c r="PXO1365" s="110"/>
      <c r="PXP1365" s="110"/>
      <c r="PXQ1365" s="110"/>
      <c r="PXR1365" s="110"/>
      <c r="PXS1365" s="110"/>
      <c r="PXT1365" s="110"/>
      <c r="PXU1365" s="110"/>
      <c r="PXV1365" s="110"/>
      <c r="PXW1365" s="110"/>
      <c r="PXX1365" s="110"/>
      <c r="PXY1365" s="110"/>
      <c r="PXZ1365" s="110"/>
      <c r="PYA1365" s="110"/>
      <c r="PYB1365" s="110"/>
      <c r="PYC1365" s="110"/>
      <c r="PYD1365" s="110"/>
      <c r="PYE1365" s="110"/>
      <c r="PYF1365" s="110"/>
      <c r="PYG1365" s="110"/>
      <c r="PYH1365" s="110"/>
      <c r="PYI1365" s="110"/>
      <c r="PYJ1365" s="110"/>
      <c r="PYK1365" s="110"/>
      <c r="PYL1365" s="110"/>
      <c r="PYM1365" s="110"/>
      <c r="PYN1365" s="110"/>
      <c r="PYO1365" s="110"/>
      <c r="PYP1365" s="110"/>
      <c r="PYQ1365" s="110"/>
      <c r="PYR1365" s="110"/>
      <c r="PYS1365" s="110"/>
      <c r="PYT1365" s="110"/>
      <c r="PYU1365" s="110"/>
      <c r="PYV1365" s="110"/>
      <c r="PYW1365" s="110"/>
      <c r="PYX1365" s="110"/>
      <c r="PYY1365" s="110"/>
      <c r="PYZ1365" s="110"/>
      <c r="PZA1365" s="110"/>
      <c r="PZB1365" s="110"/>
      <c r="PZC1365" s="110"/>
      <c r="PZD1365" s="110"/>
      <c r="PZE1365" s="110"/>
      <c r="PZF1365" s="110"/>
      <c r="PZG1365" s="110"/>
      <c r="PZH1365" s="110"/>
      <c r="PZI1365" s="110"/>
      <c r="PZJ1365" s="110"/>
      <c r="PZK1365" s="110"/>
      <c r="PZL1365" s="110"/>
      <c r="PZM1365" s="110"/>
      <c r="PZN1365" s="110"/>
      <c r="PZO1365" s="110"/>
      <c r="PZP1365" s="110"/>
      <c r="PZQ1365" s="110"/>
      <c r="PZR1365" s="110"/>
      <c r="PZS1365" s="110"/>
      <c r="PZT1365" s="110"/>
      <c r="PZU1365" s="110"/>
      <c r="PZV1365" s="110"/>
      <c r="PZW1365" s="110"/>
      <c r="PZX1365" s="110"/>
      <c r="PZY1365" s="110"/>
      <c r="PZZ1365" s="110"/>
      <c r="QAA1365" s="110"/>
      <c r="QAB1365" s="110"/>
      <c r="QAC1365" s="110"/>
      <c r="QAD1365" s="110"/>
      <c r="QAE1365" s="110"/>
      <c r="QAF1365" s="110"/>
      <c r="QAG1365" s="110"/>
      <c r="QAH1365" s="110"/>
      <c r="QAI1365" s="110"/>
      <c r="QAJ1365" s="110"/>
      <c r="QAK1365" s="110"/>
      <c r="QAL1365" s="110"/>
      <c r="QAM1365" s="110"/>
      <c r="QAN1365" s="110"/>
      <c r="QAO1365" s="110"/>
      <c r="QAP1365" s="110"/>
      <c r="QAQ1365" s="110"/>
      <c r="QAR1365" s="110"/>
      <c r="QAS1365" s="110"/>
      <c r="QAT1365" s="110"/>
      <c r="QAU1365" s="110"/>
      <c r="QAV1365" s="110"/>
      <c r="QAW1365" s="110"/>
      <c r="QAX1365" s="110"/>
      <c r="QAY1365" s="110"/>
      <c r="QAZ1365" s="110"/>
      <c r="QBA1365" s="110"/>
      <c r="QBB1365" s="110"/>
      <c r="QBC1365" s="110"/>
      <c r="QBD1365" s="110"/>
      <c r="QBE1365" s="110"/>
      <c r="QBF1365" s="110"/>
      <c r="QBG1365" s="110"/>
      <c r="QBH1365" s="110"/>
      <c r="QBI1365" s="110"/>
      <c r="QBJ1365" s="110"/>
      <c r="QBK1365" s="110"/>
      <c r="QBL1365" s="110"/>
      <c r="QBM1365" s="110"/>
      <c r="QBN1365" s="110"/>
      <c r="QBO1365" s="110"/>
      <c r="QBP1365" s="110"/>
      <c r="QBQ1365" s="110"/>
      <c r="QBR1365" s="110"/>
      <c r="QBS1365" s="110"/>
      <c r="QBT1365" s="110"/>
      <c r="QBU1365" s="110"/>
      <c r="QBV1365" s="110"/>
      <c r="QBW1365" s="110"/>
      <c r="QBX1365" s="110"/>
      <c r="QBY1365" s="110"/>
      <c r="QBZ1365" s="110"/>
      <c r="QCA1365" s="110"/>
      <c r="QCB1365" s="110"/>
      <c r="QCC1365" s="110"/>
      <c r="QCD1365" s="110"/>
      <c r="QCE1365" s="110"/>
      <c r="QCF1365" s="110"/>
      <c r="QCG1365" s="110"/>
      <c r="QCH1365" s="110"/>
      <c r="QCI1365" s="110"/>
      <c r="QCJ1365" s="110"/>
      <c r="QCK1365" s="110"/>
      <c r="QCL1365" s="110"/>
      <c r="QCM1365" s="110"/>
      <c r="QCN1365" s="110"/>
      <c r="QCO1365" s="110"/>
      <c r="QCP1365" s="110"/>
      <c r="QCQ1365" s="110"/>
      <c r="QCR1365" s="110"/>
      <c r="QCS1365" s="110"/>
      <c r="QCT1365" s="110"/>
      <c r="QCU1365" s="110"/>
      <c r="QCV1365" s="110"/>
      <c r="QCW1365" s="110"/>
      <c r="QCX1365" s="110"/>
      <c r="QCY1365" s="110"/>
      <c r="QCZ1365" s="110"/>
      <c r="QDA1365" s="110"/>
      <c r="QDB1365" s="110"/>
      <c r="QDC1365" s="110"/>
      <c r="QDD1365" s="110"/>
      <c r="QDE1365" s="110"/>
      <c r="QDF1365" s="110"/>
      <c r="QDG1365" s="110"/>
      <c r="QDH1365" s="110"/>
      <c r="QDI1365" s="110"/>
      <c r="QDJ1365" s="110"/>
      <c r="QDK1365" s="110"/>
      <c r="QDL1365" s="110"/>
      <c r="QDM1365" s="110"/>
      <c r="QDN1365" s="110"/>
      <c r="QDO1365" s="110"/>
      <c r="QDP1365" s="110"/>
      <c r="QDQ1365" s="110"/>
      <c r="QDR1365" s="110"/>
      <c r="QDS1365" s="110"/>
      <c r="QDT1365" s="110"/>
      <c r="QDU1365" s="110"/>
      <c r="QDV1365" s="110"/>
      <c r="QDW1365" s="110"/>
      <c r="QDX1365" s="110"/>
      <c r="QDY1365" s="110"/>
      <c r="QDZ1365" s="110"/>
      <c r="QEA1365" s="110"/>
      <c r="QEB1365" s="110"/>
      <c r="QEC1365" s="110"/>
      <c r="QED1365" s="110"/>
      <c r="QEE1365" s="110"/>
      <c r="QEF1365" s="110"/>
      <c r="QEG1365" s="110"/>
      <c r="QEH1365" s="110"/>
      <c r="QEI1365" s="110"/>
      <c r="QEJ1365" s="110"/>
      <c r="QEK1365" s="110"/>
      <c r="QEL1365" s="110"/>
      <c r="QEM1365" s="110"/>
      <c r="QEN1365" s="110"/>
      <c r="QEO1365" s="110"/>
      <c r="QEP1365" s="110"/>
      <c r="QEQ1365" s="110"/>
      <c r="QER1365" s="110"/>
      <c r="QES1365" s="110"/>
      <c r="QET1365" s="110"/>
      <c r="QEU1365" s="110"/>
      <c r="QEV1365" s="110"/>
      <c r="QEW1365" s="110"/>
      <c r="QEX1365" s="110"/>
      <c r="QEY1365" s="110"/>
      <c r="QEZ1365" s="110"/>
      <c r="QFA1365" s="110"/>
      <c r="QFB1365" s="110"/>
      <c r="QFC1365" s="110"/>
      <c r="QFD1365" s="110"/>
      <c r="QFE1365" s="110"/>
      <c r="QFF1365" s="110"/>
      <c r="QFG1365" s="110"/>
      <c r="QFH1365" s="110"/>
      <c r="QFI1365" s="110"/>
      <c r="QFJ1365" s="110"/>
      <c r="QFK1365" s="110"/>
      <c r="QFL1365" s="110"/>
      <c r="QFM1365" s="110"/>
      <c r="QFN1365" s="110"/>
      <c r="QFO1365" s="110"/>
      <c r="QFP1365" s="110"/>
      <c r="QFQ1365" s="110"/>
      <c r="QFR1365" s="110"/>
      <c r="QFS1365" s="110"/>
      <c r="QFT1365" s="110"/>
      <c r="QFU1365" s="110"/>
      <c r="QFV1365" s="110"/>
      <c r="QFW1365" s="110"/>
      <c r="QFX1365" s="110"/>
      <c r="QFY1365" s="110"/>
      <c r="QFZ1365" s="110"/>
      <c r="QGA1365" s="110"/>
      <c r="QGB1365" s="110"/>
      <c r="QGC1365" s="110"/>
      <c r="QGD1365" s="110"/>
      <c r="QGE1365" s="110"/>
      <c r="QGF1365" s="110"/>
      <c r="QGG1365" s="110"/>
      <c r="QGH1365" s="110"/>
      <c r="QGI1365" s="110"/>
      <c r="QGJ1365" s="110"/>
      <c r="QGK1365" s="110"/>
      <c r="QGL1365" s="110"/>
      <c r="QGM1365" s="110"/>
      <c r="QGN1365" s="110"/>
      <c r="QGO1365" s="110"/>
      <c r="QGP1365" s="110"/>
      <c r="QGQ1365" s="110"/>
      <c r="QGR1365" s="110"/>
      <c r="QGS1365" s="110"/>
      <c r="QGT1365" s="110"/>
      <c r="QGU1365" s="110"/>
      <c r="QGV1365" s="110"/>
      <c r="QGW1365" s="110"/>
      <c r="QGX1365" s="110"/>
      <c r="QGY1365" s="110"/>
      <c r="QGZ1365" s="110"/>
      <c r="QHA1365" s="110"/>
      <c r="QHB1365" s="110"/>
      <c r="QHC1365" s="110"/>
      <c r="QHD1365" s="110"/>
      <c r="QHE1365" s="110"/>
      <c r="QHF1365" s="110"/>
      <c r="QHG1365" s="110"/>
      <c r="QHH1365" s="110"/>
      <c r="QHI1365" s="110"/>
      <c r="QHJ1365" s="110"/>
      <c r="QHK1365" s="110"/>
      <c r="QHL1365" s="110"/>
      <c r="QHM1365" s="110"/>
      <c r="QHN1365" s="110"/>
      <c r="QHO1365" s="110"/>
      <c r="QHP1365" s="110"/>
      <c r="QHQ1365" s="110"/>
      <c r="QHR1365" s="110"/>
      <c r="QHS1365" s="110"/>
      <c r="QHT1365" s="110"/>
      <c r="QHU1365" s="110"/>
      <c r="QHV1365" s="110"/>
      <c r="QHW1365" s="110"/>
      <c r="QHX1365" s="110"/>
      <c r="QHY1365" s="110"/>
      <c r="QHZ1365" s="110"/>
      <c r="QIA1365" s="110"/>
      <c r="QIB1365" s="110"/>
      <c r="QIC1365" s="110"/>
      <c r="QID1365" s="110"/>
      <c r="QIE1365" s="110"/>
      <c r="QIF1365" s="110"/>
      <c r="QIG1365" s="110"/>
      <c r="QIH1365" s="110"/>
      <c r="QII1365" s="110"/>
      <c r="QIJ1365" s="110"/>
      <c r="QIK1365" s="110"/>
      <c r="QIL1365" s="110"/>
      <c r="QIM1365" s="110"/>
      <c r="QIN1365" s="110"/>
      <c r="QIO1365" s="110"/>
      <c r="QIP1365" s="110"/>
      <c r="QIQ1365" s="110"/>
      <c r="QIR1365" s="110"/>
      <c r="QIS1365" s="110"/>
      <c r="QIT1365" s="110"/>
      <c r="QIU1365" s="110"/>
      <c r="QIV1365" s="110"/>
      <c r="QIW1365" s="110"/>
      <c r="QIX1365" s="110"/>
      <c r="QIY1365" s="110"/>
      <c r="QIZ1365" s="110"/>
      <c r="QJA1365" s="110"/>
      <c r="QJB1365" s="110"/>
      <c r="QJC1365" s="110"/>
      <c r="QJD1365" s="110"/>
      <c r="QJE1365" s="110"/>
      <c r="QJF1365" s="110"/>
      <c r="QJG1365" s="110"/>
      <c r="QJH1365" s="110"/>
      <c r="QJI1365" s="110"/>
      <c r="QJJ1365" s="110"/>
      <c r="QJK1365" s="110"/>
      <c r="QJL1365" s="110"/>
      <c r="QJM1365" s="110"/>
      <c r="QJN1365" s="110"/>
      <c r="QJO1365" s="110"/>
      <c r="QJP1365" s="110"/>
      <c r="QJQ1365" s="110"/>
      <c r="QJR1365" s="110"/>
      <c r="QJS1365" s="110"/>
      <c r="QJT1365" s="110"/>
      <c r="QJU1365" s="110"/>
      <c r="QJV1365" s="110"/>
      <c r="QJW1365" s="110"/>
      <c r="QJX1365" s="110"/>
      <c r="QJY1365" s="110"/>
      <c r="QJZ1365" s="110"/>
      <c r="QKA1365" s="110"/>
      <c r="QKB1365" s="110"/>
      <c r="QKC1365" s="110"/>
      <c r="QKD1365" s="110"/>
      <c r="QKE1365" s="110"/>
      <c r="QKF1365" s="110"/>
      <c r="QKG1365" s="110"/>
      <c r="QKH1365" s="110"/>
      <c r="QKI1365" s="110"/>
      <c r="QKJ1365" s="110"/>
      <c r="QKK1365" s="110"/>
      <c r="QKL1365" s="110"/>
      <c r="QKM1365" s="110"/>
      <c r="QKN1365" s="110"/>
      <c r="QKO1365" s="110"/>
      <c r="QKP1365" s="110"/>
      <c r="QKQ1365" s="110"/>
      <c r="QKR1365" s="110"/>
      <c r="QKS1365" s="110"/>
      <c r="QKT1365" s="110"/>
      <c r="QKU1365" s="110"/>
      <c r="QKV1365" s="110"/>
      <c r="QKW1365" s="110"/>
      <c r="QKX1365" s="110"/>
      <c r="QKY1365" s="110"/>
      <c r="QKZ1365" s="110"/>
      <c r="QLA1365" s="110"/>
      <c r="QLB1365" s="110"/>
      <c r="QLC1365" s="110"/>
      <c r="QLD1365" s="110"/>
      <c r="QLE1365" s="110"/>
      <c r="QLF1365" s="110"/>
      <c r="QLG1365" s="110"/>
      <c r="QLH1365" s="110"/>
      <c r="QLI1365" s="110"/>
      <c r="QLJ1365" s="110"/>
      <c r="QLK1365" s="110"/>
      <c r="QLL1365" s="110"/>
      <c r="QLM1365" s="110"/>
      <c r="QLN1365" s="110"/>
      <c r="QLO1365" s="110"/>
      <c r="QLP1365" s="110"/>
      <c r="QLQ1365" s="110"/>
      <c r="QLR1365" s="110"/>
      <c r="QLS1365" s="110"/>
      <c r="QLT1365" s="110"/>
      <c r="QLU1365" s="110"/>
      <c r="QLV1365" s="110"/>
      <c r="QLW1365" s="110"/>
      <c r="QLX1365" s="110"/>
      <c r="QLY1365" s="110"/>
      <c r="QLZ1365" s="110"/>
      <c r="QMA1365" s="110"/>
      <c r="QMB1365" s="110"/>
      <c r="QMC1365" s="110"/>
      <c r="QMD1365" s="110"/>
      <c r="QME1365" s="110"/>
      <c r="QMF1365" s="110"/>
      <c r="QMG1365" s="110"/>
      <c r="QMH1365" s="110"/>
      <c r="QMI1365" s="110"/>
      <c r="QMJ1365" s="110"/>
      <c r="QMK1365" s="110"/>
      <c r="QML1365" s="110"/>
      <c r="QMM1365" s="110"/>
      <c r="QMN1365" s="110"/>
      <c r="QMO1365" s="110"/>
      <c r="QMP1365" s="110"/>
      <c r="QMQ1365" s="110"/>
      <c r="QMR1365" s="110"/>
      <c r="QMS1365" s="110"/>
      <c r="QMT1365" s="110"/>
      <c r="QMU1365" s="110"/>
      <c r="QMV1365" s="110"/>
      <c r="QMW1365" s="110"/>
      <c r="QMX1365" s="110"/>
      <c r="QMY1365" s="110"/>
      <c r="QMZ1365" s="110"/>
      <c r="QNA1365" s="110"/>
      <c r="QNB1365" s="110"/>
      <c r="QNC1365" s="110"/>
      <c r="QND1365" s="110"/>
      <c r="QNE1365" s="110"/>
      <c r="QNF1365" s="110"/>
      <c r="QNG1365" s="110"/>
      <c r="QNH1365" s="110"/>
      <c r="QNI1365" s="110"/>
      <c r="QNJ1365" s="110"/>
      <c r="QNK1365" s="110"/>
      <c r="QNL1365" s="110"/>
      <c r="QNM1365" s="110"/>
      <c r="QNN1365" s="110"/>
      <c r="QNO1365" s="110"/>
      <c r="QNP1365" s="110"/>
      <c r="QNQ1365" s="110"/>
      <c r="QNR1365" s="110"/>
      <c r="QNS1365" s="110"/>
      <c r="QNT1365" s="110"/>
      <c r="QNU1365" s="110"/>
      <c r="QNV1365" s="110"/>
      <c r="QNW1365" s="110"/>
      <c r="QNX1365" s="110"/>
      <c r="QNY1365" s="110"/>
      <c r="QNZ1365" s="110"/>
      <c r="QOA1365" s="110"/>
      <c r="QOB1365" s="110"/>
      <c r="QOC1365" s="110"/>
      <c r="QOD1365" s="110"/>
      <c r="QOE1365" s="110"/>
      <c r="QOF1365" s="110"/>
      <c r="QOG1365" s="110"/>
      <c r="QOH1365" s="110"/>
      <c r="QOI1365" s="110"/>
      <c r="QOJ1365" s="110"/>
      <c r="QOK1365" s="110"/>
      <c r="QOL1365" s="110"/>
      <c r="QOM1365" s="110"/>
      <c r="QON1365" s="110"/>
      <c r="QOO1365" s="110"/>
      <c r="QOP1365" s="110"/>
      <c r="QOQ1365" s="110"/>
      <c r="QOR1365" s="110"/>
      <c r="QOS1365" s="110"/>
      <c r="QOT1365" s="110"/>
      <c r="QOU1365" s="110"/>
      <c r="QOV1365" s="110"/>
      <c r="QOW1365" s="110"/>
      <c r="QOX1365" s="110"/>
      <c r="QOY1365" s="110"/>
      <c r="QOZ1365" s="110"/>
      <c r="QPA1365" s="110"/>
      <c r="QPB1365" s="110"/>
      <c r="QPC1365" s="110"/>
      <c r="QPD1365" s="110"/>
      <c r="QPE1365" s="110"/>
      <c r="QPF1365" s="110"/>
      <c r="QPG1365" s="110"/>
      <c r="QPH1365" s="110"/>
      <c r="QPI1365" s="110"/>
      <c r="QPJ1365" s="110"/>
      <c r="QPK1365" s="110"/>
      <c r="QPL1365" s="110"/>
      <c r="QPM1365" s="110"/>
      <c r="QPN1365" s="110"/>
      <c r="QPO1365" s="110"/>
      <c r="QPP1365" s="110"/>
      <c r="QPQ1365" s="110"/>
      <c r="QPR1365" s="110"/>
      <c r="QPS1365" s="110"/>
      <c r="QPT1365" s="110"/>
      <c r="QPU1365" s="110"/>
      <c r="QPV1365" s="110"/>
      <c r="QPW1365" s="110"/>
      <c r="QPX1365" s="110"/>
      <c r="QPY1365" s="110"/>
      <c r="QPZ1365" s="110"/>
      <c r="QQA1365" s="110"/>
      <c r="QQB1365" s="110"/>
      <c r="QQC1365" s="110"/>
      <c r="QQD1365" s="110"/>
      <c r="QQE1365" s="110"/>
      <c r="QQF1365" s="110"/>
      <c r="QQG1365" s="110"/>
      <c r="QQH1365" s="110"/>
      <c r="QQI1365" s="110"/>
      <c r="QQJ1365" s="110"/>
      <c r="QQK1365" s="110"/>
      <c r="QQL1365" s="110"/>
      <c r="QQM1365" s="110"/>
      <c r="QQN1365" s="110"/>
      <c r="QQO1365" s="110"/>
      <c r="QQP1365" s="110"/>
      <c r="QQQ1365" s="110"/>
      <c r="QQR1365" s="110"/>
      <c r="QQS1365" s="110"/>
      <c r="QQT1365" s="110"/>
      <c r="QQU1365" s="110"/>
      <c r="QQV1365" s="110"/>
      <c r="QQW1365" s="110"/>
      <c r="QQX1365" s="110"/>
      <c r="QQY1365" s="110"/>
      <c r="QQZ1365" s="110"/>
      <c r="QRA1365" s="110"/>
      <c r="QRB1365" s="110"/>
      <c r="QRC1365" s="110"/>
      <c r="QRD1365" s="110"/>
      <c r="QRE1365" s="110"/>
      <c r="QRF1365" s="110"/>
      <c r="QRG1365" s="110"/>
      <c r="QRH1365" s="110"/>
      <c r="QRI1365" s="110"/>
      <c r="QRJ1365" s="110"/>
      <c r="QRK1365" s="110"/>
      <c r="QRL1365" s="110"/>
      <c r="QRM1365" s="110"/>
      <c r="QRN1365" s="110"/>
      <c r="QRO1365" s="110"/>
      <c r="QRP1365" s="110"/>
      <c r="QRQ1365" s="110"/>
      <c r="QRR1365" s="110"/>
      <c r="QRS1365" s="110"/>
      <c r="QRT1365" s="110"/>
      <c r="QRU1365" s="110"/>
      <c r="QRV1365" s="110"/>
      <c r="QRW1365" s="110"/>
      <c r="QRX1365" s="110"/>
      <c r="QRY1365" s="110"/>
      <c r="QRZ1365" s="110"/>
      <c r="QSA1365" s="110"/>
      <c r="QSB1365" s="110"/>
      <c r="QSC1365" s="110"/>
      <c r="QSD1365" s="110"/>
      <c r="QSE1365" s="110"/>
      <c r="QSF1365" s="110"/>
      <c r="QSG1365" s="110"/>
      <c r="QSH1365" s="110"/>
      <c r="QSI1365" s="110"/>
      <c r="QSJ1365" s="110"/>
      <c r="QSK1365" s="110"/>
      <c r="QSL1365" s="110"/>
      <c r="QSM1365" s="110"/>
      <c r="QSN1365" s="110"/>
      <c r="QSO1365" s="110"/>
      <c r="QSP1365" s="110"/>
      <c r="QSQ1365" s="110"/>
      <c r="QSR1365" s="110"/>
      <c r="QSS1365" s="110"/>
      <c r="QST1365" s="110"/>
      <c r="QSU1365" s="110"/>
      <c r="QSV1365" s="110"/>
      <c r="QSW1365" s="110"/>
      <c r="QSX1365" s="110"/>
      <c r="QSY1365" s="110"/>
      <c r="QSZ1365" s="110"/>
      <c r="QTA1365" s="110"/>
      <c r="QTB1365" s="110"/>
      <c r="QTC1365" s="110"/>
      <c r="QTD1365" s="110"/>
      <c r="QTE1365" s="110"/>
      <c r="QTF1365" s="110"/>
      <c r="QTG1365" s="110"/>
      <c r="QTH1365" s="110"/>
      <c r="QTI1365" s="110"/>
      <c r="QTJ1365" s="110"/>
      <c r="QTK1365" s="110"/>
      <c r="QTL1365" s="110"/>
      <c r="QTM1365" s="110"/>
      <c r="QTN1365" s="110"/>
      <c r="QTO1365" s="110"/>
      <c r="QTP1365" s="110"/>
      <c r="QTQ1365" s="110"/>
      <c r="QTR1365" s="110"/>
      <c r="QTS1365" s="110"/>
      <c r="QTT1365" s="110"/>
      <c r="QTU1365" s="110"/>
      <c r="QTV1365" s="110"/>
      <c r="QTW1365" s="110"/>
      <c r="QTX1365" s="110"/>
      <c r="QTY1365" s="110"/>
      <c r="QTZ1365" s="110"/>
      <c r="QUA1365" s="110"/>
      <c r="QUB1365" s="110"/>
      <c r="QUC1365" s="110"/>
      <c r="QUD1365" s="110"/>
      <c r="QUE1365" s="110"/>
      <c r="QUF1365" s="110"/>
      <c r="QUG1365" s="110"/>
      <c r="QUH1365" s="110"/>
      <c r="QUI1365" s="110"/>
      <c r="QUJ1365" s="110"/>
      <c r="QUK1365" s="110"/>
      <c r="QUL1365" s="110"/>
      <c r="QUM1365" s="110"/>
      <c r="QUN1365" s="110"/>
      <c r="QUO1365" s="110"/>
      <c r="QUP1365" s="110"/>
      <c r="QUQ1365" s="110"/>
      <c r="QUR1365" s="110"/>
      <c r="QUS1365" s="110"/>
      <c r="QUT1365" s="110"/>
      <c r="QUU1365" s="110"/>
      <c r="QUV1365" s="110"/>
      <c r="QUW1365" s="110"/>
      <c r="QUX1365" s="110"/>
      <c r="QUY1365" s="110"/>
      <c r="QUZ1365" s="110"/>
      <c r="QVA1365" s="110"/>
      <c r="QVB1365" s="110"/>
      <c r="QVC1365" s="110"/>
      <c r="QVD1365" s="110"/>
      <c r="QVE1365" s="110"/>
      <c r="QVF1365" s="110"/>
      <c r="QVG1365" s="110"/>
      <c r="QVH1365" s="110"/>
      <c r="QVI1365" s="110"/>
      <c r="QVJ1365" s="110"/>
      <c r="QVK1365" s="110"/>
      <c r="QVL1365" s="110"/>
      <c r="QVM1365" s="110"/>
      <c r="QVN1365" s="110"/>
      <c r="QVO1365" s="110"/>
      <c r="QVP1365" s="110"/>
      <c r="QVQ1365" s="110"/>
      <c r="QVR1365" s="110"/>
      <c r="QVS1365" s="110"/>
      <c r="QVT1365" s="110"/>
      <c r="QVU1365" s="110"/>
      <c r="QVV1365" s="110"/>
      <c r="QVW1365" s="110"/>
      <c r="QVX1365" s="110"/>
      <c r="QVY1365" s="110"/>
      <c r="QVZ1365" s="110"/>
      <c r="QWA1365" s="110"/>
      <c r="QWB1365" s="110"/>
      <c r="QWC1365" s="110"/>
      <c r="QWD1365" s="110"/>
      <c r="QWE1365" s="110"/>
      <c r="QWF1365" s="110"/>
      <c r="QWG1365" s="110"/>
      <c r="QWH1365" s="110"/>
      <c r="QWI1365" s="110"/>
      <c r="QWJ1365" s="110"/>
      <c r="QWK1365" s="110"/>
      <c r="QWL1365" s="110"/>
      <c r="QWM1365" s="110"/>
      <c r="QWN1365" s="110"/>
      <c r="QWO1365" s="110"/>
      <c r="QWP1365" s="110"/>
      <c r="QWQ1365" s="110"/>
      <c r="QWR1365" s="110"/>
      <c r="QWS1365" s="110"/>
      <c r="QWT1365" s="110"/>
      <c r="QWU1365" s="110"/>
      <c r="QWV1365" s="110"/>
      <c r="QWW1365" s="110"/>
      <c r="QWX1365" s="110"/>
      <c r="QWY1365" s="110"/>
      <c r="QWZ1365" s="110"/>
      <c r="QXA1365" s="110"/>
      <c r="QXB1365" s="110"/>
      <c r="QXC1365" s="110"/>
      <c r="QXD1365" s="110"/>
      <c r="QXE1365" s="110"/>
      <c r="QXF1365" s="110"/>
      <c r="QXG1365" s="110"/>
      <c r="QXH1365" s="110"/>
      <c r="QXI1365" s="110"/>
      <c r="QXJ1365" s="110"/>
      <c r="QXK1365" s="110"/>
      <c r="QXL1365" s="110"/>
      <c r="QXM1365" s="110"/>
      <c r="QXN1365" s="110"/>
      <c r="QXO1365" s="110"/>
      <c r="QXP1365" s="110"/>
      <c r="QXQ1365" s="110"/>
      <c r="QXR1365" s="110"/>
      <c r="QXS1365" s="110"/>
      <c r="QXT1365" s="110"/>
      <c r="QXU1365" s="110"/>
      <c r="QXV1365" s="110"/>
      <c r="QXW1365" s="110"/>
      <c r="QXX1365" s="110"/>
      <c r="QXY1365" s="110"/>
      <c r="QXZ1365" s="110"/>
      <c r="QYA1365" s="110"/>
      <c r="QYB1365" s="110"/>
      <c r="QYC1365" s="110"/>
      <c r="QYD1365" s="110"/>
      <c r="QYE1365" s="110"/>
      <c r="QYF1365" s="110"/>
      <c r="QYG1365" s="110"/>
      <c r="QYH1365" s="110"/>
      <c r="QYI1365" s="110"/>
      <c r="QYJ1365" s="110"/>
      <c r="QYK1365" s="110"/>
      <c r="QYL1365" s="110"/>
      <c r="QYM1365" s="110"/>
      <c r="QYN1365" s="110"/>
      <c r="QYO1365" s="110"/>
      <c r="QYP1365" s="110"/>
      <c r="QYQ1365" s="110"/>
      <c r="QYR1365" s="110"/>
      <c r="QYS1365" s="110"/>
      <c r="QYT1365" s="110"/>
      <c r="QYU1365" s="110"/>
      <c r="QYV1365" s="110"/>
      <c r="QYW1365" s="110"/>
      <c r="QYX1365" s="110"/>
      <c r="QYY1365" s="110"/>
      <c r="QYZ1365" s="110"/>
      <c r="QZA1365" s="110"/>
      <c r="QZB1365" s="110"/>
      <c r="QZC1365" s="110"/>
      <c r="QZD1365" s="110"/>
      <c r="QZE1365" s="110"/>
      <c r="QZF1365" s="110"/>
      <c r="QZG1365" s="110"/>
      <c r="QZH1365" s="110"/>
      <c r="QZI1365" s="110"/>
      <c r="QZJ1365" s="110"/>
      <c r="QZK1365" s="110"/>
      <c r="QZL1365" s="110"/>
      <c r="QZM1365" s="110"/>
      <c r="QZN1365" s="110"/>
      <c r="QZO1365" s="110"/>
      <c r="QZP1365" s="110"/>
      <c r="QZQ1365" s="110"/>
      <c r="QZR1365" s="110"/>
      <c r="QZS1365" s="110"/>
      <c r="QZT1365" s="110"/>
      <c r="QZU1365" s="110"/>
      <c r="QZV1365" s="110"/>
      <c r="QZW1365" s="110"/>
      <c r="QZX1365" s="110"/>
      <c r="QZY1365" s="110"/>
      <c r="QZZ1365" s="110"/>
      <c r="RAA1365" s="110"/>
      <c r="RAB1365" s="110"/>
      <c r="RAC1365" s="110"/>
      <c r="RAD1365" s="110"/>
      <c r="RAE1365" s="110"/>
      <c r="RAF1365" s="110"/>
      <c r="RAG1365" s="110"/>
      <c r="RAH1365" s="110"/>
      <c r="RAI1365" s="110"/>
      <c r="RAJ1365" s="110"/>
      <c r="RAK1365" s="110"/>
      <c r="RAL1365" s="110"/>
      <c r="RAM1365" s="110"/>
      <c r="RAN1365" s="110"/>
      <c r="RAO1365" s="110"/>
      <c r="RAP1365" s="110"/>
      <c r="RAQ1365" s="110"/>
      <c r="RAR1365" s="110"/>
      <c r="RAS1365" s="110"/>
      <c r="RAT1365" s="110"/>
      <c r="RAU1365" s="110"/>
      <c r="RAV1365" s="110"/>
      <c r="RAW1365" s="110"/>
      <c r="RAX1365" s="110"/>
      <c r="RAY1365" s="110"/>
      <c r="RAZ1365" s="110"/>
      <c r="RBA1365" s="110"/>
      <c r="RBB1365" s="110"/>
      <c r="RBC1365" s="110"/>
      <c r="RBD1365" s="110"/>
      <c r="RBE1365" s="110"/>
      <c r="RBF1365" s="110"/>
      <c r="RBG1365" s="110"/>
      <c r="RBH1365" s="110"/>
      <c r="RBI1365" s="110"/>
      <c r="RBJ1365" s="110"/>
      <c r="RBK1365" s="110"/>
      <c r="RBL1365" s="110"/>
      <c r="RBM1365" s="110"/>
      <c r="RBN1365" s="110"/>
      <c r="RBO1365" s="110"/>
      <c r="RBP1365" s="110"/>
      <c r="RBQ1365" s="110"/>
      <c r="RBR1365" s="110"/>
      <c r="RBS1365" s="110"/>
      <c r="RBT1365" s="110"/>
      <c r="RBU1365" s="110"/>
      <c r="RBV1365" s="110"/>
      <c r="RBW1365" s="110"/>
      <c r="RBX1365" s="110"/>
      <c r="RBY1365" s="110"/>
      <c r="RBZ1365" s="110"/>
      <c r="RCA1365" s="110"/>
      <c r="RCB1365" s="110"/>
      <c r="RCC1365" s="110"/>
      <c r="RCD1365" s="110"/>
      <c r="RCE1365" s="110"/>
      <c r="RCF1365" s="110"/>
      <c r="RCG1365" s="110"/>
      <c r="RCH1365" s="110"/>
      <c r="RCI1365" s="110"/>
      <c r="RCJ1365" s="110"/>
      <c r="RCK1365" s="110"/>
      <c r="RCL1365" s="110"/>
      <c r="RCM1365" s="110"/>
      <c r="RCN1365" s="110"/>
      <c r="RCO1365" s="110"/>
      <c r="RCP1365" s="110"/>
      <c r="RCQ1365" s="110"/>
      <c r="RCR1365" s="110"/>
      <c r="RCS1365" s="110"/>
      <c r="RCT1365" s="110"/>
      <c r="RCU1365" s="110"/>
      <c r="RCV1365" s="110"/>
      <c r="RCW1365" s="110"/>
      <c r="RCX1365" s="110"/>
      <c r="RCY1365" s="110"/>
      <c r="RCZ1365" s="110"/>
      <c r="RDA1365" s="110"/>
      <c r="RDB1365" s="110"/>
      <c r="RDC1365" s="110"/>
      <c r="RDD1365" s="110"/>
      <c r="RDE1365" s="110"/>
      <c r="RDF1365" s="110"/>
      <c r="RDG1365" s="110"/>
      <c r="RDH1365" s="110"/>
      <c r="RDI1365" s="110"/>
      <c r="RDJ1365" s="110"/>
      <c r="RDK1365" s="110"/>
      <c r="RDL1365" s="110"/>
      <c r="RDM1365" s="110"/>
      <c r="RDN1365" s="110"/>
      <c r="RDO1365" s="110"/>
      <c r="RDP1365" s="110"/>
      <c r="RDQ1365" s="110"/>
      <c r="RDR1365" s="110"/>
      <c r="RDS1365" s="110"/>
      <c r="RDT1365" s="110"/>
      <c r="RDU1365" s="110"/>
      <c r="RDV1365" s="110"/>
      <c r="RDW1365" s="110"/>
      <c r="RDX1365" s="110"/>
      <c r="RDY1365" s="110"/>
      <c r="RDZ1365" s="110"/>
      <c r="REA1365" s="110"/>
      <c r="REB1365" s="110"/>
      <c r="REC1365" s="110"/>
      <c r="RED1365" s="110"/>
      <c r="REE1365" s="110"/>
      <c r="REF1365" s="110"/>
      <c r="REG1365" s="110"/>
      <c r="REH1365" s="110"/>
      <c r="REI1365" s="110"/>
      <c r="REJ1365" s="110"/>
      <c r="REK1365" s="110"/>
      <c r="REL1365" s="110"/>
      <c r="REM1365" s="110"/>
      <c r="REN1365" s="110"/>
      <c r="REO1365" s="110"/>
      <c r="REP1365" s="110"/>
      <c r="REQ1365" s="110"/>
      <c r="RER1365" s="110"/>
      <c r="RES1365" s="110"/>
      <c r="RET1365" s="110"/>
      <c r="REU1365" s="110"/>
      <c r="REV1365" s="110"/>
      <c r="REW1365" s="110"/>
      <c r="REX1365" s="110"/>
      <c r="REY1365" s="110"/>
      <c r="REZ1365" s="110"/>
      <c r="RFA1365" s="110"/>
      <c r="RFB1365" s="110"/>
      <c r="RFC1365" s="110"/>
      <c r="RFD1365" s="110"/>
      <c r="RFE1365" s="110"/>
      <c r="RFF1365" s="110"/>
      <c r="RFG1365" s="110"/>
      <c r="RFH1365" s="110"/>
      <c r="RFI1365" s="110"/>
      <c r="RFJ1365" s="110"/>
      <c r="RFK1365" s="110"/>
      <c r="RFL1365" s="110"/>
      <c r="RFM1365" s="110"/>
      <c r="RFN1365" s="110"/>
      <c r="RFO1365" s="110"/>
      <c r="RFP1365" s="110"/>
      <c r="RFQ1365" s="110"/>
      <c r="RFR1365" s="110"/>
      <c r="RFS1365" s="110"/>
      <c r="RFT1365" s="110"/>
      <c r="RFU1365" s="110"/>
      <c r="RFV1365" s="110"/>
      <c r="RFW1365" s="110"/>
      <c r="RFX1365" s="110"/>
      <c r="RFY1365" s="110"/>
      <c r="RFZ1365" s="110"/>
      <c r="RGA1365" s="110"/>
      <c r="RGB1365" s="110"/>
      <c r="RGC1365" s="110"/>
      <c r="RGD1365" s="110"/>
      <c r="RGE1365" s="110"/>
      <c r="RGF1365" s="110"/>
      <c r="RGG1365" s="110"/>
      <c r="RGH1365" s="110"/>
      <c r="RGI1365" s="110"/>
      <c r="RGJ1365" s="110"/>
      <c r="RGK1365" s="110"/>
      <c r="RGL1365" s="110"/>
      <c r="RGM1365" s="110"/>
      <c r="RGN1365" s="110"/>
      <c r="RGO1365" s="110"/>
      <c r="RGP1365" s="110"/>
      <c r="RGQ1365" s="110"/>
      <c r="RGR1365" s="110"/>
      <c r="RGS1365" s="110"/>
      <c r="RGT1365" s="110"/>
      <c r="RGU1365" s="110"/>
      <c r="RGV1365" s="110"/>
      <c r="RGW1365" s="110"/>
      <c r="RGX1365" s="110"/>
      <c r="RGY1365" s="110"/>
      <c r="RGZ1365" s="110"/>
      <c r="RHA1365" s="110"/>
      <c r="RHB1365" s="110"/>
      <c r="RHC1365" s="110"/>
      <c r="RHD1365" s="110"/>
      <c r="RHE1365" s="110"/>
      <c r="RHF1365" s="110"/>
      <c r="RHG1365" s="110"/>
      <c r="RHH1365" s="110"/>
      <c r="RHI1365" s="110"/>
      <c r="RHJ1365" s="110"/>
      <c r="RHK1365" s="110"/>
      <c r="RHL1365" s="110"/>
      <c r="RHM1365" s="110"/>
      <c r="RHN1365" s="110"/>
      <c r="RHO1365" s="110"/>
      <c r="RHP1365" s="110"/>
      <c r="RHQ1365" s="110"/>
      <c r="RHR1365" s="110"/>
      <c r="RHS1365" s="110"/>
      <c r="RHT1365" s="110"/>
      <c r="RHU1365" s="110"/>
      <c r="RHV1365" s="110"/>
      <c r="RHW1365" s="110"/>
      <c r="RHX1365" s="110"/>
      <c r="RHY1365" s="110"/>
      <c r="RHZ1365" s="110"/>
      <c r="RIA1365" s="110"/>
      <c r="RIB1365" s="110"/>
      <c r="RIC1365" s="110"/>
      <c r="RID1365" s="110"/>
      <c r="RIE1365" s="110"/>
      <c r="RIF1365" s="110"/>
      <c r="RIG1365" s="110"/>
      <c r="RIH1365" s="110"/>
      <c r="RII1365" s="110"/>
      <c r="RIJ1365" s="110"/>
      <c r="RIK1365" s="110"/>
      <c r="RIL1365" s="110"/>
      <c r="RIM1365" s="110"/>
      <c r="RIN1365" s="110"/>
      <c r="RIO1365" s="110"/>
      <c r="RIP1365" s="110"/>
      <c r="RIQ1365" s="110"/>
      <c r="RIR1365" s="110"/>
      <c r="RIS1365" s="110"/>
      <c r="RIT1365" s="110"/>
      <c r="RIU1365" s="110"/>
      <c r="RIV1365" s="110"/>
      <c r="RIW1365" s="110"/>
      <c r="RIX1365" s="110"/>
      <c r="RIY1365" s="110"/>
      <c r="RIZ1365" s="110"/>
      <c r="RJA1365" s="110"/>
      <c r="RJB1365" s="110"/>
      <c r="RJC1365" s="110"/>
      <c r="RJD1365" s="110"/>
      <c r="RJE1365" s="110"/>
      <c r="RJF1365" s="110"/>
      <c r="RJG1365" s="110"/>
      <c r="RJH1365" s="110"/>
      <c r="RJI1365" s="110"/>
      <c r="RJJ1365" s="110"/>
      <c r="RJK1365" s="110"/>
      <c r="RJL1365" s="110"/>
      <c r="RJM1365" s="110"/>
      <c r="RJN1365" s="110"/>
      <c r="RJO1365" s="110"/>
      <c r="RJP1365" s="110"/>
      <c r="RJQ1365" s="110"/>
      <c r="RJR1365" s="110"/>
      <c r="RJS1365" s="110"/>
      <c r="RJT1365" s="110"/>
      <c r="RJU1365" s="110"/>
      <c r="RJV1365" s="110"/>
      <c r="RJW1365" s="110"/>
      <c r="RJX1365" s="110"/>
      <c r="RJY1365" s="110"/>
      <c r="RJZ1365" s="110"/>
      <c r="RKA1365" s="110"/>
      <c r="RKB1365" s="110"/>
      <c r="RKC1365" s="110"/>
      <c r="RKD1365" s="110"/>
      <c r="RKE1365" s="110"/>
      <c r="RKF1365" s="110"/>
      <c r="RKG1365" s="110"/>
      <c r="RKH1365" s="110"/>
      <c r="RKI1365" s="110"/>
      <c r="RKJ1365" s="110"/>
      <c r="RKK1365" s="110"/>
      <c r="RKL1365" s="110"/>
      <c r="RKM1365" s="110"/>
      <c r="RKN1365" s="110"/>
      <c r="RKO1365" s="110"/>
      <c r="RKP1365" s="110"/>
      <c r="RKQ1365" s="110"/>
      <c r="RKR1365" s="110"/>
      <c r="RKS1365" s="110"/>
      <c r="RKT1365" s="110"/>
      <c r="RKU1365" s="110"/>
      <c r="RKV1365" s="110"/>
      <c r="RKW1365" s="110"/>
      <c r="RKX1365" s="110"/>
      <c r="RKY1365" s="110"/>
      <c r="RKZ1365" s="110"/>
      <c r="RLA1365" s="110"/>
      <c r="RLB1365" s="110"/>
      <c r="RLC1365" s="110"/>
      <c r="RLD1365" s="110"/>
      <c r="RLE1365" s="110"/>
      <c r="RLF1365" s="110"/>
      <c r="RLG1365" s="110"/>
      <c r="RLH1365" s="110"/>
      <c r="RLI1365" s="110"/>
      <c r="RLJ1365" s="110"/>
      <c r="RLK1365" s="110"/>
      <c r="RLL1365" s="110"/>
      <c r="RLM1365" s="110"/>
      <c r="RLN1365" s="110"/>
      <c r="RLO1365" s="110"/>
      <c r="RLP1365" s="110"/>
      <c r="RLQ1365" s="110"/>
      <c r="RLR1365" s="110"/>
      <c r="RLS1365" s="110"/>
      <c r="RLT1365" s="110"/>
      <c r="RLU1365" s="110"/>
      <c r="RLV1365" s="110"/>
      <c r="RLW1365" s="110"/>
      <c r="RLX1365" s="110"/>
      <c r="RLY1365" s="110"/>
      <c r="RLZ1365" s="110"/>
      <c r="RMA1365" s="110"/>
      <c r="RMB1365" s="110"/>
      <c r="RMC1365" s="110"/>
      <c r="RMD1365" s="110"/>
      <c r="RME1365" s="110"/>
      <c r="RMF1365" s="110"/>
      <c r="RMG1365" s="110"/>
      <c r="RMH1365" s="110"/>
      <c r="RMI1365" s="110"/>
      <c r="RMJ1365" s="110"/>
      <c r="RMK1365" s="110"/>
      <c r="RML1365" s="110"/>
      <c r="RMM1365" s="110"/>
      <c r="RMN1365" s="110"/>
      <c r="RMO1365" s="110"/>
      <c r="RMP1365" s="110"/>
      <c r="RMQ1365" s="110"/>
      <c r="RMR1365" s="110"/>
      <c r="RMS1365" s="110"/>
      <c r="RMT1365" s="110"/>
      <c r="RMU1365" s="110"/>
      <c r="RMV1365" s="110"/>
      <c r="RMW1365" s="110"/>
      <c r="RMX1365" s="110"/>
      <c r="RMY1365" s="110"/>
      <c r="RMZ1365" s="110"/>
      <c r="RNA1365" s="110"/>
      <c r="RNB1365" s="110"/>
      <c r="RNC1365" s="110"/>
      <c r="RND1365" s="110"/>
      <c r="RNE1365" s="110"/>
      <c r="RNF1365" s="110"/>
      <c r="RNG1365" s="110"/>
      <c r="RNH1365" s="110"/>
      <c r="RNI1365" s="110"/>
      <c r="RNJ1365" s="110"/>
      <c r="RNK1365" s="110"/>
      <c r="RNL1365" s="110"/>
      <c r="RNM1365" s="110"/>
      <c r="RNN1365" s="110"/>
      <c r="RNO1365" s="110"/>
      <c r="RNP1365" s="110"/>
      <c r="RNQ1365" s="110"/>
      <c r="RNR1365" s="110"/>
      <c r="RNS1365" s="110"/>
      <c r="RNT1365" s="110"/>
      <c r="RNU1365" s="110"/>
      <c r="RNV1365" s="110"/>
      <c r="RNW1365" s="110"/>
      <c r="RNX1365" s="110"/>
      <c r="RNY1365" s="110"/>
      <c r="RNZ1365" s="110"/>
      <c r="ROA1365" s="110"/>
      <c r="ROB1365" s="110"/>
      <c r="ROC1365" s="110"/>
      <c r="ROD1365" s="110"/>
      <c r="ROE1365" s="110"/>
      <c r="ROF1365" s="110"/>
      <c r="ROG1365" s="110"/>
      <c r="ROH1365" s="110"/>
      <c r="ROI1365" s="110"/>
      <c r="ROJ1365" s="110"/>
      <c r="ROK1365" s="110"/>
      <c r="ROL1365" s="110"/>
      <c r="ROM1365" s="110"/>
      <c r="RON1365" s="110"/>
      <c r="ROO1365" s="110"/>
      <c r="ROP1365" s="110"/>
      <c r="ROQ1365" s="110"/>
      <c r="ROR1365" s="110"/>
      <c r="ROS1365" s="110"/>
      <c r="ROT1365" s="110"/>
      <c r="ROU1365" s="110"/>
      <c r="ROV1365" s="110"/>
      <c r="ROW1365" s="110"/>
      <c r="ROX1365" s="110"/>
      <c r="ROY1365" s="110"/>
      <c r="ROZ1365" s="110"/>
      <c r="RPA1365" s="110"/>
      <c r="RPB1365" s="110"/>
      <c r="RPC1365" s="110"/>
      <c r="RPD1365" s="110"/>
      <c r="RPE1365" s="110"/>
      <c r="RPF1365" s="110"/>
      <c r="RPG1365" s="110"/>
      <c r="RPH1365" s="110"/>
      <c r="RPI1365" s="110"/>
      <c r="RPJ1365" s="110"/>
      <c r="RPK1365" s="110"/>
      <c r="RPL1365" s="110"/>
      <c r="RPM1365" s="110"/>
      <c r="RPN1365" s="110"/>
      <c r="RPO1365" s="110"/>
      <c r="RPP1365" s="110"/>
      <c r="RPQ1365" s="110"/>
      <c r="RPR1365" s="110"/>
      <c r="RPS1365" s="110"/>
      <c r="RPT1365" s="110"/>
      <c r="RPU1365" s="110"/>
      <c r="RPV1365" s="110"/>
      <c r="RPW1365" s="110"/>
      <c r="RPX1365" s="110"/>
      <c r="RPY1365" s="110"/>
      <c r="RPZ1365" s="110"/>
      <c r="RQA1365" s="110"/>
      <c r="RQB1365" s="110"/>
      <c r="RQC1365" s="110"/>
      <c r="RQD1365" s="110"/>
      <c r="RQE1365" s="110"/>
      <c r="RQF1365" s="110"/>
      <c r="RQG1365" s="110"/>
      <c r="RQH1365" s="110"/>
      <c r="RQI1365" s="110"/>
      <c r="RQJ1365" s="110"/>
      <c r="RQK1365" s="110"/>
      <c r="RQL1365" s="110"/>
      <c r="RQM1365" s="110"/>
      <c r="RQN1365" s="110"/>
      <c r="RQO1365" s="110"/>
      <c r="RQP1365" s="110"/>
      <c r="RQQ1365" s="110"/>
      <c r="RQR1365" s="110"/>
      <c r="RQS1365" s="110"/>
      <c r="RQT1365" s="110"/>
      <c r="RQU1365" s="110"/>
      <c r="RQV1365" s="110"/>
      <c r="RQW1365" s="110"/>
      <c r="RQX1365" s="110"/>
      <c r="RQY1365" s="110"/>
      <c r="RQZ1365" s="110"/>
      <c r="RRA1365" s="110"/>
      <c r="RRB1365" s="110"/>
      <c r="RRC1365" s="110"/>
      <c r="RRD1365" s="110"/>
      <c r="RRE1365" s="110"/>
      <c r="RRF1365" s="110"/>
      <c r="RRG1365" s="110"/>
      <c r="RRH1365" s="110"/>
      <c r="RRI1365" s="110"/>
      <c r="RRJ1365" s="110"/>
      <c r="RRK1365" s="110"/>
      <c r="RRL1365" s="110"/>
      <c r="RRM1365" s="110"/>
      <c r="RRN1365" s="110"/>
      <c r="RRO1365" s="110"/>
      <c r="RRP1365" s="110"/>
      <c r="RRQ1365" s="110"/>
      <c r="RRR1365" s="110"/>
      <c r="RRS1365" s="110"/>
      <c r="RRT1365" s="110"/>
      <c r="RRU1365" s="110"/>
      <c r="RRV1365" s="110"/>
      <c r="RRW1365" s="110"/>
      <c r="RRX1365" s="110"/>
      <c r="RRY1365" s="110"/>
      <c r="RRZ1365" s="110"/>
      <c r="RSA1365" s="110"/>
      <c r="RSB1365" s="110"/>
      <c r="RSC1365" s="110"/>
      <c r="RSD1365" s="110"/>
      <c r="RSE1365" s="110"/>
      <c r="RSF1365" s="110"/>
      <c r="RSG1365" s="110"/>
      <c r="RSH1365" s="110"/>
      <c r="RSI1365" s="110"/>
      <c r="RSJ1365" s="110"/>
      <c r="RSK1365" s="110"/>
      <c r="RSL1365" s="110"/>
      <c r="RSM1365" s="110"/>
      <c r="RSN1365" s="110"/>
      <c r="RSO1365" s="110"/>
      <c r="RSP1365" s="110"/>
      <c r="RSQ1365" s="110"/>
      <c r="RSR1365" s="110"/>
      <c r="RSS1365" s="110"/>
      <c r="RST1365" s="110"/>
      <c r="RSU1365" s="110"/>
      <c r="RSV1365" s="110"/>
      <c r="RSW1365" s="110"/>
      <c r="RSX1365" s="110"/>
      <c r="RSY1365" s="110"/>
      <c r="RSZ1365" s="110"/>
      <c r="RTA1365" s="110"/>
      <c r="RTB1365" s="110"/>
      <c r="RTC1365" s="110"/>
      <c r="RTD1365" s="110"/>
      <c r="RTE1365" s="110"/>
      <c r="RTF1365" s="110"/>
      <c r="RTG1365" s="110"/>
      <c r="RTH1365" s="110"/>
      <c r="RTI1365" s="110"/>
      <c r="RTJ1365" s="110"/>
      <c r="RTK1365" s="110"/>
      <c r="RTL1365" s="110"/>
      <c r="RTM1365" s="110"/>
      <c r="RTN1365" s="110"/>
      <c r="RTO1365" s="110"/>
      <c r="RTP1365" s="110"/>
      <c r="RTQ1365" s="110"/>
      <c r="RTR1365" s="110"/>
      <c r="RTS1365" s="110"/>
      <c r="RTT1365" s="110"/>
      <c r="RTU1365" s="110"/>
      <c r="RTV1365" s="110"/>
      <c r="RTW1365" s="110"/>
      <c r="RTX1365" s="110"/>
      <c r="RTY1365" s="110"/>
      <c r="RTZ1365" s="110"/>
      <c r="RUA1365" s="110"/>
      <c r="RUB1365" s="110"/>
      <c r="RUC1365" s="110"/>
      <c r="RUD1365" s="110"/>
      <c r="RUE1365" s="110"/>
      <c r="RUF1365" s="110"/>
      <c r="RUG1365" s="110"/>
      <c r="RUH1365" s="110"/>
      <c r="RUI1365" s="110"/>
      <c r="RUJ1365" s="110"/>
      <c r="RUK1365" s="110"/>
      <c r="RUL1365" s="110"/>
      <c r="RUM1365" s="110"/>
      <c r="RUN1365" s="110"/>
      <c r="RUO1365" s="110"/>
      <c r="RUP1365" s="110"/>
      <c r="RUQ1365" s="110"/>
      <c r="RUR1365" s="110"/>
      <c r="RUS1365" s="110"/>
      <c r="RUT1365" s="110"/>
      <c r="RUU1365" s="110"/>
      <c r="RUV1365" s="110"/>
      <c r="RUW1365" s="110"/>
      <c r="RUX1365" s="110"/>
      <c r="RUY1365" s="110"/>
      <c r="RUZ1365" s="110"/>
      <c r="RVA1365" s="110"/>
      <c r="RVB1365" s="110"/>
      <c r="RVC1365" s="110"/>
      <c r="RVD1365" s="110"/>
      <c r="RVE1365" s="110"/>
      <c r="RVF1365" s="110"/>
      <c r="RVG1365" s="110"/>
      <c r="RVH1365" s="110"/>
      <c r="RVI1365" s="110"/>
      <c r="RVJ1365" s="110"/>
      <c r="RVK1365" s="110"/>
      <c r="RVL1365" s="110"/>
      <c r="RVM1365" s="110"/>
      <c r="RVN1365" s="110"/>
      <c r="RVO1365" s="110"/>
      <c r="RVP1365" s="110"/>
      <c r="RVQ1365" s="110"/>
      <c r="RVR1365" s="110"/>
      <c r="RVS1365" s="110"/>
      <c r="RVT1365" s="110"/>
      <c r="RVU1365" s="110"/>
      <c r="RVV1365" s="110"/>
      <c r="RVW1365" s="110"/>
      <c r="RVX1365" s="110"/>
      <c r="RVY1365" s="110"/>
      <c r="RVZ1365" s="110"/>
      <c r="RWA1365" s="110"/>
      <c r="RWB1365" s="110"/>
      <c r="RWC1365" s="110"/>
      <c r="RWD1365" s="110"/>
      <c r="RWE1365" s="110"/>
      <c r="RWF1365" s="110"/>
      <c r="RWG1365" s="110"/>
      <c r="RWH1365" s="110"/>
      <c r="RWI1365" s="110"/>
      <c r="RWJ1365" s="110"/>
      <c r="RWK1365" s="110"/>
      <c r="RWL1365" s="110"/>
      <c r="RWM1365" s="110"/>
      <c r="RWN1365" s="110"/>
      <c r="RWO1365" s="110"/>
      <c r="RWP1365" s="110"/>
      <c r="RWQ1365" s="110"/>
      <c r="RWR1365" s="110"/>
      <c r="RWS1365" s="110"/>
      <c r="RWT1365" s="110"/>
      <c r="RWU1365" s="110"/>
      <c r="RWV1365" s="110"/>
      <c r="RWW1365" s="110"/>
      <c r="RWX1365" s="110"/>
      <c r="RWY1365" s="110"/>
      <c r="RWZ1365" s="110"/>
      <c r="RXA1365" s="110"/>
      <c r="RXB1365" s="110"/>
      <c r="RXC1365" s="110"/>
      <c r="RXD1365" s="110"/>
      <c r="RXE1365" s="110"/>
      <c r="RXF1365" s="110"/>
      <c r="RXG1365" s="110"/>
      <c r="RXH1365" s="110"/>
      <c r="RXI1365" s="110"/>
      <c r="RXJ1365" s="110"/>
      <c r="RXK1365" s="110"/>
      <c r="RXL1365" s="110"/>
      <c r="RXM1365" s="110"/>
      <c r="RXN1365" s="110"/>
      <c r="RXO1365" s="110"/>
      <c r="RXP1365" s="110"/>
      <c r="RXQ1365" s="110"/>
      <c r="RXR1365" s="110"/>
      <c r="RXS1365" s="110"/>
      <c r="RXT1365" s="110"/>
      <c r="RXU1365" s="110"/>
      <c r="RXV1365" s="110"/>
      <c r="RXW1365" s="110"/>
      <c r="RXX1365" s="110"/>
      <c r="RXY1365" s="110"/>
      <c r="RXZ1365" s="110"/>
      <c r="RYA1365" s="110"/>
      <c r="RYB1365" s="110"/>
      <c r="RYC1365" s="110"/>
      <c r="RYD1365" s="110"/>
      <c r="RYE1365" s="110"/>
      <c r="RYF1365" s="110"/>
      <c r="RYG1365" s="110"/>
      <c r="RYH1365" s="110"/>
      <c r="RYI1365" s="110"/>
      <c r="RYJ1365" s="110"/>
      <c r="RYK1365" s="110"/>
      <c r="RYL1365" s="110"/>
      <c r="RYM1365" s="110"/>
      <c r="RYN1365" s="110"/>
      <c r="RYO1365" s="110"/>
      <c r="RYP1365" s="110"/>
      <c r="RYQ1365" s="110"/>
      <c r="RYR1365" s="110"/>
      <c r="RYS1365" s="110"/>
      <c r="RYT1365" s="110"/>
      <c r="RYU1365" s="110"/>
      <c r="RYV1365" s="110"/>
      <c r="RYW1365" s="110"/>
      <c r="RYX1365" s="110"/>
      <c r="RYY1365" s="110"/>
      <c r="RYZ1365" s="110"/>
      <c r="RZA1365" s="110"/>
      <c r="RZB1365" s="110"/>
      <c r="RZC1365" s="110"/>
      <c r="RZD1365" s="110"/>
      <c r="RZE1365" s="110"/>
      <c r="RZF1365" s="110"/>
      <c r="RZG1365" s="110"/>
      <c r="RZH1365" s="110"/>
      <c r="RZI1365" s="110"/>
      <c r="RZJ1365" s="110"/>
      <c r="RZK1365" s="110"/>
      <c r="RZL1365" s="110"/>
      <c r="RZM1365" s="110"/>
      <c r="RZN1365" s="110"/>
      <c r="RZO1365" s="110"/>
      <c r="RZP1365" s="110"/>
      <c r="RZQ1365" s="110"/>
      <c r="RZR1365" s="110"/>
      <c r="RZS1365" s="110"/>
      <c r="RZT1365" s="110"/>
      <c r="RZU1365" s="110"/>
      <c r="RZV1365" s="110"/>
      <c r="RZW1365" s="110"/>
      <c r="RZX1365" s="110"/>
      <c r="RZY1365" s="110"/>
      <c r="RZZ1365" s="110"/>
      <c r="SAA1365" s="110"/>
      <c r="SAB1365" s="110"/>
      <c r="SAC1365" s="110"/>
      <c r="SAD1365" s="110"/>
      <c r="SAE1365" s="110"/>
      <c r="SAF1365" s="110"/>
      <c r="SAG1365" s="110"/>
      <c r="SAH1365" s="110"/>
      <c r="SAI1365" s="110"/>
      <c r="SAJ1365" s="110"/>
      <c r="SAK1365" s="110"/>
      <c r="SAL1365" s="110"/>
      <c r="SAM1365" s="110"/>
      <c r="SAN1365" s="110"/>
      <c r="SAO1365" s="110"/>
      <c r="SAP1365" s="110"/>
      <c r="SAQ1365" s="110"/>
      <c r="SAR1365" s="110"/>
      <c r="SAS1365" s="110"/>
      <c r="SAT1365" s="110"/>
      <c r="SAU1365" s="110"/>
      <c r="SAV1365" s="110"/>
      <c r="SAW1365" s="110"/>
      <c r="SAX1365" s="110"/>
      <c r="SAY1365" s="110"/>
      <c r="SAZ1365" s="110"/>
      <c r="SBA1365" s="110"/>
      <c r="SBB1365" s="110"/>
      <c r="SBC1365" s="110"/>
      <c r="SBD1365" s="110"/>
      <c r="SBE1365" s="110"/>
      <c r="SBF1365" s="110"/>
      <c r="SBG1365" s="110"/>
      <c r="SBH1365" s="110"/>
      <c r="SBI1365" s="110"/>
      <c r="SBJ1365" s="110"/>
      <c r="SBK1365" s="110"/>
      <c r="SBL1365" s="110"/>
      <c r="SBM1365" s="110"/>
      <c r="SBN1365" s="110"/>
      <c r="SBO1365" s="110"/>
      <c r="SBP1365" s="110"/>
      <c r="SBQ1365" s="110"/>
      <c r="SBR1365" s="110"/>
      <c r="SBS1365" s="110"/>
      <c r="SBT1365" s="110"/>
      <c r="SBU1365" s="110"/>
      <c r="SBV1365" s="110"/>
      <c r="SBW1365" s="110"/>
      <c r="SBX1365" s="110"/>
      <c r="SBY1365" s="110"/>
      <c r="SBZ1365" s="110"/>
      <c r="SCA1365" s="110"/>
      <c r="SCB1365" s="110"/>
      <c r="SCC1365" s="110"/>
      <c r="SCD1365" s="110"/>
      <c r="SCE1365" s="110"/>
      <c r="SCF1365" s="110"/>
      <c r="SCG1365" s="110"/>
      <c r="SCH1365" s="110"/>
      <c r="SCI1365" s="110"/>
      <c r="SCJ1365" s="110"/>
      <c r="SCK1365" s="110"/>
      <c r="SCL1365" s="110"/>
      <c r="SCM1365" s="110"/>
      <c r="SCN1365" s="110"/>
      <c r="SCO1365" s="110"/>
      <c r="SCP1365" s="110"/>
      <c r="SCQ1365" s="110"/>
      <c r="SCR1365" s="110"/>
      <c r="SCS1365" s="110"/>
      <c r="SCT1365" s="110"/>
      <c r="SCU1365" s="110"/>
      <c r="SCV1365" s="110"/>
      <c r="SCW1365" s="110"/>
      <c r="SCX1365" s="110"/>
      <c r="SCY1365" s="110"/>
      <c r="SCZ1365" s="110"/>
      <c r="SDA1365" s="110"/>
      <c r="SDB1365" s="110"/>
      <c r="SDC1365" s="110"/>
      <c r="SDD1365" s="110"/>
      <c r="SDE1365" s="110"/>
      <c r="SDF1365" s="110"/>
      <c r="SDG1365" s="110"/>
      <c r="SDH1365" s="110"/>
      <c r="SDI1365" s="110"/>
      <c r="SDJ1365" s="110"/>
      <c r="SDK1365" s="110"/>
      <c r="SDL1365" s="110"/>
      <c r="SDM1365" s="110"/>
      <c r="SDN1365" s="110"/>
      <c r="SDO1365" s="110"/>
      <c r="SDP1365" s="110"/>
      <c r="SDQ1365" s="110"/>
      <c r="SDR1365" s="110"/>
      <c r="SDS1365" s="110"/>
      <c r="SDT1365" s="110"/>
      <c r="SDU1365" s="110"/>
      <c r="SDV1365" s="110"/>
      <c r="SDW1365" s="110"/>
      <c r="SDX1365" s="110"/>
      <c r="SDY1365" s="110"/>
      <c r="SDZ1365" s="110"/>
      <c r="SEA1365" s="110"/>
      <c r="SEB1365" s="110"/>
      <c r="SEC1365" s="110"/>
      <c r="SED1365" s="110"/>
      <c r="SEE1365" s="110"/>
      <c r="SEF1365" s="110"/>
      <c r="SEG1365" s="110"/>
      <c r="SEH1365" s="110"/>
      <c r="SEI1365" s="110"/>
      <c r="SEJ1365" s="110"/>
      <c r="SEK1365" s="110"/>
      <c r="SEL1365" s="110"/>
      <c r="SEM1365" s="110"/>
      <c r="SEN1365" s="110"/>
      <c r="SEO1365" s="110"/>
      <c r="SEP1365" s="110"/>
      <c r="SEQ1365" s="110"/>
      <c r="SER1365" s="110"/>
      <c r="SES1365" s="110"/>
      <c r="SET1365" s="110"/>
      <c r="SEU1365" s="110"/>
      <c r="SEV1365" s="110"/>
      <c r="SEW1365" s="110"/>
      <c r="SEX1365" s="110"/>
      <c r="SEY1365" s="110"/>
      <c r="SEZ1365" s="110"/>
      <c r="SFA1365" s="110"/>
      <c r="SFB1365" s="110"/>
      <c r="SFC1365" s="110"/>
      <c r="SFD1365" s="110"/>
      <c r="SFE1365" s="110"/>
      <c r="SFF1365" s="110"/>
      <c r="SFG1365" s="110"/>
      <c r="SFH1365" s="110"/>
      <c r="SFI1365" s="110"/>
      <c r="SFJ1365" s="110"/>
      <c r="SFK1365" s="110"/>
      <c r="SFL1365" s="110"/>
      <c r="SFM1365" s="110"/>
      <c r="SFN1365" s="110"/>
      <c r="SFO1365" s="110"/>
      <c r="SFP1365" s="110"/>
      <c r="SFQ1365" s="110"/>
      <c r="SFR1365" s="110"/>
      <c r="SFS1365" s="110"/>
      <c r="SFT1365" s="110"/>
      <c r="SFU1365" s="110"/>
      <c r="SFV1365" s="110"/>
      <c r="SFW1365" s="110"/>
      <c r="SFX1365" s="110"/>
      <c r="SFY1365" s="110"/>
      <c r="SFZ1365" s="110"/>
      <c r="SGA1365" s="110"/>
      <c r="SGB1365" s="110"/>
      <c r="SGC1365" s="110"/>
      <c r="SGD1365" s="110"/>
      <c r="SGE1365" s="110"/>
      <c r="SGF1365" s="110"/>
      <c r="SGG1365" s="110"/>
      <c r="SGH1365" s="110"/>
      <c r="SGI1365" s="110"/>
      <c r="SGJ1365" s="110"/>
      <c r="SGK1365" s="110"/>
      <c r="SGL1365" s="110"/>
      <c r="SGM1365" s="110"/>
      <c r="SGN1365" s="110"/>
      <c r="SGO1365" s="110"/>
      <c r="SGP1365" s="110"/>
      <c r="SGQ1365" s="110"/>
      <c r="SGR1365" s="110"/>
      <c r="SGS1365" s="110"/>
      <c r="SGT1365" s="110"/>
      <c r="SGU1365" s="110"/>
      <c r="SGV1365" s="110"/>
      <c r="SGW1365" s="110"/>
      <c r="SGX1365" s="110"/>
      <c r="SGY1365" s="110"/>
      <c r="SGZ1365" s="110"/>
      <c r="SHA1365" s="110"/>
      <c r="SHB1365" s="110"/>
      <c r="SHC1365" s="110"/>
      <c r="SHD1365" s="110"/>
      <c r="SHE1365" s="110"/>
      <c r="SHF1365" s="110"/>
      <c r="SHG1365" s="110"/>
      <c r="SHH1365" s="110"/>
      <c r="SHI1365" s="110"/>
      <c r="SHJ1365" s="110"/>
      <c r="SHK1365" s="110"/>
      <c r="SHL1365" s="110"/>
      <c r="SHM1365" s="110"/>
      <c r="SHN1365" s="110"/>
      <c r="SHO1365" s="110"/>
      <c r="SHP1365" s="110"/>
      <c r="SHQ1365" s="110"/>
      <c r="SHR1365" s="110"/>
      <c r="SHS1365" s="110"/>
      <c r="SHT1365" s="110"/>
      <c r="SHU1365" s="110"/>
      <c r="SHV1365" s="110"/>
      <c r="SHW1365" s="110"/>
      <c r="SHX1365" s="110"/>
      <c r="SHY1365" s="110"/>
      <c r="SHZ1365" s="110"/>
      <c r="SIA1365" s="110"/>
      <c r="SIB1365" s="110"/>
      <c r="SIC1365" s="110"/>
      <c r="SID1365" s="110"/>
      <c r="SIE1365" s="110"/>
      <c r="SIF1365" s="110"/>
      <c r="SIG1365" s="110"/>
      <c r="SIH1365" s="110"/>
      <c r="SII1365" s="110"/>
      <c r="SIJ1365" s="110"/>
      <c r="SIK1365" s="110"/>
      <c r="SIL1365" s="110"/>
      <c r="SIM1365" s="110"/>
      <c r="SIN1365" s="110"/>
      <c r="SIO1365" s="110"/>
      <c r="SIP1365" s="110"/>
      <c r="SIQ1365" s="110"/>
      <c r="SIR1365" s="110"/>
      <c r="SIS1365" s="110"/>
      <c r="SIT1365" s="110"/>
      <c r="SIU1365" s="110"/>
      <c r="SIV1365" s="110"/>
      <c r="SIW1365" s="110"/>
      <c r="SIX1365" s="110"/>
      <c r="SIY1365" s="110"/>
      <c r="SIZ1365" s="110"/>
      <c r="SJA1365" s="110"/>
      <c r="SJB1365" s="110"/>
      <c r="SJC1365" s="110"/>
      <c r="SJD1365" s="110"/>
      <c r="SJE1365" s="110"/>
      <c r="SJF1365" s="110"/>
      <c r="SJG1365" s="110"/>
      <c r="SJH1365" s="110"/>
      <c r="SJI1365" s="110"/>
      <c r="SJJ1365" s="110"/>
      <c r="SJK1365" s="110"/>
      <c r="SJL1365" s="110"/>
      <c r="SJM1365" s="110"/>
      <c r="SJN1365" s="110"/>
      <c r="SJO1365" s="110"/>
      <c r="SJP1365" s="110"/>
      <c r="SJQ1365" s="110"/>
      <c r="SJR1365" s="110"/>
      <c r="SJS1365" s="110"/>
      <c r="SJT1365" s="110"/>
      <c r="SJU1365" s="110"/>
      <c r="SJV1365" s="110"/>
      <c r="SJW1365" s="110"/>
      <c r="SJX1365" s="110"/>
      <c r="SJY1365" s="110"/>
      <c r="SJZ1365" s="110"/>
      <c r="SKA1365" s="110"/>
      <c r="SKB1365" s="110"/>
      <c r="SKC1365" s="110"/>
      <c r="SKD1365" s="110"/>
      <c r="SKE1365" s="110"/>
      <c r="SKF1365" s="110"/>
      <c r="SKG1365" s="110"/>
      <c r="SKH1365" s="110"/>
      <c r="SKI1365" s="110"/>
      <c r="SKJ1365" s="110"/>
      <c r="SKK1365" s="110"/>
      <c r="SKL1365" s="110"/>
      <c r="SKM1365" s="110"/>
      <c r="SKN1365" s="110"/>
      <c r="SKO1365" s="110"/>
      <c r="SKP1365" s="110"/>
      <c r="SKQ1365" s="110"/>
      <c r="SKR1365" s="110"/>
      <c r="SKS1365" s="110"/>
      <c r="SKT1365" s="110"/>
      <c r="SKU1365" s="110"/>
      <c r="SKV1365" s="110"/>
      <c r="SKW1365" s="110"/>
      <c r="SKX1365" s="110"/>
      <c r="SKY1365" s="110"/>
      <c r="SKZ1365" s="110"/>
      <c r="SLA1365" s="110"/>
      <c r="SLB1365" s="110"/>
      <c r="SLC1365" s="110"/>
      <c r="SLD1365" s="110"/>
      <c r="SLE1365" s="110"/>
      <c r="SLF1365" s="110"/>
      <c r="SLG1365" s="110"/>
      <c r="SLH1365" s="110"/>
      <c r="SLI1365" s="110"/>
      <c r="SLJ1365" s="110"/>
      <c r="SLK1365" s="110"/>
      <c r="SLL1365" s="110"/>
      <c r="SLM1365" s="110"/>
      <c r="SLN1365" s="110"/>
      <c r="SLO1365" s="110"/>
      <c r="SLP1365" s="110"/>
      <c r="SLQ1365" s="110"/>
      <c r="SLR1365" s="110"/>
      <c r="SLS1365" s="110"/>
      <c r="SLT1365" s="110"/>
      <c r="SLU1365" s="110"/>
      <c r="SLV1365" s="110"/>
      <c r="SLW1365" s="110"/>
      <c r="SLX1365" s="110"/>
      <c r="SLY1365" s="110"/>
      <c r="SLZ1365" s="110"/>
      <c r="SMA1365" s="110"/>
      <c r="SMB1365" s="110"/>
      <c r="SMC1365" s="110"/>
      <c r="SMD1365" s="110"/>
      <c r="SME1365" s="110"/>
      <c r="SMF1365" s="110"/>
      <c r="SMG1365" s="110"/>
      <c r="SMH1365" s="110"/>
      <c r="SMI1365" s="110"/>
      <c r="SMJ1365" s="110"/>
      <c r="SMK1365" s="110"/>
      <c r="SML1365" s="110"/>
      <c r="SMM1365" s="110"/>
      <c r="SMN1365" s="110"/>
      <c r="SMO1365" s="110"/>
      <c r="SMP1365" s="110"/>
      <c r="SMQ1365" s="110"/>
      <c r="SMR1365" s="110"/>
      <c r="SMS1365" s="110"/>
      <c r="SMT1365" s="110"/>
      <c r="SMU1365" s="110"/>
      <c r="SMV1365" s="110"/>
      <c r="SMW1365" s="110"/>
      <c r="SMX1365" s="110"/>
      <c r="SMY1365" s="110"/>
      <c r="SMZ1365" s="110"/>
      <c r="SNA1365" s="110"/>
      <c r="SNB1365" s="110"/>
      <c r="SNC1365" s="110"/>
      <c r="SND1365" s="110"/>
      <c r="SNE1365" s="110"/>
      <c r="SNF1365" s="110"/>
      <c r="SNG1365" s="110"/>
      <c r="SNH1365" s="110"/>
      <c r="SNI1365" s="110"/>
      <c r="SNJ1365" s="110"/>
      <c r="SNK1365" s="110"/>
      <c r="SNL1365" s="110"/>
      <c r="SNM1365" s="110"/>
      <c r="SNN1365" s="110"/>
      <c r="SNO1365" s="110"/>
      <c r="SNP1365" s="110"/>
      <c r="SNQ1365" s="110"/>
      <c r="SNR1365" s="110"/>
      <c r="SNS1365" s="110"/>
      <c r="SNT1365" s="110"/>
      <c r="SNU1365" s="110"/>
      <c r="SNV1365" s="110"/>
      <c r="SNW1365" s="110"/>
      <c r="SNX1365" s="110"/>
      <c r="SNY1365" s="110"/>
      <c r="SNZ1365" s="110"/>
      <c r="SOA1365" s="110"/>
      <c r="SOB1365" s="110"/>
      <c r="SOC1365" s="110"/>
      <c r="SOD1365" s="110"/>
      <c r="SOE1365" s="110"/>
      <c r="SOF1365" s="110"/>
      <c r="SOG1365" s="110"/>
      <c r="SOH1365" s="110"/>
      <c r="SOI1365" s="110"/>
      <c r="SOJ1365" s="110"/>
      <c r="SOK1365" s="110"/>
      <c r="SOL1365" s="110"/>
      <c r="SOM1365" s="110"/>
      <c r="SON1365" s="110"/>
      <c r="SOO1365" s="110"/>
      <c r="SOP1365" s="110"/>
      <c r="SOQ1365" s="110"/>
      <c r="SOR1365" s="110"/>
      <c r="SOS1365" s="110"/>
      <c r="SOT1365" s="110"/>
      <c r="SOU1365" s="110"/>
      <c r="SOV1365" s="110"/>
      <c r="SOW1365" s="110"/>
      <c r="SOX1365" s="110"/>
      <c r="SOY1365" s="110"/>
      <c r="SOZ1365" s="110"/>
      <c r="SPA1365" s="110"/>
      <c r="SPB1365" s="110"/>
      <c r="SPC1365" s="110"/>
      <c r="SPD1365" s="110"/>
      <c r="SPE1365" s="110"/>
      <c r="SPF1365" s="110"/>
      <c r="SPG1365" s="110"/>
      <c r="SPH1365" s="110"/>
      <c r="SPI1365" s="110"/>
      <c r="SPJ1365" s="110"/>
      <c r="SPK1365" s="110"/>
      <c r="SPL1365" s="110"/>
      <c r="SPM1365" s="110"/>
      <c r="SPN1365" s="110"/>
      <c r="SPO1365" s="110"/>
      <c r="SPP1365" s="110"/>
      <c r="SPQ1365" s="110"/>
      <c r="SPR1365" s="110"/>
      <c r="SPS1365" s="110"/>
      <c r="SPT1365" s="110"/>
      <c r="SPU1365" s="110"/>
      <c r="SPV1365" s="110"/>
      <c r="SPW1365" s="110"/>
      <c r="SPX1365" s="110"/>
      <c r="SPY1365" s="110"/>
      <c r="SPZ1365" s="110"/>
      <c r="SQA1365" s="110"/>
      <c r="SQB1365" s="110"/>
      <c r="SQC1365" s="110"/>
      <c r="SQD1365" s="110"/>
      <c r="SQE1365" s="110"/>
      <c r="SQF1365" s="110"/>
      <c r="SQG1365" s="110"/>
      <c r="SQH1365" s="110"/>
      <c r="SQI1365" s="110"/>
      <c r="SQJ1365" s="110"/>
      <c r="SQK1365" s="110"/>
      <c r="SQL1365" s="110"/>
      <c r="SQM1365" s="110"/>
      <c r="SQN1365" s="110"/>
      <c r="SQO1365" s="110"/>
      <c r="SQP1365" s="110"/>
      <c r="SQQ1365" s="110"/>
      <c r="SQR1365" s="110"/>
      <c r="SQS1365" s="110"/>
      <c r="SQT1365" s="110"/>
      <c r="SQU1365" s="110"/>
      <c r="SQV1365" s="110"/>
      <c r="SQW1365" s="110"/>
      <c r="SQX1365" s="110"/>
      <c r="SQY1365" s="110"/>
      <c r="SQZ1365" s="110"/>
      <c r="SRA1365" s="110"/>
      <c r="SRB1365" s="110"/>
      <c r="SRC1365" s="110"/>
      <c r="SRD1365" s="110"/>
      <c r="SRE1365" s="110"/>
      <c r="SRF1365" s="110"/>
      <c r="SRG1365" s="110"/>
      <c r="SRH1365" s="110"/>
      <c r="SRI1365" s="110"/>
      <c r="SRJ1365" s="110"/>
      <c r="SRK1365" s="110"/>
      <c r="SRL1365" s="110"/>
      <c r="SRM1365" s="110"/>
      <c r="SRN1365" s="110"/>
      <c r="SRO1365" s="110"/>
      <c r="SRP1365" s="110"/>
      <c r="SRQ1365" s="110"/>
      <c r="SRR1365" s="110"/>
      <c r="SRS1365" s="110"/>
      <c r="SRT1365" s="110"/>
      <c r="SRU1365" s="110"/>
      <c r="SRV1365" s="110"/>
      <c r="SRW1365" s="110"/>
      <c r="SRX1365" s="110"/>
      <c r="SRY1365" s="110"/>
      <c r="SRZ1365" s="110"/>
      <c r="SSA1365" s="110"/>
      <c r="SSB1365" s="110"/>
      <c r="SSC1365" s="110"/>
      <c r="SSD1365" s="110"/>
      <c r="SSE1365" s="110"/>
      <c r="SSF1365" s="110"/>
      <c r="SSG1365" s="110"/>
      <c r="SSH1365" s="110"/>
      <c r="SSI1365" s="110"/>
      <c r="SSJ1365" s="110"/>
      <c r="SSK1365" s="110"/>
      <c r="SSL1365" s="110"/>
      <c r="SSM1365" s="110"/>
      <c r="SSN1365" s="110"/>
      <c r="SSO1365" s="110"/>
      <c r="SSP1365" s="110"/>
      <c r="SSQ1365" s="110"/>
      <c r="SSR1365" s="110"/>
      <c r="SSS1365" s="110"/>
      <c r="SST1365" s="110"/>
      <c r="SSU1365" s="110"/>
      <c r="SSV1365" s="110"/>
      <c r="SSW1365" s="110"/>
      <c r="SSX1365" s="110"/>
      <c r="SSY1365" s="110"/>
      <c r="SSZ1365" s="110"/>
      <c r="STA1365" s="110"/>
      <c r="STB1365" s="110"/>
      <c r="STC1365" s="110"/>
      <c r="STD1365" s="110"/>
      <c r="STE1365" s="110"/>
      <c r="STF1365" s="110"/>
      <c r="STG1365" s="110"/>
      <c r="STH1365" s="110"/>
      <c r="STI1365" s="110"/>
      <c r="STJ1365" s="110"/>
      <c r="STK1365" s="110"/>
      <c r="STL1365" s="110"/>
      <c r="STM1365" s="110"/>
      <c r="STN1365" s="110"/>
      <c r="STO1365" s="110"/>
      <c r="STP1365" s="110"/>
      <c r="STQ1365" s="110"/>
      <c r="STR1365" s="110"/>
      <c r="STS1365" s="110"/>
      <c r="STT1365" s="110"/>
      <c r="STU1365" s="110"/>
      <c r="STV1365" s="110"/>
      <c r="STW1365" s="110"/>
      <c r="STX1365" s="110"/>
      <c r="STY1365" s="110"/>
      <c r="STZ1365" s="110"/>
      <c r="SUA1365" s="110"/>
      <c r="SUB1365" s="110"/>
      <c r="SUC1365" s="110"/>
      <c r="SUD1365" s="110"/>
      <c r="SUE1365" s="110"/>
      <c r="SUF1365" s="110"/>
      <c r="SUG1365" s="110"/>
      <c r="SUH1365" s="110"/>
      <c r="SUI1365" s="110"/>
      <c r="SUJ1365" s="110"/>
      <c r="SUK1365" s="110"/>
      <c r="SUL1365" s="110"/>
      <c r="SUM1365" s="110"/>
      <c r="SUN1365" s="110"/>
      <c r="SUO1365" s="110"/>
      <c r="SUP1365" s="110"/>
      <c r="SUQ1365" s="110"/>
      <c r="SUR1365" s="110"/>
      <c r="SUS1365" s="110"/>
      <c r="SUT1365" s="110"/>
      <c r="SUU1365" s="110"/>
      <c r="SUV1365" s="110"/>
      <c r="SUW1365" s="110"/>
      <c r="SUX1365" s="110"/>
      <c r="SUY1365" s="110"/>
      <c r="SUZ1365" s="110"/>
      <c r="SVA1365" s="110"/>
      <c r="SVB1365" s="110"/>
      <c r="SVC1365" s="110"/>
      <c r="SVD1365" s="110"/>
      <c r="SVE1365" s="110"/>
      <c r="SVF1365" s="110"/>
      <c r="SVG1365" s="110"/>
      <c r="SVH1365" s="110"/>
      <c r="SVI1365" s="110"/>
      <c r="SVJ1365" s="110"/>
      <c r="SVK1365" s="110"/>
      <c r="SVL1365" s="110"/>
      <c r="SVM1365" s="110"/>
      <c r="SVN1365" s="110"/>
      <c r="SVO1365" s="110"/>
      <c r="SVP1365" s="110"/>
      <c r="SVQ1365" s="110"/>
      <c r="SVR1365" s="110"/>
      <c r="SVS1365" s="110"/>
      <c r="SVT1365" s="110"/>
      <c r="SVU1365" s="110"/>
      <c r="SVV1365" s="110"/>
      <c r="SVW1365" s="110"/>
      <c r="SVX1365" s="110"/>
      <c r="SVY1365" s="110"/>
      <c r="SVZ1365" s="110"/>
      <c r="SWA1365" s="110"/>
      <c r="SWB1365" s="110"/>
      <c r="SWC1365" s="110"/>
      <c r="SWD1365" s="110"/>
      <c r="SWE1365" s="110"/>
      <c r="SWF1365" s="110"/>
      <c r="SWG1365" s="110"/>
      <c r="SWH1365" s="110"/>
      <c r="SWI1365" s="110"/>
      <c r="SWJ1365" s="110"/>
      <c r="SWK1365" s="110"/>
      <c r="SWL1365" s="110"/>
      <c r="SWM1365" s="110"/>
      <c r="SWN1365" s="110"/>
      <c r="SWO1365" s="110"/>
      <c r="SWP1365" s="110"/>
      <c r="SWQ1365" s="110"/>
      <c r="SWR1365" s="110"/>
      <c r="SWS1365" s="110"/>
      <c r="SWT1365" s="110"/>
      <c r="SWU1365" s="110"/>
      <c r="SWV1365" s="110"/>
      <c r="SWW1365" s="110"/>
      <c r="SWX1365" s="110"/>
      <c r="SWY1365" s="110"/>
      <c r="SWZ1365" s="110"/>
      <c r="SXA1365" s="110"/>
      <c r="SXB1365" s="110"/>
      <c r="SXC1365" s="110"/>
      <c r="SXD1365" s="110"/>
      <c r="SXE1365" s="110"/>
      <c r="SXF1365" s="110"/>
      <c r="SXG1365" s="110"/>
      <c r="SXH1365" s="110"/>
      <c r="SXI1365" s="110"/>
      <c r="SXJ1365" s="110"/>
      <c r="SXK1365" s="110"/>
      <c r="SXL1365" s="110"/>
      <c r="SXM1365" s="110"/>
      <c r="SXN1365" s="110"/>
      <c r="SXO1365" s="110"/>
      <c r="SXP1365" s="110"/>
      <c r="SXQ1365" s="110"/>
      <c r="SXR1365" s="110"/>
      <c r="SXS1365" s="110"/>
      <c r="SXT1365" s="110"/>
      <c r="SXU1365" s="110"/>
      <c r="SXV1365" s="110"/>
      <c r="SXW1365" s="110"/>
      <c r="SXX1365" s="110"/>
      <c r="SXY1365" s="110"/>
      <c r="SXZ1365" s="110"/>
      <c r="SYA1365" s="110"/>
      <c r="SYB1365" s="110"/>
      <c r="SYC1365" s="110"/>
      <c r="SYD1365" s="110"/>
      <c r="SYE1365" s="110"/>
      <c r="SYF1365" s="110"/>
      <c r="SYG1365" s="110"/>
      <c r="SYH1365" s="110"/>
      <c r="SYI1365" s="110"/>
      <c r="SYJ1365" s="110"/>
      <c r="SYK1365" s="110"/>
      <c r="SYL1365" s="110"/>
      <c r="SYM1365" s="110"/>
      <c r="SYN1365" s="110"/>
      <c r="SYO1365" s="110"/>
      <c r="SYP1365" s="110"/>
      <c r="SYQ1365" s="110"/>
      <c r="SYR1365" s="110"/>
      <c r="SYS1365" s="110"/>
      <c r="SYT1365" s="110"/>
      <c r="SYU1365" s="110"/>
      <c r="SYV1365" s="110"/>
      <c r="SYW1365" s="110"/>
      <c r="SYX1365" s="110"/>
      <c r="SYY1365" s="110"/>
      <c r="SYZ1365" s="110"/>
      <c r="SZA1365" s="110"/>
      <c r="SZB1365" s="110"/>
      <c r="SZC1365" s="110"/>
      <c r="SZD1365" s="110"/>
      <c r="SZE1365" s="110"/>
      <c r="SZF1365" s="110"/>
      <c r="SZG1365" s="110"/>
      <c r="SZH1365" s="110"/>
      <c r="SZI1365" s="110"/>
      <c r="SZJ1365" s="110"/>
      <c r="SZK1365" s="110"/>
      <c r="SZL1365" s="110"/>
      <c r="SZM1365" s="110"/>
      <c r="SZN1365" s="110"/>
      <c r="SZO1365" s="110"/>
      <c r="SZP1365" s="110"/>
      <c r="SZQ1365" s="110"/>
      <c r="SZR1365" s="110"/>
      <c r="SZS1365" s="110"/>
      <c r="SZT1365" s="110"/>
      <c r="SZU1365" s="110"/>
      <c r="SZV1365" s="110"/>
      <c r="SZW1365" s="110"/>
      <c r="SZX1365" s="110"/>
      <c r="SZY1365" s="110"/>
      <c r="SZZ1365" s="110"/>
      <c r="TAA1365" s="110"/>
      <c r="TAB1365" s="110"/>
      <c r="TAC1365" s="110"/>
      <c r="TAD1365" s="110"/>
      <c r="TAE1365" s="110"/>
      <c r="TAF1365" s="110"/>
      <c r="TAG1365" s="110"/>
      <c r="TAH1365" s="110"/>
      <c r="TAI1365" s="110"/>
      <c r="TAJ1365" s="110"/>
      <c r="TAK1365" s="110"/>
      <c r="TAL1365" s="110"/>
      <c r="TAM1365" s="110"/>
      <c r="TAN1365" s="110"/>
      <c r="TAO1365" s="110"/>
      <c r="TAP1365" s="110"/>
      <c r="TAQ1365" s="110"/>
      <c r="TAR1365" s="110"/>
      <c r="TAS1365" s="110"/>
      <c r="TAT1365" s="110"/>
      <c r="TAU1365" s="110"/>
      <c r="TAV1365" s="110"/>
      <c r="TAW1365" s="110"/>
      <c r="TAX1365" s="110"/>
      <c r="TAY1365" s="110"/>
      <c r="TAZ1365" s="110"/>
      <c r="TBA1365" s="110"/>
      <c r="TBB1365" s="110"/>
      <c r="TBC1365" s="110"/>
      <c r="TBD1365" s="110"/>
      <c r="TBE1365" s="110"/>
      <c r="TBF1365" s="110"/>
      <c r="TBG1365" s="110"/>
      <c r="TBH1365" s="110"/>
      <c r="TBI1365" s="110"/>
      <c r="TBJ1365" s="110"/>
      <c r="TBK1365" s="110"/>
      <c r="TBL1365" s="110"/>
      <c r="TBM1365" s="110"/>
      <c r="TBN1365" s="110"/>
      <c r="TBO1365" s="110"/>
      <c r="TBP1365" s="110"/>
      <c r="TBQ1365" s="110"/>
      <c r="TBR1365" s="110"/>
      <c r="TBS1365" s="110"/>
      <c r="TBT1365" s="110"/>
      <c r="TBU1365" s="110"/>
      <c r="TBV1365" s="110"/>
      <c r="TBW1365" s="110"/>
      <c r="TBX1365" s="110"/>
      <c r="TBY1365" s="110"/>
      <c r="TBZ1365" s="110"/>
      <c r="TCA1365" s="110"/>
      <c r="TCB1365" s="110"/>
      <c r="TCC1365" s="110"/>
      <c r="TCD1365" s="110"/>
      <c r="TCE1365" s="110"/>
      <c r="TCF1365" s="110"/>
      <c r="TCG1365" s="110"/>
      <c r="TCH1365" s="110"/>
      <c r="TCI1365" s="110"/>
      <c r="TCJ1365" s="110"/>
      <c r="TCK1365" s="110"/>
      <c r="TCL1365" s="110"/>
      <c r="TCM1365" s="110"/>
      <c r="TCN1365" s="110"/>
      <c r="TCO1365" s="110"/>
      <c r="TCP1365" s="110"/>
      <c r="TCQ1365" s="110"/>
      <c r="TCR1365" s="110"/>
      <c r="TCS1365" s="110"/>
      <c r="TCT1365" s="110"/>
      <c r="TCU1365" s="110"/>
      <c r="TCV1365" s="110"/>
      <c r="TCW1365" s="110"/>
      <c r="TCX1365" s="110"/>
      <c r="TCY1365" s="110"/>
      <c r="TCZ1365" s="110"/>
      <c r="TDA1365" s="110"/>
      <c r="TDB1365" s="110"/>
      <c r="TDC1365" s="110"/>
      <c r="TDD1365" s="110"/>
      <c r="TDE1365" s="110"/>
      <c r="TDF1365" s="110"/>
      <c r="TDG1365" s="110"/>
      <c r="TDH1365" s="110"/>
      <c r="TDI1365" s="110"/>
      <c r="TDJ1365" s="110"/>
      <c r="TDK1365" s="110"/>
      <c r="TDL1365" s="110"/>
      <c r="TDM1365" s="110"/>
      <c r="TDN1365" s="110"/>
      <c r="TDO1365" s="110"/>
      <c r="TDP1365" s="110"/>
      <c r="TDQ1365" s="110"/>
      <c r="TDR1365" s="110"/>
      <c r="TDS1365" s="110"/>
      <c r="TDT1365" s="110"/>
      <c r="TDU1365" s="110"/>
      <c r="TDV1365" s="110"/>
      <c r="TDW1365" s="110"/>
      <c r="TDX1365" s="110"/>
      <c r="TDY1365" s="110"/>
      <c r="TDZ1365" s="110"/>
      <c r="TEA1365" s="110"/>
      <c r="TEB1365" s="110"/>
      <c r="TEC1365" s="110"/>
      <c r="TED1365" s="110"/>
      <c r="TEE1365" s="110"/>
      <c r="TEF1365" s="110"/>
      <c r="TEG1365" s="110"/>
      <c r="TEH1365" s="110"/>
      <c r="TEI1365" s="110"/>
      <c r="TEJ1365" s="110"/>
      <c r="TEK1365" s="110"/>
      <c r="TEL1365" s="110"/>
      <c r="TEM1365" s="110"/>
      <c r="TEN1365" s="110"/>
      <c r="TEO1365" s="110"/>
      <c r="TEP1365" s="110"/>
      <c r="TEQ1365" s="110"/>
      <c r="TER1365" s="110"/>
      <c r="TES1365" s="110"/>
      <c r="TET1365" s="110"/>
      <c r="TEU1365" s="110"/>
      <c r="TEV1365" s="110"/>
      <c r="TEW1365" s="110"/>
      <c r="TEX1365" s="110"/>
      <c r="TEY1365" s="110"/>
      <c r="TEZ1365" s="110"/>
      <c r="TFA1365" s="110"/>
      <c r="TFB1365" s="110"/>
      <c r="TFC1365" s="110"/>
      <c r="TFD1365" s="110"/>
      <c r="TFE1365" s="110"/>
      <c r="TFF1365" s="110"/>
      <c r="TFG1365" s="110"/>
      <c r="TFH1365" s="110"/>
      <c r="TFI1365" s="110"/>
      <c r="TFJ1365" s="110"/>
      <c r="TFK1365" s="110"/>
      <c r="TFL1365" s="110"/>
      <c r="TFM1365" s="110"/>
      <c r="TFN1365" s="110"/>
      <c r="TFO1365" s="110"/>
      <c r="TFP1365" s="110"/>
      <c r="TFQ1365" s="110"/>
      <c r="TFR1365" s="110"/>
      <c r="TFS1365" s="110"/>
      <c r="TFT1365" s="110"/>
      <c r="TFU1365" s="110"/>
      <c r="TFV1365" s="110"/>
      <c r="TFW1365" s="110"/>
      <c r="TFX1365" s="110"/>
      <c r="TFY1365" s="110"/>
      <c r="TFZ1365" s="110"/>
      <c r="TGA1365" s="110"/>
      <c r="TGB1365" s="110"/>
      <c r="TGC1365" s="110"/>
      <c r="TGD1365" s="110"/>
      <c r="TGE1365" s="110"/>
      <c r="TGF1365" s="110"/>
      <c r="TGG1365" s="110"/>
      <c r="TGH1365" s="110"/>
      <c r="TGI1365" s="110"/>
      <c r="TGJ1365" s="110"/>
      <c r="TGK1365" s="110"/>
      <c r="TGL1365" s="110"/>
      <c r="TGM1365" s="110"/>
      <c r="TGN1365" s="110"/>
      <c r="TGO1365" s="110"/>
      <c r="TGP1365" s="110"/>
      <c r="TGQ1365" s="110"/>
      <c r="TGR1365" s="110"/>
      <c r="TGS1365" s="110"/>
      <c r="TGT1365" s="110"/>
      <c r="TGU1365" s="110"/>
      <c r="TGV1365" s="110"/>
      <c r="TGW1365" s="110"/>
      <c r="TGX1365" s="110"/>
      <c r="TGY1365" s="110"/>
      <c r="TGZ1365" s="110"/>
      <c r="THA1365" s="110"/>
      <c r="THB1365" s="110"/>
      <c r="THC1365" s="110"/>
      <c r="THD1365" s="110"/>
      <c r="THE1365" s="110"/>
      <c r="THF1365" s="110"/>
      <c r="THG1365" s="110"/>
      <c r="THH1365" s="110"/>
      <c r="THI1365" s="110"/>
      <c r="THJ1365" s="110"/>
      <c r="THK1365" s="110"/>
      <c r="THL1365" s="110"/>
      <c r="THM1365" s="110"/>
      <c r="THN1365" s="110"/>
      <c r="THO1365" s="110"/>
      <c r="THP1365" s="110"/>
      <c r="THQ1365" s="110"/>
      <c r="THR1365" s="110"/>
      <c r="THS1365" s="110"/>
      <c r="THT1365" s="110"/>
      <c r="THU1365" s="110"/>
      <c r="THV1365" s="110"/>
      <c r="THW1365" s="110"/>
      <c r="THX1365" s="110"/>
      <c r="THY1365" s="110"/>
      <c r="THZ1365" s="110"/>
      <c r="TIA1365" s="110"/>
      <c r="TIB1365" s="110"/>
      <c r="TIC1365" s="110"/>
      <c r="TID1365" s="110"/>
      <c r="TIE1365" s="110"/>
      <c r="TIF1365" s="110"/>
      <c r="TIG1365" s="110"/>
      <c r="TIH1365" s="110"/>
      <c r="TII1365" s="110"/>
      <c r="TIJ1365" s="110"/>
      <c r="TIK1365" s="110"/>
      <c r="TIL1365" s="110"/>
      <c r="TIM1365" s="110"/>
      <c r="TIN1365" s="110"/>
      <c r="TIO1365" s="110"/>
      <c r="TIP1365" s="110"/>
      <c r="TIQ1365" s="110"/>
      <c r="TIR1365" s="110"/>
      <c r="TIS1365" s="110"/>
      <c r="TIT1365" s="110"/>
      <c r="TIU1365" s="110"/>
      <c r="TIV1365" s="110"/>
      <c r="TIW1365" s="110"/>
      <c r="TIX1365" s="110"/>
      <c r="TIY1365" s="110"/>
      <c r="TIZ1365" s="110"/>
      <c r="TJA1365" s="110"/>
      <c r="TJB1365" s="110"/>
      <c r="TJC1365" s="110"/>
      <c r="TJD1365" s="110"/>
      <c r="TJE1365" s="110"/>
      <c r="TJF1365" s="110"/>
      <c r="TJG1365" s="110"/>
      <c r="TJH1365" s="110"/>
      <c r="TJI1365" s="110"/>
      <c r="TJJ1365" s="110"/>
      <c r="TJK1365" s="110"/>
      <c r="TJL1365" s="110"/>
      <c r="TJM1365" s="110"/>
      <c r="TJN1365" s="110"/>
      <c r="TJO1365" s="110"/>
      <c r="TJP1365" s="110"/>
      <c r="TJQ1365" s="110"/>
      <c r="TJR1365" s="110"/>
      <c r="TJS1365" s="110"/>
      <c r="TJT1365" s="110"/>
      <c r="TJU1365" s="110"/>
      <c r="TJV1365" s="110"/>
      <c r="TJW1365" s="110"/>
      <c r="TJX1365" s="110"/>
      <c r="TJY1365" s="110"/>
      <c r="TJZ1365" s="110"/>
      <c r="TKA1365" s="110"/>
      <c r="TKB1365" s="110"/>
      <c r="TKC1365" s="110"/>
      <c r="TKD1365" s="110"/>
      <c r="TKE1365" s="110"/>
      <c r="TKF1365" s="110"/>
      <c r="TKG1365" s="110"/>
      <c r="TKH1365" s="110"/>
      <c r="TKI1365" s="110"/>
      <c r="TKJ1365" s="110"/>
      <c r="TKK1365" s="110"/>
      <c r="TKL1365" s="110"/>
      <c r="TKM1365" s="110"/>
      <c r="TKN1365" s="110"/>
      <c r="TKO1365" s="110"/>
      <c r="TKP1365" s="110"/>
      <c r="TKQ1365" s="110"/>
      <c r="TKR1365" s="110"/>
      <c r="TKS1365" s="110"/>
      <c r="TKT1365" s="110"/>
      <c r="TKU1365" s="110"/>
      <c r="TKV1365" s="110"/>
      <c r="TKW1365" s="110"/>
      <c r="TKX1365" s="110"/>
      <c r="TKY1365" s="110"/>
      <c r="TKZ1365" s="110"/>
      <c r="TLA1365" s="110"/>
      <c r="TLB1365" s="110"/>
      <c r="TLC1365" s="110"/>
      <c r="TLD1365" s="110"/>
      <c r="TLE1365" s="110"/>
      <c r="TLF1365" s="110"/>
      <c r="TLG1365" s="110"/>
      <c r="TLH1365" s="110"/>
      <c r="TLI1365" s="110"/>
      <c r="TLJ1365" s="110"/>
      <c r="TLK1365" s="110"/>
      <c r="TLL1365" s="110"/>
      <c r="TLM1365" s="110"/>
      <c r="TLN1365" s="110"/>
      <c r="TLO1365" s="110"/>
      <c r="TLP1365" s="110"/>
      <c r="TLQ1365" s="110"/>
      <c r="TLR1365" s="110"/>
      <c r="TLS1365" s="110"/>
      <c r="TLT1365" s="110"/>
      <c r="TLU1365" s="110"/>
      <c r="TLV1365" s="110"/>
      <c r="TLW1365" s="110"/>
      <c r="TLX1365" s="110"/>
      <c r="TLY1365" s="110"/>
      <c r="TLZ1365" s="110"/>
      <c r="TMA1365" s="110"/>
      <c r="TMB1365" s="110"/>
      <c r="TMC1365" s="110"/>
      <c r="TMD1365" s="110"/>
      <c r="TME1365" s="110"/>
      <c r="TMF1365" s="110"/>
      <c r="TMG1365" s="110"/>
      <c r="TMH1365" s="110"/>
      <c r="TMI1365" s="110"/>
      <c r="TMJ1365" s="110"/>
      <c r="TMK1365" s="110"/>
      <c r="TML1365" s="110"/>
      <c r="TMM1365" s="110"/>
      <c r="TMN1365" s="110"/>
      <c r="TMO1365" s="110"/>
      <c r="TMP1365" s="110"/>
      <c r="TMQ1365" s="110"/>
      <c r="TMR1365" s="110"/>
      <c r="TMS1365" s="110"/>
      <c r="TMT1365" s="110"/>
      <c r="TMU1365" s="110"/>
      <c r="TMV1365" s="110"/>
      <c r="TMW1365" s="110"/>
      <c r="TMX1365" s="110"/>
      <c r="TMY1365" s="110"/>
      <c r="TMZ1365" s="110"/>
      <c r="TNA1365" s="110"/>
      <c r="TNB1365" s="110"/>
      <c r="TNC1365" s="110"/>
      <c r="TND1365" s="110"/>
      <c r="TNE1365" s="110"/>
      <c r="TNF1365" s="110"/>
      <c r="TNG1365" s="110"/>
      <c r="TNH1365" s="110"/>
      <c r="TNI1365" s="110"/>
      <c r="TNJ1365" s="110"/>
      <c r="TNK1365" s="110"/>
      <c r="TNL1365" s="110"/>
      <c r="TNM1365" s="110"/>
      <c r="TNN1365" s="110"/>
      <c r="TNO1365" s="110"/>
      <c r="TNP1365" s="110"/>
      <c r="TNQ1365" s="110"/>
      <c r="TNR1365" s="110"/>
      <c r="TNS1365" s="110"/>
      <c r="TNT1365" s="110"/>
      <c r="TNU1365" s="110"/>
      <c r="TNV1365" s="110"/>
      <c r="TNW1365" s="110"/>
      <c r="TNX1365" s="110"/>
      <c r="TNY1365" s="110"/>
      <c r="TNZ1365" s="110"/>
      <c r="TOA1365" s="110"/>
      <c r="TOB1365" s="110"/>
      <c r="TOC1365" s="110"/>
      <c r="TOD1365" s="110"/>
      <c r="TOE1365" s="110"/>
      <c r="TOF1365" s="110"/>
      <c r="TOG1365" s="110"/>
      <c r="TOH1365" s="110"/>
      <c r="TOI1365" s="110"/>
      <c r="TOJ1365" s="110"/>
      <c r="TOK1365" s="110"/>
      <c r="TOL1365" s="110"/>
      <c r="TOM1365" s="110"/>
      <c r="TON1365" s="110"/>
      <c r="TOO1365" s="110"/>
      <c r="TOP1365" s="110"/>
      <c r="TOQ1365" s="110"/>
      <c r="TOR1365" s="110"/>
      <c r="TOS1365" s="110"/>
      <c r="TOT1365" s="110"/>
      <c r="TOU1365" s="110"/>
      <c r="TOV1365" s="110"/>
      <c r="TOW1365" s="110"/>
      <c r="TOX1365" s="110"/>
      <c r="TOY1365" s="110"/>
      <c r="TOZ1365" s="110"/>
      <c r="TPA1365" s="110"/>
      <c r="TPB1365" s="110"/>
      <c r="TPC1365" s="110"/>
      <c r="TPD1365" s="110"/>
      <c r="TPE1365" s="110"/>
      <c r="TPF1365" s="110"/>
      <c r="TPG1365" s="110"/>
      <c r="TPH1365" s="110"/>
      <c r="TPI1365" s="110"/>
      <c r="TPJ1365" s="110"/>
      <c r="TPK1365" s="110"/>
      <c r="TPL1365" s="110"/>
      <c r="TPM1365" s="110"/>
      <c r="TPN1365" s="110"/>
      <c r="TPO1365" s="110"/>
      <c r="TPP1365" s="110"/>
      <c r="TPQ1365" s="110"/>
      <c r="TPR1365" s="110"/>
      <c r="TPS1365" s="110"/>
      <c r="TPT1365" s="110"/>
      <c r="TPU1365" s="110"/>
      <c r="TPV1365" s="110"/>
      <c r="TPW1365" s="110"/>
      <c r="TPX1365" s="110"/>
      <c r="TPY1365" s="110"/>
      <c r="TPZ1365" s="110"/>
      <c r="TQA1365" s="110"/>
      <c r="TQB1365" s="110"/>
      <c r="TQC1365" s="110"/>
      <c r="TQD1365" s="110"/>
      <c r="TQE1365" s="110"/>
      <c r="TQF1365" s="110"/>
      <c r="TQG1365" s="110"/>
      <c r="TQH1365" s="110"/>
      <c r="TQI1365" s="110"/>
      <c r="TQJ1365" s="110"/>
      <c r="TQK1365" s="110"/>
      <c r="TQL1365" s="110"/>
      <c r="TQM1365" s="110"/>
      <c r="TQN1365" s="110"/>
      <c r="TQO1365" s="110"/>
      <c r="TQP1365" s="110"/>
      <c r="TQQ1365" s="110"/>
      <c r="TQR1365" s="110"/>
      <c r="TQS1365" s="110"/>
      <c r="TQT1365" s="110"/>
      <c r="TQU1365" s="110"/>
      <c r="TQV1365" s="110"/>
      <c r="TQW1365" s="110"/>
      <c r="TQX1365" s="110"/>
      <c r="TQY1365" s="110"/>
      <c r="TQZ1365" s="110"/>
      <c r="TRA1365" s="110"/>
      <c r="TRB1365" s="110"/>
      <c r="TRC1365" s="110"/>
      <c r="TRD1365" s="110"/>
      <c r="TRE1365" s="110"/>
      <c r="TRF1365" s="110"/>
      <c r="TRG1365" s="110"/>
      <c r="TRH1365" s="110"/>
      <c r="TRI1365" s="110"/>
      <c r="TRJ1365" s="110"/>
      <c r="TRK1365" s="110"/>
      <c r="TRL1365" s="110"/>
      <c r="TRM1365" s="110"/>
      <c r="TRN1365" s="110"/>
      <c r="TRO1365" s="110"/>
      <c r="TRP1365" s="110"/>
      <c r="TRQ1365" s="110"/>
      <c r="TRR1365" s="110"/>
      <c r="TRS1365" s="110"/>
      <c r="TRT1365" s="110"/>
      <c r="TRU1365" s="110"/>
      <c r="TRV1365" s="110"/>
      <c r="TRW1365" s="110"/>
      <c r="TRX1365" s="110"/>
      <c r="TRY1365" s="110"/>
      <c r="TRZ1365" s="110"/>
      <c r="TSA1365" s="110"/>
      <c r="TSB1365" s="110"/>
      <c r="TSC1365" s="110"/>
      <c r="TSD1365" s="110"/>
      <c r="TSE1365" s="110"/>
      <c r="TSF1365" s="110"/>
      <c r="TSG1365" s="110"/>
      <c r="TSH1365" s="110"/>
      <c r="TSI1365" s="110"/>
      <c r="TSJ1365" s="110"/>
      <c r="TSK1365" s="110"/>
      <c r="TSL1365" s="110"/>
      <c r="TSM1365" s="110"/>
      <c r="TSN1365" s="110"/>
      <c r="TSO1365" s="110"/>
      <c r="TSP1365" s="110"/>
      <c r="TSQ1365" s="110"/>
      <c r="TSR1365" s="110"/>
      <c r="TSS1365" s="110"/>
      <c r="TST1365" s="110"/>
      <c r="TSU1365" s="110"/>
      <c r="TSV1365" s="110"/>
      <c r="TSW1365" s="110"/>
      <c r="TSX1365" s="110"/>
      <c r="TSY1365" s="110"/>
      <c r="TSZ1365" s="110"/>
      <c r="TTA1365" s="110"/>
      <c r="TTB1365" s="110"/>
      <c r="TTC1365" s="110"/>
      <c r="TTD1365" s="110"/>
      <c r="TTE1365" s="110"/>
      <c r="TTF1365" s="110"/>
      <c r="TTG1365" s="110"/>
      <c r="TTH1365" s="110"/>
      <c r="TTI1365" s="110"/>
      <c r="TTJ1365" s="110"/>
      <c r="TTK1365" s="110"/>
      <c r="TTL1365" s="110"/>
      <c r="TTM1365" s="110"/>
      <c r="TTN1365" s="110"/>
      <c r="TTO1365" s="110"/>
      <c r="TTP1365" s="110"/>
      <c r="TTQ1365" s="110"/>
      <c r="TTR1365" s="110"/>
      <c r="TTS1365" s="110"/>
      <c r="TTT1365" s="110"/>
      <c r="TTU1365" s="110"/>
      <c r="TTV1365" s="110"/>
      <c r="TTW1365" s="110"/>
      <c r="TTX1365" s="110"/>
      <c r="TTY1365" s="110"/>
      <c r="TTZ1365" s="110"/>
      <c r="TUA1365" s="110"/>
      <c r="TUB1365" s="110"/>
      <c r="TUC1365" s="110"/>
      <c r="TUD1365" s="110"/>
      <c r="TUE1365" s="110"/>
      <c r="TUF1365" s="110"/>
      <c r="TUG1365" s="110"/>
      <c r="TUH1365" s="110"/>
      <c r="TUI1365" s="110"/>
      <c r="TUJ1365" s="110"/>
      <c r="TUK1365" s="110"/>
      <c r="TUL1365" s="110"/>
      <c r="TUM1365" s="110"/>
      <c r="TUN1365" s="110"/>
      <c r="TUO1365" s="110"/>
      <c r="TUP1365" s="110"/>
      <c r="TUQ1365" s="110"/>
      <c r="TUR1365" s="110"/>
      <c r="TUS1365" s="110"/>
      <c r="TUT1365" s="110"/>
      <c r="TUU1365" s="110"/>
      <c r="TUV1365" s="110"/>
      <c r="TUW1365" s="110"/>
      <c r="TUX1365" s="110"/>
      <c r="TUY1365" s="110"/>
      <c r="TUZ1365" s="110"/>
      <c r="TVA1365" s="110"/>
      <c r="TVB1365" s="110"/>
      <c r="TVC1365" s="110"/>
      <c r="TVD1365" s="110"/>
      <c r="TVE1365" s="110"/>
      <c r="TVF1365" s="110"/>
      <c r="TVG1365" s="110"/>
      <c r="TVH1365" s="110"/>
      <c r="TVI1365" s="110"/>
      <c r="TVJ1365" s="110"/>
      <c r="TVK1365" s="110"/>
      <c r="TVL1365" s="110"/>
      <c r="TVM1365" s="110"/>
      <c r="TVN1365" s="110"/>
      <c r="TVO1365" s="110"/>
      <c r="TVP1365" s="110"/>
      <c r="TVQ1365" s="110"/>
      <c r="TVR1365" s="110"/>
      <c r="TVS1365" s="110"/>
      <c r="TVT1365" s="110"/>
      <c r="TVU1365" s="110"/>
      <c r="TVV1365" s="110"/>
      <c r="TVW1365" s="110"/>
      <c r="TVX1365" s="110"/>
      <c r="TVY1365" s="110"/>
      <c r="TVZ1365" s="110"/>
      <c r="TWA1365" s="110"/>
      <c r="TWB1365" s="110"/>
      <c r="TWC1365" s="110"/>
      <c r="TWD1365" s="110"/>
      <c r="TWE1365" s="110"/>
      <c r="TWF1365" s="110"/>
      <c r="TWG1365" s="110"/>
      <c r="TWH1365" s="110"/>
      <c r="TWI1365" s="110"/>
      <c r="TWJ1365" s="110"/>
      <c r="TWK1365" s="110"/>
      <c r="TWL1365" s="110"/>
      <c r="TWM1365" s="110"/>
      <c r="TWN1365" s="110"/>
      <c r="TWO1365" s="110"/>
      <c r="TWP1365" s="110"/>
      <c r="TWQ1365" s="110"/>
      <c r="TWR1365" s="110"/>
      <c r="TWS1365" s="110"/>
      <c r="TWT1365" s="110"/>
      <c r="TWU1365" s="110"/>
      <c r="TWV1365" s="110"/>
      <c r="TWW1365" s="110"/>
      <c r="TWX1365" s="110"/>
      <c r="TWY1365" s="110"/>
      <c r="TWZ1365" s="110"/>
      <c r="TXA1365" s="110"/>
      <c r="TXB1365" s="110"/>
      <c r="TXC1365" s="110"/>
      <c r="TXD1365" s="110"/>
      <c r="TXE1365" s="110"/>
      <c r="TXF1365" s="110"/>
      <c r="TXG1365" s="110"/>
      <c r="TXH1365" s="110"/>
      <c r="TXI1365" s="110"/>
      <c r="TXJ1365" s="110"/>
      <c r="TXK1365" s="110"/>
      <c r="TXL1365" s="110"/>
      <c r="TXM1365" s="110"/>
      <c r="TXN1365" s="110"/>
      <c r="TXO1365" s="110"/>
      <c r="TXP1365" s="110"/>
      <c r="TXQ1365" s="110"/>
      <c r="TXR1365" s="110"/>
      <c r="TXS1365" s="110"/>
      <c r="TXT1365" s="110"/>
      <c r="TXU1365" s="110"/>
      <c r="TXV1365" s="110"/>
      <c r="TXW1365" s="110"/>
      <c r="TXX1365" s="110"/>
      <c r="TXY1365" s="110"/>
      <c r="TXZ1365" s="110"/>
      <c r="TYA1365" s="110"/>
      <c r="TYB1365" s="110"/>
      <c r="TYC1365" s="110"/>
      <c r="TYD1365" s="110"/>
      <c r="TYE1365" s="110"/>
      <c r="TYF1365" s="110"/>
      <c r="TYG1365" s="110"/>
      <c r="TYH1365" s="110"/>
      <c r="TYI1365" s="110"/>
      <c r="TYJ1365" s="110"/>
      <c r="TYK1365" s="110"/>
      <c r="TYL1365" s="110"/>
      <c r="TYM1365" s="110"/>
      <c r="TYN1365" s="110"/>
      <c r="TYO1365" s="110"/>
      <c r="TYP1365" s="110"/>
      <c r="TYQ1365" s="110"/>
      <c r="TYR1365" s="110"/>
      <c r="TYS1365" s="110"/>
      <c r="TYT1365" s="110"/>
      <c r="TYU1365" s="110"/>
      <c r="TYV1365" s="110"/>
      <c r="TYW1365" s="110"/>
      <c r="TYX1365" s="110"/>
      <c r="TYY1365" s="110"/>
      <c r="TYZ1365" s="110"/>
      <c r="TZA1365" s="110"/>
      <c r="TZB1365" s="110"/>
      <c r="TZC1365" s="110"/>
      <c r="TZD1365" s="110"/>
      <c r="TZE1365" s="110"/>
      <c r="TZF1365" s="110"/>
      <c r="TZG1365" s="110"/>
      <c r="TZH1365" s="110"/>
      <c r="TZI1365" s="110"/>
      <c r="TZJ1365" s="110"/>
      <c r="TZK1365" s="110"/>
      <c r="TZL1365" s="110"/>
      <c r="TZM1365" s="110"/>
      <c r="TZN1365" s="110"/>
      <c r="TZO1365" s="110"/>
      <c r="TZP1365" s="110"/>
      <c r="TZQ1365" s="110"/>
      <c r="TZR1365" s="110"/>
      <c r="TZS1365" s="110"/>
      <c r="TZT1365" s="110"/>
      <c r="TZU1365" s="110"/>
      <c r="TZV1365" s="110"/>
      <c r="TZW1365" s="110"/>
      <c r="TZX1365" s="110"/>
      <c r="TZY1365" s="110"/>
      <c r="TZZ1365" s="110"/>
      <c r="UAA1365" s="110"/>
      <c r="UAB1365" s="110"/>
      <c r="UAC1365" s="110"/>
      <c r="UAD1365" s="110"/>
      <c r="UAE1365" s="110"/>
      <c r="UAF1365" s="110"/>
      <c r="UAG1365" s="110"/>
      <c r="UAH1365" s="110"/>
      <c r="UAI1365" s="110"/>
      <c r="UAJ1365" s="110"/>
      <c r="UAK1365" s="110"/>
      <c r="UAL1365" s="110"/>
      <c r="UAM1365" s="110"/>
      <c r="UAN1365" s="110"/>
      <c r="UAO1365" s="110"/>
      <c r="UAP1365" s="110"/>
      <c r="UAQ1365" s="110"/>
      <c r="UAR1365" s="110"/>
      <c r="UAS1365" s="110"/>
      <c r="UAT1365" s="110"/>
      <c r="UAU1365" s="110"/>
      <c r="UAV1365" s="110"/>
      <c r="UAW1365" s="110"/>
      <c r="UAX1365" s="110"/>
      <c r="UAY1365" s="110"/>
      <c r="UAZ1365" s="110"/>
      <c r="UBA1365" s="110"/>
      <c r="UBB1365" s="110"/>
      <c r="UBC1365" s="110"/>
      <c r="UBD1365" s="110"/>
      <c r="UBE1365" s="110"/>
      <c r="UBF1365" s="110"/>
      <c r="UBG1365" s="110"/>
      <c r="UBH1365" s="110"/>
      <c r="UBI1365" s="110"/>
      <c r="UBJ1365" s="110"/>
      <c r="UBK1365" s="110"/>
      <c r="UBL1365" s="110"/>
      <c r="UBM1365" s="110"/>
      <c r="UBN1365" s="110"/>
      <c r="UBO1365" s="110"/>
      <c r="UBP1365" s="110"/>
      <c r="UBQ1365" s="110"/>
      <c r="UBR1365" s="110"/>
      <c r="UBS1365" s="110"/>
      <c r="UBT1365" s="110"/>
      <c r="UBU1365" s="110"/>
      <c r="UBV1365" s="110"/>
      <c r="UBW1365" s="110"/>
      <c r="UBX1365" s="110"/>
      <c r="UBY1365" s="110"/>
      <c r="UBZ1365" s="110"/>
      <c r="UCA1365" s="110"/>
      <c r="UCB1365" s="110"/>
      <c r="UCC1365" s="110"/>
      <c r="UCD1365" s="110"/>
      <c r="UCE1365" s="110"/>
      <c r="UCF1365" s="110"/>
      <c r="UCG1365" s="110"/>
      <c r="UCH1365" s="110"/>
      <c r="UCI1365" s="110"/>
      <c r="UCJ1365" s="110"/>
      <c r="UCK1365" s="110"/>
      <c r="UCL1365" s="110"/>
      <c r="UCM1365" s="110"/>
      <c r="UCN1365" s="110"/>
      <c r="UCO1365" s="110"/>
      <c r="UCP1365" s="110"/>
      <c r="UCQ1365" s="110"/>
      <c r="UCR1365" s="110"/>
      <c r="UCS1365" s="110"/>
      <c r="UCT1365" s="110"/>
      <c r="UCU1365" s="110"/>
      <c r="UCV1365" s="110"/>
      <c r="UCW1365" s="110"/>
      <c r="UCX1365" s="110"/>
      <c r="UCY1365" s="110"/>
      <c r="UCZ1365" s="110"/>
      <c r="UDA1365" s="110"/>
      <c r="UDB1365" s="110"/>
      <c r="UDC1365" s="110"/>
      <c r="UDD1365" s="110"/>
      <c r="UDE1365" s="110"/>
      <c r="UDF1365" s="110"/>
      <c r="UDG1365" s="110"/>
      <c r="UDH1365" s="110"/>
      <c r="UDI1365" s="110"/>
      <c r="UDJ1365" s="110"/>
      <c r="UDK1365" s="110"/>
      <c r="UDL1365" s="110"/>
      <c r="UDM1365" s="110"/>
      <c r="UDN1365" s="110"/>
      <c r="UDO1365" s="110"/>
      <c r="UDP1365" s="110"/>
      <c r="UDQ1365" s="110"/>
      <c r="UDR1365" s="110"/>
      <c r="UDS1365" s="110"/>
      <c r="UDT1365" s="110"/>
      <c r="UDU1365" s="110"/>
      <c r="UDV1365" s="110"/>
      <c r="UDW1365" s="110"/>
      <c r="UDX1365" s="110"/>
      <c r="UDY1365" s="110"/>
      <c r="UDZ1365" s="110"/>
      <c r="UEA1365" s="110"/>
      <c r="UEB1365" s="110"/>
      <c r="UEC1365" s="110"/>
      <c r="UED1365" s="110"/>
      <c r="UEE1365" s="110"/>
      <c r="UEF1365" s="110"/>
      <c r="UEG1365" s="110"/>
      <c r="UEH1365" s="110"/>
      <c r="UEI1365" s="110"/>
      <c r="UEJ1365" s="110"/>
      <c r="UEK1365" s="110"/>
      <c r="UEL1365" s="110"/>
      <c r="UEM1365" s="110"/>
      <c r="UEN1365" s="110"/>
      <c r="UEO1365" s="110"/>
      <c r="UEP1365" s="110"/>
      <c r="UEQ1365" s="110"/>
      <c r="UER1365" s="110"/>
      <c r="UES1365" s="110"/>
      <c r="UET1365" s="110"/>
      <c r="UEU1365" s="110"/>
      <c r="UEV1365" s="110"/>
      <c r="UEW1365" s="110"/>
      <c r="UEX1365" s="110"/>
      <c r="UEY1365" s="110"/>
      <c r="UEZ1365" s="110"/>
      <c r="UFA1365" s="110"/>
      <c r="UFB1365" s="110"/>
      <c r="UFC1365" s="110"/>
      <c r="UFD1365" s="110"/>
      <c r="UFE1365" s="110"/>
      <c r="UFF1365" s="110"/>
      <c r="UFG1365" s="110"/>
      <c r="UFH1365" s="110"/>
      <c r="UFI1365" s="110"/>
      <c r="UFJ1365" s="110"/>
      <c r="UFK1365" s="110"/>
      <c r="UFL1365" s="110"/>
      <c r="UFM1365" s="110"/>
      <c r="UFN1365" s="110"/>
      <c r="UFO1365" s="110"/>
      <c r="UFP1365" s="110"/>
      <c r="UFQ1365" s="110"/>
      <c r="UFR1365" s="110"/>
      <c r="UFS1365" s="110"/>
      <c r="UFT1365" s="110"/>
      <c r="UFU1365" s="110"/>
      <c r="UFV1365" s="110"/>
      <c r="UFW1365" s="110"/>
      <c r="UFX1365" s="110"/>
      <c r="UFY1365" s="110"/>
      <c r="UFZ1365" s="110"/>
      <c r="UGA1365" s="110"/>
      <c r="UGB1365" s="110"/>
      <c r="UGC1365" s="110"/>
      <c r="UGD1365" s="110"/>
      <c r="UGE1365" s="110"/>
      <c r="UGF1365" s="110"/>
      <c r="UGG1365" s="110"/>
      <c r="UGH1365" s="110"/>
      <c r="UGI1365" s="110"/>
      <c r="UGJ1365" s="110"/>
      <c r="UGK1365" s="110"/>
      <c r="UGL1365" s="110"/>
      <c r="UGM1365" s="110"/>
      <c r="UGN1365" s="110"/>
      <c r="UGO1365" s="110"/>
      <c r="UGP1365" s="110"/>
      <c r="UGQ1365" s="110"/>
      <c r="UGR1365" s="110"/>
      <c r="UGS1365" s="110"/>
      <c r="UGT1365" s="110"/>
      <c r="UGU1365" s="110"/>
      <c r="UGV1365" s="110"/>
      <c r="UGW1365" s="110"/>
      <c r="UGX1365" s="110"/>
      <c r="UGY1365" s="110"/>
      <c r="UGZ1365" s="110"/>
      <c r="UHA1365" s="110"/>
      <c r="UHB1365" s="110"/>
      <c r="UHC1365" s="110"/>
      <c r="UHD1365" s="110"/>
      <c r="UHE1365" s="110"/>
      <c r="UHF1365" s="110"/>
      <c r="UHG1365" s="110"/>
      <c r="UHH1365" s="110"/>
      <c r="UHI1365" s="110"/>
      <c r="UHJ1365" s="110"/>
      <c r="UHK1365" s="110"/>
      <c r="UHL1365" s="110"/>
      <c r="UHM1365" s="110"/>
      <c r="UHN1365" s="110"/>
      <c r="UHO1365" s="110"/>
      <c r="UHP1365" s="110"/>
      <c r="UHQ1365" s="110"/>
      <c r="UHR1365" s="110"/>
      <c r="UHS1365" s="110"/>
      <c r="UHT1365" s="110"/>
      <c r="UHU1365" s="110"/>
      <c r="UHV1365" s="110"/>
      <c r="UHW1365" s="110"/>
      <c r="UHX1365" s="110"/>
      <c r="UHY1365" s="110"/>
      <c r="UHZ1365" s="110"/>
      <c r="UIA1365" s="110"/>
      <c r="UIB1365" s="110"/>
      <c r="UIC1365" s="110"/>
      <c r="UID1365" s="110"/>
      <c r="UIE1365" s="110"/>
      <c r="UIF1365" s="110"/>
      <c r="UIG1365" s="110"/>
      <c r="UIH1365" s="110"/>
      <c r="UII1365" s="110"/>
      <c r="UIJ1365" s="110"/>
      <c r="UIK1365" s="110"/>
      <c r="UIL1365" s="110"/>
      <c r="UIM1365" s="110"/>
      <c r="UIN1365" s="110"/>
      <c r="UIO1365" s="110"/>
      <c r="UIP1365" s="110"/>
      <c r="UIQ1365" s="110"/>
      <c r="UIR1365" s="110"/>
      <c r="UIS1365" s="110"/>
      <c r="UIT1365" s="110"/>
      <c r="UIU1365" s="110"/>
      <c r="UIV1365" s="110"/>
      <c r="UIW1365" s="110"/>
      <c r="UIX1365" s="110"/>
      <c r="UIY1365" s="110"/>
      <c r="UIZ1365" s="110"/>
      <c r="UJA1365" s="110"/>
      <c r="UJB1365" s="110"/>
      <c r="UJC1365" s="110"/>
      <c r="UJD1365" s="110"/>
      <c r="UJE1365" s="110"/>
      <c r="UJF1365" s="110"/>
      <c r="UJG1365" s="110"/>
      <c r="UJH1365" s="110"/>
      <c r="UJI1365" s="110"/>
      <c r="UJJ1365" s="110"/>
      <c r="UJK1365" s="110"/>
      <c r="UJL1365" s="110"/>
      <c r="UJM1365" s="110"/>
      <c r="UJN1365" s="110"/>
      <c r="UJO1365" s="110"/>
      <c r="UJP1365" s="110"/>
      <c r="UJQ1365" s="110"/>
      <c r="UJR1365" s="110"/>
      <c r="UJS1365" s="110"/>
      <c r="UJT1365" s="110"/>
      <c r="UJU1365" s="110"/>
      <c r="UJV1365" s="110"/>
      <c r="UJW1365" s="110"/>
      <c r="UJX1365" s="110"/>
      <c r="UJY1365" s="110"/>
      <c r="UJZ1365" s="110"/>
      <c r="UKA1365" s="110"/>
      <c r="UKB1365" s="110"/>
      <c r="UKC1365" s="110"/>
      <c r="UKD1365" s="110"/>
      <c r="UKE1365" s="110"/>
      <c r="UKF1365" s="110"/>
      <c r="UKG1365" s="110"/>
      <c r="UKH1365" s="110"/>
      <c r="UKI1365" s="110"/>
      <c r="UKJ1365" s="110"/>
      <c r="UKK1365" s="110"/>
      <c r="UKL1365" s="110"/>
      <c r="UKM1365" s="110"/>
      <c r="UKN1365" s="110"/>
      <c r="UKO1365" s="110"/>
      <c r="UKP1365" s="110"/>
      <c r="UKQ1365" s="110"/>
      <c r="UKR1365" s="110"/>
      <c r="UKS1365" s="110"/>
      <c r="UKT1365" s="110"/>
      <c r="UKU1365" s="110"/>
      <c r="UKV1365" s="110"/>
      <c r="UKW1365" s="110"/>
      <c r="UKX1365" s="110"/>
      <c r="UKY1365" s="110"/>
      <c r="UKZ1365" s="110"/>
      <c r="ULA1365" s="110"/>
      <c r="ULB1365" s="110"/>
      <c r="ULC1365" s="110"/>
      <c r="ULD1365" s="110"/>
      <c r="ULE1365" s="110"/>
      <c r="ULF1365" s="110"/>
      <c r="ULG1365" s="110"/>
      <c r="ULH1365" s="110"/>
      <c r="ULI1365" s="110"/>
      <c r="ULJ1365" s="110"/>
      <c r="ULK1365" s="110"/>
      <c r="ULL1365" s="110"/>
      <c r="ULM1365" s="110"/>
      <c r="ULN1365" s="110"/>
      <c r="ULO1365" s="110"/>
      <c r="ULP1365" s="110"/>
      <c r="ULQ1365" s="110"/>
      <c r="ULR1365" s="110"/>
      <c r="ULS1365" s="110"/>
      <c r="ULT1365" s="110"/>
      <c r="ULU1365" s="110"/>
      <c r="ULV1365" s="110"/>
      <c r="ULW1365" s="110"/>
      <c r="ULX1365" s="110"/>
      <c r="ULY1365" s="110"/>
      <c r="ULZ1365" s="110"/>
      <c r="UMA1365" s="110"/>
      <c r="UMB1365" s="110"/>
      <c r="UMC1365" s="110"/>
      <c r="UMD1365" s="110"/>
      <c r="UME1365" s="110"/>
      <c r="UMF1365" s="110"/>
      <c r="UMG1365" s="110"/>
      <c r="UMH1365" s="110"/>
      <c r="UMI1365" s="110"/>
      <c r="UMJ1365" s="110"/>
      <c r="UMK1365" s="110"/>
      <c r="UML1365" s="110"/>
      <c r="UMM1365" s="110"/>
      <c r="UMN1365" s="110"/>
      <c r="UMO1365" s="110"/>
      <c r="UMP1365" s="110"/>
      <c r="UMQ1365" s="110"/>
      <c r="UMR1365" s="110"/>
      <c r="UMS1365" s="110"/>
      <c r="UMT1365" s="110"/>
      <c r="UMU1365" s="110"/>
      <c r="UMV1365" s="110"/>
      <c r="UMW1365" s="110"/>
      <c r="UMX1365" s="110"/>
      <c r="UMY1365" s="110"/>
      <c r="UMZ1365" s="110"/>
      <c r="UNA1365" s="110"/>
      <c r="UNB1365" s="110"/>
      <c r="UNC1365" s="110"/>
      <c r="UND1365" s="110"/>
      <c r="UNE1365" s="110"/>
      <c r="UNF1365" s="110"/>
      <c r="UNG1365" s="110"/>
      <c r="UNH1365" s="110"/>
      <c r="UNI1365" s="110"/>
      <c r="UNJ1365" s="110"/>
      <c r="UNK1365" s="110"/>
      <c r="UNL1365" s="110"/>
      <c r="UNM1365" s="110"/>
      <c r="UNN1365" s="110"/>
      <c r="UNO1365" s="110"/>
      <c r="UNP1365" s="110"/>
      <c r="UNQ1365" s="110"/>
      <c r="UNR1365" s="110"/>
      <c r="UNS1365" s="110"/>
      <c r="UNT1365" s="110"/>
      <c r="UNU1365" s="110"/>
      <c r="UNV1365" s="110"/>
      <c r="UNW1365" s="110"/>
      <c r="UNX1365" s="110"/>
      <c r="UNY1365" s="110"/>
      <c r="UNZ1365" s="110"/>
      <c r="UOA1365" s="110"/>
      <c r="UOB1365" s="110"/>
      <c r="UOC1365" s="110"/>
      <c r="UOD1365" s="110"/>
      <c r="UOE1365" s="110"/>
      <c r="UOF1365" s="110"/>
      <c r="UOG1365" s="110"/>
      <c r="UOH1365" s="110"/>
      <c r="UOI1365" s="110"/>
      <c r="UOJ1365" s="110"/>
      <c r="UOK1365" s="110"/>
      <c r="UOL1365" s="110"/>
      <c r="UOM1365" s="110"/>
      <c r="UON1365" s="110"/>
      <c r="UOO1365" s="110"/>
      <c r="UOP1365" s="110"/>
      <c r="UOQ1365" s="110"/>
      <c r="UOR1365" s="110"/>
      <c r="UOS1365" s="110"/>
      <c r="UOT1365" s="110"/>
      <c r="UOU1365" s="110"/>
      <c r="UOV1365" s="110"/>
      <c r="UOW1365" s="110"/>
      <c r="UOX1365" s="110"/>
      <c r="UOY1365" s="110"/>
      <c r="UOZ1365" s="110"/>
      <c r="UPA1365" s="110"/>
      <c r="UPB1365" s="110"/>
      <c r="UPC1365" s="110"/>
      <c r="UPD1365" s="110"/>
      <c r="UPE1365" s="110"/>
      <c r="UPF1365" s="110"/>
      <c r="UPG1365" s="110"/>
      <c r="UPH1365" s="110"/>
      <c r="UPI1365" s="110"/>
      <c r="UPJ1365" s="110"/>
      <c r="UPK1365" s="110"/>
      <c r="UPL1365" s="110"/>
      <c r="UPM1365" s="110"/>
      <c r="UPN1365" s="110"/>
      <c r="UPO1365" s="110"/>
      <c r="UPP1365" s="110"/>
      <c r="UPQ1365" s="110"/>
      <c r="UPR1365" s="110"/>
      <c r="UPS1365" s="110"/>
      <c r="UPT1365" s="110"/>
      <c r="UPU1365" s="110"/>
      <c r="UPV1365" s="110"/>
      <c r="UPW1365" s="110"/>
      <c r="UPX1365" s="110"/>
      <c r="UPY1365" s="110"/>
      <c r="UPZ1365" s="110"/>
      <c r="UQA1365" s="110"/>
      <c r="UQB1365" s="110"/>
      <c r="UQC1365" s="110"/>
      <c r="UQD1365" s="110"/>
      <c r="UQE1365" s="110"/>
      <c r="UQF1365" s="110"/>
      <c r="UQG1365" s="110"/>
      <c r="UQH1365" s="110"/>
      <c r="UQI1365" s="110"/>
      <c r="UQJ1365" s="110"/>
      <c r="UQK1365" s="110"/>
      <c r="UQL1365" s="110"/>
      <c r="UQM1365" s="110"/>
      <c r="UQN1365" s="110"/>
      <c r="UQO1365" s="110"/>
      <c r="UQP1365" s="110"/>
      <c r="UQQ1365" s="110"/>
      <c r="UQR1365" s="110"/>
      <c r="UQS1365" s="110"/>
      <c r="UQT1365" s="110"/>
      <c r="UQU1365" s="110"/>
      <c r="UQV1365" s="110"/>
      <c r="UQW1365" s="110"/>
      <c r="UQX1365" s="110"/>
      <c r="UQY1365" s="110"/>
      <c r="UQZ1365" s="110"/>
      <c r="URA1365" s="110"/>
      <c r="URB1365" s="110"/>
      <c r="URC1365" s="110"/>
      <c r="URD1365" s="110"/>
      <c r="URE1365" s="110"/>
      <c r="URF1365" s="110"/>
      <c r="URG1365" s="110"/>
      <c r="URH1365" s="110"/>
      <c r="URI1365" s="110"/>
      <c r="URJ1365" s="110"/>
      <c r="URK1365" s="110"/>
      <c r="URL1365" s="110"/>
      <c r="URM1365" s="110"/>
      <c r="URN1365" s="110"/>
      <c r="URO1365" s="110"/>
      <c r="URP1365" s="110"/>
      <c r="URQ1365" s="110"/>
      <c r="URR1365" s="110"/>
      <c r="URS1365" s="110"/>
      <c r="URT1365" s="110"/>
      <c r="URU1365" s="110"/>
      <c r="URV1365" s="110"/>
      <c r="URW1365" s="110"/>
      <c r="URX1365" s="110"/>
      <c r="URY1365" s="110"/>
      <c r="URZ1365" s="110"/>
      <c r="USA1365" s="110"/>
      <c r="USB1365" s="110"/>
      <c r="USC1365" s="110"/>
      <c r="USD1365" s="110"/>
      <c r="USE1365" s="110"/>
      <c r="USF1365" s="110"/>
      <c r="USG1365" s="110"/>
      <c r="USH1365" s="110"/>
      <c r="USI1365" s="110"/>
      <c r="USJ1365" s="110"/>
      <c r="USK1365" s="110"/>
      <c r="USL1365" s="110"/>
      <c r="USM1365" s="110"/>
      <c r="USN1365" s="110"/>
      <c r="USO1365" s="110"/>
      <c r="USP1365" s="110"/>
      <c r="USQ1365" s="110"/>
      <c r="USR1365" s="110"/>
      <c r="USS1365" s="110"/>
      <c r="UST1365" s="110"/>
      <c r="USU1365" s="110"/>
      <c r="USV1365" s="110"/>
      <c r="USW1365" s="110"/>
      <c r="USX1365" s="110"/>
      <c r="USY1365" s="110"/>
      <c r="USZ1365" s="110"/>
      <c r="UTA1365" s="110"/>
      <c r="UTB1365" s="110"/>
      <c r="UTC1365" s="110"/>
      <c r="UTD1365" s="110"/>
      <c r="UTE1365" s="110"/>
      <c r="UTF1365" s="110"/>
      <c r="UTG1365" s="110"/>
      <c r="UTH1365" s="110"/>
      <c r="UTI1365" s="110"/>
      <c r="UTJ1365" s="110"/>
      <c r="UTK1365" s="110"/>
      <c r="UTL1365" s="110"/>
      <c r="UTM1365" s="110"/>
      <c r="UTN1365" s="110"/>
      <c r="UTO1365" s="110"/>
      <c r="UTP1365" s="110"/>
      <c r="UTQ1365" s="110"/>
      <c r="UTR1365" s="110"/>
      <c r="UTS1365" s="110"/>
      <c r="UTT1365" s="110"/>
      <c r="UTU1365" s="110"/>
      <c r="UTV1365" s="110"/>
      <c r="UTW1365" s="110"/>
      <c r="UTX1365" s="110"/>
      <c r="UTY1365" s="110"/>
      <c r="UTZ1365" s="110"/>
      <c r="UUA1365" s="110"/>
      <c r="UUB1365" s="110"/>
      <c r="UUC1365" s="110"/>
      <c r="UUD1365" s="110"/>
      <c r="UUE1365" s="110"/>
      <c r="UUF1365" s="110"/>
      <c r="UUG1365" s="110"/>
      <c r="UUH1365" s="110"/>
      <c r="UUI1365" s="110"/>
      <c r="UUJ1365" s="110"/>
      <c r="UUK1365" s="110"/>
      <c r="UUL1365" s="110"/>
      <c r="UUM1365" s="110"/>
      <c r="UUN1365" s="110"/>
      <c r="UUO1365" s="110"/>
      <c r="UUP1365" s="110"/>
      <c r="UUQ1365" s="110"/>
      <c r="UUR1365" s="110"/>
      <c r="UUS1365" s="110"/>
      <c r="UUT1365" s="110"/>
      <c r="UUU1365" s="110"/>
      <c r="UUV1365" s="110"/>
      <c r="UUW1365" s="110"/>
      <c r="UUX1365" s="110"/>
      <c r="UUY1365" s="110"/>
      <c r="UUZ1365" s="110"/>
      <c r="UVA1365" s="110"/>
      <c r="UVB1365" s="110"/>
      <c r="UVC1365" s="110"/>
      <c r="UVD1365" s="110"/>
      <c r="UVE1365" s="110"/>
      <c r="UVF1365" s="110"/>
      <c r="UVG1365" s="110"/>
      <c r="UVH1365" s="110"/>
      <c r="UVI1365" s="110"/>
      <c r="UVJ1365" s="110"/>
      <c r="UVK1365" s="110"/>
      <c r="UVL1365" s="110"/>
      <c r="UVM1365" s="110"/>
      <c r="UVN1365" s="110"/>
      <c r="UVO1365" s="110"/>
      <c r="UVP1365" s="110"/>
      <c r="UVQ1365" s="110"/>
      <c r="UVR1365" s="110"/>
      <c r="UVS1365" s="110"/>
      <c r="UVT1365" s="110"/>
      <c r="UVU1365" s="110"/>
      <c r="UVV1365" s="110"/>
      <c r="UVW1365" s="110"/>
      <c r="UVX1365" s="110"/>
      <c r="UVY1365" s="110"/>
      <c r="UVZ1365" s="110"/>
      <c r="UWA1365" s="110"/>
      <c r="UWB1365" s="110"/>
      <c r="UWC1365" s="110"/>
      <c r="UWD1365" s="110"/>
      <c r="UWE1365" s="110"/>
      <c r="UWF1365" s="110"/>
      <c r="UWG1365" s="110"/>
      <c r="UWH1365" s="110"/>
      <c r="UWI1365" s="110"/>
      <c r="UWJ1365" s="110"/>
      <c r="UWK1365" s="110"/>
      <c r="UWL1365" s="110"/>
      <c r="UWM1365" s="110"/>
      <c r="UWN1365" s="110"/>
      <c r="UWO1365" s="110"/>
      <c r="UWP1365" s="110"/>
      <c r="UWQ1365" s="110"/>
      <c r="UWR1365" s="110"/>
      <c r="UWS1365" s="110"/>
      <c r="UWT1365" s="110"/>
      <c r="UWU1365" s="110"/>
      <c r="UWV1365" s="110"/>
      <c r="UWW1365" s="110"/>
      <c r="UWX1365" s="110"/>
      <c r="UWY1365" s="110"/>
      <c r="UWZ1365" s="110"/>
      <c r="UXA1365" s="110"/>
      <c r="UXB1365" s="110"/>
      <c r="UXC1365" s="110"/>
      <c r="UXD1365" s="110"/>
      <c r="UXE1365" s="110"/>
      <c r="UXF1365" s="110"/>
      <c r="UXG1365" s="110"/>
      <c r="UXH1365" s="110"/>
      <c r="UXI1365" s="110"/>
      <c r="UXJ1365" s="110"/>
      <c r="UXK1365" s="110"/>
      <c r="UXL1365" s="110"/>
      <c r="UXM1365" s="110"/>
      <c r="UXN1365" s="110"/>
      <c r="UXO1365" s="110"/>
      <c r="UXP1365" s="110"/>
      <c r="UXQ1365" s="110"/>
      <c r="UXR1365" s="110"/>
      <c r="UXS1365" s="110"/>
      <c r="UXT1365" s="110"/>
      <c r="UXU1365" s="110"/>
      <c r="UXV1365" s="110"/>
      <c r="UXW1365" s="110"/>
      <c r="UXX1365" s="110"/>
      <c r="UXY1365" s="110"/>
      <c r="UXZ1365" s="110"/>
      <c r="UYA1365" s="110"/>
      <c r="UYB1365" s="110"/>
      <c r="UYC1365" s="110"/>
      <c r="UYD1365" s="110"/>
      <c r="UYE1365" s="110"/>
      <c r="UYF1365" s="110"/>
      <c r="UYG1365" s="110"/>
      <c r="UYH1365" s="110"/>
      <c r="UYI1365" s="110"/>
      <c r="UYJ1365" s="110"/>
      <c r="UYK1365" s="110"/>
      <c r="UYL1365" s="110"/>
      <c r="UYM1365" s="110"/>
      <c r="UYN1365" s="110"/>
      <c r="UYO1365" s="110"/>
      <c r="UYP1365" s="110"/>
      <c r="UYQ1365" s="110"/>
      <c r="UYR1365" s="110"/>
      <c r="UYS1365" s="110"/>
      <c r="UYT1365" s="110"/>
      <c r="UYU1365" s="110"/>
      <c r="UYV1365" s="110"/>
      <c r="UYW1365" s="110"/>
      <c r="UYX1365" s="110"/>
      <c r="UYY1365" s="110"/>
      <c r="UYZ1365" s="110"/>
      <c r="UZA1365" s="110"/>
      <c r="UZB1365" s="110"/>
      <c r="UZC1365" s="110"/>
      <c r="UZD1365" s="110"/>
      <c r="UZE1365" s="110"/>
      <c r="UZF1365" s="110"/>
      <c r="UZG1365" s="110"/>
      <c r="UZH1365" s="110"/>
      <c r="UZI1365" s="110"/>
      <c r="UZJ1365" s="110"/>
      <c r="UZK1365" s="110"/>
      <c r="UZL1365" s="110"/>
      <c r="UZM1365" s="110"/>
      <c r="UZN1365" s="110"/>
      <c r="UZO1365" s="110"/>
      <c r="UZP1365" s="110"/>
      <c r="UZQ1365" s="110"/>
      <c r="UZR1365" s="110"/>
      <c r="UZS1365" s="110"/>
      <c r="UZT1365" s="110"/>
      <c r="UZU1365" s="110"/>
      <c r="UZV1365" s="110"/>
      <c r="UZW1365" s="110"/>
      <c r="UZX1365" s="110"/>
      <c r="UZY1365" s="110"/>
      <c r="UZZ1365" s="110"/>
      <c r="VAA1365" s="110"/>
      <c r="VAB1365" s="110"/>
      <c r="VAC1365" s="110"/>
      <c r="VAD1365" s="110"/>
      <c r="VAE1365" s="110"/>
      <c r="VAF1365" s="110"/>
      <c r="VAG1365" s="110"/>
      <c r="VAH1365" s="110"/>
      <c r="VAI1365" s="110"/>
      <c r="VAJ1365" s="110"/>
      <c r="VAK1365" s="110"/>
      <c r="VAL1365" s="110"/>
      <c r="VAM1365" s="110"/>
      <c r="VAN1365" s="110"/>
      <c r="VAO1365" s="110"/>
      <c r="VAP1365" s="110"/>
      <c r="VAQ1365" s="110"/>
      <c r="VAR1365" s="110"/>
      <c r="VAS1365" s="110"/>
      <c r="VAT1365" s="110"/>
      <c r="VAU1365" s="110"/>
      <c r="VAV1365" s="110"/>
      <c r="VAW1365" s="110"/>
      <c r="VAX1365" s="110"/>
      <c r="VAY1365" s="110"/>
      <c r="VAZ1365" s="110"/>
      <c r="VBA1365" s="110"/>
      <c r="VBB1365" s="110"/>
      <c r="VBC1365" s="110"/>
      <c r="VBD1365" s="110"/>
      <c r="VBE1365" s="110"/>
      <c r="VBF1365" s="110"/>
      <c r="VBG1365" s="110"/>
      <c r="VBH1365" s="110"/>
      <c r="VBI1365" s="110"/>
      <c r="VBJ1365" s="110"/>
      <c r="VBK1365" s="110"/>
      <c r="VBL1365" s="110"/>
      <c r="VBM1365" s="110"/>
      <c r="VBN1365" s="110"/>
      <c r="VBO1365" s="110"/>
      <c r="VBP1365" s="110"/>
      <c r="VBQ1365" s="110"/>
      <c r="VBR1365" s="110"/>
      <c r="VBS1365" s="110"/>
      <c r="VBT1365" s="110"/>
      <c r="VBU1365" s="110"/>
      <c r="VBV1365" s="110"/>
      <c r="VBW1365" s="110"/>
      <c r="VBX1365" s="110"/>
      <c r="VBY1365" s="110"/>
      <c r="VBZ1365" s="110"/>
      <c r="VCA1365" s="110"/>
      <c r="VCB1365" s="110"/>
      <c r="VCC1365" s="110"/>
      <c r="VCD1365" s="110"/>
      <c r="VCE1365" s="110"/>
      <c r="VCF1365" s="110"/>
      <c r="VCG1365" s="110"/>
      <c r="VCH1365" s="110"/>
      <c r="VCI1365" s="110"/>
      <c r="VCJ1365" s="110"/>
      <c r="VCK1365" s="110"/>
      <c r="VCL1365" s="110"/>
      <c r="VCM1365" s="110"/>
      <c r="VCN1365" s="110"/>
      <c r="VCO1365" s="110"/>
      <c r="VCP1365" s="110"/>
      <c r="VCQ1365" s="110"/>
      <c r="VCR1365" s="110"/>
      <c r="VCS1365" s="110"/>
      <c r="VCT1365" s="110"/>
      <c r="VCU1365" s="110"/>
      <c r="VCV1365" s="110"/>
      <c r="VCW1365" s="110"/>
      <c r="VCX1365" s="110"/>
      <c r="VCY1365" s="110"/>
      <c r="VCZ1365" s="110"/>
      <c r="VDA1365" s="110"/>
      <c r="VDB1365" s="110"/>
      <c r="VDC1365" s="110"/>
      <c r="VDD1365" s="110"/>
      <c r="VDE1365" s="110"/>
      <c r="VDF1365" s="110"/>
      <c r="VDG1365" s="110"/>
      <c r="VDH1365" s="110"/>
      <c r="VDI1365" s="110"/>
      <c r="VDJ1365" s="110"/>
      <c r="VDK1365" s="110"/>
      <c r="VDL1365" s="110"/>
      <c r="VDM1365" s="110"/>
      <c r="VDN1365" s="110"/>
      <c r="VDO1365" s="110"/>
      <c r="VDP1365" s="110"/>
      <c r="VDQ1365" s="110"/>
      <c r="VDR1365" s="110"/>
      <c r="VDS1365" s="110"/>
      <c r="VDT1365" s="110"/>
      <c r="VDU1365" s="110"/>
      <c r="VDV1365" s="110"/>
      <c r="VDW1365" s="110"/>
      <c r="VDX1365" s="110"/>
      <c r="VDY1365" s="110"/>
      <c r="VDZ1365" s="110"/>
      <c r="VEA1365" s="110"/>
      <c r="VEB1365" s="110"/>
      <c r="VEC1365" s="110"/>
      <c r="VED1365" s="110"/>
      <c r="VEE1365" s="110"/>
      <c r="VEF1365" s="110"/>
      <c r="VEG1365" s="110"/>
      <c r="VEH1365" s="110"/>
      <c r="VEI1365" s="110"/>
      <c r="VEJ1365" s="110"/>
      <c r="VEK1365" s="110"/>
      <c r="VEL1365" s="110"/>
      <c r="VEM1365" s="110"/>
      <c r="VEN1365" s="110"/>
      <c r="VEO1365" s="110"/>
      <c r="VEP1365" s="110"/>
      <c r="VEQ1365" s="110"/>
      <c r="VER1365" s="110"/>
      <c r="VES1365" s="110"/>
      <c r="VET1365" s="110"/>
      <c r="VEU1365" s="110"/>
      <c r="VEV1365" s="110"/>
      <c r="VEW1365" s="110"/>
      <c r="VEX1365" s="110"/>
      <c r="VEY1365" s="110"/>
      <c r="VEZ1365" s="110"/>
      <c r="VFA1365" s="110"/>
      <c r="VFB1365" s="110"/>
      <c r="VFC1365" s="110"/>
      <c r="VFD1365" s="110"/>
      <c r="VFE1365" s="110"/>
      <c r="VFF1365" s="110"/>
      <c r="VFG1365" s="110"/>
      <c r="VFH1365" s="110"/>
      <c r="VFI1365" s="110"/>
      <c r="VFJ1365" s="110"/>
      <c r="VFK1365" s="110"/>
      <c r="VFL1365" s="110"/>
      <c r="VFM1365" s="110"/>
      <c r="VFN1365" s="110"/>
      <c r="VFO1365" s="110"/>
      <c r="VFP1365" s="110"/>
      <c r="VFQ1365" s="110"/>
      <c r="VFR1365" s="110"/>
      <c r="VFS1365" s="110"/>
      <c r="VFT1365" s="110"/>
      <c r="VFU1365" s="110"/>
      <c r="VFV1365" s="110"/>
      <c r="VFW1365" s="110"/>
      <c r="VFX1365" s="110"/>
      <c r="VFY1365" s="110"/>
      <c r="VFZ1365" s="110"/>
      <c r="VGA1365" s="110"/>
      <c r="VGB1365" s="110"/>
      <c r="VGC1365" s="110"/>
      <c r="VGD1365" s="110"/>
      <c r="VGE1365" s="110"/>
      <c r="VGF1365" s="110"/>
      <c r="VGG1365" s="110"/>
      <c r="VGH1365" s="110"/>
      <c r="VGI1365" s="110"/>
      <c r="VGJ1365" s="110"/>
      <c r="VGK1365" s="110"/>
      <c r="VGL1365" s="110"/>
      <c r="VGM1365" s="110"/>
      <c r="VGN1365" s="110"/>
      <c r="VGO1365" s="110"/>
      <c r="VGP1365" s="110"/>
      <c r="VGQ1365" s="110"/>
      <c r="VGR1365" s="110"/>
      <c r="VGS1365" s="110"/>
      <c r="VGT1365" s="110"/>
      <c r="VGU1365" s="110"/>
      <c r="VGV1365" s="110"/>
      <c r="VGW1365" s="110"/>
      <c r="VGX1365" s="110"/>
      <c r="VGY1365" s="110"/>
      <c r="VGZ1365" s="110"/>
      <c r="VHA1365" s="110"/>
      <c r="VHB1365" s="110"/>
      <c r="VHC1365" s="110"/>
      <c r="VHD1365" s="110"/>
      <c r="VHE1365" s="110"/>
      <c r="VHF1365" s="110"/>
      <c r="VHG1365" s="110"/>
      <c r="VHH1365" s="110"/>
      <c r="VHI1365" s="110"/>
      <c r="VHJ1365" s="110"/>
      <c r="VHK1365" s="110"/>
      <c r="VHL1365" s="110"/>
      <c r="VHM1365" s="110"/>
      <c r="VHN1365" s="110"/>
      <c r="VHO1365" s="110"/>
      <c r="VHP1365" s="110"/>
      <c r="VHQ1365" s="110"/>
      <c r="VHR1365" s="110"/>
      <c r="VHS1365" s="110"/>
      <c r="VHT1365" s="110"/>
      <c r="VHU1365" s="110"/>
      <c r="VHV1365" s="110"/>
      <c r="VHW1365" s="110"/>
      <c r="VHX1365" s="110"/>
      <c r="VHY1365" s="110"/>
      <c r="VHZ1365" s="110"/>
      <c r="VIA1365" s="110"/>
      <c r="VIB1365" s="110"/>
      <c r="VIC1365" s="110"/>
      <c r="VID1365" s="110"/>
      <c r="VIE1365" s="110"/>
      <c r="VIF1365" s="110"/>
      <c r="VIG1365" s="110"/>
      <c r="VIH1365" s="110"/>
      <c r="VII1365" s="110"/>
      <c r="VIJ1365" s="110"/>
      <c r="VIK1365" s="110"/>
      <c r="VIL1365" s="110"/>
      <c r="VIM1365" s="110"/>
      <c r="VIN1365" s="110"/>
      <c r="VIO1365" s="110"/>
      <c r="VIP1365" s="110"/>
      <c r="VIQ1365" s="110"/>
      <c r="VIR1365" s="110"/>
      <c r="VIS1365" s="110"/>
      <c r="VIT1365" s="110"/>
      <c r="VIU1365" s="110"/>
      <c r="VIV1365" s="110"/>
      <c r="VIW1365" s="110"/>
      <c r="VIX1365" s="110"/>
      <c r="VIY1365" s="110"/>
      <c r="VIZ1365" s="110"/>
      <c r="VJA1365" s="110"/>
      <c r="VJB1365" s="110"/>
      <c r="VJC1365" s="110"/>
      <c r="VJD1365" s="110"/>
      <c r="VJE1365" s="110"/>
      <c r="VJF1365" s="110"/>
      <c r="VJG1365" s="110"/>
      <c r="VJH1365" s="110"/>
      <c r="VJI1365" s="110"/>
      <c r="VJJ1365" s="110"/>
      <c r="VJK1365" s="110"/>
      <c r="VJL1365" s="110"/>
      <c r="VJM1365" s="110"/>
      <c r="VJN1365" s="110"/>
      <c r="VJO1365" s="110"/>
      <c r="VJP1365" s="110"/>
      <c r="VJQ1365" s="110"/>
      <c r="VJR1365" s="110"/>
      <c r="VJS1365" s="110"/>
      <c r="VJT1365" s="110"/>
      <c r="VJU1365" s="110"/>
      <c r="VJV1365" s="110"/>
      <c r="VJW1365" s="110"/>
      <c r="VJX1365" s="110"/>
      <c r="VJY1365" s="110"/>
      <c r="VJZ1365" s="110"/>
      <c r="VKA1365" s="110"/>
      <c r="VKB1365" s="110"/>
      <c r="VKC1365" s="110"/>
      <c r="VKD1365" s="110"/>
      <c r="VKE1365" s="110"/>
      <c r="VKF1365" s="110"/>
      <c r="VKG1365" s="110"/>
      <c r="VKH1365" s="110"/>
      <c r="VKI1365" s="110"/>
      <c r="VKJ1365" s="110"/>
      <c r="VKK1365" s="110"/>
      <c r="VKL1365" s="110"/>
      <c r="VKM1365" s="110"/>
      <c r="VKN1365" s="110"/>
      <c r="VKO1365" s="110"/>
      <c r="VKP1365" s="110"/>
      <c r="VKQ1365" s="110"/>
      <c r="VKR1365" s="110"/>
      <c r="VKS1365" s="110"/>
      <c r="VKT1365" s="110"/>
      <c r="VKU1365" s="110"/>
      <c r="VKV1365" s="110"/>
      <c r="VKW1365" s="110"/>
      <c r="VKX1365" s="110"/>
      <c r="VKY1365" s="110"/>
      <c r="VKZ1365" s="110"/>
      <c r="VLA1365" s="110"/>
      <c r="VLB1365" s="110"/>
      <c r="VLC1365" s="110"/>
      <c r="VLD1365" s="110"/>
      <c r="VLE1365" s="110"/>
      <c r="VLF1365" s="110"/>
      <c r="VLG1365" s="110"/>
      <c r="VLH1365" s="110"/>
      <c r="VLI1365" s="110"/>
      <c r="VLJ1365" s="110"/>
      <c r="VLK1365" s="110"/>
      <c r="VLL1365" s="110"/>
      <c r="VLM1365" s="110"/>
      <c r="VLN1365" s="110"/>
      <c r="VLO1365" s="110"/>
      <c r="VLP1365" s="110"/>
      <c r="VLQ1365" s="110"/>
      <c r="VLR1365" s="110"/>
      <c r="VLS1365" s="110"/>
      <c r="VLT1365" s="110"/>
      <c r="VLU1365" s="110"/>
      <c r="VLV1365" s="110"/>
      <c r="VLW1365" s="110"/>
      <c r="VLX1365" s="110"/>
      <c r="VLY1365" s="110"/>
      <c r="VLZ1365" s="110"/>
      <c r="VMA1365" s="110"/>
      <c r="VMB1365" s="110"/>
      <c r="VMC1365" s="110"/>
      <c r="VMD1365" s="110"/>
      <c r="VME1365" s="110"/>
      <c r="VMF1365" s="110"/>
      <c r="VMG1365" s="110"/>
      <c r="VMH1365" s="110"/>
      <c r="VMI1365" s="110"/>
      <c r="VMJ1365" s="110"/>
      <c r="VMK1365" s="110"/>
      <c r="VML1365" s="110"/>
      <c r="VMM1365" s="110"/>
      <c r="VMN1365" s="110"/>
      <c r="VMO1365" s="110"/>
      <c r="VMP1365" s="110"/>
      <c r="VMQ1365" s="110"/>
      <c r="VMR1365" s="110"/>
      <c r="VMS1365" s="110"/>
      <c r="VMT1365" s="110"/>
      <c r="VMU1365" s="110"/>
      <c r="VMV1365" s="110"/>
      <c r="VMW1365" s="110"/>
      <c r="VMX1365" s="110"/>
      <c r="VMY1365" s="110"/>
      <c r="VMZ1365" s="110"/>
      <c r="VNA1365" s="110"/>
      <c r="VNB1365" s="110"/>
      <c r="VNC1365" s="110"/>
      <c r="VND1365" s="110"/>
      <c r="VNE1365" s="110"/>
      <c r="VNF1365" s="110"/>
      <c r="VNG1365" s="110"/>
      <c r="VNH1365" s="110"/>
      <c r="VNI1365" s="110"/>
      <c r="VNJ1365" s="110"/>
      <c r="VNK1365" s="110"/>
      <c r="VNL1365" s="110"/>
      <c r="VNM1365" s="110"/>
      <c r="VNN1365" s="110"/>
      <c r="VNO1365" s="110"/>
      <c r="VNP1365" s="110"/>
      <c r="VNQ1365" s="110"/>
      <c r="VNR1365" s="110"/>
      <c r="VNS1365" s="110"/>
      <c r="VNT1365" s="110"/>
      <c r="VNU1365" s="110"/>
      <c r="VNV1365" s="110"/>
      <c r="VNW1365" s="110"/>
      <c r="VNX1365" s="110"/>
      <c r="VNY1365" s="110"/>
      <c r="VNZ1365" s="110"/>
      <c r="VOA1365" s="110"/>
      <c r="VOB1365" s="110"/>
      <c r="VOC1365" s="110"/>
      <c r="VOD1365" s="110"/>
      <c r="VOE1365" s="110"/>
      <c r="VOF1365" s="110"/>
      <c r="VOG1365" s="110"/>
      <c r="VOH1365" s="110"/>
      <c r="VOI1365" s="110"/>
      <c r="VOJ1365" s="110"/>
      <c r="VOK1365" s="110"/>
      <c r="VOL1365" s="110"/>
      <c r="VOM1365" s="110"/>
      <c r="VON1365" s="110"/>
      <c r="VOO1365" s="110"/>
      <c r="VOP1365" s="110"/>
      <c r="VOQ1365" s="110"/>
      <c r="VOR1365" s="110"/>
      <c r="VOS1365" s="110"/>
      <c r="VOT1365" s="110"/>
      <c r="VOU1365" s="110"/>
      <c r="VOV1365" s="110"/>
      <c r="VOW1365" s="110"/>
      <c r="VOX1365" s="110"/>
      <c r="VOY1365" s="110"/>
      <c r="VOZ1365" s="110"/>
      <c r="VPA1365" s="110"/>
      <c r="VPB1365" s="110"/>
      <c r="VPC1365" s="110"/>
      <c r="VPD1365" s="110"/>
      <c r="VPE1365" s="110"/>
      <c r="VPF1365" s="110"/>
      <c r="VPG1365" s="110"/>
      <c r="VPH1365" s="110"/>
      <c r="VPI1365" s="110"/>
      <c r="VPJ1365" s="110"/>
      <c r="VPK1365" s="110"/>
      <c r="VPL1365" s="110"/>
      <c r="VPM1365" s="110"/>
      <c r="VPN1365" s="110"/>
      <c r="VPO1365" s="110"/>
      <c r="VPP1365" s="110"/>
      <c r="VPQ1365" s="110"/>
      <c r="VPR1365" s="110"/>
      <c r="VPS1365" s="110"/>
      <c r="VPT1365" s="110"/>
      <c r="VPU1365" s="110"/>
      <c r="VPV1365" s="110"/>
      <c r="VPW1365" s="110"/>
      <c r="VPX1365" s="110"/>
      <c r="VPY1365" s="110"/>
      <c r="VPZ1365" s="110"/>
      <c r="VQA1365" s="110"/>
      <c r="VQB1365" s="110"/>
      <c r="VQC1365" s="110"/>
      <c r="VQD1365" s="110"/>
      <c r="VQE1365" s="110"/>
      <c r="VQF1365" s="110"/>
      <c r="VQG1365" s="110"/>
      <c r="VQH1365" s="110"/>
      <c r="VQI1365" s="110"/>
      <c r="VQJ1365" s="110"/>
      <c r="VQK1365" s="110"/>
      <c r="VQL1365" s="110"/>
      <c r="VQM1365" s="110"/>
      <c r="VQN1365" s="110"/>
      <c r="VQO1365" s="110"/>
      <c r="VQP1365" s="110"/>
      <c r="VQQ1365" s="110"/>
      <c r="VQR1365" s="110"/>
      <c r="VQS1365" s="110"/>
      <c r="VQT1365" s="110"/>
      <c r="VQU1365" s="110"/>
      <c r="VQV1365" s="110"/>
      <c r="VQW1365" s="110"/>
      <c r="VQX1365" s="110"/>
      <c r="VQY1365" s="110"/>
      <c r="VQZ1365" s="110"/>
      <c r="VRA1365" s="110"/>
      <c r="VRB1365" s="110"/>
      <c r="VRC1365" s="110"/>
      <c r="VRD1365" s="110"/>
      <c r="VRE1365" s="110"/>
      <c r="VRF1365" s="110"/>
      <c r="VRG1365" s="110"/>
      <c r="VRH1365" s="110"/>
      <c r="VRI1365" s="110"/>
      <c r="VRJ1365" s="110"/>
      <c r="VRK1365" s="110"/>
      <c r="VRL1365" s="110"/>
      <c r="VRM1365" s="110"/>
      <c r="VRN1365" s="110"/>
      <c r="VRO1365" s="110"/>
      <c r="VRP1365" s="110"/>
      <c r="VRQ1365" s="110"/>
      <c r="VRR1365" s="110"/>
      <c r="VRS1365" s="110"/>
      <c r="VRT1365" s="110"/>
      <c r="VRU1365" s="110"/>
      <c r="VRV1365" s="110"/>
      <c r="VRW1365" s="110"/>
      <c r="VRX1365" s="110"/>
      <c r="VRY1365" s="110"/>
      <c r="VRZ1365" s="110"/>
      <c r="VSA1365" s="110"/>
      <c r="VSB1365" s="110"/>
      <c r="VSC1365" s="110"/>
      <c r="VSD1365" s="110"/>
      <c r="VSE1365" s="110"/>
      <c r="VSF1365" s="110"/>
      <c r="VSG1365" s="110"/>
      <c r="VSH1365" s="110"/>
      <c r="VSI1365" s="110"/>
      <c r="VSJ1365" s="110"/>
      <c r="VSK1365" s="110"/>
      <c r="VSL1365" s="110"/>
      <c r="VSM1365" s="110"/>
      <c r="VSN1365" s="110"/>
      <c r="VSO1365" s="110"/>
      <c r="VSP1365" s="110"/>
      <c r="VSQ1365" s="110"/>
      <c r="VSR1365" s="110"/>
      <c r="VSS1365" s="110"/>
      <c r="VST1365" s="110"/>
      <c r="VSU1365" s="110"/>
      <c r="VSV1365" s="110"/>
      <c r="VSW1365" s="110"/>
      <c r="VSX1365" s="110"/>
      <c r="VSY1365" s="110"/>
      <c r="VSZ1365" s="110"/>
      <c r="VTA1365" s="110"/>
      <c r="VTB1365" s="110"/>
      <c r="VTC1365" s="110"/>
      <c r="VTD1365" s="110"/>
      <c r="VTE1365" s="110"/>
      <c r="VTF1365" s="110"/>
      <c r="VTG1365" s="110"/>
      <c r="VTH1365" s="110"/>
      <c r="VTI1365" s="110"/>
      <c r="VTJ1365" s="110"/>
      <c r="VTK1365" s="110"/>
      <c r="VTL1365" s="110"/>
      <c r="VTM1365" s="110"/>
      <c r="VTN1365" s="110"/>
      <c r="VTO1365" s="110"/>
      <c r="VTP1365" s="110"/>
      <c r="VTQ1365" s="110"/>
      <c r="VTR1365" s="110"/>
      <c r="VTS1365" s="110"/>
      <c r="VTT1365" s="110"/>
      <c r="VTU1365" s="110"/>
      <c r="VTV1365" s="110"/>
      <c r="VTW1365" s="110"/>
      <c r="VTX1365" s="110"/>
      <c r="VTY1365" s="110"/>
      <c r="VTZ1365" s="110"/>
      <c r="VUA1365" s="110"/>
      <c r="VUB1365" s="110"/>
      <c r="VUC1365" s="110"/>
      <c r="VUD1365" s="110"/>
      <c r="VUE1365" s="110"/>
      <c r="VUF1365" s="110"/>
      <c r="VUG1365" s="110"/>
      <c r="VUH1365" s="110"/>
      <c r="VUI1365" s="110"/>
      <c r="VUJ1365" s="110"/>
      <c r="VUK1365" s="110"/>
      <c r="VUL1365" s="110"/>
      <c r="VUM1365" s="110"/>
      <c r="VUN1365" s="110"/>
      <c r="VUO1365" s="110"/>
      <c r="VUP1365" s="110"/>
      <c r="VUQ1365" s="110"/>
      <c r="VUR1365" s="110"/>
      <c r="VUS1365" s="110"/>
      <c r="VUT1365" s="110"/>
      <c r="VUU1365" s="110"/>
      <c r="VUV1365" s="110"/>
      <c r="VUW1365" s="110"/>
      <c r="VUX1365" s="110"/>
      <c r="VUY1365" s="110"/>
      <c r="VUZ1365" s="110"/>
      <c r="VVA1365" s="110"/>
      <c r="VVB1365" s="110"/>
      <c r="VVC1365" s="110"/>
      <c r="VVD1365" s="110"/>
      <c r="VVE1365" s="110"/>
      <c r="VVF1365" s="110"/>
      <c r="VVG1365" s="110"/>
      <c r="VVH1365" s="110"/>
      <c r="VVI1365" s="110"/>
      <c r="VVJ1365" s="110"/>
      <c r="VVK1365" s="110"/>
      <c r="VVL1365" s="110"/>
      <c r="VVM1365" s="110"/>
      <c r="VVN1365" s="110"/>
      <c r="VVO1365" s="110"/>
      <c r="VVP1365" s="110"/>
      <c r="VVQ1365" s="110"/>
      <c r="VVR1365" s="110"/>
      <c r="VVS1365" s="110"/>
      <c r="VVT1365" s="110"/>
      <c r="VVU1365" s="110"/>
      <c r="VVV1365" s="110"/>
      <c r="VVW1365" s="110"/>
      <c r="VVX1365" s="110"/>
      <c r="VVY1365" s="110"/>
      <c r="VVZ1365" s="110"/>
      <c r="VWA1365" s="110"/>
      <c r="VWB1365" s="110"/>
      <c r="VWC1365" s="110"/>
      <c r="VWD1365" s="110"/>
      <c r="VWE1365" s="110"/>
      <c r="VWF1365" s="110"/>
      <c r="VWG1365" s="110"/>
      <c r="VWH1365" s="110"/>
      <c r="VWI1365" s="110"/>
      <c r="VWJ1365" s="110"/>
      <c r="VWK1365" s="110"/>
      <c r="VWL1365" s="110"/>
      <c r="VWM1365" s="110"/>
      <c r="VWN1365" s="110"/>
      <c r="VWO1365" s="110"/>
      <c r="VWP1365" s="110"/>
      <c r="VWQ1365" s="110"/>
      <c r="VWR1365" s="110"/>
      <c r="VWS1365" s="110"/>
      <c r="VWT1365" s="110"/>
      <c r="VWU1365" s="110"/>
      <c r="VWV1365" s="110"/>
      <c r="VWW1365" s="110"/>
      <c r="VWX1365" s="110"/>
      <c r="VWY1365" s="110"/>
      <c r="VWZ1365" s="110"/>
      <c r="VXA1365" s="110"/>
      <c r="VXB1365" s="110"/>
      <c r="VXC1365" s="110"/>
      <c r="VXD1365" s="110"/>
      <c r="VXE1365" s="110"/>
      <c r="VXF1365" s="110"/>
      <c r="VXG1365" s="110"/>
      <c r="VXH1365" s="110"/>
      <c r="VXI1365" s="110"/>
      <c r="VXJ1365" s="110"/>
      <c r="VXK1365" s="110"/>
      <c r="VXL1365" s="110"/>
      <c r="VXM1365" s="110"/>
      <c r="VXN1365" s="110"/>
      <c r="VXO1365" s="110"/>
      <c r="VXP1365" s="110"/>
      <c r="VXQ1365" s="110"/>
      <c r="VXR1365" s="110"/>
      <c r="VXS1365" s="110"/>
      <c r="VXT1365" s="110"/>
      <c r="VXU1365" s="110"/>
      <c r="VXV1365" s="110"/>
      <c r="VXW1365" s="110"/>
      <c r="VXX1365" s="110"/>
      <c r="VXY1365" s="110"/>
      <c r="VXZ1365" s="110"/>
      <c r="VYA1365" s="110"/>
      <c r="VYB1365" s="110"/>
      <c r="VYC1365" s="110"/>
      <c r="VYD1365" s="110"/>
      <c r="VYE1365" s="110"/>
      <c r="VYF1365" s="110"/>
      <c r="VYG1365" s="110"/>
      <c r="VYH1365" s="110"/>
      <c r="VYI1365" s="110"/>
      <c r="VYJ1365" s="110"/>
      <c r="VYK1365" s="110"/>
      <c r="VYL1365" s="110"/>
      <c r="VYM1365" s="110"/>
      <c r="VYN1365" s="110"/>
      <c r="VYO1365" s="110"/>
      <c r="VYP1365" s="110"/>
      <c r="VYQ1365" s="110"/>
      <c r="VYR1365" s="110"/>
      <c r="VYS1365" s="110"/>
      <c r="VYT1365" s="110"/>
      <c r="VYU1365" s="110"/>
      <c r="VYV1365" s="110"/>
      <c r="VYW1365" s="110"/>
      <c r="VYX1365" s="110"/>
      <c r="VYY1365" s="110"/>
      <c r="VYZ1365" s="110"/>
      <c r="VZA1365" s="110"/>
      <c r="VZB1365" s="110"/>
      <c r="VZC1365" s="110"/>
      <c r="VZD1365" s="110"/>
      <c r="VZE1365" s="110"/>
      <c r="VZF1365" s="110"/>
      <c r="VZG1365" s="110"/>
      <c r="VZH1365" s="110"/>
      <c r="VZI1365" s="110"/>
      <c r="VZJ1365" s="110"/>
      <c r="VZK1365" s="110"/>
      <c r="VZL1365" s="110"/>
      <c r="VZM1365" s="110"/>
      <c r="VZN1365" s="110"/>
      <c r="VZO1365" s="110"/>
      <c r="VZP1365" s="110"/>
      <c r="VZQ1365" s="110"/>
      <c r="VZR1365" s="110"/>
      <c r="VZS1365" s="110"/>
      <c r="VZT1365" s="110"/>
      <c r="VZU1365" s="110"/>
      <c r="VZV1365" s="110"/>
      <c r="VZW1365" s="110"/>
      <c r="VZX1365" s="110"/>
      <c r="VZY1365" s="110"/>
      <c r="VZZ1365" s="110"/>
      <c r="WAA1365" s="110"/>
      <c r="WAB1365" s="110"/>
      <c r="WAC1365" s="110"/>
      <c r="WAD1365" s="110"/>
      <c r="WAE1365" s="110"/>
      <c r="WAF1365" s="110"/>
      <c r="WAG1365" s="110"/>
      <c r="WAH1365" s="110"/>
      <c r="WAI1365" s="110"/>
      <c r="WAJ1365" s="110"/>
      <c r="WAK1365" s="110"/>
      <c r="WAL1365" s="110"/>
      <c r="WAM1365" s="110"/>
      <c r="WAN1365" s="110"/>
      <c r="WAO1365" s="110"/>
      <c r="WAP1365" s="110"/>
      <c r="WAQ1365" s="110"/>
      <c r="WAR1365" s="110"/>
      <c r="WAS1365" s="110"/>
      <c r="WAT1365" s="110"/>
      <c r="WAU1365" s="110"/>
      <c r="WAV1365" s="110"/>
      <c r="WAW1365" s="110"/>
      <c r="WAX1365" s="110"/>
      <c r="WAY1365" s="110"/>
      <c r="WAZ1365" s="110"/>
      <c r="WBA1365" s="110"/>
      <c r="WBB1365" s="110"/>
      <c r="WBC1365" s="110"/>
      <c r="WBD1365" s="110"/>
      <c r="WBE1365" s="110"/>
      <c r="WBF1365" s="110"/>
      <c r="WBG1365" s="110"/>
      <c r="WBH1365" s="110"/>
      <c r="WBI1365" s="110"/>
      <c r="WBJ1365" s="110"/>
      <c r="WBK1365" s="110"/>
      <c r="WBL1365" s="110"/>
      <c r="WBM1365" s="110"/>
      <c r="WBN1365" s="110"/>
      <c r="WBO1365" s="110"/>
      <c r="WBP1365" s="110"/>
      <c r="WBQ1365" s="110"/>
      <c r="WBR1365" s="110"/>
      <c r="WBS1365" s="110"/>
      <c r="WBT1365" s="110"/>
      <c r="WBU1365" s="110"/>
      <c r="WBV1365" s="110"/>
      <c r="WBW1365" s="110"/>
      <c r="WBX1365" s="110"/>
      <c r="WBY1365" s="110"/>
      <c r="WBZ1365" s="110"/>
      <c r="WCA1365" s="110"/>
      <c r="WCB1365" s="110"/>
      <c r="WCC1365" s="110"/>
      <c r="WCD1365" s="110"/>
      <c r="WCE1365" s="110"/>
      <c r="WCF1365" s="110"/>
      <c r="WCG1365" s="110"/>
      <c r="WCH1365" s="110"/>
      <c r="WCI1365" s="110"/>
      <c r="WCJ1365" s="110"/>
      <c r="WCK1365" s="110"/>
      <c r="WCL1365" s="110"/>
      <c r="WCM1365" s="110"/>
      <c r="WCN1365" s="110"/>
      <c r="WCO1365" s="110"/>
      <c r="WCP1365" s="110"/>
      <c r="WCQ1365" s="110"/>
      <c r="WCR1365" s="110"/>
      <c r="WCS1365" s="110"/>
      <c r="WCT1365" s="110"/>
      <c r="WCU1365" s="110"/>
      <c r="WCV1365" s="110"/>
      <c r="WCW1365" s="110"/>
      <c r="WCX1365" s="110"/>
      <c r="WCY1365" s="110"/>
      <c r="WCZ1365" s="110"/>
      <c r="WDA1365" s="110"/>
      <c r="WDB1365" s="110"/>
      <c r="WDC1365" s="110"/>
      <c r="WDD1365" s="110"/>
      <c r="WDE1365" s="110"/>
      <c r="WDF1365" s="110"/>
      <c r="WDG1365" s="110"/>
      <c r="WDH1365" s="110"/>
      <c r="WDI1365" s="110"/>
      <c r="WDJ1365" s="110"/>
      <c r="WDK1365" s="110"/>
      <c r="WDL1365" s="110"/>
      <c r="WDM1365" s="110"/>
      <c r="WDN1365" s="110"/>
      <c r="WDO1365" s="110"/>
      <c r="WDP1365" s="110"/>
      <c r="WDQ1365" s="110"/>
      <c r="WDR1365" s="110"/>
      <c r="WDS1365" s="110"/>
      <c r="WDT1365" s="110"/>
      <c r="WDU1365" s="110"/>
      <c r="WDV1365" s="110"/>
      <c r="WDW1365" s="110"/>
      <c r="WDX1365" s="110"/>
      <c r="WDY1365" s="110"/>
      <c r="WDZ1365" s="110"/>
      <c r="WEA1365" s="110"/>
      <c r="WEB1365" s="110"/>
      <c r="WEC1365" s="110"/>
      <c r="WED1365" s="110"/>
      <c r="WEE1365" s="110"/>
      <c r="WEF1365" s="110"/>
      <c r="WEG1365" s="110"/>
      <c r="WEH1365" s="110"/>
      <c r="WEI1365" s="110"/>
      <c r="WEJ1365" s="110"/>
      <c r="WEK1365" s="110"/>
      <c r="WEL1365" s="110"/>
      <c r="WEM1365" s="110"/>
      <c r="WEN1365" s="110"/>
      <c r="WEO1365" s="110"/>
      <c r="WEP1365" s="110"/>
      <c r="WEQ1365" s="110"/>
      <c r="WER1365" s="110"/>
      <c r="WES1365" s="110"/>
      <c r="WET1365" s="110"/>
      <c r="WEU1365" s="110"/>
      <c r="WEV1365" s="110"/>
      <c r="WEW1365" s="110"/>
      <c r="WEX1365" s="110"/>
      <c r="WEY1365" s="110"/>
      <c r="WEZ1365" s="110"/>
      <c r="WFA1365" s="110"/>
      <c r="WFB1365" s="110"/>
      <c r="WFC1365" s="110"/>
      <c r="WFD1365" s="110"/>
      <c r="WFE1365" s="110"/>
      <c r="WFF1365" s="110"/>
      <c r="WFG1365" s="110"/>
      <c r="WFH1365" s="110"/>
      <c r="WFI1365" s="110"/>
      <c r="WFJ1365" s="110"/>
      <c r="WFK1365" s="110"/>
      <c r="WFL1365" s="110"/>
      <c r="WFM1365" s="110"/>
      <c r="WFN1365" s="110"/>
      <c r="WFO1365" s="110"/>
      <c r="WFP1365" s="110"/>
      <c r="WFQ1365" s="110"/>
      <c r="WFR1365" s="110"/>
      <c r="WFS1365" s="110"/>
      <c r="WFT1365" s="110"/>
      <c r="WFU1365" s="110"/>
      <c r="WFV1365" s="110"/>
      <c r="WFW1365" s="110"/>
      <c r="WFX1365" s="110"/>
      <c r="WFY1365" s="110"/>
      <c r="WFZ1365" s="110"/>
      <c r="WGA1365" s="110"/>
      <c r="WGB1365" s="110"/>
      <c r="WGC1365" s="110"/>
      <c r="WGD1365" s="110"/>
      <c r="WGE1365" s="110"/>
      <c r="WGF1365" s="110"/>
      <c r="WGG1365" s="110"/>
      <c r="WGH1365" s="110"/>
      <c r="WGI1365" s="110"/>
      <c r="WGJ1365" s="110"/>
      <c r="WGK1365" s="110"/>
      <c r="WGL1365" s="110"/>
      <c r="WGM1365" s="110"/>
      <c r="WGN1365" s="110"/>
      <c r="WGO1365" s="110"/>
      <c r="WGP1365" s="110"/>
      <c r="WGQ1365" s="110"/>
      <c r="WGR1365" s="110"/>
      <c r="WGS1365" s="110"/>
      <c r="WGT1365" s="110"/>
      <c r="WGU1365" s="110"/>
      <c r="WGV1365" s="110"/>
      <c r="WGW1365" s="110"/>
      <c r="WGX1365" s="110"/>
      <c r="WGY1365" s="110"/>
      <c r="WGZ1365" s="110"/>
      <c r="WHA1365" s="110"/>
      <c r="WHB1365" s="110"/>
      <c r="WHC1365" s="110"/>
      <c r="WHD1365" s="110"/>
      <c r="WHE1365" s="110"/>
      <c r="WHF1365" s="110"/>
      <c r="WHG1365" s="110"/>
      <c r="WHH1365" s="110"/>
      <c r="WHI1365" s="110"/>
      <c r="WHJ1365" s="110"/>
      <c r="WHK1365" s="110"/>
      <c r="WHL1365" s="110"/>
      <c r="WHM1365" s="110"/>
      <c r="WHN1365" s="110"/>
      <c r="WHO1365" s="110"/>
      <c r="WHP1365" s="110"/>
      <c r="WHQ1365" s="110"/>
      <c r="WHR1365" s="110"/>
      <c r="WHS1365" s="110"/>
      <c r="WHT1365" s="110"/>
      <c r="WHU1365" s="110"/>
      <c r="WHV1365" s="110"/>
      <c r="WHW1365" s="110"/>
      <c r="WHX1365" s="110"/>
      <c r="WHY1365" s="110"/>
      <c r="WHZ1365" s="110"/>
      <c r="WIA1365" s="110"/>
      <c r="WIB1365" s="110"/>
      <c r="WIC1365" s="110"/>
      <c r="WID1365" s="110"/>
      <c r="WIE1365" s="110"/>
      <c r="WIF1365" s="110"/>
      <c r="WIG1365" s="110"/>
      <c r="WIH1365" s="110"/>
      <c r="WII1365" s="110"/>
      <c r="WIJ1365" s="110"/>
      <c r="WIK1365" s="110"/>
      <c r="WIL1365" s="110"/>
      <c r="WIM1365" s="110"/>
      <c r="WIN1365" s="110"/>
      <c r="WIO1365" s="110"/>
      <c r="WIP1365" s="110"/>
      <c r="WIQ1365" s="110"/>
      <c r="WIR1365" s="110"/>
      <c r="WIS1365" s="110"/>
      <c r="WIT1365" s="110"/>
      <c r="WIU1365" s="110"/>
      <c r="WIV1365" s="110"/>
      <c r="WIW1365" s="110"/>
      <c r="WIX1365" s="110"/>
      <c r="WIY1365" s="110"/>
      <c r="WIZ1365" s="110"/>
      <c r="WJA1365" s="110"/>
      <c r="WJB1365" s="110"/>
      <c r="WJC1365" s="110"/>
      <c r="WJD1365" s="110"/>
      <c r="WJE1365" s="110"/>
      <c r="WJF1365" s="110"/>
      <c r="WJG1365" s="110"/>
      <c r="WJH1365" s="110"/>
      <c r="WJI1365" s="110"/>
      <c r="WJJ1365" s="110"/>
      <c r="WJK1365" s="110"/>
      <c r="WJL1365" s="110"/>
      <c r="WJM1365" s="110"/>
      <c r="WJN1365" s="110"/>
      <c r="WJO1365" s="110"/>
      <c r="WJP1365" s="110"/>
      <c r="WJQ1365" s="110"/>
      <c r="WJR1365" s="110"/>
      <c r="WJS1365" s="110"/>
      <c r="WJT1365" s="110"/>
      <c r="WJU1365" s="110"/>
      <c r="WJV1365" s="110"/>
      <c r="WJW1365" s="110"/>
      <c r="WJX1365" s="110"/>
      <c r="WJY1365" s="110"/>
      <c r="WJZ1365" s="110"/>
      <c r="WKA1365" s="110"/>
      <c r="WKB1365" s="110"/>
      <c r="WKC1365" s="110"/>
      <c r="WKD1365" s="110"/>
      <c r="WKE1365" s="110"/>
      <c r="WKF1365" s="110"/>
      <c r="WKG1365" s="110"/>
      <c r="WKH1365" s="110"/>
      <c r="WKI1365" s="110"/>
      <c r="WKJ1365" s="110"/>
      <c r="WKK1365" s="110"/>
      <c r="WKL1365" s="110"/>
      <c r="WKM1365" s="110"/>
      <c r="WKN1365" s="110"/>
      <c r="WKO1365" s="110"/>
      <c r="WKP1365" s="110"/>
      <c r="WKQ1365" s="110"/>
      <c r="WKR1365" s="110"/>
      <c r="WKS1365" s="110"/>
      <c r="WKT1365" s="110"/>
      <c r="WKU1365" s="110"/>
      <c r="WKV1365" s="110"/>
      <c r="WKW1365" s="110"/>
      <c r="WKX1365" s="110"/>
      <c r="WKY1365" s="110"/>
      <c r="WKZ1365" s="110"/>
      <c r="WLA1365" s="110"/>
      <c r="WLB1365" s="110"/>
      <c r="WLC1365" s="110"/>
      <c r="WLD1365" s="110"/>
      <c r="WLE1365" s="110"/>
      <c r="WLF1365" s="110"/>
      <c r="WLG1365" s="110"/>
      <c r="WLH1365" s="110"/>
      <c r="WLI1365" s="110"/>
      <c r="WLJ1365" s="110"/>
      <c r="WLK1365" s="110"/>
      <c r="WLL1365" s="110"/>
      <c r="WLM1365" s="110"/>
      <c r="WLN1365" s="110"/>
      <c r="WLO1365" s="110"/>
      <c r="WLP1365" s="110"/>
      <c r="WLQ1365" s="110"/>
      <c r="WLR1365" s="110"/>
      <c r="WLS1365" s="110"/>
      <c r="WLT1365" s="110"/>
      <c r="WLU1365" s="110"/>
      <c r="WLV1365" s="110"/>
      <c r="WLW1365" s="110"/>
      <c r="WLX1365" s="110"/>
      <c r="WLY1365" s="110"/>
      <c r="WLZ1365" s="110"/>
      <c r="WMA1365" s="110"/>
      <c r="WMB1365" s="110"/>
      <c r="WMC1365" s="110"/>
      <c r="WMD1365" s="110"/>
      <c r="WME1365" s="110"/>
      <c r="WMF1365" s="110"/>
      <c r="WMG1365" s="110"/>
      <c r="WMH1365" s="110"/>
      <c r="WMI1365" s="110"/>
      <c r="WMJ1365" s="110"/>
      <c r="WMK1365" s="110"/>
      <c r="WML1365" s="110"/>
      <c r="WMM1365" s="110"/>
      <c r="WMN1365" s="110"/>
      <c r="WMO1365" s="110"/>
      <c r="WMP1365" s="110"/>
      <c r="WMQ1365" s="110"/>
      <c r="WMR1365" s="110"/>
      <c r="WMS1365" s="110"/>
      <c r="WMT1365" s="110"/>
      <c r="WMU1365" s="110"/>
      <c r="WMV1365" s="110"/>
      <c r="WMW1365" s="110"/>
      <c r="WMX1365" s="110"/>
      <c r="WMY1365" s="110"/>
      <c r="WMZ1365" s="110"/>
      <c r="WNA1365" s="110"/>
      <c r="WNB1365" s="110"/>
      <c r="WNC1365" s="110"/>
      <c r="WND1365" s="110"/>
      <c r="WNE1365" s="110"/>
      <c r="WNF1365" s="110"/>
      <c r="WNG1365" s="110"/>
      <c r="WNH1365" s="110"/>
      <c r="WNI1365" s="110"/>
      <c r="WNJ1365" s="110"/>
      <c r="WNK1365" s="110"/>
      <c r="WNL1365" s="110"/>
      <c r="WNM1365" s="110"/>
      <c r="WNN1365" s="110"/>
      <c r="WNO1365" s="110"/>
      <c r="WNP1365" s="110"/>
      <c r="WNQ1365" s="110"/>
      <c r="WNR1365" s="110"/>
      <c r="WNS1365" s="110"/>
      <c r="WNT1365" s="110"/>
      <c r="WNU1365" s="110"/>
      <c r="WNV1365" s="110"/>
      <c r="WNW1365" s="110"/>
      <c r="WNX1365" s="110"/>
      <c r="WNY1365" s="110"/>
      <c r="WNZ1365" s="110"/>
      <c r="WOA1365" s="110"/>
      <c r="WOB1365" s="110"/>
      <c r="WOC1365" s="110"/>
      <c r="WOD1365" s="110"/>
      <c r="WOE1365" s="110"/>
      <c r="WOF1365" s="110"/>
      <c r="WOG1365" s="110"/>
      <c r="WOH1365" s="110"/>
      <c r="WOI1365" s="110"/>
      <c r="WOJ1365" s="110"/>
      <c r="WOK1365" s="110"/>
      <c r="WOL1365" s="110"/>
      <c r="WOM1365" s="110"/>
      <c r="WON1365" s="110"/>
      <c r="WOO1365" s="110"/>
      <c r="WOP1365" s="110"/>
      <c r="WOQ1365" s="110"/>
      <c r="WOR1365" s="110"/>
      <c r="WOS1365" s="110"/>
      <c r="WOT1365" s="110"/>
      <c r="WOU1365" s="110"/>
      <c r="WOV1365" s="110"/>
      <c r="WOW1365" s="110"/>
      <c r="WOX1365" s="110"/>
      <c r="WOY1365" s="110"/>
      <c r="WOZ1365" s="110"/>
      <c r="WPA1365" s="110"/>
      <c r="WPB1365" s="110"/>
      <c r="WPC1365" s="110"/>
      <c r="WPD1365" s="110"/>
      <c r="WPE1365" s="110"/>
      <c r="WPF1365" s="110"/>
      <c r="WPG1365" s="110"/>
      <c r="WPH1365" s="110"/>
      <c r="WPI1365" s="110"/>
      <c r="WPJ1365" s="110"/>
      <c r="WPK1365" s="110"/>
      <c r="WPL1365" s="110"/>
      <c r="WPM1365" s="110"/>
      <c r="WPN1365" s="110"/>
      <c r="WPO1365" s="110"/>
      <c r="WPP1365" s="110"/>
      <c r="WPQ1365" s="110"/>
      <c r="WPR1365" s="110"/>
      <c r="WPS1365" s="110"/>
      <c r="WPT1365" s="110"/>
      <c r="WPU1365" s="110"/>
      <c r="WPV1365" s="110"/>
      <c r="WPW1365" s="110"/>
      <c r="WPX1365" s="110"/>
      <c r="WPY1365" s="110"/>
      <c r="WPZ1365" s="110"/>
      <c r="WQA1365" s="110"/>
      <c r="WQB1365" s="110"/>
      <c r="WQC1365" s="110"/>
      <c r="WQD1365" s="110"/>
      <c r="WQE1365" s="110"/>
      <c r="WQF1365" s="110"/>
      <c r="WQG1365" s="110"/>
      <c r="WQH1365" s="110"/>
      <c r="WQI1365" s="110"/>
      <c r="WQJ1365" s="110"/>
      <c r="WQK1365" s="110"/>
      <c r="WQL1365" s="110"/>
      <c r="WQM1365" s="110"/>
      <c r="WQN1365" s="110"/>
      <c r="WQO1365" s="110"/>
      <c r="WQP1365" s="110"/>
      <c r="WQQ1365" s="110"/>
      <c r="WQR1365" s="110"/>
      <c r="WQS1365" s="110"/>
      <c r="WQT1365" s="110"/>
      <c r="WQU1365" s="110"/>
      <c r="WQV1365" s="110"/>
      <c r="WQW1365" s="110"/>
      <c r="WQX1365" s="110"/>
      <c r="WQY1365" s="110"/>
      <c r="WQZ1365" s="110"/>
      <c r="WRA1365" s="110"/>
      <c r="WRB1365" s="110"/>
      <c r="WRC1365" s="110"/>
      <c r="WRD1365" s="110"/>
      <c r="WRE1365" s="110"/>
      <c r="WRF1365" s="110"/>
      <c r="WRG1365" s="110"/>
      <c r="WRH1365" s="110"/>
      <c r="WRI1365" s="110"/>
      <c r="WRJ1365" s="110"/>
      <c r="WRK1365" s="110"/>
      <c r="WRL1365" s="110"/>
      <c r="WRM1365" s="110"/>
      <c r="WRN1365" s="110"/>
      <c r="WRO1365" s="110"/>
      <c r="WRP1365" s="110"/>
      <c r="WRQ1365" s="110"/>
      <c r="WRR1365" s="110"/>
      <c r="WRS1365" s="110"/>
      <c r="WRT1365" s="110"/>
      <c r="WRU1365" s="110"/>
      <c r="WRV1365" s="110"/>
      <c r="WRW1365" s="110"/>
      <c r="WRX1365" s="110"/>
      <c r="WRY1365" s="110"/>
      <c r="WRZ1365" s="110"/>
      <c r="WSA1365" s="110"/>
      <c r="WSB1365" s="110"/>
      <c r="WSC1365" s="110"/>
      <c r="WSD1365" s="110"/>
      <c r="WSE1365" s="110"/>
      <c r="WSF1365" s="110"/>
      <c r="WSG1365" s="110"/>
      <c r="WSH1365" s="110"/>
      <c r="WSI1365" s="110"/>
      <c r="WSJ1365" s="110"/>
      <c r="WSK1365" s="110"/>
      <c r="WSL1365" s="110"/>
      <c r="WSM1365" s="110"/>
      <c r="WSN1365" s="110"/>
      <c r="WSO1365" s="110"/>
      <c r="WSP1365" s="110"/>
      <c r="WSQ1365" s="110"/>
      <c r="WSR1365" s="110"/>
      <c r="WSS1365" s="110"/>
      <c r="WST1365" s="110"/>
      <c r="WSU1365" s="110"/>
      <c r="WSV1365" s="110"/>
      <c r="WSW1365" s="110"/>
      <c r="WSX1365" s="110"/>
      <c r="WSY1365" s="110"/>
      <c r="WSZ1365" s="110"/>
      <c r="WTA1365" s="110"/>
      <c r="WTB1365" s="110"/>
      <c r="WTC1365" s="110"/>
      <c r="WTD1365" s="110"/>
      <c r="WTE1365" s="110"/>
      <c r="WTF1365" s="110"/>
      <c r="WTG1365" s="110"/>
      <c r="WTH1365" s="110"/>
      <c r="WTI1365" s="110"/>
      <c r="WTJ1365" s="110"/>
      <c r="WTK1365" s="110"/>
      <c r="WTL1365" s="110"/>
      <c r="WTM1365" s="110"/>
      <c r="WTN1365" s="110"/>
      <c r="WTO1365" s="110"/>
      <c r="WTP1365" s="110"/>
      <c r="WTQ1365" s="110"/>
      <c r="WTR1365" s="110"/>
      <c r="WTS1365" s="110"/>
      <c r="WTT1365" s="110"/>
      <c r="WTU1365" s="110"/>
      <c r="WTV1365" s="110"/>
      <c r="WTW1365" s="110"/>
      <c r="WTX1365" s="110"/>
      <c r="WTY1365" s="110"/>
      <c r="WTZ1365" s="110"/>
      <c r="WUA1365" s="110"/>
      <c r="WUB1365" s="110"/>
      <c r="WUC1365" s="110"/>
      <c r="WUD1365" s="110"/>
      <c r="WUE1365" s="110"/>
      <c r="WUF1365" s="110"/>
      <c r="WUG1365" s="110"/>
      <c r="WUH1365" s="110"/>
      <c r="WUI1365" s="110"/>
      <c r="WUJ1365" s="110"/>
      <c r="WUK1365" s="110"/>
      <c r="WUL1365" s="110"/>
      <c r="WUM1365" s="110"/>
      <c r="WUN1365" s="110"/>
      <c r="WUO1365" s="110"/>
      <c r="WUP1365" s="110"/>
      <c r="WUQ1365" s="110"/>
      <c r="WUR1365" s="110"/>
      <c r="WUS1365" s="110"/>
      <c r="WUT1365" s="110"/>
      <c r="WUU1365" s="110"/>
      <c r="WUV1365" s="110"/>
      <c r="WUW1365" s="110"/>
      <c r="WUX1365" s="110"/>
      <c r="WUY1365" s="110"/>
      <c r="WUZ1365" s="110"/>
      <c r="WVA1365" s="110"/>
      <c r="WVB1365" s="110"/>
      <c r="WVC1365" s="110"/>
      <c r="WVD1365" s="110"/>
      <c r="WVE1365" s="110"/>
      <c r="WVF1365" s="110"/>
      <c r="WVG1365" s="110"/>
      <c r="WVH1365" s="110"/>
      <c r="WVI1365" s="110"/>
      <c r="WVJ1365" s="110"/>
      <c r="WVK1365" s="110"/>
      <c r="WVL1365" s="110"/>
      <c r="WVM1365" s="110"/>
      <c r="WVN1365" s="110"/>
      <c r="WVO1365" s="110"/>
      <c r="WVP1365" s="110"/>
      <c r="WVQ1365" s="110"/>
      <c r="WVR1365" s="110"/>
      <c r="WVS1365" s="110"/>
      <c r="WVT1365" s="110"/>
      <c r="WVU1365" s="110"/>
      <c r="WVV1365" s="110"/>
      <c r="WVW1365" s="110"/>
      <c r="WVX1365" s="110"/>
      <c r="WVY1365" s="110"/>
      <c r="WVZ1365" s="110"/>
      <c r="WWA1365" s="110"/>
      <c r="WWB1365" s="110"/>
      <c r="WWC1365" s="110"/>
      <c r="WWD1365" s="110"/>
      <c r="WWE1365" s="110"/>
      <c r="WWF1365" s="110"/>
      <c r="WWG1365" s="110"/>
      <c r="WWH1365" s="110"/>
      <c r="WWI1365" s="110"/>
      <c r="WWJ1365" s="110"/>
      <c r="WWK1365" s="110"/>
      <c r="WWL1365" s="110"/>
      <c r="WWM1365" s="110"/>
      <c r="WWN1365" s="110"/>
      <c r="WWO1365" s="110"/>
      <c r="WWP1365" s="110"/>
      <c r="WWQ1365" s="110"/>
      <c r="WWR1365" s="110"/>
      <c r="WWS1365" s="110"/>
      <c r="WWT1365" s="110"/>
      <c r="WWU1365" s="110"/>
      <c r="WWV1365" s="110"/>
      <c r="WWW1365" s="110"/>
      <c r="WWX1365" s="110"/>
      <c r="WWY1365" s="110"/>
      <c r="WWZ1365" s="110"/>
      <c r="WXA1365" s="110"/>
      <c r="WXB1365" s="110"/>
      <c r="WXC1365" s="110"/>
      <c r="WXD1365" s="110"/>
      <c r="WXE1365" s="110"/>
      <c r="WXF1365" s="110"/>
      <c r="WXG1365" s="110"/>
      <c r="WXH1365" s="110"/>
      <c r="WXI1365" s="110"/>
      <c r="WXJ1365" s="110"/>
      <c r="WXK1365" s="110"/>
      <c r="WXL1365" s="110"/>
      <c r="WXM1365" s="110"/>
      <c r="WXN1365" s="110"/>
      <c r="WXO1365" s="110"/>
      <c r="WXP1365" s="110"/>
      <c r="WXQ1365" s="110"/>
      <c r="WXR1365" s="110"/>
      <c r="WXS1365" s="110"/>
      <c r="WXT1365" s="110"/>
      <c r="WXU1365" s="110"/>
      <c r="WXV1365" s="110"/>
      <c r="WXW1365" s="110"/>
      <c r="WXX1365" s="110"/>
      <c r="WXY1365" s="110"/>
      <c r="WXZ1365" s="110"/>
      <c r="WYA1365" s="110"/>
      <c r="WYB1365" s="110"/>
      <c r="WYC1365" s="110"/>
      <c r="WYD1365" s="110"/>
      <c r="WYE1365" s="110"/>
      <c r="WYF1365" s="110"/>
      <c r="WYG1365" s="110"/>
      <c r="WYH1365" s="110"/>
      <c r="WYI1365" s="110"/>
      <c r="WYJ1365" s="110"/>
      <c r="WYK1365" s="110"/>
      <c r="WYL1365" s="110"/>
      <c r="WYM1365" s="110"/>
      <c r="WYN1365" s="110"/>
      <c r="WYO1365" s="110"/>
      <c r="WYP1365" s="110"/>
      <c r="WYQ1365" s="110"/>
      <c r="WYR1365" s="110"/>
      <c r="WYS1365" s="110"/>
      <c r="WYT1365" s="110"/>
      <c r="WYU1365" s="110"/>
      <c r="WYV1365" s="110"/>
      <c r="WYW1365" s="110"/>
      <c r="WYX1365" s="110"/>
      <c r="WYY1365" s="110"/>
      <c r="WYZ1365" s="110"/>
      <c r="WZA1365" s="110"/>
      <c r="WZB1365" s="110"/>
      <c r="WZC1365" s="110"/>
      <c r="WZD1365" s="110"/>
      <c r="WZE1365" s="110"/>
      <c r="WZF1365" s="110"/>
      <c r="WZG1365" s="110"/>
      <c r="WZH1365" s="110"/>
      <c r="WZI1365" s="110"/>
      <c r="WZJ1365" s="110"/>
      <c r="WZK1365" s="110"/>
      <c r="WZL1365" s="110"/>
      <c r="WZM1365" s="110"/>
      <c r="WZN1365" s="110"/>
      <c r="WZO1365" s="110"/>
      <c r="WZP1365" s="110"/>
      <c r="WZQ1365" s="110"/>
      <c r="WZR1365" s="110"/>
      <c r="WZS1365" s="110"/>
      <c r="WZT1365" s="110"/>
      <c r="WZU1365" s="110"/>
      <c r="WZV1365" s="110"/>
      <c r="WZW1365" s="110"/>
      <c r="WZX1365" s="110"/>
      <c r="WZY1365" s="110"/>
      <c r="WZZ1365" s="110"/>
      <c r="XAA1365" s="110"/>
      <c r="XAB1365" s="110"/>
      <c r="XAC1365" s="110"/>
      <c r="XAD1365" s="110"/>
      <c r="XAE1365" s="110"/>
      <c r="XAF1365" s="110"/>
      <c r="XAG1365" s="110"/>
      <c r="XAH1365" s="110"/>
      <c r="XAI1365" s="110"/>
      <c r="XAJ1365" s="110"/>
      <c r="XAK1365" s="110"/>
      <c r="XAL1365" s="110"/>
      <c r="XAM1365" s="110"/>
      <c r="XAN1365" s="110"/>
      <c r="XAO1365" s="110"/>
      <c r="XAP1365" s="110"/>
      <c r="XAQ1365" s="110"/>
      <c r="XAR1365" s="110"/>
      <c r="XAS1365" s="110"/>
      <c r="XAT1365" s="110"/>
      <c r="XAU1365" s="110"/>
      <c r="XAV1365" s="110"/>
      <c r="XAW1365" s="110"/>
      <c r="XAX1365" s="110"/>
      <c r="XAY1365" s="110"/>
      <c r="XAZ1365" s="110"/>
      <c r="XBA1365" s="110"/>
      <c r="XBB1365" s="110"/>
      <c r="XBC1365" s="110"/>
      <c r="XBD1365" s="110"/>
      <c r="XBE1365" s="110"/>
      <c r="XBF1365" s="110"/>
      <c r="XBG1365" s="110"/>
      <c r="XBH1365" s="110"/>
      <c r="XBI1365" s="110"/>
      <c r="XBJ1365" s="110"/>
      <c r="XBK1365" s="110"/>
      <c r="XBL1365" s="110"/>
      <c r="XBM1365" s="110"/>
      <c r="XBN1365" s="110"/>
      <c r="XBO1365" s="110"/>
      <c r="XBP1365" s="110"/>
      <c r="XBQ1365" s="110"/>
      <c r="XBR1365" s="110"/>
      <c r="XBS1365" s="110"/>
      <c r="XBT1365" s="110"/>
      <c r="XBU1365" s="110"/>
      <c r="XBV1365" s="110"/>
      <c r="XBW1365" s="110"/>
      <c r="XBX1365" s="110"/>
      <c r="XBY1365" s="110"/>
      <c r="XBZ1365" s="110"/>
      <c r="XCA1365" s="110"/>
      <c r="XCB1365" s="110"/>
      <c r="XCC1365" s="110"/>
      <c r="XCD1365" s="110"/>
      <c r="XCE1365" s="110"/>
      <c r="XCF1365" s="110"/>
      <c r="XCG1365" s="110"/>
      <c r="XCH1365" s="110"/>
      <c r="XCI1365" s="110"/>
      <c r="XCJ1365" s="110"/>
      <c r="XCK1365" s="110"/>
      <c r="XCL1365" s="110"/>
      <c r="XCM1365" s="110"/>
      <c r="XCN1365" s="110"/>
      <c r="XCO1365" s="110"/>
      <c r="XCP1365" s="110"/>
      <c r="XCQ1365" s="110"/>
      <c r="XCR1365" s="110"/>
      <c r="XCS1365" s="110"/>
      <c r="XCT1365" s="110"/>
      <c r="XCU1365" s="110"/>
      <c r="XCV1365" s="110"/>
      <c r="XCW1365" s="110"/>
      <c r="XCX1365" s="110"/>
      <c r="XCY1365" s="110"/>
      <c r="XCZ1365" s="110"/>
      <c r="XDA1365" s="110"/>
      <c r="XDB1365" s="110"/>
      <c r="XDC1365" s="110"/>
      <c r="XDD1365" s="110"/>
      <c r="XDE1365" s="110"/>
      <c r="XDF1365" s="110"/>
      <c r="XDG1365" s="110"/>
      <c r="XDH1365" s="110"/>
      <c r="XDI1365" s="110"/>
      <c r="XDJ1365" s="110"/>
      <c r="XDK1365" s="110"/>
      <c r="XDL1365" s="110"/>
      <c r="XDM1365" s="110"/>
      <c r="XDN1365" s="110"/>
      <c r="XDO1365" s="110"/>
      <c r="XDP1365" s="110"/>
      <c r="XDQ1365" s="110"/>
      <c r="XDR1365" s="110"/>
      <c r="XDS1365" s="110"/>
      <c r="XDT1365" s="110"/>
      <c r="XDU1365" s="110"/>
      <c r="XDV1365" s="110"/>
      <c r="XDW1365" s="110"/>
      <c r="XDX1365" s="110"/>
      <c r="XDY1365" s="110"/>
      <c r="XDZ1365" s="110"/>
      <c r="XEA1365" s="110"/>
      <c r="XEB1365" s="110"/>
      <c r="XEC1365" s="110"/>
      <c r="XED1365" s="110"/>
      <c r="XEE1365" s="110"/>
      <c r="XEF1365" s="110"/>
      <c r="XEG1365" s="110"/>
      <c r="XEH1365" s="110"/>
      <c r="XEI1365" s="110"/>
      <c r="XEJ1365" s="110"/>
      <c r="XEK1365" s="110"/>
      <c r="XEL1365" s="110"/>
      <c r="XEM1365" s="110"/>
      <c r="XEN1365" s="110"/>
      <c r="XEO1365" s="110"/>
      <c r="XEP1365" s="110"/>
      <c r="XEQ1365" s="110"/>
      <c r="XER1365" s="110"/>
      <c r="XES1365" s="110"/>
      <c r="XET1365" s="110"/>
      <c r="XEU1365" s="110"/>
      <c r="XEV1365" s="110"/>
      <c r="XEW1365" s="110"/>
      <c r="XEX1365" s="110"/>
      <c r="XEY1365" s="110"/>
      <c r="XEZ1365" s="110"/>
      <c r="XFA1365" s="110"/>
      <c r="XFB1365" s="110"/>
    </row>
    <row r="1366" spans="1:16382" ht="11.25" customHeight="1" x14ac:dyDescent="0.15">
      <c r="A1366" s="110" t="s">
        <v>699</v>
      </c>
      <c r="B1366" s="110"/>
      <c r="C1366" s="111" t="s">
        <v>37</v>
      </c>
      <c r="D1366" s="111">
        <v>2023</v>
      </c>
      <c r="E1366" s="146">
        <v>45291</v>
      </c>
      <c r="F1366" s="111"/>
      <c r="G1366" s="111">
        <v>22010011</v>
      </c>
      <c r="H1366" s="111"/>
      <c r="I1366" s="111"/>
      <c r="J1366" s="111"/>
      <c r="K1366" s="112" t="s">
        <v>707</v>
      </c>
      <c r="L1366" s="168">
        <v>30202.7</v>
      </c>
      <c r="M1366" s="120">
        <v>10473.44</v>
      </c>
      <c r="N1366" s="120">
        <f t="shared" si="941"/>
        <v>19729.260000000002</v>
      </c>
      <c r="O1366" s="119">
        <f t="shared" si="942"/>
        <v>0.65322835375645227</v>
      </c>
      <c r="P1366" s="120">
        <v>30202.7</v>
      </c>
      <c r="Q1366" s="111">
        <v>2731</v>
      </c>
      <c r="R1366" s="117"/>
      <c r="S1366" s="117"/>
      <c r="T1366" s="117"/>
      <c r="U1366" s="117">
        <v>10430.23</v>
      </c>
      <c r="V1366" s="117"/>
      <c r="W1366" s="26">
        <f t="shared" si="934"/>
        <v>10430.23</v>
      </c>
      <c r="X1366" s="118" t="str">
        <f t="shared" ref="X1366:X1374" si="943">IFERROR(S1366/R1366,"")</f>
        <v/>
      </c>
      <c r="Y1366" s="119">
        <f t="shared" ref="Y1366:Y1367" si="944">U1366/P1366</f>
        <v>0.34534097944885722</v>
      </c>
      <c r="Z1366" s="117">
        <f t="shared" ref="Z1366:Z1367" si="945">P1366-W1366</f>
        <v>19772.47</v>
      </c>
      <c r="AA1366" s="119">
        <f t="shared" ref="AA1366:AA1367" si="946">Z1366/P1366</f>
        <v>0.65465902055114278</v>
      </c>
      <c r="AB1366" s="120">
        <f t="shared" ref="AB1366:AB1371" si="947">M1366-W1366</f>
        <v>43.210000000000946</v>
      </c>
      <c r="AC1366" s="119">
        <f t="shared" ref="AC1366:AC1367" si="948">IFERROR(AA1366-O1366,"")</f>
        <v>1.430666794690505E-3</v>
      </c>
      <c r="AD1366" s="110" t="s">
        <v>701</v>
      </c>
      <c r="AE1366" s="110"/>
      <c r="AF1366" s="110"/>
      <c r="AG1366" s="121"/>
      <c r="AH1366" s="110"/>
      <c r="AI1366" s="110"/>
      <c r="AJ1366" s="110"/>
      <c r="AK1366" s="110"/>
      <c r="AL1366" s="110"/>
      <c r="AM1366" s="110"/>
      <c r="AN1366" s="110"/>
      <c r="AO1366" s="110"/>
      <c r="AP1366" s="110"/>
      <c r="AQ1366" s="110"/>
      <c r="AR1366" s="110"/>
      <c r="AS1366" s="110"/>
      <c r="AT1366" s="110"/>
      <c r="AU1366" s="110"/>
      <c r="AV1366" s="110"/>
      <c r="AW1366" s="110"/>
      <c r="AX1366" s="110"/>
      <c r="AY1366" s="110"/>
      <c r="AZ1366" s="110"/>
      <c r="BA1366" s="110"/>
      <c r="BB1366" s="110"/>
      <c r="BC1366" s="110"/>
      <c r="BD1366" s="110"/>
      <c r="BE1366" s="110"/>
      <c r="BF1366" s="110"/>
      <c r="BG1366" s="110"/>
      <c r="BH1366" s="110"/>
      <c r="BI1366" s="110"/>
      <c r="BJ1366" s="110"/>
      <c r="BK1366" s="110"/>
      <c r="BL1366" s="110"/>
      <c r="BM1366" s="110"/>
      <c r="BN1366" s="110"/>
      <c r="BO1366" s="110"/>
      <c r="BP1366" s="110"/>
      <c r="BQ1366" s="110"/>
      <c r="BR1366" s="110"/>
      <c r="BS1366" s="110"/>
      <c r="BT1366" s="110"/>
      <c r="BU1366" s="110"/>
      <c r="BV1366" s="110"/>
      <c r="BW1366" s="110"/>
      <c r="BX1366" s="110"/>
      <c r="BY1366" s="110"/>
      <c r="BZ1366" s="110"/>
      <c r="CA1366" s="110"/>
      <c r="CB1366" s="110"/>
      <c r="CC1366" s="110"/>
      <c r="CD1366" s="110"/>
      <c r="CE1366" s="110"/>
      <c r="CF1366" s="110"/>
      <c r="CG1366" s="110"/>
      <c r="CH1366" s="110"/>
      <c r="CI1366" s="110"/>
      <c r="CJ1366" s="110"/>
      <c r="CK1366" s="110"/>
      <c r="CL1366" s="110"/>
      <c r="CM1366" s="110"/>
      <c r="CN1366" s="110"/>
      <c r="CO1366" s="110"/>
      <c r="CP1366" s="110"/>
      <c r="CQ1366" s="110"/>
      <c r="CR1366" s="110"/>
      <c r="CS1366" s="110"/>
      <c r="CT1366" s="110"/>
      <c r="CU1366" s="110"/>
      <c r="CV1366" s="110"/>
      <c r="CW1366" s="110"/>
      <c r="CX1366" s="110"/>
      <c r="CY1366" s="110"/>
      <c r="CZ1366" s="110"/>
      <c r="DA1366" s="110"/>
      <c r="DB1366" s="110"/>
      <c r="DC1366" s="110"/>
      <c r="DD1366" s="110"/>
      <c r="DE1366" s="110"/>
      <c r="DF1366" s="110"/>
      <c r="DG1366" s="110"/>
      <c r="DH1366" s="110"/>
      <c r="DI1366" s="110"/>
      <c r="DJ1366" s="110"/>
      <c r="DK1366" s="110"/>
      <c r="DL1366" s="110"/>
      <c r="DM1366" s="110"/>
      <c r="DN1366" s="110"/>
      <c r="DO1366" s="110"/>
      <c r="DP1366" s="110"/>
      <c r="DQ1366" s="110"/>
      <c r="DR1366" s="110"/>
      <c r="DS1366" s="110"/>
      <c r="DT1366" s="110"/>
      <c r="DU1366" s="110"/>
      <c r="DV1366" s="110"/>
      <c r="DW1366" s="110"/>
      <c r="DX1366" s="110"/>
      <c r="DY1366" s="110"/>
      <c r="DZ1366" s="110"/>
      <c r="EA1366" s="110"/>
      <c r="EB1366" s="110"/>
      <c r="EC1366" s="110"/>
      <c r="ED1366" s="110"/>
      <c r="EE1366" s="110"/>
      <c r="EF1366" s="110"/>
      <c r="EG1366" s="110"/>
      <c r="EH1366" s="110"/>
      <c r="EI1366" s="110"/>
      <c r="EJ1366" s="110"/>
      <c r="EK1366" s="110"/>
      <c r="EL1366" s="110"/>
      <c r="EM1366" s="110"/>
      <c r="EN1366" s="110"/>
      <c r="EO1366" s="110"/>
      <c r="EP1366" s="110"/>
      <c r="EQ1366" s="110"/>
      <c r="ER1366" s="110"/>
      <c r="ES1366" s="110"/>
      <c r="ET1366" s="110"/>
      <c r="EU1366" s="110"/>
      <c r="EV1366" s="110"/>
      <c r="EW1366" s="110"/>
      <c r="EX1366" s="110"/>
      <c r="EY1366" s="110"/>
      <c r="EZ1366" s="110"/>
      <c r="FA1366" s="110"/>
      <c r="FB1366" s="110"/>
      <c r="FC1366" s="110"/>
      <c r="FD1366" s="110"/>
      <c r="FE1366" s="110"/>
      <c r="FF1366" s="110"/>
      <c r="FG1366" s="110"/>
      <c r="FH1366" s="110"/>
      <c r="FI1366" s="110"/>
      <c r="FJ1366" s="110"/>
      <c r="FK1366" s="110"/>
      <c r="FL1366" s="110"/>
      <c r="FM1366" s="110"/>
      <c r="FN1366" s="110"/>
      <c r="FO1366" s="110"/>
      <c r="FP1366" s="110"/>
      <c r="FQ1366" s="110"/>
      <c r="FR1366" s="110"/>
      <c r="FS1366" s="110"/>
      <c r="FT1366" s="110"/>
      <c r="FU1366" s="110"/>
      <c r="FV1366" s="110"/>
      <c r="FW1366" s="110"/>
      <c r="FX1366" s="110"/>
      <c r="FY1366" s="110"/>
      <c r="FZ1366" s="110"/>
      <c r="GA1366" s="110"/>
      <c r="GB1366" s="110"/>
      <c r="GC1366" s="110"/>
      <c r="GD1366" s="110"/>
      <c r="GE1366" s="110"/>
      <c r="GF1366" s="110"/>
      <c r="GG1366" s="110"/>
      <c r="GH1366" s="110"/>
      <c r="GI1366" s="110"/>
      <c r="GJ1366" s="110"/>
      <c r="GK1366" s="110"/>
      <c r="GL1366" s="110"/>
      <c r="GM1366" s="110"/>
      <c r="GN1366" s="110"/>
      <c r="GO1366" s="110"/>
      <c r="GP1366" s="110"/>
      <c r="GQ1366" s="110"/>
      <c r="GR1366" s="110"/>
      <c r="GS1366" s="110"/>
      <c r="GT1366" s="110"/>
      <c r="GU1366" s="110"/>
      <c r="GV1366" s="110"/>
      <c r="GW1366" s="110"/>
      <c r="GX1366" s="110"/>
      <c r="GY1366" s="110"/>
      <c r="GZ1366" s="110"/>
      <c r="HA1366" s="110"/>
      <c r="HB1366" s="110"/>
      <c r="HC1366" s="110"/>
      <c r="HD1366" s="110"/>
      <c r="HE1366" s="110"/>
      <c r="HF1366" s="110"/>
      <c r="HG1366" s="110"/>
      <c r="HH1366" s="110"/>
      <c r="HI1366" s="110"/>
      <c r="HJ1366" s="110"/>
      <c r="HK1366" s="110"/>
      <c r="HL1366" s="110"/>
      <c r="HM1366" s="110"/>
      <c r="HN1366" s="110"/>
      <c r="HO1366" s="110"/>
      <c r="HP1366" s="110"/>
      <c r="HQ1366" s="110"/>
      <c r="HR1366" s="110"/>
      <c r="HS1366" s="110"/>
      <c r="HT1366" s="110"/>
      <c r="HU1366" s="110"/>
      <c r="HV1366" s="110"/>
      <c r="HW1366" s="110"/>
      <c r="HX1366" s="110"/>
      <c r="HY1366" s="110"/>
      <c r="HZ1366" s="110"/>
      <c r="IA1366" s="110"/>
      <c r="IB1366" s="110"/>
      <c r="IC1366" s="110"/>
      <c r="ID1366" s="110"/>
      <c r="IE1366" s="110"/>
      <c r="IF1366" s="110"/>
      <c r="IG1366" s="110"/>
      <c r="IH1366" s="110"/>
      <c r="II1366" s="110"/>
      <c r="IJ1366" s="110"/>
      <c r="IK1366" s="110"/>
      <c r="IL1366" s="110"/>
      <c r="IM1366" s="110"/>
      <c r="IN1366" s="110"/>
      <c r="IO1366" s="110"/>
      <c r="IP1366" s="110"/>
      <c r="IQ1366" s="110"/>
      <c r="IR1366" s="110"/>
      <c r="IS1366" s="110"/>
      <c r="IT1366" s="110"/>
      <c r="IU1366" s="110"/>
      <c r="IV1366" s="110"/>
      <c r="IW1366" s="110"/>
      <c r="IX1366" s="110"/>
      <c r="IY1366" s="110"/>
      <c r="IZ1366" s="110"/>
      <c r="JA1366" s="110"/>
      <c r="JB1366" s="110"/>
      <c r="JC1366" s="110"/>
      <c r="JD1366" s="110"/>
      <c r="JE1366" s="110"/>
      <c r="JF1366" s="110"/>
      <c r="JG1366" s="110"/>
      <c r="JH1366" s="110"/>
      <c r="JI1366" s="110"/>
      <c r="JJ1366" s="110"/>
      <c r="JK1366" s="110"/>
      <c r="JL1366" s="110"/>
      <c r="JM1366" s="110"/>
      <c r="JN1366" s="110"/>
      <c r="JO1366" s="110"/>
      <c r="JP1366" s="110"/>
      <c r="JQ1366" s="110"/>
      <c r="JR1366" s="110"/>
      <c r="JS1366" s="110"/>
      <c r="JT1366" s="110"/>
      <c r="JU1366" s="110"/>
      <c r="JV1366" s="110"/>
      <c r="JW1366" s="110"/>
      <c r="JX1366" s="110"/>
      <c r="JY1366" s="110"/>
      <c r="JZ1366" s="110"/>
      <c r="KA1366" s="110"/>
      <c r="KB1366" s="110"/>
      <c r="KC1366" s="110"/>
      <c r="KD1366" s="110"/>
      <c r="KE1366" s="110"/>
      <c r="KF1366" s="110"/>
      <c r="KG1366" s="110"/>
      <c r="KH1366" s="110"/>
      <c r="KI1366" s="110"/>
      <c r="KJ1366" s="110"/>
      <c r="KK1366" s="110"/>
      <c r="KL1366" s="110"/>
      <c r="KM1366" s="110"/>
      <c r="KN1366" s="110"/>
      <c r="KO1366" s="110"/>
      <c r="KP1366" s="110"/>
      <c r="KQ1366" s="110"/>
      <c r="KR1366" s="110"/>
      <c r="KS1366" s="110"/>
      <c r="KT1366" s="110"/>
      <c r="KU1366" s="110"/>
      <c r="KV1366" s="110"/>
      <c r="KW1366" s="110"/>
      <c r="KX1366" s="110"/>
      <c r="KY1366" s="110"/>
      <c r="KZ1366" s="110"/>
      <c r="LA1366" s="110"/>
      <c r="LB1366" s="110"/>
      <c r="LC1366" s="110"/>
      <c r="LD1366" s="110"/>
      <c r="LE1366" s="110"/>
      <c r="LF1366" s="110"/>
      <c r="LG1366" s="110"/>
      <c r="LH1366" s="110"/>
      <c r="LI1366" s="110"/>
      <c r="LJ1366" s="110"/>
      <c r="LK1366" s="110"/>
      <c r="LL1366" s="110"/>
      <c r="LM1366" s="110"/>
      <c r="LN1366" s="110"/>
      <c r="LO1366" s="110"/>
      <c r="LP1366" s="110"/>
      <c r="LQ1366" s="110"/>
      <c r="LR1366" s="110"/>
      <c r="LS1366" s="110"/>
      <c r="LT1366" s="110"/>
      <c r="LU1366" s="110"/>
      <c r="LV1366" s="110"/>
      <c r="LW1366" s="110"/>
      <c r="LX1366" s="110"/>
      <c r="LY1366" s="110"/>
      <c r="LZ1366" s="110"/>
      <c r="MA1366" s="110"/>
      <c r="MB1366" s="110"/>
      <c r="MC1366" s="110"/>
      <c r="MD1366" s="110"/>
      <c r="ME1366" s="110"/>
      <c r="MF1366" s="110"/>
      <c r="MG1366" s="110"/>
      <c r="MH1366" s="110"/>
      <c r="MI1366" s="110"/>
      <c r="MJ1366" s="110"/>
      <c r="MK1366" s="110"/>
      <c r="ML1366" s="110"/>
      <c r="MM1366" s="110"/>
      <c r="MN1366" s="110"/>
      <c r="MO1366" s="110"/>
      <c r="MP1366" s="110"/>
      <c r="MQ1366" s="110"/>
      <c r="MR1366" s="110"/>
      <c r="MS1366" s="110"/>
      <c r="MT1366" s="110"/>
      <c r="MU1366" s="110"/>
      <c r="MV1366" s="110"/>
      <c r="MW1366" s="110"/>
      <c r="MX1366" s="110"/>
      <c r="MY1366" s="110"/>
      <c r="MZ1366" s="110"/>
      <c r="NA1366" s="110"/>
      <c r="NB1366" s="110"/>
      <c r="NC1366" s="110"/>
      <c r="ND1366" s="110"/>
      <c r="NE1366" s="110"/>
      <c r="NF1366" s="110"/>
      <c r="NG1366" s="110"/>
      <c r="NH1366" s="110"/>
      <c r="NI1366" s="110"/>
      <c r="NJ1366" s="110"/>
      <c r="NK1366" s="110"/>
      <c r="NL1366" s="110"/>
      <c r="NM1366" s="110"/>
      <c r="NN1366" s="110"/>
      <c r="NO1366" s="110"/>
      <c r="NP1366" s="110"/>
      <c r="NQ1366" s="110"/>
      <c r="NR1366" s="110"/>
      <c r="NS1366" s="110"/>
      <c r="NT1366" s="110"/>
      <c r="NU1366" s="110"/>
      <c r="NV1366" s="110"/>
      <c r="NW1366" s="110"/>
      <c r="NX1366" s="110"/>
      <c r="NY1366" s="110"/>
      <c r="NZ1366" s="110"/>
      <c r="OA1366" s="110"/>
      <c r="OB1366" s="110"/>
      <c r="OC1366" s="110"/>
      <c r="OD1366" s="110"/>
      <c r="OE1366" s="110"/>
      <c r="OF1366" s="110"/>
      <c r="OG1366" s="110"/>
      <c r="OH1366" s="110"/>
      <c r="OI1366" s="110"/>
      <c r="OJ1366" s="110"/>
      <c r="OK1366" s="110"/>
      <c r="OL1366" s="110"/>
      <c r="OM1366" s="110"/>
      <c r="ON1366" s="110"/>
      <c r="OO1366" s="110"/>
      <c r="OP1366" s="110"/>
      <c r="OQ1366" s="110"/>
      <c r="OR1366" s="110"/>
      <c r="OS1366" s="110"/>
      <c r="OT1366" s="110"/>
      <c r="OU1366" s="110"/>
      <c r="OV1366" s="110"/>
      <c r="OW1366" s="110"/>
      <c r="OX1366" s="110"/>
      <c r="OY1366" s="110"/>
      <c r="OZ1366" s="110"/>
      <c r="PA1366" s="110"/>
      <c r="PB1366" s="110"/>
      <c r="PC1366" s="110"/>
      <c r="PD1366" s="110"/>
      <c r="PE1366" s="110"/>
      <c r="PF1366" s="110"/>
      <c r="PG1366" s="110"/>
      <c r="PH1366" s="110"/>
      <c r="PI1366" s="110"/>
      <c r="PJ1366" s="110"/>
      <c r="PK1366" s="110"/>
      <c r="PL1366" s="110"/>
      <c r="PM1366" s="110"/>
      <c r="PN1366" s="110"/>
      <c r="PO1366" s="110"/>
      <c r="PP1366" s="110"/>
      <c r="PQ1366" s="110"/>
      <c r="PR1366" s="110"/>
      <c r="PS1366" s="110"/>
      <c r="PT1366" s="110"/>
      <c r="PU1366" s="110"/>
      <c r="PV1366" s="110"/>
      <c r="PW1366" s="110"/>
      <c r="PX1366" s="110"/>
      <c r="PY1366" s="110"/>
      <c r="PZ1366" s="110"/>
      <c r="QA1366" s="110"/>
      <c r="QB1366" s="110"/>
      <c r="QC1366" s="110"/>
      <c r="QD1366" s="110"/>
      <c r="QE1366" s="110"/>
      <c r="QF1366" s="110"/>
      <c r="QG1366" s="110"/>
      <c r="QH1366" s="110"/>
      <c r="QI1366" s="110"/>
      <c r="QJ1366" s="110"/>
      <c r="QK1366" s="110"/>
      <c r="QL1366" s="110"/>
      <c r="QM1366" s="110"/>
      <c r="QN1366" s="110"/>
      <c r="QO1366" s="110"/>
      <c r="QP1366" s="110"/>
      <c r="QQ1366" s="110"/>
      <c r="QR1366" s="110"/>
      <c r="QS1366" s="110"/>
      <c r="QT1366" s="110"/>
      <c r="QU1366" s="110"/>
      <c r="QV1366" s="110"/>
      <c r="QW1366" s="110"/>
      <c r="QX1366" s="110"/>
      <c r="QY1366" s="110"/>
      <c r="QZ1366" s="110"/>
      <c r="RA1366" s="110"/>
      <c r="RB1366" s="110"/>
      <c r="RC1366" s="110"/>
      <c r="RD1366" s="110"/>
      <c r="RE1366" s="110"/>
      <c r="RF1366" s="110"/>
      <c r="RG1366" s="110"/>
      <c r="RH1366" s="110"/>
      <c r="RI1366" s="110"/>
      <c r="RJ1366" s="110"/>
      <c r="RK1366" s="110"/>
      <c r="RL1366" s="110"/>
      <c r="RM1366" s="110"/>
      <c r="RN1366" s="110"/>
      <c r="RO1366" s="110"/>
      <c r="RP1366" s="110"/>
      <c r="RQ1366" s="110"/>
      <c r="RR1366" s="110"/>
      <c r="RS1366" s="110"/>
      <c r="RT1366" s="110"/>
      <c r="RU1366" s="110"/>
      <c r="RV1366" s="110"/>
      <c r="RW1366" s="110"/>
      <c r="RX1366" s="110"/>
      <c r="RY1366" s="110"/>
      <c r="RZ1366" s="110"/>
      <c r="SA1366" s="110"/>
      <c r="SB1366" s="110"/>
      <c r="SC1366" s="110"/>
      <c r="SD1366" s="110"/>
      <c r="SE1366" s="110"/>
      <c r="SF1366" s="110"/>
      <c r="SG1366" s="110"/>
      <c r="SH1366" s="110"/>
      <c r="SI1366" s="110"/>
      <c r="SJ1366" s="110"/>
      <c r="SK1366" s="110"/>
      <c r="SL1366" s="110"/>
      <c r="SM1366" s="110"/>
      <c r="SN1366" s="110"/>
      <c r="SO1366" s="110"/>
      <c r="SP1366" s="110"/>
      <c r="SQ1366" s="110"/>
      <c r="SR1366" s="110"/>
      <c r="SS1366" s="110"/>
      <c r="ST1366" s="110"/>
      <c r="SU1366" s="110"/>
      <c r="SV1366" s="110"/>
      <c r="SW1366" s="110"/>
      <c r="SX1366" s="110"/>
      <c r="SY1366" s="110"/>
      <c r="SZ1366" s="110"/>
      <c r="TA1366" s="110"/>
      <c r="TB1366" s="110"/>
      <c r="TC1366" s="110"/>
      <c r="TD1366" s="110"/>
      <c r="TE1366" s="110"/>
      <c r="TF1366" s="110"/>
      <c r="TG1366" s="110"/>
      <c r="TH1366" s="110"/>
      <c r="TI1366" s="110"/>
      <c r="TJ1366" s="110"/>
      <c r="TK1366" s="110"/>
      <c r="TL1366" s="110"/>
      <c r="TM1366" s="110"/>
      <c r="TN1366" s="110"/>
      <c r="TO1366" s="110"/>
      <c r="TP1366" s="110"/>
      <c r="TQ1366" s="110"/>
      <c r="TR1366" s="110"/>
      <c r="TS1366" s="110"/>
      <c r="TT1366" s="110"/>
      <c r="TU1366" s="110"/>
      <c r="TV1366" s="110"/>
      <c r="TW1366" s="110"/>
      <c r="TX1366" s="110"/>
      <c r="TY1366" s="110"/>
      <c r="TZ1366" s="110"/>
      <c r="UA1366" s="110"/>
      <c r="UB1366" s="110"/>
      <c r="UC1366" s="110"/>
      <c r="UD1366" s="110"/>
      <c r="UE1366" s="110"/>
      <c r="UF1366" s="110"/>
      <c r="UG1366" s="110"/>
      <c r="UH1366" s="110"/>
      <c r="UI1366" s="110"/>
      <c r="UJ1366" s="110"/>
      <c r="UK1366" s="110"/>
      <c r="UL1366" s="110"/>
      <c r="UM1366" s="110"/>
      <c r="UN1366" s="110"/>
      <c r="UO1366" s="110"/>
      <c r="UP1366" s="110"/>
      <c r="UQ1366" s="110"/>
      <c r="UR1366" s="110"/>
      <c r="US1366" s="110"/>
      <c r="UT1366" s="110"/>
      <c r="UU1366" s="110"/>
      <c r="UV1366" s="110"/>
      <c r="UW1366" s="110"/>
      <c r="UX1366" s="110"/>
      <c r="UY1366" s="110"/>
      <c r="UZ1366" s="110"/>
      <c r="VA1366" s="110"/>
      <c r="VB1366" s="110"/>
      <c r="VC1366" s="110"/>
      <c r="VD1366" s="110"/>
      <c r="VE1366" s="110"/>
      <c r="VF1366" s="110"/>
      <c r="VG1366" s="110"/>
      <c r="VH1366" s="110"/>
      <c r="VI1366" s="110"/>
      <c r="VJ1366" s="110"/>
      <c r="VK1366" s="110"/>
      <c r="VL1366" s="110"/>
      <c r="VM1366" s="110"/>
      <c r="VN1366" s="110"/>
      <c r="VO1366" s="110"/>
      <c r="VP1366" s="110"/>
      <c r="VQ1366" s="110"/>
      <c r="VR1366" s="110"/>
      <c r="VS1366" s="110"/>
      <c r="VT1366" s="110"/>
      <c r="VU1366" s="110"/>
      <c r="VV1366" s="110"/>
      <c r="VW1366" s="110"/>
      <c r="VX1366" s="110"/>
      <c r="VY1366" s="110"/>
      <c r="VZ1366" s="110"/>
      <c r="WA1366" s="110"/>
      <c r="WB1366" s="110"/>
      <c r="WC1366" s="110"/>
      <c r="WD1366" s="110"/>
      <c r="WE1366" s="110"/>
      <c r="WF1366" s="110"/>
      <c r="WG1366" s="110"/>
      <c r="WH1366" s="110"/>
      <c r="WI1366" s="110"/>
      <c r="WJ1366" s="110"/>
      <c r="WK1366" s="110"/>
      <c r="WL1366" s="110"/>
      <c r="WM1366" s="110"/>
      <c r="WN1366" s="110"/>
      <c r="WO1366" s="110"/>
      <c r="WP1366" s="110"/>
      <c r="WQ1366" s="110"/>
      <c r="WR1366" s="110"/>
      <c r="WS1366" s="110"/>
      <c r="WT1366" s="110"/>
      <c r="WU1366" s="110"/>
      <c r="WV1366" s="110"/>
      <c r="WW1366" s="110"/>
      <c r="WX1366" s="110"/>
      <c r="WY1366" s="110"/>
      <c r="WZ1366" s="110"/>
      <c r="XA1366" s="110"/>
      <c r="XB1366" s="110"/>
      <c r="XC1366" s="110"/>
      <c r="XD1366" s="110"/>
      <c r="XE1366" s="110"/>
      <c r="XF1366" s="110"/>
      <c r="XG1366" s="110"/>
      <c r="XH1366" s="110"/>
      <c r="XI1366" s="110"/>
      <c r="XJ1366" s="110"/>
      <c r="XK1366" s="110"/>
      <c r="XL1366" s="110"/>
      <c r="XM1366" s="110"/>
      <c r="XN1366" s="110"/>
      <c r="XO1366" s="110"/>
      <c r="XP1366" s="110"/>
      <c r="XQ1366" s="110"/>
      <c r="XR1366" s="110"/>
      <c r="XS1366" s="110"/>
      <c r="XT1366" s="110"/>
      <c r="XU1366" s="110"/>
      <c r="XV1366" s="110"/>
      <c r="XW1366" s="110"/>
      <c r="XX1366" s="110"/>
      <c r="XY1366" s="110"/>
      <c r="XZ1366" s="110"/>
      <c r="YA1366" s="110"/>
      <c r="YB1366" s="110"/>
      <c r="YC1366" s="110"/>
      <c r="YD1366" s="110"/>
      <c r="YE1366" s="110"/>
      <c r="YF1366" s="110"/>
      <c r="YG1366" s="110"/>
      <c r="YH1366" s="110"/>
      <c r="YI1366" s="110"/>
      <c r="YJ1366" s="110"/>
      <c r="YK1366" s="110"/>
      <c r="YL1366" s="110"/>
      <c r="YM1366" s="110"/>
      <c r="YN1366" s="110"/>
      <c r="YO1366" s="110"/>
      <c r="YP1366" s="110"/>
      <c r="YQ1366" s="110"/>
      <c r="YR1366" s="110"/>
      <c r="YS1366" s="110"/>
      <c r="YT1366" s="110"/>
      <c r="YU1366" s="110"/>
      <c r="YV1366" s="110"/>
      <c r="YW1366" s="110"/>
      <c r="YX1366" s="110"/>
      <c r="YY1366" s="110"/>
      <c r="YZ1366" s="110"/>
      <c r="ZA1366" s="110"/>
      <c r="ZB1366" s="110"/>
      <c r="ZC1366" s="110"/>
      <c r="ZD1366" s="110"/>
      <c r="ZE1366" s="110"/>
      <c r="ZF1366" s="110"/>
      <c r="ZG1366" s="110"/>
      <c r="ZH1366" s="110"/>
      <c r="ZI1366" s="110"/>
      <c r="ZJ1366" s="110"/>
      <c r="ZK1366" s="110"/>
      <c r="ZL1366" s="110"/>
      <c r="ZM1366" s="110"/>
      <c r="ZN1366" s="110"/>
      <c r="ZO1366" s="110"/>
      <c r="ZP1366" s="110"/>
      <c r="ZQ1366" s="110"/>
      <c r="ZR1366" s="110"/>
      <c r="ZS1366" s="110"/>
      <c r="ZT1366" s="110"/>
      <c r="ZU1366" s="110"/>
      <c r="ZV1366" s="110"/>
      <c r="ZW1366" s="110"/>
      <c r="ZX1366" s="110"/>
      <c r="ZY1366" s="110"/>
      <c r="ZZ1366" s="110"/>
      <c r="AAA1366" s="110"/>
      <c r="AAB1366" s="110"/>
      <c r="AAC1366" s="110"/>
      <c r="AAD1366" s="110"/>
      <c r="AAE1366" s="110"/>
      <c r="AAF1366" s="110"/>
      <c r="AAG1366" s="110"/>
      <c r="AAH1366" s="110"/>
      <c r="AAI1366" s="110"/>
      <c r="AAJ1366" s="110"/>
      <c r="AAK1366" s="110"/>
      <c r="AAL1366" s="110"/>
      <c r="AAM1366" s="110"/>
      <c r="AAN1366" s="110"/>
      <c r="AAO1366" s="110"/>
      <c r="AAP1366" s="110"/>
      <c r="AAQ1366" s="110"/>
      <c r="AAR1366" s="110"/>
      <c r="AAS1366" s="110"/>
      <c r="AAT1366" s="110"/>
      <c r="AAU1366" s="110"/>
      <c r="AAV1366" s="110"/>
      <c r="AAW1366" s="110"/>
      <c r="AAX1366" s="110"/>
      <c r="AAY1366" s="110"/>
      <c r="AAZ1366" s="110"/>
      <c r="ABA1366" s="110"/>
      <c r="ABB1366" s="110"/>
      <c r="ABC1366" s="110"/>
      <c r="ABD1366" s="110"/>
      <c r="ABE1366" s="110"/>
      <c r="ABF1366" s="110"/>
      <c r="ABG1366" s="110"/>
      <c r="ABH1366" s="110"/>
      <c r="ABI1366" s="110"/>
      <c r="ABJ1366" s="110"/>
      <c r="ABK1366" s="110"/>
      <c r="ABL1366" s="110"/>
      <c r="ABM1366" s="110"/>
      <c r="ABN1366" s="110"/>
      <c r="ABO1366" s="110"/>
      <c r="ABP1366" s="110"/>
      <c r="ABQ1366" s="110"/>
      <c r="ABR1366" s="110"/>
      <c r="ABS1366" s="110"/>
      <c r="ABT1366" s="110"/>
      <c r="ABU1366" s="110"/>
      <c r="ABV1366" s="110"/>
      <c r="ABW1366" s="110"/>
      <c r="ABX1366" s="110"/>
      <c r="ABY1366" s="110"/>
      <c r="ABZ1366" s="110"/>
      <c r="ACA1366" s="110"/>
      <c r="ACB1366" s="110"/>
      <c r="ACC1366" s="110"/>
      <c r="ACD1366" s="110"/>
      <c r="ACE1366" s="110"/>
      <c r="ACF1366" s="110"/>
      <c r="ACG1366" s="110"/>
      <c r="ACH1366" s="110"/>
      <c r="ACI1366" s="110"/>
      <c r="ACJ1366" s="110"/>
      <c r="ACK1366" s="110"/>
      <c r="ACL1366" s="110"/>
      <c r="ACM1366" s="110"/>
      <c r="ACN1366" s="110"/>
      <c r="ACO1366" s="110"/>
      <c r="ACP1366" s="110"/>
      <c r="ACQ1366" s="110"/>
      <c r="ACR1366" s="110"/>
      <c r="ACS1366" s="110"/>
      <c r="ACT1366" s="110"/>
      <c r="ACU1366" s="110"/>
      <c r="ACV1366" s="110"/>
      <c r="ACW1366" s="110"/>
      <c r="ACX1366" s="110"/>
      <c r="ACY1366" s="110"/>
      <c r="ACZ1366" s="110"/>
      <c r="ADA1366" s="110"/>
      <c r="ADB1366" s="110"/>
      <c r="ADC1366" s="110"/>
      <c r="ADD1366" s="110"/>
      <c r="ADE1366" s="110"/>
      <c r="ADF1366" s="110"/>
      <c r="ADG1366" s="110"/>
      <c r="ADH1366" s="110"/>
      <c r="ADI1366" s="110"/>
      <c r="ADJ1366" s="110"/>
      <c r="ADK1366" s="110"/>
      <c r="ADL1366" s="110"/>
      <c r="ADM1366" s="110"/>
      <c r="ADN1366" s="110"/>
      <c r="ADO1366" s="110"/>
      <c r="ADP1366" s="110"/>
      <c r="ADQ1366" s="110"/>
      <c r="ADR1366" s="110"/>
      <c r="ADS1366" s="110"/>
      <c r="ADT1366" s="110"/>
      <c r="ADU1366" s="110"/>
      <c r="ADV1366" s="110"/>
      <c r="ADW1366" s="110"/>
      <c r="ADX1366" s="110"/>
      <c r="ADY1366" s="110"/>
      <c r="ADZ1366" s="110"/>
      <c r="AEA1366" s="110"/>
      <c r="AEB1366" s="110"/>
      <c r="AEC1366" s="110"/>
      <c r="AED1366" s="110"/>
      <c r="AEE1366" s="110"/>
      <c r="AEF1366" s="110"/>
      <c r="AEG1366" s="110"/>
      <c r="AEH1366" s="110"/>
      <c r="AEI1366" s="110"/>
      <c r="AEJ1366" s="110"/>
      <c r="AEK1366" s="110"/>
      <c r="AEL1366" s="110"/>
      <c r="AEM1366" s="110"/>
      <c r="AEN1366" s="110"/>
      <c r="AEO1366" s="110"/>
      <c r="AEP1366" s="110"/>
      <c r="AEQ1366" s="110"/>
      <c r="AER1366" s="110"/>
      <c r="AES1366" s="110"/>
      <c r="AET1366" s="110"/>
      <c r="AEU1366" s="110"/>
      <c r="AEV1366" s="110"/>
      <c r="AEW1366" s="110"/>
      <c r="AEX1366" s="110"/>
      <c r="AEY1366" s="110"/>
      <c r="AEZ1366" s="110"/>
      <c r="AFA1366" s="110"/>
      <c r="AFB1366" s="110"/>
      <c r="AFC1366" s="110"/>
      <c r="AFD1366" s="110"/>
      <c r="AFE1366" s="110"/>
      <c r="AFF1366" s="110"/>
      <c r="AFG1366" s="110"/>
      <c r="AFH1366" s="110"/>
      <c r="AFI1366" s="110"/>
      <c r="AFJ1366" s="110"/>
      <c r="AFK1366" s="110"/>
      <c r="AFL1366" s="110"/>
      <c r="AFM1366" s="110"/>
      <c r="AFN1366" s="110"/>
      <c r="AFO1366" s="110"/>
      <c r="AFP1366" s="110"/>
      <c r="AFQ1366" s="110"/>
      <c r="AFR1366" s="110"/>
      <c r="AFS1366" s="110"/>
      <c r="AFT1366" s="110"/>
      <c r="AFU1366" s="110"/>
      <c r="AFV1366" s="110"/>
      <c r="AFW1366" s="110"/>
      <c r="AFX1366" s="110"/>
      <c r="AFY1366" s="110"/>
      <c r="AFZ1366" s="110"/>
      <c r="AGA1366" s="110"/>
      <c r="AGB1366" s="110"/>
      <c r="AGC1366" s="110"/>
      <c r="AGD1366" s="110"/>
      <c r="AGE1366" s="110"/>
      <c r="AGF1366" s="110"/>
      <c r="AGG1366" s="110"/>
      <c r="AGH1366" s="110"/>
      <c r="AGI1366" s="110"/>
      <c r="AGJ1366" s="110"/>
      <c r="AGK1366" s="110"/>
      <c r="AGL1366" s="110"/>
      <c r="AGM1366" s="110"/>
      <c r="AGN1366" s="110"/>
      <c r="AGO1366" s="110"/>
      <c r="AGP1366" s="110"/>
      <c r="AGQ1366" s="110"/>
      <c r="AGR1366" s="110"/>
      <c r="AGS1366" s="110"/>
      <c r="AGT1366" s="110"/>
      <c r="AGU1366" s="110"/>
      <c r="AGV1366" s="110"/>
      <c r="AGW1366" s="110"/>
      <c r="AGX1366" s="110"/>
      <c r="AGY1366" s="110"/>
      <c r="AGZ1366" s="110"/>
      <c r="AHA1366" s="110"/>
      <c r="AHB1366" s="110"/>
      <c r="AHC1366" s="110"/>
      <c r="AHD1366" s="110"/>
      <c r="AHE1366" s="110"/>
      <c r="AHF1366" s="110"/>
      <c r="AHG1366" s="110"/>
      <c r="AHH1366" s="110"/>
      <c r="AHI1366" s="110"/>
      <c r="AHJ1366" s="110"/>
      <c r="AHK1366" s="110"/>
      <c r="AHL1366" s="110"/>
      <c r="AHM1366" s="110"/>
      <c r="AHN1366" s="110"/>
      <c r="AHO1366" s="110"/>
      <c r="AHP1366" s="110"/>
      <c r="AHQ1366" s="110"/>
      <c r="AHR1366" s="110"/>
      <c r="AHS1366" s="110"/>
      <c r="AHT1366" s="110"/>
      <c r="AHU1366" s="110"/>
      <c r="AHV1366" s="110"/>
      <c r="AHW1366" s="110"/>
      <c r="AHX1366" s="110"/>
      <c r="AHY1366" s="110"/>
      <c r="AHZ1366" s="110"/>
      <c r="AIA1366" s="110"/>
      <c r="AIB1366" s="110"/>
      <c r="AIC1366" s="110"/>
      <c r="AID1366" s="110"/>
      <c r="AIE1366" s="110"/>
      <c r="AIF1366" s="110"/>
      <c r="AIG1366" s="110"/>
      <c r="AIH1366" s="110"/>
      <c r="AII1366" s="110"/>
      <c r="AIJ1366" s="110"/>
      <c r="AIK1366" s="110"/>
      <c r="AIL1366" s="110"/>
      <c r="AIM1366" s="110"/>
      <c r="AIN1366" s="110"/>
      <c r="AIO1366" s="110"/>
      <c r="AIP1366" s="110"/>
      <c r="AIQ1366" s="110"/>
      <c r="AIR1366" s="110"/>
      <c r="AIS1366" s="110"/>
      <c r="AIT1366" s="110"/>
      <c r="AIU1366" s="110"/>
      <c r="AIV1366" s="110"/>
      <c r="AIW1366" s="110"/>
      <c r="AIX1366" s="110"/>
      <c r="AIY1366" s="110"/>
      <c r="AIZ1366" s="110"/>
      <c r="AJA1366" s="110"/>
      <c r="AJB1366" s="110"/>
      <c r="AJC1366" s="110"/>
      <c r="AJD1366" s="110"/>
      <c r="AJE1366" s="110"/>
      <c r="AJF1366" s="110"/>
      <c r="AJG1366" s="110"/>
      <c r="AJH1366" s="110"/>
      <c r="AJI1366" s="110"/>
      <c r="AJJ1366" s="110"/>
      <c r="AJK1366" s="110"/>
      <c r="AJL1366" s="110"/>
      <c r="AJM1366" s="110"/>
      <c r="AJN1366" s="110"/>
      <c r="AJO1366" s="110"/>
      <c r="AJP1366" s="110"/>
      <c r="AJQ1366" s="110"/>
      <c r="AJR1366" s="110"/>
      <c r="AJS1366" s="110"/>
      <c r="AJT1366" s="110"/>
      <c r="AJU1366" s="110"/>
      <c r="AJV1366" s="110"/>
      <c r="AJW1366" s="110"/>
      <c r="AJX1366" s="110"/>
      <c r="AJY1366" s="110"/>
      <c r="AJZ1366" s="110"/>
      <c r="AKA1366" s="110"/>
      <c r="AKB1366" s="110"/>
      <c r="AKC1366" s="110"/>
      <c r="AKD1366" s="110"/>
      <c r="AKE1366" s="110"/>
      <c r="AKF1366" s="110"/>
      <c r="AKG1366" s="110"/>
      <c r="AKH1366" s="110"/>
      <c r="AKI1366" s="110"/>
      <c r="AKJ1366" s="110"/>
      <c r="AKK1366" s="110"/>
      <c r="AKL1366" s="110"/>
      <c r="AKM1366" s="110"/>
      <c r="AKN1366" s="110"/>
      <c r="AKO1366" s="110"/>
      <c r="AKP1366" s="110"/>
      <c r="AKQ1366" s="110"/>
      <c r="AKR1366" s="110"/>
      <c r="AKS1366" s="110"/>
      <c r="AKT1366" s="110"/>
      <c r="AKU1366" s="110"/>
      <c r="AKV1366" s="110"/>
      <c r="AKW1366" s="110"/>
      <c r="AKX1366" s="110"/>
      <c r="AKY1366" s="110"/>
      <c r="AKZ1366" s="110"/>
      <c r="ALA1366" s="110"/>
      <c r="ALB1366" s="110"/>
      <c r="ALC1366" s="110"/>
      <c r="ALD1366" s="110"/>
      <c r="ALE1366" s="110"/>
      <c r="ALF1366" s="110"/>
      <c r="ALG1366" s="110"/>
      <c r="ALH1366" s="110"/>
      <c r="ALI1366" s="110"/>
      <c r="ALJ1366" s="110"/>
      <c r="ALK1366" s="110"/>
      <c r="ALL1366" s="110"/>
      <c r="ALM1366" s="110"/>
      <c r="ALN1366" s="110"/>
      <c r="ALO1366" s="110"/>
      <c r="ALP1366" s="110"/>
      <c r="ALQ1366" s="110"/>
      <c r="ALR1366" s="110"/>
      <c r="ALS1366" s="110"/>
      <c r="ALT1366" s="110"/>
      <c r="ALU1366" s="110"/>
      <c r="ALV1366" s="110"/>
      <c r="ALW1366" s="110"/>
      <c r="ALX1366" s="110"/>
      <c r="ALY1366" s="110"/>
      <c r="ALZ1366" s="110"/>
      <c r="AMA1366" s="110"/>
      <c r="AMB1366" s="110"/>
      <c r="AMC1366" s="110"/>
      <c r="AMD1366" s="110"/>
      <c r="AME1366" s="110"/>
      <c r="AMF1366" s="110"/>
      <c r="AMG1366" s="110"/>
      <c r="AMH1366" s="110"/>
      <c r="AMI1366" s="110"/>
      <c r="AMJ1366" s="110"/>
      <c r="AMK1366" s="110"/>
      <c r="AML1366" s="110"/>
      <c r="AMM1366" s="110"/>
      <c r="AMN1366" s="110"/>
      <c r="AMO1366" s="110"/>
      <c r="AMP1366" s="110"/>
      <c r="AMQ1366" s="110"/>
      <c r="AMR1366" s="110"/>
      <c r="AMS1366" s="110"/>
      <c r="AMT1366" s="110"/>
      <c r="AMU1366" s="110"/>
      <c r="AMV1366" s="110"/>
      <c r="AMW1366" s="110"/>
      <c r="AMX1366" s="110"/>
      <c r="AMY1366" s="110"/>
      <c r="AMZ1366" s="110"/>
      <c r="ANA1366" s="110"/>
      <c r="ANB1366" s="110"/>
      <c r="ANC1366" s="110"/>
      <c r="AND1366" s="110"/>
      <c r="ANE1366" s="110"/>
      <c r="ANF1366" s="110"/>
      <c r="ANG1366" s="110"/>
      <c r="ANH1366" s="110"/>
      <c r="ANI1366" s="110"/>
      <c r="ANJ1366" s="110"/>
      <c r="ANK1366" s="110"/>
      <c r="ANL1366" s="110"/>
      <c r="ANM1366" s="110"/>
      <c r="ANN1366" s="110"/>
      <c r="ANO1366" s="110"/>
      <c r="ANP1366" s="110"/>
      <c r="ANQ1366" s="110"/>
      <c r="ANR1366" s="110"/>
      <c r="ANS1366" s="110"/>
      <c r="ANT1366" s="110"/>
      <c r="ANU1366" s="110"/>
      <c r="ANV1366" s="110"/>
      <c r="ANW1366" s="110"/>
      <c r="ANX1366" s="110"/>
      <c r="ANY1366" s="110"/>
      <c r="ANZ1366" s="110"/>
      <c r="AOA1366" s="110"/>
      <c r="AOB1366" s="110"/>
      <c r="AOC1366" s="110"/>
      <c r="AOD1366" s="110"/>
      <c r="AOE1366" s="110"/>
      <c r="AOF1366" s="110"/>
      <c r="AOG1366" s="110"/>
      <c r="AOH1366" s="110"/>
      <c r="AOI1366" s="110"/>
      <c r="AOJ1366" s="110"/>
      <c r="AOK1366" s="110"/>
      <c r="AOL1366" s="110"/>
      <c r="AOM1366" s="110"/>
      <c r="AON1366" s="110"/>
      <c r="AOO1366" s="110"/>
      <c r="AOP1366" s="110"/>
      <c r="AOQ1366" s="110"/>
      <c r="AOR1366" s="110"/>
      <c r="AOS1366" s="110"/>
      <c r="AOT1366" s="110"/>
      <c r="AOU1366" s="110"/>
      <c r="AOV1366" s="110"/>
      <c r="AOW1366" s="110"/>
      <c r="AOX1366" s="110"/>
      <c r="AOY1366" s="110"/>
      <c r="AOZ1366" s="110"/>
      <c r="APA1366" s="110"/>
      <c r="APB1366" s="110"/>
      <c r="APC1366" s="110"/>
      <c r="APD1366" s="110"/>
      <c r="APE1366" s="110"/>
      <c r="APF1366" s="110"/>
      <c r="APG1366" s="110"/>
      <c r="APH1366" s="110"/>
      <c r="API1366" s="110"/>
      <c r="APJ1366" s="110"/>
      <c r="APK1366" s="110"/>
      <c r="APL1366" s="110"/>
      <c r="APM1366" s="110"/>
      <c r="APN1366" s="110"/>
      <c r="APO1366" s="110"/>
      <c r="APP1366" s="110"/>
      <c r="APQ1366" s="110"/>
      <c r="APR1366" s="110"/>
      <c r="APS1366" s="110"/>
      <c r="APT1366" s="110"/>
      <c r="APU1366" s="110"/>
      <c r="APV1366" s="110"/>
      <c r="APW1366" s="110"/>
      <c r="APX1366" s="110"/>
      <c r="APY1366" s="110"/>
      <c r="APZ1366" s="110"/>
      <c r="AQA1366" s="110"/>
      <c r="AQB1366" s="110"/>
      <c r="AQC1366" s="110"/>
      <c r="AQD1366" s="110"/>
      <c r="AQE1366" s="110"/>
      <c r="AQF1366" s="110"/>
      <c r="AQG1366" s="110"/>
      <c r="AQH1366" s="110"/>
      <c r="AQI1366" s="110"/>
      <c r="AQJ1366" s="110"/>
      <c r="AQK1366" s="110"/>
      <c r="AQL1366" s="110"/>
      <c r="AQM1366" s="110"/>
      <c r="AQN1366" s="110"/>
      <c r="AQO1366" s="110"/>
      <c r="AQP1366" s="110"/>
      <c r="AQQ1366" s="110"/>
      <c r="AQR1366" s="110"/>
      <c r="AQS1366" s="110"/>
      <c r="AQT1366" s="110"/>
      <c r="AQU1366" s="110"/>
      <c r="AQV1366" s="110"/>
      <c r="AQW1366" s="110"/>
      <c r="AQX1366" s="110"/>
      <c r="AQY1366" s="110"/>
      <c r="AQZ1366" s="110"/>
      <c r="ARA1366" s="110"/>
      <c r="ARB1366" s="110"/>
      <c r="ARC1366" s="110"/>
      <c r="ARD1366" s="110"/>
      <c r="ARE1366" s="110"/>
      <c r="ARF1366" s="110"/>
      <c r="ARG1366" s="110"/>
      <c r="ARH1366" s="110"/>
      <c r="ARI1366" s="110"/>
      <c r="ARJ1366" s="110"/>
      <c r="ARK1366" s="110"/>
      <c r="ARL1366" s="110"/>
      <c r="ARM1366" s="110"/>
      <c r="ARN1366" s="110"/>
      <c r="ARO1366" s="110"/>
      <c r="ARP1366" s="110"/>
      <c r="ARQ1366" s="110"/>
      <c r="ARR1366" s="110"/>
      <c r="ARS1366" s="110"/>
      <c r="ART1366" s="110"/>
      <c r="ARU1366" s="110"/>
      <c r="ARV1366" s="110"/>
      <c r="ARW1366" s="110"/>
      <c r="ARX1366" s="110"/>
      <c r="ARY1366" s="110"/>
      <c r="ARZ1366" s="110"/>
      <c r="ASA1366" s="110"/>
      <c r="ASB1366" s="110"/>
      <c r="ASC1366" s="110"/>
      <c r="ASD1366" s="110"/>
      <c r="ASE1366" s="110"/>
      <c r="ASF1366" s="110"/>
      <c r="ASG1366" s="110"/>
      <c r="ASH1366" s="110"/>
      <c r="ASI1366" s="110"/>
      <c r="ASJ1366" s="110"/>
      <c r="ASK1366" s="110"/>
      <c r="ASL1366" s="110"/>
      <c r="ASM1366" s="110"/>
      <c r="ASN1366" s="110"/>
      <c r="ASO1366" s="110"/>
      <c r="ASP1366" s="110"/>
      <c r="ASQ1366" s="110"/>
      <c r="ASR1366" s="110"/>
      <c r="ASS1366" s="110"/>
      <c r="AST1366" s="110"/>
      <c r="ASU1366" s="110"/>
      <c r="ASV1366" s="110"/>
      <c r="ASW1366" s="110"/>
      <c r="ASX1366" s="110"/>
      <c r="ASY1366" s="110"/>
      <c r="ASZ1366" s="110"/>
      <c r="ATA1366" s="110"/>
      <c r="ATB1366" s="110"/>
      <c r="ATC1366" s="110"/>
      <c r="ATD1366" s="110"/>
      <c r="ATE1366" s="110"/>
      <c r="ATF1366" s="110"/>
      <c r="ATG1366" s="110"/>
      <c r="ATH1366" s="110"/>
      <c r="ATI1366" s="110"/>
      <c r="ATJ1366" s="110"/>
      <c r="ATK1366" s="110"/>
      <c r="ATL1366" s="110"/>
      <c r="ATM1366" s="110"/>
      <c r="ATN1366" s="110"/>
      <c r="ATO1366" s="110"/>
      <c r="ATP1366" s="110"/>
      <c r="ATQ1366" s="110"/>
      <c r="ATR1366" s="110"/>
      <c r="ATS1366" s="110"/>
      <c r="ATT1366" s="110"/>
      <c r="ATU1366" s="110"/>
      <c r="ATV1366" s="110"/>
      <c r="ATW1366" s="110"/>
      <c r="ATX1366" s="110"/>
      <c r="ATY1366" s="110"/>
      <c r="ATZ1366" s="110"/>
      <c r="AUA1366" s="110"/>
      <c r="AUB1366" s="110"/>
      <c r="AUC1366" s="110"/>
      <c r="AUD1366" s="110"/>
      <c r="AUE1366" s="110"/>
      <c r="AUF1366" s="110"/>
      <c r="AUG1366" s="110"/>
      <c r="AUH1366" s="110"/>
      <c r="AUI1366" s="110"/>
      <c r="AUJ1366" s="110"/>
      <c r="AUK1366" s="110"/>
      <c r="AUL1366" s="110"/>
      <c r="AUM1366" s="110"/>
      <c r="AUN1366" s="110"/>
      <c r="AUO1366" s="110"/>
      <c r="AUP1366" s="110"/>
      <c r="AUQ1366" s="110"/>
      <c r="AUR1366" s="110"/>
      <c r="AUS1366" s="110"/>
      <c r="AUT1366" s="110"/>
      <c r="AUU1366" s="110"/>
      <c r="AUV1366" s="110"/>
      <c r="AUW1366" s="110"/>
      <c r="AUX1366" s="110"/>
      <c r="AUY1366" s="110"/>
      <c r="AUZ1366" s="110"/>
      <c r="AVA1366" s="110"/>
      <c r="AVB1366" s="110"/>
      <c r="AVC1366" s="110"/>
      <c r="AVD1366" s="110"/>
      <c r="AVE1366" s="110"/>
      <c r="AVF1366" s="110"/>
      <c r="AVG1366" s="110"/>
      <c r="AVH1366" s="110"/>
      <c r="AVI1366" s="110"/>
      <c r="AVJ1366" s="110"/>
      <c r="AVK1366" s="110"/>
      <c r="AVL1366" s="110"/>
      <c r="AVM1366" s="110"/>
      <c r="AVN1366" s="110"/>
      <c r="AVO1366" s="110"/>
      <c r="AVP1366" s="110"/>
      <c r="AVQ1366" s="110"/>
      <c r="AVR1366" s="110"/>
      <c r="AVS1366" s="110"/>
      <c r="AVT1366" s="110"/>
      <c r="AVU1366" s="110"/>
      <c r="AVV1366" s="110"/>
      <c r="AVW1366" s="110"/>
      <c r="AVX1366" s="110"/>
      <c r="AVY1366" s="110"/>
      <c r="AVZ1366" s="110"/>
      <c r="AWA1366" s="110"/>
      <c r="AWB1366" s="110"/>
      <c r="AWC1366" s="110"/>
      <c r="AWD1366" s="110"/>
      <c r="AWE1366" s="110"/>
      <c r="AWF1366" s="110"/>
      <c r="AWG1366" s="110"/>
      <c r="AWH1366" s="110"/>
      <c r="AWI1366" s="110"/>
      <c r="AWJ1366" s="110"/>
      <c r="AWK1366" s="110"/>
      <c r="AWL1366" s="110"/>
      <c r="AWM1366" s="110"/>
      <c r="AWN1366" s="110"/>
      <c r="AWO1366" s="110"/>
      <c r="AWP1366" s="110"/>
      <c r="AWQ1366" s="110"/>
      <c r="AWR1366" s="110"/>
      <c r="AWS1366" s="110"/>
      <c r="AWT1366" s="110"/>
      <c r="AWU1366" s="110"/>
      <c r="AWV1366" s="110"/>
      <c r="AWW1366" s="110"/>
      <c r="AWX1366" s="110"/>
      <c r="AWY1366" s="110"/>
      <c r="AWZ1366" s="110"/>
      <c r="AXA1366" s="110"/>
      <c r="AXB1366" s="110"/>
      <c r="AXC1366" s="110"/>
      <c r="AXD1366" s="110"/>
      <c r="AXE1366" s="110"/>
      <c r="AXF1366" s="110"/>
      <c r="AXG1366" s="110"/>
      <c r="AXH1366" s="110"/>
      <c r="AXI1366" s="110"/>
      <c r="AXJ1366" s="110"/>
      <c r="AXK1366" s="110"/>
      <c r="AXL1366" s="110"/>
      <c r="AXM1366" s="110"/>
      <c r="AXN1366" s="110"/>
      <c r="AXO1366" s="110"/>
      <c r="AXP1366" s="110"/>
      <c r="AXQ1366" s="110"/>
      <c r="AXR1366" s="110"/>
      <c r="AXS1366" s="110"/>
      <c r="AXT1366" s="110"/>
      <c r="AXU1366" s="110"/>
      <c r="AXV1366" s="110"/>
      <c r="AXW1366" s="110"/>
      <c r="AXX1366" s="110"/>
      <c r="AXY1366" s="110"/>
      <c r="AXZ1366" s="110"/>
      <c r="AYA1366" s="110"/>
      <c r="AYB1366" s="110"/>
      <c r="AYC1366" s="110"/>
      <c r="AYD1366" s="110"/>
      <c r="AYE1366" s="110"/>
      <c r="AYF1366" s="110"/>
      <c r="AYG1366" s="110"/>
      <c r="AYH1366" s="110"/>
      <c r="AYI1366" s="110"/>
      <c r="AYJ1366" s="110"/>
      <c r="AYK1366" s="110"/>
      <c r="AYL1366" s="110"/>
      <c r="AYM1366" s="110"/>
      <c r="AYN1366" s="110"/>
      <c r="AYO1366" s="110"/>
      <c r="AYP1366" s="110"/>
      <c r="AYQ1366" s="110"/>
      <c r="AYR1366" s="110"/>
      <c r="AYS1366" s="110"/>
      <c r="AYT1366" s="110"/>
      <c r="AYU1366" s="110"/>
      <c r="AYV1366" s="110"/>
      <c r="AYW1366" s="110"/>
      <c r="AYX1366" s="110"/>
      <c r="AYY1366" s="110"/>
      <c r="AYZ1366" s="110"/>
      <c r="AZA1366" s="110"/>
      <c r="AZB1366" s="110"/>
      <c r="AZC1366" s="110"/>
      <c r="AZD1366" s="110"/>
      <c r="AZE1366" s="110"/>
      <c r="AZF1366" s="110"/>
      <c r="AZG1366" s="110"/>
      <c r="AZH1366" s="110"/>
      <c r="AZI1366" s="110"/>
      <c r="AZJ1366" s="110"/>
      <c r="AZK1366" s="110"/>
      <c r="AZL1366" s="110"/>
      <c r="AZM1366" s="110"/>
      <c r="AZN1366" s="110"/>
      <c r="AZO1366" s="110"/>
      <c r="AZP1366" s="110"/>
      <c r="AZQ1366" s="110"/>
      <c r="AZR1366" s="110"/>
      <c r="AZS1366" s="110"/>
      <c r="AZT1366" s="110"/>
      <c r="AZU1366" s="110"/>
      <c r="AZV1366" s="110"/>
      <c r="AZW1366" s="110"/>
      <c r="AZX1366" s="110"/>
      <c r="AZY1366" s="110"/>
      <c r="AZZ1366" s="110"/>
      <c r="BAA1366" s="110"/>
      <c r="BAB1366" s="110"/>
      <c r="BAC1366" s="110"/>
      <c r="BAD1366" s="110"/>
      <c r="BAE1366" s="110"/>
      <c r="BAF1366" s="110"/>
      <c r="BAG1366" s="110"/>
      <c r="BAH1366" s="110"/>
      <c r="BAI1366" s="110"/>
      <c r="BAJ1366" s="110"/>
      <c r="BAK1366" s="110"/>
      <c r="BAL1366" s="110"/>
      <c r="BAM1366" s="110"/>
      <c r="BAN1366" s="110"/>
      <c r="BAO1366" s="110"/>
      <c r="BAP1366" s="110"/>
      <c r="BAQ1366" s="110"/>
      <c r="BAR1366" s="110"/>
      <c r="BAS1366" s="110"/>
      <c r="BAT1366" s="110"/>
      <c r="BAU1366" s="110"/>
      <c r="BAV1366" s="110"/>
      <c r="BAW1366" s="110"/>
      <c r="BAX1366" s="110"/>
      <c r="BAY1366" s="110"/>
      <c r="BAZ1366" s="110"/>
      <c r="BBA1366" s="110"/>
      <c r="BBB1366" s="110"/>
      <c r="BBC1366" s="110"/>
      <c r="BBD1366" s="110"/>
      <c r="BBE1366" s="110"/>
      <c r="BBF1366" s="110"/>
      <c r="BBG1366" s="110"/>
      <c r="BBH1366" s="110"/>
      <c r="BBI1366" s="110"/>
      <c r="BBJ1366" s="110"/>
      <c r="BBK1366" s="110"/>
      <c r="BBL1366" s="110"/>
      <c r="BBM1366" s="110"/>
      <c r="BBN1366" s="110"/>
      <c r="BBO1366" s="110"/>
      <c r="BBP1366" s="110"/>
      <c r="BBQ1366" s="110"/>
      <c r="BBR1366" s="110"/>
      <c r="BBS1366" s="110"/>
      <c r="BBT1366" s="110"/>
      <c r="BBU1366" s="110"/>
      <c r="BBV1366" s="110"/>
      <c r="BBW1366" s="110"/>
      <c r="BBX1366" s="110"/>
      <c r="BBY1366" s="110"/>
      <c r="BBZ1366" s="110"/>
      <c r="BCA1366" s="110"/>
      <c r="BCB1366" s="110"/>
      <c r="BCC1366" s="110"/>
      <c r="BCD1366" s="110"/>
      <c r="BCE1366" s="110"/>
      <c r="BCF1366" s="110"/>
      <c r="BCG1366" s="110"/>
      <c r="BCH1366" s="110"/>
      <c r="BCI1366" s="110"/>
      <c r="BCJ1366" s="110"/>
      <c r="BCK1366" s="110"/>
      <c r="BCL1366" s="110"/>
      <c r="BCM1366" s="110"/>
      <c r="BCN1366" s="110"/>
      <c r="BCO1366" s="110"/>
      <c r="BCP1366" s="110"/>
      <c r="BCQ1366" s="110"/>
      <c r="BCR1366" s="110"/>
      <c r="BCS1366" s="110"/>
      <c r="BCT1366" s="110"/>
      <c r="BCU1366" s="110"/>
      <c r="BCV1366" s="110"/>
      <c r="BCW1366" s="110"/>
      <c r="BCX1366" s="110"/>
      <c r="BCY1366" s="110"/>
      <c r="BCZ1366" s="110"/>
      <c r="BDA1366" s="110"/>
      <c r="BDB1366" s="110"/>
      <c r="BDC1366" s="110"/>
      <c r="BDD1366" s="110"/>
      <c r="BDE1366" s="110"/>
      <c r="BDF1366" s="110"/>
      <c r="BDG1366" s="110"/>
      <c r="BDH1366" s="110"/>
      <c r="BDI1366" s="110"/>
      <c r="BDJ1366" s="110"/>
      <c r="BDK1366" s="110"/>
      <c r="BDL1366" s="110"/>
      <c r="BDM1366" s="110"/>
      <c r="BDN1366" s="110"/>
      <c r="BDO1366" s="110"/>
      <c r="BDP1366" s="110"/>
      <c r="BDQ1366" s="110"/>
      <c r="BDR1366" s="110"/>
      <c r="BDS1366" s="110"/>
      <c r="BDT1366" s="110"/>
      <c r="BDU1366" s="110"/>
      <c r="BDV1366" s="110"/>
      <c r="BDW1366" s="110"/>
      <c r="BDX1366" s="110"/>
      <c r="BDY1366" s="110"/>
      <c r="BDZ1366" s="110"/>
      <c r="BEA1366" s="110"/>
      <c r="BEB1366" s="110"/>
      <c r="BEC1366" s="110"/>
      <c r="BED1366" s="110"/>
      <c r="BEE1366" s="110"/>
      <c r="BEF1366" s="110"/>
      <c r="BEG1366" s="110"/>
      <c r="BEH1366" s="110"/>
      <c r="BEI1366" s="110"/>
      <c r="BEJ1366" s="110"/>
      <c r="BEK1366" s="110"/>
      <c r="BEL1366" s="110"/>
      <c r="BEM1366" s="110"/>
      <c r="BEN1366" s="110"/>
      <c r="BEO1366" s="110"/>
      <c r="BEP1366" s="110"/>
      <c r="BEQ1366" s="110"/>
      <c r="BER1366" s="110"/>
      <c r="BES1366" s="110"/>
      <c r="BET1366" s="110"/>
      <c r="BEU1366" s="110"/>
      <c r="BEV1366" s="110"/>
      <c r="BEW1366" s="110"/>
      <c r="BEX1366" s="110"/>
      <c r="BEY1366" s="110"/>
      <c r="BEZ1366" s="110"/>
      <c r="BFA1366" s="110"/>
      <c r="BFB1366" s="110"/>
      <c r="BFC1366" s="110"/>
      <c r="BFD1366" s="110"/>
      <c r="BFE1366" s="110"/>
      <c r="BFF1366" s="110"/>
      <c r="BFG1366" s="110"/>
      <c r="BFH1366" s="110"/>
      <c r="BFI1366" s="110"/>
      <c r="BFJ1366" s="110"/>
      <c r="BFK1366" s="110"/>
      <c r="BFL1366" s="110"/>
      <c r="BFM1366" s="110"/>
      <c r="BFN1366" s="110"/>
      <c r="BFO1366" s="110"/>
      <c r="BFP1366" s="110"/>
      <c r="BFQ1366" s="110"/>
      <c r="BFR1366" s="110"/>
      <c r="BFS1366" s="110"/>
      <c r="BFT1366" s="110"/>
      <c r="BFU1366" s="110"/>
      <c r="BFV1366" s="110"/>
      <c r="BFW1366" s="110"/>
      <c r="BFX1366" s="110"/>
      <c r="BFY1366" s="110"/>
      <c r="BFZ1366" s="110"/>
      <c r="BGA1366" s="110"/>
      <c r="BGB1366" s="110"/>
      <c r="BGC1366" s="110"/>
      <c r="BGD1366" s="110"/>
      <c r="BGE1366" s="110"/>
      <c r="BGF1366" s="110"/>
      <c r="BGG1366" s="110"/>
      <c r="BGH1366" s="110"/>
      <c r="BGI1366" s="110"/>
      <c r="BGJ1366" s="110"/>
      <c r="BGK1366" s="110"/>
      <c r="BGL1366" s="110"/>
      <c r="BGM1366" s="110"/>
      <c r="BGN1366" s="110"/>
      <c r="BGO1366" s="110"/>
      <c r="BGP1366" s="110"/>
      <c r="BGQ1366" s="110"/>
      <c r="BGR1366" s="110"/>
      <c r="BGS1366" s="110"/>
      <c r="BGT1366" s="110"/>
      <c r="BGU1366" s="110"/>
      <c r="BGV1366" s="110"/>
      <c r="BGW1366" s="110"/>
      <c r="BGX1366" s="110"/>
      <c r="BGY1366" s="110"/>
      <c r="BGZ1366" s="110"/>
      <c r="BHA1366" s="110"/>
      <c r="BHB1366" s="110"/>
      <c r="BHC1366" s="110"/>
      <c r="BHD1366" s="110"/>
      <c r="BHE1366" s="110"/>
      <c r="BHF1366" s="110"/>
      <c r="BHG1366" s="110"/>
      <c r="BHH1366" s="110"/>
      <c r="BHI1366" s="110"/>
      <c r="BHJ1366" s="110"/>
      <c r="BHK1366" s="110"/>
      <c r="BHL1366" s="110"/>
      <c r="BHM1366" s="110"/>
      <c r="BHN1366" s="110"/>
      <c r="BHO1366" s="110"/>
      <c r="BHP1366" s="110"/>
      <c r="BHQ1366" s="110"/>
      <c r="BHR1366" s="110"/>
      <c r="BHS1366" s="110"/>
      <c r="BHT1366" s="110"/>
      <c r="BHU1366" s="110"/>
      <c r="BHV1366" s="110"/>
      <c r="BHW1366" s="110"/>
      <c r="BHX1366" s="110"/>
      <c r="BHY1366" s="110"/>
      <c r="BHZ1366" s="110"/>
      <c r="BIA1366" s="110"/>
      <c r="BIB1366" s="110"/>
      <c r="BIC1366" s="110"/>
      <c r="BID1366" s="110"/>
      <c r="BIE1366" s="110"/>
      <c r="BIF1366" s="110"/>
      <c r="BIG1366" s="110"/>
      <c r="BIH1366" s="110"/>
      <c r="BII1366" s="110"/>
      <c r="BIJ1366" s="110"/>
      <c r="BIK1366" s="110"/>
      <c r="BIL1366" s="110"/>
      <c r="BIM1366" s="110"/>
      <c r="BIN1366" s="110"/>
      <c r="BIO1366" s="110"/>
      <c r="BIP1366" s="110"/>
      <c r="BIQ1366" s="110"/>
      <c r="BIR1366" s="110"/>
      <c r="BIS1366" s="110"/>
      <c r="BIT1366" s="110"/>
      <c r="BIU1366" s="110"/>
      <c r="BIV1366" s="110"/>
      <c r="BIW1366" s="110"/>
      <c r="BIX1366" s="110"/>
      <c r="BIY1366" s="110"/>
      <c r="BIZ1366" s="110"/>
      <c r="BJA1366" s="110"/>
      <c r="BJB1366" s="110"/>
      <c r="BJC1366" s="110"/>
      <c r="BJD1366" s="110"/>
      <c r="BJE1366" s="110"/>
      <c r="BJF1366" s="110"/>
      <c r="BJG1366" s="110"/>
      <c r="BJH1366" s="110"/>
      <c r="BJI1366" s="110"/>
      <c r="BJJ1366" s="110"/>
      <c r="BJK1366" s="110"/>
      <c r="BJL1366" s="110"/>
      <c r="BJM1366" s="110"/>
      <c r="BJN1366" s="110"/>
      <c r="BJO1366" s="110"/>
      <c r="BJP1366" s="110"/>
      <c r="BJQ1366" s="110"/>
      <c r="BJR1366" s="110"/>
      <c r="BJS1366" s="110"/>
      <c r="BJT1366" s="110"/>
      <c r="BJU1366" s="110"/>
      <c r="BJV1366" s="110"/>
      <c r="BJW1366" s="110"/>
      <c r="BJX1366" s="110"/>
      <c r="BJY1366" s="110"/>
      <c r="BJZ1366" s="110"/>
      <c r="BKA1366" s="110"/>
      <c r="BKB1366" s="110"/>
      <c r="BKC1366" s="110"/>
      <c r="BKD1366" s="110"/>
      <c r="BKE1366" s="110"/>
      <c r="BKF1366" s="110"/>
      <c r="BKG1366" s="110"/>
      <c r="BKH1366" s="110"/>
      <c r="BKI1366" s="110"/>
      <c r="BKJ1366" s="110"/>
      <c r="BKK1366" s="110"/>
      <c r="BKL1366" s="110"/>
      <c r="BKM1366" s="110"/>
      <c r="BKN1366" s="110"/>
      <c r="BKO1366" s="110"/>
      <c r="BKP1366" s="110"/>
      <c r="BKQ1366" s="110"/>
      <c r="BKR1366" s="110"/>
      <c r="BKS1366" s="110"/>
      <c r="BKT1366" s="110"/>
      <c r="BKU1366" s="110"/>
      <c r="BKV1366" s="110"/>
      <c r="BKW1366" s="110"/>
      <c r="BKX1366" s="110"/>
      <c r="BKY1366" s="110"/>
      <c r="BKZ1366" s="110"/>
      <c r="BLA1366" s="110"/>
      <c r="BLB1366" s="110"/>
      <c r="BLC1366" s="110"/>
      <c r="BLD1366" s="110"/>
      <c r="BLE1366" s="110"/>
      <c r="BLF1366" s="110"/>
      <c r="BLG1366" s="110"/>
      <c r="BLH1366" s="110"/>
      <c r="BLI1366" s="110"/>
      <c r="BLJ1366" s="110"/>
      <c r="BLK1366" s="110"/>
      <c r="BLL1366" s="110"/>
      <c r="BLM1366" s="110"/>
      <c r="BLN1366" s="110"/>
      <c r="BLO1366" s="110"/>
      <c r="BLP1366" s="110"/>
      <c r="BLQ1366" s="110"/>
      <c r="BLR1366" s="110"/>
      <c r="BLS1366" s="110"/>
      <c r="BLT1366" s="110"/>
      <c r="BLU1366" s="110"/>
      <c r="BLV1366" s="110"/>
      <c r="BLW1366" s="110"/>
      <c r="BLX1366" s="110"/>
      <c r="BLY1366" s="110"/>
      <c r="BLZ1366" s="110"/>
      <c r="BMA1366" s="110"/>
      <c r="BMB1366" s="110"/>
      <c r="BMC1366" s="110"/>
      <c r="BMD1366" s="110"/>
      <c r="BME1366" s="110"/>
      <c r="BMF1366" s="110"/>
      <c r="BMG1366" s="110"/>
      <c r="BMH1366" s="110"/>
      <c r="BMI1366" s="110"/>
      <c r="BMJ1366" s="110"/>
      <c r="BMK1366" s="110"/>
      <c r="BML1366" s="110"/>
      <c r="BMM1366" s="110"/>
      <c r="BMN1366" s="110"/>
      <c r="BMO1366" s="110"/>
      <c r="BMP1366" s="110"/>
      <c r="BMQ1366" s="110"/>
      <c r="BMR1366" s="110"/>
      <c r="BMS1366" s="110"/>
      <c r="BMT1366" s="110"/>
      <c r="BMU1366" s="110"/>
      <c r="BMV1366" s="110"/>
      <c r="BMW1366" s="110"/>
      <c r="BMX1366" s="110"/>
      <c r="BMY1366" s="110"/>
      <c r="BMZ1366" s="110"/>
      <c r="BNA1366" s="110"/>
      <c r="BNB1366" s="110"/>
      <c r="BNC1366" s="110"/>
      <c r="BND1366" s="110"/>
      <c r="BNE1366" s="110"/>
      <c r="BNF1366" s="110"/>
      <c r="BNG1366" s="110"/>
      <c r="BNH1366" s="110"/>
      <c r="BNI1366" s="110"/>
      <c r="BNJ1366" s="110"/>
      <c r="BNK1366" s="110"/>
      <c r="BNL1366" s="110"/>
      <c r="BNM1366" s="110"/>
      <c r="BNN1366" s="110"/>
      <c r="BNO1366" s="110"/>
      <c r="BNP1366" s="110"/>
      <c r="BNQ1366" s="110"/>
      <c r="BNR1366" s="110"/>
      <c r="BNS1366" s="110"/>
      <c r="BNT1366" s="110"/>
      <c r="BNU1366" s="110"/>
      <c r="BNV1366" s="110"/>
      <c r="BNW1366" s="110"/>
      <c r="BNX1366" s="110"/>
      <c r="BNY1366" s="110"/>
      <c r="BNZ1366" s="110"/>
      <c r="BOA1366" s="110"/>
      <c r="BOB1366" s="110"/>
      <c r="BOC1366" s="110"/>
      <c r="BOD1366" s="110"/>
      <c r="BOE1366" s="110"/>
      <c r="BOF1366" s="110"/>
      <c r="BOG1366" s="110"/>
      <c r="BOH1366" s="110"/>
      <c r="BOI1366" s="110"/>
      <c r="BOJ1366" s="110"/>
      <c r="BOK1366" s="110"/>
      <c r="BOL1366" s="110"/>
      <c r="BOM1366" s="110"/>
      <c r="BON1366" s="110"/>
      <c r="BOO1366" s="110"/>
      <c r="BOP1366" s="110"/>
      <c r="BOQ1366" s="110"/>
      <c r="BOR1366" s="110"/>
      <c r="BOS1366" s="110"/>
      <c r="BOT1366" s="110"/>
      <c r="BOU1366" s="110"/>
      <c r="BOV1366" s="110"/>
      <c r="BOW1366" s="110"/>
      <c r="BOX1366" s="110"/>
      <c r="BOY1366" s="110"/>
      <c r="BOZ1366" s="110"/>
      <c r="BPA1366" s="110"/>
      <c r="BPB1366" s="110"/>
      <c r="BPC1366" s="110"/>
      <c r="BPD1366" s="110"/>
      <c r="BPE1366" s="110"/>
      <c r="BPF1366" s="110"/>
      <c r="BPG1366" s="110"/>
      <c r="BPH1366" s="110"/>
      <c r="BPI1366" s="110"/>
      <c r="BPJ1366" s="110"/>
      <c r="BPK1366" s="110"/>
      <c r="BPL1366" s="110"/>
      <c r="BPM1366" s="110"/>
      <c r="BPN1366" s="110"/>
      <c r="BPO1366" s="110"/>
      <c r="BPP1366" s="110"/>
      <c r="BPQ1366" s="110"/>
      <c r="BPR1366" s="110"/>
      <c r="BPS1366" s="110"/>
      <c r="BPT1366" s="110"/>
      <c r="BPU1366" s="110"/>
      <c r="BPV1366" s="110"/>
      <c r="BPW1366" s="110"/>
      <c r="BPX1366" s="110"/>
      <c r="BPY1366" s="110"/>
      <c r="BPZ1366" s="110"/>
      <c r="BQA1366" s="110"/>
      <c r="BQB1366" s="110"/>
      <c r="BQC1366" s="110"/>
      <c r="BQD1366" s="110"/>
      <c r="BQE1366" s="110"/>
      <c r="BQF1366" s="110"/>
      <c r="BQG1366" s="110"/>
      <c r="BQH1366" s="110"/>
      <c r="BQI1366" s="110"/>
      <c r="BQJ1366" s="110"/>
      <c r="BQK1366" s="110"/>
      <c r="BQL1366" s="110"/>
      <c r="BQM1366" s="110"/>
      <c r="BQN1366" s="110"/>
      <c r="BQO1366" s="110"/>
      <c r="BQP1366" s="110"/>
      <c r="BQQ1366" s="110"/>
      <c r="BQR1366" s="110"/>
      <c r="BQS1366" s="110"/>
      <c r="BQT1366" s="110"/>
      <c r="BQU1366" s="110"/>
      <c r="BQV1366" s="110"/>
      <c r="BQW1366" s="110"/>
      <c r="BQX1366" s="110"/>
      <c r="BQY1366" s="110"/>
      <c r="BQZ1366" s="110"/>
      <c r="BRA1366" s="110"/>
      <c r="BRB1366" s="110"/>
      <c r="BRC1366" s="110"/>
      <c r="BRD1366" s="110"/>
      <c r="BRE1366" s="110"/>
      <c r="BRF1366" s="110"/>
      <c r="BRG1366" s="110"/>
      <c r="BRH1366" s="110"/>
      <c r="BRI1366" s="110"/>
      <c r="BRJ1366" s="110"/>
      <c r="BRK1366" s="110"/>
      <c r="BRL1366" s="110"/>
      <c r="BRM1366" s="110"/>
      <c r="BRN1366" s="110"/>
      <c r="BRO1366" s="110"/>
      <c r="BRP1366" s="110"/>
      <c r="BRQ1366" s="110"/>
      <c r="BRR1366" s="110"/>
      <c r="BRS1366" s="110"/>
      <c r="BRT1366" s="110"/>
      <c r="BRU1366" s="110"/>
      <c r="BRV1366" s="110"/>
      <c r="BRW1366" s="110"/>
      <c r="BRX1366" s="110"/>
      <c r="BRY1366" s="110"/>
      <c r="BRZ1366" s="110"/>
      <c r="BSA1366" s="110"/>
      <c r="BSB1366" s="110"/>
      <c r="BSC1366" s="110"/>
      <c r="BSD1366" s="110"/>
      <c r="BSE1366" s="110"/>
      <c r="BSF1366" s="110"/>
      <c r="BSG1366" s="110"/>
      <c r="BSH1366" s="110"/>
      <c r="BSI1366" s="110"/>
      <c r="BSJ1366" s="110"/>
      <c r="BSK1366" s="110"/>
      <c r="BSL1366" s="110"/>
      <c r="BSM1366" s="110"/>
      <c r="BSN1366" s="110"/>
      <c r="BSO1366" s="110"/>
      <c r="BSP1366" s="110"/>
      <c r="BSQ1366" s="110"/>
      <c r="BSR1366" s="110"/>
      <c r="BSS1366" s="110"/>
      <c r="BST1366" s="110"/>
      <c r="BSU1366" s="110"/>
      <c r="BSV1366" s="110"/>
      <c r="BSW1366" s="110"/>
      <c r="BSX1366" s="110"/>
      <c r="BSY1366" s="110"/>
      <c r="BSZ1366" s="110"/>
      <c r="BTA1366" s="110"/>
      <c r="BTB1366" s="110"/>
      <c r="BTC1366" s="110"/>
      <c r="BTD1366" s="110"/>
      <c r="BTE1366" s="110"/>
      <c r="BTF1366" s="110"/>
      <c r="BTG1366" s="110"/>
      <c r="BTH1366" s="110"/>
      <c r="BTI1366" s="110"/>
      <c r="BTJ1366" s="110"/>
      <c r="BTK1366" s="110"/>
      <c r="BTL1366" s="110"/>
      <c r="BTM1366" s="110"/>
      <c r="BTN1366" s="110"/>
      <c r="BTO1366" s="110"/>
      <c r="BTP1366" s="110"/>
      <c r="BTQ1366" s="110"/>
      <c r="BTR1366" s="110"/>
      <c r="BTS1366" s="110"/>
      <c r="BTT1366" s="110"/>
      <c r="BTU1366" s="110"/>
      <c r="BTV1366" s="110"/>
      <c r="BTW1366" s="110"/>
      <c r="BTX1366" s="110"/>
      <c r="BTY1366" s="110"/>
      <c r="BTZ1366" s="110"/>
      <c r="BUA1366" s="110"/>
      <c r="BUB1366" s="110"/>
      <c r="BUC1366" s="110"/>
      <c r="BUD1366" s="110"/>
      <c r="BUE1366" s="110"/>
      <c r="BUF1366" s="110"/>
      <c r="BUG1366" s="110"/>
      <c r="BUH1366" s="110"/>
      <c r="BUI1366" s="110"/>
      <c r="BUJ1366" s="110"/>
      <c r="BUK1366" s="110"/>
      <c r="BUL1366" s="110"/>
      <c r="BUM1366" s="110"/>
      <c r="BUN1366" s="110"/>
      <c r="BUO1366" s="110"/>
      <c r="BUP1366" s="110"/>
      <c r="BUQ1366" s="110"/>
      <c r="BUR1366" s="110"/>
      <c r="BUS1366" s="110"/>
      <c r="BUT1366" s="110"/>
      <c r="BUU1366" s="110"/>
      <c r="BUV1366" s="110"/>
      <c r="BUW1366" s="110"/>
      <c r="BUX1366" s="110"/>
      <c r="BUY1366" s="110"/>
      <c r="BUZ1366" s="110"/>
      <c r="BVA1366" s="110"/>
      <c r="BVB1366" s="110"/>
      <c r="BVC1366" s="110"/>
      <c r="BVD1366" s="110"/>
      <c r="BVE1366" s="110"/>
      <c r="BVF1366" s="110"/>
      <c r="BVG1366" s="110"/>
      <c r="BVH1366" s="110"/>
      <c r="BVI1366" s="110"/>
      <c r="BVJ1366" s="110"/>
      <c r="BVK1366" s="110"/>
      <c r="BVL1366" s="110"/>
      <c r="BVM1366" s="110"/>
      <c r="BVN1366" s="110"/>
      <c r="BVO1366" s="110"/>
      <c r="BVP1366" s="110"/>
      <c r="BVQ1366" s="110"/>
      <c r="BVR1366" s="110"/>
      <c r="BVS1366" s="110"/>
      <c r="BVT1366" s="110"/>
      <c r="BVU1366" s="110"/>
      <c r="BVV1366" s="110"/>
      <c r="BVW1366" s="110"/>
      <c r="BVX1366" s="110"/>
      <c r="BVY1366" s="110"/>
      <c r="BVZ1366" s="110"/>
      <c r="BWA1366" s="110"/>
      <c r="BWB1366" s="110"/>
      <c r="BWC1366" s="110"/>
      <c r="BWD1366" s="110"/>
      <c r="BWE1366" s="110"/>
      <c r="BWF1366" s="110"/>
      <c r="BWG1366" s="110"/>
      <c r="BWH1366" s="110"/>
      <c r="BWI1366" s="110"/>
      <c r="BWJ1366" s="110"/>
      <c r="BWK1366" s="110"/>
      <c r="BWL1366" s="110"/>
      <c r="BWM1366" s="110"/>
      <c r="BWN1366" s="110"/>
      <c r="BWO1366" s="110"/>
      <c r="BWP1366" s="110"/>
      <c r="BWQ1366" s="110"/>
      <c r="BWR1366" s="110"/>
      <c r="BWS1366" s="110"/>
      <c r="BWT1366" s="110"/>
      <c r="BWU1366" s="110"/>
      <c r="BWV1366" s="110"/>
      <c r="BWW1366" s="110"/>
      <c r="BWX1366" s="110"/>
      <c r="BWY1366" s="110"/>
      <c r="BWZ1366" s="110"/>
      <c r="BXA1366" s="110"/>
      <c r="BXB1366" s="110"/>
      <c r="BXC1366" s="110"/>
      <c r="BXD1366" s="110"/>
      <c r="BXE1366" s="110"/>
      <c r="BXF1366" s="110"/>
      <c r="BXG1366" s="110"/>
      <c r="BXH1366" s="110"/>
      <c r="BXI1366" s="110"/>
      <c r="BXJ1366" s="110"/>
      <c r="BXK1366" s="110"/>
      <c r="BXL1366" s="110"/>
      <c r="BXM1366" s="110"/>
      <c r="BXN1366" s="110"/>
      <c r="BXO1366" s="110"/>
      <c r="BXP1366" s="110"/>
      <c r="BXQ1366" s="110"/>
      <c r="BXR1366" s="110"/>
      <c r="BXS1366" s="110"/>
      <c r="BXT1366" s="110"/>
      <c r="BXU1366" s="110"/>
      <c r="BXV1366" s="110"/>
      <c r="BXW1366" s="110"/>
      <c r="BXX1366" s="110"/>
      <c r="BXY1366" s="110"/>
      <c r="BXZ1366" s="110"/>
      <c r="BYA1366" s="110"/>
      <c r="BYB1366" s="110"/>
      <c r="BYC1366" s="110"/>
      <c r="BYD1366" s="110"/>
      <c r="BYE1366" s="110"/>
      <c r="BYF1366" s="110"/>
      <c r="BYG1366" s="110"/>
      <c r="BYH1366" s="110"/>
      <c r="BYI1366" s="110"/>
      <c r="BYJ1366" s="110"/>
      <c r="BYK1366" s="110"/>
      <c r="BYL1366" s="110"/>
      <c r="BYM1366" s="110"/>
      <c r="BYN1366" s="110"/>
      <c r="BYO1366" s="110"/>
      <c r="BYP1366" s="110"/>
      <c r="BYQ1366" s="110"/>
      <c r="BYR1366" s="110"/>
      <c r="BYS1366" s="110"/>
      <c r="BYT1366" s="110"/>
      <c r="BYU1366" s="110"/>
      <c r="BYV1366" s="110"/>
      <c r="BYW1366" s="110"/>
      <c r="BYX1366" s="110"/>
      <c r="BYY1366" s="110"/>
      <c r="BYZ1366" s="110"/>
      <c r="BZA1366" s="110"/>
      <c r="BZB1366" s="110"/>
      <c r="BZC1366" s="110"/>
      <c r="BZD1366" s="110"/>
      <c r="BZE1366" s="110"/>
      <c r="BZF1366" s="110"/>
      <c r="BZG1366" s="110"/>
      <c r="BZH1366" s="110"/>
      <c r="BZI1366" s="110"/>
      <c r="BZJ1366" s="110"/>
      <c r="BZK1366" s="110"/>
      <c r="BZL1366" s="110"/>
      <c r="BZM1366" s="110"/>
      <c r="BZN1366" s="110"/>
      <c r="BZO1366" s="110"/>
      <c r="BZP1366" s="110"/>
      <c r="BZQ1366" s="110"/>
      <c r="BZR1366" s="110"/>
      <c r="BZS1366" s="110"/>
      <c r="BZT1366" s="110"/>
      <c r="BZU1366" s="110"/>
      <c r="BZV1366" s="110"/>
      <c r="BZW1366" s="110"/>
      <c r="BZX1366" s="110"/>
      <c r="BZY1366" s="110"/>
      <c r="BZZ1366" s="110"/>
      <c r="CAA1366" s="110"/>
      <c r="CAB1366" s="110"/>
      <c r="CAC1366" s="110"/>
      <c r="CAD1366" s="110"/>
      <c r="CAE1366" s="110"/>
      <c r="CAF1366" s="110"/>
      <c r="CAG1366" s="110"/>
      <c r="CAH1366" s="110"/>
      <c r="CAI1366" s="110"/>
      <c r="CAJ1366" s="110"/>
      <c r="CAK1366" s="110"/>
      <c r="CAL1366" s="110"/>
      <c r="CAM1366" s="110"/>
      <c r="CAN1366" s="110"/>
      <c r="CAO1366" s="110"/>
      <c r="CAP1366" s="110"/>
      <c r="CAQ1366" s="110"/>
      <c r="CAR1366" s="110"/>
      <c r="CAS1366" s="110"/>
      <c r="CAT1366" s="110"/>
      <c r="CAU1366" s="110"/>
      <c r="CAV1366" s="110"/>
      <c r="CAW1366" s="110"/>
      <c r="CAX1366" s="110"/>
      <c r="CAY1366" s="110"/>
      <c r="CAZ1366" s="110"/>
      <c r="CBA1366" s="110"/>
      <c r="CBB1366" s="110"/>
      <c r="CBC1366" s="110"/>
      <c r="CBD1366" s="110"/>
      <c r="CBE1366" s="110"/>
      <c r="CBF1366" s="110"/>
      <c r="CBG1366" s="110"/>
      <c r="CBH1366" s="110"/>
      <c r="CBI1366" s="110"/>
      <c r="CBJ1366" s="110"/>
      <c r="CBK1366" s="110"/>
      <c r="CBL1366" s="110"/>
      <c r="CBM1366" s="110"/>
      <c r="CBN1366" s="110"/>
      <c r="CBO1366" s="110"/>
      <c r="CBP1366" s="110"/>
      <c r="CBQ1366" s="110"/>
      <c r="CBR1366" s="110"/>
      <c r="CBS1366" s="110"/>
      <c r="CBT1366" s="110"/>
      <c r="CBU1366" s="110"/>
      <c r="CBV1366" s="110"/>
      <c r="CBW1366" s="110"/>
      <c r="CBX1366" s="110"/>
      <c r="CBY1366" s="110"/>
      <c r="CBZ1366" s="110"/>
      <c r="CCA1366" s="110"/>
      <c r="CCB1366" s="110"/>
      <c r="CCC1366" s="110"/>
      <c r="CCD1366" s="110"/>
      <c r="CCE1366" s="110"/>
      <c r="CCF1366" s="110"/>
      <c r="CCG1366" s="110"/>
      <c r="CCH1366" s="110"/>
      <c r="CCI1366" s="110"/>
      <c r="CCJ1366" s="110"/>
      <c r="CCK1366" s="110"/>
      <c r="CCL1366" s="110"/>
      <c r="CCM1366" s="110"/>
      <c r="CCN1366" s="110"/>
      <c r="CCO1366" s="110"/>
      <c r="CCP1366" s="110"/>
      <c r="CCQ1366" s="110"/>
      <c r="CCR1366" s="110"/>
      <c r="CCS1366" s="110"/>
      <c r="CCT1366" s="110"/>
      <c r="CCU1366" s="110"/>
      <c r="CCV1366" s="110"/>
      <c r="CCW1366" s="110"/>
      <c r="CCX1366" s="110"/>
      <c r="CCY1366" s="110"/>
      <c r="CCZ1366" s="110"/>
      <c r="CDA1366" s="110"/>
      <c r="CDB1366" s="110"/>
      <c r="CDC1366" s="110"/>
      <c r="CDD1366" s="110"/>
      <c r="CDE1366" s="110"/>
      <c r="CDF1366" s="110"/>
      <c r="CDG1366" s="110"/>
      <c r="CDH1366" s="110"/>
      <c r="CDI1366" s="110"/>
      <c r="CDJ1366" s="110"/>
      <c r="CDK1366" s="110"/>
      <c r="CDL1366" s="110"/>
      <c r="CDM1366" s="110"/>
      <c r="CDN1366" s="110"/>
      <c r="CDO1366" s="110"/>
      <c r="CDP1366" s="110"/>
      <c r="CDQ1366" s="110"/>
      <c r="CDR1366" s="110"/>
      <c r="CDS1366" s="110"/>
      <c r="CDT1366" s="110"/>
      <c r="CDU1366" s="110"/>
      <c r="CDV1366" s="110"/>
      <c r="CDW1366" s="110"/>
      <c r="CDX1366" s="110"/>
      <c r="CDY1366" s="110"/>
      <c r="CDZ1366" s="110"/>
      <c r="CEA1366" s="110"/>
      <c r="CEB1366" s="110"/>
      <c r="CEC1366" s="110"/>
      <c r="CED1366" s="110"/>
      <c r="CEE1366" s="110"/>
      <c r="CEF1366" s="110"/>
      <c r="CEG1366" s="110"/>
      <c r="CEH1366" s="110"/>
      <c r="CEI1366" s="110"/>
      <c r="CEJ1366" s="110"/>
      <c r="CEK1366" s="110"/>
      <c r="CEL1366" s="110"/>
      <c r="CEM1366" s="110"/>
      <c r="CEN1366" s="110"/>
      <c r="CEO1366" s="110"/>
      <c r="CEP1366" s="110"/>
      <c r="CEQ1366" s="110"/>
      <c r="CER1366" s="110"/>
      <c r="CES1366" s="110"/>
      <c r="CET1366" s="110"/>
      <c r="CEU1366" s="110"/>
      <c r="CEV1366" s="110"/>
      <c r="CEW1366" s="110"/>
      <c r="CEX1366" s="110"/>
      <c r="CEY1366" s="110"/>
      <c r="CEZ1366" s="110"/>
      <c r="CFA1366" s="110"/>
      <c r="CFB1366" s="110"/>
      <c r="CFC1366" s="110"/>
      <c r="CFD1366" s="110"/>
      <c r="CFE1366" s="110"/>
      <c r="CFF1366" s="110"/>
      <c r="CFG1366" s="110"/>
      <c r="CFH1366" s="110"/>
      <c r="CFI1366" s="110"/>
      <c r="CFJ1366" s="110"/>
      <c r="CFK1366" s="110"/>
      <c r="CFL1366" s="110"/>
      <c r="CFM1366" s="110"/>
      <c r="CFN1366" s="110"/>
      <c r="CFO1366" s="110"/>
      <c r="CFP1366" s="110"/>
      <c r="CFQ1366" s="110"/>
      <c r="CFR1366" s="110"/>
      <c r="CFS1366" s="110"/>
      <c r="CFT1366" s="110"/>
      <c r="CFU1366" s="110"/>
      <c r="CFV1366" s="110"/>
      <c r="CFW1366" s="110"/>
      <c r="CFX1366" s="110"/>
      <c r="CFY1366" s="110"/>
      <c r="CFZ1366" s="110"/>
      <c r="CGA1366" s="110"/>
      <c r="CGB1366" s="110"/>
      <c r="CGC1366" s="110"/>
      <c r="CGD1366" s="110"/>
      <c r="CGE1366" s="110"/>
      <c r="CGF1366" s="110"/>
      <c r="CGG1366" s="110"/>
      <c r="CGH1366" s="110"/>
      <c r="CGI1366" s="110"/>
      <c r="CGJ1366" s="110"/>
      <c r="CGK1366" s="110"/>
      <c r="CGL1366" s="110"/>
      <c r="CGM1366" s="110"/>
      <c r="CGN1366" s="110"/>
      <c r="CGO1366" s="110"/>
      <c r="CGP1366" s="110"/>
      <c r="CGQ1366" s="110"/>
      <c r="CGR1366" s="110"/>
      <c r="CGS1366" s="110"/>
      <c r="CGT1366" s="110"/>
      <c r="CGU1366" s="110"/>
      <c r="CGV1366" s="110"/>
      <c r="CGW1366" s="110"/>
      <c r="CGX1366" s="110"/>
      <c r="CGY1366" s="110"/>
      <c r="CGZ1366" s="110"/>
      <c r="CHA1366" s="110"/>
      <c r="CHB1366" s="110"/>
      <c r="CHC1366" s="110"/>
      <c r="CHD1366" s="110"/>
      <c r="CHE1366" s="110"/>
      <c r="CHF1366" s="110"/>
      <c r="CHG1366" s="110"/>
      <c r="CHH1366" s="110"/>
      <c r="CHI1366" s="110"/>
      <c r="CHJ1366" s="110"/>
      <c r="CHK1366" s="110"/>
      <c r="CHL1366" s="110"/>
      <c r="CHM1366" s="110"/>
      <c r="CHN1366" s="110"/>
      <c r="CHO1366" s="110"/>
      <c r="CHP1366" s="110"/>
      <c r="CHQ1366" s="110"/>
      <c r="CHR1366" s="110"/>
      <c r="CHS1366" s="110"/>
      <c r="CHT1366" s="110"/>
      <c r="CHU1366" s="110"/>
      <c r="CHV1366" s="110"/>
      <c r="CHW1366" s="110"/>
      <c r="CHX1366" s="110"/>
      <c r="CHY1366" s="110"/>
      <c r="CHZ1366" s="110"/>
      <c r="CIA1366" s="110"/>
      <c r="CIB1366" s="110"/>
      <c r="CIC1366" s="110"/>
      <c r="CID1366" s="110"/>
      <c r="CIE1366" s="110"/>
      <c r="CIF1366" s="110"/>
      <c r="CIG1366" s="110"/>
      <c r="CIH1366" s="110"/>
      <c r="CII1366" s="110"/>
      <c r="CIJ1366" s="110"/>
      <c r="CIK1366" s="110"/>
      <c r="CIL1366" s="110"/>
      <c r="CIM1366" s="110"/>
      <c r="CIN1366" s="110"/>
      <c r="CIO1366" s="110"/>
      <c r="CIP1366" s="110"/>
      <c r="CIQ1366" s="110"/>
      <c r="CIR1366" s="110"/>
      <c r="CIS1366" s="110"/>
      <c r="CIT1366" s="110"/>
      <c r="CIU1366" s="110"/>
      <c r="CIV1366" s="110"/>
      <c r="CIW1366" s="110"/>
      <c r="CIX1366" s="110"/>
      <c r="CIY1366" s="110"/>
      <c r="CIZ1366" s="110"/>
      <c r="CJA1366" s="110"/>
      <c r="CJB1366" s="110"/>
      <c r="CJC1366" s="110"/>
      <c r="CJD1366" s="110"/>
      <c r="CJE1366" s="110"/>
      <c r="CJF1366" s="110"/>
      <c r="CJG1366" s="110"/>
      <c r="CJH1366" s="110"/>
      <c r="CJI1366" s="110"/>
      <c r="CJJ1366" s="110"/>
      <c r="CJK1366" s="110"/>
      <c r="CJL1366" s="110"/>
      <c r="CJM1366" s="110"/>
      <c r="CJN1366" s="110"/>
      <c r="CJO1366" s="110"/>
      <c r="CJP1366" s="110"/>
      <c r="CJQ1366" s="110"/>
      <c r="CJR1366" s="110"/>
      <c r="CJS1366" s="110"/>
      <c r="CJT1366" s="110"/>
      <c r="CJU1366" s="110"/>
      <c r="CJV1366" s="110"/>
      <c r="CJW1366" s="110"/>
      <c r="CJX1366" s="110"/>
      <c r="CJY1366" s="110"/>
      <c r="CJZ1366" s="110"/>
      <c r="CKA1366" s="110"/>
      <c r="CKB1366" s="110"/>
      <c r="CKC1366" s="110"/>
      <c r="CKD1366" s="110"/>
      <c r="CKE1366" s="110"/>
      <c r="CKF1366" s="110"/>
      <c r="CKG1366" s="110"/>
      <c r="CKH1366" s="110"/>
      <c r="CKI1366" s="110"/>
      <c r="CKJ1366" s="110"/>
      <c r="CKK1366" s="110"/>
      <c r="CKL1366" s="110"/>
      <c r="CKM1366" s="110"/>
      <c r="CKN1366" s="110"/>
      <c r="CKO1366" s="110"/>
      <c r="CKP1366" s="110"/>
      <c r="CKQ1366" s="110"/>
      <c r="CKR1366" s="110"/>
      <c r="CKS1366" s="110"/>
      <c r="CKT1366" s="110"/>
      <c r="CKU1366" s="110"/>
      <c r="CKV1366" s="110"/>
      <c r="CKW1366" s="110"/>
      <c r="CKX1366" s="110"/>
      <c r="CKY1366" s="110"/>
      <c r="CKZ1366" s="110"/>
      <c r="CLA1366" s="110"/>
      <c r="CLB1366" s="110"/>
      <c r="CLC1366" s="110"/>
      <c r="CLD1366" s="110"/>
      <c r="CLE1366" s="110"/>
      <c r="CLF1366" s="110"/>
      <c r="CLG1366" s="110"/>
      <c r="CLH1366" s="110"/>
      <c r="CLI1366" s="110"/>
      <c r="CLJ1366" s="110"/>
      <c r="CLK1366" s="110"/>
      <c r="CLL1366" s="110"/>
      <c r="CLM1366" s="110"/>
      <c r="CLN1366" s="110"/>
      <c r="CLO1366" s="110"/>
      <c r="CLP1366" s="110"/>
      <c r="CLQ1366" s="110"/>
      <c r="CLR1366" s="110"/>
      <c r="CLS1366" s="110"/>
      <c r="CLT1366" s="110"/>
      <c r="CLU1366" s="110"/>
      <c r="CLV1366" s="110"/>
      <c r="CLW1366" s="110"/>
      <c r="CLX1366" s="110"/>
      <c r="CLY1366" s="110"/>
      <c r="CLZ1366" s="110"/>
      <c r="CMA1366" s="110"/>
      <c r="CMB1366" s="110"/>
      <c r="CMC1366" s="110"/>
      <c r="CMD1366" s="110"/>
      <c r="CME1366" s="110"/>
      <c r="CMF1366" s="110"/>
      <c r="CMG1366" s="110"/>
      <c r="CMH1366" s="110"/>
      <c r="CMI1366" s="110"/>
      <c r="CMJ1366" s="110"/>
      <c r="CMK1366" s="110"/>
      <c r="CML1366" s="110"/>
      <c r="CMM1366" s="110"/>
      <c r="CMN1366" s="110"/>
      <c r="CMO1366" s="110"/>
      <c r="CMP1366" s="110"/>
      <c r="CMQ1366" s="110"/>
      <c r="CMR1366" s="110"/>
      <c r="CMS1366" s="110"/>
      <c r="CMT1366" s="110"/>
      <c r="CMU1366" s="110"/>
      <c r="CMV1366" s="110"/>
      <c r="CMW1366" s="110"/>
      <c r="CMX1366" s="110"/>
      <c r="CMY1366" s="110"/>
      <c r="CMZ1366" s="110"/>
      <c r="CNA1366" s="110"/>
      <c r="CNB1366" s="110"/>
      <c r="CNC1366" s="110"/>
      <c r="CND1366" s="110"/>
      <c r="CNE1366" s="110"/>
      <c r="CNF1366" s="110"/>
      <c r="CNG1366" s="110"/>
      <c r="CNH1366" s="110"/>
      <c r="CNI1366" s="110"/>
      <c r="CNJ1366" s="110"/>
      <c r="CNK1366" s="110"/>
      <c r="CNL1366" s="110"/>
      <c r="CNM1366" s="110"/>
      <c r="CNN1366" s="110"/>
      <c r="CNO1366" s="110"/>
      <c r="CNP1366" s="110"/>
      <c r="CNQ1366" s="110"/>
      <c r="CNR1366" s="110"/>
      <c r="CNS1366" s="110"/>
      <c r="CNT1366" s="110"/>
      <c r="CNU1366" s="110"/>
      <c r="CNV1366" s="110"/>
      <c r="CNW1366" s="110"/>
      <c r="CNX1366" s="110"/>
      <c r="CNY1366" s="110"/>
      <c r="CNZ1366" s="110"/>
      <c r="COA1366" s="110"/>
      <c r="COB1366" s="110"/>
      <c r="COC1366" s="110"/>
      <c r="COD1366" s="110"/>
      <c r="COE1366" s="110"/>
      <c r="COF1366" s="110"/>
      <c r="COG1366" s="110"/>
      <c r="COH1366" s="110"/>
      <c r="COI1366" s="110"/>
      <c r="COJ1366" s="110"/>
      <c r="COK1366" s="110"/>
      <c r="COL1366" s="110"/>
      <c r="COM1366" s="110"/>
      <c r="CON1366" s="110"/>
      <c r="COO1366" s="110"/>
      <c r="COP1366" s="110"/>
      <c r="COQ1366" s="110"/>
      <c r="COR1366" s="110"/>
      <c r="COS1366" s="110"/>
      <c r="COT1366" s="110"/>
      <c r="COU1366" s="110"/>
      <c r="COV1366" s="110"/>
      <c r="COW1366" s="110"/>
      <c r="COX1366" s="110"/>
      <c r="COY1366" s="110"/>
      <c r="COZ1366" s="110"/>
      <c r="CPA1366" s="110"/>
      <c r="CPB1366" s="110"/>
      <c r="CPC1366" s="110"/>
      <c r="CPD1366" s="110"/>
      <c r="CPE1366" s="110"/>
      <c r="CPF1366" s="110"/>
      <c r="CPG1366" s="110"/>
      <c r="CPH1366" s="110"/>
      <c r="CPI1366" s="110"/>
      <c r="CPJ1366" s="110"/>
      <c r="CPK1366" s="110"/>
      <c r="CPL1366" s="110"/>
      <c r="CPM1366" s="110"/>
      <c r="CPN1366" s="110"/>
      <c r="CPO1366" s="110"/>
      <c r="CPP1366" s="110"/>
      <c r="CPQ1366" s="110"/>
      <c r="CPR1366" s="110"/>
      <c r="CPS1366" s="110"/>
      <c r="CPT1366" s="110"/>
      <c r="CPU1366" s="110"/>
      <c r="CPV1366" s="110"/>
      <c r="CPW1366" s="110"/>
      <c r="CPX1366" s="110"/>
      <c r="CPY1366" s="110"/>
      <c r="CPZ1366" s="110"/>
      <c r="CQA1366" s="110"/>
      <c r="CQB1366" s="110"/>
      <c r="CQC1366" s="110"/>
      <c r="CQD1366" s="110"/>
      <c r="CQE1366" s="110"/>
      <c r="CQF1366" s="110"/>
      <c r="CQG1366" s="110"/>
      <c r="CQH1366" s="110"/>
      <c r="CQI1366" s="110"/>
      <c r="CQJ1366" s="110"/>
      <c r="CQK1366" s="110"/>
      <c r="CQL1366" s="110"/>
      <c r="CQM1366" s="110"/>
      <c r="CQN1366" s="110"/>
      <c r="CQO1366" s="110"/>
      <c r="CQP1366" s="110"/>
      <c r="CQQ1366" s="110"/>
      <c r="CQR1366" s="110"/>
      <c r="CQS1366" s="110"/>
      <c r="CQT1366" s="110"/>
      <c r="CQU1366" s="110"/>
      <c r="CQV1366" s="110"/>
      <c r="CQW1366" s="110"/>
      <c r="CQX1366" s="110"/>
      <c r="CQY1366" s="110"/>
      <c r="CQZ1366" s="110"/>
      <c r="CRA1366" s="110"/>
      <c r="CRB1366" s="110"/>
      <c r="CRC1366" s="110"/>
      <c r="CRD1366" s="110"/>
      <c r="CRE1366" s="110"/>
      <c r="CRF1366" s="110"/>
      <c r="CRG1366" s="110"/>
      <c r="CRH1366" s="110"/>
      <c r="CRI1366" s="110"/>
      <c r="CRJ1366" s="110"/>
      <c r="CRK1366" s="110"/>
      <c r="CRL1366" s="110"/>
      <c r="CRM1366" s="110"/>
      <c r="CRN1366" s="110"/>
      <c r="CRO1366" s="110"/>
      <c r="CRP1366" s="110"/>
      <c r="CRQ1366" s="110"/>
      <c r="CRR1366" s="110"/>
      <c r="CRS1366" s="110"/>
      <c r="CRT1366" s="110"/>
      <c r="CRU1366" s="110"/>
      <c r="CRV1366" s="110"/>
      <c r="CRW1366" s="110"/>
      <c r="CRX1366" s="110"/>
      <c r="CRY1366" s="110"/>
      <c r="CRZ1366" s="110"/>
      <c r="CSA1366" s="110"/>
      <c r="CSB1366" s="110"/>
      <c r="CSC1366" s="110"/>
      <c r="CSD1366" s="110"/>
      <c r="CSE1366" s="110"/>
      <c r="CSF1366" s="110"/>
      <c r="CSG1366" s="110"/>
      <c r="CSH1366" s="110"/>
      <c r="CSI1366" s="110"/>
      <c r="CSJ1366" s="110"/>
      <c r="CSK1366" s="110"/>
      <c r="CSL1366" s="110"/>
      <c r="CSM1366" s="110"/>
      <c r="CSN1366" s="110"/>
      <c r="CSO1366" s="110"/>
      <c r="CSP1366" s="110"/>
      <c r="CSQ1366" s="110"/>
      <c r="CSR1366" s="110"/>
      <c r="CSS1366" s="110"/>
      <c r="CST1366" s="110"/>
      <c r="CSU1366" s="110"/>
      <c r="CSV1366" s="110"/>
      <c r="CSW1366" s="110"/>
      <c r="CSX1366" s="110"/>
      <c r="CSY1366" s="110"/>
      <c r="CSZ1366" s="110"/>
      <c r="CTA1366" s="110"/>
      <c r="CTB1366" s="110"/>
      <c r="CTC1366" s="110"/>
      <c r="CTD1366" s="110"/>
      <c r="CTE1366" s="110"/>
      <c r="CTF1366" s="110"/>
      <c r="CTG1366" s="110"/>
      <c r="CTH1366" s="110"/>
      <c r="CTI1366" s="110"/>
      <c r="CTJ1366" s="110"/>
      <c r="CTK1366" s="110"/>
      <c r="CTL1366" s="110"/>
      <c r="CTM1366" s="110"/>
      <c r="CTN1366" s="110"/>
      <c r="CTO1366" s="110"/>
      <c r="CTP1366" s="110"/>
      <c r="CTQ1366" s="110"/>
      <c r="CTR1366" s="110"/>
      <c r="CTS1366" s="110"/>
      <c r="CTT1366" s="110"/>
      <c r="CTU1366" s="110"/>
      <c r="CTV1366" s="110"/>
      <c r="CTW1366" s="110"/>
      <c r="CTX1366" s="110"/>
      <c r="CTY1366" s="110"/>
      <c r="CTZ1366" s="110"/>
      <c r="CUA1366" s="110"/>
      <c r="CUB1366" s="110"/>
      <c r="CUC1366" s="110"/>
      <c r="CUD1366" s="110"/>
      <c r="CUE1366" s="110"/>
      <c r="CUF1366" s="110"/>
      <c r="CUG1366" s="110"/>
      <c r="CUH1366" s="110"/>
      <c r="CUI1366" s="110"/>
      <c r="CUJ1366" s="110"/>
      <c r="CUK1366" s="110"/>
      <c r="CUL1366" s="110"/>
      <c r="CUM1366" s="110"/>
      <c r="CUN1366" s="110"/>
      <c r="CUO1366" s="110"/>
      <c r="CUP1366" s="110"/>
      <c r="CUQ1366" s="110"/>
      <c r="CUR1366" s="110"/>
      <c r="CUS1366" s="110"/>
      <c r="CUT1366" s="110"/>
      <c r="CUU1366" s="110"/>
      <c r="CUV1366" s="110"/>
      <c r="CUW1366" s="110"/>
      <c r="CUX1366" s="110"/>
      <c r="CUY1366" s="110"/>
      <c r="CUZ1366" s="110"/>
      <c r="CVA1366" s="110"/>
      <c r="CVB1366" s="110"/>
      <c r="CVC1366" s="110"/>
      <c r="CVD1366" s="110"/>
      <c r="CVE1366" s="110"/>
      <c r="CVF1366" s="110"/>
      <c r="CVG1366" s="110"/>
      <c r="CVH1366" s="110"/>
      <c r="CVI1366" s="110"/>
      <c r="CVJ1366" s="110"/>
      <c r="CVK1366" s="110"/>
      <c r="CVL1366" s="110"/>
      <c r="CVM1366" s="110"/>
      <c r="CVN1366" s="110"/>
      <c r="CVO1366" s="110"/>
      <c r="CVP1366" s="110"/>
      <c r="CVQ1366" s="110"/>
      <c r="CVR1366" s="110"/>
      <c r="CVS1366" s="110"/>
      <c r="CVT1366" s="110"/>
      <c r="CVU1366" s="110"/>
      <c r="CVV1366" s="110"/>
      <c r="CVW1366" s="110"/>
      <c r="CVX1366" s="110"/>
      <c r="CVY1366" s="110"/>
      <c r="CVZ1366" s="110"/>
      <c r="CWA1366" s="110"/>
      <c r="CWB1366" s="110"/>
      <c r="CWC1366" s="110"/>
      <c r="CWD1366" s="110"/>
      <c r="CWE1366" s="110"/>
      <c r="CWF1366" s="110"/>
      <c r="CWG1366" s="110"/>
      <c r="CWH1366" s="110"/>
      <c r="CWI1366" s="110"/>
      <c r="CWJ1366" s="110"/>
      <c r="CWK1366" s="110"/>
      <c r="CWL1366" s="110"/>
      <c r="CWM1366" s="110"/>
      <c r="CWN1366" s="110"/>
      <c r="CWO1366" s="110"/>
      <c r="CWP1366" s="110"/>
      <c r="CWQ1366" s="110"/>
      <c r="CWR1366" s="110"/>
      <c r="CWS1366" s="110"/>
      <c r="CWT1366" s="110"/>
      <c r="CWU1366" s="110"/>
      <c r="CWV1366" s="110"/>
      <c r="CWW1366" s="110"/>
      <c r="CWX1366" s="110"/>
      <c r="CWY1366" s="110"/>
      <c r="CWZ1366" s="110"/>
      <c r="CXA1366" s="110"/>
      <c r="CXB1366" s="110"/>
      <c r="CXC1366" s="110"/>
      <c r="CXD1366" s="110"/>
      <c r="CXE1366" s="110"/>
      <c r="CXF1366" s="110"/>
      <c r="CXG1366" s="110"/>
      <c r="CXH1366" s="110"/>
      <c r="CXI1366" s="110"/>
      <c r="CXJ1366" s="110"/>
      <c r="CXK1366" s="110"/>
      <c r="CXL1366" s="110"/>
      <c r="CXM1366" s="110"/>
      <c r="CXN1366" s="110"/>
      <c r="CXO1366" s="110"/>
      <c r="CXP1366" s="110"/>
      <c r="CXQ1366" s="110"/>
      <c r="CXR1366" s="110"/>
      <c r="CXS1366" s="110"/>
      <c r="CXT1366" s="110"/>
      <c r="CXU1366" s="110"/>
      <c r="CXV1366" s="110"/>
      <c r="CXW1366" s="110"/>
      <c r="CXX1366" s="110"/>
      <c r="CXY1366" s="110"/>
      <c r="CXZ1366" s="110"/>
      <c r="CYA1366" s="110"/>
      <c r="CYB1366" s="110"/>
      <c r="CYC1366" s="110"/>
      <c r="CYD1366" s="110"/>
      <c r="CYE1366" s="110"/>
      <c r="CYF1366" s="110"/>
      <c r="CYG1366" s="110"/>
      <c r="CYH1366" s="110"/>
      <c r="CYI1366" s="110"/>
      <c r="CYJ1366" s="110"/>
      <c r="CYK1366" s="110"/>
      <c r="CYL1366" s="110"/>
      <c r="CYM1366" s="110"/>
      <c r="CYN1366" s="110"/>
      <c r="CYO1366" s="110"/>
      <c r="CYP1366" s="110"/>
      <c r="CYQ1366" s="110"/>
      <c r="CYR1366" s="110"/>
      <c r="CYS1366" s="110"/>
      <c r="CYT1366" s="110"/>
      <c r="CYU1366" s="110"/>
      <c r="CYV1366" s="110"/>
      <c r="CYW1366" s="110"/>
      <c r="CYX1366" s="110"/>
      <c r="CYY1366" s="110"/>
      <c r="CYZ1366" s="110"/>
      <c r="CZA1366" s="110"/>
      <c r="CZB1366" s="110"/>
      <c r="CZC1366" s="110"/>
      <c r="CZD1366" s="110"/>
      <c r="CZE1366" s="110"/>
      <c r="CZF1366" s="110"/>
      <c r="CZG1366" s="110"/>
      <c r="CZH1366" s="110"/>
      <c r="CZI1366" s="110"/>
      <c r="CZJ1366" s="110"/>
      <c r="CZK1366" s="110"/>
      <c r="CZL1366" s="110"/>
      <c r="CZM1366" s="110"/>
      <c r="CZN1366" s="110"/>
      <c r="CZO1366" s="110"/>
      <c r="CZP1366" s="110"/>
      <c r="CZQ1366" s="110"/>
      <c r="CZR1366" s="110"/>
      <c r="CZS1366" s="110"/>
      <c r="CZT1366" s="110"/>
      <c r="CZU1366" s="110"/>
      <c r="CZV1366" s="110"/>
      <c r="CZW1366" s="110"/>
      <c r="CZX1366" s="110"/>
      <c r="CZY1366" s="110"/>
      <c r="CZZ1366" s="110"/>
      <c r="DAA1366" s="110"/>
      <c r="DAB1366" s="110"/>
      <c r="DAC1366" s="110"/>
      <c r="DAD1366" s="110"/>
      <c r="DAE1366" s="110"/>
      <c r="DAF1366" s="110"/>
      <c r="DAG1366" s="110"/>
      <c r="DAH1366" s="110"/>
      <c r="DAI1366" s="110"/>
      <c r="DAJ1366" s="110"/>
      <c r="DAK1366" s="110"/>
      <c r="DAL1366" s="110"/>
      <c r="DAM1366" s="110"/>
      <c r="DAN1366" s="110"/>
      <c r="DAO1366" s="110"/>
      <c r="DAP1366" s="110"/>
      <c r="DAQ1366" s="110"/>
      <c r="DAR1366" s="110"/>
      <c r="DAS1366" s="110"/>
      <c r="DAT1366" s="110"/>
      <c r="DAU1366" s="110"/>
      <c r="DAV1366" s="110"/>
      <c r="DAW1366" s="110"/>
      <c r="DAX1366" s="110"/>
      <c r="DAY1366" s="110"/>
      <c r="DAZ1366" s="110"/>
      <c r="DBA1366" s="110"/>
      <c r="DBB1366" s="110"/>
      <c r="DBC1366" s="110"/>
      <c r="DBD1366" s="110"/>
      <c r="DBE1366" s="110"/>
      <c r="DBF1366" s="110"/>
      <c r="DBG1366" s="110"/>
      <c r="DBH1366" s="110"/>
      <c r="DBI1366" s="110"/>
      <c r="DBJ1366" s="110"/>
      <c r="DBK1366" s="110"/>
      <c r="DBL1366" s="110"/>
      <c r="DBM1366" s="110"/>
      <c r="DBN1366" s="110"/>
      <c r="DBO1366" s="110"/>
      <c r="DBP1366" s="110"/>
      <c r="DBQ1366" s="110"/>
      <c r="DBR1366" s="110"/>
      <c r="DBS1366" s="110"/>
      <c r="DBT1366" s="110"/>
      <c r="DBU1366" s="110"/>
      <c r="DBV1366" s="110"/>
      <c r="DBW1366" s="110"/>
      <c r="DBX1366" s="110"/>
      <c r="DBY1366" s="110"/>
      <c r="DBZ1366" s="110"/>
      <c r="DCA1366" s="110"/>
      <c r="DCB1366" s="110"/>
      <c r="DCC1366" s="110"/>
      <c r="DCD1366" s="110"/>
      <c r="DCE1366" s="110"/>
      <c r="DCF1366" s="110"/>
      <c r="DCG1366" s="110"/>
      <c r="DCH1366" s="110"/>
      <c r="DCI1366" s="110"/>
      <c r="DCJ1366" s="110"/>
      <c r="DCK1366" s="110"/>
      <c r="DCL1366" s="110"/>
      <c r="DCM1366" s="110"/>
      <c r="DCN1366" s="110"/>
      <c r="DCO1366" s="110"/>
      <c r="DCP1366" s="110"/>
      <c r="DCQ1366" s="110"/>
      <c r="DCR1366" s="110"/>
      <c r="DCS1366" s="110"/>
      <c r="DCT1366" s="110"/>
      <c r="DCU1366" s="110"/>
      <c r="DCV1366" s="110"/>
      <c r="DCW1366" s="110"/>
      <c r="DCX1366" s="110"/>
      <c r="DCY1366" s="110"/>
      <c r="DCZ1366" s="110"/>
      <c r="DDA1366" s="110"/>
      <c r="DDB1366" s="110"/>
      <c r="DDC1366" s="110"/>
      <c r="DDD1366" s="110"/>
      <c r="DDE1366" s="110"/>
      <c r="DDF1366" s="110"/>
      <c r="DDG1366" s="110"/>
      <c r="DDH1366" s="110"/>
      <c r="DDI1366" s="110"/>
      <c r="DDJ1366" s="110"/>
      <c r="DDK1366" s="110"/>
      <c r="DDL1366" s="110"/>
      <c r="DDM1366" s="110"/>
      <c r="DDN1366" s="110"/>
      <c r="DDO1366" s="110"/>
      <c r="DDP1366" s="110"/>
      <c r="DDQ1366" s="110"/>
      <c r="DDR1366" s="110"/>
      <c r="DDS1366" s="110"/>
      <c r="DDT1366" s="110"/>
      <c r="DDU1366" s="110"/>
      <c r="DDV1366" s="110"/>
      <c r="DDW1366" s="110"/>
      <c r="DDX1366" s="110"/>
      <c r="DDY1366" s="110"/>
      <c r="DDZ1366" s="110"/>
      <c r="DEA1366" s="110"/>
      <c r="DEB1366" s="110"/>
      <c r="DEC1366" s="110"/>
      <c r="DED1366" s="110"/>
      <c r="DEE1366" s="110"/>
      <c r="DEF1366" s="110"/>
      <c r="DEG1366" s="110"/>
      <c r="DEH1366" s="110"/>
      <c r="DEI1366" s="110"/>
      <c r="DEJ1366" s="110"/>
      <c r="DEK1366" s="110"/>
      <c r="DEL1366" s="110"/>
      <c r="DEM1366" s="110"/>
      <c r="DEN1366" s="110"/>
      <c r="DEO1366" s="110"/>
      <c r="DEP1366" s="110"/>
      <c r="DEQ1366" s="110"/>
      <c r="DER1366" s="110"/>
      <c r="DES1366" s="110"/>
      <c r="DET1366" s="110"/>
      <c r="DEU1366" s="110"/>
      <c r="DEV1366" s="110"/>
      <c r="DEW1366" s="110"/>
      <c r="DEX1366" s="110"/>
      <c r="DEY1366" s="110"/>
      <c r="DEZ1366" s="110"/>
      <c r="DFA1366" s="110"/>
      <c r="DFB1366" s="110"/>
      <c r="DFC1366" s="110"/>
      <c r="DFD1366" s="110"/>
      <c r="DFE1366" s="110"/>
      <c r="DFF1366" s="110"/>
      <c r="DFG1366" s="110"/>
      <c r="DFH1366" s="110"/>
      <c r="DFI1366" s="110"/>
      <c r="DFJ1366" s="110"/>
      <c r="DFK1366" s="110"/>
      <c r="DFL1366" s="110"/>
      <c r="DFM1366" s="110"/>
      <c r="DFN1366" s="110"/>
      <c r="DFO1366" s="110"/>
      <c r="DFP1366" s="110"/>
      <c r="DFQ1366" s="110"/>
      <c r="DFR1366" s="110"/>
      <c r="DFS1366" s="110"/>
      <c r="DFT1366" s="110"/>
      <c r="DFU1366" s="110"/>
      <c r="DFV1366" s="110"/>
      <c r="DFW1366" s="110"/>
      <c r="DFX1366" s="110"/>
      <c r="DFY1366" s="110"/>
      <c r="DFZ1366" s="110"/>
      <c r="DGA1366" s="110"/>
      <c r="DGB1366" s="110"/>
      <c r="DGC1366" s="110"/>
      <c r="DGD1366" s="110"/>
      <c r="DGE1366" s="110"/>
      <c r="DGF1366" s="110"/>
      <c r="DGG1366" s="110"/>
      <c r="DGH1366" s="110"/>
      <c r="DGI1366" s="110"/>
      <c r="DGJ1366" s="110"/>
      <c r="DGK1366" s="110"/>
      <c r="DGL1366" s="110"/>
      <c r="DGM1366" s="110"/>
      <c r="DGN1366" s="110"/>
      <c r="DGO1366" s="110"/>
      <c r="DGP1366" s="110"/>
      <c r="DGQ1366" s="110"/>
      <c r="DGR1366" s="110"/>
      <c r="DGS1366" s="110"/>
      <c r="DGT1366" s="110"/>
      <c r="DGU1366" s="110"/>
      <c r="DGV1366" s="110"/>
      <c r="DGW1366" s="110"/>
      <c r="DGX1366" s="110"/>
      <c r="DGY1366" s="110"/>
      <c r="DGZ1366" s="110"/>
      <c r="DHA1366" s="110"/>
      <c r="DHB1366" s="110"/>
      <c r="DHC1366" s="110"/>
      <c r="DHD1366" s="110"/>
      <c r="DHE1366" s="110"/>
      <c r="DHF1366" s="110"/>
      <c r="DHG1366" s="110"/>
      <c r="DHH1366" s="110"/>
      <c r="DHI1366" s="110"/>
      <c r="DHJ1366" s="110"/>
      <c r="DHK1366" s="110"/>
      <c r="DHL1366" s="110"/>
      <c r="DHM1366" s="110"/>
      <c r="DHN1366" s="110"/>
      <c r="DHO1366" s="110"/>
      <c r="DHP1366" s="110"/>
      <c r="DHQ1366" s="110"/>
      <c r="DHR1366" s="110"/>
      <c r="DHS1366" s="110"/>
      <c r="DHT1366" s="110"/>
      <c r="DHU1366" s="110"/>
      <c r="DHV1366" s="110"/>
      <c r="DHW1366" s="110"/>
      <c r="DHX1366" s="110"/>
      <c r="DHY1366" s="110"/>
      <c r="DHZ1366" s="110"/>
      <c r="DIA1366" s="110"/>
      <c r="DIB1366" s="110"/>
      <c r="DIC1366" s="110"/>
      <c r="DID1366" s="110"/>
      <c r="DIE1366" s="110"/>
      <c r="DIF1366" s="110"/>
      <c r="DIG1366" s="110"/>
      <c r="DIH1366" s="110"/>
      <c r="DII1366" s="110"/>
      <c r="DIJ1366" s="110"/>
      <c r="DIK1366" s="110"/>
      <c r="DIL1366" s="110"/>
      <c r="DIM1366" s="110"/>
      <c r="DIN1366" s="110"/>
      <c r="DIO1366" s="110"/>
      <c r="DIP1366" s="110"/>
      <c r="DIQ1366" s="110"/>
      <c r="DIR1366" s="110"/>
      <c r="DIS1366" s="110"/>
      <c r="DIT1366" s="110"/>
      <c r="DIU1366" s="110"/>
      <c r="DIV1366" s="110"/>
      <c r="DIW1366" s="110"/>
      <c r="DIX1366" s="110"/>
      <c r="DIY1366" s="110"/>
      <c r="DIZ1366" s="110"/>
      <c r="DJA1366" s="110"/>
      <c r="DJB1366" s="110"/>
      <c r="DJC1366" s="110"/>
      <c r="DJD1366" s="110"/>
      <c r="DJE1366" s="110"/>
      <c r="DJF1366" s="110"/>
      <c r="DJG1366" s="110"/>
      <c r="DJH1366" s="110"/>
      <c r="DJI1366" s="110"/>
      <c r="DJJ1366" s="110"/>
      <c r="DJK1366" s="110"/>
      <c r="DJL1366" s="110"/>
      <c r="DJM1366" s="110"/>
      <c r="DJN1366" s="110"/>
      <c r="DJO1366" s="110"/>
      <c r="DJP1366" s="110"/>
      <c r="DJQ1366" s="110"/>
      <c r="DJR1366" s="110"/>
      <c r="DJS1366" s="110"/>
      <c r="DJT1366" s="110"/>
      <c r="DJU1366" s="110"/>
      <c r="DJV1366" s="110"/>
      <c r="DJW1366" s="110"/>
      <c r="DJX1366" s="110"/>
      <c r="DJY1366" s="110"/>
      <c r="DJZ1366" s="110"/>
      <c r="DKA1366" s="110"/>
      <c r="DKB1366" s="110"/>
      <c r="DKC1366" s="110"/>
      <c r="DKD1366" s="110"/>
      <c r="DKE1366" s="110"/>
      <c r="DKF1366" s="110"/>
      <c r="DKG1366" s="110"/>
      <c r="DKH1366" s="110"/>
      <c r="DKI1366" s="110"/>
      <c r="DKJ1366" s="110"/>
      <c r="DKK1366" s="110"/>
      <c r="DKL1366" s="110"/>
      <c r="DKM1366" s="110"/>
      <c r="DKN1366" s="110"/>
      <c r="DKO1366" s="110"/>
      <c r="DKP1366" s="110"/>
      <c r="DKQ1366" s="110"/>
      <c r="DKR1366" s="110"/>
      <c r="DKS1366" s="110"/>
      <c r="DKT1366" s="110"/>
      <c r="DKU1366" s="110"/>
      <c r="DKV1366" s="110"/>
      <c r="DKW1366" s="110"/>
      <c r="DKX1366" s="110"/>
      <c r="DKY1366" s="110"/>
      <c r="DKZ1366" s="110"/>
      <c r="DLA1366" s="110"/>
      <c r="DLB1366" s="110"/>
      <c r="DLC1366" s="110"/>
      <c r="DLD1366" s="110"/>
      <c r="DLE1366" s="110"/>
      <c r="DLF1366" s="110"/>
      <c r="DLG1366" s="110"/>
      <c r="DLH1366" s="110"/>
      <c r="DLI1366" s="110"/>
      <c r="DLJ1366" s="110"/>
      <c r="DLK1366" s="110"/>
      <c r="DLL1366" s="110"/>
      <c r="DLM1366" s="110"/>
      <c r="DLN1366" s="110"/>
      <c r="DLO1366" s="110"/>
      <c r="DLP1366" s="110"/>
      <c r="DLQ1366" s="110"/>
      <c r="DLR1366" s="110"/>
      <c r="DLS1366" s="110"/>
      <c r="DLT1366" s="110"/>
      <c r="DLU1366" s="110"/>
      <c r="DLV1366" s="110"/>
      <c r="DLW1366" s="110"/>
      <c r="DLX1366" s="110"/>
      <c r="DLY1366" s="110"/>
      <c r="DLZ1366" s="110"/>
      <c r="DMA1366" s="110"/>
      <c r="DMB1366" s="110"/>
      <c r="DMC1366" s="110"/>
      <c r="DMD1366" s="110"/>
      <c r="DME1366" s="110"/>
      <c r="DMF1366" s="110"/>
      <c r="DMG1366" s="110"/>
      <c r="DMH1366" s="110"/>
      <c r="DMI1366" s="110"/>
      <c r="DMJ1366" s="110"/>
      <c r="DMK1366" s="110"/>
      <c r="DML1366" s="110"/>
      <c r="DMM1366" s="110"/>
      <c r="DMN1366" s="110"/>
      <c r="DMO1366" s="110"/>
      <c r="DMP1366" s="110"/>
      <c r="DMQ1366" s="110"/>
      <c r="DMR1366" s="110"/>
      <c r="DMS1366" s="110"/>
      <c r="DMT1366" s="110"/>
      <c r="DMU1366" s="110"/>
      <c r="DMV1366" s="110"/>
      <c r="DMW1366" s="110"/>
      <c r="DMX1366" s="110"/>
      <c r="DMY1366" s="110"/>
      <c r="DMZ1366" s="110"/>
      <c r="DNA1366" s="110"/>
      <c r="DNB1366" s="110"/>
      <c r="DNC1366" s="110"/>
      <c r="DND1366" s="110"/>
      <c r="DNE1366" s="110"/>
      <c r="DNF1366" s="110"/>
      <c r="DNG1366" s="110"/>
      <c r="DNH1366" s="110"/>
      <c r="DNI1366" s="110"/>
      <c r="DNJ1366" s="110"/>
      <c r="DNK1366" s="110"/>
      <c r="DNL1366" s="110"/>
      <c r="DNM1366" s="110"/>
      <c r="DNN1366" s="110"/>
      <c r="DNO1366" s="110"/>
      <c r="DNP1366" s="110"/>
      <c r="DNQ1366" s="110"/>
      <c r="DNR1366" s="110"/>
      <c r="DNS1366" s="110"/>
      <c r="DNT1366" s="110"/>
      <c r="DNU1366" s="110"/>
      <c r="DNV1366" s="110"/>
      <c r="DNW1366" s="110"/>
      <c r="DNX1366" s="110"/>
      <c r="DNY1366" s="110"/>
      <c r="DNZ1366" s="110"/>
      <c r="DOA1366" s="110"/>
      <c r="DOB1366" s="110"/>
      <c r="DOC1366" s="110"/>
      <c r="DOD1366" s="110"/>
      <c r="DOE1366" s="110"/>
      <c r="DOF1366" s="110"/>
      <c r="DOG1366" s="110"/>
      <c r="DOH1366" s="110"/>
      <c r="DOI1366" s="110"/>
      <c r="DOJ1366" s="110"/>
      <c r="DOK1366" s="110"/>
      <c r="DOL1366" s="110"/>
      <c r="DOM1366" s="110"/>
      <c r="DON1366" s="110"/>
      <c r="DOO1366" s="110"/>
      <c r="DOP1366" s="110"/>
      <c r="DOQ1366" s="110"/>
      <c r="DOR1366" s="110"/>
      <c r="DOS1366" s="110"/>
      <c r="DOT1366" s="110"/>
      <c r="DOU1366" s="110"/>
      <c r="DOV1366" s="110"/>
      <c r="DOW1366" s="110"/>
      <c r="DOX1366" s="110"/>
      <c r="DOY1366" s="110"/>
      <c r="DOZ1366" s="110"/>
      <c r="DPA1366" s="110"/>
      <c r="DPB1366" s="110"/>
      <c r="DPC1366" s="110"/>
      <c r="DPD1366" s="110"/>
      <c r="DPE1366" s="110"/>
      <c r="DPF1366" s="110"/>
      <c r="DPG1366" s="110"/>
      <c r="DPH1366" s="110"/>
      <c r="DPI1366" s="110"/>
      <c r="DPJ1366" s="110"/>
      <c r="DPK1366" s="110"/>
      <c r="DPL1366" s="110"/>
      <c r="DPM1366" s="110"/>
      <c r="DPN1366" s="110"/>
      <c r="DPO1366" s="110"/>
      <c r="DPP1366" s="110"/>
      <c r="DPQ1366" s="110"/>
      <c r="DPR1366" s="110"/>
      <c r="DPS1366" s="110"/>
      <c r="DPT1366" s="110"/>
      <c r="DPU1366" s="110"/>
      <c r="DPV1366" s="110"/>
      <c r="DPW1366" s="110"/>
      <c r="DPX1366" s="110"/>
      <c r="DPY1366" s="110"/>
      <c r="DPZ1366" s="110"/>
      <c r="DQA1366" s="110"/>
      <c r="DQB1366" s="110"/>
      <c r="DQC1366" s="110"/>
      <c r="DQD1366" s="110"/>
      <c r="DQE1366" s="110"/>
      <c r="DQF1366" s="110"/>
      <c r="DQG1366" s="110"/>
      <c r="DQH1366" s="110"/>
      <c r="DQI1366" s="110"/>
      <c r="DQJ1366" s="110"/>
      <c r="DQK1366" s="110"/>
      <c r="DQL1366" s="110"/>
      <c r="DQM1366" s="110"/>
      <c r="DQN1366" s="110"/>
      <c r="DQO1366" s="110"/>
      <c r="DQP1366" s="110"/>
      <c r="DQQ1366" s="110"/>
      <c r="DQR1366" s="110"/>
      <c r="DQS1366" s="110"/>
      <c r="DQT1366" s="110"/>
      <c r="DQU1366" s="110"/>
      <c r="DQV1366" s="110"/>
      <c r="DQW1366" s="110"/>
      <c r="DQX1366" s="110"/>
      <c r="DQY1366" s="110"/>
      <c r="DQZ1366" s="110"/>
      <c r="DRA1366" s="110"/>
      <c r="DRB1366" s="110"/>
      <c r="DRC1366" s="110"/>
      <c r="DRD1366" s="110"/>
      <c r="DRE1366" s="110"/>
      <c r="DRF1366" s="110"/>
      <c r="DRG1366" s="110"/>
      <c r="DRH1366" s="110"/>
      <c r="DRI1366" s="110"/>
      <c r="DRJ1366" s="110"/>
      <c r="DRK1366" s="110"/>
      <c r="DRL1366" s="110"/>
      <c r="DRM1366" s="110"/>
      <c r="DRN1366" s="110"/>
      <c r="DRO1366" s="110"/>
      <c r="DRP1366" s="110"/>
      <c r="DRQ1366" s="110"/>
      <c r="DRR1366" s="110"/>
      <c r="DRS1366" s="110"/>
      <c r="DRT1366" s="110"/>
      <c r="DRU1366" s="110"/>
      <c r="DRV1366" s="110"/>
      <c r="DRW1366" s="110"/>
      <c r="DRX1366" s="110"/>
      <c r="DRY1366" s="110"/>
      <c r="DRZ1366" s="110"/>
      <c r="DSA1366" s="110"/>
      <c r="DSB1366" s="110"/>
      <c r="DSC1366" s="110"/>
      <c r="DSD1366" s="110"/>
      <c r="DSE1366" s="110"/>
      <c r="DSF1366" s="110"/>
      <c r="DSG1366" s="110"/>
      <c r="DSH1366" s="110"/>
      <c r="DSI1366" s="110"/>
      <c r="DSJ1366" s="110"/>
      <c r="DSK1366" s="110"/>
      <c r="DSL1366" s="110"/>
      <c r="DSM1366" s="110"/>
      <c r="DSN1366" s="110"/>
      <c r="DSO1366" s="110"/>
      <c r="DSP1366" s="110"/>
      <c r="DSQ1366" s="110"/>
      <c r="DSR1366" s="110"/>
      <c r="DSS1366" s="110"/>
      <c r="DST1366" s="110"/>
      <c r="DSU1366" s="110"/>
      <c r="DSV1366" s="110"/>
      <c r="DSW1366" s="110"/>
      <c r="DSX1366" s="110"/>
      <c r="DSY1366" s="110"/>
      <c r="DSZ1366" s="110"/>
      <c r="DTA1366" s="110"/>
      <c r="DTB1366" s="110"/>
      <c r="DTC1366" s="110"/>
      <c r="DTD1366" s="110"/>
      <c r="DTE1366" s="110"/>
      <c r="DTF1366" s="110"/>
      <c r="DTG1366" s="110"/>
      <c r="DTH1366" s="110"/>
      <c r="DTI1366" s="110"/>
      <c r="DTJ1366" s="110"/>
      <c r="DTK1366" s="110"/>
      <c r="DTL1366" s="110"/>
      <c r="DTM1366" s="110"/>
      <c r="DTN1366" s="110"/>
      <c r="DTO1366" s="110"/>
      <c r="DTP1366" s="110"/>
      <c r="DTQ1366" s="110"/>
      <c r="DTR1366" s="110"/>
      <c r="DTS1366" s="110"/>
      <c r="DTT1366" s="110"/>
      <c r="DTU1366" s="110"/>
      <c r="DTV1366" s="110"/>
      <c r="DTW1366" s="110"/>
      <c r="DTX1366" s="110"/>
      <c r="DTY1366" s="110"/>
      <c r="DTZ1366" s="110"/>
      <c r="DUA1366" s="110"/>
      <c r="DUB1366" s="110"/>
      <c r="DUC1366" s="110"/>
      <c r="DUD1366" s="110"/>
      <c r="DUE1366" s="110"/>
      <c r="DUF1366" s="110"/>
      <c r="DUG1366" s="110"/>
      <c r="DUH1366" s="110"/>
      <c r="DUI1366" s="110"/>
      <c r="DUJ1366" s="110"/>
      <c r="DUK1366" s="110"/>
      <c r="DUL1366" s="110"/>
      <c r="DUM1366" s="110"/>
      <c r="DUN1366" s="110"/>
      <c r="DUO1366" s="110"/>
      <c r="DUP1366" s="110"/>
      <c r="DUQ1366" s="110"/>
      <c r="DUR1366" s="110"/>
      <c r="DUS1366" s="110"/>
      <c r="DUT1366" s="110"/>
      <c r="DUU1366" s="110"/>
      <c r="DUV1366" s="110"/>
      <c r="DUW1366" s="110"/>
      <c r="DUX1366" s="110"/>
      <c r="DUY1366" s="110"/>
      <c r="DUZ1366" s="110"/>
      <c r="DVA1366" s="110"/>
      <c r="DVB1366" s="110"/>
      <c r="DVC1366" s="110"/>
      <c r="DVD1366" s="110"/>
      <c r="DVE1366" s="110"/>
      <c r="DVF1366" s="110"/>
      <c r="DVG1366" s="110"/>
      <c r="DVH1366" s="110"/>
      <c r="DVI1366" s="110"/>
      <c r="DVJ1366" s="110"/>
      <c r="DVK1366" s="110"/>
      <c r="DVL1366" s="110"/>
      <c r="DVM1366" s="110"/>
      <c r="DVN1366" s="110"/>
      <c r="DVO1366" s="110"/>
      <c r="DVP1366" s="110"/>
      <c r="DVQ1366" s="110"/>
      <c r="DVR1366" s="110"/>
      <c r="DVS1366" s="110"/>
      <c r="DVT1366" s="110"/>
      <c r="DVU1366" s="110"/>
      <c r="DVV1366" s="110"/>
      <c r="DVW1366" s="110"/>
      <c r="DVX1366" s="110"/>
      <c r="DVY1366" s="110"/>
      <c r="DVZ1366" s="110"/>
      <c r="DWA1366" s="110"/>
      <c r="DWB1366" s="110"/>
      <c r="DWC1366" s="110"/>
      <c r="DWD1366" s="110"/>
      <c r="DWE1366" s="110"/>
      <c r="DWF1366" s="110"/>
      <c r="DWG1366" s="110"/>
      <c r="DWH1366" s="110"/>
      <c r="DWI1366" s="110"/>
      <c r="DWJ1366" s="110"/>
      <c r="DWK1366" s="110"/>
      <c r="DWL1366" s="110"/>
      <c r="DWM1366" s="110"/>
      <c r="DWN1366" s="110"/>
      <c r="DWO1366" s="110"/>
      <c r="DWP1366" s="110"/>
      <c r="DWQ1366" s="110"/>
      <c r="DWR1366" s="110"/>
      <c r="DWS1366" s="110"/>
      <c r="DWT1366" s="110"/>
      <c r="DWU1366" s="110"/>
      <c r="DWV1366" s="110"/>
      <c r="DWW1366" s="110"/>
      <c r="DWX1366" s="110"/>
      <c r="DWY1366" s="110"/>
      <c r="DWZ1366" s="110"/>
      <c r="DXA1366" s="110"/>
      <c r="DXB1366" s="110"/>
      <c r="DXC1366" s="110"/>
      <c r="DXD1366" s="110"/>
      <c r="DXE1366" s="110"/>
      <c r="DXF1366" s="110"/>
      <c r="DXG1366" s="110"/>
      <c r="DXH1366" s="110"/>
      <c r="DXI1366" s="110"/>
      <c r="DXJ1366" s="110"/>
      <c r="DXK1366" s="110"/>
      <c r="DXL1366" s="110"/>
      <c r="DXM1366" s="110"/>
      <c r="DXN1366" s="110"/>
      <c r="DXO1366" s="110"/>
      <c r="DXP1366" s="110"/>
      <c r="DXQ1366" s="110"/>
      <c r="DXR1366" s="110"/>
      <c r="DXS1366" s="110"/>
      <c r="DXT1366" s="110"/>
      <c r="DXU1366" s="110"/>
      <c r="DXV1366" s="110"/>
      <c r="DXW1366" s="110"/>
      <c r="DXX1366" s="110"/>
      <c r="DXY1366" s="110"/>
      <c r="DXZ1366" s="110"/>
      <c r="DYA1366" s="110"/>
      <c r="DYB1366" s="110"/>
      <c r="DYC1366" s="110"/>
      <c r="DYD1366" s="110"/>
      <c r="DYE1366" s="110"/>
      <c r="DYF1366" s="110"/>
      <c r="DYG1366" s="110"/>
      <c r="DYH1366" s="110"/>
      <c r="DYI1366" s="110"/>
      <c r="DYJ1366" s="110"/>
      <c r="DYK1366" s="110"/>
      <c r="DYL1366" s="110"/>
      <c r="DYM1366" s="110"/>
      <c r="DYN1366" s="110"/>
      <c r="DYO1366" s="110"/>
      <c r="DYP1366" s="110"/>
      <c r="DYQ1366" s="110"/>
      <c r="DYR1366" s="110"/>
      <c r="DYS1366" s="110"/>
      <c r="DYT1366" s="110"/>
      <c r="DYU1366" s="110"/>
      <c r="DYV1366" s="110"/>
      <c r="DYW1366" s="110"/>
      <c r="DYX1366" s="110"/>
      <c r="DYY1366" s="110"/>
      <c r="DYZ1366" s="110"/>
      <c r="DZA1366" s="110"/>
      <c r="DZB1366" s="110"/>
      <c r="DZC1366" s="110"/>
      <c r="DZD1366" s="110"/>
      <c r="DZE1366" s="110"/>
      <c r="DZF1366" s="110"/>
      <c r="DZG1366" s="110"/>
      <c r="DZH1366" s="110"/>
      <c r="DZI1366" s="110"/>
      <c r="DZJ1366" s="110"/>
      <c r="DZK1366" s="110"/>
      <c r="DZL1366" s="110"/>
      <c r="DZM1366" s="110"/>
      <c r="DZN1366" s="110"/>
      <c r="DZO1366" s="110"/>
      <c r="DZP1366" s="110"/>
      <c r="DZQ1366" s="110"/>
      <c r="DZR1366" s="110"/>
      <c r="DZS1366" s="110"/>
      <c r="DZT1366" s="110"/>
      <c r="DZU1366" s="110"/>
      <c r="DZV1366" s="110"/>
      <c r="DZW1366" s="110"/>
      <c r="DZX1366" s="110"/>
      <c r="DZY1366" s="110"/>
      <c r="DZZ1366" s="110"/>
      <c r="EAA1366" s="110"/>
      <c r="EAB1366" s="110"/>
      <c r="EAC1366" s="110"/>
      <c r="EAD1366" s="110"/>
      <c r="EAE1366" s="110"/>
      <c r="EAF1366" s="110"/>
      <c r="EAG1366" s="110"/>
      <c r="EAH1366" s="110"/>
      <c r="EAI1366" s="110"/>
      <c r="EAJ1366" s="110"/>
      <c r="EAK1366" s="110"/>
      <c r="EAL1366" s="110"/>
      <c r="EAM1366" s="110"/>
      <c r="EAN1366" s="110"/>
      <c r="EAO1366" s="110"/>
      <c r="EAP1366" s="110"/>
      <c r="EAQ1366" s="110"/>
      <c r="EAR1366" s="110"/>
      <c r="EAS1366" s="110"/>
      <c r="EAT1366" s="110"/>
      <c r="EAU1366" s="110"/>
      <c r="EAV1366" s="110"/>
      <c r="EAW1366" s="110"/>
      <c r="EAX1366" s="110"/>
      <c r="EAY1366" s="110"/>
      <c r="EAZ1366" s="110"/>
      <c r="EBA1366" s="110"/>
      <c r="EBB1366" s="110"/>
      <c r="EBC1366" s="110"/>
      <c r="EBD1366" s="110"/>
      <c r="EBE1366" s="110"/>
      <c r="EBF1366" s="110"/>
      <c r="EBG1366" s="110"/>
      <c r="EBH1366" s="110"/>
      <c r="EBI1366" s="110"/>
      <c r="EBJ1366" s="110"/>
      <c r="EBK1366" s="110"/>
      <c r="EBL1366" s="110"/>
      <c r="EBM1366" s="110"/>
      <c r="EBN1366" s="110"/>
      <c r="EBO1366" s="110"/>
      <c r="EBP1366" s="110"/>
      <c r="EBQ1366" s="110"/>
      <c r="EBR1366" s="110"/>
      <c r="EBS1366" s="110"/>
      <c r="EBT1366" s="110"/>
      <c r="EBU1366" s="110"/>
      <c r="EBV1366" s="110"/>
      <c r="EBW1366" s="110"/>
      <c r="EBX1366" s="110"/>
      <c r="EBY1366" s="110"/>
      <c r="EBZ1366" s="110"/>
      <c r="ECA1366" s="110"/>
      <c r="ECB1366" s="110"/>
      <c r="ECC1366" s="110"/>
      <c r="ECD1366" s="110"/>
      <c r="ECE1366" s="110"/>
      <c r="ECF1366" s="110"/>
      <c r="ECG1366" s="110"/>
      <c r="ECH1366" s="110"/>
      <c r="ECI1366" s="110"/>
      <c r="ECJ1366" s="110"/>
      <c r="ECK1366" s="110"/>
      <c r="ECL1366" s="110"/>
      <c r="ECM1366" s="110"/>
      <c r="ECN1366" s="110"/>
      <c r="ECO1366" s="110"/>
      <c r="ECP1366" s="110"/>
      <c r="ECQ1366" s="110"/>
      <c r="ECR1366" s="110"/>
      <c r="ECS1366" s="110"/>
      <c r="ECT1366" s="110"/>
      <c r="ECU1366" s="110"/>
      <c r="ECV1366" s="110"/>
      <c r="ECW1366" s="110"/>
      <c r="ECX1366" s="110"/>
      <c r="ECY1366" s="110"/>
      <c r="ECZ1366" s="110"/>
      <c r="EDA1366" s="110"/>
      <c r="EDB1366" s="110"/>
      <c r="EDC1366" s="110"/>
      <c r="EDD1366" s="110"/>
      <c r="EDE1366" s="110"/>
      <c r="EDF1366" s="110"/>
      <c r="EDG1366" s="110"/>
      <c r="EDH1366" s="110"/>
      <c r="EDI1366" s="110"/>
      <c r="EDJ1366" s="110"/>
      <c r="EDK1366" s="110"/>
      <c r="EDL1366" s="110"/>
      <c r="EDM1366" s="110"/>
      <c r="EDN1366" s="110"/>
      <c r="EDO1366" s="110"/>
      <c r="EDP1366" s="110"/>
      <c r="EDQ1366" s="110"/>
      <c r="EDR1366" s="110"/>
      <c r="EDS1366" s="110"/>
      <c r="EDT1366" s="110"/>
      <c r="EDU1366" s="110"/>
      <c r="EDV1366" s="110"/>
      <c r="EDW1366" s="110"/>
      <c r="EDX1366" s="110"/>
      <c r="EDY1366" s="110"/>
      <c r="EDZ1366" s="110"/>
      <c r="EEA1366" s="110"/>
      <c r="EEB1366" s="110"/>
      <c r="EEC1366" s="110"/>
      <c r="EED1366" s="110"/>
      <c r="EEE1366" s="110"/>
      <c r="EEF1366" s="110"/>
      <c r="EEG1366" s="110"/>
      <c r="EEH1366" s="110"/>
      <c r="EEI1366" s="110"/>
      <c r="EEJ1366" s="110"/>
      <c r="EEK1366" s="110"/>
      <c r="EEL1366" s="110"/>
      <c r="EEM1366" s="110"/>
      <c r="EEN1366" s="110"/>
      <c r="EEO1366" s="110"/>
      <c r="EEP1366" s="110"/>
      <c r="EEQ1366" s="110"/>
      <c r="EER1366" s="110"/>
      <c r="EES1366" s="110"/>
      <c r="EET1366" s="110"/>
      <c r="EEU1366" s="110"/>
      <c r="EEV1366" s="110"/>
      <c r="EEW1366" s="110"/>
      <c r="EEX1366" s="110"/>
      <c r="EEY1366" s="110"/>
      <c r="EEZ1366" s="110"/>
      <c r="EFA1366" s="110"/>
      <c r="EFB1366" s="110"/>
      <c r="EFC1366" s="110"/>
      <c r="EFD1366" s="110"/>
      <c r="EFE1366" s="110"/>
      <c r="EFF1366" s="110"/>
      <c r="EFG1366" s="110"/>
      <c r="EFH1366" s="110"/>
      <c r="EFI1366" s="110"/>
      <c r="EFJ1366" s="110"/>
      <c r="EFK1366" s="110"/>
      <c r="EFL1366" s="110"/>
      <c r="EFM1366" s="110"/>
      <c r="EFN1366" s="110"/>
      <c r="EFO1366" s="110"/>
      <c r="EFP1366" s="110"/>
      <c r="EFQ1366" s="110"/>
      <c r="EFR1366" s="110"/>
      <c r="EFS1366" s="110"/>
      <c r="EFT1366" s="110"/>
      <c r="EFU1366" s="110"/>
      <c r="EFV1366" s="110"/>
      <c r="EFW1366" s="110"/>
      <c r="EFX1366" s="110"/>
      <c r="EFY1366" s="110"/>
      <c r="EFZ1366" s="110"/>
      <c r="EGA1366" s="110"/>
      <c r="EGB1366" s="110"/>
      <c r="EGC1366" s="110"/>
      <c r="EGD1366" s="110"/>
      <c r="EGE1366" s="110"/>
      <c r="EGF1366" s="110"/>
      <c r="EGG1366" s="110"/>
      <c r="EGH1366" s="110"/>
      <c r="EGI1366" s="110"/>
      <c r="EGJ1366" s="110"/>
      <c r="EGK1366" s="110"/>
      <c r="EGL1366" s="110"/>
      <c r="EGM1366" s="110"/>
      <c r="EGN1366" s="110"/>
      <c r="EGO1366" s="110"/>
      <c r="EGP1366" s="110"/>
      <c r="EGQ1366" s="110"/>
      <c r="EGR1366" s="110"/>
      <c r="EGS1366" s="110"/>
      <c r="EGT1366" s="110"/>
      <c r="EGU1366" s="110"/>
      <c r="EGV1366" s="110"/>
      <c r="EGW1366" s="110"/>
      <c r="EGX1366" s="110"/>
      <c r="EGY1366" s="110"/>
      <c r="EGZ1366" s="110"/>
      <c r="EHA1366" s="110"/>
      <c r="EHB1366" s="110"/>
      <c r="EHC1366" s="110"/>
      <c r="EHD1366" s="110"/>
      <c r="EHE1366" s="110"/>
      <c r="EHF1366" s="110"/>
      <c r="EHG1366" s="110"/>
      <c r="EHH1366" s="110"/>
      <c r="EHI1366" s="110"/>
      <c r="EHJ1366" s="110"/>
      <c r="EHK1366" s="110"/>
      <c r="EHL1366" s="110"/>
      <c r="EHM1366" s="110"/>
      <c r="EHN1366" s="110"/>
      <c r="EHO1366" s="110"/>
      <c r="EHP1366" s="110"/>
      <c r="EHQ1366" s="110"/>
      <c r="EHR1366" s="110"/>
      <c r="EHS1366" s="110"/>
      <c r="EHT1366" s="110"/>
      <c r="EHU1366" s="110"/>
      <c r="EHV1366" s="110"/>
      <c r="EHW1366" s="110"/>
      <c r="EHX1366" s="110"/>
      <c r="EHY1366" s="110"/>
      <c r="EHZ1366" s="110"/>
      <c r="EIA1366" s="110"/>
      <c r="EIB1366" s="110"/>
      <c r="EIC1366" s="110"/>
      <c r="EID1366" s="110"/>
      <c r="EIE1366" s="110"/>
      <c r="EIF1366" s="110"/>
      <c r="EIG1366" s="110"/>
      <c r="EIH1366" s="110"/>
      <c r="EII1366" s="110"/>
      <c r="EIJ1366" s="110"/>
      <c r="EIK1366" s="110"/>
      <c r="EIL1366" s="110"/>
      <c r="EIM1366" s="110"/>
      <c r="EIN1366" s="110"/>
      <c r="EIO1366" s="110"/>
      <c r="EIP1366" s="110"/>
      <c r="EIQ1366" s="110"/>
      <c r="EIR1366" s="110"/>
      <c r="EIS1366" s="110"/>
      <c r="EIT1366" s="110"/>
      <c r="EIU1366" s="110"/>
      <c r="EIV1366" s="110"/>
      <c r="EIW1366" s="110"/>
      <c r="EIX1366" s="110"/>
      <c r="EIY1366" s="110"/>
      <c r="EIZ1366" s="110"/>
      <c r="EJA1366" s="110"/>
      <c r="EJB1366" s="110"/>
      <c r="EJC1366" s="110"/>
      <c r="EJD1366" s="110"/>
      <c r="EJE1366" s="110"/>
      <c r="EJF1366" s="110"/>
      <c r="EJG1366" s="110"/>
      <c r="EJH1366" s="110"/>
      <c r="EJI1366" s="110"/>
      <c r="EJJ1366" s="110"/>
      <c r="EJK1366" s="110"/>
      <c r="EJL1366" s="110"/>
      <c r="EJM1366" s="110"/>
      <c r="EJN1366" s="110"/>
      <c r="EJO1366" s="110"/>
      <c r="EJP1366" s="110"/>
      <c r="EJQ1366" s="110"/>
      <c r="EJR1366" s="110"/>
      <c r="EJS1366" s="110"/>
      <c r="EJT1366" s="110"/>
      <c r="EJU1366" s="110"/>
      <c r="EJV1366" s="110"/>
      <c r="EJW1366" s="110"/>
      <c r="EJX1366" s="110"/>
      <c r="EJY1366" s="110"/>
      <c r="EJZ1366" s="110"/>
      <c r="EKA1366" s="110"/>
      <c r="EKB1366" s="110"/>
      <c r="EKC1366" s="110"/>
      <c r="EKD1366" s="110"/>
      <c r="EKE1366" s="110"/>
      <c r="EKF1366" s="110"/>
      <c r="EKG1366" s="110"/>
      <c r="EKH1366" s="110"/>
      <c r="EKI1366" s="110"/>
      <c r="EKJ1366" s="110"/>
      <c r="EKK1366" s="110"/>
      <c r="EKL1366" s="110"/>
      <c r="EKM1366" s="110"/>
      <c r="EKN1366" s="110"/>
      <c r="EKO1366" s="110"/>
      <c r="EKP1366" s="110"/>
      <c r="EKQ1366" s="110"/>
      <c r="EKR1366" s="110"/>
      <c r="EKS1366" s="110"/>
      <c r="EKT1366" s="110"/>
      <c r="EKU1366" s="110"/>
      <c r="EKV1366" s="110"/>
      <c r="EKW1366" s="110"/>
      <c r="EKX1366" s="110"/>
      <c r="EKY1366" s="110"/>
      <c r="EKZ1366" s="110"/>
      <c r="ELA1366" s="110"/>
      <c r="ELB1366" s="110"/>
      <c r="ELC1366" s="110"/>
      <c r="ELD1366" s="110"/>
      <c r="ELE1366" s="110"/>
      <c r="ELF1366" s="110"/>
      <c r="ELG1366" s="110"/>
      <c r="ELH1366" s="110"/>
      <c r="ELI1366" s="110"/>
      <c r="ELJ1366" s="110"/>
      <c r="ELK1366" s="110"/>
      <c r="ELL1366" s="110"/>
      <c r="ELM1366" s="110"/>
      <c r="ELN1366" s="110"/>
      <c r="ELO1366" s="110"/>
      <c r="ELP1366" s="110"/>
      <c r="ELQ1366" s="110"/>
      <c r="ELR1366" s="110"/>
      <c r="ELS1366" s="110"/>
      <c r="ELT1366" s="110"/>
      <c r="ELU1366" s="110"/>
      <c r="ELV1366" s="110"/>
      <c r="ELW1366" s="110"/>
      <c r="ELX1366" s="110"/>
      <c r="ELY1366" s="110"/>
      <c r="ELZ1366" s="110"/>
      <c r="EMA1366" s="110"/>
      <c r="EMB1366" s="110"/>
      <c r="EMC1366" s="110"/>
      <c r="EMD1366" s="110"/>
      <c r="EME1366" s="110"/>
      <c r="EMF1366" s="110"/>
      <c r="EMG1366" s="110"/>
      <c r="EMH1366" s="110"/>
      <c r="EMI1366" s="110"/>
      <c r="EMJ1366" s="110"/>
      <c r="EMK1366" s="110"/>
      <c r="EML1366" s="110"/>
      <c r="EMM1366" s="110"/>
      <c r="EMN1366" s="110"/>
      <c r="EMO1366" s="110"/>
      <c r="EMP1366" s="110"/>
      <c r="EMQ1366" s="110"/>
      <c r="EMR1366" s="110"/>
      <c r="EMS1366" s="110"/>
      <c r="EMT1366" s="110"/>
      <c r="EMU1366" s="110"/>
      <c r="EMV1366" s="110"/>
      <c r="EMW1366" s="110"/>
      <c r="EMX1366" s="110"/>
      <c r="EMY1366" s="110"/>
      <c r="EMZ1366" s="110"/>
      <c r="ENA1366" s="110"/>
      <c r="ENB1366" s="110"/>
      <c r="ENC1366" s="110"/>
      <c r="END1366" s="110"/>
      <c r="ENE1366" s="110"/>
      <c r="ENF1366" s="110"/>
      <c r="ENG1366" s="110"/>
      <c r="ENH1366" s="110"/>
      <c r="ENI1366" s="110"/>
      <c r="ENJ1366" s="110"/>
      <c r="ENK1366" s="110"/>
      <c r="ENL1366" s="110"/>
      <c r="ENM1366" s="110"/>
      <c r="ENN1366" s="110"/>
      <c r="ENO1366" s="110"/>
      <c r="ENP1366" s="110"/>
      <c r="ENQ1366" s="110"/>
      <c r="ENR1366" s="110"/>
      <c r="ENS1366" s="110"/>
      <c r="ENT1366" s="110"/>
      <c r="ENU1366" s="110"/>
      <c r="ENV1366" s="110"/>
      <c r="ENW1366" s="110"/>
      <c r="ENX1366" s="110"/>
      <c r="ENY1366" s="110"/>
      <c r="ENZ1366" s="110"/>
      <c r="EOA1366" s="110"/>
      <c r="EOB1366" s="110"/>
      <c r="EOC1366" s="110"/>
      <c r="EOD1366" s="110"/>
      <c r="EOE1366" s="110"/>
      <c r="EOF1366" s="110"/>
      <c r="EOG1366" s="110"/>
      <c r="EOH1366" s="110"/>
      <c r="EOI1366" s="110"/>
      <c r="EOJ1366" s="110"/>
      <c r="EOK1366" s="110"/>
      <c r="EOL1366" s="110"/>
      <c r="EOM1366" s="110"/>
      <c r="EON1366" s="110"/>
      <c r="EOO1366" s="110"/>
      <c r="EOP1366" s="110"/>
      <c r="EOQ1366" s="110"/>
      <c r="EOR1366" s="110"/>
      <c r="EOS1366" s="110"/>
      <c r="EOT1366" s="110"/>
      <c r="EOU1366" s="110"/>
      <c r="EOV1366" s="110"/>
      <c r="EOW1366" s="110"/>
      <c r="EOX1366" s="110"/>
      <c r="EOY1366" s="110"/>
      <c r="EOZ1366" s="110"/>
      <c r="EPA1366" s="110"/>
      <c r="EPB1366" s="110"/>
      <c r="EPC1366" s="110"/>
      <c r="EPD1366" s="110"/>
      <c r="EPE1366" s="110"/>
      <c r="EPF1366" s="110"/>
      <c r="EPG1366" s="110"/>
      <c r="EPH1366" s="110"/>
      <c r="EPI1366" s="110"/>
      <c r="EPJ1366" s="110"/>
      <c r="EPK1366" s="110"/>
      <c r="EPL1366" s="110"/>
      <c r="EPM1366" s="110"/>
      <c r="EPN1366" s="110"/>
      <c r="EPO1366" s="110"/>
      <c r="EPP1366" s="110"/>
      <c r="EPQ1366" s="110"/>
      <c r="EPR1366" s="110"/>
      <c r="EPS1366" s="110"/>
      <c r="EPT1366" s="110"/>
      <c r="EPU1366" s="110"/>
      <c r="EPV1366" s="110"/>
      <c r="EPW1366" s="110"/>
      <c r="EPX1366" s="110"/>
      <c r="EPY1366" s="110"/>
      <c r="EPZ1366" s="110"/>
      <c r="EQA1366" s="110"/>
      <c r="EQB1366" s="110"/>
      <c r="EQC1366" s="110"/>
      <c r="EQD1366" s="110"/>
      <c r="EQE1366" s="110"/>
      <c r="EQF1366" s="110"/>
      <c r="EQG1366" s="110"/>
      <c r="EQH1366" s="110"/>
      <c r="EQI1366" s="110"/>
      <c r="EQJ1366" s="110"/>
      <c r="EQK1366" s="110"/>
      <c r="EQL1366" s="110"/>
      <c r="EQM1366" s="110"/>
      <c r="EQN1366" s="110"/>
      <c r="EQO1366" s="110"/>
      <c r="EQP1366" s="110"/>
      <c r="EQQ1366" s="110"/>
      <c r="EQR1366" s="110"/>
      <c r="EQS1366" s="110"/>
      <c r="EQT1366" s="110"/>
      <c r="EQU1366" s="110"/>
      <c r="EQV1366" s="110"/>
      <c r="EQW1366" s="110"/>
      <c r="EQX1366" s="110"/>
      <c r="EQY1366" s="110"/>
      <c r="EQZ1366" s="110"/>
      <c r="ERA1366" s="110"/>
      <c r="ERB1366" s="110"/>
      <c r="ERC1366" s="110"/>
      <c r="ERD1366" s="110"/>
      <c r="ERE1366" s="110"/>
      <c r="ERF1366" s="110"/>
      <c r="ERG1366" s="110"/>
      <c r="ERH1366" s="110"/>
      <c r="ERI1366" s="110"/>
      <c r="ERJ1366" s="110"/>
      <c r="ERK1366" s="110"/>
      <c r="ERL1366" s="110"/>
      <c r="ERM1366" s="110"/>
      <c r="ERN1366" s="110"/>
      <c r="ERO1366" s="110"/>
      <c r="ERP1366" s="110"/>
      <c r="ERQ1366" s="110"/>
      <c r="ERR1366" s="110"/>
      <c r="ERS1366" s="110"/>
      <c r="ERT1366" s="110"/>
      <c r="ERU1366" s="110"/>
      <c r="ERV1366" s="110"/>
      <c r="ERW1366" s="110"/>
      <c r="ERX1366" s="110"/>
      <c r="ERY1366" s="110"/>
      <c r="ERZ1366" s="110"/>
      <c r="ESA1366" s="110"/>
      <c r="ESB1366" s="110"/>
      <c r="ESC1366" s="110"/>
      <c r="ESD1366" s="110"/>
      <c r="ESE1366" s="110"/>
      <c r="ESF1366" s="110"/>
      <c r="ESG1366" s="110"/>
      <c r="ESH1366" s="110"/>
      <c r="ESI1366" s="110"/>
      <c r="ESJ1366" s="110"/>
      <c r="ESK1366" s="110"/>
      <c r="ESL1366" s="110"/>
      <c r="ESM1366" s="110"/>
      <c r="ESN1366" s="110"/>
      <c r="ESO1366" s="110"/>
      <c r="ESP1366" s="110"/>
      <c r="ESQ1366" s="110"/>
      <c r="ESR1366" s="110"/>
      <c r="ESS1366" s="110"/>
      <c r="EST1366" s="110"/>
      <c r="ESU1366" s="110"/>
      <c r="ESV1366" s="110"/>
      <c r="ESW1366" s="110"/>
      <c r="ESX1366" s="110"/>
      <c r="ESY1366" s="110"/>
      <c r="ESZ1366" s="110"/>
      <c r="ETA1366" s="110"/>
      <c r="ETB1366" s="110"/>
      <c r="ETC1366" s="110"/>
      <c r="ETD1366" s="110"/>
      <c r="ETE1366" s="110"/>
      <c r="ETF1366" s="110"/>
      <c r="ETG1366" s="110"/>
      <c r="ETH1366" s="110"/>
      <c r="ETI1366" s="110"/>
      <c r="ETJ1366" s="110"/>
      <c r="ETK1366" s="110"/>
      <c r="ETL1366" s="110"/>
      <c r="ETM1366" s="110"/>
      <c r="ETN1366" s="110"/>
      <c r="ETO1366" s="110"/>
      <c r="ETP1366" s="110"/>
      <c r="ETQ1366" s="110"/>
      <c r="ETR1366" s="110"/>
      <c r="ETS1366" s="110"/>
      <c r="ETT1366" s="110"/>
      <c r="ETU1366" s="110"/>
      <c r="ETV1366" s="110"/>
      <c r="ETW1366" s="110"/>
      <c r="ETX1366" s="110"/>
      <c r="ETY1366" s="110"/>
      <c r="ETZ1366" s="110"/>
      <c r="EUA1366" s="110"/>
      <c r="EUB1366" s="110"/>
      <c r="EUC1366" s="110"/>
      <c r="EUD1366" s="110"/>
      <c r="EUE1366" s="110"/>
      <c r="EUF1366" s="110"/>
      <c r="EUG1366" s="110"/>
      <c r="EUH1366" s="110"/>
      <c r="EUI1366" s="110"/>
      <c r="EUJ1366" s="110"/>
      <c r="EUK1366" s="110"/>
      <c r="EUL1366" s="110"/>
      <c r="EUM1366" s="110"/>
      <c r="EUN1366" s="110"/>
      <c r="EUO1366" s="110"/>
      <c r="EUP1366" s="110"/>
      <c r="EUQ1366" s="110"/>
      <c r="EUR1366" s="110"/>
      <c r="EUS1366" s="110"/>
      <c r="EUT1366" s="110"/>
      <c r="EUU1366" s="110"/>
      <c r="EUV1366" s="110"/>
      <c r="EUW1366" s="110"/>
      <c r="EUX1366" s="110"/>
      <c r="EUY1366" s="110"/>
      <c r="EUZ1366" s="110"/>
      <c r="EVA1366" s="110"/>
      <c r="EVB1366" s="110"/>
      <c r="EVC1366" s="110"/>
      <c r="EVD1366" s="110"/>
      <c r="EVE1366" s="110"/>
      <c r="EVF1366" s="110"/>
      <c r="EVG1366" s="110"/>
      <c r="EVH1366" s="110"/>
      <c r="EVI1366" s="110"/>
      <c r="EVJ1366" s="110"/>
      <c r="EVK1366" s="110"/>
      <c r="EVL1366" s="110"/>
      <c r="EVM1366" s="110"/>
      <c r="EVN1366" s="110"/>
      <c r="EVO1366" s="110"/>
      <c r="EVP1366" s="110"/>
      <c r="EVQ1366" s="110"/>
      <c r="EVR1366" s="110"/>
      <c r="EVS1366" s="110"/>
      <c r="EVT1366" s="110"/>
      <c r="EVU1366" s="110"/>
      <c r="EVV1366" s="110"/>
      <c r="EVW1366" s="110"/>
      <c r="EVX1366" s="110"/>
      <c r="EVY1366" s="110"/>
      <c r="EVZ1366" s="110"/>
      <c r="EWA1366" s="110"/>
      <c r="EWB1366" s="110"/>
      <c r="EWC1366" s="110"/>
      <c r="EWD1366" s="110"/>
      <c r="EWE1366" s="110"/>
      <c r="EWF1366" s="110"/>
      <c r="EWG1366" s="110"/>
      <c r="EWH1366" s="110"/>
      <c r="EWI1366" s="110"/>
      <c r="EWJ1366" s="110"/>
      <c r="EWK1366" s="110"/>
      <c r="EWL1366" s="110"/>
      <c r="EWM1366" s="110"/>
      <c r="EWN1366" s="110"/>
      <c r="EWO1366" s="110"/>
      <c r="EWP1366" s="110"/>
      <c r="EWQ1366" s="110"/>
      <c r="EWR1366" s="110"/>
      <c r="EWS1366" s="110"/>
      <c r="EWT1366" s="110"/>
      <c r="EWU1366" s="110"/>
      <c r="EWV1366" s="110"/>
      <c r="EWW1366" s="110"/>
      <c r="EWX1366" s="110"/>
      <c r="EWY1366" s="110"/>
      <c r="EWZ1366" s="110"/>
      <c r="EXA1366" s="110"/>
      <c r="EXB1366" s="110"/>
      <c r="EXC1366" s="110"/>
      <c r="EXD1366" s="110"/>
      <c r="EXE1366" s="110"/>
      <c r="EXF1366" s="110"/>
      <c r="EXG1366" s="110"/>
      <c r="EXH1366" s="110"/>
      <c r="EXI1366" s="110"/>
      <c r="EXJ1366" s="110"/>
      <c r="EXK1366" s="110"/>
      <c r="EXL1366" s="110"/>
      <c r="EXM1366" s="110"/>
      <c r="EXN1366" s="110"/>
      <c r="EXO1366" s="110"/>
      <c r="EXP1366" s="110"/>
      <c r="EXQ1366" s="110"/>
      <c r="EXR1366" s="110"/>
      <c r="EXS1366" s="110"/>
      <c r="EXT1366" s="110"/>
      <c r="EXU1366" s="110"/>
      <c r="EXV1366" s="110"/>
      <c r="EXW1366" s="110"/>
      <c r="EXX1366" s="110"/>
      <c r="EXY1366" s="110"/>
      <c r="EXZ1366" s="110"/>
      <c r="EYA1366" s="110"/>
      <c r="EYB1366" s="110"/>
      <c r="EYC1366" s="110"/>
      <c r="EYD1366" s="110"/>
      <c r="EYE1366" s="110"/>
      <c r="EYF1366" s="110"/>
      <c r="EYG1366" s="110"/>
      <c r="EYH1366" s="110"/>
      <c r="EYI1366" s="110"/>
      <c r="EYJ1366" s="110"/>
      <c r="EYK1366" s="110"/>
      <c r="EYL1366" s="110"/>
      <c r="EYM1366" s="110"/>
      <c r="EYN1366" s="110"/>
      <c r="EYO1366" s="110"/>
      <c r="EYP1366" s="110"/>
      <c r="EYQ1366" s="110"/>
      <c r="EYR1366" s="110"/>
      <c r="EYS1366" s="110"/>
      <c r="EYT1366" s="110"/>
      <c r="EYU1366" s="110"/>
      <c r="EYV1366" s="110"/>
      <c r="EYW1366" s="110"/>
      <c r="EYX1366" s="110"/>
      <c r="EYY1366" s="110"/>
      <c r="EYZ1366" s="110"/>
      <c r="EZA1366" s="110"/>
      <c r="EZB1366" s="110"/>
      <c r="EZC1366" s="110"/>
      <c r="EZD1366" s="110"/>
      <c r="EZE1366" s="110"/>
      <c r="EZF1366" s="110"/>
      <c r="EZG1366" s="110"/>
      <c r="EZH1366" s="110"/>
      <c r="EZI1366" s="110"/>
      <c r="EZJ1366" s="110"/>
      <c r="EZK1366" s="110"/>
      <c r="EZL1366" s="110"/>
      <c r="EZM1366" s="110"/>
      <c r="EZN1366" s="110"/>
      <c r="EZO1366" s="110"/>
      <c r="EZP1366" s="110"/>
      <c r="EZQ1366" s="110"/>
      <c r="EZR1366" s="110"/>
      <c r="EZS1366" s="110"/>
      <c r="EZT1366" s="110"/>
      <c r="EZU1366" s="110"/>
      <c r="EZV1366" s="110"/>
      <c r="EZW1366" s="110"/>
      <c r="EZX1366" s="110"/>
      <c r="EZY1366" s="110"/>
      <c r="EZZ1366" s="110"/>
      <c r="FAA1366" s="110"/>
      <c r="FAB1366" s="110"/>
      <c r="FAC1366" s="110"/>
      <c r="FAD1366" s="110"/>
      <c r="FAE1366" s="110"/>
      <c r="FAF1366" s="110"/>
      <c r="FAG1366" s="110"/>
      <c r="FAH1366" s="110"/>
      <c r="FAI1366" s="110"/>
      <c r="FAJ1366" s="110"/>
      <c r="FAK1366" s="110"/>
      <c r="FAL1366" s="110"/>
      <c r="FAM1366" s="110"/>
      <c r="FAN1366" s="110"/>
      <c r="FAO1366" s="110"/>
      <c r="FAP1366" s="110"/>
      <c r="FAQ1366" s="110"/>
      <c r="FAR1366" s="110"/>
      <c r="FAS1366" s="110"/>
      <c r="FAT1366" s="110"/>
      <c r="FAU1366" s="110"/>
      <c r="FAV1366" s="110"/>
      <c r="FAW1366" s="110"/>
      <c r="FAX1366" s="110"/>
      <c r="FAY1366" s="110"/>
      <c r="FAZ1366" s="110"/>
      <c r="FBA1366" s="110"/>
      <c r="FBB1366" s="110"/>
      <c r="FBC1366" s="110"/>
      <c r="FBD1366" s="110"/>
      <c r="FBE1366" s="110"/>
      <c r="FBF1366" s="110"/>
      <c r="FBG1366" s="110"/>
      <c r="FBH1366" s="110"/>
      <c r="FBI1366" s="110"/>
      <c r="FBJ1366" s="110"/>
      <c r="FBK1366" s="110"/>
      <c r="FBL1366" s="110"/>
      <c r="FBM1366" s="110"/>
      <c r="FBN1366" s="110"/>
      <c r="FBO1366" s="110"/>
      <c r="FBP1366" s="110"/>
      <c r="FBQ1366" s="110"/>
      <c r="FBR1366" s="110"/>
      <c r="FBS1366" s="110"/>
      <c r="FBT1366" s="110"/>
      <c r="FBU1366" s="110"/>
      <c r="FBV1366" s="110"/>
      <c r="FBW1366" s="110"/>
      <c r="FBX1366" s="110"/>
      <c r="FBY1366" s="110"/>
      <c r="FBZ1366" s="110"/>
      <c r="FCA1366" s="110"/>
      <c r="FCB1366" s="110"/>
      <c r="FCC1366" s="110"/>
      <c r="FCD1366" s="110"/>
      <c r="FCE1366" s="110"/>
      <c r="FCF1366" s="110"/>
      <c r="FCG1366" s="110"/>
      <c r="FCH1366" s="110"/>
      <c r="FCI1366" s="110"/>
      <c r="FCJ1366" s="110"/>
      <c r="FCK1366" s="110"/>
      <c r="FCL1366" s="110"/>
      <c r="FCM1366" s="110"/>
      <c r="FCN1366" s="110"/>
      <c r="FCO1366" s="110"/>
      <c r="FCP1366" s="110"/>
      <c r="FCQ1366" s="110"/>
      <c r="FCR1366" s="110"/>
      <c r="FCS1366" s="110"/>
      <c r="FCT1366" s="110"/>
      <c r="FCU1366" s="110"/>
      <c r="FCV1366" s="110"/>
      <c r="FCW1366" s="110"/>
      <c r="FCX1366" s="110"/>
      <c r="FCY1366" s="110"/>
      <c r="FCZ1366" s="110"/>
      <c r="FDA1366" s="110"/>
      <c r="FDB1366" s="110"/>
      <c r="FDC1366" s="110"/>
      <c r="FDD1366" s="110"/>
      <c r="FDE1366" s="110"/>
      <c r="FDF1366" s="110"/>
      <c r="FDG1366" s="110"/>
      <c r="FDH1366" s="110"/>
      <c r="FDI1366" s="110"/>
      <c r="FDJ1366" s="110"/>
      <c r="FDK1366" s="110"/>
      <c r="FDL1366" s="110"/>
      <c r="FDM1366" s="110"/>
      <c r="FDN1366" s="110"/>
      <c r="FDO1366" s="110"/>
      <c r="FDP1366" s="110"/>
      <c r="FDQ1366" s="110"/>
      <c r="FDR1366" s="110"/>
      <c r="FDS1366" s="110"/>
      <c r="FDT1366" s="110"/>
      <c r="FDU1366" s="110"/>
      <c r="FDV1366" s="110"/>
      <c r="FDW1366" s="110"/>
      <c r="FDX1366" s="110"/>
      <c r="FDY1366" s="110"/>
      <c r="FDZ1366" s="110"/>
      <c r="FEA1366" s="110"/>
      <c r="FEB1366" s="110"/>
      <c r="FEC1366" s="110"/>
      <c r="FED1366" s="110"/>
      <c r="FEE1366" s="110"/>
      <c r="FEF1366" s="110"/>
      <c r="FEG1366" s="110"/>
      <c r="FEH1366" s="110"/>
      <c r="FEI1366" s="110"/>
      <c r="FEJ1366" s="110"/>
      <c r="FEK1366" s="110"/>
      <c r="FEL1366" s="110"/>
      <c r="FEM1366" s="110"/>
      <c r="FEN1366" s="110"/>
      <c r="FEO1366" s="110"/>
      <c r="FEP1366" s="110"/>
      <c r="FEQ1366" s="110"/>
      <c r="FER1366" s="110"/>
      <c r="FES1366" s="110"/>
      <c r="FET1366" s="110"/>
      <c r="FEU1366" s="110"/>
      <c r="FEV1366" s="110"/>
      <c r="FEW1366" s="110"/>
      <c r="FEX1366" s="110"/>
      <c r="FEY1366" s="110"/>
      <c r="FEZ1366" s="110"/>
      <c r="FFA1366" s="110"/>
      <c r="FFB1366" s="110"/>
      <c r="FFC1366" s="110"/>
      <c r="FFD1366" s="110"/>
      <c r="FFE1366" s="110"/>
      <c r="FFF1366" s="110"/>
      <c r="FFG1366" s="110"/>
      <c r="FFH1366" s="110"/>
      <c r="FFI1366" s="110"/>
      <c r="FFJ1366" s="110"/>
      <c r="FFK1366" s="110"/>
      <c r="FFL1366" s="110"/>
      <c r="FFM1366" s="110"/>
      <c r="FFN1366" s="110"/>
      <c r="FFO1366" s="110"/>
      <c r="FFP1366" s="110"/>
      <c r="FFQ1366" s="110"/>
      <c r="FFR1366" s="110"/>
      <c r="FFS1366" s="110"/>
      <c r="FFT1366" s="110"/>
      <c r="FFU1366" s="110"/>
      <c r="FFV1366" s="110"/>
      <c r="FFW1366" s="110"/>
      <c r="FFX1366" s="110"/>
      <c r="FFY1366" s="110"/>
      <c r="FFZ1366" s="110"/>
      <c r="FGA1366" s="110"/>
      <c r="FGB1366" s="110"/>
      <c r="FGC1366" s="110"/>
      <c r="FGD1366" s="110"/>
      <c r="FGE1366" s="110"/>
      <c r="FGF1366" s="110"/>
      <c r="FGG1366" s="110"/>
      <c r="FGH1366" s="110"/>
      <c r="FGI1366" s="110"/>
      <c r="FGJ1366" s="110"/>
      <c r="FGK1366" s="110"/>
      <c r="FGL1366" s="110"/>
      <c r="FGM1366" s="110"/>
      <c r="FGN1366" s="110"/>
      <c r="FGO1366" s="110"/>
      <c r="FGP1366" s="110"/>
      <c r="FGQ1366" s="110"/>
      <c r="FGR1366" s="110"/>
      <c r="FGS1366" s="110"/>
      <c r="FGT1366" s="110"/>
      <c r="FGU1366" s="110"/>
      <c r="FGV1366" s="110"/>
      <c r="FGW1366" s="110"/>
      <c r="FGX1366" s="110"/>
      <c r="FGY1366" s="110"/>
      <c r="FGZ1366" s="110"/>
      <c r="FHA1366" s="110"/>
      <c r="FHB1366" s="110"/>
      <c r="FHC1366" s="110"/>
      <c r="FHD1366" s="110"/>
      <c r="FHE1366" s="110"/>
      <c r="FHF1366" s="110"/>
      <c r="FHG1366" s="110"/>
      <c r="FHH1366" s="110"/>
      <c r="FHI1366" s="110"/>
      <c r="FHJ1366" s="110"/>
      <c r="FHK1366" s="110"/>
      <c r="FHL1366" s="110"/>
      <c r="FHM1366" s="110"/>
      <c r="FHN1366" s="110"/>
      <c r="FHO1366" s="110"/>
      <c r="FHP1366" s="110"/>
      <c r="FHQ1366" s="110"/>
      <c r="FHR1366" s="110"/>
      <c r="FHS1366" s="110"/>
      <c r="FHT1366" s="110"/>
      <c r="FHU1366" s="110"/>
      <c r="FHV1366" s="110"/>
      <c r="FHW1366" s="110"/>
      <c r="FHX1366" s="110"/>
      <c r="FHY1366" s="110"/>
      <c r="FHZ1366" s="110"/>
      <c r="FIA1366" s="110"/>
      <c r="FIB1366" s="110"/>
      <c r="FIC1366" s="110"/>
      <c r="FID1366" s="110"/>
      <c r="FIE1366" s="110"/>
      <c r="FIF1366" s="110"/>
      <c r="FIG1366" s="110"/>
      <c r="FIH1366" s="110"/>
      <c r="FII1366" s="110"/>
      <c r="FIJ1366" s="110"/>
      <c r="FIK1366" s="110"/>
      <c r="FIL1366" s="110"/>
      <c r="FIM1366" s="110"/>
      <c r="FIN1366" s="110"/>
      <c r="FIO1366" s="110"/>
      <c r="FIP1366" s="110"/>
      <c r="FIQ1366" s="110"/>
      <c r="FIR1366" s="110"/>
      <c r="FIS1366" s="110"/>
      <c r="FIT1366" s="110"/>
      <c r="FIU1366" s="110"/>
      <c r="FIV1366" s="110"/>
      <c r="FIW1366" s="110"/>
      <c r="FIX1366" s="110"/>
      <c r="FIY1366" s="110"/>
      <c r="FIZ1366" s="110"/>
      <c r="FJA1366" s="110"/>
      <c r="FJB1366" s="110"/>
      <c r="FJC1366" s="110"/>
      <c r="FJD1366" s="110"/>
      <c r="FJE1366" s="110"/>
      <c r="FJF1366" s="110"/>
      <c r="FJG1366" s="110"/>
      <c r="FJH1366" s="110"/>
      <c r="FJI1366" s="110"/>
      <c r="FJJ1366" s="110"/>
      <c r="FJK1366" s="110"/>
      <c r="FJL1366" s="110"/>
      <c r="FJM1366" s="110"/>
      <c r="FJN1366" s="110"/>
      <c r="FJO1366" s="110"/>
      <c r="FJP1366" s="110"/>
      <c r="FJQ1366" s="110"/>
      <c r="FJR1366" s="110"/>
      <c r="FJS1366" s="110"/>
      <c r="FJT1366" s="110"/>
      <c r="FJU1366" s="110"/>
      <c r="FJV1366" s="110"/>
      <c r="FJW1366" s="110"/>
      <c r="FJX1366" s="110"/>
      <c r="FJY1366" s="110"/>
      <c r="FJZ1366" s="110"/>
      <c r="FKA1366" s="110"/>
      <c r="FKB1366" s="110"/>
      <c r="FKC1366" s="110"/>
      <c r="FKD1366" s="110"/>
      <c r="FKE1366" s="110"/>
      <c r="FKF1366" s="110"/>
      <c r="FKG1366" s="110"/>
      <c r="FKH1366" s="110"/>
      <c r="FKI1366" s="110"/>
      <c r="FKJ1366" s="110"/>
      <c r="FKK1366" s="110"/>
      <c r="FKL1366" s="110"/>
      <c r="FKM1366" s="110"/>
      <c r="FKN1366" s="110"/>
      <c r="FKO1366" s="110"/>
      <c r="FKP1366" s="110"/>
      <c r="FKQ1366" s="110"/>
      <c r="FKR1366" s="110"/>
      <c r="FKS1366" s="110"/>
      <c r="FKT1366" s="110"/>
      <c r="FKU1366" s="110"/>
      <c r="FKV1366" s="110"/>
      <c r="FKW1366" s="110"/>
      <c r="FKX1366" s="110"/>
      <c r="FKY1366" s="110"/>
      <c r="FKZ1366" s="110"/>
      <c r="FLA1366" s="110"/>
      <c r="FLB1366" s="110"/>
      <c r="FLC1366" s="110"/>
      <c r="FLD1366" s="110"/>
      <c r="FLE1366" s="110"/>
      <c r="FLF1366" s="110"/>
      <c r="FLG1366" s="110"/>
      <c r="FLH1366" s="110"/>
      <c r="FLI1366" s="110"/>
      <c r="FLJ1366" s="110"/>
      <c r="FLK1366" s="110"/>
      <c r="FLL1366" s="110"/>
      <c r="FLM1366" s="110"/>
      <c r="FLN1366" s="110"/>
      <c r="FLO1366" s="110"/>
      <c r="FLP1366" s="110"/>
      <c r="FLQ1366" s="110"/>
      <c r="FLR1366" s="110"/>
      <c r="FLS1366" s="110"/>
      <c r="FLT1366" s="110"/>
      <c r="FLU1366" s="110"/>
      <c r="FLV1366" s="110"/>
      <c r="FLW1366" s="110"/>
      <c r="FLX1366" s="110"/>
      <c r="FLY1366" s="110"/>
      <c r="FLZ1366" s="110"/>
      <c r="FMA1366" s="110"/>
      <c r="FMB1366" s="110"/>
      <c r="FMC1366" s="110"/>
      <c r="FMD1366" s="110"/>
      <c r="FME1366" s="110"/>
      <c r="FMF1366" s="110"/>
      <c r="FMG1366" s="110"/>
      <c r="FMH1366" s="110"/>
      <c r="FMI1366" s="110"/>
      <c r="FMJ1366" s="110"/>
      <c r="FMK1366" s="110"/>
      <c r="FML1366" s="110"/>
      <c r="FMM1366" s="110"/>
      <c r="FMN1366" s="110"/>
      <c r="FMO1366" s="110"/>
      <c r="FMP1366" s="110"/>
      <c r="FMQ1366" s="110"/>
      <c r="FMR1366" s="110"/>
      <c r="FMS1366" s="110"/>
      <c r="FMT1366" s="110"/>
      <c r="FMU1366" s="110"/>
      <c r="FMV1366" s="110"/>
      <c r="FMW1366" s="110"/>
      <c r="FMX1366" s="110"/>
      <c r="FMY1366" s="110"/>
      <c r="FMZ1366" s="110"/>
      <c r="FNA1366" s="110"/>
      <c r="FNB1366" s="110"/>
      <c r="FNC1366" s="110"/>
      <c r="FND1366" s="110"/>
      <c r="FNE1366" s="110"/>
      <c r="FNF1366" s="110"/>
      <c r="FNG1366" s="110"/>
      <c r="FNH1366" s="110"/>
      <c r="FNI1366" s="110"/>
      <c r="FNJ1366" s="110"/>
      <c r="FNK1366" s="110"/>
      <c r="FNL1366" s="110"/>
      <c r="FNM1366" s="110"/>
      <c r="FNN1366" s="110"/>
      <c r="FNO1366" s="110"/>
      <c r="FNP1366" s="110"/>
      <c r="FNQ1366" s="110"/>
      <c r="FNR1366" s="110"/>
      <c r="FNS1366" s="110"/>
      <c r="FNT1366" s="110"/>
      <c r="FNU1366" s="110"/>
      <c r="FNV1366" s="110"/>
      <c r="FNW1366" s="110"/>
      <c r="FNX1366" s="110"/>
      <c r="FNY1366" s="110"/>
      <c r="FNZ1366" s="110"/>
      <c r="FOA1366" s="110"/>
      <c r="FOB1366" s="110"/>
      <c r="FOC1366" s="110"/>
      <c r="FOD1366" s="110"/>
      <c r="FOE1366" s="110"/>
      <c r="FOF1366" s="110"/>
      <c r="FOG1366" s="110"/>
      <c r="FOH1366" s="110"/>
      <c r="FOI1366" s="110"/>
      <c r="FOJ1366" s="110"/>
      <c r="FOK1366" s="110"/>
      <c r="FOL1366" s="110"/>
      <c r="FOM1366" s="110"/>
      <c r="FON1366" s="110"/>
      <c r="FOO1366" s="110"/>
      <c r="FOP1366" s="110"/>
      <c r="FOQ1366" s="110"/>
      <c r="FOR1366" s="110"/>
      <c r="FOS1366" s="110"/>
      <c r="FOT1366" s="110"/>
      <c r="FOU1366" s="110"/>
      <c r="FOV1366" s="110"/>
      <c r="FOW1366" s="110"/>
      <c r="FOX1366" s="110"/>
      <c r="FOY1366" s="110"/>
      <c r="FOZ1366" s="110"/>
      <c r="FPA1366" s="110"/>
      <c r="FPB1366" s="110"/>
      <c r="FPC1366" s="110"/>
      <c r="FPD1366" s="110"/>
      <c r="FPE1366" s="110"/>
      <c r="FPF1366" s="110"/>
      <c r="FPG1366" s="110"/>
      <c r="FPH1366" s="110"/>
      <c r="FPI1366" s="110"/>
      <c r="FPJ1366" s="110"/>
      <c r="FPK1366" s="110"/>
      <c r="FPL1366" s="110"/>
      <c r="FPM1366" s="110"/>
      <c r="FPN1366" s="110"/>
      <c r="FPO1366" s="110"/>
      <c r="FPP1366" s="110"/>
      <c r="FPQ1366" s="110"/>
      <c r="FPR1366" s="110"/>
      <c r="FPS1366" s="110"/>
      <c r="FPT1366" s="110"/>
      <c r="FPU1366" s="110"/>
      <c r="FPV1366" s="110"/>
      <c r="FPW1366" s="110"/>
      <c r="FPX1366" s="110"/>
      <c r="FPY1366" s="110"/>
      <c r="FPZ1366" s="110"/>
      <c r="FQA1366" s="110"/>
      <c r="FQB1366" s="110"/>
      <c r="FQC1366" s="110"/>
      <c r="FQD1366" s="110"/>
      <c r="FQE1366" s="110"/>
      <c r="FQF1366" s="110"/>
      <c r="FQG1366" s="110"/>
      <c r="FQH1366" s="110"/>
      <c r="FQI1366" s="110"/>
      <c r="FQJ1366" s="110"/>
      <c r="FQK1366" s="110"/>
      <c r="FQL1366" s="110"/>
      <c r="FQM1366" s="110"/>
      <c r="FQN1366" s="110"/>
      <c r="FQO1366" s="110"/>
      <c r="FQP1366" s="110"/>
      <c r="FQQ1366" s="110"/>
      <c r="FQR1366" s="110"/>
      <c r="FQS1366" s="110"/>
      <c r="FQT1366" s="110"/>
      <c r="FQU1366" s="110"/>
      <c r="FQV1366" s="110"/>
      <c r="FQW1366" s="110"/>
      <c r="FQX1366" s="110"/>
      <c r="FQY1366" s="110"/>
      <c r="FQZ1366" s="110"/>
      <c r="FRA1366" s="110"/>
      <c r="FRB1366" s="110"/>
      <c r="FRC1366" s="110"/>
      <c r="FRD1366" s="110"/>
      <c r="FRE1366" s="110"/>
      <c r="FRF1366" s="110"/>
      <c r="FRG1366" s="110"/>
      <c r="FRH1366" s="110"/>
      <c r="FRI1366" s="110"/>
      <c r="FRJ1366" s="110"/>
      <c r="FRK1366" s="110"/>
      <c r="FRL1366" s="110"/>
      <c r="FRM1366" s="110"/>
      <c r="FRN1366" s="110"/>
      <c r="FRO1366" s="110"/>
      <c r="FRP1366" s="110"/>
      <c r="FRQ1366" s="110"/>
      <c r="FRR1366" s="110"/>
      <c r="FRS1366" s="110"/>
      <c r="FRT1366" s="110"/>
      <c r="FRU1366" s="110"/>
      <c r="FRV1366" s="110"/>
      <c r="FRW1366" s="110"/>
      <c r="FRX1366" s="110"/>
      <c r="FRY1366" s="110"/>
      <c r="FRZ1366" s="110"/>
      <c r="FSA1366" s="110"/>
      <c r="FSB1366" s="110"/>
      <c r="FSC1366" s="110"/>
      <c r="FSD1366" s="110"/>
      <c r="FSE1366" s="110"/>
      <c r="FSF1366" s="110"/>
      <c r="FSG1366" s="110"/>
      <c r="FSH1366" s="110"/>
      <c r="FSI1366" s="110"/>
      <c r="FSJ1366" s="110"/>
      <c r="FSK1366" s="110"/>
      <c r="FSL1366" s="110"/>
      <c r="FSM1366" s="110"/>
      <c r="FSN1366" s="110"/>
      <c r="FSO1366" s="110"/>
      <c r="FSP1366" s="110"/>
      <c r="FSQ1366" s="110"/>
      <c r="FSR1366" s="110"/>
      <c r="FSS1366" s="110"/>
      <c r="FST1366" s="110"/>
      <c r="FSU1366" s="110"/>
      <c r="FSV1366" s="110"/>
      <c r="FSW1366" s="110"/>
      <c r="FSX1366" s="110"/>
      <c r="FSY1366" s="110"/>
      <c r="FSZ1366" s="110"/>
      <c r="FTA1366" s="110"/>
      <c r="FTB1366" s="110"/>
      <c r="FTC1366" s="110"/>
      <c r="FTD1366" s="110"/>
      <c r="FTE1366" s="110"/>
      <c r="FTF1366" s="110"/>
      <c r="FTG1366" s="110"/>
      <c r="FTH1366" s="110"/>
      <c r="FTI1366" s="110"/>
      <c r="FTJ1366" s="110"/>
      <c r="FTK1366" s="110"/>
      <c r="FTL1366" s="110"/>
      <c r="FTM1366" s="110"/>
      <c r="FTN1366" s="110"/>
      <c r="FTO1366" s="110"/>
      <c r="FTP1366" s="110"/>
      <c r="FTQ1366" s="110"/>
      <c r="FTR1366" s="110"/>
      <c r="FTS1366" s="110"/>
      <c r="FTT1366" s="110"/>
      <c r="FTU1366" s="110"/>
      <c r="FTV1366" s="110"/>
      <c r="FTW1366" s="110"/>
      <c r="FTX1366" s="110"/>
      <c r="FTY1366" s="110"/>
      <c r="FTZ1366" s="110"/>
      <c r="FUA1366" s="110"/>
      <c r="FUB1366" s="110"/>
      <c r="FUC1366" s="110"/>
      <c r="FUD1366" s="110"/>
      <c r="FUE1366" s="110"/>
      <c r="FUF1366" s="110"/>
      <c r="FUG1366" s="110"/>
      <c r="FUH1366" s="110"/>
      <c r="FUI1366" s="110"/>
      <c r="FUJ1366" s="110"/>
      <c r="FUK1366" s="110"/>
      <c r="FUL1366" s="110"/>
      <c r="FUM1366" s="110"/>
      <c r="FUN1366" s="110"/>
      <c r="FUO1366" s="110"/>
      <c r="FUP1366" s="110"/>
      <c r="FUQ1366" s="110"/>
      <c r="FUR1366" s="110"/>
      <c r="FUS1366" s="110"/>
      <c r="FUT1366" s="110"/>
      <c r="FUU1366" s="110"/>
      <c r="FUV1366" s="110"/>
      <c r="FUW1366" s="110"/>
      <c r="FUX1366" s="110"/>
      <c r="FUY1366" s="110"/>
      <c r="FUZ1366" s="110"/>
      <c r="FVA1366" s="110"/>
      <c r="FVB1366" s="110"/>
      <c r="FVC1366" s="110"/>
      <c r="FVD1366" s="110"/>
      <c r="FVE1366" s="110"/>
      <c r="FVF1366" s="110"/>
      <c r="FVG1366" s="110"/>
      <c r="FVH1366" s="110"/>
      <c r="FVI1366" s="110"/>
      <c r="FVJ1366" s="110"/>
      <c r="FVK1366" s="110"/>
      <c r="FVL1366" s="110"/>
      <c r="FVM1366" s="110"/>
      <c r="FVN1366" s="110"/>
      <c r="FVO1366" s="110"/>
      <c r="FVP1366" s="110"/>
      <c r="FVQ1366" s="110"/>
      <c r="FVR1366" s="110"/>
      <c r="FVS1366" s="110"/>
      <c r="FVT1366" s="110"/>
      <c r="FVU1366" s="110"/>
      <c r="FVV1366" s="110"/>
      <c r="FVW1366" s="110"/>
      <c r="FVX1366" s="110"/>
      <c r="FVY1366" s="110"/>
      <c r="FVZ1366" s="110"/>
      <c r="FWA1366" s="110"/>
      <c r="FWB1366" s="110"/>
      <c r="FWC1366" s="110"/>
      <c r="FWD1366" s="110"/>
      <c r="FWE1366" s="110"/>
      <c r="FWF1366" s="110"/>
      <c r="FWG1366" s="110"/>
      <c r="FWH1366" s="110"/>
      <c r="FWI1366" s="110"/>
      <c r="FWJ1366" s="110"/>
      <c r="FWK1366" s="110"/>
      <c r="FWL1366" s="110"/>
      <c r="FWM1366" s="110"/>
      <c r="FWN1366" s="110"/>
      <c r="FWO1366" s="110"/>
      <c r="FWP1366" s="110"/>
      <c r="FWQ1366" s="110"/>
      <c r="FWR1366" s="110"/>
      <c r="FWS1366" s="110"/>
      <c r="FWT1366" s="110"/>
      <c r="FWU1366" s="110"/>
      <c r="FWV1366" s="110"/>
      <c r="FWW1366" s="110"/>
      <c r="FWX1366" s="110"/>
      <c r="FWY1366" s="110"/>
      <c r="FWZ1366" s="110"/>
      <c r="FXA1366" s="110"/>
      <c r="FXB1366" s="110"/>
      <c r="FXC1366" s="110"/>
      <c r="FXD1366" s="110"/>
      <c r="FXE1366" s="110"/>
      <c r="FXF1366" s="110"/>
      <c r="FXG1366" s="110"/>
      <c r="FXH1366" s="110"/>
      <c r="FXI1366" s="110"/>
      <c r="FXJ1366" s="110"/>
      <c r="FXK1366" s="110"/>
      <c r="FXL1366" s="110"/>
      <c r="FXM1366" s="110"/>
      <c r="FXN1366" s="110"/>
      <c r="FXO1366" s="110"/>
      <c r="FXP1366" s="110"/>
      <c r="FXQ1366" s="110"/>
      <c r="FXR1366" s="110"/>
      <c r="FXS1366" s="110"/>
      <c r="FXT1366" s="110"/>
      <c r="FXU1366" s="110"/>
      <c r="FXV1366" s="110"/>
      <c r="FXW1366" s="110"/>
      <c r="FXX1366" s="110"/>
      <c r="FXY1366" s="110"/>
      <c r="FXZ1366" s="110"/>
      <c r="FYA1366" s="110"/>
      <c r="FYB1366" s="110"/>
      <c r="FYC1366" s="110"/>
      <c r="FYD1366" s="110"/>
      <c r="FYE1366" s="110"/>
      <c r="FYF1366" s="110"/>
      <c r="FYG1366" s="110"/>
      <c r="FYH1366" s="110"/>
      <c r="FYI1366" s="110"/>
      <c r="FYJ1366" s="110"/>
      <c r="FYK1366" s="110"/>
      <c r="FYL1366" s="110"/>
      <c r="FYM1366" s="110"/>
      <c r="FYN1366" s="110"/>
      <c r="FYO1366" s="110"/>
      <c r="FYP1366" s="110"/>
      <c r="FYQ1366" s="110"/>
      <c r="FYR1366" s="110"/>
      <c r="FYS1366" s="110"/>
      <c r="FYT1366" s="110"/>
      <c r="FYU1366" s="110"/>
      <c r="FYV1366" s="110"/>
      <c r="FYW1366" s="110"/>
      <c r="FYX1366" s="110"/>
      <c r="FYY1366" s="110"/>
      <c r="FYZ1366" s="110"/>
      <c r="FZA1366" s="110"/>
      <c r="FZB1366" s="110"/>
      <c r="FZC1366" s="110"/>
      <c r="FZD1366" s="110"/>
      <c r="FZE1366" s="110"/>
      <c r="FZF1366" s="110"/>
      <c r="FZG1366" s="110"/>
      <c r="FZH1366" s="110"/>
      <c r="FZI1366" s="110"/>
      <c r="FZJ1366" s="110"/>
      <c r="FZK1366" s="110"/>
      <c r="FZL1366" s="110"/>
      <c r="FZM1366" s="110"/>
      <c r="FZN1366" s="110"/>
      <c r="FZO1366" s="110"/>
      <c r="FZP1366" s="110"/>
      <c r="FZQ1366" s="110"/>
      <c r="FZR1366" s="110"/>
      <c r="FZS1366" s="110"/>
      <c r="FZT1366" s="110"/>
      <c r="FZU1366" s="110"/>
      <c r="FZV1366" s="110"/>
      <c r="FZW1366" s="110"/>
      <c r="FZX1366" s="110"/>
      <c r="FZY1366" s="110"/>
      <c r="FZZ1366" s="110"/>
      <c r="GAA1366" s="110"/>
      <c r="GAB1366" s="110"/>
      <c r="GAC1366" s="110"/>
      <c r="GAD1366" s="110"/>
      <c r="GAE1366" s="110"/>
      <c r="GAF1366" s="110"/>
      <c r="GAG1366" s="110"/>
      <c r="GAH1366" s="110"/>
      <c r="GAI1366" s="110"/>
      <c r="GAJ1366" s="110"/>
      <c r="GAK1366" s="110"/>
      <c r="GAL1366" s="110"/>
      <c r="GAM1366" s="110"/>
      <c r="GAN1366" s="110"/>
      <c r="GAO1366" s="110"/>
      <c r="GAP1366" s="110"/>
      <c r="GAQ1366" s="110"/>
      <c r="GAR1366" s="110"/>
      <c r="GAS1366" s="110"/>
      <c r="GAT1366" s="110"/>
      <c r="GAU1366" s="110"/>
      <c r="GAV1366" s="110"/>
      <c r="GAW1366" s="110"/>
      <c r="GAX1366" s="110"/>
      <c r="GAY1366" s="110"/>
      <c r="GAZ1366" s="110"/>
      <c r="GBA1366" s="110"/>
      <c r="GBB1366" s="110"/>
      <c r="GBC1366" s="110"/>
      <c r="GBD1366" s="110"/>
      <c r="GBE1366" s="110"/>
      <c r="GBF1366" s="110"/>
      <c r="GBG1366" s="110"/>
      <c r="GBH1366" s="110"/>
      <c r="GBI1366" s="110"/>
      <c r="GBJ1366" s="110"/>
      <c r="GBK1366" s="110"/>
      <c r="GBL1366" s="110"/>
      <c r="GBM1366" s="110"/>
      <c r="GBN1366" s="110"/>
      <c r="GBO1366" s="110"/>
      <c r="GBP1366" s="110"/>
      <c r="GBQ1366" s="110"/>
      <c r="GBR1366" s="110"/>
      <c r="GBS1366" s="110"/>
      <c r="GBT1366" s="110"/>
      <c r="GBU1366" s="110"/>
      <c r="GBV1366" s="110"/>
      <c r="GBW1366" s="110"/>
      <c r="GBX1366" s="110"/>
      <c r="GBY1366" s="110"/>
      <c r="GBZ1366" s="110"/>
      <c r="GCA1366" s="110"/>
      <c r="GCB1366" s="110"/>
      <c r="GCC1366" s="110"/>
      <c r="GCD1366" s="110"/>
      <c r="GCE1366" s="110"/>
      <c r="GCF1366" s="110"/>
      <c r="GCG1366" s="110"/>
      <c r="GCH1366" s="110"/>
      <c r="GCI1366" s="110"/>
      <c r="GCJ1366" s="110"/>
      <c r="GCK1366" s="110"/>
      <c r="GCL1366" s="110"/>
      <c r="GCM1366" s="110"/>
      <c r="GCN1366" s="110"/>
      <c r="GCO1366" s="110"/>
      <c r="GCP1366" s="110"/>
      <c r="GCQ1366" s="110"/>
      <c r="GCR1366" s="110"/>
      <c r="GCS1366" s="110"/>
      <c r="GCT1366" s="110"/>
      <c r="GCU1366" s="110"/>
      <c r="GCV1366" s="110"/>
      <c r="GCW1366" s="110"/>
      <c r="GCX1366" s="110"/>
      <c r="GCY1366" s="110"/>
      <c r="GCZ1366" s="110"/>
      <c r="GDA1366" s="110"/>
      <c r="GDB1366" s="110"/>
      <c r="GDC1366" s="110"/>
      <c r="GDD1366" s="110"/>
      <c r="GDE1366" s="110"/>
      <c r="GDF1366" s="110"/>
      <c r="GDG1366" s="110"/>
      <c r="GDH1366" s="110"/>
      <c r="GDI1366" s="110"/>
      <c r="GDJ1366" s="110"/>
      <c r="GDK1366" s="110"/>
      <c r="GDL1366" s="110"/>
      <c r="GDM1366" s="110"/>
      <c r="GDN1366" s="110"/>
      <c r="GDO1366" s="110"/>
      <c r="GDP1366" s="110"/>
      <c r="GDQ1366" s="110"/>
      <c r="GDR1366" s="110"/>
      <c r="GDS1366" s="110"/>
      <c r="GDT1366" s="110"/>
      <c r="GDU1366" s="110"/>
      <c r="GDV1366" s="110"/>
      <c r="GDW1366" s="110"/>
      <c r="GDX1366" s="110"/>
      <c r="GDY1366" s="110"/>
      <c r="GDZ1366" s="110"/>
      <c r="GEA1366" s="110"/>
      <c r="GEB1366" s="110"/>
      <c r="GEC1366" s="110"/>
      <c r="GED1366" s="110"/>
      <c r="GEE1366" s="110"/>
      <c r="GEF1366" s="110"/>
      <c r="GEG1366" s="110"/>
      <c r="GEH1366" s="110"/>
      <c r="GEI1366" s="110"/>
      <c r="GEJ1366" s="110"/>
      <c r="GEK1366" s="110"/>
      <c r="GEL1366" s="110"/>
      <c r="GEM1366" s="110"/>
      <c r="GEN1366" s="110"/>
      <c r="GEO1366" s="110"/>
      <c r="GEP1366" s="110"/>
      <c r="GEQ1366" s="110"/>
      <c r="GER1366" s="110"/>
      <c r="GES1366" s="110"/>
      <c r="GET1366" s="110"/>
      <c r="GEU1366" s="110"/>
      <c r="GEV1366" s="110"/>
      <c r="GEW1366" s="110"/>
      <c r="GEX1366" s="110"/>
      <c r="GEY1366" s="110"/>
      <c r="GEZ1366" s="110"/>
      <c r="GFA1366" s="110"/>
      <c r="GFB1366" s="110"/>
      <c r="GFC1366" s="110"/>
      <c r="GFD1366" s="110"/>
      <c r="GFE1366" s="110"/>
      <c r="GFF1366" s="110"/>
      <c r="GFG1366" s="110"/>
      <c r="GFH1366" s="110"/>
      <c r="GFI1366" s="110"/>
      <c r="GFJ1366" s="110"/>
      <c r="GFK1366" s="110"/>
      <c r="GFL1366" s="110"/>
      <c r="GFM1366" s="110"/>
      <c r="GFN1366" s="110"/>
      <c r="GFO1366" s="110"/>
      <c r="GFP1366" s="110"/>
      <c r="GFQ1366" s="110"/>
      <c r="GFR1366" s="110"/>
      <c r="GFS1366" s="110"/>
      <c r="GFT1366" s="110"/>
      <c r="GFU1366" s="110"/>
      <c r="GFV1366" s="110"/>
      <c r="GFW1366" s="110"/>
      <c r="GFX1366" s="110"/>
      <c r="GFY1366" s="110"/>
      <c r="GFZ1366" s="110"/>
      <c r="GGA1366" s="110"/>
      <c r="GGB1366" s="110"/>
      <c r="GGC1366" s="110"/>
      <c r="GGD1366" s="110"/>
      <c r="GGE1366" s="110"/>
      <c r="GGF1366" s="110"/>
      <c r="GGG1366" s="110"/>
      <c r="GGH1366" s="110"/>
      <c r="GGI1366" s="110"/>
      <c r="GGJ1366" s="110"/>
      <c r="GGK1366" s="110"/>
      <c r="GGL1366" s="110"/>
      <c r="GGM1366" s="110"/>
      <c r="GGN1366" s="110"/>
      <c r="GGO1366" s="110"/>
      <c r="GGP1366" s="110"/>
      <c r="GGQ1366" s="110"/>
      <c r="GGR1366" s="110"/>
      <c r="GGS1366" s="110"/>
      <c r="GGT1366" s="110"/>
      <c r="GGU1366" s="110"/>
      <c r="GGV1366" s="110"/>
      <c r="GGW1366" s="110"/>
      <c r="GGX1366" s="110"/>
      <c r="GGY1366" s="110"/>
      <c r="GGZ1366" s="110"/>
      <c r="GHA1366" s="110"/>
      <c r="GHB1366" s="110"/>
      <c r="GHC1366" s="110"/>
      <c r="GHD1366" s="110"/>
      <c r="GHE1366" s="110"/>
      <c r="GHF1366" s="110"/>
      <c r="GHG1366" s="110"/>
      <c r="GHH1366" s="110"/>
      <c r="GHI1366" s="110"/>
      <c r="GHJ1366" s="110"/>
      <c r="GHK1366" s="110"/>
      <c r="GHL1366" s="110"/>
      <c r="GHM1366" s="110"/>
      <c r="GHN1366" s="110"/>
      <c r="GHO1366" s="110"/>
      <c r="GHP1366" s="110"/>
      <c r="GHQ1366" s="110"/>
      <c r="GHR1366" s="110"/>
      <c r="GHS1366" s="110"/>
      <c r="GHT1366" s="110"/>
      <c r="GHU1366" s="110"/>
      <c r="GHV1366" s="110"/>
      <c r="GHW1366" s="110"/>
      <c r="GHX1366" s="110"/>
      <c r="GHY1366" s="110"/>
      <c r="GHZ1366" s="110"/>
      <c r="GIA1366" s="110"/>
      <c r="GIB1366" s="110"/>
      <c r="GIC1366" s="110"/>
      <c r="GID1366" s="110"/>
      <c r="GIE1366" s="110"/>
      <c r="GIF1366" s="110"/>
      <c r="GIG1366" s="110"/>
      <c r="GIH1366" s="110"/>
      <c r="GII1366" s="110"/>
      <c r="GIJ1366" s="110"/>
      <c r="GIK1366" s="110"/>
      <c r="GIL1366" s="110"/>
      <c r="GIM1366" s="110"/>
      <c r="GIN1366" s="110"/>
      <c r="GIO1366" s="110"/>
      <c r="GIP1366" s="110"/>
      <c r="GIQ1366" s="110"/>
      <c r="GIR1366" s="110"/>
      <c r="GIS1366" s="110"/>
      <c r="GIT1366" s="110"/>
      <c r="GIU1366" s="110"/>
      <c r="GIV1366" s="110"/>
      <c r="GIW1366" s="110"/>
      <c r="GIX1366" s="110"/>
      <c r="GIY1366" s="110"/>
      <c r="GIZ1366" s="110"/>
      <c r="GJA1366" s="110"/>
      <c r="GJB1366" s="110"/>
      <c r="GJC1366" s="110"/>
      <c r="GJD1366" s="110"/>
      <c r="GJE1366" s="110"/>
      <c r="GJF1366" s="110"/>
      <c r="GJG1366" s="110"/>
      <c r="GJH1366" s="110"/>
      <c r="GJI1366" s="110"/>
      <c r="GJJ1366" s="110"/>
      <c r="GJK1366" s="110"/>
      <c r="GJL1366" s="110"/>
      <c r="GJM1366" s="110"/>
      <c r="GJN1366" s="110"/>
      <c r="GJO1366" s="110"/>
      <c r="GJP1366" s="110"/>
      <c r="GJQ1366" s="110"/>
      <c r="GJR1366" s="110"/>
      <c r="GJS1366" s="110"/>
      <c r="GJT1366" s="110"/>
      <c r="GJU1366" s="110"/>
      <c r="GJV1366" s="110"/>
      <c r="GJW1366" s="110"/>
      <c r="GJX1366" s="110"/>
      <c r="GJY1366" s="110"/>
      <c r="GJZ1366" s="110"/>
      <c r="GKA1366" s="110"/>
      <c r="GKB1366" s="110"/>
      <c r="GKC1366" s="110"/>
      <c r="GKD1366" s="110"/>
      <c r="GKE1366" s="110"/>
      <c r="GKF1366" s="110"/>
      <c r="GKG1366" s="110"/>
      <c r="GKH1366" s="110"/>
      <c r="GKI1366" s="110"/>
      <c r="GKJ1366" s="110"/>
      <c r="GKK1366" s="110"/>
      <c r="GKL1366" s="110"/>
      <c r="GKM1366" s="110"/>
      <c r="GKN1366" s="110"/>
      <c r="GKO1366" s="110"/>
      <c r="GKP1366" s="110"/>
      <c r="GKQ1366" s="110"/>
      <c r="GKR1366" s="110"/>
      <c r="GKS1366" s="110"/>
      <c r="GKT1366" s="110"/>
      <c r="GKU1366" s="110"/>
      <c r="GKV1366" s="110"/>
      <c r="GKW1366" s="110"/>
      <c r="GKX1366" s="110"/>
      <c r="GKY1366" s="110"/>
      <c r="GKZ1366" s="110"/>
      <c r="GLA1366" s="110"/>
      <c r="GLB1366" s="110"/>
      <c r="GLC1366" s="110"/>
      <c r="GLD1366" s="110"/>
      <c r="GLE1366" s="110"/>
      <c r="GLF1366" s="110"/>
      <c r="GLG1366" s="110"/>
      <c r="GLH1366" s="110"/>
      <c r="GLI1366" s="110"/>
      <c r="GLJ1366" s="110"/>
      <c r="GLK1366" s="110"/>
      <c r="GLL1366" s="110"/>
      <c r="GLM1366" s="110"/>
      <c r="GLN1366" s="110"/>
      <c r="GLO1366" s="110"/>
      <c r="GLP1366" s="110"/>
      <c r="GLQ1366" s="110"/>
      <c r="GLR1366" s="110"/>
      <c r="GLS1366" s="110"/>
      <c r="GLT1366" s="110"/>
      <c r="GLU1366" s="110"/>
      <c r="GLV1366" s="110"/>
      <c r="GLW1366" s="110"/>
      <c r="GLX1366" s="110"/>
      <c r="GLY1366" s="110"/>
      <c r="GLZ1366" s="110"/>
      <c r="GMA1366" s="110"/>
      <c r="GMB1366" s="110"/>
      <c r="GMC1366" s="110"/>
      <c r="GMD1366" s="110"/>
      <c r="GME1366" s="110"/>
      <c r="GMF1366" s="110"/>
      <c r="GMG1366" s="110"/>
      <c r="GMH1366" s="110"/>
      <c r="GMI1366" s="110"/>
      <c r="GMJ1366" s="110"/>
      <c r="GMK1366" s="110"/>
      <c r="GML1366" s="110"/>
      <c r="GMM1366" s="110"/>
      <c r="GMN1366" s="110"/>
      <c r="GMO1366" s="110"/>
      <c r="GMP1366" s="110"/>
      <c r="GMQ1366" s="110"/>
      <c r="GMR1366" s="110"/>
      <c r="GMS1366" s="110"/>
      <c r="GMT1366" s="110"/>
      <c r="GMU1366" s="110"/>
      <c r="GMV1366" s="110"/>
      <c r="GMW1366" s="110"/>
      <c r="GMX1366" s="110"/>
      <c r="GMY1366" s="110"/>
      <c r="GMZ1366" s="110"/>
      <c r="GNA1366" s="110"/>
      <c r="GNB1366" s="110"/>
      <c r="GNC1366" s="110"/>
      <c r="GND1366" s="110"/>
      <c r="GNE1366" s="110"/>
      <c r="GNF1366" s="110"/>
      <c r="GNG1366" s="110"/>
      <c r="GNH1366" s="110"/>
      <c r="GNI1366" s="110"/>
      <c r="GNJ1366" s="110"/>
      <c r="GNK1366" s="110"/>
      <c r="GNL1366" s="110"/>
      <c r="GNM1366" s="110"/>
      <c r="GNN1366" s="110"/>
      <c r="GNO1366" s="110"/>
      <c r="GNP1366" s="110"/>
      <c r="GNQ1366" s="110"/>
      <c r="GNR1366" s="110"/>
      <c r="GNS1366" s="110"/>
      <c r="GNT1366" s="110"/>
      <c r="GNU1366" s="110"/>
      <c r="GNV1366" s="110"/>
      <c r="GNW1366" s="110"/>
      <c r="GNX1366" s="110"/>
      <c r="GNY1366" s="110"/>
      <c r="GNZ1366" s="110"/>
      <c r="GOA1366" s="110"/>
      <c r="GOB1366" s="110"/>
      <c r="GOC1366" s="110"/>
      <c r="GOD1366" s="110"/>
      <c r="GOE1366" s="110"/>
      <c r="GOF1366" s="110"/>
      <c r="GOG1366" s="110"/>
      <c r="GOH1366" s="110"/>
      <c r="GOI1366" s="110"/>
      <c r="GOJ1366" s="110"/>
      <c r="GOK1366" s="110"/>
      <c r="GOL1366" s="110"/>
      <c r="GOM1366" s="110"/>
      <c r="GON1366" s="110"/>
      <c r="GOO1366" s="110"/>
      <c r="GOP1366" s="110"/>
      <c r="GOQ1366" s="110"/>
      <c r="GOR1366" s="110"/>
      <c r="GOS1366" s="110"/>
      <c r="GOT1366" s="110"/>
      <c r="GOU1366" s="110"/>
      <c r="GOV1366" s="110"/>
      <c r="GOW1366" s="110"/>
      <c r="GOX1366" s="110"/>
      <c r="GOY1366" s="110"/>
      <c r="GOZ1366" s="110"/>
      <c r="GPA1366" s="110"/>
      <c r="GPB1366" s="110"/>
      <c r="GPC1366" s="110"/>
      <c r="GPD1366" s="110"/>
      <c r="GPE1366" s="110"/>
      <c r="GPF1366" s="110"/>
      <c r="GPG1366" s="110"/>
      <c r="GPH1366" s="110"/>
      <c r="GPI1366" s="110"/>
      <c r="GPJ1366" s="110"/>
      <c r="GPK1366" s="110"/>
      <c r="GPL1366" s="110"/>
      <c r="GPM1366" s="110"/>
      <c r="GPN1366" s="110"/>
      <c r="GPO1366" s="110"/>
      <c r="GPP1366" s="110"/>
      <c r="GPQ1366" s="110"/>
      <c r="GPR1366" s="110"/>
      <c r="GPS1366" s="110"/>
      <c r="GPT1366" s="110"/>
      <c r="GPU1366" s="110"/>
      <c r="GPV1366" s="110"/>
      <c r="GPW1366" s="110"/>
      <c r="GPX1366" s="110"/>
      <c r="GPY1366" s="110"/>
      <c r="GPZ1366" s="110"/>
      <c r="GQA1366" s="110"/>
      <c r="GQB1366" s="110"/>
      <c r="GQC1366" s="110"/>
      <c r="GQD1366" s="110"/>
      <c r="GQE1366" s="110"/>
      <c r="GQF1366" s="110"/>
      <c r="GQG1366" s="110"/>
      <c r="GQH1366" s="110"/>
      <c r="GQI1366" s="110"/>
      <c r="GQJ1366" s="110"/>
      <c r="GQK1366" s="110"/>
      <c r="GQL1366" s="110"/>
      <c r="GQM1366" s="110"/>
      <c r="GQN1366" s="110"/>
      <c r="GQO1366" s="110"/>
      <c r="GQP1366" s="110"/>
      <c r="GQQ1366" s="110"/>
      <c r="GQR1366" s="110"/>
      <c r="GQS1366" s="110"/>
      <c r="GQT1366" s="110"/>
      <c r="GQU1366" s="110"/>
      <c r="GQV1366" s="110"/>
      <c r="GQW1366" s="110"/>
      <c r="GQX1366" s="110"/>
      <c r="GQY1366" s="110"/>
      <c r="GQZ1366" s="110"/>
      <c r="GRA1366" s="110"/>
      <c r="GRB1366" s="110"/>
      <c r="GRC1366" s="110"/>
      <c r="GRD1366" s="110"/>
      <c r="GRE1366" s="110"/>
      <c r="GRF1366" s="110"/>
      <c r="GRG1366" s="110"/>
      <c r="GRH1366" s="110"/>
      <c r="GRI1366" s="110"/>
      <c r="GRJ1366" s="110"/>
      <c r="GRK1366" s="110"/>
      <c r="GRL1366" s="110"/>
      <c r="GRM1366" s="110"/>
      <c r="GRN1366" s="110"/>
      <c r="GRO1366" s="110"/>
      <c r="GRP1366" s="110"/>
      <c r="GRQ1366" s="110"/>
      <c r="GRR1366" s="110"/>
      <c r="GRS1366" s="110"/>
      <c r="GRT1366" s="110"/>
      <c r="GRU1366" s="110"/>
      <c r="GRV1366" s="110"/>
      <c r="GRW1366" s="110"/>
      <c r="GRX1366" s="110"/>
      <c r="GRY1366" s="110"/>
      <c r="GRZ1366" s="110"/>
      <c r="GSA1366" s="110"/>
      <c r="GSB1366" s="110"/>
      <c r="GSC1366" s="110"/>
      <c r="GSD1366" s="110"/>
      <c r="GSE1366" s="110"/>
      <c r="GSF1366" s="110"/>
      <c r="GSG1366" s="110"/>
      <c r="GSH1366" s="110"/>
      <c r="GSI1366" s="110"/>
      <c r="GSJ1366" s="110"/>
      <c r="GSK1366" s="110"/>
      <c r="GSL1366" s="110"/>
      <c r="GSM1366" s="110"/>
      <c r="GSN1366" s="110"/>
      <c r="GSO1366" s="110"/>
      <c r="GSP1366" s="110"/>
      <c r="GSQ1366" s="110"/>
      <c r="GSR1366" s="110"/>
      <c r="GSS1366" s="110"/>
      <c r="GST1366" s="110"/>
      <c r="GSU1366" s="110"/>
      <c r="GSV1366" s="110"/>
      <c r="GSW1366" s="110"/>
      <c r="GSX1366" s="110"/>
      <c r="GSY1366" s="110"/>
      <c r="GSZ1366" s="110"/>
      <c r="GTA1366" s="110"/>
      <c r="GTB1366" s="110"/>
      <c r="GTC1366" s="110"/>
      <c r="GTD1366" s="110"/>
      <c r="GTE1366" s="110"/>
      <c r="GTF1366" s="110"/>
      <c r="GTG1366" s="110"/>
      <c r="GTH1366" s="110"/>
      <c r="GTI1366" s="110"/>
      <c r="GTJ1366" s="110"/>
      <c r="GTK1366" s="110"/>
      <c r="GTL1366" s="110"/>
      <c r="GTM1366" s="110"/>
      <c r="GTN1366" s="110"/>
      <c r="GTO1366" s="110"/>
      <c r="GTP1366" s="110"/>
      <c r="GTQ1366" s="110"/>
      <c r="GTR1366" s="110"/>
      <c r="GTS1366" s="110"/>
      <c r="GTT1366" s="110"/>
      <c r="GTU1366" s="110"/>
      <c r="GTV1366" s="110"/>
      <c r="GTW1366" s="110"/>
      <c r="GTX1366" s="110"/>
      <c r="GTY1366" s="110"/>
      <c r="GTZ1366" s="110"/>
      <c r="GUA1366" s="110"/>
      <c r="GUB1366" s="110"/>
      <c r="GUC1366" s="110"/>
      <c r="GUD1366" s="110"/>
      <c r="GUE1366" s="110"/>
      <c r="GUF1366" s="110"/>
      <c r="GUG1366" s="110"/>
      <c r="GUH1366" s="110"/>
      <c r="GUI1366" s="110"/>
      <c r="GUJ1366" s="110"/>
      <c r="GUK1366" s="110"/>
      <c r="GUL1366" s="110"/>
      <c r="GUM1366" s="110"/>
      <c r="GUN1366" s="110"/>
      <c r="GUO1366" s="110"/>
      <c r="GUP1366" s="110"/>
      <c r="GUQ1366" s="110"/>
      <c r="GUR1366" s="110"/>
      <c r="GUS1366" s="110"/>
      <c r="GUT1366" s="110"/>
      <c r="GUU1366" s="110"/>
      <c r="GUV1366" s="110"/>
      <c r="GUW1366" s="110"/>
      <c r="GUX1366" s="110"/>
      <c r="GUY1366" s="110"/>
      <c r="GUZ1366" s="110"/>
      <c r="GVA1366" s="110"/>
      <c r="GVB1366" s="110"/>
      <c r="GVC1366" s="110"/>
      <c r="GVD1366" s="110"/>
      <c r="GVE1366" s="110"/>
      <c r="GVF1366" s="110"/>
      <c r="GVG1366" s="110"/>
      <c r="GVH1366" s="110"/>
      <c r="GVI1366" s="110"/>
      <c r="GVJ1366" s="110"/>
      <c r="GVK1366" s="110"/>
      <c r="GVL1366" s="110"/>
      <c r="GVM1366" s="110"/>
      <c r="GVN1366" s="110"/>
      <c r="GVO1366" s="110"/>
      <c r="GVP1366" s="110"/>
      <c r="GVQ1366" s="110"/>
      <c r="GVR1366" s="110"/>
      <c r="GVS1366" s="110"/>
      <c r="GVT1366" s="110"/>
      <c r="GVU1366" s="110"/>
      <c r="GVV1366" s="110"/>
      <c r="GVW1366" s="110"/>
      <c r="GVX1366" s="110"/>
      <c r="GVY1366" s="110"/>
      <c r="GVZ1366" s="110"/>
      <c r="GWA1366" s="110"/>
      <c r="GWB1366" s="110"/>
      <c r="GWC1366" s="110"/>
      <c r="GWD1366" s="110"/>
      <c r="GWE1366" s="110"/>
      <c r="GWF1366" s="110"/>
      <c r="GWG1366" s="110"/>
      <c r="GWH1366" s="110"/>
      <c r="GWI1366" s="110"/>
      <c r="GWJ1366" s="110"/>
      <c r="GWK1366" s="110"/>
      <c r="GWL1366" s="110"/>
      <c r="GWM1366" s="110"/>
      <c r="GWN1366" s="110"/>
      <c r="GWO1366" s="110"/>
      <c r="GWP1366" s="110"/>
      <c r="GWQ1366" s="110"/>
      <c r="GWR1366" s="110"/>
      <c r="GWS1366" s="110"/>
      <c r="GWT1366" s="110"/>
      <c r="GWU1366" s="110"/>
      <c r="GWV1366" s="110"/>
      <c r="GWW1366" s="110"/>
      <c r="GWX1366" s="110"/>
      <c r="GWY1366" s="110"/>
      <c r="GWZ1366" s="110"/>
      <c r="GXA1366" s="110"/>
      <c r="GXB1366" s="110"/>
      <c r="GXC1366" s="110"/>
      <c r="GXD1366" s="110"/>
      <c r="GXE1366" s="110"/>
      <c r="GXF1366" s="110"/>
      <c r="GXG1366" s="110"/>
      <c r="GXH1366" s="110"/>
      <c r="GXI1366" s="110"/>
      <c r="GXJ1366" s="110"/>
      <c r="GXK1366" s="110"/>
      <c r="GXL1366" s="110"/>
      <c r="GXM1366" s="110"/>
      <c r="GXN1366" s="110"/>
      <c r="GXO1366" s="110"/>
      <c r="GXP1366" s="110"/>
      <c r="GXQ1366" s="110"/>
      <c r="GXR1366" s="110"/>
      <c r="GXS1366" s="110"/>
      <c r="GXT1366" s="110"/>
      <c r="GXU1366" s="110"/>
      <c r="GXV1366" s="110"/>
      <c r="GXW1366" s="110"/>
      <c r="GXX1366" s="110"/>
      <c r="GXY1366" s="110"/>
      <c r="GXZ1366" s="110"/>
      <c r="GYA1366" s="110"/>
      <c r="GYB1366" s="110"/>
      <c r="GYC1366" s="110"/>
      <c r="GYD1366" s="110"/>
      <c r="GYE1366" s="110"/>
      <c r="GYF1366" s="110"/>
      <c r="GYG1366" s="110"/>
      <c r="GYH1366" s="110"/>
      <c r="GYI1366" s="110"/>
      <c r="GYJ1366" s="110"/>
      <c r="GYK1366" s="110"/>
      <c r="GYL1366" s="110"/>
      <c r="GYM1366" s="110"/>
      <c r="GYN1366" s="110"/>
      <c r="GYO1366" s="110"/>
      <c r="GYP1366" s="110"/>
      <c r="GYQ1366" s="110"/>
      <c r="GYR1366" s="110"/>
      <c r="GYS1366" s="110"/>
      <c r="GYT1366" s="110"/>
      <c r="GYU1366" s="110"/>
      <c r="GYV1366" s="110"/>
      <c r="GYW1366" s="110"/>
      <c r="GYX1366" s="110"/>
      <c r="GYY1366" s="110"/>
      <c r="GYZ1366" s="110"/>
      <c r="GZA1366" s="110"/>
      <c r="GZB1366" s="110"/>
      <c r="GZC1366" s="110"/>
      <c r="GZD1366" s="110"/>
      <c r="GZE1366" s="110"/>
      <c r="GZF1366" s="110"/>
      <c r="GZG1366" s="110"/>
      <c r="GZH1366" s="110"/>
      <c r="GZI1366" s="110"/>
      <c r="GZJ1366" s="110"/>
      <c r="GZK1366" s="110"/>
      <c r="GZL1366" s="110"/>
      <c r="GZM1366" s="110"/>
      <c r="GZN1366" s="110"/>
      <c r="GZO1366" s="110"/>
      <c r="GZP1366" s="110"/>
      <c r="GZQ1366" s="110"/>
      <c r="GZR1366" s="110"/>
      <c r="GZS1366" s="110"/>
      <c r="GZT1366" s="110"/>
      <c r="GZU1366" s="110"/>
      <c r="GZV1366" s="110"/>
      <c r="GZW1366" s="110"/>
      <c r="GZX1366" s="110"/>
      <c r="GZY1366" s="110"/>
      <c r="GZZ1366" s="110"/>
      <c r="HAA1366" s="110"/>
      <c r="HAB1366" s="110"/>
      <c r="HAC1366" s="110"/>
      <c r="HAD1366" s="110"/>
      <c r="HAE1366" s="110"/>
      <c r="HAF1366" s="110"/>
      <c r="HAG1366" s="110"/>
      <c r="HAH1366" s="110"/>
      <c r="HAI1366" s="110"/>
      <c r="HAJ1366" s="110"/>
      <c r="HAK1366" s="110"/>
      <c r="HAL1366" s="110"/>
      <c r="HAM1366" s="110"/>
      <c r="HAN1366" s="110"/>
      <c r="HAO1366" s="110"/>
      <c r="HAP1366" s="110"/>
      <c r="HAQ1366" s="110"/>
      <c r="HAR1366" s="110"/>
      <c r="HAS1366" s="110"/>
      <c r="HAT1366" s="110"/>
      <c r="HAU1366" s="110"/>
      <c r="HAV1366" s="110"/>
      <c r="HAW1366" s="110"/>
      <c r="HAX1366" s="110"/>
      <c r="HAY1366" s="110"/>
      <c r="HAZ1366" s="110"/>
      <c r="HBA1366" s="110"/>
      <c r="HBB1366" s="110"/>
      <c r="HBC1366" s="110"/>
      <c r="HBD1366" s="110"/>
      <c r="HBE1366" s="110"/>
      <c r="HBF1366" s="110"/>
      <c r="HBG1366" s="110"/>
      <c r="HBH1366" s="110"/>
      <c r="HBI1366" s="110"/>
      <c r="HBJ1366" s="110"/>
      <c r="HBK1366" s="110"/>
      <c r="HBL1366" s="110"/>
      <c r="HBM1366" s="110"/>
      <c r="HBN1366" s="110"/>
      <c r="HBO1366" s="110"/>
      <c r="HBP1366" s="110"/>
      <c r="HBQ1366" s="110"/>
      <c r="HBR1366" s="110"/>
      <c r="HBS1366" s="110"/>
      <c r="HBT1366" s="110"/>
      <c r="HBU1366" s="110"/>
      <c r="HBV1366" s="110"/>
      <c r="HBW1366" s="110"/>
      <c r="HBX1366" s="110"/>
      <c r="HBY1366" s="110"/>
      <c r="HBZ1366" s="110"/>
      <c r="HCA1366" s="110"/>
      <c r="HCB1366" s="110"/>
      <c r="HCC1366" s="110"/>
      <c r="HCD1366" s="110"/>
      <c r="HCE1366" s="110"/>
      <c r="HCF1366" s="110"/>
      <c r="HCG1366" s="110"/>
      <c r="HCH1366" s="110"/>
      <c r="HCI1366" s="110"/>
      <c r="HCJ1366" s="110"/>
      <c r="HCK1366" s="110"/>
      <c r="HCL1366" s="110"/>
      <c r="HCM1366" s="110"/>
      <c r="HCN1366" s="110"/>
      <c r="HCO1366" s="110"/>
      <c r="HCP1366" s="110"/>
      <c r="HCQ1366" s="110"/>
      <c r="HCR1366" s="110"/>
      <c r="HCS1366" s="110"/>
      <c r="HCT1366" s="110"/>
      <c r="HCU1366" s="110"/>
      <c r="HCV1366" s="110"/>
      <c r="HCW1366" s="110"/>
      <c r="HCX1366" s="110"/>
      <c r="HCY1366" s="110"/>
      <c r="HCZ1366" s="110"/>
      <c r="HDA1366" s="110"/>
      <c r="HDB1366" s="110"/>
      <c r="HDC1366" s="110"/>
      <c r="HDD1366" s="110"/>
      <c r="HDE1366" s="110"/>
      <c r="HDF1366" s="110"/>
      <c r="HDG1366" s="110"/>
      <c r="HDH1366" s="110"/>
      <c r="HDI1366" s="110"/>
      <c r="HDJ1366" s="110"/>
      <c r="HDK1366" s="110"/>
      <c r="HDL1366" s="110"/>
      <c r="HDM1366" s="110"/>
      <c r="HDN1366" s="110"/>
      <c r="HDO1366" s="110"/>
      <c r="HDP1366" s="110"/>
      <c r="HDQ1366" s="110"/>
      <c r="HDR1366" s="110"/>
      <c r="HDS1366" s="110"/>
      <c r="HDT1366" s="110"/>
      <c r="HDU1366" s="110"/>
      <c r="HDV1366" s="110"/>
      <c r="HDW1366" s="110"/>
      <c r="HDX1366" s="110"/>
      <c r="HDY1366" s="110"/>
      <c r="HDZ1366" s="110"/>
      <c r="HEA1366" s="110"/>
      <c r="HEB1366" s="110"/>
      <c r="HEC1366" s="110"/>
      <c r="HED1366" s="110"/>
      <c r="HEE1366" s="110"/>
      <c r="HEF1366" s="110"/>
      <c r="HEG1366" s="110"/>
      <c r="HEH1366" s="110"/>
      <c r="HEI1366" s="110"/>
      <c r="HEJ1366" s="110"/>
      <c r="HEK1366" s="110"/>
      <c r="HEL1366" s="110"/>
      <c r="HEM1366" s="110"/>
      <c r="HEN1366" s="110"/>
      <c r="HEO1366" s="110"/>
      <c r="HEP1366" s="110"/>
      <c r="HEQ1366" s="110"/>
      <c r="HER1366" s="110"/>
      <c r="HES1366" s="110"/>
      <c r="HET1366" s="110"/>
      <c r="HEU1366" s="110"/>
      <c r="HEV1366" s="110"/>
      <c r="HEW1366" s="110"/>
      <c r="HEX1366" s="110"/>
      <c r="HEY1366" s="110"/>
      <c r="HEZ1366" s="110"/>
      <c r="HFA1366" s="110"/>
      <c r="HFB1366" s="110"/>
      <c r="HFC1366" s="110"/>
      <c r="HFD1366" s="110"/>
      <c r="HFE1366" s="110"/>
      <c r="HFF1366" s="110"/>
      <c r="HFG1366" s="110"/>
      <c r="HFH1366" s="110"/>
      <c r="HFI1366" s="110"/>
      <c r="HFJ1366" s="110"/>
      <c r="HFK1366" s="110"/>
      <c r="HFL1366" s="110"/>
      <c r="HFM1366" s="110"/>
      <c r="HFN1366" s="110"/>
      <c r="HFO1366" s="110"/>
      <c r="HFP1366" s="110"/>
      <c r="HFQ1366" s="110"/>
      <c r="HFR1366" s="110"/>
      <c r="HFS1366" s="110"/>
      <c r="HFT1366" s="110"/>
      <c r="HFU1366" s="110"/>
      <c r="HFV1366" s="110"/>
      <c r="HFW1366" s="110"/>
      <c r="HFX1366" s="110"/>
      <c r="HFY1366" s="110"/>
      <c r="HFZ1366" s="110"/>
      <c r="HGA1366" s="110"/>
      <c r="HGB1366" s="110"/>
      <c r="HGC1366" s="110"/>
      <c r="HGD1366" s="110"/>
      <c r="HGE1366" s="110"/>
      <c r="HGF1366" s="110"/>
      <c r="HGG1366" s="110"/>
      <c r="HGH1366" s="110"/>
      <c r="HGI1366" s="110"/>
      <c r="HGJ1366" s="110"/>
      <c r="HGK1366" s="110"/>
      <c r="HGL1366" s="110"/>
      <c r="HGM1366" s="110"/>
      <c r="HGN1366" s="110"/>
      <c r="HGO1366" s="110"/>
      <c r="HGP1366" s="110"/>
      <c r="HGQ1366" s="110"/>
      <c r="HGR1366" s="110"/>
      <c r="HGS1366" s="110"/>
      <c r="HGT1366" s="110"/>
      <c r="HGU1366" s="110"/>
      <c r="HGV1366" s="110"/>
      <c r="HGW1366" s="110"/>
      <c r="HGX1366" s="110"/>
      <c r="HGY1366" s="110"/>
      <c r="HGZ1366" s="110"/>
      <c r="HHA1366" s="110"/>
      <c r="HHB1366" s="110"/>
      <c r="HHC1366" s="110"/>
      <c r="HHD1366" s="110"/>
      <c r="HHE1366" s="110"/>
      <c r="HHF1366" s="110"/>
      <c r="HHG1366" s="110"/>
      <c r="HHH1366" s="110"/>
      <c r="HHI1366" s="110"/>
      <c r="HHJ1366" s="110"/>
      <c r="HHK1366" s="110"/>
      <c r="HHL1366" s="110"/>
      <c r="HHM1366" s="110"/>
      <c r="HHN1366" s="110"/>
      <c r="HHO1366" s="110"/>
      <c r="HHP1366" s="110"/>
      <c r="HHQ1366" s="110"/>
      <c r="HHR1366" s="110"/>
      <c r="HHS1366" s="110"/>
      <c r="HHT1366" s="110"/>
      <c r="HHU1366" s="110"/>
      <c r="HHV1366" s="110"/>
      <c r="HHW1366" s="110"/>
      <c r="HHX1366" s="110"/>
      <c r="HHY1366" s="110"/>
      <c r="HHZ1366" s="110"/>
      <c r="HIA1366" s="110"/>
      <c r="HIB1366" s="110"/>
      <c r="HIC1366" s="110"/>
      <c r="HID1366" s="110"/>
      <c r="HIE1366" s="110"/>
      <c r="HIF1366" s="110"/>
      <c r="HIG1366" s="110"/>
      <c r="HIH1366" s="110"/>
      <c r="HII1366" s="110"/>
      <c r="HIJ1366" s="110"/>
      <c r="HIK1366" s="110"/>
      <c r="HIL1366" s="110"/>
      <c r="HIM1366" s="110"/>
      <c r="HIN1366" s="110"/>
      <c r="HIO1366" s="110"/>
      <c r="HIP1366" s="110"/>
      <c r="HIQ1366" s="110"/>
      <c r="HIR1366" s="110"/>
      <c r="HIS1366" s="110"/>
      <c r="HIT1366" s="110"/>
      <c r="HIU1366" s="110"/>
      <c r="HIV1366" s="110"/>
      <c r="HIW1366" s="110"/>
      <c r="HIX1366" s="110"/>
      <c r="HIY1366" s="110"/>
      <c r="HIZ1366" s="110"/>
      <c r="HJA1366" s="110"/>
      <c r="HJB1366" s="110"/>
      <c r="HJC1366" s="110"/>
      <c r="HJD1366" s="110"/>
      <c r="HJE1366" s="110"/>
      <c r="HJF1366" s="110"/>
      <c r="HJG1366" s="110"/>
      <c r="HJH1366" s="110"/>
      <c r="HJI1366" s="110"/>
      <c r="HJJ1366" s="110"/>
      <c r="HJK1366" s="110"/>
      <c r="HJL1366" s="110"/>
      <c r="HJM1366" s="110"/>
      <c r="HJN1366" s="110"/>
      <c r="HJO1366" s="110"/>
      <c r="HJP1366" s="110"/>
      <c r="HJQ1366" s="110"/>
      <c r="HJR1366" s="110"/>
      <c r="HJS1366" s="110"/>
      <c r="HJT1366" s="110"/>
      <c r="HJU1366" s="110"/>
      <c r="HJV1366" s="110"/>
      <c r="HJW1366" s="110"/>
      <c r="HJX1366" s="110"/>
      <c r="HJY1366" s="110"/>
      <c r="HJZ1366" s="110"/>
      <c r="HKA1366" s="110"/>
      <c r="HKB1366" s="110"/>
      <c r="HKC1366" s="110"/>
      <c r="HKD1366" s="110"/>
      <c r="HKE1366" s="110"/>
      <c r="HKF1366" s="110"/>
      <c r="HKG1366" s="110"/>
      <c r="HKH1366" s="110"/>
      <c r="HKI1366" s="110"/>
      <c r="HKJ1366" s="110"/>
      <c r="HKK1366" s="110"/>
      <c r="HKL1366" s="110"/>
      <c r="HKM1366" s="110"/>
      <c r="HKN1366" s="110"/>
      <c r="HKO1366" s="110"/>
      <c r="HKP1366" s="110"/>
      <c r="HKQ1366" s="110"/>
      <c r="HKR1366" s="110"/>
      <c r="HKS1366" s="110"/>
      <c r="HKT1366" s="110"/>
      <c r="HKU1366" s="110"/>
      <c r="HKV1366" s="110"/>
      <c r="HKW1366" s="110"/>
      <c r="HKX1366" s="110"/>
      <c r="HKY1366" s="110"/>
      <c r="HKZ1366" s="110"/>
      <c r="HLA1366" s="110"/>
      <c r="HLB1366" s="110"/>
      <c r="HLC1366" s="110"/>
      <c r="HLD1366" s="110"/>
      <c r="HLE1366" s="110"/>
      <c r="HLF1366" s="110"/>
      <c r="HLG1366" s="110"/>
      <c r="HLH1366" s="110"/>
      <c r="HLI1366" s="110"/>
      <c r="HLJ1366" s="110"/>
      <c r="HLK1366" s="110"/>
      <c r="HLL1366" s="110"/>
      <c r="HLM1366" s="110"/>
      <c r="HLN1366" s="110"/>
      <c r="HLO1366" s="110"/>
      <c r="HLP1366" s="110"/>
      <c r="HLQ1366" s="110"/>
      <c r="HLR1366" s="110"/>
      <c r="HLS1366" s="110"/>
      <c r="HLT1366" s="110"/>
      <c r="HLU1366" s="110"/>
      <c r="HLV1366" s="110"/>
      <c r="HLW1366" s="110"/>
      <c r="HLX1366" s="110"/>
      <c r="HLY1366" s="110"/>
      <c r="HLZ1366" s="110"/>
      <c r="HMA1366" s="110"/>
      <c r="HMB1366" s="110"/>
      <c r="HMC1366" s="110"/>
      <c r="HMD1366" s="110"/>
      <c r="HME1366" s="110"/>
      <c r="HMF1366" s="110"/>
      <c r="HMG1366" s="110"/>
      <c r="HMH1366" s="110"/>
      <c r="HMI1366" s="110"/>
      <c r="HMJ1366" s="110"/>
      <c r="HMK1366" s="110"/>
      <c r="HML1366" s="110"/>
      <c r="HMM1366" s="110"/>
      <c r="HMN1366" s="110"/>
      <c r="HMO1366" s="110"/>
      <c r="HMP1366" s="110"/>
      <c r="HMQ1366" s="110"/>
      <c r="HMR1366" s="110"/>
      <c r="HMS1366" s="110"/>
      <c r="HMT1366" s="110"/>
      <c r="HMU1366" s="110"/>
      <c r="HMV1366" s="110"/>
      <c r="HMW1366" s="110"/>
      <c r="HMX1366" s="110"/>
      <c r="HMY1366" s="110"/>
      <c r="HMZ1366" s="110"/>
      <c r="HNA1366" s="110"/>
      <c r="HNB1366" s="110"/>
      <c r="HNC1366" s="110"/>
      <c r="HND1366" s="110"/>
      <c r="HNE1366" s="110"/>
      <c r="HNF1366" s="110"/>
      <c r="HNG1366" s="110"/>
      <c r="HNH1366" s="110"/>
      <c r="HNI1366" s="110"/>
      <c r="HNJ1366" s="110"/>
      <c r="HNK1366" s="110"/>
      <c r="HNL1366" s="110"/>
      <c r="HNM1366" s="110"/>
      <c r="HNN1366" s="110"/>
      <c r="HNO1366" s="110"/>
      <c r="HNP1366" s="110"/>
      <c r="HNQ1366" s="110"/>
      <c r="HNR1366" s="110"/>
      <c r="HNS1366" s="110"/>
      <c r="HNT1366" s="110"/>
      <c r="HNU1366" s="110"/>
      <c r="HNV1366" s="110"/>
      <c r="HNW1366" s="110"/>
      <c r="HNX1366" s="110"/>
      <c r="HNY1366" s="110"/>
      <c r="HNZ1366" s="110"/>
      <c r="HOA1366" s="110"/>
      <c r="HOB1366" s="110"/>
      <c r="HOC1366" s="110"/>
      <c r="HOD1366" s="110"/>
      <c r="HOE1366" s="110"/>
      <c r="HOF1366" s="110"/>
      <c r="HOG1366" s="110"/>
      <c r="HOH1366" s="110"/>
      <c r="HOI1366" s="110"/>
      <c r="HOJ1366" s="110"/>
      <c r="HOK1366" s="110"/>
      <c r="HOL1366" s="110"/>
      <c r="HOM1366" s="110"/>
      <c r="HON1366" s="110"/>
      <c r="HOO1366" s="110"/>
      <c r="HOP1366" s="110"/>
      <c r="HOQ1366" s="110"/>
      <c r="HOR1366" s="110"/>
      <c r="HOS1366" s="110"/>
      <c r="HOT1366" s="110"/>
      <c r="HOU1366" s="110"/>
      <c r="HOV1366" s="110"/>
      <c r="HOW1366" s="110"/>
      <c r="HOX1366" s="110"/>
      <c r="HOY1366" s="110"/>
      <c r="HOZ1366" s="110"/>
      <c r="HPA1366" s="110"/>
      <c r="HPB1366" s="110"/>
      <c r="HPC1366" s="110"/>
      <c r="HPD1366" s="110"/>
      <c r="HPE1366" s="110"/>
      <c r="HPF1366" s="110"/>
      <c r="HPG1366" s="110"/>
      <c r="HPH1366" s="110"/>
      <c r="HPI1366" s="110"/>
      <c r="HPJ1366" s="110"/>
      <c r="HPK1366" s="110"/>
      <c r="HPL1366" s="110"/>
      <c r="HPM1366" s="110"/>
      <c r="HPN1366" s="110"/>
      <c r="HPO1366" s="110"/>
      <c r="HPP1366" s="110"/>
      <c r="HPQ1366" s="110"/>
      <c r="HPR1366" s="110"/>
      <c r="HPS1366" s="110"/>
      <c r="HPT1366" s="110"/>
      <c r="HPU1366" s="110"/>
      <c r="HPV1366" s="110"/>
      <c r="HPW1366" s="110"/>
      <c r="HPX1366" s="110"/>
      <c r="HPY1366" s="110"/>
      <c r="HPZ1366" s="110"/>
      <c r="HQA1366" s="110"/>
      <c r="HQB1366" s="110"/>
      <c r="HQC1366" s="110"/>
      <c r="HQD1366" s="110"/>
      <c r="HQE1366" s="110"/>
      <c r="HQF1366" s="110"/>
      <c r="HQG1366" s="110"/>
      <c r="HQH1366" s="110"/>
      <c r="HQI1366" s="110"/>
      <c r="HQJ1366" s="110"/>
      <c r="HQK1366" s="110"/>
      <c r="HQL1366" s="110"/>
      <c r="HQM1366" s="110"/>
      <c r="HQN1366" s="110"/>
      <c r="HQO1366" s="110"/>
      <c r="HQP1366" s="110"/>
      <c r="HQQ1366" s="110"/>
      <c r="HQR1366" s="110"/>
      <c r="HQS1366" s="110"/>
      <c r="HQT1366" s="110"/>
      <c r="HQU1366" s="110"/>
      <c r="HQV1366" s="110"/>
      <c r="HQW1366" s="110"/>
      <c r="HQX1366" s="110"/>
      <c r="HQY1366" s="110"/>
      <c r="HQZ1366" s="110"/>
      <c r="HRA1366" s="110"/>
      <c r="HRB1366" s="110"/>
      <c r="HRC1366" s="110"/>
      <c r="HRD1366" s="110"/>
      <c r="HRE1366" s="110"/>
      <c r="HRF1366" s="110"/>
      <c r="HRG1366" s="110"/>
      <c r="HRH1366" s="110"/>
      <c r="HRI1366" s="110"/>
      <c r="HRJ1366" s="110"/>
      <c r="HRK1366" s="110"/>
      <c r="HRL1366" s="110"/>
      <c r="HRM1366" s="110"/>
      <c r="HRN1366" s="110"/>
      <c r="HRO1366" s="110"/>
      <c r="HRP1366" s="110"/>
      <c r="HRQ1366" s="110"/>
      <c r="HRR1366" s="110"/>
      <c r="HRS1366" s="110"/>
      <c r="HRT1366" s="110"/>
      <c r="HRU1366" s="110"/>
      <c r="HRV1366" s="110"/>
      <c r="HRW1366" s="110"/>
      <c r="HRX1366" s="110"/>
      <c r="HRY1366" s="110"/>
      <c r="HRZ1366" s="110"/>
      <c r="HSA1366" s="110"/>
      <c r="HSB1366" s="110"/>
      <c r="HSC1366" s="110"/>
      <c r="HSD1366" s="110"/>
      <c r="HSE1366" s="110"/>
      <c r="HSF1366" s="110"/>
      <c r="HSG1366" s="110"/>
      <c r="HSH1366" s="110"/>
      <c r="HSI1366" s="110"/>
      <c r="HSJ1366" s="110"/>
      <c r="HSK1366" s="110"/>
      <c r="HSL1366" s="110"/>
      <c r="HSM1366" s="110"/>
      <c r="HSN1366" s="110"/>
      <c r="HSO1366" s="110"/>
      <c r="HSP1366" s="110"/>
      <c r="HSQ1366" s="110"/>
      <c r="HSR1366" s="110"/>
      <c r="HSS1366" s="110"/>
      <c r="HST1366" s="110"/>
      <c r="HSU1366" s="110"/>
      <c r="HSV1366" s="110"/>
      <c r="HSW1366" s="110"/>
      <c r="HSX1366" s="110"/>
      <c r="HSY1366" s="110"/>
      <c r="HSZ1366" s="110"/>
      <c r="HTA1366" s="110"/>
      <c r="HTB1366" s="110"/>
      <c r="HTC1366" s="110"/>
      <c r="HTD1366" s="110"/>
      <c r="HTE1366" s="110"/>
      <c r="HTF1366" s="110"/>
      <c r="HTG1366" s="110"/>
      <c r="HTH1366" s="110"/>
      <c r="HTI1366" s="110"/>
      <c r="HTJ1366" s="110"/>
      <c r="HTK1366" s="110"/>
      <c r="HTL1366" s="110"/>
      <c r="HTM1366" s="110"/>
      <c r="HTN1366" s="110"/>
      <c r="HTO1366" s="110"/>
      <c r="HTP1366" s="110"/>
      <c r="HTQ1366" s="110"/>
      <c r="HTR1366" s="110"/>
      <c r="HTS1366" s="110"/>
      <c r="HTT1366" s="110"/>
      <c r="HTU1366" s="110"/>
      <c r="HTV1366" s="110"/>
      <c r="HTW1366" s="110"/>
      <c r="HTX1366" s="110"/>
      <c r="HTY1366" s="110"/>
      <c r="HTZ1366" s="110"/>
      <c r="HUA1366" s="110"/>
      <c r="HUB1366" s="110"/>
      <c r="HUC1366" s="110"/>
      <c r="HUD1366" s="110"/>
      <c r="HUE1366" s="110"/>
      <c r="HUF1366" s="110"/>
      <c r="HUG1366" s="110"/>
      <c r="HUH1366" s="110"/>
      <c r="HUI1366" s="110"/>
      <c r="HUJ1366" s="110"/>
      <c r="HUK1366" s="110"/>
      <c r="HUL1366" s="110"/>
      <c r="HUM1366" s="110"/>
      <c r="HUN1366" s="110"/>
      <c r="HUO1366" s="110"/>
      <c r="HUP1366" s="110"/>
      <c r="HUQ1366" s="110"/>
      <c r="HUR1366" s="110"/>
      <c r="HUS1366" s="110"/>
      <c r="HUT1366" s="110"/>
      <c r="HUU1366" s="110"/>
      <c r="HUV1366" s="110"/>
      <c r="HUW1366" s="110"/>
      <c r="HUX1366" s="110"/>
      <c r="HUY1366" s="110"/>
      <c r="HUZ1366" s="110"/>
      <c r="HVA1366" s="110"/>
      <c r="HVB1366" s="110"/>
      <c r="HVC1366" s="110"/>
      <c r="HVD1366" s="110"/>
      <c r="HVE1366" s="110"/>
      <c r="HVF1366" s="110"/>
      <c r="HVG1366" s="110"/>
      <c r="HVH1366" s="110"/>
      <c r="HVI1366" s="110"/>
      <c r="HVJ1366" s="110"/>
      <c r="HVK1366" s="110"/>
      <c r="HVL1366" s="110"/>
      <c r="HVM1366" s="110"/>
      <c r="HVN1366" s="110"/>
      <c r="HVO1366" s="110"/>
      <c r="HVP1366" s="110"/>
      <c r="HVQ1366" s="110"/>
      <c r="HVR1366" s="110"/>
      <c r="HVS1366" s="110"/>
      <c r="HVT1366" s="110"/>
      <c r="HVU1366" s="110"/>
      <c r="HVV1366" s="110"/>
      <c r="HVW1366" s="110"/>
      <c r="HVX1366" s="110"/>
      <c r="HVY1366" s="110"/>
      <c r="HVZ1366" s="110"/>
      <c r="HWA1366" s="110"/>
      <c r="HWB1366" s="110"/>
      <c r="HWC1366" s="110"/>
      <c r="HWD1366" s="110"/>
      <c r="HWE1366" s="110"/>
      <c r="HWF1366" s="110"/>
      <c r="HWG1366" s="110"/>
      <c r="HWH1366" s="110"/>
      <c r="HWI1366" s="110"/>
      <c r="HWJ1366" s="110"/>
      <c r="HWK1366" s="110"/>
      <c r="HWL1366" s="110"/>
      <c r="HWM1366" s="110"/>
      <c r="HWN1366" s="110"/>
      <c r="HWO1366" s="110"/>
      <c r="HWP1366" s="110"/>
      <c r="HWQ1366" s="110"/>
      <c r="HWR1366" s="110"/>
      <c r="HWS1366" s="110"/>
      <c r="HWT1366" s="110"/>
      <c r="HWU1366" s="110"/>
      <c r="HWV1366" s="110"/>
      <c r="HWW1366" s="110"/>
      <c r="HWX1366" s="110"/>
      <c r="HWY1366" s="110"/>
      <c r="HWZ1366" s="110"/>
      <c r="HXA1366" s="110"/>
      <c r="HXB1366" s="110"/>
      <c r="HXC1366" s="110"/>
      <c r="HXD1366" s="110"/>
      <c r="HXE1366" s="110"/>
      <c r="HXF1366" s="110"/>
      <c r="HXG1366" s="110"/>
      <c r="HXH1366" s="110"/>
      <c r="HXI1366" s="110"/>
      <c r="HXJ1366" s="110"/>
      <c r="HXK1366" s="110"/>
      <c r="HXL1366" s="110"/>
      <c r="HXM1366" s="110"/>
      <c r="HXN1366" s="110"/>
      <c r="HXO1366" s="110"/>
      <c r="HXP1366" s="110"/>
      <c r="HXQ1366" s="110"/>
      <c r="HXR1366" s="110"/>
      <c r="HXS1366" s="110"/>
      <c r="HXT1366" s="110"/>
      <c r="HXU1366" s="110"/>
      <c r="HXV1366" s="110"/>
      <c r="HXW1366" s="110"/>
      <c r="HXX1366" s="110"/>
      <c r="HXY1366" s="110"/>
      <c r="HXZ1366" s="110"/>
      <c r="HYA1366" s="110"/>
      <c r="HYB1366" s="110"/>
      <c r="HYC1366" s="110"/>
      <c r="HYD1366" s="110"/>
      <c r="HYE1366" s="110"/>
      <c r="HYF1366" s="110"/>
      <c r="HYG1366" s="110"/>
      <c r="HYH1366" s="110"/>
      <c r="HYI1366" s="110"/>
      <c r="HYJ1366" s="110"/>
      <c r="HYK1366" s="110"/>
      <c r="HYL1366" s="110"/>
      <c r="HYM1366" s="110"/>
      <c r="HYN1366" s="110"/>
      <c r="HYO1366" s="110"/>
      <c r="HYP1366" s="110"/>
      <c r="HYQ1366" s="110"/>
      <c r="HYR1366" s="110"/>
      <c r="HYS1366" s="110"/>
      <c r="HYT1366" s="110"/>
      <c r="HYU1366" s="110"/>
      <c r="HYV1366" s="110"/>
      <c r="HYW1366" s="110"/>
      <c r="HYX1366" s="110"/>
      <c r="HYY1366" s="110"/>
      <c r="HYZ1366" s="110"/>
      <c r="HZA1366" s="110"/>
      <c r="HZB1366" s="110"/>
      <c r="HZC1366" s="110"/>
      <c r="HZD1366" s="110"/>
      <c r="HZE1366" s="110"/>
      <c r="HZF1366" s="110"/>
      <c r="HZG1366" s="110"/>
      <c r="HZH1366" s="110"/>
      <c r="HZI1366" s="110"/>
      <c r="HZJ1366" s="110"/>
      <c r="HZK1366" s="110"/>
      <c r="HZL1366" s="110"/>
      <c r="HZM1366" s="110"/>
      <c r="HZN1366" s="110"/>
      <c r="HZO1366" s="110"/>
      <c r="HZP1366" s="110"/>
      <c r="HZQ1366" s="110"/>
      <c r="HZR1366" s="110"/>
      <c r="HZS1366" s="110"/>
      <c r="HZT1366" s="110"/>
      <c r="HZU1366" s="110"/>
      <c r="HZV1366" s="110"/>
      <c r="HZW1366" s="110"/>
      <c r="HZX1366" s="110"/>
      <c r="HZY1366" s="110"/>
      <c r="HZZ1366" s="110"/>
      <c r="IAA1366" s="110"/>
      <c r="IAB1366" s="110"/>
      <c r="IAC1366" s="110"/>
      <c r="IAD1366" s="110"/>
      <c r="IAE1366" s="110"/>
      <c r="IAF1366" s="110"/>
      <c r="IAG1366" s="110"/>
      <c r="IAH1366" s="110"/>
      <c r="IAI1366" s="110"/>
      <c r="IAJ1366" s="110"/>
      <c r="IAK1366" s="110"/>
      <c r="IAL1366" s="110"/>
      <c r="IAM1366" s="110"/>
      <c r="IAN1366" s="110"/>
      <c r="IAO1366" s="110"/>
      <c r="IAP1366" s="110"/>
      <c r="IAQ1366" s="110"/>
      <c r="IAR1366" s="110"/>
      <c r="IAS1366" s="110"/>
      <c r="IAT1366" s="110"/>
      <c r="IAU1366" s="110"/>
      <c r="IAV1366" s="110"/>
      <c r="IAW1366" s="110"/>
      <c r="IAX1366" s="110"/>
      <c r="IAY1366" s="110"/>
      <c r="IAZ1366" s="110"/>
      <c r="IBA1366" s="110"/>
      <c r="IBB1366" s="110"/>
      <c r="IBC1366" s="110"/>
      <c r="IBD1366" s="110"/>
      <c r="IBE1366" s="110"/>
      <c r="IBF1366" s="110"/>
      <c r="IBG1366" s="110"/>
      <c r="IBH1366" s="110"/>
      <c r="IBI1366" s="110"/>
      <c r="IBJ1366" s="110"/>
      <c r="IBK1366" s="110"/>
      <c r="IBL1366" s="110"/>
      <c r="IBM1366" s="110"/>
      <c r="IBN1366" s="110"/>
      <c r="IBO1366" s="110"/>
      <c r="IBP1366" s="110"/>
      <c r="IBQ1366" s="110"/>
      <c r="IBR1366" s="110"/>
      <c r="IBS1366" s="110"/>
      <c r="IBT1366" s="110"/>
      <c r="IBU1366" s="110"/>
      <c r="IBV1366" s="110"/>
      <c r="IBW1366" s="110"/>
      <c r="IBX1366" s="110"/>
      <c r="IBY1366" s="110"/>
      <c r="IBZ1366" s="110"/>
      <c r="ICA1366" s="110"/>
      <c r="ICB1366" s="110"/>
      <c r="ICC1366" s="110"/>
      <c r="ICD1366" s="110"/>
      <c r="ICE1366" s="110"/>
      <c r="ICF1366" s="110"/>
      <c r="ICG1366" s="110"/>
      <c r="ICH1366" s="110"/>
      <c r="ICI1366" s="110"/>
      <c r="ICJ1366" s="110"/>
      <c r="ICK1366" s="110"/>
      <c r="ICL1366" s="110"/>
      <c r="ICM1366" s="110"/>
      <c r="ICN1366" s="110"/>
      <c r="ICO1366" s="110"/>
      <c r="ICP1366" s="110"/>
      <c r="ICQ1366" s="110"/>
      <c r="ICR1366" s="110"/>
      <c r="ICS1366" s="110"/>
      <c r="ICT1366" s="110"/>
      <c r="ICU1366" s="110"/>
      <c r="ICV1366" s="110"/>
      <c r="ICW1366" s="110"/>
      <c r="ICX1366" s="110"/>
      <c r="ICY1366" s="110"/>
      <c r="ICZ1366" s="110"/>
      <c r="IDA1366" s="110"/>
      <c r="IDB1366" s="110"/>
      <c r="IDC1366" s="110"/>
      <c r="IDD1366" s="110"/>
      <c r="IDE1366" s="110"/>
      <c r="IDF1366" s="110"/>
      <c r="IDG1366" s="110"/>
      <c r="IDH1366" s="110"/>
      <c r="IDI1366" s="110"/>
      <c r="IDJ1366" s="110"/>
      <c r="IDK1366" s="110"/>
      <c r="IDL1366" s="110"/>
      <c r="IDM1366" s="110"/>
      <c r="IDN1366" s="110"/>
      <c r="IDO1366" s="110"/>
      <c r="IDP1366" s="110"/>
      <c r="IDQ1366" s="110"/>
      <c r="IDR1366" s="110"/>
      <c r="IDS1366" s="110"/>
      <c r="IDT1366" s="110"/>
      <c r="IDU1366" s="110"/>
      <c r="IDV1366" s="110"/>
      <c r="IDW1366" s="110"/>
      <c r="IDX1366" s="110"/>
      <c r="IDY1366" s="110"/>
      <c r="IDZ1366" s="110"/>
      <c r="IEA1366" s="110"/>
      <c r="IEB1366" s="110"/>
      <c r="IEC1366" s="110"/>
      <c r="IED1366" s="110"/>
      <c r="IEE1366" s="110"/>
      <c r="IEF1366" s="110"/>
      <c r="IEG1366" s="110"/>
      <c r="IEH1366" s="110"/>
      <c r="IEI1366" s="110"/>
      <c r="IEJ1366" s="110"/>
      <c r="IEK1366" s="110"/>
      <c r="IEL1366" s="110"/>
      <c r="IEM1366" s="110"/>
      <c r="IEN1366" s="110"/>
      <c r="IEO1366" s="110"/>
      <c r="IEP1366" s="110"/>
      <c r="IEQ1366" s="110"/>
      <c r="IER1366" s="110"/>
      <c r="IES1366" s="110"/>
      <c r="IET1366" s="110"/>
      <c r="IEU1366" s="110"/>
      <c r="IEV1366" s="110"/>
      <c r="IEW1366" s="110"/>
      <c r="IEX1366" s="110"/>
      <c r="IEY1366" s="110"/>
      <c r="IEZ1366" s="110"/>
      <c r="IFA1366" s="110"/>
      <c r="IFB1366" s="110"/>
      <c r="IFC1366" s="110"/>
      <c r="IFD1366" s="110"/>
      <c r="IFE1366" s="110"/>
      <c r="IFF1366" s="110"/>
      <c r="IFG1366" s="110"/>
      <c r="IFH1366" s="110"/>
      <c r="IFI1366" s="110"/>
      <c r="IFJ1366" s="110"/>
      <c r="IFK1366" s="110"/>
      <c r="IFL1366" s="110"/>
      <c r="IFM1366" s="110"/>
      <c r="IFN1366" s="110"/>
      <c r="IFO1366" s="110"/>
      <c r="IFP1366" s="110"/>
      <c r="IFQ1366" s="110"/>
      <c r="IFR1366" s="110"/>
      <c r="IFS1366" s="110"/>
      <c r="IFT1366" s="110"/>
      <c r="IFU1366" s="110"/>
      <c r="IFV1366" s="110"/>
      <c r="IFW1366" s="110"/>
      <c r="IFX1366" s="110"/>
      <c r="IFY1366" s="110"/>
      <c r="IFZ1366" s="110"/>
      <c r="IGA1366" s="110"/>
      <c r="IGB1366" s="110"/>
      <c r="IGC1366" s="110"/>
      <c r="IGD1366" s="110"/>
      <c r="IGE1366" s="110"/>
      <c r="IGF1366" s="110"/>
      <c r="IGG1366" s="110"/>
      <c r="IGH1366" s="110"/>
      <c r="IGI1366" s="110"/>
      <c r="IGJ1366" s="110"/>
      <c r="IGK1366" s="110"/>
      <c r="IGL1366" s="110"/>
      <c r="IGM1366" s="110"/>
      <c r="IGN1366" s="110"/>
      <c r="IGO1366" s="110"/>
      <c r="IGP1366" s="110"/>
      <c r="IGQ1366" s="110"/>
      <c r="IGR1366" s="110"/>
      <c r="IGS1366" s="110"/>
      <c r="IGT1366" s="110"/>
      <c r="IGU1366" s="110"/>
      <c r="IGV1366" s="110"/>
      <c r="IGW1366" s="110"/>
      <c r="IGX1366" s="110"/>
      <c r="IGY1366" s="110"/>
      <c r="IGZ1366" s="110"/>
      <c r="IHA1366" s="110"/>
      <c r="IHB1366" s="110"/>
      <c r="IHC1366" s="110"/>
      <c r="IHD1366" s="110"/>
      <c r="IHE1366" s="110"/>
      <c r="IHF1366" s="110"/>
      <c r="IHG1366" s="110"/>
      <c r="IHH1366" s="110"/>
      <c r="IHI1366" s="110"/>
      <c r="IHJ1366" s="110"/>
      <c r="IHK1366" s="110"/>
      <c r="IHL1366" s="110"/>
      <c r="IHM1366" s="110"/>
      <c r="IHN1366" s="110"/>
      <c r="IHO1366" s="110"/>
      <c r="IHP1366" s="110"/>
      <c r="IHQ1366" s="110"/>
      <c r="IHR1366" s="110"/>
      <c r="IHS1366" s="110"/>
      <c r="IHT1366" s="110"/>
      <c r="IHU1366" s="110"/>
      <c r="IHV1366" s="110"/>
      <c r="IHW1366" s="110"/>
      <c r="IHX1366" s="110"/>
      <c r="IHY1366" s="110"/>
      <c r="IHZ1366" s="110"/>
      <c r="IIA1366" s="110"/>
      <c r="IIB1366" s="110"/>
      <c r="IIC1366" s="110"/>
      <c r="IID1366" s="110"/>
      <c r="IIE1366" s="110"/>
      <c r="IIF1366" s="110"/>
      <c r="IIG1366" s="110"/>
      <c r="IIH1366" s="110"/>
      <c r="III1366" s="110"/>
      <c r="IIJ1366" s="110"/>
      <c r="IIK1366" s="110"/>
      <c r="IIL1366" s="110"/>
      <c r="IIM1366" s="110"/>
      <c r="IIN1366" s="110"/>
      <c r="IIO1366" s="110"/>
      <c r="IIP1366" s="110"/>
      <c r="IIQ1366" s="110"/>
      <c r="IIR1366" s="110"/>
      <c r="IIS1366" s="110"/>
      <c r="IIT1366" s="110"/>
      <c r="IIU1366" s="110"/>
      <c r="IIV1366" s="110"/>
      <c r="IIW1366" s="110"/>
      <c r="IIX1366" s="110"/>
      <c r="IIY1366" s="110"/>
      <c r="IIZ1366" s="110"/>
      <c r="IJA1366" s="110"/>
      <c r="IJB1366" s="110"/>
      <c r="IJC1366" s="110"/>
      <c r="IJD1366" s="110"/>
      <c r="IJE1366" s="110"/>
      <c r="IJF1366" s="110"/>
      <c r="IJG1366" s="110"/>
      <c r="IJH1366" s="110"/>
      <c r="IJI1366" s="110"/>
      <c r="IJJ1366" s="110"/>
      <c r="IJK1366" s="110"/>
      <c r="IJL1366" s="110"/>
      <c r="IJM1366" s="110"/>
      <c r="IJN1366" s="110"/>
      <c r="IJO1366" s="110"/>
      <c r="IJP1366" s="110"/>
      <c r="IJQ1366" s="110"/>
      <c r="IJR1366" s="110"/>
      <c r="IJS1366" s="110"/>
      <c r="IJT1366" s="110"/>
      <c r="IJU1366" s="110"/>
      <c r="IJV1366" s="110"/>
      <c r="IJW1366" s="110"/>
      <c r="IJX1366" s="110"/>
      <c r="IJY1366" s="110"/>
      <c r="IJZ1366" s="110"/>
      <c r="IKA1366" s="110"/>
      <c r="IKB1366" s="110"/>
      <c r="IKC1366" s="110"/>
      <c r="IKD1366" s="110"/>
      <c r="IKE1366" s="110"/>
      <c r="IKF1366" s="110"/>
      <c r="IKG1366" s="110"/>
      <c r="IKH1366" s="110"/>
      <c r="IKI1366" s="110"/>
      <c r="IKJ1366" s="110"/>
      <c r="IKK1366" s="110"/>
      <c r="IKL1366" s="110"/>
      <c r="IKM1366" s="110"/>
      <c r="IKN1366" s="110"/>
      <c r="IKO1366" s="110"/>
      <c r="IKP1366" s="110"/>
      <c r="IKQ1366" s="110"/>
      <c r="IKR1366" s="110"/>
      <c r="IKS1366" s="110"/>
      <c r="IKT1366" s="110"/>
      <c r="IKU1366" s="110"/>
      <c r="IKV1366" s="110"/>
      <c r="IKW1366" s="110"/>
      <c r="IKX1366" s="110"/>
      <c r="IKY1366" s="110"/>
      <c r="IKZ1366" s="110"/>
      <c r="ILA1366" s="110"/>
      <c r="ILB1366" s="110"/>
      <c r="ILC1366" s="110"/>
      <c r="ILD1366" s="110"/>
      <c r="ILE1366" s="110"/>
      <c r="ILF1366" s="110"/>
      <c r="ILG1366" s="110"/>
      <c r="ILH1366" s="110"/>
      <c r="ILI1366" s="110"/>
      <c r="ILJ1366" s="110"/>
      <c r="ILK1366" s="110"/>
      <c r="ILL1366" s="110"/>
      <c r="ILM1366" s="110"/>
      <c r="ILN1366" s="110"/>
      <c r="ILO1366" s="110"/>
      <c r="ILP1366" s="110"/>
      <c r="ILQ1366" s="110"/>
      <c r="ILR1366" s="110"/>
      <c r="ILS1366" s="110"/>
      <c r="ILT1366" s="110"/>
      <c r="ILU1366" s="110"/>
      <c r="ILV1366" s="110"/>
      <c r="ILW1366" s="110"/>
      <c r="ILX1366" s="110"/>
      <c r="ILY1366" s="110"/>
      <c r="ILZ1366" s="110"/>
      <c r="IMA1366" s="110"/>
      <c r="IMB1366" s="110"/>
      <c r="IMC1366" s="110"/>
      <c r="IMD1366" s="110"/>
      <c r="IME1366" s="110"/>
      <c r="IMF1366" s="110"/>
      <c r="IMG1366" s="110"/>
      <c r="IMH1366" s="110"/>
      <c r="IMI1366" s="110"/>
      <c r="IMJ1366" s="110"/>
      <c r="IMK1366" s="110"/>
      <c r="IML1366" s="110"/>
      <c r="IMM1366" s="110"/>
      <c r="IMN1366" s="110"/>
      <c r="IMO1366" s="110"/>
      <c r="IMP1366" s="110"/>
      <c r="IMQ1366" s="110"/>
      <c r="IMR1366" s="110"/>
      <c r="IMS1366" s="110"/>
      <c r="IMT1366" s="110"/>
      <c r="IMU1366" s="110"/>
      <c r="IMV1366" s="110"/>
      <c r="IMW1366" s="110"/>
      <c r="IMX1366" s="110"/>
      <c r="IMY1366" s="110"/>
      <c r="IMZ1366" s="110"/>
      <c r="INA1366" s="110"/>
      <c r="INB1366" s="110"/>
      <c r="INC1366" s="110"/>
      <c r="IND1366" s="110"/>
      <c r="INE1366" s="110"/>
      <c r="INF1366" s="110"/>
      <c r="ING1366" s="110"/>
      <c r="INH1366" s="110"/>
      <c r="INI1366" s="110"/>
      <c r="INJ1366" s="110"/>
      <c r="INK1366" s="110"/>
      <c r="INL1366" s="110"/>
      <c r="INM1366" s="110"/>
      <c r="INN1366" s="110"/>
      <c r="INO1366" s="110"/>
      <c r="INP1366" s="110"/>
      <c r="INQ1366" s="110"/>
      <c r="INR1366" s="110"/>
      <c r="INS1366" s="110"/>
      <c r="INT1366" s="110"/>
      <c r="INU1366" s="110"/>
      <c r="INV1366" s="110"/>
      <c r="INW1366" s="110"/>
      <c r="INX1366" s="110"/>
      <c r="INY1366" s="110"/>
      <c r="INZ1366" s="110"/>
      <c r="IOA1366" s="110"/>
      <c r="IOB1366" s="110"/>
      <c r="IOC1366" s="110"/>
      <c r="IOD1366" s="110"/>
      <c r="IOE1366" s="110"/>
      <c r="IOF1366" s="110"/>
      <c r="IOG1366" s="110"/>
      <c r="IOH1366" s="110"/>
      <c r="IOI1366" s="110"/>
      <c r="IOJ1366" s="110"/>
      <c r="IOK1366" s="110"/>
      <c r="IOL1366" s="110"/>
      <c r="IOM1366" s="110"/>
      <c r="ION1366" s="110"/>
      <c r="IOO1366" s="110"/>
      <c r="IOP1366" s="110"/>
      <c r="IOQ1366" s="110"/>
      <c r="IOR1366" s="110"/>
      <c r="IOS1366" s="110"/>
      <c r="IOT1366" s="110"/>
      <c r="IOU1366" s="110"/>
      <c r="IOV1366" s="110"/>
      <c r="IOW1366" s="110"/>
      <c r="IOX1366" s="110"/>
      <c r="IOY1366" s="110"/>
      <c r="IOZ1366" s="110"/>
      <c r="IPA1366" s="110"/>
      <c r="IPB1366" s="110"/>
      <c r="IPC1366" s="110"/>
      <c r="IPD1366" s="110"/>
      <c r="IPE1366" s="110"/>
      <c r="IPF1366" s="110"/>
      <c r="IPG1366" s="110"/>
      <c r="IPH1366" s="110"/>
      <c r="IPI1366" s="110"/>
      <c r="IPJ1366" s="110"/>
      <c r="IPK1366" s="110"/>
      <c r="IPL1366" s="110"/>
      <c r="IPM1366" s="110"/>
      <c r="IPN1366" s="110"/>
      <c r="IPO1366" s="110"/>
      <c r="IPP1366" s="110"/>
      <c r="IPQ1366" s="110"/>
      <c r="IPR1366" s="110"/>
      <c r="IPS1366" s="110"/>
      <c r="IPT1366" s="110"/>
      <c r="IPU1366" s="110"/>
      <c r="IPV1366" s="110"/>
      <c r="IPW1366" s="110"/>
      <c r="IPX1366" s="110"/>
      <c r="IPY1366" s="110"/>
      <c r="IPZ1366" s="110"/>
      <c r="IQA1366" s="110"/>
      <c r="IQB1366" s="110"/>
      <c r="IQC1366" s="110"/>
      <c r="IQD1366" s="110"/>
      <c r="IQE1366" s="110"/>
      <c r="IQF1366" s="110"/>
      <c r="IQG1366" s="110"/>
      <c r="IQH1366" s="110"/>
      <c r="IQI1366" s="110"/>
      <c r="IQJ1366" s="110"/>
      <c r="IQK1366" s="110"/>
      <c r="IQL1366" s="110"/>
      <c r="IQM1366" s="110"/>
      <c r="IQN1366" s="110"/>
      <c r="IQO1366" s="110"/>
      <c r="IQP1366" s="110"/>
      <c r="IQQ1366" s="110"/>
      <c r="IQR1366" s="110"/>
      <c r="IQS1366" s="110"/>
      <c r="IQT1366" s="110"/>
      <c r="IQU1366" s="110"/>
      <c r="IQV1366" s="110"/>
      <c r="IQW1366" s="110"/>
      <c r="IQX1366" s="110"/>
      <c r="IQY1366" s="110"/>
      <c r="IQZ1366" s="110"/>
      <c r="IRA1366" s="110"/>
      <c r="IRB1366" s="110"/>
      <c r="IRC1366" s="110"/>
      <c r="IRD1366" s="110"/>
      <c r="IRE1366" s="110"/>
      <c r="IRF1366" s="110"/>
      <c r="IRG1366" s="110"/>
      <c r="IRH1366" s="110"/>
      <c r="IRI1366" s="110"/>
      <c r="IRJ1366" s="110"/>
      <c r="IRK1366" s="110"/>
      <c r="IRL1366" s="110"/>
      <c r="IRM1366" s="110"/>
      <c r="IRN1366" s="110"/>
      <c r="IRO1366" s="110"/>
      <c r="IRP1366" s="110"/>
      <c r="IRQ1366" s="110"/>
      <c r="IRR1366" s="110"/>
      <c r="IRS1366" s="110"/>
      <c r="IRT1366" s="110"/>
      <c r="IRU1366" s="110"/>
      <c r="IRV1366" s="110"/>
      <c r="IRW1366" s="110"/>
      <c r="IRX1366" s="110"/>
      <c r="IRY1366" s="110"/>
      <c r="IRZ1366" s="110"/>
      <c r="ISA1366" s="110"/>
      <c r="ISB1366" s="110"/>
      <c r="ISC1366" s="110"/>
      <c r="ISD1366" s="110"/>
      <c r="ISE1366" s="110"/>
      <c r="ISF1366" s="110"/>
      <c r="ISG1366" s="110"/>
      <c r="ISH1366" s="110"/>
      <c r="ISI1366" s="110"/>
      <c r="ISJ1366" s="110"/>
      <c r="ISK1366" s="110"/>
      <c r="ISL1366" s="110"/>
      <c r="ISM1366" s="110"/>
      <c r="ISN1366" s="110"/>
      <c r="ISO1366" s="110"/>
      <c r="ISP1366" s="110"/>
      <c r="ISQ1366" s="110"/>
      <c r="ISR1366" s="110"/>
      <c r="ISS1366" s="110"/>
      <c r="IST1366" s="110"/>
      <c r="ISU1366" s="110"/>
      <c r="ISV1366" s="110"/>
      <c r="ISW1366" s="110"/>
      <c r="ISX1366" s="110"/>
      <c r="ISY1366" s="110"/>
      <c r="ISZ1366" s="110"/>
      <c r="ITA1366" s="110"/>
      <c r="ITB1366" s="110"/>
      <c r="ITC1366" s="110"/>
      <c r="ITD1366" s="110"/>
      <c r="ITE1366" s="110"/>
      <c r="ITF1366" s="110"/>
      <c r="ITG1366" s="110"/>
      <c r="ITH1366" s="110"/>
      <c r="ITI1366" s="110"/>
      <c r="ITJ1366" s="110"/>
      <c r="ITK1366" s="110"/>
      <c r="ITL1366" s="110"/>
      <c r="ITM1366" s="110"/>
      <c r="ITN1366" s="110"/>
      <c r="ITO1366" s="110"/>
      <c r="ITP1366" s="110"/>
      <c r="ITQ1366" s="110"/>
      <c r="ITR1366" s="110"/>
      <c r="ITS1366" s="110"/>
      <c r="ITT1366" s="110"/>
      <c r="ITU1366" s="110"/>
      <c r="ITV1366" s="110"/>
      <c r="ITW1366" s="110"/>
      <c r="ITX1366" s="110"/>
      <c r="ITY1366" s="110"/>
      <c r="ITZ1366" s="110"/>
      <c r="IUA1366" s="110"/>
      <c r="IUB1366" s="110"/>
      <c r="IUC1366" s="110"/>
      <c r="IUD1366" s="110"/>
      <c r="IUE1366" s="110"/>
      <c r="IUF1366" s="110"/>
      <c r="IUG1366" s="110"/>
      <c r="IUH1366" s="110"/>
      <c r="IUI1366" s="110"/>
      <c r="IUJ1366" s="110"/>
      <c r="IUK1366" s="110"/>
      <c r="IUL1366" s="110"/>
      <c r="IUM1366" s="110"/>
      <c r="IUN1366" s="110"/>
      <c r="IUO1366" s="110"/>
      <c r="IUP1366" s="110"/>
      <c r="IUQ1366" s="110"/>
      <c r="IUR1366" s="110"/>
      <c r="IUS1366" s="110"/>
      <c r="IUT1366" s="110"/>
      <c r="IUU1366" s="110"/>
      <c r="IUV1366" s="110"/>
      <c r="IUW1366" s="110"/>
      <c r="IUX1366" s="110"/>
      <c r="IUY1366" s="110"/>
      <c r="IUZ1366" s="110"/>
      <c r="IVA1366" s="110"/>
      <c r="IVB1366" s="110"/>
      <c r="IVC1366" s="110"/>
      <c r="IVD1366" s="110"/>
      <c r="IVE1366" s="110"/>
      <c r="IVF1366" s="110"/>
      <c r="IVG1366" s="110"/>
      <c r="IVH1366" s="110"/>
      <c r="IVI1366" s="110"/>
      <c r="IVJ1366" s="110"/>
      <c r="IVK1366" s="110"/>
      <c r="IVL1366" s="110"/>
      <c r="IVM1366" s="110"/>
      <c r="IVN1366" s="110"/>
      <c r="IVO1366" s="110"/>
      <c r="IVP1366" s="110"/>
      <c r="IVQ1366" s="110"/>
      <c r="IVR1366" s="110"/>
      <c r="IVS1366" s="110"/>
      <c r="IVT1366" s="110"/>
      <c r="IVU1366" s="110"/>
      <c r="IVV1366" s="110"/>
      <c r="IVW1366" s="110"/>
      <c r="IVX1366" s="110"/>
      <c r="IVY1366" s="110"/>
      <c r="IVZ1366" s="110"/>
      <c r="IWA1366" s="110"/>
      <c r="IWB1366" s="110"/>
      <c r="IWC1366" s="110"/>
      <c r="IWD1366" s="110"/>
      <c r="IWE1366" s="110"/>
      <c r="IWF1366" s="110"/>
      <c r="IWG1366" s="110"/>
      <c r="IWH1366" s="110"/>
      <c r="IWI1366" s="110"/>
      <c r="IWJ1366" s="110"/>
      <c r="IWK1366" s="110"/>
      <c r="IWL1366" s="110"/>
      <c r="IWM1366" s="110"/>
      <c r="IWN1366" s="110"/>
      <c r="IWO1366" s="110"/>
      <c r="IWP1366" s="110"/>
      <c r="IWQ1366" s="110"/>
      <c r="IWR1366" s="110"/>
      <c r="IWS1366" s="110"/>
      <c r="IWT1366" s="110"/>
      <c r="IWU1366" s="110"/>
      <c r="IWV1366" s="110"/>
      <c r="IWW1366" s="110"/>
      <c r="IWX1366" s="110"/>
      <c r="IWY1366" s="110"/>
      <c r="IWZ1366" s="110"/>
      <c r="IXA1366" s="110"/>
      <c r="IXB1366" s="110"/>
      <c r="IXC1366" s="110"/>
      <c r="IXD1366" s="110"/>
      <c r="IXE1366" s="110"/>
      <c r="IXF1366" s="110"/>
      <c r="IXG1366" s="110"/>
      <c r="IXH1366" s="110"/>
      <c r="IXI1366" s="110"/>
      <c r="IXJ1366" s="110"/>
      <c r="IXK1366" s="110"/>
      <c r="IXL1366" s="110"/>
      <c r="IXM1366" s="110"/>
      <c r="IXN1366" s="110"/>
      <c r="IXO1366" s="110"/>
      <c r="IXP1366" s="110"/>
      <c r="IXQ1366" s="110"/>
      <c r="IXR1366" s="110"/>
      <c r="IXS1366" s="110"/>
      <c r="IXT1366" s="110"/>
      <c r="IXU1366" s="110"/>
      <c r="IXV1366" s="110"/>
      <c r="IXW1366" s="110"/>
      <c r="IXX1366" s="110"/>
      <c r="IXY1366" s="110"/>
      <c r="IXZ1366" s="110"/>
      <c r="IYA1366" s="110"/>
      <c r="IYB1366" s="110"/>
      <c r="IYC1366" s="110"/>
      <c r="IYD1366" s="110"/>
      <c r="IYE1366" s="110"/>
      <c r="IYF1366" s="110"/>
      <c r="IYG1366" s="110"/>
      <c r="IYH1366" s="110"/>
      <c r="IYI1366" s="110"/>
      <c r="IYJ1366" s="110"/>
      <c r="IYK1366" s="110"/>
      <c r="IYL1366" s="110"/>
      <c r="IYM1366" s="110"/>
      <c r="IYN1366" s="110"/>
      <c r="IYO1366" s="110"/>
      <c r="IYP1366" s="110"/>
      <c r="IYQ1366" s="110"/>
      <c r="IYR1366" s="110"/>
      <c r="IYS1366" s="110"/>
      <c r="IYT1366" s="110"/>
      <c r="IYU1366" s="110"/>
      <c r="IYV1366" s="110"/>
      <c r="IYW1366" s="110"/>
      <c r="IYX1366" s="110"/>
      <c r="IYY1366" s="110"/>
      <c r="IYZ1366" s="110"/>
      <c r="IZA1366" s="110"/>
      <c r="IZB1366" s="110"/>
      <c r="IZC1366" s="110"/>
      <c r="IZD1366" s="110"/>
      <c r="IZE1366" s="110"/>
      <c r="IZF1366" s="110"/>
      <c r="IZG1366" s="110"/>
      <c r="IZH1366" s="110"/>
      <c r="IZI1366" s="110"/>
      <c r="IZJ1366" s="110"/>
      <c r="IZK1366" s="110"/>
      <c r="IZL1366" s="110"/>
      <c r="IZM1366" s="110"/>
      <c r="IZN1366" s="110"/>
      <c r="IZO1366" s="110"/>
      <c r="IZP1366" s="110"/>
      <c r="IZQ1366" s="110"/>
      <c r="IZR1366" s="110"/>
      <c r="IZS1366" s="110"/>
      <c r="IZT1366" s="110"/>
      <c r="IZU1366" s="110"/>
      <c r="IZV1366" s="110"/>
      <c r="IZW1366" s="110"/>
      <c r="IZX1366" s="110"/>
      <c r="IZY1366" s="110"/>
      <c r="IZZ1366" s="110"/>
      <c r="JAA1366" s="110"/>
      <c r="JAB1366" s="110"/>
      <c r="JAC1366" s="110"/>
      <c r="JAD1366" s="110"/>
      <c r="JAE1366" s="110"/>
      <c r="JAF1366" s="110"/>
      <c r="JAG1366" s="110"/>
      <c r="JAH1366" s="110"/>
      <c r="JAI1366" s="110"/>
      <c r="JAJ1366" s="110"/>
      <c r="JAK1366" s="110"/>
      <c r="JAL1366" s="110"/>
      <c r="JAM1366" s="110"/>
      <c r="JAN1366" s="110"/>
      <c r="JAO1366" s="110"/>
      <c r="JAP1366" s="110"/>
      <c r="JAQ1366" s="110"/>
      <c r="JAR1366" s="110"/>
      <c r="JAS1366" s="110"/>
      <c r="JAT1366" s="110"/>
      <c r="JAU1366" s="110"/>
      <c r="JAV1366" s="110"/>
      <c r="JAW1366" s="110"/>
      <c r="JAX1366" s="110"/>
      <c r="JAY1366" s="110"/>
      <c r="JAZ1366" s="110"/>
      <c r="JBA1366" s="110"/>
      <c r="JBB1366" s="110"/>
      <c r="JBC1366" s="110"/>
      <c r="JBD1366" s="110"/>
      <c r="JBE1366" s="110"/>
      <c r="JBF1366" s="110"/>
      <c r="JBG1366" s="110"/>
      <c r="JBH1366" s="110"/>
      <c r="JBI1366" s="110"/>
      <c r="JBJ1366" s="110"/>
      <c r="JBK1366" s="110"/>
      <c r="JBL1366" s="110"/>
      <c r="JBM1366" s="110"/>
      <c r="JBN1366" s="110"/>
      <c r="JBO1366" s="110"/>
      <c r="JBP1366" s="110"/>
      <c r="JBQ1366" s="110"/>
      <c r="JBR1366" s="110"/>
      <c r="JBS1366" s="110"/>
      <c r="JBT1366" s="110"/>
      <c r="JBU1366" s="110"/>
      <c r="JBV1366" s="110"/>
      <c r="JBW1366" s="110"/>
      <c r="JBX1366" s="110"/>
      <c r="JBY1366" s="110"/>
      <c r="JBZ1366" s="110"/>
      <c r="JCA1366" s="110"/>
      <c r="JCB1366" s="110"/>
      <c r="JCC1366" s="110"/>
      <c r="JCD1366" s="110"/>
      <c r="JCE1366" s="110"/>
      <c r="JCF1366" s="110"/>
      <c r="JCG1366" s="110"/>
      <c r="JCH1366" s="110"/>
      <c r="JCI1366" s="110"/>
      <c r="JCJ1366" s="110"/>
      <c r="JCK1366" s="110"/>
      <c r="JCL1366" s="110"/>
      <c r="JCM1366" s="110"/>
      <c r="JCN1366" s="110"/>
      <c r="JCO1366" s="110"/>
      <c r="JCP1366" s="110"/>
      <c r="JCQ1366" s="110"/>
      <c r="JCR1366" s="110"/>
      <c r="JCS1366" s="110"/>
      <c r="JCT1366" s="110"/>
      <c r="JCU1366" s="110"/>
      <c r="JCV1366" s="110"/>
      <c r="JCW1366" s="110"/>
      <c r="JCX1366" s="110"/>
      <c r="JCY1366" s="110"/>
      <c r="JCZ1366" s="110"/>
      <c r="JDA1366" s="110"/>
      <c r="JDB1366" s="110"/>
      <c r="JDC1366" s="110"/>
      <c r="JDD1366" s="110"/>
      <c r="JDE1366" s="110"/>
      <c r="JDF1366" s="110"/>
      <c r="JDG1366" s="110"/>
      <c r="JDH1366" s="110"/>
      <c r="JDI1366" s="110"/>
      <c r="JDJ1366" s="110"/>
      <c r="JDK1366" s="110"/>
      <c r="JDL1366" s="110"/>
      <c r="JDM1366" s="110"/>
      <c r="JDN1366" s="110"/>
      <c r="JDO1366" s="110"/>
      <c r="JDP1366" s="110"/>
      <c r="JDQ1366" s="110"/>
      <c r="JDR1366" s="110"/>
      <c r="JDS1366" s="110"/>
      <c r="JDT1366" s="110"/>
      <c r="JDU1366" s="110"/>
      <c r="JDV1366" s="110"/>
      <c r="JDW1366" s="110"/>
      <c r="JDX1366" s="110"/>
      <c r="JDY1366" s="110"/>
      <c r="JDZ1366" s="110"/>
      <c r="JEA1366" s="110"/>
      <c r="JEB1366" s="110"/>
      <c r="JEC1366" s="110"/>
      <c r="JED1366" s="110"/>
      <c r="JEE1366" s="110"/>
      <c r="JEF1366" s="110"/>
      <c r="JEG1366" s="110"/>
      <c r="JEH1366" s="110"/>
      <c r="JEI1366" s="110"/>
      <c r="JEJ1366" s="110"/>
      <c r="JEK1366" s="110"/>
      <c r="JEL1366" s="110"/>
      <c r="JEM1366" s="110"/>
      <c r="JEN1366" s="110"/>
      <c r="JEO1366" s="110"/>
      <c r="JEP1366" s="110"/>
      <c r="JEQ1366" s="110"/>
      <c r="JER1366" s="110"/>
      <c r="JES1366" s="110"/>
      <c r="JET1366" s="110"/>
      <c r="JEU1366" s="110"/>
      <c r="JEV1366" s="110"/>
      <c r="JEW1366" s="110"/>
      <c r="JEX1366" s="110"/>
      <c r="JEY1366" s="110"/>
      <c r="JEZ1366" s="110"/>
      <c r="JFA1366" s="110"/>
      <c r="JFB1366" s="110"/>
      <c r="JFC1366" s="110"/>
      <c r="JFD1366" s="110"/>
      <c r="JFE1366" s="110"/>
      <c r="JFF1366" s="110"/>
      <c r="JFG1366" s="110"/>
      <c r="JFH1366" s="110"/>
      <c r="JFI1366" s="110"/>
      <c r="JFJ1366" s="110"/>
      <c r="JFK1366" s="110"/>
      <c r="JFL1366" s="110"/>
      <c r="JFM1366" s="110"/>
      <c r="JFN1366" s="110"/>
      <c r="JFO1366" s="110"/>
      <c r="JFP1366" s="110"/>
      <c r="JFQ1366" s="110"/>
      <c r="JFR1366" s="110"/>
      <c r="JFS1366" s="110"/>
      <c r="JFT1366" s="110"/>
      <c r="JFU1366" s="110"/>
      <c r="JFV1366" s="110"/>
      <c r="JFW1366" s="110"/>
      <c r="JFX1366" s="110"/>
      <c r="JFY1366" s="110"/>
      <c r="JFZ1366" s="110"/>
      <c r="JGA1366" s="110"/>
      <c r="JGB1366" s="110"/>
      <c r="JGC1366" s="110"/>
      <c r="JGD1366" s="110"/>
      <c r="JGE1366" s="110"/>
      <c r="JGF1366" s="110"/>
      <c r="JGG1366" s="110"/>
      <c r="JGH1366" s="110"/>
      <c r="JGI1366" s="110"/>
      <c r="JGJ1366" s="110"/>
      <c r="JGK1366" s="110"/>
      <c r="JGL1366" s="110"/>
      <c r="JGM1366" s="110"/>
      <c r="JGN1366" s="110"/>
      <c r="JGO1366" s="110"/>
      <c r="JGP1366" s="110"/>
      <c r="JGQ1366" s="110"/>
      <c r="JGR1366" s="110"/>
      <c r="JGS1366" s="110"/>
      <c r="JGT1366" s="110"/>
      <c r="JGU1366" s="110"/>
      <c r="JGV1366" s="110"/>
      <c r="JGW1366" s="110"/>
      <c r="JGX1366" s="110"/>
      <c r="JGY1366" s="110"/>
      <c r="JGZ1366" s="110"/>
      <c r="JHA1366" s="110"/>
      <c r="JHB1366" s="110"/>
      <c r="JHC1366" s="110"/>
      <c r="JHD1366" s="110"/>
      <c r="JHE1366" s="110"/>
      <c r="JHF1366" s="110"/>
      <c r="JHG1366" s="110"/>
      <c r="JHH1366" s="110"/>
      <c r="JHI1366" s="110"/>
      <c r="JHJ1366" s="110"/>
      <c r="JHK1366" s="110"/>
      <c r="JHL1366" s="110"/>
      <c r="JHM1366" s="110"/>
      <c r="JHN1366" s="110"/>
      <c r="JHO1366" s="110"/>
      <c r="JHP1366" s="110"/>
      <c r="JHQ1366" s="110"/>
      <c r="JHR1366" s="110"/>
      <c r="JHS1366" s="110"/>
      <c r="JHT1366" s="110"/>
      <c r="JHU1366" s="110"/>
      <c r="JHV1366" s="110"/>
      <c r="JHW1366" s="110"/>
      <c r="JHX1366" s="110"/>
      <c r="JHY1366" s="110"/>
      <c r="JHZ1366" s="110"/>
      <c r="JIA1366" s="110"/>
      <c r="JIB1366" s="110"/>
      <c r="JIC1366" s="110"/>
      <c r="JID1366" s="110"/>
      <c r="JIE1366" s="110"/>
      <c r="JIF1366" s="110"/>
      <c r="JIG1366" s="110"/>
      <c r="JIH1366" s="110"/>
      <c r="JII1366" s="110"/>
      <c r="JIJ1366" s="110"/>
      <c r="JIK1366" s="110"/>
      <c r="JIL1366" s="110"/>
      <c r="JIM1366" s="110"/>
      <c r="JIN1366" s="110"/>
      <c r="JIO1366" s="110"/>
      <c r="JIP1366" s="110"/>
      <c r="JIQ1366" s="110"/>
      <c r="JIR1366" s="110"/>
      <c r="JIS1366" s="110"/>
      <c r="JIT1366" s="110"/>
      <c r="JIU1366" s="110"/>
      <c r="JIV1366" s="110"/>
      <c r="JIW1366" s="110"/>
      <c r="JIX1366" s="110"/>
      <c r="JIY1366" s="110"/>
      <c r="JIZ1366" s="110"/>
      <c r="JJA1366" s="110"/>
      <c r="JJB1366" s="110"/>
      <c r="JJC1366" s="110"/>
      <c r="JJD1366" s="110"/>
      <c r="JJE1366" s="110"/>
      <c r="JJF1366" s="110"/>
      <c r="JJG1366" s="110"/>
      <c r="JJH1366" s="110"/>
      <c r="JJI1366" s="110"/>
      <c r="JJJ1366" s="110"/>
      <c r="JJK1366" s="110"/>
      <c r="JJL1366" s="110"/>
      <c r="JJM1366" s="110"/>
      <c r="JJN1366" s="110"/>
      <c r="JJO1366" s="110"/>
      <c r="JJP1366" s="110"/>
      <c r="JJQ1366" s="110"/>
      <c r="JJR1366" s="110"/>
      <c r="JJS1366" s="110"/>
      <c r="JJT1366" s="110"/>
      <c r="JJU1366" s="110"/>
      <c r="JJV1366" s="110"/>
      <c r="JJW1366" s="110"/>
      <c r="JJX1366" s="110"/>
      <c r="JJY1366" s="110"/>
      <c r="JJZ1366" s="110"/>
      <c r="JKA1366" s="110"/>
      <c r="JKB1366" s="110"/>
      <c r="JKC1366" s="110"/>
      <c r="JKD1366" s="110"/>
      <c r="JKE1366" s="110"/>
      <c r="JKF1366" s="110"/>
      <c r="JKG1366" s="110"/>
      <c r="JKH1366" s="110"/>
      <c r="JKI1366" s="110"/>
      <c r="JKJ1366" s="110"/>
      <c r="JKK1366" s="110"/>
      <c r="JKL1366" s="110"/>
      <c r="JKM1366" s="110"/>
      <c r="JKN1366" s="110"/>
      <c r="JKO1366" s="110"/>
      <c r="JKP1366" s="110"/>
      <c r="JKQ1366" s="110"/>
      <c r="JKR1366" s="110"/>
      <c r="JKS1366" s="110"/>
      <c r="JKT1366" s="110"/>
      <c r="JKU1366" s="110"/>
      <c r="JKV1366" s="110"/>
      <c r="JKW1366" s="110"/>
      <c r="JKX1366" s="110"/>
      <c r="JKY1366" s="110"/>
      <c r="JKZ1366" s="110"/>
      <c r="JLA1366" s="110"/>
      <c r="JLB1366" s="110"/>
      <c r="JLC1366" s="110"/>
      <c r="JLD1366" s="110"/>
      <c r="JLE1366" s="110"/>
      <c r="JLF1366" s="110"/>
      <c r="JLG1366" s="110"/>
      <c r="JLH1366" s="110"/>
      <c r="JLI1366" s="110"/>
      <c r="JLJ1366" s="110"/>
      <c r="JLK1366" s="110"/>
      <c r="JLL1366" s="110"/>
      <c r="JLM1366" s="110"/>
      <c r="JLN1366" s="110"/>
      <c r="JLO1366" s="110"/>
      <c r="JLP1366" s="110"/>
      <c r="JLQ1366" s="110"/>
      <c r="JLR1366" s="110"/>
      <c r="JLS1366" s="110"/>
      <c r="JLT1366" s="110"/>
      <c r="JLU1366" s="110"/>
      <c r="JLV1366" s="110"/>
      <c r="JLW1366" s="110"/>
      <c r="JLX1366" s="110"/>
      <c r="JLY1366" s="110"/>
      <c r="JLZ1366" s="110"/>
      <c r="JMA1366" s="110"/>
      <c r="JMB1366" s="110"/>
      <c r="JMC1366" s="110"/>
      <c r="JMD1366" s="110"/>
      <c r="JME1366" s="110"/>
      <c r="JMF1366" s="110"/>
      <c r="JMG1366" s="110"/>
      <c r="JMH1366" s="110"/>
      <c r="JMI1366" s="110"/>
      <c r="JMJ1366" s="110"/>
      <c r="JMK1366" s="110"/>
      <c r="JML1366" s="110"/>
      <c r="JMM1366" s="110"/>
      <c r="JMN1366" s="110"/>
      <c r="JMO1366" s="110"/>
      <c r="JMP1366" s="110"/>
      <c r="JMQ1366" s="110"/>
      <c r="JMR1366" s="110"/>
      <c r="JMS1366" s="110"/>
      <c r="JMT1366" s="110"/>
      <c r="JMU1366" s="110"/>
      <c r="JMV1366" s="110"/>
      <c r="JMW1366" s="110"/>
      <c r="JMX1366" s="110"/>
      <c r="JMY1366" s="110"/>
      <c r="JMZ1366" s="110"/>
      <c r="JNA1366" s="110"/>
      <c r="JNB1366" s="110"/>
      <c r="JNC1366" s="110"/>
      <c r="JND1366" s="110"/>
      <c r="JNE1366" s="110"/>
      <c r="JNF1366" s="110"/>
      <c r="JNG1366" s="110"/>
      <c r="JNH1366" s="110"/>
      <c r="JNI1366" s="110"/>
      <c r="JNJ1366" s="110"/>
      <c r="JNK1366" s="110"/>
      <c r="JNL1366" s="110"/>
      <c r="JNM1366" s="110"/>
      <c r="JNN1366" s="110"/>
      <c r="JNO1366" s="110"/>
      <c r="JNP1366" s="110"/>
      <c r="JNQ1366" s="110"/>
      <c r="JNR1366" s="110"/>
      <c r="JNS1366" s="110"/>
      <c r="JNT1366" s="110"/>
      <c r="JNU1366" s="110"/>
      <c r="JNV1366" s="110"/>
      <c r="JNW1366" s="110"/>
      <c r="JNX1366" s="110"/>
      <c r="JNY1366" s="110"/>
      <c r="JNZ1366" s="110"/>
      <c r="JOA1366" s="110"/>
      <c r="JOB1366" s="110"/>
      <c r="JOC1366" s="110"/>
      <c r="JOD1366" s="110"/>
      <c r="JOE1366" s="110"/>
      <c r="JOF1366" s="110"/>
      <c r="JOG1366" s="110"/>
      <c r="JOH1366" s="110"/>
      <c r="JOI1366" s="110"/>
      <c r="JOJ1366" s="110"/>
      <c r="JOK1366" s="110"/>
      <c r="JOL1366" s="110"/>
      <c r="JOM1366" s="110"/>
      <c r="JON1366" s="110"/>
      <c r="JOO1366" s="110"/>
      <c r="JOP1366" s="110"/>
      <c r="JOQ1366" s="110"/>
      <c r="JOR1366" s="110"/>
      <c r="JOS1366" s="110"/>
      <c r="JOT1366" s="110"/>
      <c r="JOU1366" s="110"/>
      <c r="JOV1366" s="110"/>
      <c r="JOW1366" s="110"/>
      <c r="JOX1366" s="110"/>
      <c r="JOY1366" s="110"/>
      <c r="JOZ1366" s="110"/>
      <c r="JPA1366" s="110"/>
      <c r="JPB1366" s="110"/>
      <c r="JPC1366" s="110"/>
      <c r="JPD1366" s="110"/>
      <c r="JPE1366" s="110"/>
      <c r="JPF1366" s="110"/>
      <c r="JPG1366" s="110"/>
      <c r="JPH1366" s="110"/>
      <c r="JPI1366" s="110"/>
      <c r="JPJ1366" s="110"/>
      <c r="JPK1366" s="110"/>
      <c r="JPL1366" s="110"/>
      <c r="JPM1366" s="110"/>
      <c r="JPN1366" s="110"/>
      <c r="JPO1366" s="110"/>
      <c r="JPP1366" s="110"/>
      <c r="JPQ1366" s="110"/>
      <c r="JPR1366" s="110"/>
      <c r="JPS1366" s="110"/>
      <c r="JPT1366" s="110"/>
      <c r="JPU1366" s="110"/>
      <c r="JPV1366" s="110"/>
      <c r="JPW1366" s="110"/>
      <c r="JPX1366" s="110"/>
      <c r="JPY1366" s="110"/>
      <c r="JPZ1366" s="110"/>
      <c r="JQA1366" s="110"/>
      <c r="JQB1366" s="110"/>
      <c r="JQC1366" s="110"/>
      <c r="JQD1366" s="110"/>
      <c r="JQE1366" s="110"/>
      <c r="JQF1366" s="110"/>
      <c r="JQG1366" s="110"/>
      <c r="JQH1366" s="110"/>
      <c r="JQI1366" s="110"/>
      <c r="JQJ1366" s="110"/>
      <c r="JQK1366" s="110"/>
      <c r="JQL1366" s="110"/>
      <c r="JQM1366" s="110"/>
      <c r="JQN1366" s="110"/>
      <c r="JQO1366" s="110"/>
      <c r="JQP1366" s="110"/>
      <c r="JQQ1366" s="110"/>
      <c r="JQR1366" s="110"/>
      <c r="JQS1366" s="110"/>
      <c r="JQT1366" s="110"/>
      <c r="JQU1366" s="110"/>
      <c r="JQV1366" s="110"/>
      <c r="JQW1366" s="110"/>
      <c r="JQX1366" s="110"/>
      <c r="JQY1366" s="110"/>
      <c r="JQZ1366" s="110"/>
      <c r="JRA1366" s="110"/>
      <c r="JRB1366" s="110"/>
      <c r="JRC1366" s="110"/>
      <c r="JRD1366" s="110"/>
      <c r="JRE1366" s="110"/>
      <c r="JRF1366" s="110"/>
      <c r="JRG1366" s="110"/>
      <c r="JRH1366" s="110"/>
      <c r="JRI1366" s="110"/>
      <c r="JRJ1366" s="110"/>
      <c r="JRK1366" s="110"/>
      <c r="JRL1366" s="110"/>
      <c r="JRM1366" s="110"/>
      <c r="JRN1366" s="110"/>
      <c r="JRO1366" s="110"/>
      <c r="JRP1366" s="110"/>
      <c r="JRQ1366" s="110"/>
      <c r="JRR1366" s="110"/>
      <c r="JRS1366" s="110"/>
      <c r="JRT1366" s="110"/>
      <c r="JRU1366" s="110"/>
      <c r="JRV1366" s="110"/>
      <c r="JRW1366" s="110"/>
      <c r="JRX1366" s="110"/>
      <c r="JRY1366" s="110"/>
      <c r="JRZ1366" s="110"/>
      <c r="JSA1366" s="110"/>
      <c r="JSB1366" s="110"/>
      <c r="JSC1366" s="110"/>
      <c r="JSD1366" s="110"/>
      <c r="JSE1366" s="110"/>
      <c r="JSF1366" s="110"/>
      <c r="JSG1366" s="110"/>
      <c r="JSH1366" s="110"/>
      <c r="JSI1366" s="110"/>
      <c r="JSJ1366" s="110"/>
      <c r="JSK1366" s="110"/>
      <c r="JSL1366" s="110"/>
      <c r="JSM1366" s="110"/>
      <c r="JSN1366" s="110"/>
      <c r="JSO1366" s="110"/>
      <c r="JSP1366" s="110"/>
      <c r="JSQ1366" s="110"/>
      <c r="JSR1366" s="110"/>
      <c r="JSS1366" s="110"/>
      <c r="JST1366" s="110"/>
      <c r="JSU1366" s="110"/>
      <c r="JSV1366" s="110"/>
      <c r="JSW1366" s="110"/>
      <c r="JSX1366" s="110"/>
      <c r="JSY1366" s="110"/>
      <c r="JSZ1366" s="110"/>
      <c r="JTA1366" s="110"/>
      <c r="JTB1366" s="110"/>
      <c r="JTC1366" s="110"/>
      <c r="JTD1366" s="110"/>
      <c r="JTE1366" s="110"/>
      <c r="JTF1366" s="110"/>
      <c r="JTG1366" s="110"/>
      <c r="JTH1366" s="110"/>
      <c r="JTI1366" s="110"/>
      <c r="JTJ1366" s="110"/>
      <c r="JTK1366" s="110"/>
      <c r="JTL1366" s="110"/>
      <c r="JTM1366" s="110"/>
      <c r="JTN1366" s="110"/>
      <c r="JTO1366" s="110"/>
      <c r="JTP1366" s="110"/>
      <c r="JTQ1366" s="110"/>
      <c r="JTR1366" s="110"/>
      <c r="JTS1366" s="110"/>
      <c r="JTT1366" s="110"/>
      <c r="JTU1366" s="110"/>
      <c r="JTV1366" s="110"/>
      <c r="JTW1366" s="110"/>
      <c r="JTX1366" s="110"/>
      <c r="JTY1366" s="110"/>
      <c r="JTZ1366" s="110"/>
      <c r="JUA1366" s="110"/>
      <c r="JUB1366" s="110"/>
      <c r="JUC1366" s="110"/>
      <c r="JUD1366" s="110"/>
      <c r="JUE1366" s="110"/>
      <c r="JUF1366" s="110"/>
      <c r="JUG1366" s="110"/>
      <c r="JUH1366" s="110"/>
      <c r="JUI1366" s="110"/>
      <c r="JUJ1366" s="110"/>
      <c r="JUK1366" s="110"/>
      <c r="JUL1366" s="110"/>
      <c r="JUM1366" s="110"/>
      <c r="JUN1366" s="110"/>
      <c r="JUO1366" s="110"/>
      <c r="JUP1366" s="110"/>
      <c r="JUQ1366" s="110"/>
      <c r="JUR1366" s="110"/>
      <c r="JUS1366" s="110"/>
      <c r="JUT1366" s="110"/>
      <c r="JUU1366" s="110"/>
      <c r="JUV1366" s="110"/>
      <c r="JUW1366" s="110"/>
      <c r="JUX1366" s="110"/>
      <c r="JUY1366" s="110"/>
      <c r="JUZ1366" s="110"/>
      <c r="JVA1366" s="110"/>
      <c r="JVB1366" s="110"/>
      <c r="JVC1366" s="110"/>
      <c r="JVD1366" s="110"/>
      <c r="JVE1366" s="110"/>
      <c r="JVF1366" s="110"/>
      <c r="JVG1366" s="110"/>
      <c r="JVH1366" s="110"/>
      <c r="JVI1366" s="110"/>
      <c r="JVJ1366" s="110"/>
      <c r="JVK1366" s="110"/>
      <c r="JVL1366" s="110"/>
      <c r="JVM1366" s="110"/>
      <c r="JVN1366" s="110"/>
      <c r="JVO1366" s="110"/>
      <c r="JVP1366" s="110"/>
      <c r="JVQ1366" s="110"/>
      <c r="JVR1366" s="110"/>
      <c r="JVS1366" s="110"/>
      <c r="JVT1366" s="110"/>
      <c r="JVU1366" s="110"/>
      <c r="JVV1366" s="110"/>
      <c r="JVW1366" s="110"/>
      <c r="JVX1366" s="110"/>
      <c r="JVY1366" s="110"/>
      <c r="JVZ1366" s="110"/>
      <c r="JWA1366" s="110"/>
      <c r="JWB1366" s="110"/>
      <c r="JWC1366" s="110"/>
      <c r="JWD1366" s="110"/>
      <c r="JWE1366" s="110"/>
      <c r="JWF1366" s="110"/>
      <c r="JWG1366" s="110"/>
      <c r="JWH1366" s="110"/>
      <c r="JWI1366" s="110"/>
      <c r="JWJ1366" s="110"/>
      <c r="JWK1366" s="110"/>
      <c r="JWL1366" s="110"/>
      <c r="JWM1366" s="110"/>
      <c r="JWN1366" s="110"/>
      <c r="JWO1366" s="110"/>
      <c r="JWP1366" s="110"/>
      <c r="JWQ1366" s="110"/>
      <c r="JWR1366" s="110"/>
      <c r="JWS1366" s="110"/>
      <c r="JWT1366" s="110"/>
      <c r="JWU1366" s="110"/>
      <c r="JWV1366" s="110"/>
      <c r="JWW1366" s="110"/>
      <c r="JWX1366" s="110"/>
      <c r="JWY1366" s="110"/>
      <c r="JWZ1366" s="110"/>
      <c r="JXA1366" s="110"/>
      <c r="JXB1366" s="110"/>
      <c r="JXC1366" s="110"/>
      <c r="JXD1366" s="110"/>
      <c r="JXE1366" s="110"/>
      <c r="JXF1366" s="110"/>
      <c r="JXG1366" s="110"/>
      <c r="JXH1366" s="110"/>
      <c r="JXI1366" s="110"/>
      <c r="JXJ1366" s="110"/>
      <c r="JXK1366" s="110"/>
      <c r="JXL1366" s="110"/>
      <c r="JXM1366" s="110"/>
      <c r="JXN1366" s="110"/>
      <c r="JXO1366" s="110"/>
      <c r="JXP1366" s="110"/>
      <c r="JXQ1366" s="110"/>
      <c r="JXR1366" s="110"/>
      <c r="JXS1366" s="110"/>
      <c r="JXT1366" s="110"/>
      <c r="JXU1366" s="110"/>
      <c r="JXV1366" s="110"/>
      <c r="JXW1366" s="110"/>
      <c r="JXX1366" s="110"/>
      <c r="JXY1366" s="110"/>
      <c r="JXZ1366" s="110"/>
      <c r="JYA1366" s="110"/>
      <c r="JYB1366" s="110"/>
      <c r="JYC1366" s="110"/>
      <c r="JYD1366" s="110"/>
      <c r="JYE1366" s="110"/>
      <c r="JYF1366" s="110"/>
      <c r="JYG1366" s="110"/>
      <c r="JYH1366" s="110"/>
      <c r="JYI1366" s="110"/>
      <c r="JYJ1366" s="110"/>
      <c r="JYK1366" s="110"/>
      <c r="JYL1366" s="110"/>
      <c r="JYM1366" s="110"/>
      <c r="JYN1366" s="110"/>
      <c r="JYO1366" s="110"/>
      <c r="JYP1366" s="110"/>
      <c r="JYQ1366" s="110"/>
      <c r="JYR1366" s="110"/>
      <c r="JYS1366" s="110"/>
      <c r="JYT1366" s="110"/>
      <c r="JYU1366" s="110"/>
      <c r="JYV1366" s="110"/>
      <c r="JYW1366" s="110"/>
      <c r="JYX1366" s="110"/>
      <c r="JYY1366" s="110"/>
      <c r="JYZ1366" s="110"/>
      <c r="JZA1366" s="110"/>
      <c r="JZB1366" s="110"/>
      <c r="JZC1366" s="110"/>
      <c r="JZD1366" s="110"/>
      <c r="JZE1366" s="110"/>
      <c r="JZF1366" s="110"/>
      <c r="JZG1366" s="110"/>
      <c r="JZH1366" s="110"/>
      <c r="JZI1366" s="110"/>
      <c r="JZJ1366" s="110"/>
      <c r="JZK1366" s="110"/>
      <c r="JZL1366" s="110"/>
      <c r="JZM1366" s="110"/>
      <c r="JZN1366" s="110"/>
      <c r="JZO1366" s="110"/>
      <c r="JZP1366" s="110"/>
      <c r="JZQ1366" s="110"/>
      <c r="JZR1366" s="110"/>
      <c r="JZS1366" s="110"/>
      <c r="JZT1366" s="110"/>
      <c r="JZU1366" s="110"/>
      <c r="JZV1366" s="110"/>
      <c r="JZW1366" s="110"/>
      <c r="JZX1366" s="110"/>
      <c r="JZY1366" s="110"/>
      <c r="JZZ1366" s="110"/>
      <c r="KAA1366" s="110"/>
      <c r="KAB1366" s="110"/>
      <c r="KAC1366" s="110"/>
      <c r="KAD1366" s="110"/>
      <c r="KAE1366" s="110"/>
      <c r="KAF1366" s="110"/>
      <c r="KAG1366" s="110"/>
      <c r="KAH1366" s="110"/>
      <c r="KAI1366" s="110"/>
      <c r="KAJ1366" s="110"/>
      <c r="KAK1366" s="110"/>
      <c r="KAL1366" s="110"/>
      <c r="KAM1366" s="110"/>
      <c r="KAN1366" s="110"/>
      <c r="KAO1366" s="110"/>
      <c r="KAP1366" s="110"/>
      <c r="KAQ1366" s="110"/>
      <c r="KAR1366" s="110"/>
      <c r="KAS1366" s="110"/>
      <c r="KAT1366" s="110"/>
      <c r="KAU1366" s="110"/>
      <c r="KAV1366" s="110"/>
      <c r="KAW1366" s="110"/>
      <c r="KAX1366" s="110"/>
      <c r="KAY1366" s="110"/>
      <c r="KAZ1366" s="110"/>
      <c r="KBA1366" s="110"/>
      <c r="KBB1366" s="110"/>
      <c r="KBC1366" s="110"/>
      <c r="KBD1366" s="110"/>
      <c r="KBE1366" s="110"/>
      <c r="KBF1366" s="110"/>
      <c r="KBG1366" s="110"/>
      <c r="KBH1366" s="110"/>
      <c r="KBI1366" s="110"/>
      <c r="KBJ1366" s="110"/>
      <c r="KBK1366" s="110"/>
      <c r="KBL1366" s="110"/>
      <c r="KBM1366" s="110"/>
      <c r="KBN1366" s="110"/>
      <c r="KBO1366" s="110"/>
      <c r="KBP1366" s="110"/>
      <c r="KBQ1366" s="110"/>
      <c r="KBR1366" s="110"/>
      <c r="KBS1366" s="110"/>
      <c r="KBT1366" s="110"/>
      <c r="KBU1366" s="110"/>
      <c r="KBV1366" s="110"/>
      <c r="KBW1366" s="110"/>
      <c r="KBX1366" s="110"/>
      <c r="KBY1366" s="110"/>
      <c r="KBZ1366" s="110"/>
      <c r="KCA1366" s="110"/>
      <c r="KCB1366" s="110"/>
      <c r="KCC1366" s="110"/>
      <c r="KCD1366" s="110"/>
      <c r="KCE1366" s="110"/>
      <c r="KCF1366" s="110"/>
      <c r="KCG1366" s="110"/>
      <c r="KCH1366" s="110"/>
      <c r="KCI1366" s="110"/>
      <c r="KCJ1366" s="110"/>
      <c r="KCK1366" s="110"/>
      <c r="KCL1366" s="110"/>
      <c r="KCM1366" s="110"/>
      <c r="KCN1366" s="110"/>
      <c r="KCO1366" s="110"/>
      <c r="KCP1366" s="110"/>
      <c r="KCQ1366" s="110"/>
      <c r="KCR1366" s="110"/>
      <c r="KCS1366" s="110"/>
      <c r="KCT1366" s="110"/>
      <c r="KCU1366" s="110"/>
      <c r="KCV1366" s="110"/>
      <c r="KCW1366" s="110"/>
      <c r="KCX1366" s="110"/>
      <c r="KCY1366" s="110"/>
      <c r="KCZ1366" s="110"/>
      <c r="KDA1366" s="110"/>
      <c r="KDB1366" s="110"/>
      <c r="KDC1366" s="110"/>
      <c r="KDD1366" s="110"/>
      <c r="KDE1366" s="110"/>
      <c r="KDF1366" s="110"/>
      <c r="KDG1366" s="110"/>
      <c r="KDH1366" s="110"/>
      <c r="KDI1366" s="110"/>
      <c r="KDJ1366" s="110"/>
      <c r="KDK1366" s="110"/>
      <c r="KDL1366" s="110"/>
      <c r="KDM1366" s="110"/>
      <c r="KDN1366" s="110"/>
      <c r="KDO1366" s="110"/>
      <c r="KDP1366" s="110"/>
      <c r="KDQ1366" s="110"/>
      <c r="KDR1366" s="110"/>
      <c r="KDS1366" s="110"/>
      <c r="KDT1366" s="110"/>
      <c r="KDU1366" s="110"/>
      <c r="KDV1366" s="110"/>
      <c r="KDW1366" s="110"/>
      <c r="KDX1366" s="110"/>
      <c r="KDY1366" s="110"/>
      <c r="KDZ1366" s="110"/>
      <c r="KEA1366" s="110"/>
      <c r="KEB1366" s="110"/>
      <c r="KEC1366" s="110"/>
      <c r="KED1366" s="110"/>
      <c r="KEE1366" s="110"/>
      <c r="KEF1366" s="110"/>
      <c r="KEG1366" s="110"/>
      <c r="KEH1366" s="110"/>
      <c r="KEI1366" s="110"/>
      <c r="KEJ1366" s="110"/>
      <c r="KEK1366" s="110"/>
      <c r="KEL1366" s="110"/>
      <c r="KEM1366" s="110"/>
      <c r="KEN1366" s="110"/>
      <c r="KEO1366" s="110"/>
      <c r="KEP1366" s="110"/>
      <c r="KEQ1366" s="110"/>
      <c r="KER1366" s="110"/>
      <c r="KES1366" s="110"/>
      <c r="KET1366" s="110"/>
      <c r="KEU1366" s="110"/>
      <c r="KEV1366" s="110"/>
      <c r="KEW1366" s="110"/>
      <c r="KEX1366" s="110"/>
      <c r="KEY1366" s="110"/>
      <c r="KEZ1366" s="110"/>
      <c r="KFA1366" s="110"/>
      <c r="KFB1366" s="110"/>
      <c r="KFC1366" s="110"/>
      <c r="KFD1366" s="110"/>
      <c r="KFE1366" s="110"/>
      <c r="KFF1366" s="110"/>
      <c r="KFG1366" s="110"/>
      <c r="KFH1366" s="110"/>
      <c r="KFI1366" s="110"/>
      <c r="KFJ1366" s="110"/>
      <c r="KFK1366" s="110"/>
      <c r="KFL1366" s="110"/>
      <c r="KFM1366" s="110"/>
      <c r="KFN1366" s="110"/>
      <c r="KFO1366" s="110"/>
      <c r="KFP1366" s="110"/>
      <c r="KFQ1366" s="110"/>
      <c r="KFR1366" s="110"/>
      <c r="KFS1366" s="110"/>
      <c r="KFT1366" s="110"/>
      <c r="KFU1366" s="110"/>
      <c r="KFV1366" s="110"/>
      <c r="KFW1366" s="110"/>
      <c r="KFX1366" s="110"/>
      <c r="KFY1366" s="110"/>
      <c r="KFZ1366" s="110"/>
      <c r="KGA1366" s="110"/>
      <c r="KGB1366" s="110"/>
      <c r="KGC1366" s="110"/>
      <c r="KGD1366" s="110"/>
      <c r="KGE1366" s="110"/>
      <c r="KGF1366" s="110"/>
      <c r="KGG1366" s="110"/>
      <c r="KGH1366" s="110"/>
      <c r="KGI1366" s="110"/>
      <c r="KGJ1366" s="110"/>
      <c r="KGK1366" s="110"/>
      <c r="KGL1366" s="110"/>
      <c r="KGM1366" s="110"/>
      <c r="KGN1366" s="110"/>
      <c r="KGO1366" s="110"/>
      <c r="KGP1366" s="110"/>
      <c r="KGQ1366" s="110"/>
      <c r="KGR1366" s="110"/>
      <c r="KGS1366" s="110"/>
      <c r="KGT1366" s="110"/>
      <c r="KGU1366" s="110"/>
      <c r="KGV1366" s="110"/>
      <c r="KGW1366" s="110"/>
      <c r="KGX1366" s="110"/>
      <c r="KGY1366" s="110"/>
      <c r="KGZ1366" s="110"/>
      <c r="KHA1366" s="110"/>
      <c r="KHB1366" s="110"/>
      <c r="KHC1366" s="110"/>
      <c r="KHD1366" s="110"/>
      <c r="KHE1366" s="110"/>
      <c r="KHF1366" s="110"/>
      <c r="KHG1366" s="110"/>
      <c r="KHH1366" s="110"/>
      <c r="KHI1366" s="110"/>
      <c r="KHJ1366" s="110"/>
      <c r="KHK1366" s="110"/>
      <c r="KHL1366" s="110"/>
      <c r="KHM1366" s="110"/>
      <c r="KHN1366" s="110"/>
      <c r="KHO1366" s="110"/>
      <c r="KHP1366" s="110"/>
      <c r="KHQ1366" s="110"/>
      <c r="KHR1366" s="110"/>
      <c r="KHS1366" s="110"/>
      <c r="KHT1366" s="110"/>
      <c r="KHU1366" s="110"/>
      <c r="KHV1366" s="110"/>
      <c r="KHW1366" s="110"/>
      <c r="KHX1366" s="110"/>
      <c r="KHY1366" s="110"/>
      <c r="KHZ1366" s="110"/>
      <c r="KIA1366" s="110"/>
      <c r="KIB1366" s="110"/>
      <c r="KIC1366" s="110"/>
      <c r="KID1366" s="110"/>
      <c r="KIE1366" s="110"/>
      <c r="KIF1366" s="110"/>
      <c r="KIG1366" s="110"/>
      <c r="KIH1366" s="110"/>
      <c r="KII1366" s="110"/>
      <c r="KIJ1366" s="110"/>
      <c r="KIK1366" s="110"/>
      <c r="KIL1366" s="110"/>
      <c r="KIM1366" s="110"/>
      <c r="KIN1366" s="110"/>
      <c r="KIO1366" s="110"/>
      <c r="KIP1366" s="110"/>
      <c r="KIQ1366" s="110"/>
      <c r="KIR1366" s="110"/>
      <c r="KIS1366" s="110"/>
      <c r="KIT1366" s="110"/>
      <c r="KIU1366" s="110"/>
      <c r="KIV1366" s="110"/>
      <c r="KIW1366" s="110"/>
      <c r="KIX1366" s="110"/>
      <c r="KIY1366" s="110"/>
      <c r="KIZ1366" s="110"/>
      <c r="KJA1366" s="110"/>
      <c r="KJB1366" s="110"/>
      <c r="KJC1366" s="110"/>
      <c r="KJD1366" s="110"/>
      <c r="KJE1366" s="110"/>
      <c r="KJF1366" s="110"/>
      <c r="KJG1366" s="110"/>
      <c r="KJH1366" s="110"/>
      <c r="KJI1366" s="110"/>
      <c r="KJJ1366" s="110"/>
      <c r="KJK1366" s="110"/>
      <c r="KJL1366" s="110"/>
      <c r="KJM1366" s="110"/>
      <c r="KJN1366" s="110"/>
      <c r="KJO1366" s="110"/>
      <c r="KJP1366" s="110"/>
      <c r="KJQ1366" s="110"/>
      <c r="KJR1366" s="110"/>
      <c r="KJS1366" s="110"/>
      <c r="KJT1366" s="110"/>
      <c r="KJU1366" s="110"/>
      <c r="KJV1366" s="110"/>
      <c r="KJW1366" s="110"/>
      <c r="KJX1366" s="110"/>
      <c r="KJY1366" s="110"/>
      <c r="KJZ1366" s="110"/>
      <c r="KKA1366" s="110"/>
      <c r="KKB1366" s="110"/>
      <c r="KKC1366" s="110"/>
      <c r="KKD1366" s="110"/>
      <c r="KKE1366" s="110"/>
      <c r="KKF1366" s="110"/>
      <c r="KKG1366" s="110"/>
      <c r="KKH1366" s="110"/>
      <c r="KKI1366" s="110"/>
      <c r="KKJ1366" s="110"/>
      <c r="KKK1366" s="110"/>
      <c r="KKL1366" s="110"/>
      <c r="KKM1366" s="110"/>
      <c r="KKN1366" s="110"/>
      <c r="KKO1366" s="110"/>
      <c r="KKP1366" s="110"/>
      <c r="KKQ1366" s="110"/>
      <c r="KKR1366" s="110"/>
      <c r="KKS1366" s="110"/>
      <c r="KKT1366" s="110"/>
      <c r="KKU1366" s="110"/>
      <c r="KKV1366" s="110"/>
      <c r="KKW1366" s="110"/>
      <c r="KKX1366" s="110"/>
      <c r="KKY1366" s="110"/>
      <c r="KKZ1366" s="110"/>
      <c r="KLA1366" s="110"/>
      <c r="KLB1366" s="110"/>
      <c r="KLC1366" s="110"/>
      <c r="KLD1366" s="110"/>
      <c r="KLE1366" s="110"/>
      <c r="KLF1366" s="110"/>
      <c r="KLG1366" s="110"/>
      <c r="KLH1366" s="110"/>
      <c r="KLI1366" s="110"/>
      <c r="KLJ1366" s="110"/>
      <c r="KLK1366" s="110"/>
      <c r="KLL1366" s="110"/>
      <c r="KLM1366" s="110"/>
      <c r="KLN1366" s="110"/>
      <c r="KLO1366" s="110"/>
      <c r="KLP1366" s="110"/>
      <c r="KLQ1366" s="110"/>
      <c r="KLR1366" s="110"/>
      <c r="KLS1366" s="110"/>
      <c r="KLT1366" s="110"/>
      <c r="KLU1366" s="110"/>
      <c r="KLV1366" s="110"/>
      <c r="KLW1366" s="110"/>
      <c r="KLX1366" s="110"/>
      <c r="KLY1366" s="110"/>
      <c r="KLZ1366" s="110"/>
      <c r="KMA1366" s="110"/>
      <c r="KMB1366" s="110"/>
      <c r="KMC1366" s="110"/>
      <c r="KMD1366" s="110"/>
      <c r="KME1366" s="110"/>
      <c r="KMF1366" s="110"/>
      <c r="KMG1366" s="110"/>
      <c r="KMH1366" s="110"/>
      <c r="KMI1366" s="110"/>
      <c r="KMJ1366" s="110"/>
      <c r="KMK1366" s="110"/>
      <c r="KML1366" s="110"/>
      <c r="KMM1366" s="110"/>
      <c r="KMN1366" s="110"/>
      <c r="KMO1366" s="110"/>
      <c r="KMP1366" s="110"/>
      <c r="KMQ1366" s="110"/>
      <c r="KMR1366" s="110"/>
      <c r="KMS1366" s="110"/>
      <c r="KMT1366" s="110"/>
      <c r="KMU1366" s="110"/>
      <c r="KMV1366" s="110"/>
      <c r="KMW1366" s="110"/>
      <c r="KMX1366" s="110"/>
      <c r="KMY1366" s="110"/>
      <c r="KMZ1366" s="110"/>
      <c r="KNA1366" s="110"/>
      <c r="KNB1366" s="110"/>
      <c r="KNC1366" s="110"/>
      <c r="KND1366" s="110"/>
      <c r="KNE1366" s="110"/>
      <c r="KNF1366" s="110"/>
      <c r="KNG1366" s="110"/>
      <c r="KNH1366" s="110"/>
      <c r="KNI1366" s="110"/>
      <c r="KNJ1366" s="110"/>
      <c r="KNK1366" s="110"/>
      <c r="KNL1366" s="110"/>
      <c r="KNM1366" s="110"/>
      <c r="KNN1366" s="110"/>
      <c r="KNO1366" s="110"/>
      <c r="KNP1366" s="110"/>
      <c r="KNQ1366" s="110"/>
      <c r="KNR1366" s="110"/>
      <c r="KNS1366" s="110"/>
      <c r="KNT1366" s="110"/>
      <c r="KNU1366" s="110"/>
      <c r="KNV1366" s="110"/>
      <c r="KNW1366" s="110"/>
      <c r="KNX1366" s="110"/>
      <c r="KNY1366" s="110"/>
      <c r="KNZ1366" s="110"/>
      <c r="KOA1366" s="110"/>
      <c r="KOB1366" s="110"/>
      <c r="KOC1366" s="110"/>
      <c r="KOD1366" s="110"/>
      <c r="KOE1366" s="110"/>
      <c r="KOF1366" s="110"/>
      <c r="KOG1366" s="110"/>
      <c r="KOH1366" s="110"/>
      <c r="KOI1366" s="110"/>
      <c r="KOJ1366" s="110"/>
      <c r="KOK1366" s="110"/>
      <c r="KOL1366" s="110"/>
      <c r="KOM1366" s="110"/>
      <c r="KON1366" s="110"/>
      <c r="KOO1366" s="110"/>
      <c r="KOP1366" s="110"/>
      <c r="KOQ1366" s="110"/>
      <c r="KOR1366" s="110"/>
      <c r="KOS1366" s="110"/>
      <c r="KOT1366" s="110"/>
      <c r="KOU1366" s="110"/>
      <c r="KOV1366" s="110"/>
      <c r="KOW1366" s="110"/>
      <c r="KOX1366" s="110"/>
      <c r="KOY1366" s="110"/>
      <c r="KOZ1366" s="110"/>
      <c r="KPA1366" s="110"/>
      <c r="KPB1366" s="110"/>
      <c r="KPC1366" s="110"/>
      <c r="KPD1366" s="110"/>
      <c r="KPE1366" s="110"/>
      <c r="KPF1366" s="110"/>
      <c r="KPG1366" s="110"/>
      <c r="KPH1366" s="110"/>
      <c r="KPI1366" s="110"/>
      <c r="KPJ1366" s="110"/>
      <c r="KPK1366" s="110"/>
      <c r="KPL1366" s="110"/>
      <c r="KPM1366" s="110"/>
      <c r="KPN1366" s="110"/>
      <c r="KPO1366" s="110"/>
      <c r="KPP1366" s="110"/>
      <c r="KPQ1366" s="110"/>
      <c r="KPR1366" s="110"/>
      <c r="KPS1366" s="110"/>
      <c r="KPT1366" s="110"/>
      <c r="KPU1366" s="110"/>
      <c r="KPV1366" s="110"/>
      <c r="KPW1366" s="110"/>
      <c r="KPX1366" s="110"/>
      <c r="KPY1366" s="110"/>
      <c r="KPZ1366" s="110"/>
      <c r="KQA1366" s="110"/>
      <c r="KQB1366" s="110"/>
      <c r="KQC1366" s="110"/>
      <c r="KQD1366" s="110"/>
      <c r="KQE1366" s="110"/>
      <c r="KQF1366" s="110"/>
      <c r="KQG1366" s="110"/>
      <c r="KQH1366" s="110"/>
      <c r="KQI1366" s="110"/>
      <c r="KQJ1366" s="110"/>
      <c r="KQK1366" s="110"/>
      <c r="KQL1366" s="110"/>
      <c r="KQM1366" s="110"/>
      <c r="KQN1366" s="110"/>
      <c r="KQO1366" s="110"/>
      <c r="KQP1366" s="110"/>
      <c r="KQQ1366" s="110"/>
      <c r="KQR1366" s="110"/>
      <c r="KQS1366" s="110"/>
      <c r="KQT1366" s="110"/>
      <c r="KQU1366" s="110"/>
      <c r="KQV1366" s="110"/>
      <c r="KQW1366" s="110"/>
      <c r="KQX1366" s="110"/>
      <c r="KQY1366" s="110"/>
      <c r="KQZ1366" s="110"/>
      <c r="KRA1366" s="110"/>
      <c r="KRB1366" s="110"/>
      <c r="KRC1366" s="110"/>
      <c r="KRD1366" s="110"/>
      <c r="KRE1366" s="110"/>
      <c r="KRF1366" s="110"/>
      <c r="KRG1366" s="110"/>
      <c r="KRH1366" s="110"/>
      <c r="KRI1366" s="110"/>
      <c r="KRJ1366" s="110"/>
      <c r="KRK1366" s="110"/>
      <c r="KRL1366" s="110"/>
      <c r="KRM1366" s="110"/>
      <c r="KRN1366" s="110"/>
      <c r="KRO1366" s="110"/>
      <c r="KRP1366" s="110"/>
      <c r="KRQ1366" s="110"/>
      <c r="KRR1366" s="110"/>
      <c r="KRS1366" s="110"/>
      <c r="KRT1366" s="110"/>
      <c r="KRU1366" s="110"/>
      <c r="KRV1366" s="110"/>
      <c r="KRW1366" s="110"/>
      <c r="KRX1366" s="110"/>
      <c r="KRY1366" s="110"/>
      <c r="KRZ1366" s="110"/>
      <c r="KSA1366" s="110"/>
      <c r="KSB1366" s="110"/>
      <c r="KSC1366" s="110"/>
      <c r="KSD1366" s="110"/>
      <c r="KSE1366" s="110"/>
      <c r="KSF1366" s="110"/>
      <c r="KSG1366" s="110"/>
      <c r="KSH1366" s="110"/>
      <c r="KSI1366" s="110"/>
      <c r="KSJ1366" s="110"/>
      <c r="KSK1366" s="110"/>
      <c r="KSL1366" s="110"/>
      <c r="KSM1366" s="110"/>
      <c r="KSN1366" s="110"/>
      <c r="KSO1366" s="110"/>
      <c r="KSP1366" s="110"/>
      <c r="KSQ1366" s="110"/>
      <c r="KSR1366" s="110"/>
      <c r="KSS1366" s="110"/>
      <c r="KST1366" s="110"/>
      <c r="KSU1366" s="110"/>
      <c r="KSV1366" s="110"/>
      <c r="KSW1366" s="110"/>
      <c r="KSX1366" s="110"/>
      <c r="KSY1366" s="110"/>
      <c r="KSZ1366" s="110"/>
      <c r="KTA1366" s="110"/>
      <c r="KTB1366" s="110"/>
      <c r="KTC1366" s="110"/>
      <c r="KTD1366" s="110"/>
      <c r="KTE1366" s="110"/>
      <c r="KTF1366" s="110"/>
      <c r="KTG1366" s="110"/>
      <c r="KTH1366" s="110"/>
      <c r="KTI1366" s="110"/>
      <c r="KTJ1366" s="110"/>
      <c r="KTK1366" s="110"/>
      <c r="KTL1366" s="110"/>
      <c r="KTM1366" s="110"/>
      <c r="KTN1366" s="110"/>
      <c r="KTO1366" s="110"/>
      <c r="KTP1366" s="110"/>
      <c r="KTQ1366" s="110"/>
      <c r="KTR1366" s="110"/>
      <c r="KTS1366" s="110"/>
      <c r="KTT1366" s="110"/>
      <c r="KTU1366" s="110"/>
      <c r="KTV1366" s="110"/>
      <c r="KTW1366" s="110"/>
      <c r="KTX1366" s="110"/>
      <c r="KTY1366" s="110"/>
      <c r="KTZ1366" s="110"/>
      <c r="KUA1366" s="110"/>
      <c r="KUB1366" s="110"/>
      <c r="KUC1366" s="110"/>
      <c r="KUD1366" s="110"/>
      <c r="KUE1366" s="110"/>
      <c r="KUF1366" s="110"/>
      <c r="KUG1366" s="110"/>
      <c r="KUH1366" s="110"/>
      <c r="KUI1366" s="110"/>
      <c r="KUJ1366" s="110"/>
      <c r="KUK1366" s="110"/>
      <c r="KUL1366" s="110"/>
      <c r="KUM1366" s="110"/>
      <c r="KUN1366" s="110"/>
      <c r="KUO1366" s="110"/>
      <c r="KUP1366" s="110"/>
      <c r="KUQ1366" s="110"/>
      <c r="KUR1366" s="110"/>
      <c r="KUS1366" s="110"/>
      <c r="KUT1366" s="110"/>
      <c r="KUU1366" s="110"/>
      <c r="KUV1366" s="110"/>
      <c r="KUW1366" s="110"/>
      <c r="KUX1366" s="110"/>
      <c r="KUY1366" s="110"/>
      <c r="KUZ1366" s="110"/>
      <c r="KVA1366" s="110"/>
      <c r="KVB1366" s="110"/>
      <c r="KVC1366" s="110"/>
      <c r="KVD1366" s="110"/>
      <c r="KVE1366" s="110"/>
      <c r="KVF1366" s="110"/>
      <c r="KVG1366" s="110"/>
      <c r="KVH1366" s="110"/>
      <c r="KVI1366" s="110"/>
      <c r="KVJ1366" s="110"/>
      <c r="KVK1366" s="110"/>
      <c r="KVL1366" s="110"/>
      <c r="KVM1366" s="110"/>
      <c r="KVN1366" s="110"/>
      <c r="KVO1366" s="110"/>
      <c r="KVP1366" s="110"/>
      <c r="KVQ1366" s="110"/>
      <c r="KVR1366" s="110"/>
      <c r="KVS1366" s="110"/>
      <c r="KVT1366" s="110"/>
      <c r="KVU1366" s="110"/>
      <c r="KVV1366" s="110"/>
      <c r="KVW1366" s="110"/>
      <c r="KVX1366" s="110"/>
      <c r="KVY1366" s="110"/>
      <c r="KVZ1366" s="110"/>
      <c r="KWA1366" s="110"/>
      <c r="KWB1366" s="110"/>
      <c r="KWC1366" s="110"/>
      <c r="KWD1366" s="110"/>
      <c r="KWE1366" s="110"/>
      <c r="KWF1366" s="110"/>
      <c r="KWG1366" s="110"/>
      <c r="KWH1366" s="110"/>
      <c r="KWI1366" s="110"/>
      <c r="KWJ1366" s="110"/>
      <c r="KWK1366" s="110"/>
      <c r="KWL1366" s="110"/>
      <c r="KWM1366" s="110"/>
      <c r="KWN1366" s="110"/>
      <c r="KWO1366" s="110"/>
      <c r="KWP1366" s="110"/>
      <c r="KWQ1366" s="110"/>
      <c r="KWR1366" s="110"/>
      <c r="KWS1366" s="110"/>
      <c r="KWT1366" s="110"/>
      <c r="KWU1366" s="110"/>
      <c r="KWV1366" s="110"/>
      <c r="KWW1366" s="110"/>
      <c r="KWX1366" s="110"/>
      <c r="KWY1366" s="110"/>
      <c r="KWZ1366" s="110"/>
      <c r="KXA1366" s="110"/>
      <c r="KXB1366" s="110"/>
      <c r="KXC1366" s="110"/>
      <c r="KXD1366" s="110"/>
      <c r="KXE1366" s="110"/>
      <c r="KXF1366" s="110"/>
      <c r="KXG1366" s="110"/>
      <c r="KXH1366" s="110"/>
      <c r="KXI1366" s="110"/>
      <c r="KXJ1366" s="110"/>
      <c r="KXK1366" s="110"/>
      <c r="KXL1366" s="110"/>
      <c r="KXM1366" s="110"/>
      <c r="KXN1366" s="110"/>
      <c r="KXO1366" s="110"/>
      <c r="KXP1366" s="110"/>
      <c r="KXQ1366" s="110"/>
      <c r="KXR1366" s="110"/>
      <c r="KXS1366" s="110"/>
      <c r="KXT1366" s="110"/>
      <c r="KXU1366" s="110"/>
      <c r="KXV1366" s="110"/>
      <c r="KXW1366" s="110"/>
      <c r="KXX1366" s="110"/>
      <c r="KXY1366" s="110"/>
      <c r="KXZ1366" s="110"/>
      <c r="KYA1366" s="110"/>
      <c r="KYB1366" s="110"/>
      <c r="KYC1366" s="110"/>
      <c r="KYD1366" s="110"/>
      <c r="KYE1366" s="110"/>
      <c r="KYF1366" s="110"/>
      <c r="KYG1366" s="110"/>
      <c r="KYH1366" s="110"/>
      <c r="KYI1366" s="110"/>
      <c r="KYJ1366" s="110"/>
      <c r="KYK1366" s="110"/>
      <c r="KYL1366" s="110"/>
      <c r="KYM1366" s="110"/>
      <c r="KYN1366" s="110"/>
      <c r="KYO1366" s="110"/>
      <c r="KYP1366" s="110"/>
      <c r="KYQ1366" s="110"/>
      <c r="KYR1366" s="110"/>
      <c r="KYS1366" s="110"/>
      <c r="KYT1366" s="110"/>
      <c r="KYU1366" s="110"/>
      <c r="KYV1366" s="110"/>
      <c r="KYW1366" s="110"/>
      <c r="KYX1366" s="110"/>
      <c r="KYY1366" s="110"/>
      <c r="KYZ1366" s="110"/>
      <c r="KZA1366" s="110"/>
      <c r="KZB1366" s="110"/>
      <c r="KZC1366" s="110"/>
      <c r="KZD1366" s="110"/>
      <c r="KZE1366" s="110"/>
      <c r="KZF1366" s="110"/>
      <c r="KZG1366" s="110"/>
      <c r="KZH1366" s="110"/>
      <c r="KZI1366" s="110"/>
      <c r="KZJ1366" s="110"/>
      <c r="KZK1366" s="110"/>
      <c r="KZL1366" s="110"/>
      <c r="KZM1366" s="110"/>
      <c r="KZN1366" s="110"/>
      <c r="KZO1366" s="110"/>
      <c r="KZP1366" s="110"/>
      <c r="KZQ1366" s="110"/>
      <c r="KZR1366" s="110"/>
      <c r="KZS1366" s="110"/>
      <c r="KZT1366" s="110"/>
      <c r="KZU1366" s="110"/>
      <c r="KZV1366" s="110"/>
      <c r="KZW1366" s="110"/>
      <c r="KZX1366" s="110"/>
      <c r="KZY1366" s="110"/>
      <c r="KZZ1366" s="110"/>
      <c r="LAA1366" s="110"/>
      <c r="LAB1366" s="110"/>
      <c r="LAC1366" s="110"/>
      <c r="LAD1366" s="110"/>
      <c r="LAE1366" s="110"/>
      <c r="LAF1366" s="110"/>
      <c r="LAG1366" s="110"/>
      <c r="LAH1366" s="110"/>
      <c r="LAI1366" s="110"/>
      <c r="LAJ1366" s="110"/>
      <c r="LAK1366" s="110"/>
      <c r="LAL1366" s="110"/>
      <c r="LAM1366" s="110"/>
      <c r="LAN1366" s="110"/>
      <c r="LAO1366" s="110"/>
      <c r="LAP1366" s="110"/>
      <c r="LAQ1366" s="110"/>
      <c r="LAR1366" s="110"/>
      <c r="LAS1366" s="110"/>
      <c r="LAT1366" s="110"/>
      <c r="LAU1366" s="110"/>
      <c r="LAV1366" s="110"/>
      <c r="LAW1366" s="110"/>
      <c r="LAX1366" s="110"/>
      <c r="LAY1366" s="110"/>
      <c r="LAZ1366" s="110"/>
      <c r="LBA1366" s="110"/>
      <c r="LBB1366" s="110"/>
      <c r="LBC1366" s="110"/>
      <c r="LBD1366" s="110"/>
      <c r="LBE1366" s="110"/>
      <c r="LBF1366" s="110"/>
      <c r="LBG1366" s="110"/>
      <c r="LBH1366" s="110"/>
      <c r="LBI1366" s="110"/>
      <c r="LBJ1366" s="110"/>
      <c r="LBK1366" s="110"/>
      <c r="LBL1366" s="110"/>
      <c r="LBM1366" s="110"/>
      <c r="LBN1366" s="110"/>
      <c r="LBO1366" s="110"/>
      <c r="LBP1366" s="110"/>
      <c r="LBQ1366" s="110"/>
      <c r="LBR1366" s="110"/>
      <c r="LBS1366" s="110"/>
      <c r="LBT1366" s="110"/>
      <c r="LBU1366" s="110"/>
      <c r="LBV1366" s="110"/>
      <c r="LBW1366" s="110"/>
      <c r="LBX1366" s="110"/>
      <c r="LBY1366" s="110"/>
      <c r="LBZ1366" s="110"/>
      <c r="LCA1366" s="110"/>
      <c r="LCB1366" s="110"/>
      <c r="LCC1366" s="110"/>
      <c r="LCD1366" s="110"/>
      <c r="LCE1366" s="110"/>
      <c r="LCF1366" s="110"/>
      <c r="LCG1366" s="110"/>
      <c r="LCH1366" s="110"/>
      <c r="LCI1366" s="110"/>
      <c r="LCJ1366" s="110"/>
      <c r="LCK1366" s="110"/>
      <c r="LCL1366" s="110"/>
      <c r="LCM1366" s="110"/>
      <c r="LCN1366" s="110"/>
      <c r="LCO1366" s="110"/>
      <c r="LCP1366" s="110"/>
      <c r="LCQ1366" s="110"/>
      <c r="LCR1366" s="110"/>
      <c r="LCS1366" s="110"/>
      <c r="LCT1366" s="110"/>
      <c r="LCU1366" s="110"/>
      <c r="LCV1366" s="110"/>
      <c r="LCW1366" s="110"/>
      <c r="LCX1366" s="110"/>
      <c r="LCY1366" s="110"/>
      <c r="LCZ1366" s="110"/>
      <c r="LDA1366" s="110"/>
      <c r="LDB1366" s="110"/>
      <c r="LDC1366" s="110"/>
      <c r="LDD1366" s="110"/>
      <c r="LDE1366" s="110"/>
      <c r="LDF1366" s="110"/>
      <c r="LDG1366" s="110"/>
      <c r="LDH1366" s="110"/>
      <c r="LDI1366" s="110"/>
      <c r="LDJ1366" s="110"/>
      <c r="LDK1366" s="110"/>
      <c r="LDL1366" s="110"/>
      <c r="LDM1366" s="110"/>
      <c r="LDN1366" s="110"/>
      <c r="LDO1366" s="110"/>
      <c r="LDP1366" s="110"/>
      <c r="LDQ1366" s="110"/>
      <c r="LDR1366" s="110"/>
      <c r="LDS1366" s="110"/>
      <c r="LDT1366" s="110"/>
      <c r="LDU1366" s="110"/>
      <c r="LDV1366" s="110"/>
      <c r="LDW1366" s="110"/>
      <c r="LDX1366" s="110"/>
      <c r="LDY1366" s="110"/>
      <c r="LDZ1366" s="110"/>
      <c r="LEA1366" s="110"/>
      <c r="LEB1366" s="110"/>
      <c r="LEC1366" s="110"/>
      <c r="LED1366" s="110"/>
      <c r="LEE1366" s="110"/>
      <c r="LEF1366" s="110"/>
      <c r="LEG1366" s="110"/>
      <c r="LEH1366" s="110"/>
      <c r="LEI1366" s="110"/>
      <c r="LEJ1366" s="110"/>
      <c r="LEK1366" s="110"/>
      <c r="LEL1366" s="110"/>
      <c r="LEM1366" s="110"/>
      <c r="LEN1366" s="110"/>
      <c r="LEO1366" s="110"/>
      <c r="LEP1366" s="110"/>
      <c r="LEQ1366" s="110"/>
      <c r="LER1366" s="110"/>
      <c r="LES1366" s="110"/>
      <c r="LET1366" s="110"/>
      <c r="LEU1366" s="110"/>
      <c r="LEV1366" s="110"/>
      <c r="LEW1366" s="110"/>
      <c r="LEX1366" s="110"/>
      <c r="LEY1366" s="110"/>
      <c r="LEZ1366" s="110"/>
      <c r="LFA1366" s="110"/>
      <c r="LFB1366" s="110"/>
      <c r="LFC1366" s="110"/>
      <c r="LFD1366" s="110"/>
      <c r="LFE1366" s="110"/>
      <c r="LFF1366" s="110"/>
      <c r="LFG1366" s="110"/>
      <c r="LFH1366" s="110"/>
      <c r="LFI1366" s="110"/>
      <c r="LFJ1366" s="110"/>
      <c r="LFK1366" s="110"/>
      <c r="LFL1366" s="110"/>
      <c r="LFM1366" s="110"/>
      <c r="LFN1366" s="110"/>
      <c r="LFO1366" s="110"/>
      <c r="LFP1366" s="110"/>
      <c r="LFQ1366" s="110"/>
      <c r="LFR1366" s="110"/>
      <c r="LFS1366" s="110"/>
      <c r="LFT1366" s="110"/>
      <c r="LFU1366" s="110"/>
      <c r="LFV1366" s="110"/>
      <c r="LFW1366" s="110"/>
      <c r="LFX1366" s="110"/>
      <c r="LFY1366" s="110"/>
      <c r="LFZ1366" s="110"/>
      <c r="LGA1366" s="110"/>
      <c r="LGB1366" s="110"/>
      <c r="LGC1366" s="110"/>
      <c r="LGD1366" s="110"/>
      <c r="LGE1366" s="110"/>
      <c r="LGF1366" s="110"/>
      <c r="LGG1366" s="110"/>
      <c r="LGH1366" s="110"/>
      <c r="LGI1366" s="110"/>
      <c r="LGJ1366" s="110"/>
      <c r="LGK1366" s="110"/>
      <c r="LGL1366" s="110"/>
      <c r="LGM1366" s="110"/>
      <c r="LGN1366" s="110"/>
      <c r="LGO1366" s="110"/>
      <c r="LGP1366" s="110"/>
      <c r="LGQ1366" s="110"/>
      <c r="LGR1366" s="110"/>
      <c r="LGS1366" s="110"/>
      <c r="LGT1366" s="110"/>
      <c r="LGU1366" s="110"/>
      <c r="LGV1366" s="110"/>
      <c r="LGW1366" s="110"/>
      <c r="LGX1366" s="110"/>
      <c r="LGY1366" s="110"/>
      <c r="LGZ1366" s="110"/>
      <c r="LHA1366" s="110"/>
      <c r="LHB1366" s="110"/>
      <c r="LHC1366" s="110"/>
      <c r="LHD1366" s="110"/>
      <c r="LHE1366" s="110"/>
      <c r="LHF1366" s="110"/>
      <c r="LHG1366" s="110"/>
      <c r="LHH1366" s="110"/>
      <c r="LHI1366" s="110"/>
      <c r="LHJ1366" s="110"/>
      <c r="LHK1366" s="110"/>
      <c r="LHL1366" s="110"/>
      <c r="LHM1366" s="110"/>
      <c r="LHN1366" s="110"/>
      <c r="LHO1366" s="110"/>
      <c r="LHP1366" s="110"/>
      <c r="LHQ1366" s="110"/>
      <c r="LHR1366" s="110"/>
      <c r="LHS1366" s="110"/>
      <c r="LHT1366" s="110"/>
      <c r="LHU1366" s="110"/>
      <c r="LHV1366" s="110"/>
      <c r="LHW1366" s="110"/>
      <c r="LHX1366" s="110"/>
      <c r="LHY1366" s="110"/>
      <c r="LHZ1366" s="110"/>
      <c r="LIA1366" s="110"/>
      <c r="LIB1366" s="110"/>
      <c r="LIC1366" s="110"/>
      <c r="LID1366" s="110"/>
      <c r="LIE1366" s="110"/>
      <c r="LIF1366" s="110"/>
      <c r="LIG1366" s="110"/>
      <c r="LIH1366" s="110"/>
      <c r="LII1366" s="110"/>
      <c r="LIJ1366" s="110"/>
      <c r="LIK1366" s="110"/>
      <c r="LIL1366" s="110"/>
      <c r="LIM1366" s="110"/>
      <c r="LIN1366" s="110"/>
      <c r="LIO1366" s="110"/>
      <c r="LIP1366" s="110"/>
      <c r="LIQ1366" s="110"/>
      <c r="LIR1366" s="110"/>
      <c r="LIS1366" s="110"/>
      <c r="LIT1366" s="110"/>
      <c r="LIU1366" s="110"/>
      <c r="LIV1366" s="110"/>
      <c r="LIW1366" s="110"/>
      <c r="LIX1366" s="110"/>
      <c r="LIY1366" s="110"/>
      <c r="LIZ1366" s="110"/>
      <c r="LJA1366" s="110"/>
      <c r="LJB1366" s="110"/>
      <c r="LJC1366" s="110"/>
      <c r="LJD1366" s="110"/>
      <c r="LJE1366" s="110"/>
      <c r="LJF1366" s="110"/>
      <c r="LJG1366" s="110"/>
      <c r="LJH1366" s="110"/>
      <c r="LJI1366" s="110"/>
      <c r="LJJ1366" s="110"/>
      <c r="LJK1366" s="110"/>
      <c r="LJL1366" s="110"/>
      <c r="LJM1366" s="110"/>
      <c r="LJN1366" s="110"/>
      <c r="LJO1366" s="110"/>
      <c r="LJP1366" s="110"/>
      <c r="LJQ1366" s="110"/>
      <c r="LJR1366" s="110"/>
      <c r="LJS1366" s="110"/>
      <c r="LJT1366" s="110"/>
      <c r="LJU1366" s="110"/>
      <c r="LJV1366" s="110"/>
      <c r="LJW1366" s="110"/>
      <c r="LJX1366" s="110"/>
      <c r="LJY1366" s="110"/>
      <c r="LJZ1366" s="110"/>
      <c r="LKA1366" s="110"/>
      <c r="LKB1366" s="110"/>
      <c r="LKC1366" s="110"/>
      <c r="LKD1366" s="110"/>
      <c r="LKE1366" s="110"/>
      <c r="LKF1366" s="110"/>
      <c r="LKG1366" s="110"/>
      <c r="LKH1366" s="110"/>
      <c r="LKI1366" s="110"/>
      <c r="LKJ1366" s="110"/>
      <c r="LKK1366" s="110"/>
      <c r="LKL1366" s="110"/>
      <c r="LKM1366" s="110"/>
      <c r="LKN1366" s="110"/>
      <c r="LKO1366" s="110"/>
      <c r="LKP1366" s="110"/>
      <c r="LKQ1366" s="110"/>
      <c r="LKR1366" s="110"/>
      <c r="LKS1366" s="110"/>
      <c r="LKT1366" s="110"/>
      <c r="LKU1366" s="110"/>
      <c r="LKV1366" s="110"/>
      <c r="LKW1366" s="110"/>
      <c r="LKX1366" s="110"/>
      <c r="LKY1366" s="110"/>
      <c r="LKZ1366" s="110"/>
      <c r="LLA1366" s="110"/>
      <c r="LLB1366" s="110"/>
      <c r="LLC1366" s="110"/>
      <c r="LLD1366" s="110"/>
      <c r="LLE1366" s="110"/>
      <c r="LLF1366" s="110"/>
      <c r="LLG1366" s="110"/>
      <c r="LLH1366" s="110"/>
      <c r="LLI1366" s="110"/>
      <c r="LLJ1366" s="110"/>
      <c r="LLK1366" s="110"/>
      <c r="LLL1366" s="110"/>
      <c r="LLM1366" s="110"/>
      <c r="LLN1366" s="110"/>
      <c r="LLO1366" s="110"/>
      <c r="LLP1366" s="110"/>
      <c r="LLQ1366" s="110"/>
      <c r="LLR1366" s="110"/>
      <c r="LLS1366" s="110"/>
      <c r="LLT1366" s="110"/>
      <c r="LLU1366" s="110"/>
      <c r="LLV1366" s="110"/>
      <c r="LLW1366" s="110"/>
      <c r="LLX1366" s="110"/>
      <c r="LLY1366" s="110"/>
      <c r="LLZ1366" s="110"/>
      <c r="LMA1366" s="110"/>
      <c r="LMB1366" s="110"/>
      <c r="LMC1366" s="110"/>
      <c r="LMD1366" s="110"/>
      <c r="LME1366" s="110"/>
      <c r="LMF1366" s="110"/>
      <c r="LMG1366" s="110"/>
      <c r="LMH1366" s="110"/>
      <c r="LMI1366" s="110"/>
      <c r="LMJ1366" s="110"/>
      <c r="LMK1366" s="110"/>
      <c r="LML1366" s="110"/>
      <c r="LMM1366" s="110"/>
      <c r="LMN1366" s="110"/>
      <c r="LMO1366" s="110"/>
      <c r="LMP1366" s="110"/>
      <c r="LMQ1366" s="110"/>
      <c r="LMR1366" s="110"/>
      <c r="LMS1366" s="110"/>
      <c r="LMT1366" s="110"/>
      <c r="LMU1366" s="110"/>
      <c r="LMV1366" s="110"/>
      <c r="LMW1366" s="110"/>
      <c r="LMX1366" s="110"/>
      <c r="LMY1366" s="110"/>
      <c r="LMZ1366" s="110"/>
      <c r="LNA1366" s="110"/>
      <c r="LNB1366" s="110"/>
      <c r="LNC1366" s="110"/>
      <c r="LND1366" s="110"/>
      <c r="LNE1366" s="110"/>
      <c r="LNF1366" s="110"/>
      <c r="LNG1366" s="110"/>
      <c r="LNH1366" s="110"/>
      <c r="LNI1366" s="110"/>
      <c r="LNJ1366" s="110"/>
      <c r="LNK1366" s="110"/>
      <c r="LNL1366" s="110"/>
      <c r="LNM1366" s="110"/>
      <c r="LNN1366" s="110"/>
      <c r="LNO1366" s="110"/>
      <c r="LNP1366" s="110"/>
      <c r="LNQ1366" s="110"/>
      <c r="LNR1366" s="110"/>
      <c r="LNS1366" s="110"/>
      <c r="LNT1366" s="110"/>
      <c r="LNU1366" s="110"/>
      <c r="LNV1366" s="110"/>
      <c r="LNW1366" s="110"/>
      <c r="LNX1366" s="110"/>
      <c r="LNY1366" s="110"/>
      <c r="LNZ1366" s="110"/>
      <c r="LOA1366" s="110"/>
      <c r="LOB1366" s="110"/>
      <c r="LOC1366" s="110"/>
      <c r="LOD1366" s="110"/>
      <c r="LOE1366" s="110"/>
      <c r="LOF1366" s="110"/>
      <c r="LOG1366" s="110"/>
      <c r="LOH1366" s="110"/>
      <c r="LOI1366" s="110"/>
      <c r="LOJ1366" s="110"/>
      <c r="LOK1366" s="110"/>
      <c r="LOL1366" s="110"/>
      <c r="LOM1366" s="110"/>
      <c r="LON1366" s="110"/>
      <c r="LOO1366" s="110"/>
      <c r="LOP1366" s="110"/>
      <c r="LOQ1366" s="110"/>
      <c r="LOR1366" s="110"/>
      <c r="LOS1366" s="110"/>
      <c r="LOT1366" s="110"/>
      <c r="LOU1366" s="110"/>
      <c r="LOV1366" s="110"/>
      <c r="LOW1366" s="110"/>
      <c r="LOX1366" s="110"/>
      <c r="LOY1366" s="110"/>
      <c r="LOZ1366" s="110"/>
      <c r="LPA1366" s="110"/>
      <c r="LPB1366" s="110"/>
      <c r="LPC1366" s="110"/>
      <c r="LPD1366" s="110"/>
      <c r="LPE1366" s="110"/>
      <c r="LPF1366" s="110"/>
      <c r="LPG1366" s="110"/>
      <c r="LPH1366" s="110"/>
      <c r="LPI1366" s="110"/>
      <c r="LPJ1366" s="110"/>
      <c r="LPK1366" s="110"/>
      <c r="LPL1366" s="110"/>
      <c r="LPM1366" s="110"/>
      <c r="LPN1366" s="110"/>
      <c r="LPO1366" s="110"/>
      <c r="LPP1366" s="110"/>
      <c r="LPQ1366" s="110"/>
      <c r="LPR1366" s="110"/>
      <c r="LPS1366" s="110"/>
      <c r="LPT1366" s="110"/>
      <c r="LPU1366" s="110"/>
      <c r="LPV1366" s="110"/>
      <c r="LPW1366" s="110"/>
      <c r="LPX1366" s="110"/>
      <c r="LPY1366" s="110"/>
      <c r="LPZ1366" s="110"/>
      <c r="LQA1366" s="110"/>
      <c r="LQB1366" s="110"/>
      <c r="LQC1366" s="110"/>
      <c r="LQD1366" s="110"/>
      <c r="LQE1366" s="110"/>
      <c r="LQF1366" s="110"/>
      <c r="LQG1366" s="110"/>
      <c r="LQH1366" s="110"/>
      <c r="LQI1366" s="110"/>
      <c r="LQJ1366" s="110"/>
      <c r="LQK1366" s="110"/>
      <c r="LQL1366" s="110"/>
      <c r="LQM1366" s="110"/>
      <c r="LQN1366" s="110"/>
      <c r="LQO1366" s="110"/>
      <c r="LQP1366" s="110"/>
      <c r="LQQ1366" s="110"/>
      <c r="LQR1366" s="110"/>
      <c r="LQS1366" s="110"/>
      <c r="LQT1366" s="110"/>
      <c r="LQU1366" s="110"/>
      <c r="LQV1366" s="110"/>
      <c r="LQW1366" s="110"/>
      <c r="LQX1366" s="110"/>
      <c r="LQY1366" s="110"/>
      <c r="LQZ1366" s="110"/>
      <c r="LRA1366" s="110"/>
      <c r="LRB1366" s="110"/>
      <c r="LRC1366" s="110"/>
      <c r="LRD1366" s="110"/>
      <c r="LRE1366" s="110"/>
      <c r="LRF1366" s="110"/>
      <c r="LRG1366" s="110"/>
      <c r="LRH1366" s="110"/>
      <c r="LRI1366" s="110"/>
      <c r="LRJ1366" s="110"/>
      <c r="LRK1366" s="110"/>
      <c r="LRL1366" s="110"/>
      <c r="LRM1366" s="110"/>
      <c r="LRN1366" s="110"/>
      <c r="LRO1366" s="110"/>
      <c r="LRP1366" s="110"/>
      <c r="LRQ1366" s="110"/>
      <c r="LRR1366" s="110"/>
      <c r="LRS1366" s="110"/>
      <c r="LRT1366" s="110"/>
      <c r="LRU1366" s="110"/>
      <c r="LRV1366" s="110"/>
      <c r="LRW1366" s="110"/>
      <c r="LRX1366" s="110"/>
      <c r="LRY1366" s="110"/>
      <c r="LRZ1366" s="110"/>
      <c r="LSA1366" s="110"/>
      <c r="LSB1366" s="110"/>
      <c r="LSC1366" s="110"/>
      <c r="LSD1366" s="110"/>
      <c r="LSE1366" s="110"/>
      <c r="LSF1366" s="110"/>
      <c r="LSG1366" s="110"/>
      <c r="LSH1366" s="110"/>
      <c r="LSI1366" s="110"/>
      <c r="LSJ1366" s="110"/>
      <c r="LSK1366" s="110"/>
      <c r="LSL1366" s="110"/>
      <c r="LSM1366" s="110"/>
      <c r="LSN1366" s="110"/>
      <c r="LSO1366" s="110"/>
      <c r="LSP1366" s="110"/>
      <c r="LSQ1366" s="110"/>
      <c r="LSR1366" s="110"/>
      <c r="LSS1366" s="110"/>
      <c r="LST1366" s="110"/>
      <c r="LSU1366" s="110"/>
      <c r="LSV1366" s="110"/>
      <c r="LSW1366" s="110"/>
      <c r="LSX1366" s="110"/>
      <c r="LSY1366" s="110"/>
      <c r="LSZ1366" s="110"/>
      <c r="LTA1366" s="110"/>
      <c r="LTB1366" s="110"/>
      <c r="LTC1366" s="110"/>
      <c r="LTD1366" s="110"/>
      <c r="LTE1366" s="110"/>
      <c r="LTF1366" s="110"/>
      <c r="LTG1366" s="110"/>
      <c r="LTH1366" s="110"/>
      <c r="LTI1366" s="110"/>
      <c r="LTJ1366" s="110"/>
      <c r="LTK1366" s="110"/>
      <c r="LTL1366" s="110"/>
      <c r="LTM1366" s="110"/>
      <c r="LTN1366" s="110"/>
      <c r="LTO1366" s="110"/>
      <c r="LTP1366" s="110"/>
      <c r="LTQ1366" s="110"/>
      <c r="LTR1366" s="110"/>
      <c r="LTS1366" s="110"/>
      <c r="LTT1366" s="110"/>
      <c r="LTU1366" s="110"/>
      <c r="LTV1366" s="110"/>
      <c r="LTW1366" s="110"/>
      <c r="LTX1366" s="110"/>
      <c r="LTY1366" s="110"/>
      <c r="LTZ1366" s="110"/>
      <c r="LUA1366" s="110"/>
      <c r="LUB1366" s="110"/>
      <c r="LUC1366" s="110"/>
      <c r="LUD1366" s="110"/>
      <c r="LUE1366" s="110"/>
      <c r="LUF1366" s="110"/>
      <c r="LUG1366" s="110"/>
      <c r="LUH1366" s="110"/>
      <c r="LUI1366" s="110"/>
      <c r="LUJ1366" s="110"/>
      <c r="LUK1366" s="110"/>
      <c r="LUL1366" s="110"/>
      <c r="LUM1366" s="110"/>
      <c r="LUN1366" s="110"/>
      <c r="LUO1366" s="110"/>
      <c r="LUP1366" s="110"/>
      <c r="LUQ1366" s="110"/>
      <c r="LUR1366" s="110"/>
      <c r="LUS1366" s="110"/>
      <c r="LUT1366" s="110"/>
      <c r="LUU1366" s="110"/>
      <c r="LUV1366" s="110"/>
      <c r="LUW1366" s="110"/>
      <c r="LUX1366" s="110"/>
      <c r="LUY1366" s="110"/>
      <c r="LUZ1366" s="110"/>
      <c r="LVA1366" s="110"/>
      <c r="LVB1366" s="110"/>
      <c r="LVC1366" s="110"/>
      <c r="LVD1366" s="110"/>
      <c r="LVE1366" s="110"/>
      <c r="LVF1366" s="110"/>
      <c r="LVG1366" s="110"/>
      <c r="LVH1366" s="110"/>
      <c r="LVI1366" s="110"/>
      <c r="LVJ1366" s="110"/>
      <c r="LVK1366" s="110"/>
      <c r="LVL1366" s="110"/>
      <c r="LVM1366" s="110"/>
      <c r="LVN1366" s="110"/>
      <c r="LVO1366" s="110"/>
      <c r="LVP1366" s="110"/>
      <c r="LVQ1366" s="110"/>
      <c r="LVR1366" s="110"/>
      <c r="LVS1366" s="110"/>
      <c r="LVT1366" s="110"/>
      <c r="LVU1366" s="110"/>
      <c r="LVV1366" s="110"/>
      <c r="LVW1366" s="110"/>
      <c r="LVX1366" s="110"/>
      <c r="LVY1366" s="110"/>
      <c r="LVZ1366" s="110"/>
      <c r="LWA1366" s="110"/>
      <c r="LWB1366" s="110"/>
      <c r="LWC1366" s="110"/>
      <c r="LWD1366" s="110"/>
      <c r="LWE1366" s="110"/>
      <c r="LWF1366" s="110"/>
      <c r="LWG1366" s="110"/>
      <c r="LWH1366" s="110"/>
      <c r="LWI1366" s="110"/>
      <c r="LWJ1366" s="110"/>
      <c r="LWK1366" s="110"/>
      <c r="LWL1366" s="110"/>
      <c r="LWM1366" s="110"/>
      <c r="LWN1366" s="110"/>
      <c r="LWO1366" s="110"/>
      <c r="LWP1366" s="110"/>
      <c r="LWQ1366" s="110"/>
      <c r="LWR1366" s="110"/>
      <c r="LWS1366" s="110"/>
      <c r="LWT1366" s="110"/>
      <c r="LWU1366" s="110"/>
      <c r="LWV1366" s="110"/>
      <c r="LWW1366" s="110"/>
      <c r="LWX1366" s="110"/>
      <c r="LWY1366" s="110"/>
      <c r="LWZ1366" s="110"/>
      <c r="LXA1366" s="110"/>
      <c r="LXB1366" s="110"/>
      <c r="LXC1366" s="110"/>
      <c r="LXD1366" s="110"/>
      <c r="LXE1366" s="110"/>
      <c r="LXF1366" s="110"/>
      <c r="LXG1366" s="110"/>
      <c r="LXH1366" s="110"/>
      <c r="LXI1366" s="110"/>
      <c r="LXJ1366" s="110"/>
      <c r="LXK1366" s="110"/>
      <c r="LXL1366" s="110"/>
      <c r="LXM1366" s="110"/>
      <c r="LXN1366" s="110"/>
      <c r="LXO1366" s="110"/>
      <c r="LXP1366" s="110"/>
      <c r="LXQ1366" s="110"/>
      <c r="LXR1366" s="110"/>
      <c r="LXS1366" s="110"/>
      <c r="LXT1366" s="110"/>
      <c r="LXU1366" s="110"/>
      <c r="LXV1366" s="110"/>
      <c r="LXW1366" s="110"/>
      <c r="LXX1366" s="110"/>
      <c r="LXY1366" s="110"/>
      <c r="LXZ1366" s="110"/>
      <c r="LYA1366" s="110"/>
      <c r="LYB1366" s="110"/>
      <c r="LYC1366" s="110"/>
      <c r="LYD1366" s="110"/>
      <c r="LYE1366" s="110"/>
      <c r="LYF1366" s="110"/>
      <c r="LYG1366" s="110"/>
      <c r="LYH1366" s="110"/>
      <c r="LYI1366" s="110"/>
      <c r="LYJ1366" s="110"/>
      <c r="LYK1366" s="110"/>
      <c r="LYL1366" s="110"/>
      <c r="LYM1366" s="110"/>
      <c r="LYN1366" s="110"/>
      <c r="LYO1366" s="110"/>
      <c r="LYP1366" s="110"/>
      <c r="LYQ1366" s="110"/>
      <c r="LYR1366" s="110"/>
      <c r="LYS1366" s="110"/>
      <c r="LYT1366" s="110"/>
      <c r="LYU1366" s="110"/>
      <c r="LYV1366" s="110"/>
      <c r="LYW1366" s="110"/>
      <c r="LYX1366" s="110"/>
      <c r="LYY1366" s="110"/>
      <c r="LYZ1366" s="110"/>
      <c r="LZA1366" s="110"/>
      <c r="LZB1366" s="110"/>
      <c r="LZC1366" s="110"/>
      <c r="LZD1366" s="110"/>
      <c r="LZE1366" s="110"/>
      <c r="LZF1366" s="110"/>
      <c r="LZG1366" s="110"/>
      <c r="LZH1366" s="110"/>
      <c r="LZI1366" s="110"/>
      <c r="LZJ1366" s="110"/>
      <c r="LZK1366" s="110"/>
      <c r="LZL1366" s="110"/>
      <c r="LZM1366" s="110"/>
      <c r="LZN1366" s="110"/>
      <c r="LZO1366" s="110"/>
      <c r="LZP1366" s="110"/>
      <c r="LZQ1366" s="110"/>
      <c r="LZR1366" s="110"/>
      <c r="LZS1366" s="110"/>
      <c r="LZT1366" s="110"/>
      <c r="LZU1366" s="110"/>
      <c r="LZV1366" s="110"/>
      <c r="LZW1366" s="110"/>
      <c r="LZX1366" s="110"/>
      <c r="LZY1366" s="110"/>
      <c r="LZZ1366" s="110"/>
      <c r="MAA1366" s="110"/>
      <c r="MAB1366" s="110"/>
      <c r="MAC1366" s="110"/>
      <c r="MAD1366" s="110"/>
      <c r="MAE1366" s="110"/>
      <c r="MAF1366" s="110"/>
      <c r="MAG1366" s="110"/>
      <c r="MAH1366" s="110"/>
      <c r="MAI1366" s="110"/>
      <c r="MAJ1366" s="110"/>
      <c r="MAK1366" s="110"/>
      <c r="MAL1366" s="110"/>
      <c r="MAM1366" s="110"/>
      <c r="MAN1366" s="110"/>
      <c r="MAO1366" s="110"/>
      <c r="MAP1366" s="110"/>
      <c r="MAQ1366" s="110"/>
      <c r="MAR1366" s="110"/>
      <c r="MAS1366" s="110"/>
      <c r="MAT1366" s="110"/>
      <c r="MAU1366" s="110"/>
      <c r="MAV1366" s="110"/>
      <c r="MAW1366" s="110"/>
      <c r="MAX1366" s="110"/>
      <c r="MAY1366" s="110"/>
      <c r="MAZ1366" s="110"/>
      <c r="MBA1366" s="110"/>
      <c r="MBB1366" s="110"/>
      <c r="MBC1366" s="110"/>
      <c r="MBD1366" s="110"/>
      <c r="MBE1366" s="110"/>
      <c r="MBF1366" s="110"/>
      <c r="MBG1366" s="110"/>
      <c r="MBH1366" s="110"/>
      <c r="MBI1366" s="110"/>
      <c r="MBJ1366" s="110"/>
      <c r="MBK1366" s="110"/>
      <c r="MBL1366" s="110"/>
      <c r="MBM1366" s="110"/>
      <c r="MBN1366" s="110"/>
      <c r="MBO1366" s="110"/>
      <c r="MBP1366" s="110"/>
      <c r="MBQ1366" s="110"/>
      <c r="MBR1366" s="110"/>
      <c r="MBS1366" s="110"/>
      <c r="MBT1366" s="110"/>
      <c r="MBU1366" s="110"/>
      <c r="MBV1366" s="110"/>
      <c r="MBW1366" s="110"/>
      <c r="MBX1366" s="110"/>
      <c r="MBY1366" s="110"/>
      <c r="MBZ1366" s="110"/>
      <c r="MCA1366" s="110"/>
      <c r="MCB1366" s="110"/>
      <c r="MCC1366" s="110"/>
      <c r="MCD1366" s="110"/>
      <c r="MCE1366" s="110"/>
      <c r="MCF1366" s="110"/>
      <c r="MCG1366" s="110"/>
      <c r="MCH1366" s="110"/>
      <c r="MCI1366" s="110"/>
      <c r="MCJ1366" s="110"/>
      <c r="MCK1366" s="110"/>
      <c r="MCL1366" s="110"/>
      <c r="MCM1366" s="110"/>
      <c r="MCN1366" s="110"/>
      <c r="MCO1366" s="110"/>
      <c r="MCP1366" s="110"/>
      <c r="MCQ1366" s="110"/>
      <c r="MCR1366" s="110"/>
      <c r="MCS1366" s="110"/>
      <c r="MCT1366" s="110"/>
      <c r="MCU1366" s="110"/>
      <c r="MCV1366" s="110"/>
      <c r="MCW1366" s="110"/>
      <c r="MCX1366" s="110"/>
      <c r="MCY1366" s="110"/>
      <c r="MCZ1366" s="110"/>
      <c r="MDA1366" s="110"/>
      <c r="MDB1366" s="110"/>
      <c r="MDC1366" s="110"/>
      <c r="MDD1366" s="110"/>
      <c r="MDE1366" s="110"/>
      <c r="MDF1366" s="110"/>
      <c r="MDG1366" s="110"/>
      <c r="MDH1366" s="110"/>
      <c r="MDI1366" s="110"/>
      <c r="MDJ1366" s="110"/>
      <c r="MDK1366" s="110"/>
      <c r="MDL1366" s="110"/>
      <c r="MDM1366" s="110"/>
      <c r="MDN1366" s="110"/>
      <c r="MDO1366" s="110"/>
      <c r="MDP1366" s="110"/>
      <c r="MDQ1366" s="110"/>
      <c r="MDR1366" s="110"/>
      <c r="MDS1366" s="110"/>
      <c r="MDT1366" s="110"/>
      <c r="MDU1366" s="110"/>
      <c r="MDV1366" s="110"/>
      <c r="MDW1366" s="110"/>
      <c r="MDX1366" s="110"/>
      <c r="MDY1366" s="110"/>
      <c r="MDZ1366" s="110"/>
      <c r="MEA1366" s="110"/>
      <c r="MEB1366" s="110"/>
      <c r="MEC1366" s="110"/>
      <c r="MED1366" s="110"/>
      <c r="MEE1366" s="110"/>
      <c r="MEF1366" s="110"/>
      <c r="MEG1366" s="110"/>
      <c r="MEH1366" s="110"/>
      <c r="MEI1366" s="110"/>
      <c r="MEJ1366" s="110"/>
      <c r="MEK1366" s="110"/>
      <c r="MEL1366" s="110"/>
      <c r="MEM1366" s="110"/>
      <c r="MEN1366" s="110"/>
      <c r="MEO1366" s="110"/>
      <c r="MEP1366" s="110"/>
      <c r="MEQ1366" s="110"/>
      <c r="MER1366" s="110"/>
      <c r="MES1366" s="110"/>
      <c r="MET1366" s="110"/>
      <c r="MEU1366" s="110"/>
      <c r="MEV1366" s="110"/>
      <c r="MEW1366" s="110"/>
      <c r="MEX1366" s="110"/>
      <c r="MEY1366" s="110"/>
      <c r="MEZ1366" s="110"/>
      <c r="MFA1366" s="110"/>
      <c r="MFB1366" s="110"/>
      <c r="MFC1366" s="110"/>
      <c r="MFD1366" s="110"/>
      <c r="MFE1366" s="110"/>
      <c r="MFF1366" s="110"/>
      <c r="MFG1366" s="110"/>
      <c r="MFH1366" s="110"/>
      <c r="MFI1366" s="110"/>
      <c r="MFJ1366" s="110"/>
      <c r="MFK1366" s="110"/>
      <c r="MFL1366" s="110"/>
      <c r="MFM1366" s="110"/>
      <c r="MFN1366" s="110"/>
      <c r="MFO1366" s="110"/>
      <c r="MFP1366" s="110"/>
      <c r="MFQ1366" s="110"/>
      <c r="MFR1366" s="110"/>
      <c r="MFS1366" s="110"/>
      <c r="MFT1366" s="110"/>
      <c r="MFU1366" s="110"/>
      <c r="MFV1366" s="110"/>
      <c r="MFW1366" s="110"/>
      <c r="MFX1366" s="110"/>
      <c r="MFY1366" s="110"/>
      <c r="MFZ1366" s="110"/>
      <c r="MGA1366" s="110"/>
      <c r="MGB1366" s="110"/>
      <c r="MGC1366" s="110"/>
      <c r="MGD1366" s="110"/>
      <c r="MGE1366" s="110"/>
      <c r="MGF1366" s="110"/>
      <c r="MGG1366" s="110"/>
      <c r="MGH1366" s="110"/>
      <c r="MGI1366" s="110"/>
      <c r="MGJ1366" s="110"/>
      <c r="MGK1366" s="110"/>
      <c r="MGL1366" s="110"/>
      <c r="MGM1366" s="110"/>
      <c r="MGN1366" s="110"/>
      <c r="MGO1366" s="110"/>
      <c r="MGP1366" s="110"/>
      <c r="MGQ1366" s="110"/>
      <c r="MGR1366" s="110"/>
      <c r="MGS1366" s="110"/>
      <c r="MGT1366" s="110"/>
      <c r="MGU1366" s="110"/>
      <c r="MGV1366" s="110"/>
      <c r="MGW1366" s="110"/>
      <c r="MGX1366" s="110"/>
      <c r="MGY1366" s="110"/>
      <c r="MGZ1366" s="110"/>
      <c r="MHA1366" s="110"/>
      <c r="MHB1366" s="110"/>
      <c r="MHC1366" s="110"/>
      <c r="MHD1366" s="110"/>
      <c r="MHE1366" s="110"/>
      <c r="MHF1366" s="110"/>
      <c r="MHG1366" s="110"/>
      <c r="MHH1366" s="110"/>
      <c r="MHI1366" s="110"/>
      <c r="MHJ1366" s="110"/>
      <c r="MHK1366" s="110"/>
      <c r="MHL1366" s="110"/>
      <c r="MHM1366" s="110"/>
      <c r="MHN1366" s="110"/>
      <c r="MHO1366" s="110"/>
      <c r="MHP1366" s="110"/>
      <c r="MHQ1366" s="110"/>
      <c r="MHR1366" s="110"/>
      <c r="MHS1366" s="110"/>
      <c r="MHT1366" s="110"/>
      <c r="MHU1366" s="110"/>
      <c r="MHV1366" s="110"/>
      <c r="MHW1366" s="110"/>
      <c r="MHX1366" s="110"/>
      <c r="MHY1366" s="110"/>
      <c r="MHZ1366" s="110"/>
      <c r="MIA1366" s="110"/>
      <c r="MIB1366" s="110"/>
      <c r="MIC1366" s="110"/>
      <c r="MID1366" s="110"/>
      <c r="MIE1366" s="110"/>
      <c r="MIF1366" s="110"/>
      <c r="MIG1366" s="110"/>
      <c r="MIH1366" s="110"/>
      <c r="MII1366" s="110"/>
      <c r="MIJ1366" s="110"/>
      <c r="MIK1366" s="110"/>
      <c r="MIL1366" s="110"/>
      <c r="MIM1366" s="110"/>
      <c r="MIN1366" s="110"/>
      <c r="MIO1366" s="110"/>
      <c r="MIP1366" s="110"/>
      <c r="MIQ1366" s="110"/>
      <c r="MIR1366" s="110"/>
      <c r="MIS1366" s="110"/>
      <c r="MIT1366" s="110"/>
      <c r="MIU1366" s="110"/>
      <c r="MIV1366" s="110"/>
      <c r="MIW1366" s="110"/>
      <c r="MIX1366" s="110"/>
      <c r="MIY1366" s="110"/>
      <c r="MIZ1366" s="110"/>
      <c r="MJA1366" s="110"/>
      <c r="MJB1366" s="110"/>
      <c r="MJC1366" s="110"/>
      <c r="MJD1366" s="110"/>
      <c r="MJE1366" s="110"/>
      <c r="MJF1366" s="110"/>
      <c r="MJG1366" s="110"/>
      <c r="MJH1366" s="110"/>
      <c r="MJI1366" s="110"/>
      <c r="MJJ1366" s="110"/>
      <c r="MJK1366" s="110"/>
      <c r="MJL1366" s="110"/>
      <c r="MJM1366" s="110"/>
      <c r="MJN1366" s="110"/>
      <c r="MJO1366" s="110"/>
      <c r="MJP1366" s="110"/>
      <c r="MJQ1366" s="110"/>
      <c r="MJR1366" s="110"/>
      <c r="MJS1366" s="110"/>
      <c r="MJT1366" s="110"/>
      <c r="MJU1366" s="110"/>
      <c r="MJV1366" s="110"/>
      <c r="MJW1366" s="110"/>
      <c r="MJX1366" s="110"/>
      <c r="MJY1366" s="110"/>
      <c r="MJZ1366" s="110"/>
      <c r="MKA1366" s="110"/>
      <c r="MKB1366" s="110"/>
      <c r="MKC1366" s="110"/>
      <c r="MKD1366" s="110"/>
      <c r="MKE1366" s="110"/>
      <c r="MKF1366" s="110"/>
      <c r="MKG1366" s="110"/>
      <c r="MKH1366" s="110"/>
      <c r="MKI1366" s="110"/>
      <c r="MKJ1366" s="110"/>
      <c r="MKK1366" s="110"/>
      <c r="MKL1366" s="110"/>
      <c r="MKM1366" s="110"/>
      <c r="MKN1366" s="110"/>
      <c r="MKO1366" s="110"/>
      <c r="MKP1366" s="110"/>
      <c r="MKQ1366" s="110"/>
      <c r="MKR1366" s="110"/>
      <c r="MKS1366" s="110"/>
      <c r="MKT1366" s="110"/>
      <c r="MKU1366" s="110"/>
      <c r="MKV1366" s="110"/>
      <c r="MKW1366" s="110"/>
      <c r="MKX1366" s="110"/>
      <c r="MKY1366" s="110"/>
      <c r="MKZ1366" s="110"/>
      <c r="MLA1366" s="110"/>
      <c r="MLB1366" s="110"/>
      <c r="MLC1366" s="110"/>
      <c r="MLD1366" s="110"/>
      <c r="MLE1366" s="110"/>
      <c r="MLF1366" s="110"/>
      <c r="MLG1366" s="110"/>
      <c r="MLH1366" s="110"/>
      <c r="MLI1366" s="110"/>
      <c r="MLJ1366" s="110"/>
      <c r="MLK1366" s="110"/>
      <c r="MLL1366" s="110"/>
      <c r="MLM1366" s="110"/>
      <c r="MLN1366" s="110"/>
      <c r="MLO1366" s="110"/>
      <c r="MLP1366" s="110"/>
      <c r="MLQ1366" s="110"/>
      <c r="MLR1366" s="110"/>
      <c r="MLS1366" s="110"/>
      <c r="MLT1366" s="110"/>
      <c r="MLU1366" s="110"/>
      <c r="MLV1366" s="110"/>
      <c r="MLW1366" s="110"/>
      <c r="MLX1366" s="110"/>
      <c r="MLY1366" s="110"/>
      <c r="MLZ1366" s="110"/>
      <c r="MMA1366" s="110"/>
      <c r="MMB1366" s="110"/>
      <c r="MMC1366" s="110"/>
      <c r="MMD1366" s="110"/>
      <c r="MME1366" s="110"/>
      <c r="MMF1366" s="110"/>
      <c r="MMG1366" s="110"/>
      <c r="MMH1366" s="110"/>
      <c r="MMI1366" s="110"/>
      <c r="MMJ1366" s="110"/>
      <c r="MMK1366" s="110"/>
      <c r="MML1366" s="110"/>
      <c r="MMM1366" s="110"/>
      <c r="MMN1366" s="110"/>
      <c r="MMO1366" s="110"/>
      <c r="MMP1366" s="110"/>
      <c r="MMQ1366" s="110"/>
      <c r="MMR1366" s="110"/>
      <c r="MMS1366" s="110"/>
      <c r="MMT1366" s="110"/>
      <c r="MMU1366" s="110"/>
      <c r="MMV1366" s="110"/>
      <c r="MMW1366" s="110"/>
      <c r="MMX1366" s="110"/>
      <c r="MMY1366" s="110"/>
      <c r="MMZ1366" s="110"/>
      <c r="MNA1366" s="110"/>
      <c r="MNB1366" s="110"/>
      <c r="MNC1366" s="110"/>
      <c r="MND1366" s="110"/>
      <c r="MNE1366" s="110"/>
      <c r="MNF1366" s="110"/>
      <c r="MNG1366" s="110"/>
      <c r="MNH1366" s="110"/>
      <c r="MNI1366" s="110"/>
      <c r="MNJ1366" s="110"/>
      <c r="MNK1366" s="110"/>
      <c r="MNL1366" s="110"/>
      <c r="MNM1366" s="110"/>
      <c r="MNN1366" s="110"/>
      <c r="MNO1366" s="110"/>
      <c r="MNP1366" s="110"/>
      <c r="MNQ1366" s="110"/>
      <c r="MNR1366" s="110"/>
      <c r="MNS1366" s="110"/>
      <c r="MNT1366" s="110"/>
      <c r="MNU1366" s="110"/>
      <c r="MNV1366" s="110"/>
      <c r="MNW1366" s="110"/>
      <c r="MNX1366" s="110"/>
      <c r="MNY1366" s="110"/>
      <c r="MNZ1366" s="110"/>
      <c r="MOA1366" s="110"/>
      <c r="MOB1366" s="110"/>
      <c r="MOC1366" s="110"/>
      <c r="MOD1366" s="110"/>
      <c r="MOE1366" s="110"/>
      <c r="MOF1366" s="110"/>
      <c r="MOG1366" s="110"/>
      <c r="MOH1366" s="110"/>
      <c r="MOI1366" s="110"/>
      <c r="MOJ1366" s="110"/>
      <c r="MOK1366" s="110"/>
      <c r="MOL1366" s="110"/>
      <c r="MOM1366" s="110"/>
      <c r="MON1366" s="110"/>
      <c r="MOO1366" s="110"/>
      <c r="MOP1366" s="110"/>
      <c r="MOQ1366" s="110"/>
      <c r="MOR1366" s="110"/>
      <c r="MOS1366" s="110"/>
      <c r="MOT1366" s="110"/>
      <c r="MOU1366" s="110"/>
      <c r="MOV1366" s="110"/>
      <c r="MOW1366" s="110"/>
      <c r="MOX1366" s="110"/>
      <c r="MOY1366" s="110"/>
      <c r="MOZ1366" s="110"/>
      <c r="MPA1366" s="110"/>
      <c r="MPB1366" s="110"/>
      <c r="MPC1366" s="110"/>
      <c r="MPD1366" s="110"/>
      <c r="MPE1366" s="110"/>
      <c r="MPF1366" s="110"/>
      <c r="MPG1366" s="110"/>
      <c r="MPH1366" s="110"/>
      <c r="MPI1366" s="110"/>
      <c r="MPJ1366" s="110"/>
      <c r="MPK1366" s="110"/>
      <c r="MPL1366" s="110"/>
      <c r="MPM1366" s="110"/>
      <c r="MPN1366" s="110"/>
      <c r="MPO1366" s="110"/>
      <c r="MPP1366" s="110"/>
      <c r="MPQ1366" s="110"/>
      <c r="MPR1366" s="110"/>
      <c r="MPS1366" s="110"/>
      <c r="MPT1366" s="110"/>
      <c r="MPU1366" s="110"/>
      <c r="MPV1366" s="110"/>
      <c r="MPW1366" s="110"/>
      <c r="MPX1366" s="110"/>
      <c r="MPY1366" s="110"/>
      <c r="MPZ1366" s="110"/>
      <c r="MQA1366" s="110"/>
      <c r="MQB1366" s="110"/>
      <c r="MQC1366" s="110"/>
      <c r="MQD1366" s="110"/>
      <c r="MQE1366" s="110"/>
      <c r="MQF1366" s="110"/>
      <c r="MQG1366" s="110"/>
      <c r="MQH1366" s="110"/>
      <c r="MQI1366" s="110"/>
      <c r="MQJ1366" s="110"/>
      <c r="MQK1366" s="110"/>
      <c r="MQL1366" s="110"/>
      <c r="MQM1366" s="110"/>
      <c r="MQN1366" s="110"/>
      <c r="MQO1366" s="110"/>
      <c r="MQP1366" s="110"/>
      <c r="MQQ1366" s="110"/>
      <c r="MQR1366" s="110"/>
      <c r="MQS1366" s="110"/>
      <c r="MQT1366" s="110"/>
      <c r="MQU1366" s="110"/>
      <c r="MQV1366" s="110"/>
      <c r="MQW1366" s="110"/>
      <c r="MQX1366" s="110"/>
      <c r="MQY1366" s="110"/>
      <c r="MQZ1366" s="110"/>
      <c r="MRA1366" s="110"/>
      <c r="MRB1366" s="110"/>
      <c r="MRC1366" s="110"/>
      <c r="MRD1366" s="110"/>
      <c r="MRE1366" s="110"/>
      <c r="MRF1366" s="110"/>
      <c r="MRG1366" s="110"/>
      <c r="MRH1366" s="110"/>
      <c r="MRI1366" s="110"/>
      <c r="MRJ1366" s="110"/>
      <c r="MRK1366" s="110"/>
      <c r="MRL1366" s="110"/>
      <c r="MRM1366" s="110"/>
      <c r="MRN1366" s="110"/>
      <c r="MRO1366" s="110"/>
      <c r="MRP1366" s="110"/>
      <c r="MRQ1366" s="110"/>
      <c r="MRR1366" s="110"/>
      <c r="MRS1366" s="110"/>
      <c r="MRT1366" s="110"/>
      <c r="MRU1366" s="110"/>
      <c r="MRV1366" s="110"/>
      <c r="MRW1366" s="110"/>
      <c r="MRX1366" s="110"/>
      <c r="MRY1366" s="110"/>
      <c r="MRZ1366" s="110"/>
      <c r="MSA1366" s="110"/>
      <c r="MSB1366" s="110"/>
      <c r="MSC1366" s="110"/>
      <c r="MSD1366" s="110"/>
      <c r="MSE1366" s="110"/>
      <c r="MSF1366" s="110"/>
      <c r="MSG1366" s="110"/>
      <c r="MSH1366" s="110"/>
      <c r="MSI1366" s="110"/>
      <c r="MSJ1366" s="110"/>
      <c r="MSK1366" s="110"/>
      <c r="MSL1366" s="110"/>
      <c r="MSM1366" s="110"/>
      <c r="MSN1366" s="110"/>
      <c r="MSO1366" s="110"/>
      <c r="MSP1366" s="110"/>
      <c r="MSQ1366" s="110"/>
      <c r="MSR1366" s="110"/>
      <c r="MSS1366" s="110"/>
      <c r="MST1366" s="110"/>
      <c r="MSU1366" s="110"/>
      <c r="MSV1366" s="110"/>
      <c r="MSW1366" s="110"/>
      <c r="MSX1366" s="110"/>
      <c r="MSY1366" s="110"/>
      <c r="MSZ1366" s="110"/>
      <c r="MTA1366" s="110"/>
      <c r="MTB1366" s="110"/>
      <c r="MTC1366" s="110"/>
      <c r="MTD1366" s="110"/>
      <c r="MTE1366" s="110"/>
      <c r="MTF1366" s="110"/>
      <c r="MTG1366" s="110"/>
      <c r="MTH1366" s="110"/>
      <c r="MTI1366" s="110"/>
      <c r="MTJ1366" s="110"/>
      <c r="MTK1366" s="110"/>
      <c r="MTL1366" s="110"/>
      <c r="MTM1366" s="110"/>
      <c r="MTN1366" s="110"/>
      <c r="MTO1366" s="110"/>
      <c r="MTP1366" s="110"/>
      <c r="MTQ1366" s="110"/>
      <c r="MTR1366" s="110"/>
      <c r="MTS1366" s="110"/>
      <c r="MTT1366" s="110"/>
      <c r="MTU1366" s="110"/>
      <c r="MTV1366" s="110"/>
      <c r="MTW1366" s="110"/>
      <c r="MTX1366" s="110"/>
      <c r="MTY1366" s="110"/>
      <c r="MTZ1366" s="110"/>
      <c r="MUA1366" s="110"/>
      <c r="MUB1366" s="110"/>
      <c r="MUC1366" s="110"/>
      <c r="MUD1366" s="110"/>
      <c r="MUE1366" s="110"/>
      <c r="MUF1366" s="110"/>
      <c r="MUG1366" s="110"/>
      <c r="MUH1366" s="110"/>
      <c r="MUI1366" s="110"/>
      <c r="MUJ1366" s="110"/>
      <c r="MUK1366" s="110"/>
      <c r="MUL1366" s="110"/>
      <c r="MUM1366" s="110"/>
      <c r="MUN1366" s="110"/>
      <c r="MUO1366" s="110"/>
      <c r="MUP1366" s="110"/>
      <c r="MUQ1366" s="110"/>
      <c r="MUR1366" s="110"/>
      <c r="MUS1366" s="110"/>
      <c r="MUT1366" s="110"/>
      <c r="MUU1366" s="110"/>
      <c r="MUV1366" s="110"/>
      <c r="MUW1366" s="110"/>
      <c r="MUX1366" s="110"/>
      <c r="MUY1366" s="110"/>
      <c r="MUZ1366" s="110"/>
      <c r="MVA1366" s="110"/>
      <c r="MVB1366" s="110"/>
      <c r="MVC1366" s="110"/>
      <c r="MVD1366" s="110"/>
      <c r="MVE1366" s="110"/>
      <c r="MVF1366" s="110"/>
      <c r="MVG1366" s="110"/>
      <c r="MVH1366" s="110"/>
      <c r="MVI1366" s="110"/>
      <c r="MVJ1366" s="110"/>
      <c r="MVK1366" s="110"/>
      <c r="MVL1366" s="110"/>
      <c r="MVM1366" s="110"/>
      <c r="MVN1366" s="110"/>
      <c r="MVO1366" s="110"/>
      <c r="MVP1366" s="110"/>
      <c r="MVQ1366" s="110"/>
      <c r="MVR1366" s="110"/>
      <c r="MVS1366" s="110"/>
      <c r="MVT1366" s="110"/>
      <c r="MVU1366" s="110"/>
      <c r="MVV1366" s="110"/>
      <c r="MVW1366" s="110"/>
      <c r="MVX1366" s="110"/>
      <c r="MVY1366" s="110"/>
      <c r="MVZ1366" s="110"/>
      <c r="MWA1366" s="110"/>
      <c r="MWB1366" s="110"/>
      <c r="MWC1366" s="110"/>
      <c r="MWD1366" s="110"/>
      <c r="MWE1366" s="110"/>
      <c r="MWF1366" s="110"/>
      <c r="MWG1366" s="110"/>
      <c r="MWH1366" s="110"/>
      <c r="MWI1366" s="110"/>
      <c r="MWJ1366" s="110"/>
      <c r="MWK1366" s="110"/>
      <c r="MWL1366" s="110"/>
      <c r="MWM1366" s="110"/>
      <c r="MWN1366" s="110"/>
      <c r="MWO1366" s="110"/>
      <c r="MWP1366" s="110"/>
      <c r="MWQ1366" s="110"/>
      <c r="MWR1366" s="110"/>
      <c r="MWS1366" s="110"/>
      <c r="MWT1366" s="110"/>
      <c r="MWU1366" s="110"/>
      <c r="MWV1366" s="110"/>
      <c r="MWW1366" s="110"/>
      <c r="MWX1366" s="110"/>
      <c r="MWY1366" s="110"/>
      <c r="MWZ1366" s="110"/>
      <c r="MXA1366" s="110"/>
      <c r="MXB1366" s="110"/>
      <c r="MXC1366" s="110"/>
      <c r="MXD1366" s="110"/>
      <c r="MXE1366" s="110"/>
      <c r="MXF1366" s="110"/>
      <c r="MXG1366" s="110"/>
      <c r="MXH1366" s="110"/>
      <c r="MXI1366" s="110"/>
      <c r="MXJ1366" s="110"/>
      <c r="MXK1366" s="110"/>
      <c r="MXL1366" s="110"/>
      <c r="MXM1366" s="110"/>
      <c r="MXN1366" s="110"/>
      <c r="MXO1366" s="110"/>
      <c r="MXP1366" s="110"/>
      <c r="MXQ1366" s="110"/>
      <c r="MXR1366" s="110"/>
      <c r="MXS1366" s="110"/>
      <c r="MXT1366" s="110"/>
      <c r="MXU1366" s="110"/>
      <c r="MXV1366" s="110"/>
      <c r="MXW1366" s="110"/>
      <c r="MXX1366" s="110"/>
      <c r="MXY1366" s="110"/>
      <c r="MXZ1366" s="110"/>
      <c r="MYA1366" s="110"/>
      <c r="MYB1366" s="110"/>
      <c r="MYC1366" s="110"/>
      <c r="MYD1366" s="110"/>
      <c r="MYE1366" s="110"/>
      <c r="MYF1366" s="110"/>
      <c r="MYG1366" s="110"/>
      <c r="MYH1366" s="110"/>
      <c r="MYI1366" s="110"/>
      <c r="MYJ1366" s="110"/>
      <c r="MYK1366" s="110"/>
      <c r="MYL1366" s="110"/>
      <c r="MYM1366" s="110"/>
      <c r="MYN1366" s="110"/>
      <c r="MYO1366" s="110"/>
      <c r="MYP1366" s="110"/>
      <c r="MYQ1366" s="110"/>
      <c r="MYR1366" s="110"/>
      <c r="MYS1366" s="110"/>
      <c r="MYT1366" s="110"/>
      <c r="MYU1366" s="110"/>
      <c r="MYV1366" s="110"/>
      <c r="MYW1366" s="110"/>
      <c r="MYX1366" s="110"/>
      <c r="MYY1366" s="110"/>
      <c r="MYZ1366" s="110"/>
      <c r="MZA1366" s="110"/>
      <c r="MZB1366" s="110"/>
      <c r="MZC1366" s="110"/>
      <c r="MZD1366" s="110"/>
      <c r="MZE1366" s="110"/>
      <c r="MZF1366" s="110"/>
      <c r="MZG1366" s="110"/>
      <c r="MZH1366" s="110"/>
      <c r="MZI1366" s="110"/>
      <c r="MZJ1366" s="110"/>
      <c r="MZK1366" s="110"/>
      <c r="MZL1366" s="110"/>
      <c r="MZM1366" s="110"/>
      <c r="MZN1366" s="110"/>
      <c r="MZO1366" s="110"/>
      <c r="MZP1366" s="110"/>
      <c r="MZQ1366" s="110"/>
      <c r="MZR1366" s="110"/>
      <c r="MZS1366" s="110"/>
      <c r="MZT1366" s="110"/>
      <c r="MZU1366" s="110"/>
      <c r="MZV1366" s="110"/>
      <c r="MZW1366" s="110"/>
      <c r="MZX1366" s="110"/>
      <c r="MZY1366" s="110"/>
      <c r="MZZ1366" s="110"/>
      <c r="NAA1366" s="110"/>
      <c r="NAB1366" s="110"/>
      <c r="NAC1366" s="110"/>
      <c r="NAD1366" s="110"/>
      <c r="NAE1366" s="110"/>
      <c r="NAF1366" s="110"/>
      <c r="NAG1366" s="110"/>
      <c r="NAH1366" s="110"/>
      <c r="NAI1366" s="110"/>
      <c r="NAJ1366" s="110"/>
      <c r="NAK1366" s="110"/>
      <c r="NAL1366" s="110"/>
      <c r="NAM1366" s="110"/>
      <c r="NAN1366" s="110"/>
      <c r="NAO1366" s="110"/>
      <c r="NAP1366" s="110"/>
      <c r="NAQ1366" s="110"/>
      <c r="NAR1366" s="110"/>
      <c r="NAS1366" s="110"/>
      <c r="NAT1366" s="110"/>
      <c r="NAU1366" s="110"/>
      <c r="NAV1366" s="110"/>
      <c r="NAW1366" s="110"/>
      <c r="NAX1366" s="110"/>
      <c r="NAY1366" s="110"/>
      <c r="NAZ1366" s="110"/>
      <c r="NBA1366" s="110"/>
      <c r="NBB1366" s="110"/>
      <c r="NBC1366" s="110"/>
      <c r="NBD1366" s="110"/>
      <c r="NBE1366" s="110"/>
      <c r="NBF1366" s="110"/>
      <c r="NBG1366" s="110"/>
      <c r="NBH1366" s="110"/>
      <c r="NBI1366" s="110"/>
      <c r="NBJ1366" s="110"/>
      <c r="NBK1366" s="110"/>
      <c r="NBL1366" s="110"/>
      <c r="NBM1366" s="110"/>
      <c r="NBN1366" s="110"/>
      <c r="NBO1366" s="110"/>
      <c r="NBP1366" s="110"/>
      <c r="NBQ1366" s="110"/>
      <c r="NBR1366" s="110"/>
      <c r="NBS1366" s="110"/>
      <c r="NBT1366" s="110"/>
      <c r="NBU1366" s="110"/>
      <c r="NBV1366" s="110"/>
      <c r="NBW1366" s="110"/>
      <c r="NBX1366" s="110"/>
      <c r="NBY1366" s="110"/>
      <c r="NBZ1366" s="110"/>
      <c r="NCA1366" s="110"/>
      <c r="NCB1366" s="110"/>
      <c r="NCC1366" s="110"/>
      <c r="NCD1366" s="110"/>
      <c r="NCE1366" s="110"/>
      <c r="NCF1366" s="110"/>
      <c r="NCG1366" s="110"/>
      <c r="NCH1366" s="110"/>
      <c r="NCI1366" s="110"/>
      <c r="NCJ1366" s="110"/>
      <c r="NCK1366" s="110"/>
      <c r="NCL1366" s="110"/>
      <c r="NCM1366" s="110"/>
      <c r="NCN1366" s="110"/>
      <c r="NCO1366" s="110"/>
      <c r="NCP1366" s="110"/>
      <c r="NCQ1366" s="110"/>
      <c r="NCR1366" s="110"/>
      <c r="NCS1366" s="110"/>
      <c r="NCT1366" s="110"/>
      <c r="NCU1366" s="110"/>
      <c r="NCV1366" s="110"/>
      <c r="NCW1366" s="110"/>
      <c r="NCX1366" s="110"/>
      <c r="NCY1366" s="110"/>
      <c r="NCZ1366" s="110"/>
      <c r="NDA1366" s="110"/>
      <c r="NDB1366" s="110"/>
      <c r="NDC1366" s="110"/>
      <c r="NDD1366" s="110"/>
      <c r="NDE1366" s="110"/>
      <c r="NDF1366" s="110"/>
      <c r="NDG1366" s="110"/>
      <c r="NDH1366" s="110"/>
      <c r="NDI1366" s="110"/>
      <c r="NDJ1366" s="110"/>
      <c r="NDK1366" s="110"/>
      <c r="NDL1366" s="110"/>
      <c r="NDM1366" s="110"/>
      <c r="NDN1366" s="110"/>
      <c r="NDO1366" s="110"/>
      <c r="NDP1366" s="110"/>
      <c r="NDQ1366" s="110"/>
      <c r="NDR1366" s="110"/>
      <c r="NDS1366" s="110"/>
      <c r="NDT1366" s="110"/>
      <c r="NDU1366" s="110"/>
      <c r="NDV1366" s="110"/>
      <c r="NDW1366" s="110"/>
      <c r="NDX1366" s="110"/>
      <c r="NDY1366" s="110"/>
      <c r="NDZ1366" s="110"/>
      <c r="NEA1366" s="110"/>
      <c r="NEB1366" s="110"/>
      <c r="NEC1366" s="110"/>
      <c r="NED1366" s="110"/>
      <c r="NEE1366" s="110"/>
      <c r="NEF1366" s="110"/>
      <c r="NEG1366" s="110"/>
      <c r="NEH1366" s="110"/>
      <c r="NEI1366" s="110"/>
      <c r="NEJ1366" s="110"/>
      <c r="NEK1366" s="110"/>
      <c r="NEL1366" s="110"/>
      <c r="NEM1366" s="110"/>
      <c r="NEN1366" s="110"/>
      <c r="NEO1366" s="110"/>
      <c r="NEP1366" s="110"/>
      <c r="NEQ1366" s="110"/>
      <c r="NER1366" s="110"/>
      <c r="NES1366" s="110"/>
      <c r="NET1366" s="110"/>
      <c r="NEU1366" s="110"/>
      <c r="NEV1366" s="110"/>
      <c r="NEW1366" s="110"/>
      <c r="NEX1366" s="110"/>
      <c r="NEY1366" s="110"/>
      <c r="NEZ1366" s="110"/>
      <c r="NFA1366" s="110"/>
      <c r="NFB1366" s="110"/>
      <c r="NFC1366" s="110"/>
      <c r="NFD1366" s="110"/>
      <c r="NFE1366" s="110"/>
      <c r="NFF1366" s="110"/>
      <c r="NFG1366" s="110"/>
      <c r="NFH1366" s="110"/>
      <c r="NFI1366" s="110"/>
      <c r="NFJ1366" s="110"/>
      <c r="NFK1366" s="110"/>
      <c r="NFL1366" s="110"/>
      <c r="NFM1366" s="110"/>
      <c r="NFN1366" s="110"/>
      <c r="NFO1366" s="110"/>
      <c r="NFP1366" s="110"/>
      <c r="NFQ1366" s="110"/>
      <c r="NFR1366" s="110"/>
      <c r="NFS1366" s="110"/>
      <c r="NFT1366" s="110"/>
      <c r="NFU1366" s="110"/>
      <c r="NFV1366" s="110"/>
      <c r="NFW1366" s="110"/>
      <c r="NFX1366" s="110"/>
      <c r="NFY1366" s="110"/>
      <c r="NFZ1366" s="110"/>
      <c r="NGA1366" s="110"/>
      <c r="NGB1366" s="110"/>
      <c r="NGC1366" s="110"/>
      <c r="NGD1366" s="110"/>
      <c r="NGE1366" s="110"/>
      <c r="NGF1366" s="110"/>
      <c r="NGG1366" s="110"/>
      <c r="NGH1366" s="110"/>
      <c r="NGI1366" s="110"/>
      <c r="NGJ1366" s="110"/>
      <c r="NGK1366" s="110"/>
      <c r="NGL1366" s="110"/>
      <c r="NGM1366" s="110"/>
      <c r="NGN1366" s="110"/>
      <c r="NGO1366" s="110"/>
      <c r="NGP1366" s="110"/>
      <c r="NGQ1366" s="110"/>
      <c r="NGR1366" s="110"/>
      <c r="NGS1366" s="110"/>
      <c r="NGT1366" s="110"/>
      <c r="NGU1366" s="110"/>
      <c r="NGV1366" s="110"/>
      <c r="NGW1366" s="110"/>
      <c r="NGX1366" s="110"/>
      <c r="NGY1366" s="110"/>
      <c r="NGZ1366" s="110"/>
      <c r="NHA1366" s="110"/>
      <c r="NHB1366" s="110"/>
      <c r="NHC1366" s="110"/>
      <c r="NHD1366" s="110"/>
      <c r="NHE1366" s="110"/>
      <c r="NHF1366" s="110"/>
      <c r="NHG1366" s="110"/>
      <c r="NHH1366" s="110"/>
      <c r="NHI1366" s="110"/>
      <c r="NHJ1366" s="110"/>
      <c r="NHK1366" s="110"/>
      <c r="NHL1366" s="110"/>
      <c r="NHM1366" s="110"/>
      <c r="NHN1366" s="110"/>
      <c r="NHO1366" s="110"/>
      <c r="NHP1366" s="110"/>
      <c r="NHQ1366" s="110"/>
      <c r="NHR1366" s="110"/>
      <c r="NHS1366" s="110"/>
      <c r="NHT1366" s="110"/>
      <c r="NHU1366" s="110"/>
      <c r="NHV1366" s="110"/>
      <c r="NHW1366" s="110"/>
      <c r="NHX1366" s="110"/>
      <c r="NHY1366" s="110"/>
      <c r="NHZ1366" s="110"/>
      <c r="NIA1366" s="110"/>
      <c r="NIB1366" s="110"/>
      <c r="NIC1366" s="110"/>
      <c r="NID1366" s="110"/>
      <c r="NIE1366" s="110"/>
      <c r="NIF1366" s="110"/>
      <c r="NIG1366" s="110"/>
      <c r="NIH1366" s="110"/>
      <c r="NII1366" s="110"/>
      <c r="NIJ1366" s="110"/>
      <c r="NIK1366" s="110"/>
      <c r="NIL1366" s="110"/>
      <c r="NIM1366" s="110"/>
      <c r="NIN1366" s="110"/>
      <c r="NIO1366" s="110"/>
      <c r="NIP1366" s="110"/>
      <c r="NIQ1366" s="110"/>
      <c r="NIR1366" s="110"/>
      <c r="NIS1366" s="110"/>
      <c r="NIT1366" s="110"/>
      <c r="NIU1366" s="110"/>
      <c r="NIV1366" s="110"/>
      <c r="NIW1366" s="110"/>
      <c r="NIX1366" s="110"/>
      <c r="NIY1366" s="110"/>
      <c r="NIZ1366" s="110"/>
      <c r="NJA1366" s="110"/>
      <c r="NJB1366" s="110"/>
      <c r="NJC1366" s="110"/>
      <c r="NJD1366" s="110"/>
      <c r="NJE1366" s="110"/>
      <c r="NJF1366" s="110"/>
      <c r="NJG1366" s="110"/>
      <c r="NJH1366" s="110"/>
      <c r="NJI1366" s="110"/>
      <c r="NJJ1366" s="110"/>
      <c r="NJK1366" s="110"/>
      <c r="NJL1366" s="110"/>
      <c r="NJM1366" s="110"/>
      <c r="NJN1366" s="110"/>
      <c r="NJO1366" s="110"/>
      <c r="NJP1366" s="110"/>
      <c r="NJQ1366" s="110"/>
      <c r="NJR1366" s="110"/>
      <c r="NJS1366" s="110"/>
      <c r="NJT1366" s="110"/>
      <c r="NJU1366" s="110"/>
      <c r="NJV1366" s="110"/>
      <c r="NJW1366" s="110"/>
      <c r="NJX1366" s="110"/>
      <c r="NJY1366" s="110"/>
      <c r="NJZ1366" s="110"/>
      <c r="NKA1366" s="110"/>
      <c r="NKB1366" s="110"/>
      <c r="NKC1366" s="110"/>
      <c r="NKD1366" s="110"/>
      <c r="NKE1366" s="110"/>
      <c r="NKF1366" s="110"/>
      <c r="NKG1366" s="110"/>
      <c r="NKH1366" s="110"/>
      <c r="NKI1366" s="110"/>
      <c r="NKJ1366" s="110"/>
      <c r="NKK1366" s="110"/>
      <c r="NKL1366" s="110"/>
      <c r="NKM1366" s="110"/>
      <c r="NKN1366" s="110"/>
      <c r="NKO1366" s="110"/>
      <c r="NKP1366" s="110"/>
      <c r="NKQ1366" s="110"/>
      <c r="NKR1366" s="110"/>
      <c r="NKS1366" s="110"/>
      <c r="NKT1366" s="110"/>
      <c r="NKU1366" s="110"/>
      <c r="NKV1366" s="110"/>
      <c r="NKW1366" s="110"/>
      <c r="NKX1366" s="110"/>
      <c r="NKY1366" s="110"/>
      <c r="NKZ1366" s="110"/>
      <c r="NLA1366" s="110"/>
      <c r="NLB1366" s="110"/>
      <c r="NLC1366" s="110"/>
      <c r="NLD1366" s="110"/>
      <c r="NLE1366" s="110"/>
      <c r="NLF1366" s="110"/>
      <c r="NLG1366" s="110"/>
      <c r="NLH1366" s="110"/>
      <c r="NLI1366" s="110"/>
      <c r="NLJ1366" s="110"/>
      <c r="NLK1366" s="110"/>
      <c r="NLL1366" s="110"/>
      <c r="NLM1366" s="110"/>
      <c r="NLN1366" s="110"/>
      <c r="NLO1366" s="110"/>
      <c r="NLP1366" s="110"/>
      <c r="NLQ1366" s="110"/>
      <c r="NLR1366" s="110"/>
      <c r="NLS1366" s="110"/>
      <c r="NLT1366" s="110"/>
      <c r="NLU1366" s="110"/>
      <c r="NLV1366" s="110"/>
      <c r="NLW1366" s="110"/>
      <c r="NLX1366" s="110"/>
      <c r="NLY1366" s="110"/>
      <c r="NLZ1366" s="110"/>
      <c r="NMA1366" s="110"/>
      <c r="NMB1366" s="110"/>
      <c r="NMC1366" s="110"/>
      <c r="NMD1366" s="110"/>
      <c r="NME1366" s="110"/>
      <c r="NMF1366" s="110"/>
      <c r="NMG1366" s="110"/>
      <c r="NMH1366" s="110"/>
      <c r="NMI1366" s="110"/>
      <c r="NMJ1366" s="110"/>
      <c r="NMK1366" s="110"/>
      <c r="NML1366" s="110"/>
      <c r="NMM1366" s="110"/>
      <c r="NMN1366" s="110"/>
      <c r="NMO1366" s="110"/>
      <c r="NMP1366" s="110"/>
      <c r="NMQ1366" s="110"/>
      <c r="NMR1366" s="110"/>
      <c r="NMS1366" s="110"/>
      <c r="NMT1366" s="110"/>
      <c r="NMU1366" s="110"/>
      <c r="NMV1366" s="110"/>
      <c r="NMW1366" s="110"/>
      <c r="NMX1366" s="110"/>
      <c r="NMY1366" s="110"/>
      <c r="NMZ1366" s="110"/>
      <c r="NNA1366" s="110"/>
      <c r="NNB1366" s="110"/>
      <c r="NNC1366" s="110"/>
      <c r="NND1366" s="110"/>
      <c r="NNE1366" s="110"/>
      <c r="NNF1366" s="110"/>
      <c r="NNG1366" s="110"/>
      <c r="NNH1366" s="110"/>
      <c r="NNI1366" s="110"/>
      <c r="NNJ1366" s="110"/>
      <c r="NNK1366" s="110"/>
      <c r="NNL1366" s="110"/>
      <c r="NNM1366" s="110"/>
      <c r="NNN1366" s="110"/>
      <c r="NNO1366" s="110"/>
      <c r="NNP1366" s="110"/>
      <c r="NNQ1366" s="110"/>
      <c r="NNR1366" s="110"/>
      <c r="NNS1366" s="110"/>
      <c r="NNT1366" s="110"/>
      <c r="NNU1366" s="110"/>
      <c r="NNV1366" s="110"/>
      <c r="NNW1366" s="110"/>
      <c r="NNX1366" s="110"/>
      <c r="NNY1366" s="110"/>
      <c r="NNZ1366" s="110"/>
      <c r="NOA1366" s="110"/>
      <c r="NOB1366" s="110"/>
      <c r="NOC1366" s="110"/>
      <c r="NOD1366" s="110"/>
      <c r="NOE1366" s="110"/>
      <c r="NOF1366" s="110"/>
      <c r="NOG1366" s="110"/>
      <c r="NOH1366" s="110"/>
      <c r="NOI1366" s="110"/>
      <c r="NOJ1366" s="110"/>
      <c r="NOK1366" s="110"/>
      <c r="NOL1366" s="110"/>
      <c r="NOM1366" s="110"/>
      <c r="NON1366" s="110"/>
      <c r="NOO1366" s="110"/>
      <c r="NOP1366" s="110"/>
      <c r="NOQ1366" s="110"/>
      <c r="NOR1366" s="110"/>
      <c r="NOS1366" s="110"/>
      <c r="NOT1366" s="110"/>
      <c r="NOU1366" s="110"/>
      <c r="NOV1366" s="110"/>
      <c r="NOW1366" s="110"/>
      <c r="NOX1366" s="110"/>
      <c r="NOY1366" s="110"/>
      <c r="NOZ1366" s="110"/>
      <c r="NPA1366" s="110"/>
      <c r="NPB1366" s="110"/>
      <c r="NPC1366" s="110"/>
      <c r="NPD1366" s="110"/>
      <c r="NPE1366" s="110"/>
      <c r="NPF1366" s="110"/>
      <c r="NPG1366" s="110"/>
      <c r="NPH1366" s="110"/>
      <c r="NPI1366" s="110"/>
      <c r="NPJ1366" s="110"/>
      <c r="NPK1366" s="110"/>
      <c r="NPL1366" s="110"/>
      <c r="NPM1366" s="110"/>
      <c r="NPN1366" s="110"/>
      <c r="NPO1366" s="110"/>
      <c r="NPP1366" s="110"/>
      <c r="NPQ1366" s="110"/>
      <c r="NPR1366" s="110"/>
      <c r="NPS1366" s="110"/>
      <c r="NPT1366" s="110"/>
      <c r="NPU1366" s="110"/>
      <c r="NPV1366" s="110"/>
      <c r="NPW1366" s="110"/>
      <c r="NPX1366" s="110"/>
      <c r="NPY1366" s="110"/>
      <c r="NPZ1366" s="110"/>
      <c r="NQA1366" s="110"/>
      <c r="NQB1366" s="110"/>
      <c r="NQC1366" s="110"/>
      <c r="NQD1366" s="110"/>
      <c r="NQE1366" s="110"/>
      <c r="NQF1366" s="110"/>
      <c r="NQG1366" s="110"/>
      <c r="NQH1366" s="110"/>
      <c r="NQI1366" s="110"/>
      <c r="NQJ1366" s="110"/>
      <c r="NQK1366" s="110"/>
      <c r="NQL1366" s="110"/>
      <c r="NQM1366" s="110"/>
      <c r="NQN1366" s="110"/>
      <c r="NQO1366" s="110"/>
      <c r="NQP1366" s="110"/>
      <c r="NQQ1366" s="110"/>
      <c r="NQR1366" s="110"/>
      <c r="NQS1366" s="110"/>
      <c r="NQT1366" s="110"/>
      <c r="NQU1366" s="110"/>
      <c r="NQV1366" s="110"/>
      <c r="NQW1366" s="110"/>
      <c r="NQX1366" s="110"/>
      <c r="NQY1366" s="110"/>
      <c r="NQZ1366" s="110"/>
      <c r="NRA1366" s="110"/>
      <c r="NRB1366" s="110"/>
      <c r="NRC1366" s="110"/>
      <c r="NRD1366" s="110"/>
      <c r="NRE1366" s="110"/>
      <c r="NRF1366" s="110"/>
      <c r="NRG1366" s="110"/>
      <c r="NRH1366" s="110"/>
      <c r="NRI1366" s="110"/>
      <c r="NRJ1366" s="110"/>
      <c r="NRK1366" s="110"/>
      <c r="NRL1366" s="110"/>
      <c r="NRM1366" s="110"/>
      <c r="NRN1366" s="110"/>
      <c r="NRO1366" s="110"/>
      <c r="NRP1366" s="110"/>
      <c r="NRQ1366" s="110"/>
      <c r="NRR1366" s="110"/>
      <c r="NRS1366" s="110"/>
      <c r="NRT1366" s="110"/>
      <c r="NRU1366" s="110"/>
      <c r="NRV1366" s="110"/>
      <c r="NRW1366" s="110"/>
      <c r="NRX1366" s="110"/>
      <c r="NRY1366" s="110"/>
      <c r="NRZ1366" s="110"/>
      <c r="NSA1366" s="110"/>
      <c r="NSB1366" s="110"/>
      <c r="NSC1366" s="110"/>
      <c r="NSD1366" s="110"/>
      <c r="NSE1366" s="110"/>
      <c r="NSF1366" s="110"/>
      <c r="NSG1366" s="110"/>
      <c r="NSH1366" s="110"/>
      <c r="NSI1366" s="110"/>
      <c r="NSJ1366" s="110"/>
      <c r="NSK1366" s="110"/>
      <c r="NSL1366" s="110"/>
      <c r="NSM1366" s="110"/>
      <c r="NSN1366" s="110"/>
      <c r="NSO1366" s="110"/>
      <c r="NSP1366" s="110"/>
      <c r="NSQ1366" s="110"/>
      <c r="NSR1366" s="110"/>
      <c r="NSS1366" s="110"/>
      <c r="NST1366" s="110"/>
      <c r="NSU1366" s="110"/>
      <c r="NSV1366" s="110"/>
      <c r="NSW1366" s="110"/>
      <c r="NSX1366" s="110"/>
      <c r="NSY1366" s="110"/>
      <c r="NSZ1366" s="110"/>
      <c r="NTA1366" s="110"/>
      <c r="NTB1366" s="110"/>
      <c r="NTC1366" s="110"/>
      <c r="NTD1366" s="110"/>
      <c r="NTE1366" s="110"/>
      <c r="NTF1366" s="110"/>
      <c r="NTG1366" s="110"/>
      <c r="NTH1366" s="110"/>
      <c r="NTI1366" s="110"/>
      <c r="NTJ1366" s="110"/>
      <c r="NTK1366" s="110"/>
      <c r="NTL1366" s="110"/>
      <c r="NTM1366" s="110"/>
      <c r="NTN1366" s="110"/>
      <c r="NTO1366" s="110"/>
      <c r="NTP1366" s="110"/>
      <c r="NTQ1366" s="110"/>
      <c r="NTR1366" s="110"/>
      <c r="NTS1366" s="110"/>
      <c r="NTT1366" s="110"/>
      <c r="NTU1366" s="110"/>
      <c r="NTV1366" s="110"/>
      <c r="NTW1366" s="110"/>
      <c r="NTX1366" s="110"/>
      <c r="NTY1366" s="110"/>
      <c r="NTZ1366" s="110"/>
      <c r="NUA1366" s="110"/>
      <c r="NUB1366" s="110"/>
      <c r="NUC1366" s="110"/>
      <c r="NUD1366" s="110"/>
      <c r="NUE1366" s="110"/>
      <c r="NUF1366" s="110"/>
      <c r="NUG1366" s="110"/>
      <c r="NUH1366" s="110"/>
      <c r="NUI1366" s="110"/>
      <c r="NUJ1366" s="110"/>
      <c r="NUK1366" s="110"/>
      <c r="NUL1366" s="110"/>
      <c r="NUM1366" s="110"/>
      <c r="NUN1366" s="110"/>
      <c r="NUO1366" s="110"/>
      <c r="NUP1366" s="110"/>
      <c r="NUQ1366" s="110"/>
      <c r="NUR1366" s="110"/>
      <c r="NUS1366" s="110"/>
      <c r="NUT1366" s="110"/>
      <c r="NUU1366" s="110"/>
      <c r="NUV1366" s="110"/>
      <c r="NUW1366" s="110"/>
      <c r="NUX1366" s="110"/>
      <c r="NUY1366" s="110"/>
      <c r="NUZ1366" s="110"/>
      <c r="NVA1366" s="110"/>
      <c r="NVB1366" s="110"/>
      <c r="NVC1366" s="110"/>
      <c r="NVD1366" s="110"/>
      <c r="NVE1366" s="110"/>
      <c r="NVF1366" s="110"/>
      <c r="NVG1366" s="110"/>
      <c r="NVH1366" s="110"/>
      <c r="NVI1366" s="110"/>
      <c r="NVJ1366" s="110"/>
      <c r="NVK1366" s="110"/>
      <c r="NVL1366" s="110"/>
      <c r="NVM1366" s="110"/>
      <c r="NVN1366" s="110"/>
      <c r="NVO1366" s="110"/>
      <c r="NVP1366" s="110"/>
      <c r="NVQ1366" s="110"/>
      <c r="NVR1366" s="110"/>
      <c r="NVS1366" s="110"/>
      <c r="NVT1366" s="110"/>
      <c r="NVU1366" s="110"/>
      <c r="NVV1366" s="110"/>
      <c r="NVW1366" s="110"/>
      <c r="NVX1366" s="110"/>
      <c r="NVY1366" s="110"/>
      <c r="NVZ1366" s="110"/>
      <c r="NWA1366" s="110"/>
      <c r="NWB1366" s="110"/>
      <c r="NWC1366" s="110"/>
      <c r="NWD1366" s="110"/>
      <c r="NWE1366" s="110"/>
      <c r="NWF1366" s="110"/>
      <c r="NWG1366" s="110"/>
      <c r="NWH1366" s="110"/>
      <c r="NWI1366" s="110"/>
      <c r="NWJ1366" s="110"/>
      <c r="NWK1366" s="110"/>
      <c r="NWL1366" s="110"/>
      <c r="NWM1366" s="110"/>
      <c r="NWN1366" s="110"/>
      <c r="NWO1366" s="110"/>
      <c r="NWP1366" s="110"/>
      <c r="NWQ1366" s="110"/>
      <c r="NWR1366" s="110"/>
      <c r="NWS1366" s="110"/>
      <c r="NWT1366" s="110"/>
      <c r="NWU1366" s="110"/>
      <c r="NWV1366" s="110"/>
      <c r="NWW1366" s="110"/>
      <c r="NWX1366" s="110"/>
      <c r="NWY1366" s="110"/>
      <c r="NWZ1366" s="110"/>
      <c r="NXA1366" s="110"/>
      <c r="NXB1366" s="110"/>
      <c r="NXC1366" s="110"/>
      <c r="NXD1366" s="110"/>
      <c r="NXE1366" s="110"/>
      <c r="NXF1366" s="110"/>
      <c r="NXG1366" s="110"/>
      <c r="NXH1366" s="110"/>
      <c r="NXI1366" s="110"/>
      <c r="NXJ1366" s="110"/>
      <c r="NXK1366" s="110"/>
      <c r="NXL1366" s="110"/>
      <c r="NXM1366" s="110"/>
      <c r="NXN1366" s="110"/>
      <c r="NXO1366" s="110"/>
      <c r="NXP1366" s="110"/>
      <c r="NXQ1366" s="110"/>
      <c r="NXR1366" s="110"/>
      <c r="NXS1366" s="110"/>
      <c r="NXT1366" s="110"/>
      <c r="NXU1366" s="110"/>
      <c r="NXV1366" s="110"/>
      <c r="NXW1366" s="110"/>
      <c r="NXX1366" s="110"/>
      <c r="NXY1366" s="110"/>
      <c r="NXZ1366" s="110"/>
      <c r="NYA1366" s="110"/>
      <c r="NYB1366" s="110"/>
      <c r="NYC1366" s="110"/>
      <c r="NYD1366" s="110"/>
      <c r="NYE1366" s="110"/>
      <c r="NYF1366" s="110"/>
      <c r="NYG1366" s="110"/>
      <c r="NYH1366" s="110"/>
      <c r="NYI1366" s="110"/>
      <c r="NYJ1366" s="110"/>
      <c r="NYK1366" s="110"/>
      <c r="NYL1366" s="110"/>
      <c r="NYM1366" s="110"/>
      <c r="NYN1366" s="110"/>
      <c r="NYO1366" s="110"/>
      <c r="NYP1366" s="110"/>
      <c r="NYQ1366" s="110"/>
      <c r="NYR1366" s="110"/>
      <c r="NYS1366" s="110"/>
      <c r="NYT1366" s="110"/>
      <c r="NYU1366" s="110"/>
      <c r="NYV1366" s="110"/>
      <c r="NYW1366" s="110"/>
      <c r="NYX1366" s="110"/>
      <c r="NYY1366" s="110"/>
      <c r="NYZ1366" s="110"/>
      <c r="NZA1366" s="110"/>
      <c r="NZB1366" s="110"/>
      <c r="NZC1366" s="110"/>
      <c r="NZD1366" s="110"/>
      <c r="NZE1366" s="110"/>
      <c r="NZF1366" s="110"/>
      <c r="NZG1366" s="110"/>
      <c r="NZH1366" s="110"/>
      <c r="NZI1366" s="110"/>
      <c r="NZJ1366" s="110"/>
      <c r="NZK1366" s="110"/>
      <c r="NZL1366" s="110"/>
      <c r="NZM1366" s="110"/>
      <c r="NZN1366" s="110"/>
      <c r="NZO1366" s="110"/>
      <c r="NZP1366" s="110"/>
      <c r="NZQ1366" s="110"/>
      <c r="NZR1366" s="110"/>
      <c r="NZS1366" s="110"/>
      <c r="NZT1366" s="110"/>
      <c r="NZU1366" s="110"/>
      <c r="NZV1366" s="110"/>
      <c r="NZW1366" s="110"/>
      <c r="NZX1366" s="110"/>
      <c r="NZY1366" s="110"/>
      <c r="NZZ1366" s="110"/>
      <c r="OAA1366" s="110"/>
      <c r="OAB1366" s="110"/>
      <c r="OAC1366" s="110"/>
      <c r="OAD1366" s="110"/>
      <c r="OAE1366" s="110"/>
      <c r="OAF1366" s="110"/>
      <c r="OAG1366" s="110"/>
      <c r="OAH1366" s="110"/>
      <c r="OAI1366" s="110"/>
      <c r="OAJ1366" s="110"/>
      <c r="OAK1366" s="110"/>
      <c r="OAL1366" s="110"/>
      <c r="OAM1366" s="110"/>
      <c r="OAN1366" s="110"/>
      <c r="OAO1366" s="110"/>
      <c r="OAP1366" s="110"/>
      <c r="OAQ1366" s="110"/>
      <c r="OAR1366" s="110"/>
      <c r="OAS1366" s="110"/>
      <c r="OAT1366" s="110"/>
      <c r="OAU1366" s="110"/>
      <c r="OAV1366" s="110"/>
      <c r="OAW1366" s="110"/>
      <c r="OAX1366" s="110"/>
      <c r="OAY1366" s="110"/>
      <c r="OAZ1366" s="110"/>
      <c r="OBA1366" s="110"/>
      <c r="OBB1366" s="110"/>
      <c r="OBC1366" s="110"/>
      <c r="OBD1366" s="110"/>
      <c r="OBE1366" s="110"/>
      <c r="OBF1366" s="110"/>
      <c r="OBG1366" s="110"/>
      <c r="OBH1366" s="110"/>
      <c r="OBI1366" s="110"/>
      <c r="OBJ1366" s="110"/>
      <c r="OBK1366" s="110"/>
      <c r="OBL1366" s="110"/>
      <c r="OBM1366" s="110"/>
      <c r="OBN1366" s="110"/>
      <c r="OBO1366" s="110"/>
      <c r="OBP1366" s="110"/>
      <c r="OBQ1366" s="110"/>
      <c r="OBR1366" s="110"/>
      <c r="OBS1366" s="110"/>
      <c r="OBT1366" s="110"/>
      <c r="OBU1366" s="110"/>
      <c r="OBV1366" s="110"/>
      <c r="OBW1366" s="110"/>
      <c r="OBX1366" s="110"/>
      <c r="OBY1366" s="110"/>
      <c r="OBZ1366" s="110"/>
      <c r="OCA1366" s="110"/>
      <c r="OCB1366" s="110"/>
      <c r="OCC1366" s="110"/>
      <c r="OCD1366" s="110"/>
      <c r="OCE1366" s="110"/>
      <c r="OCF1366" s="110"/>
      <c r="OCG1366" s="110"/>
      <c r="OCH1366" s="110"/>
      <c r="OCI1366" s="110"/>
      <c r="OCJ1366" s="110"/>
      <c r="OCK1366" s="110"/>
      <c r="OCL1366" s="110"/>
      <c r="OCM1366" s="110"/>
      <c r="OCN1366" s="110"/>
      <c r="OCO1366" s="110"/>
      <c r="OCP1366" s="110"/>
      <c r="OCQ1366" s="110"/>
      <c r="OCR1366" s="110"/>
      <c r="OCS1366" s="110"/>
      <c r="OCT1366" s="110"/>
      <c r="OCU1366" s="110"/>
      <c r="OCV1366" s="110"/>
      <c r="OCW1366" s="110"/>
      <c r="OCX1366" s="110"/>
      <c r="OCY1366" s="110"/>
      <c r="OCZ1366" s="110"/>
      <c r="ODA1366" s="110"/>
      <c r="ODB1366" s="110"/>
      <c r="ODC1366" s="110"/>
      <c r="ODD1366" s="110"/>
      <c r="ODE1366" s="110"/>
      <c r="ODF1366" s="110"/>
      <c r="ODG1366" s="110"/>
      <c r="ODH1366" s="110"/>
      <c r="ODI1366" s="110"/>
      <c r="ODJ1366" s="110"/>
      <c r="ODK1366" s="110"/>
      <c r="ODL1366" s="110"/>
      <c r="ODM1366" s="110"/>
      <c r="ODN1366" s="110"/>
      <c r="ODO1366" s="110"/>
      <c r="ODP1366" s="110"/>
      <c r="ODQ1366" s="110"/>
      <c r="ODR1366" s="110"/>
      <c r="ODS1366" s="110"/>
      <c r="ODT1366" s="110"/>
      <c r="ODU1366" s="110"/>
      <c r="ODV1366" s="110"/>
      <c r="ODW1366" s="110"/>
      <c r="ODX1366" s="110"/>
      <c r="ODY1366" s="110"/>
      <c r="ODZ1366" s="110"/>
      <c r="OEA1366" s="110"/>
      <c r="OEB1366" s="110"/>
      <c r="OEC1366" s="110"/>
      <c r="OED1366" s="110"/>
      <c r="OEE1366" s="110"/>
      <c r="OEF1366" s="110"/>
      <c r="OEG1366" s="110"/>
      <c r="OEH1366" s="110"/>
      <c r="OEI1366" s="110"/>
      <c r="OEJ1366" s="110"/>
      <c r="OEK1366" s="110"/>
      <c r="OEL1366" s="110"/>
      <c r="OEM1366" s="110"/>
      <c r="OEN1366" s="110"/>
      <c r="OEO1366" s="110"/>
      <c r="OEP1366" s="110"/>
      <c r="OEQ1366" s="110"/>
      <c r="OER1366" s="110"/>
      <c r="OES1366" s="110"/>
      <c r="OET1366" s="110"/>
      <c r="OEU1366" s="110"/>
      <c r="OEV1366" s="110"/>
      <c r="OEW1366" s="110"/>
      <c r="OEX1366" s="110"/>
      <c r="OEY1366" s="110"/>
      <c r="OEZ1366" s="110"/>
      <c r="OFA1366" s="110"/>
      <c r="OFB1366" s="110"/>
      <c r="OFC1366" s="110"/>
      <c r="OFD1366" s="110"/>
      <c r="OFE1366" s="110"/>
      <c r="OFF1366" s="110"/>
      <c r="OFG1366" s="110"/>
      <c r="OFH1366" s="110"/>
      <c r="OFI1366" s="110"/>
      <c r="OFJ1366" s="110"/>
      <c r="OFK1366" s="110"/>
      <c r="OFL1366" s="110"/>
      <c r="OFM1366" s="110"/>
      <c r="OFN1366" s="110"/>
      <c r="OFO1366" s="110"/>
      <c r="OFP1366" s="110"/>
      <c r="OFQ1366" s="110"/>
      <c r="OFR1366" s="110"/>
      <c r="OFS1366" s="110"/>
      <c r="OFT1366" s="110"/>
      <c r="OFU1366" s="110"/>
      <c r="OFV1366" s="110"/>
      <c r="OFW1366" s="110"/>
      <c r="OFX1366" s="110"/>
      <c r="OFY1366" s="110"/>
      <c r="OFZ1366" s="110"/>
      <c r="OGA1366" s="110"/>
      <c r="OGB1366" s="110"/>
      <c r="OGC1366" s="110"/>
      <c r="OGD1366" s="110"/>
      <c r="OGE1366" s="110"/>
      <c r="OGF1366" s="110"/>
      <c r="OGG1366" s="110"/>
      <c r="OGH1366" s="110"/>
      <c r="OGI1366" s="110"/>
      <c r="OGJ1366" s="110"/>
      <c r="OGK1366" s="110"/>
      <c r="OGL1366" s="110"/>
      <c r="OGM1366" s="110"/>
      <c r="OGN1366" s="110"/>
      <c r="OGO1366" s="110"/>
      <c r="OGP1366" s="110"/>
      <c r="OGQ1366" s="110"/>
      <c r="OGR1366" s="110"/>
      <c r="OGS1366" s="110"/>
      <c r="OGT1366" s="110"/>
      <c r="OGU1366" s="110"/>
      <c r="OGV1366" s="110"/>
      <c r="OGW1366" s="110"/>
      <c r="OGX1366" s="110"/>
      <c r="OGY1366" s="110"/>
      <c r="OGZ1366" s="110"/>
      <c r="OHA1366" s="110"/>
      <c r="OHB1366" s="110"/>
      <c r="OHC1366" s="110"/>
      <c r="OHD1366" s="110"/>
      <c r="OHE1366" s="110"/>
      <c r="OHF1366" s="110"/>
      <c r="OHG1366" s="110"/>
      <c r="OHH1366" s="110"/>
      <c r="OHI1366" s="110"/>
      <c r="OHJ1366" s="110"/>
      <c r="OHK1366" s="110"/>
      <c r="OHL1366" s="110"/>
      <c r="OHM1366" s="110"/>
      <c r="OHN1366" s="110"/>
      <c r="OHO1366" s="110"/>
      <c r="OHP1366" s="110"/>
      <c r="OHQ1366" s="110"/>
      <c r="OHR1366" s="110"/>
      <c r="OHS1366" s="110"/>
      <c r="OHT1366" s="110"/>
      <c r="OHU1366" s="110"/>
      <c r="OHV1366" s="110"/>
      <c r="OHW1366" s="110"/>
      <c r="OHX1366" s="110"/>
      <c r="OHY1366" s="110"/>
      <c r="OHZ1366" s="110"/>
      <c r="OIA1366" s="110"/>
      <c r="OIB1366" s="110"/>
      <c r="OIC1366" s="110"/>
      <c r="OID1366" s="110"/>
      <c r="OIE1366" s="110"/>
      <c r="OIF1366" s="110"/>
      <c r="OIG1366" s="110"/>
      <c r="OIH1366" s="110"/>
      <c r="OII1366" s="110"/>
      <c r="OIJ1366" s="110"/>
      <c r="OIK1366" s="110"/>
      <c r="OIL1366" s="110"/>
      <c r="OIM1366" s="110"/>
      <c r="OIN1366" s="110"/>
      <c r="OIO1366" s="110"/>
      <c r="OIP1366" s="110"/>
      <c r="OIQ1366" s="110"/>
      <c r="OIR1366" s="110"/>
      <c r="OIS1366" s="110"/>
      <c r="OIT1366" s="110"/>
      <c r="OIU1366" s="110"/>
      <c r="OIV1366" s="110"/>
      <c r="OIW1366" s="110"/>
      <c r="OIX1366" s="110"/>
      <c r="OIY1366" s="110"/>
      <c r="OIZ1366" s="110"/>
      <c r="OJA1366" s="110"/>
      <c r="OJB1366" s="110"/>
      <c r="OJC1366" s="110"/>
      <c r="OJD1366" s="110"/>
      <c r="OJE1366" s="110"/>
      <c r="OJF1366" s="110"/>
      <c r="OJG1366" s="110"/>
      <c r="OJH1366" s="110"/>
      <c r="OJI1366" s="110"/>
      <c r="OJJ1366" s="110"/>
      <c r="OJK1366" s="110"/>
      <c r="OJL1366" s="110"/>
      <c r="OJM1366" s="110"/>
      <c r="OJN1366" s="110"/>
      <c r="OJO1366" s="110"/>
      <c r="OJP1366" s="110"/>
      <c r="OJQ1366" s="110"/>
      <c r="OJR1366" s="110"/>
      <c r="OJS1366" s="110"/>
      <c r="OJT1366" s="110"/>
      <c r="OJU1366" s="110"/>
      <c r="OJV1366" s="110"/>
      <c r="OJW1366" s="110"/>
      <c r="OJX1366" s="110"/>
      <c r="OJY1366" s="110"/>
      <c r="OJZ1366" s="110"/>
      <c r="OKA1366" s="110"/>
      <c r="OKB1366" s="110"/>
      <c r="OKC1366" s="110"/>
      <c r="OKD1366" s="110"/>
      <c r="OKE1366" s="110"/>
      <c r="OKF1366" s="110"/>
      <c r="OKG1366" s="110"/>
      <c r="OKH1366" s="110"/>
      <c r="OKI1366" s="110"/>
      <c r="OKJ1366" s="110"/>
      <c r="OKK1366" s="110"/>
      <c r="OKL1366" s="110"/>
      <c r="OKM1366" s="110"/>
      <c r="OKN1366" s="110"/>
      <c r="OKO1366" s="110"/>
      <c r="OKP1366" s="110"/>
      <c r="OKQ1366" s="110"/>
      <c r="OKR1366" s="110"/>
      <c r="OKS1366" s="110"/>
      <c r="OKT1366" s="110"/>
      <c r="OKU1366" s="110"/>
      <c r="OKV1366" s="110"/>
      <c r="OKW1366" s="110"/>
      <c r="OKX1366" s="110"/>
      <c r="OKY1366" s="110"/>
      <c r="OKZ1366" s="110"/>
      <c r="OLA1366" s="110"/>
      <c r="OLB1366" s="110"/>
      <c r="OLC1366" s="110"/>
      <c r="OLD1366" s="110"/>
      <c r="OLE1366" s="110"/>
      <c r="OLF1366" s="110"/>
      <c r="OLG1366" s="110"/>
      <c r="OLH1366" s="110"/>
      <c r="OLI1366" s="110"/>
      <c r="OLJ1366" s="110"/>
      <c r="OLK1366" s="110"/>
      <c r="OLL1366" s="110"/>
      <c r="OLM1366" s="110"/>
      <c r="OLN1366" s="110"/>
      <c r="OLO1366" s="110"/>
      <c r="OLP1366" s="110"/>
      <c r="OLQ1366" s="110"/>
      <c r="OLR1366" s="110"/>
      <c r="OLS1366" s="110"/>
      <c r="OLT1366" s="110"/>
      <c r="OLU1366" s="110"/>
      <c r="OLV1366" s="110"/>
      <c r="OLW1366" s="110"/>
      <c r="OLX1366" s="110"/>
      <c r="OLY1366" s="110"/>
      <c r="OLZ1366" s="110"/>
      <c r="OMA1366" s="110"/>
      <c r="OMB1366" s="110"/>
      <c r="OMC1366" s="110"/>
      <c r="OMD1366" s="110"/>
      <c r="OME1366" s="110"/>
      <c r="OMF1366" s="110"/>
      <c r="OMG1366" s="110"/>
      <c r="OMH1366" s="110"/>
      <c r="OMI1366" s="110"/>
      <c r="OMJ1366" s="110"/>
      <c r="OMK1366" s="110"/>
      <c r="OML1366" s="110"/>
      <c r="OMM1366" s="110"/>
      <c r="OMN1366" s="110"/>
      <c r="OMO1366" s="110"/>
      <c r="OMP1366" s="110"/>
      <c r="OMQ1366" s="110"/>
      <c r="OMR1366" s="110"/>
      <c r="OMS1366" s="110"/>
      <c r="OMT1366" s="110"/>
      <c r="OMU1366" s="110"/>
      <c r="OMV1366" s="110"/>
      <c r="OMW1366" s="110"/>
      <c r="OMX1366" s="110"/>
      <c r="OMY1366" s="110"/>
      <c r="OMZ1366" s="110"/>
      <c r="ONA1366" s="110"/>
      <c r="ONB1366" s="110"/>
      <c r="ONC1366" s="110"/>
      <c r="OND1366" s="110"/>
      <c r="ONE1366" s="110"/>
      <c r="ONF1366" s="110"/>
      <c r="ONG1366" s="110"/>
      <c r="ONH1366" s="110"/>
      <c r="ONI1366" s="110"/>
      <c r="ONJ1366" s="110"/>
      <c r="ONK1366" s="110"/>
      <c r="ONL1366" s="110"/>
      <c r="ONM1366" s="110"/>
      <c r="ONN1366" s="110"/>
      <c r="ONO1366" s="110"/>
      <c r="ONP1366" s="110"/>
      <c r="ONQ1366" s="110"/>
      <c r="ONR1366" s="110"/>
      <c r="ONS1366" s="110"/>
      <c r="ONT1366" s="110"/>
      <c r="ONU1366" s="110"/>
      <c r="ONV1366" s="110"/>
      <c r="ONW1366" s="110"/>
      <c r="ONX1366" s="110"/>
      <c r="ONY1366" s="110"/>
      <c r="ONZ1366" s="110"/>
      <c r="OOA1366" s="110"/>
      <c r="OOB1366" s="110"/>
      <c r="OOC1366" s="110"/>
      <c r="OOD1366" s="110"/>
      <c r="OOE1366" s="110"/>
      <c r="OOF1366" s="110"/>
      <c r="OOG1366" s="110"/>
      <c r="OOH1366" s="110"/>
      <c r="OOI1366" s="110"/>
      <c r="OOJ1366" s="110"/>
      <c r="OOK1366" s="110"/>
      <c r="OOL1366" s="110"/>
      <c r="OOM1366" s="110"/>
      <c r="OON1366" s="110"/>
      <c r="OOO1366" s="110"/>
      <c r="OOP1366" s="110"/>
      <c r="OOQ1366" s="110"/>
      <c r="OOR1366" s="110"/>
      <c r="OOS1366" s="110"/>
      <c r="OOT1366" s="110"/>
      <c r="OOU1366" s="110"/>
      <c r="OOV1366" s="110"/>
      <c r="OOW1366" s="110"/>
      <c r="OOX1366" s="110"/>
      <c r="OOY1366" s="110"/>
      <c r="OOZ1366" s="110"/>
      <c r="OPA1366" s="110"/>
      <c r="OPB1366" s="110"/>
      <c r="OPC1366" s="110"/>
      <c r="OPD1366" s="110"/>
      <c r="OPE1366" s="110"/>
      <c r="OPF1366" s="110"/>
      <c r="OPG1366" s="110"/>
      <c r="OPH1366" s="110"/>
      <c r="OPI1366" s="110"/>
      <c r="OPJ1366" s="110"/>
      <c r="OPK1366" s="110"/>
      <c r="OPL1366" s="110"/>
      <c r="OPM1366" s="110"/>
      <c r="OPN1366" s="110"/>
      <c r="OPO1366" s="110"/>
      <c r="OPP1366" s="110"/>
      <c r="OPQ1366" s="110"/>
      <c r="OPR1366" s="110"/>
      <c r="OPS1366" s="110"/>
      <c r="OPT1366" s="110"/>
      <c r="OPU1366" s="110"/>
      <c r="OPV1366" s="110"/>
      <c r="OPW1366" s="110"/>
      <c r="OPX1366" s="110"/>
      <c r="OPY1366" s="110"/>
      <c r="OPZ1366" s="110"/>
      <c r="OQA1366" s="110"/>
      <c r="OQB1366" s="110"/>
      <c r="OQC1366" s="110"/>
      <c r="OQD1366" s="110"/>
      <c r="OQE1366" s="110"/>
      <c r="OQF1366" s="110"/>
      <c r="OQG1366" s="110"/>
      <c r="OQH1366" s="110"/>
      <c r="OQI1366" s="110"/>
      <c r="OQJ1366" s="110"/>
      <c r="OQK1366" s="110"/>
      <c r="OQL1366" s="110"/>
      <c r="OQM1366" s="110"/>
      <c r="OQN1366" s="110"/>
      <c r="OQO1366" s="110"/>
      <c r="OQP1366" s="110"/>
      <c r="OQQ1366" s="110"/>
      <c r="OQR1366" s="110"/>
      <c r="OQS1366" s="110"/>
      <c r="OQT1366" s="110"/>
      <c r="OQU1366" s="110"/>
      <c r="OQV1366" s="110"/>
      <c r="OQW1366" s="110"/>
      <c r="OQX1366" s="110"/>
      <c r="OQY1366" s="110"/>
      <c r="OQZ1366" s="110"/>
      <c r="ORA1366" s="110"/>
      <c r="ORB1366" s="110"/>
      <c r="ORC1366" s="110"/>
      <c r="ORD1366" s="110"/>
      <c r="ORE1366" s="110"/>
      <c r="ORF1366" s="110"/>
      <c r="ORG1366" s="110"/>
      <c r="ORH1366" s="110"/>
      <c r="ORI1366" s="110"/>
      <c r="ORJ1366" s="110"/>
      <c r="ORK1366" s="110"/>
      <c r="ORL1366" s="110"/>
      <c r="ORM1366" s="110"/>
      <c r="ORN1366" s="110"/>
      <c r="ORO1366" s="110"/>
      <c r="ORP1366" s="110"/>
      <c r="ORQ1366" s="110"/>
      <c r="ORR1366" s="110"/>
      <c r="ORS1366" s="110"/>
      <c r="ORT1366" s="110"/>
      <c r="ORU1366" s="110"/>
      <c r="ORV1366" s="110"/>
      <c r="ORW1366" s="110"/>
      <c r="ORX1366" s="110"/>
      <c r="ORY1366" s="110"/>
      <c r="ORZ1366" s="110"/>
      <c r="OSA1366" s="110"/>
      <c r="OSB1366" s="110"/>
      <c r="OSC1366" s="110"/>
      <c r="OSD1366" s="110"/>
      <c r="OSE1366" s="110"/>
      <c r="OSF1366" s="110"/>
      <c r="OSG1366" s="110"/>
      <c r="OSH1366" s="110"/>
      <c r="OSI1366" s="110"/>
      <c r="OSJ1366" s="110"/>
      <c r="OSK1366" s="110"/>
      <c r="OSL1366" s="110"/>
      <c r="OSM1366" s="110"/>
      <c r="OSN1366" s="110"/>
      <c r="OSO1366" s="110"/>
      <c r="OSP1366" s="110"/>
      <c r="OSQ1366" s="110"/>
      <c r="OSR1366" s="110"/>
      <c r="OSS1366" s="110"/>
      <c r="OST1366" s="110"/>
      <c r="OSU1366" s="110"/>
      <c r="OSV1366" s="110"/>
      <c r="OSW1366" s="110"/>
      <c r="OSX1366" s="110"/>
      <c r="OSY1366" s="110"/>
      <c r="OSZ1366" s="110"/>
      <c r="OTA1366" s="110"/>
      <c r="OTB1366" s="110"/>
      <c r="OTC1366" s="110"/>
      <c r="OTD1366" s="110"/>
      <c r="OTE1366" s="110"/>
      <c r="OTF1366" s="110"/>
      <c r="OTG1366" s="110"/>
      <c r="OTH1366" s="110"/>
      <c r="OTI1366" s="110"/>
      <c r="OTJ1366" s="110"/>
      <c r="OTK1366" s="110"/>
      <c r="OTL1366" s="110"/>
      <c r="OTM1366" s="110"/>
      <c r="OTN1366" s="110"/>
      <c r="OTO1366" s="110"/>
      <c r="OTP1366" s="110"/>
      <c r="OTQ1366" s="110"/>
      <c r="OTR1366" s="110"/>
      <c r="OTS1366" s="110"/>
      <c r="OTT1366" s="110"/>
      <c r="OTU1366" s="110"/>
      <c r="OTV1366" s="110"/>
      <c r="OTW1366" s="110"/>
      <c r="OTX1366" s="110"/>
      <c r="OTY1366" s="110"/>
      <c r="OTZ1366" s="110"/>
      <c r="OUA1366" s="110"/>
      <c r="OUB1366" s="110"/>
      <c r="OUC1366" s="110"/>
      <c r="OUD1366" s="110"/>
      <c r="OUE1366" s="110"/>
      <c r="OUF1366" s="110"/>
      <c r="OUG1366" s="110"/>
      <c r="OUH1366" s="110"/>
      <c r="OUI1366" s="110"/>
      <c r="OUJ1366" s="110"/>
      <c r="OUK1366" s="110"/>
      <c r="OUL1366" s="110"/>
      <c r="OUM1366" s="110"/>
      <c r="OUN1366" s="110"/>
      <c r="OUO1366" s="110"/>
      <c r="OUP1366" s="110"/>
      <c r="OUQ1366" s="110"/>
      <c r="OUR1366" s="110"/>
      <c r="OUS1366" s="110"/>
      <c r="OUT1366" s="110"/>
      <c r="OUU1366" s="110"/>
      <c r="OUV1366" s="110"/>
      <c r="OUW1366" s="110"/>
      <c r="OUX1366" s="110"/>
      <c r="OUY1366" s="110"/>
      <c r="OUZ1366" s="110"/>
      <c r="OVA1366" s="110"/>
      <c r="OVB1366" s="110"/>
      <c r="OVC1366" s="110"/>
      <c r="OVD1366" s="110"/>
      <c r="OVE1366" s="110"/>
      <c r="OVF1366" s="110"/>
      <c r="OVG1366" s="110"/>
      <c r="OVH1366" s="110"/>
      <c r="OVI1366" s="110"/>
      <c r="OVJ1366" s="110"/>
      <c r="OVK1366" s="110"/>
      <c r="OVL1366" s="110"/>
      <c r="OVM1366" s="110"/>
      <c r="OVN1366" s="110"/>
      <c r="OVO1366" s="110"/>
      <c r="OVP1366" s="110"/>
      <c r="OVQ1366" s="110"/>
      <c r="OVR1366" s="110"/>
      <c r="OVS1366" s="110"/>
      <c r="OVT1366" s="110"/>
      <c r="OVU1366" s="110"/>
      <c r="OVV1366" s="110"/>
      <c r="OVW1366" s="110"/>
      <c r="OVX1366" s="110"/>
      <c r="OVY1366" s="110"/>
      <c r="OVZ1366" s="110"/>
      <c r="OWA1366" s="110"/>
      <c r="OWB1366" s="110"/>
      <c r="OWC1366" s="110"/>
      <c r="OWD1366" s="110"/>
      <c r="OWE1366" s="110"/>
      <c r="OWF1366" s="110"/>
      <c r="OWG1366" s="110"/>
      <c r="OWH1366" s="110"/>
      <c r="OWI1366" s="110"/>
      <c r="OWJ1366" s="110"/>
      <c r="OWK1366" s="110"/>
      <c r="OWL1366" s="110"/>
      <c r="OWM1366" s="110"/>
      <c r="OWN1366" s="110"/>
      <c r="OWO1366" s="110"/>
      <c r="OWP1366" s="110"/>
      <c r="OWQ1366" s="110"/>
      <c r="OWR1366" s="110"/>
      <c r="OWS1366" s="110"/>
      <c r="OWT1366" s="110"/>
      <c r="OWU1366" s="110"/>
      <c r="OWV1366" s="110"/>
      <c r="OWW1366" s="110"/>
      <c r="OWX1366" s="110"/>
      <c r="OWY1366" s="110"/>
      <c r="OWZ1366" s="110"/>
      <c r="OXA1366" s="110"/>
      <c r="OXB1366" s="110"/>
      <c r="OXC1366" s="110"/>
      <c r="OXD1366" s="110"/>
      <c r="OXE1366" s="110"/>
      <c r="OXF1366" s="110"/>
      <c r="OXG1366" s="110"/>
      <c r="OXH1366" s="110"/>
      <c r="OXI1366" s="110"/>
      <c r="OXJ1366" s="110"/>
      <c r="OXK1366" s="110"/>
      <c r="OXL1366" s="110"/>
      <c r="OXM1366" s="110"/>
      <c r="OXN1366" s="110"/>
      <c r="OXO1366" s="110"/>
      <c r="OXP1366" s="110"/>
      <c r="OXQ1366" s="110"/>
      <c r="OXR1366" s="110"/>
      <c r="OXS1366" s="110"/>
      <c r="OXT1366" s="110"/>
      <c r="OXU1366" s="110"/>
      <c r="OXV1366" s="110"/>
      <c r="OXW1366" s="110"/>
      <c r="OXX1366" s="110"/>
      <c r="OXY1366" s="110"/>
      <c r="OXZ1366" s="110"/>
      <c r="OYA1366" s="110"/>
      <c r="OYB1366" s="110"/>
      <c r="OYC1366" s="110"/>
      <c r="OYD1366" s="110"/>
      <c r="OYE1366" s="110"/>
      <c r="OYF1366" s="110"/>
      <c r="OYG1366" s="110"/>
      <c r="OYH1366" s="110"/>
      <c r="OYI1366" s="110"/>
      <c r="OYJ1366" s="110"/>
      <c r="OYK1366" s="110"/>
      <c r="OYL1366" s="110"/>
      <c r="OYM1366" s="110"/>
      <c r="OYN1366" s="110"/>
      <c r="OYO1366" s="110"/>
      <c r="OYP1366" s="110"/>
      <c r="OYQ1366" s="110"/>
      <c r="OYR1366" s="110"/>
      <c r="OYS1366" s="110"/>
      <c r="OYT1366" s="110"/>
      <c r="OYU1366" s="110"/>
      <c r="OYV1366" s="110"/>
      <c r="OYW1366" s="110"/>
      <c r="OYX1366" s="110"/>
      <c r="OYY1366" s="110"/>
      <c r="OYZ1366" s="110"/>
      <c r="OZA1366" s="110"/>
      <c r="OZB1366" s="110"/>
      <c r="OZC1366" s="110"/>
      <c r="OZD1366" s="110"/>
      <c r="OZE1366" s="110"/>
      <c r="OZF1366" s="110"/>
      <c r="OZG1366" s="110"/>
      <c r="OZH1366" s="110"/>
      <c r="OZI1366" s="110"/>
      <c r="OZJ1366" s="110"/>
      <c r="OZK1366" s="110"/>
      <c r="OZL1366" s="110"/>
      <c r="OZM1366" s="110"/>
      <c r="OZN1366" s="110"/>
      <c r="OZO1366" s="110"/>
      <c r="OZP1366" s="110"/>
      <c r="OZQ1366" s="110"/>
      <c r="OZR1366" s="110"/>
      <c r="OZS1366" s="110"/>
      <c r="OZT1366" s="110"/>
      <c r="OZU1366" s="110"/>
      <c r="OZV1366" s="110"/>
      <c r="OZW1366" s="110"/>
      <c r="OZX1366" s="110"/>
      <c r="OZY1366" s="110"/>
      <c r="OZZ1366" s="110"/>
      <c r="PAA1366" s="110"/>
      <c r="PAB1366" s="110"/>
      <c r="PAC1366" s="110"/>
      <c r="PAD1366" s="110"/>
      <c r="PAE1366" s="110"/>
      <c r="PAF1366" s="110"/>
      <c r="PAG1366" s="110"/>
      <c r="PAH1366" s="110"/>
      <c r="PAI1366" s="110"/>
      <c r="PAJ1366" s="110"/>
      <c r="PAK1366" s="110"/>
      <c r="PAL1366" s="110"/>
      <c r="PAM1366" s="110"/>
      <c r="PAN1366" s="110"/>
      <c r="PAO1366" s="110"/>
      <c r="PAP1366" s="110"/>
      <c r="PAQ1366" s="110"/>
      <c r="PAR1366" s="110"/>
      <c r="PAS1366" s="110"/>
      <c r="PAT1366" s="110"/>
      <c r="PAU1366" s="110"/>
      <c r="PAV1366" s="110"/>
      <c r="PAW1366" s="110"/>
      <c r="PAX1366" s="110"/>
      <c r="PAY1366" s="110"/>
      <c r="PAZ1366" s="110"/>
      <c r="PBA1366" s="110"/>
      <c r="PBB1366" s="110"/>
      <c r="PBC1366" s="110"/>
      <c r="PBD1366" s="110"/>
      <c r="PBE1366" s="110"/>
      <c r="PBF1366" s="110"/>
      <c r="PBG1366" s="110"/>
      <c r="PBH1366" s="110"/>
      <c r="PBI1366" s="110"/>
      <c r="PBJ1366" s="110"/>
      <c r="PBK1366" s="110"/>
      <c r="PBL1366" s="110"/>
      <c r="PBM1366" s="110"/>
      <c r="PBN1366" s="110"/>
      <c r="PBO1366" s="110"/>
      <c r="PBP1366" s="110"/>
      <c r="PBQ1366" s="110"/>
      <c r="PBR1366" s="110"/>
      <c r="PBS1366" s="110"/>
      <c r="PBT1366" s="110"/>
      <c r="PBU1366" s="110"/>
      <c r="PBV1366" s="110"/>
      <c r="PBW1366" s="110"/>
      <c r="PBX1366" s="110"/>
      <c r="PBY1366" s="110"/>
      <c r="PBZ1366" s="110"/>
      <c r="PCA1366" s="110"/>
      <c r="PCB1366" s="110"/>
      <c r="PCC1366" s="110"/>
      <c r="PCD1366" s="110"/>
      <c r="PCE1366" s="110"/>
      <c r="PCF1366" s="110"/>
      <c r="PCG1366" s="110"/>
      <c r="PCH1366" s="110"/>
      <c r="PCI1366" s="110"/>
      <c r="PCJ1366" s="110"/>
      <c r="PCK1366" s="110"/>
      <c r="PCL1366" s="110"/>
      <c r="PCM1366" s="110"/>
      <c r="PCN1366" s="110"/>
      <c r="PCO1366" s="110"/>
      <c r="PCP1366" s="110"/>
      <c r="PCQ1366" s="110"/>
      <c r="PCR1366" s="110"/>
      <c r="PCS1366" s="110"/>
      <c r="PCT1366" s="110"/>
      <c r="PCU1366" s="110"/>
      <c r="PCV1366" s="110"/>
      <c r="PCW1366" s="110"/>
      <c r="PCX1366" s="110"/>
      <c r="PCY1366" s="110"/>
      <c r="PCZ1366" s="110"/>
      <c r="PDA1366" s="110"/>
      <c r="PDB1366" s="110"/>
      <c r="PDC1366" s="110"/>
      <c r="PDD1366" s="110"/>
      <c r="PDE1366" s="110"/>
      <c r="PDF1366" s="110"/>
      <c r="PDG1366" s="110"/>
      <c r="PDH1366" s="110"/>
      <c r="PDI1366" s="110"/>
      <c r="PDJ1366" s="110"/>
      <c r="PDK1366" s="110"/>
      <c r="PDL1366" s="110"/>
      <c r="PDM1366" s="110"/>
      <c r="PDN1366" s="110"/>
      <c r="PDO1366" s="110"/>
      <c r="PDP1366" s="110"/>
      <c r="PDQ1366" s="110"/>
      <c r="PDR1366" s="110"/>
      <c r="PDS1366" s="110"/>
      <c r="PDT1366" s="110"/>
      <c r="PDU1366" s="110"/>
      <c r="PDV1366" s="110"/>
      <c r="PDW1366" s="110"/>
      <c r="PDX1366" s="110"/>
      <c r="PDY1366" s="110"/>
      <c r="PDZ1366" s="110"/>
      <c r="PEA1366" s="110"/>
      <c r="PEB1366" s="110"/>
      <c r="PEC1366" s="110"/>
      <c r="PED1366" s="110"/>
      <c r="PEE1366" s="110"/>
      <c r="PEF1366" s="110"/>
      <c r="PEG1366" s="110"/>
      <c r="PEH1366" s="110"/>
      <c r="PEI1366" s="110"/>
      <c r="PEJ1366" s="110"/>
      <c r="PEK1366" s="110"/>
      <c r="PEL1366" s="110"/>
      <c r="PEM1366" s="110"/>
      <c r="PEN1366" s="110"/>
      <c r="PEO1366" s="110"/>
      <c r="PEP1366" s="110"/>
      <c r="PEQ1366" s="110"/>
      <c r="PER1366" s="110"/>
      <c r="PES1366" s="110"/>
      <c r="PET1366" s="110"/>
      <c r="PEU1366" s="110"/>
      <c r="PEV1366" s="110"/>
      <c r="PEW1366" s="110"/>
      <c r="PEX1366" s="110"/>
      <c r="PEY1366" s="110"/>
      <c r="PEZ1366" s="110"/>
      <c r="PFA1366" s="110"/>
      <c r="PFB1366" s="110"/>
      <c r="PFC1366" s="110"/>
      <c r="PFD1366" s="110"/>
      <c r="PFE1366" s="110"/>
      <c r="PFF1366" s="110"/>
      <c r="PFG1366" s="110"/>
      <c r="PFH1366" s="110"/>
      <c r="PFI1366" s="110"/>
      <c r="PFJ1366" s="110"/>
      <c r="PFK1366" s="110"/>
      <c r="PFL1366" s="110"/>
      <c r="PFM1366" s="110"/>
      <c r="PFN1366" s="110"/>
      <c r="PFO1366" s="110"/>
      <c r="PFP1366" s="110"/>
      <c r="PFQ1366" s="110"/>
      <c r="PFR1366" s="110"/>
      <c r="PFS1366" s="110"/>
      <c r="PFT1366" s="110"/>
      <c r="PFU1366" s="110"/>
      <c r="PFV1366" s="110"/>
      <c r="PFW1366" s="110"/>
      <c r="PFX1366" s="110"/>
      <c r="PFY1366" s="110"/>
      <c r="PFZ1366" s="110"/>
      <c r="PGA1366" s="110"/>
      <c r="PGB1366" s="110"/>
      <c r="PGC1366" s="110"/>
      <c r="PGD1366" s="110"/>
      <c r="PGE1366" s="110"/>
      <c r="PGF1366" s="110"/>
      <c r="PGG1366" s="110"/>
      <c r="PGH1366" s="110"/>
      <c r="PGI1366" s="110"/>
      <c r="PGJ1366" s="110"/>
      <c r="PGK1366" s="110"/>
      <c r="PGL1366" s="110"/>
      <c r="PGM1366" s="110"/>
      <c r="PGN1366" s="110"/>
      <c r="PGO1366" s="110"/>
      <c r="PGP1366" s="110"/>
      <c r="PGQ1366" s="110"/>
      <c r="PGR1366" s="110"/>
      <c r="PGS1366" s="110"/>
      <c r="PGT1366" s="110"/>
      <c r="PGU1366" s="110"/>
      <c r="PGV1366" s="110"/>
      <c r="PGW1366" s="110"/>
      <c r="PGX1366" s="110"/>
      <c r="PGY1366" s="110"/>
      <c r="PGZ1366" s="110"/>
      <c r="PHA1366" s="110"/>
      <c r="PHB1366" s="110"/>
      <c r="PHC1366" s="110"/>
      <c r="PHD1366" s="110"/>
      <c r="PHE1366" s="110"/>
      <c r="PHF1366" s="110"/>
      <c r="PHG1366" s="110"/>
      <c r="PHH1366" s="110"/>
      <c r="PHI1366" s="110"/>
      <c r="PHJ1366" s="110"/>
      <c r="PHK1366" s="110"/>
      <c r="PHL1366" s="110"/>
      <c r="PHM1366" s="110"/>
      <c r="PHN1366" s="110"/>
      <c r="PHO1366" s="110"/>
      <c r="PHP1366" s="110"/>
      <c r="PHQ1366" s="110"/>
      <c r="PHR1366" s="110"/>
      <c r="PHS1366" s="110"/>
      <c r="PHT1366" s="110"/>
      <c r="PHU1366" s="110"/>
      <c r="PHV1366" s="110"/>
      <c r="PHW1366" s="110"/>
      <c r="PHX1366" s="110"/>
      <c r="PHY1366" s="110"/>
      <c r="PHZ1366" s="110"/>
      <c r="PIA1366" s="110"/>
      <c r="PIB1366" s="110"/>
      <c r="PIC1366" s="110"/>
      <c r="PID1366" s="110"/>
      <c r="PIE1366" s="110"/>
      <c r="PIF1366" s="110"/>
      <c r="PIG1366" s="110"/>
      <c r="PIH1366" s="110"/>
      <c r="PII1366" s="110"/>
      <c r="PIJ1366" s="110"/>
      <c r="PIK1366" s="110"/>
      <c r="PIL1366" s="110"/>
      <c r="PIM1366" s="110"/>
      <c r="PIN1366" s="110"/>
      <c r="PIO1366" s="110"/>
      <c r="PIP1366" s="110"/>
      <c r="PIQ1366" s="110"/>
      <c r="PIR1366" s="110"/>
      <c r="PIS1366" s="110"/>
      <c r="PIT1366" s="110"/>
      <c r="PIU1366" s="110"/>
      <c r="PIV1366" s="110"/>
      <c r="PIW1366" s="110"/>
      <c r="PIX1366" s="110"/>
      <c r="PIY1366" s="110"/>
      <c r="PIZ1366" s="110"/>
      <c r="PJA1366" s="110"/>
      <c r="PJB1366" s="110"/>
      <c r="PJC1366" s="110"/>
      <c r="PJD1366" s="110"/>
      <c r="PJE1366" s="110"/>
      <c r="PJF1366" s="110"/>
      <c r="PJG1366" s="110"/>
      <c r="PJH1366" s="110"/>
      <c r="PJI1366" s="110"/>
      <c r="PJJ1366" s="110"/>
      <c r="PJK1366" s="110"/>
      <c r="PJL1366" s="110"/>
      <c r="PJM1366" s="110"/>
      <c r="PJN1366" s="110"/>
      <c r="PJO1366" s="110"/>
      <c r="PJP1366" s="110"/>
      <c r="PJQ1366" s="110"/>
      <c r="PJR1366" s="110"/>
      <c r="PJS1366" s="110"/>
      <c r="PJT1366" s="110"/>
      <c r="PJU1366" s="110"/>
      <c r="PJV1366" s="110"/>
      <c r="PJW1366" s="110"/>
      <c r="PJX1366" s="110"/>
      <c r="PJY1366" s="110"/>
      <c r="PJZ1366" s="110"/>
      <c r="PKA1366" s="110"/>
      <c r="PKB1366" s="110"/>
      <c r="PKC1366" s="110"/>
      <c r="PKD1366" s="110"/>
      <c r="PKE1366" s="110"/>
      <c r="PKF1366" s="110"/>
      <c r="PKG1366" s="110"/>
      <c r="PKH1366" s="110"/>
      <c r="PKI1366" s="110"/>
      <c r="PKJ1366" s="110"/>
      <c r="PKK1366" s="110"/>
      <c r="PKL1366" s="110"/>
      <c r="PKM1366" s="110"/>
      <c r="PKN1366" s="110"/>
      <c r="PKO1366" s="110"/>
      <c r="PKP1366" s="110"/>
      <c r="PKQ1366" s="110"/>
      <c r="PKR1366" s="110"/>
      <c r="PKS1366" s="110"/>
      <c r="PKT1366" s="110"/>
      <c r="PKU1366" s="110"/>
      <c r="PKV1366" s="110"/>
      <c r="PKW1366" s="110"/>
      <c r="PKX1366" s="110"/>
      <c r="PKY1366" s="110"/>
      <c r="PKZ1366" s="110"/>
      <c r="PLA1366" s="110"/>
      <c r="PLB1366" s="110"/>
      <c r="PLC1366" s="110"/>
      <c r="PLD1366" s="110"/>
      <c r="PLE1366" s="110"/>
      <c r="PLF1366" s="110"/>
      <c r="PLG1366" s="110"/>
      <c r="PLH1366" s="110"/>
      <c r="PLI1366" s="110"/>
      <c r="PLJ1366" s="110"/>
      <c r="PLK1366" s="110"/>
      <c r="PLL1366" s="110"/>
      <c r="PLM1366" s="110"/>
      <c r="PLN1366" s="110"/>
      <c r="PLO1366" s="110"/>
      <c r="PLP1366" s="110"/>
      <c r="PLQ1366" s="110"/>
      <c r="PLR1366" s="110"/>
      <c r="PLS1366" s="110"/>
      <c r="PLT1366" s="110"/>
      <c r="PLU1366" s="110"/>
      <c r="PLV1366" s="110"/>
      <c r="PLW1366" s="110"/>
      <c r="PLX1366" s="110"/>
      <c r="PLY1366" s="110"/>
      <c r="PLZ1366" s="110"/>
      <c r="PMA1366" s="110"/>
      <c r="PMB1366" s="110"/>
      <c r="PMC1366" s="110"/>
      <c r="PMD1366" s="110"/>
      <c r="PME1366" s="110"/>
      <c r="PMF1366" s="110"/>
      <c r="PMG1366" s="110"/>
      <c r="PMH1366" s="110"/>
      <c r="PMI1366" s="110"/>
      <c r="PMJ1366" s="110"/>
      <c r="PMK1366" s="110"/>
      <c r="PML1366" s="110"/>
      <c r="PMM1366" s="110"/>
      <c r="PMN1366" s="110"/>
      <c r="PMO1366" s="110"/>
      <c r="PMP1366" s="110"/>
      <c r="PMQ1366" s="110"/>
      <c r="PMR1366" s="110"/>
      <c r="PMS1366" s="110"/>
      <c r="PMT1366" s="110"/>
      <c r="PMU1366" s="110"/>
      <c r="PMV1366" s="110"/>
      <c r="PMW1366" s="110"/>
      <c r="PMX1366" s="110"/>
      <c r="PMY1366" s="110"/>
      <c r="PMZ1366" s="110"/>
      <c r="PNA1366" s="110"/>
      <c r="PNB1366" s="110"/>
      <c r="PNC1366" s="110"/>
      <c r="PND1366" s="110"/>
      <c r="PNE1366" s="110"/>
      <c r="PNF1366" s="110"/>
      <c r="PNG1366" s="110"/>
      <c r="PNH1366" s="110"/>
      <c r="PNI1366" s="110"/>
      <c r="PNJ1366" s="110"/>
      <c r="PNK1366" s="110"/>
      <c r="PNL1366" s="110"/>
      <c r="PNM1366" s="110"/>
      <c r="PNN1366" s="110"/>
      <c r="PNO1366" s="110"/>
      <c r="PNP1366" s="110"/>
      <c r="PNQ1366" s="110"/>
      <c r="PNR1366" s="110"/>
      <c r="PNS1366" s="110"/>
      <c r="PNT1366" s="110"/>
      <c r="PNU1366" s="110"/>
      <c r="PNV1366" s="110"/>
      <c r="PNW1366" s="110"/>
      <c r="PNX1366" s="110"/>
      <c r="PNY1366" s="110"/>
      <c r="PNZ1366" s="110"/>
      <c r="POA1366" s="110"/>
      <c r="POB1366" s="110"/>
      <c r="POC1366" s="110"/>
      <c r="POD1366" s="110"/>
      <c r="POE1366" s="110"/>
      <c r="POF1366" s="110"/>
      <c r="POG1366" s="110"/>
      <c r="POH1366" s="110"/>
      <c r="POI1366" s="110"/>
      <c r="POJ1366" s="110"/>
      <c r="POK1366" s="110"/>
      <c r="POL1366" s="110"/>
      <c r="POM1366" s="110"/>
      <c r="PON1366" s="110"/>
      <c r="POO1366" s="110"/>
      <c r="POP1366" s="110"/>
      <c r="POQ1366" s="110"/>
      <c r="POR1366" s="110"/>
      <c r="POS1366" s="110"/>
      <c r="POT1366" s="110"/>
      <c r="POU1366" s="110"/>
      <c r="POV1366" s="110"/>
      <c r="POW1366" s="110"/>
      <c r="POX1366" s="110"/>
      <c r="POY1366" s="110"/>
      <c r="POZ1366" s="110"/>
      <c r="PPA1366" s="110"/>
      <c r="PPB1366" s="110"/>
      <c r="PPC1366" s="110"/>
      <c r="PPD1366" s="110"/>
      <c r="PPE1366" s="110"/>
      <c r="PPF1366" s="110"/>
      <c r="PPG1366" s="110"/>
      <c r="PPH1366" s="110"/>
      <c r="PPI1366" s="110"/>
      <c r="PPJ1366" s="110"/>
      <c r="PPK1366" s="110"/>
      <c r="PPL1366" s="110"/>
      <c r="PPM1366" s="110"/>
      <c r="PPN1366" s="110"/>
      <c r="PPO1366" s="110"/>
      <c r="PPP1366" s="110"/>
      <c r="PPQ1366" s="110"/>
      <c r="PPR1366" s="110"/>
      <c r="PPS1366" s="110"/>
      <c r="PPT1366" s="110"/>
      <c r="PPU1366" s="110"/>
      <c r="PPV1366" s="110"/>
      <c r="PPW1366" s="110"/>
      <c r="PPX1366" s="110"/>
      <c r="PPY1366" s="110"/>
      <c r="PPZ1366" s="110"/>
      <c r="PQA1366" s="110"/>
      <c r="PQB1366" s="110"/>
      <c r="PQC1366" s="110"/>
      <c r="PQD1366" s="110"/>
      <c r="PQE1366" s="110"/>
      <c r="PQF1366" s="110"/>
      <c r="PQG1366" s="110"/>
      <c r="PQH1366" s="110"/>
      <c r="PQI1366" s="110"/>
      <c r="PQJ1366" s="110"/>
      <c r="PQK1366" s="110"/>
      <c r="PQL1366" s="110"/>
      <c r="PQM1366" s="110"/>
      <c r="PQN1366" s="110"/>
      <c r="PQO1366" s="110"/>
      <c r="PQP1366" s="110"/>
      <c r="PQQ1366" s="110"/>
      <c r="PQR1366" s="110"/>
      <c r="PQS1366" s="110"/>
      <c r="PQT1366" s="110"/>
      <c r="PQU1366" s="110"/>
      <c r="PQV1366" s="110"/>
      <c r="PQW1366" s="110"/>
      <c r="PQX1366" s="110"/>
      <c r="PQY1366" s="110"/>
      <c r="PQZ1366" s="110"/>
      <c r="PRA1366" s="110"/>
      <c r="PRB1366" s="110"/>
      <c r="PRC1366" s="110"/>
      <c r="PRD1366" s="110"/>
      <c r="PRE1366" s="110"/>
      <c r="PRF1366" s="110"/>
      <c r="PRG1366" s="110"/>
      <c r="PRH1366" s="110"/>
      <c r="PRI1366" s="110"/>
      <c r="PRJ1366" s="110"/>
      <c r="PRK1366" s="110"/>
      <c r="PRL1366" s="110"/>
      <c r="PRM1366" s="110"/>
      <c r="PRN1366" s="110"/>
      <c r="PRO1366" s="110"/>
      <c r="PRP1366" s="110"/>
      <c r="PRQ1366" s="110"/>
      <c r="PRR1366" s="110"/>
      <c r="PRS1366" s="110"/>
      <c r="PRT1366" s="110"/>
      <c r="PRU1366" s="110"/>
      <c r="PRV1366" s="110"/>
      <c r="PRW1366" s="110"/>
      <c r="PRX1366" s="110"/>
      <c r="PRY1366" s="110"/>
      <c r="PRZ1366" s="110"/>
      <c r="PSA1366" s="110"/>
      <c r="PSB1366" s="110"/>
      <c r="PSC1366" s="110"/>
      <c r="PSD1366" s="110"/>
      <c r="PSE1366" s="110"/>
      <c r="PSF1366" s="110"/>
      <c r="PSG1366" s="110"/>
      <c r="PSH1366" s="110"/>
      <c r="PSI1366" s="110"/>
      <c r="PSJ1366" s="110"/>
      <c r="PSK1366" s="110"/>
      <c r="PSL1366" s="110"/>
      <c r="PSM1366" s="110"/>
      <c r="PSN1366" s="110"/>
      <c r="PSO1366" s="110"/>
      <c r="PSP1366" s="110"/>
      <c r="PSQ1366" s="110"/>
      <c r="PSR1366" s="110"/>
      <c r="PSS1366" s="110"/>
      <c r="PST1366" s="110"/>
      <c r="PSU1366" s="110"/>
      <c r="PSV1366" s="110"/>
      <c r="PSW1366" s="110"/>
      <c r="PSX1366" s="110"/>
      <c r="PSY1366" s="110"/>
      <c r="PSZ1366" s="110"/>
      <c r="PTA1366" s="110"/>
      <c r="PTB1366" s="110"/>
      <c r="PTC1366" s="110"/>
      <c r="PTD1366" s="110"/>
      <c r="PTE1366" s="110"/>
      <c r="PTF1366" s="110"/>
      <c r="PTG1366" s="110"/>
      <c r="PTH1366" s="110"/>
      <c r="PTI1366" s="110"/>
      <c r="PTJ1366" s="110"/>
      <c r="PTK1366" s="110"/>
      <c r="PTL1366" s="110"/>
      <c r="PTM1366" s="110"/>
      <c r="PTN1366" s="110"/>
      <c r="PTO1366" s="110"/>
      <c r="PTP1366" s="110"/>
      <c r="PTQ1366" s="110"/>
      <c r="PTR1366" s="110"/>
      <c r="PTS1366" s="110"/>
      <c r="PTT1366" s="110"/>
      <c r="PTU1366" s="110"/>
      <c r="PTV1366" s="110"/>
      <c r="PTW1366" s="110"/>
      <c r="PTX1366" s="110"/>
      <c r="PTY1366" s="110"/>
      <c r="PTZ1366" s="110"/>
      <c r="PUA1366" s="110"/>
      <c r="PUB1366" s="110"/>
      <c r="PUC1366" s="110"/>
      <c r="PUD1366" s="110"/>
      <c r="PUE1366" s="110"/>
      <c r="PUF1366" s="110"/>
      <c r="PUG1366" s="110"/>
      <c r="PUH1366" s="110"/>
      <c r="PUI1366" s="110"/>
      <c r="PUJ1366" s="110"/>
      <c r="PUK1366" s="110"/>
      <c r="PUL1366" s="110"/>
      <c r="PUM1366" s="110"/>
      <c r="PUN1366" s="110"/>
      <c r="PUO1366" s="110"/>
      <c r="PUP1366" s="110"/>
      <c r="PUQ1366" s="110"/>
      <c r="PUR1366" s="110"/>
      <c r="PUS1366" s="110"/>
      <c r="PUT1366" s="110"/>
      <c r="PUU1366" s="110"/>
      <c r="PUV1366" s="110"/>
      <c r="PUW1366" s="110"/>
      <c r="PUX1366" s="110"/>
      <c r="PUY1366" s="110"/>
      <c r="PUZ1366" s="110"/>
      <c r="PVA1366" s="110"/>
      <c r="PVB1366" s="110"/>
      <c r="PVC1366" s="110"/>
      <c r="PVD1366" s="110"/>
      <c r="PVE1366" s="110"/>
      <c r="PVF1366" s="110"/>
      <c r="PVG1366" s="110"/>
      <c r="PVH1366" s="110"/>
      <c r="PVI1366" s="110"/>
      <c r="PVJ1366" s="110"/>
      <c r="PVK1366" s="110"/>
      <c r="PVL1366" s="110"/>
      <c r="PVM1366" s="110"/>
      <c r="PVN1366" s="110"/>
      <c r="PVO1366" s="110"/>
      <c r="PVP1366" s="110"/>
      <c r="PVQ1366" s="110"/>
      <c r="PVR1366" s="110"/>
      <c r="PVS1366" s="110"/>
      <c r="PVT1366" s="110"/>
      <c r="PVU1366" s="110"/>
      <c r="PVV1366" s="110"/>
      <c r="PVW1366" s="110"/>
      <c r="PVX1366" s="110"/>
      <c r="PVY1366" s="110"/>
      <c r="PVZ1366" s="110"/>
      <c r="PWA1366" s="110"/>
      <c r="PWB1366" s="110"/>
      <c r="PWC1366" s="110"/>
      <c r="PWD1366" s="110"/>
      <c r="PWE1366" s="110"/>
      <c r="PWF1366" s="110"/>
      <c r="PWG1366" s="110"/>
      <c r="PWH1366" s="110"/>
      <c r="PWI1366" s="110"/>
      <c r="PWJ1366" s="110"/>
      <c r="PWK1366" s="110"/>
      <c r="PWL1366" s="110"/>
      <c r="PWM1366" s="110"/>
      <c r="PWN1366" s="110"/>
      <c r="PWO1366" s="110"/>
      <c r="PWP1366" s="110"/>
      <c r="PWQ1366" s="110"/>
      <c r="PWR1366" s="110"/>
      <c r="PWS1366" s="110"/>
      <c r="PWT1366" s="110"/>
      <c r="PWU1366" s="110"/>
      <c r="PWV1366" s="110"/>
      <c r="PWW1366" s="110"/>
      <c r="PWX1366" s="110"/>
      <c r="PWY1366" s="110"/>
      <c r="PWZ1366" s="110"/>
      <c r="PXA1366" s="110"/>
      <c r="PXB1366" s="110"/>
      <c r="PXC1366" s="110"/>
      <c r="PXD1366" s="110"/>
      <c r="PXE1366" s="110"/>
      <c r="PXF1366" s="110"/>
      <c r="PXG1366" s="110"/>
      <c r="PXH1366" s="110"/>
      <c r="PXI1366" s="110"/>
      <c r="PXJ1366" s="110"/>
      <c r="PXK1366" s="110"/>
      <c r="PXL1366" s="110"/>
      <c r="PXM1366" s="110"/>
      <c r="PXN1366" s="110"/>
      <c r="PXO1366" s="110"/>
      <c r="PXP1366" s="110"/>
      <c r="PXQ1366" s="110"/>
      <c r="PXR1366" s="110"/>
      <c r="PXS1366" s="110"/>
      <c r="PXT1366" s="110"/>
      <c r="PXU1366" s="110"/>
      <c r="PXV1366" s="110"/>
      <c r="PXW1366" s="110"/>
      <c r="PXX1366" s="110"/>
      <c r="PXY1366" s="110"/>
      <c r="PXZ1366" s="110"/>
      <c r="PYA1366" s="110"/>
      <c r="PYB1366" s="110"/>
      <c r="PYC1366" s="110"/>
      <c r="PYD1366" s="110"/>
      <c r="PYE1366" s="110"/>
      <c r="PYF1366" s="110"/>
      <c r="PYG1366" s="110"/>
      <c r="PYH1366" s="110"/>
      <c r="PYI1366" s="110"/>
      <c r="PYJ1366" s="110"/>
      <c r="PYK1366" s="110"/>
      <c r="PYL1366" s="110"/>
      <c r="PYM1366" s="110"/>
      <c r="PYN1366" s="110"/>
      <c r="PYO1366" s="110"/>
      <c r="PYP1366" s="110"/>
      <c r="PYQ1366" s="110"/>
      <c r="PYR1366" s="110"/>
      <c r="PYS1366" s="110"/>
      <c r="PYT1366" s="110"/>
      <c r="PYU1366" s="110"/>
      <c r="PYV1366" s="110"/>
      <c r="PYW1366" s="110"/>
      <c r="PYX1366" s="110"/>
      <c r="PYY1366" s="110"/>
      <c r="PYZ1366" s="110"/>
      <c r="PZA1366" s="110"/>
      <c r="PZB1366" s="110"/>
      <c r="PZC1366" s="110"/>
      <c r="PZD1366" s="110"/>
      <c r="PZE1366" s="110"/>
      <c r="PZF1366" s="110"/>
      <c r="PZG1366" s="110"/>
      <c r="PZH1366" s="110"/>
      <c r="PZI1366" s="110"/>
      <c r="PZJ1366" s="110"/>
      <c r="PZK1366" s="110"/>
      <c r="PZL1366" s="110"/>
      <c r="PZM1366" s="110"/>
      <c r="PZN1366" s="110"/>
      <c r="PZO1366" s="110"/>
      <c r="PZP1366" s="110"/>
      <c r="PZQ1366" s="110"/>
      <c r="PZR1366" s="110"/>
      <c r="PZS1366" s="110"/>
      <c r="PZT1366" s="110"/>
      <c r="PZU1366" s="110"/>
      <c r="PZV1366" s="110"/>
      <c r="PZW1366" s="110"/>
      <c r="PZX1366" s="110"/>
      <c r="PZY1366" s="110"/>
      <c r="PZZ1366" s="110"/>
      <c r="QAA1366" s="110"/>
      <c r="QAB1366" s="110"/>
      <c r="QAC1366" s="110"/>
      <c r="QAD1366" s="110"/>
      <c r="QAE1366" s="110"/>
      <c r="QAF1366" s="110"/>
      <c r="QAG1366" s="110"/>
      <c r="QAH1366" s="110"/>
      <c r="QAI1366" s="110"/>
      <c r="QAJ1366" s="110"/>
      <c r="QAK1366" s="110"/>
      <c r="QAL1366" s="110"/>
      <c r="QAM1366" s="110"/>
      <c r="QAN1366" s="110"/>
      <c r="QAO1366" s="110"/>
      <c r="QAP1366" s="110"/>
      <c r="QAQ1366" s="110"/>
      <c r="QAR1366" s="110"/>
      <c r="QAS1366" s="110"/>
      <c r="QAT1366" s="110"/>
      <c r="QAU1366" s="110"/>
      <c r="QAV1366" s="110"/>
      <c r="QAW1366" s="110"/>
      <c r="QAX1366" s="110"/>
      <c r="QAY1366" s="110"/>
      <c r="QAZ1366" s="110"/>
      <c r="QBA1366" s="110"/>
      <c r="QBB1366" s="110"/>
      <c r="QBC1366" s="110"/>
      <c r="QBD1366" s="110"/>
      <c r="QBE1366" s="110"/>
      <c r="QBF1366" s="110"/>
      <c r="QBG1366" s="110"/>
      <c r="QBH1366" s="110"/>
      <c r="QBI1366" s="110"/>
      <c r="QBJ1366" s="110"/>
      <c r="QBK1366" s="110"/>
      <c r="QBL1366" s="110"/>
      <c r="QBM1366" s="110"/>
      <c r="QBN1366" s="110"/>
      <c r="QBO1366" s="110"/>
      <c r="QBP1366" s="110"/>
      <c r="QBQ1366" s="110"/>
      <c r="QBR1366" s="110"/>
      <c r="QBS1366" s="110"/>
      <c r="QBT1366" s="110"/>
      <c r="QBU1366" s="110"/>
      <c r="QBV1366" s="110"/>
      <c r="QBW1366" s="110"/>
      <c r="QBX1366" s="110"/>
      <c r="QBY1366" s="110"/>
      <c r="QBZ1366" s="110"/>
      <c r="QCA1366" s="110"/>
      <c r="QCB1366" s="110"/>
      <c r="QCC1366" s="110"/>
      <c r="QCD1366" s="110"/>
      <c r="QCE1366" s="110"/>
      <c r="QCF1366" s="110"/>
      <c r="QCG1366" s="110"/>
      <c r="QCH1366" s="110"/>
      <c r="QCI1366" s="110"/>
      <c r="QCJ1366" s="110"/>
      <c r="QCK1366" s="110"/>
      <c r="QCL1366" s="110"/>
      <c r="QCM1366" s="110"/>
      <c r="QCN1366" s="110"/>
      <c r="QCO1366" s="110"/>
      <c r="QCP1366" s="110"/>
      <c r="QCQ1366" s="110"/>
      <c r="QCR1366" s="110"/>
      <c r="QCS1366" s="110"/>
      <c r="QCT1366" s="110"/>
      <c r="QCU1366" s="110"/>
      <c r="QCV1366" s="110"/>
      <c r="QCW1366" s="110"/>
      <c r="QCX1366" s="110"/>
      <c r="QCY1366" s="110"/>
      <c r="QCZ1366" s="110"/>
      <c r="QDA1366" s="110"/>
      <c r="QDB1366" s="110"/>
      <c r="QDC1366" s="110"/>
      <c r="QDD1366" s="110"/>
      <c r="QDE1366" s="110"/>
      <c r="QDF1366" s="110"/>
      <c r="QDG1366" s="110"/>
      <c r="QDH1366" s="110"/>
      <c r="QDI1366" s="110"/>
      <c r="QDJ1366" s="110"/>
      <c r="QDK1366" s="110"/>
      <c r="QDL1366" s="110"/>
      <c r="QDM1366" s="110"/>
      <c r="QDN1366" s="110"/>
      <c r="QDO1366" s="110"/>
      <c r="QDP1366" s="110"/>
      <c r="QDQ1366" s="110"/>
      <c r="QDR1366" s="110"/>
      <c r="QDS1366" s="110"/>
      <c r="QDT1366" s="110"/>
      <c r="QDU1366" s="110"/>
      <c r="QDV1366" s="110"/>
      <c r="QDW1366" s="110"/>
      <c r="QDX1366" s="110"/>
      <c r="QDY1366" s="110"/>
      <c r="QDZ1366" s="110"/>
      <c r="QEA1366" s="110"/>
      <c r="QEB1366" s="110"/>
      <c r="QEC1366" s="110"/>
      <c r="QED1366" s="110"/>
      <c r="QEE1366" s="110"/>
      <c r="QEF1366" s="110"/>
      <c r="QEG1366" s="110"/>
      <c r="QEH1366" s="110"/>
      <c r="QEI1366" s="110"/>
      <c r="QEJ1366" s="110"/>
      <c r="QEK1366" s="110"/>
      <c r="QEL1366" s="110"/>
      <c r="QEM1366" s="110"/>
      <c r="QEN1366" s="110"/>
      <c r="QEO1366" s="110"/>
      <c r="QEP1366" s="110"/>
      <c r="QEQ1366" s="110"/>
      <c r="QER1366" s="110"/>
      <c r="QES1366" s="110"/>
      <c r="QET1366" s="110"/>
      <c r="QEU1366" s="110"/>
      <c r="QEV1366" s="110"/>
      <c r="QEW1366" s="110"/>
      <c r="QEX1366" s="110"/>
      <c r="QEY1366" s="110"/>
      <c r="QEZ1366" s="110"/>
      <c r="QFA1366" s="110"/>
      <c r="QFB1366" s="110"/>
      <c r="QFC1366" s="110"/>
      <c r="QFD1366" s="110"/>
      <c r="QFE1366" s="110"/>
      <c r="QFF1366" s="110"/>
      <c r="QFG1366" s="110"/>
      <c r="QFH1366" s="110"/>
      <c r="QFI1366" s="110"/>
      <c r="QFJ1366" s="110"/>
      <c r="QFK1366" s="110"/>
      <c r="QFL1366" s="110"/>
      <c r="QFM1366" s="110"/>
      <c r="QFN1366" s="110"/>
      <c r="QFO1366" s="110"/>
      <c r="QFP1366" s="110"/>
      <c r="QFQ1366" s="110"/>
      <c r="QFR1366" s="110"/>
      <c r="QFS1366" s="110"/>
      <c r="QFT1366" s="110"/>
      <c r="QFU1366" s="110"/>
      <c r="QFV1366" s="110"/>
      <c r="QFW1366" s="110"/>
      <c r="QFX1366" s="110"/>
      <c r="QFY1366" s="110"/>
      <c r="QFZ1366" s="110"/>
      <c r="QGA1366" s="110"/>
      <c r="QGB1366" s="110"/>
      <c r="QGC1366" s="110"/>
      <c r="QGD1366" s="110"/>
      <c r="QGE1366" s="110"/>
      <c r="QGF1366" s="110"/>
      <c r="QGG1366" s="110"/>
      <c r="QGH1366" s="110"/>
      <c r="QGI1366" s="110"/>
      <c r="QGJ1366" s="110"/>
      <c r="QGK1366" s="110"/>
      <c r="QGL1366" s="110"/>
      <c r="QGM1366" s="110"/>
      <c r="QGN1366" s="110"/>
      <c r="QGO1366" s="110"/>
      <c r="QGP1366" s="110"/>
      <c r="QGQ1366" s="110"/>
      <c r="QGR1366" s="110"/>
      <c r="QGS1366" s="110"/>
      <c r="QGT1366" s="110"/>
      <c r="QGU1366" s="110"/>
      <c r="QGV1366" s="110"/>
      <c r="QGW1366" s="110"/>
      <c r="QGX1366" s="110"/>
      <c r="QGY1366" s="110"/>
      <c r="QGZ1366" s="110"/>
      <c r="QHA1366" s="110"/>
      <c r="QHB1366" s="110"/>
      <c r="QHC1366" s="110"/>
      <c r="QHD1366" s="110"/>
      <c r="QHE1366" s="110"/>
      <c r="QHF1366" s="110"/>
      <c r="QHG1366" s="110"/>
      <c r="QHH1366" s="110"/>
      <c r="QHI1366" s="110"/>
      <c r="QHJ1366" s="110"/>
      <c r="QHK1366" s="110"/>
      <c r="QHL1366" s="110"/>
      <c r="QHM1366" s="110"/>
      <c r="QHN1366" s="110"/>
      <c r="QHO1366" s="110"/>
      <c r="QHP1366" s="110"/>
      <c r="QHQ1366" s="110"/>
      <c r="QHR1366" s="110"/>
      <c r="QHS1366" s="110"/>
      <c r="QHT1366" s="110"/>
      <c r="QHU1366" s="110"/>
      <c r="QHV1366" s="110"/>
      <c r="QHW1366" s="110"/>
      <c r="QHX1366" s="110"/>
      <c r="QHY1366" s="110"/>
      <c r="QHZ1366" s="110"/>
      <c r="QIA1366" s="110"/>
      <c r="QIB1366" s="110"/>
      <c r="QIC1366" s="110"/>
      <c r="QID1366" s="110"/>
      <c r="QIE1366" s="110"/>
      <c r="QIF1366" s="110"/>
      <c r="QIG1366" s="110"/>
      <c r="QIH1366" s="110"/>
      <c r="QII1366" s="110"/>
      <c r="QIJ1366" s="110"/>
      <c r="QIK1366" s="110"/>
      <c r="QIL1366" s="110"/>
      <c r="QIM1366" s="110"/>
      <c r="QIN1366" s="110"/>
      <c r="QIO1366" s="110"/>
      <c r="QIP1366" s="110"/>
      <c r="QIQ1366" s="110"/>
      <c r="QIR1366" s="110"/>
      <c r="QIS1366" s="110"/>
      <c r="QIT1366" s="110"/>
      <c r="QIU1366" s="110"/>
      <c r="QIV1366" s="110"/>
      <c r="QIW1366" s="110"/>
      <c r="QIX1366" s="110"/>
      <c r="QIY1366" s="110"/>
      <c r="QIZ1366" s="110"/>
      <c r="QJA1366" s="110"/>
      <c r="QJB1366" s="110"/>
      <c r="QJC1366" s="110"/>
      <c r="QJD1366" s="110"/>
      <c r="QJE1366" s="110"/>
      <c r="QJF1366" s="110"/>
      <c r="QJG1366" s="110"/>
      <c r="QJH1366" s="110"/>
      <c r="QJI1366" s="110"/>
      <c r="QJJ1366" s="110"/>
      <c r="QJK1366" s="110"/>
      <c r="QJL1366" s="110"/>
      <c r="QJM1366" s="110"/>
      <c r="QJN1366" s="110"/>
      <c r="QJO1366" s="110"/>
      <c r="QJP1366" s="110"/>
      <c r="QJQ1366" s="110"/>
      <c r="QJR1366" s="110"/>
      <c r="QJS1366" s="110"/>
      <c r="QJT1366" s="110"/>
      <c r="QJU1366" s="110"/>
      <c r="QJV1366" s="110"/>
      <c r="QJW1366" s="110"/>
      <c r="QJX1366" s="110"/>
      <c r="QJY1366" s="110"/>
      <c r="QJZ1366" s="110"/>
      <c r="QKA1366" s="110"/>
      <c r="QKB1366" s="110"/>
      <c r="QKC1366" s="110"/>
      <c r="QKD1366" s="110"/>
      <c r="QKE1366" s="110"/>
      <c r="QKF1366" s="110"/>
      <c r="QKG1366" s="110"/>
      <c r="QKH1366" s="110"/>
      <c r="QKI1366" s="110"/>
      <c r="QKJ1366" s="110"/>
      <c r="QKK1366" s="110"/>
      <c r="QKL1366" s="110"/>
      <c r="QKM1366" s="110"/>
      <c r="QKN1366" s="110"/>
      <c r="QKO1366" s="110"/>
      <c r="QKP1366" s="110"/>
      <c r="QKQ1366" s="110"/>
      <c r="QKR1366" s="110"/>
      <c r="QKS1366" s="110"/>
      <c r="QKT1366" s="110"/>
      <c r="QKU1366" s="110"/>
      <c r="QKV1366" s="110"/>
      <c r="QKW1366" s="110"/>
      <c r="QKX1366" s="110"/>
      <c r="QKY1366" s="110"/>
      <c r="QKZ1366" s="110"/>
      <c r="QLA1366" s="110"/>
      <c r="QLB1366" s="110"/>
      <c r="QLC1366" s="110"/>
      <c r="QLD1366" s="110"/>
      <c r="QLE1366" s="110"/>
      <c r="QLF1366" s="110"/>
      <c r="QLG1366" s="110"/>
      <c r="QLH1366" s="110"/>
      <c r="QLI1366" s="110"/>
      <c r="QLJ1366" s="110"/>
      <c r="QLK1366" s="110"/>
      <c r="QLL1366" s="110"/>
      <c r="QLM1366" s="110"/>
      <c r="QLN1366" s="110"/>
      <c r="QLO1366" s="110"/>
      <c r="QLP1366" s="110"/>
      <c r="QLQ1366" s="110"/>
      <c r="QLR1366" s="110"/>
      <c r="QLS1366" s="110"/>
      <c r="QLT1366" s="110"/>
      <c r="QLU1366" s="110"/>
      <c r="QLV1366" s="110"/>
      <c r="QLW1366" s="110"/>
      <c r="QLX1366" s="110"/>
      <c r="QLY1366" s="110"/>
      <c r="QLZ1366" s="110"/>
      <c r="QMA1366" s="110"/>
      <c r="QMB1366" s="110"/>
      <c r="QMC1366" s="110"/>
      <c r="QMD1366" s="110"/>
      <c r="QME1366" s="110"/>
      <c r="QMF1366" s="110"/>
      <c r="QMG1366" s="110"/>
      <c r="QMH1366" s="110"/>
      <c r="QMI1366" s="110"/>
      <c r="QMJ1366" s="110"/>
      <c r="QMK1366" s="110"/>
      <c r="QML1366" s="110"/>
      <c r="QMM1366" s="110"/>
      <c r="QMN1366" s="110"/>
      <c r="QMO1366" s="110"/>
      <c r="QMP1366" s="110"/>
      <c r="QMQ1366" s="110"/>
      <c r="QMR1366" s="110"/>
      <c r="QMS1366" s="110"/>
      <c r="QMT1366" s="110"/>
      <c r="QMU1366" s="110"/>
      <c r="QMV1366" s="110"/>
      <c r="QMW1366" s="110"/>
      <c r="QMX1366" s="110"/>
      <c r="QMY1366" s="110"/>
      <c r="QMZ1366" s="110"/>
      <c r="QNA1366" s="110"/>
      <c r="QNB1366" s="110"/>
      <c r="QNC1366" s="110"/>
      <c r="QND1366" s="110"/>
      <c r="QNE1366" s="110"/>
      <c r="QNF1366" s="110"/>
      <c r="QNG1366" s="110"/>
      <c r="QNH1366" s="110"/>
      <c r="QNI1366" s="110"/>
      <c r="QNJ1366" s="110"/>
      <c r="QNK1366" s="110"/>
      <c r="QNL1366" s="110"/>
      <c r="QNM1366" s="110"/>
      <c r="QNN1366" s="110"/>
      <c r="QNO1366" s="110"/>
      <c r="QNP1366" s="110"/>
      <c r="QNQ1366" s="110"/>
      <c r="QNR1366" s="110"/>
      <c r="QNS1366" s="110"/>
      <c r="QNT1366" s="110"/>
      <c r="QNU1366" s="110"/>
      <c r="QNV1366" s="110"/>
      <c r="QNW1366" s="110"/>
      <c r="QNX1366" s="110"/>
      <c r="QNY1366" s="110"/>
      <c r="QNZ1366" s="110"/>
      <c r="QOA1366" s="110"/>
      <c r="QOB1366" s="110"/>
      <c r="QOC1366" s="110"/>
      <c r="QOD1366" s="110"/>
      <c r="QOE1366" s="110"/>
      <c r="QOF1366" s="110"/>
      <c r="QOG1366" s="110"/>
      <c r="QOH1366" s="110"/>
      <c r="QOI1366" s="110"/>
      <c r="QOJ1366" s="110"/>
      <c r="QOK1366" s="110"/>
      <c r="QOL1366" s="110"/>
      <c r="QOM1366" s="110"/>
      <c r="QON1366" s="110"/>
      <c r="QOO1366" s="110"/>
      <c r="QOP1366" s="110"/>
      <c r="QOQ1366" s="110"/>
      <c r="QOR1366" s="110"/>
      <c r="QOS1366" s="110"/>
      <c r="QOT1366" s="110"/>
      <c r="QOU1366" s="110"/>
      <c r="QOV1366" s="110"/>
      <c r="QOW1366" s="110"/>
      <c r="QOX1366" s="110"/>
      <c r="QOY1366" s="110"/>
      <c r="QOZ1366" s="110"/>
      <c r="QPA1366" s="110"/>
      <c r="QPB1366" s="110"/>
      <c r="QPC1366" s="110"/>
      <c r="QPD1366" s="110"/>
      <c r="QPE1366" s="110"/>
      <c r="QPF1366" s="110"/>
      <c r="QPG1366" s="110"/>
      <c r="QPH1366" s="110"/>
      <c r="QPI1366" s="110"/>
      <c r="QPJ1366" s="110"/>
      <c r="QPK1366" s="110"/>
      <c r="QPL1366" s="110"/>
      <c r="QPM1366" s="110"/>
      <c r="QPN1366" s="110"/>
      <c r="QPO1366" s="110"/>
      <c r="QPP1366" s="110"/>
      <c r="QPQ1366" s="110"/>
      <c r="QPR1366" s="110"/>
      <c r="QPS1366" s="110"/>
      <c r="QPT1366" s="110"/>
      <c r="QPU1366" s="110"/>
      <c r="QPV1366" s="110"/>
      <c r="QPW1366" s="110"/>
      <c r="QPX1366" s="110"/>
      <c r="QPY1366" s="110"/>
      <c r="QPZ1366" s="110"/>
      <c r="QQA1366" s="110"/>
      <c r="QQB1366" s="110"/>
      <c r="QQC1366" s="110"/>
      <c r="QQD1366" s="110"/>
      <c r="QQE1366" s="110"/>
      <c r="QQF1366" s="110"/>
      <c r="QQG1366" s="110"/>
      <c r="QQH1366" s="110"/>
      <c r="QQI1366" s="110"/>
      <c r="QQJ1366" s="110"/>
      <c r="QQK1366" s="110"/>
      <c r="QQL1366" s="110"/>
      <c r="QQM1366" s="110"/>
      <c r="QQN1366" s="110"/>
      <c r="QQO1366" s="110"/>
      <c r="QQP1366" s="110"/>
      <c r="QQQ1366" s="110"/>
      <c r="QQR1366" s="110"/>
      <c r="QQS1366" s="110"/>
      <c r="QQT1366" s="110"/>
      <c r="QQU1366" s="110"/>
      <c r="QQV1366" s="110"/>
      <c r="QQW1366" s="110"/>
      <c r="QQX1366" s="110"/>
      <c r="QQY1366" s="110"/>
      <c r="QQZ1366" s="110"/>
      <c r="QRA1366" s="110"/>
      <c r="QRB1366" s="110"/>
      <c r="QRC1366" s="110"/>
      <c r="QRD1366" s="110"/>
      <c r="QRE1366" s="110"/>
      <c r="QRF1366" s="110"/>
      <c r="QRG1366" s="110"/>
      <c r="QRH1366" s="110"/>
      <c r="QRI1366" s="110"/>
      <c r="QRJ1366" s="110"/>
      <c r="QRK1366" s="110"/>
      <c r="QRL1366" s="110"/>
      <c r="QRM1366" s="110"/>
      <c r="QRN1366" s="110"/>
      <c r="QRO1366" s="110"/>
      <c r="QRP1366" s="110"/>
      <c r="QRQ1366" s="110"/>
      <c r="QRR1366" s="110"/>
      <c r="QRS1366" s="110"/>
      <c r="QRT1366" s="110"/>
      <c r="QRU1366" s="110"/>
      <c r="QRV1366" s="110"/>
      <c r="QRW1366" s="110"/>
      <c r="QRX1366" s="110"/>
      <c r="QRY1366" s="110"/>
      <c r="QRZ1366" s="110"/>
      <c r="QSA1366" s="110"/>
      <c r="QSB1366" s="110"/>
      <c r="QSC1366" s="110"/>
      <c r="QSD1366" s="110"/>
      <c r="QSE1366" s="110"/>
      <c r="QSF1366" s="110"/>
      <c r="QSG1366" s="110"/>
      <c r="QSH1366" s="110"/>
      <c r="QSI1366" s="110"/>
      <c r="QSJ1366" s="110"/>
      <c r="QSK1366" s="110"/>
      <c r="QSL1366" s="110"/>
      <c r="QSM1366" s="110"/>
      <c r="QSN1366" s="110"/>
      <c r="QSO1366" s="110"/>
      <c r="QSP1366" s="110"/>
      <c r="QSQ1366" s="110"/>
      <c r="QSR1366" s="110"/>
      <c r="QSS1366" s="110"/>
      <c r="QST1366" s="110"/>
      <c r="QSU1366" s="110"/>
      <c r="QSV1366" s="110"/>
      <c r="QSW1366" s="110"/>
      <c r="QSX1366" s="110"/>
      <c r="QSY1366" s="110"/>
      <c r="QSZ1366" s="110"/>
      <c r="QTA1366" s="110"/>
      <c r="QTB1366" s="110"/>
      <c r="QTC1366" s="110"/>
      <c r="QTD1366" s="110"/>
      <c r="QTE1366" s="110"/>
      <c r="QTF1366" s="110"/>
      <c r="QTG1366" s="110"/>
      <c r="QTH1366" s="110"/>
      <c r="QTI1366" s="110"/>
      <c r="QTJ1366" s="110"/>
      <c r="QTK1366" s="110"/>
      <c r="QTL1366" s="110"/>
      <c r="QTM1366" s="110"/>
      <c r="QTN1366" s="110"/>
      <c r="QTO1366" s="110"/>
      <c r="QTP1366" s="110"/>
      <c r="QTQ1366" s="110"/>
      <c r="QTR1366" s="110"/>
      <c r="QTS1366" s="110"/>
      <c r="QTT1366" s="110"/>
      <c r="QTU1366" s="110"/>
      <c r="QTV1366" s="110"/>
      <c r="QTW1366" s="110"/>
      <c r="QTX1366" s="110"/>
      <c r="QTY1366" s="110"/>
      <c r="QTZ1366" s="110"/>
      <c r="QUA1366" s="110"/>
      <c r="QUB1366" s="110"/>
      <c r="QUC1366" s="110"/>
      <c r="QUD1366" s="110"/>
      <c r="QUE1366" s="110"/>
      <c r="QUF1366" s="110"/>
      <c r="QUG1366" s="110"/>
      <c r="QUH1366" s="110"/>
      <c r="QUI1366" s="110"/>
      <c r="QUJ1366" s="110"/>
      <c r="QUK1366" s="110"/>
      <c r="QUL1366" s="110"/>
      <c r="QUM1366" s="110"/>
      <c r="QUN1366" s="110"/>
      <c r="QUO1366" s="110"/>
      <c r="QUP1366" s="110"/>
      <c r="QUQ1366" s="110"/>
      <c r="QUR1366" s="110"/>
      <c r="QUS1366" s="110"/>
      <c r="QUT1366" s="110"/>
      <c r="QUU1366" s="110"/>
      <c r="QUV1366" s="110"/>
      <c r="QUW1366" s="110"/>
      <c r="QUX1366" s="110"/>
      <c r="QUY1366" s="110"/>
      <c r="QUZ1366" s="110"/>
      <c r="QVA1366" s="110"/>
      <c r="QVB1366" s="110"/>
      <c r="QVC1366" s="110"/>
      <c r="QVD1366" s="110"/>
      <c r="QVE1366" s="110"/>
      <c r="QVF1366" s="110"/>
      <c r="QVG1366" s="110"/>
      <c r="QVH1366" s="110"/>
      <c r="QVI1366" s="110"/>
      <c r="QVJ1366" s="110"/>
      <c r="QVK1366" s="110"/>
      <c r="QVL1366" s="110"/>
      <c r="QVM1366" s="110"/>
      <c r="QVN1366" s="110"/>
      <c r="QVO1366" s="110"/>
      <c r="QVP1366" s="110"/>
      <c r="QVQ1366" s="110"/>
      <c r="QVR1366" s="110"/>
      <c r="QVS1366" s="110"/>
      <c r="QVT1366" s="110"/>
      <c r="QVU1366" s="110"/>
      <c r="QVV1366" s="110"/>
      <c r="QVW1366" s="110"/>
      <c r="QVX1366" s="110"/>
      <c r="QVY1366" s="110"/>
      <c r="QVZ1366" s="110"/>
      <c r="QWA1366" s="110"/>
      <c r="QWB1366" s="110"/>
      <c r="QWC1366" s="110"/>
      <c r="QWD1366" s="110"/>
      <c r="QWE1366" s="110"/>
      <c r="QWF1366" s="110"/>
      <c r="QWG1366" s="110"/>
      <c r="QWH1366" s="110"/>
      <c r="QWI1366" s="110"/>
      <c r="QWJ1366" s="110"/>
      <c r="QWK1366" s="110"/>
      <c r="QWL1366" s="110"/>
      <c r="QWM1366" s="110"/>
      <c r="QWN1366" s="110"/>
      <c r="QWO1366" s="110"/>
      <c r="QWP1366" s="110"/>
      <c r="QWQ1366" s="110"/>
      <c r="QWR1366" s="110"/>
      <c r="QWS1366" s="110"/>
      <c r="QWT1366" s="110"/>
      <c r="QWU1366" s="110"/>
      <c r="QWV1366" s="110"/>
      <c r="QWW1366" s="110"/>
      <c r="QWX1366" s="110"/>
      <c r="QWY1366" s="110"/>
      <c r="QWZ1366" s="110"/>
      <c r="QXA1366" s="110"/>
      <c r="QXB1366" s="110"/>
      <c r="QXC1366" s="110"/>
      <c r="QXD1366" s="110"/>
      <c r="QXE1366" s="110"/>
      <c r="QXF1366" s="110"/>
      <c r="QXG1366" s="110"/>
      <c r="QXH1366" s="110"/>
      <c r="QXI1366" s="110"/>
      <c r="QXJ1366" s="110"/>
      <c r="QXK1366" s="110"/>
      <c r="QXL1366" s="110"/>
      <c r="QXM1366" s="110"/>
      <c r="QXN1366" s="110"/>
      <c r="QXO1366" s="110"/>
      <c r="QXP1366" s="110"/>
      <c r="QXQ1366" s="110"/>
      <c r="QXR1366" s="110"/>
      <c r="QXS1366" s="110"/>
      <c r="QXT1366" s="110"/>
      <c r="QXU1366" s="110"/>
      <c r="QXV1366" s="110"/>
      <c r="QXW1366" s="110"/>
      <c r="QXX1366" s="110"/>
      <c r="QXY1366" s="110"/>
      <c r="QXZ1366" s="110"/>
      <c r="QYA1366" s="110"/>
      <c r="QYB1366" s="110"/>
      <c r="QYC1366" s="110"/>
      <c r="QYD1366" s="110"/>
      <c r="QYE1366" s="110"/>
      <c r="QYF1366" s="110"/>
      <c r="QYG1366" s="110"/>
      <c r="QYH1366" s="110"/>
      <c r="QYI1366" s="110"/>
      <c r="QYJ1366" s="110"/>
      <c r="QYK1366" s="110"/>
      <c r="QYL1366" s="110"/>
      <c r="QYM1366" s="110"/>
      <c r="QYN1366" s="110"/>
      <c r="QYO1366" s="110"/>
      <c r="QYP1366" s="110"/>
      <c r="QYQ1366" s="110"/>
      <c r="QYR1366" s="110"/>
      <c r="QYS1366" s="110"/>
      <c r="QYT1366" s="110"/>
      <c r="QYU1366" s="110"/>
      <c r="QYV1366" s="110"/>
      <c r="QYW1366" s="110"/>
      <c r="QYX1366" s="110"/>
      <c r="QYY1366" s="110"/>
      <c r="QYZ1366" s="110"/>
      <c r="QZA1366" s="110"/>
      <c r="QZB1366" s="110"/>
      <c r="QZC1366" s="110"/>
      <c r="QZD1366" s="110"/>
      <c r="QZE1366" s="110"/>
      <c r="QZF1366" s="110"/>
      <c r="QZG1366" s="110"/>
      <c r="QZH1366" s="110"/>
      <c r="QZI1366" s="110"/>
      <c r="QZJ1366" s="110"/>
      <c r="QZK1366" s="110"/>
      <c r="QZL1366" s="110"/>
      <c r="QZM1366" s="110"/>
      <c r="QZN1366" s="110"/>
      <c r="QZO1366" s="110"/>
      <c r="QZP1366" s="110"/>
      <c r="QZQ1366" s="110"/>
      <c r="QZR1366" s="110"/>
      <c r="QZS1366" s="110"/>
      <c r="QZT1366" s="110"/>
      <c r="QZU1366" s="110"/>
      <c r="QZV1366" s="110"/>
      <c r="QZW1366" s="110"/>
      <c r="QZX1366" s="110"/>
      <c r="QZY1366" s="110"/>
      <c r="QZZ1366" s="110"/>
      <c r="RAA1366" s="110"/>
      <c r="RAB1366" s="110"/>
      <c r="RAC1366" s="110"/>
      <c r="RAD1366" s="110"/>
      <c r="RAE1366" s="110"/>
      <c r="RAF1366" s="110"/>
      <c r="RAG1366" s="110"/>
      <c r="RAH1366" s="110"/>
      <c r="RAI1366" s="110"/>
      <c r="RAJ1366" s="110"/>
      <c r="RAK1366" s="110"/>
      <c r="RAL1366" s="110"/>
      <c r="RAM1366" s="110"/>
      <c r="RAN1366" s="110"/>
      <c r="RAO1366" s="110"/>
      <c r="RAP1366" s="110"/>
      <c r="RAQ1366" s="110"/>
      <c r="RAR1366" s="110"/>
      <c r="RAS1366" s="110"/>
      <c r="RAT1366" s="110"/>
      <c r="RAU1366" s="110"/>
      <c r="RAV1366" s="110"/>
      <c r="RAW1366" s="110"/>
      <c r="RAX1366" s="110"/>
      <c r="RAY1366" s="110"/>
      <c r="RAZ1366" s="110"/>
      <c r="RBA1366" s="110"/>
      <c r="RBB1366" s="110"/>
      <c r="RBC1366" s="110"/>
      <c r="RBD1366" s="110"/>
      <c r="RBE1366" s="110"/>
      <c r="RBF1366" s="110"/>
      <c r="RBG1366" s="110"/>
      <c r="RBH1366" s="110"/>
      <c r="RBI1366" s="110"/>
      <c r="RBJ1366" s="110"/>
      <c r="RBK1366" s="110"/>
      <c r="RBL1366" s="110"/>
      <c r="RBM1366" s="110"/>
      <c r="RBN1366" s="110"/>
      <c r="RBO1366" s="110"/>
      <c r="RBP1366" s="110"/>
      <c r="RBQ1366" s="110"/>
      <c r="RBR1366" s="110"/>
      <c r="RBS1366" s="110"/>
      <c r="RBT1366" s="110"/>
      <c r="RBU1366" s="110"/>
      <c r="RBV1366" s="110"/>
      <c r="RBW1366" s="110"/>
      <c r="RBX1366" s="110"/>
      <c r="RBY1366" s="110"/>
      <c r="RBZ1366" s="110"/>
      <c r="RCA1366" s="110"/>
      <c r="RCB1366" s="110"/>
      <c r="RCC1366" s="110"/>
      <c r="RCD1366" s="110"/>
      <c r="RCE1366" s="110"/>
      <c r="RCF1366" s="110"/>
      <c r="RCG1366" s="110"/>
      <c r="RCH1366" s="110"/>
      <c r="RCI1366" s="110"/>
      <c r="RCJ1366" s="110"/>
      <c r="RCK1366" s="110"/>
      <c r="RCL1366" s="110"/>
      <c r="RCM1366" s="110"/>
      <c r="RCN1366" s="110"/>
      <c r="RCO1366" s="110"/>
      <c r="RCP1366" s="110"/>
      <c r="RCQ1366" s="110"/>
      <c r="RCR1366" s="110"/>
      <c r="RCS1366" s="110"/>
      <c r="RCT1366" s="110"/>
      <c r="RCU1366" s="110"/>
      <c r="RCV1366" s="110"/>
      <c r="RCW1366" s="110"/>
      <c r="RCX1366" s="110"/>
      <c r="RCY1366" s="110"/>
      <c r="RCZ1366" s="110"/>
      <c r="RDA1366" s="110"/>
      <c r="RDB1366" s="110"/>
      <c r="RDC1366" s="110"/>
      <c r="RDD1366" s="110"/>
      <c r="RDE1366" s="110"/>
      <c r="RDF1366" s="110"/>
      <c r="RDG1366" s="110"/>
      <c r="RDH1366" s="110"/>
      <c r="RDI1366" s="110"/>
      <c r="RDJ1366" s="110"/>
      <c r="RDK1366" s="110"/>
      <c r="RDL1366" s="110"/>
      <c r="RDM1366" s="110"/>
      <c r="RDN1366" s="110"/>
      <c r="RDO1366" s="110"/>
      <c r="RDP1366" s="110"/>
      <c r="RDQ1366" s="110"/>
      <c r="RDR1366" s="110"/>
      <c r="RDS1366" s="110"/>
      <c r="RDT1366" s="110"/>
      <c r="RDU1366" s="110"/>
      <c r="RDV1366" s="110"/>
      <c r="RDW1366" s="110"/>
      <c r="RDX1366" s="110"/>
      <c r="RDY1366" s="110"/>
      <c r="RDZ1366" s="110"/>
      <c r="REA1366" s="110"/>
      <c r="REB1366" s="110"/>
      <c r="REC1366" s="110"/>
      <c r="RED1366" s="110"/>
      <c r="REE1366" s="110"/>
      <c r="REF1366" s="110"/>
      <c r="REG1366" s="110"/>
      <c r="REH1366" s="110"/>
      <c r="REI1366" s="110"/>
      <c r="REJ1366" s="110"/>
      <c r="REK1366" s="110"/>
      <c r="REL1366" s="110"/>
      <c r="REM1366" s="110"/>
      <c r="REN1366" s="110"/>
      <c r="REO1366" s="110"/>
      <c r="REP1366" s="110"/>
      <c r="REQ1366" s="110"/>
      <c r="RER1366" s="110"/>
      <c r="RES1366" s="110"/>
      <c r="RET1366" s="110"/>
      <c r="REU1366" s="110"/>
      <c r="REV1366" s="110"/>
      <c r="REW1366" s="110"/>
      <c r="REX1366" s="110"/>
      <c r="REY1366" s="110"/>
      <c r="REZ1366" s="110"/>
      <c r="RFA1366" s="110"/>
      <c r="RFB1366" s="110"/>
      <c r="RFC1366" s="110"/>
      <c r="RFD1366" s="110"/>
      <c r="RFE1366" s="110"/>
      <c r="RFF1366" s="110"/>
      <c r="RFG1366" s="110"/>
      <c r="RFH1366" s="110"/>
      <c r="RFI1366" s="110"/>
      <c r="RFJ1366" s="110"/>
      <c r="RFK1366" s="110"/>
      <c r="RFL1366" s="110"/>
      <c r="RFM1366" s="110"/>
      <c r="RFN1366" s="110"/>
      <c r="RFO1366" s="110"/>
      <c r="RFP1366" s="110"/>
      <c r="RFQ1366" s="110"/>
      <c r="RFR1366" s="110"/>
      <c r="RFS1366" s="110"/>
      <c r="RFT1366" s="110"/>
      <c r="RFU1366" s="110"/>
      <c r="RFV1366" s="110"/>
      <c r="RFW1366" s="110"/>
      <c r="RFX1366" s="110"/>
      <c r="RFY1366" s="110"/>
      <c r="RFZ1366" s="110"/>
      <c r="RGA1366" s="110"/>
      <c r="RGB1366" s="110"/>
      <c r="RGC1366" s="110"/>
      <c r="RGD1366" s="110"/>
      <c r="RGE1366" s="110"/>
      <c r="RGF1366" s="110"/>
      <c r="RGG1366" s="110"/>
      <c r="RGH1366" s="110"/>
      <c r="RGI1366" s="110"/>
      <c r="RGJ1366" s="110"/>
      <c r="RGK1366" s="110"/>
      <c r="RGL1366" s="110"/>
      <c r="RGM1366" s="110"/>
      <c r="RGN1366" s="110"/>
      <c r="RGO1366" s="110"/>
      <c r="RGP1366" s="110"/>
      <c r="RGQ1366" s="110"/>
      <c r="RGR1366" s="110"/>
      <c r="RGS1366" s="110"/>
      <c r="RGT1366" s="110"/>
      <c r="RGU1366" s="110"/>
      <c r="RGV1366" s="110"/>
      <c r="RGW1366" s="110"/>
      <c r="RGX1366" s="110"/>
      <c r="RGY1366" s="110"/>
      <c r="RGZ1366" s="110"/>
      <c r="RHA1366" s="110"/>
      <c r="RHB1366" s="110"/>
      <c r="RHC1366" s="110"/>
      <c r="RHD1366" s="110"/>
      <c r="RHE1366" s="110"/>
      <c r="RHF1366" s="110"/>
      <c r="RHG1366" s="110"/>
      <c r="RHH1366" s="110"/>
      <c r="RHI1366" s="110"/>
      <c r="RHJ1366" s="110"/>
      <c r="RHK1366" s="110"/>
      <c r="RHL1366" s="110"/>
      <c r="RHM1366" s="110"/>
      <c r="RHN1366" s="110"/>
      <c r="RHO1366" s="110"/>
      <c r="RHP1366" s="110"/>
      <c r="RHQ1366" s="110"/>
      <c r="RHR1366" s="110"/>
      <c r="RHS1366" s="110"/>
      <c r="RHT1366" s="110"/>
      <c r="RHU1366" s="110"/>
      <c r="RHV1366" s="110"/>
      <c r="RHW1366" s="110"/>
      <c r="RHX1366" s="110"/>
      <c r="RHY1366" s="110"/>
      <c r="RHZ1366" s="110"/>
      <c r="RIA1366" s="110"/>
      <c r="RIB1366" s="110"/>
      <c r="RIC1366" s="110"/>
      <c r="RID1366" s="110"/>
      <c r="RIE1366" s="110"/>
      <c r="RIF1366" s="110"/>
      <c r="RIG1366" s="110"/>
      <c r="RIH1366" s="110"/>
      <c r="RII1366" s="110"/>
      <c r="RIJ1366" s="110"/>
      <c r="RIK1366" s="110"/>
      <c r="RIL1366" s="110"/>
      <c r="RIM1366" s="110"/>
      <c r="RIN1366" s="110"/>
      <c r="RIO1366" s="110"/>
      <c r="RIP1366" s="110"/>
      <c r="RIQ1366" s="110"/>
      <c r="RIR1366" s="110"/>
      <c r="RIS1366" s="110"/>
      <c r="RIT1366" s="110"/>
      <c r="RIU1366" s="110"/>
      <c r="RIV1366" s="110"/>
      <c r="RIW1366" s="110"/>
      <c r="RIX1366" s="110"/>
      <c r="RIY1366" s="110"/>
      <c r="RIZ1366" s="110"/>
      <c r="RJA1366" s="110"/>
      <c r="RJB1366" s="110"/>
      <c r="RJC1366" s="110"/>
      <c r="RJD1366" s="110"/>
      <c r="RJE1366" s="110"/>
      <c r="RJF1366" s="110"/>
      <c r="RJG1366" s="110"/>
      <c r="RJH1366" s="110"/>
      <c r="RJI1366" s="110"/>
      <c r="RJJ1366" s="110"/>
      <c r="RJK1366" s="110"/>
      <c r="RJL1366" s="110"/>
      <c r="RJM1366" s="110"/>
      <c r="RJN1366" s="110"/>
      <c r="RJO1366" s="110"/>
      <c r="RJP1366" s="110"/>
      <c r="RJQ1366" s="110"/>
      <c r="RJR1366" s="110"/>
      <c r="RJS1366" s="110"/>
      <c r="RJT1366" s="110"/>
      <c r="RJU1366" s="110"/>
      <c r="RJV1366" s="110"/>
      <c r="RJW1366" s="110"/>
      <c r="RJX1366" s="110"/>
      <c r="RJY1366" s="110"/>
      <c r="RJZ1366" s="110"/>
      <c r="RKA1366" s="110"/>
      <c r="RKB1366" s="110"/>
      <c r="RKC1366" s="110"/>
      <c r="RKD1366" s="110"/>
      <c r="RKE1366" s="110"/>
      <c r="RKF1366" s="110"/>
      <c r="RKG1366" s="110"/>
      <c r="RKH1366" s="110"/>
      <c r="RKI1366" s="110"/>
      <c r="RKJ1366" s="110"/>
      <c r="RKK1366" s="110"/>
      <c r="RKL1366" s="110"/>
      <c r="RKM1366" s="110"/>
      <c r="RKN1366" s="110"/>
      <c r="RKO1366" s="110"/>
      <c r="RKP1366" s="110"/>
      <c r="RKQ1366" s="110"/>
      <c r="RKR1366" s="110"/>
      <c r="RKS1366" s="110"/>
      <c r="RKT1366" s="110"/>
      <c r="RKU1366" s="110"/>
      <c r="RKV1366" s="110"/>
      <c r="RKW1366" s="110"/>
      <c r="RKX1366" s="110"/>
      <c r="RKY1366" s="110"/>
      <c r="RKZ1366" s="110"/>
      <c r="RLA1366" s="110"/>
      <c r="RLB1366" s="110"/>
      <c r="RLC1366" s="110"/>
      <c r="RLD1366" s="110"/>
      <c r="RLE1366" s="110"/>
      <c r="RLF1366" s="110"/>
      <c r="RLG1366" s="110"/>
      <c r="RLH1366" s="110"/>
      <c r="RLI1366" s="110"/>
      <c r="RLJ1366" s="110"/>
      <c r="RLK1366" s="110"/>
      <c r="RLL1366" s="110"/>
      <c r="RLM1366" s="110"/>
      <c r="RLN1366" s="110"/>
      <c r="RLO1366" s="110"/>
      <c r="RLP1366" s="110"/>
      <c r="RLQ1366" s="110"/>
      <c r="RLR1366" s="110"/>
      <c r="RLS1366" s="110"/>
      <c r="RLT1366" s="110"/>
      <c r="RLU1366" s="110"/>
      <c r="RLV1366" s="110"/>
      <c r="RLW1366" s="110"/>
      <c r="RLX1366" s="110"/>
      <c r="RLY1366" s="110"/>
      <c r="RLZ1366" s="110"/>
      <c r="RMA1366" s="110"/>
      <c r="RMB1366" s="110"/>
      <c r="RMC1366" s="110"/>
      <c r="RMD1366" s="110"/>
      <c r="RME1366" s="110"/>
      <c r="RMF1366" s="110"/>
      <c r="RMG1366" s="110"/>
      <c r="RMH1366" s="110"/>
      <c r="RMI1366" s="110"/>
      <c r="RMJ1366" s="110"/>
      <c r="RMK1366" s="110"/>
      <c r="RML1366" s="110"/>
      <c r="RMM1366" s="110"/>
      <c r="RMN1366" s="110"/>
      <c r="RMO1366" s="110"/>
      <c r="RMP1366" s="110"/>
      <c r="RMQ1366" s="110"/>
      <c r="RMR1366" s="110"/>
      <c r="RMS1366" s="110"/>
      <c r="RMT1366" s="110"/>
      <c r="RMU1366" s="110"/>
      <c r="RMV1366" s="110"/>
      <c r="RMW1366" s="110"/>
      <c r="RMX1366" s="110"/>
      <c r="RMY1366" s="110"/>
      <c r="RMZ1366" s="110"/>
      <c r="RNA1366" s="110"/>
      <c r="RNB1366" s="110"/>
      <c r="RNC1366" s="110"/>
      <c r="RND1366" s="110"/>
      <c r="RNE1366" s="110"/>
      <c r="RNF1366" s="110"/>
      <c r="RNG1366" s="110"/>
      <c r="RNH1366" s="110"/>
      <c r="RNI1366" s="110"/>
      <c r="RNJ1366" s="110"/>
      <c r="RNK1366" s="110"/>
      <c r="RNL1366" s="110"/>
      <c r="RNM1366" s="110"/>
      <c r="RNN1366" s="110"/>
      <c r="RNO1366" s="110"/>
      <c r="RNP1366" s="110"/>
      <c r="RNQ1366" s="110"/>
      <c r="RNR1366" s="110"/>
      <c r="RNS1366" s="110"/>
      <c r="RNT1366" s="110"/>
      <c r="RNU1366" s="110"/>
      <c r="RNV1366" s="110"/>
      <c r="RNW1366" s="110"/>
      <c r="RNX1366" s="110"/>
      <c r="RNY1366" s="110"/>
      <c r="RNZ1366" s="110"/>
      <c r="ROA1366" s="110"/>
      <c r="ROB1366" s="110"/>
      <c r="ROC1366" s="110"/>
      <c r="ROD1366" s="110"/>
      <c r="ROE1366" s="110"/>
      <c r="ROF1366" s="110"/>
      <c r="ROG1366" s="110"/>
      <c r="ROH1366" s="110"/>
      <c r="ROI1366" s="110"/>
      <c r="ROJ1366" s="110"/>
      <c r="ROK1366" s="110"/>
      <c r="ROL1366" s="110"/>
      <c r="ROM1366" s="110"/>
      <c r="RON1366" s="110"/>
      <c r="ROO1366" s="110"/>
      <c r="ROP1366" s="110"/>
      <c r="ROQ1366" s="110"/>
      <c r="ROR1366" s="110"/>
      <c r="ROS1366" s="110"/>
      <c r="ROT1366" s="110"/>
      <c r="ROU1366" s="110"/>
      <c r="ROV1366" s="110"/>
      <c r="ROW1366" s="110"/>
      <c r="ROX1366" s="110"/>
      <c r="ROY1366" s="110"/>
      <c r="ROZ1366" s="110"/>
      <c r="RPA1366" s="110"/>
      <c r="RPB1366" s="110"/>
      <c r="RPC1366" s="110"/>
      <c r="RPD1366" s="110"/>
      <c r="RPE1366" s="110"/>
      <c r="RPF1366" s="110"/>
      <c r="RPG1366" s="110"/>
      <c r="RPH1366" s="110"/>
      <c r="RPI1366" s="110"/>
      <c r="RPJ1366" s="110"/>
      <c r="RPK1366" s="110"/>
      <c r="RPL1366" s="110"/>
      <c r="RPM1366" s="110"/>
      <c r="RPN1366" s="110"/>
      <c r="RPO1366" s="110"/>
      <c r="RPP1366" s="110"/>
      <c r="RPQ1366" s="110"/>
      <c r="RPR1366" s="110"/>
      <c r="RPS1366" s="110"/>
      <c r="RPT1366" s="110"/>
      <c r="RPU1366" s="110"/>
      <c r="RPV1366" s="110"/>
      <c r="RPW1366" s="110"/>
      <c r="RPX1366" s="110"/>
      <c r="RPY1366" s="110"/>
      <c r="RPZ1366" s="110"/>
      <c r="RQA1366" s="110"/>
      <c r="RQB1366" s="110"/>
      <c r="RQC1366" s="110"/>
      <c r="RQD1366" s="110"/>
      <c r="RQE1366" s="110"/>
      <c r="RQF1366" s="110"/>
      <c r="RQG1366" s="110"/>
      <c r="RQH1366" s="110"/>
      <c r="RQI1366" s="110"/>
      <c r="RQJ1366" s="110"/>
      <c r="RQK1366" s="110"/>
      <c r="RQL1366" s="110"/>
      <c r="RQM1366" s="110"/>
      <c r="RQN1366" s="110"/>
      <c r="RQO1366" s="110"/>
      <c r="RQP1366" s="110"/>
      <c r="RQQ1366" s="110"/>
      <c r="RQR1366" s="110"/>
      <c r="RQS1366" s="110"/>
      <c r="RQT1366" s="110"/>
      <c r="RQU1366" s="110"/>
      <c r="RQV1366" s="110"/>
      <c r="RQW1366" s="110"/>
      <c r="RQX1366" s="110"/>
      <c r="RQY1366" s="110"/>
      <c r="RQZ1366" s="110"/>
      <c r="RRA1366" s="110"/>
      <c r="RRB1366" s="110"/>
      <c r="RRC1366" s="110"/>
      <c r="RRD1366" s="110"/>
      <c r="RRE1366" s="110"/>
      <c r="RRF1366" s="110"/>
      <c r="RRG1366" s="110"/>
      <c r="RRH1366" s="110"/>
      <c r="RRI1366" s="110"/>
      <c r="RRJ1366" s="110"/>
      <c r="RRK1366" s="110"/>
      <c r="RRL1366" s="110"/>
      <c r="RRM1366" s="110"/>
      <c r="RRN1366" s="110"/>
      <c r="RRO1366" s="110"/>
      <c r="RRP1366" s="110"/>
      <c r="RRQ1366" s="110"/>
      <c r="RRR1366" s="110"/>
      <c r="RRS1366" s="110"/>
      <c r="RRT1366" s="110"/>
      <c r="RRU1366" s="110"/>
      <c r="RRV1366" s="110"/>
      <c r="RRW1366" s="110"/>
      <c r="RRX1366" s="110"/>
      <c r="RRY1366" s="110"/>
      <c r="RRZ1366" s="110"/>
      <c r="RSA1366" s="110"/>
      <c r="RSB1366" s="110"/>
      <c r="RSC1366" s="110"/>
      <c r="RSD1366" s="110"/>
      <c r="RSE1366" s="110"/>
      <c r="RSF1366" s="110"/>
      <c r="RSG1366" s="110"/>
      <c r="RSH1366" s="110"/>
      <c r="RSI1366" s="110"/>
      <c r="RSJ1366" s="110"/>
      <c r="RSK1366" s="110"/>
      <c r="RSL1366" s="110"/>
      <c r="RSM1366" s="110"/>
      <c r="RSN1366" s="110"/>
      <c r="RSO1366" s="110"/>
      <c r="RSP1366" s="110"/>
      <c r="RSQ1366" s="110"/>
      <c r="RSR1366" s="110"/>
      <c r="RSS1366" s="110"/>
      <c r="RST1366" s="110"/>
      <c r="RSU1366" s="110"/>
      <c r="RSV1366" s="110"/>
      <c r="RSW1366" s="110"/>
      <c r="RSX1366" s="110"/>
      <c r="RSY1366" s="110"/>
      <c r="RSZ1366" s="110"/>
      <c r="RTA1366" s="110"/>
      <c r="RTB1366" s="110"/>
      <c r="RTC1366" s="110"/>
      <c r="RTD1366" s="110"/>
      <c r="RTE1366" s="110"/>
      <c r="RTF1366" s="110"/>
      <c r="RTG1366" s="110"/>
      <c r="RTH1366" s="110"/>
      <c r="RTI1366" s="110"/>
      <c r="RTJ1366" s="110"/>
      <c r="RTK1366" s="110"/>
      <c r="RTL1366" s="110"/>
      <c r="RTM1366" s="110"/>
      <c r="RTN1366" s="110"/>
      <c r="RTO1366" s="110"/>
      <c r="RTP1366" s="110"/>
      <c r="RTQ1366" s="110"/>
      <c r="RTR1366" s="110"/>
      <c r="RTS1366" s="110"/>
      <c r="RTT1366" s="110"/>
      <c r="RTU1366" s="110"/>
      <c r="RTV1366" s="110"/>
      <c r="RTW1366" s="110"/>
      <c r="RTX1366" s="110"/>
      <c r="RTY1366" s="110"/>
      <c r="RTZ1366" s="110"/>
      <c r="RUA1366" s="110"/>
      <c r="RUB1366" s="110"/>
      <c r="RUC1366" s="110"/>
      <c r="RUD1366" s="110"/>
      <c r="RUE1366" s="110"/>
      <c r="RUF1366" s="110"/>
      <c r="RUG1366" s="110"/>
      <c r="RUH1366" s="110"/>
      <c r="RUI1366" s="110"/>
      <c r="RUJ1366" s="110"/>
      <c r="RUK1366" s="110"/>
      <c r="RUL1366" s="110"/>
      <c r="RUM1366" s="110"/>
      <c r="RUN1366" s="110"/>
      <c r="RUO1366" s="110"/>
      <c r="RUP1366" s="110"/>
      <c r="RUQ1366" s="110"/>
      <c r="RUR1366" s="110"/>
      <c r="RUS1366" s="110"/>
      <c r="RUT1366" s="110"/>
      <c r="RUU1366" s="110"/>
      <c r="RUV1366" s="110"/>
      <c r="RUW1366" s="110"/>
      <c r="RUX1366" s="110"/>
      <c r="RUY1366" s="110"/>
      <c r="RUZ1366" s="110"/>
      <c r="RVA1366" s="110"/>
      <c r="RVB1366" s="110"/>
      <c r="RVC1366" s="110"/>
      <c r="RVD1366" s="110"/>
      <c r="RVE1366" s="110"/>
      <c r="RVF1366" s="110"/>
      <c r="RVG1366" s="110"/>
      <c r="RVH1366" s="110"/>
      <c r="RVI1366" s="110"/>
      <c r="RVJ1366" s="110"/>
      <c r="RVK1366" s="110"/>
      <c r="RVL1366" s="110"/>
      <c r="RVM1366" s="110"/>
      <c r="RVN1366" s="110"/>
      <c r="RVO1366" s="110"/>
      <c r="RVP1366" s="110"/>
      <c r="RVQ1366" s="110"/>
      <c r="RVR1366" s="110"/>
      <c r="RVS1366" s="110"/>
      <c r="RVT1366" s="110"/>
      <c r="RVU1366" s="110"/>
      <c r="RVV1366" s="110"/>
      <c r="RVW1366" s="110"/>
      <c r="RVX1366" s="110"/>
      <c r="RVY1366" s="110"/>
      <c r="RVZ1366" s="110"/>
      <c r="RWA1366" s="110"/>
      <c r="RWB1366" s="110"/>
      <c r="RWC1366" s="110"/>
      <c r="RWD1366" s="110"/>
      <c r="RWE1366" s="110"/>
      <c r="RWF1366" s="110"/>
      <c r="RWG1366" s="110"/>
      <c r="RWH1366" s="110"/>
      <c r="RWI1366" s="110"/>
      <c r="RWJ1366" s="110"/>
      <c r="RWK1366" s="110"/>
      <c r="RWL1366" s="110"/>
      <c r="RWM1366" s="110"/>
      <c r="RWN1366" s="110"/>
      <c r="RWO1366" s="110"/>
      <c r="RWP1366" s="110"/>
      <c r="RWQ1366" s="110"/>
      <c r="RWR1366" s="110"/>
      <c r="RWS1366" s="110"/>
      <c r="RWT1366" s="110"/>
      <c r="RWU1366" s="110"/>
      <c r="RWV1366" s="110"/>
      <c r="RWW1366" s="110"/>
      <c r="RWX1366" s="110"/>
      <c r="RWY1366" s="110"/>
      <c r="RWZ1366" s="110"/>
      <c r="RXA1366" s="110"/>
      <c r="RXB1366" s="110"/>
      <c r="RXC1366" s="110"/>
      <c r="RXD1366" s="110"/>
      <c r="RXE1366" s="110"/>
      <c r="RXF1366" s="110"/>
      <c r="RXG1366" s="110"/>
      <c r="RXH1366" s="110"/>
      <c r="RXI1366" s="110"/>
      <c r="RXJ1366" s="110"/>
      <c r="RXK1366" s="110"/>
      <c r="RXL1366" s="110"/>
      <c r="RXM1366" s="110"/>
      <c r="RXN1366" s="110"/>
      <c r="RXO1366" s="110"/>
      <c r="RXP1366" s="110"/>
      <c r="RXQ1366" s="110"/>
      <c r="RXR1366" s="110"/>
      <c r="RXS1366" s="110"/>
      <c r="RXT1366" s="110"/>
      <c r="RXU1366" s="110"/>
      <c r="RXV1366" s="110"/>
      <c r="RXW1366" s="110"/>
      <c r="RXX1366" s="110"/>
      <c r="RXY1366" s="110"/>
      <c r="RXZ1366" s="110"/>
      <c r="RYA1366" s="110"/>
      <c r="RYB1366" s="110"/>
      <c r="RYC1366" s="110"/>
      <c r="RYD1366" s="110"/>
      <c r="RYE1366" s="110"/>
      <c r="RYF1366" s="110"/>
      <c r="RYG1366" s="110"/>
      <c r="RYH1366" s="110"/>
      <c r="RYI1366" s="110"/>
      <c r="RYJ1366" s="110"/>
      <c r="RYK1366" s="110"/>
      <c r="RYL1366" s="110"/>
      <c r="RYM1366" s="110"/>
      <c r="RYN1366" s="110"/>
      <c r="RYO1366" s="110"/>
      <c r="RYP1366" s="110"/>
      <c r="RYQ1366" s="110"/>
      <c r="RYR1366" s="110"/>
      <c r="RYS1366" s="110"/>
      <c r="RYT1366" s="110"/>
      <c r="RYU1366" s="110"/>
      <c r="RYV1366" s="110"/>
      <c r="RYW1366" s="110"/>
      <c r="RYX1366" s="110"/>
      <c r="RYY1366" s="110"/>
      <c r="RYZ1366" s="110"/>
      <c r="RZA1366" s="110"/>
      <c r="RZB1366" s="110"/>
      <c r="RZC1366" s="110"/>
      <c r="RZD1366" s="110"/>
      <c r="RZE1366" s="110"/>
      <c r="RZF1366" s="110"/>
      <c r="RZG1366" s="110"/>
      <c r="RZH1366" s="110"/>
      <c r="RZI1366" s="110"/>
      <c r="RZJ1366" s="110"/>
      <c r="RZK1366" s="110"/>
      <c r="RZL1366" s="110"/>
      <c r="RZM1366" s="110"/>
      <c r="RZN1366" s="110"/>
      <c r="RZO1366" s="110"/>
      <c r="RZP1366" s="110"/>
      <c r="RZQ1366" s="110"/>
      <c r="RZR1366" s="110"/>
      <c r="RZS1366" s="110"/>
      <c r="RZT1366" s="110"/>
      <c r="RZU1366" s="110"/>
      <c r="RZV1366" s="110"/>
      <c r="RZW1366" s="110"/>
      <c r="RZX1366" s="110"/>
      <c r="RZY1366" s="110"/>
      <c r="RZZ1366" s="110"/>
      <c r="SAA1366" s="110"/>
      <c r="SAB1366" s="110"/>
      <c r="SAC1366" s="110"/>
      <c r="SAD1366" s="110"/>
      <c r="SAE1366" s="110"/>
      <c r="SAF1366" s="110"/>
      <c r="SAG1366" s="110"/>
      <c r="SAH1366" s="110"/>
      <c r="SAI1366" s="110"/>
      <c r="SAJ1366" s="110"/>
      <c r="SAK1366" s="110"/>
      <c r="SAL1366" s="110"/>
      <c r="SAM1366" s="110"/>
      <c r="SAN1366" s="110"/>
      <c r="SAO1366" s="110"/>
      <c r="SAP1366" s="110"/>
      <c r="SAQ1366" s="110"/>
      <c r="SAR1366" s="110"/>
      <c r="SAS1366" s="110"/>
      <c r="SAT1366" s="110"/>
      <c r="SAU1366" s="110"/>
      <c r="SAV1366" s="110"/>
      <c r="SAW1366" s="110"/>
      <c r="SAX1366" s="110"/>
      <c r="SAY1366" s="110"/>
      <c r="SAZ1366" s="110"/>
      <c r="SBA1366" s="110"/>
      <c r="SBB1366" s="110"/>
      <c r="SBC1366" s="110"/>
      <c r="SBD1366" s="110"/>
      <c r="SBE1366" s="110"/>
      <c r="SBF1366" s="110"/>
      <c r="SBG1366" s="110"/>
      <c r="SBH1366" s="110"/>
      <c r="SBI1366" s="110"/>
      <c r="SBJ1366" s="110"/>
      <c r="SBK1366" s="110"/>
      <c r="SBL1366" s="110"/>
      <c r="SBM1366" s="110"/>
      <c r="SBN1366" s="110"/>
      <c r="SBO1366" s="110"/>
      <c r="SBP1366" s="110"/>
      <c r="SBQ1366" s="110"/>
      <c r="SBR1366" s="110"/>
      <c r="SBS1366" s="110"/>
      <c r="SBT1366" s="110"/>
      <c r="SBU1366" s="110"/>
      <c r="SBV1366" s="110"/>
      <c r="SBW1366" s="110"/>
      <c r="SBX1366" s="110"/>
      <c r="SBY1366" s="110"/>
      <c r="SBZ1366" s="110"/>
      <c r="SCA1366" s="110"/>
      <c r="SCB1366" s="110"/>
      <c r="SCC1366" s="110"/>
      <c r="SCD1366" s="110"/>
      <c r="SCE1366" s="110"/>
      <c r="SCF1366" s="110"/>
      <c r="SCG1366" s="110"/>
      <c r="SCH1366" s="110"/>
      <c r="SCI1366" s="110"/>
      <c r="SCJ1366" s="110"/>
      <c r="SCK1366" s="110"/>
      <c r="SCL1366" s="110"/>
      <c r="SCM1366" s="110"/>
      <c r="SCN1366" s="110"/>
      <c r="SCO1366" s="110"/>
      <c r="SCP1366" s="110"/>
      <c r="SCQ1366" s="110"/>
      <c r="SCR1366" s="110"/>
      <c r="SCS1366" s="110"/>
      <c r="SCT1366" s="110"/>
      <c r="SCU1366" s="110"/>
      <c r="SCV1366" s="110"/>
      <c r="SCW1366" s="110"/>
      <c r="SCX1366" s="110"/>
      <c r="SCY1366" s="110"/>
      <c r="SCZ1366" s="110"/>
      <c r="SDA1366" s="110"/>
      <c r="SDB1366" s="110"/>
      <c r="SDC1366" s="110"/>
      <c r="SDD1366" s="110"/>
      <c r="SDE1366" s="110"/>
      <c r="SDF1366" s="110"/>
      <c r="SDG1366" s="110"/>
      <c r="SDH1366" s="110"/>
      <c r="SDI1366" s="110"/>
      <c r="SDJ1366" s="110"/>
      <c r="SDK1366" s="110"/>
      <c r="SDL1366" s="110"/>
      <c r="SDM1366" s="110"/>
      <c r="SDN1366" s="110"/>
      <c r="SDO1366" s="110"/>
      <c r="SDP1366" s="110"/>
      <c r="SDQ1366" s="110"/>
      <c r="SDR1366" s="110"/>
      <c r="SDS1366" s="110"/>
      <c r="SDT1366" s="110"/>
      <c r="SDU1366" s="110"/>
      <c r="SDV1366" s="110"/>
      <c r="SDW1366" s="110"/>
      <c r="SDX1366" s="110"/>
      <c r="SDY1366" s="110"/>
      <c r="SDZ1366" s="110"/>
      <c r="SEA1366" s="110"/>
      <c r="SEB1366" s="110"/>
      <c r="SEC1366" s="110"/>
      <c r="SED1366" s="110"/>
      <c r="SEE1366" s="110"/>
      <c r="SEF1366" s="110"/>
      <c r="SEG1366" s="110"/>
      <c r="SEH1366" s="110"/>
      <c r="SEI1366" s="110"/>
      <c r="SEJ1366" s="110"/>
      <c r="SEK1366" s="110"/>
      <c r="SEL1366" s="110"/>
      <c r="SEM1366" s="110"/>
      <c r="SEN1366" s="110"/>
      <c r="SEO1366" s="110"/>
      <c r="SEP1366" s="110"/>
      <c r="SEQ1366" s="110"/>
      <c r="SER1366" s="110"/>
      <c r="SES1366" s="110"/>
      <c r="SET1366" s="110"/>
      <c r="SEU1366" s="110"/>
      <c r="SEV1366" s="110"/>
      <c r="SEW1366" s="110"/>
      <c r="SEX1366" s="110"/>
      <c r="SEY1366" s="110"/>
      <c r="SEZ1366" s="110"/>
      <c r="SFA1366" s="110"/>
      <c r="SFB1366" s="110"/>
      <c r="SFC1366" s="110"/>
      <c r="SFD1366" s="110"/>
      <c r="SFE1366" s="110"/>
      <c r="SFF1366" s="110"/>
      <c r="SFG1366" s="110"/>
      <c r="SFH1366" s="110"/>
      <c r="SFI1366" s="110"/>
      <c r="SFJ1366" s="110"/>
      <c r="SFK1366" s="110"/>
      <c r="SFL1366" s="110"/>
      <c r="SFM1366" s="110"/>
      <c r="SFN1366" s="110"/>
      <c r="SFO1366" s="110"/>
      <c r="SFP1366" s="110"/>
      <c r="SFQ1366" s="110"/>
      <c r="SFR1366" s="110"/>
      <c r="SFS1366" s="110"/>
      <c r="SFT1366" s="110"/>
      <c r="SFU1366" s="110"/>
      <c r="SFV1366" s="110"/>
      <c r="SFW1366" s="110"/>
      <c r="SFX1366" s="110"/>
      <c r="SFY1366" s="110"/>
      <c r="SFZ1366" s="110"/>
      <c r="SGA1366" s="110"/>
      <c r="SGB1366" s="110"/>
      <c r="SGC1366" s="110"/>
      <c r="SGD1366" s="110"/>
      <c r="SGE1366" s="110"/>
      <c r="SGF1366" s="110"/>
      <c r="SGG1366" s="110"/>
      <c r="SGH1366" s="110"/>
      <c r="SGI1366" s="110"/>
      <c r="SGJ1366" s="110"/>
      <c r="SGK1366" s="110"/>
      <c r="SGL1366" s="110"/>
      <c r="SGM1366" s="110"/>
      <c r="SGN1366" s="110"/>
      <c r="SGO1366" s="110"/>
      <c r="SGP1366" s="110"/>
      <c r="SGQ1366" s="110"/>
      <c r="SGR1366" s="110"/>
      <c r="SGS1366" s="110"/>
      <c r="SGT1366" s="110"/>
      <c r="SGU1366" s="110"/>
      <c r="SGV1366" s="110"/>
      <c r="SGW1366" s="110"/>
      <c r="SGX1366" s="110"/>
      <c r="SGY1366" s="110"/>
      <c r="SGZ1366" s="110"/>
      <c r="SHA1366" s="110"/>
      <c r="SHB1366" s="110"/>
      <c r="SHC1366" s="110"/>
      <c r="SHD1366" s="110"/>
      <c r="SHE1366" s="110"/>
      <c r="SHF1366" s="110"/>
      <c r="SHG1366" s="110"/>
      <c r="SHH1366" s="110"/>
      <c r="SHI1366" s="110"/>
      <c r="SHJ1366" s="110"/>
      <c r="SHK1366" s="110"/>
      <c r="SHL1366" s="110"/>
      <c r="SHM1366" s="110"/>
      <c r="SHN1366" s="110"/>
      <c r="SHO1366" s="110"/>
      <c r="SHP1366" s="110"/>
      <c r="SHQ1366" s="110"/>
      <c r="SHR1366" s="110"/>
      <c r="SHS1366" s="110"/>
      <c r="SHT1366" s="110"/>
      <c r="SHU1366" s="110"/>
      <c r="SHV1366" s="110"/>
      <c r="SHW1366" s="110"/>
      <c r="SHX1366" s="110"/>
      <c r="SHY1366" s="110"/>
      <c r="SHZ1366" s="110"/>
      <c r="SIA1366" s="110"/>
      <c r="SIB1366" s="110"/>
      <c r="SIC1366" s="110"/>
      <c r="SID1366" s="110"/>
      <c r="SIE1366" s="110"/>
      <c r="SIF1366" s="110"/>
      <c r="SIG1366" s="110"/>
      <c r="SIH1366" s="110"/>
      <c r="SII1366" s="110"/>
      <c r="SIJ1366" s="110"/>
      <c r="SIK1366" s="110"/>
      <c r="SIL1366" s="110"/>
      <c r="SIM1366" s="110"/>
      <c r="SIN1366" s="110"/>
      <c r="SIO1366" s="110"/>
      <c r="SIP1366" s="110"/>
      <c r="SIQ1366" s="110"/>
      <c r="SIR1366" s="110"/>
      <c r="SIS1366" s="110"/>
      <c r="SIT1366" s="110"/>
      <c r="SIU1366" s="110"/>
      <c r="SIV1366" s="110"/>
      <c r="SIW1366" s="110"/>
      <c r="SIX1366" s="110"/>
      <c r="SIY1366" s="110"/>
      <c r="SIZ1366" s="110"/>
      <c r="SJA1366" s="110"/>
      <c r="SJB1366" s="110"/>
      <c r="SJC1366" s="110"/>
      <c r="SJD1366" s="110"/>
      <c r="SJE1366" s="110"/>
      <c r="SJF1366" s="110"/>
      <c r="SJG1366" s="110"/>
      <c r="SJH1366" s="110"/>
      <c r="SJI1366" s="110"/>
      <c r="SJJ1366" s="110"/>
      <c r="SJK1366" s="110"/>
      <c r="SJL1366" s="110"/>
      <c r="SJM1366" s="110"/>
      <c r="SJN1366" s="110"/>
      <c r="SJO1366" s="110"/>
      <c r="SJP1366" s="110"/>
      <c r="SJQ1366" s="110"/>
      <c r="SJR1366" s="110"/>
      <c r="SJS1366" s="110"/>
      <c r="SJT1366" s="110"/>
      <c r="SJU1366" s="110"/>
      <c r="SJV1366" s="110"/>
      <c r="SJW1366" s="110"/>
      <c r="SJX1366" s="110"/>
      <c r="SJY1366" s="110"/>
      <c r="SJZ1366" s="110"/>
      <c r="SKA1366" s="110"/>
      <c r="SKB1366" s="110"/>
      <c r="SKC1366" s="110"/>
      <c r="SKD1366" s="110"/>
      <c r="SKE1366" s="110"/>
      <c r="SKF1366" s="110"/>
      <c r="SKG1366" s="110"/>
      <c r="SKH1366" s="110"/>
      <c r="SKI1366" s="110"/>
      <c r="SKJ1366" s="110"/>
      <c r="SKK1366" s="110"/>
      <c r="SKL1366" s="110"/>
      <c r="SKM1366" s="110"/>
      <c r="SKN1366" s="110"/>
      <c r="SKO1366" s="110"/>
      <c r="SKP1366" s="110"/>
      <c r="SKQ1366" s="110"/>
      <c r="SKR1366" s="110"/>
      <c r="SKS1366" s="110"/>
      <c r="SKT1366" s="110"/>
      <c r="SKU1366" s="110"/>
      <c r="SKV1366" s="110"/>
      <c r="SKW1366" s="110"/>
      <c r="SKX1366" s="110"/>
      <c r="SKY1366" s="110"/>
      <c r="SKZ1366" s="110"/>
      <c r="SLA1366" s="110"/>
      <c r="SLB1366" s="110"/>
      <c r="SLC1366" s="110"/>
      <c r="SLD1366" s="110"/>
      <c r="SLE1366" s="110"/>
      <c r="SLF1366" s="110"/>
      <c r="SLG1366" s="110"/>
      <c r="SLH1366" s="110"/>
      <c r="SLI1366" s="110"/>
      <c r="SLJ1366" s="110"/>
      <c r="SLK1366" s="110"/>
      <c r="SLL1366" s="110"/>
      <c r="SLM1366" s="110"/>
      <c r="SLN1366" s="110"/>
      <c r="SLO1366" s="110"/>
      <c r="SLP1366" s="110"/>
      <c r="SLQ1366" s="110"/>
      <c r="SLR1366" s="110"/>
      <c r="SLS1366" s="110"/>
      <c r="SLT1366" s="110"/>
      <c r="SLU1366" s="110"/>
      <c r="SLV1366" s="110"/>
      <c r="SLW1366" s="110"/>
      <c r="SLX1366" s="110"/>
      <c r="SLY1366" s="110"/>
      <c r="SLZ1366" s="110"/>
      <c r="SMA1366" s="110"/>
      <c r="SMB1366" s="110"/>
      <c r="SMC1366" s="110"/>
      <c r="SMD1366" s="110"/>
      <c r="SME1366" s="110"/>
      <c r="SMF1366" s="110"/>
      <c r="SMG1366" s="110"/>
      <c r="SMH1366" s="110"/>
      <c r="SMI1366" s="110"/>
      <c r="SMJ1366" s="110"/>
      <c r="SMK1366" s="110"/>
      <c r="SML1366" s="110"/>
      <c r="SMM1366" s="110"/>
      <c r="SMN1366" s="110"/>
      <c r="SMO1366" s="110"/>
      <c r="SMP1366" s="110"/>
      <c r="SMQ1366" s="110"/>
      <c r="SMR1366" s="110"/>
      <c r="SMS1366" s="110"/>
      <c r="SMT1366" s="110"/>
      <c r="SMU1366" s="110"/>
      <c r="SMV1366" s="110"/>
      <c r="SMW1366" s="110"/>
      <c r="SMX1366" s="110"/>
      <c r="SMY1366" s="110"/>
      <c r="SMZ1366" s="110"/>
      <c r="SNA1366" s="110"/>
      <c r="SNB1366" s="110"/>
      <c r="SNC1366" s="110"/>
      <c r="SND1366" s="110"/>
      <c r="SNE1366" s="110"/>
      <c r="SNF1366" s="110"/>
      <c r="SNG1366" s="110"/>
      <c r="SNH1366" s="110"/>
      <c r="SNI1366" s="110"/>
      <c r="SNJ1366" s="110"/>
      <c r="SNK1366" s="110"/>
      <c r="SNL1366" s="110"/>
      <c r="SNM1366" s="110"/>
      <c r="SNN1366" s="110"/>
      <c r="SNO1366" s="110"/>
      <c r="SNP1366" s="110"/>
      <c r="SNQ1366" s="110"/>
      <c r="SNR1366" s="110"/>
      <c r="SNS1366" s="110"/>
      <c r="SNT1366" s="110"/>
      <c r="SNU1366" s="110"/>
      <c r="SNV1366" s="110"/>
      <c r="SNW1366" s="110"/>
      <c r="SNX1366" s="110"/>
      <c r="SNY1366" s="110"/>
      <c r="SNZ1366" s="110"/>
      <c r="SOA1366" s="110"/>
      <c r="SOB1366" s="110"/>
      <c r="SOC1366" s="110"/>
      <c r="SOD1366" s="110"/>
      <c r="SOE1366" s="110"/>
      <c r="SOF1366" s="110"/>
      <c r="SOG1366" s="110"/>
      <c r="SOH1366" s="110"/>
      <c r="SOI1366" s="110"/>
      <c r="SOJ1366" s="110"/>
      <c r="SOK1366" s="110"/>
      <c r="SOL1366" s="110"/>
      <c r="SOM1366" s="110"/>
      <c r="SON1366" s="110"/>
      <c r="SOO1366" s="110"/>
      <c r="SOP1366" s="110"/>
      <c r="SOQ1366" s="110"/>
      <c r="SOR1366" s="110"/>
      <c r="SOS1366" s="110"/>
      <c r="SOT1366" s="110"/>
      <c r="SOU1366" s="110"/>
      <c r="SOV1366" s="110"/>
      <c r="SOW1366" s="110"/>
      <c r="SOX1366" s="110"/>
      <c r="SOY1366" s="110"/>
      <c r="SOZ1366" s="110"/>
      <c r="SPA1366" s="110"/>
      <c r="SPB1366" s="110"/>
      <c r="SPC1366" s="110"/>
      <c r="SPD1366" s="110"/>
      <c r="SPE1366" s="110"/>
      <c r="SPF1366" s="110"/>
      <c r="SPG1366" s="110"/>
      <c r="SPH1366" s="110"/>
      <c r="SPI1366" s="110"/>
      <c r="SPJ1366" s="110"/>
      <c r="SPK1366" s="110"/>
      <c r="SPL1366" s="110"/>
      <c r="SPM1366" s="110"/>
      <c r="SPN1366" s="110"/>
      <c r="SPO1366" s="110"/>
      <c r="SPP1366" s="110"/>
      <c r="SPQ1366" s="110"/>
      <c r="SPR1366" s="110"/>
      <c r="SPS1366" s="110"/>
      <c r="SPT1366" s="110"/>
      <c r="SPU1366" s="110"/>
      <c r="SPV1366" s="110"/>
      <c r="SPW1366" s="110"/>
      <c r="SPX1366" s="110"/>
      <c r="SPY1366" s="110"/>
      <c r="SPZ1366" s="110"/>
      <c r="SQA1366" s="110"/>
      <c r="SQB1366" s="110"/>
      <c r="SQC1366" s="110"/>
      <c r="SQD1366" s="110"/>
      <c r="SQE1366" s="110"/>
      <c r="SQF1366" s="110"/>
      <c r="SQG1366" s="110"/>
      <c r="SQH1366" s="110"/>
      <c r="SQI1366" s="110"/>
      <c r="SQJ1366" s="110"/>
      <c r="SQK1366" s="110"/>
      <c r="SQL1366" s="110"/>
      <c r="SQM1366" s="110"/>
      <c r="SQN1366" s="110"/>
      <c r="SQO1366" s="110"/>
      <c r="SQP1366" s="110"/>
      <c r="SQQ1366" s="110"/>
      <c r="SQR1366" s="110"/>
      <c r="SQS1366" s="110"/>
      <c r="SQT1366" s="110"/>
      <c r="SQU1366" s="110"/>
      <c r="SQV1366" s="110"/>
      <c r="SQW1366" s="110"/>
      <c r="SQX1366" s="110"/>
      <c r="SQY1366" s="110"/>
      <c r="SQZ1366" s="110"/>
      <c r="SRA1366" s="110"/>
      <c r="SRB1366" s="110"/>
      <c r="SRC1366" s="110"/>
      <c r="SRD1366" s="110"/>
      <c r="SRE1366" s="110"/>
      <c r="SRF1366" s="110"/>
      <c r="SRG1366" s="110"/>
      <c r="SRH1366" s="110"/>
      <c r="SRI1366" s="110"/>
      <c r="SRJ1366" s="110"/>
      <c r="SRK1366" s="110"/>
      <c r="SRL1366" s="110"/>
      <c r="SRM1366" s="110"/>
      <c r="SRN1366" s="110"/>
      <c r="SRO1366" s="110"/>
      <c r="SRP1366" s="110"/>
      <c r="SRQ1366" s="110"/>
      <c r="SRR1366" s="110"/>
      <c r="SRS1366" s="110"/>
      <c r="SRT1366" s="110"/>
      <c r="SRU1366" s="110"/>
      <c r="SRV1366" s="110"/>
      <c r="SRW1366" s="110"/>
      <c r="SRX1366" s="110"/>
      <c r="SRY1366" s="110"/>
      <c r="SRZ1366" s="110"/>
      <c r="SSA1366" s="110"/>
      <c r="SSB1366" s="110"/>
      <c r="SSC1366" s="110"/>
      <c r="SSD1366" s="110"/>
      <c r="SSE1366" s="110"/>
      <c r="SSF1366" s="110"/>
      <c r="SSG1366" s="110"/>
      <c r="SSH1366" s="110"/>
      <c r="SSI1366" s="110"/>
      <c r="SSJ1366" s="110"/>
      <c r="SSK1366" s="110"/>
      <c r="SSL1366" s="110"/>
      <c r="SSM1366" s="110"/>
      <c r="SSN1366" s="110"/>
      <c r="SSO1366" s="110"/>
      <c r="SSP1366" s="110"/>
      <c r="SSQ1366" s="110"/>
      <c r="SSR1366" s="110"/>
      <c r="SSS1366" s="110"/>
      <c r="SST1366" s="110"/>
      <c r="SSU1366" s="110"/>
      <c r="SSV1366" s="110"/>
      <c r="SSW1366" s="110"/>
      <c r="SSX1366" s="110"/>
      <c r="SSY1366" s="110"/>
      <c r="SSZ1366" s="110"/>
      <c r="STA1366" s="110"/>
      <c r="STB1366" s="110"/>
      <c r="STC1366" s="110"/>
      <c r="STD1366" s="110"/>
      <c r="STE1366" s="110"/>
      <c r="STF1366" s="110"/>
      <c r="STG1366" s="110"/>
      <c r="STH1366" s="110"/>
      <c r="STI1366" s="110"/>
      <c r="STJ1366" s="110"/>
      <c r="STK1366" s="110"/>
      <c r="STL1366" s="110"/>
      <c r="STM1366" s="110"/>
      <c r="STN1366" s="110"/>
      <c r="STO1366" s="110"/>
      <c r="STP1366" s="110"/>
      <c r="STQ1366" s="110"/>
      <c r="STR1366" s="110"/>
      <c r="STS1366" s="110"/>
      <c r="STT1366" s="110"/>
      <c r="STU1366" s="110"/>
      <c r="STV1366" s="110"/>
      <c r="STW1366" s="110"/>
      <c r="STX1366" s="110"/>
      <c r="STY1366" s="110"/>
      <c r="STZ1366" s="110"/>
      <c r="SUA1366" s="110"/>
      <c r="SUB1366" s="110"/>
      <c r="SUC1366" s="110"/>
      <c r="SUD1366" s="110"/>
      <c r="SUE1366" s="110"/>
      <c r="SUF1366" s="110"/>
      <c r="SUG1366" s="110"/>
      <c r="SUH1366" s="110"/>
      <c r="SUI1366" s="110"/>
      <c r="SUJ1366" s="110"/>
      <c r="SUK1366" s="110"/>
      <c r="SUL1366" s="110"/>
      <c r="SUM1366" s="110"/>
      <c r="SUN1366" s="110"/>
      <c r="SUO1366" s="110"/>
      <c r="SUP1366" s="110"/>
      <c r="SUQ1366" s="110"/>
      <c r="SUR1366" s="110"/>
      <c r="SUS1366" s="110"/>
      <c r="SUT1366" s="110"/>
      <c r="SUU1366" s="110"/>
      <c r="SUV1366" s="110"/>
      <c r="SUW1366" s="110"/>
      <c r="SUX1366" s="110"/>
      <c r="SUY1366" s="110"/>
      <c r="SUZ1366" s="110"/>
      <c r="SVA1366" s="110"/>
      <c r="SVB1366" s="110"/>
      <c r="SVC1366" s="110"/>
      <c r="SVD1366" s="110"/>
      <c r="SVE1366" s="110"/>
      <c r="SVF1366" s="110"/>
      <c r="SVG1366" s="110"/>
      <c r="SVH1366" s="110"/>
      <c r="SVI1366" s="110"/>
      <c r="SVJ1366" s="110"/>
      <c r="SVK1366" s="110"/>
      <c r="SVL1366" s="110"/>
      <c r="SVM1366" s="110"/>
      <c r="SVN1366" s="110"/>
      <c r="SVO1366" s="110"/>
      <c r="SVP1366" s="110"/>
      <c r="SVQ1366" s="110"/>
      <c r="SVR1366" s="110"/>
      <c r="SVS1366" s="110"/>
      <c r="SVT1366" s="110"/>
      <c r="SVU1366" s="110"/>
      <c r="SVV1366" s="110"/>
      <c r="SVW1366" s="110"/>
      <c r="SVX1366" s="110"/>
      <c r="SVY1366" s="110"/>
      <c r="SVZ1366" s="110"/>
      <c r="SWA1366" s="110"/>
      <c r="SWB1366" s="110"/>
      <c r="SWC1366" s="110"/>
      <c r="SWD1366" s="110"/>
      <c r="SWE1366" s="110"/>
      <c r="SWF1366" s="110"/>
      <c r="SWG1366" s="110"/>
      <c r="SWH1366" s="110"/>
      <c r="SWI1366" s="110"/>
      <c r="SWJ1366" s="110"/>
      <c r="SWK1366" s="110"/>
      <c r="SWL1366" s="110"/>
      <c r="SWM1366" s="110"/>
      <c r="SWN1366" s="110"/>
      <c r="SWO1366" s="110"/>
      <c r="SWP1366" s="110"/>
      <c r="SWQ1366" s="110"/>
      <c r="SWR1366" s="110"/>
      <c r="SWS1366" s="110"/>
      <c r="SWT1366" s="110"/>
      <c r="SWU1366" s="110"/>
      <c r="SWV1366" s="110"/>
      <c r="SWW1366" s="110"/>
      <c r="SWX1366" s="110"/>
      <c r="SWY1366" s="110"/>
      <c r="SWZ1366" s="110"/>
      <c r="SXA1366" s="110"/>
      <c r="SXB1366" s="110"/>
      <c r="SXC1366" s="110"/>
      <c r="SXD1366" s="110"/>
      <c r="SXE1366" s="110"/>
      <c r="SXF1366" s="110"/>
      <c r="SXG1366" s="110"/>
      <c r="SXH1366" s="110"/>
      <c r="SXI1366" s="110"/>
      <c r="SXJ1366" s="110"/>
      <c r="SXK1366" s="110"/>
      <c r="SXL1366" s="110"/>
      <c r="SXM1366" s="110"/>
      <c r="SXN1366" s="110"/>
      <c r="SXO1366" s="110"/>
      <c r="SXP1366" s="110"/>
      <c r="SXQ1366" s="110"/>
      <c r="SXR1366" s="110"/>
      <c r="SXS1366" s="110"/>
      <c r="SXT1366" s="110"/>
      <c r="SXU1366" s="110"/>
      <c r="SXV1366" s="110"/>
      <c r="SXW1366" s="110"/>
      <c r="SXX1366" s="110"/>
      <c r="SXY1366" s="110"/>
      <c r="SXZ1366" s="110"/>
      <c r="SYA1366" s="110"/>
      <c r="SYB1366" s="110"/>
      <c r="SYC1366" s="110"/>
      <c r="SYD1366" s="110"/>
      <c r="SYE1366" s="110"/>
      <c r="SYF1366" s="110"/>
      <c r="SYG1366" s="110"/>
      <c r="SYH1366" s="110"/>
      <c r="SYI1366" s="110"/>
      <c r="SYJ1366" s="110"/>
      <c r="SYK1366" s="110"/>
      <c r="SYL1366" s="110"/>
      <c r="SYM1366" s="110"/>
      <c r="SYN1366" s="110"/>
      <c r="SYO1366" s="110"/>
      <c r="SYP1366" s="110"/>
      <c r="SYQ1366" s="110"/>
      <c r="SYR1366" s="110"/>
      <c r="SYS1366" s="110"/>
      <c r="SYT1366" s="110"/>
      <c r="SYU1366" s="110"/>
      <c r="SYV1366" s="110"/>
      <c r="SYW1366" s="110"/>
      <c r="SYX1366" s="110"/>
      <c r="SYY1366" s="110"/>
      <c r="SYZ1366" s="110"/>
      <c r="SZA1366" s="110"/>
      <c r="SZB1366" s="110"/>
      <c r="SZC1366" s="110"/>
      <c r="SZD1366" s="110"/>
      <c r="SZE1366" s="110"/>
      <c r="SZF1366" s="110"/>
      <c r="SZG1366" s="110"/>
      <c r="SZH1366" s="110"/>
      <c r="SZI1366" s="110"/>
      <c r="SZJ1366" s="110"/>
      <c r="SZK1366" s="110"/>
      <c r="SZL1366" s="110"/>
      <c r="SZM1366" s="110"/>
      <c r="SZN1366" s="110"/>
      <c r="SZO1366" s="110"/>
      <c r="SZP1366" s="110"/>
      <c r="SZQ1366" s="110"/>
      <c r="SZR1366" s="110"/>
      <c r="SZS1366" s="110"/>
      <c r="SZT1366" s="110"/>
      <c r="SZU1366" s="110"/>
      <c r="SZV1366" s="110"/>
      <c r="SZW1366" s="110"/>
      <c r="SZX1366" s="110"/>
      <c r="SZY1366" s="110"/>
      <c r="SZZ1366" s="110"/>
      <c r="TAA1366" s="110"/>
      <c r="TAB1366" s="110"/>
      <c r="TAC1366" s="110"/>
      <c r="TAD1366" s="110"/>
      <c r="TAE1366" s="110"/>
      <c r="TAF1366" s="110"/>
      <c r="TAG1366" s="110"/>
      <c r="TAH1366" s="110"/>
      <c r="TAI1366" s="110"/>
      <c r="TAJ1366" s="110"/>
      <c r="TAK1366" s="110"/>
      <c r="TAL1366" s="110"/>
      <c r="TAM1366" s="110"/>
      <c r="TAN1366" s="110"/>
      <c r="TAO1366" s="110"/>
      <c r="TAP1366" s="110"/>
      <c r="TAQ1366" s="110"/>
      <c r="TAR1366" s="110"/>
      <c r="TAS1366" s="110"/>
      <c r="TAT1366" s="110"/>
      <c r="TAU1366" s="110"/>
      <c r="TAV1366" s="110"/>
      <c r="TAW1366" s="110"/>
      <c r="TAX1366" s="110"/>
      <c r="TAY1366" s="110"/>
      <c r="TAZ1366" s="110"/>
      <c r="TBA1366" s="110"/>
      <c r="TBB1366" s="110"/>
      <c r="TBC1366" s="110"/>
      <c r="TBD1366" s="110"/>
      <c r="TBE1366" s="110"/>
      <c r="TBF1366" s="110"/>
      <c r="TBG1366" s="110"/>
      <c r="TBH1366" s="110"/>
      <c r="TBI1366" s="110"/>
      <c r="TBJ1366" s="110"/>
      <c r="TBK1366" s="110"/>
      <c r="TBL1366" s="110"/>
      <c r="TBM1366" s="110"/>
      <c r="TBN1366" s="110"/>
      <c r="TBO1366" s="110"/>
      <c r="TBP1366" s="110"/>
      <c r="TBQ1366" s="110"/>
      <c r="TBR1366" s="110"/>
      <c r="TBS1366" s="110"/>
      <c r="TBT1366" s="110"/>
      <c r="TBU1366" s="110"/>
      <c r="TBV1366" s="110"/>
      <c r="TBW1366" s="110"/>
      <c r="TBX1366" s="110"/>
      <c r="TBY1366" s="110"/>
      <c r="TBZ1366" s="110"/>
      <c r="TCA1366" s="110"/>
      <c r="TCB1366" s="110"/>
      <c r="TCC1366" s="110"/>
      <c r="TCD1366" s="110"/>
      <c r="TCE1366" s="110"/>
      <c r="TCF1366" s="110"/>
      <c r="TCG1366" s="110"/>
      <c r="TCH1366" s="110"/>
      <c r="TCI1366" s="110"/>
      <c r="TCJ1366" s="110"/>
      <c r="TCK1366" s="110"/>
      <c r="TCL1366" s="110"/>
      <c r="TCM1366" s="110"/>
      <c r="TCN1366" s="110"/>
      <c r="TCO1366" s="110"/>
      <c r="TCP1366" s="110"/>
      <c r="TCQ1366" s="110"/>
      <c r="TCR1366" s="110"/>
      <c r="TCS1366" s="110"/>
      <c r="TCT1366" s="110"/>
      <c r="TCU1366" s="110"/>
      <c r="TCV1366" s="110"/>
      <c r="TCW1366" s="110"/>
      <c r="TCX1366" s="110"/>
      <c r="TCY1366" s="110"/>
      <c r="TCZ1366" s="110"/>
      <c r="TDA1366" s="110"/>
      <c r="TDB1366" s="110"/>
      <c r="TDC1366" s="110"/>
      <c r="TDD1366" s="110"/>
      <c r="TDE1366" s="110"/>
      <c r="TDF1366" s="110"/>
      <c r="TDG1366" s="110"/>
      <c r="TDH1366" s="110"/>
      <c r="TDI1366" s="110"/>
      <c r="TDJ1366" s="110"/>
      <c r="TDK1366" s="110"/>
      <c r="TDL1366" s="110"/>
      <c r="TDM1366" s="110"/>
      <c r="TDN1366" s="110"/>
      <c r="TDO1366" s="110"/>
      <c r="TDP1366" s="110"/>
      <c r="TDQ1366" s="110"/>
      <c r="TDR1366" s="110"/>
      <c r="TDS1366" s="110"/>
      <c r="TDT1366" s="110"/>
      <c r="TDU1366" s="110"/>
      <c r="TDV1366" s="110"/>
      <c r="TDW1366" s="110"/>
      <c r="TDX1366" s="110"/>
      <c r="TDY1366" s="110"/>
      <c r="TDZ1366" s="110"/>
      <c r="TEA1366" s="110"/>
      <c r="TEB1366" s="110"/>
      <c r="TEC1366" s="110"/>
      <c r="TED1366" s="110"/>
      <c r="TEE1366" s="110"/>
      <c r="TEF1366" s="110"/>
      <c r="TEG1366" s="110"/>
      <c r="TEH1366" s="110"/>
      <c r="TEI1366" s="110"/>
      <c r="TEJ1366" s="110"/>
      <c r="TEK1366" s="110"/>
      <c r="TEL1366" s="110"/>
      <c r="TEM1366" s="110"/>
      <c r="TEN1366" s="110"/>
      <c r="TEO1366" s="110"/>
      <c r="TEP1366" s="110"/>
      <c r="TEQ1366" s="110"/>
      <c r="TER1366" s="110"/>
      <c r="TES1366" s="110"/>
      <c r="TET1366" s="110"/>
      <c r="TEU1366" s="110"/>
      <c r="TEV1366" s="110"/>
      <c r="TEW1366" s="110"/>
      <c r="TEX1366" s="110"/>
      <c r="TEY1366" s="110"/>
      <c r="TEZ1366" s="110"/>
      <c r="TFA1366" s="110"/>
      <c r="TFB1366" s="110"/>
      <c r="TFC1366" s="110"/>
      <c r="TFD1366" s="110"/>
      <c r="TFE1366" s="110"/>
      <c r="TFF1366" s="110"/>
      <c r="TFG1366" s="110"/>
      <c r="TFH1366" s="110"/>
      <c r="TFI1366" s="110"/>
      <c r="TFJ1366" s="110"/>
      <c r="TFK1366" s="110"/>
      <c r="TFL1366" s="110"/>
      <c r="TFM1366" s="110"/>
      <c r="TFN1366" s="110"/>
      <c r="TFO1366" s="110"/>
      <c r="TFP1366" s="110"/>
      <c r="TFQ1366" s="110"/>
      <c r="TFR1366" s="110"/>
      <c r="TFS1366" s="110"/>
      <c r="TFT1366" s="110"/>
      <c r="TFU1366" s="110"/>
      <c r="TFV1366" s="110"/>
      <c r="TFW1366" s="110"/>
      <c r="TFX1366" s="110"/>
      <c r="TFY1366" s="110"/>
      <c r="TFZ1366" s="110"/>
      <c r="TGA1366" s="110"/>
      <c r="TGB1366" s="110"/>
      <c r="TGC1366" s="110"/>
      <c r="TGD1366" s="110"/>
      <c r="TGE1366" s="110"/>
      <c r="TGF1366" s="110"/>
      <c r="TGG1366" s="110"/>
      <c r="TGH1366" s="110"/>
      <c r="TGI1366" s="110"/>
      <c r="TGJ1366" s="110"/>
      <c r="TGK1366" s="110"/>
      <c r="TGL1366" s="110"/>
      <c r="TGM1366" s="110"/>
      <c r="TGN1366" s="110"/>
      <c r="TGO1366" s="110"/>
      <c r="TGP1366" s="110"/>
      <c r="TGQ1366" s="110"/>
      <c r="TGR1366" s="110"/>
      <c r="TGS1366" s="110"/>
      <c r="TGT1366" s="110"/>
      <c r="TGU1366" s="110"/>
      <c r="TGV1366" s="110"/>
      <c r="TGW1366" s="110"/>
      <c r="TGX1366" s="110"/>
      <c r="TGY1366" s="110"/>
      <c r="TGZ1366" s="110"/>
      <c r="THA1366" s="110"/>
      <c r="THB1366" s="110"/>
      <c r="THC1366" s="110"/>
      <c r="THD1366" s="110"/>
      <c r="THE1366" s="110"/>
      <c r="THF1366" s="110"/>
      <c r="THG1366" s="110"/>
      <c r="THH1366" s="110"/>
      <c r="THI1366" s="110"/>
      <c r="THJ1366" s="110"/>
      <c r="THK1366" s="110"/>
      <c r="THL1366" s="110"/>
      <c r="THM1366" s="110"/>
      <c r="THN1366" s="110"/>
      <c r="THO1366" s="110"/>
      <c r="THP1366" s="110"/>
      <c r="THQ1366" s="110"/>
      <c r="THR1366" s="110"/>
      <c r="THS1366" s="110"/>
      <c r="THT1366" s="110"/>
      <c r="THU1366" s="110"/>
      <c r="THV1366" s="110"/>
      <c r="THW1366" s="110"/>
      <c r="THX1366" s="110"/>
      <c r="THY1366" s="110"/>
      <c r="THZ1366" s="110"/>
      <c r="TIA1366" s="110"/>
      <c r="TIB1366" s="110"/>
      <c r="TIC1366" s="110"/>
      <c r="TID1366" s="110"/>
      <c r="TIE1366" s="110"/>
      <c r="TIF1366" s="110"/>
      <c r="TIG1366" s="110"/>
      <c r="TIH1366" s="110"/>
      <c r="TII1366" s="110"/>
      <c r="TIJ1366" s="110"/>
      <c r="TIK1366" s="110"/>
      <c r="TIL1366" s="110"/>
      <c r="TIM1366" s="110"/>
      <c r="TIN1366" s="110"/>
      <c r="TIO1366" s="110"/>
      <c r="TIP1366" s="110"/>
      <c r="TIQ1366" s="110"/>
      <c r="TIR1366" s="110"/>
      <c r="TIS1366" s="110"/>
      <c r="TIT1366" s="110"/>
      <c r="TIU1366" s="110"/>
      <c r="TIV1366" s="110"/>
      <c r="TIW1366" s="110"/>
      <c r="TIX1366" s="110"/>
      <c r="TIY1366" s="110"/>
      <c r="TIZ1366" s="110"/>
      <c r="TJA1366" s="110"/>
      <c r="TJB1366" s="110"/>
      <c r="TJC1366" s="110"/>
      <c r="TJD1366" s="110"/>
      <c r="TJE1366" s="110"/>
      <c r="TJF1366" s="110"/>
      <c r="TJG1366" s="110"/>
      <c r="TJH1366" s="110"/>
      <c r="TJI1366" s="110"/>
      <c r="TJJ1366" s="110"/>
      <c r="TJK1366" s="110"/>
      <c r="TJL1366" s="110"/>
      <c r="TJM1366" s="110"/>
      <c r="TJN1366" s="110"/>
      <c r="TJO1366" s="110"/>
      <c r="TJP1366" s="110"/>
      <c r="TJQ1366" s="110"/>
      <c r="TJR1366" s="110"/>
      <c r="TJS1366" s="110"/>
      <c r="TJT1366" s="110"/>
      <c r="TJU1366" s="110"/>
      <c r="TJV1366" s="110"/>
      <c r="TJW1366" s="110"/>
      <c r="TJX1366" s="110"/>
      <c r="TJY1366" s="110"/>
      <c r="TJZ1366" s="110"/>
      <c r="TKA1366" s="110"/>
      <c r="TKB1366" s="110"/>
      <c r="TKC1366" s="110"/>
      <c r="TKD1366" s="110"/>
      <c r="TKE1366" s="110"/>
      <c r="TKF1366" s="110"/>
      <c r="TKG1366" s="110"/>
      <c r="TKH1366" s="110"/>
      <c r="TKI1366" s="110"/>
      <c r="TKJ1366" s="110"/>
      <c r="TKK1366" s="110"/>
      <c r="TKL1366" s="110"/>
      <c r="TKM1366" s="110"/>
      <c r="TKN1366" s="110"/>
      <c r="TKO1366" s="110"/>
      <c r="TKP1366" s="110"/>
      <c r="TKQ1366" s="110"/>
      <c r="TKR1366" s="110"/>
      <c r="TKS1366" s="110"/>
      <c r="TKT1366" s="110"/>
      <c r="TKU1366" s="110"/>
      <c r="TKV1366" s="110"/>
      <c r="TKW1366" s="110"/>
      <c r="TKX1366" s="110"/>
      <c r="TKY1366" s="110"/>
      <c r="TKZ1366" s="110"/>
      <c r="TLA1366" s="110"/>
      <c r="TLB1366" s="110"/>
      <c r="TLC1366" s="110"/>
      <c r="TLD1366" s="110"/>
      <c r="TLE1366" s="110"/>
      <c r="TLF1366" s="110"/>
      <c r="TLG1366" s="110"/>
      <c r="TLH1366" s="110"/>
      <c r="TLI1366" s="110"/>
      <c r="TLJ1366" s="110"/>
      <c r="TLK1366" s="110"/>
      <c r="TLL1366" s="110"/>
      <c r="TLM1366" s="110"/>
      <c r="TLN1366" s="110"/>
      <c r="TLO1366" s="110"/>
      <c r="TLP1366" s="110"/>
      <c r="TLQ1366" s="110"/>
      <c r="TLR1366" s="110"/>
      <c r="TLS1366" s="110"/>
      <c r="TLT1366" s="110"/>
      <c r="TLU1366" s="110"/>
      <c r="TLV1366" s="110"/>
      <c r="TLW1366" s="110"/>
      <c r="TLX1366" s="110"/>
      <c r="TLY1366" s="110"/>
      <c r="TLZ1366" s="110"/>
      <c r="TMA1366" s="110"/>
      <c r="TMB1366" s="110"/>
      <c r="TMC1366" s="110"/>
      <c r="TMD1366" s="110"/>
      <c r="TME1366" s="110"/>
      <c r="TMF1366" s="110"/>
      <c r="TMG1366" s="110"/>
      <c r="TMH1366" s="110"/>
      <c r="TMI1366" s="110"/>
      <c r="TMJ1366" s="110"/>
      <c r="TMK1366" s="110"/>
      <c r="TML1366" s="110"/>
      <c r="TMM1366" s="110"/>
      <c r="TMN1366" s="110"/>
      <c r="TMO1366" s="110"/>
      <c r="TMP1366" s="110"/>
      <c r="TMQ1366" s="110"/>
      <c r="TMR1366" s="110"/>
      <c r="TMS1366" s="110"/>
      <c r="TMT1366" s="110"/>
      <c r="TMU1366" s="110"/>
      <c r="TMV1366" s="110"/>
      <c r="TMW1366" s="110"/>
      <c r="TMX1366" s="110"/>
      <c r="TMY1366" s="110"/>
      <c r="TMZ1366" s="110"/>
      <c r="TNA1366" s="110"/>
      <c r="TNB1366" s="110"/>
      <c r="TNC1366" s="110"/>
      <c r="TND1366" s="110"/>
      <c r="TNE1366" s="110"/>
      <c r="TNF1366" s="110"/>
      <c r="TNG1366" s="110"/>
      <c r="TNH1366" s="110"/>
      <c r="TNI1366" s="110"/>
      <c r="TNJ1366" s="110"/>
      <c r="TNK1366" s="110"/>
      <c r="TNL1366" s="110"/>
      <c r="TNM1366" s="110"/>
      <c r="TNN1366" s="110"/>
      <c r="TNO1366" s="110"/>
      <c r="TNP1366" s="110"/>
      <c r="TNQ1366" s="110"/>
      <c r="TNR1366" s="110"/>
      <c r="TNS1366" s="110"/>
      <c r="TNT1366" s="110"/>
      <c r="TNU1366" s="110"/>
      <c r="TNV1366" s="110"/>
      <c r="TNW1366" s="110"/>
      <c r="TNX1366" s="110"/>
      <c r="TNY1366" s="110"/>
      <c r="TNZ1366" s="110"/>
      <c r="TOA1366" s="110"/>
      <c r="TOB1366" s="110"/>
      <c r="TOC1366" s="110"/>
      <c r="TOD1366" s="110"/>
      <c r="TOE1366" s="110"/>
      <c r="TOF1366" s="110"/>
      <c r="TOG1366" s="110"/>
      <c r="TOH1366" s="110"/>
      <c r="TOI1366" s="110"/>
      <c r="TOJ1366" s="110"/>
      <c r="TOK1366" s="110"/>
      <c r="TOL1366" s="110"/>
      <c r="TOM1366" s="110"/>
      <c r="TON1366" s="110"/>
      <c r="TOO1366" s="110"/>
      <c r="TOP1366" s="110"/>
      <c r="TOQ1366" s="110"/>
      <c r="TOR1366" s="110"/>
      <c r="TOS1366" s="110"/>
      <c r="TOT1366" s="110"/>
      <c r="TOU1366" s="110"/>
      <c r="TOV1366" s="110"/>
      <c r="TOW1366" s="110"/>
      <c r="TOX1366" s="110"/>
      <c r="TOY1366" s="110"/>
      <c r="TOZ1366" s="110"/>
      <c r="TPA1366" s="110"/>
      <c r="TPB1366" s="110"/>
      <c r="TPC1366" s="110"/>
      <c r="TPD1366" s="110"/>
      <c r="TPE1366" s="110"/>
      <c r="TPF1366" s="110"/>
      <c r="TPG1366" s="110"/>
      <c r="TPH1366" s="110"/>
      <c r="TPI1366" s="110"/>
      <c r="TPJ1366" s="110"/>
      <c r="TPK1366" s="110"/>
      <c r="TPL1366" s="110"/>
      <c r="TPM1366" s="110"/>
      <c r="TPN1366" s="110"/>
      <c r="TPO1366" s="110"/>
      <c r="TPP1366" s="110"/>
      <c r="TPQ1366" s="110"/>
      <c r="TPR1366" s="110"/>
      <c r="TPS1366" s="110"/>
      <c r="TPT1366" s="110"/>
      <c r="TPU1366" s="110"/>
      <c r="TPV1366" s="110"/>
      <c r="TPW1366" s="110"/>
      <c r="TPX1366" s="110"/>
      <c r="TPY1366" s="110"/>
      <c r="TPZ1366" s="110"/>
      <c r="TQA1366" s="110"/>
      <c r="TQB1366" s="110"/>
      <c r="TQC1366" s="110"/>
      <c r="TQD1366" s="110"/>
      <c r="TQE1366" s="110"/>
      <c r="TQF1366" s="110"/>
      <c r="TQG1366" s="110"/>
      <c r="TQH1366" s="110"/>
      <c r="TQI1366" s="110"/>
      <c r="TQJ1366" s="110"/>
      <c r="TQK1366" s="110"/>
      <c r="TQL1366" s="110"/>
      <c r="TQM1366" s="110"/>
      <c r="TQN1366" s="110"/>
      <c r="TQO1366" s="110"/>
      <c r="TQP1366" s="110"/>
      <c r="TQQ1366" s="110"/>
      <c r="TQR1366" s="110"/>
      <c r="TQS1366" s="110"/>
      <c r="TQT1366" s="110"/>
      <c r="TQU1366" s="110"/>
      <c r="TQV1366" s="110"/>
      <c r="TQW1366" s="110"/>
      <c r="TQX1366" s="110"/>
      <c r="TQY1366" s="110"/>
      <c r="TQZ1366" s="110"/>
      <c r="TRA1366" s="110"/>
      <c r="TRB1366" s="110"/>
      <c r="TRC1366" s="110"/>
      <c r="TRD1366" s="110"/>
      <c r="TRE1366" s="110"/>
      <c r="TRF1366" s="110"/>
      <c r="TRG1366" s="110"/>
      <c r="TRH1366" s="110"/>
      <c r="TRI1366" s="110"/>
      <c r="TRJ1366" s="110"/>
      <c r="TRK1366" s="110"/>
      <c r="TRL1366" s="110"/>
      <c r="TRM1366" s="110"/>
      <c r="TRN1366" s="110"/>
      <c r="TRO1366" s="110"/>
      <c r="TRP1366" s="110"/>
      <c r="TRQ1366" s="110"/>
      <c r="TRR1366" s="110"/>
      <c r="TRS1366" s="110"/>
      <c r="TRT1366" s="110"/>
      <c r="TRU1366" s="110"/>
      <c r="TRV1366" s="110"/>
      <c r="TRW1366" s="110"/>
      <c r="TRX1366" s="110"/>
      <c r="TRY1366" s="110"/>
      <c r="TRZ1366" s="110"/>
      <c r="TSA1366" s="110"/>
      <c r="TSB1366" s="110"/>
      <c r="TSC1366" s="110"/>
      <c r="TSD1366" s="110"/>
      <c r="TSE1366" s="110"/>
      <c r="TSF1366" s="110"/>
      <c r="TSG1366" s="110"/>
      <c r="TSH1366" s="110"/>
      <c r="TSI1366" s="110"/>
      <c r="TSJ1366" s="110"/>
      <c r="TSK1366" s="110"/>
      <c r="TSL1366" s="110"/>
      <c r="TSM1366" s="110"/>
      <c r="TSN1366" s="110"/>
      <c r="TSO1366" s="110"/>
      <c r="TSP1366" s="110"/>
      <c r="TSQ1366" s="110"/>
      <c r="TSR1366" s="110"/>
      <c r="TSS1366" s="110"/>
      <c r="TST1366" s="110"/>
      <c r="TSU1366" s="110"/>
      <c r="TSV1366" s="110"/>
      <c r="TSW1366" s="110"/>
      <c r="TSX1366" s="110"/>
      <c r="TSY1366" s="110"/>
      <c r="TSZ1366" s="110"/>
      <c r="TTA1366" s="110"/>
      <c r="TTB1366" s="110"/>
      <c r="TTC1366" s="110"/>
      <c r="TTD1366" s="110"/>
      <c r="TTE1366" s="110"/>
      <c r="TTF1366" s="110"/>
      <c r="TTG1366" s="110"/>
      <c r="TTH1366" s="110"/>
      <c r="TTI1366" s="110"/>
      <c r="TTJ1366" s="110"/>
      <c r="TTK1366" s="110"/>
      <c r="TTL1366" s="110"/>
      <c r="TTM1366" s="110"/>
      <c r="TTN1366" s="110"/>
      <c r="TTO1366" s="110"/>
      <c r="TTP1366" s="110"/>
      <c r="TTQ1366" s="110"/>
      <c r="TTR1366" s="110"/>
      <c r="TTS1366" s="110"/>
      <c r="TTT1366" s="110"/>
      <c r="TTU1366" s="110"/>
      <c r="TTV1366" s="110"/>
      <c r="TTW1366" s="110"/>
      <c r="TTX1366" s="110"/>
      <c r="TTY1366" s="110"/>
      <c r="TTZ1366" s="110"/>
      <c r="TUA1366" s="110"/>
      <c r="TUB1366" s="110"/>
      <c r="TUC1366" s="110"/>
      <c r="TUD1366" s="110"/>
      <c r="TUE1366" s="110"/>
      <c r="TUF1366" s="110"/>
      <c r="TUG1366" s="110"/>
      <c r="TUH1366" s="110"/>
      <c r="TUI1366" s="110"/>
      <c r="TUJ1366" s="110"/>
      <c r="TUK1366" s="110"/>
      <c r="TUL1366" s="110"/>
      <c r="TUM1366" s="110"/>
      <c r="TUN1366" s="110"/>
      <c r="TUO1366" s="110"/>
      <c r="TUP1366" s="110"/>
      <c r="TUQ1366" s="110"/>
      <c r="TUR1366" s="110"/>
      <c r="TUS1366" s="110"/>
      <c r="TUT1366" s="110"/>
      <c r="TUU1366" s="110"/>
      <c r="TUV1366" s="110"/>
      <c r="TUW1366" s="110"/>
      <c r="TUX1366" s="110"/>
      <c r="TUY1366" s="110"/>
      <c r="TUZ1366" s="110"/>
      <c r="TVA1366" s="110"/>
      <c r="TVB1366" s="110"/>
      <c r="TVC1366" s="110"/>
      <c r="TVD1366" s="110"/>
      <c r="TVE1366" s="110"/>
      <c r="TVF1366" s="110"/>
      <c r="TVG1366" s="110"/>
      <c r="TVH1366" s="110"/>
      <c r="TVI1366" s="110"/>
      <c r="TVJ1366" s="110"/>
      <c r="TVK1366" s="110"/>
      <c r="TVL1366" s="110"/>
      <c r="TVM1366" s="110"/>
      <c r="TVN1366" s="110"/>
      <c r="TVO1366" s="110"/>
      <c r="TVP1366" s="110"/>
      <c r="TVQ1366" s="110"/>
      <c r="TVR1366" s="110"/>
      <c r="TVS1366" s="110"/>
      <c r="TVT1366" s="110"/>
      <c r="TVU1366" s="110"/>
      <c r="TVV1366" s="110"/>
      <c r="TVW1366" s="110"/>
      <c r="TVX1366" s="110"/>
      <c r="TVY1366" s="110"/>
      <c r="TVZ1366" s="110"/>
      <c r="TWA1366" s="110"/>
      <c r="TWB1366" s="110"/>
      <c r="TWC1366" s="110"/>
      <c r="TWD1366" s="110"/>
      <c r="TWE1366" s="110"/>
      <c r="TWF1366" s="110"/>
      <c r="TWG1366" s="110"/>
      <c r="TWH1366" s="110"/>
      <c r="TWI1366" s="110"/>
      <c r="TWJ1366" s="110"/>
      <c r="TWK1366" s="110"/>
      <c r="TWL1366" s="110"/>
      <c r="TWM1366" s="110"/>
      <c r="TWN1366" s="110"/>
      <c r="TWO1366" s="110"/>
      <c r="TWP1366" s="110"/>
      <c r="TWQ1366" s="110"/>
      <c r="TWR1366" s="110"/>
      <c r="TWS1366" s="110"/>
      <c r="TWT1366" s="110"/>
      <c r="TWU1366" s="110"/>
      <c r="TWV1366" s="110"/>
      <c r="TWW1366" s="110"/>
      <c r="TWX1366" s="110"/>
      <c r="TWY1366" s="110"/>
      <c r="TWZ1366" s="110"/>
      <c r="TXA1366" s="110"/>
      <c r="TXB1366" s="110"/>
      <c r="TXC1366" s="110"/>
      <c r="TXD1366" s="110"/>
      <c r="TXE1366" s="110"/>
      <c r="TXF1366" s="110"/>
      <c r="TXG1366" s="110"/>
      <c r="TXH1366" s="110"/>
      <c r="TXI1366" s="110"/>
      <c r="TXJ1366" s="110"/>
      <c r="TXK1366" s="110"/>
      <c r="TXL1366" s="110"/>
      <c r="TXM1366" s="110"/>
      <c r="TXN1366" s="110"/>
      <c r="TXO1366" s="110"/>
      <c r="TXP1366" s="110"/>
      <c r="TXQ1366" s="110"/>
      <c r="TXR1366" s="110"/>
      <c r="TXS1366" s="110"/>
      <c r="TXT1366" s="110"/>
      <c r="TXU1366" s="110"/>
      <c r="TXV1366" s="110"/>
      <c r="TXW1366" s="110"/>
      <c r="TXX1366" s="110"/>
      <c r="TXY1366" s="110"/>
      <c r="TXZ1366" s="110"/>
      <c r="TYA1366" s="110"/>
      <c r="TYB1366" s="110"/>
      <c r="TYC1366" s="110"/>
      <c r="TYD1366" s="110"/>
      <c r="TYE1366" s="110"/>
      <c r="TYF1366" s="110"/>
      <c r="TYG1366" s="110"/>
      <c r="TYH1366" s="110"/>
      <c r="TYI1366" s="110"/>
      <c r="TYJ1366" s="110"/>
      <c r="TYK1366" s="110"/>
      <c r="TYL1366" s="110"/>
      <c r="TYM1366" s="110"/>
      <c r="TYN1366" s="110"/>
      <c r="TYO1366" s="110"/>
      <c r="TYP1366" s="110"/>
      <c r="TYQ1366" s="110"/>
      <c r="TYR1366" s="110"/>
      <c r="TYS1366" s="110"/>
      <c r="TYT1366" s="110"/>
      <c r="TYU1366" s="110"/>
      <c r="TYV1366" s="110"/>
      <c r="TYW1366" s="110"/>
      <c r="TYX1366" s="110"/>
      <c r="TYY1366" s="110"/>
      <c r="TYZ1366" s="110"/>
      <c r="TZA1366" s="110"/>
      <c r="TZB1366" s="110"/>
      <c r="TZC1366" s="110"/>
      <c r="TZD1366" s="110"/>
      <c r="TZE1366" s="110"/>
      <c r="TZF1366" s="110"/>
      <c r="TZG1366" s="110"/>
      <c r="TZH1366" s="110"/>
      <c r="TZI1366" s="110"/>
      <c r="TZJ1366" s="110"/>
      <c r="TZK1366" s="110"/>
      <c r="TZL1366" s="110"/>
      <c r="TZM1366" s="110"/>
      <c r="TZN1366" s="110"/>
      <c r="TZO1366" s="110"/>
      <c r="TZP1366" s="110"/>
      <c r="TZQ1366" s="110"/>
      <c r="TZR1366" s="110"/>
      <c r="TZS1366" s="110"/>
      <c r="TZT1366" s="110"/>
      <c r="TZU1366" s="110"/>
      <c r="TZV1366" s="110"/>
      <c r="TZW1366" s="110"/>
      <c r="TZX1366" s="110"/>
      <c r="TZY1366" s="110"/>
      <c r="TZZ1366" s="110"/>
      <c r="UAA1366" s="110"/>
      <c r="UAB1366" s="110"/>
      <c r="UAC1366" s="110"/>
      <c r="UAD1366" s="110"/>
      <c r="UAE1366" s="110"/>
      <c r="UAF1366" s="110"/>
      <c r="UAG1366" s="110"/>
      <c r="UAH1366" s="110"/>
      <c r="UAI1366" s="110"/>
      <c r="UAJ1366" s="110"/>
      <c r="UAK1366" s="110"/>
      <c r="UAL1366" s="110"/>
      <c r="UAM1366" s="110"/>
      <c r="UAN1366" s="110"/>
      <c r="UAO1366" s="110"/>
      <c r="UAP1366" s="110"/>
      <c r="UAQ1366" s="110"/>
      <c r="UAR1366" s="110"/>
      <c r="UAS1366" s="110"/>
      <c r="UAT1366" s="110"/>
      <c r="UAU1366" s="110"/>
      <c r="UAV1366" s="110"/>
      <c r="UAW1366" s="110"/>
      <c r="UAX1366" s="110"/>
      <c r="UAY1366" s="110"/>
      <c r="UAZ1366" s="110"/>
      <c r="UBA1366" s="110"/>
      <c r="UBB1366" s="110"/>
      <c r="UBC1366" s="110"/>
      <c r="UBD1366" s="110"/>
      <c r="UBE1366" s="110"/>
      <c r="UBF1366" s="110"/>
      <c r="UBG1366" s="110"/>
      <c r="UBH1366" s="110"/>
      <c r="UBI1366" s="110"/>
      <c r="UBJ1366" s="110"/>
      <c r="UBK1366" s="110"/>
      <c r="UBL1366" s="110"/>
      <c r="UBM1366" s="110"/>
      <c r="UBN1366" s="110"/>
      <c r="UBO1366" s="110"/>
      <c r="UBP1366" s="110"/>
      <c r="UBQ1366" s="110"/>
      <c r="UBR1366" s="110"/>
      <c r="UBS1366" s="110"/>
      <c r="UBT1366" s="110"/>
      <c r="UBU1366" s="110"/>
      <c r="UBV1366" s="110"/>
      <c r="UBW1366" s="110"/>
      <c r="UBX1366" s="110"/>
      <c r="UBY1366" s="110"/>
      <c r="UBZ1366" s="110"/>
      <c r="UCA1366" s="110"/>
      <c r="UCB1366" s="110"/>
      <c r="UCC1366" s="110"/>
      <c r="UCD1366" s="110"/>
      <c r="UCE1366" s="110"/>
      <c r="UCF1366" s="110"/>
      <c r="UCG1366" s="110"/>
      <c r="UCH1366" s="110"/>
      <c r="UCI1366" s="110"/>
      <c r="UCJ1366" s="110"/>
      <c r="UCK1366" s="110"/>
      <c r="UCL1366" s="110"/>
      <c r="UCM1366" s="110"/>
      <c r="UCN1366" s="110"/>
      <c r="UCO1366" s="110"/>
      <c r="UCP1366" s="110"/>
      <c r="UCQ1366" s="110"/>
      <c r="UCR1366" s="110"/>
      <c r="UCS1366" s="110"/>
      <c r="UCT1366" s="110"/>
      <c r="UCU1366" s="110"/>
      <c r="UCV1366" s="110"/>
      <c r="UCW1366" s="110"/>
      <c r="UCX1366" s="110"/>
      <c r="UCY1366" s="110"/>
      <c r="UCZ1366" s="110"/>
      <c r="UDA1366" s="110"/>
      <c r="UDB1366" s="110"/>
      <c r="UDC1366" s="110"/>
      <c r="UDD1366" s="110"/>
      <c r="UDE1366" s="110"/>
      <c r="UDF1366" s="110"/>
      <c r="UDG1366" s="110"/>
      <c r="UDH1366" s="110"/>
      <c r="UDI1366" s="110"/>
      <c r="UDJ1366" s="110"/>
      <c r="UDK1366" s="110"/>
      <c r="UDL1366" s="110"/>
      <c r="UDM1366" s="110"/>
      <c r="UDN1366" s="110"/>
      <c r="UDO1366" s="110"/>
      <c r="UDP1366" s="110"/>
      <c r="UDQ1366" s="110"/>
      <c r="UDR1366" s="110"/>
      <c r="UDS1366" s="110"/>
      <c r="UDT1366" s="110"/>
      <c r="UDU1366" s="110"/>
      <c r="UDV1366" s="110"/>
      <c r="UDW1366" s="110"/>
      <c r="UDX1366" s="110"/>
      <c r="UDY1366" s="110"/>
      <c r="UDZ1366" s="110"/>
      <c r="UEA1366" s="110"/>
      <c r="UEB1366" s="110"/>
      <c r="UEC1366" s="110"/>
      <c r="UED1366" s="110"/>
      <c r="UEE1366" s="110"/>
      <c r="UEF1366" s="110"/>
      <c r="UEG1366" s="110"/>
      <c r="UEH1366" s="110"/>
      <c r="UEI1366" s="110"/>
      <c r="UEJ1366" s="110"/>
      <c r="UEK1366" s="110"/>
      <c r="UEL1366" s="110"/>
      <c r="UEM1366" s="110"/>
      <c r="UEN1366" s="110"/>
      <c r="UEO1366" s="110"/>
      <c r="UEP1366" s="110"/>
      <c r="UEQ1366" s="110"/>
      <c r="UER1366" s="110"/>
      <c r="UES1366" s="110"/>
      <c r="UET1366" s="110"/>
      <c r="UEU1366" s="110"/>
      <c r="UEV1366" s="110"/>
      <c r="UEW1366" s="110"/>
      <c r="UEX1366" s="110"/>
      <c r="UEY1366" s="110"/>
      <c r="UEZ1366" s="110"/>
      <c r="UFA1366" s="110"/>
      <c r="UFB1366" s="110"/>
      <c r="UFC1366" s="110"/>
      <c r="UFD1366" s="110"/>
      <c r="UFE1366" s="110"/>
      <c r="UFF1366" s="110"/>
      <c r="UFG1366" s="110"/>
      <c r="UFH1366" s="110"/>
      <c r="UFI1366" s="110"/>
      <c r="UFJ1366" s="110"/>
      <c r="UFK1366" s="110"/>
      <c r="UFL1366" s="110"/>
      <c r="UFM1366" s="110"/>
      <c r="UFN1366" s="110"/>
      <c r="UFO1366" s="110"/>
      <c r="UFP1366" s="110"/>
      <c r="UFQ1366" s="110"/>
      <c r="UFR1366" s="110"/>
      <c r="UFS1366" s="110"/>
      <c r="UFT1366" s="110"/>
      <c r="UFU1366" s="110"/>
      <c r="UFV1366" s="110"/>
      <c r="UFW1366" s="110"/>
      <c r="UFX1366" s="110"/>
      <c r="UFY1366" s="110"/>
      <c r="UFZ1366" s="110"/>
      <c r="UGA1366" s="110"/>
      <c r="UGB1366" s="110"/>
      <c r="UGC1366" s="110"/>
      <c r="UGD1366" s="110"/>
      <c r="UGE1366" s="110"/>
      <c r="UGF1366" s="110"/>
      <c r="UGG1366" s="110"/>
      <c r="UGH1366" s="110"/>
      <c r="UGI1366" s="110"/>
      <c r="UGJ1366" s="110"/>
      <c r="UGK1366" s="110"/>
      <c r="UGL1366" s="110"/>
      <c r="UGM1366" s="110"/>
      <c r="UGN1366" s="110"/>
      <c r="UGO1366" s="110"/>
      <c r="UGP1366" s="110"/>
      <c r="UGQ1366" s="110"/>
      <c r="UGR1366" s="110"/>
      <c r="UGS1366" s="110"/>
      <c r="UGT1366" s="110"/>
      <c r="UGU1366" s="110"/>
      <c r="UGV1366" s="110"/>
      <c r="UGW1366" s="110"/>
      <c r="UGX1366" s="110"/>
      <c r="UGY1366" s="110"/>
      <c r="UGZ1366" s="110"/>
      <c r="UHA1366" s="110"/>
      <c r="UHB1366" s="110"/>
      <c r="UHC1366" s="110"/>
      <c r="UHD1366" s="110"/>
      <c r="UHE1366" s="110"/>
      <c r="UHF1366" s="110"/>
      <c r="UHG1366" s="110"/>
      <c r="UHH1366" s="110"/>
      <c r="UHI1366" s="110"/>
      <c r="UHJ1366" s="110"/>
      <c r="UHK1366" s="110"/>
      <c r="UHL1366" s="110"/>
      <c r="UHM1366" s="110"/>
      <c r="UHN1366" s="110"/>
      <c r="UHO1366" s="110"/>
      <c r="UHP1366" s="110"/>
      <c r="UHQ1366" s="110"/>
      <c r="UHR1366" s="110"/>
      <c r="UHS1366" s="110"/>
      <c r="UHT1366" s="110"/>
      <c r="UHU1366" s="110"/>
      <c r="UHV1366" s="110"/>
      <c r="UHW1366" s="110"/>
      <c r="UHX1366" s="110"/>
      <c r="UHY1366" s="110"/>
      <c r="UHZ1366" s="110"/>
      <c r="UIA1366" s="110"/>
      <c r="UIB1366" s="110"/>
      <c r="UIC1366" s="110"/>
      <c r="UID1366" s="110"/>
      <c r="UIE1366" s="110"/>
      <c r="UIF1366" s="110"/>
      <c r="UIG1366" s="110"/>
      <c r="UIH1366" s="110"/>
      <c r="UII1366" s="110"/>
      <c r="UIJ1366" s="110"/>
      <c r="UIK1366" s="110"/>
      <c r="UIL1366" s="110"/>
      <c r="UIM1366" s="110"/>
      <c r="UIN1366" s="110"/>
      <c r="UIO1366" s="110"/>
      <c r="UIP1366" s="110"/>
      <c r="UIQ1366" s="110"/>
      <c r="UIR1366" s="110"/>
      <c r="UIS1366" s="110"/>
      <c r="UIT1366" s="110"/>
      <c r="UIU1366" s="110"/>
      <c r="UIV1366" s="110"/>
      <c r="UIW1366" s="110"/>
      <c r="UIX1366" s="110"/>
      <c r="UIY1366" s="110"/>
      <c r="UIZ1366" s="110"/>
      <c r="UJA1366" s="110"/>
      <c r="UJB1366" s="110"/>
      <c r="UJC1366" s="110"/>
      <c r="UJD1366" s="110"/>
      <c r="UJE1366" s="110"/>
      <c r="UJF1366" s="110"/>
      <c r="UJG1366" s="110"/>
      <c r="UJH1366" s="110"/>
      <c r="UJI1366" s="110"/>
      <c r="UJJ1366" s="110"/>
      <c r="UJK1366" s="110"/>
      <c r="UJL1366" s="110"/>
      <c r="UJM1366" s="110"/>
      <c r="UJN1366" s="110"/>
      <c r="UJO1366" s="110"/>
      <c r="UJP1366" s="110"/>
      <c r="UJQ1366" s="110"/>
      <c r="UJR1366" s="110"/>
      <c r="UJS1366" s="110"/>
      <c r="UJT1366" s="110"/>
      <c r="UJU1366" s="110"/>
      <c r="UJV1366" s="110"/>
      <c r="UJW1366" s="110"/>
      <c r="UJX1366" s="110"/>
      <c r="UJY1366" s="110"/>
      <c r="UJZ1366" s="110"/>
      <c r="UKA1366" s="110"/>
      <c r="UKB1366" s="110"/>
      <c r="UKC1366" s="110"/>
      <c r="UKD1366" s="110"/>
      <c r="UKE1366" s="110"/>
      <c r="UKF1366" s="110"/>
      <c r="UKG1366" s="110"/>
      <c r="UKH1366" s="110"/>
      <c r="UKI1366" s="110"/>
      <c r="UKJ1366" s="110"/>
      <c r="UKK1366" s="110"/>
      <c r="UKL1366" s="110"/>
      <c r="UKM1366" s="110"/>
      <c r="UKN1366" s="110"/>
      <c r="UKO1366" s="110"/>
      <c r="UKP1366" s="110"/>
      <c r="UKQ1366" s="110"/>
      <c r="UKR1366" s="110"/>
      <c r="UKS1366" s="110"/>
      <c r="UKT1366" s="110"/>
      <c r="UKU1366" s="110"/>
      <c r="UKV1366" s="110"/>
      <c r="UKW1366" s="110"/>
      <c r="UKX1366" s="110"/>
      <c r="UKY1366" s="110"/>
      <c r="UKZ1366" s="110"/>
      <c r="ULA1366" s="110"/>
      <c r="ULB1366" s="110"/>
      <c r="ULC1366" s="110"/>
      <c r="ULD1366" s="110"/>
      <c r="ULE1366" s="110"/>
      <c r="ULF1366" s="110"/>
      <c r="ULG1366" s="110"/>
      <c r="ULH1366" s="110"/>
      <c r="ULI1366" s="110"/>
      <c r="ULJ1366" s="110"/>
      <c r="ULK1366" s="110"/>
      <c r="ULL1366" s="110"/>
      <c r="ULM1366" s="110"/>
      <c r="ULN1366" s="110"/>
      <c r="ULO1366" s="110"/>
      <c r="ULP1366" s="110"/>
      <c r="ULQ1366" s="110"/>
      <c r="ULR1366" s="110"/>
      <c r="ULS1366" s="110"/>
      <c r="ULT1366" s="110"/>
      <c r="ULU1366" s="110"/>
      <c r="ULV1366" s="110"/>
      <c r="ULW1366" s="110"/>
      <c r="ULX1366" s="110"/>
      <c r="ULY1366" s="110"/>
      <c r="ULZ1366" s="110"/>
      <c r="UMA1366" s="110"/>
      <c r="UMB1366" s="110"/>
      <c r="UMC1366" s="110"/>
      <c r="UMD1366" s="110"/>
      <c r="UME1366" s="110"/>
      <c r="UMF1366" s="110"/>
      <c r="UMG1366" s="110"/>
      <c r="UMH1366" s="110"/>
      <c r="UMI1366" s="110"/>
      <c r="UMJ1366" s="110"/>
      <c r="UMK1366" s="110"/>
      <c r="UML1366" s="110"/>
      <c r="UMM1366" s="110"/>
      <c r="UMN1366" s="110"/>
      <c r="UMO1366" s="110"/>
      <c r="UMP1366" s="110"/>
      <c r="UMQ1366" s="110"/>
      <c r="UMR1366" s="110"/>
      <c r="UMS1366" s="110"/>
      <c r="UMT1366" s="110"/>
      <c r="UMU1366" s="110"/>
      <c r="UMV1366" s="110"/>
      <c r="UMW1366" s="110"/>
      <c r="UMX1366" s="110"/>
      <c r="UMY1366" s="110"/>
      <c r="UMZ1366" s="110"/>
      <c r="UNA1366" s="110"/>
      <c r="UNB1366" s="110"/>
      <c r="UNC1366" s="110"/>
      <c r="UND1366" s="110"/>
      <c r="UNE1366" s="110"/>
      <c r="UNF1366" s="110"/>
      <c r="UNG1366" s="110"/>
      <c r="UNH1366" s="110"/>
      <c r="UNI1366" s="110"/>
      <c r="UNJ1366" s="110"/>
      <c r="UNK1366" s="110"/>
      <c r="UNL1366" s="110"/>
      <c r="UNM1366" s="110"/>
      <c r="UNN1366" s="110"/>
      <c r="UNO1366" s="110"/>
      <c r="UNP1366" s="110"/>
      <c r="UNQ1366" s="110"/>
      <c r="UNR1366" s="110"/>
      <c r="UNS1366" s="110"/>
      <c r="UNT1366" s="110"/>
      <c r="UNU1366" s="110"/>
      <c r="UNV1366" s="110"/>
      <c r="UNW1366" s="110"/>
      <c r="UNX1366" s="110"/>
      <c r="UNY1366" s="110"/>
      <c r="UNZ1366" s="110"/>
      <c r="UOA1366" s="110"/>
      <c r="UOB1366" s="110"/>
      <c r="UOC1366" s="110"/>
      <c r="UOD1366" s="110"/>
      <c r="UOE1366" s="110"/>
      <c r="UOF1366" s="110"/>
      <c r="UOG1366" s="110"/>
      <c r="UOH1366" s="110"/>
      <c r="UOI1366" s="110"/>
      <c r="UOJ1366" s="110"/>
      <c r="UOK1366" s="110"/>
      <c r="UOL1366" s="110"/>
      <c r="UOM1366" s="110"/>
      <c r="UON1366" s="110"/>
      <c r="UOO1366" s="110"/>
      <c r="UOP1366" s="110"/>
      <c r="UOQ1366" s="110"/>
      <c r="UOR1366" s="110"/>
      <c r="UOS1366" s="110"/>
      <c r="UOT1366" s="110"/>
      <c r="UOU1366" s="110"/>
      <c r="UOV1366" s="110"/>
      <c r="UOW1366" s="110"/>
      <c r="UOX1366" s="110"/>
      <c r="UOY1366" s="110"/>
      <c r="UOZ1366" s="110"/>
      <c r="UPA1366" s="110"/>
      <c r="UPB1366" s="110"/>
      <c r="UPC1366" s="110"/>
      <c r="UPD1366" s="110"/>
      <c r="UPE1366" s="110"/>
      <c r="UPF1366" s="110"/>
      <c r="UPG1366" s="110"/>
      <c r="UPH1366" s="110"/>
      <c r="UPI1366" s="110"/>
      <c r="UPJ1366" s="110"/>
      <c r="UPK1366" s="110"/>
      <c r="UPL1366" s="110"/>
      <c r="UPM1366" s="110"/>
      <c r="UPN1366" s="110"/>
      <c r="UPO1366" s="110"/>
      <c r="UPP1366" s="110"/>
      <c r="UPQ1366" s="110"/>
      <c r="UPR1366" s="110"/>
      <c r="UPS1366" s="110"/>
      <c r="UPT1366" s="110"/>
      <c r="UPU1366" s="110"/>
      <c r="UPV1366" s="110"/>
      <c r="UPW1366" s="110"/>
      <c r="UPX1366" s="110"/>
      <c r="UPY1366" s="110"/>
      <c r="UPZ1366" s="110"/>
      <c r="UQA1366" s="110"/>
      <c r="UQB1366" s="110"/>
      <c r="UQC1366" s="110"/>
      <c r="UQD1366" s="110"/>
      <c r="UQE1366" s="110"/>
      <c r="UQF1366" s="110"/>
      <c r="UQG1366" s="110"/>
      <c r="UQH1366" s="110"/>
      <c r="UQI1366" s="110"/>
      <c r="UQJ1366" s="110"/>
      <c r="UQK1366" s="110"/>
      <c r="UQL1366" s="110"/>
      <c r="UQM1366" s="110"/>
      <c r="UQN1366" s="110"/>
      <c r="UQO1366" s="110"/>
      <c r="UQP1366" s="110"/>
      <c r="UQQ1366" s="110"/>
      <c r="UQR1366" s="110"/>
      <c r="UQS1366" s="110"/>
      <c r="UQT1366" s="110"/>
      <c r="UQU1366" s="110"/>
      <c r="UQV1366" s="110"/>
      <c r="UQW1366" s="110"/>
      <c r="UQX1366" s="110"/>
      <c r="UQY1366" s="110"/>
      <c r="UQZ1366" s="110"/>
      <c r="URA1366" s="110"/>
      <c r="URB1366" s="110"/>
      <c r="URC1366" s="110"/>
      <c r="URD1366" s="110"/>
      <c r="URE1366" s="110"/>
      <c r="URF1366" s="110"/>
      <c r="URG1366" s="110"/>
      <c r="URH1366" s="110"/>
      <c r="URI1366" s="110"/>
      <c r="URJ1366" s="110"/>
      <c r="URK1366" s="110"/>
      <c r="URL1366" s="110"/>
      <c r="URM1366" s="110"/>
      <c r="URN1366" s="110"/>
      <c r="URO1366" s="110"/>
      <c r="URP1366" s="110"/>
      <c r="URQ1366" s="110"/>
      <c r="URR1366" s="110"/>
      <c r="URS1366" s="110"/>
      <c r="URT1366" s="110"/>
      <c r="URU1366" s="110"/>
      <c r="URV1366" s="110"/>
      <c r="URW1366" s="110"/>
      <c r="URX1366" s="110"/>
      <c r="URY1366" s="110"/>
      <c r="URZ1366" s="110"/>
      <c r="USA1366" s="110"/>
      <c r="USB1366" s="110"/>
      <c r="USC1366" s="110"/>
      <c r="USD1366" s="110"/>
      <c r="USE1366" s="110"/>
      <c r="USF1366" s="110"/>
      <c r="USG1366" s="110"/>
      <c r="USH1366" s="110"/>
      <c r="USI1366" s="110"/>
      <c r="USJ1366" s="110"/>
      <c r="USK1366" s="110"/>
      <c r="USL1366" s="110"/>
      <c r="USM1366" s="110"/>
      <c r="USN1366" s="110"/>
      <c r="USO1366" s="110"/>
      <c r="USP1366" s="110"/>
      <c r="USQ1366" s="110"/>
      <c r="USR1366" s="110"/>
      <c r="USS1366" s="110"/>
      <c r="UST1366" s="110"/>
      <c r="USU1366" s="110"/>
      <c r="USV1366" s="110"/>
      <c r="USW1366" s="110"/>
      <c r="USX1366" s="110"/>
      <c r="USY1366" s="110"/>
      <c r="USZ1366" s="110"/>
      <c r="UTA1366" s="110"/>
      <c r="UTB1366" s="110"/>
      <c r="UTC1366" s="110"/>
      <c r="UTD1366" s="110"/>
      <c r="UTE1366" s="110"/>
      <c r="UTF1366" s="110"/>
      <c r="UTG1366" s="110"/>
      <c r="UTH1366" s="110"/>
      <c r="UTI1366" s="110"/>
      <c r="UTJ1366" s="110"/>
      <c r="UTK1366" s="110"/>
      <c r="UTL1366" s="110"/>
      <c r="UTM1366" s="110"/>
      <c r="UTN1366" s="110"/>
      <c r="UTO1366" s="110"/>
      <c r="UTP1366" s="110"/>
      <c r="UTQ1366" s="110"/>
      <c r="UTR1366" s="110"/>
      <c r="UTS1366" s="110"/>
      <c r="UTT1366" s="110"/>
      <c r="UTU1366" s="110"/>
      <c r="UTV1366" s="110"/>
      <c r="UTW1366" s="110"/>
      <c r="UTX1366" s="110"/>
      <c r="UTY1366" s="110"/>
      <c r="UTZ1366" s="110"/>
      <c r="UUA1366" s="110"/>
      <c r="UUB1366" s="110"/>
      <c r="UUC1366" s="110"/>
      <c r="UUD1366" s="110"/>
      <c r="UUE1366" s="110"/>
      <c r="UUF1366" s="110"/>
      <c r="UUG1366" s="110"/>
      <c r="UUH1366" s="110"/>
      <c r="UUI1366" s="110"/>
      <c r="UUJ1366" s="110"/>
      <c r="UUK1366" s="110"/>
      <c r="UUL1366" s="110"/>
      <c r="UUM1366" s="110"/>
      <c r="UUN1366" s="110"/>
      <c r="UUO1366" s="110"/>
      <c r="UUP1366" s="110"/>
      <c r="UUQ1366" s="110"/>
      <c r="UUR1366" s="110"/>
      <c r="UUS1366" s="110"/>
      <c r="UUT1366" s="110"/>
      <c r="UUU1366" s="110"/>
      <c r="UUV1366" s="110"/>
      <c r="UUW1366" s="110"/>
      <c r="UUX1366" s="110"/>
      <c r="UUY1366" s="110"/>
      <c r="UUZ1366" s="110"/>
      <c r="UVA1366" s="110"/>
      <c r="UVB1366" s="110"/>
      <c r="UVC1366" s="110"/>
      <c r="UVD1366" s="110"/>
      <c r="UVE1366" s="110"/>
      <c r="UVF1366" s="110"/>
      <c r="UVG1366" s="110"/>
      <c r="UVH1366" s="110"/>
      <c r="UVI1366" s="110"/>
      <c r="UVJ1366" s="110"/>
      <c r="UVK1366" s="110"/>
      <c r="UVL1366" s="110"/>
      <c r="UVM1366" s="110"/>
      <c r="UVN1366" s="110"/>
      <c r="UVO1366" s="110"/>
      <c r="UVP1366" s="110"/>
      <c r="UVQ1366" s="110"/>
      <c r="UVR1366" s="110"/>
      <c r="UVS1366" s="110"/>
      <c r="UVT1366" s="110"/>
      <c r="UVU1366" s="110"/>
      <c r="UVV1366" s="110"/>
      <c r="UVW1366" s="110"/>
      <c r="UVX1366" s="110"/>
      <c r="UVY1366" s="110"/>
      <c r="UVZ1366" s="110"/>
      <c r="UWA1366" s="110"/>
      <c r="UWB1366" s="110"/>
      <c r="UWC1366" s="110"/>
      <c r="UWD1366" s="110"/>
      <c r="UWE1366" s="110"/>
      <c r="UWF1366" s="110"/>
      <c r="UWG1366" s="110"/>
      <c r="UWH1366" s="110"/>
      <c r="UWI1366" s="110"/>
      <c r="UWJ1366" s="110"/>
      <c r="UWK1366" s="110"/>
      <c r="UWL1366" s="110"/>
      <c r="UWM1366" s="110"/>
      <c r="UWN1366" s="110"/>
      <c r="UWO1366" s="110"/>
      <c r="UWP1366" s="110"/>
      <c r="UWQ1366" s="110"/>
      <c r="UWR1366" s="110"/>
      <c r="UWS1366" s="110"/>
      <c r="UWT1366" s="110"/>
      <c r="UWU1366" s="110"/>
      <c r="UWV1366" s="110"/>
      <c r="UWW1366" s="110"/>
      <c r="UWX1366" s="110"/>
      <c r="UWY1366" s="110"/>
      <c r="UWZ1366" s="110"/>
      <c r="UXA1366" s="110"/>
      <c r="UXB1366" s="110"/>
      <c r="UXC1366" s="110"/>
      <c r="UXD1366" s="110"/>
      <c r="UXE1366" s="110"/>
      <c r="UXF1366" s="110"/>
      <c r="UXG1366" s="110"/>
      <c r="UXH1366" s="110"/>
      <c r="UXI1366" s="110"/>
      <c r="UXJ1366" s="110"/>
      <c r="UXK1366" s="110"/>
      <c r="UXL1366" s="110"/>
      <c r="UXM1366" s="110"/>
      <c r="UXN1366" s="110"/>
      <c r="UXO1366" s="110"/>
      <c r="UXP1366" s="110"/>
      <c r="UXQ1366" s="110"/>
      <c r="UXR1366" s="110"/>
      <c r="UXS1366" s="110"/>
      <c r="UXT1366" s="110"/>
      <c r="UXU1366" s="110"/>
      <c r="UXV1366" s="110"/>
      <c r="UXW1366" s="110"/>
      <c r="UXX1366" s="110"/>
      <c r="UXY1366" s="110"/>
      <c r="UXZ1366" s="110"/>
      <c r="UYA1366" s="110"/>
      <c r="UYB1366" s="110"/>
      <c r="UYC1366" s="110"/>
      <c r="UYD1366" s="110"/>
      <c r="UYE1366" s="110"/>
      <c r="UYF1366" s="110"/>
      <c r="UYG1366" s="110"/>
      <c r="UYH1366" s="110"/>
      <c r="UYI1366" s="110"/>
      <c r="UYJ1366" s="110"/>
      <c r="UYK1366" s="110"/>
      <c r="UYL1366" s="110"/>
      <c r="UYM1366" s="110"/>
      <c r="UYN1366" s="110"/>
      <c r="UYO1366" s="110"/>
      <c r="UYP1366" s="110"/>
      <c r="UYQ1366" s="110"/>
      <c r="UYR1366" s="110"/>
      <c r="UYS1366" s="110"/>
      <c r="UYT1366" s="110"/>
      <c r="UYU1366" s="110"/>
      <c r="UYV1366" s="110"/>
      <c r="UYW1366" s="110"/>
      <c r="UYX1366" s="110"/>
      <c r="UYY1366" s="110"/>
      <c r="UYZ1366" s="110"/>
      <c r="UZA1366" s="110"/>
      <c r="UZB1366" s="110"/>
      <c r="UZC1366" s="110"/>
      <c r="UZD1366" s="110"/>
      <c r="UZE1366" s="110"/>
      <c r="UZF1366" s="110"/>
      <c r="UZG1366" s="110"/>
      <c r="UZH1366" s="110"/>
      <c r="UZI1366" s="110"/>
      <c r="UZJ1366" s="110"/>
      <c r="UZK1366" s="110"/>
      <c r="UZL1366" s="110"/>
      <c r="UZM1366" s="110"/>
      <c r="UZN1366" s="110"/>
      <c r="UZO1366" s="110"/>
      <c r="UZP1366" s="110"/>
      <c r="UZQ1366" s="110"/>
      <c r="UZR1366" s="110"/>
      <c r="UZS1366" s="110"/>
      <c r="UZT1366" s="110"/>
      <c r="UZU1366" s="110"/>
      <c r="UZV1366" s="110"/>
      <c r="UZW1366" s="110"/>
      <c r="UZX1366" s="110"/>
      <c r="UZY1366" s="110"/>
      <c r="UZZ1366" s="110"/>
      <c r="VAA1366" s="110"/>
      <c r="VAB1366" s="110"/>
      <c r="VAC1366" s="110"/>
      <c r="VAD1366" s="110"/>
      <c r="VAE1366" s="110"/>
      <c r="VAF1366" s="110"/>
      <c r="VAG1366" s="110"/>
      <c r="VAH1366" s="110"/>
      <c r="VAI1366" s="110"/>
      <c r="VAJ1366" s="110"/>
      <c r="VAK1366" s="110"/>
      <c r="VAL1366" s="110"/>
      <c r="VAM1366" s="110"/>
      <c r="VAN1366" s="110"/>
      <c r="VAO1366" s="110"/>
      <c r="VAP1366" s="110"/>
      <c r="VAQ1366" s="110"/>
      <c r="VAR1366" s="110"/>
      <c r="VAS1366" s="110"/>
      <c r="VAT1366" s="110"/>
      <c r="VAU1366" s="110"/>
      <c r="VAV1366" s="110"/>
      <c r="VAW1366" s="110"/>
      <c r="VAX1366" s="110"/>
      <c r="VAY1366" s="110"/>
      <c r="VAZ1366" s="110"/>
      <c r="VBA1366" s="110"/>
      <c r="VBB1366" s="110"/>
      <c r="VBC1366" s="110"/>
      <c r="VBD1366" s="110"/>
      <c r="VBE1366" s="110"/>
      <c r="VBF1366" s="110"/>
      <c r="VBG1366" s="110"/>
      <c r="VBH1366" s="110"/>
      <c r="VBI1366" s="110"/>
      <c r="VBJ1366" s="110"/>
      <c r="VBK1366" s="110"/>
      <c r="VBL1366" s="110"/>
      <c r="VBM1366" s="110"/>
      <c r="VBN1366" s="110"/>
      <c r="VBO1366" s="110"/>
      <c r="VBP1366" s="110"/>
      <c r="VBQ1366" s="110"/>
      <c r="VBR1366" s="110"/>
      <c r="VBS1366" s="110"/>
      <c r="VBT1366" s="110"/>
      <c r="VBU1366" s="110"/>
      <c r="VBV1366" s="110"/>
      <c r="VBW1366" s="110"/>
      <c r="VBX1366" s="110"/>
      <c r="VBY1366" s="110"/>
      <c r="VBZ1366" s="110"/>
      <c r="VCA1366" s="110"/>
      <c r="VCB1366" s="110"/>
      <c r="VCC1366" s="110"/>
      <c r="VCD1366" s="110"/>
      <c r="VCE1366" s="110"/>
      <c r="VCF1366" s="110"/>
      <c r="VCG1366" s="110"/>
      <c r="VCH1366" s="110"/>
      <c r="VCI1366" s="110"/>
      <c r="VCJ1366" s="110"/>
      <c r="VCK1366" s="110"/>
      <c r="VCL1366" s="110"/>
      <c r="VCM1366" s="110"/>
      <c r="VCN1366" s="110"/>
      <c r="VCO1366" s="110"/>
      <c r="VCP1366" s="110"/>
      <c r="VCQ1366" s="110"/>
      <c r="VCR1366" s="110"/>
      <c r="VCS1366" s="110"/>
      <c r="VCT1366" s="110"/>
      <c r="VCU1366" s="110"/>
      <c r="VCV1366" s="110"/>
      <c r="VCW1366" s="110"/>
      <c r="VCX1366" s="110"/>
      <c r="VCY1366" s="110"/>
      <c r="VCZ1366" s="110"/>
      <c r="VDA1366" s="110"/>
      <c r="VDB1366" s="110"/>
      <c r="VDC1366" s="110"/>
      <c r="VDD1366" s="110"/>
      <c r="VDE1366" s="110"/>
      <c r="VDF1366" s="110"/>
      <c r="VDG1366" s="110"/>
      <c r="VDH1366" s="110"/>
      <c r="VDI1366" s="110"/>
      <c r="VDJ1366" s="110"/>
      <c r="VDK1366" s="110"/>
      <c r="VDL1366" s="110"/>
      <c r="VDM1366" s="110"/>
      <c r="VDN1366" s="110"/>
      <c r="VDO1366" s="110"/>
      <c r="VDP1366" s="110"/>
      <c r="VDQ1366" s="110"/>
      <c r="VDR1366" s="110"/>
      <c r="VDS1366" s="110"/>
      <c r="VDT1366" s="110"/>
      <c r="VDU1366" s="110"/>
      <c r="VDV1366" s="110"/>
      <c r="VDW1366" s="110"/>
      <c r="VDX1366" s="110"/>
      <c r="VDY1366" s="110"/>
      <c r="VDZ1366" s="110"/>
      <c r="VEA1366" s="110"/>
      <c r="VEB1366" s="110"/>
      <c r="VEC1366" s="110"/>
      <c r="VED1366" s="110"/>
      <c r="VEE1366" s="110"/>
      <c r="VEF1366" s="110"/>
      <c r="VEG1366" s="110"/>
      <c r="VEH1366" s="110"/>
      <c r="VEI1366" s="110"/>
      <c r="VEJ1366" s="110"/>
      <c r="VEK1366" s="110"/>
      <c r="VEL1366" s="110"/>
      <c r="VEM1366" s="110"/>
      <c r="VEN1366" s="110"/>
      <c r="VEO1366" s="110"/>
      <c r="VEP1366" s="110"/>
      <c r="VEQ1366" s="110"/>
      <c r="VER1366" s="110"/>
      <c r="VES1366" s="110"/>
      <c r="VET1366" s="110"/>
      <c r="VEU1366" s="110"/>
      <c r="VEV1366" s="110"/>
      <c r="VEW1366" s="110"/>
      <c r="VEX1366" s="110"/>
      <c r="VEY1366" s="110"/>
      <c r="VEZ1366" s="110"/>
      <c r="VFA1366" s="110"/>
      <c r="VFB1366" s="110"/>
      <c r="VFC1366" s="110"/>
      <c r="VFD1366" s="110"/>
      <c r="VFE1366" s="110"/>
      <c r="VFF1366" s="110"/>
      <c r="VFG1366" s="110"/>
      <c r="VFH1366" s="110"/>
      <c r="VFI1366" s="110"/>
      <c r="VFJ1366" s="110"/>
      <c r="VFK1366" s="110"/>
      <c r="VFL1366" s="110"/>
      <c r="VFM1366" s="110"/>
      <c r="VFN1366" s="110"/>
      <c r="VFO1366" s="110"/>
      <c r="VFP1366" s="110"/>
      <c r="VFQ1366" s="110"/>
      <c r="VFR1366" s="110"/>
      <c r="VFS1366" s="110"/>
      <c r="VFT1366" s="110"/>
      <c r="VFU1366" s="110"/>
      <c r="VFV1366" s="110"/>
      <c r="VFW1366" s="110"/>
      <c r="VFX1366" s="110"/>
      <c r="VFY1366" s="110"/>
      <c r="VFZ1366" s="110"/>
      <c r="VGA1366" s="110"/>
      <c r="VGB1366" s="110"/>
      <c r="VGC1366" s="110"/>
      <c r="VGD1366" s="110"/>
      <c r="VGE1366" s="110"/>
      <c r="VGF1366" s="110"/>
      <c r="VGG1366" s="110"/>
      <c r="VGH1366" s="110"/>
      <c r="VGI1366" s="110"/>
      <c r="VGJ1366" s="110"/>
      <c r="VGK1366" s="110"/>
      <c r="VGL1366" s="110"/>
      <c r="VGM1366" s="110"/>
      <c r="VGN1366" s="110"/>
      <c r="VGO1366" s="110"/>
      <c r="VGP1366" s="110"/>
      <c r="VGQ1366" s="110"/>
      <c r="VGR1366" s="110"/>
      <c r="VGS1366" s="110"/>
      <c r="VGT1366" s="110"/>
      <c r="VGU1366" s="110"/>
      <c r="VGV1366" s="110"/>
      <c r="VGW1366" s="110"/>
      <c r="VGX1366" s="110"/>
      <c r="VGY1366" s="110"/>
      <c r="VGZ1366" s="110"/>
      <c r="VHA1366" s="110"/>
      <c r="VHB1366" s="110"/>
      <c r="VHC1366" s="110"/>
      <c r="VHD1366" s="110"/>
      <c r="VHE1366" s="110"/>
      <c r="VHF1366" s="110"/>
      <c r="VHG1366" s="110"/>
      <c r="VHH1366" s="110"/>
      <c r="VHI1366" s="110"/>
      <c r="VHJ1366" s="110"/>
      <c r="VHK1366" s="110"/>
      <c r="VHL1366" s="110"/>
      <c r="VHM1366" s="110"/>
      <c r="VHN1366" s="110"/>
      <c r="VHO1366" s="110"/>
      <c r="VHP1366" s="110"/>
      <c r="VHQ1366" s="110"/>
      <c r="VHR1366" s="110"/>
      <c r="VHS1366" s="110"/>
      <c r="VHT1366" s="110"/>
      <c r="VHU1366" s="110"/>
      <c r="VHV1366" s="110"/>
      <c r="VHW1366" s="110"/>
      <c r="VHX1366" s="110"/>
      <c r="VHY1366" s="110"/>
      <c r="VHZ1366" s="110"/>
      <c r="VIA1366" s="110"/>
      <c r="VIB1366" s="110"/>
      <c r="VIC1366" s="110"/>
      <c r="VID1366" s="110"/>
      <c r="VIE1366" s="110"/>
      <c r="VIF1366" s="110"/>
      <c r="VIG1366" s="110"/>
      <c r="VIH1366" s="110"/>
      <c r="VII1366" s="110"/>
      <c r="VIJ1366" s="110"/>
      <c r="VIK1366" s="110"/>
      <c r="VIL1366" s="110"/>
      <c r="VIM1366" s="110"/>
      <c r="VIN1366" s="110"/>
      <c r="VIO1366" s="110"/>
      <c r="VIP1366" s="110"/>
      <c r="VIQ1366" s="110"/>
      <c r="VIR1366" s="110"/>
      <c r="VIS1366" s="110"/>
      <c r="VIT1366" s="110"/>
      <c r="VIU1366" s="110"/>
      <c r="VIV1366" s="110"/>
      <c r="VIW1366" s="110"/>
      <c r="VIX1366" s="110"/>
      <c r="VIY1366" s="110"/>
      <c r="VIZ1366" s="110"/>
      <c r="VJA1366" s="110"/>
      <c r="VJB1366" s="110"/>
      <c r="VJC1366" s="110"/>
      <c r="VJD1366" s="110"/>
      <c r="VJE1366" s="110"/>
      <c r="VJF1366" s="110"/>
      <c r="VJG1366" s="110"/>
      <c r="VJH1366" s="110"/>
      <c r="VJI1366" s="110"/>
      <c r="VJJ1366" s="110"/>
      <c r="VJK1366" s="110"/>
      <c r="VJL1366" s="110"/>
      <c r="VJM1366" s="110"/>
      <c r="VJN1366" s="110"/>
      <c r="VJO1366" s="110"/>
      <c r="VJP1366" s="110"/>
      <c r="VJQ1366" s="110"/>
      <c r="VJR1366" s="110"/>
      <c r="VJS1366" s="110"/>
      <c r="VJT1366" s="110"/>
      <c r="VJU1366" s="110"/>
      <c r="VJV1366" s="110"/>
      <c r="VJW1366" s="110"/>
      <c r="VJX1366" s="110"/>
      <c r="VJY1366" s="110"/>
      <c r="VJZ1366" s="110"/>
      <c r="VKA1366" s="110"/>
      <c r="VKB1366" s="110"/>
      <c r="VKC1366" s="110"/>
      <c r="VKD1366" s="110"/>
      <c r="VKE1366" s="110"/>
      <c r="VKF1366" s="110"/>
      <c r="VKG1366" s="110"/>
      <c r="VKH1366" s="110"/>
      <c r="VKI1366" s="110"/>
      <c r="VKJ1366" s="110"/>
      <c r="VKK1366" s="110"/>
      <c r="VKL1366" s="110"/>
      <c r="VKM1366" s="110"/>
      <c r="VKN1366" s="110"/>
      <c r="VKO1366" s="110"/>
      <c r="VKP1366" s="110"/>
      <c r="VKQ1366" s="110"/>
      <c r="VKR1366" s="110"/>
      <c r="VKS1366" s="110"/>
      <c r="VKT1366" s="110"/>
      <c r="VKU1366" s="110"/>
      <c r="VKV1366" s="110"/>
      <c r="VKW1366" s="110"/>
      <c r="VKX1366" s="110"/>
      <c r="VKY1366" s="110"/>
      <c r="VKZ1366" s="110"/>
      <c r="VLA1366" s="110"/>
      <c r="VLB1366" s="110"/>
      <c r="VLC1366" s="110"/>
      <c r="VLD1366" s="110"/>
      <c r="VLE1366" s="110"/>
      <c r="VLF1366" s="110"/>
      <c r="VLG1366" s="110"/>
      <c r="VLH1366" s="110"/>
      <c r="VLI1366" s="110"/>
      <c r="VLJ1366" s="110"/>
      <c r="VLK1366" s="110"/>
      <c r="VLL1366" s="110"/>
      <c r="VLM1366" s="110"/>
      <c r="VLN1366" s="110"/>
      <c r="VLO1366" s="110"/>
      <c r="VLP1366" s="110"/>
      <c r="VLQ1366" s="110"/>
      <c r="VLR1366" s="110"/>
      <c r="VLS1366" s="110"/>
      <c r="VLT1366" s="110"/>
      <c r="VLU1366" s="110"/>
      <c r="VLV1366" s="110"/>
      <c r="VLW1366" s="110"/>
      <c r="VLX1366" s="110"/>
      <c r="VLY1366" s="110"/>
      <c r="VLZ1366" s="110"/>
      <c r="VMA1366" s="110"/>
      <c r="VMB1366" s="110"/>
      <c r="VMC1366" s="110"/>
      <c r="VMD1366" s="110"/>
      <c r="VME1366" s="110"/>
      <c r="VMF1366" s="110"/>
      <c r="VMG1366" s="110"/>
      <c r="VMH1366" s="110"/>
      <c r="VMI1366" s="110"/>
      <c r="VMJ1366" s="110"/>
      <c r="VMK1366" s="110"/>
      <c r="VML1366" s="110"/>
      <c r="VMM1366" s="110"/>
      <c r="VMN1366" s="110"/>
      <c r="VMO1366" s="110"/>
      <c r="VMP1366" s="110"/>
      <c r="VMQ1366" s="110"/>
      <c r="VMR1366" s="110"/>
      <c r="VMS1366" s="110"/>
      <c r="VMT1366" s="110"/>
      <c r="VMU1366" s="110"/>
      <c r="VMV1366" s="110"/>
      <c r="VMW1366" s="110"/>
      <c r="VMX1366" s="110"/>
      <c r="VMY1366" s="110"/>
      <c r="VMZ1366" s="110"/>
      <c r="VNA1366" s="110"/>
      <c r="VNB1366" s="110"/>
      <c r="VNC1366" s="110"/>
      <c r="VND1366" s="110"/>
      <c r="VNE1366" s="110"/>
      <c r="VNF1366" s="110"/>
      <c r="VNG1366" s="110"/>
      <c r="VNH1366" s="110"/>
      <c r="VNI1366" s="110"/>
      <c r="VNJ1366" s="110"/>
      <c r="VNK1366" s="110"/>
      <c r="VNL1366" s="110"/>
      <c r="VNM1366" s="110"/>
      <c r="VNN1366" s="110"/>
      <c r="VNO1366" s="110"/>
      <c r="VNP1366" s="110"/>
      <c r="VNQ1366" s="110"/>
      <c r="VNR1366" s="110"/>
      <c r="VNS1366" s="110"/>
      <c r="VNT1366" s="110"/>
      <c r="VNU1366" s="110"/>
      <c r="VNV1366" s="110"/>
      <c r="VNW1366" s="110"/>
      <c r="VNX1366" s="110"/>
      <c r="VNY1366" s="110"/>
      <c r="VNZ1366" s="110"/>
      <c r="VOA1366" s="110"/>
      <c r="VOB1366" s="110"/>
      <c r="VOC1366" s="110"/>
      <c r="VOD1366" s="110"/>
      <c r="VOE1366" s="110"/>
      <c r="VOF1366" s="110"/>
      <c r="VOG1366" s="110"/>
      <c r="VOH1366" s="110"/>
      <c r="VOI1366" s="110"/>
      <c r="VOJ1366" s="110"/>
      <c r="VOK1366" s="110"/>
      <c r="VOL1366" s="110"/>
      <c r="VOM1366" s="110"/>
      <c r="VON1366" s="110"/>
      <c r="VOO1366" s="110"/>
      <c r="VOP1366" s="110"/>
      <c r="VOQ1366" s="110"/>
      <c r="VOR1366" s="110"/>
      <c r="VOS1366" s="110"/>
      <c r="VOT1366" s="110"/>
      <c r="VOU1366" s="110"/>
      <c r="VOV1366" s="110"/>
      <c r="VOW1366" s="110"/>
      <c r="VOX1366" s="110"/>
      <c r="VOY1366" s="110"/>
      <c r="VOZ1366" s="110"/>
      <c r="VPA1366" s="110"/>
      <c r="VPB1366" s="110"/>
      <c r="VPC1366" s="110"/>
      <c r="VPD1366" s="110"/>
      <c r="VPE1366" s="110"/>
      <c r="VPF1366" s="110"/>
      <c r="VPG1366" s="110"/>
      <c r="VPH1366" s="110"/>
      <c r="VPI1366" s="110"/>
      <c r="VPJ1366" s="110"/>
      <c r="VPK1366" s="110"/>
      <c r="VPL1366" s="110"/>
      <c r="VPM1366" s="110"/>
      <c r="VPN1366" s="110"/>
      <c r="VPO1366" s="110"/>
      <c r="VPP1366" s="110"/>
      <c r="VPQ1366" s="110"/>
      <c r="VPR1366" s="110"/>
      <c r="VPS1366" s="110"/>
      <c r="VPT1366" s="110"/>
      <c r="VPU1366" s="110"/>
      <c r="VPV1366" s="110"/>
      <c r="VPW1366" s="110"/>
      <c r="VPX1366" s="110"/>
      <c r="VPY1366" s="110"/>
      <c r="VPZ1366" s="110"/>
      <c r="VQA1366" s="110"/>
      <c r="VQB1366" s="110"/>
      <c r="VQC1366" s="110"/>
      <c r="VQD1366" s="110"/>
      <c r="VQE1366" s="110"/>
      <c r="VQF1366" s="110"/>
      <c r="VQG1366" s="110"/>
      <c r="VQH1366" s="110"/>
      <c r="VQI1366" s="110"/>
      <c r="VQJ1366" s="110"/>
      <c r="VQK1366" s="110"/>
      <c r="VQL1366" s="110"/>
      <c r="VQM1366" s="110"/>
      <c r="VQN1366" s="110"/>
      <c r="VQO1366" s="110"/>
      <c r="VQP1366" s="110"/>
      <c r="VQQ1366" s="110"/>
      <c r="VQR1366" s="110"/>
      <c r="VQS1366" s="110"/>
      <c r="VQT1366" s="110"/>
      <c r="VQU1366" s="110"/>
      <c r="VQV1366" s="110"/>
      <c r="VQW1366" s="110"/>
      <c r="VQX1366" s="110"/>
      <c r="VQY1366" s="110"/>
      <c r="VQZ1366" s="110"/>
      <c r="VRA1366" s="110"/>
      <c r="VRB1366" s="110"/>
      <c r="VRC1366" s="110"/>
      <c r="VRD1366" s="110"/>
      <c r="VRE1366" s="110"/>
      <c r="VRF1366" s="110"/>
      <c r="VRG1366" s="110"/>
      <c r="VRH1366" s="110"/>
      <c r="VRI1366" s="110"/>
      <c r="VRJ1366" s="110"/>
      <c r="VRK1366" s="110"/>
      <c r="VRL1366" s="110"/>
      <c r="VRM1366" s="110"/>
      <c r="VRN1366" s="110"/>
      <c r="VRO1366" s="110"/>
      <c r="VRP1366" s="110"/>
      <c r="VRQ1366" s="110"/>
      <c r="VRR1366" s="110"/>
      <c r="VRS1366" s="110"/>
      <c r="VRT1366" s="110"/>
      <c r="VRU1366" s="110"/>
      <c r="VRV1366" s="110"/>
      <c r="VRW1366" s="110"/>
      <c r="VRX1366" s="110"/>
      <c r="VRY1366" s="110"/>
      <c r="VRZ1366" s="110"/>
      <c r="VSA1366" s="110"/>
      <c r="VSB1366" s="110"/>
      <c r="VSC1366" s="110"/>
      <c r="VSD1366" s="110"/>
      <c r="VSE1366" s="110"/>
      <c r="VSF1366" s="110"/>
      <c r="VSG1366" s="110"/>
      <c r="VSH1366" s="110"/>
      <c r="VSI1366" s="110"/>
      <c r="VSJ1366" s="110"/>
      <c r="VSK1366" s="110"/>
      <c r="VSL1366" s="110"/>
      <c r="VSM1366" s="110"/>
      <c r="VSN1366" s="110"/>
      <c r="VSO1366" s="110"/>
      <c r="VSP1366" s="110"/>
      <c r="VSQ1366" s="110"/>
      <c r="VSR1366" s="110"/>
      <c r="VSS1366" s="110"/>
      <c r="VST1366" s="110"/>
      <c r="VSU1366" s="110"/>
      <c r="VSV1366" s="110"/>
      <c r="VSW1366" s="110"/>
      <c r="VSX1366" s="110"/>
      <c r="VSY1366" s="110"/>
      <c r="VSZ1366" s="110"/>
      <c r="VTA1366" s="110"/>
      <c r="VTB1366" s="110"/>
      <c r="VTC1366" s="110"/>
      <c r="VTD1366" s="110"/>
      <c r="VTE1366" s="110"/>
      <c r="VTF1366" s="110"/>
      <c r="VTG1366" s="110"/>
      <c r="VTH1366" s="110"/>
      <c r="VTI1366" s="110"/>
      <c r="VTJ1366" s="110"/>
      <c r="VTK1366" s="110"/>
      <c r="VTL1366" s="110"/>
      <c r="VTM1366" s="110"/>
      <c r="VTN1366" s="110"/>
      <c r="VTO1366" s="110"/>
      <c r="VTP1366" s="110"/>
      <c r="VTQ1366" s="110"/>
      <c r="VTR1366" s="110"/>
      <c r="VTS1366" s="110"/>
      <c r="VTT1366" s="110"/>
      <c r="VTU1366" s="110"/>
      <c r="VTV1366" s="110"/>
      <c r="VTW1366" s="110"/>
      <c r="VTX1366" s="110"/>
      <c r="VTY1366" s="110"/>
      <c r="VTZ1366" s="110"/>
      <c r="VUA1366" s="110"/>
      <c r="VUB1366" s="110"/>
      <c r="VUC1366" s="110"/>
      <c r="VUD1366" s="110"/>
      <c r="VUE1366" s="110"/>
      <c r="VUF1366" s="110"/>
      <c r="VUG1366" s="110"/>
      <c r="VUH1366" s="110"/>
      <c r="VUI1366" s="110"/>
      <c r="VUJ1366" s="110"/>
      <c r="VUK1366" s="110"/>
      <c r="VUL1366" s="110"/>
      <c r="VUM1366" s="110"/>
      <c r="VUN1366" s="110"/>
      <c r="VUO1366" s="110"/>
      <c r="VUP1366" s="110"/>
      <c r="VUQ1366" s="110"/>
      <c r="VUR1366" s="110"/>
      <c r="VUS1366" s="110"/>
      <c r="VUT1366" s="110"/>
      <c r="VUU1366" s="110"/>
      <c r="VUV1366" s="110"/>
      <c r="VUW1366" s="110"/>
      <c r="VUX1366" s="110"/>
      <c r="VUY1366" s="110"/>
      <c r="VUZ1366" s="110"/>
      <c r="VVA1366" s="110"/>
      <c r="VVB1366" s="110"/>
      <c r="VVC1366" s="110"/>
      <c r="VVD1366" s="110"/>
      <c r="VVE1366" s="110"/>
      <c r="VVF1366" s="110"/>
      <c r="VVG1366" s="110"/>
      <c r="VVH1366" s="110"/>
      <c r="VVI1366" s="110"/>
      <c r="VVJ1366" s="110"/>
      <c r="VVK1366" s="110"/>
      <c r="VVL1366" s="110"/>
      <c r="VVM1366" s="110"/>
      <c r="VVN1366" s="110"/>
      <c r="VVO1366" s="110"/>
      <c r="VVP1366" s="110"/>
      <c r="VVQ1366" s="110"/>
      <c r="VVR1366" s="110"/>
      <c r="VVS1366" s="110"/>
      <c r="VVT1366" s="110"/>
      <c r="VVU1366" s="110"/>
      <c r="VVV1366" s="110"/>
      <c r="VVW1366" s="110"/>
      <c r="VVX1366" s="110"/>
      <c r="VVY1366" s="110"/>
      <c r="VVZ1366" s="110"/>
      <c r="VWA1366" s="110"/>
      <c r="VWB1366" s="110"/>
      <c r="VWC1366" s="110"/>
      <c r="VWD1366" s="110"/>
      <c r="VWE1366" s="110"/>
      <c r="VWF1366" s="110"/>
      <c r="VWG1366" s="110"/>
      <c r="VWH1366" s="110"/>
      <c r="VWI1366" s="110"/>
      <c r="VWJ1366" s="110"/>
      <c r="VWK1366" s="110"/>
      <c r="VWL1366" s="110"/>
      <c r="VWM1366" s="110"/>
      <c r="VWN1366" s="110"/>
      <c r="VWO1366" s="110"/>
      <c r="VWP1366" s="110"/>
      <c r="VWQ1366" s="110"/>
      <c r="VWR1366" s="110"/>
      <c r="VWS1366" s="110"/>
      <c r="VWT1366" s="110"/>
      <c r="VWU1366" s="110"/>
      <c r="VWV1366" s="110"/>
      <c r="VWW1366" s="110"/>
      <c r="VWX1366" s="110"/>
      <c r="VWY1366" s="110"/>
      <c r="VWZ1366" s="110"/>
      <c r="VXA1366" s="110"/>
      <c r="VXB1366" s="110"/>
      <c r="VXC1366" s="110"/>
      <c r="VXD1366" s="110"/>
      <c r="VXE1366" s="110"/>
      <c r="VXF1366" s="110"/>
      <c r="VXG1366" s="110"/>
      <c r="VXH1366" s="110"/>
      <c r="VXI1366" s="110"/>
      <c r="VXJ1366" s="110"/>
      <c r="VXK1366" s="110"/>
      <c r="VXL1366" s="110"/>
      <c r="VXM1366" s="110"/>
      <c r="VXN1366" s="110"/>
      <c r="VXO1366" s="110"/>
      <c r="VXP1366" s="110"/>
      <c r="VXQ1366" s="110"/>
      <c r="VXR1366" s="110"/>
      <c r="VXS1366" s="110"/>
      <c r="VXT1366" s="110"/>
      <c r="VXU1366" s="110"/>
      <c r="VXV1366" s="110"/>
      <c r="VXW1366" s="110"/>
      <c r="VXX1366" s="110"/>
      <c r="VXY1366" s="110"/>
      <c r="VXZ1366" s="110"/>
      <c r="VYA1366" s="110"/>
      <c r="VYB1366" s="110"/>
      <c r="VYC1366" s="110"/>
      <c r="VYD1366" s="110"/>
      <c r="VYE1366" s="110"/>
      <c r="VYF1366" s="110"/>
      <c r="VYG1366" s="110"/>
      <c r="VYH1366" s="110"/>
      <c r="VYI1366" s="110"/>
      <c r="VYJ1366" s="110"/>
      <c r="VYK1366" s="110"/>
      <c r="VYL1366" s="110"/>
      <c r="VYM1366" s="110"/>
      <c r="VYN1366" s="110"/>
      <c r="VYO1366" s="110"/>
      <c r="VYP1366" s="110"/>
      <c r="VYQ1366" s="110"/>
      <c r="VYR1366" s="110"/>
      <c r="VYS1366" s="110"/>
      <c r="VYT1366" s="110"/>
      <c r="VYU1366" s="110"/>
      <c r="VYV1366" s="110"/>
      <c r="VYW1366" s="110"/>
      <c r="VYX1366" s="110"/>
      <c r="VYY1366" s="110"/>
      <c r="VYZ1366" s="110"/>
      <c r="VZA1366" s="110"/>
      <c r="VZB1366" s="110"/>
      <c r="VZC1366" s="110"/>
      <c r="VZD1366" s="110"/>
      <c r="VZE1366" s="110"/>
      <c r="VZF1366" s="110"/>
      <c r="VZG1366" s="110"/>
      <c r="VZH1366" s="110"/>
      <c r="VZI1366" s="110"/>
      <c r="VZJ1366" s="110"/>
      <c r="VZK1366" s="110"/>
      <c r="VZL1366" s="110"/>
      <c r="VZM1366" s="110"/>
      <c r="VZN1366" s="110"/>
      <c r="VZO1366" s="110"/>
      <c r="VZP1366" s="110"/>
      <c r="VZQ1366" s="110"/>
      <c r="VZR1366" s="110"/>
      <c r="VZS1366" s="110"/>
      <c r="VZT1366" s="110"/>
      <c r="VZU1366" s="110"/>
      <c r="VZV1366" s="110"/>
      <c r="VZW1366" s="110"/>
      <c r="VZX1366" s="110"/>
      <c r="VZY1366" s="110"/>
      <c r="VZZ1366" s="110"/>
      <c r="WAA1366" s="110"/>
      <c r="WAB1366" s="110"/>
      <c r="WAC1366" s="110"/>
      <c r="WAD1366" s="110"/>
      <c r="WAE1366" s="110"/>
      <c r="WAF1366" s="110"/>
      <c r="WAG1366" s="110"/>
      <c r="WAH1366" s="110"/>
      <c r="WAI1366" s="110"/>
      <c r="WAJ1366" s="110"/>
      <c r="WAK1366" s="110"/>
      <c r="WAL1366" s="110"/>
      <c r="WAM1366" s="110"/>
      <c r="WAN1366" s="110"/>
      <c r="WAO1366" s="110"/>
      <c r="WAP1366" s="110"/>
      <c r="WAQ1366" s="110"/>
      <c r="WAR1366" s="110"/>
      <c r="WAS1366" s="110"/>
      <c r="WAT1366" s="110"/>
      <c r="WAU1366" s="110"/>
      <c r="WAV1366" s="110"/>
      <c r="WAW1366" s="110"/>
      <c r="WAX1366" s="110"/>
      <c r="WAY1366" s="110"/>
      <c r="WAZ1366" s="110"/>
      <c r="WBA1366" s="110"/>
      <c r="WBB1366" s="110"/>
      <c r="WBC1366" s="110"/>
      <c r="WBD1366" s="110"/>
      <c r="WBE1366" s="110"/>
      <c r="WBF1366" s="110"/>
      <c r="WBG1366" s="110"/>
      <c r="WBH1366" s="110"/>
      <c r="WBI1366" s="110"/>
      <c r="WBJ1366" s="110"/>
      <c r="WBK1366" s="110"/>
      <c r="WBL1366" s="110"/>
      <c r="WBM1366" s="110"/>
      <c r="WBN1366" s="110"/>
      <c r="WBO1366" s="110"/>
      <c r="WBP1366" s="110"/>
      <c r="WBQ1366" s="110"/>
      <c r="WBR1366" s="110"/>
      <c r="WBS1366" s="110"/>
      <c r="WBT1366" s="110"/>
      <c r="WBU1366" s="110"/>
      <c r="WBV1366" s="110"/>
      <c r="WBW1366" s="110"/>
      <c r="WBX1366" s="110"/>
      <c r="WBY1366" s="110"/>
      <c r="WBZ1366" s="110"/>
      <c r="WCA1366" s="110"/>
      <c r="WCB1366" s="110"/>
      <c r="WCC1366" s="110"/>
      <c r="WCD1366" s="110"/>
      <c r="WCE1366" s="110"/>
      <c r="WCF1366" s="110"/>
      <c r="WCG1366" s="110"/>
      <c r="WCH1366" s="110"/>
      <c r="WCI1366" s="110"/>
      <c r="WCJ1366" s="110"/>
      <c r="WCK1366" s="110"/>
      <c r="WCL1366" s="110"/>
      <c r="WCM1366" s="110"/>
      <c r="WCN1366" s="110"/>
      <c r="WCO1366" s="110"/>
      <c r="WCP1366" s="110"/>
      <c r="WCQ1366" s="110"/>
      <c r="WCR1366" s="110"/>
      <c r="WCS1366" s="110"/>
      <c r="WCT1366" s="110"/>
      <c r="WCU1366" s="110"/>
      <c r="WCV1366" s="110"/>
      <c r="WCW1366" s="110"/>
      <c r="WCX1366" s="110"/>
      <c r="WCY1366" s="110"/>
      <c r="WCZ1366" s="110"/>
      <c r="WDA1366" s="110"/>
      <c r="WDB1366" s="110"/>
      <c r="WDC1366" s="110"/>
      <c r="WDD1366" s="110"/>
      <c r="WDE1366" s="110"/>
      <c r="WDF1366" s="110"/>
      <c r="WDG1366" s="110"/>
      <c r="WDH1366" s="110"/>
      <c r="WDI1366" s="110"/>
      <c r="WDJ1366" s="110"/>
      <c r="WDK1366" s="110"/>
      <c r="WDL1366" s="110"/>
      <c r="WDM1366" s="110"/>
      <c r="WDN1366" s="110"/>
      <c r="WDO1366" s="110"/>
      <c r="WDP1366" s="110"/>
      <c r="WDQ1366" s="110"/>
      <c r="WDR1366" s="110"/>
      <c r="WDS1366" s="110"/>
      <c r="WDT1366" s="110"/>
      <c r="WDU1366" s="110"/>
      <c r="WDV1366" s="110"/>
      <c r="WDW1366" s="110"/>
      <c r="WDX1366" s="110"/>
      <c r="WDY1366" s="110"/>
      <c r="WDZ1366" s="110"/>
      <c r="WEA1366" s="110"/>
      <c r="WEB1366" s="110"/>
      <c r="WEC1366" s="110"/>
      <c r="WED1366" s="110"/>
      <c r="WEE1366" s="110"/>
      <c r="WEF1366" s="110"/>
      <c r="WEG1366" s="110"/>
      <c r="WEH1366" s="110"/>
      <c r="WEI1366" s="110"/>
      <c r="WEJ1366" s="110"/>
      <c r="WEK1366" s="110"/>
      <c r="WEL1366" s="110"/>
      <c r="WEM1366" s="110"/>
      <c r="WEN1366" s="110"/>
      <c r="WEO1366" s="110"/>
      <c r="WEP1366" s="110"/>
      <c r="WEQ1366" s="110"/>
      <c r="WER1366" s="110"/>
      <c r="WES1366" s="110"/>
      <c r="WET1366" s="110"/>
      <c r="WEU1366" s="110"/>
      <c r="WEV1366" s="110"/>
      <c r="WEW1366" s="110"/>
      <c r="WEX1366" s="110"/>
      <c r="WEY1366" s="110"/>
      <c r="WEZ1366" s="110"/>
      <c r="WFA1366" s="110"/>
      <c r="WFB1366" s="110"/>
      <c r="WFC1366" s="110"/>
      <c r="WFD1366" s="110"/>
      <c r="WFE1366" s="110"/>
      <c r="WFF1366" s="110"/>
      <c r="WFG1366" s="110"/>
      <c r="WFH1366" s="110"/>
      <c r="WFI1366" s="110"/>
      <c r="WFJ1366" s="110"/>
      <c r="WFK1366" s="110"/>
      <c r="WFL1366" s="110"/>
      <c r="WFM1366" s="110"/>
      <c r="WFN1366" s="110"/>
      <c r="WFO1366" s="110"/>
      <c r="WFP1366" s="110"/>
      <c r="WFQ1366" s="110"/>
      <c r="WFR1366" s="110"/>
      <c r="WFS1366" s="110"/>
      <c r="WFT1366" s="110"/>
      <c r="WFU1366" s="110"/>
      <c r="WFV1366" s="110"/>
      <c r="WFW1366" s="110"/>
      <c r="WFX1366" s="110"/>
      <c r="WFY1366" s="110"/>
      <c r="WFZ1366" s="110"/>
      <c r="WGA1366" s="110"/>
      <c r="WGB1366" s="110"/>
      <c r="WGC1366" s="110"/>
      <c r="WGD1366" s="110"/>
      <c r="WGE1366" s="110"/>
      <c r="WGF1366" s="110"/>
      <c r="WGG1366" s="110"/>
      <c r="WGH1366" s="110"/>
      <c r="WGI1366" s="110"/>
      <c r="WGJ1366" s="110"/>
      <c r="WGK1366" s="110"/>
      <c r="WGL1366" s="110"/>
      <c r="WGM1366" s="110"/>
      <c r="WGN1366" s="110"/>
      <c r="WGO1366" s="110"/>
      <c r="WGP1366" s="110"/>
      <c r="WGQ1366" s="110"/>
      <c r="WGR1366" s="110"/>
      <c r="WGS1366" s="110"/>
      <c r="WGT1366" s="110"/>
      <c r="WGU1366" s="110"/>
      <c r="WGV1366" s="110"/>
      <c r="WGW1366" s="110"/>
      <c r="WGX1366" s="110"/>
      <c r="WGY1366" s="110"/>
      <c r="WGZ1366" s="110"/>
      <c r="WHA1366" s="110"/>
      <c r="WHB1366" s="110"/>
      <c r="WHC1366" s="110"/>
      <c r="WHD1366" s="110"/>
      <c r="WHE1366" s="110"/>
      <c r="WHF1366" s="110"/>
      <c r="WHG1366" s="110"/>
      <c r="WHH1366" s="110"/>
      <c r="WHI1366" s="110"/>
      <c r="WHJ1366" s="110"/>
      <c r="WHK1366" s="110"/>
      <c r="WHL1366" s="110"/>
      <c r="WHM1366" s="110"/>
      <c r="WHN1366" s="110"/>
      <c r="WHO1366" s="110"/>
      <c r="WHP1366" s="110"/>
      <c r="WHQ1366" s="110"/>
      <c r="WHR1366" s="110"/>
      <c r="WHS1366" s="110"/>
      <c r="WHT1366" s="110"/>
      <c r="WHU1366" s="110"/>
      <c r="WHV1366" s="110"/>
      <c r="WHW1366" s="110"/>
      <c r="WHX1366" s="110"/>
      <c r="WHY1366" s="110"/>
      <c r="WHZ1366" s="110"/>
      <c r="WIA1366" s="110"/>
      <c r="WIB1366" s="110"/>
      <c r="WIC1366" s="110"/>
      <c r="WID1366" s="110"/>
      <c r="WIE1366" s="110"/>
      <c r="WIF1366" s="110"/>
      <c r="WIG1366" s="110"/>
      <c r="WIH1366" s="110"/>
      <c r="WII1366" s="110"/>
      <c r="WIJ1366" s="110"/>
      <c r="WIK1366" s="110"/>
      <c r="WIL1366" s="110"/>
      <c r="WIM1366" s="110"/>
      <c r="WIN1366" s="110"/>
      <c r="WIO1366" s="110"/>
      <c r="WIP1366" s="110"/>
      <c r="WIQ1366" s="110"/>
      <c r="WIR1366" s="110"/>
      <c r="WIS1366" s="110"/>
      <c r="WIT1366" s="110"/>
      <c r="WIU1366" s="110"/>
      <c r="WIV1366" s="110"/>
      <c r="WIW1366" s="110"/>
      <c r="WIX1366" s="110"/>
      <c r="WIY1366" s="110"/>
      <c r="WIZ1366" s="110"/>
      <c r="WJA1366" s="110"/>
      <c r="WJB1366" s="110"/>
      <c r="WJC1366" s="110"/>
      <c r="WJD1366" s="110"/>
      <c r="WJE1366" s="110"/>
      <c r="WJF1366" s="110"/>
      <c r="WJG1366" s="110"/>
      <c r="WJH1366" s="110"/>
      <c r="WJI1366" s="110"/>
      <c r="WJJ1366" s="110"/>
      <c r="WJK1366" s="110"/>
      <c r="WJL1366" s="110"/>
      <c r="WJM1366" s="110"/>
      <c r="WJN1366" s="110"/>
      <c r="WJO1366" s="110"/>
      <c r="WJP1366" s="110"/>
      <c r="WJQ1366" s="110"/>
      <c r="WJR1366" s="110"/>
      <c r="WJS1366" s="110"/>
      <c r="WJT1366" s="110"/>
      <c r="WJU1366" s="110"/>
      <c r="WJV1366" s="110"/>
      <c r="WJW1366" s="110"/>
      <c r="WJX1366" s="110"/>
      <c r="WJY1366" s="110"/>
      <c r="WJZ1366" s="110"/>
      <c r="WKA1366" s="110"/>
      <c r="WKB1366" s="110"/>
      <c r="WKC1366" s="110"/>
      <c r="WKD1366" s="110"/>
      <c r="WKE1366" s="110"/>
      <c r="WKF1366" s="110"/>
      <c r="WKG1366" s="110"/>
      <c r="WKH1366" s="110"/>
      <c r="WKI1366" s="110"/>
      <c r="WKJ1366" s="110"/>
      <c r="WKK1366" s="110"/>
      <c r="WKL1366" s="110"/>
      <c r="WKM1366" s="110"/>
      <c r="WKN1366" s="110"/>
      <c r="WKO1366" s="110"/>
      <c r="WKP1366" s="110"/>
      <c r="WKQ1366" s="110"/>
      <c r="WKR1366" s="110"/>
      <c r="WKS1366" s="110"/>
      <c r="WKT1366" s="110"/>
      <c r="WKU1366" s="110"/>
      <c r="WKV1366" s="110"/>
      <c r="WKW1366" s="110"/>
      <c r="WKX1366" s="110"/>
      <c r="WKY1366" s="110"/>
      <c r="WKZ1366" s="110"/>
      <c r="WLA1366" s="110"/>
      <c r="WLB1366" s="110"/>
      <c r="WLC1366" s="110"/>
      <c r="WLD1366" s="110"/>
      <c r="WLE1366" s="110"/>
      <c r="WLF1366" s="110"/>
      <c r="WLG1366" s="110"/>
      <c r="WLH1366" s="110"/>
      <c r="WLI1366" s="110"/>
      <c r="WLJ1366" s="110"/>
      <c r="WLK1366" s="110"/>
      <c r="WLL1366" s="110"/>
      <c r="WLM1366" s="110"/>
      <c r="WLN1366" s="110"/>
      <c r="WLO1366" s="110"/>
      <c r="WLP1366" s="110"/>
      <c r="WLQ1366" s="110"/>
      <c r="WLR1366" s="110"/>
      <c r="WLS1366" s="110"/>
      <c r="WLT1366" s="110"/>
      <c r="WLU1366" s="110"/>
      <c r="WLV1366" s="110"/>
      <c r="WLW1366" s="110"/>
      <c r="WLX1366" s="110"/>
      <c r="WLY1366" s="110"/>
      <c r="WLZ1366" s="110"/>
      <c r="WMA1366" s="110"/>
      <c r="WMB1366" s="110"/>
      <c r="WMC1366" s="110"/>
      <c r="WMD1366" s="110"/>
      <c r="WME1366" s="110"/>
      <c r="WMF1366" s="110"/>
      <c r="WMG1366" s="110"/>
      <c r="WMH1366" s="110"/>
      <c r="WMI1366" s="110"/>
      <c r="WMJ1366" s="110"/>
      <c r="WMK1366" s="110"/>
      <c r="WML1366" s="110"/>
      <c r="WMM1366" s="110"/>
      <c r="WMN1366" s="110"/>
      <c r="WMO1366" s="110"/>
      <c r="WMP1366" s="110"/>
      <c r="WMQ1366" s="110"/>
      <c r="WMR1366" s="110"/>
      <c r="WMS1366" s="110"/>
      <c r="WMT1366" s="110"/>
      <c r="WMU1366" s="110"/>
      <c r="WMV1366" s="110"/>
      <c r="WMW1366" s="110"/>
      <c r="WMX1366" s="110"/>
      <c r="WMY1366" s="110"/>
      <c r="WMZ1366" s="110"/>
      <c r="WNA1366" s="110"/>
      <c r="WNB1366" s="110"/>
      <c r="WNC1366" s="110"/>
      <c r="WND1366" s="110"/>
      <c r="WNE1366" s="110"/>
      <c r="WNF1366" s="110"/>
      <c r="WNG1366" s="110"/>
      <c r="WNH1366" s="110"/>
      <c r="WNI1366" s="110"/>
      <c r="WNJ1366" s="110"/>
      <c r="WNK1366" s="110"/>
      <c r="WNL1366" s="110"/>
      <c r="WNM1366" s="110"/>
      <c r="WNN1366" s="110"/>
      <c r="WNO1366" s="110"/>
      <c r="WNP1366" s="110"/>
      <c r="WNQ1366" s="110"/>
      <c r="WNR1366" s="110"/>
      <c r="WNS1366" s="110"/>
      <c r="WNT1366" s="110"/>
      <c r="WNU1366" s="110"/>
      <c r="WNV1366" s="110"/>
      <c r="WNW1366" s="110"/>
      <c r="WNX1366" s="110"/>
      <c r="WNY1366" s="110"/>
      <c r="WNZ1366" s="110"/>
      <c r="WOA1366" s="110"/>
      <c r="WOB1366" s="110"/>
      <c r="WOC1366" s="110"/>
      <c r="WOD1366" s="110"/>
      <c r="WOE1366" s="110"/>
      <c r="WOF1366" s="110"/>
      <c r="WOG1366" s="110"/>
      <c r="WOH1366" s="110"/>
      <c r="WOI1366" s="110"/>
      <c r="WOJ1366" s="110"/>
      <c r="WOK1366" s="110"/>
      <c r="WOL1366" s="110"/>
      <c r="WOM1366" s="110"/>
      <c r="WON1366" s="110"/>
      <c r="WOO1366" s="110"/>
      <c r="WOP1366" s="110"/>
      <c r="WOQ1366" s="110"/>
      <c r="WOR1366" s="110"/>
      <c r="WOS1366" s="110"/>
      <c r="WOT1366" s="110"/>
      <c r="WOU1366" s="110"/>
      <c r="WOV1366" s="110"/>
      <c r="WOW1366" s="110"/>
      <c r="WOX1366" s="110"/>
      <c r="WOY1366" s="110"/>
      <c r="WOZ1366" s="110"/>
      <c r="WPA1366" s="110"/>
      <c r="WPB1366" s="110"/>
      <c r="WPC1366" s="110"/>
      <c r="WPD1366" s="110"/>
      <c r="WPE1366" s="110"/>
      <c r="WPF1366" s="110"/>
      <c r="WPG1366" s="110"/>
      <c r="WPH1366" s="110"/>
      <c r="WPI1366" s="110"/>
      <c r="WPJ1366" s="110"/>
      <c r="WPK1366" s="110"/>
      <c r="WPL1366" s="110"/>
      <c r="WPM1366" s="110"/>
      <c r="WPN1366" s="110"/>
      <c r="WPO1366" s="110"/>
      <c r="WPP1366" s="110"/>
      <c r="WPQ1366" s="110"/>
      <c r="WPR1366" s="110"/>
      <c r="WPS1366" s="110"/>
      <c r="WPT1366" s="110"/>
      <c r="WPU1366" s="110"/>
      <c r="WPV1366" s="110"/>
      <c r="WPW1366" s="110"/>
      <c r="WPX1366" s="110"/>
      <c r="WPY1366" s="110"/>
      <c r="WPZ1366" s="110"/>
      <c r="WQA1366" s="110"/>
      <c r="WQB1366" s="110"/>
      <c r="WQC1366" s="110"/>
      <c r="WQD1366" s="110"/>
      <c r="WQE1366" s="110"/>
      <c r="WQF1366" s="110"/>
      <c r="WQG1366" s="110"/>
      <c r="WQH1366" s="110"/>
      <c r="WQI1366" s="110"/>
      <c r="WQJ1366" s="110"/>
      <c r="WQK1366" s="110"/>
      <c r="WQL1366" s="110"/>
      <c r="WQM1366" s="110"/>
      <c r="WQN1366" s="110"/>
      <c r="WQO1366" s="110"/>
      <c r="WQP1366" s="110"/>
      <c r="WQQ1366" s="110"/>
      <c r="WQR1366" s="110"/>
      <c r="WQS1366" s="110"/>
      <c r="WQT1366" s="110"/>
      <c r="WQU1366" s="110"/>
      <c r="WQV1366" s="110"/>
      <c r="WQW1366" s="110"/>
      <c r="WQX1366" s="110"/>
      <c r="WQY1366" s="110"/>
      <c r="WQZ1366" s="110"/>
      <c r="WRA1366" s="110"/>
      <c r="WRB1366" s="110"/>
      <c r="WRC1366" s="110"/>
      <c r="WRD1366" s="110"/>
      <c r="WRE1366" s="110"/>
      <c r="WRF1366" s="110"/>
      <c r="WRG1366" s="110"/>
      <c r="WRH1366" s="110"/>
      <c r="WRI1366" s="110"/>
      <c r="WRJ1366" s="110"/>
      <c r="WRK1366" s="110"/>
      <c r="WRL1366" s="110"/>
      <c r="WRM1366" s="110"/>
      <c r="WRN1366" s="110"/>
      <c r="WRO1366" s="110"/>
      <c r="WRP1366" s="110"/>
      <c r="WRQ1366" s="110"/>
      <c r="WRR1366" s="110"/>
      <c r="WRS1366" s="110"/>
      <c r="WRT1366" s="110"/>
      <c r="WRU1366" s="110"/>
      <c r="WRV1366" s="110"/>
      <c r="WRW1366" s="110"/>
      <c r="WRX1366" s="110"/>
      <c r="WRY1366" s="110"/>
      <c r="WRZ1366" s="110"/>
      <c r="WSA1366" s="110"/>
      <c r="WSB1366" s="110"/>
      <c r="WSC1366" s="110"/>
      <c r="WSD1366" s="110"/>
      <c r="WSE1366" s="110"/>
      <c r="WSF1366" s="110"/>
      <c r="WSG1366" s="110"/>
      <c r="WSH1366" s="110"/>
      <c r="WSI1366" s="110"/>
      <c r="WSJ1366" s="110"/>
      <c r="WSK1366" s="110"/>
      <c r="WSL1366" s="110"/>
      <c r="WSM1366" s="110"/>
      <c r="WSN1366" s="110"/>
      <c r="WSO1366" s="110"/>
      <c r="WSP1366" s="110"/>
      <c r="WSQ1366" s="110"/>
      <c r="WSR1366" s="110"/>
      <c r="WSS1366" s="110"/>
      <c r="WST1366" s="110"/>
      <c r="WSU1366" s="110"/>
      <c r="WSV1366" s="110"/>
      <c r="WSW1366" s="110"/>
      <c r="WSX1366" s="110"/>
      <c r="WSY1366" s="110"/>
      <c r="WSZ1366" s="110"/>
      <c r="WTA1366" s="110"/>
      <c r="WTB1366" s="110"/>
      <c r="WTC1366" s="110"/>
      <c r="WTD1366" s="110"/>
      <c r="WTE1366" s="110"/>
      <c r="WTF1366" s="110"/>
      <c r="WTG1366" s="110"/>
      <c r="WTH1366" s="110"/>
      <c r="WTI1366" s="110"/>
      <c r="WTJ1366" s="110"/>
      <c r="WTK1366" s="110"/>
      <c r="WTL1366" s="110"/>
      <c r="WTM1366" s="110"/>
      <c r="WTN1366" s="110"/>
      <c r="WTO1366" s="110"/>
      <c r="WTP1366" s="110"/>
      <c r="WTQ1366" s="110"/>
      <c r="WTR1366" s="110"/>
      <c r="WTS1366" s="110"/>
      <c r="WTT1366" s="110"/>
      <c r="WTU1366" s="110"/>
      <c r="WTV1366" s="110"/>
      <c r="WTW1366" s="110"/>
      <c r="WTX1366" s="110"/>
      <c r="WTY1366" s="110"/>
      <c r="WTZ1366" s="110"/>
      <c r="WUA1366" s="110"/>
      <c r="WUB1366" s="110"/>
      <c r="WUC1366" s="110"/>
      <c r="WUD1366" s="110"/>
      <c r="WUE1366" s="110"/>
      <c r="WUF1366" s="110"/>
      <c r="WUG1366" s="110"/>
      <c r="WUH1366" s="110"/>
      <c r="WUI1366" s="110"/>
      <c r="WUJ1366" s="110"/>
      <c r="WUK1366" s="110"/>
      <c r="WUL1366" s="110"/>
      <c r="WUM1366" s="110"/>
      <c r="WUN1366" s="110"/>
      <c r="WUO1366" s="110"/>
      <c r="WUP1366" s="110"/>
      <c r="WUQ1366" s="110"/>
      <c r="WUR1366" s="110"/>
      <c r="WUS1366" s="110"/>
      <c r="WUT1366" s="110"/>
      <c r="WUU1366" s="110"/>
      <c r="WUV1366" s="110"/>
      <c r="WUW1366" s="110"/>
      <c r="WUX1366" s="110"/>
      <c r="WUY1366" s="110"/>
      <c r="WUZ1366" s="110"/>
      <c r="WVA1366" s="110"/>
      <c r="WVB1366" s="110"/>
      <c r="WVC1366" s="110"/>
      <c r="WVD1366" s="110"/>
      <c r="WVE1366" s="110"/>
      <c r="WVF1366" s="110"/>
      <c r="WVG1366" s="110"/>
      <c r="WVH1366" s="110"/>
      <c r="WVI1366" s="110"/>
      <c r="WVJ1366" s="110"/>
      <c r="WVK1366" s="110"/>
      <c r="WVL1366" s="110"/>
      <c r="WVM1366" s="110"/>
      <c r="WVN1366" s="110"/>
      <c r="WVO1366" s="110"/>
      <c r="WVP1366" s="110"/>
      <c r="WVQ1366" s="110"/>
      <c r="WVR1366" s="110"/>
      <c r="WVS1366" s="110"/>
      <c r="WVT1366" s="110"/>
      <c r="WVU1366" s="110"/>
      <c r="WVV1366" s="110"/>
      <c r="WVW1366" s="110"/>
      <c r="WVX1366" s="110"/>
      <c r="WVY1366" s="110"/>
      <c r="WVZ1366" s="110"/>
      <c r="WWA1366" s="110"/>
      <c r="WWB1366" s="110"/>
      <c r="WWC1366" s="110"/>
      <c r="WWD1366" s="110"/>
      <c r="WWE1366" s="110"/>
      <c r="WWF1366" s="110"/>
      <c r="WWG1366" s="110"/>
      <c r="WWH1366" s="110"/>
      <c r="WWI1366" s="110"/>
      <c r="WWJ1366" s="110"/>
      <c r="WWK1366" s="110"/>
      <c r="WWL1366" s="110"/>
      <c r="WWM1366" s="110"/>
      <c r="WWN1366" s="110"/>
      <c r="WWO1366" s="110"/>
      <c r="WWP1366" s="110"/>
      <c r="WWQ1366" s="110"/>
      <c r="WWR1366" s="110"/>
      <c r="WWS1366" s="110"/>
      <c r="WWT1366" s="110"/>
      <c r="WWU1366" s="110"/>
      <c r="WWV1366" s="110"/>
      <c r="WWW1366" s="110"/>
      <c r="WWX1366" s="110"/>
      <c r="WWY1366" s="110"/>
      <c r="WWZ1366" s="110"/>
      <c r="WXA1366" s="110"/>
      <c r="WXB1366" s="110"/>
      <c r="WXC1366" s="110"/>
      <c r="WXD1366" s="110"/>
      <c r="WXE1366" s="110"/>
      <c r="WXF1366" s="110"/>
      <c r="WXG1366" s="110"/>
      <c r="WXH1366" s="110"/>
      <c r="WXI1366" s="110"/>
      <c r="WXJ1366" s="110"/>
      <c r="WXK1366" s="110"/>
      <c r="WXL1366" s="110"/>
      <c r="WXM1366" s="110"/>
      <c r="WXN1366" s="110"/>
      <c r="WXO1366" s="110"/>
      <c r="WXP1366" s="110"/>
      <c r="WXQ1366" s="110"/>
      <c r="WXR1366" s="110"/>
      <c r="WXS1366" s="110"/>
      <c r="WXT1366" s="110"/>
      <c r="WXU1366" s="110"/>
      <c r="WXV1366" s="110"/>
      <c r="WXW1366" s="110"/>
      <c r="WXX1366" s="110"/>
      <c r="WXY1366" s="110"/>
      <c r="WXZ1366" s="110"/>
      <c r="WYA1366" s="110"/>
      <c r="WYB1366" s="110"/>
      <c r="WYC1366" s="110"/>
      <c r="WYD1366" s="110"/>
      <c r="WYE1366" s="110"/>
      <c r="WYF1366" s="110"/>
      <c r="WYG1366" s="110"/>
      <c r="WYH1366" s="110"/>
      <c r="WYI1366" s="110"/>
      <c r="WYJ1366" s="110"/>
      <c r="WYK1366" s="110"/>
      <c r="WYL1366" s="110"/>
      <c r="WYM1366" s="110"/>
      <c r="WYN1366" s="110"/>
      <c r="WYO1366" s="110"/>
      <c r="WYP1366" s="110"/>
      <c r="WYQ1366" s="110"/>
      <c r="WYR1366" s="110"/>
      <c r="WYS1366" s="110"/>
      <c r="WYT1366" s="110"/>
      <c r="WYU1366" s="110"/>
      <c r="WYV1366" s="110"/>
      <c r="WYW1366" s="110"/>
      <c r="WYX1366" s="110"/>
      <c r="WYY1366" s="110"/>
      <c r="WYZ1366" s="110"/>
      <c r="WZA1366" s="110"/>
      <c r="WZB1366" s="110"/>
      <c r="WZC1366" s="110"/>
      <c r="WZD1366" s="110"/>
      <c r="WZE1366" s="110"/>
      <c r="WZF1366" s="110"/>
      <c r="WZG1366" s="110"/>
      <c r="WZH1366" s="110"/>
      <c r="WZI1366" s="110"/>
      <c r="WZJ1366" s="110"/>
      <c r="WZK1366" s="110"/>
      <c r="WZL1366" s="110"/>
      <c r="WZM1366" s="110"/>
      <c r="WZN1366" s="110"/>
      <c r="WZO1366" s="110"/>
      <c r="WZP1366" s="110"/>
      <c r="WZQ1366" s="110"/>
      <c r="WZR1366" s="110"/>
      <c r="WZS1366" s="110"/>
      <c r="WZT1366" s="110"/>
      <c r="WZU1366" s="110"/>
      <c r="WZV1366" s="110"/>
      <c r="WZW1366" s="110"/>
      <c r="WZX1366" s="110"/>
      <c r="WZY1366" s="110"/>
      <c r="WZZ1366" s="110"/>
      <c r="XAA1366" s="110"/>
      <c r="XAB1366" s="110"/>
      <c r="XAC1366" s="110"/>
      <c r="XAD1366" s="110"/>
      <c r="XAE1366" s="110"/>
      <c r="XAF1366" s="110"/>
      <c r="XAG1366" s="110"/>
      <c r="XAH1366" s="110"/>
      <c r="XAI1366" s="110"/>
      <c r="XAJ1366" s="110"/>
      <c r="XAK1366" s="110"/>
      <c r="XAL1366" s="110"/>
      <c r="XAM1366" s="110"/>
      <c r="XAN1366" s="110"/>
      <c r="XAO1366" s="110"/>
      <c r="XAP1366" s="110"/>
      <c r="XAQ1366" s="110"/>
      <c r="XAR1366" s="110"/>
      <c r="XAS1366" s="110"/>
      <c r="XAT1366" s="110"/>
      <c r="XAU1366" s="110"/>
      <c r="XAV1366" s="110"/>
      <c r="XAW1366" s="110"/>
      <c r="XAX1366" s="110"/>
      <c r="XAY1366" s="110"/>
      <c r="XAZ1366" s="110"/>
      <c r="XBA1366" s="110"/>
      <c r="XBB1366" s="110"/>
      <c r="XBC1366" s="110"/>
      <c r="XBD1366" s="110"/>
      <c r="XBE1366" s="110"/>
      <c r="XBF1366" s="110"/>
      <c r="XBG1366" s="110"/>
      <c r="XBH1366" s="110"/>
      <c r="XBI1366" s="110"/>
      <c r="XBJ1366" s="110"/>
      <c r="XBK1366" s="110"/>
      <c r="XBL1366" s="110"/>
      <c r="XBM1366" s="110"/>
      <c r="XBN1366" s="110"/>
      <c r="XBO1366" s="110"/>
      <c r="XBP1366" s="110"/>
      <c r="XBQ1366" s="110"/>
      <c r="XBR1366" s="110"/>
      <c r="XBS1366" s="110"/>
      <c r="XBT1366" s="110"/>
      <c r="XBU1366" s="110"/>
      <c r="XBV1366" s="110"/>
      <c r="XBW1366" s="110"/>
      <c r="XBX1366" s="110"/>
      <c r="XBY1366" s="110"/>
      <c r="XBZ1366" s="110"/>
      <c r="XCA1366" s="110"/>
      <c r="XCB1366" s="110"/>
      <c r="XCC1366" s="110"/>
      <c r="XCD1366" s="110"/>
      <c r="XCE1366" s="110"/>
      <c r="XCF1366" s="110"/>
      <c r="XCG1366" s="110"/>
      <c r="XCH1366" s="110"/>
      <c r="XCI1366" s="110"/>
      <c r="XCJ1366" s="110"/>
      <c r="XCK1366" s="110"/>
      <c r="XCL1366" s="110"/>
      <c r="XCM1366" s="110"/>
      <c r="XCN1366" s="110"/>
      <c r="XCO1366" s="110"/>
      <c r="XCP1366" s="110"/>
      <c r="XCQ1366" s="110"/>
      <c r="XCR1366" s="110"/>
      <c r="XCS1366" s="110"/>
      <c r="XCT1366" s="110"/>
      <c r="XCU1366" s="110"/>
      <c r="XCV1366" s="110"/>
      <c r="XCW1366" s="110"/>
      <c r="XCX1366" s="110"/>
      <c r="XCY1366" s="110"/>
      <c r="XCZ1366" s="110"/>
      <c r="XDA1366" s="110"/>
      <c r="XDB1366" s="110"/>
      <c r="XDC1366" s="110"/>
      <c r="XDD1366" s="110"/>
      <c r="XDE1366" s="110"/>
      <c r="XDF1366" s="110"/>
      <c r="XDG1366" s="110"/>
      <c r="XDH1366" s="110"/>
      <c r="XDI1366" s="110"/>
      <c r="XDJ1366" s="110"/>
      <c r="XDK1366" s="110"/>
      <c r="XDL1366" s="110"/>
      <c r="XDM1366" s="110"/>
      <c r="XDN1366" s="110"/>
      <c r="XDO1366" s="110"/>
      <c r="XDP1366" s="110"/>
      <c r="XDQ1366" s="110"/>
      <c r="XDR1366" s="110"/>
      <c r="XDS1366" s="110"/>
      <c r="XDT1366" s="110"/>
      <c r="XDU1366" s="110"/>
      <c r="XDV1366" s="110"/>
      <c r="XDW1366" s="110"/>
      <c r="XDX1366" s="110"/>
      <c r="XDY1366" s="110"/>
      <c r="XDZ1366" s="110"/>
      <c r="XEA1366" s="110"/>
      <c r="XEB1366" s="110"/>
      <c r="XEC1366" s="110"/>
      <c r="XED1366" s="110"/>
      <c r="XEE1366" s="110"/>
      <c r="XEF1366" s="110"/>
      <c r="XEG1366" s="110"/>
      <c r="XEH1366" s="110"/>
      <c r="XEI1366" s="110"/>
      <c r="XEJ1366" s="110"/>
      <c r="XEK1366" s="110"/>
      <c r="XEL1366" s="110"/>
      <c r="XEM1366" s="110"/>
      <c r="XEN1366" s="110"/>
      <c r="XEO1366" s="110"/>
      <c r="XEP1366" s="110"/>
      <c r="XEQ1366" s="110"/>
      <c r="XER1366" s="110"/>
      <c r="XES1366" s="110"/>
      <c r="XET1366" s="110"/>
      <c r="XEU1366" s="110"/>
      <c r="XEV1366" s="110"/>
      <c r="XEW1366" s="110"/>
      <c r="XEX1366" s="110"/>
      <c r="XEY1366" s="110"/>
      <c r="XEZ1366" s="110"/>
      <c r="XFA1366" s="110"/>
      <c r="XFB1366" s="110"/>
    </row>
    <row r="1367" spans="1:16382" ht="11.25" customHeight="1" x14ac:dyDescent="0.15">
      <c r="A1367" s="110" t="s">
        <v>699</v>
      </c>
      <c r="B1367" s="110"/>
      <c r="C1367" s="111" t="s">
        <v>37</v>
      </c>
      <c r="D1367" s="111">
        <v>2023</v>
      </c>
      <c r="E1367" s="146">
        <v>45291</v>
      </c>
      <c r="F1367" s="111"/>
      <c r="G1367" s="111">
        <v>32400060</v>
      </c>
      <c r="H1367" s="111"/>
      <c r="I1367" s="111"/>
      <c r="J1367" s="111"/>
      <c r="K1367" s="112" t="s">
        <v>708</v>
      </c>
      <c r="L1367" s="168">
        <v>233454.89</v>
      </c>
      <c r="M1367" s="120">
        <v>89000</v>
      </c>
      <c r="N1367" s="120">
        <f t="shared" si="941"/>
        <v>144454.89000000001</v>
      </c>
      <c r="O1367" s="119">
        <f t="shared" si="942"/>
        <v>0.6187700330457846</v>
      </c>
      <c r="P1367" s="120">
        <v>233454.89</v>
      </c>
      <c r="Q1367" s="111">
        <v>2572</v>
      </c>
      <c r="R1367" s="117">
        <v>40.5</v>
      </c>
      <c r="S1367" s="117">
        <v>1596.12</v>
      </c>
      <c r="T1367" s="117"/>
      <c r="U1367" s="117">
        <v>87165.57</v>
      </c>
      <c r="V1367" s="117"/>
      <c r="W1367" s="26">
        <v>89006.04</v>
      </c>
      <c r="X1367" s="118">
        <f t="shared" si="943"/>
        <v>39.410370370370366</v>
      </c>
      <c r="Y1367" s="119">
        <f t="shared" si="944"/>
        <v>0.37337221764770062</v>
      </c>
      <c r="Z1367" s="117">
        <f t="shared" si="945"/>
        <v>144448.85000000003</v>
      </c>
      <c r="AA1367" s="119">
        <f t="shared" si="946"/>
        <v>0.61874416080982508</v>
      </c>
      <c r="AB1367" s="120">
        <f t="shared" si="947"/>
        <v>-6.0399999999935972</v>
      </c>
      <c r="AC1367" s="119">
        <f t="shared" si="948"/>
        <v>-2.5872235959512047E-5</v>
      </c>
      <c r="AD1367" s="110" t="s">
        <v>701</v>
      </c>
      <c r="AE1367" s="110"/>
      <c r="AF1367" s="110"/>
      <c r="AG1367" s="121"/>
      <c r="AH1367" s="110"/>
      <c r="AI1367" s="110"/>
      <c r="AJ1367" s="110"/>
      <c r="AK1367" s="110"/>
      <c r="AL1367" s="110"/>
      <c r="AM1367" s="110"/>
      <c r="AN1367" s="110"/>
      <c r="AO1367" s="110"/>
      <c r="AP1367" s="110"/>
      <c r="AQ1367" s="110"/>
      <c r="AR1367" s="110"/>
      <c r="AS1367" s="110"/>
      <c r="AT1367" s="110"/>
      <c r="AU1367" s="110"/>
      <c r="AV1367" s="110"/>
      <c r="AW1367" s="110"/>
      <c r="AX1367" s="110"/>
      <c r="AY1367" s="110"/>
      <c r="AZ1367" s="110"/>
      <c r="BA1367" s="110"/>
      <c r="BB1367" s="110"/>
      <c r="BC1367" s="110"/>
      <c r="BD1367" s="110"/>
      <c r="BE1367" s="110"/>
      <c r="BF1367" s="110"/>
      <c r="BG1367" s="110"/>
      <c r="BH1367" s="110"/>
      <c r="BI1367" s="110"/>
      <c r="BJ1367" s="110"/>
      <c r="BK1367" s="110"/>
      <c r="BL1367" s="110"/>
      <c r="BM1367" s="110"/>
      <c r="BN1367" s="110"/>
      <c r="BO1367" s="110"/>
      <c r="BP1367" s="110"/>
      <c r="BQ1367" s="110"/>
      <c r="BR1367" s="110"/>
      <c r="BS1367" s="110"/>
      <c r="BT1367" s="110"/>
      <c r="BU1367" s="110"/>
      <c r="BV1367" s="110"/>
      <c r="BW1367" s="110"/>
      <c r="BX1367" s="110"/>
      <c r="BY1367" s="110"/>
      <c r="BZ1367" s="110"/>
      <c r="CA1367" s="110"/>
      <c r="CB1367" s="110"/>
      <c r="CC1367" s="110"/>
      <c r="CD1367" s="110"/>
      <c r="CE1367" s="110"/>
      <c r="CF1367" s="110"/>
      <c r="CG1367" s="110"/>
      <c r="CH1367" s="110"/>
      <c r="CI1367" s="110"/>
      <c r="CJ1367" s="110"/>
      <c r="CK1367" s="110"/>
      <c r="CL1367" s="110"/>
      <c r="CM1367" s="110"/>
      <c r="CN1367" s="110"/>
      <c r="CO1367" s="110"/>
      <c r="CP1367" s="110"/>
      <c r="CQ1367" s="110"/>
      <c r="CR1367" s="110"/>
      <c r="CS1367" s="110"/>
      <c r="CT1367" s="110"/>
      <c r="CU1367" s="110"/>
      <c r="CV1367" s="110"/>
      <c r="CW1367" s="110"/>
      <c r="CX1367" s="110"/>
      <c r="CY1367" s="110"/>
      <c r="CZ1367" s="110"/>
      <c r="DA1367" s="110"/>
      <c r="DB1367" s="110"/>
      <c r="DC1367" s="110"/>
      <c r="DD1367" s="110"/>
      <c r="DE1367" s="110"/>
      <c r="DF1367" s="110"/>
      <c r="DG1367" s="110"/>
      <c r="DH1367" s="110"/>
      <c r="DI1367" s="110"/>
      <c r="DJ1367" s="110"/>
      <c r="DK1367" s="110"/>
      <c r="DL1367" s="110"/>
      <c r="DM1367" s="110"/>
      <c r="DN1367" s="110"/>
      <c r="DO1367" s="110"/>
      <c r="DP1367" s="110"/>
      <c r="DQ1367" s="110"/>
      <c r="DR1367" s="110"/>
      <c r="DS1367" s="110"/>
      <c r="DT1367" s="110"/>
      <c r="DU1367" s="110"/>
      <c r="DV1367" s="110"/>
      <c r="DW1367" s="110"/>
      <c r="DX1367" s="110"/>
      <c r="DY1367" s="110"/>
      <c r="DZ1367" s="110"/>
      <c r="EA1367" s="110"/>
      <c r="EB1367" s="110"/>
      <c r="EC1367" s="110"/>
      <c r="ED1367" s="110"/>
      <c r="EE1367" s="110"/>
      <c r="EF1367" s="110"/>
      <c r="EG1367" s="110"/>
      <c r="EH1367" s="110"/>
      <c r="EI1367" s="110"/>
      <c r="EJ1367" s="110"/>
      <c r="EK1367" s="110"/>
      <c r="EL1367" s="110"/>
      <c r="EM1367" s="110"/>
      <c r="EN1367" s="110"/>
      <c r="EO1367" s="110"/>
      <c r="EP1367" s="110"/>
      <c r="EQ1367" s="110"/>
      <c r="ER1367" s="110"/>
      <c r="ES1367" s="110"/>
      <c r="ET1367" s="110"/>
      <c r="EU1367" s="110"/>
      <c r="EV1367" s="110"/>
      <c r="EW1367" s="110"/>
      <c r="EX1367" s="110"/>
      <c r="EY1367" s="110"/>
      <c r="EZ1367" s="110"/>
      <c r="FA1367" s="110"/>
      <c r="FB1367" s="110"/>
      <c r="FC1367" s="110"/>
      <c r="FD1367" s="110"/>
      <c r="FE1367" s="110"/>
      <c r="FF1367" s="110"/>
      <c r="FG1367" s="110"/>
      <c r="FH1367" s="110"/>
      <c r="FI1367" s="110"/>
      <c r="FJ1367" s="110"/>
      <c r="FK1367" s="110"/>
      <c r="FL1367" s="110"/>
      <c r="FM1367" s="110"/>
      <c r="FN1367" s="110"/>
      <c r="FO1367" s="110"/>
      <c r="FP1367" s="110"/>
      <c r="FQ1367" s="110"/>
      <c r="FR1367" s="110"/>
      <c r="FS1367" s="110"/>
      <c r="FT1367" s="110"/>
      <c r="FU1367" s="110"/>
      <c r="FV1367" s="110"/>
      <c r="FW1367" s="110"/>
      <c r="FX1367" s="110"/>
      <c r="FY1367" s="110"/>
      <c r="FZ1367" s="110"/>
      <c r="GA1367" s="110"/>
      <c r="GB1367" s="110"/>
      <c r="GC1367" s="110"/>
      <c r="GD1367" s="110"/>
      <c r="GE1367" s="110"/>
      <c r="GF1367" s="110"/>
      <c r="GG1367" s="110"/>
      <c r="GH1367" s="110"/>
      <c r="GI1367" s="110"/>
      <c r="GJ1367" s="110"/>
      <c r="GK1367" s="110"/>
      <c r="GL1367" s="110"/>
      <c r="GM1367" s="110"/>
      <c r="GN1367" s="110"/>
      <c r="GO1367" s="110"/>
      <c r="GP1367" s="110"/>
      <c r="GQ1367" s="110"/>
      <c r="GR1367" s="110"/>
      <c r="GS1367" s="110"/>
      <c r="GT1367" s="110"/>
      <c r="GU1367" s="110"/>
      <c r="GV1367" s="110"/>
      <c r="GW1367" s="110"/>
      <c r="GX1367" s="110"/>
      <c r="GY1367" s="110"/>
      <c r="GZ1367" s="110"/>
      <c r="HA1367" s="110"/>
      <c r="HB1367" s="110"/>
      <c r="HC1367" s="110"/>
      <c r="HD1367" s="110"/>
      <c r="HE1367" s="110"/>
      <c r="HF1367" s="110"/>
      <c r="HG1367" s="110"/>
      <c r="HH1367" s="110"/>
      <c r="HI1367" s="110"/>
      <c r="HJ1367" s="110"/>
      <c r="HK1367" s="110"/>
      <c r="HL1367" s="110"/>
      <c r="HM1367" s="110"/>
      <c r="HN1367" s="110"/>
      <c r="HO1367" s="110"/>
      <c r="HP1367" s="110"/>
      <c r="HQ1367" s="110"/>
      <c r="HR1367" s="110"/>
      <c r="HS1367" s="110"/>
      <c r="HT1367" s="110"/>
      <c r="HU1367" s="110"/>
      <c r="HV1367" s="110"/>
      <c r="HW1367" s="110"/>
      <c r="HX1367" s="110"/>
      <c r="HY1367" s="110"/>
      <c r="HZ1367" s="110"/>
      <c r="IA1367" s="110"/>
      <c r="IB1367" s="110"/>
      <c r="IC1367" s="110"/>
      <c r="ID1367" s="110"/>
      <c r="IE1367" s="110"/>
      <c r="IF1367" s="110"/>
      <c r="IG1367" s="110"/>
      <c r="IH1367" s="110"/>
      <c r="II1367" s="110"/>
      <c r="IJ1367" s="110"/>
      <c r="IK1367" s="110"/>
      <c r="IL1367" s="110"/>
      <c r="IM1367" s="110"/>
      <c r="IN1367" s="110"/>
      <c r="IO1367" s="110"/>
      <c r="IP1367" s="110"/>
      <c r="IQ1367" s="110"/>
      <c r="IR1367" s="110"/>
      <c r="IS1367" s="110"/>
      <c r="IT1367" s="110"/>
      <c r="IU1367" s="110"/>
      <c r="IV1367" s="110"/>
      <c r="IW1367" s="110"/>
      <c r="IX1367" s="110"/>
      <c r="IY1367" s="110"/>
      <c r="IZ1367" s="110"/>
      <c r="JA1367" s="110"/>
      <c r="JB1367" s="110"/>
      <c r="JC1367" s="110"/>
      <c r="JD1367" s="110"/>
      <c r="JE1367" s="110"/>
      <c r="JF1367" s="110"/>
      <c r="JG1367" s="110"/>
      <c r="JH1367" s="110"/>
      <c r="JI1367" s="110"/>
      <c r="JJ1367" s="110"/>
      <c r="JK1367" s="110"/>
      <c r="JL1367" s="110"/>
      <c r="JM1367" s="110"/>
      <c r="JN1367" s="110"/>
      <c r="JO1367" s="110"/>
      <c r="JP1367" s="110"/>
      <c r="JQ1367" s="110"/>
      <c r="JR1367" s="110"/>
      <c r="JS1367" s="110"/>
      <c r="JT1367" s="110"/>
      <c r="JU1367" s="110"/>
      <c r="JV1367" s="110"/>
      <c r="JW1367" s="110"/>
      <c r="JX1367" s="110"/>
      <c r="JY1367" s="110"/>
      <c r="JZ1367" s="110"/>
      <c r="KA1367" s="110"/>
      <c r="KB1367" s="110"/>
      <c r="KC1367" s="110"/>
      <c r="KD1367" s="110"/>
      <c r="KE1367" s="110"/>
      <c r="KF1367" s="110"/>
      <c r="KG1367" s="110"/>
      <c r="KH1367" s="110"/>
      <c r="KI1367" s="110"/>
      <c r="KJ1367" s="110"/>
      <c r="KK1367" s="110"/>
      <c r="KL1367" s="110"/>
      <c r="KM1367" s="110"/>
      <c r="KN1367" s="110"/>
      <c r="KO1367" s="110"/>
      <c r="KP1367" s="110"/>
      <c r="KQ1367" s="110"/>
      <c r="KR1367" s="110"/>
      <c r="KS1367" s="110"/>
      <c r="KT1367" s="110"/>
      <c r="KU1367" s="110"/>
      <c r="KV1367" s="110"/>
      <c r="KW1367" s="110"/>
      <c r="KX1367" s="110"/>
      <c r="KY1367" s="110"/>
      <c r="KZ1367" s="110"/>
      <c r="LA1367" s="110"/>
      <c r="LB1367" s="110"/>
      <c r="LC1367" s="110"/>
      <c r="LD1367" s="110"/>
      <c r="LE1367" s="110"/>
      <c r="LF1367" s="110"/>
      <c r="LG1367" s="110"/>
      <c r="LH1367" s="110"/>
      <c r="LI1367" s="110"/>
      <c r="LJ1367" s="110"/>
      <c r="LK1367" s="110"/>
      <c r="LL1367" s="110"/>
      <c r="LM1367" s="110"/>
      <c r="LN1367" s="110"/>
      <c r="LO1367" s="110"/>
      <c r="LP1367" s="110"/>
      <c r="LQ1367" s="110"/>
      <c r="LR1367" s="110"/>
      <c r="LS1367" s="110"/>
      <c r="LT1367" s="110"/>
      <c r="LU1367" s="110"/>
      <c r="LV1367" s="110"/>
      <c r="LW1367" s="110"/>
      <c r="LX1367" s="110"/>
      <c r="LY1367" s="110"/>
      <c r="LZ1367" s="110"/>
      <c r="MA1367" s="110"/>
      <c r="MB1367" s="110"/>
      <c r="MC1367" s="110"/>
      <c r="MD1367" s="110"/>
      <c r="ME1367" s="110"/>
      <c r="MF1367" s="110"/>
      <c r="MG1367" s="110"/>
      <c r="MH1367" s="110"/>
      <c r="MI1367" s="110"/>
      <c r="MJ1367" s="110"/>
      <c r="MK1367" s="110"/>
      <c r="ML1367" s="110"/>
      <c r="MM1367" s="110"/>
      <c r="MN1367" s="110"/>
      <c r="MO1367" s="110"/>
      <c r="MP1367" s="110"/>
      <c r="MQ1367" s="110"/>
      <c r="MR1367" s="110"/>
      <c r="MS1367" s="110"/>
      <c r="MT1367" s="110"/>
      <c r="MU1367" s="110"/>
      <c r="MV1367" s="110"/>
      <c r="MW1367" s="110"/>
      <c r="MX1367" s="110"/>
      <c r="MY1367" s="110"/>
      <c r="MZ1367" s="110"/>
      <c r="NA1367" s="110"/>
      <c r="NB1367" s="110"/>
      <c r="NC1367" s="110"/>
      <c r="ND1367" s="110"/>
      <c r="NE1367" s="110"/>
      <c r="NF1367" s="110"/>
      <c r="NG1367" s="110"/>
      <c r="NH1367" s="110"/>
      <c r="NI1367" s="110"/>
      <c r="NJ1367" s="110"/>
      <c r="NK1367" s="110"/>
      <c r="NL1367" s="110"/>
      <c r="NM1367" s="110"/>
      <c r="NN1367" s="110"/>
      <c r="NO1367" s="110"/>
      <c r="NP1367" s="110"/>
      <c r="NQ1367" s="110"/>
      <c r="NR1367" s="110"/>
      <c r="NS1367" s="110"/>
      <c r="NT1367" s="110"/>
      <c r="NU1367" s="110"/>
      <c r="NV1367" s="110"/>
      <c r="NW1367" s="110"/>
      <c r="NX1367" s="110"/>
      <c r="NY1367" s="110"/>
      <c r="NZ1367" s="110"/>
      <c r="OA1367" s="110"/>
      <c r="OB1367" s="110"/>
      <c r="OC1367" s="110"/>
      <c r="OD1367" s="110"/>
      <c r="OE1367" s="110"/>
      <c r="OF1367" s="110"/>
      <c r="OG1367" s="110"/>
      <c r="OH1367" s="110"/>
      <c r="OI1367" s="110"/>
      <c r="OJ1367" s="110"/>
      <c r="OK1367" s="110"/>
      <c r="OL1367" s="110"/>
      <c r="OM1367" s="110"/>
      <c r="ON1367" s="110"/>
      <c r="OO1367" s="110"/>
      <c r="OP1367" s="110"/>
      <c r="OQ1367" s="110"/>
      <c r="OR1367" s="110"/>
      <c r="OS1367" s="110"/>
      <c r="OT1367" s="110"/>
      <c r="OU1367" s="110"/>
      <c r="OV1367" s="110"/>
      <c r="OW1367" s="110"/>
      <c r="OX1367" s="110"/>
      <c r="OY1367" s="110"/>
      <c r="OZ1367" s="110"/>
      <c r="PA1367" s="110"/>
      <c r="PB1367" s="110"/>
      <c r="PC1367" s="110"/>
      <c r="PD1367" s="110"/>
      <c r="PE1367" s="110"/>
      <c r="PF1367" s="110"/>
      <c r="PG1367" s="110"/>
      <c r="PH1367" s="110"/>
      <c r="PI1367" s="110"/>
      <c r="PJ1367" s="110"/>
      <c r="PK1367" s="110"/>
      <c r="PL1367" s="110"/>
      <c r="PM1367" s="110"/>
      <c r="PN1367" s="110"/>
      <c r="PO1367" s="110"/>
      <c r="PP1367" s="110"/>
      <c r="PQ1367" s="110"/>
      <c r="PR1367" s="110"/>
      <c r="PS1367" s="110"/>
      <c r="PT1367" s="110"/>
      <c r="PU1367" s="110"/>
      <c r="PV1367" s="110"/>
      <c r="PW1367" s="110"/>
      <c r="PX1367" s="110"/>
      <c r="PY1367" s="110"/>
      <c r="PZ1367" s="110"/>
      <c r="QA1367" s="110"/>
      <c r="QB1367" s="110"/>
      <c r="QC1367" s="110"/>
      <c r="QD1367" s="110"/>
      <c r="QE1367" s="110"/>
      <c r="QF1367" s="110"/>
      <c r="QG1367" s="110"/>
      <c r="QH1367" s="110"/>
      <c r="QI1367" s="110"/>
      <c r="QJ1367" s="110"/>
      <c r="QK1367" s="110"/>
      <c r="QL1367" s="110"/>
      <c r="QM1367" s="110"/>
      <c r="QN1367" s="110"/>
      <c r="QO1367" s="110"/>
      <c r="QP1367" s="110"/>
      <c r="QQ1367" s="110"/>
      <c r="QR1367" s="110"/>
      <c r="QS1367" s="110"/>
      <c r="QT1367" s="110"/>
      <c r="QU1367" s="110"/>
      <c r="QV1367" s="110"/>
      <c r="QW1367" s="110"/>
      <c r="QX1367" s="110"/>
      <c r="QY1367" s="110"/>
      <c r="QZ1367" s="110"/>
      <c r="RA1367" s="110"/>
      <c r="RB1367" s="110"/>
      <c r="RC1367" s="110"/>
      <c r="RD1367" s="110"/>
      <c r="RE1367" s="110"/>
      <c r="RF1367" s="110"/>
      <c r="RG1367" s="110"/>
      <c r="RH1367" s="110"/>
      <c r="RI1367" s="110"/>
      <c r="RJ1367" s="110"/>
      <c r="RK1367" s="110"/>
      <c r="RL1367" s="110"/>
      <c r="RM1367" s="110"/>
      <c r="RN1367" s="110"/>
      <c r="RO1367" s="110"/>
      <c r="RP1367" s="110"/>
      <c r="RQ1367" s="110"/>
      <c r="RR1367" s="110"/>
      <c r="RS1367" s="110"/>
      <c r="RT1367" s="110"/>
      <c r="RU1367" s="110"/>
      <c r="RV1367" s="110"/>
      <c r="RW1367" s="110"/>
      <c r="RX1367" s="110"/>
      <c r="RY1367" s="110"/>
      <c r="RZ1367" s="110"/>
      <c r="SA1367" s="110"/>
      <c r="SB1367" s="110"/>
      <c r="SC1367" s="110"/>
      <c r="SD1367" s="110"/>
      <c r="SE1367" s="110"/>
      <c r="SF1367" s="110"/>
      <c r="SG1367" s="110"/>
      <c r="SH1367" s="110"/>
      <c r="SI1367" s="110"/>
      <c r="SJ1367" s="110"/>
      <c r="SK1367" s="110"/>
      <c r="SL1367" s="110"/>
      <c r="SM1367" s="110"/>
      <c r="SN1367" s="110"/>
      <c r="SO1367" s="110"/>
      <c r="SP1367" s="110"/>
      <c r="SQ1367" s="110"/>
      <c r="SR1367" s="110"/>
      <c r="SS1367" s="110"/>
      <c r="ST1367" s="110"/>
      <c r="SU1367" s="110"/>
      <c r="SV1367" s="110"/>
      <c r="SW1367" s="110"/>
      <c r="SX1367" s="110"/>
      <c r="SY1367" s="110"/>
      <c r="SZ1367" s="110"/>
      <c r="TA1367" s="110"/>
      <c r="TB1367" s="110"/>
      <c r="TC1367" s="110"/>
      <c r="TD1367" s="110"/>
      <c r="TE1367" s="110"/>
      <c r="TF1367" s="110"/>
      <c r="TG1367" s="110"/>
      <c r="TH1367" s="110"/>
      <c r="TI1367" s="110"/>
      <c r="TJ1367" s="110"/>
      <c r="TK1367" s="110"/>
      <c r="TL1367" s="110"/>
      <c r="TM1367" s="110"/>
      <c r="TN1367" s="110"/>
      <c r="TO1367" s="110"/>
      <c r="TP1367" s="110"/>
      <c r="TQ1367" s="110"/>
      <c r="TR1367" s="110"/>
      <c r="TS1367" s="110"/>
      <c r="TT1367" s="110"/>
      <c r="TU1367" s="110"/>
      <c r="TV1367" s="110"/>
      <c r="TW1367" s="110"/>
      <c r="TX1367" s="110"/>
      <c r="TY1367" s="110"/>
      <c r="TZ1367" s="110"/>
      <c r="UA1367" s="110"/>
      <c r="UB1367" s="110"/>
      <c r="UC1367" s="110"/>
      <c r="UD1367" s="110"/>
      <c r="UE1367" s="110"/>
      <c r="UF1367" s="110"/>
      <c r="UG1367" s="110"/>
      <c r="UH1367" s="110"/>
      <c r="UI1367" s="110"/>
      <c r="UJ1367" s="110"/>
      <c r="UK1367" s="110"/>
      <c r="UL1367" s="110"/>
      <c r="UM1367" s="110"/>
      <c r="UN1367" s="110"/>
      <c r="UO1367" s="110"/>
      <c r="UP1367" s="110"/>
      <c r="UQ1367" s="110"/>
      <c r="UR1367" s="110"/>
      <c r="US1367" s="110"/>
      <c r="UT1367" s="110"/>
      <c r="UU1367" s="110"/>
      <c r="UV1367" s="110"/>
      <c r="UW1367" s="110"/>
      <c r="UX1367" s="110"/>
      <c r="UY1367" s="110"/>
      <c r="UZ1367" s="110"/>
      <c r="VA1367" s="110"/>
      <c r="VB1367" s="110"/>
      <c r="VC1367" s="110"/>
      <c r="VD1367" s="110"/>
      <c r="VE1367" s="110"/>
      <c r="VF1367" s="110"/>
      <c r="VG1367" s="110"/>
      <c r="VH1367" s="110"/>
      <c r="VI1367" s="110"/>
      <c r="VJ1367" s="110"/>
      <c r="VK1367" s="110"/>
      <c r="VL1367" s="110"/>
      <c r="VM1367" s="110"/>
      <c r="VN1367" s="110"/>
      <c r="VO1367" s="110"/>
      <c r="VP1367" s="110"/>
      <c r="VQ1367" s="110"/>
      <c r="VR1367" s="110"/>
      <c r="VS1367" s="110"/>
      <c r="VT1367" s="110"/>
      <c r="VU1367" s="110"/>
      <c r="VV1367" s="110"/>
      <c r="VW1367" s="110"/>
      <c r="VX1367" s="110"/>
      <c r="VY1367" s="110"/>
      <c r="VZ1367" s="110"/>
      <c r="WA1367" s="110"/>
      <c r="WB1367" s="110"/>
      <c r="WC1367" s="110"/>
      <c r="WD1367" s="110"/>
      <c r="WE1367" s="110"/>
      <c r="WF1367" s="110"/>
      <c r="WG1367" s="110"/>
      <c r="WH1367" s="110"/>
      <c r="WI1367" s="110"/>
      <c r="WJ1367" s="110"/>
      <c r="WK1367" s="110"/>
      <c r="WL1367" s="110"/>
      <c r="WM1367" s="110"/>
      <c r="WN1367" s="110"/>
      <c r="WO1367" s="110"/>
      <c r="WP1367" s="110"/>
      <c r="WQ1367" s="110"/>
      <c r="WR1367" s="110"/>
      <c r="WS1367" s="110"/>
      <c r="WT1367" s="110"/>
      <c r="WU1367" s="110"/>
      <c r="WV1367" s="110"/>
      <c r="WW1367" s="110"/>
      <c r="WX1367" s="110"/>
      <c r="WY1367" s="110"/>
      <c r="WZ1367" s="110"/>
      <c r="XA1367" s="110"/>
      <c r="XB1367" s="110"/>
      <c r="XC1367" s="110"/>
      <c r="XD1367" s="110"/>
      <c r="XE1367" s="110"/>
      <c r="XF1367" s="110"/>
      <c r="XG1367" s="110"/>
      <c r="XH1367" s="110"/>
      <c r="XI1367" s="110"/>
      <c r="XJ1367" s="110"/>
      <c r="XK1367" s="110"/>
      <c r="XL1367" s="110"/>
      <c r="XM1367" s="110"/>
      <c r="XN1367" s="110"/>
      <c r="XO1367" s="110"/>
      <c r="XP1367" s="110"/>
      <c r="XQ1367" s="110"/>
      <c r="XR1367" s="110"/>
      <c r="XS1367" s="110"/>
      <c r="XT1367" s="110"/>
      <c r="XU1367" s="110"/>
      <c r="XV1367" s="110"/>
      <c r="XW1367" s="110"/>
      <c r="XX1367" s="110"/>
      <c r="XY1367" s="110"/>
      <c r="XZ1367" s="110"/>
      <c r="YA1367" s="110"/>
      <c r="YB1367" s="110"/>
      <c r="YC1367" s="110"/>
      <c r="YD1367" s="110"/>
      <c r="YE1367" s="110"/>
      <c r="YF1367" s="110"/>
      <c r="YG1367" s="110"/>
      <c r="YH1367" s="110"/>
      <c r="YI1367" s="110"/>
      <c r="YJ1367" s="110"/>
      <c r="YK1367" s="110"/>
      <c r="YL1367" s="110"/>
      <c r="YM1367" s="110"/>
      <c r="YN1367" s="110"/>
      <c r="YO1367" s="110"/>
      <c r="YP1367" s="110"/>
      <c r="YQ1367" s="110"/>
      <c r="YR1367" s="110"/>
      <c r="YS1367" s="110"/>
      <c r="YT1367" s="110"/>
      <c r="YU1367" s="110"/>
      <c r="YV1367" s="110"/>
      <c r="YW1367" s="110"/>
      <c r="YX1367" s="110"/>
      <c r="YY1367" s="110"/>
      <c r="YZ1367" s="110"/>
      <c r="ZA1367" s="110"/>
      <c r="ZB1367" s="110"/>
      <c r="ZC1367" s="110"/>
      <c r="ZD1367" s="110"/>
      <c r="ZE1367" s="110"/>
      <c r="ZF1367" s="110"/>
      <c r="ZG1367" s="110"/>
      <c r="ZH1367" s="110"/>
      <c r="ZI1367" s="110"/>
      <c r="ZJ1367" s="110"/>
      <c r="ZK1367" s="110"/>
      <c r="ZL1367" s="110"/>
      <c r="ZM1367" s="110"/>
      <c r="ZN1367" s="110"/>
      <c r="ZO1367" s="110"/>
      <c r="ZP1367" s="110"/>
      <c r="ZQ1367" s="110"/>
      <c r="ZR1367" s="110"/>
      <c r="ZS1367" s="110"/>
      <c r="ZT1367" s="110"/>
      <c r="ZU1367" s="110"/>
      <c r="ZV1367" s="110"/>
      <c r="ZW1367" s="110"/>
      <c r="ZX1367" s="110"/>
      <c r="ZY1367" s="110"/>
      <c r="ZZ1367" s="110"/>
      <c r="AAA1367" s="110"/>
      <c r="AAB1367" s="110"/>
      <c r="AAC1367" s="110"/>
      <c r="AAD1367" s="110"/>
      <c r="AAE1367" s="110"/>
      <c r="AAF1367" s="110"/>
      <c r="AAG1367" s="110"/>
      <c r="AAH1367" s="110"/>
      <c r="AAI1367" s="110"/>
      <c r="AAJ1367" s="110"/>
      <c r="AAK1367" s="110"/>
      <c r="AAL1367" s="110"/>
      <c r="AAM1367" s="110"/>
      <c r="AAN1367" s="110"/>
      <c r="AAO1367" s="110"/>
      <c r="AAP1367" s="110"/>
      <c r="AAQ1367" s="110"/>
      <c r="AAR1367" s="110"/>
      <c r="AAS1367" s="110"/>
      <c r="AAT1367" s="110"/>
      <c r="AAU1367" s="110"/>
      <c r="AAV1367" s="110"/>
      <c r="AAW1367" s="110"/>
      <c r="AAX1367" s="110"/>
      <c r="AAY1367" s="110"/>
      <c r="AAZ1367" s="110"/>
      <c r="ABA1367" s="110"/>
      <c r="ABB1367" s="110"/>
      <c r="ABC1367" s="110"/>
      <c r="ABD1367" s="110"/>
      <c r="ABE1367" s="110"/>
      <c r="ABF1367" s="110"/>
      <c r="ABG1367" s="110"/>
      <c r="ABH1367" s="110"/>
      <c r="ABI1367" s="110"/>
      <c r="ABJ1367" s="110"/>
      <c r="ABK1367" s="110"/>
      <c r="ABL1367" s="110"/>
      <c r="ABM1367" s="110"/>
      <c r="ABN1367" s="110"/>
      <c r="ABO1367" s="110"/>
      <c r="ABP1367" s="110"/>
      <c r="ABQ1367" s="110"/>
      <c r="ABR1367" s="110"/>
      <c r="ABS1367" s="110"/>
      <c r="ABT1367" s="110"/>
      <c r="ABU1367" s="110"/>
      <c r="ABV1367" s="110"/>
      <c r="ABW1367" s="110"/>
      <c r="ABX1367" s="110"/>
      <c r="ABY1367" s="110"/>
      <c r="ABZ1367" s="110"/>
      <c r="ACA1367" s="110"/>
      <c r="ACB1367" s="110"/>
      <c r="ACC1367" s="110"/>
      <c r="ACD1367" s="110"/>
      <c r="ACE1367" s="110"/>
      <c r="ACF1367" s="110"/>
      <c r="ACG1367" s="110"/>
      <c r="ACH1367" s="110"/>
      <c r="ACI1367" s="110"/>
      <c r="ACJ1367" s="110"/>
      <c r="ACK1367" s="110"/>
      <c r="ACL1367" s="110"/>
      <c r="ACM1367" s="110"/>
      <c r="ACN1367" s="110"/>
      <c r="ACO1367" s="110"/>
      <c r="ACP1367" s="110"/>
      <c r="ACQ1367" s="110"/>
      <c r="ACR1367" s="110"/>
      <c r="ACS1367" s="110"/>
      <c r="ACT1367" s="110"/>
      <c r="ACU1367" s="110"/>
      <c r="ACV1367" s="110"/>
      <c r="ACW1367" s="110"/>
      <c r="ACX1367" s="110"/>
      <c r="ACY1367" s="110"/>
      <c r="ACZ1367" s="110"/>
      <c r="ADA1367" s="110"/>
      <c r="ADB1367" s="110"/>
      <c r="ADC1367" s="110"/>
      <c r="ADD1367" s="110"/>
      <c r="ADE1367" s="110"/>
      <c r="ADF1367" s="110"/>
      <c r="ADG1367" s="110"/>
      <c r="ADH1367" s="110"/>
      <c r="ADI1367" s="110"/>
      <c r="ADJ1367" s="110"/>
      <c r="ADK1367" s="110"/>
      <c r="ADL1367" s="110"/>
      <c r="ADM1367" s="110"/>
      <c r="ADN1367" s="110"/>
      <c r="ADO1367" s="110"/>
      <c r="ADP1367" s="110"/>
      <c r="ADQ1367" s="110"/>
      <c r="ADR1367" s="110"/>
      <c r="ADS1367" s="110"/>
      <c r="ADT1367" s="110"/>
      <c r="ADU1367" s="110"/>
      <c r="ADV1367" s="110"/>
      <c r="ADW1367" s="110"/>
      <c r="ADX1367" s="110"/>
      <c r="ADY1367" s="110"/>
      <c r="ADZ1367" s="110"/>
      <c r="AEA1367" s="110"/>
      <c r="AEB1367" s="110"/>
      <c r="AEC1367" s="110"/>
      <c r="AED1367" s="110"/>
      <c r="AEE1367" s="110"/>
      <c r="AEF1367" s="110"/>
      <c r="AEG1367" s="110"/>
      <c r="AEH1367" s="110"/>
      <c r="AEI1367" s="110"/>
      <c r="AEJ1367" s="110"/>
      <c r="AEK1367" s="110"/>
      <c r="AEL1367" s="110"/>
      <c r="AEM1367" s="110"/>
      <c r="AEN1367" s="110"/>
      <c r="AEO1367" s="110"/>
      <c r="AEP1367" s="110"/>
      <c r="AEQ1367" s="110"/>
      <c r="AER1367" s="110"/>
      <c r="AES1367" s="110"/>
      <c r="AET1367" s="110"/>
      <c r="AEU1367" s="110"/>
      <c r="AEV1367" s="110"/>
      <c r="AEW1367" s="110"/>
      <c r="AEX1367" s="110"/>
      <c r="AEY1367" s="110"/>
      <c r="AEZ1367" s="110"/>
      <c r="AFA1367" s="110"/>
      <c r="AFB1367" s="110"/>
      <c r="AFC1367" s="110"/>
      <c r="AFD1367" s="110"/>
      <c r="AFE1367" s="110"/>
      <c r="AFF1367" s="110"/>
      <c r="AFG1367" s="110"/>
      <c r="AFH1367" s="110"/>
      <c r="AFI1367" s="110"/>
      <c r="AFJ1367" s="110"/>
      <c r="AFK1367" s="110"/>
      <c r="AFL1367" s="110"/>
      <c r="AFM1367" s="110"/>
      <c r="AFN1367" s="110"/>
      <c r="AFO1367" s="110"/>
      <c r="AFP1367" s="110"/>
      <c r="AFQ1367" s="110"/>
      <c r="AFR1367" s="110"/>
      <c r="AFS1367" s="110"/>
      <c r="AFT1367" s="110"/>
      <c r="AFU1367" s="110"/>
      <c r="AFV1367" s="110"/>
      <c r="AFW1367" s="110"/>
      <c r="AFX1367" s="110"/>
      <c r="AFY1367" s="110"/>
      <c r="AFZ1367" s="110"/>
      <c r="AGA1367" s="110"/>
      <c r="AGB1367" s="110"/>
      <c r="AGC1367" s="110"/>
      <c r="AGD1367" s="110"/>
      <c r="AGE1367" s="110"/>
      <c r="AGF1367" s="110"/>
      <c r="AGG1367" s="110"/>
      <c r="AGH1367" s="110"/>
      <c r="AGI1367" s="110"/>
      <c r="AGJ1367" s="110"/>
      <c r="AGK1367" s="110"/>
      <c r="AGL1367" s="110"/>
      <c r="AGM1367" s="110"/>
      <c r="AGN1367" s="110"/>
      <c r="AGO1367" s="110"/>
      <c r="AGP1367" s="110"/>
      <c r="AGQ1367" s="110"/>
      <c r="AGR1367" s="110"/>
      <c r="AGS1367" s="110"/>
      <c r="AGT1367" s="110"/>
      <c r="AGU1367" s="110"/>
      <c r="AGV1367" s="110"/>
      <c r="AGW1367" s="110"/>
      <c r="AGX1367" s="110"/>
      <c r="AGY1367" s="110"/>
      <c r="AGZ1367" s="110"/>
      <c r="AHA1367" s="110"/>
      <c r="AHB1367" s="110"/>
      <c r="AHC1367" s="110"/>
      <c r="AHD1367" s="110"/>
      <c r="AHE1367" s="110"/>
      <c r="AHF1367" s="110"/>
      <c r="AHG1367" s="110"/>
      <c r="AHH1367" s="110"/>
      <c r="AHI1367" s="110"/>
      <c r="AHJ1367" s="110"/>
      <c r="AHK1367" s="110"/>
      <c r="AHL1367" s="110"/>
      <c r="AHM1367" s="110"/>
      <c r="AHN1367" s="110"/>
      <c r="AHO1367" s="110"/>
      <c r="AHP1367" s="110"/>
      <c r="AHQ1367" s="110"/>
      <c r="AHR1367" s="110"/>
      <c r="AHS1367" s="110"/>
      <c r="AHT1367" s="110"/>
      <c r="AHU1367" s="110"/>
      <c r="AHV1367" s="110"/>
      <c r="AHW1367" s="110"/>
      <c r="AHX1367" s="110"/>
      <c r="AHY1367" s="110"/>
      <c r="AHZ1367" s="110"/>
      <c r="AIA1367" s="110"/>
      <c r="AIB1367" s="110"/>
      <c r="AIC1367" s="110"/>
      <c r="AID1367" s="110"/>
      <c r="AIE1367" s="110"/>
      <c r="AIF1367" s="110"/>
      <c r="AIG1367" s="110"/>
      <c r="AIH1367" s="110"/>
      <c r="AII1367" s="110"/>
      <c r="AIJ1367" s="110"/>
      <c r="AIK1367" s="110"/>
      <c r="AIL1367" s="110"/>
      <c r="AIM1367" s="110"/>
      <c r="AIN1367" s="110"/>
      <c r="AIO1367" s="110"/>
      <c r="AIP1367" s="110"/>
      <c r="AIQ1367" s="110"/>
      <c r="AIR1367" s="110"/>
      <c r="AIS1367" s="110"/>
      <c r="AIT1367" s="110"/>
      <c r="AIU1367" s="110"/>
      <c r="AIV1367" s="110"/>
      <c r="AIW1367" s="110"/>
      <c r="AIX1367" s="110"/>
      <c r="AIY1367" s="110"/>
      <c r="AIZ1367" s="110"/>
      <c r="AJA1367" s="110"/>
      <c r="AJB1367" s="110"/>
      <c r="AJC1367" s="110"/>
      <c r="AJD1367" s="110"/>
      <c r="AJE1367" s="110"/>
      <c r="AJF1367" s="110"/>
      <c r="AJG1367" s="110"/>
      <c r="AJH1367" s="110"/>
      <c r="AJI1367" s="110"/>
      <c r="AJJ1367" s="110"/>
      <c r="AJK1367" s="110"/>
      <c r="AJL1367" s="110"/>
      <c r="AJM1367" s="110"/>
      <c r="AJN1367" s="110"/>
      <c r="AJO1367" s="110"/>
      <c r="AJP1367" s="110"/>
      <c r="AJQ1367" s="110"/>
      <c r="AJR1367" s="110"/>
      <c r="AJS1367" s="110"/>
      <c r="AJT1367" s="110"/>
      <c r="AJU1367" s="110"/>
      <c r="AJV1367" s="110"/>
      <c r="AJW1367" s="110"/>
      <c r="AJX1367" s="110"/>
      <c r="AJY1367" s="110"/>
      <c r="AJZ1367" s="110"/>
      <c r="AKA1367" s="110"/>
      <c r="AKB1367" s="110"/>
      <c r="AKC1367" s="110"/>
      <c r="AKD1367" s="110"/>
      <c r="AKE1367" s="110"/>
      <c r="AKF1367" s="110"/>
      <c r="AKG1367" s="110"/>
      <c r="AKH1367" s="110"/>
      <c r="AKI1367" s="110"/>
      <c r="AKJ1367" s="110"/>
      <c r="AKK1367" s="110"/>
      <c r="AKL1367" s="110"/>
      <c r="AKM1367" s="110"/>
      <c r="AKN1367" s="110"/>
      <c r="AKO1367" s="110"/>
      <c r="AKP1367" s="110"/>
      <c r="AKQ1367" s="110"/>
      <c r="AKR1367" s="110"/>
      <c r="AKS1367" s="110"/>
      <c r="AKT1367" s="110"/>
      <c r="AKU1367" s="110"/>
      <c r="AKV1367" s="110"/>
      <c r="AKW1367" s="110"/>
      <c r="AKX1367" s="110"/>
      <c r="AKY1367" s="110"/>
      <c r="AKZ1367" s="110"/>
      <c r="ALA1367" s="110"/>
      <c r="ALB1367" s="110"/>
      <c r="ALC1367" s="110"/>
      <c r="ALD1367" s="110"/>
      <c r="ALE1367" s="110"/>
      <c r="ALF1367" s="110"/>
      <c r="ALG1367" s="110"/>
      <c r="ALH1367" s="110"/>
      <c r="ALI1367" s="110"/>
      <c r="ALJ1367" s="110"/>
      <c r="ALK1367" s="110"/>
      <c r="ALL1367" s="110"/>
      <c r="ALM1367" s="110"/>
      <c r="ALN1367" s="110"/>
      <c r="ALO1367" s="110"/>
      <c r="ALP1367" s="110"/>
      <c r="ALQ1367" s="110"/>
      <c r="ALR1367" s="110"/>
      <c r="ALS1367" s="110"/>
      <c r="ALT1367" s="110"/>
      <c r="ALU1367" s="110"/>
      <c r="ALV1367" s="110"/>
      <c r="ALW1367" s="110"/>
      <c r="ALX1367" s="110"/>
      <c r="ALY1367" s="110"/>
      <c r="ALZ1367" s="110"/>
      <c r="AMA1367" s="110"/>
      <c r="AMB1367" s="110"/>
      <c r="AMC1367" s="110"/>
      <c r="AMD1367" s="110"/>
      <c r="AME1367" s="110"/>
      <c r="AMF1367" s="110"/>
      <c r="AMG1367" s="110"/>
      <c r="AMH1367" s="110"/>
      <c r="AMI1367" s="110"/>
      <c r="AMJ1367" s="110"/>
      <c r="AMK1367" s="110"/>
      <c r="AML1367" s="110"/>
      <c r="AMM1367" s="110"/>
      <c r="AMN1367" s="110"/>
      <c r="AMO1367" s="110"/>
      <c r="AMP1367" s="110"/>
      <c r="AMQ1367" s="110"/>
      <c r="AMR1367" s="110"/>
      <c r="AMS1367" s="110"/>
      <c r="AMT1367" s="110"/>
      <c r="AMU1367" s="110"/>
      <c r="AMV1367" s="110"/>
      <c r="AMW1367" s="110"/>
      <c r="AMX1367" s="110"/>
      <c r="AMY1367" s="110"/>
      <c r="AMZ1367" s="110"/>
      <c r="ANA1367" s="110"/>
      <c r="ANB1367" s="110"/>
      <c r="ANC1367" s="110"/>
      <c r="AND1367" s="110"/>
      <c r="ANE1367" s="110"/>
      <c r="ANF1367" s="110"/>
      <c r="ANG1367" s="110"/>
      <c r="ANH1367" s="110"/>
      <c r="ANI1367" s="110"/>
      <c r="ANJ1367" s="110"/>
      <c r="ANK1367" s="110"/>
      <c r="ANL1367" s="110"/>
      <c r="ANM1367" s="110"/>
      <c r="ANN1367" s="110"/>
      <c r="ANO1367" s="110"/>
      <c r="ANP1367" s="110"/>
      <c r="ANQ1367" s="110"/>
      <c r="ANR1367" s="110"/>
      <c r="ANS1367" s="110"/>
      <c r="ANT1367" s="110"/>
      <c r="ANU1367" s="110"/>
      <c r="ANV1367" s="110"/>
      <c r="ANW1367" s="110"/>
      <c r="ANX1367" s="110"/>
      <c r="ANY1367" s="110"/>
      <c r="ANZ1367" s="110"/>
      <c r="AOA1367" s="110"/>
      <c r="AOB1367" s="110"/>
      <c r="AOC1367" s="110"/>
      <c r="AOD1367" s="110"/>
      <c r="AOE1367" s="110"/>
      <c r="AOF1367" s="110"/>
      <c r="AOG1367" s="110"/>
      <c r="AOH1367" s="110"/>
      <c r="AOI1367" s="110"/>
      <c r="AOJ1367" s="110"/>
      <c r="AOK1367" s="110"/>
      <c r="AOL1367" s="110"/>
      <c r="AOM1367" s="110"/>
      <c r="AON1367" s="110"/>
      <c r="AOO1367" s="110"/>
      <c r="AOP1367" s="110"/>
      <c r="AOQ1367" s="110"/>
      <c r="AOR1367" s="110"/>
      <c r="AOS1367" s="110"/>
      <c r="AOT1367" s="110"/>
      <c r="AOU1367" s="110"/>
      <c r="AOV1367" s="110"/>
      <c r="AOW1367" s="110"/>
      <c r="AOX1367" s="110"/>
      <c r="AOY1367" s="110"/>
      <c r="AOZ1367" s="110"/>
      <c r="APA1367" s="110"/>
      <c r="APB1367" s="110"/>
      <c r="APC1367" s="110"/>
      <c r="APD1367" s="110"/>
      <c r="APE1367" s="110"/>
      <c r="APF1367" s="110"/>
      <c r="APG1367" s="110"/>
      <c r="APH1367" s="110"/>
      <c r="API1367" s="110"/>
      <c r="APJ1367" s="110"/>
      <c r="APK1367" s="110"/>
      <c r="APL1367" s="110"/>
      <c r="APM1367" s="110"/>
      <c r="APN1367" s="110"/>
      <c r="APO1367" s="110"/>
      <c r="APP1367" s="110"/>
      <c r="APQ1367" s="110"/>
      <c r="APR1367" s="110"/>
      <c r="APS1367" s="110"/>
      <c r="APT1367" s="110"/>
      <c r="APU1367" s="110"/>
      <c r="APV1367" s="110"/>
      <c r="APW1367" s="110"/>
      <c r="APX1367" s="110"/>
      <c r="APY1367" s="110"/>
      <c r="APZ1367" s="110"/>
      <c r="AQA1367" s="110"/>
      <c r="AQB1367" s="110"/>
      <c r="AQC1367" s="110"/>
      <c r="AQD1367" s="110"/>
      <c r="AQE1367" s="110"/>
      <c r="AQF1367" s="110"/>
      <c r="AQG1367" s="110"/>
      <c r="AQH1367" s="110"/>
      <c r="AQI1367" s="110"/>
      <c r="AQJ1367" s="110"/>
      <c r="AQK1367" s="110"/>
      <c r="AQL1367" s="110"/>
      <c r="AQM1367" s="110"/>
      <c r="AQN1367" s="110"/>
      <c r="AQO1367" s="110"/>
      <c r="AQP1367" s="110"/>
      <c r="AQQ1367" s="110"/>
      <c r="AQR1367" s="110"/>
      <c r="AQS1367" s="110"/>
      <c r="AQT1367" s="110"/>
      <c r="AQU1367" s="110"/>
      <c r="AQV1367" s="110"/>
      <c r="AQW1367" s="110"/>
      <c r="AQX1367" s="110"/>
      <c r="AQY1367" s="110"/>
      <c r="AQZ1367" s="110"/>
      <c r="ARA1367" s="110"/>
      <c r="ARB1367" s="110"/>
      <c r="ARC1367" s="110"/>
      <c r="ARD1367" s="110"/>
      <c r="ARE1367" s="110"/>
      <c r="ARF1367" s="110"/>
      <c r="ARG1367" s="110"/>
      <c r="ARH1367" s="110"/>
      <c r="ARI1367" s="110"/>
      <c r="ARJ1367" s="110"/>
      <c r="ARK1367" s="110"/>
      <c r="ARL1367" s="110"/>
      <c r="ARM1367" s="110"/>
      <c r="ARN1367" s="110"/>
      <c r="ARO1367" s="110"/>
      <c r="ARP1367" s="110"/>
      <c r="ARQ1367" s="110"/>
      <c r="ARR1367" s="110"/>
      <c r="ARS1367" s="110"/>
      <c r="ART1367" s="110"/>
      <c r="ARU1367" s="110"/>
      <c r="ARV1367" s="110"/>
      <c r="ARW1367" s="110"/>
      <c r="ARX1367" s="110"/>
      <c r="ARY1367" s="110"/>
      <c r="ARZ1367" s="110"/>
      <c r="ASA1367" s="110"/>
      <c r="ASB1367" s="110"/>
      <c r="ASC1367" s="110"/>
      <c r="ASD1367" s="110"/>
      <c r="ASE1367" s="110"/>
      <c r="ASF1367" s="110"/>
      <c r="ASG1367" s="110"/>
      <c r="ASH1367" s="110"/>
      <c r="ASI1367" s="110"/>
      <c r="ASJ1367" s="110"/>
      <c r="ASK1367" s="110"/>
      <c r="ASL1367" s="110"/>
      <c r="ASM1367" s="110"/>
      <c r="ASN1367" s="110"/>
      <c r="ASO1367" s="110"/>
      <c r="ASP1367" s="110"/>
      <c r="ASQ1367" s="110"/>
      <c r="ASR1367" s="110"/>
      <c r="ASS1367" s="110"/>
      <c r="AST1367" s="110"/>
      <c r="ASU1367" s="110"/>
      <c r="ASV1367" s="110"/>
      <c r="ASW1367" s="110"/>
      <c r="ASX1367" s="110"/>
      <c r="ASY1367" s="110"/>
      <c r="ASZ1367" s="110"/>
      <c r="ATA1367" s="110"/>
      <c r="ATB1367" s="110"/>
      <c r="ATC1367" s="110"/>
      <c r="ATD1367" s="110"/>
      <c r="ATE1367" s="110"/>
      <c r="ATF1367" s="110"/>
      <c r="ATG1367" s="110"/>
      <c r="ATH1367" s="110"/>
      <c r="ATI1367" s="110"/>
      <c r="ATJ1367" s="110"/>
      <c r="ATK1367" s="110"/>
      <c r="ATL1367" s="110"/>
      <c r="ATM1367" s="110"/>
      <c r="ATN1367" s="110"/>
      <c r="ATO1367" s="110"/>
      <c r="ATP1367" s="110"/>
      <c r="ATQ1367" s="110"/>
      <c r="ATR1367" s="110"/>
      <c r="ATS1367" s="110"/>
      <c r="ATT1367" s="110"/>
      <c r="ATU1367" s="110"/>
      <c r="ATV1367" s="110"/>
      <c r="ATW1367" s="110"/>
      <c r="ATX1367" s="110"/>
      <c r="ATY1367" s="110"/>
      <c r="ATZ1367" s="110"/>
      <c r="AUA1367" s="110"/>
      <c r="AUB1367" s="110"/>
      <c r="AUC1367" s="110"/>
      <c r="AUD1367" s="110"/>
      <c r="AUE1367" s="110"/>
      <c r="AUF1367" s="110"/>
      <c r="AUG1367" s="110"/>
      <c r="AUH1367" s="110"/>
      <c r="AUI1367" s="110"/>
      <c r="AUJ1367" s="110"/>
      <c r="AUK1367" s="110"/>
      <c r="AUL1367" s="110"/>
      <c r="AUM1367" s="110"/>
      <c r="AUN1367" s="110"/>
      <c r="AUO1367" s="110"/>
      <c r="AUP1367" s="110"/>
      <c r="AUQ1367" s="110"/>
      <c r="AUR1367" s="110"/>
      <c r="AUS1367" s="110"/>
      <c r="AUT1367" s="110"/>
      <c r="AUU1367" s="110"/>
      <c r="AUV1367" s="110"/>
      <c r="AUW1367" s="110"/>
      <c r="AUX1367" s="110"/>
      <c r="AUY1367" s="110"/>
      <c r="AUZ1367" s="110"/>
      <c r="AVA1367" s="110"/>
      <c r="AVB1367" s="110"/>
      <c r="AVC1367" s="110"/>
      <c r="AVD1367" s="110"/>
      <c r="AVE1367" s="110"/>
      <c r="AVF1367" s="110"/>
      <c r="AVG1367" s="110"/>
      <c r="AVH1367" s="110"/>
      <c r="AVI1367" s="110"/>
      <c r="AVJ1367" s="110"/>
      <c r="AVK1367" s="110"/>
      <c r="AVL1367" s="110"/>
      <c r="AVM1367" s="110"/>
      <c r="AVN1367" s="110"/>
      <c r="AVO1367" s="110"/>
      <c r="AVP1367" s="110"/>
      <c r="AVQ1367" s="110"/>
      <c r="AVR1367" s="110"/>
      <c r="AVS1367" s="110"/>
      <c r="AVT1367" s="110"/>
      <c r="AVU1367" s="110"/>
      <c r="AVV1367" s="110"/>
      <c r="AVW1367" s="110"/>
      <c r="AVX1367" s="110"/>
      <c r="AVY1367" s="110"/>
      <c r="AVZ1367" s="110"/>
      <c r="AWA1367" s="110"/>
      <c r="AWB1367" s="110"/>
      <c r="AWC1367" s="110"/>
      <c r="AWD1367" s="110"/>
      <c r="AWE1367" s="110"/>
      <c r="AWF1367" s="110"/>
      <c r="AWG1367" s="110"/>
      <c r="AWH1367" s="110"/>
      <c r="AWI1367" s="110"/>
      <c r="AWJ1367" s="110"/>
      <c r="AWK1367" s="110"/>
      <c r="AWL1367" s="110"/>
      <c r="AWM1367" s="110"/>
      <c r="AWN1367" s="110"/>
      <c r="AWO1367" s="110"/>
      <c r="AWP1367" s="110"/>
      <c r="AWQ1367" s="110"/>
      <c r="AWR1367" s="110"/>
      <c r="AWS1367" s="110"/>
      <c r="AWT1367" s="110"/>
      <c r="AWU1367" s="110"/>
      <c r="AWV1367" s="110"/>
      <c r="AWW1367" s="110"/>
      <c r="AWX1367" s="110"/>
      <c r="AWY1367" s="110"/>
      <c r="AWZ1367" s="110"/>
      <c r="AXA1367" s="110"/>
      <c r="AXB1367" s="110"/>
      <c r="AXC1367" s="110"/>
      <c r="AXD1367" s="110"/>
      <c r="AXE1367" s="110"/>
      <c r="AXF1367" s="110"/>
      <c r="AXG1367" s="110"/>
      <c r="AXH1367" s="110"/>
      <c r="AXI1367" s="110"/>
      <c r="AXJ1367" s="110"/>
      <c r="AXK1367" s="110"/>
      <c r="AXL1367" s="110"/>
      <c r="AXM1367" s="110"/>
      <c r="AXN1367" s="110"/>
      <c r="AXO1367" s="110"/>
      <c r="AXP1367" s="110"/>
      <c r="AXQ1367" s="110"/>
      <c r="AXR1367" s="110"/>
      <c r="AXS1367" s="110"/>
      <c r="AXT1367" s="110"/>
      <c r="AXU1367" s="110"/>
      <c r="AXV1367" s="110"/>
      <c r="AXW1367" s="110"/>
      <c r="AXX1367" s="110"/>
      <c r="AXY1367" s="110"/>
      <c r="AXZ1367" s="110"/>
      <c r="AYA1367" s="110"/>
      <c r="AYB1367" s="110"/>
      <c r="AYC1367" s="110"/>
      <c r="AYD1367" s="110"/>
      <c r="AYE1367" s="110"/>
      <c r="AYF1367" s="110"/>
      <c r="AYG1367" s="110"/>
      <c r="AYH1367" s="110"/>
      <c r="AYI1367" s="110"/>
      <c r="AYJ1367" s="110"/>
      <c r="AYK1367" s="110"/>
      <c r="AYL1367" s="110"/>
      <c r="AYM1367" s="110"/>
      <c r="AYN1367" s="110"/>
      <c r="AYO1367" s="110"/>
      <c r="AYP1367" s="110"/>
      <c r="AYQ1367" s="110"/>
      <c r="AYR1367" s="110"/>
      <c r="AYS1367" s="110"/>
      <c r="AYT1367" s="110"/>
      <c r="AYU1367" s="110"/>
      <c r="AYV1367" s="110"/>
      <c r="AYW1367" s="110"/>
      <c r="AYX1367" s="110"/>
      <c r="AYY1367" s="110"/>
      <c r="AYZ1367" s="110"/>
      <c r="AZA1367" s="110"/>
      <c r="AZB1367" s="110"/>
      <c r="AZC1367" s="110"/>
      <c r="AZD1367" s="110"/>
      <c r="AZE1367" s="110"/>
      <c r="AZF1367" s="110"/>
      <c r="AZG1367" s="110"/>
      <c r="AZH1367" s="110"/>
      <c r="AZI1367" s="110"/>
      <c r="AZJ1367" s="110"/>
      <c r="AZK1367" s="110"/>
      <c r="AZL1367" s="110"/>
      <c r="AZM1367" s="110"/>
      <c r="AZN1367" s="110"/>
      <c r="AZO1367" s="110"/>
      <c r="AZP1367" s="110"/>
      <c r="AZQ1367" s="110"/>
      <c r="AZR1367" s="110"/>
      <c r="AZS1367" s="110"/>
      <c r="AZT1367" s="110"/>
      <c r="AZU1367" s="110"/>
      <c r="AZV1367" s="110"/>
      <c r="AZW1367" s="110"/>
      <c r="AZX1367" s="110"/>
      <c r="AZY1367" s="110"/>
      <c r="AZZ1367" s="110"/>
      <c r="BAA1367" s="110"/>
      <c r="BAB1367" s="110"/>
      <c r="BAC1367" s="110"/>
      <c r="BAD1367" s="110"/>
      <c r="BAE1367" s="110"/>
      <c r="BAF1367" s="110"/>
      <c r="BAG1367" s="110"/>
      <c r="BAH1367" s="110"/>
      <c r="BAI1367" s="110"/>
      <c r="BAJ1367" s="110"/>
      <c r="BAK1367" s="110"/>
      <c r="BAL1367" s="110"/>
      <c r="BAM1367" s="110"/>
      <c r="BAN1367" s="110"/>
      <c r="BAO1367" s="110"/>
      <c r="BAP1367" s="110"/>
      <c r="BAQ1367" s="110"/>
      <c r="BAR1367" s="110"/>
      <c r="BAS1367" s="110"/>
      <c r="BAT1367" s="110"/>
      <c r="BAU1367" s="110"/>
      <c r="BAV1367" s="110"/>
      <c r="BAW1367" s="110"/>
      <c r="BAX1367" s="110"/>
      <c r="BAY1367" s="110"/>
      <c r="BAZ1367" s="110"/>
      <c r="BBA1367" s="110"/>
      <c r="BBB1367" s="110"/>
      <c r="BBC1367" s="110"/>
      <c r="BBD1367" s="110"/>
      <c r="BBE1367" s="110"/>
      <c r="BBF1367" s="110"/>
      <c r="BBG1367" s="110"/>
      <c r="BBH1367" s="110"/>
      <c r="BBI1367" s="110"/>
      <c r="BBJ1367" s="110"/>
      <c r="BBK1367" s="110"/>
      <c r="BBL1367" s="110"/>
      <c r="BBM1367" s="110"/>
      <c r="BBN1367" s="110"/>
      <c r="BBO1367" s="110"/>
      <c r="BBP1367" s="110"/>
      <c r="BBQ1367" s="110"/>
      <c r="BBR1367" s="110"/>
      <c r="BBS1367" s="110"/>
      <c r="BBT1367" s="110"/>
      <c r="BBU1367" s="110"/>
      <c r="BBV1367" s="110"/>
      <c r="BBW1367" s="110"/>
      <c r="BBX1367" s="110"/>
      <c r="BBY1367" s="110"/>
      <c r="BBZ1367" s="110"/>
      <c r="BCA1367" s="110"/>
      <c r="BCB1367" s="110"/>
      <c r="BCC1367" s="110"/>
      <c r="BCD1367" s="110"/>
      <c r="BCE1367" s="110"/>
      <c r="BCF1367" s="110"/>
      <c r="BCG1367" s="110"/>
      <c r="BCH1367" s="110"/>
      <c r="BCI1367" s="110"/>
      <c r="BCJ1367" s="110"/>
      <c r="BCK1367" s="110"/>
      <c r="BCL1367" s="110"/>
      <c r="BCM1367" s="110"/>
      <c r="BCN1367" s="110"/>
      <c r="BCO1367" s="110"/>
      <c r="BCP1367" s="110"/>
      <c r="BCQ1367" s="110"/>
      <c r="BCR1367" s="110"/>
      <c r="BCS1367" s="110"/>
      <c r="BCT1367" s="110"/>
      <c r="BCU1367" s="110"/>
      <c r="BCV1367" s="110"/>
      <c r="BCW1367" s="110"/>
      <c r="BCX1367" s="110"/>
      <c r="BCY1367" s="110"/>
      <c r="BCZ1367" s="110"/>
      <c r="BDA1367" s="110"/>
      <c r="BDB1367" s="110"/>
      <c r="BDC1367" s="110"/>
      <c r="BDD1367" s="110"/>
      <c r="BDE1367" s="110"/>
      <c r="BDF1367" s="110"/>
      <c r="BDG1367" s="110"/>
      <c r="BDH1367" s="110"/>
      <c r="BDI1367" s="110"/>
      <c r="BDJ1367" s="110"/>
      <c r="BDK1367" s="110"/>
      <c r="BDL1367" s="110"/>
      <c r="BDM1367" s="110"/>
      <c r="BDN1367" s="110"/>
      <c r="BDO1367" s="110"/>
      <c r="BDP1367" s="110"/>
      <c r="BDQ1367" s="110"/>
      <c r="BDR1367" s="110"/>
      <c r="BDS1367" s="110"/>
      <c r="BDT1367" s="110"/>
      <c r="BDU1367" s="110"/>
      <c r="BDV1367" s="110"/>
      <c r="BDW1367" s="110"/>
      <c r="BDX1367" s="110"/>
      <c r="BDY1367" s="110"/>
      <c r="BDZ1367" s="110"/>
      <c r="BEA1367" s="110"/>
      <c r="BEB1367" s="110"/>
      <c r="BEC1367" s="110"/>
      <c r="BED1367" s="110"/>
      <c r="BEE1367" s="110"/>
      <c r="BEF1367" s="110"/>
      <c r="BEG1367" s="110"/>
      <c r="BEH1367" s="110"/>
      <c r="BEI1367" s="110"/>
      <c r="BEJ1367" s="110"/>
      <c r="BEK1367" s="110"/>
      <c r="BEL1367" s="110"/>
      <c r="BEM1367" s="110"/>
      <c r="BEN1367" s="110"/>
      <c r="BEO1367" s="110"/>
      <c r="BEP1367" s="110"/>
      <c r="BEQ1367" s="110"/>
      <c r="BER1367" s="110"/>
      <c r="BES1367" s="110"/>
      <c r="BET1367" s="110"/>
      <c r="BEU1367" s="110"/>
      <c r="BEV1367" s="110"/>
      <c r="BEW1367" s="110"/>
      <c r="BEX1367" s="110"/>
      <c r="BEY1367" s="110"/>
      <c r="BEZ1367" s="110"/>
      <c r="BFA1367" s="110"/>
      <c r="BFB1367" s="110"/>
      <c r="BFC1367" s="110"/>
      <c r="BFD1367" s="110"/>
      <c r="BFE1367" s="110"/>
      <c r="BFF1367" s="110"/>
      <c r="BFG1367" s="110"/>
      <c r="BFH1367" s="110"/>
      <c r="BFI1367" s="110"/>
      <c r="BFJ1367" s="110"/>
      <c r="BFK1367" s="110"/>
      <c r="BFL1367" s="110"/>
      <c r="BFM1367" s="110"/>
      <c r="BFN1367" s="110"/>
      <c r="BFO1367" s="110"/>
      <c r="BFP1367" s="110"/>
      <c r="BFQ1367" s="110"/>
      <c r="BFR1367" s="110"/>
      <c r="BFS1367" s="110"/>
      <c r="BFT1367" s="110"/>
      <c r="BFU1367" s="110"/>
      <c r="BFV1367" s="110"/>
      <c r="BFW1367" s="110"/>
      <c r="BFX1367" s="110"/>
      <c r="BFY1367" s="110"/>
      <c r="BFZ1367" s="110"/>
      <c r="BGA1367" s="110"/>
      <c r="BGB1367" s="110"/>
      <c r="BGC1367" s="110"/>
      <c r="BGD1367" s="110"/>
      <c r="BGE1367" s="110"/>
      <c r="BGF1367" s="110"/>
      <c r="BGG1367" s="110"/>
      <c r="BGH1367" s="110"/>
      <c r="BGI1367" s="110"/>
      <c r="BGJ1367" s="110"/>
      <c r="BGK1367" s="110"/>
      <c r="BGL1367" s="110"/>
      <c r="BGM1367" s="110"/>
      <c r="BGN1367" s="110"/>
      <c r="BGO1367" s="110"/>
      <c r="BGP1367" s="110"/>
      <c r="BGQ1367" s="110"/>
      <c r="BGR1367" s="110"/>
      <c r="BGS1367" s="110"/>
      <c r="BGT1367" s="110"/>
      <c r="BGU1367" s="110"/>
      <c r="BGV1367" s="110"/>
      <c r="BGW1367" s="110"/>
      <c r="BGX1367" s="110"/>
      <c r="BGY1367" s="110"/>
      <c r="BGZ1367" s="110"/>
      <c r="BHA1367" s="110"/>
      <c r="BHB1367" s="110"/>
      <c r="BHC1367" s="110"/>
      <c r="BHD1367" s="110"/>
      <c r="BHE1367" s="110"/>
      <c r="BHF1367" s="110"/>
      <c r="BHG1367" s="110"/>
      <c r="BHH1367" s="110"/>
      <c r="BHI1367" s="110"/>
      <c r="BHJ1367" s="110"/>
      <c r="BHK1367" s="110"/>
      <c r="BHL1367" s="110"/>
      <c r="BHM1367" s="110"/>
      <c r="BHN1367" s="110"/>
      <c r="BHO1367" s="110"/>
      <c r="BHP1367" s="110"/>
      <c r="BHQ1367" s="110"/>
      <c r="BHR1367" s="110"/>
      <c r="BHS1367" s="110"/>
      <c r="BHT1367" s="110"/>
      <c r="BHU1367" s="110"/>
      <c r="BHV1367" s="110"/>
      <c r="BHW1367" s="110"/>
      <c r="BHX1367" s="110"/>
      <c r="BHY1367" s="110"/>
      <c r="BHZ1367" s="110"/>
      <c r="BIA1367" s="110"/>
      <c r="BIB1367" s="110"/>
      <c r="BIC1367" s="110"/>
      <c r="BID1367" s="110"/>
      <c r="BIE1367" s="110"/>
      <c r="BIF1367" s="110"/>
      <c r="BIG1367" s="110"/>
      <c r="BIH1367" s="110"/>
      <c r="BII1367" s="110"/>
      <c r="BIJ1367" s="110"/>
      <c r="BIK1367" s="110"/>
      <c r="BIL1367" s="110"/>
      <c r="BIM1367" s="110"/>
      <c r="BIN1367" s="110"/>
      <c r="BIO1367" s="110"/>
      <c r="BIP1367" s="110"/>
      <c r="BIQ1367" s="110"/>
      <c r="BIR1367" s="110"/>
      <c r="BIS1367" s="110"/>
      <c r="BIT1367" s="110"/>
      <c r="BIU1367" s="110"/>
      <c r="BIV1367" s="110"/>
      <c r="BIW1367" s="110"/>
      <c r="BIX1367" s="110"/>
      <c r="BIY1367" s="110"/>
      <c r="BIZ1367" s="110"/>
      <c r="BJA1367" s="110"/>
      <c r="BJB1367" s="110"/>
      <c r="BJC1367" s="110"/>
      <c r="BJD1367" s="110"/>
      <c r="BJE1367" s="110"/>
      <c r="BJF1367" s="110"/>
      <c r="BJG1367" s="110"/>
      <c r="BJH1367" s="110"/>
      <c r="BJI1367" s="110"/>
      <c r="BJJ1367" s="110"/>
      <c r="BJK1367" s="110"/>
      <c r="BJL1367" s="110"/>
      <c r="BJM1367" s="110"/>
      <c r="BJN1367" s="110"/>
      <c r="BJO1367" s="110"/>
      <c r="BJP1367" s="110"/>
      <c r="BJQ1367" s="110"/>
      <c r="BJR1367" s="110"/>
      <c r="BJS1367" s="110"/>
      <c r="BJT1367" s="110"/>
      <c r="BJU1367" s="110"/>
      <c r="BJV1367" s="110"/>
      <c r="BJW1367" s="110"/>
      <c r="BJX1367" s="110"/>
      <c r="BJY1367" s="110"/>
      <c r="BJZ1367" s="110"/>
      <c r="BKA1367" s="110"/>
      <c r="BKB1367" s="110"/>
      <c r="BKC1367" s="110"/>
      <c r="BKD1367" s="110"/>
      <c r="BKE1367" s="110"/>
      <c r="BKF1367" s="110"/>
      <c r="BKG1367" s="110"/>
      <c r="BKH1367" s="110"/>
      <c r="BKI1367" s="110"/>
      <c r="BKJ1367" s="110"/>
      <c r="BKK1367" s="110"/>
      <c r="BKL1367" s="110"/>
      <c r="BKM1367" s="110"/>
      <c r="BKN1367" s="110"/>
      <c r="BKO1367" s="110"/>
      <c r="BKP1367" s="110"/>
      <c r="BKQ1367" s="110"/>
      <c r="BKR1367" s="110"/>
      <c r="BKS1367" s="110"/>
      <c r="BKT1367" s="110"/>
      <c r="BKU1367" s="110"/>
      <c r="BKV1367" s="110"/>
      <c r="BKW1367" s="110"/>
      <c r="BKX1367" s="110"/>
      <c r="BKY1367" s="110"/>
      <c r="BKZ1367" s="110"/>
      <c r="BLA1367" s="110"/>
      <c r="BLB1367" s="110"/>
      <c r="BLC1367" s="110"/>
      <c r="BLD1367" s="110"/>
      <c r="BLE1367" s="110"/>
      <c r="BLF1367" s="110"/>
      <c r="BLG1367" s="110"/>
      <c r="BLH1367" s="110"/>
      <c r="BLI1367" s="110"/>
      <c r="BLJ1367" s="110"/>
      <c r="BLK1367" s="110"/>
      <c r="BLL1367" s="110"/>
      <c r="BLM1367" s="110"/>
      <c r="BLN1367" s="110"/>
      <c r="BLO1367" s="110"/>
      <c r="BLP1367" s="110"/>
      <c r="BLQ1367" s="110"/>
      <c r="BLR1367" s="110"/>
      <c r="BLS1367" s="110"/>
      <c r="BLT1367" s="110"/>
      <c r="BLU1367" s="110"/>
      <c r="BLV1367" s="110"/>
      <c r="BLW1367" s="110"/>
      <c r="BLX1367" s="110"/>
      <c r="BLY1367" s="110"/>
      <c r="BLZ1367" s="110"/>
      <c r="BMA1367" s="110"/>
      <c r="BMB1367" s="110"/>
      <c r="BMC1367" s="110"/>
      <c r="BMD1367" s="110"/>
      <c r="BME1367" s="110"/>
      <c r="BMF1367" s="110"/>
      <c r="BMG1367" s="110"/>
      <c r="BMH1367" s="110"/>
      <c r="BMI1367" s="110"/>
      <c r="BMJ1367" s="110"/>
      <c r="BMK1367" s="110"/>
      <c r="BML1367" s="110"/>
      <c r="BMM1367" s="110"/>
      <c r="BMN1367" s="110"/>
      <c r="BMO1367" s="110"/>
      <c r="BMP1367" s="110"/>
      <c r="BMQ1367" s="110"/>
      <c r="BMR1367" s="110"/>
      <c r="BMS1367" s="110"/>
      <c r="BMT1367" s="110"/>
      <c r="BMU1367" s="110"/>
      <c r="BMV1367" s="110"/>
      <c r="BMW1367" s="110"/>
      <c r="BMX1367" s="110"/>
      <c r="BMY1367" s="110"/>
      <c r="BMZ1367" s="110"/>
      <c r="BNA1367" s="110"/>
      <c r="BNB1367" s="110"/>
      <c r="BNC1367" s="110"/>
      <c r="BND1367" s="110"/>
      <c r="BNE1367" s="110"/>
      <c r="BNF1367" s="110"/>
      <c r="BNG1367" s="110"/>
      <c r="BNH1367" s="110"/>
      <c r="BNI1367" s="110"/>
      <c r="BNJ1367" s="110"/>
      <c r="BNK1367" s="110"/>
      <c r="BNL1367" s="110"/>
      <c r="BNM1367" s="110"/>
      <c r="BNN1367" s="110"/>
      <c r="BNO1367" s="110"/>
      <c r="BNP1367" s="110"/>
      <c r="BNQ1367" s="110"/>
      <c r="BNR1367" s="110"/>
      <c r="BNS1367" s="110"/>
      <c r="BNT1367" s="110"/>
      <c r="BNU1367" s="110"/>
      <c r="BNV1367" s="110"/>
      <c r="BNW1367" s="110"/>
      <c r="BNX1367" s="110"/>
      <c r="BNY1367" s="110"/>
      <c r="BNZ1367" s="110"/>
      <c r="BOA1367" s="110"/>
      <c r="BOB1367" s="110"/>
      <c r="BOC1367" s="110"/>
      <c r="BOD1367" s="110"/>
      <c r="BOE1367" s="110"/>
      <c r="BOF1367" s="110"/>
      <c r="BOG1367" s="110"/>
      <c r="BOH1367" s="110"/>
      <c r="BOI1367" s="110"/>
      <c r="BOJ1367" s="110"/>
      <c r="BOK1367" s="110"/>
      <c r="BOL1367" s="110"/>
      <c r="BOM1367" s="110"/>
      <c r="BON1367" s="110"/>
      <c r="BOO1367" s="110"/>
      <c r="BOP1367" s="110"/>
      <c r="BOQ1367" s="110"/>
      <c r="BOR1367" s="110"/>
      <c r="BOS1367" s="110"/>
      <c r="BOT1367" s="110"/>
      <c r="BOU1367" s="110"/>
      <c r="BOV1367" s="110"/>
      <c r="BOW1367" s="110"/>
      <c r="BOX1367" s="110"/>
      <c r="BOY1367" s="110"/>
      <c r="BOZ1367" s="110"/>
      <c r="BPA1367" s="110"/>
      <c r="BPB1367" s="110"/>
      <c r="BPC1367" s="110"/>
      <c r="BPD1367" s="110"/>
      <c r="BPE1367" s="110"/>
      <c r="BPF1367" s="110"/>
      <c r="BPG1367" s="110"/>
      <c r="BPH1367" s="110"/>
      <c r="BPI1367" s="110"/>
      <c r="BPJ1367" s="110"/>
      <c r="BPK1367" s="110"/>
      <c r="BPL1367" s="110"/>
      <c r="BPM1367" s="110"/>
      <c r="BPN1367" s="110"/>
      <c r="BPO1367" s="110"/>
      <c r="BPP1367" s="110"/>
      <c r="BPQ1367" s="110"/>
      <c r="BPR1367" s="110"/>
      <c r="BPS1367" s="110"/>
      <c r="BPT1367" s="110"/>
      <c r="BPU1367" s="110"/>
      <c r="BPV1367" s="110"/>
      <c r="BPW1367" s="110"/>
      <c r="BPX1367" s="110"/>
      <c r="BPY1367" s="110"/>
      <c r="BPZ1367" s="110"/>
      <c r="BQA1367" s="110"/>
      <c r="BQB1367" s="110"/>
      <c r="BQC1367" s="110"/>
      <c r="BQD1367" s="110"/>
      <c r="BQE1367" s="110"/>
      <c r="BQF1367" s="110"/>
      <c r="BQG1367" s="110"/>
      <c r="BQH1367" s="110"/>
      <c r="BQI1367" s="110"/>
      <c r="BQJ1367" s="110"/>
      <c r="BQK1367" s="110"/>
      <c r="BQL1367" s="110"/>
      <c r="BQM1367" s="110"/>
      <c r="BQN1367" s="110"/>
      <c r="BQO1367" s="110"/>
      <c r="BQP1367" s="110"/>
      <c r="BQQ1367" s="110"/>
      <c r="BQR1367" s="110"/>
      <c r="BQS1367" s="110"/>
      <c r="BQT1367" s="110"/>
      <c r="BQU1367" s="110"/>
      <c r="BQV1367" s="110"/>
      <c r="BQW1367" s="110"/>
      <c r="BQX1367" s="110"/>
      <c r="BQY1367" s="110"/>
      <c r="BQZ1367" s="110"/>
      <c r="BRA1367" s="110"/>
      <c r="BRB1367" s="110"/>
      <c r="BRC1367" s="110"/>
      <c r="BRD1367" s="110"/>
      <c r="BRE1367" s="110"/>
      <c r="BRF1367" s="110"/>
      <c r="BRG1367" s="110"/>
      <c r="BRH1367" s="110"/>
      <c r="BRI1367" s="110"/>
      <c r="BRJ1367" s="110"/>
      <c r="BRK1367" s="110"/>
      <c r="BRL1367" s="110"/>
      <c r="BRM1367" s="110"/>
      <c r="BRN1367" s="110"/>
      <c r="BRO1367" s="110"/>
      <c r="BRP1367" s="110"/>
      <c r="BRQ1367" s="110"/>
      <c r="BRR1367" s="110"/>
      <c r="BRS1367" s="110"/>
      <c r="BRT1367" s="110"/>
      <c r="BRU1367" s="110"/>
      <c r="BRV1367" s="110"/>
      <c r="BRW1367" s="110"/>
      <c r="BRX1367" s="110"/>
      <c r="BRY1367" s="110"/>
      <c r="BRZ1367" s="110"/>
      <c r="BSA1367" s="110"/>
      <c r="BSB1367" s="110"/>
      <c r="BSC1367" s="110"/>
      <c r="BSD1367" s="110"/>
      <c r="BSE1367" s="110"/>
      <c r="BSF1367" s="110"/>
      <c r="BSG1367" s="110"/>
      <c r="BSH1367" s="110"/>
      <c r="BSI1367" s="110"/>
      <c r="BSJ1367" s="110"/>
      <c r="BSK1367" s="110"/>
      <c r="BSL1367" s="110"/>
      <c r="BSM1367" s="110"/>
      <c r="BSN1367" s="110"/>
      <c r="BSO1367" s="110"/>
      <c r="BSP1367" s="110"/>
      <c r="BSQ1367" s="110"/>
      <c r="BSR1367" s="110"/>
      <c r="BSS1367" s="110"/>
      <c r="BST1367" s="110"/>
      <c r="BSU1367" s="110"/>
      <c r="BSV1367" s="110"/>
      <c r="BSW1367" s="110"/>
      <c r="BSX1367" s="110"/>
      <c r="BSY1367" s="110"/>
      <c r="BSZ1367" s="110"/>
      <c r="BTA1367" s="110"/>
      <c r="BTB1367" s="110"/>
      <c r="BTC1367" s="110"/>
      <c r="BTD1367" s="110"/>
      <c r="BTE1367" s="110"/>
      <c r="BTF1367" s="110"/>
      <c r="BTG1367" s="110"/>
      <c r="BTH1367" s="110"/>
      <c r="BTI1367" s="110"/>
      <c r="BTJ1367" s="110"/>
      <c r="BTK1367" s="110"/>
      <c r="BTL1367" s="110"/>
      <c r="BTM1367" s="110"/>
      <c r="BTN1367" s="110"/>
      <c r="BTO1367" s="110"/>
      <c r="BTP1367" s="110"/>
      <c r="BTQ1367" s="110"/>
      <c r="BTR1367" s="110"/>
      <c r="BTS1367" s="110"/>
      <c r="BTT1367" s="110"/>
      <c r="BTU1367" s="110"/>
      <c r="BTV1367" s="110"/>
      <c r="BTW1367" s="110"/>
      <c r="BTX1367" s="110"/>
      <c r="BTY1367" s="110"/>
      <c r="BTZ1367" s="110"/>
      <c r="BUA1367" s="110"/>
      <c r="BUB1367" s="110"/>
      <c r="BUC1367" s="110"/>
      <c r="BUD1367" s="110"/>
      <c r="BUE1367" s="110"/>
      <c r="BUF1367" s="110"/>
      <c r="BUG1367" s="110"/>
      <c r="BUH1367" s="110"/>
      <c r="BUI1367" s="110"/>
      <c r="BUJ1367" s="110"/>
      <c r="BUK1367" s="110"/>
      <c r="BUL1367" s="110"/>
      <c r="BUM1367" s="110"/>
      <c r="BUN1367" s="110"/>
      <c r="BUO1367" s="110"/>
      <c r="BUP1367" s="110"/>
      <c r="BUQ1367" s="110"/>
      <c r="BUR1367" s="110"/>
      <c r="BUS1367" s="110"/>
      <c r="BUT1367" s="110"/>
      <c r="BUU1367" s="110"/>
      <c r="BUV1367" s="110"/>
      <c r="BUW1367" s="110"/>
      <c r="BUX1367" s="110"/>
      <c r="BUY1367" s="110"/>
      <c r="BUZ1367" s="110"/>
      <c r="BVA1367" s="110"/>
      <c r="BVB1367" s="110"/>
      <c r="BVC1367" s="110"/>
      <c r="BVD1367" s="110"/>
      <c r="BVE1367" s="110"/>
      <c r="BVF1367" s="110"/>
      <c r="BVG1367" s="110"/>
      <c r="BVH1367" s="110"/>
      <c r="BVI1367" s="110"/>
      <c r="BVJ1367" s="110"/>
      <c r="BVK1367" s="110"/>
      <c r="BVL1367" s="110"/>
      <c r="BVM1367" s="110"/>
      <c r="BVN1367" s="110"/>
      <c r="BVO1367" s="110"/>
      <c r="BVP1367" s="110"/>
      <c r="BVQ1367" s="110"/>
      <c r="BVR1367" s="110"/>
      <c r="BVS1367" s="110"/>
      <c r="BVT1367" s="110"/>
      <c r="BVU1367" s="110"/>
      <c r="BVV1367" s="110"/>
      <c r="BVW1367" s="110"/>
      <c r="BVX1367" s="110"/>
      <c r="BVY1367" s="110"/>
      <c r="BVZ1367" s="110"/>
      <c r="BWA1367" s="110"/>
      <c r="BWB1367" s="110"/>
      <c r="BWC1367" s="110"/>
      <c r="BWD1367" s="110"/>
      <c r="BWE1367" s="110"/>
      <c r="BWF1367" s="110"/>
      <c r="BWG1367" s="110"/>
      <c r="BWH1367" s="110"/>
      <c r="BWI1367" s="110"/>
      <c r="BWJ1367" s="110"/>
      <c r="BWK1367" s="110"/>
      <c r="BWL1367" s="110"/>
      <c r="BWM1367" s="110"/>
      <c r="BWN1367" s="110"/>
      <c r="BWO1367" s="110"/>
      <c r="BWP1367" s="110"/>
      <c r="BWQ1367" s="110"/>
      <c r="BWR1367" s="110"/>
      <c r="BWS1367" s="110"/>
      <c r="BWT1367" s="110"/>
      <c r="BWU1367" s="110"/>
      <c r="BWV1367" s="110"/>
      <c r="BWW1367" s="110"/>
      <c r="BWX1367" s="110"/>
      <c r="BWY1367" s="110"/>
      <c r="BWZ1367" s="110"/>
      <c r="BXA1367" s="110"/>
      <c r="BXB1367" s="110"/>
      <c r="BXC1367" s="110"/>
      <c r="BXD1367" s="110"/>
      <c r="BXE1367" s="110"/>
      <c r="BXF1367" s="110"/>
      <c r="BXG1367" s="110"/>
      <c r="BXH1367" s="110"/>
      <c r="BXI1367" s="110"/>
      <c r="BXJ1367" s="110"/>
      <c r="BXK1367" s="110"/>
      <c r="BXL1367" s="110"/>
      <c r="BXM1367" s="110"/>
      <c r="BXN1367" s="110"/>
      <c r="BXO1367" s="110"/>
      <c r="BXP1367" s="110"/>
      <c r="BXQ1367" s="110"/>
      <c r="BXR1367" s="110"/>
      <c r="BXS1367" s="110"/>
      <c r="BXT1367" s="110"/>
      <c r="BXU1367" s="110"/>
      <c r="BXV1367" s="110"/>
      <c r="BXW1367" s="110"/>
      <c r="BXX1367" s="110"/>
      <c r="BXY1367" s="110"/>
      <c r="BXZ1367" s="110"/>
      <c r="BYA1367" s="110"/>
      <c r="BYB1367" s="110"/>
      <c r="BYC1367" s="110"/>
      <c r="BYD1367" s="110"/>
      <c r="BYE1367" s="110"/>
      <c r="BYF1367" s="110"/>
      <c r="BYG1367" s="110"/>
      <c r="BYH1367" s="110"/>
      <c r="BYI1367" s="110"/>
      <c r="BYJ1367" s="110"/>
      <c r="BYK1367" s="110"/>
      <c r="BYL1367" s="110"/>
      <c r="BYM1367" s="110"/>
      <c r="BYN1367" s="110"/>
      <c r="BYO1367" s="110"/>
      <c r="BYP1367" s="110"/>
      <c r="BYQ1367" s="110"/>
      <c r="BYR1367" s="110"/>
      <c r="BYS1367" s="110"/>
      <c r="BYT1367" s="110"/>
      <c r="BYU1367" s="110"/>
      <c r="BYV1367" s="110"/>
      <c r="BYW1367" s="110"/>
      <c r="BYX1367" s="110"/>
      <c r="BYY1367" s="110"/>
      <c r="BYZ1367" s="110"/>
      <c r="BZA1367" s="110"/>
      <c r="BZB1367" s="110"/>
      <c r="BZC1367" s="110"/>
      <c r="BZD1367" s="110"/>
      <c r="BZE1367" s="110"/>
      <c r="BZF1367" s="110"/>
      <c r="BZG1367" s="110"/>
      <c r="BZH1367" s="110"/>
      <c r="BZI1367" s="110"/>
      <c r="BZJ1367" s="110"/>
      <c r="BZK1367" s="110"/>
      <c r="BZL1367" s="110"/>
      <c r="BZM1367" s="110"/>
      <c r="BZN1367" s="110"/>
      <c r="BZO1367" s="110"/>
      <c r="BZP1367" s="110"/>
      <c r="BZQ1367" s="110"/>
      <c r="BZR1367" s="110"/>
      <c r="BZS1367" s="110"/>
      <c r="BZT1367" s="110"/>
      <c r="BZU1367" s="110"/>
      <c r="BZV1367" s="110"/>
      <c r="BZW1367" s="110"/>
      <c r="BZX1367" s="110"/>
      <c r="BZY1367" s="110"/>
      <c r="BZZ1367" s="110"/>
      <c r="CAA1367" s="110"/>
      <c r="CAB1367" s="110"/>
      <c r="CAC1367" s="110"/>
      <c r="CAD1367" s="110"/>
      <c r="CAE1367" s="110"/>
      <c r="CAF1367" s="110"/>
      <c r="CAG1367" s="110"/>
      <c r="CAH1367" s="110"/>
      <c r="CAI1367" s="110"/>
      <c r="CAJ1367" s="110"/>
      <c r="CAK1367" s="110"/>
      <c r="CAL1367" s="110"/>
      <c r="CAM1367" s="110"/>
      <c r="CAN1367" s="110"/>
      <c r="CAO1367" s="110"/>
      <c r="CAP1367" s="110"/>
      <c r="CAQ1367" s="110"/>
      <c r="CAR1367" s="110"/>
      <c r="CAS1367" s="110"/>
      <c r="CAT1367" s="110"/>
      <c r="CAU1367" s="110"/>
      <c r="CAV1367" s="110"/>
      <c r="CAW1367" s="110"/>
      <c r="CAX1367" s="110"/>
      <c r="CAY1367" s="110"/>
      <c r="CAZ1367" s="110"/>
      <c r="CBA1367" s="110"/>
      <c r="CBB1367" s="110"/>
      <c r="CBC1367" s="110"/>
      <c r="CBD1367" s="110"/>
      <c r="CBE1367" s="110"/>
      <c r="CBF1367" s="110"/>
      <c r="CBG1367" s="110"/>
      <c r="CBH1367" s="110"/>
      <c r="CBI1367" s="110"/>
      <c r="CBJ1367" s="110"/>
      <c r="CBK1367" s="110"/>
      <c r="CBL1367" s="110"/>
      <c r="CBM1367" s="110"/>
      <c r="CBN1367" s="110"/>
      <c r="CBO1367" s="110"/>
      <c r="CBP1367" s="110"/>
      <c r="CBQ1367" s="110"/>
      <c r="CBR1367" s="110"/>
      <c r="CBS1367" s="110"/>
      <c r="CBT1367" s="110"/>
      <c r="CBU1367" s="110"/>
      <c r="CBV1367" s="110"/>
      <c r="CBW1367" s="110"/>
      <c r="CBX1367" s="110"/>
      <c r="CBY1367" s="110"/>
      <c r="CBZ1367" s="110"/>
      <c r="CCA1367" s="110"/>
      <c r="CCB1367" s="110"/>
      <c r="CCC1367" s="110"/>
      <c r="CCD1367" s="110"/>
      <c r="CCE1367" s="110"/>
      <c r="CCF1367" s="110"/>
      <c r="CCG1367" s="110"/>
      <c r="CCH1367" s="110"/>
      <c r="CCI1367" s="110"/>
      <c r="CCJ1367" s="110"/>
      <c r="CCK1367" s="110"/>
      <c r="CCL1367" s="110"/>
      <c r="CCM1367" s="110"/>
      <c r="CCN1367" s="110"/>
      <c r="CCO1367" s="110"/>
      <c r="CCP1367" s="110"/>
      <c r="CCQ1367" s="110"/>
      <c r="CCR1367" s="110"/>
      <c r="CCS1367" s="110"/>
      <c r="CCT1367" s="110"/>
      <c r="CCU1367" s="110"/>
      <c r="CCV1367" s="110"/>
      <c r="CCW1367" s="110"/>
      <c r="CCX1367" s="110"/>
      <c r="CCY1367" s="110"/>
      <c r="CCZ1367" s="110"/>
      <c r="CDA1367" s="110"/>
      <c r="CDB1367" s="110"/>
      <c r="CDC1367" s="110"/>
      <c r="CDD1367" s="110"/>
      <c r="CDE1367" s="110"/>
      <c r="CDF1367" s="110"/>
      <c r="CDG1367" s="110"/>
      <c r="CDH1367" s="110"/>
      <c r="CDI1367" s="110"/>
      <c r="CDJ1367" s="110"/>
      <c r="CDK1367" s="110"/>
      <c r="CDL1367" s="110"/>
      <c r="CDM1367" s="110"/>
      <c r="CDN1367" s="110"/>
      <c r="CDO1367" s="110"/>
      <c r="CDP1367" s="110"/>
      <c r="CDQ1367" s="110"/>
      <c r="CDR1367" s="110"/>
      <c r="CDS1367" s="110"/>
      <c r="CDT1367" s="110"/>
      <c r="CDU1367" s="110"/>
      <c r="CDV1367" s="110"/>
      <c r="CDW1367" s="110"/>
      <c r="CDX1367" s="110"/>
      <c r="CDY1367" s="110"/>
      <c r="CDZ1367" s="110"/>
      <c r="CEA1367" s="110"/>
      <c r="CEB1367" s="110"/>
      <c r="CEC1367" s="110"/>
      <c r="CED1367" s="110"/>
      <c r="CEE1367" s="110"/>
      <c r="CEF1367" s="110"/>
      <c r="CEG1367" s="110"/>
      <c r="CEH1367" s="110"/>
      <c r="CEI1367" s="110"/>
      <c r="CEJ1367" s="110"/>
      <c r="CEK1367" s="110"/>
      <c r="CEL1367" s="110"/>
      <c r="CEM1367" s="110"/>
      <c r="CEN1367" s="110"/>
      <c r="CEO1367" s="110"/>
      <c r="CEP1367" s="110"/>
      <c r="CEQ1367" s="110"/>
      <c r="CER1367" s="110"/>
      <c r="CES1367" s="110"/>
      <c r="CET1367" s="110"/>
      <c r="CEU1367" s="110"/>
      <c r="CEV1367" s="110"/>
      <c r="CEW1367" s="110"/>
      <c r="CEX1367" s="110"/>
      <c r="CEY1367" s="110"/>
      <c r="CEZ1367" s="110"/>
      <c r="CFA1367" s="110"/>
      <c r="CFB1367" s="110"/>
      <c r="CFC1367" s="110"/>
      <c r="CFD1367" s="110"/>
      <c r="CFE1367" s="110"/>
      <c r="CFF1367" s="110"/>
      <c r="CFG1367" s="110"/>
      <c r="CFH1367" s="110"/>
      <c r="CFI1367" s="110"/>
      <c r="CFJ1367" s="110"/>
      <c r="CFK1367" s="110"/>
      <c r="CFL1367" s="110"/>
      <c r="CFM1367" s="110"/>
      <c r="CFN1367" s="110"/>
      <c r="CFO1367" s="110"/>
      <c r="CFP1367" s="110"/>
      <c r="CFQ1367" s="110"/>
      <c r="CFR1367" s="110"/>
      <c r="CFS1367" s="110"/>
      <c r="CFT1367" s="110"/>
      <c r="CFU1367" s="110"/>
      <c r="CFV1367" s="110"/>
      <c r="CFW1367" s="110"/>
      <c r="CFX1367" s="110"/>
      <c r="CFY1367" s="110"/>
      <c r="CFZ1367" s="110"/>
      <c r="CGA1367" s="110"/>
      <c r="CGB1367" s="110"/>
      <c r="CGC1367" s="110"/>
      <c r="CGD1367" s="110"/>
      <c r="CGE1367" s="110"/>
      <c r="CGF1367" s="110"/>
      <c r="CGG1367" s="110"/>
      <c r="CGH1367" s="110"/>
      <c r="CGI1367" s="110"/>
      <c r="CGJ1367" s="110"/>
      <c r="CGK1367" s="110"/>
      <c r="CGL1367" s="110"/>
      <c r="CGM1367" s="110"/>
      <c r="CGN1367" s="110"/>
      <c r="CGO1367" s="110"/>
      <c r="CGP1367" s="110"/>
      <c r="CGQ1367" s="110"/>
      <c r="CGR1367" s="110"/>
      <c r="CGS1367" s="110"/>
      <c r="CGT1367" s="110"/>
      <c r="CGU1367" s="110"/>
      <c r="CGV1367" s="110"/>
      <c r="CGW1367" s="110"/>
      <c r="CGX1367" s="110"/>
      <c r="CGY1367" s="110"/>
      <c r="CGZ1367" s="110"/>
      <c r="CHA1367" s="110"/>
      <c r="CHB1367" s="110"/>
      <c r="CHC1367" s="110"/>
      <c r="CHD1367" s="110"/>
      <c r="CHE1367" s="110"/>
      <c r="CHF1367" s="110"/>
      <c r="CHG1367" s="110"/>
      <c r="CHH1367" s="110"/>
      <c r="CHI1367" s="110"/>
      <c r="CHJ1367" s="110"/>
      <c r="CHK1367" s="110"/>
      <c r="CHL1367" s="110"/>
      <c r="CHM1367" s="110"/>
      <c r="CHN1367" s="110"/>
      <c r="CHO1367" s="110"/>
      <c r="CHP1367" s="110"/>
      <c r="CHQ1367" s="110"/>
      <c r="CHR1367" s="110"/>
      <c r="CHS1367" s="110"/>
      <c r="CHT1367" s="110"/>
      <c r="CHU1367" s="110"/>
      <c r="CHV1367" s="110"/>
      <c r="CHW1367" s="110"/>
      <c r="CHX1367" s="110"/>
      <c r="CHY1367" s="110"/>
      <c r="CHZ1367" s="110"/>
      <c r="CIA1367" s="110"/>
      <c r="CIB1367" s="110"/>
      <c r="CIC1367" s="110"/>
      <c r="CID1367" s="110"/>
      <c r="CIE1367" s="110"/>
      <c r="CIF1367" s="110"/>
      <c r="CIG1367" s="110"/>
      <c r="CIH1367" s="110"/>
      <c r="CII1367" s="110"/>
      <c r="CIJ1367" s="110"/>
      <c r="CIK1367" s="110"/>
      <c r="CIL1367" s="110"/>
      <c r="CIM1367" s="110"/>
      <c r="CIN1367" s="110"/>
      <c r="CIO1367" s="110"/>
      <c r="CIP1367" s="110"/>
      <c r="CIQ1367" s="110"/>
      <c r="CIR1367" s="110"/>
      <c r="CIS1367" s="110"/>
      <c r="CIT1367" s="110"/>
      <c r="CIU1367" s="110"/>
      <c r="CIV1367" s="110"/>
      <c r="CIW1367" s="110"/>
      <c r="CIX1367" s="110"/>
      <c r="CIY1367" s="110"/>
      <c r="CIZ1367" s="110"/>
      <c r="CJA1367" s="110"/>
      <c r="CJB1367" s="110"/>
      <c r="CJC1367" s="110"/>
      <c r="CJD1367" s="110"/>
      <c r="CJE1367" s="110"/>
      <c r="CJF1367" s="110"/>
      <c r="CJG1367" s="110"/>
      <c r="CJH1367" s="110"/>
      <c r="CJI1367" s="110"/>
      <c r="CJJ1367" s="110"/>
      <c r="CJK1367" s="110"/>
      <c r="CJL1367" s="110"/>
      <c r="CJM1367" s="110"/>
      <c r="CJN1367" s="110"/>
      <c r="CJO1367" s="110"/>
      <c r="CJP1367" s="110"/>
      <c r="CJQ1367" s="110"/>
      <c r="CJR1367" s="110"/>
      <c r="CJS1367" s="110"/>
      <c r="CJT1367" s="110"/>
      <c r="CJU1367" s="110"/>
      <c r="CJV1367" s="110"/>
      <c r="CJW1367" s="110"/>
      <c r="CJX1367" s="110"/>
      <c r="CJY1367" s="110"/>
      <c r="CJZ1367" s="110"/>
      <c r="CKA1367" s="110"/>
      <c r="CKB1367" s="110"/>
      <c r="CKC1367" s="110"/>
      <c r="CKD1367" s="110"/>
      <c r="CKE1367" s="110"/>
      <c r="CKF1367" s="110"/>
      <c r="CKG1367" s="110"/>
      <c r="CKH1367" s="110"/>
      <c r="CKI1367" s="110"/>
      <c r="CKJ1367" s="110"/>
      <c r="CKK1367" s="110"/>
      <c r="CKL1367" s="110"/>
      <c r="CKM1367" s="110"/>
      <c r="CKN1367" s="110"/>
      <c r="CKO1367" s="110"/>
      <c r="CKP1367" s="110"/>
      <c r="CKQ1367" s="110"/>
      <c r="CKR1367" s="110"/>
      <c r="CKS1367" s="110"/>
      <c r="CKT1367" s="110"/>
      <c r="CKU1367" s="110"/>
      <c r="CKV1367" s="110"/>
      <c r="CKW1367" s="110"/>
      <c r="CKX1367" s="110"/>
      <c r="CKY1367" s="110"/>
      <c r="CKZ1367" s="110"/>
      <c r="CLA1367" s="110"/>
      <c r="CLB1367" s="110"/>
      <c r="CLC1367" s="110"/>
      <c r="CLD1367" s="110"/>
      <c r="CLE1367" s="110"/>
      <c r="CLF1367" s="110"/>
      <c r="CLG1367" s="110"/>
      <c r="CLH1367" s="110"/>
      <c r="CLI1367" s="110"/>
      <c r="CLJ1367" s="110"/>
      <c r="CLK1367" s="110"/>
      <c r="CLL1367" s="110"/>
      <c r="CLM1367" s="110"/>
      <c r="CLN1367" s="110"/>
      <c r="CLO1367" s="110"/>
      <c r="CLP1367" s="110"/>
      <c r="CLQ1367" s="110"/>
      <c r="CLR1367" s="110"/>
      <c r="CLS1367" s="110"/>
      <c r="CLT1367" s="110"/>
      <c r="CLU1367" s="110"/>
      <c r="CLV1367" s="110"/>
      <c r="CLW1367" s="110"/>
      <c r="CLX1367" s="110"/>
      <c r="CLY1367" s="110"/>
      <c r="CLZ1367" s="110"/>
      <c r="CMA1367" s="110"/>
      <c r="CMB1367" s="110"/>
      <c r="CMC1367" s="110"/>
      <c r="CMD1367" s="110"/>
      <c r="CME1367" s="110"/>
      <c r="CMF1367" s="110"/>
      <c r="CMG1367" s="110"/>
      <c r="CMH1367" s="110"/>
      <c r="CMI1367" s="110"/>
      <c r="CMJ1367" s="110"/>
      <c r="CMK1367" s="110"/>
      <c r="CML1367" s="110"/>
      <c r="CMM1367" s="110"/>
      <c r="CMN1367" s="110"/>
      <c r="CMO1367" s="110"/>
      <c r="CMP1367" s="110"/>
      <c r="CMQ1367" s="110"/>
      <c r="CMR1367" s="110"/>
      <c r="CMS1367" s="110"/>
      <c r="CMT1367" s="110"/>
      <c r="CMU1367" s="110"/>
      <c r="CMV1367" s="110"/>
      <c r="CMW1367" s="110"/>
      <c r="CMX1367" s="110"/>
      <c r="CMY1367" s="110"/>
      <c r="CMZ1367" s="110"/>
      <c r="CNA1367" s="110"/>
      <c r="CNB1367" s="110"/>
      <c r="CNC1367" s="110"/>
      <c r="CND1367" s="110"/>
      <c r="CNE1367" s="110"/>
      <c r="CNF1367" s="110"/>
      <c r="CNG1367" s="110"/>
      <c r="CNH1367" s="110"/>
      <c r="CNI1367" s="110"/>
      <c r="CNJ1367" s="110"/>
      <c r="CNK1367" s="110"/>
      <c r="CNL1367" s="110"/>
      <c r="CNM1367" s="110"/>
      <c r="CNN1367" s="110"/>
      <c r="CNO1367" s="110"/>
      <c r="CNP1367" s="110"/>
      <c r="CNQ1367" s="110"/>
      <c r="CNR1367" s="110"/>
      <c r="CNS1367" s="110"/>
      <c r="CNT1367" s="110"/>
      <c r="CNU1367" s="110"/>
      <c r="CNV1367" s="110"/>
      <c r="CNW1367" s="110"/>
      <c r="CNX1367" s="110"/>
      <c r="CNY1367" s="110"/>
      <c r="CNZ1367" s="110"/>
      <c r="COA1367" s="110"/>
      <c r="COB1367" s="110"/>
      <c r="COC1367" s="110"/>
      <c r="COD1367" s="110"/>
      <c r="COE1367" s="110"/>
      <c r="COF1367" s="110"/>
      <c r="COG1367" s="110"/>
      <c r="COH1367" s="110"/>
      <c r="COI1367" s="110"/>
      <c r="COJ1367" s="110"/>
      <c r="COK1367" s="110"/>
      <c r="COL1367" s="110"/>
      <c r="COM1367" s="110"/>
      <c r="CON1367" s="110"/>
      <c r="COO1367" s="110"/>
      <c r="COP1367" s="110"/>
      <c r="COQ1367" s="110"/>
      <c r="COR1367" s="110"/>
      <c r="COS1367" s="110"/>
      <c r="COT1367" s="110"/>
      <c r="COU1367" s="110"/>
      <c r="COV1367" s="110"/>
      <c r="COW1367" s="110"/>
      <c r="COX1367" s="110"/>
      <c r="COY1367" s="110"/>
      <c r="COZ1367" s="110"/>
      <c r="CPA1367" s="110"/>
      <c r="CPB1367" s="110"/>
      <c r="CPC1367" s="110"/>
      <c r="CPD1367" s="110"/>
      <c r="CPE1367" s="110"/>
      <c r="CPF1367" s="110"/>
      <c r="CPG1367" s="110"/>
      <c r="CPH1367" s="110"/>
      <c r="CPI1367" s="110"/>
      <c r="CPJ1367" s="110"/>
      <c r="CPK1367" s="110"/>
      <c r="CPL1367" s="110"/>
      <c r="CPM1367" s="110"/>
      <c r="CPN1367" s="110"/>
      <c r="CPO1367" s="110"/>
      <c r="CPP1367" s="110"/>
      <c r="CPQ1367" s="110"/>
      <c r="CPR1367" s="110"/>
      <c r="CPS1367" s="110"/>
      <c r="CPT1367" s="110"/>
      <c r="CPU1367" s="110"/>
      <c r="CPV1367" s="110"/>
      <c r="CPW1367" s="110"/>
      <c r="CPX1367" s="110"/>
      <c r="CPY1367" s="110"/>
      <c r="CPZ1367" s="110"/>
      <c r="CQA1367" s="110"/>
      <c r="CQB1367" s="110"/>
      <c r="CQC1367" s="110"/>
      <c r="CQD1367" s="110"/>
      <c r="CQE1367" s="110"/>
      <c r="CQF1367" s="110"/>
      <c r="CQG1367" s="110"/>
      <c r="CQH1367" s="110"/>
      <c r="CQI1367" s="110"/>
      <c r="CQJ1367" s="110"/>
      <c r="CQK1367" s="110"/>
      <c r="CQL1367" s="110"/>
      <c r="CQM1367" s="110"/>
      <c r="CQN1367" s="110"/>
      <c r="CQO1367" s="110"/>
      <c r="CQP1367" s="110"/>
      <c r="CQQ1367" s="110"/>
      <c r="CQR1367" s="110"/>
      <c r="CQS1367" s="110"/>
      <c r="CQT1367" s="110"/>
      <c r="CQU1367" s="110"/>
      <c r="CQV1367" s="110"/>
      <c r="CQW1367" s="110"/>
      <c r="CQX1367" s="110"/>
      <c r="CQY1367" s="110"/>
      <c r="CQZ1367" s="110"/>
      <c r="CRA1367" s="110"/>
      <c r="CRB1367" s="110"/>
      <c r="CRC1367" s="110"/>
      <c r="CRD1367" s="110"/>
      <c r="CRE1367" s="110"/>
      <c r="CRF1367" s="110"/>
      <c r="CRG1367" s="110"/>
      <c r="CRH1367" s="110"/>
      <c r="CRI1367" s="110"/>
      <c r="CRJ1367" s="110"/>
      <c r="CRK1367" s="110"/>
      <c r="CRL1367" s="110"/>
      <c r="CRM1367" s="110"/>
      <c r="CRN1367" s="110"/>
      <c r="CRO1367" s="110"/>
      <c r="CRP1367" s="110"/>
      <c r="CRQ1367" s="110"/>
      <c r="CRR1367" s="110"/>
      <c r="CRS1367" s="110"/>
      <c r="CRT1367" s="110"/>
      <c r="CRU1367" s="110"/>
      <c r="CRV1367" s="110"/>
      <c r="CRW1367" s="110"/>
      <c r="CRX1367" s="110"/>
      <c r="CRY1367" s="110"/>
      <c r="CRZ1367" s="110"/>
      <c r="CSA1367" s="110"/>
      <c r="CSB1367" s="110"/>
      <c r="CSC1367" s="110"/>
      <c r="CSD1367" s="110"/>
      <c r="CSE1367" s="110"/>
      <c r="CSF1367" s="110"/>
      <c r="CSG1367" s="110"/>
      <c r="CSH1367" s="110"/>
      <c r="CSI1367" s="110"/>
      <c r="CSJ1367" s="110"/>
      <c r="CSK1367" s="110"/>
      <c r="CSL1367" s="110"/>
      <c r="CSM1367" s="110"/>
      <c r="CSN1367" s="110"/>
      <c r="CSO1367" s="110"/>
      <c r="CSP1367" s="110"/>
      <c r="CSQ1367" s="110"/>
      <c r="CSR1367" s="110"/>
      <c r="CSS1367" s="110"/>
      <c r="CST1367" s="110"/>
      <c r="CSU1367" s="110"/>
      <c r="CSV1367" s="110"/>
      <c r="CSW1367" s="110"/>
      <c r="CSX1367" s="110"/>
      <c r="CSY1367" s="110"/>
      <c r="CSZ1367" s="110"/>
      <c r="CTA1367" s="110"/>
      <c r="CTB1367" s="110"/>
      <c r="CTC1367" s="110"/>
      <c r="CTD1367" s="110"/>
      <c r="CTE1367" s="110"/>
      <c r="CTF1367" s="110"/>
      <c r="CTG1367" s="110"/>
      <c r="CTH1367" s="110"/>
      <c r="CTI1367" s="110"/>
      <c r="CTJ1367" s="110"/>
      <c r="CTK1367" s="110"/>
      <c r="CTL1367" s="110"/>
      <c r="CTM1367" s="110"/>
      <c r="CTN1367" s="110"/>
      <c r="CTO1367" s="110"/>
      <c r="CTP1367" s="110"/>
      <c r="CTQ1367" s="110"/>
      <c r="CTR1367" s="110"/>
      <c r="CTS1367" s="110"/>
      <c r="CTT1367" s="110"/>
      <c r="CTU1367" s="110"/>
      <c r="CTV1367" s="110"/>
      <c r="CTW1367" s="110"/>
      <c r="CTX1367" s="110"/>
      <c r="CTY1367" s="110"/>
      <c r="CTZ1367" s="110"/>
      <c r="CUA1367" s="110"/>
      <c r="CUB1367" s="110"/>
      <c r="CUC1367" s="110"/>
      <c r="CUD1367" s="110"/>
      <c r="CUE1367" s="110"/>
      <c r="CUF1367" s="110"/>
      <c r="CUG1367" s="110"/>
      <c r="CUH1367" s="110"/>
      <c r="CUI1367" s="110"/>
      <c r="CUJ1367" s="110"/>
      <c r="CUK1367" s="110"/>
      <c r="CUL1367" s="110"/>
      <c r="CUM1367" s="110"/>
      <c r="CUN1367" s="110"/>
      <c r="CUO1367" s="110"/>
      <c r="CUP1367" s="110"/>
      <c r="CUQ1367" s="110"/>
      <c r="CUR1367" s="110"/>
      <c r="CUS1367" s="110"/>
      <c r="CUT1367" s="110"/>
      <c r="CUU1367" s="110"/>
      <c r="CUV1367" s="110"/>
      <c r="CUW1367" s="110"/>
      <c r="CUX1367" s="110"/>
      <c r="CUY1367" s="110"/>
      <c r="CUZ1367" s="110"/>
      <c r="CVA1367" s="110"/>
      <c r="CVB1367" s="110"/>
      <c r="CVC1367" s="110"/>
      <c r="CVD1367" s="110"/>
      <c r="CVE1367" s="110"/>
      <c r="CVF1367" s="110"/>
      <c r="CVG1367" s="110"/>
      <c r="CVH1367" s="110"/>
      <c r="CVI1367" s="110"/>
      <c r="CVJ1367" s="110"/>
      <c r="CVK1367" s="110"/>
      <c r="CVL1367" s="110"/>
      <c r="CVM1367" s="110"/>
      <c r="CVN1367" s="110"/>
      <c r="CVO1367" s="110"/>
      <c r="CVP1367" s="110"/>
      <c r="CVQ1367" s="110"/>
      <c r="CVR1367" s="110"/>
      <c r="CVS1367" s="110"/>
      <c r="CVT1367" s="110"/>
      <c r="CVU1367" s="110"/>
      <c r="CVV1367" s="110"/>
      <c r="CVW1367" s="110"/>
      <c r="CVX1367" s="110"/>
      <c r="CVY1367" s="110"/>
      <c r="CVZ1367" s="110"/>
      <c r="CWA1367" s="110"/>
      <c r="CWB1367" s="110"/>
      <c r="CWC1367" s="110"/>
      <c r="CWD1367" s="110"/>
      <c r="CWE1367" s="110"/>
      <c r="CWF1367" s="110"/>
      <c r="CWG1367" s="110"/>
      <c r="CWH1367" s="110"/>
      <c r="CWI1367" s="110"/>
      <c r="CWJ1367" s="110"/>
      <c r="CWK1367" s="110"/>
      <c r="CWL1367" s="110"/>
      <c r="CWM1367" s="110"/>
      <c r="CWN1367" s="110"/>
      <c r="CWO1367" s="110"/>
      <c r="CWP1367" s="110"/>
      <c r="CWQ1367" s="110"/>
      <c r="CWR1367" s="110"/>
      <c r="CWS1367" s="110"/>
      <c r="CWT1367" s="110"/>
      <c r="CWU1367" s="110"/>
      <c r="CWV1367" s="110"/>
      <c r="CWW1367" s="110"/>
      <c r="CWX1367" s="110"/>
      <c r="CWY1367" s="110"/>
      <c r="CWZ1367" s="110"/>
      <c r="CXA1367" s="110"/>
      <c r="CXB1367" s="110"/>
      <c r="CXC1367" s="110"/>
      <c r="CXD1367" s="110"/>
      <c r="CXE1367" s="110"/>
      <c r="CXF1367" s="110"/>
      <c r="CXG1367" s="110"/>
      <c r="CXH1367" s="110"/>
      <c r="CXI1367" s="110"/>
      <c r="CXJ1367" s="110"/>
      <c r="CXK1367" s="110"/>
      <c r="CXL1367" s="110"/>
      <c r="CXM1367" s="110"/>
      <c r="CXN1367" s="110"/>
      <c r="CXO1367" s="110"/>
      <c r="CXP1367" s="110"/>
      <c r="CXQ1367" s="110"/>
      <c r="CXR1367" s="110"/>
      <c r="CXS1367" s="110"/>
      <c r="CXT1367" s="110"/>
      <c r="CXU1367" s="110"/>
      <c r="CXV1367" s="110"/>
      <c r="CXW1367" s="110"/>
      <c r="CXX1367" s="110"/>
      <c r="CXY1367" s="110"/>
      <c r="CXZ1367" s="110"/>
      <c r="CYA1367" s="110"/>
      <c r="CYB1367" s="110"/>
      <c r="CYC1367" s="110"/>
      <c r="CYD1367" s="110"/>
      <c r="CYE1367" s="110"/>
      <c r="CYF1367" s="110"/>
      <c r="CYG1367" s="110"/>
      <c r="CYH1367" s="110"/>
      <c r="CYI1367" s="110"/>
      <c r="CYJ1367" s="110"/>
      <c r="CYK1367" s="110"/>
      <c r="CYL1367" s="110"/>
      <c r="CYM1367" s="110"/>
      <c r="CYN1367" s="110"/>
      <c r="CYO1367" s="110"/>
      <c r="CYP1367" s="110"/>
      <c r="CYQ1367" s="110"/>
      <c r="CYR1367" s="110"/>
      <c r="CYS1367" s="110"/>
      <c r="CYT1367" s="110"/>
      <c r="CYU1367" s="110"/>
      <c r="CYV1367" s="110"/>
      <c r="CYW1367" s="110"/>
      <c r="CYX1367" s="110"/>
      <c r="CYY1367" s="110"/>
      <c r="CYZ1367" s="110"/>
      <c r="CZA1367" s="110"/>
      <c r="CZB1367" s="110"/>
      <c r="CZC1367" s="110"/>
      <c r="CZD1367" s="110"/>
      <c r="CZE1367" s="110"/>
      <c r="CZF1367" s="110"/>
      <c r="CZG1367" s="110"/>
      <c r="CZH1367" s="110"/>
      <c r="CZI1367" s="110"/>
      <c r="CZJ1367" s="110"/>
      <c r="CZK1367" s="110"/>
      <c r="CZL1367" s="110"/>
      <c r="CZM1367" s="110"/>
      <c r="CZN1367" s="110"/>
      <c r="CZO1367" s="110"/>
      <c r="CZP1367" s="110"/>
      <c r="CZQ1367" s="110"/>
      <c r="CZR1367" s="110"/>
      <c r="CZS1367" s="110"/>
      <c r="CZT1367" s="110"/>
      <c r="CZU1367" s="110"/>
      <c r="CZV1367" s="110"/>
      <c r="CZW1367" s="110"/>
      <c r="CZX1367" s="110"/>
      <c r="CZY1367" s="110"/>
      <c r="CZZ1367" s="110"/>
      <c r="DAA1367" s="110"/>
      <c r="DAB1367" s="110"/>
      <c r="DAC1367" s="110"/>
      <c r="DAD1367" s="110"/>
      <c r="DAE1367" s="110"/>
      <c r="DAF1367" s="110"/>
      <c r="DAG1367" s="110"/>
      <c r="DAH1367" s="110"/>
      <c r="DAI1367" s="110"/>
      <c r="DAJ1367" s="110"/>
      <c r="DAK1367" s="110"/>
      <c r="DAL1367" s="110"/>
      <c r="DAM1367" s="110"/>
      <c r="DAN1367" s="110"/>
      <c r="DAO1367" s="110"/>
      <c r="DAP1367" s="110"/>
      <c r="DAQ1367" s="110"/>
      <c r="DAR1367" s="110"/>
      <c r="DAS1367" s="110"/>
      <c r="DAT1367" s="110"/>
      <c r="DAU1367" s="110"/>
      <c r="DAV1367" s="110"/>
      <c r="DAW1367" s="110"/>
      <c r="DAX1367" s="110"/>
      <c r="DAY1367" s="110"/>
      <c r="DAZ1367" s="110"/>
      <c r="DBA1367" s="110"/>
      <c r="DBB1367" s="110"/>
      <c r="DBC1367" s="110"/>
      <c r="DBD1367" s="110"/>
      <c r="DBE1367" s="110"/>
      <c r="DBF1367" s="110"/>
      <c r="DBG1367" s="110"/>
      <c r="DBH1367" s="110"/>
      <c r="DBI1367" s="110"/>
      <c r="DBJ1367" s="110"/>
      <c r="DBK1367" s="110"/>
      <c r="DBL1367" s="110"/>
      <c r="DBM1367" s="110"/>
      <c r="DBN1367" s="110"/>
      <c r="DBO1367" s="110"/>
      <c r="DBP1367" s="110"/>
      <c r="DBQ1367" s="110"/>
      <c r="DBR1367" s="110"/>
      <c r="DBS1367" s="110"/>
      <c r="DBT1367" s="110"/>
      <c r="DBU1367" s="110"/>
      <c r="DBV1367" s="110"/>
      <c r="DBW1367" s="110"/>
      <c r="DBX1367" s="110"/>
      <c r="DBY1367" s="110"/>
      <c r="DBZ1367" s="110"/>
      <c r="DCA1367" s="110"/>
      <c r="DCB1367" s="110"/>
      <c r="DCC1367" s="110"/>
      <c r="DCD1367" s="110"/>
      <c r="DCE1367" s="110"/>
      <c r="DCF1367" s="110"/>
      <c r="DCG1367" s="110"/>
      <c r="DCH1367" s="110"/>
      <c r="DCI1367" s="110"/>
      <c r="DCJ1367" s="110"/>
      <c r="DCK1367" s="110"/>
      <c r="DCL1367" s="110"/>
      <c r="DCM1367" s="110"/>
      <c r="DCN1367" s="110"/>
      <c r="DCO1367" s="110"/>
      <c r="DCP1367" s="110"/>
      <c r="DCQ1367" s="110"/>
      <c r="DCR1367" s="110"/>
      <c r="DCS1367" s="110"/>
      <c r="DCT1367" s="110"/>
      <c r="DCU1367" s="110"/>
      <c r="DCV1367" s="110"/>
      <c r="DCW1367" s="110"/>
      <c r="DCX1367" s="110"/>
      <c r="DCY1367" s="110"/>
      <c r="DCZ1367" s="110"/>
      <c r="DDA1367" s="110"/>
      <c r="DDB1367" s="110"/>
      <c r="DDC1367" s="110"/>
      <c r="DDD1367" s="110"/>
      <c r="DDE1367" s="110"/>
      <c r="DDF1367" s="110"/>
      <c r="DDG1367" s="110"/>
      <c r="DDH1367" s="110"/>
      <c r="DDI1367" s="110"/>
      <c r="DDJ1367" s="110"/>
      <c r="DDK1367" s="110"/>
      <c r="DDL1367" s="110"/>
      <c r="DDM1367" s="110"/>
      <c r="DDN1367" s="110"/>
      <c r="DDO1367" s="110"/>
      <c r="DDP1367" s="110"/>
      <c r="DDQ1367" s="110"/>
      <c r="DDR1367" s="110"/>
      <c r="DDS1367" s="110"/>
      <c r="DDT1367" s="110"/>
      <c r="DDU1367" s="110"/>
      <c r="DDV1367" s="110"/>
      <c r="DDW1367" s="110"/>
      <c r="DDX1367" s="110"/>
      <c r="DDY1367" s="110"/>
      <c r="DDZ1367" s="110"/>
      <c r="DEA1367" s="110"/>
      <c r="DEB1367" s="110"/>
      <c r="DEC1367" s="110"/>
      <c r="DED1367" s="110"/>
      <c r="DEE1367" s="110"/>
      <c r="DEF1367" s="110"/>
      <c r="DEG1367" s="110"/>
      <c r="DEH1367" s="110"/>
      <c r="DEI1367" s="110"/>
      <c r="DEJ1367" s="110"/>
      <c r="DEK1367" s="110"/>
      <c r="DEL1367" s="110"/>
      <c r="DEM1367" s="110"/>
      <c r="DEN1367" s="110"/>
      <c r="DEO1367" s="110"/>
      <c r="DEP1367" s="110"/>
      <c r="DEQ1367" s="110"/>
      <c r="DER1367" s="110"/>
      <c r="DES1367" s="110"/>
      <c r="DET1367" s="110"/>
      <c r="DEU1367" s="110"/>
      <c r="DEV1367" s="110"/>
      <c r="DEW1367" s="110"/>
      <c r="DEX1367" s="110"/>
      <c r="DEY1367" s="110"/>
      <c r="DEZ1367" s="110"/>
      <c r="DFA1367" s="110"/>
      <c r="DFB1367" s="110"/>
      <c r="DFC1367" s="110"/>
      <c r="DFD1367" s="110"/>
      <c r="DFE1367" s="110"/>
      <c r="DFF1367" s="110"/>
      <c r="DFG1367" s="110"/>
      <c r="DFH1367" s="110"/>
      <c r="DFI1367" s="110"/>
      <c r="DFJ1367" s="110"/>
      <c r="DFK1367" s="110"/>
      <c r="DFL1367" s="110"/>
      <c r="DFM1367" s="110"/>
      <c r="DFN1367" s="110"/>
      <c r="DFO1367" s="110"/>
      <c r="DFP1367" s="110"/>
      <c r="DFQ1367" s="110"/>
      <c r="DFR1367" s="110"/>
      <c r="DFS1367" s="110"/>
      <c r="DFT1367" s="110"/>
      <c r="DFU1367" s="110"/>
      <c r="DFV1367" s="110"/>
      <c r="DFW1367" s="110"/>
      <c r="DFX1367" s="110"/>
      <c r="DFY1367" s="110"/>
      <c r="DFZ1367" s="110"/>
      <c r="DGA1367" s="110"/>
      <c r="DGB1367" s="110"/>
      <c r="DGC1367" s="110"/>
      <c r="DGD1367" s="110"/>
      <c r="DGE1367" s="110"/>
      <c r="DGF1367" s="110"/>
      <c r="DGG1367" s="110"/>
      <c r="DGH1367" s="110"/>
      <c r="DGI1367" s="110"/>
      <c r="DGJ1367" s="110"/>
      <c r="DGK1367" s="110"/>
      <c r="DGL1367" s="110"/>
      <c r="DGM1367" s="110"/>
      <c r="DGN1367" s="110"/>
      <c r="DGO1367" s="110"/>
      <c r="DGP1367" s="110"/>
      <c r="DGQ1367" s="110"/>
      <c r="DGR1367" s="110"/>
      <c r="DGS1367" s="110"/>
      <c r="DGT1367" s="110"/>
      <c r="DGU1367" s="110"/>
      <c r="DGV1367" s="110"/>
      <c r="DGW1367" s="110"/>
      <c r="DGX1367" s="110"/>
      <c r="DGY1367" s="110"/>
      <c r="DGZ1367" s="110"/>
      <c r="DHA1367" s="110"/>
      <c r="DHB1367" s="110"/>
      <c r="DHC1367" s="110"/>
      <c r="DHD1367" s="110"/>
      <c r="DHE1367" s="110"/>
      <c r="DHF1367" s="110"/>
      <c r="DHG1367" s="110"/>
      <c r="DHH1367" s="110"/>
      <c r="DHI1367" s="110"/>
      <c r="DHJ1367" s="110"/>
      <c r="DHK1367" s="110"/>
      <c r="DHL1367" s="110"/>
      <c r="DHM1367" s="110"/>
      <c r="DHN1367" s="110"/>
      <c r="DHO1367" s="110"/>
      <c r="DHP1367" s="110"/>
      <c r="DHQ1367" s="110"/>
      <c r="DHR1367" s="110"/>
      <c r="DHS1367" s="110"/>
      <c r="DHT1367" s="110"/>
      <c r="DHU1367" s="110"/>
      <c r="DHV1367" s="110"/>
      <c r="DHW1367" s="110"/>
      <c r="DHX1367" s="110"/>
      <c r="DHY1367" s="110"/>
      <c r="DHZ1367" s="110"/>
      <c r="DIA1367" s="110"/>
      <c r="DIB1367" s="110"/>
      <c r="DIC1367" s="110"/>
      <c r="DID1367" s="110"/>
      <c r="DIE1367" s="110"/>
      <c r="DIF1367" s="110"/>
      <c r="DIG1367" s="110"/>
      <c r="DIH1367" s="110"/>
      <c r="DII1367" s="110"/>
      <c r="DIJ1367" s="110"/>
      <c r="DIK1367" s="110"/>
      <c r="DIL1367" s="110"/>
      <c r="DIM1367" s="110"/>
      <c r="DIN1367" s="110"/>
      <c r="DIO1367" s="110"/>
      <c r="DIP1367" s="110"/>
      <c r="DIQ1367" s="110"/>
      <c r="DIR1367" s="110"/>
      <c r="DIS1367" s="110"/>
      <c r="DIT1367" s="110"/>
      <c r="DIU1367" s="110"/>
      <c r="DIV1367" s="110"/>
      <c r="DIW1367" s="110"/>
      <c r="DIX1367" s="110"/>
      <c r="DIY1367" s="110"/>
      <c r="DIZ1367" s="110"/>
      <c r="DJA1367" s="110"/>
      <c r="DJB1367" s="110"/>
      <c r="DJC1367" s="110"/>
      <c r="DJD1367" s="110"/>
      <c r="DJE1367" s="110"/>
      <c r="DJF1367" s="110"/>
      <c r="DJG1367" s="110"/>
      <c r="DJH1367" s="110"/>
      <c r="DJI1367" s="110"/>
      <c r="DJJ1367" s="110"/>
      <c r="DJK1367" s="110"/>
      <c r="DJL1367" s="110"/>
      <c r="DJM1367" s="110"/>
      <c r="DJN1367" s="110"/>
      <c r="DJO1367" s="110"/>
      <c r="DJP1367" s="110"/>
      <c r="DJQ1367" s="110"/>
      <c r="DJR1367" s="110"/>
      <c r="DJS1367" s="110"/>
      <c r="DJT1367" s="110"/>
      <c r="DJU1367" s="110"/>
      <c r="DJV1367" s="110"/>
      <c r="DJW1367" s="110"/>
      <c r="DJX1367" s="110"/>
      <c r="DJY1367" s="110"/>
      <c r="DJZ1367" s="110"/>
      <c r="DKA1367" s="110"/>
      <c r="DKB1367" s="110"/>
      <c r="DKC1367" s="110"/>
      <c r="DKD1367" s="110"/>
      <c r="DKE1367" s="110"/>
      <c r="DKF1367" s="110"/>
      <c r="DKG1367" s="110"/>
      <c r="DKH1367" s="110"/>
      <c r="DKI1367" s="110"/>
      <c r="DKJ1367" s="110"/>
      <c r="DKK1367" s="110"/>
      <c r="DKL1367" s="110"/>
      <c r="DKM1367" s="110"/>
      <c r="DKN1367" s="110"/>
      <c r="DKO1367" s="110"/>
      <c r="DKP1367" s="110"/>
      <c r="DKQ1367" s="110"/>
      <c r="DKR1367" s="110"/>
      <c r="DKS1367" s="110"/>
      <c r="DKT1367" s="110"/>
      <c r="DKU1367" s="110"/>
      <c r="DKV1367" s="110"/>
      <c r="DKW1367" s="110"/>
      <c r="DKX1367" s="110"/>
      <c r="DKY1367" s="110"/>
      <c r="DKZ1367" s="110"/>
      <c r="DLA1367" s="110"/>
      <c r="DLB1367" s="110"/>
      <c r="DLC1367" s="110"/>
      <c r="DLD1367" s="110"/>
      <c r="DLE1367" s="110"/>
      <c r="DLF1367" s="110"/>
      <c r="DLG1367" s="110"/>
      <c r="DLH1367" s="110"/>
      <c r="DLI1367" s="110"/>
      <c r="DLJ1367" s="110"/>
      <c r="DLK1367" s="110"/>
      <c r="DLL1367" s="110"/>
      <c r="DLM1367" s="110"/>
      <c r="DLN1367" s="110"/>
      <c r="DLO1367" s="110"/>
      <c r="DLP1367" s="110"/>
      <c r="DLQ1367" s="110"/>
      <c r="DLR1367" s="110"/>
      <c r="DLS1367" s="110"/>
      <c r="DLT1367" s="110"/>
      <c r="DLU1367" s="110"/>
      <c r="DLV1367" s="110"/>
      <c r="DLW1367" s="110"/>
      <c r="DLX1367" s="110"/>
      <c r="DLY1367" s="110"/>
      <c r="DLZ1367" s="110"/>
      <c r="DMA1367" s="110"/>
      <c r="DMB1367" s="110"/>
      <c r="DMC1367" s="110"/>
      <c r="DMD1367" s="110"/>
      <c r="DME1367" s="110"/>
      <c r="DMF1367" s="110"/>
      <c r="DMG1367" s="110"/>
      <c r="DMH1367" s="110"/>
      <c r="DMI1367" s="110"/>
      <c r="DMJ1367" s="110"/>
      <c r="DMK1367" s="110"/>
      <c r="DML1367" s="110"/>
      <c r="DMM1367" s="110"/>
      <c r="DMN1367" s="110"/>
      <c r="DMO1367" s="110"/>
      <c r="DMP1367" s="110"/>
      <c r="DMQ1367" s="110"/>
      <c r="DMR1367" s="110"/>
      <c r="DMS1367" s="110"/>
      <c r="DMT1367" s="110"/>
      <c r="DMU1367" s="110"/>
      <c r="DMV1367" s="110"/>
      <c r="DMW1367" s="110"/>
      <c r="DMX1367" s="110"/>
      <c r="DMY1367" s="110"/>
      <c r="DMZ1367" s="110"/>
      <c r="DNA1367" s="110"/>
      <c r="DNB1367" s="110"/>
      <c r="DNC1367" s="110"/>
      <c r="DND1367" s="110"/>
      <c r="DNE1367" s="110"/>
      <c r="DNF1367" s="110"/>
      <c r="DNG1367" s="110"/>
      <c r="DNH1367" s="110"/>
      <c r="DNI1367" s="110"/>
      <c r="DNJ1367" s="110"/>
      <c r="DNK1367" s="110"/>
      <c r="DNL1367" s="110"/>
      <c r="DNM1367" s="110"/>
      <c r="DNN1367" s="110"/>
      <c r="DNO1367" s="110"/>
      <c r="DNP1367" s="110"/>
      <c r="DNQ1367" s="110"/>
      <c r="DNR1367" s="110"/>
      <c r="DNS1367" s="110"/>
      <c r="DNT1367" s="110"/>
      <c r="DNU1367" s="110"/>
      <c r="DNV1367" s="110"/>
      <c r="DNW1367" s="110"/>
      <c r="DNX1367" s="110"/>
      <c r="DNY1367" s="110"/>
      <c r="DNZ1367" s="110"/>
      <c r="DOA1367" s="110"/>
      <c r="DOB1367" s="110"/>
      <c r="DOC1367" s="110"/>
      <c r="DOD1367" s="110"/>
      <c r="DOE1367" s="110"/>
      <c r="DOF1367" s="110"/>
      <c r="DOG1367" s="110"/>
      <c r="DOH1367" s="110"/>
      <c r="DOI1367" s="110"/>
      <c r="DOJ1367" s="110"/>
      <c r="DOK1367" s="110"/>
      <c r="DOL1367" s="110"/>
      <c r="DOM1367" s="110"/>
      <c r="DON1367" s="110"/>
      <c r="DOO1367" s="110"/>
      <c r="DOP1367" s="110"/>
      <c r="DOQ1367" s="110"/>
      <c r="DOR1367" s="110"/>
      <c r="DOS1367" s="110"/>
      <c r="DOT1367" s="110"/>
      <c r="DOU1367" s="110"/>
      <c r="DOV1367" s="110"/>
      <c r="DOW1367" s="110"/>
      <c r="DOX1367" s="110"/>
      <c r="DOY1367" s="110"/>
      <c r="DOZ1367" s="110"/>
      <c r="DPA1367" s="110"/>
      <c r="DPB1367" s="110"/>
      <c r="DPC1367" s="110"/>
      <c r="DPD1367" s="110"/>
      <c r="DPE1367" s="110"/>
      <c r="DPF1367" s="110"/>
      <c r="DPG1367" s="110"/>
      <c r="DPH1367" s="110"/>
      <c r="DPI1367" s="110"/>
      <c r="DPJ1367" s="110"/>
      <c r="DPK1367" s="110"/>
      <c r="DPL1367" s="110"/>
      <c r="DPM1367" s="110"/>
      <c r="DPN1367" s="110"/>
      <c r="DPO1367" s="110"/>
      <c r="DPP1367" s="110"/>
      <c r="DPQ1367" s="110"/>
      <c r="DPR1367" s="110"/>
      <c r="DPS1367" s="110"/>
      <c r="DPT1367" s="110"/>
      <c r="DPU1367" s="110"/>
      <c r="DPV1367" s="110"/>
      <c r="DPW1367" s="110"/>
      <c r="DPX1367" s="110"/>
      <c r="DPY1367" s="110"/>
      <c r="DPZ1367" s="110"/>
      <c r="DQA1367" s="110"/>
      <c r="DQB1367" s="110"/>
      <c r="DQC1367" s="110"/>
      <c r="DQD1367" s="110"/>
      <c r="DQE1367" s="110"/>
      <c r="DQF1367" s="110"/>
      <c r="DQG1367" s="110"/>
      <c r="DQH1367" s="110"/>
      <c r="DQI1367" s="110"/>
      <c r="DQJ1367" s="110"/>
      <c r="DQK1367" s="110"/>
      <c r="DQL1367" s="110"/>
      <c r="DQM1367" s="110"/>
      <c r="DQN1367" s="110"/>
      <c r="DQO1367" s="110"/>
      <c r="DQP1367" s="110"/>
      <c r="DQQ1367" s="110"/>
      <c r="DQR1367" s="110"/>
      <c r="DQS1367" s="110"/>
      <c r="DQT1367" s="110"/>
      <c r="DQU1367" s="110"/>
      <c r="DQV1367" s="110"/>
      <c r="DQW1367" s="110"/>
      <c r="DQX1367" s="110"/>
      <c r="DQY1367" s="110"/>
      <c r="DQZ1367" s="110"/>
      <c r="DRA1367" s="110"/>
      <c r="DRB1367" s="110"/>
      <c r="DRC1367" s="110"/>
      <c r="DRD1367" s="110"/>
      <c r="DRE1367" s="110"/>
      <c r="DRF1367" s="110"/>
      <c r="DRG1367" s="110"/>
      <c r="DRH1367" s="110"/>
      <c r="DRI1367" s="110"/>
      <c r="DRJ1367" s="110"/>
      <c r="DRK1367" s="110"/>
      <c r="DRL1367" s="110"/>
      <c r="DRM1367" s="110"/>
      <c r="DRN1367" s="110"/>
      <c r="DRO1367" s="110"/>
      <c r="DRP1367" s="110"/>
      <c r="DRQ1367" s="110"/>
      <c r="DRR1367" s="110"/>
      <c r="DRS1367" s="110"/>
      <c r="DRT1367" s="110"/>
      <c r="DRU1367" s="110"/>
      <c r="DRV1367" s="110"/>
      <c r="DRW1367" s="110"/>
      <c r="DRX1367" s="110"/>
      <c r="DRY1367" s="110"/>
      <c r="DRZ1367" s="110"/>
      <c r="DSA1367" s="110"/>
      <c r="DSB1367" s="110"/>
      <c r="DSC1367" s="110"/>
      <c r="DSD1367" s="110"/>
      <c r="DSE1367" s="110"/>
      <c r="DSF1367" s="110"/>
      <c r="DSG1367" s="110"/>
      <c r="DSH1367" s="110"/>
      <c r="DSI1367" s="110"/>
      <c r="DSJ1367" s="110"/>
      <c r="DSK1367" s="110"/>
      <c r="DSL1367" s="110"/>
      <c r="DSM1367" s="110"/>
      <c r="DSN1367" s="110"/>
      <c r="DSO1367" s="110"/>
      <c r="DSP1367" s="110"/>
      <c r="DSQ1367" s="110"/>
      <c r="DSR1367" s="110"/>
      <c r="DSS1367" s="110"/>
      <c r="DST1367" s="110"/>
      <c r="DSU1367" s="110"/>
      <c r="DSV1367" s="110"/>
      <c r="DSW1367" s="110"/>
      <c r="DSX1367" s="110"/>
      <c r="DSY1367" s="110"/>
      <c r="DSZ1367" s="110"/>
      <c r="DTA1367" s="110"/>
      <c r="DTB1367" s="110"/>
      <c r="DTC1367" s="110"/>
      <c r="DTD1367" s="110"/>
      <c r="DTE1367" s="110"/>
      <c r="DTF1367" s="110"/>
      <c r="DTG1367" s="110"/>
      <c r="DTH1367" s="110"/>
      <c r="DTI1367" s="110"/>
      <c r="DTJ1367" s="110"/>
      <c r="DTK1367" s="110"/>
      <c r="DTL1367" s="110"/>
      <c r="DTM1367" s="110"/>
      <c r="DTN1367" s="110"/>
      <c r="DTO1367" s="110"/>
      <c r="DTP1367" s="110"/>
      <c r="DTQ1367" s="110"/>
      <c r="DTR1367" s="110"/>
      <c r="DTS1367" s="110"/>
      <c r="DTT1367" s="110"/>
      <c r="DTU1367" s="110"/>
      <c r="DTV1367" s="110"/>
      <c r="DTW1367" s="110"/>
      <c r="DTX1367" s="110"/>
      <c r="DTY1367" s="110"/>
      <c r="DTZ1367" s="110"/>
      <c r="DUA1367" s="110"/>
      <c r="DUB1367" s="110"/>
      <c r="DUC1367" s="110"/>
      <c r="DUD1367" s="110"/>
      <c r="DUE1367" s="110"/>
      <c r="DUF1367" s="110"/>
      <c r="DUG1367" s="110"/>
      <c r="DUH1367" s="110"/>
      <c r="DUI1367" s="110"/>
      <c r="DUJ1367" s="110"/>
      <c r="DUK1367" s="110"/>
      <c r="DUL1367" s="110"/>
      <c r="DUM1367" s="110"/>
      <c r="DUN1367" s="110"/>
      <c r="DUO1367" s="110"/>
      <c r="DUP1367" s="110"/>
      <c r="DUQ1367" s="110"/>
      <c r="DUR1367" s="110"/>
      <c r="DUS1367" s="110"/>
      <c r="DUT1367" s="110"/>
      <c r="DUU1367" s="110"/>
      <c r="DUV1367" s="110"/>
      <c r="DUW1367" s="110"/>
      <c r="DUX1367" s="110"/>
      <c r="DUY1367" s="110"/>
      <c r="DUZ1367" s="110"/>
      <c r="DVA1367" s="110"/>
      <c r="DVB1367" s="110"/>
      <c r="DVC1367" s="110"/>
      <c r="DVD1367" s="110"/>
      <c r="DVE1367" s="110"/>
      <c r="DVF1367" s="110"/>
      <c r="DVG1367" s="110"/>
      <c r="DVH1367" s="110"/>
      <c r="DVI1367" s="110"/>
      <c r="DVJ1367" s="110"/>
      <c r="DVK1367" s="110"/>
      <c r="DVL1367" s="110"/>
      <c r="DVM1367" s="110"/>
      <c r="DVN1367" s="110"/>
      <c r="DVO1367" s="110"/>
      <c r="DVP1367" s="110"/>
      <c r="DVQ1367" s="110"/>
      <c r="DVR1367" s="110"/>
      <c r="DVS1367" s="110"/>
      <c r="DVT1367" s="110"/>
      <c r="DVU1367" s="110"/>
      <c r="DVV1367" s="110"/>
      <c r="DVW1367" s="110"/>
      <c r="DVX1367" s="110"/>
      <c r="DVY1367" s="110"/>
      <c r="DVZ1367" s="110"/>
      <c r="DWA1367" s="110"/>
      <c r="DWB1367" s="110"/>
      <c r="DWC1367" s="110"/>
      <c r="DWD1367" s="110"/>
      <c r="DWE1367" s="110"/>
      <c r="DWF1367" s="110"/>
      <c r="DWG1367" s="110"/>
      <c r="DWH1367" s="110"/>
      <c r="DWI1367" s="110"/>
      <c r="DWJ1367" s="110"/>
      <c r="DWK1367" s="110"/>
      <c r="DWL1367" s="110"/>
      <c r="DWM1367" s="110"/>
      <c r="DWN1367" s="110"/>
      <c r="DWO1367" s="110"/>
      <c r="DWP1367" s="110"/>
      <c r="DWQ1367" s="110"/>
      <c r="DWR1367" s="110"/>
      <c r="DWS1367" s="110"/>
      <c r="DWT1367" s="110"/>
      <c r="DWU1367" s="110"/>
      <c r="DWV1367" s="110"/>
      <c r="DWW1367" s="110"/>
      <c r="DWX1367" s="110"/>
      <c r="DWY1367" s="110"/>
      <c r="DWZ1367" s="110"/>
      <c r="DXA1367" s="110"/>
      <c r="DXB1367" s="110"/>
      <c r="DXC1367" s="110"/>
      <c r="DXD1367" s="110"/>
      <c r="DXE1367" s="110"/>
      <c r="DXF1367" s="110"/>
      <c r="DXG1367" s="110"/>
      <c r="DXH1367" s="110"/>
      <c r="DXI1367" s="110"/>
      <c r="DXJ1367" s="110"/>
      <c r="DXK1367" s="110"/>
      <c r="DXL1367" s="110"/>
      <c r="DXM1367" s="110"/>
      <c r="DXN1367" s="110"/>
      <c r="DXO1367" s="110"/>
      <c r="DXP1367" s="110"/>
      <c r="DXQ1367" s="110"/>
      <c r="DXR1367" s="110"/>
      <c r="DXS1367" s="110"/>
      <c r="DXT1367" s="110"/>
      <c r="DXU1367" s="110"/>
      <c r="DXV1367" s="110"/>
      <c r="DXW1367" s="110"/>
      <c r="DXX1367" s="110"/>
      <c r="DXY1367" s="110"/>
      <c r="DXZ1367" s="110"/>
      <c r="DYA1367" s="110"/>
      <c r="DYB1367" s="110"/>
      <c r="DYC1367" s="110"/>
      <c r="DYD1367" s="110"/>
      <c r="DYE1367" s="110"/>
      <c r="DYF1367" s="110"/>
      <c r="DYG1367" s="110"/>
      <c r="DYH1367" s="110"/>
      <c r="DYI1367" s="110"/>
      <c r="DYJ1367" s="110"/>
      <c r="DYK1367" s="110"/>
      <c r="DYL1367" s="110"/>
      <c r="DYM1367" s="110"/>
      <c r="DYN1367" s="110"/>
      <c r="DYO1367" s="110"/>
      <c r="DYP1367" s="110"/>
      <c r="DYQ1367" s="110"/>
      <c r="DYR1367" s="110"/>
      <c r="DYS1367" s="110"/>
      <c r="DYT1367" s="110"/>
      <c r="DYU1367" s="110"/>
      <c r="DYV1367" s="110"/>
      <c r="DYW1367" s="110"/>
      <c r="DYX1367" s="110"/>
      <c r="DYY1367" s="110"/>
      <c r="DYZ1367" s="110"/>
      <c r="DZA1367" s="110"/>
      <c r="DZB1367" s="110"/>
      <c r="DZC1367" s="110"/>
      <c r="DZD1367" s="110"/>
      <c r="DZE1367" s="110"/>
      <c r="DZF1367" s="110"/>
      <c r="DZG1367" s="110"/>
      <c r="DZH1367" s="110"/>
      <c r="DZI1367" s="110"/>
      <c r="DZJ1367" s="110"/>
      <c r="DZK1367" s="110"/>
      <c r="DZL1367" s="110"/>
      <c r="DZM1367" s="110"/>
      <c r="DZN1367" s="110"/>
      <c r="DZO1367" s="110"/>
      <c r="DZP1367" s="110"/>
      <c r="DZQ1367" s="110"/>
      <c r="DZR1367" s="110"/>
      <c r="DZS1367" s="110"/>
      <c r="DZT1367" s="110"/>
      <c r="DZU1367" s="110"/>
      <c r="DZV1367" s="110"/>
      <c r="DZW1367" s="110"/>
      <c r="DZX1367" s="110"/>
      <c r="DZY1367" s="110"/>
      <c r="DZZ1367" s="110"/>
      <c r="EAA1367" s="110"/>
      <c r="EAB1367" s="110"/>
      <c r="EAC1367" s="110"/>
      <c r="EAD1367" s="110"/>
      <c r="EAE1367" s="110"/>
      <c r="EAF1367" s="110"/>
      <c r="EAG1367" s="110"/>
      <c r="EAH1367" s="110"/>
      <c r="EAI1367" s="110"/>
      <c r="EAJ1367" s="110"/>
      <c r="EAK1367" s="110"/>
      <c r="EAL1367" s="110"/>
      <c r="EAM1367" s="110"/>
      <c r="EAN1367" s="110"/>
      <c r="EAO1367" s="110"/>
      <c r="EAP1367" s="110"/>
      <c r="EAQ1367" s="110"/>
      <c r="EAR1367" s="110"/>
      <c r="EAS1367" s="110"/>
      <c r="EAT1367" s="110"/>
      <c r="EAU1367" s="110"/>
      <c r="EAV1367" s="110"/>
      <c r="EAW1367" s="110"/>
      <c r="EAX1367" s="110"/>
      <c r="EAY1367" s="110"/>
      <c r="EAZ1367" s="110"/>
      <c r="EBA1367" s="110"/>
      <c r="EBB1367" s="110"/>
      <c r="EBC1367" s="110"/>
      <c r="EBD1367" s="110"/>
      <c r="EBE1367" s="110"/>
      <c r="EBF1367" s="110"/>
      <c r="EBG1367" s="110"/>
      <c r="EBH1367" s="110"/>
      <c r="EBI1367" s="110"/>
      <c r="EBJ1367" s="110"/>
      <c r="EBK1367" s="110"/>
      <c r="EBL1367" s="110"/>
      <c r="EBM1367" s="110"/>
      <c r="EBN1367" s="110"/>
      <c r="EBO1367" s="110"/>
      <c r="EBP1367" s="110"/>
      <c r="EBQ1367" s="110"/>
      <c r="EBR1367" s="110"/>
      <c r="EBS1367" s="110"/>
      <c r="EBT1367" s="110"/>
      <c r="EBU1367" s="110"/>
      <c r="EBV1367" s="110"/>
      <c r="EBW1367" s="110"/>
      <c r="EBX1367" s="110"/>
      <c r="EBY1367" s="110"/>
      <c r="EBZ1367" s="110"/>
      <c r="ECA1367" s="110"/>
      <c r="ECB1367" s="110"/>
      <c r="ECC1367" s="110"/>
      <c r="ECD1367" s="110"/>
      <c r="ECE1367" s="110"/>
      <c r="ECF1367" s="110"/>
      <c r="ECG1367" s="110"/>
      <c r="ECH1367" s="110"/>
      <c r="ECI1367" s="110"/>
      <c r="ECJ1367" s="110"/>
      <c r="ECK1367" s="110"/>
      <c r="ECL1367" s="110"/>
      <c r="ECM1367" s="110"/>
      <c r="ECN1367" s="110"/>
      <c r="ECO1367" s="110"/>
      <c r="ECP1367" s="110"/>
      <c r="ECQ1367" s="110"/>
      <c r="ECR1367" s="110"/>
      <c r="ECS1367" s="110"/>
      <c r="ECT1367" s="110"/>
      <c r="ECU1367" s="110"/>
      <c r="ECV1367" s="110"/>
      <c r="ECW1367" s="110"/>
      <c r="ECX1367" s="110"/>
      <c r="ECY1367" s="110"/>
      <c r="ECZ1367" s="110"/>
      <c r="EDA1367" s="110"/>
      <c r="EDB1367" s="110"/>
      <c r="EDC1367" s="110"/>
      <c r="EDD1367" s="110"/>
      <c r="EDE1367" s="110"/>
      <c r="EDF1367" s="110"/>
      <c r="EDG1367" s="110"/>
      <c r="EDH1367" s="110"/>
      <c r="EDI1367" s="110"/>
      <c r="EDJ1367" s="110"/>
      <c r="EDK1367" s="110"/>
      <c r="EDL1367" s="110"/>
      <c r="EDM1367" s="110"/>
      <c r="EDN1367" s="110"/>
      <c r="EDO1367" s="110"/>
      <c r="EDP1367" s="110"/>
      <c r="EDQ1367" s="110"/>
      <c r="EDR1367" s="110"/>
      <c r="EDS1367" s="110"/>
      <c r="EDT1367" s="110"/>
      <c r="EDU1367" s="110"/>
      <c r="EDV1367" s="110"/>
      <c r="EDW1367" s="110"/>
      <c r="EDX1367" s="110"/>
      <c r="EDY1367" s="110"/>
      <c r="EDZ1367" s="110"/>
      <c r="EEA1367" s="110"/>
      <c r="EEB1367" s="110"/>
      <c r="EEC1367" s="110"/>
      <c r="EED1367" s="110"/>
      <c r="EEE1367" s="110"/>
      <c r="EEF1367" s="110"/>
      <c r="EEG1367" s="110"/>
      <c r="EEH1367" s="110"/>
      <c r="EEI1367" s="110"/>
      <c r="EEJ1367" s="110"/>
      <c r="EEK1367" s="110"/>
      <c r="EEL1367" s="110"/>
      <c r="EEM1367" s="110"/>
      <c r="EEN1367" s="110"/>
      <c r="EEO1367" s="110"/>
      <c r="EEP1367" s="110"/>
      <c r="EEQ1367" s="110"/>
      <c r="EER1367" s="110"/>
      <c r="EES1367" s="110"/>
      <c r="EET1367" s="110"/>
      <c r="EEU1367" s="110"/>
      <c r="EEV1367" s="110"/>
      <c r="EEW1367" s="110"/>
      <c r="EEX1367" s="110"/>
      <c r="EEY1367" s="110"/>
      <c r="EEZ1367" s="110"/>
      <c r="EFA1367" s="110"/>
      <c r="EFB1367" s="110"/>
      <c r="EFC1367" s="110"/>
      <c r="EFD1367" s="110"/>
      <c r="EFE1367" s="110"/>
      <c r="EFF1367" s="110"/>
      <c r="EFG1367" s="110"/>
      <c r="EFH1367" s="110"/>
      <c r="EFI1367" s="110"/>
      <c r="EFJ1367" s="110"/>
      <c r="EFK1367" s="110"/>
      <c r="EFL1367" s="110"/>
      <c r="EFM1367" s="110"/>
      <c r="EFN1367" s="110"/>
      <c r="EFO1367" s="110"/>
      <c r="EFP1367" s="110"/>
      <c r="EFQ1367" s="110"/>
      <c r="EFR1367" s="110"/>
      <c r="EFS1367" s="110"/>
      <c r="EFT1367" s="110"/>
      <c r="EFU1367" s="110"/>
      <c r="EFV1367" s="110"/>
      <c r="EFW1367" s="110"/>
      <c r="EFX1367" s="110"/>
      <c r="EFY1367" s="110"/>
      <c r="EFZ1367" s="110"/>
      <c r="EGA1367" s="110"/>
      <c r="EGB1367" s="110"/>
      <c r="EGC1367" s="110"/>
      <c r="EGD1367" s="110"/>
      <c r="EGE1367" s="110"/>
      <c r="EGF1367" s="110"/>
      <c r="EGG1367" s="110"/>
      <c r="EGH1367" s="110"/>
      <c r="EGI1367" s="110"/>
      <c r="EGJ1367" s="110"/>
      <c r="EGK1367" s="110"/>
      <c r="EGL1367" s="110"/>
      <c r="EGM1367" s="110"/>
      <c r="EGN1367" s="110"/>
      <c r="EGO1367" s="110"/>
      <c r="EGP1367" s="110"/>
      <c r="EGQ1367" s="110"/>
      <c r="EGR1367" s="110"/>
      <c r="EGS1367" s="110"/>
      <c r="EGT1367" s="110"/>
      <c r="EGU1367" s="110"/>
      <c r="EGV1367" s="110"/>
      <c r="EGW1367" s="110"/>
      <c r="EGX1367" s="110"/>
      <c r="EGY1367" s="110"/>
      <c r="EGZ1367" s="110"/>
      <c r="EHA1367" s="110"/>
      <c r="EHB1367" s="110"/>
      <c r="EHC1367" s="110"/>
      <c r="EHD1367" s="110"/>
      <c r="EHE1367" s="110"/>
      <c r="EHF1367" s="110"/>
      <c r="EHG1367" s="110"/>
      <c r="EHH1367" s="110"/>
      <c r="EHI1367" s="110"/>
      <c r="EHJ1367" s="110"/>
      <c r="EHK1367" s="110"/>
      <c r="EHL1367" s="110"/>
      <c r="EHM1367" s="110"/>
      <c r="EHN1367" s="110"/>
      <c r="EHO1367" s="110"/>
      <c r="EHP1367" s="110"/>
      <c r="EHQ1367" s="110"/>
      <c r="EHR1367" s="110"/>
      <c r="EHS1367" s="110"/>
      <c r="EHT1367" s="110"/>
      <c r="EHU1367" s="110"/>
      <c r="EHV1367" s="110"/>
      <c r="EHW1367" s="110"/>
      <c r="EHX1367" s="110"/>
      <c r="EHY1367" s="110"/>
      <c r="EHZ1367" s="110"/>
      <c r="EIA1367" s="110"/>
      <c r="EIB1367" s="110"/>
      <c r="EIC1367" s="110"/>
      <c r="EID1367" s="110"/>
      <c r="EIE1367" s="110"/>
      <c r="EIF1367" s="110"/>
      <c r="EIG1367" s="110"/>
      <c r="EIH1367" s="110"/>
      <c r="EII1367" s="110"/>
      <c r="EIJ1367" s="110"/>
      <c r="EIK1367" s="110"/>
      <c r="EIL1367" s="110"/>
      <c r="EIM1367" s="110"/>
      <c r="EIN1367" s="110"/>
      <c r="EIO1367" s="110"/>
      <c r="EIP1367" s="110"/>
      <c r="EIQ1367" s="110"/>
      <c r="EIR1367" s="110"/>
      <c r="EIS1367" s="110"/>
      <c r="EIT1367" s="110"/>
      <c r="EIU1367" s="110"/>
      <c r="EIV1367" s="110"/>
      <c r="EIW1367" s="110"/>
      <c r="EIX1367" s="110"/>
      <c r="EIY1367" s="110"/>
      <c r="EIZ1367" s="110"/>
      <c r="EJA1367" s="110"/>
      <c r="EJB1367" s="110"/>
      <c r="EJC1367" s="110"/>
      <c r="EJD1367" s="110"/>
      <c r="EJE1367" s="110"/>
      <c r="EJF1367" s="110"/>
      <c r="EJG1367" s="110"/>
      <c r="EJH1367" s="110"/>
      <c r="EJI1367" s="110"/>
      <c r="EJJ1367" s="110"/>
      <c r="EJK1367" s="110"/>
      <c r="EJL1367" s="110"/>
      <c r="EJM1367" s="110"/>
      <c r="EJN1367" s="110"/>
      <c r="EJO1367" s="110"/>
      <c r="EJP1367" s="110"/>
      <c r="EJQ1367" s="110"/>
      <c r="EJR1367" s="110"/>
      <c r="EJS1367" s="110"/>
      <c r="EJT1367" s="110"/>
      <c r="EJU1367" s="110"/>
      <c r="EJV1367" s="110"/>
      <c r="EJW1367" s="110"/>
      <c r="EJX1367" s="110"/>
      <c r="EJY1367" s="110"/>
      <c r="EJZ1367" s="110"/>
      <c r="EKA1367" s="110"/>
      <c r="EKB1367" s="110"/>
      <c r="EKC1367" s="110"/>
      <c r="EKD1367" s="110"/>
      <c r="EKE1367" s="110"/>
      <c r="EKF1367" s="110"/>
      <c r="EKG1367" s="110"/>
      <c r="EKH1367" s="110"/>
      <c r="EKI1367" s="110"/>
      <c r="EKJ1367" s="110"/>
      <c r="EKK1367" s="110"/>
      <c r="EKL1367" s="110"/>
      <c r="EKM1367" s="110"/>
      <c r="EKN1367" s="110"/>
      <c r="EKO1367" s="110"/>
      <c r="EKP1367" s="110"/>
      <c r="EKQ1367" s="110"/>
      <c r="EKR1367" s="110"/>
      <c r="EKS1367" s="110"/>
      <c r="EKT1367" s="110"/>
      <c r="EKU1367" s="110"/>
      <c r="EKV1367" s="110"/>
      <c r="EKW1367" s="110"/>
      <c r="EKX1367" s="110"/>
      <c r="EKY1367" s="110"/>
      <c r="EKZ1367" s="110"/>
      <c r="ELA1367" s="110"/>
      <c r="ELB1367" s="110"/>
      <c r="ELC1367" s="110"/>
      <c r="ELD1367" s="110"/>
      <c r="ELE1367" s="110"/>
      <c r="ELF1367" s="110"/>
      <c r="ELG1367" s="110"/>
      <c r="ELH1367" s="110"/>
      <c r="ELI1367" s="110"/>
      <c r="ELJ1367" s="110"/>
      <c r="ELK1367" s="110"/>
      <c r="ELL1367" s="110"/>
      <c r="ELM1367" s="110"/>
      <c r="ELN1367" s="110"/>
      <c r="ELO1367" s="110"/>
      <c r="ELP1367" s="110"/>
      <c r="ELQ1367" s="110"/>
      <c r="ELR1367" s="110"/>
      <c r="ELS1367" s="110"/>
      <c r="ELT1367" s="110"/>
      <c r="ELU1367" s="110"/>
      <c r="ELV1367" s="110"/>
      <c r="ELW1367" s="110"/>
      <c r="ELX1367" s="110"/>
      <c r="ELY1367" s="110"/>
      <c r="ELZ1367" s="110"/>
      <c r="EMA1367" s="110"/>
      <c r="EMB1367" s="110"/>
      <c r="EMC1367" s="110"/>
      <c r="EMD1367" s="110"/>
      <c r="EME1367" s="110"/>
      <c r="EMF1367" s="110"/>
      <c r="EMG1367" s="110"/>
      <c r="EMH1367" s="110"/>
      <c r="EMI1367" s="110"/>
      <c r="EMJ1367" s="110"/>
      <c r="EMK1367" s="110"/>
      <c r="EML1367" s="110"/>
      <c r="EMM1367" s="110"/>
      <c r="EMN1367" s="110"/>
      <c r="EMO1367" s="110"/>
      <c r="EMP1367" s="110"/>
      <c r="EMQ1367" s="110"/>
      <c r="EMR1367" s="110"/>
      <c r="EMS1367" s="110"/>
      <c r="EMT1367" s="110"/>
      <c r="EMU1367" s="110"/>
      <c r="EMV1367" s="110"/>
      <c r="EMW1367" s="110"/>
      <c r="EMX1367" s="110"/>
      <c r="EMY1367" s="110"/>
      <c r="EMZ1367" s="110"/>
      <c r="ENA1367" s="110"/>
      <c r="ENB1367" s="110"/>
      <c r="ENC1367" s="110"/>
      <c r="END1367" s="110"/>
      <c r="ENE1367" s="110"/>
      <c r="ENF1367" s="110"/>
      <c r="ENG1367" s="110"/>
      <c r="ENH1367" s="110"/>
      <c r="ENI1367" s="110"/>
      <c r="ENJ1367" s="110"/>
      <c r="ENK1367" s="110"/>
      <c r="ENL1367" s="110"/>
      <c r="ENM1367" s="110"/>
      <c r="ENN1367" s="110"/>
      <c r="ENO1367" s="110"/>
      <c r="ENP1367" s="110"/>
      <c r="ENQ1367" s="110"/>
      <c r="ENR1367" s="110"/>
      <c r="ENS1367" s="110"/>
      <c r="ENT1367" s="110"/>
      <c r="ENU1367" s="110"/>
      <c r="ENV1367" s="110"/>
      <c r="ENW1367" s="110"/>
      <c r="ENX1367" s="110"/>
      <c r="ENY1367" s="110"/>
      <c r="ENZ1367" s="110"/>
      <c r="EOA1367" s="110"/>
      <c r="EOB1367" s="110"/>
      <c r="EOC1367" s="110"/>
      <c r="EOD1367" s="110"/>
      <c r="EOE1367" s="110"/>
      <c r="EOF1367" s="110"/>
      <c r="EOG1367" s="110"/>
      <c r="EOH1367" s="110"/>
      <c r="EOI1367" s="110"/>
      <c r="EOJ1367" s="110"/>
      <c r="EOK1367" s="110"/>
      <c r="EOL1367" s="110"/>
      <c r="EOM1367" s="110"/>
      <c r="EON1367" s="110"/>
      <c r="EOO1367" s="110"/>
      <c r="EOP1367" s="110"/>
      <c r="EOQ1367" s="110"/>
      <c r="EOR1367" s="110"/>
      <c r="EOS1367" s="110"/>
      <c r="EOT1367" s="110"/>
      <c r="EOU1367" s="110"/>
      <c r="EOV1367" s="110"/>
      <c r="EOW1367" s="110"/>
      <c r="EOX1367" s="110"/>
      <c r="EOY1367" s="110"/>
      <c r="EOZ1367" s="110"/>
      <c r="EPA1367" s="110"/>
      <c r="EPB1367" s="110"/>
      <c r="EPC1367" s="110"/>
      <c r="EPD1367" s="110"/>
      <c r="EPE1367" s="110"/>
      <c r="EPF1367" s="110"/>
      <c r="EPG1367" s="110"/>
      <c r="EPH1367" s="110"/>
      <c r="EPI1367" s="110"/>
      <c r="EPJ1367" s="110"/>
      <c r="EPK1367" s="110"/>
      <c r="EPL1367" s="110"/>
      <c r="EPM1367" s="110"/>
      <c r="EPN1367" s="110"/>
      <c r="EPO1367" s="110"/>
      <c r="EPP1367" s="110"/>
      <c r="EPQ1367" s="110"/>
      <c r="EPR1367" s="110"/>
      <c r="EPS1367" s="110"/>
      <c r="EPT1367" s="110"/>
      <c r="EPU1367" s="110"/>
      <c r="EPV1367" s="110"/>
      <c r="EPW1367" s="110"/>
      <c r="EPX1367" s="110"/>
      <c r="EPY1367" s="110"/>
      <c r="EPZ1367" s="110"/>
      <c r="EQA1367" s="110"/>
      <c r="EQB1367" s="110"/>
      <c r="EQC1367" s="110"/>
      <c r="EQD1367" s="110"/>
      <c r="EQE1367" s="110"/>
      <c r="EQF1367" s="110"/>
      <c r="EQG1367" s="110"/>
      <c r="EQH1367" s="110"/>
      <c r="EQI1367" s="110"/>
      <c r="EQJ1367" s="110"/>
      <c r="EQK1367" s="110"/>
      <c r="EQL1367" s="110"/>
      <c r="EQM1367" s="110"/>
      <c r="EQN1367" s="110"/>
      <c r="EQO1367" s="110"/>
      <c r="EQP1367" s="110"/>
      <c r="EQQ1367" s="110"/>
      <c r="EQR1367" s="110"/>
      <c r="EQS1367" s="110"/>
      <c r="EQT1367" s="110"/>
      <c r="EQU1367" s="110"/>
      <c r="EQV1367" s="110"/>
      <c r="EQW1367" s="110"/>
      <c r="EQX1367" s="110"/>
      <c r="EQY1367" s="110"/>
      <c r="EQZ1367" s="110"/>
      <c r="ERA1367" s="110"/>
      <c r="ERB1367" s="110"/>
      <c r="ERC1367" s="110"/>
      <c r="ERD1367" s="110"/>
      <c r="ERE1367" s="110"/>
      <c r="ERF1367" s="110"/>
      <c r="ERG1367" s="110"/>
      <c r="ERH1367" s="110"/>
      <c r="ERI1367" s="110"/>
      <c r="ERJ1367" s="110"/>
      <c r="ERK1367" s="110"/>
      <c r="ERL1367" s="110"/>
      <c r="ERM1367" s="110"/>
      <c r="ERN1367" s="110"/>
      <c r="ERO1367" s="110"/>
      <c r="ERP1367" s="110"/>
      <c r="ERQ1367" s="110"/>
      <c r="ERR1367" s="110"/>
      <c r="ERS1367" s="110"/>
      <c r="ERT1367" s="110"/>
      <c r="ERU1367" s="110"/>
      <c r="ERV1367" s="110"/>
      <c r="ERW1367" s="110"/>
      <c r="ERX1367" s="110"/>
      <c r="ERY1367" s="110"/>
      <c r="ERZ1367" s="110"/>
      <c r="ESA1367" s="110"/>
      <c r="ESB1367" s="110"/>
      <c r="ESC1367" s="110"/>
      <c r="ESD1367" s="110"/>
      <c r="ESE1367" s="110"/>
      <c r="ESF1367" s="110"/>
      <c r="ESG1367" s="110"/>
      <c r="ESH1367" s="110"/>
      <c r="ESI1367" s="110"/>
      <c r="ESJ1367" s="110"/>
      <c r="ESK1367" s="110"/>
      <c r="ESL1367" s="110"/>
      <c r="ESM1367" s="110"/>
      <c r="ESN1367" s="110"/>
      <c r="ESO1367" s="110"/>
      <c r="ESP1367" s="110"/>
      <c r="ESQ1367" s="110"/>
      <c r="ESR1367" s="110"/>
      <c r="ESS1367" s="110"/>
      <c r="EST1367" s="110"/>
      <c r="ESU1367" s="110"/>
      <c r="ESV1367" s="110"/>
      <c r="ESW1367" s="110"/>
      <c r="ESX1367" s="110"/>
      <c r="ESY1367" s="110"/>
      <c r="ESZ1367" s="110"/>
      <c r="ETA1367" s="110"/>
      <c r="ETB1367" s="110"/>
      <c r="ETC1367" s="110"/>
      <c r="ETD1367" s="110"/>
      <c r="ETE1367" s="110"/>
      <c r="ETF1367" s="110"/>
      <c r="ETG1367" s="110"/>
      <c r="ETH1367" s="110"/>
      <c r="ETI1367" s="110"/>
      <c r="ETJ1367" s="110"/>
      <c r="ETK1367" s="110"/>
      <c r="ETL1367" s="110"/>
      <c r="ETM1367" s="110"/>
      <c r="ETN1367" s="110"/>
      <c r="ETO1367" s="110"/>
      <c r="ETP1367" s="110"/>
      <c r="ETQ1367" s="110"/>
      <c r="ETR1367" s="110"/>
      <c r="ETS1367" s="110"/>
      <c r="ETT1367" s="110"/>
      <c r="ETU1367" s="110"/>
      <c r="ETV1367" s="110"/>
      <c r="ETW1367" s="110"/>
      <c r="ETX1367" s="110"/>
      <c r="ETY1367" s="110"/>
      <c r="ETZ1367" s="110"/>
      <c r="EUA1367" s="110"/>
      <c r="EUB1367" s="110"/>
      <c r="EUC1367" s="110"/>
      <c r="EUD1367" s="110"/>
      <c r="EUE1367" s="110"/>
      <c r="EUF1367" s="110"/>
      <c r="EUG1367" s="110"/>
      <c r="EUH1367" s="110"/>
      <c r="EUI1367" s="110"/>
      <c r="EUJ1367" s="110"/>
      <c r="EUK1367" s="110"/>
      <c r="EUL1367" s="110"/>
      <c r="EUM1367" s="110"/>
      <c r="EUN1367" s="110"/>
      <c r="EUO1367" s="110"/>
      <c r="EUP1367" s="110"/>
      <c r="EUQ1367" s="110"/>
      <c r="EUR1367" s="110"/>
      <c r="EUS1367" s="110"/>
      <c r="EUT1367" s="110"/>
      <c r="EUU1367" s="110"/>
      <c r="EUV1367" s="110"/>
      <c r="EUW1367" s="110"/>
      <c r="EUX1367" s="110"/>
      <c r="EUY1367" s="110"/>
      <c r="EUZ1367" s="110"/>
      <c r="EVA1367" s="110"/>
      <c r="EVB1367" s="110"/>
      <c r="EVC1367" s="110"/>
      <c r="EVD1367" s="110"/>
      <c r="EVE1367" s="110"/>
      <c r="EVF1367" s="110"/>
      <c r="EVG1367" s="110"/>
      <c r="EVH1367" s="110"/>
      <c r="EVI1367" s="110"/>
      <c r="EVJ1367" s="110"/>
      <c r="EVK1367" s="110"/>
      <c r="EVL1367" s="110"/>
      <c r="EVM1367" s="110"/>
      <c r="EVN1367" s="110"/>
      <c r="EVO1367" s="110"/>
      <c r="EVP1367" s="110"/>
      <c r="EVQ1367" s="110"/>
      <c r="EVR1367" s="110"/>
      <c r="EVS1367" s="110"/>
      <c r="EVT1367" s="110"/>
      <c r="EVU1367" s="110"/>
      <c r="EVV1367" s="110"/>
      <c r="EVW1367" s="110"/>
      <c r="EVX1367" s="110"/>
      <c r="EVY1367" s="110"/>
      <c r="EVZ1367" s="110"/>
      <c r="EWA1367" s="110"/>
      <c r="EWB1367" s="110"/>
      <c r="EWC1367" s="110"/>
      <c r="EWD1367" s="110"/>
      <c r="EWE1367" s="110"/>
      <c r="EWF1367" s="110"/>
      <c r="EWG1367" s="110"/>
      <c r="EWH1367" s="110"/>
      <c r="EWI1367" s="110"/>
      <c r="EWJ1367" s="110"/>
      <c r="EWK1367" s="110"/>
      <c r="EWL1367" s="110"/>
      <c r="EWM1367" s="110"/>
      <c r="EWN1367" s="110"/>
      <c r="EWO1367" s="110"/>
      <c r="EWP1367" s="110"/>
      <c r="EWQ1367" s="110"/>
      <c r="EWR1367" s="110"/>
      <c r="EWS1367" s="110"/>
      <c r="EWT1367" s="110"/>
      <c r="EWU1367" s="110"/>
      <c r="EWV1367" s="110"/>
      <c r="EWW1367" s="110"/>
      <c r="EWX1367" s="110"/>
      <c r="EWY1367" s="110"/>
      <c r="EWZ1367" s="110"/>
      <c r="EXA1367" s="110"/>
      <c r="EXB1367" s="110"/>
      <c r="EXC1367" s="110"/>
      <c r="EXD1367" s="110"/>
      <c r="EXE1367" s="110"/>
      <c r="EXF1367" s="110"/>
      <c r="EXG1367" s="110"/>
      <c r="EXH1367" s="110"/>
      <c r="EXI1367" s="110"/>
      <c r="EXJ1367" s="110"/>
      <c r="EXK1367" s="110"/>
      <c r="EXL1367" s="110"/>
      <c r="EXM1367" s="110"/>
      <c r="EXN1367" s="110"/>
      <c r="EXO1367" s="110"/>
      <c r="EXP1367" s="110"/>
      <c r="EXQ1367" s="110"/>
      <c r="EXR1367" s="110"/>
      <c r="EXS1367" s="110"/>
      <c r="EXT1367" s="110"/>
      <c r="EXU1367" s="110"/>
      <c r="EXV1367" s="110"/>
      <c r="EXW1367" s="110"/>
      <c r="EXX1367" s="110"/>
      <c r="EXY1367" s="110"/>
      <c r="EXZ1367" s="110"/>
      <c r="EYA1367" s="110"/>
      <c r="EYB1367" s="110"/>
      <c r="EYC1367" s="110"/>
      <c r="EYD1367" s="110"/>
      <c r="EYE1367" s="110"/>
      <c r="EYF1367" s="110"/>
      <c r="EYG1367" s="110"/>
      <c r="EYH1367" s="110"/>
      <c r="EYI1367" s="110"/>
      <c r="EYJ1367" s="110"/>
      <c r="EYK1367" s="110"/>
      <c r="EYL1367" s="110"/>
      <c r="EYM1367" s="110"/>
      <c r="EYN1367" s="110"/>
      <c r="EYO1367" s="110"/>
      <c r="EYP1367" s="110"/>
      <c r="EYQ1367" s="110"/>
      <c r="EYR1367" s="110"/>
      <c r="EYS1367" s="110"/>
      <c r="EYT1367" s="110"/>
      <c r="EYU1367" s="110"/>
      <c r="EYV1367" s="110"/>
      <c r="EYW1367" s="110"/>
      <c r="EYX1367" s="110"/>
      <c r="EYY1367" s="110"/>
      <c r="EYZ1367" s="110"/>
      <c r="EZA1367" s="110"/>
      <c r="EZB1367" s="110"/>
      <c r="EZC1367" s="110"/>
      <c r="EZD1367" s="110"/>
      <c r="EZE1367" s="110"/>
      <c r="EZF1367" s="110"/>
      <c r="EZG1367" s="110"/>
      <c r="EZH1367" s="110"/>
      <c r="EZI1367" s="110"/>
      <c r="EZJ1367" s="110"/>
      <c r="EZK1367" s="110"/>
      <c r="EZL1367" s="110"/>
      <c r="EZM1367" s="110"/>
      <c r="EZN1367" s="110"/>
      <c r="EZO1367" s="110"/>
      <c r="EZP1367" s="110"/>
      <c r="EZQ1367" s="110"/>
      <c r="EZR1367" s="110"/>
      <c r="EZS1367" s="110"/>
      <c r="EZT1367" s="110"/>
      <c r="EZU1367" s="110"/>
      <c r="EZV1367" s="110"/>
      <c r="EZW1367" s="110"/>
      <c r="EZX1367" s="110"/>
      <c r="EZY1367" s="110"/>
      <c r="EZZ1367" s="110"/>
      <c r="FAA1367" s="110"/>
      <c r="FAB1367" s="110"/>
      <c r="FAC1367" s="110"/>
      <c r="FAD1367" s="110"/>
      <c r="FAE1367" s="110"/>
      <c r="FAF1367" s="110"/>
      <c r="FAG1367" s="110"/>
      <c r="FAH1367" s="110"/>
      <c r="FAI1367" s="110"/>
      <c r="FAJ1367" s="110"/>
      <c r="FAK1367" s="110"/>
      <c r="FAL1367" s="110"/>
      <c r="FAM1367" s="110"/>
      <c r="FAN1367" s="110"/>
      <c r="FAO1367" s="110"/>
      <c r="FAP1367" s="110"/>
      <c r="FAQ1367" s="110"/>
      <c r="FAR1367" s="110"/>
      <c r="FAS1367" s="110"/>
      <c r="FAT1367" s="110"/>
      <c r="FAU1367" s="110"/>
      <c r="FAV1367" s="110"/>
      <c r="FAW1367" s="110"/>
      <c r="FAX1367" s="110"/>
      <c r="FAY1367" s="110"/>
      <c r="FAZ1367" s="110"/>
      <c r="FBA1367" s="110"/>
      <c r="FBB1367" s="110"/>
      <c r="FBC1367" s="110"/>
      <c r="FBD1367" s="110"/>
      <c r="FBE1367" s="110"/>
      <c r="FBF1367" s="110"/>
      <c r="FBG1367" s="110"/>
      <c r="FBH1367" s="110"/>
      <c r="FBI1367" s="110"/>
      <c r="FBJ1367" s="110"/>
      <c r="FBK1367" s="110"/>
      <c r="FBL1367" s="110"/>
      <c r="FBM1367" s="110"/>
      <c r="FBN1367" s="110"/>
      <c r="FBO1367" s="110"/>
      <c r="FBP1367" s="110"/>
      <c r="FBQ1367" s="110"/>
      <c r="FBR1367" s="110"/>
      <c r="FBS1367" s="110"/>
      <c r="FBT1367" s="110"/>
      <c r="FBU1367" s="110"/>
      <c r="FBV1367" s="110"/>
      <c r="FBW1367" s="110"/>
      <c r="FBX1367" s="110"/>
      <c r="FBY1367" s="110"/>
      <c r="FBZ1367" s="110"/>
      <c r="FCA1367" s="110"/>
      <c r="FCB1367" s="110"/>
      <c r="FCC1367" s="110"/>
      <c r="FCD1367" s="110"/>
      <c r="FCE1367" s="110"/>
      <c r="FCF1367" s="110"/>
      <c r="FCG1367" s="110"/>
      <c r="FCH1367" s="110"/>
      <c r="FCI1367" s="110"/>
      <c r="FCJ1367" s="110"/>
      <c r="FCK1367" s="110"/>
      <c r="FCL1367" s="110"/>
      <c r="FCM1367" s="110"/>
      <c r="FCN1367" s="110"/>
      <c r="FCO1367" s="110"/>
      <c r="FCP1367" s="110"/>
      <c r="FCQ1367" s="110"/>
      <c r="FCR1367" s="110"/>
      <c r="FCS1367" s="110"/>
      <c r="FCT1367" s="110"/>
      <c r="FCU1367" s="110"/>
      <c r="FCV1367" s="110"/>
      <c r="FCW1367" s="110"/>
      <c r="FCX1367" s="110"/>
      <c r="FCY1367" s="110"/>
      <c r="FCZ1367" s="110"/>
      <c r="FDA1367" s="110"/>
      <c r="FDB1367" s="110"/>
      <c r="FDC1367" s="110"/>
      <c r="FDD1367" s="110"/>
      <c r="FDE1367" s="110"/>
      <c r="FDF1367" s="110"/>
      <c r="FDG1367" s="110"/>
      <c r="FDH1367" s="110"/>
      <c r="FDI1367" s="110"/>
      <c r="FDJ1367" s="110"/>
      <c r="FDK1367" s="110"/>
      <c r="FDL1367" s="110"/>
      <c r="FDM1367" s="110"/>
      <c r="FDN1367" s="110"/>
      <c r="FDO1367" s="110"/>
      <c r="FDP1367" s="110"/>
      <c r="FDQ1367" s="110"/>
      <c r="FDR1367" s="110"/>
      <c r="FDS1367" s="110"/>
      <c r="FDT1367" s="110"/>
      <c r="FDU1367" s="110"/>
      <c r="FDV1367" s="110"/>
      <c r="FDW1367" s="110"/>
      <c r="FDX1367" s="110"/>
      <c r="FDY1367" s="110"/>
      <c r="FDZ1367" s="110"/>
      <c r="FEA1367" s="110"/>
      <c r="FEB1367" s="110"/>
      <c r="FEC1367" s="110"/>
      <c r="FED1367" s="110"/>
      <c r="FEE1367" s="110"/>
      <c r="FEF1367" s="110"/>
      <c r="FEG1367" s="110"/>
      <c r="FEH1367" s="110"/>
      <c r="FEI1367" s="110"/>
      <c r="FEJ1367" s="110"/>
      <c r="FEK1367" s="110"/>
      <c r="FEL1367" s="110"/>
      <c r="FEM1367" s="110"/>
      <c r="FEN1367" s="110"/>
      <c r="FEO1367" s="110"/>
      <c r="FEP1367" s="110"/>
      <c r="FEQ1367" s="110"/>
      <c r="FER1367" s="110"/>
      <c r="FES1367" s="110"/>
      <c r="FET1367" s="110"/>
      <c r="FEU1367" s="110"/>
      <c r="FEV1367" s="110"/>
      <c r="FEW1367" s="110"/>
      <c r="FEX1367" s="110"/>
      <c r="FEY1367" s="110"/>
      <c r="FEZ1367" s="110"/>
      <c r="FFA1367" s="110"/>
      <c r="FFB1367" s="110"/>
      <c r="FFC1367" s="110"/>
      <c r="FFD1367" s="110"/>
      <c r="FFE1367" s="110"/>
      <c r="FFF1367" s="110"/>
      <c r="FFG1367" s="110"/>
      <c r="FFH1367" s="110"/>
      <c r="FFI1367" s="110"/>
      <c r="FFJ1367" s="110"/>
      <c r="FFK1367" s="110"/>
      <c r="FFL1367" s="110"/>
      <c r="FFM1367" s="110"/>
      <c r="FFN1367" s="110"/>
      <c r="FFO1367" s="110"/>
      <c r="FFP1367" s="110"/>
      <c r="FFQ1367" s="110"/>
      <c r="FFR1367" s="110"/>
      <c r="FFS1367" s="110"/>
      <c r="FFT1367" s="110"/>
      <c r="FFU1367" s="110"/>
      <c r="FFV1367" s="110"/>
      <c r="FFW1367" s="110"/>
      <c r="FFX1367" s="110"/>
      <c r="FFY1367" s="110"/>
      <c r="FFZ1367" s="110"/>
      <c r="FGA1367" s="110"/>
      <c r="FGB1367" s="110"/>
      <c r="FGC1367" s="110"/>
      <c r="FGD1367" s="110"/>
      <c r="FGE1367" s="110"/>
      <c r="FGF1367" s="110"/>
      <c r="FGG1367" s="110"/>
      <c r="FGH1367" s="110"/>
      <c r="FGI1367" s="110"/>
      <c r="FGJ1367" s="110"/>
      <c r="FGK1367" s="110"/>
      <c r="FGL1367" s="110"/>
      <c r="FGM1367" s="110"/>
      <c r="FGN1367" s="110"/>
      <c r="FGO1367" s="110"/>
      <c r="FGP1367" s="110"/>
      <c r="FGQ1367" s="110"/>
      <c r="FGR1367" s="110"/>
      <c r="FGS1367" s="110"/>
      <c r="FGT1367" s="110"/>
      <c r="FGU1367" s="110"/>
      <c r="FGV1367" s="110"/>
      <c r="FGW1367" s="110"/>
      <c r="FGX1367" s="110"/>
      <c r="FGY1367" s="110"/>
      <c r="FGZ1367" s="110"/>
      <c r="FHA1367" s="110"/>
      <c r="FHB1367" s="110"/>
      <c r="FHC1367" s="110"/>
      <c r="FHD1367" s="110"/>
      <c r="FHE1367" s="110"/>
      <c r="FHF1367" s="110"/>
      <c r="FHG1367" s="110"/>
      <c r="FHH1367" s="110"/>
      <c r="FHI1367" s="110"/>
      <c r="FHJ1367" s="110"/>
      <c r="FHK1367" s="110"/>
      <c r="FHL1367" s="110"/>
      <c r="FHM1367" s="110"/>
      <c r="FHN1367" s="110"/>
      <c r="FHO1367" s="110"/>
      <c r="FHP1367" s="110"/>
      <c r="FHQ1367" s="110"/>
      <c r="FHR1367" s="110"/>
      <c r="FHS1367" s="110"/>
      <c r="FHT1367" s="110"/>
      <c r="FHU1367" s="110"/>
      <c r="FHV1367" s="110"/>
      <c r="FHW1367" s="110"/>
      <c r="FHX1367" s="110"/>
      <c r="FHY1367" s="110"/>
      <c r="FHZ1367" s="110"/>
      <c r="FIA1367" s="110"/>
      <c r="FIB1367" s="110"/>
      <c r="FIC1367" s="110"/>
      <c r="FID1367" s="110"/>
      <c r="FIE1367" s="110"/>
      <c r="FIF1367" s="110"/>
      <c r="FIG1367" s="110"/>
      <c r="FIH1367" s="110"/>
      <c r="FII1367" s="110"/>
      <c r="FIJ1367" s="110"/>
      <c r="FIK1367" s="110"/>
      <c r="FIL1367" s="110"/>
      <c r="FIM1367" s="110"/>
      <c r="FIN1367" s="110"/>
      <c r="FIO1367" s="110"/>
      <c r="FIP1367" s="110"/>
      <c r="FIQ1367" s="110"/>
      <c r="FIR1367" s="110"/>
      <c r="FIS1367" s="110"/>
      <c r="FIT1367" s="110"/>
      <c r="FIU1367" s="110"/>
      <c r="FIV1367" s="110"/>
      <c r="FIW1367" s="110"/>
      <c r="FIX1367" s="110"/>
      <c r="FIY1367" s="110"/>
      <c r="FIZ1367" s="110"/>
      <c r="FJA1367" s="110"/>
      <c r="FJB1367" s="110"/>
      <c r="FJC1367" s="110"/>
      <c r="FJD1367" s="110"/>
      <c r="FJE1367" s="110"/>
      <c r="FJF1367" s="110"/>
      <c r="FJG1367" s="110"/>
      <c r="FJH1367" s="110"/>
      <c r="FJI1367" s="110"/>
      <c r="FJJ1367" s="110"/>
      <c r="FJK1367" s="110"/>
      <c r="FJL1367" s="110"/>
      <c r="FJM1367" s="110"/>
      <c r="FJN1367" s="110"/>
      <c r="FJO1367" s="110"/>
      <c r="FJP1367" s="110"/>
      <c r="FJQ1367" s="110"/>
      <c r="FJR1367" s="110"/>
      <c r="FJS1367" s="110"/>
      <c r="FJT1367" s="110"/>
      <c r="FJU1367" s="110"/>
      <c r="FJV1367" s="110"/>
      <c r="FJW1367" s="110"/>
      <c r="FJX1367" s="110"/>
      <c r="FJY1367" s="110"/>
      <c r="FJZ1367" s="110"/>
      <c r="FKA1367" s="110"/>
      <c r="FKB1367" s="110"/>
      <c r="FKC1367" s="110"/>
      <c r="FKD1367" s="110"/>
      <c r="FKE1367" s="110"/>
      <c r="FKF1367" s="110"/>
      <c r="FKG1367" s="110"/>
      <c r="FKH1367" s="110"/>
      <c r="FKI1367" s="110"/>
      <c r="FKJ1367" s="110"/>
      <c r="FKK1367" s="110"/>
      <c r="FKL1367" s="110"/>
      <c r="FKM1367" s="110"/>
      <c r="FKN1367" s="110"/>
      <c r="FKO1367" s="110"/>
      <c r="FKP1367" s="110"/>
      <c r="FKQ1367" s="110"/>
      <c r="FKR1367" s="110"/>
      <c r="FKS1367" s="110"/>
      <c r="FKT1367" s="110"/>
      <c r="FKU1367" s="110"/>
      <c r="FKV1367" s="110"/>
      <c r="FKW1367" s="110"/>
      <c r="FKX1367" s="110"/>
      <c r="FKY1367" s="110"/>
      <c r="FKZ1367" s="110"/>
      <c r="FLA1367" s="110"/>
      <c r="FLB1367" s="110"/>
      <c r="FLC1367" s="110"/>
      <c r="FLD1367" s="110"/>
      <c r="FLE1367" s="110"/>
      <c r="FLF1367" s="110"/>
      <c r="FLG1367" s="110"/>
      <c r="FLH1367" s="110"/>
      <c r="FLI1367" s="110"/>
      <c r="FLJ1367" s="110"/>
      <c r="FLK1367" s="110"/>
      <c r="FLL1367" s="110"/>
      <c r="FLM1367" s="110"/>
      <c r="FLN1367" s="110"/>
      <c r="FLO1367" s="110"/>
      <c r="FLP1367" s="110"/>
      <c r="FLQ1367" s="110"/>
      <c r="FLR1367" s="110"/>
      <c r="FLS1367" s="110"/>
      <c r="FLT1367" s="110"/>
      <c r="FLU1367" s="110"/>
      <c r="FLV1367" s="110"/>
      <c r="FLW1367" s="110"/>
      <c r="FLX1367" s="110"/>
      <c r="FLY1367" s="110"/>
      <c r="FLZ1367" s="110"/>
      <c r="FMA1367" s="110"/>
      <c r="FMB1367" s="110"/>
      <c r="FMC1367" s="110"/>
      <c r="FMD1367" s="110"/>
      <c r="FME1367" s="110"/>
      <c r="FMF1367" s="110"/>
      <c r="FMG1367" s="110"/>
      <c r="FMH1367" s="110"/>
      <c r="FMI1367" s="110"/>
      <c r="FMJ1367" s="110"/>
      <c r="FMK1367" s="110"/>
      <c r="FML1367" s="110"/>
      <c r="FMM1367" s="110"/>
      <c r="FMN1367" s="110"/>
      <c r="FMO1367" s="110"/>
      <c r="FMP1367" s="110"/>
      <c r="FMQ1367" s="110"/>
      <c r="FMR1367" s="110"/>
      <c r="FMS1367" s="110"/>
      <c r="FMT1367" s="110"/>
      <c r="FMU1367" s="110"/>
      <c r="FMV1367" s="110"/>
      <c r="FMW1367" s="110"/>
      <c r="FMX1367" s="110"/>
      <c r="FMY1367" s="110"/>
      <c r="FMZ1367" s="110"/>
      <c r="FNA1367" s="110"/>
      <c r="FNB1367" s="110"/>
      <c r="FNC1367" s="110"/>
      <c r="FND1367" s="110"/>
      <c r="FNE1367" s="110"/>
      <c r="FNF1367" s="110"/>
      <c r="FNG1367" s="110"/>
      <c r="FNH1367" s="110"/>
      <c r="FNI1367" s="110"/>
      <c r="FNJ1367" s="110"/>
      <c r="FNK1367" s="110"/>
      <c r="FNL1367" s="110"/>
      <c r="FNM1367" s="110"/>
      <c r="FNN1367" s="110"/>
      <c r="FNO1367" s="110"/>
      <c r="FNP1367" s="110"/>
      <c r="FNQ1367" s="110"/>
      <c r="FNR1367" s="110"/>
      <c r="FNS1367" s="110"/>
      <c r="FNT1367" s="110"/>
      <c r="FNU1367" s="110"/>
      <c r="FNV1367" s="110"/>
      <c r="FNW1367" s="110"/>
      <c r="FNX1367" s="110"/>
      <c r="FNY1367" s="110"/>
      <c r="FNZ1367" s="110"/>
      <c r="FOA1367" s="110"/>
      <c r="FOB1367" s="110"/>
      <c r="FOC1367" s="110"/>
      <c r="FOD1367" s="110"/>
      <c r="FOE1367" s="110"/>
      <c r="FOF1367" s="110"/>
      <c r="FOG1367" s="110"/>
      <c r="FOH1367" s="110"/>
      <c r="FOI1367" s="110"/>
      <c r="FOJ1367" s="110"/>
      <c r="FOK1367" s="110"/>
      <c r="FOL1367" s="110"/>
      <c r="FOM1367" s="110"/>
      <c r="FON1367" s="110"/>
      <c r="FOO1367" s="110"/>
      <c r="FOP1367" s="110"/>
      <c r="FOQ1367" s="110"/>
      <c r="FOR1367" s="110"/>
      <c r="FOS1367" s="110"/>
      <c r="FOT1367" s="110"/>
      <c r="FOU1367" s="110"/>
      <c r="FOV1367" s="110"/>
      <c r="FOW1367" s="110"/>
      <c r="FOX1367" s="110"/>
      <c r="FOY1367" s="110"/>
      <c r="FOZ1367" s="110"/>
      <c r="FPA1367" s="110"/>
      <c r="FPB1367" s="110"/>
      <c r="FPC1367" s="110"/>
      <c r="FPD1367" s="110"/>
      <c r="FPE1367" s="110"/>
      <c r="FPF1367" s="110"/>
      <c r="FPG1367" s="110"/>
      <c r="FPH1367" s="110"/>
      <c r="FPI1367" s="110"/>
      <c r="FPJ1367" s="110"/>
      <c r="FPK1367" s="110"/>
      <c r="FPL1367" s="110"/>
      <c r="FPM1367" s="110"/>
      <c r="FPN1367" s="110"/>
      <c r="FPO1367" s="110"/>
      <c r="FPP1367" s="110"/>
      <c r="FPQ1367" s="110"/>
      <c r="FPR1367" s="110"/>
      <c r="FPS1367" s="110"/>
      <c r="FPT1367" s="110"/>
      <c r="FPU1367" s="110"/>
      <c r="FPV1367" s="110"/>
      <c r="FPW1367" s="110"/>
      <c r="FPX1367" s="110"/>
      <c r="FPY1367" s="110"/>
      <c r="FPZ1367" s="110"/>
      <c r="FQA1367" s="110"/>
      <c r="FQB1367" s="110"/>
      <c r="FQC1367" s="110"/>
      <c r="FQD1367" s="110"/>
      <c r="FQE1367" s="110"/>
      <c r="FQF1367" s="110"/>
      <c r="FQG1367" s="110"/>
      <c r="FQH1367" s="110"/>
      <c r="FQI1367" s="110"/>
      <c r="FQJ1367" s="110"/>
      <c r="FQK1367" s="110"/>
      <c r="FQL1367" s="110"/>
      <c r="FQM1367" s="110"/>
      <c r="FQN1367" s="110"/>
      <c r="FQO1367" s="110"/>
      <c r="FQP1367" s="110"/>
      <c r="FQQ1367" s="110"/>
      <c r="FQR1367" s="110"/>
      <c r="FQS1367" s="110"/>
      <c r="FQT1367" s="110"/>
      <c r="FQU1367" s="110"/>
      <c r="FQV1367" s="110"/>
      <c r="FQW1367" s="110"/>
      <c r="FQX1367" s="110"/>
      <c r="FQY1367" s="110"/>
      <c r="FQZ1367" s="110"/>
      <c r="FRA1367" s="110"/>
      <c r="FRB1367" s="110"/>
      <c r="FRC1367" s="110"/>
      <c r="FRD1367" s="110"/>
      <c r="FRE1367" s="110"/>
      <c r="FRF1367" s="110"/>
      <c r="FRG1367" s="110"/>
      <c r="FRH1367" s="110"/>
      <c r="FRI1367" s="110"/>
      <c r="FRJ1367" s="110"/>
      <c r="FRK1367" s="110"/>
      <c r="FRL1367" s="110"/>
      <c r="FRM1367" s="110"/>
      <c r="FRN1367" s="110"/>
      <c r="FRO1367" s="110"/>
      <c r="FRP1367" s="110"/>
      <c r="FRQ1367" s="110"/>
      <c r="FRR1367" s="110"/>
      <c r="FRS1367" s="110"/>
      <c r="FRT1367" s="110"/>
      <c r="FRU1367" s="110"/>
      <c r="FRV1367" s="110"/>
      <c r="FRW1367" s="110"/>
      <c r="FRX1367" s="110"/>
      <c r="FRY1367" s="110"/>
      <c r="FRZ1367" s="110"/>
      <c r="FSA1367" s="110"/>
      <c r="FSB1367" s="110"/>
      <c r="FSC1367" s="110"/>
      <c r="FSD1367" s="110"/>
      <c r="FSE1367" s="110"/>
      <c r="FSF1367" s="110"/>
      <c r="FSG1367" s="110"/>
      <c r="FSH1367" s="110"/>
      <c r="FSI1367" s="110"/>
      <c r="FSJ1367" s="110"/>
      <c r="FSK1367" s="110"/>
      <c r="FSL1367" s="110"/>
      <c r="FSM1367" s="110"/>
      <c r="FSN1367" s="110"/>
      <c r="FSO1367" s="110"/>
      <c r="FSP1367" s="110"/>
      <c r="FSQ1367" s="110"/>
      <c r="FSR1367" s="110"/>
      <c r="FSS1367" s="110"/>
      <c r="FST1367" s="110"/>
      <c r="FSU1367" s="110"/>
      <c r="FSV1367" s="110"/>
      <c r="FSW1367" s="110"/>
      <c r="FSX1367" s="110"/>
      <c r="FSY1367" s="110"/>
      <c r="FSZ1367" s="110"/>
      <c r="FTA1367" s="110"/>
      <c r="FTB1367" s="110"/>
      <c r="FTC1367" s="110"/>
      <c r="FTD1367" s="110"/>
      <c r="FTE1367" s="110"/>
      <c r="FTF1367" s="110"/>
      <c r="FTG1367" s="110"/>
      <c r="FTH1367" s="110"/>
      <c r="FTI1367" s="110"/>
      <c r="FTJ1367" s="110"/>
      <c r="FTK1367" s="110"/>
      <c r="FTL1367" s="110"/>
      <c r="FTM1367" s="110"/>
      <c r="FTN1367" s="110"/>
      <c r="FTO1367" s="110"/>
      <c r="FTP1367" s="110"/>
      <c r="FTQ1367" s="110"/>
      <c r="FTR1367" s="110"/>
      <c r="FTS1367" s="110"/>
      <c r="FTT1367" s="110"/>
      <c r="FTU1367" s="110"/>
      <c r="FTV1367" s="110"/>
      <c r="FTW1367" s="110"/>
      <c r="FTX1367" s="110"/>
      <c r="FTY1367" s="110"/>
      <c r="FTZ1367" s="110"/>
      <c r="FUA1367" s="110"/>
      <c r="FUB1367" s="110"/>
      <c r="FUC1367" s="110"/>
      <c r="FUD1367" s="110"/>
      <c r="FUE1367" s="110"/>
      <c r="FUF1367" s="110"/>
      <c r="FUG1367" s="110"/>
      <c r="FUH1367" s="110"/>
      <c r="FUI1367" s="110"/>
      <c r="FUJ1367" s="110"/>
      <c r="FUK1367" s="110"/>
      <c r="FUL1367" s="110"/>
      <c r="FUM1367" s="110"/>
      <c r="FUN1367" s="110"/>
      <c r="FUO1367" s="110"/>
      <c r="FUP1367" s="110"/>
      <c r="FUQ1367" s="110"/>
      <c r="FUR1367" s="110"/>
      <c r="FUS1367" s="110"/>
      <c r="FUT1367" s="110"/>
      <c r="FUU1367" s="110"/>
      <c r="FUV1367" s="110"/>
      <c r="FUW1367" s="110"/>
      <c r="FUX1367" s="110"/>
      <c r="FUY1367" s="110"/>
      <c r="FUZ1367" s="110"/>
      <c r="FVA1367" s="110"/>
      <c r="FVB1367" s="110"/>
      <c r="FVC1367" s="110"/>
      <c r="FVD1367" s="110"/>
      <c r="FVE1367" s="110"/>
      <c r="FVF1367" s="110"/>
      <c r="FVG1367" s="110"/>
      <c r="FVH1367" s="110"/>
      <c r="FVI1367" s="110"/>
      <c r="FVJ1367" s="110"/>
      <c r="FVK1367" s="110"/>
      <c r="FVL1367" s="110"/>
      <c r="FVM1367" s="110"/>
      <c r="FVN1367" s="110"/>
      <c r="FVO1367" s="110"/>
      <c r="FVP1367" s="110"/>
      <c r="FVQ1367" s="110"/>
      <c r="FVR1367" s="110"/>
      <c r="FVS1367" s="110"/>
      <c r="FVT1367" s="110"/>
      <c r="FVU1367" s="110"/>
      <c r="FVV1367" s="110"/>
      <c r="FVW1367" s="110"/>
      <c r="FVX1367" s="110"/>
      <c r="FVY1367" s="110"/>
      <c r="FVZ1367" s="110"/>
      <c r="FWA1367" s="110"/>
      <c r="FWB1367" s="110"/>
      <c r="FWC1367" s="110"/>
      <c r="FWD1367" s="110"/>
      <c r="FWE1367" s="110"/>
      <c r="FWF1367" s="110"/>
      <c r="FWG1367" s="110"/>
      <c r="FWH1367" s="110"/>
      <c r="FWI1367" s="110"/>
      <c r="FWJ1367" s="110"/>
      <c r="FWK1367" s="110"/>
      <c r="FWL1367" s="110"/>
      <c r="FWM1367" s="110"/>
      <c r="FWN1367" s="110"/>
      <c r="FWO1367" s="110"/>
      <c r="FWP1367" s="110"/>
      <c r="FWQ1367" s="110"/>
      <c r="FWR1367" s="110"/>
      <c r="FWS1367" s="110"/>
      <c r="FWT1367" s="110"/>
      <c r="FWU1367" s="110"/>
      <c r="FWV1367" s="110"/>
      <c r="FWW1367" s="110"/>
      <c r="FWX1367" s="110"/>
      <c r="FWY1367" s="110"/>
      <c r="FWZ1367" s="110"/>
      <c r="FXA1367" s="110"/>
      <c r="FXB1367" s="110"/>
      <c r="FXC1367" s="110"/>
      <c r="FXD1367" s="110"/>
      <c r="FXE1367" s="110"/>
      <c r="FXF1367" s="110"/>
      <c r="FXG1367" s="110"/>
      <c r="FXH1367" s="110"/>
      <c r="FXI1367" s="110"/>
      <c r="FXJ1367" s="110"/>
      <c r="FXK1367" s="110"/>
      <c r="FXL1367" s="110"/>
      <c r="FXM1367" s="110"/>
      <c r="FXN1367" s="110"/>
      <c r="FXO1367" s="110"/>
      <c r="FXP1367" s="110"/>
      <c r="FXQ1367" s="110"/>
      <c r="FXR1367" s="110"/>
      <c r="FXS1367" s="110"/>
      <c r="FXT1367" s="110"/>
      <c r="FXU1367" s="110"/>
      <c r="FXV1367" s="110"/>
      <c r="FXW1367" s="110"/>
      <c r="FXX1367" s="110"/>
      <c r="FXY1367" s="110"/>
      <c r="FXZ1367" s="110"/>
      <c r="FYA1367" s="110"/>
      <c r="FYB1367" s="110"/>
      <c r="FYC1367" s="110"/>
      <c r="FYD1367" s="110"/>
      <c r="FYE1367" s="110"/>
      <c r="FYF1367" s="110"/>
      <c r="FYG1367" s="110"/>
      <c r="FYH1367" s="110"/>
      <c r="FYI1367" s="110"/>
      <c r="FYJ1367" s="110"/>
      <c r="FYK1367" s="110"/>
      <c r="FYL1367" s="110"/>
      <c r="FYM1367" s="110"/>
      <c r="FYN1367" s="110"/>
      <c r="FYO1367" s="110"/>
      <c r="FYP1367" s="110"/>
      <c r="FYQ1367" s="110"/>
      <c r="FYR1367" s="110"/>
      <c r="FYS1367" s="110"/>
      <c r="FYT1367" s="110"/>
      <c r="FYU1367" s="110"/>
      <c r="FYV1367" s="110"/>
      <c r="FYW1367" s="110"/>
      <c r="FYX1367" s="110"/>
      <c r="FYY1367" s="110"/>
      <c r="FYZ1367" s="110"/>
      <c r="FZA1367" s="110"/>
      <c r="FZB1367" s="110"/>
      <c r="FZC1367" s="110"/>
      <c r="FZD1367" s="110"/>
      <c r="FZE1367" s="110"/>
      <c r="FZF1367" s="110"/>
      <c r="FZG1367" s="110"/>
      <c r="FZH1367" s="110"/>
      <c r="FZI1367" s="110"/>
      <c r="FZJ1367" s="110"/>
      <c r="FZK1367" s="110"/>
      <c r="FZL1367" s="110"/>
      <c r="FZM1367" s="110"/>
      <c r="FZN1367" s="110"/>
      <c r="FZO1367" s="110"/>
      <c r="FZP1367" s="110"/>
      <c r="FZQ1367" s="110"/>
      <c r="FZR1367" s="110"/>
      <c r="FZS1367" s="110"/>
      <c r="FZT1367" s="110"/>
      <c r="FZU1367" s="110"/>
      <c r="FZV1367" s="110"/>
      <c r="FZW1367" s="110"/>
      <c r="FZX1367" s="110"/>
      <c r="FZY1367" s="110"/>
      <c r="FZZ1367" s="110"/>
      <c r="GAA1367" s="110"/>
      <c r="GAB1367" s="110"/>
      <c r="GAC1367" s="110"/>
      <c r="GAD1367" s="110"/>
      <c r="GAE1367" s="110"/>
      <c r="GAF1367" s="110"/>
      <c r="GAG1367" s="110"/>
      <c r="GAH1367" s="110"/>
      <c r="GAI1367" s="110"/>
      <c r="GAJ1367" s="110"/>
      <c r="GAK1367" s="110"/>
      <c r="GAL1367" s="110"/>
      <c r="GAM1367" s="110"/>
      <c r="GAN1367" s="110"/>
      <c r="GAO1367" s="110"/>
      <c r="GAP1367" s="110"/>
      <c r="GAQ1367" s="110"/>
      <c r="GAR1367" s="110"/>
      <c r="GAS1367" s="110"/>
      <c r="GAT1367" s="110"/>
      <c r="GAU1367" s="110"/>
      <c r="GAV1367" s="110"/>
      <c r="GAW1367" s="110"/>
      <c r="GAX1367" s="110"/>
      <c r="GAY1367" s="110"/>
      <c r="GAZ1367" s="110"/>
      <c r="GBA1367" s="110"/>
      <c r="GBB1367" s="110"/>
      <c r="GBC1367" s="110"/>
      <c r="GBD1367" s="110"/>
      <c r="GBE1367" s="110"/>
      <c r="GBF1367" s="110"/>
      <c r="GBG1367" s="110"/>
      <c r="GBH1367" s="110"/>
      <c r="GBI1367" s="110"/>
      <c r="GBJ1367" s="110"/>
      <c r="GBK1367" s="110"/>
      <c r="GBL1367" s="110"/>
      <c r="GBM1367" s="110"/>
      <c r="GBN1367" s="110"/>
      <c r="GBO1367" s="110"/>
      <c r="GBP1367" s="110"/>
      <c r="GBQ1367" s="110"/>
      <c r="GBR1367" s="110"/>
      <c r="GBS1367" s="110"/>
      <c r="GBT1367" s="110"/>
      <c r="GBU1367" s="110"/>
      <c r="GBV1367" s="110"/>
      <c r="GBW1367" s="110"/>
      <c r="GBX1367" s="110"/>
      <c r="GBY1367" s="110"/>
      <c r="GBZ1367" s="110"/>
      <c r="GCA1367" s="110"/>
      <c r="GCB1367" s="110"/>
      <c r="GCC1367" s="110"/>
      <c r="GCD1367" s="110"/>
      <c r="GCE1367" s="110"/>
      <c r="GCF1367" s="110"/>
      <c r="GCG1367" s="110"/>
      <c r="GCH1367" s="110"/>
      <c r="GCI1367" s="110"/>
      <c r="GCJ1367" s="110"/>
      <c r="GCK1367" s="110"/>
      <c r="GCL1367" s="110"/>
      <c r="GCM1367" s="110"/>
      <c r="GCN1367" s="110"/>
      <c r="GCO1367" s="110"/>
      <c r="GCP1367" s="110"/>
      <c r="GCQ1367" s="110"/>
      <c r="GCR1367" s="110"/>
      <c r="GCS1367" s="110"/>
      <c r="GCT1367" s="110"/>
      <c r="GCU1367" s="110"/>
      <c r="GCV1367" s="110"/>
      <c r="GCW1367" s="110"/>
      <c r="GCX1367" s="110"/>
      <c r="GCY1367" s="110"/>
      <c r="GCZ1367" s="110"/>
      <c r="GDA1367" s="110"/>
      <c r="GDB1367" s="110"/>
      <c r="GDC1367" s="110"/>
      <c r="GDD1367" s="110"/>
      <c r="GDE1367" s="110"/>
      <c r="GDF1367" s="110"/>
      <c r="GDG1367" s="110"/>
      <c r="GDH1367" s="110"/>
      <c r="GDI1367" s="110"/>
      <c r="GDJ1367" s="110"/>
      <c r="GDK1367" s="110"/>
      <c r="GDL1367" s="110"/>
      <c r="GDM1367" s="110"/>
      <c r="GDN1367" s="110"/>
      <c r="GDO1367" s="110"/>
      <c r="GDP1367" s="110"/>
      <c r="GDQ1367" s="110"/>
      <c r="GDR1367" s="110"/>
      <c r="GDS1367" s="110"/>
      <c r="GDT1367" s="110"/>
      <c r="GDU1367" s="110"/>
      <c r="GDV1367" s="110"/>
      <c r="GDW1367" s="110"/>
      <c r="GDX1367" s="110"/>
      <c r="GDY1367" s="110"/>
      <c r="GDZ1367" s="110"/>
      <c r="GEA1367" s="110"/>
      <c r="GEB1367" s="110"/>
      <c r="GEC1367" s="110"/>
      <c r="GED1367" s="110"/>
      <c r="GEE1367" s="110"/>
      <c r="GEF1367" s="110"/>
      <c r="GEG1367" s="110"/>
      <c r="GEH1367" s="110"/>
      <c r="GEI1367" s="110"/>
      <c r="GEJ1367" s="110"/>
      <c r="GEK1367" s="110"/>
      <c r="GEL1367" s="110"/>
      <c r="GEM1367" s="110"/>
      <c r="GEN1367" s="110"/>
      <c r="GEO1367" s="110"/>
      <c r="GEP1367" s="110"/>
      <c r="GEQ1367" s="110"/>
      <c r="GER1367" s="110"/>
      <c r="GES1367" s="110"/>
      <c r="GET1367" s="110"/>
      <c r="GEU1367" s="110"/>
      <c r="GEV1367" s="110"/>
      <c r="GEW1367" s="110"/>
      <c r="GEX1367" s="110"/>
      <c r="GEY1367" s="110"/>
      <c r="GEZ1367" s="110"/>
      <c r="GFA1367" s="110"/>
      <c r="GFB1367" s="110"/>
      <c r="GFC1367" s="110"/>
      <c r="GFD1367" s="110"/>
      <c r="GFE1367" s="110"/>
      <c r="GFF1367" s="110"/>
      <c r="GFG1367" s="110"/>
      <c r="GFH1367" s="110"/>
      <c r="GFI1367" s="110"/>
      <c r="GFJ1367" s="110"/>
      <c r="GFK1367" s="110"/>
      <c r="GFL1367" s="110"/>
      <c r="GFM1367" s="110"/>
      <c r="GFN1367" s="110"/>
      <c r="GFO1367" s="110"/>
      <c r="GFP1367" s="110"/>
      <c r="GFQ1367" s="110"/>
      <c r="GFR1367" s="110"/>
      <c r="GFS1367" s="110"/>
      <c r="GFT1367" s="110"/>
      <c r="GFU1367" s="110"/>
      <c r="GFV1367" s="110"/>
      <c r="GFW1367" s="110"/>
      <c r="GFX1367" s="110"/>
      <c r="GFY1367" s="110"/>
      <c r="GFZ1367" s="110"/>
      <c r="GGA1367" s="110"/>
      <c r="GGB1367" s="110"/>
      <c r="GGC1367" s="110"/>
      <c r="GGD1367" s="110"/>
      <c r="GGE1367" s="110"/>
      <c r="GGF1367" s="110"/>
      <c r="GGG1367" s="110"/>
      <c r="GGH1367" s="110"/>
      <c r="GGI1367" s="110"/>
      <c r="GGJ1367" s="110"/>
      <c r="GGK1367" s="110"/>
      <c r="GGL1367" s="110"/>
      <c r="GGM1367" s="110"/>
      <c r="GGN1367" s="110"/>
      <c r="GGO1367" s="110"/>
      <c r="GGP1367" s="110"/>
      <c r="GGQ1367" s="110"/>
      <c r="GGR1367" s="110"/>
      <c r="GGS1367" s="110"/>
      <c r="GGT1367" s="110"/>
      <c r="GGU1367" s="110"/>
      <c r="GGV1367" s="110"/>
      <c r="GGW1367" s="110"/>
      <c r="GGX1367" s="110"/>
      <c r="GGY1367" s="110"/>
      <c r="GGZ1367" s="110"/>
      <c r="GHA1367" s="110"/>
      <c r="GHB1367" s="110"/>
      <c r="GHC1367" s="110"/>
      <c r="GHD1367" s="110"/>
      <c r="GHE1367" s="110"/>
      <c r="GHF1367" s="110"/>
      <c r="GHG1367" s="110"/>
      <c r="GHH1367" s="110"/>
      <c r="GHI1367" s="110"/>
      <c r="GHJ1367" s="110"/>
      <c r="GHK1367" s="110"/>
      <c r="GHL1367" s="110"/>
      <c r="GHM1367" s="110"/>
      <c r="GHN1367" s="110"/>
      <c r="GHO1367" s="110"/>
      <c r="GHP1367" s="110"/>
      <c r="GHQ1367" s="110"/>
      <c r="GHR1367" s="110"/>
      <c r="GHS1367" s="110"/>
      <c r="GHT1367" s="110"/>
      <c r="GHU1367" s="110"/>
      <c r="GHV1367" s="110"/>
      <c r="GHW1367" s="110"/>
      <c r="GHX1367" s="110"/>
      <c r="GHY1367" s="110"/>
      <c r="GHZ1367" s="110"/>
      <c r="GIA1367" s="110"/>
      <c r="GIB1367" s="110"/>
      <c r="GIC1367" s="110"/>
      <c r="GID1367" s="110"/>
      <c r="GIE1367" s="110"/>
      <c r="GIF1367" s="110"/>
      <c r="GIG1367" s="110"/>
      <c r="GIH1367" s="110"/>
      <c r="GII1367" s="110"/>
      <c r="GIJ1367" s="110"/>
      <c r="GIK1367" s="110"/>
      <c r="GIL1367" s="110"/>
      <c r="GIM1367" s="110"/>
      <c r="GIN1367" s="110"/>
      <c r="GIO1367" s="110"/>
      <c r="GIP1367" s="110"/>
      <c r="GIQ1367" s="110"/>
      <c r="GIR1367" s="110"/>
      <c r="GIS1367" s="110"/>
      <c r="GIT1367" s="110"/>
      <c r="GIU1367" s="110"/>
      <c r="GIV1367" s="110"/>
      <c r="GIW1367" s="110"/>
      <c r="GIX1367" s="110"/>
      <c r="GIY1367" s="110"/>
      <c r="GIZ1367" s="110"/>
      <c r="GJA1367" s="110"/>
      <c r="GJB1367" s="110"/>
      <c r="GJC1367" s="110"/>
      <c r="GJD1367" s="110"/>
      <c r="GJE1367" s="110"/>
      <c r="GJF1367" s="110"/>
      <c r="GJG1367" s="110"/>
      <c r="GJH1367" s="110"/>
      <c r="GJI1367" s="110"/>
      <c r="GJJ1367" s="110"/>
      <c r="GJK1367" s="110"/>
      <c r="GJL1367" s="110"/>
      <c r="GJM1367" s="110"/>
      <c r="GJN1367" s="110"/>
      <c r="GJO1367" s="110"/>
      <c r="GJP1367" s="110"/>
      <c r="GJQ1367" s="110"/>
      <c r="GJR1367" s="110"/>
      <c r="GJS1367" s="110"/>
      <c r="GJT1367" s="110"/>
      <c r="GJU1367" s="110"/>
      <c r="GJV1367" s="110"/>
      <c r="GJW1367" s="110"/>
      <c r="GJX1367" s="110"/>
      <c r="GJY1367" s="110"/>
      <c r="GJZ1367" s="110"/>
      <c r="GKA1367" s="110"/>
      <c r="GKB1367" s="110"/>
      <c r="GKC1367" s="110"/>
      <c r="GKD1367" s="110"/>
      <c r="GKE1367" s="110"/>
      <c r="GKF1367" s="110"/>
      <c r="GKG1367" s="110"/>
      <c r="GKH1367" s="110"/>
      <c r="GKI1367" s="110"/>
      <c r="GKJ1367" s="110"/>
      <c r="GKK1367" s="110"/>
      <c r="GKL1367" s="110"/>
      <c r="GKM1367" s="110"/>
      <c r="GKN1367" s="110"/>
      <c r="GKO1367" s="110"/>
      <c r="GKP1367" s="110"/>
      <c r="GKQ1367" s="110"/>
      <c r="GKR1367" s="110"/>
      <c r="GKS1367" s="110"/>
      <c r="GKT1367" s="110"/>
      <c r="GKU1367" s="110"/>
      <c r="GKV1367" s="110"/>
      <c r="GKW1367" s="110"/>
      <c r="GKX1367" s="110"/>
      <c r="GKY1367" s="110"/>
      <c r="GKZ1367" s="110"/>
      <c r="GLA1367" s="110"/>
      <c r="GLB1367" s="110"/>
      <c r="GLC1367" s="110"/>
      <c r="GLD1367" s="110"/>
      <c r="GLE1367" s="110"/>
      <c r="GLF1367" s="110"/>
      <c r="GLG1367" s="110"/>
      <c r="GLH1367" s="110"/>
      <c r="GLI1367" s="110"/>
      <c r="GLJ1367" s="110"/>
      <c r="GLK1367" s="110"/>
      <c r="GLL1367" s="110"/>
      <c r="GLM1367" s="110"/>
      <c r="GLN1367" s="110"/>
      <c r="GLO1367" s="110"/>
      <c r="GLP1367" s="110"/>
      <c r="GLQ1367" s="110"/>
      <c r="GLR1367" s="110"/>
      <c r="GLS1367" s="110"/>
      <c r="GLT1367" s="110"/>
      <c r="GLU1367" s="110"/>
      <c r="GLV1367" s="110"/>
      <c r="GLW1367" s="110"/>
      <c r="GLX1367" s="110"/>
      <c r="GLY1367" s="110"/>
      <c r="GLZ1367" s="110"/>
      <c r="GMA1367" s="110"/>
      <c r="GMB1367" s="110"/>
      <c r="GMC1367" s="110"/>
      <c r="GMD1367" s="110"/>
      <c r="GME1367" s="110"/>
      <c r="GMF1367" s="110"/>
      <c r="GMG1367" s="110"/>
      <c r="GMH1367" s="110"/>
      <c r="GMI1367" s="110"/>
      <c r="GMJ1367" s="110"/>
      <c r="GMK1367" s="110"/>
      <c r="GML1367" s="110"/>
      <c r="GMM1367" s="110"/>
      <c r="GMN1367" s="110"/>
      <c r="GMO1367" s="110"/>
      <c r="GMP1367" s="110"/>
      <c r="GMQ1367" s="110"/>
      <c r="GMR1367" s="110"/>
      <c r="GMS1367" s="110"/>
      <c r="GMT1367" s="110"/>
      <c r="GMU1367" s="110"/>
      <c r="GMV1367" s="110"/>
      <c r="GMW1367" s="110"/>
      <c r="GMX1367" s="110"/>
      <c r="GMY1367" s="110"/>
      <c r="GMZ1367" s="110"/>
      <c r="GNA1367" s="110"/>
      <c r="GNB1367" s="110"/>
      <c r="GNC1367" s="110"/>
      <c r="GND1367" s="110"/>
      <c r="GNE1367" s="110"/>
      <c r="GNF1367" s="110"/>
      <c r="GNG1367" s="110"/>
      <c r="GNH1367" s="110"/>
      <c r="GNI1367" s="110"/>
      <c r="GNJ1367" s="110"/>
      <c r="GNK1367" s="110"/>
      <c r="GNL1367" s="110"/>
      <c r="GNM1367" s="110"/>
      <c r="GNN1367" s="110"/>
      <c r="GNO1367" s="110"/>
      <c r="GNP1367" s="110"/>
      <c r="GNQ1367" s="110"/>
      <c r="GNR1367" s="110"/>
      <c r="GNS1367" s="110"/>
      <c r="GNT1367" s="110"/>
      <c r="GNU1367" s="110"/>
      <c r="GNV1367" s="110"/>
      <c r="GNW1367" s="110"/>
      <c r="GNX1367" s="110"/>
      <c r="GNY1367" s="110"/>
      <c r="GNZ1367" s="110"/>
      <c r="GOA1367" s="110"/>
      <c r="GOB1367" s="110"/>
      <c r="GOC1367" s="110"/>
      <c r="GOD1367" s="110"/>
      <c r="GOE1367" s="110"/>
      <c r="GOF1367" s="110"/>
      <c r="GOG1367" s="110"/>
      <c r="GOH1367" s="110"/>
      <c r="GOI1367" s="110"/>
      <c r="GOJ1367" s="110"/>
      <c r="GOK1367" s="110"/>
      <c r="GOL1367" s="110"/>
      <c r="GOM1367" s="110"/>
      <c r="GON1367" s="110"/>
      <c r="GOO1367" s="110"/>
      <c r="GOP1367" s="110"/>
      <c r="GOQ1367" s="110"/>
      <c r="GOR1367" s="110"/>
      <c r="GOS1367" s="110"/>
      <c r="GOT1367" s="110"/>
      <c r="GOU1367" s="110"/>
      <c r="GOV1367" s="110"/>
      <c r="GOW1367" s="110"/>
      <c r="GOX1367" s="110"/>
      <c r="GOY1367" s="110"/>
      <c r="GOZ1367" s="110"/>
      <c r="GPA1367" s="110"/>
      <c r="GPB1367" s="110"/>
      <c r="GPC1367" s="110"/>
      <c r="GPD1367" s="110"/>
      <c r="GPE1367" s="110"/>
      <c r="GPF1367" s="110"/>
      <c r="GPG1367" s="110"/>
      <c r="GPH1367" s="110"/>
      <c r="GPI1367" s="110"/>
      <c r="GPJ1367" s="110"/>
      <c r="GPK1367" s="110"/>
      <c r="GPL1367" s="110"/>
      <c r="GPM1367" s="110"/>
      <c r="GPN1367" s="110"/>
      <c r="GPO1367" s="110"/>
      <c r="GPP1367" s="110"/>
      <c r="GPQ1367" s="110"/>
      <c r="GPR1367" s="110"/>
      <c r="GPS1367" s="110"/>
      <c r="GPT1367" s="110"/>
      <c r="GPU1367" s="110"/>
      <c r="GPV1367" s="110"/>
      <c r="GPW1367" s="110"/>
      <c r="GPX1367" s="110"/>
      <c r="GPY1367" s="110"/>
      <c r="GPZ1367" s="110"/>
      <c r="GQA1367" s="110"/>
      <c r="GQB1367" s="110"/>
      <c r="GQC1367" s="110"/>
      <c r="GQD1367" s="110"/>
      <c r="GQE1367" s="110"/>
      <c r="GQF1367" s="110"/>
      <c r="GQG1367" s="110"/>
      <c r="GQH1367" s="110"/>
      <c r="GQI1367" s="110"/>
      <c r="GQJ1367" s="110"/>
      <c r="GQK1367" s="110"/>
      <c r="GQL1367" s="110"/>
      <c r="GQM1367" s="110"/>
      <c r="GQN1367" s="110"/>
      <c r="GQO1367" s="110"/>
      <c r="GQP1367" s="110"/>
      <c r="GQQ1367" s="110"/>
      <c r="GQR1367" s="110"/>
      <c r="GQS1367" s="110"/>
      <c r="GQT1367" s="110"/>
      <c r="GQU1367" s="110"/>
      <c r="GQV1367" s="110"/>
      <c r="GQW1367" s="110"/>
      <c r="GQX1367" s="110"/>
      <c r="GQY1367" s="110"/>
      <c r="GQZ1367" s="110"/>
      <c r="GRA1367" s="110"/>
      <c r="GRB1367" s="110"/>
      <c r="GRC1367" s="110"/>
      <c r="GRD1367" s="110"/>
      <c r="GRE1367" s="110"/>
      <c r="GRF1367" s="110"/>
      <c r="GRG1367" s="110"/>
      <c r="GRH1367" s="110"/>
      <c r="GRI1367" s="110"/>
      <c r="GRJ1367" s="110"/>
      <c r="GRK1367" s="110"/>
      <c r="GRL1367" s="110"/>
      <c r="GRM1367" s="110"/>
      <c r="GRN1367" s="110"/>
      <c r="GRO1367" s="110"/>
      <c r="GRP1367" s="110"/>
      <c r="GRQ1367" s="110"/>
      <c r="GRR1367" s="110"/>
      <c r="GRS1367" s="110"/>
      <c r="GRT1367" s="110"/>
      <c r="GRU1367" s="110"/>
      <c r="GRV1367" s="110"/>
      <c r="GRW1367" s="110"/>
      <c r="GRX1367" s="110"/>
      <c r="GRY1367" s="110"/>
      <c r="GRZ1367" s="110"/>
      <c r="GSA1367" s="110"/>
      <c r="GSB1367" s="110"/>
      <c r="GSC1367" s="110"/>
      <c r="GSD1367" s="110"/>
      <c r="GSE1367" s="110"/>
      <c r="GSF1367" s="110"/>
      <c r="GSG1367" s="110"/>
      <c r="GSH1367" s="110"/>
      <c r="GSI1367" s="110"/>
      <c r="GSJ1367" s="110"/>
      <c r="GSK1367" s="110"/>
      <c r="GSL1367" s="110"/>
      <c r="GSM1367" s="110"/>
      <c r="GSN1367" s="110"/>
      <c r="GSO1367" s="110"/>
      <c r="GSP1367" s="110"/>
      <c r="GSQ1367" s="110"/>
      <c r="GSR1367" s="110"/>
      <c r="GSS1367" s="110"/>
      <c r="GST1367" s="110"/>
      <c r="GSU1367" s="110"/>
      <c r="GSV1367" s="110"/>
      <c r="GSW1367" s="110"/>
      <c r="GSX1367" s="110"/>
      <c r="GSY1367" s="110"/>
      <c r="GSZ1367" s="110"/>
      <c r="GTA1367" s="110"/>
      <c r="GTB1367" s="110"/>
      <c r="GTC1367" s="110"/>
      <c r="GTD1367" s="110"/>
      <c r="GTE1367" s="110"/>
      <c r="GTF1367" s="110"/>
      <c r="GTG1367" s="110"/>
      <c r="GTH1367" s="110"/>
      <c r="GTI1367" s="110"/>
      <c r="GTJ1367" s="110"/>
      <c r="GTK1367" s="110"/>
      <c r="GTL1367" s="110"/>
      <c r="GTM1367" s="110"/>
      <c r="GTN1367" s="110"/>
      <c r="GTO1367" s="110"/>
      <c r="GTP1367" s="110"/>
      <c r="GTQ1367" s="110"/>
      <c r="GTR1367" s="110"/>
      <c r="GTS1367" s="110"/>
      <c r="GTT1367" s="110"/>
      <c r="GTU1367" s="110"/>
      <c r="GTV1367" s="110"/>
      <c r="GTW1367" s="110"/>
      <c r="GTX1367" s="110"/>
      <c r="GTY1367" s="110"/>
      <c r="GTZ1367" s="110"/>
      <c r="GUA1367" s="110"/>
      <c r="GUB1367" s="110"/>
      <c r="GUC1367" s="110"/>
      <c r="GUD1367" s="110"/>
      <c r="GUE1367" s="110"/>
      <c r="GUF1367" s="110"/>
      <c r="GUG1367" s="110"/>
      <c r="GUH1367" s="110"/>
      <c r="GUI1367" s="110"/>
      <c r="GUJ1367" s="110"/>
      <c r="GUK1367" s="110"/>
      <c r="GUL1367" s="110"/>
      <c r="GUM1367" s="110"/>
      <c r="GUN1367" s="110"/>
      <c r="GUO1367" s="110"/>
      <c r="GUP1367" s="110"/>
      <c r="GUQ1367" s="110"/>
      <c r="GUR1367" s="110"/>
      <c r="GUS1367" s="110"/>
      <c r="GUT1367" s="110"/>
      <c r="GUU1367" s="110"/>
      <c r="GUV1367" s="110"/>
      <c r="GUW1367" s="110"/>
      <c r="GUX1367" s="110"/>
      <c r="GUY1367" s="110"/>
      <c r="GUZ1367" s="110"/>
      <c r="GVA1367" s="110"/>
      <c r="GVB1367" s="110"/>
      <c r="GVC1367" s="110"/>
      <c r="GVD1367" s="110"/>
      <c r="GVE1367" s="110"/>
      <c r="GVF1367" s="110"/>
      <c r="GVG1367" s="110"/>
      <c r="GVH1367" s="110"/>
      <c r="GVI1367" s="110"/>
      <c r="GVJ1367" s="110"/>
      <c r="GVK1367" s="110"/>
      <c r="GVL1367" s="110"/>
      <c r="GVM1367" s="110"/>
      <c r="GVN1367" s="110"/>
      <c r="GVO1367" s="110"/>
      <c r="GVP1367" s="110"/>
      <c r="GVQ1367" s="110"/>
      <c r="GVR1367" s="110"/>
      <c r="GVS1367" s="110"/>
      <c r="GVT1367" s="110"/>
      <c r="GVU1367" s="110"/>
      <c r="GVV1367" s="110"/>
      <c r="GVW1367" s="110"/>
      <c r="GVX1367" s="110"/>
      <c r="GVY1367" s="110"/>
      <c r="GVZ1367" s="110"/>
      <c r="GWA1367" s="110"/>
      <c r="GWB1367" s="110"/>
      <c r="GWC1367" s="110"/>
      <c r="GWD1367" s="110"/>
      <c r="GWE1367" s="110"/>
      <c r="GWF1367" s="110"/>
      <c r="GWG1367" s="110"/>
      <c r="GWH1367" s="110"/>
      <c r="GWI1367" s="110"/>
      <c r="GWJ1367" s="110"/>
      <c r="GWK1367" s="110"/>
      <c r="GWL1367" s="110"/>
      <c r="GWM1367" s="110"/>
      <c r="GWN1367" s="110"/>
      <c r="GWO1367" s="110"/>
      <c r="GWP1367" s="110"/>
      <c r="GWQ1367" s="110"/>
      <c r="GWR1367" s="110"/>
      <c r="GWS1367" s="110"/>
      <c r="GWT1367" s="110"/>
      <c r="GWU1367" s="110"/>
      <c r="GWV1367" s="110"/>
      <c r="GWW1367" s="110"/>
      <c r="GWX1367" s="110"/>
      <c r="GWY1367" s="110"/>
      <c r="GWZ1367" s="110"/>
      <c r="GXA1367" s="110"/>
      <c r="GXB1367" s="110"/>
      <c r="GXC1367" s="110"/>
      <c r="GXD1367" s="110"/>
      <c r="GXE1367" s="110"/>
      <c r="GXF1367" s="110"/>
      <c r="GXG1367" s="110"/>
      <c r="GXH1367" s="110"/>
      <c r="GXI1367" s="110"/>
      <c r="GXJ1367" s="110"/>
      <c r="GXK1367" s="110"/>
      <c r="GXL1367" s="110"/>
      <c r="GXM1367" s="110"/>
      <c r="GXN1367" s="110"/>
      <c r="GXO1367" s="110"/>
      <c r="GXP1367" s="110"/>
      <c r="GXQ1367" s="110"/>
      <c r="GXR1367" s="110"/>
      <c r="GXS1367" s="110"/>
      <c r="GXT1367" s="110"/>
      <c r="GXU1367" s="110"/>
      <c r="GXV1367" s="110"/>
      <c r="GXW1367" s="110"/>
      <c r="GXX1367" s="110"/>
      <c r="GXY1367" s="110"/>
      <c r="GXZ1367" s="110"/>
      <c r="GYA1367" s="110"/>
      <c r="GYB1367" s="110"/>
      <c r="GYC1367" s="110"/>
      <c r="GYD1367" s="110"/>
      <c r="GYE1367" s="110"/>
      <c r="GYF1367" s="110"/>
      <c r="GYG1367" s="110"/>
      <c r="GYH1367" s="110"/>
      <c r="GYI1367" s="110"/>
      <c r="GYJ1367" s="110"/>
      <c r="GYK1367" s="110"/>
      <c r="GYL1367" s="110"/>
      <c r="GYM1367" s="110"/>
      <c r="GYN1367" s="110"/>
      <c r="GYO1367" s="110"/>
      <c r="GYP1367" s="110"/>
      <c r="GYQ1367" s="110"/>
      <c r="GYR1367" s="110"/>
      <c r="GYS1367" s="110"/>
      <c r="GYT1367" s="110"/>
      <c r="GYU1367" s="110"/>
      <c r="GYV1367" s="110"/>
      <c r="GYW1367" s="110"/>
      <c r="GYX1367" s="110"/>
      <c r="GYY1367" s="110"/>
      <c r="GYZ1367" s="110"/>
      <c r="GZA1367" s="110"/>
      <c r="GZB1367" s="110"/>
      <c r="GZC1367" s="110"/>
      <c r="GZD1367" s="110"/>
      <c r="GZE1367" s="110"/>
      <c r="GZF1367" s="110"/>
      <c r="GZG1367" s="110"/>
      <c r="GZH1367" s="110"/>
      <c r="GZI1367" s="110"/>
      <c r="GZJ1367" s="110"/>
      <c r="GZK1367" s="110"/>
      <c r="GZL1367" s="110"/>
      <c r="GZM1367" s="110"/>
      <c r="GZN1367" s="110"/>
      <c r="GZO1367" s="110"/>
      <c r="GZP1367" s="110"/>
      <c r="GZQ1367" s="110"/>
      <c r="GZR1367" s="110"/>
      <c r="GZS1367" s="110"/>
      <c r="GZT1367" s="110"/>
      <c r="GZU1367" s="110"/>
      <c r="GZV1367" s="110"/>
      <c r="GZW1367" s="110"/>
      <c r="GZX1367" s="110"/>
      <c r="GZY1367" s="110"/>
      <c r="GZZ1367" s="110"/>
      <c r="HAA1367" s="110"/>
      <c r="HAB1367" s="110"/>
      <c r="HAC1367" s="110"/>
      <c r="HAD1367" s="110"/>
      <c r="HAE1367" s="110"/>
      <c r="HAF1367" s="110"/>
      <c r="HAG1367" s="110"/>
      <c r="HAH1367" s="110"/>
      <c r="HAI1367" s="110"/>
      <c r="HAJ1367" s="110"/>
      <c r="HAK1367" s="110"/>
      <c r="HAL1367" s="110"/>
      <c r="HAM1367" s="110"/>
      <c r="HAN1367" s="110"/>
      <c r="HAO1367" s="110"/>
      <c r="HAP1367" s="110"/>
      <c r="HAQ1367" s="110"/>
      <c r="HAR1367" s="110"/>
      <c r="HAS1367" s="110"/>
      <c r="HAT1367" s="110"/>
      <c r="HAU1367" s="110"/>
      <c r="HAV1367" s="110"/>
      <c r="HAW1367" s="110"/>
      <c r="HAX1367" s="110"/>
      <c r="HAY1367" s="110"/>
      <c r="HAZ1367" s="110"/>
      <c r="HBA1367" s="110"/>
      <c r="HBB1367" s="110"/>
      <c r="HBC1367" s="110"/>
      <c r="HBD1367" s="110"/>
      <c r="HBE1367" s="110"/>
      <c r="HBF1367" s="110"/>
      <c r="HBG1367" s="110"/>
      <c r="HBH1367" s="110"/>
      <c r="HBI1367" s="110"/>
      <c r="HBJ1367" s="110"/>
      <c r="HBK1367" s="110"/>
      <c r="HBL1367" s="110"/>
      <c r="HBM1367" s="110"/>
      <c r="HBN1367" s="110"/>
      <c r="HBO1367" s="110"/>
      <c r="HBP1367" s="110"/>
      <c r="HBQ1367" s="110"/>
      <c r="HBR1367" s="110"/>
      <c r="HBS1367" s="110"/>
      <c r="HBT1367" s="110"/>
      <c r="HBU1367" s="110"/>
      <c r="HBV1367" s="110"/>
      <c r="HBW1367" s="110"/>
      <c r="HBX1367" s="110"/>
      <c r="HBY1367" s="110"/>
      <c r="HBZ1367" s="110"/>
      <c r="HCA1367" s="110"/>
      <c r="HCB1367" s="110"/>
      <c r="HCC1367" s="110"/>
      <c r="HCD1367" s="110"/>
      <c r="HCE1367" s="110"/>
      <c r="HCF1367" s="110"/>
      <c r="HCG1367" s="110"/>
      <c r="HCH1367" s="110"/>
      <c r="HCI1367" s="110"/>
      <c r="HCJ1367" s="110"/>
      <c r="HCK1367" s="110"/>
      <c r="HCL1367" s="110"/>
      <c r="HCM1367" s="110"/>
      <c r="HCN1367" s="110"/>
      <c r="HCO1367" s="110"/>
      <c r="HCP1367" s="110"/>
      <c r="HCQ1367" s="110"/>
      <c r="HCR1367" s="110"/>
      <c r="HCS1367" s="110"/>
      <c r="HCT1367" s="110"/>
      <c r="HCU1367" s="110"/>
      <c r="HCV1367" s="110"/>
      <c r="HCW1367" s="110"/>
      <c r="HCX1367" s="110"/>
      <c r="HCY1367" s="110"/>
      <c r="HCZ1367" s="110"/>
      <c r="HDA1367" s="110"/>
      <c r="HDB1367" s="110"/>
      <c r="HDC1367" s="110"/>
      <c r="HDD1367" s="110"/>
      <c r="HDE1367" s="110"/>
      <c r="HDF1367" s="110"/>
      <c r="HDG1367" s="110"/>
      <c r="HDH1367" s="110"/>
      <c r="HDI1367" s="110"/>
      <c r="HDJ1367" s="110"/>
      <c r="HDK1367" s="110"/>
      <c r="HDL1367" s="110"/>
      <c r="HDM1367" s="110"/>
      <c r="HDN1367" s="110"/>
      <c r="HDO1367" s="110"/>
      <c r="HDP1367" s="110"/>
      <c r="HDQ1367" s="110"/>
      <c r="HDR1367" s="110"/>
      <c r="HDS1367" s="110"/>
      <c r="HDT1367" s="110"/>
      <c r="HDU1367" s="110"/>
      <c r="HDV1367" s="110"/>
      <c r="HDW1367" s="110"/>
      <c r="HDX1367" s="110"/>
      <c r="HDY1367" s="110"/>
      <c r="HDZ1367" s="110"/>
      <c r="HEA1367" s="110"/>
      <c r="HEB1367" s="110"/>
      <c r="HEC1367" s="110"/>
      <c r="HED1367" s="110"/>
      <c r="HEE1367" s="110"/>
      <c r="HEF1367" s="110"/>
      <c r="HEG1367" s="110"/>
      <c r="HEH1367" s="110"/>
      <c r="HEI1367" s="110"/>
      <c r="HEJ1367" s="110"/>
      <c r="HEK1367" s="110"/>
      <c r="HEL1367" s="110"/>
      <c r="HEM1367" s="110"/>
      <c r="HEN1367" s="110"/>
      <c r="HEO1367" s="110"/>
      <c r="HEP1367" s="110"/>
      <c r="HEQ1367" s="110"/>
      <c r="HER1367" s="110"/>
      <c r="HES1367" s="110"/>
      <c r="HET1367" s="110"/>
      <c r="HEU1367" s="110"/>
      <c r="HEV1367" s="110"/>
      <c r="HEW1367" s="110"/>
      <c r="HEX1367" s="110"/>
      <c r="HEY1367" s="110"/>
      <c r="HEZ1367" s="110"/>
      <c r="HFA1367" s="110"/>
      <c r="HFB1367" s="110"/>
      <c r="HFC1367" s="110"/>
      <c r="HFD1367" s="110"/>
      <c r="HFE1367" s="110"/>
      <c r="HFF1367" s="110"/>
      <c r="HFG1367" s="110"/>
      <c r="HFH1367" s="110"/>
      <c r="HFI1367" s="110"/>
      <c r="HFJ1367" s="110"/>
      <c r="HFK1367" s="110"/>
      <c r="HFL1367" s="110"/>
      <c r="HFM1367" s="110"/>
      <c r="HFN1367" s="110"/>
      <c r="HFO1367" s="110"/>
      <c r="HFP1367" s="110"/>
      <c r="HFQ1367" s="110"/>
      <c r="HFR1367" s="110"/>
      <c r="HFS1367" s="110"/>
      <c r="HFT1367" s="110"/>
      <c r="HFU1367" s="110"/>
      <c r="HFV1367" s="110"/>
      <c r="HFW1367" s="110"/>
      <c r="HFX1367" s="110"/>
      <c r="HFY1367" s="110"/>
      <c r="HFZ1367" s="110"/>
      <c r="HGA1367" s="110"/>
      <c r="HGB1367" s="110"/>
      <c r="HGC1367" s="110"/>
      <c r="HGD1367" s="110"/>
      <c r="HGE1367" s="110"/>
      <c r="HGF1367" s="110"/>
      <c r="HGG1367" s="110"/>
      <c r="HGH1367" s="110"/>
      <c r="HGI1367" s="110"/>
      <c r="HGJ1367" s="110"/>
      <c r="HGK1367" s="110"/>
      <c r="HGL1367" s="110"/>
      <c r="HGM1367" s="110"/>
      <c r="HGN1367" s="110"/>
      <c r="HGO1367" s="110"/>
      <c r="HGP1367" s="110"/>
      <c r="HGQ1367" s="110"/>
      <c r="HGR1367" s="110"/>
      <c r="HGS1367" s="110"/>
      <c r="HGT1367" s="110"/>
      <c r="HGU1367" s="110"/>
      <c r="HGV1367" s="110"/>
      <c r="HGW1367" s="110"/>
      <c r="HGX1367" s="110"/>
      <c r="HGY1367" s="110"/>
      <c r="HGZ1367" s="110"/>
      <c r="HHA1367" s="110"/>
      <c r="HHB1367" s="110"/>
      <c r="HHC1367" s="110"/>
      <c r="HHD1367" s="110"/>
      <c r="HHE1367" s="110"/>
      <c r="HHF1367" s="110"/>
      <c r="HHG1367" s="110"/>
      <c r="HHH1367" s="110"/>
      <c r="HHI1367" s="110"/>
      <c r="HHJ1367" s="110"/>
      <c r="HHK1367" s="110"/>
      <c r="HHL1367" s="110"/>
      <c r="HHM1367" s="110"/>
      <c r="HHN1367" s="110"/>
      <c r="HHO1367" s="110"/>
      <c r="HHP1367" s="110"/>
      <c r="HHQ1367" s="110"/>
      <c r="HHR1367" s="110"/>
      <c r="HHS1367" s="110"/>
      <c r="HHT1367" s="110"/>
      <c r="HHU1367" s="110"/>
      <c r="HHV1367" s="110"/>
      <c r="HHW1367" s="110"/>
      <c r="HHX1367" s="110"/>
      <c r="HHY1367" s="110"/>
      <c r="HHZ1367" s="110"/>
      <c r="HIA1367" s="110"/>
      <c r="HIB1367" s="110"/>
      <c r="HIC1367" s="110"/>
      <c r="HID1367" s="110"/>
      <c r="HIE1367" s="110"/>
      <c r="HIF1367" s="110"/>
      <c r="HIG1367" s="110"/>
      <c r="HIH1367" s="110"/>
      <c r="HII1367" s="110"/>
      <c r="HIJ1367" s="110"/>
      <c r="HIK1367" s="110"/>
      <c r="HIL1367" s="110"/>
      <c r="HIM1367" s="110"/>
      <c r="HIN1367" s="110"/>
      <c r="HIO1367" s="110"/>
      <c r="HIP1367" s="110"/>
      <c r="HIQ1367" s="110"/>
      <c r="HIR1367" s="110"/>
      <c r="HIS1367" s="110"/>
      <c r="HIT1367" s="110"/>
      <c r="HIU1367" s="110"/>
      <c r="HIV1367" s="110"/>
      <c r="HIW1367" s="110"/>
      <c r="HIX1367" s="110"/>
      <c r="HIY1367" s="110"/>
      <c r="HIZ1367" s="110"/>
      <c r="HJA1367" s="110"/>
      <c r="HJB1367" s="110"/>
      <c r="HJC1367" s="110"/>
      <c r="HJD1367" s="110"/>
      <c r="HJE1367" s="110"/>
      <c r="HJF1367" s="110"/>
      <c r="HJG1367" s="110"/>
      <c r="HJH1367" s="110"/>
      <c r="HJI1367" s="110"/>
      <c r="HJJ1367" s="110"/>
      <c r="HJK1367" s="110"/>
      <c r="HJL1367" s="110"/>
      <c r="HJM1367" s="110"/>
      <c r="HJN1367" s="110"/>
      <c r="HJO1367" s="110"/>
      <c r="HJP1367" s="110"/>
      <c r="HJQ1367" s="110"/>
      <c r="HJR1367" s="110"/>
      <c r="HJS1367" s="110"/>
      <c r="HJT1367" s="110"/>
      <c r="HJU1367" s="110"/>
      <c r="HJV1367" s="110"/>
      <c r="HJW1367" s="110"/>
      <c r="HJX1367" s="110"/>
      <c r="HJY1367" s="110"/>
      <c r="HJZ1367" s="110"/>
      <c r="HKA1367" s="110"/>
      <c r="HKB1367" s="110"/>
      <c r="HKC1367" s="110"/>
      <c r="HKD1367" s="110"/>
      <c r="HKE1367" s="110"/>
      <c r="HKF1367" s="110"/>
      <c r="HKG1367" s="110"/>
      <c r="HKH1367" s="110"/>
      <c r="HKI1367" s="110"/>
      <c r="HKJ1367" s="110"/>
      <c r="HKK1367" s="110"/>
      <c r="HKL1367" s="110"/>
      <c r="HKM1367" s="110"/>
      <c r="HKN1367" s="110"/>
      <c r="HKO1367" s="110"/>
      <c r="HKP1367" s="110"/>
      <c r="HKQ1367" s="110"/>
      <c r="HKR1367" s="110"/>
      <c r="HKS1367" s="110"/>
      <c r="HKT1367" s="110"/>
      <c r="HKU1367" s="110"/>
      <c r="HKV1367" s="110"/>
      <c r="HKW1367" s="110"/>
      <c r="HKX1367" s="110"/>
      <c r="HKY1367" s="110"/>
      <c r="HKZ1367" s="110"/>
      <c r="HLA1367" s="110"/>
      <c r="HLB1367" s="110"/>
      <c r="HLC1367" s="110"/>
      <c r="HLD1367" s="110"/>
      <c r="HLE1367" s="110"/>
      <c r="HLF1367" s="110"/>
      <c r="HLG1367" s="110"/>
      <c r="HLH1367" s="110"/>
      <c r="HLI1367" s="110"/>
      <c r="HLJ1367" s="110"/>
      <c r="HLK1367" s="110"/>
      <c r="HLL1367" s="110"/>
      <c r="HLM1367" s="110"/>
      <c r="HLN1367" s="110"/>
      <c r="HLO1367" s="110"/>
      <c r="HLP1367" s="110"/>
      <c r="HLQ1367" s="110"/>
      <c r="HLR1367" s="110"/>
      <c r="HLS1367" s="110"/>
      <c r="HLT1367" s="110"/>
      <c r="HLU1367" s="110"/>
      <c r="HLV1367" s="110"/>
      <c r="HLW1367" s="110"/>
      <c r="HLX1367" s="110"/>
      <c r="HLY1367" s="110"/>
      <c r="HLZ1367" s="110"/>
      <c r="HMA1367" s="110"/>
      <c r="HMB1367" s="110"/>
      <c r="HMC1367" s="110"/>
      <c r="HMD1367" s="110"/>
      <c r="HME1367" s="110"/>
      <c r="HMF1367" s="110"/>
      <c r="HMG1367" s="110"/>
      <c r="HMH1367" s="110"/>
      <c r="HMI1367" s="110"/>
      <c r="HMJ1367" s="110"/>
      <c r="HMK1367" s="110"/>
      <c r="HML1367" s="110"/>
      <c r="HMM1367" s="110"/>
      <c r="HMN1367" s="110"/>
      <c r="HMO1367" s="110"/>
      <c r="HMP1367" s="110"/>
      <c r="HMQ1367" s="110"/>
      <c r="HMR1367" s="110"/>
      <c r="HMS1367" s="110"/>
      <c r="HMT1367" s="110"/>
      <c r="HMU1367" s="110"/>
      <c r="HMV1367" s="110"/>
      <c r="HMW1367" s="110"/>
      <c r="HMX1367" s="110"/>
      <c r="HMY1367" s="110"/>
      <c r="HMZ1367" s="110"/>
      <c r="HNA1367" s="110"/>
      <c r="HNB1367" s="110"/>
      <c r="HNC1367" s="110"/>
      <c r="HND1367" s="110"/>
      <c r="HNE1367" s="110"/>
      <c r="HNF1367" s="110"/>
      <c r="HNG1367" s="110"/>
      <c r="HNH1367" s="110"/>
      <c r="HNI1367" s="110"/>
      <c r="HNJ1367" s="110"/>
      <c r="HNK1367" s="110"/>
      <c r="HNL1367" s="110"/>
      <c r="HNM1367" s="110"/>
      <c r="HNN1367" s="110"/>
      <c r="HNO1367" s="110"/>
      <c r="HNP1367" s="110"/>
      <c r="HNQ1367" s="110"/>
      <c r="HNR1367" s="110"/>
      <c r="HNS1367" s="110"/>
      <c r="HNT1367" s="110"/>
      <c r="HNU1367" s="110"/>
      <c r="HNV1367" s="110"/>
      <c r="HNW1367" s="110"/>
      <c r="HNX1367" s="110"/>
      <c r="HNY1367" s="110"/>
      <c r="HNZ1367" s="110"/>
      <c r="HOA1367" s="110"/>
      <c r="HOB1367" s="110"/>
      <c r="HOC1367" s="110"/>
      <c r="HOD1367" s="110"/>
      <c r="HOE1367" s="110"/>
      <c r="HOF1367" s="110"/>
      <c r="HOG1367" s="110"/>
      <c r="HOH1367" s="110"/>
      <c r="HOI1367" s="110"/>
      <c r="HOJ1367" s="110"/>
      <c r="HOK1367" s="110"/>
      <c r="HOL1367" s="110"/>
      <c r="HOM1367" s="110"/>
      <c r="HON1367" s="110"/>
      <c r="HOO1367" s="110"/>
      <c r="HOP1367" s="110"/>
      <c r="HOQ1367" s="110"/>
      <c r="HOR1367" s="110"/>
      <c r="HOS1367" s="110"/>
      <c r="HOT1367" s="110"/>
      <c r="HOU1367" s="110"/>
      <c r="HOV1367" s="110"/>
      <c r="HOW1367" s="110"/>
      <c r="HOX1367" s="110"/>
      <c r="HOY1367" s="110"/>
      <c r="HOZ1367" s="110"/>
      <c r="HPA1367" s="110"/>
      <c r="HPB1367" s="110"/>
      <c r="HPC1367" s="110"/>
      <c r="HPD1367" s="110"/>
      <c r="HPE1367" s="110"/>
      <c r="HPF1367" s="110"/>
      <c r="HPG1367" s="110"/>
      <c r="HPH1367" s="110"/>
      <c r="HPI1367" s="110"/>
      <c r="HPJ1367" s="110"/>
      <c r="HPK1367" s="110"/>
      <c r="HPL1367" s="110"/>
      <c r="HPM1367" s="110"/>
      <c r="HPN1367" s="110"/>
      <c r="HPO1367" s="110"/>
      <c r="HPP1367" s="110"/>
      <c r="HPQ1367" s="110"/>
      <c r="HPR1367" s="110"/>
      <c r="HPS1367" s="110"/>
      <c r="HPT1367" s="110"/>
      <c r="HPU1367" s="110"/>
      <c r="HPV1367" s="110"/>
      <c r="HPW1367" s="110"/>
      <c r="HPX1367" s="110"/>
      <c r="HPY1367" s="110"/>
      <c r="HPZ1367" s="110"/>
      <c r="HQA1367" s="110"/>
      <c r="HQB1367" s="110"/>
      <c r="HQC1367" s="110"/>
      <c r="HQD1367" s="110"/>
      <c r="HQE1367" s="110"/>
      <c r="HQF1367" s="110"/>
      <c r="HQG1367" s="110"/>
      <c r="HQH1367" s="110"/>
      <c r="HQI1367" s="110"/>
      <c r="HQJ1367" s="110"/>
      <c r="HQK1367" s="110"/>
      <c r="HQL1367" s="110"/>
      <c r="HQM1367" s="110"/>
      <c r="HQN1367" s="110"/>
      <c r="HQO1367" s="110"/>
      <c r="HQP1367" s="110"/>
      <c r="HQQ1367" s="110"/>
      <c r="HQR1367" s="110"/>
      <c r="HQS1367" s="110"/>
      <c r="HQT1367" s="110"/>
      <c r="HQU1367" s="110"/>
      <c r="HQV1367" s="110"/>
      <c r="HQW1367" s="110"/>
      <c r="HQX1367" s="110"/>
      <c r="HQY1367" s="110"/>
      <c r="HQZ1367" s="110"/>
      <c r="HRA1367" s="110"/>
      <c r="HRB1367" s="110"/>
      <c r="HRC1367" s="110"/>
      <c r="HRD1367" s="110"/>
      <c r="HRE1367" s="110"/>
      <c r="HRF1367" s="110"/>
      <c r="HRG1367" s="110"/>
      <c r="HRH1367" s="110"/>
      <c r="HRI1367" s="110"/>
      <c r="HRJ1367" s="110"/>
      <c r="HRK1367" s="110"/>
      <c r="HRL1367" s="110"/>
      <c r="HRM1367" s="110"/>
      <c r="HRN1367" s="110"/>
      <c r="HRO1367" s="110"/>
      <c r="HRP1367" s="110"/>
      <c r="HRQ1367" s="110"/>
      <c r="HRR1367" s="110"/>
      <c r="HRS1367" s="110"/>
      <c r="HRT1367" s="110"/>
      <c r="HRU1367" s="110"/>
      <c r="HRV1367" s="110"/>
      <c r="HRW1367" s="110"/>
      <c r="HRX1367" s="110"/>
      <c r="HRY1367" s="110"/>
      <c r="HRZ1367" s="110"/>
      <c r="HSA1367" s="110"/>
      <c r="HSB1367" s="110"/>
      <c r="HSC1367" s="110"/>
      <c r="HSD1367" s="110"/>
      <c r="HSE1367" s="110"/>
      <c r="HSF1367" s="110"/>
      <c r="HSG1367" s="110"/>
      <c r="HSH1367" s="110"/>
      <c r="HSI1367" s="110"/>
      <c r="HSJ1367" s="110"/>
      <c r="HSK1367" s="110"/>
      <c r="HSL1367" s="110"/>
      <c r="HSM1367" s="110"/>
      <c r="HSN1367" s="110"/>
      <c r="HSO1367" s="110"/>
      <c r="HSP1367" s="110"/>
      <c r="HSQ1367" s="110"/>
      <c r="HSR1367" s="110"/>
      <c r="HSS1367" s="110"/>
      <c r="HST1367" s="110"/>
      <c r="HSU1367" s="110"/>
      <c r="HSV1367" s="110"/>
      <c r="HSW1367" s="110"/>
      <c r="HSX1367" s="110"/>
      <c r="HSY1367" s="110"/>
      <c r="HSZ1367" s="110"/>
      <c r="HTA1367" s="110"/>
      <c r="HTB1367" s="110"/>
      <c r="HTC1367" s="110"/>
      <c r="HTD1367" s="110"/>
      <c r="HTE1367" s="110"/>
      <c r="HTF1367" s="110"/>
      <c r="HTG1367" s="110"/>
      <c r="HTH1367" s="110"/>
      <c r="HTI1367" s="110"/>
      <c r="HTJ1367" s="110"/>
      <c r="HTK1367" s="110"/>
      <c r="HTL1367" s="110"/>
      <c r="HTM1367" s="110"/>
      <c r="HTN1367" s="110"/>
      <c r="HTO1367" s="110"/>
      <c r="HTP1367" s="110"/>
      <c r="HTQ1367" s="110"/>
      <c r="HTR1367" s="110"/>
      <c r="HTS1367" s="110"/>
      <c r="HTT1367" s="110"/>
      <c r="HTU1367" s="110"/>
      <c r="HTV1367" s="110"/>
      <c r="HTW1367" s="110"/>
      <c r="HTX1367" s="110"/>
      <c r="HTY1367" s="110"/>
      <c r="HTZ1367" s="110"/>
      <c r="HUA1367" s="110"/>
      <c r="HUB1367" s="110"/>
      <c r="HUC1367" s="110"/>
      <c r="HUD1367" s="110"/>
      <c r="HUE1367" s="110"/>
      <c r="HUF1367" s="110"/>
      <c r="HUG1367" s="110"/>
      <c r="HUH1367" s="110"/>
      <c r="HUI1367" s="110"/>
      <c r="HUJ1367" s="110"/>
      <c r="HUK1367" s="110"/>
      <c r="HUL1367" s="110"/>
      <c r="HUM1367" s="110"/>
      <c r="HUN1367" s="110"/>
      <c r="HUO1367" s="110"/>
      <c r="HUP1367" s="110"/>
      <c r="HUQ1367" s="110"/>
      <c r="HUR1367" s="110"/>
      <c r="HUS1367" s="110"/>
      <c r="HUT1367" s="110"/>
      <c r="HUU1367" s="110"/>
      <c r="HUV1367" s="110"/>
      <c r="HUW1367" s="110"/>
      <c r="HUX1367" s="110"/>
      <c r="HUY1367" s="110"/>
      <c r="HUZ1367" s="110"/>
      <c r="HVA1367" s="110"/>
      <c r="HVB1367" s="110"/>
      <c r="HVC1367" s="110"/>
      <c r="HVD1367" s="110"/>
      <c r="HVE1367" s="110"/>
      <c r="HVF1367" s="110"/>
      <c r="HVG1367" s="110"/>
      <c r="HVH1367" s="110"/>
      <c r="HVI1367" s="110"/>
      <c r="HVJ1367" s="110"/>
      <c r="HVK1367" s="110"/>
      <c r="HVL1367" s="110"/>
      <c r="HVM1367" s="110"/>
      <c r="HVN1367" s="110"/>
      <c r="HVO1367" s="110"/>
      <c r="HVP1367" s="110"/>
      <c r="HVQ1367" s="110"/>
      <c r="HVR1367" s="110"/>
      <c r="HVS1367" s="110"/>
      <c r="HVT1367" s="110"/>
      <c r="HVU1367" s="110"/>
      <c r="HVV1367" s="110"/>
      <c r="HVW1367" s="110"/>
      <c r="HVX1367" s="110"/>
      <c r="HVY1367" s="110"/>
      <c r="HVZ1367" s="110"/>
      <c r="HWA1367" s="110"/>
      <c r="HWB1367" s="110"/>
      <c r="HWC1367" s="110"/>
      <c r="HWD1367" s="110"/>
      <c r="HWE1367" s="110"/>
      <c r="HWF1367" s="110"/>
      <c r="HWG1367" s="110"/>
      <c r="HWH1367" s="110"/>
      <c r="HWI1367" s="110"/>
      <c r="HWJ1367" s="110"/>
      <c r="HWK1367" s="110"/>
      <c r="HWL1367" s="110"/>
      <c r="HWM1367" s="110"/>
      <c r="HWN1367" s="110"/>
      <c r="HWO1367" s="110"/>
      <c r="HWP1367" s="110"/>
      <c r="HWQ1367" s="110"/>
      <c r="HWR1367" s="110"/>
      <c r="HWS1367" s="110"/>
      <c r="HWT1367" s="110"/>
      <c r="HWU1367" s="110"/>
      <c r="HWV1367" s="110"/>
      <c r="HWW1367" s="110"/>
      <c r="HWX1367" s="110"/>
      <c r="HWY1367" s="110"/>
      <c r="HWZ1367" s="110"/>
      <c r="HXA1367" s="110"/>
      <c r="HXB1367" s="110"/>
      <c r="HXC1367" s="110"/>
      <c r="HXD1367" s="110"/>
      <c r="HXE1367" s="110"/>
      <c r="HXF1367" s="110"/>
      <c r="HXG1367" s="110"/>
      <c r="HXH1367" s="110"/>
      <c r="HXI1367" s="110"/>
      <c r="HXJ1367" s="110"/>
      <c r="HXK1367" s="110"/>
      <c r="HXL1367" s="110"/>
      <c r="HXM1367" s="110"/>
      <c r="HXN1367" s="110"/>
      <c r="HXO1367" s="110"/>
      <c r="HXP1367" s="110"/>
      <c r="HXQ1367" s="110"/>
      <c r="HXR1367" s="110"/>
      <c r="HXS1367" s="110"/>
      <c r="HXT1367" s="110"/>
      <c r="HXU1367" s="110"/>
      <c r="HXV1367" s="110"/>
      <c r="HXW1367" s="110"/>
      <c r="HXX1367" s="110"/>
      <c r="HXY1367" s="110"/>
      <c r="HXZ1367" s="110"/>
      <c r="HYA1367" s="110"/>
      <c r="HYB1367" s="110"/>
      <c r="HYC1367" s="110"/>
      <c r="HYD1367" s="110"/>
      <c r="HYE1367" s="110"/>
      <c r="HYF1367" s="110"/>
      <c r="HYG1367" s="110"/>
      <c r="HYH1367" s="110"/>
      <c r="HYI1367" s="110"/>
      <c r="HYJ1367" s="110"/>
      <c r="HYK1367" s="110"/>
      <c r="HYL1367" s="110"/>
      <c r="HYM1367" s="110"/>
      <c r="HYN1367" s="110"/>
      <c r="HYO1367" s="110"/>
      <c r="HYP1367" s="110"/>
      <c r="HYQ1367" s="110"/>
      <c r="HYR1367" s="110"/>
      <c r="HYS1367" s="110"/>
      <c r="HYT1367" s="110"/>
      <c r="HYU1367" s="110"/>
      <c r="HYV1367" s="110"/>
      <c r="HYW1367" s="110"/>
      <c r="HYX1367" s="110"/>
      <c r="HYY1367" s="110"/>
      <c r="HYZ1367" s="110"/>
      <c r="HZA1367" s="110"/>
      <c r="HZB1367" s="110"/>
      <c r="HZC1367" s="110"/>
      <c r="HZD1367" s="110"/>
      <c r="HZE1367" s="110"/>
      <c r="HZF1367" s="110"/>
      <c r="HZG1367" s="110"/>
      <c r="HZH1367" s="110"/>
      <c r="HZI1367" s="110"/>
      <c r="HZJ1367" s="110"/>
      <c r="HZK1367" s="110"/>
      <c r="HZL1367" s="110"/>
      <c r="HZM1367" s="110"/>
      <c r="HZN1367" s="110"/>
      <c r="HZO1367" s="110"/>
      <c r="HZP1367" s="110"/>
      <c r="HZQ1367" s="110"/>
      <c r="HZR1367" s="110"/>
      <c r="HZS1367" s="110"/>
      <c r="HZT1367" s="110"/>
      <c r="HZU1367" s="110"/>
      <c r="HZV1367" s="110"/>
      <c r="HZW1367" s="110"/>
      <c r="HZX1367" s="110"/>
      <c r="HZY1367" s="110"/>
      <c r="HZZ1367" s="110"/>
      <c r="IAA1367" s="110"/>
      <c r="IAB1367" s="110"/>
      <c r="IAC1367" s="110"/>
      <c r="IAD1367" s="110"/>
      <c r="IAE1367" s="110"/>
      <c r="IAF1367" s="110"/>
      <c r="IAG1367" s="110"/>
      <c r="IAH1367" s="110"/>
      <c r="IAI1367" s="110"/>
      <c r="IAJ1367" s="110"/>
      <c r="IAK1367" s="110"/>
      <c r="IAL1367" s="110"/>
      <c r="IAM1367" s="110"/>
      <c r="IAN1367" s="110"/>
      <c r="IAO1367" s="110"/>
      <c r="IAP1367" s="110"/>
      <c r="IAQ1367" s="110"/>
      <c r="IAR1367" s="110"/>
      <c r="IAS1367" s="110"/>
      <c r="IAT1367" s="110"/>
      <c r="IAU1367" s="110"/>
      <c r="IAV1367" s="110"/>
      <c r="IAW1367" s="110"/>
      <c r="IAX1367" s="110"/>
      <c r="IAY1367" s="110"/>
      <c r="IAZ1367" s="110"/>
      <c r="IBA1367" s="110"/>
      <c r="IBB1367" s="110"/>
      <c r="IBC1367" s="110"/>
      <c r="IBD1367" s="110"/>
      <c r="IBE1367" s="110"/>
      <c r="IBF1367" s="110"/>
      <c r="IBG1367" s="110"/>
      <c r="IBH1367" s="110"/>
      <c r="IBI1367" s="110"/>
      <c r="IBJ1367" s="110"/>
      <c r="IBK1367" s="110"/>
      <c r="IBL1367" s="110"/>
      <c r="IBM1367" s="110"/>
      <c r="IBN1367" s="110"/>
      <c r="IBO1367" s="110"/>
      <c r="IBP1367" s="110"/>
      <c r="IBQ1367" s="110"/>
      <c r="IBR1367" s="110"/>
      <c r="IBS1367" s="110"/>
      <c r="IBT1367" s="110"/>
      <c r="IBU1367" s="110"/>
      <c r="IBV1367" s="110"/>
      <c r="IBW1367" s="110"/>
      <c r="IBX1367" s="110"/>
      <c r="IBY1367" s="110"/>
      <c r="IBZ1367" s="110"/>
      <c r="ICA1367" s="110"/>
      <c r="ICB1367" s="110"/>
      <c r="ICC1367" s="110"/>
      <c r="ICD1367" s="110"/>
      <c r="ICE1367" s="110"/>
      <c r="ICF1367" s="110"/>
      <c r="ICG1367" s="110"/>
      <c r="ICH1367" s="110"/>
      <c r="ICI1367" s="110"/>
      <c r="ICJ1367" s="110"/>
      <c r="ICK1367" s="110"/>
      <c r="ICL1367" s="110"/>
      <c r="ICM1367" s="110"/>
      <c r="ICN1367" s="110"/>
      <c r="ICO1367" s="110"/>
      <c r="ICP1367" s="110"/>
      <c r="ICQ1367" s="110"/>
      <c r="ICR1367" s="110"/>
      <c r="ICS1367" s="110"/>
      <c r="ICT1367" s="110"/>
      <c r="ICU1367" s="110"/>
      <c r="ICV1367" s="110"/>
      <c r="ICW1367" s="110"/>
      <c r="ICX1367" s="110"/>
      <c r="ICY1367" s="110"/>
      <c r="ICZ1367" s="110"/>
      <c r="IDA1367" s="110"/>
      <c r="IDB1367" s="110"/>
      <c r="IDC1367" s="110"/>
      <c r="IDD1367" s="110"/>
      <c r="IDE1367" s="110"/>
      <c r="IDF1367" s="110"/>
      <c r="IDG1367" s="110"/>
      <c r="IDH1367" s="110"/>
      <c r="IDI1367" s="110"/>
      <c r="IDJ1367" s="110"/>
      <c r="IDK1367" s="110"/>
      <c r="IDL1367" s="110"/>
      <c r="IDM1367" s="110"/>
      <c r="IDN1367" s="110"/>
      <c r="IDO1367" s="110"/>
      <c r="IDP1367" s="110"/>
      <c r="IDQ1367" s="110"/>
      <c r="IDR1367" s="110"/>
      <c r="IDS1367" s="110"/>
      <c r="IDT1367" s="110"/>
      <c r="IDU1367" s="110"/>
      <c r="IDV1367" s="110"/>
      <c r="IDW1367" s="110"/>
      <c r="IDX1367" s="110"/>
      <c r="IDY1367" s="110"/>
      <c r="IDZ1367" s="110"/>
      <c r="IEA1367" s="110"/>
      <c r="IEB1367" s="110"/>
      <c r="IEC1367" s="110"/>
      <c r="IED1367" s="110"/>
      <c r="IEE1367" s="110"/>
      <c r="IEF1367" s="110"/>
      <c r="IEG1367" s="110"/>
      <c r="IEH1367" s="110"/>
      <c r="IEI1367" s="110"/>
      <c r="IEJ1367" s="110"/>
      <c r="IEK1367" s="110"/>
      <c r="IEL1367" s="110"/>
      <c r="IEM1367" s="110"/>
      <c r="IEN1367" s="110"/>
      <c r="IEO1367" s="110"/>
      <c r="IEP1367" s="110"/>
      <c r="IEQ1367" s="110"/>
      <c r="IER1367" s="110"/>
      <c r="IES1367" s="110"/>
      <c r="IET1367" s="110"/>
      <c r="IEU1367" s="110"/>
      <c r="IEV1367" s="110"/>
      <c r="IEW1367" s="110"/>
      <c r="IEX1367" s="110"/>
      <c r="IEY1367" s="110"/>
      <c r="IEZ1367" s="110"/>
      <c r="IFA1367" s="110"/>
      <c r="IFB1367" s="110"/>
      <c r="IFC1367" s="110"/>
      <c r="IFD1367" s="110"/>
      <c r="IFE1367" s="110"/>
      <c r="IFF1367" s="110"/>
      <c r="IFG1367" s="110"/>
      <c r="IFH1367" s="110"/>
      <c r="IFI1367" s="110"/>
      <c r="IFJ1367" s="110"/>
      <c r="IFK1367" s="110"/>
      <c r="IFL1367" s="110"/>
      <c r="IFM1367" s="110"/>
      <c r="IFN1367" s="110"/>
      <c r="IFO1367" s="110"/>
      <c r="IFP1367" s="110"/>
      <c r="IFQ1367" s="110"/>
      <c r="IFR1367" s="110"/>
      <c r="IFS1367" s="110"/>
      <c r="IFT1367" s="110"/>
      <c r="IFU1367" s="110"/>
      <c r="IFV1367" s="110"/>
      <c r="IFW1367" s="110"/>
      <c r="IFX1367" s="110"/>
      <c r="IFY1367" s="110"/>
      <c r="IFZ1367" s="110"/>
      <c r="IGA1367" s="110"/>
      <c r="IGB1367" s="110"/>
      <c r="IGC1367" s="110"/>
      <c r="IGD1367" s="110"/>
      <c r="IGE1367" s="110"/>
      <c r="IGF1367" s="110"/>
      <c r="IGG1367" s="110"/>
      <c r="IGH1367" s="110"/>
      <c r="IGI1367" s="110"/>
      <c r="IGJ1367" s="110"/>
      <c r="IGK1367" s="110"/>
      <c r="IGL1367" s="110"/>
      <c r="IGM1367" s="110"/>
      <c r="IGN1367" s="110"/>
      <c r="IGO1367" s="110"/>
      <c r="IGP1367" s="110"/>
      <c r="IGQ1367" s="110"/>
      <c r="IGR1367" s="110"/>
      <c r="IGS1367" s="110"/>
      <c r="IGT1367" s="110"/>
      <c r="IGU1367" s="110"/>
      <c r="IGV1367" s="110"/>
      <c r="IGW1367" s="110"/>
      <c r="IGX1367" s="110"/>
      <c r="IGY1367" s="110"/>
      <c r="IGZ1367" s="110"/>
      <c r="IHA1367" s="110"/>
      <c r="IHB1367" s="110"/>
      <c r="IHC1367" s="110"/>
      <c r="IHD1367" s="110"/>
      <c r="IHE1367" s="110"/>
      <c r="IHF1367" s="110"/>
      <c r="IHG1367" s="110"/>
      <c r="IHH1367" s="110"/>
      <c r="IHI1367" s="110"/>
      <c r="IHJ1367" s="110"/>
      <c r="IHK1367" s="110"/>
      <c r="IHL1367" s="110"/>
      <c r="IHM1367" s="110"/>
      <c r="IHN1367" s="110"/>
      <c r="IHO1367" s="110"/>
      <c r="IHP1367" s="110"/>
      <c r="IHQ1367" s="110"/>
      <c r="IHR1367" s="110"/>
      <c r="IHS1367" s="110"/>
      <c r="IHT1367" s="110"/>
      <c r="IHU1367" s="110"/>
      <c r="IHV1367" s="110"/>
      <c r="IHW1367" s="110"/>
      <c r="IHX1367" s="110"/>
      <c r="IHY1367" s="110"/>
      <c r="IHZ1367" s="110"/>
      <c r="IIA1367" s="110"/>
      <c r="IIB1367" s="110"/>
      <c r="IIC1367" s="110"/>
      <c r="IID1367" s="110"/>
      <c r="IIE1367" s="110"/>
      <c r="IIF1367" s="110"/>
      <c r="IIG1367" s="110"/>
      <c r="IIH1367" s="110"/>
      <c r="III1367" s="110"/>
      <c r="IIJ1367" s="110"/>
      <c r="IIK1367" s="110"/>
      <c r="IIL1367" s="110"/>
      <c r="IIM1367" s="110"/>
      <c r="IIN1367" s="110"/>
      <c r="IIO1367" s="110"/>
      <c r="IIP1367" s="110"/>
      <c r="IIQ1367" s="110"/>
      <c r="IIR1367" s="110"/>
      <c r="IIS1367" s="110"/>
      <c r="IIT1367" s="110"/>
      <c r="IIU1367" s="110"/>
      <c r="IIV1367" s="110"/>
      <c r="IIW1367" s="110"/>
      <c r="IIX1367" s="110"/>
      <c r="IIY1367" s="110"/>
      <c r="IIZ1367" s="110"/>
      <c r="IJA1367" s="110"/>
      <c r="IJB1367" s="110"/>
      <c r="IJC1367" s="110"/>
      <c r="IJD1367" s="110"/>
      <c r="IJE1367" s="110"/>
      <c r="IJF1367" s="110"/>
      <c r="IJG1367" s="110"/>
      <c r="IJH1367" s="110"/>
      <c r="IJI1367" s="110"/>
      <c r="IJJ1367" s="110"/>
      <c r="IJK1367" s="110"/>
      <c r="IJL1367" s="110"/>
      <c r="IJM1367" s="110"/>
      <c r="IJN1367" s="110"/>
      <c r="IJO1367" s="110"/>
      <c r="IJP1367" s="110"/>
      <c r="IJQ1367" s="110"/>
      <c r="IJR1367" s="110"/>
      <c r="IJS1367" s="110"/>
      <c r="IJT1367" s="110"/>
      <c r="IJU1367" s="110"/>
      <c r="IJV1367" s="110"/>
      <c r="IJW1367" s="110"/>
      <c r="IJX1367" s="110"/>
      <c r="IJY1367" s="110"/>
      <c r="IJZ1367" s="110"/>
      <c r="IKA1367" s="110"/>
      <c r="IKB1367" s="110"/>
      <c r="IKC1367" s="110"/>
      <c r="IKD1367" s="110"/>
      <c r="IKE1367" s="110"/>
      <c r="IKF1367" s="110"/>
      <c r="IKG1367" s="110"/>
      <c r="IKH1367" s="110"/>
      <c r="IKI1367" s="110"/>
      <c r="IKJ1367" s="110"/>
      <c r="IKK1367" s="110"/>
      <c r="IKL1367" s="110"/>
      <c r="IKM1367" s="110"/>
      <c r="IKN1367" s="110"/>
      <c r="IKO1367" s="110"/>
      <c r="IKP1367" s="110"/>
      <c r="IKQ1367" s="110"/>
      <c r="IKR1367" s="110"/>
      <c r="IKS1367" s="110"/>
      <c r="IKT1367" s="110"/>
      <c r="IKU1367" s="110"/>
      <c r="IKV1367" s="110"/>
      <c r="IKW1367" s="110"/>
      <c r="IKX1367" s="110"/>
      <c r="IKY1367" s="110"/>
      <c r="IKZ1367" s="110"/>
      <c r="ILA1367" s="110"/>
      <c r="ILB1367" s="110"/>
      <c r="ILC1367" s="110"/>
      <c r="ILD1367" s="110"/>
      <c r="ILE1367" s="110"/>
      <c r="ILF1367" s="110"/>
      <c r="ILG1367" s="110"/>
      <c r="ILH1367" s="110"/>
      <c r="ILI1367" s="110"/>
      <c r="ILJ1367" s="110"/>
      <c r="ILK1367" s="110"/>
      <c r="ILL1367" s="110"/>
      <c r="ILM1367" s="110"/>
      <c r="ILN1367" s="110"/>
      <c r="ILO1367" s="110"/>
      <c r="ILP1367" s="110"/>
      <c r="ILQ1367" s="110"/>
      <c r="ILR1367" s="110"/>
      <c r="ILS1367" s="110"/>
      <c r="ILT1367" s="110"/>
      <c r="ILU1367" s="110"/>
      <c r="ILV1367" s="110"/>
      <c r="ILW1367" s="110"/>
      <c r="ILX1367" s="110"/>
      <c r="ILY1367" s="110"/>
      <c r="ILZ1367" s="110"/>
      <c r="IMA1367" s="110"/>
      <c r="IMB1367" s="110"/>
      <c r="IMC1367" s="110"/>
      <c r="IMD1367" s="110"/>
      <c r="IME1367" s="110"/>
      <c r="IMF1367" s="110"/>
      <c r="IMG1367" s="110"/>
      <c r="IMH1367" s="110"/>
      <c r="IMI1367" s="110"/>
      <c r="IMJ1367" s="110"/>
      <c r="IMK1367" s="110"/>
      <c r="IML1367" s="110"/>
      <c r="IMM1367" s="110"/>
      <c r="IMN1367" s="110"/>
      <c r="IMO1367" s="110"/>
      <c r="IMP1367" s="110"/>
      <c r="IMQ1367" s="110"/>
      <c r="IMR1367" s="110"/>
      <c r="IMS1367" s="110"/>
      <c r="IMT1367" s="110"/>
      <c r="IMU1367" s="110"/>
      <c r="IMV1367" s="110"/>
      <c r="IMW1367" s="110"/>
      <c r="IMX1367" s="110"/>
      <c r="IMY1367" s="110"/>
      <c r="IMZ1367" s="110"/>
      <c r="INA1367" s="110"/>
      <c r="INB1367" s="110"/>
      <c r="INC1367" s="110"/>
      <c r="IND1367" s="110"/>
      <c r="INE1367" s="110"/>
      <c r="INF1367" s="110"/>
      <c r="ING1367" s="110"/>
      <c r="INH1367" s="110"/>
      <c r="INI1367" s="110"/>
      <c r="INJ1367" s="110"/>
      <c r="INK1367" s="110"/>
      <c r="INL1367" s="110"/>
      <c r="INM1367" s="110"/>
      <c r="INN1367" s="110"/>
      <c r="INO1367" s="110"/>
      <c r="INP1367" s="110"/>
      <c r="INQ1367" s="110"/>
      <c r="INR1367" s="110"/>
      <c r="INS1367" s="110"/>
      <c r="INT1367" s="110"/>
      <c r="INU1367" s="110"/>
      <c r="INV1367" s="110"/>
      <c r="INW1367" s="110"/>
      <c r="INX1367" s="110"/>
      <c r="INY1367" s="110"/>
      <c r="INZ1367" s="110"/>
      <c r="IOA1367" s="110"/>
      <c r="IOB1367" s="110"/>
      <c r="IOC1367" s="110"/>
      <c r="IOD1367" s="110"/>
      <c r="IOE1367" s="110"/>
      <c r="IOF1367" s="110"/>
      <c r="IOG1367" s="110"/>
      <c r="IOH1367" s="110"/>
      <c r="IOI1367" s="110"/>
      <c r="IOJ1367" s="110"/>
      <c r="IOK1367" s="110"/>
      <c r="IOL1367" s="110"/>
      <c r="IOM1367" s="110"/>
      <c r="ION1367" s="110"/>
      <c r="IOO1367" s="110"/>
      <c r="IOP1367" s="110"/>
      <c r="IOQ1367" s="110"/>
      <c r="IOR1367" s="110"/>
      <c r="IOS1367" s="110"/>
      <c r="IOT1367" s="110"/>
      <c r="IOU1367" s="110"/>
      <c r="IOV1367" s="110"/>
      <c r="IOW1367" s="110"/>
      <c r="IOX1367" s="110"/>
      <c r="IOY1367" s="110"/>
      <c r="IOZ1367" s="110"/>
      <c r="IPA1367" s="110"/>
      <c r="IPB1367" s="110"/>
      <c r="IPC1367" s="110"/>
      <c r="IPD1367" s="110"/>
      <c r="IPE1367" s="110"/>
      <c r="IPF1367" s="110"/>
      <c r="IPG1367" s="110"/>
      <c r="IPH1367" s="110"/>
      <c r="IPI1367" s="110"/>
      <c r="IPJ1367" s="110"/>
      <c r="IPK1367" s="110"/>
      <c r="IPL1367" s="110"/>
      <c r="IPM1367" s="110"/>
      <c r="IPN1367" s="110"/>
      <c r="IPO1367" s="110"/>
      <c r="IPP1367" s="110"/>
      <c r="IPQ1367" s="110"/>
      <c r="IPR1367" s="110"/>
      <c r="IPS1367" s="110"/>
      <c r="IPT1367" s="110"/>
      <c r="IPU1367" s="110"/>
      <c r="IPV1367" s="110"/>
      <c r="IPW1367" s="110"/>
      <c r="IPX1367" s="110"/>
      <c r="IPY1367" s="110"/>
      <c r="IPZ1367" s="110"/>
      <c r="IQA1367" s="110"/>
      <c r="IQB1367" s="110"/>
      <c r="IQC1367" s="110"/>
      <c r="IQD1367" s="110"/>
      <c r="IQE1367" s="110"/>
      <c r="IQF1367" s="110"/>
      <c r="IQG1367" s="110"/>
      <c r="IQH1367" s="110"/>
      <c r="IQI1367" s="110"/>
      <c r="IQJ1367" s="110"/>
      <c r="IQK1367" s="110"/>
      <c r="IQL1367" s="110"/>
      <c r="IQM1367" s="110"/>
      <c r="IQN1367" s="110"/>
      <c r="IQO1367" s="110"/>
      <c r="IQP1367" s="110"/>
      <c r="IQQ1367" s="110"/>
      <c r="IQR1367" s="110"/>
      <c r="IQS1367" s="110"/>
      <c r="IQT1367" s="110"/>
      <c r="IQU1367" s="110"/>
      <c r="IQV1367" s="110"/>
      <c r="IQW1367" s="110"/>
      <c r="IQX1367" s="110"/>
      <c r="IQY1367" s="110"/>
      <c r="IQZ1367" s="110"/>
      <c r="IRA1367" s="110"/>
      <c r="IRB1367" s="110"/>
      <c r="IRC1367" s="110"/>
      <c r="IRD1367" s="110"/>
      <c r="IRE1367" s="110"/>
      <c r="IRF1367" s="110"/>
      <c r="IRG1367" s="110"/>
      <c r="IRH1367" s="110"/>
      <c r="IRI1367" s="110"/>
      <c r="IRJ1367" s="110"/>
      <c r="IRK1367" s="110"/>
      <c r="IRL1367" s="110"/>
      <c r="IRM1367" s="110"/>
      <c r="IRN1367" s="110"/>
      <c r="IRO1367" s="110"/>
      <c r="IRP1367" s="110"/>
      <c r="IRQ1367" s="110"/>
      <c r="IRR1367" s="110"/>
      <c r="IRS1367" s="110"/>
      <c r="IRT1367" s="110"/>
      <c r="IRU1367" s="110"/>
      <c r="IRV1367" s="110"/>
      <c r="IRW1367" s="110"/>
      <c r="IRX1367" s="110"/>
      <c r="IRY1367" s="110"/>
      <c r="IRZ1367" s="110"/>
      <c r="ISA1367" s="110"/>
      <c r="ISB1367" s="110"/>
      <c r="ISC1367" s="110"/>
      <c r="ISD1367" s="110"/>
      <c r="ISE1367" s="110"/>
      <c r="ISF1367" s="110"/>
      <c r="ISG1367" s="110"/>
      <c r="ISH1367" s="110"/>
      <c r="ISI1367" s="110"/>
      <c r="ISJ1367" s="110"/>
      <c r="ISK1367" s="110"/>
      <c r="ISL1367" s="110"/>
      <c r="ISM1367" s="110"/>
      <c r="ISN1367" s="110"/>
      <c r="ISO1367" s="110"/>
      <c r="ISP1367" s="110"/>
      <c r="ISQ1367" s="110"/>
      <c r="ISR1367" s="110"/>
      <c r="ISS1367" s="110"/>
      <c r="IST1367" s="110"/>
      <c r="ISU1367" s="110"/>
      <c r="ISV1367" s="110"/>
      <c r="ISW1367" s="110"/>
      <c r="ISX1367" s="110"/>
      <c r="ISY1367" s="110"/>
      <c r="ISZ1367" s="110"/>
      <c r="ITA1367" s="110"/>
      <c r="ITB1367" s="110"/>
      <c r="ITC1367" s="110"/>
      <c r="ITD1367" s="110"/>
      <c r="ITE1367" s="110"/>
      <c r="ITF1367" s="110"/>
      <c r="ITG1367" s="110"/>
      <c r="ITH1367" s="110"/>
      <c r="ITI1367" s="110"/>
      <c r="ITJ1367" s="110"/>
      <c r="ITK1367" s="110"/>
      <c r="ITL1367" s="110"/>
      <c r="ITM1367" s="110"/>
      <c r="ITN1367" s="110"/>
      <c r="ITO1367" s="110"/>
      <c r="ITP1367" s="110"/>
      <c r="ITQ1367" s="110"/>
      <c r="ITR1367" s="110"/>
      <c r="ITS1367" s="110"/>
      <c r="ITT1367" s="110"/>
      <c r="ITU1367" s="110"/>
      <c r="ITV1367" s="110"/>
      <c r="ITW1367" s="110"/>
      <c r="ITX1367" s="110"/>
      <c r="ITY1367" s="110"/>
      <c r="ITZ1367" s="110"/>
      <c r="IUA1367" s="110"/>
      <c r="IUB1367" s="110"/>
      <c r="IUC1367" s="110"/>
      <c r="IUD1367" s="110"/>
      <c r="IUE1367" s="110"/>
      <c r="IUF1367" s="110"/>
      <c r="IUG1367" s="110"/>
      <c r="IUH1367" s="110"/>
      <c r="IUI1367" s="110"/>
      <c r="IUJ1367" s="110"/>
      <c r="IUK1367" s="110"/>
      <c r="IUL1367" s="110"/>
      <c r="IUM1367" s="110"/>
      <c r="IUN1367" s="110"/>
      <c r="IUO1367" s="110"/>
      <c r="IUP1367" s="110"/>
      <c r="IUQ1367" s="110"/>
      <c r="IUR1367" s="110"/>
      <c r="IUS1367" s="110"/>
      <c r="IUT1367" s="110"/>
      <c r="IUU1367" s="110"/>
      <c r="IUV1367" s="110"/>
      <c r="IUW1367" s="110"/>
      <c r="IUX1367" s="110"/>
      <c r="IUY1367" s="110"/>
      <c r="IUZ1367" s="110"/>
      <c r="IVA1367" s="110"/>
      <c r="IVB1367" s="110"/>
      <c r="IVC1367" s="110"/>
      <c r="IVD1367" s="110"/>
      <c r="IVE1367" s="110"/>
      <c r="IVF1367" s="110"/>
      <c r="IVG1367" s="110"/>
      <c r="IVH1367" s="110"/>
      <c r="IVI1367" s="110"/>
      <c r="IVJ1367" s="110"/>
      <c r="IVK1367" s="110"/>
      <c r="IVL1367" s="110"/>
      <c r="IVM1367" s="110"/>
      <c r="IVN1367" s="110"/>
      <c r="IVO1367" s="110"/>
      <c r="IVP1367" s="110"/>
      <c r="IVQ1367" s="110"/>
      <c r="IVR1367" s="110"/>
      <c r="IVS1367" s="110"/>
      <c r="IVT1367" s="110"/>
      <c r="IVU1367" s="110"/>
      <c r="IVV1367" s="110"/>
      <c r="IVW1367" s="110"/>
      <c r="IVX1367" s="110"/>
      <c r="IVY1367" s="110"/>
      <c r="IVZ1367" s="110"/>
      <c r="IWA1367" s="110"/>
      <c r="IWB1367" s="110"/>
      <c r="IWC1367" s="110"/>
      <c r="IWD1367" s="110"/>
      <c r="IWE1367" s="110"/>
      <c r="IWF1367" s="110"/>
      <c r="IWG1367" s="110"/>
      <c r="IWH1367" s="110"/>
      <c r="IWI1367" s="110"/>
      <c r="IWJ1367" s="110"/>
      <c r="IWK1367" s="110"/>
      <c r="IWL1367" s="110"/>
      <c r="IWM1367" s="110"/>
      <c r="IWN1367" s="110"/>
      <c r="IWO1367" s="110"/>
      <c r="IWP1367" s="110"/>
      <c r="IWQ1367" s="110"/>
      <c r="IWR1367" s="110"/>
      <c r="IWS1367" s="110"/>
      <c r="IWT1367" s="110"/>
      <c r="IWU1367" s="110"/>
      <c r="IWV1367" s="110"/>
      <c r="IWW1367" s="110"/>
      <c r="IWX1367" s="110"/>
      <c r="IWY1367" s="110"/>
      <c r="IWZ1367" s="110"/>
      <c r="IXA1367" s="110"/>
      <c r="IXB1367" s="110"/>
      <c r="IXC1367" s="110"/>
      <c r="IXD1367" s="110"/>
      <c r="IXE1367" s="110"/>
      <c r="IXF1367" s="110"/>
      <c r="IXG1367" s="110"/>
      <c r="IXH1367" s="110"/>
      <c r="IXI1367" s="110"/>
      <c r="IXJ1367" s="110"/>
      <c r="IXK1367" s="110"/>
      <c r="IXL1367" s="110"/>
      <c r="IXM1367" s="110"/>
      <c r="IXN1367" s="110"/>
      <c r="IXO1367" s="110"/>
      <c r="IXP1367" s="110"/>
      <c r="IXQ1367" s="110"/>
      <c r="IXR1367" s="110"/>
      <c r="IXS1367" s="110"/>
      <c r="IXT1367" s="110"/>
      <c r="IXU1367" s="110"/>
      <c r="IXV1367" s="110"/>
      <c r="IXW1367" s="110"/>
      <c r="IXX1367" s="110"/>
      <c r="IXY1367" s="110"/>
      <c r="IXZ1367" s="110"/>
      <c r="IYA1367" s="110"/>
      <c r="IYB1367" s="110"/>
      <c r="IYC1367" s="110"/>
      <c r="IYD1367" s="110"/>
      <c r="IYE1367" s="110"/>
      <c r="IYF1367" s="110"/>
      <c r="IYG1367" s="110"/>
      <c r="IYH1367" s="110"/>
      <c r="IYI1367" s="110"/>
      <c r="IYJ1367" s="110"/>
      <c r="IYK1367" s="110"/>
      <c r="IYL1367" s="110"/>
      <c r="IYM1367" s="110"/>
      <c r="IYN1367" s="110"/>
      <c r="IYO1367" s="110"/>
      <c r="IYP1367" s="110"/>
      <c r="IYQ1367" s="110"/>
      <c r="IYR1367" s="110"/>
      <c r="IYS1367" s="110"/>
      <c r="IYT1367" s="110"/>
      <c r="IYU1367" s="110"/>
      <c r="IYV1367" s="110"/>
      <c r="IYW1367" s="110"/>
      <c r="IYX1367" s="110"/>
      <c r="IYY1367" s="110"/>
      <c r="IYZ1367" s="110"/>
      <c r="IZA1367" s="110"/>
      <c r="IZB1367" s="110"/>
      <c r="IZC1367" s="110"/>
      <c r="IZD1367" s="110"/>
      <c r="IZE1367" s="110"/>
      <c r="IZF1367" s="110"/>
      <c r="IZG1367" s="110"/>
      <c r="IZH1367" s="110"/>
      <c r="IZI1367" s="110"/>
      <c r="IZJ1367" s="110"/>
      <c r="IZK1367" s="110"/>
      <c r="IZL1367" s="110"/>
      <c r="IZM1367" s="110"/>
      <c r="IZN1367" s="110"/>
      <c r="IZO1367" s="110"/>
      <c r="IZP1367" s="110"/>
      <c r="IZQ1367" s="110"/>
      <c r="IZR1367" s="110"/>
      <c r="IZS1367" s="110"/>
      <c r="IZT1367" s="110"/>
      <c r="IZU1367" s="110"/>
      <c r="IZV1367" s="110"/>
      <c r="IZW1367" s="110"/>
      <c r="IZX1367" s="110"/>
      <c r="IZY1367" s="110"/>
      <c r="IZZ1367" s="110"/>
      <c r="JAA1367" s="110"/>
      <c r="JAB1367" s="110"/>
      <c r="JAC1367" s="110"/>
      <c r="JAD1367" s="110"/>
      <c r="JAE1367" s="110"/>
      <c r="JAF1367" s="110"/>
      <c r="JAG1367" s="110"/>
      <c r="JAH1367" s="110"/>
      <c r="JAI1367" s="110"/>
      <c r="JAJ1367" s="110"/>
      <c r="JAK1367" s="110"/>
      <c r="JAL1367" s="110"/>
      <c r="JAM1367" s="110"/>
      <c r="JAN1367" s="110"/>
      <c r="JAO1367" s="110"/>
      <c r="JAP1367" s="110"/>
      <c r="JAQ1367" s="110"/>
      <c r="JAR1367" s="110"/>
      <c r="JAS1367" s="110"/>
      <c r="JAT1367" s="110"/>
      <c r="JAU1367" s="110"/>
      <c r="JAV1367" s="110"/>
      <c r="JAW1367" s="110"/>
      <c r="JAX1367" s="110"/>
      <c r="JAY1367" s="110"/>
      <c r="JAZ1367" s="110"/>
      <c r="JBA1367" s="110"/>
      <c r="JBB1367" s="110"/>
      <c r="JBC1367" s="110"/>
      <c r="JBD1367" s="110"/>
      <c r="JBE1367" s="110"/>
      <c r="JBF1367" s="110"/>
      <c r="JBG1367" s="110"/>
      <c r="JBH1367" s="110"/>
      <c r="JBI1367" s="110"/>
      <c r="JBJ1367" s="110"/>
      <c r="JBK1367" s="110"/>
      <c r="JBL1367" s="110"/>
      <c r="JBM1367" s="110"/>
      <c r="JBN1367" s="110"/>
      <c r="JBO1367" s="110"/>
      <c r="JBP1367" s="110"/>
      <c r="JBQ1367" s="110"/>
      <c r="JBR1367" s="110"/>
      <c r="JBS1367" s="110"/>
      <c r="JBT1367" s="110"/>
      <c r="JBU1367" s="110"/>
      <c r="JBV1367" s="110"/>
      <c r="JBW1367" s="110"/>
      <c r="JBX1367" s="110"/>
      <c r="JBY1367" s="110"/>
      <c r="JBZ1367" s="110"/>
      <c r="JCA1367" s="110"/>
      <c r="JCB1367" s="110"/>
      <c r="JCC1367" s="110"/>
      <c r="JCD1367" s="110"/>
      <c r="JCE1367" s="110"/>
      <c r="JCF1367" s="110"/>
      <c r="JCG1367" s="110"/>
      <c r="JCH1367" s="110"/>
      <c r="JCI1367" s="110"/>
      <c r="JCJ1367" s="110"/>
      <c r="JCK1367" s="110"/>
      <c r="JCL1367" s="110"/>
      <c r="JCM1367" s="110"/>
      <c r="JCN1367" s="110"/>
      <c r="JCO1367" s="110"/>
      <c r="JCP1367" s="110"/>
      <c r="JCQ1367" s="110"/>
      <c r="JCR1367" s="110"/>
      <c r="JCS1367" s="110"/>
      <c r="JCT1367" s="110"/>
      <c r="JCU1367" s="110"/>
      <c r="JCV1367" s="110"/>
      <c r="JCW1367" s="110"/>
      <c r="JCX1367" s="110"/>
      <c r="JCY1367" s="110"/>
      <c r="JCZ1367" s="110"/>
      <c r="JDA1367" s="110"/>
      <c r="JDB1367" s="110"/>
      <c r="JDC1367" s="110"/>
      <c r="JDD1367" s="110"/>
      <c r="JDE1367" s="110"/>
      <c r="JDF1367" s="110"/>
      <c r="JDG1367" s="110"/>
      <c r="JDH1367" s="110"/>
      <c r="JDI1367" s="110"/>
      <c r="JDJ1367" s="110"/>
      <c r="JDK1367" s="110"/>
      <c r="JDL1367" s="110"/>
      <c r="JDM1367" s="110"/>
      <c r="JDN1367" s="110"/>
      <c r="JDO1367" s="110"/>
      <c r="JDP1367" s="110"/>
      <c r="JDQ1367" s="110"/>
      <c r="JDR1367" s="110"/>
      <c r="JDS1367" s="110"/>
      <c r="JDT1367" s="110"/>
      <c r="JDU1367" s="110"/>
      <c r="JDV1367" s="110"/>
      <c r="JDW1367" s="110"/>
      <c r="JDX1367" s="110"/>
      <c r="JDY1367" s="110"/>
      <c r="JDZ1367" s="110"/>
      <c r="JEA1367" s="110"/>
      <c r="JEB1367" s="110"/>
      <c r="JEC1367" s="110"/>
      <c r="JED1367" s="110"/>
      <c r="JEE1367" s="110"/>
      <c r="JEF1367" s="110"/>
      <c r="JEG1367" s="110"/>
      <c r="JEH1367" s="110"/>
      <c r="JEI1367" s="110"/>
      <c r="JEJ1367" s="110"/>
      <c r="JEK1367" s="110"/>
      <c r="JEL1367" s="110"/>
      <c r="JEM1367" s="110"/>
      <c r="JEN1367" s="110"/>
      <c r="JEO1367" s="110"/>
      <c r="JEP1367" s="110"/>
      <c r="JEQ1367" s="110"/>
      <c r="JER1367" s="110"/>
      <c r="JES1367" s="110"/>
      <c r="JET1367" s="110"/>
      <c r="JEU1367" s="110"/>
      <c r="JEV1367" s="110"/>
      <c r="JEW1367" s="110"/>
      <c r="JEX1367" s="110"/>
      <c r="JEY1367" s="110"/>
      <c r="JEZ1367" s="110"/>
      <c r="JFA1367" s="110"/>
      <c r="JFB1367" s="110"/>
      <c r="JFC1367" s="110"/>
      <c r="JFD1367" s="110"/>
      <c r="JFE1367" s="110"/>
      <c r="JFF1367" s="110"/>
      <c r="JFG1367" s="110"/>
      <c r="JFH1367" s="110"/>
      <c r="JFI1367" s="110"/>
      <c r="JFJ1367" s="110"/>
      <c r="JFK1367" s="110"/>
      <c r="JFL1367" s="110"/>
      <c r="JFM1367" s="110"/>
      <c r="JFN1367" s="110"/>
      <c r="JFO1367" s="110"/>
      <c r="JFP1367" s="110"/>
      <c r="JFQ1367" s="110"/>
      <c r="JFR1367" s="110"/>
      <c r="JFS1367" s="110"/>
      <c r="JFT1367" s="110"/>
      <c r="JFU1367" s="110"/>
      <c r="JFV1367" s="110"/>
      <c r="JFW1367" s="110"/>
      <c r="JFX1367" s="110"/>
      <c r="JFY1367" s="110"/>
      <c r="JFZ1367" s="110"/>
      <c r="JGA1367" s="110"/>
      <c r="JGB1367" s="110"/>
      <c r="JGC1367" s="110"/>
      <c r="JGD1367" s="110"/>
      <c r="JGE1367" s="110"/>
      <c r="JGF1367" s="110"/>
      <c r="JGG1367" s="110"/>
      <c r="JGH1367" s="110"/>
      <c r="JGI1367" s="110"/>
      <c r="JGJ1367" s="110"/>
      <c r="JGK1367" s="110"/>
      <c r="JGL1367" s="110"/>
      <c r="JGM1367" s="110"/>
      <c r="JGN1367" s="110"/>
      <c r="JGO1367" s="110"/>
      <c r="JGP1367" s="110"/>
      <c r="JGQ1367" s="110"/>
      <c r="JGR1367" s="110"/>
      <c r="JGS1367" s="110"/>
      <c r="JGT1367" s="110"/>
      <c r="JGU1367" s="110"/>
      <c r="JGV1367" s="110"/>
      <c r="JGW1367" s="110"/>
      <c r="JGX1367" s="110"/>
      <c r="JGY1367" s="110"/>
      <c r="JGZ1367" s="110"/>
      <c r="JHA1367" s="110"/>
      <c r="JHB1367" s="110"/>
      <c r="JHC1367" s="110"/>
      <c r="JHD1367" s="110"/>
      <c r="JHE1367" s="110"/>
      <c r="JHF1367" s="110"/>
      <c r="JHG1367" s="110"/>
      <c r="JHH1367" s="110"/>
      <c r="JHI1367" s="110"/>
      <c r="JHJ1367" s="110"/>
      <c r="JHK1367" s="110"/>
      <c r="JHL1367" s="110"/>
      <c r="JHM1367" s="110"/>
      <c r="JHN1367" s="110"/>
      <c r="JHO1367" s="110"/>
      <c r="JHP1367" s="110"/>
      <c r="JHQ1367" s="110"/>
      <c r="JHR1367" s="110"/>
      <c r="JHS1367" s="110"/>
      <c r="JHT1367" s="110"/>
      <c r="JHU1367" s="110"/>
      <c r="JHV1367" s="110"/>
      <c r="JHW1367" s="110"/>
      <c r="JHX1367" s="110"/>
      <c r="JHY1367" s="110"/>
      <c r="JHZ1367" s="110"/>
      <c r="JIA1367" s="110"/>
      <c r="JIB1367" s="110"/>
      <c r="JIC1367" s="110"/>
      <c r="JID1367" s="110"/>
      <c r="JIE1367" s="110"/>
      <c r="JIF1367" s="110"/>
      <c r="JIG1367" s="110"/>
      <c r="JIH1367" s="110"/>
      <c r="JII1367" s="110"/>
      <c r="JIJ1367" s="110"/>
      <c r="JIK1367" s="110"/>
      <c r="JIL1367" s="110"/>
      <c r="JIM1367" s="110"/>
      <c r="JIN1367" s="110"/>
      <c r="JIO1367" s="110"/>
      <c r="JIP1367" s="110"/>
      <c r="JIQ1367" s="110"/>
      <c r="JIR1367" s="110"/>
      <c r="JIS1367" s="110"/>
      <c r="JIT1367" s="110"/>
      <c r="JIU1367" s="110"/>
      <c r="JIV1367" s="110"/>
      <c r="JIW1367" s="110"/>
      <c r="JIX1367" s="110"/>
      <c r="JIY1367" s="110"/>
      <c r="JIZ1367" s="110"/>
      <c r="JJA1367" s="110"/>
      <c r="JJB1367" s="110"/>
      <c r="JJC1367" s="110"/>
      <c r="JJD1367" s="110"/>
      <c r="JJE1367" s="110"/>
      <c r="JJF1367" s="110"/>
      <c r="JJG1367" s="110"/>
      <c r="JJH1367" s="110"/>
      <c r="JJI1367" s="110"/>
      <c r="JJJ1367" s="110"/>
      <c r="JJK1367" s="110"/>
      <c r="JJL1367" s="110"/>
      <c r="JJM1367" s="110"/>
      <c r="JJN1367" s="110"/>
      <c r="JJO1367" s="110"/>
      <c r="JJP1367" s="110"/>
      <c r="JJQ1367" s="110"/>
      <c r="JJR1367" s="110"/>
      <c r="JJS1367" s="110"/>
      <c r="JJT1367" s="110"/>
      <c r="JJU1367" s="110"/>
      <c r="JJV1367" s="110"/>
      <c r="JJW1367" s="110"/>
      <c r="JJX1367" s="110"/>
      <c r="JJY1367" s="110"/>
      <c r="JJZ1367" s="110"/>
      <c r="JKA1367" s="110"/>
      <c r="JKB1367" s="110"/>
      <c r="JKC1367" s="110"/>
      <c r="JKD1367" s="110"/>
      <c r="JKE1367" s="110"/>
      <c r="JKF1367" s="110"/>
      <c r="JKG1367" s="110"/>
      <c r="JKH1367" s="110"/>
      <c r="JKI1367" s="110"/>
      <c r="JKJ1367" s="110"/>
      <c r="JKK1367" s="110"/>
      <c r="JKL1367" s="110"/>
      <c r="JKM1367" s="110"/>
      <c r="JKN1367" s="110"/>
      <c r="JKO1367" s="110"/>
      <c r="JKP1367" s="110"/>
      <c r="JKQ1367" s="110"/>
      <c r="JKR1367" s="110"/>
      <c r="JKS1367" s="110"/>
      <c r="JKT1367" s="110"/>
      <c r="JKU1367" s="110"/>
      <c r="JKV1367" s="110"/>
      <c r="JKW1367" s="110"/>
      <c r="JKX1367" s="110"/>
      <c r="JKY1367" s="110"/>
      <c r="JKZ1367" s="110"/>
      <c r="JLA1367" s="110"/>
      <c r="JLB1367" s="110"/>
      <c r="JLC1367" s="110"/>
      <c r="JLD1367" s="110"/>
      <c r="JLE1367" s="110"/>
      <c r="JLF1367" s="110"/>
      <c r="JLG1367" s="110"/>
      <c r="JLH1367" s="110"/>
      <c r="JLI1367" s="110"/>
      <c r="JLJ1367" s="110"/>
      <c r="JLK1367" s="110"/>
      <c r="JLL1367" s="110"/>
      <c r="JLM1367" s="110"/>
      <c r="JLN1367" s="110"/>
      <c r="JLO1367" s="110"/>
      <c r="JLP1367" s="110"/>
      <c r="JLQ1367" s="110"/>
      <c r="JLR1367" s="110"/>
      <c r="JLS1367" s="110"/>
      <c r="JLT1367" s="110"/>
      <c r="JLU1367" s="110"/>
      <c r="JLV1367" s="110"/>
      <c r="JLW1367" s="110"/>
      <c r="JLX1367" s="110"/>
      <c r="JLY1367" s="110"/>
      <c r="JLZ1367" s="110"/>
      <c r="JMA1367" s="110"/>
      <c r="JMB1367" s="110"/>
      <c r="JMC1367" s="110"/>
      <c r="JMD1367" s="110"/>
      <c r="JME1367" s="110"/>
      <c r="JMF1367" s="110"/>
      <c r="JMG1367" s="110"/>
      <c r="JMH1367" s="110"/>
      <c r="JMI1367" s="110"/>
      <c r="JMJ1367" s="110"/>
      <c r="JMK1367" s="110"/>
      <c r="JML1367" s="110"/>
      <c r="JMM1367" s="110"/>
      <c r="JMN1367" s="110"/>
      <c r="JMO1367" s="110"/>
      <c r="JMP1367" s="110"/>
      <c r="JMQ1367" s="110"/>
      <c r="JMR1367" s="110"/>
      <c r="JMS1367" s="110"/>
      <c r="JMT1367" s="110"/>
      <c r="JMU1367" s="110"/>
      <c r="JMV1367" s="110"/>
      <c r="JMW1367" s="110"/>
      <c r="JMX1367" s="110"/>
      <c r="JMY1367" s="110"/>
      <c r="JMZ1367" s="110"/>
      <c r="JNA1367" s="110"/>
      <c r="JNB1367" s="110"/>
      <c r="JNC1367" s="110"/>
      <c r="JND1367" s="110"/>
      <c r="JNE1367" s="110"/>
      <c r="JNF1367" s="110"/>
      <c r="JNG1367" s="110"/>
      <c r="JNH1367" s="110"/>
      <c r="JNI1367" s="110"/>
      <c r="JNJ1367" s="110"/>
      <c r="JNK1367" s="110"/>
      <c r="JNL1367" s="110"/>
      <c r="JNM1367" s="110"/>
      <c r="JNN1367" s="110"/>
      <c r="JNO1367" s="110"/>
      <c r="JNP1367" s="110"/>
      <c r="JNQ1367" s="110"/>
      <c r="JNR1367" s="110"/>
      <c r="JNS1367" s="110"/>
      <c r="JNT1367" s="110"/>
      <c r="JNU1367" s="110"/>
      <c r="JNV1367" s="110"/>
      <c r="JNW1367" s="110"/>
      <c r="JNX1367" s="110"/>
      <c r="JNY1367" s="110"/>
      <c r="JNZ1367" s="110"/>
      <c r="JOA1367" s="110"/>
      <c r="JOB1367" s="110"/>
      <c r="JOC1367" s="110"/>
      <c r="JOD1367" s="110"/>
      <c r="JOE1367" s="110"/>
      <c r="JOF1367" s="110"/>
      <c r="JOG1367" s="110"/>
      <c r="JOH1367" s="110"/>
      <c r="JOI1367" s="110"/>
      <c r="JOJ1367" s="110"/>
      <c r="JOK1367" s="110"/>
      <c r="JOL1367" s="110"/>
      <c r="JOM1367" s="110"/>
      <c r="JON1367" s="110"/>
      <c r="JOO1367" s="110"/>
      <c r="JOP1367" s="110"/>
      <c r="JOQ1367" s="110"/>
      <c r="JOR1367" s="110"/>
      <c r="JOS1367" s="110"/>
      <c r="JOT1367" s="110"/>
      <c r="JOU1367" s="110"/>
      <c r="JOV1367" s="110"/>
      <c r="JOW1367" s="110"/>
      <c r="JOX1367" s="110"/>
      <c r="JOY1367" s="110"/>
      <c r="JOZ1367" s="110"/>
      <c r="JPA1367" s="110"/>
      <c r="JPB1367" s="110"/>
      <c r="JPC1367" s="110"/>
      <c r="JPD1367" s="110"/>
      <c r="JPE1367" s="110"/>
      <c r="JPF1367" s="110"/>
      <c r="JPG1367" s="110"/>
      <c r="JPH1367" s="110"/>
      <c r="JPI1367" s="110"/>
      <c r="JPJ1367" s="110"/>
      <c r="JPK1367" s="110"/>
      <c r="JPL1367" s="110"/>
      <c r="JPM1367" s="110"/>
      <c r="JPN1367" s="110"/>
      <c r="JPO1367" s="110"/>
      <c r="JPP1367" s="110"/>
      <c r="JPQ1367" s="110"/>
      <c r="JPR1367" s="110"/>
      <c r="JPS1367" s="110"/>
      <c r="JPT1367" s="110"/>
      <c r="JPU1367" s="110"/>
      <c r="JPV1367" s="110"/>
      <c r="JPW1367" s="110"/>
      <c r="JPX1367" s="110"/>
      <c r="JPY1367" s="110"/>
      <c r="JPZ1367" s="110"/>
      <c r="JQA1367" s="110"/>
      <c r="JQB1367" s="110"/>
      <c r="JQC1367" s="110"/>
      <c r="JQD1367" s="110"/>
      <c r="JQE1367" s="110"/>
      <c r="JQF1367" s="110"/>
      <c r="JQG1367" s="110"/>
      <c r="JQH1367" s="110"/>
      <c r="JQI1367" s="110"/>
      <c r="JQJ1367" s="110"/>
      <c r="JQK1367" s="110"/>
      <c r="JQL1367" s="110"/>
      <c r="JQM1367" s="110"/>
      <c r="JQN1367" s="110"/>
      <c r="JQO1367" s="110"/>
      <c r="JQP1367" s="110"/>
      <c r="JQQ1367" s="110"/>
      <c r="JQR1367" s="110"/>
      <c r="JQS1367" s="110"/>
      <c r="JQT1367" s="110"/>
      <c r="JQU1367" s="110"/>
      <c r="JQV1367" s="110"/>
      <c r="JQW1367" s="110"/>
      <c r="JQX1367" s="110"/>
      <c r="JQY1367" s="110"/>
      <c r="JQZ1367" s="110"/>
      <c r="JRA1367" s="110"/>
      <c r="JRB1367" s="110"/>
      <c r="JRC1367" s="110"/>
      <c r="JRD1367" s="110"/>
      <c r="JRE1367" s="110"/>
      <c r="JRF1367" s="110"/>
      <c r="JRG1367" s="110"/>
      <c r="JRH1367" s="110"/>
      <c r="JRI1367" s="110"/>
      <c r="JRJ1367" s="110"/>
      <c r="JRK1367" s="110"/>
      <c r="JRL1367" s="110"/>
      <c r="JRM1367" s="110"/>
      <c r="JRN1367" s="110"/>
      <c r="JRO1367" s="110"/>
      <c r="JRP1367" s="110"/>
      <c r="JRQ1367" s="110"/>
      <c r="JRR1367" s="110"/>
      <c r="JRS1367" s="110"/>
      <c r="JRT1367" s="110"/>
      <c r="JRU1367" s="110"/>
      <c r="JRV1367" s="110"/>
      <c r="JRW1367" s="110"/>
      <c r="JRX1367" s="110"/>
      <c r="JRY1367" s="110"/>
      <c r="JRZ1367" s="110"/>
      <c r="JSA1367" s="110"/>
      <c r="JSB1367" s="110"/>
      <c r="JSC1367" s="110"/>
      <c r="JSD1367" s="110"/>
      <c r="JSE1367" s="110"/>
      <c r="JSF1367" s="110"/>
      <c r="JSG1367" s="110"/>
      <c r="JSH1367" s="110"/>
      <c r="JSI1367" s="110"/>
      <c r="JSJ1367" s="110"/>
      <c r="JSK1367" s="110"/>
      <c r="JSL1367" s="110"/>
      <c r="JSM1367" s="110"/>
      <c r="JSN1367" s="110"/>
      <c r="JSO1367" s="110"/>
      <c r="JSP1367" s="110"/>
      <c r="JSQ1367" s="110"/>
      <c r="JSR1367" s="110"/>
      <c r="JSS1367" s="110"/>
      <c r="JST1367" s="110"/>
      <c r="JSU1367" s="110"/>
      <c r="JSV1367" s="110"/>
      <c r="JSW1367" s="110"/>
      <c r="JSX1367" s="110"/>
      <c r="JSY1367" s="110"/>
      <c r="JSZ1367" s="110"/>
      <c r="JTA1367" s="110"/>
      <c r="JTB1367" s="110"/>
      <c r="JTC1367" s="110"/>
      <c r="JTD1367" s="110"/>
      <c r="JTE1367" s="110"/>
      <c r="JTF1367" s="110"/>
      <c r="JTG1367" s="110"/>
      <c r="JTH1367" s="110"/>
      <c r="JTI1367" s="110"/>
      <c r="JTJ1367" s="110"/>
      <c r="JTK1367" s="110"/>
      <c r="JTL1367" s="110"/>
      <c r="JTM1367" s="110"/>
      <c r="JTN1367" s="110"/>
      <c r="JTO1367" s="110"/>
      <c r="JTP1367" s="110"/>
      <c r="JTQ1367" s="110"/>
      <c r="JTR1367" s="110"/>
      <c r="JTS1367" s="110"/>
      <c r="JTT1367" s="110"/>
      <c r="JTU1367" s="110"/>
      <c r="JTV1367" s="110"/>
      <c r="JTW1367" s="110"/>
      <c r="JTX1367" s="110"/>
      <c r="JTY1367" s="110"/>
      <c r="JTZ1367" s="110"/>
      <c r="JUA1367" s="110"/>
      <c r="JUB1367" s="110"/>
      <c r="JUC1367" s="110"/>
      <c r="JUD1367" s="110"/>
      <c r="JUE1367" s="110"/>
      <c r="JUF1367" s="110"/>
      <c r="JUG1367" s="110"/>
      <c r="JUH1367" s="110"/>
      <c r="JUI1367" s="110"/>
      <c r="JUJ1367" s="110"/>
      <c r="JUK1367" s="110"/>
      <c r="JUL1367" s="110"/>
      <c r="JUM1367" s="110"/>
      <c r="JUN1367" s="110"/>
      <c r="JUO1367" s="110"/>
      <c r="JUP1367" s="110"/>
      <c r="JUQ1367" s="110"/>
      <c r="JUR1367" s="110"/>
      <c r="JUS1367" s="110"/>
      <c r="JUT1367" s="110"/>
      <c r="JUU1367" s="110"/>
      <c r="JUV1367" s="110"/>
      <c r="JUW1367" s="110"/>
      <c r="JUX1367" s="110"/>
      <c r="JUY1367" s="110"/>
      <c r="JUZ1367" s="110"/>
      <c r="JVA1367" s="110"/>
      <c r="JVB1367" s="110"/>
      <c r="JVC1367" s="110"/>
      <c r="JVD1367" s="110"/>
      <c r="JVE1367" s="110"/>
      <c r="JVF1367" s="110"/>
      <c r="JVG1367" s="110"/>
      <c r="JVH1367" s="110"/>
      <c r="JVI1367" s="110"/>
      <c r="JVJ1367" s="110"/>
      <c r="JVK1367" s="110"/>
      <c r="JVL1367" s="110"/>
      <c r="JVM1367" s="110"/>
      <c r="JVN1367" s="110"/>
      <c r="JVO1367" s="110"/>
      <c r="JVP1367" s="110"/>
      <c r="JVQ1367" s="110"/>
      <c r="JVR1367" s="110"/>
      <c r="JVS1367" s="110"/>
      <c r="JVT1367" s="110"/>
      <c r="JVU1367" s="110"/>
      <c r="JVV1367" s="110"/>
      <c r="JVW1367" s="110"/>
      <c r="JVX1367" s="110"/>
      <c r="JVY1367" s="110"/>
      <c r="JVZ1367" s="110"/>
      <c r="JWA1367" s="110"/>
      <c r="JWB1367" s="110"/>
      <c r="JWC1367" s="110"/>
      <c r="JWD1367" s="110"/>
      <c r="JWE1367" s="110"/>
      <c r="JWF1367" s="110"/>
      <c r="JWG1367" s="110"/>
      <c r="JWH1367" s="110"/>
      <c r="JWI1367" s="110"/>
      <c r="JWJ1367" s="110"/>
      <c r="JWK1367" s="110"/>
      <c r="JWL1367" s="110"/>
      <c r="JWM1367" s="110"/>
      <c r="JWN1367" s="110"/>
      <c r="JWO1367" s="110"/>
      <c r="JWP1367" s="110"/>
      <c r="JWQ1367" s="110"/>
      <c r="JWR1367" s="110"/>
      <c r="JWS1367" s="110"/>
      <c r="JWT1367" s="110"/>
      <c r="JWU1367" s="110"/>
      <c r="JWV1367" s="110"/>
      <c r="JWW1367" s="110"/>
      <c r="JWX1367" s="110"/>
      <c r="JWY1367" s="110"/>
      <c r="JWZ1367" s="110"/>
      <c r="JXA1367" s="110"/>
      <c r="JXB1367" s="110"/>
      <c r="JXC1367" s="110"/>
      <c r="JXD1367" s="110"/>
      <c r="JXE1367" s="110"/>
      <c r="JXF1367" s="110"/>
      <c r="JXG1367" s="110"/>
      <c r="JXH1367" s="110"/>
      <c r="JXI1367" s="110"/>
      <c r="JXJ1367" s="110"/>
      <c r="JXK1367" s="110"/>
      <c r="JXL1367" s="110"/>
      <c r="JXM1367" s="110"/>
      <c r="JXN1367" s="110"/>
      <c r="JXO1367" s="110"/>
      <c r="JXP1367" s="110"/>
      <c r="JXQ1367" s="110"/>
      <c r="JXR1367" s="110"/>
      <c r="JXS1367" s="110"/>
      <c r="JXT1367" s="110"/>
      <c r="JXU1367" s="110"/>
      <c r="JXV1367" s="110"/>
      <c r="JXW1367" s="110"/>
      <c r="JXX1367" s="110"/>
      <c r="JXY1367" s="110"/>
      <c r="JXZ1367" s="110"/>
      <c r="JYA1367" s="110"/>
      <c r="JYB1367" s="110"/>
      <c r="JYC1367" s="110"/>
      <c r="JYD1367" s="110"/>
      <c r="JYE1367" s="110"/>
      <c r="JYF1367" s="110"/>
      <c r="JYG1367" s="110"/>
      <c r="JYH1367" s="110"/>
      <c r="JYI1367" s="110"/>
      <c r="JYJ1367" s="110"/>
      <c r="JYK1367" s="110"/>
      <c r="JYL1367" s="110"/>
      <c r="JYM1367" s="110"/>
      <c r="JYN1367" s="110"/>
      <c r="JYO1367" s="110"/>
      <c r="JYP1367" s="110"/>
      <c r="JYQ1367" s="110"/>
      <c r="JYR1367" s="110"/>
      <c r="JYS1367" s="110"/>
      <c r="JYT1367" s="110"/>
      <c r="JYU1367" s="110"/>
      <c r="JYV1367" s="110"/>
      <c r="JYW1367" s="110"/>
      <c r="JYX1367" s="110"/>
      <c r="JYY1367" s="110"/>
      <c r="JYZ1367" s="110"/>
      <c r="JZA1367" s="110"/>
      <c r="JZB1367" s="110"/>
      <c r="JZC1367" s="110"/>
      <c r="JZD1367" s="110"/>
      <c r="JZE1367" s="110"/>
      <c r="JZF1367" s="110"/>
      <c r="JZG1367" s="110"/>
      <c r="JZH1367" s="110"/>
      <c r="JZI1367" s="110"/>
      <c r="JZJ1367" s="110"/>
      <c r="JZK1367" s="110"/>
      <c r="JZL1367" s="110"/>
      <c r="JZM1367" s="110"/>
      <c r="JZN1367" s="110"/>
      <c r="JZO1367" s="110"/>
      <c r="JZP1367" s="110"/>
      <c r="JZQ1367" s="110"/>
      <c r="JZR1367" s="110"/>
      <c r="JZS1367" s="110"/>
      <c r="JZT1367" s="110"/>
      <c r="JZU1367" s="110"/>
      <c r="JZV1367" s="110"/>
      <c r="JZW1367" s="110"/>
      <c r="JZX1367" s="110"/>
      <c r="JZY1367" s="110"/>
      <c r="JZZ1367" s="110"/>
      <c r="KAA1367" s="110"/>
      <c r="KAB1367" s="110"/>
      <c r="KAC1367" s="110"/>
      <c r="KAD1367" s="110"/>
      <c r="KAE1367" s="110"/>
      <c r="KAF1367" s="110"/>
      <c r="KAG1367" s="110"/>
      <c r="KAH1367" s="110"/>
      <c r="KAI1367" s="110"/>
      <c r="KAJ1367" s="110"/>
      <c r="KAK1367" s="110"/>
      <c r="KAL1367" s="110"/>
      <c r="KAM1367" s="110"/>
      <c r="KAN1367" s="110"/>
      <c r="KAO1367" s="110"/>
      <c r="KAP1367" s="110"/>
      <c r="KAQ1367" s="110"/>
      <c r="KAR1367" s="110"/>
      <c r="KAS1367" s="110"/>
      <c r="KAT1367" s="110"/>
      <c r="KAU1367" s="110"/>
      <c r="KAV1367" s="110"/>
      <c r="KAW1367" s="110"/>
      <c r="KAX1367" s="110"/>
      <c r="KAY1367" s="110"/>
      <c r="KAZ1367" s="110"/>
      <c r="KBA1367" s="110"/>
      <c r="KBB1367" s="110"/>
      <c r="KBC1367" s="110"/>
      <c r="KBD1367" s="110"/>
      <c r="KBE1367" s="110"/>
      <c r="KBF1367" s="110"/>
      <c r="KBG1367" s="110"/>
      <c r="KBH1367" s="110"/>
      <c r="KBI1367" s="110"/>
      <c r="KBJ1367" s="110"/>
      <c r="KBK1367" s="110"/>
      <c r="KBL1367" s="110"/>
      <c r="KBM1367" s="110"/>
      <c r="KBN1367" s="110"/>
      <c r="KBO1367" s="110"/>
      <c r="KBP1367" s="110"/>
      <c r="KBQ1367" s="110"/>
      <c r="KBR1367" s="110"/>
      <c r="KBS1367" s="110"/>
      <c r="KBT1367" s="110"/>
      <c r="KBU1367" s="110"/>
      <c r="KBV1367" s="110"/>
      <c r="KBW1367" s="110"/>
      <c r="KBX1367" s="110"/>
      <c r="KBY1367" s="110"/>
      <c r="KBZ1367" s="110"/>
      <c r="KCA1367" s="110"/>
      <c r="KCB1367" s="110"/>
      <c r="KCC1367" s="110"/>
      <c r="KCD1367" s="110"/>
      <c r="KCE1367" s="110"/>
      <c r="KCF1367" s="110"/>
      <c r="KCG1367" s="110"/>
      <c r="KCH1367" s="110"/>
      <c r="KCI1367" s="110"/>
      <c r="KCJ1367" s="110"/>
      <c r="KCK1367" s="110"/>
      <c r="KCL1367" s="110"/>
      <c r="KCM1367" s="110"/>
      <c r="KCN1367" s="110"/>
      <c r="KCO1367" s="110"/>
      <c r="KCP1367" s="110"/>
      <c r="KCQ1367" s="110"/>
      <c r="KCR1367" s="110"/>
      <c r="KCS1367" s="110"/>
      <c r="KCT1367" s="110"/>
      <c r="KCU1367" s="110"/>
      <c r="KCV1367" s="110"/>
      <c r="KCW1367" s="110"/>
      <c r="KCX1367" s="110"/>
      <c r="KCY1367" s="110"/>
      <c r="KCZ1367" s="110"/>
      <c r="KDA1367" s="110"/>
      <c r="KDB1367" s="110"/>
      <c r="KDC1367" s="110"/>
      <c r="KDD1367" s="110"/>
      <c r="KDE1367" s="110"/>
      <c r="KDF1367" s="110"/>
      <c r="KDG1367" s="110"/>
      <c r="KDH1367" s="110"/>
      <c r="KDI1367" s="110"/>
      <c r="KDJ1367" s="110"/>
      <c r="KDK1367" s="110"/>
      <c r="KDL1367" s="110"/>
      <c r="KDM1367" s="110"/>
      <c r="KDN1367" s="110"/>
      <c r="KDO1367" s="110"/>
      <c r="KDP1367" s="110"/>
      <c r="KDQ1367" s="110"/>
      <c r="KDR1367" s="110"/>
      <c r="KDS1367" s="110"/>
      <c r="KDT1367" s="110"/>
      <c r="KDU1367" s="110"/>
      <c r="KDV1367" s="110"/>
      <c r="KDW1367" s="110"/>
      <c r="KDX1367" s="110"/>
      <c r="KDY1367" s="110"/>
      <c r="KDZ1367" s="110"/>
      <c r="KEA1367" s="110"/>
      <c r="KEB1367" s="110"/>
      <c r="KEC1367" s="110"/>
      <c r="KED1367" s="110"/>
      <c r="KEE1367" s="110"/>
      <c r="KEF1367" s="110"/>
      <c r="KEG1367" s="110"/>
      <c r="KEH1367" s="110"/>
      <c r="KEI1367" s="110"/>
      <c r="KEJ1367" s="110"/>
      <c r="KEK1367" s="110"/>
      <c r="KEL1367" s="110"/>
      <c r="KEM1367" s="110"/>
      <c r="KEN1367" s="110"/>
      <c r="KEO1367" s="110"/>
      <c r="KEP1367" s="110"/>
      <c r="KEQ1367" s="110"/>
      <c r="KER1367" s="110"/>
      <c r="KES1367" s="110"/>
      <c r="KET1367" s="110"/>
      <c r="KEU1367" s="110"/>
      <c r="KEV1367" s="110"/>
      <c r="KEW1367" s="110"/>
      <c r="KEX1367" s="110"/>
      <c r="KEY1367" s="110"/>
      <c r="KEZ1367" s="110"/>
      <c r="KFA1367" s="110"/>
      <c r="KFB1367" s="110"/>
      <c r="KFC1367" s="110"/>
      <c r="KFD1367" s="110"/>
      <c r="KFE1367" s="110"/>
      <c r="KFF1367" s="110"/>
      <c r="KFG1367" s="110"/>
      <c r="KFH1367" s="110"/>
      <c r="KFI1367" s="110"/>
      <c r="KFJ1367" s="110"/>
      <c r="KFK1367" s="110"/>
      <c r="KFL1367" s="110"/>
      <c r="KFM1367" s="110"/>
      <c r="KFN1367" s="110"/>
      <c r="KFO1367" s="110"/>
      <c r="KFP1367" s="110"/>
      <c r="KFQ1367" s="110"/>
      <c r="KFR1367" s="110"/>
      <c r="KFS1367" s="110"/>
      <c r="KFT1367" s="110"/>
      <c r="KFU1367" s="110"/>
      <c r="KFV1367" s="110"/>
      <c r="KFW1367" s="110"/>
      <c r="KFX1367" s="110"/>
      <c r="KFY1367" s="110"/>
      <c r="KFZ1367" s="110"/>
      <c r="KGA1367" s="110"/>
      <c r="KGB1367" s="110"/>
      <c r="KGC1367" s="110"/>
      <c r="KGD1367" s="110"/>
      <c r="KGE1367" s="110"/>
      <c r="KGF1367" s="110"/>
      <c r="KGG1367" s="110"/>
      <c r="KGH1367" s="110"/>
      <c r="KGI1367" s="110"/>
      <c r="KGJ1367" s="110"/>
      <c r="KGK1367" s="110"/>
      <c r="KGL1367" s="110"/>
      <c r="KGM1367" s="110"/>
      <c r="KGN1367" s="110"/>
      <c r="KGO1367" s="110"/>
      <c r="KGP1367" s="110"/>
      <c r="KGQ1367" s="110"/>
      <c r="KGR1367" s="110"/>
      <c r="KGS1367" s="110"/>
      <c r="KGT1367" s="110"/>
      <c r="KGU1367" s="110"/>
      <c r="KGV1367" s="110"/>
      <c r="KGW1367" s="110"/>
      <c r="KGX1367" s="110"/>
      <c r="KGY1367" s="110"/>
      <c r="KGZ1367" s="110"/>
      <c r="KHA1367" s="110"/>
      <c r="KHB1367" s="110"/>
      <c r="KHC1367" s="110"/>
      <c r="KHD1367" s="110"/>
      <c r="KHE1367" s="110"/>
      <c r="KHF1367" s="110"/>
      <c r="KHG1367" s="110"/>
      <c r="KHH1367" s="110"/>
      <c r="KHI1367" s="110"/>
      <c r="KHJ1367" s="110"/>
      <c r="KHK1367" s="110"/>
      <c r="KHL1367" s="110"/>
      <c r="KHM1367" s="110"/>
      <c r="KHN1367" s="110"/>
      <c r="KHO1367" s="110"/>
      <c r="KHP1367" s="110"/>
      <c r="KHQ1367" s="110"/>
      <c r="KHR1367" s="110"/>
      <c r="KHS1367" s="110"/>
      <c r="KHT1367" s="110"/>
      <c r="KHU1367" s="110"/>
      <c r="KHV1367" s="110"/>
      <c r="KHW1367" s="110"/>
      <c r="KHX1367" s="110"/>
      <c r="KHY1367" s="110"/>
      <c r="KHZ1367" s="110"/>
      <c r="KIA1367" s="110"/>
      <c r="KIB1367" s="110"/>
      <c r="KIC1367" s="110"/>
      <c r="KID1367" s="110"/>
      <c r="KIE1367" s="110"/>
      <c r="KIF1367" s="110"/>
      <c r="KIG1367" s="110"/>
      <c r="KIH1367" s="110"/>
      <c r="KII1367" s="110"/>
      <c r="KIJ1367" s="110"/>
      <c r="KIK1367" s="110"/>
      <c r="KIL1367" s="110"/>
      <c r="KIM1367" s="110"/>
      <c r="KIN1367" s="110"/>
      <c r="KIO1367" s="110"/>
      <c r="KIP1367" s="110"/>
      <c r="KIQ1367" s="110"/>
      <c r="KIR1367" s="110"/>
      <c r="KIS1367" s="110"/>
      <c r="KIT1367" s="110"/>
      <c r="KIU1367" s="110"/>
      <c r="KIV1367" s="110"/>
      <c r="KIW1367" s="110"/>
      <c r="KIX1367" s="110"/>
      <c r="KIY1367" s="110"/>
      <c r="KIZ1367" s="110"/>
      <c r="KJA1367" s="110"/>
      <c r="KJB1367" s="110"/>
      <c r="KJC1367" s="110"/>
      <c r="KJD1367" s="110"/>
      <c r="KJE1367" s="110"/>
      <c r="KJF1367" s="110"/>
      <c r="KJG1367" s="110"/>
      <c r="KJH1367" s="110"/>
      <c r="KJI1367" s="110"/>
      <c r="KJJ1367" s="110"/>
      <c r="KJK1367" s="110"/>
      <c r="KJL1367" s="110"/>
      <c r="KJM1367" s="110"/>
      <c r="KJN1367" s="110"/>
      <c r="KJO1367" s="110"/>
      <c r="KJP1367" s="110"/>
      <c r="KJQ1367" s="110"/>
      <c r="KJR1367" s="110"/>
      <c r="KJS1367" s="110"/>
      <c r="KJT1367" s="110"/>
      <c r="KJU1367" s="110"/>
      <c r="KJV1367" s="110"/>
      <c r="KJW1367" s="110"/>
      <c r="KJX1367" s="110"/>
      <c r="KJY1367" s="110"/>
      <c r="KJZ1367" s="110"/>
      <c r="KKA1367" s="110"/>
      <c r="KKB1367" s="110"/>
      <c r="KKC1367" s="110"/>
      <c r="KKD1367" s="110"/>
      <c r="KKE1367" s="110"/>
      <c r="KKF1367" s="110"/>
      <c r="KKG1367" s="110"/>
      <c r="KKH1367" s="110"/>
      <c r="KKI1367" s="110"/>
      <c r="KKJ1367" s="110"/>
      <c r="KKK1367" s="110"/>
      <c r="KKL1367" s="110"/>
      <c r="KKM1367" s="110"/>
      <c r="KKN1367" s="110"/>
      <c r="KKO1367" s="110"/>
      <c r="KKP1367" s="110"/>
      <c r="KKQ1367" s="110"/>
      <c r="KKR1367" s="110"/>
      <c r="KKS1367" s="110"/>
      <c r="KKT1367" s="110"/>
      <c r="KKU1367" s="110"/>
      <c r="KKV1367" s="110"/>
      <c r="KKW1367" s="110"/>
      <c r="KKX1367" s="110"/>
      <c r="KKY1367" s="110"/>
      <c r="KKZ1367" s="110"/>
      <c r="KLA1367" s="110"/>
      <c r="KLB1367" s="110"/>
      <c r="KLC1367" s="110"/>
      <c r="KLD1367" s="110"/>
      <c r="KLE1367" s="110"/>
      <c r="KLF1367" s="110"/>
      <c r="KLG1367" s="110"/>
      <c r="KLH1367" s="110"/>
      <c r="KLI1367" s="110"/>
      <c r="KLJ1367" s="110"/>
      <c r="KLK1367" s="110"/>
      <c r="KLL1367" s="110"/>
      <c r="KLM1367" s="110"/>
      <c r="KLN1367" s="110"/>
      <c r="KLO1367" s="110"/>
      <c r="KLP1367" s="110"/>
      <c r="KLQ1367" s="110"/>
      <c r="KLR1367" s="110"/>
      <c r="KLS1367" s="110"/>
      <c r="KLT1367" s="110"/>
      <c r="KLU1367" s="110"/>
      <c r="KLV1367" s="110"/>
      <c r="KLW1367" s="110"/>
      <c r="KLX1367" s="110"/>
      <c r="KLY1367" s="110"/>
      <c r="KLZ1367" s="110"/>
      <c r="KMA1367" s="110"/>
      <c r="KMB1367" s="110"/>
      <c r="KMC1367" s="110"/>
      <c r="KMD1367" s="110"/>
      <c r="KME1367" s="110"/>
      <c r="KMF1367" s="110"/>
      <c r="KMG1367" s="110"/>
      <c r="KMH1367" s="110"/>
      <c r="KMI1367" s="110"/>
      <c r="KMJ1367" s="110"/>
      <c r="KMK1367" s="110"/>
      <c r="KML1367" s="110"/>
      <c r="KMM1367" s="110"/>
      <c r="KMN1367" s="110"/>
      <c r="KMO1367" s="110"/>
      <c r="KMP1367" s="110"/>
      <c r="KMQ1367" s="110"/>
      <c r="KMR1367" s="110"/>
      <c r="KMS1367" s="110"/>
      <c r="KMT1367" s="110"/>
      <c r="KMU1367" s="110"/>
      <c r="KMV1367" s="110"/>
      <c r="KMW1367" s="110"/>
      <c r="KMX1367" s="110"/>
      <c r="KMY1367" s="110"/>
      <c r="KMZ1367" s="110"/>
      <c r="KNA1367" s="110"/>
      <c r="KNB1367" s="110"/>
      <c r="KNC1367" s="110"/>
      <c r="KND1367" s="110"/>
      <c r="KNE1367" s="110"/>
      <c r="KNF1367" s="110"/>
      <c r="KNG1367" s="110"/>
      <c r="KNH1367" s="110"/>
      <c r="KNI1367" s="110"/>
      <c r="KNJ1367" s="110"/>
      <c r="KNK1367" s="110"/>
      <c r="KNL1367" s="110"/>
      <c r="KNM1367" s="110"/>
      <c r="KNN1367" s="110"/>
      <c r="KNO1367" s="110"/>
      <c r="KNP1367" s="110"/>
      <c r="KNQ1367" s="110"/>
      <c r="KNR1367" s="110"/>
      <c r="KNS1367" s="110"/>
      <c r="KNT1367" s="110"/>
      <c r="KNU1367" s="110"/>
      <c r="KNV1367" s="110"/>
      <c r="KNW1367" s="110"/>
      <c r="KNX1367" s="110"/>
      <c r="KNY1367" s="110"/>
      <c r="KNZ1367" s="110"/>
      <c r="KOA1367" s="110"/>
      <c r="KOB1367" s="110"/>
      <c r="KOC1367" s="110"/>
      <c r="KOD1367" s="110"/>
      <c r="KOE1367" s="110"/>
      <c r="KOF1367" s="110"/>
      <c r="KOG1367" s="110"/>
      <c r="KOH1367" s="110"/>
      <c r="KOI1367" s="110"/>
      <c r="KOJ1367" s="110"/>
      <c r="KOK1367" s="110"/>
      <c r="KOL1367" s="110"/>
      <c r="KOM1367" s="110"/>
      <c r="KON1367" s="110"/>
      <c r="KOO1367" s="110"/>
      <c r="KOP1367" s="110"/>
      <c r="KOQ1367" s="110"/>
      <c r="KOR1367" s="110"/>
      <c r="KOS1367" s="110"/>
      <c r="KOT1367" s="110"/>
      <c r="KOU1367" s="110"/>
      <c r="KOV1367" s="110"/>
      <c r="KOW1367" s="110"/>
      <c r="KOX1367" s="110"/>
      <c r="KOY1367" s="110"/>
      <c r="KOZ1367" s="110"/>
      <c r="KPA1367" s="110"/>
      <c r="KPB1367" s="110"/>
      <c r="KPC1367" s="110"/>
      <c r="KPD1367" s="110"/>
      <c r="KPE1367" s="110"/>
      <c r="KPF1367" s="110"/>
      <c r="KPG1367" s="110"/>
      <c r="KPH1367" s="110"/>
      <c r="KPI1367" s="110"/>
      <c r="KPJ1367" s="110"/>
      <c r="KPK1367" s="110"/>
      <c r="KPL1367" s="110"/>
      <c r="KPM1367" s="110"/>
      <c r="KPN1367" s="110"/>
      <c r="KPO1367" s="110"/>
      <c r="KPP1367" s="110"/>
      <c r="KPQ1367" s="110"/>
      <c r="KPR1367" s="110"/>
      <c r="KPS1367" s="110"/>
      <c r="KPT1367" s="110"/>
      <c r="KPU1367" s="110"/>
      <c r="KPV1367" s="110"/>
      <c r="KPW1367" s="110"/>
      <c r="KPX1367" s="110"/>
      <c r="KPY1367" s="110"/>
      <c r="KPZ1367" s="110"/>
      <c r="KQA1367" s="110"/>
      <c r="KQB1367" s="110"/>
      <c r="KQC1367" s="110"/>
      <c r="KQD1367" s="110"/>
      <c r="KQE1367" s="110"/>
      <c r="KQF1367" s="110"/>
      <c r="KQG1367" s="110"/>
      <c r="KQH1367" s="110"/>
      <c r="KQI1367" s="110"/>
      <c r="KQJ1367" s="110"/>
      <c r="KQK1367" s="110"/>
      <c r="KQL1367" s="110"/>
      <c r="KQM1367" s="110"/>
      <c r="KQN1367" s="110"/>
      <c r="KQO1367" s="110"/>
      <c r="KQP1367" s="110"/>
      <c r="KQQ1367" s="110"/>
      <c r="KQR1367" s="110"/>
      <c r="KQS1367" s="110"/>
      <c r="KQT1367" s="110"/>
      <c r="KQU1367" s="110"/>
      <c r="KQV1367" s="110"/>
      <c r="KQW1367" s="110"/>
      <c r="KQX1367" s="110"/>
      <c r="KQY1367" s="110"/>
      <c r="KQZ1367" s="110"/>
      <c r="KRA1367" s="110"/>
      <c r="KRB1367" s="110"/>
      <c r="KRC1367" s="110"/>
      <c r="KRD1367" s="110"/>
      <c r="KRE1367" s="110"/>
      <c r="KRF1367" s="110"/>
      <c r="KRG1367" s="110"/>
      <c r="KRH1367" s="110"/>
      <c r="KRI1367" s="110"/>
      <c r="KRJ1367" s="110"/>
      <c r="KRK1367" s="110"/>
      <c r="KRL1367" s="110"/>
      <c r="KRM1367" s="110"/>
      <c r="KRN1367" s="110"/>
      <c r="KRO1367" s="110"/>
      <c r="KRP1367" s="110"/>
      <c r="KRQ1367" s="110"/>
      <c r="KRR1367" s="110"/>
      <c r="KRS1367" s="110"/>
      <c r="KRT1367" s="110"/>
      <c r="KRU1367" s="110"/>
      <c r="KRV1367" s="110"/>
      <c r="KRW1367" s="110"/>
      <c r="KRX1367" s="110"/>
      <c r="KRY1367" s="110"/>
      <c r="KRZ1367" s="110"/>
      <c r="KSA1367" s="110"/>
      <c r="KSB1367" s="110"/>
      <c r="KSC1367" s="110"/>
      <c r="KSD1367" s="110"/>
      <c r="KSE1367" s="110"/>
      <c r="KSF1367" s="110"/>
      <c r="KSG1367" s="110"/>
      <c r="KSH1367" s="110"/>
      <c r="KSI1367" s="110"/>
      <c r="KSJ1367" s="110"/>
      <c r="KSK1367" s="110"/>
      <c r="KSL1367" s="110"/>
      <c r="KSM1367" s="110"/>
      <c r="KSN1367" s="110"/>
      <c r="KSO1367" s="110"/>
      <c r="KSP1367" s="110"/>
      <c r="KSQ1367" s="110"/>
      <c r="KSR1367" s="110"/>
      <c r="KSS1367" s="110"/>
      <c r="KST1367" s="110"/>
      <c r="KSU1367" s="110"/>
      <c r="KSV1367" s="110"/>
      <c r="KSW1367" s="110"/>
      <c r="KSX1367" s="110"/>
      <c r="KSY1367" s="110"/>
      <c r="KSZ1367" s="110"/>
      <c r="KTA1367" s="110"/>
      <c r="KTB1367" s="110"/>
      <c r="KTC1367" s="110"/>
      <c r="KTD1367" s="110"/>
      <c r="KTE1367" s="110"/>
      <c r="KTF1367" s="110"/>
      <c r="KTG1367" s="110"/>
      <c r="KTH1367" s="110"/>
      <c r="KTI1367" s="110"/>
      <c r="KTJ1367" s="110"/>
      <c r="KTK1367" s="110"/>
      <c r="KTL1367" s="110"/>
      <c r="KTM1367" s="110"/>
      <c r="KTN1367" s="110"/>
      <c r="KTO1367" s="110"/>
      <c r="KTP1367" s="110"/>
      <c r="KTQ1367" s="110"/>
      <c r="KTR1367" s="110"/>
      <c r="KTS1367" s="110"/>
      <c r="KTT1367" s="110"/>
      <c r="KTU1367" s="110"/>
      <c r="KTV1367" s="110"/>
      <c r="KTW1367" s="110"/>
      <c r="KTX1367" s="110"/>
      <c r="KTY1367" s="110"/>
      <c r="KTZ1367" s="110"/>
      <c r="KUA1367" s="110"/>
      <c r="KUB1367" s="110"/>
      <c r="KUC1367" s="110"/>
      <c r="KUD1367" s="110"/>
      <c r="KUE1367" s="110"/>
      <c r="KUF1367" s="110"/>
      <c r="KUG1367" s="110"/>
      <c r="KUH1367" s="110"/>
      <c r="KUI1367" s="110"/>
      <c r="KUJ1367" s="110"/>
      <c r="KUK1367" s="110"/>
      <c r="KUL1367" s="110"/>
      <c r="KUM1367" s="110"/>
      <c r="KUN1367" s="110"/>
      <c r="KUO1367" s="110"/>
      <c r="KUP1367" s="110"/>
      <c r="KUQ1367" s="110"/>
      <c r="KUR1367" s="110"/>
      <c r="KUS1367" s="110"/>
      <c r="KUT1367" s="110"/>
      <c r="KUU1367" s="110"/>
      <c r="KUV1367" s="110"/>
      <c r="KUW1367" s="110"/>
      <c r="KUX1367" s="110"/>
      <c r="KUY1367" s="110"/>
      <c r="KUZ1367" s="110"/>
      <c r="KVA1367" s="110"/>
      <c r="KVB1367" s="110"/>
      <c r="KVC1367" s="110"/>
      <c r="KVD1367" s="110"/>
      <c r="KVE1367" s="110"/>
      <c r="KVF1367" s="110"/>
      <c r="KVG1367" s="110"/>
      <c r="KVH1367" s="110"/>
      <c r="KVI1367" s="110"/>
      <c r="KVJ1367" s="110"/>
      <c r="KVK1367" s="110"/>
      <c r="KVL1367" s="110"/>
      <c r="KVM1367" s="110"/>
      <c r="KVN1367" s="110"/>
      <c r="KVO1367" s="110"/>
      <c r="KVP1367" s="110"/>
      <c r="KVQ1367" s="110"/>
      <c r="KVR1367" s="110"/>
      <c r="KVS1367" s="110"/>
      <c r="KVT1367" s="110"/>
      <c r="KVU1367" s="110"/>
      <c r="KVV1367" s="110"/>
      <c r="KVW1367" s="110"/>
      <c r="KVX1367" s="110"/>
      <c r="KVY1367" s="110"/>
      <c r="KVZ1367" s="110"/>
      <c r="KWA1367" s="110"/>
      <c r="KWB1367" s="110"/>
      <c r="KWC1367" s="110"/>
      <c r="KWD1367" s="110"/>
      <c r="KWE1367" s="110"/>
      <c r="KWF1367" s="110"/>
      <c r="KWG1367" s="110"/>
      <c r="KWH1367" s="110"/>
      <c r="KWI1367" s="110"/>
      <c r="KWJ1367" s="110"/>
      <c r="KWK1367" s="110"/>
      <c r="KWL1367" s="110"/>
      <c r="KWM1367" s="110"/>
      <c r="KWN1367" s="110"/>
      <c r="KWO1367" s="110"/>
      <c r="KWP1367" s="110"/>
      <c r="KWQ1367" s="110"/>
      <c r="KWR1367" s="110"/>
      <c r="KWS1367" s="110"/>
      <c r="KWT1367" s="110"/>
      <c r="KWU1367" s="110"/>
      <c r="KWV1367" s="110"/>
      <c r="KWW1367" s="110"/>
      <c r="KWX1367" s="110"/>
      <c r="KWY1367" s="110"/>
      <c r="KWZ1367" s="110"/>
      <c r="KXA1367" s="110"/>
      <c r="KXB1367" s="110"/>
      <c r="KXC1367" s="110"/>
      <c r="KXD1367" s="110"/>
      <c r="KXE1367" s="110"/>
      <c r="KXF1367" s="110"/>
      <c r="KXG1367" s="110"/>
      <c r="KXH1367" s="110"/>
      <c r="KXI1367" s="110"/>
      <c r="KXJ1367" s="110"/>
      <c r="KXK1367" s="110"/>
      <c r="KXL1367" s="110"/>
      <c r="KXM1367" s="110"/>
      <c r="KXN1367" s="110"/>
      <c r="KXO1367" s="110"/>
      <c r="KXP1367" s="110"/>
      <c r="KXQ1367" s="110"/>
      <c r="KXR1367" s="110"/>
      <c r="KXS1367" s="110"/>
      <c r="KXT1367" s="110"/>
      <c r="KXU1367" s="110"/>
      <c r="KXV1367" s="110"/>
      <c r="KXW1367" s="110"/>
      <c r="KXX1367" s="110"/>
      <c r="KXY1367" s="110"/>
      <c r="KXZ1367" s="110"/>
      <c r="KYA1367" s="110"/>
      <c r="KYB1367" s="110"/>
      <c r="KYC1367" s="110"/>
      <c r="KYD1367" s="110"/>
      <c r="KYE1367" s="110"/>
      <c r="KYF1367" s="110"/>
      <c r="KYG1367" s="110"/>
      <c r="KYH1367" s="110"/>
      <c r="KYI1367" s="110"/>
      <c r="KYJ1367" s="110"/>
      <c r="KYK1367" s="110"/>
      <c r="KYL1367" s="110"/>
      <c r="KYM1367" s="110"/>
      <c r="KYN1367" s="110"/>
      <c r="KYO1367" s="110"/>
      <c r="KYP1367" s="110"/>
      <c r="KYQ1367" s="110"/>
      <c r="KYR1367" s="110"/>
      <c r="KYS1367" s="110"/>
      <c r="KYT1367" s="110"/>
      <c r="KYU1367" s="110"/>
      <c r="KYV1367" s="110"/>
      <c r="KYW1367" s="110"/>
      <c r="KYX1367" s="110"/>
      <c r="KYY1367" s="110"/>
      <c r="KYZ1367" s="110"/>
      <c r="KZA1367" s="110"/>
      <c r="KZB1367" s="110"/>
      <c r="KZC1367" s="110"/>
      <c r="KZD1367" s="110"/>
      <c r="KZE1367" s="110"/>
      <c r="KZF1367" s="110"/>
      <c r="KZG1367" s="110"/>
      <c r="KZH1367" s="110"/>
      <c r="KZI1367" s="110"/>
      <c r="KZJ1367" s="110"/>
      <c r="KZK1367" s="110"/>
      <c r="KZL1367" s="110"/>
      <c r="KZM1367" s="110"/>
      <c r="KZN1367" s="110"/>
      <c r="KZO1367" s="110"/>
      <c r="KZP1367" s="110"/>
      <c r="KZQ1367" s="110"/>
      <c r="KZR1367" s="110"/>
      <c r="KZS1367" s="110"/>
      <c r="KZT1367" s="110"/>
      <c r="KZU1367" s="110"/>
      <c r="KZV1367" s="110"/>
      <c r="KZW1367" s="110"/>
      <c r="KZX1367" s="110"/>
      <c r="KZY1367" s="110"/>
      <c r="KZZ1367" s="110"/>
      <c r="LAA1367" s="110"/>
      <c r="LAB1367" s="110"/>
      <c r="LAC1367" s="110"/>
      <c r="LAD1367" s="110"/>
      <c r="LAE1367" s="110"/>
      <c r="LAF1367" s="110"/>
      <c r="LAG1367" s="110"/>
      <c r="LAH1367" s="110"/>
      <c r="LAI1367" s="110"/>
      <c r="LAJ1367" s="110"/>
      <c r="LAK1367" s="110"/>
      <c r="LAL1367" s="110"/>
      <c r="LAM1367" s="110"/>
      <c r="LAN1367" s="110"/>
      <c r="LAO1367" s="110"/>
      <c r="LAP1367" s="110"/>
      <c r="LAQ1367" s="110"/>
      <c r="LAR1367" s="110"/>
      <c r="LAS1367" s="110"/>
      <c r="LAT1367" s="110"/>
      <c r="LAU1367" s="110"/>
      <c r="LAV1367" s="110"/>
      <c r="LAW1367" s="110"/>
      <c r="LAX1367" s="110"/>
      <c r="LAY1367" s="110"/>
      <c r="LAZ1367" s="110"/>
      <c r="LBA1367" s="110"/>
      <c r="LBB1367" s="110"/>
      <c r="LBC1367" s="110"/>
      <c r="LBD1367" s="110"/>
      <c r="LBE1367" s="110"/>
      <c r="LBF1367" s="110"/>
      <c r="LBG1367" s="110"/>
      <c r="LBH1367" s="110"/>
      <c r="LBI1367" s="110"/>
      <c r="LBJ1367" s="110"/>
      <c r="LBK1367" s="110"/>
      <c r="LBL1367" s="110"/>
      <c r="LBM1367" s="110"/>
      <c r="LBN1367" s="110"/>
      <c r="LBO1367" s="110"/>
      <c r="LBP1367" s="110"/>
      <c r="LBQ1367" s="110"/>
      <c r="LBR1367" s="110"/>
      <c r="LBS1367" s="110"/>
      <c r="LBT1367" s="110"/>
      <c r="LBU1367" s="110"/>
      <c r="LBV1367" s="110"/>
      <c r="LBW1367" s="110"/>
      <c r="LBX1367" s="110"/>
      <c r="LBY1367" s="110"/>
      <c r="LBZ1367" s="110"/>
      <c r="LCA1367" s="110"/>
      <c r="LCB1367" s="110"/>
      <c r="LCC1367" s="110"/>
      <c r="LCD1367" s="110"/>
      <c r="LCE1367" s="110"/>
      <c r="LCF1367" s="110"/>
      <c r="LCG1367" s="110"/>
      <c r="LCH1367" s="110"/>
      <c r="LCI1367" s="110"/>
      <c r="LCJ1367" s="110"/>
      <c r="LCK1367" s="110"/>
      <c r="LCL1367" s="110"/>
      <c r="LCM1367" s="110"/>
      <c r="LCN1367" s="110"/>
      <c r="LCO1367" s="110"/>
      <c r="LCP1367" s="110"/>
      <c r="LCQ1367" s="110"/>
      <c r="LCR1367" s="110"/>
      <c r="LCS1367" s="110"/>
      <c r="LCT1367" s="110"/>
      <c r="LCU1367" s="110"/>
      <c r="LCV1367" s="110"/>
      <c r="LCW1367" s="110"/>
      <c r="LCX1367" s="110"/>
      <c r="LCY1367" s="110"/>
      <c r="LCZ1367" s="110"/>
      <c r="LDA1367" s="110"/>
      <c r="LDB1367" s="110"/>
      <c r="LDC1367" s="110"/>
      <c r="LDD1367" s="110"/>
      <c r="LDE1367" s="110"/>
      <c r="LDF1367" s="110"/>
      <c r="LDG1367" s="110"/>
      <c r="LDH1367" s="110"/>
      <c r="LDI1367" s="110"/>
      <c r="LDJ1367" s="110"/>
      <c r="LDK1367" s="110"/>
      <c r="LDL1367" s="110"/>
      <c r="LDM1367" s="110"/>
      <c r="LDN1367" s="110"/>
      <c r="LDO1367" s="110"/>
      <c r="LDP1367" s="110"/>
      <c r="LDQ1367" s="110"/>
      <c r="LDR1367" s="110"/>
      <c r="LDS1367" s="110"/>
      <c r="LDT1367" s="110"/>
      <c r="LDU1367" s="110"/>
      <c r="LDV1367" s="110"/>
      <c r="LDW1367" s="110"/>
      <c r="LDX1367" s="110"/>
      <c r="LDY1367" s="110"/>
      <c r="LDZ1367" s="110"/>
      <c r="LEA1367" s="110"/>
      <c r="LEB1367" s="110"/>
      <c r="LEC1367" s="110"/>
      <c r="LED1367" s="110"/>
      <c r="LEE1367" s="110"/>
      <c r="LEF1367" s="110"/>
      <c r="LEG1367" s="110"/>
      <c r="LEH1367" s="110"/>
      <c r="LEI1367" s="110"/>
      <c r="LEJ1367" s="110"/>
      <c r="LEK1367" s="110"/>
      <c r="LEL1367" s="110"/>
      <c r="LEM1367" s="110"/>
      <c r="LEN1367" s="110"/>
      <c r="LEO1367" s="110"/>
      <c r="LEP1367" s="110"/>
      <c r="LEQ1367" s="110"/>
      <c r="LER1367" s="110"/>
      <c r="LES1367" s="110"/>
      <c r="LET1367" s="110"/>
      <c r="LEU1367" s="110"/>
      <c r="LEV1367" s="110"/>
      <c r="LEW1367" s="110"/>
      <c r="LEX1367" s="110"/>
      <c r="LEY1367" s="110"/>
      <c r="LEZ1367" s="110"/>
      <c r="LFA1367" s="110"/>
      <c r="LFB1367" s="110"/>
      <c r="LFC1367" s="110"/>
      <c r="LFD1367" s="110"/>
      <c r="LFE1367" s="110"/>
      <c r="LFF1367" s="110"/>
      <c r="LFG1367" s="110"/>
      <c r="LFH1367" s="110"/>
      <c r="LFI1367" s="110"/>
      <c r="LFJ1367" s="110"/>
      <c r="LFK1367" s="110"/>
      <c r="LFL1367" s="110"/>
      <c r="LFM1367" s="110"/>
      <c r="LFN1367" s="110"/>
      <c r="LFO1367" s="110"/>
      <c r="LFP1367" s="110"/>
      <c r="LFQ1367" s="110"/>
      <c r="LFR1367" s="110"/>
      <c r="LFS1367" s="110"/>
      <c r="LFT1367" s="110"/>
      <c r="LFU1367" s="110"/>
      <c r="LFV1367" s="110"/>
      <c r="LFW1367" s="110"/>
      <c r="LFX1367" s="110"/>
      <c r="LFY1367" s="110"/>
      <c r="LFZ1367" s="110"/>
      <c r="LGA1367" s="110"/>
      <c r="LGB1367" s="110"/>
      <c r="LGC1367" s="110"/>
      <c r="LGD1367" s="110"/>
      <c r="LGE1367" s="110"/>
      <c r="LGF1367" s="110"/>
      <c r="LGG1367" s="110"/>
      <c r="LGH1367" s="110"/>
      <c r="LGI1367" s="110"/>
      <c r="LGJ1367" s="110"/>
      <c r="LGK1367" s="110"/>
      <c r="LGL1367" s="110"/>
      <c r="LGM1367" s="110"/>
      <c r="LGN1367" s="110"/>
      <c r="LGO1367" s="110"/>
      <c r="LGP1367" s="110"/>
      <c r="LGQ1367" s="110"/>
      <c r="LGR1367" s="110"/>
      <c r="LGS1367" s="110"/>
      <c r="LGT1367" s="110"/>
      <c r="LGU1367" s="110"/>
      <c r="LGV1367" s="110"/>
      <c r="LGW1367" s="110"/>
      <c r="LGX1367" s="110"/>
      <c r="LGY1367" s="110"/>
      <c r="LGZ1367" s="110"/>
      <c r="LHA1367" s="110"/>
      <c r="LHB1367" s="110"/>
      <c r="LHC1367" s="110"/>
      <c r="LHD1367" s="110"/>
      <c r="LHE1367" s="110"/>
      <c r="LHF1367" s="110"/>
      <c r="LHG1367" s="110"/>
      <c r="LHH1367" s="110"/>
      <c r="LHI1367" s="110"/>
      <c r="LHJ1367" s="110"/>
      <c r="LHK1367" s="110"/>
      <c r="LHL1367" s="110"/>
      <c r="LHM1367" s="110"/>
      <c r="LHN1367" s="110"/>
      <c r="LHO1367" s="110"/>
      <c r="LHP1367" s="110"/>
      <c r="LHQ1367" s="110"/>
      <c r="LHR1367" s="110"/>
      <c r="LHS1367" s="110"/>
      <c r="LHT1367" s="110"/>
      <c r="LHU1367" s="110"/>
      <c r="LHV1367" s="110"/>
      <c r="LHW1367" s="110"/>
      <c r="LHX1367" s="110"/>
      <c r="LHY1367" s="110"/>
      <c r="LHZ1367" s="110"/>
      <c r="LIA1367" s="110"/>
      <c r="LIB1367" s="110"/>
      <c r="LIC1367" s="110"/>
      <c r="LID1367" s="110"/>
      <c r="LIE1367" s="110"/>
      <c r="LIF1367" s="110"/>
      <c r="LIG1367" s="110"/>
      <c r="LIH1367" s="110"/>
      <c r="LII1367" s="110"/>
      <c r="LIJ1367" s="110"/>
      <c r="LIK1367" s="110"/>
      <c r="LIL1367" s="110"/>
      <c r="LIM1367" s="110"/>
      <c r="LIN1367" s="110"/>
      <c r="LIO1367" s="110"/>
      <c r="LIP1367" s="110"/>
      <c r="LIQ1367" s="110"/>
      <c r="LIR1367" s="110"/>
      <c r="LIS1367" s="110"/>
      <c r="LIT1367" s="110"/>
      <c r="LIU1367" s="110"/>
      <c r="LIV1367" s="110"/>
      <c r="LIW1367" s="110"/>
      <c r="LIX1367" s="110"/>
      <c r="LIY1367" s="110"/>
      <c r="LIZ1367" s="110"/>
      <c r="LJA1367" s="110"/>
      <c r="LJB1367" s="110"/>
      <c r="LJC1367" s="110"/>
      <c r="LJD1367" s="110"/>
      <c r="LJE1367" s="110"/>
      <c r="LJF1367" s="110"/>
      <c r="LJG1367" s="110"/>
      <c r="LJH1367" s="110"/>
      <c r="LJI1367" s="110"/>
      <c r="LJJ1367" s="110"/>
      <c r="LJK1367" s="110"/>
      <c r="LJL1367" s="110"/>
      <c r="LJM1367" s="110"/>
      <c r="LJN1367" s="110"/>
      <c r="LJO1367" s="110"/>
      <c r="LJP1367" s="110"/>
      <c r="LJQ1367" s="110"/>
      <c r="LJR1367" s="110"/>
      <c r="LJS1367" s="110"/>
      <c r="LJT1367" s="110"/>
      <c r="LJU1367" s="110"/>
      <c r="LJV1367" s="110"/>
      <c r="LJW1367" s="110"/>
      <c r="LJX1367" s="110"/>
      <c r="LJY1367" s="110"/>
      <c r="LJZ1367" s="110"/>
      <c r="LKA1367" s="110"/>
      <c r="LKB1367" s="110"/>
      <c r="LKC1367" s="110"/>
      <c r="LKD1367" s="110"/>
      <c r="LKE1367" s="110"/>
      <c r="LKF1367" s="110"/>
      <c r="LKG1367" s="110"/>
      <c r="LKH1367" s="110"/>
      <c r="LKI1367" s="110"/>
      <c r="LKJ1367" s="110"/>
      <c r="LKK1367" s="110"/>
      <c r="LKL1367" s="110"/>
      <c r="LKM1367" s="110"/>
      <c r="LKN1367" s="110"/>
      <c r="LKO1367" s="110"/>
      <c r="LKP1367" s="110"/>
      <c r="LKQ1367" s="110"/>
      <c r="LKR1367" s="110"/>
      <c r="LKS1367" s="110"/>
      <c r="LKT1367" s="110"/>
      <c r="LKU1367" s="110"/>
      <c r="LKV1367" s="110"/>
      <c r="LKW1367" s="110"/>
      <c r="LKX1367" s="110"/>
      <c r="LKY1367" s="110"/>
      <c r="LKZ1367" s="110"/>
      <c r="LLA1367" s="110"/>
      <c r="LLB1367" s="110"/>
      <c r="LLC1367" s="110"/>
      <c r="LLD1367" s="110"/>
      <c r="LLE1367" s="110"/>
      <c r="LLF1367" s="110"/>
      <c r="LLG1367" s="110"/>
      <c r="LLH1367" s="110"/>
      <c r="LLI1367" s="110"/>
      <c r="LLJ1367" s="110"/>
      <c r="LLK1367" s="110"/>
      <c r="LLL1367" s="110"/>
      <c r="LLM1367" s="110"/>
      <c r="LLN1367" s="110"/>
      <c r="LLO1367" s="110"/>
      <c r="LLP1367" s="110"/>
      <c r="LLQ1367" s="110"/>
      <c r="LLR1367" s="110"/>
      <c r="LLS1367" s="110"/>
      <c r="LLT1367" s="110"/>
      <c r="LLU1367" s="110"/>
      <c r="LLV1367" s="110"/>
      <c r="LLW1367" s="110"/>
      <c r="LLX1367" s="110"/>
      <c r="LLY1367" s="110"/>
      <c r="LLZ1367" s="110"/>
      <c r="LMA1367" s="110"/>
      <c r="LMB1367" s="110"/>
      <c r="LMC1367" s="110"/>
      <c r="LMD1367" s="110"/>
      <c r="LME1367" s="110"/>
      <c r="LMF1367" s="110"/>
      <c r="LMG1367" s="110"/>
      <c r="LMH1367" s="110"/>
      <c r="LMI1367" s="110"/>
      <c r="LMJ1367" s="110"/>
      <c r="LMK1367" s="110"/>
      <c r="LML1367" s="110"/>
      <c r="LMM1367" s="110"/>
      <c r="LMN1367" s="110"/>
      <c r="LMO1367" s="110"/>
      <c r="LMP1367" s="110"/>
      <c r="LMQ1367" s="110"/>
      <c r="LMR1367" s="110"/>
      <c r="LMS1367" s="110"/>
      <c r="LMT1367" s="110"/>
      <c r="LMU1367" s="110"/>
      <c r="LMV1367" s="110"/>
      <c r="LMW1367" s="110"/>
      <c r="LMX1367" s="110"/>
      <c r="LMY1367" s="110"/>
      <c r="LMZ1367" s="110"/>
      <c r="LNA1367" s="110"/>
      <c r="LNB1367" s="110"/>
      <c r="LNC1367" s="110"/>
      <c r="LND1367" s="110"/>
      <c r="LNE1367" s="110"/>
      <c r="LNF1367" s="110"/>
      <c r="LNG1367" s="110"/>
      <c r="LNH1367" s="110"/>
      <c r="LNI1367" s="110"/>
      <c r="LNJ1367" s="110"/>
      <c r="LNK1367" s="110"/>
      <c r="LNL1367" s="110"/>
      <c r="LNM1367" s="110"/>
      <c r="LNN1367" s="110"/>
      <c r="LNO1367" s="110"/>
      <c r="LNP1367" s="110"/>
      <c r="LNQ1367" s="110"/>
      <c r="LNR1367" s="110"/>
      <c r="LNS1367" s="110"/>
      <c r="LNT1367" s="110"/>
      <c r="LNU1367" s="110"/>
      <c r="LNV1367" s="110"/>
      <c r="LNW1367" s="110"/>
      <c r="LNX1367" s="110"/>
      <c r="LNY1367" s="110"/>
      <c r="LNZ1367" s="110"/>
      <c r="LOA1367" s="110"/>
      <c r="LOB1367" s="110"/>
      <c r="LOC1367" s="110"/>
      <c r="LOD1367" s="110"/>
      <c r="LOE1367" s="110"/>
      <c r="LOF1367" s="110"/>
      <c r="LOG1367" s="110"/>
      <c r="LOH1367" s="110"/>
      <c r="LOI1367" s="110"/>
      <c r="LOJ1367" s="110"/>
      <c r="LOK1367" s="110"/>
      <c r="LOL1367" s="110"/>
      <c r="LOM1367" s="110"/>
      <c r="LON1367" s="110"/>
      <c r="LOO1367" s="110"/>
      <c r="LOP1367" s="110"/>
      <c r="LOQ1367" s="110"/>
      <c r="LOR1367" s="110"/>
      <c r="LOS1367" s="110"/>
      <c r="LOT1367" s="110"/>
      <c r="LOU1367" s="110"/>
      <c r="LOV1367" s="110"/>
      <c r="LOW1367" s="110"/>
      <c r="LOX1367" s="110"/>
      <c r="LOY1367" s="110"/>
      <c r="LOZ1367" s="110"/>
      <c r="LPA1367" s="110"/>
      <c r="LPB1367" s="110"/>
      <c r="LPC1367" s="110"/>
      <c r="LPD1367" s="110"/>
      <c r="LPE1367" s="110"/>
      <c r="LPF1367" s="110"/>
      <c r="LPG1367" s="110"/>
      <c r="LPH1367" s="110"/>
      <c r="LPI1367" s="110"/>
      <c r="LPJ1367" s="110"/>
      <c r="LPK1367" s="110"/>
      <c r="LPL1367" s="110"/>
      <c r="LPM1367" s="110"/>
      <c r="LPN1367" s="110"/>
      <c r="LPO1367" s="110"/>
      <c r="LPP1367" s="110"/>
      <c r="LPQ1367" s="110"/>
      <c r="LPR1367" s="110"/>
      <c r="LPS1367" s="110"/>
      <c r="LPT1367" s="110"/>
      <c r="LPU1367" s="110"/>
      <c r="LPV1367" s="110"/>
      <c r="LPW1367" s="110"/>
      <c r="LPX1367" s="110"/>
      <c r="LPY1367" s="110"/>
      <c r="LPZ1367" s="110"/>
      <c r="LQA1367" s="110"/>
      <c r="LQB1367" s="110"/>
      <c r="LQC1367" s="110"/>
      <c r="LQD1367" s="110"/>
      <c r="LQE1367" s="110"/>
      <c r="LQF1367" s="110"/>
      <c r="LQG1367" s="110"/>
      <c r="LQH1367" s="110"/>
      <c r="LQI1367" s="110"/>
      <c r="LQJ1367" s="110"/>
      <c r="LQK1367" s="110"/>
      <c r="LQL1367" s="110"/>
      <c r="LQM1367" s="110"/>
      <c r="LQN1367" s="110"/>
      <c r="LQO1367" s="110"/>
      <c r="LQP1367" s="110"/>
      <c r="LQQ1367" s="110"/>
      <c r="LQR1367" s="110"/>
      <c r="LQS1367" s="110"/>
      <c r="LQT1367" s="110"/>
      <c r="LQU1367" s="110"/>
      <c r="LQV1367" s="110"/>
      <c r="LQW1367" s="110"/>
      <c r="LQX1367" s="110"/>
      <c r="LQY1367" s="110"/>
      <c r="LQZ1367" s="110"/>
      <c r="LRA1367" s="110"/>
      <c r="LRB1367" s="110"/>
      <c r="LRC1367" s="110"/>
      <c r="LRD1367" s="110"/>
      <c r="LRE1367" s="110"/>
      <c r="LRF1367" s="110"/>
      <c r="LRG1367" s="110"/>
      <c r="LRH1367" s="110"/>
      <c r="LRI1367" s="110"/>
      <c r="LRJ1367" s="110"/>
      <c r="LRK1367" s="110"/>
      <c r="LRL1367" s="110"/>
      <c r="LRM1367" s="110"/>
      <c r="LRN1367" s="110"/>
      <c r="LRO1367" s="110"/>
      <c r="LRP1367" s="110"/>
      <c r="LRQ1367" s="110"/>
      <c r="LRR1367" s="110"/>
      <c r="LRS1367" s="110"/>
      <c r="LRT1367" s="110"/>
      <c r="LRU1367" s="110"/>
      <c r="LRV1367" s="110"/>
      <c r="LRW1367" s="110"/>
      <c r="LRX1367" s="110"/>
      <c r="LRY1367" s="110"/>
      <c r="LRZ1367" s="110"/>
      <c r="LSA1367" s="110"/>
      <c r="LSB1367" s="110"/>
      <c r="LSC1367" s="110"/>
      <c r="LSD1367" s="110"/>
      <c r="LSE1367" s="110"/>
      <c r="LSF1367" s="110"/>
      <c r="LSG1367" s="110"/>
      <c r="LSH1367" s="110"/>
      <c r="LSI1367" s="110"/>
      <c r="LSJ1367" s="110"/>
      <c r="LSK1367" s="110"/>
      <c r="LSL1367" s="110"/>
      <c r="LSM1367" s="110"/>
      <c r="LSN1367" s="110"/>
      <c r="LSO1367" s="110"/>
      <c r="LSP1367" s="110"/>
      <c r="LSQ1367" s="110"/>
      <c r="LSR1367" s="110"/>
      <c r="LSS1367" s="110"/>
      <c r="LST1367" s="110"/>
      <c r="LSU1367" s="110"/>
      <c r="LSV1367" s="110"/>
      <c r="LSW1367" s="110"/>
      <c r="LSX1367" s="110"/>
      <c r="LSY1367" s="110"/>
      <c r="LSZ1367" s="110"/>
      <c r="LTA1367" s="110"/>
      <c r="LTB1367" s="110"/>
      <c r="LTC1367" s="110"/>
      <c r="LTD1367" s="110"/>
      <c r="LTE1367" s="110"/>
      <c r="LTF1367" s="110"/>
      <c r="LTG1367" s="110"/>
      <c r="LTH1367" s="110"/>
      <c r="LTI1367" s="110"/>
      <c r="LTJ1367" s="110"/>
      <c r="LTK1367" s="110"/>
      <c r="LTL1367" s="110"/>
      <c r="LTM1367" s="110"/>
      <c r="LTN1367" s="110"/>
      <c r="LTO1367" s="110"/>
      <c r="LTP1367" s="110"/>
      <c r="LTQ1367" s="110"/>
      <c r="LTR1367" s="110"/>
      <c r="LTS1367" s="110"/>
      <c r="LTT1367" s="110"/>
      <c r="LTU1367" s="110"/>
      <c r="LTV1367" s="110"/>
      <c r="LTW1367" s="110"/>
      <c r="LTX1367" s="110"/>
      <c r="LTY1367" s="110"/>
      <c r="LTZ1367" s="110"/>
      <c r="LUA1367" s="110"/>
      <c r="LUB1367" s="110"/>
      <c r="LUC1367" s="110"/>
      <c r="LUD1367" s="110"/>
      <c r="LUE1367" s="110"/>
      <c r="LUF1367" s="110"/>
      <c r="LUG1367" s="110"/>
      <c r="LUH1367" s="110"/>
      <c r="LUI1367" s="110"/>
      <c r="LUJ1367" s="110"/>
      <c r="LUK1367" s="110"/>
      <c r="LUL1367" s="110"/>
      <c r="LUM1367" s="110"/>
      <c r="LUN1367" s="110"/>
      <c r="LUO1367" s="110"/>
      <c r="LUP1367" s="110"/>
      <c r="LUQ1367" s="110"/>
      <c r="LUR1367" s="110"/>
      <c r="LUS1367" s="110"/>
      <c r="LUT1367" s="110"/>
      <c r="LUU1367" s="110"/>
      <c r="LUV1367" s="110"/>
      <c r="LUW1367" s="110"/>
      <c r="LUX1367" s="110"/>
      <c r="LUY1367" s="110"/>
      <c r="LUZ1367" s="110"/>
      <c r="LVA1367" s="110"/>
      <c r="LVB1367" s="110"/>
      <c r="LVC1367" s="110"/>
      <c r="LVD1367" s="110"/>
      <c r="LVE1367" s="110"/>
      <c r="LVF1367" s="110"/>
      <c r="LVG1367" s="110"/>
      <c r="LVH1367" s="110"/>
      <c r="LVI1367" s="110"/>
      <c r="LVJ1367" s="110"/>
      <c r="LVK1367" s="110"/>
      <c r="LVL1367" s="110"/>
      <c r="LVM1367" s="110"/>
      <c r="LVN1367" s="110"/>
      <c r="LVO1367" s="110"/>
      <c r="LVP1367" s="110"/>
      <c r="LVQ1367" s="110"/>
      <c r="LVR1367" s="110"/>
      <c r="LVS1367" s="110"/>
      <c r="LVT1367" s="110"/>
      <c r="LVU1367" s="110"/>
      <c r="LVV1367" s="110"/>
      <c r="LVW1367" s="110"/>
      <c r="LVX1367" s="110"/>
      <c r="LVY1367" s="110"/>
      <c r="LVZ1367" s="110"/>
      <c r="LWA1367" s="110"/>
      <c r="LWB1367" s="110"/>
      <c r="LWC1367" s="110"/>
      <c r="LWD1367" s="110"/>
      <c r="LWE1367" s="110"/>
      <c r="LWF1367" s="110"/>
      <c r="LWG1367" s="110"/>
      <c r="LWH1367" s="110"/>
      <c r="LWI1367" s="110"/>
      <c r="LWJ1367" s="110"/>
      <c r="LWK1367" s="110"/>
      <c r="LWL1367" s="110"/>
      <c r="LWM1367" s="110"/>
      <c r="LWN1367" s="110"/>
      <c r="LWO1367" s="110"/>
      <c r="LWP1367" s="110"/>
      <c r="LWQ1367" s="110"/>
      <c r="LWR1367" s="110"/>
      <c r="LWS1367" s="110"/>
      <c r="LWT1367" s="110"/>
      <c r="LWU1367" s="110"/>
      <c r="LWV1367" s="110"/>
      <c r="LWW1367" s="110"/>
      <c r="LWX1367" s="110"/>
      <c r="LWY1367" s="110"/>
      <c r="LWZ1367" s="110"/>
      <c r="LXA1367" s="110"/>
      <c r="LXB1367" s="110"/>
      <c r="LXC1367" s="110"/>
      <c r="LXD1367" s="110"/>
      <c r="LXE1367" s="110"/>
      <c r="LXF1367" s="110"/>
      <c r="LXG1367" s="110"/>
      <c r="LXH1367" s="110"/>
      <c r="LXI1367" s="110"/>
      <c r="LXJ1367" s="110"/>
      <c r="LXK1367" s="110"/>
      <c r="LXL1367" s="110"/>
      <c r="LXM1367" s="110"/>
      <c r="LXN1367" s="110"/>
      <c r="LXO1367" s="110"/>
      <c r="LXP1367" s="110"/>
      <c r="LXQ1367" s="110"/>
      <c r="LXR1367" s="110"/>
      <c r="LXS1367" s="110"/>
      <c r="LXT1367" s="110"/>
      <c r="LXU1367" s="110"/>
      <c r="LXV1367" s="110"/>
      <c r="LXW1367" s="110"/>
      <c r="LXX1367" s="110"/>
      <c r="LXY1367" s="110"/>
      <c r="LXZ1367" s="110"/>
      <c r="LYA1367" s="110"/>
      <c r="LYB1367" s="110"/>
      <c r="LYC1367" s="110"/>
      <c r="LYD1367" s="110"/>
      <c r="LYE1367" s="110"/>
      <c r="LYF1367" s="110"/>
      <c r="LYG1367" s="110"/>
      <c r="LYH1367" s="110"/>
      <c r="LYI1367" s="110"/>
      <c r="LYJ1367" s="110"/>
      <c r="LYK1367" s="110"/>
      <c r="LYL1367" s="110"/>
      <c r="LYM1367" s="110"/>
      <c r="LYN1367" s="110"/>
      <c r="LYO1367" s="110"/>
      <c r="LYP1367" s="110"/>
      <c r="LYQ1367" s="110"/>
      <c r="LYR1367" s="110"/>
      <c r="LYS1367" s="110"/>
      <c r="LYT1367" s="110"/>
      <c r="LYU1367" s="110"/>
      <c r="LYV1367" s="110"/>
      <c r="LYW1367" s="110"/>
      <c r="LYX1367" s="110"/>
      <c r="LYY1367" s="110"/>
      <c r="LYZ1367" s="110"/>
      <c r="LZA1367" s="110"/>
      <c r="LZB1367" s="110"/>
      <c r="LZC1367" s="110"/>
      <c r="LZD1367" s="110"/>
      <c r="LZE1367" s="110"/>
      <c r="LZF1367" s="110"/>
      <c r="LZG1367" s="110"/>
      <c r="LZH1367" s="110"/>
      <c r="LZI1367" s="110"/>
      <c r="LZJ1367" s="110"/>
      <c r="LZK1367" s="110"/>
      <c r="LZL1367" s="110"/>
      <c r="LZM1367" s="110"/>
      <c r="LZN1367" s="110"/>
      <c r="LZO1367" s="110"/>
      <c r="LZP1367" s="110"/>
      <c r="LZQ1367" s="110"/>
      <c r="LZR1367" s="110"/>
      <c r="LZS1367" s="110"/>
      <c r="LZT1367" s="110"/>
      <c r="LZU1367" s="110"/>
      <c r="LZV1367" s="110"/>
      <c r="LZW1367" s="110"/>
      <c r="LZX1367" s="110"/>
      <c r="LZY1367" s="110"/>
      <c r="LZZ1367" s="110"/>
      <c r="MAA1367" s="110"/>
      <c r="MAB1367" s="110"/>
      <c r="MAC1367" s="110"/>
      <c r="MAD1367" s="110"/>
      <c r="MAE1367" s="110"/>
      <c r="MAF1367" s="110"/>
      <c r="MAG1367" s="110"/>
      <c r="MAH1367" s="110"/>
      <c r="MAI1367" s="110"/>
      <c r="MAJ1367" s="110"/>
      <c r="MAK1367" s="110"/>
      <c r="MAL1367" s="110"/>
      <c r="MAM1367" s="110"/>
      <c r="MAN1367" s="110"/>
      <c r="MAO1367" s="110"/>
      <c r="MAP1367" s="110"/>
      <c r="MAQ1367" s="110"/>
      <c r="MAR1367" s="110"/>
      <c r="MAS1367" s="110"/>
      <c r="MAT1367" s="110"/>
      <c r="MAU1367" s="110"/>
      <c r="MAV1367" s="110"/>
      <c r="MAW1367" s="110"/>
      <c r="MAX1367" s="110"/>
      <c r="MAY1367" s="110"/>
      <c r="MAZ1367" s="110"/>
      <c r="MBA1367" s="110"/>
      <c r="MBB1367" s="110"/>
      <c r="MBC1367" s="110"/>
      <c r="MBD1367" s="110"/>
      <c r="MBE1367" s="110"/>
      <c r="MBF1367" s="110"/>
      <c r="MBG1367" s="110"/>
      <c r="MBH1367" s="110"/>
      <c r="MBI1367" s="110"/>
      <c r="MBJ1367" s="110"/>
      <c r="MBK1367" s="110"/>
      <c r="MBL1367" s="110"/>
      <c r="MBM1367" s="110"/>
      <c r="MBN1367" s="110"/>
      <c r="MBO1367" s="110"/>
      <c r="MBP1367" s="110"/>
      <c r="MBQ1367" s="110"/>
      <c r="MBR1367" s="110"/>
      <c r="MBS1367" s="110"/>
      <c r="MBT1367" s="110"/>
      <c r="MBU1367" s="110"/>
      <c r="MBV1367" s="110"/>
      <c r="MBW1367" s="110"/>
      <c r="MBX1367" s="110"/>
      <c r="MBY1367" s="110"/>
      <c r="MBZ1367" s="110"/>
      <c r="MCA1367" s="110"/>
      <c r="MCB1367" s="110"/>
      <c r="MCC1367" s="110"/>
      <c r="MCD1367" s="110"/>
      <c r="MCE1367" s="110"/>
      <c r="MCF1367" s="110"/>
      <c r="MCG1367" s="110"/>
      <c r="MCH1367" s="110"/>
      <c r="MCI1367" s="110"/>
      <c r="MCJ1367" s="110"/>
      <c r="MCK1367" s="110"/>
      <c r="MCL1367" s="110"/>
      <c r="MCM1367" s="110"/>
      <c r="MCN1367" s="110"/>
      <c r="MCO1367" s="110"/>
      <c r="MCP1367" s="110"/>
      <c r="MCQ1367" s="110"/>
      <c r="MCR1367" s="110"/>
      <c r="MCS1367" s="110"/>
      <c r="MCT1367" s="110"/>
      <c r="MCU1367" s="110"/>
      <c r="MCV1367" s="110"/>
      <c r="MCW1367" s="110"/>
      <c r="MCX1367" s="110"/>
      <c r="MCY1367" s="110"/>
      <c r="MCZ1367" s="110"/>
      <c r="MDA1367" s="110"/>
      <c r="MDB1367" s="110"/>
      <c r="MDC1367" s="110"/>
      <c r="MDD1367" s="110"/>
      <c r="MDE1367" s="110"/>
      <c r="MDF1367" s="110"/>
      <c r="MDG1367" s="110"/>
      <c r="MDH1367" s="110"/>
      <c r="MDI1367" s="110"/>
      <c r="MDJ1367" s="110"/>
      <c r="MDK1367" s="110"/>
      <c r="MDL1367" s="110"/>
      <c r="MDM1367" s="110"/>
      <c r="MDN1367" s="110"/>
      <c r="MDO1367" s="110"/>
      <c r="MDP1367" s="110"/>
      <c r="MDQ1367" s="110"/>
      <c r="MDR1367" s="110"/>
      <c r="MDS1367" s="110"/>
      <c r="MDT1367" s="110"/>
      <c r="MDU1367" s="110"/>
      <c r="MDV1367" s="110"/>
      <c r="MDW1367" s="110"/>
      <c r="MDX1367" s="110"/>
      <c r="MDY1367" s="110"/>
      <c r="MDZ1367" s="110"/>
      <c r="MEA1367" s="110"/>
      <c r="MEB1367" s="110"/>
      <c r="MEC1367" s="110"/>
      <c r="MED1367" s="110"/>
      <c r="MEE1367" s="110"/>
      <c r="MEF1367" s="110"/>
      <c r="MEG1367" s="110"/>
      <c r="MEH1367" s="110"/>
      <c r="MEI1367" s="110"/>
      <c r="MEJ1367" s="110"/>
      <c r="MEK1367" s="110"/>
      <c r="MEL1367" s="110"/>
      <c r="MEM1367" s="110"/>
      <c r="MEN1367" s="110"/>
      <c r="MEO1367" s="110"/>
      <c r="MEP1367" s="110"/>
      <c r="MEQ1367" s="110"/>
      <c r="MER1367" s="110"/>
      <c r="MES1367" s="110"/>
      <c r="MET1367" s="110"/>
      <c r="MEU1367" s="110"/>
      <c r="MEV1367" s="110"/>
      <c r="MEW1367" s="110"/>
      <c r="MEX1367" s="110"/>
      <c r="MEY1367" s="110"/>
      <c r="MEZ1367" s="110"/>
      <c r="MFA1367" s="110"/>
      <c r="MFB1367" s="110"/>
      <c r="MFC1367" s="110"/>
      <c r="MFD1367" s="110"/>
      <c r="MFE1367" s="110"/>
      <c r="MFF1367" s="110"/>
      <c r="MFG1367" s="110"/>
      <c r="MFH1367" s="110"/>
      <c r="MFI1367" s="110"/>
      <c r="MFJ1367" s="110"/>
      <c r="MFK1367" s="110"/>
      <c r="MFL1367" s="110"/>
      <c r="MFM1367" s="110"/>
      <c r="MFN1367" s="110"/>
      <c r="MFO1367" s="110"/>
      <c r="MFP1367" s="110"/>
      <c r="MFQ1367" s="110"/>
      <c r="MFR1367" s="110"/>
      <c r="MFS1367" s="110"/>
      <c r="MFT1367" s="110"/>
      <c r="MFU1367" s="110"/>
      <c r="MFV1367" s="110"/>
      <c r="MFW1367" s="110"/>
      <c r="MFX1367" s="110"/>
      <c r="MFY1367" s="110"/>
      <c r="MFZ1367" s="110"/>
      <c r="MGA1367" s="110"/>
      <c r="MGB1367" s="110"/>
      <c r="MGC1367" s="110"/>
      <c r="MGD1367" s="110"/>
      <c r="MGE1367" s="110"/>
      <c r="MGF1367" s="110"/>
      <c r="MGG1367" s="110"/>
      <c r="MGH1367" s="110"/>
      <c r="MGI1367" s="110"/>
      <c r="MGJ1367" s="110"/>
      <c r="MGK1367" s="110"/>
      <c r="MGL1367" s="110"/>
      <c r="MGM1367" s="110"/>
      <c r="MGN1367" s="110"/>
      <c r="MGO1367" s="110"/>
      <c r="MGP1367" s="110"/>
      <c r="MGQ1367" s="110"/>
      <c r="MGR1367" s="110"/>
      <c r="MGS1367" s="110"/>
      <c r="MGT1367" s="110"/>
      <c r="MGU1367" s="110"/>
      <c r="MGV1367" s="110"/>
      <c r="MGW1367" s="110"/>
      <c r="MGX1367" s="110"/>
      <c r="MGY1367" s="110"/>
      <c r="MGZ1367" s="110"/>
      <c r="MHA1367" s="110"/>
      <c r="MHB1367" s="110"/>
      <c r="MHC1367" s="110"/>
      <c r="MHD1367" s="110"/>
      <c r="MHE1367" s="110"/>
      <c r="MHF1367" s="110"/>
      <c r="MHG1367" s="110"/>
      <c r="MHH1367" s="110"/>
      <c r="MHI1367" s="110"/>
      <c r="MHJ1367" s="110"/>
      <c r="MHK1367" s="110"/>
      <c r="MHL1367" s="110"/>
      <c r="MHM1367" s="110"/>
      <c r="MHN1367" s="110"/>
      <c r="MHO1367" s="110"/>
      <c r="MHP1367" s="110"/>
      <c r="MHQ1367" s="110"/>
      <c r="MHR1367" s="110"/>
      <c r="MHS1367" s="110"/>
      <c r="MHT1367" s="110"/>
      <c r="MHU1367" s="110"/>
      <c r="MHV1367" s="110"/>
      <c r="MHW1367" s="110"/>
      <c r="MHX1367" s="110"/>
      <c r="MHY1367" s="110"/>
      <c r="MHZ1367" s="110"/>
      <c r="MIA1367" s="110"/>
      <c r="MIB1367" s="110"/>
      <c r="MIC1367" s="110"/>
      <c r="MID1367" s="110"/>
      <c r="MIE1367" s="110"/>
      <c r="MIF1367" s="110"/>
      <c r="MIG1367" s="110"/>
      <c r="MIH1367" s="110"/>
      <c r="MII1367" s="110"/>
      <c r="MIJ1367" s="110"/>
      <c r="MIK1367" s="110"/>
      <c r="MIL1367" s="110"/>
      <c r="MIM1367" s="110"/>
      <c r="MIN1367" s="110"/>
      <c r="MIO1367" s="110"/>
      <c r="MIP1367" s="110"/>
      <c r="MIQ1367" s="110"/>
      <c r="MIR1367" s="110"/>
      <c r="MIS1367" s="110"/>
      <c r="MIT1367" s="110"/>
      <c r="MIU1367" s="110"/>
      <c r="MIV1367" s="110"/>
      <c r="MIW1367" s="110"/>
      <c r="MIX1367" s="110"/>
      <c r="MIY1367" s="110"/>
      <c r="MIZ1367" s="110"/>
      <c r="MJA1367" s="110"/>
      <c r="MJB1367" s="110"/>
      <c r="MJC1367" s="110"/>
      <c r="MJD1367" s="110"/>
      <c r="MJE1367" s="110"/>
      <c r="MJF1367" s="110"/>
      <c r="MJG1367" s="110"/>
      <c r="MJH1367" s="110"/>
      <c r="MJI1367" s="110"/>
      <c r="MJJ1367" s="110"/>
      <c r="MJK1367" s="110"/>
      <c r="MJL1367" s="110"/>
      <c r="MJM1367" s="110"/>
      <c r="MJN1367" s="110"/>
      <c r="MJO1367" s="110"/>
      <c r="MJP1367" s="110"/>
      <c r="MJQ1367" s="110"/>
      <c r="MJR1367" s="110"/>
      <c r="MJS1367" s="110"/>
      <c r="MJT1367" s="110"/>
      <c r="MJU1367" s="110"/>
      <c r="MJV1367" s="110"/>
      <c r="MJW1367" s="110"/>
      <c r="MJX1367" s="110"/>
      <c r="MJY1367" s="110"/>
      <c r="MJZ1367" s="110"/>
      <c r="MKA1367" s="110"/>
      <c r="MKB1367" s="110"/>
      <c r="MKC1367" s="110"/>
      <c r="MKD1367" s="110"/>
      <c r="MKE1367" s="110"/>
      <c r="MKF1367" s="110"/>
      <c r="MKG1367" s="110"/>
      <c r="MKH1367" s="110"/>
      <c r="MKI1367" s="110"/>
      <c r="MKJ1367" s="110"/>
      <c r="MKK1367" s="110"/>
      <c r="MKL1367" s="110"/>
      <c r="MKM1367" s="110"/>
      <c r="MKN1367" s="110"/>
      <c r="MKO1367" s="110"/>
      <c r="MKP1367" s="110"/>
      <c r="MKQ1367" s="110"/>
      <c r="MKR1367" s="110"/>
      <c r="MKS1367" s="110"/>
      <c r="MKT1367" s="110"/>
      <c r="MKU1367" s="110"/>
      <c r="MKV1367" s="110"/>
      <c r="MKW1367" s="110"/>
      <c r="MKX1367" s="110"/>
      <c r="MKY1367" s="110"/>
      <c r="MKZ1367" s="110"/>
      <c r="MLA1367" s="110"/>
      <c r="MLB1367" s="110"/>
      <c r="MLC1367" s="110"/>
      <c r="MLD1367" s="110"/>
      <c r="MLE1367" s="110"/>
      <c r="MLF1367" s="110"/>
      <c r="MLG1367" s="110"/>
      <c r="MLH1367" s="110"/>
      <c r="MLI1367" s="110"/>
      <c r="MLJ1367" s="110"/>
      <c r="MLK1367" s="110"/>
      <c r="MLL1367" s="110"/>
      <c r="MLM1367" s="110"/>
      <c r="MLN1367" s="110"/>
      <c r="MLO1367" s="110"/>
      <c r="MLP1367" s="110"/>
      <c r="MLQ1367" s="110"/>
      <c r="MLR1367" s="110"/>
      <c r="MLS1367" s="110"/>
      <c r="MLT1367" s="110"/>
      <c r="MLU1367" s="110"/>
      <c r="MLV1367" s="110"/>
      <c r="MLW1367" s="110"/>
      <c r="MLX1367" s="110"/>
      <c r="MLY1367" s="110"/>
      <c r="MLZ1367" s="110"/>
      <c r="MMA1367" s="110"/>
      <c r="MMB1367" s="110"/>
      <c r="MMC1367" s="110"/>
      <c r="MMD1367" s="110"/>
      <c r="MME1367" s="110"/>
      <c r="MMF1367" s="110"/>
      <c r="MMG1367" s="110"/>
      <c r="MMH1367" s="110"/>
      <c r="MMI1367" s="110"/>
      <c r="MMJ1367" s="110"/>
      <c r="MMK1367" s="110"/>
      <c r="MML1367" s="110"/>
      <c r="MMM1367" s="110"/>
      <c r="MMN1367" s="110"/>
      <c r="MMO1367" s="110"/>
      <c r="MMP1367" s="110"/>
      <c r="MMQ1367" s="110"/>
      <c r="MMR1367" s="110"/>
      <c r="MMS1367" s="110"/>
      <c r="MMT1367" s="110"/>
      <c r="MMU1367" s="110"/>
      <c r="MMV1367" s="110"/>
      <c r="MMW1367" s="110"/>
      <c r="MMX1367" s="110"/>
      <c r="MMY1367" s="110"/>
      <c r="MMZ1367" s="110"/>
      <c r="MNA1367" s="110"/>
      <c r="MNB1367" s="110"/>
      <c r="MNC1367" s="110"/>
      <c r="MND1367" s="110"/>
      <c r="MNE1367" s="110"/>
      <c r="MNF1367" s="110"/>
      <c r="MNG1367" s="110"/>
      <c r="MNH1367" s="110"/>
      <c r="MNI1367" s="110"/>
      <c r="MNJ1367" s="110"/>
      <c r="MNK1367" s="110"/>
      <c r="MNL1367" s="110"/>
      <c r="MNM1367" s="110"/>
      <c r="MNN1367" s="110"/>
      <c r="MNO1367" s="110"/>
      <c r="MNP1367" s="110"/>
      <c r="MNQ1367" s="110"/>
      <c r="MNR1367" s="110"/>
      <c r="MNS1367" s="110"/>
      <c r="MNT1367" s="110"/>
      <c r="MNU1367" s="110"/>
      <c r="MNV1367" s="110"/>
      <c r="MNW1367" s="110"/>
      <c r="MNX1367" s="110"/>
      <c r="MNY1367" s="110"/>
      <c r="MNZ1367" s="110"/>
      <c r="MOA1367" s="110"/>
      <c r="MOB1367" s="110"/>
      <c r="MOC1367" s="110"/>
      <c r="MOD1367" s="110"/>
      <c r="MOE1367" s="110"/>
      <c r="MOF1367" s="110"/>
      <c r="MOG1367" s="110"/>
      <c r="MOH1367" s="110"/>
      <c r="MOI1367" s="110"/>
      <c r="MOJ1367" s="110"/>
      <c r="MOK1367" s="110"/>
      <c r="MOL1367" s="110"/>
      <c r="MOM1367" s="110"/>
      <c r="MON1367" s="110"/>
      <c r="MOO1367" s="110"/>
      <c r="MOP1367" s="110"/>
      <c r="MOQ1367" s="110"/>
      <c r="MOR1367" s="110"/>
      <c r="MOS1367" s="110"/>
      <c r="MOT1367" s="110"/>
      <c r="MOU1367" s="110"/>
      <c r="MOV1367" s="110"/>
      <c r="MOW1367" s="110"/>
      <c r="MOX1367" s="110"/>
      <c r="MOY1367" s="110"/>
      <c r="MOZ1367" s="110"/>
      <c r="MPA1367" s="110"/>
      <c r="MPB1367" s="110"/>
      <c r="MPC1367" s="110"/>
      <c r="MPD1367" s="110"/>
      <c r="MPE1367" s="110"/>
      <c r="MPF1367" s="110"/>
      <c r="MPG1367" s="110"/>
      <c r="MPH1367" s="110"/>
      <c r="MPI1367" s="110"/>
      <c r="MPJ1367" s="110"/>
      <c r="MPK1367" s="110"/>
      <c r="MPL1367" s="110"/>
      <c r="MPM1367" s="110"/>
      <c r="MPN1367" s="110"/>
      <c r="MPO1367" s="110"/>
      <c r="MPP1367" s="110"/>
      <c r="MPQ1367" s="110"/>
      <c r="MPR1367" s="110"/>
      <c r="MPS1367" s="110"/>
      <c r="MPT1367" s="110"/>
      <c r="MPU1367" s="110"/>
      <c r="MPV1367" s="110"/>
      <c r="MPW1367" s="110"/>
      <c r="MPX1367" s="110"/>
      <c r="MPY1367" s="110"/>
      <c r="MPZ1367" s="110"/>
      <c r="MQA1367" s="110"/>
      <c r="MQB1367" s="110"/>
      <c r="MQC1367" s="110"/>
      <c r="MQD1367" s="110"/>
      <c r="MQE1367" s="110"/>
      <c r="MQF1367" s="110"/>
      <c r="MQG1367" s="110"/>
      <c r="MQH1367" s="110"/>
      <c r="MQI1367" s="110"/>
      <c r="MQJ1367" s="110"/>
      <c r="MQK1367" s="110"/>
      <c r="MQL1367" s="110"/>
      <c r="MQM1367" s="110"/>
      <c r="MQN1367" s="110"/>
      <c r="MQO1367" s="110"/>
      <c r="MQP1367" s="110"/>
      <c r="MQQ1367" s="110"/>
      <c r="MQR1367" s="110"/>
      <c r="MQS1367" s="110"/>
      <c r="MQT1367" s="110"/>
      <c r="MQU1367" s="110"/>
      <c r="MQV1367" s="110"/>
      <c r="MQW1367" s="110"/>
      <c r="MQX1367" s="110"/>
      <c r="MQY1367" s="110"/>
      <c r="MQZ1367" s="110"/>
      <c r="MRA1367" s="110"/>
      <c r="MRB1367" s="110"/>
      <c r="MRC1367" s="110"/>
      <c r="MRD1367" s="110"/>
      <c r="MRE1367" s="110"/>
      <c r="MRF1367" s="110"/>
      <c r="MRG1367" s="110"/>
      <c r="MRH1367" s="110"/>
      <c r="MRI1367" s="110"/>
      <c r="MRJ1367" s="110"/>
      <c r="MRK1367" s="110"/>
      <c r="MRL1367" s="110"/>
      <c r="MRM1367" s="110"/>
      <c r="MRN1367" s="110"/>
      <c r="MRO1367" s="110"/>
      <c r="MRP1367" s="110"/>
      <c r="MRQ1367" s="110"/>
      <c r="MRR1367" s="110"/>
      <c r="MRS1367" s="110"/>
      <c r="MRT1367" s="110"/>
      <c r="MRU1367" s="110"/>
      <c r="MRV1367" s="110"/>
      <c r="MRW1367" s="110"/>
      <c r="MRX1367" s="110"/>
      <c r="MRY1367" s="110"/>
      <c r="MRZ1367" s="110"/>
      <c r="MSA1367" s="110"/>
      <c r="MSB1367" s="110"/>
      <c r="MSC1367" s="110"/>
      <c r="MSD1367" s="110"/>
      <c r="MSE1367" s="110"/>
      <c r="MSF1367" s="110"/>
      <c r="MSG1367" s="110"/>
      <c r="MSH1367" s="110"/>
      <c r="MSI1367" s="110"/>
      <c r="MSJ1367" s="110"/>
      <c r="MSK1367" s="110"/>
      <c r="MSL1367" s="110"/>
      <c r="MSM1367" s="110"/>
      <c r="MSN1367" s="110"/>
      <c r="MSO1367" s="110"/>
      <c r="MSP1367" s="110"/>
      <c r="MSQ1367" s="110"/>
      <c r="MSR1367" s="110"/>
      <c r="MSS1367" s="110"/>
      <c r="MST1367" s="110"/>
      <c r="MSU1367" s="110"/>
      <c r="MSV1367" s="110"/>
      <c r="MSW1367" s="110"/>
      <c r="MSX1367" s="110"/>
      <c r="MSY1367" s="110"/>
      <c r="MSZ1367" s="110"/>
      <c r="MTA1367" s="110"/>
      <c r="MTB1367" s="110"/>
      <c r="MTC1367" s="110"/>
      <c r="MTD1367" s="110"/>
      <c r="MTE1367" s="110"/>
      <c r="MTF1367" s="110"/>
      <c r="MTG1367" s="110"/>
      <c r="MTH1367" s="110"/>
      <c r="MTI1367" s="110"/>
      <c r="MTJ1367" s="110"/>
      <c r="MTK1367" s="110"/>
      <c r="MTL1367" s="110"/>
      <c r="MTM1367" s="110"/>
      <c r="MTN1367" s="110"/>
      <c r="MTO1367" s="110"/>
      <c r="MTP1367" s="110"/>
      <c r="MTQ1367" s="110"/>
      <c r="MTR1367" s="110"/>
      <c r="MTS1367" s="110"/>
      <c r="MTT1367" s="110"/>
      <c r="MTU1367" s="110"/>
      <c r="MTV1367" s="110"/>
      <c r="MTW1367" s="110"/>
      <c r="MTX1367" s="110"/>
      <c r="MTY1367" s="110"/>
      <c r="MTZ1367" s="110"/>
      <c r="MUA1367" s="110"/>
      <c r="MUB1367" s="110"/>
      <c r="MUC1367" s="110"/>
      <c r="MUD1367" s="110"/>
      <c r="MUE1367" s="110"/>
      <c r="MUF1367" s="110"/>
      <c r="MUG1367" s="110"/>
      <c r="MUH1367" s="110"/>
      <c r="MUI1367" s="110"/>
      <c r="MUJ1367" s="110"/>
      <c r="MUK1367" s="110"/>
      <c r="MUL1367" s="110"/>
      <c r="MUM1367" s="110"/>
      <c r="MUN1367" s="110"/>
      <c r="MUO1367" s="110"/>
      <c r="MUP1367" s="110"/>
      <c r="MUQ1367" s="110"/>
      <c r="MUR1367" s="110"/>
      <c r="MUS1367" s="110"/>
      <c r="MUT1367" s="110"/>
      <c r="MUU1367" s="110"/>
      <c r="MUV1367" s="110"/>
      <c r="MUW1367" s="110"/>
      <c r="MUX1367" s="110"/>
      <c r="MUY1367" s="110"/>
      <c r="MUZ1367" s="110"/>
      <c r="MVA1367" s="110"/>
      <c r="MVB1367" s="110"/>
      <c r="MVC1367" s="110"/>
      <c r="MVD1367" s="110"/>
      <c r="MVE1367" s="110"/>
      <c r="MVF1367" s="110"/>
      <c r="MVG1367" s="110"/>
      <c r="MVH1367" s="110"/>
      <c r="MVI1367" s="110"/>
      <c r="MVJ1367" s="110"/>
      <c r="MVK1367" s="110"/>
      <c r="MVL1367" s="110"/>
      <c r="MVM1367" s="110"/>
      <c r="MVN1367" s="110"/>
      <c r="MVO1367" s="110"/>
      <c r="MVP1367" s="110"/>
      <c r="MVQ1367" s="110"/>
      <c r="MVR1367" s="110"/>
      <c r="MVS1367" s="110"/>
      <c r="MVT1367" s="110"/>
      <c r="MVU1367" s="110"/>
      <c r="MVV1367" s="110"/>
      <c r="MVW1367" s="110"/>
      <c r="MVX1367" s="110"/>
      <c r="MVY1367" s="110"/>
      <c r="MVZ1367" s="110"/>
      <c r="MWA1367" s="110"/>
      <c r="MWB1367" s="110"/>
      <c r="MWC1367" s="110"/>
      <c r="MWD1367" s="110"/>
      <c r="MWE1367" s="110"/>
      <c r="MWF1367" s="110"/>
      <c r="MWG1367" s="110"/>
      <c r="MWH1367" s="110"/>
      <c r="MWI1367" s="110"/>
      <c r="MWJ1367" s="110"/>
      <c r="MWK1367" s="110"/>
      <c r="MWL1367" s="110"/>
      <c r="MWM1367" s="110"/>
      <c r="MWN1367" s="110"/>
      <c r="MWO1367" s="110"/>
      <c r="MWP1367" s="110"/>
      <c r="MWQ1367" s="110"/>
      <c r="MWR1367" s="110"/>
      <c r="MWS1367" s="110"/>
      <c r="MWT1367" s="110"/>
      <c r="MWU1367" s="110"/>
      <c r="MWV1367" s="110"/>
      <c r="MWW1367" s="110"/>
      <c r="MWX1367" s="110"/>
      <c r="MWY1367" s="110"/>
      <c r="MWZ1367" s="110"/>
      <c r="MXA1367" s="110"/>
      <c r="MXB1367" s="110"/>
      <c r="MXC1367" s="110"/>
      <c r="MXD1367" s="110"/>
      <c r="MXE1367" s="110"/>
      <c r="MXF1367" s="110"/>
      <c r="MXG1367" s="110"/>
      <c r="MXH1367" s="110"/>
      <c r="MXI1367" s="110"/>
      <c r="MXJ1367" s="110"/>
      <c r="MXK1367" s="110"/>
      <c r="MXL1367" s="110"/>
      <c r="MXM1367" s="110"/>
      <c r="MXN1367" s="110"/>
      <c r="MXO1367" s="110"/>
      <c r="MXP1367" s="110"/>
      <c r="MXQ1367" s="110"/>
      <c r="MXR1367" s="110"/>
      <c r="MXS1367" s="110"/>
      <c r="MXT1367" s="110"/>
      <c r="MXU1367" s="110"/>
      <c r="MXV1367" s="110"/>
      <c r="MXW1367" s="110"/>
      <c r="MXX1367" s="110"/>
      <c r="MXY1367" s="110"/>
      <c r="MXZ1367" s="110"/>
      <c r="MYA1367" s="110"/>
      <c r="MYB1367" s="110"/>
      <c r="MYC1367" s="110"/>
      <c r="MYD1367" s="110"/>
      <c r="MYE1367" s="110"/>
      <c r="MYF1367" s="110"/>
      <c r="MYG1367" s="110"/>
      <c r="MYH1367" s="110"/>
      <c r="MYI1367" s="110"/>
      <c r="MYJ1367" s="110"/>
      <c r="MYK1367" s="110"/>
      <c r="MYL1367" s="110"/>
      <c r="MYM1367" s="110"/>
      <c r="MYN1367" s="110"/>
      <c r="MYO1367" s="110"/>
      <c r="MYP1367" s="110"/>
      <c r="MYQ1367" s="110"/>
      <c r="MYR1367" s="110"/>
      <c r="MYS1367" s="110"/>
      <c r="MYT1367" s="110"/>
      <c r="MYU1367" s="110"/>
      <c r="MYV1367" s="110"/>
      <c r="MYW1367" s="110"/>
      <c r="MYX1367" s="110"/>
      <c r="MYY1367" s="110"/>
      <c r="MYZ1367" s="110"/>
      <c r="MZA1367" s="110"/>
      <c r="MZB1367" s="110"/>
      <c r="MZC1367" s="110"/>
      <c r="MZD1367" s="110"/>
      <c r="MZE1367" s="110"/>
      <c r="MZF1367" s="110"/>
      <c r="MZG1367" s="110"/>
      <c r="MZH1367" s="110"/>
      <c r="MZI1367" s="110"/>
      <c r="MZJ1367" s="110"/>
      <c r="MZK1367" s="110"/>
      <c r="MZL1367" s="110"/>
      <c r="MZM1367" s="110"/>
      <c r="MZN1367" s="110"/>
      <c r="MZO1367" s="110"/>
      <c r="MZP1367" s="110"/>
      <c r="MZQ1367" s="110"/>
      <c r="MZR1367" s="110"/>
      <c r="MZS1367" s="110"/>
      <c r="MZT1367" s="110"/>
      <c r="MZU1367" s="110"/>
      <c r="MZV1367" s="110"/>
      <c r="MZW1367" s="110"/>
      <c r="MZX1367" s="110"/>
      <c r="MZY1367" s="110"/>
      <c r="MZZ1367" s="110"/>
      <c r="NAA1367" s="110"/>
      <c r="NAB1367" s="110"/>
      <c r="NAC1367" s="110"/>
      <c r="NAD1367" s="110"/>
      <c r="NAE1367" s="110"/>
      <c r="NAF1367" s="110"/>
      <c r="NAG1367" s="110"/>
      <c r="NAH1367" s="110"/>
      <c r="NAI1367" s="110"/>
      <c r="NAJ1367" s="110"/>
      <c r="NAK1367" s="110"/>
      <c r="NAL1367" s="110"/>
      <c r="NAM1367" s="110"/>
      <c r="NAN1367" s="110"/>
      <c r="NAO1367" s="110"/>
      <c r="NAP1367" s="110"/>
      <c r="NAQ1367" s="110"/>
      <c r="NAR1367" s="110"/>
      <c r="NAS1367" s="110"/>
      <c r="NAT1367" s="110"/>
      <c r="NAU1367" s="110"/>
      <c r="NAV1367" s="110"/>
      <c r="NAW1367" s="110"/>
      <c r="NAX1367" s="110"/>
      <c r="NAY1367" s="110"/>
      <c r="NAZ1367" s="110"/>
      <c r="NBA1367" s="110"/>
      <c r="NBB1367" s="110"/>
      <c r="NBC1367" s="110"/>
      <c r="NBD1367" s="110"/>
      <c r="NBE1367" s="110"/>
      <c r="NBF1367" s="110"/>
      <c r="NBG1367" s="110"/>
      <c r="NBH1367" s="110"/>
      <c r="NBI1367" s="110"/>
      <c r="NBJ1367" s="110"/>
      <c r="NBK1367" s="110"/>
      <c r="NBL1367" s="110"/>
      <c r="NBM1367" s="110"/>
      <c r="NBN1367" s="110"/>
      <c r="NBO1367" s="110"/>
      <c r="NBP1367" s="110"/>
      <c r="NBQ1367" s="110"/>
      <c r="NBR1367" s="110"/>
      <c r="NBS1367" s="110"/>
      <c r="NBT1367" s="110"/>
      <c r="NBU1367" s="110"/>
      <c r="NBV1367" s="110"/>
      <c r="NBW1367" s="110"/>
      <c r="NBX1367" s="110"/>
      <c r="NBY1367" s="110"/>
      <c r="NBZ1367" s="110"/>
      <c r="NCA1367" s="110"/>
      <c r="NCB1367" s="110"/>
      <c r="NCC1367" s="110"/>
      <c r="NCD1367" s="110"/>
      <c r="NCE1367" s="110"/>
      <c r="NCF1367" s="110"/>
      <c r="NCG1367" s="110"/>
      <c r="NCH1367" s="110"/>
      <c r="NCI1367" s="110"/>
      <c r="NCJ1367" s="110"/>
      <c r="NCK1367" s="110"/>
      <c r="NCL1367" s="110"/>
      <c r="NCM1367" s="110"/>
      <c r="NCN1367" s="110"/>
      <c r="NCO1367" s="110"/>
      <c r="NCP1367" s="110"/>
      <c r="NCQ1367" s="110"/>
      <c r="NCR1367" s="110"/>
      <c r="NCS1367" s="110"/>
      <c r="NCT1367" s="110"/>
      <c r="NCU1367" s="110"/>
      <c r="NCV1367" s="110"/>
      <c r="NCW1367" s="110"/>
      <c r="NCX1367" s="110"/>
      <c r="NCY1367" s="110"/>
      <c r="NCZ1367" s="110"/>
      <c r="NDA1367" s="110"/>
      <c r="NDB1367" s="110"/>
      <c r="NDC1367" s="110"/>
      <c r="NDD1367" s="110"/>
      <c r="NDE1367" s="110"/>
      <c r="NDF1367" s="110"/>
      <c r="NDG1367" s="110"/>
      <c r="NDH1367" s="110"/>
      <c r="NDI1367" s="110"/>
      <c r="NDJ1367" s="110"/>
      <c r="NDK1367" s="110"/>
      <c r="NDL1367" s="110"/>
      <c r="NDM1367" s="110"/>
      <c r="NDN1367" s="110"/>
      <c r="NDO1367" s="110"/>
      <c r="NDP1367" s="110"/>
      <c r="NDQ1367" s="110"/>
      <c r="NDR1367" s="110"/>
      <c r="NDS1367" s="110"/>
      <c r="NDT1367" s="110"/>
      <c r="NDU1367" s="110"/>
      <c r="NDV1367" s="110"/>
      <c r="NDW1367" s="110"/>
      <c r="NDX1367" s="110"/>
      <c r="NDY1367" s="110"/>
      <c r="NDZ1367" s="110"/>
      <c r="NEA1367" s="110"/>
      <c r="NEB1367" s="110"/>
      <c r="NEC1367" s="110"/>
      <c r="NED1367" s="110"/>
      <c r="NEE1367" s="110"/>
      <c r="NEF1367" s="110"/>
      <c r="NEG1367" s="110"/>
      <c r="NEH1367" s="110"/>
      <c r="NEI1367" s="110"/>
      <c r="NEJ1367" s="110"/>
      <c r="NEK1367" s="110"/>
      <c r="NEL1367" s="110"/>
      <c r="NEM1367" s="110"/>
      <c r="NEN1367" s="110"/>
      <c r="NEO1367" s="110"/>
      <c r="NEP1367" s="110"/>
      <c r="NEQ1367" s="110"/>
      <c r="NER1367" s="110"/>
      <c r="NES1367" s="110"/>
      <c r="NET1367" s="110"/>
      <c r="NEU1367" s="110"/>
      <c r="NEV1367" s="110"/>
      <c r="NEW1367" s="110"/>
      <c r="NEX1367" s="110"/>
      <c r="NEY1367" s="110"/>
      <c r="NEZ1367" s="110"/>
      <c r="NFA1367" s="110"/>
      <c r="NFB1367" s="110"/>
      <c r="NFC1367" s="110"/>
      <c r="NFD1367" s="110"/>
      <c r="NFE1367" s="110"/>
      <c r="NFF1367" s="110"/>
      <c r="NFG1367" s="110"/>
      <c r="NFH1367" s="110"/>
      <c r="NFI1367" s="110"/>
      <c r="NFJ1367" s="110"/>
      <c r="NFK1367" s="110"/>
      <c r="NFL1367" s="110"/>
      <c r="NFM1367" s="110"/>
      <c r="NFN1367" s="110"/>
      <c r="NFO1367" s="110"/>
      <c r="NFP1367" s="110"/>
      <c r="NFQ1367" s="110"/>
      <c r="NFR1367" s="110"/>
      <c r="NFS1367" s="110"/>
      <c r="NFT1367" s="110"/>
      <c r="NFU1367" s="110"/>
      <c r="NFV1367" s="110"/>
      <c r="NFW1367" s="110"/>
      <c r="NFX1367" s="110"/>
      <c r="NFY1367" s="110"/>
      <c r="NFZ1367" s="110"/>
      <c r="NGA1367" s="110"/>
      <c r="NGB1367" s="110"/>
      <c r="NGC1367" s="110"/>
      <c r="NGD1367" s="110"/>
      <c r="NGE1367" s="110"/>
      <c r="NGF1367" s="110"/>
      <c r="NGG1367" s="110"/>
      <c r="NGH1367" s="110"/>
      <c r="NGI1367" s="110"/>
      <c r="NGJ1367" s="110"/>
      <c r="NGK1367" s="110"/>
      <c r="NGL1367" s="110"/>
      <c r="NGM1367" s="110"/>
      <c r="NGN1367" s="110"/>
      <c r="NGO1367" s="110"/>
      <c r="NGP1367" s="110"/>
      <c r="NGQ1367" s="110"/>
      <c r="NGR1367" s="110"/>
      <c r="NGS1367" s="110"/>
      <c r="NGT1367" s="110"/>
      <c r="NGU1367" s="110"/>
      <c r="NGV1367" s="110"/>
      <c r="NGW1367" s="110"/>
      <c r="NGX1367" s="110"/>
      <c r="NGY1367" s="110"/>
      <c r="NGZ1367" s="110"/>
      <c r="NHA1367" s="110"/>
      <c r="NHB1367" s="110"/>
      <c r="NHC1367" s="110"/>
      <c r="NHD1367" s="110"/>
      <c r="NHE1367" s="110"/>
      <c r="NHF1367" s="110"/>
      <c r="NHG1367" s="110"/>
      <c r="NHH1367" s="110"/>
      <c r="NHI1367" s="110"/>
      <c r="NHJ1367" s="110"/>
      <c r="NHK1367" s="110"/>
      <c r="NHL1367" s="110"/>
      <c r="NHM1367" s="110"/>
      <c r="NHN1367" s="110"/>
      <c r="NHO1367" s="110"/>
      <c r="NHP1367" s="110"/>
      <c r="NHQ1367" s="110"/>
      <c r="NHR1367" s="110"/>
      <c r="NHS1367" s="110"/>
      <c r="NHT1367" s="110"/>
      <c r="NHU1367" s="110"/>
      <c r="NHV1367" s="110"/>
      <c r="NHW1367" s="110"/>
      <c r="NHX1367" s="110"/>
      <c r="NHY1367" s="110"/>
      <c r="NHZ1367" s="110"/>
      <c r="NIA1367" s="110"/>
      <c r="NIB1367" s="110"/>
      <c r="NIC1367" s="110"/>
      <c r="NID1367" s="110"/>
      <c r="NIE1367" s="110"/>
      <c r="NIF1367" s="110"/>
      <c r="NIG1367" s="110"/>
      <c r="NIH1367" s="110"/>
      <c r="NII1367" s="110"/>
      <c r="NIJ1367" s="110"/>
      <c r="NIK1367" s="110"/>
      <c r="NIL1367" s="110"/>
      <c r="NIM1367" s="110"/>
      <c r="NIN1367" s="110"/>
      <c r="NIO1367" s="110"/>
      <c r="NIP1367" s="110"/>
      <c r="NIQ1367" s="110"/>
      <c r="NIR1367" s="110"/>
      <c r="NIS1367" s="110"/>
      <c r="NIT1367" s="110"/>
      <c r="NIU1367" s="110"/>
      <c r="NIV1367" s="110"/>
      <c r="NIW1367" s="110"/>
      <c r="NIX1367" s="110"/>
      <c r="NIY1367" s="110"/>
      <c r="NIZ1367" s="110"/>
      <c r="NJA1367" s="110"/>
      <c r="NJB1367" s="110"/>
      <c r="NJC1367" s="110"/>
      <c r="NJD1367" s="110"/>
      <c r="NJE1367" s="110"/>
      <c r="NJF1367" s="110"/>
      <c r="NJG1367" s="110"/>
      <c r="NJH1367" s="110"/>
      <c r="NJI1367" s="110"/>
      <c r="NJJ1367" s="110"/>
      <c r="NJK1367" s="110"/>
      <c r="NJL1367" s="110"/>
      <c r="NJM1367" s="110"/>
      <c r="NJN1367" s="110"/>
      <c r="NJO1367" s="110"/>
      <c r="NJP1367" s="110"/>
      <c r="NJQ1367" s="110"/>
      <c r="NJR1367" s="110"/>
      <c r="NJS1367" s="110"/>
      <c r="NJT1367" s="110"/>
      <c r="NJU1367" s="110"/>
      <c r="NJV1367" s="110"/>
      <c r="NJW1367" s="110"/>
      <c r="NJX1367" s="110"/>
      <c r="NJY1367" s="110"/>
      <c r="NJZ1367" s="110"/>
      <c r="NKA1367" s="110"/>
      <c r="NKB1367" s="110"/>
      <c r="NKC1367" s="110"/>
      <c r="NKD1367" s="110"/>
      <c r="NKE1367" s="110"/>
      <c r="NKF1367" s="110"/>
      <c r="NKG1367" s="110"/>
      <c r="NKH1367" s="110"/>
      <c r="NKI1367" s="110"/>
      <c r="NKJ1367" s="110"/>
      <c r="NKK1367" s="110"/>
      <c r="NKL1367" s="110"/>
      <c r="NKM1367" s="110"/>
      <c r="NKN1367" s="110"/>
      <c r="NKO1367" s="110"/>
      <c r="NKP1367" s="110"/>
      <c r="NKQ1367" s="110"/>
      <c r="NKR1367" s="110"/>
      <c r="NKS1367" s="110"/>
      <c r="NKT1367" s="110"/>
      <c r="NKU1367" s="110"/>
      <c r="NKV1367" s="110"/>
      <c r="NKW1367" s="110"/>
      <c r="NKX1367" s="110"/>
      <c r="NKY1367" s="110"/>
      <c r="NKZ1367" s="110"/>
      <c r="NLA1367" s="110"/>
      <c r="NLB1367" s="110"/>
      <c r="NLC1367" s="110"/>
      <c r="NLD1367" s="110"/>
      <c r="NLE1367" s="110"/>
      <c r="NLF1367" s="110"/>
      <c r="NLG1367" s="110"/>
      <c r="NLH1367" s="110"/>
      <c r="NLI1367" s="110"/>
      <c r="NLJ1367" s="110"/>
      <c r="NLK1367" s="110"/>
      <c r="NLL1367" s="110"/>
      <c r="NLM1367" s="110"/>
      <c r="NLN1367" s="110"/>
      <c r="NLO1367" s="110"/>
      <c r="NLP1367" s="110"/>
      <c r="NLQ1367" s="110"/>
      <c r="NLR1367" s="110"/>
      <c r="NLS1367" s="110"/>
      <c r="NLT1367" s="110"/>
      <c r="NLU1367" s="110"/>
      <c r="NLV1367" s="110"/>
      <c r="NLW1367" s="110"/>
      <c r="NLX1367" s="110"/>
      <c r="NLY1367" s="110"/>
      <c r="NLZ1367" s="110"/>
      <c r="NMA1367" s="110"/>
      <c r="NMB1367" s="110"/>
      <c r="NMC1367" s="110"/>
      <c r="NMD1367" s="110"/>
      <c r="NME1367" s="110"/>
      <c r="NMF1367" s="110"/>
      <c r="NMG1367" s="110"/>
      <c r="NMH1367" s="110"/>
      <c r="NMI1367" s="110"/>
      <c r="NMJ1367" s="110"/>
      <c r="NMK1367" s="110"/>
      <c r="NML1367" s="110"/>
      <c r="NMM1367" s="110"/>
      <c r="NMN1367" s="110"/>
      <c r="NMO1367" s="110"/>
      <c r="NMP1367" s="110"/>
      <c r="NMQ1367" s="110"/>
      <c r="NMR1367" s="110"/>
      <c r="NMS1367" s="110"/>
      <c r="NMT1367" s="110"/>
      <c r="NMU1367" s="110"/>
      <c r="NMV1367" s="110"/>
      <c r="NMW1367" s="110"/>
      <c r="NMX1367" s="110"/>
      <c r="NMY1367" s="110"/>
      <c r="NMZ1367" s="110"/>
      <c r="NNA1367" s="110"/>
      <c r="NNB1367" s="110"/>
      <c r="NNC1367" s="110"/>
      <c r="NND1367" s="110"/>
      <c r="NNE1367" s="110"/>
      <c r="NNF1367" s="110"/>
      <c r="NNG1367" s="110"/>
      <c r="NNH1367" s="110"/>
      <c r="NNI1367" s="110"/>
      <c r="NNJ1367" s="110"/>
      <c r="NNK1367" s="110"/>
      <c r="NNL1367" s="110"/>
      <c r="NNM1367" s="110"/>
      <c r="NNN1367" s="110"/>
      <c r="NNO1367" s="110"/>
      <c r="NNP1367" s="110"/>
      <c r="NNQ1367" s="110"/>
      <c r="NNR1367" s="110"/>
      <c r="NNS1367" s="110"/>
      <c r="NNT1367" s="110"/>
      <c r="NNU1367" s="110"/>
      <c r="NNV1367" s="110"/>
      <c r="NNW1367" s="110"/>
      <c r="NNX1367" s="110"/>
      <c r="NNY1367" s="110"/>
      <c r="NNZ1367" s="110"/>
      <c r="NOA1367" s="110"/>
      <c r="NOB1367" s="110"/>
      <c r="NOC1367" s="110"/>
      <c r="NOD1367" s="110"/>
      <c r="NOE1367" s="110"/>
      <c r="NOF1367" s="110"/>
      <c r="NOG1367" s="110"/>
      <c r="NOH1367" s="110"/>
      <c r="NOI1367" s="110"/>
      <c r="NOJ1367" s="110"/>
      <c r="NOK1367" s="110"/>
      <c r="NOL1367" s="110"/>
      <c r="NOM1367" s="110"/>
      <c r="NON1367" s="110"/>
      <c r="NOO1367" s="110"/>
      <c r="NOP1367" s="110"/>
      <c r="NOQ1367" s="110"/>
      <c r="NOR1367" s="110"/>
      <c r="NOS1367" s="110"/>
      <c r="NOT1367" s="110"/>
      <c r="NOU1367" s="110"/>
      <c r="NOV1367" s="110"/>
      <c r="NOW1367" s="110"/>
      <c r="NOX1367" s="110"/>
      <c r="NOY1367" s="110"/>
      <c r="NOZ1367" s="110"/>
      <c r="NPA1367" s="110"/>
      <c r="NPB1367" s="110"/>
      <c r="NPC1367" s="110"/>
      <c r="NPD1367" s="110"/>
      <c r="NPE1367" s="110"/>
      <c r="NPF1367" s="110"/>
      <c r="NPG1367" s="110"/>
      <c r="NPH1367" s="110"/>
      <c r="NPI1367" s="110"/>
      <c r="NPJ1367" s="110"/>
      <c r="NPK1367" s="110"/>
      <c r="NPL1367" s="110"/>
      <c r="NPM1367" s="110"/>
      <c r="NPN1367" s="110"/>
      <c r="NPO1367" s="110"/>
      <c r="NPP1367" s="110"/>
      <c r="NPQ1367" s="110"/>
      <c r="NPR1367" s="110"/>
      <c r="NPS1367" s="110"/>
      <c r="NPT1367" s="110"/>
      <c r="NPU1367" s="110"/>
      <c r="NPV1367" s="110"/>
      <c r="NPW1367" s="110"/>
      <c r="NPX1367" s="110"/>
      <c r="NPY1367" s="110"/>
      <c r="NPZ1367" s="110"/>
      <c r="NQA1367" s="110"/>
      <c r="NQB1367" s="110"/>
      <c r="NQC1367" s="110"/>
      <c r="NQD1367" s="110"/>
      <c r="NQE1367" s="110"/>
      <c r="NQF1367" s="110"/>
      <c r="NQG1367" s="110"/>
      <c r="NQH1367" s="110"/>
      <c r="NQI1367" s="110"/>
      <c r="NQJ1367" s="110"/>
      <c r="NQK1367" s="110"/>
      <c r="NQL1367" s="110"/>
      <c r="NQM1367" s="110"/>
      <c r="NQN1367" s="110"/>
      <c r="NQO1367" s="110"/>
      <c r="NQP1367" s="110"/>
      <c r="NQQ1367" s="110"/>
      <c r="NQR1367" s="110"/>
      <c r="NQS1367" s="110"/>
      <c r="NQT1367" s="110"/>
      <c r="NQU1367" s="110"/>
      <c r="NQV1367" s="110"/>
      <c r="NQW1367" s="110"/>
      <c r="NQX1367" s="110"/>
      <c r="NQY1367" s="110"/>
      <c r="NQZ1367" s="110"/>
      <c r="NRA1367" s="110"/>
      <c r="NRB1367" s="110"/>
      <c r="NRC1367" s="110"/>
      <c r="NRD1367" s="110"/>
      <c r="NRE1367" s="110"/>
      <c r="NRF1367" s="110"/>
      <c r="NRG1367" s="110"/>
      <c r="NRH1367" s="110"/>
      <c r="NRI1367" s="110"/>
      <c r="NRJ1367" s="110"/>
      <c r="NRK1367" s="110"/>
      <c r="NRL1367" s="110"/>
      <c r="NRM1367" s="110"/>
      <c r="NRN1367" s="110"/>
      <c r="NRO1367" s="110"/>
      <c r="NRP1367" s="110"/>
      <c r="NRQ1367" s="110"/>
      <c r="NRR1367" s="110"/>
      <c r="NRS1367" s="110"/>
      <c r="NRT1367" s="110"/>
      <c r="NRU1367" s="110"/>
      <c r="NRV1367" s="110"/>
      <c r="NRW1367" s="110"/>
      <c r="NRX1367" s="110"/>
      <c r="NRY1367" s="110"/>
      <c r="NRZ1367" s="110"/>
      <c r="NSA1367" s="110"/>
      <c r="NSB1367" s="110"/>
      <c r="NSC1367" s="110"/>
      <c r="NSD1367" s="110"/>
      <c r="NSE1367" s="110"/>
      <c r="NSF1367" s="110"/>
      <c r="NSG1367" s="110"/>
      <c r="NSH1367" s="110"/>
      <c r="NSI1367" s="110"/>
      <c r="NSJ1367" s="110"/>
      <c r="NSK1367" s="110"/>
      <c r="NSL1367" s="110"/>
      <c r="NSM1367" s="110"/>
      <c r="NSN1367" s="110"/>
      <c r="NSO1367" s="110"/>
      <c r="NSP1367" s="110"/>
      <c r="NSQ1367" s="110"/>
      <c r="NSR1367" s="110"/>
      <c r="NSS1367" s="110"/>
      <c r="NST1367" s="110"/>
      <c r="NSU1367" s="110"/>
      <c r="NSV1367" s="110"/>
      <c r="NSW1367" s="110"/>
      <c r="NSX1367" s="110"/>
      <c r="NSY1367" s="110"/>
      <c r="NSZ1367" s="110"/>
      <c r="NTA1367" s="110"/>
      <c r="NTB1367" s="110"/>
      <c r="NTC1367" s="110"/>
      <c r="NTD1367" s="110"/>
      <c r="NTE1367" s="110"/>
      <c r="NTF1367" s="110"/>
      <c r="NTG1367" s="110"/>
      <c r="NTH1367" s="110"/>
      <c r="NTI1367" s="110"/>
      <c r="NTJ1367" s="110"/>
      <c r="NTK1367" s="110"/>
      <c r="NTL1367" s="110"/>
      <c r="NTM1367" s="110"/>
      <c r="NTN1367" s="110"/>
      <c r="NTO1367" s="110"/>
      <c r="NTP1367" s="110"/>
      <c r="NTQ1367" s="110"/>
      <c r="NTR1367" s="110"/>
      <c r="NTS1367" s="110"/>
      <c r="NTT1367" s="110"/>
      <c r="NTU1367" s="110"/>
      <c r="NTV1367" s="110"/>
      <c r="NTW1367" s="110"/>
      <c r="NTX1367" s="110"/>
      <c r="NTY1367" s="110"/>
      <c r="NTZ1367" s="110"/>
      <c r="NUA1367" s="110"/>
      <c r="NUB1367" s="110"/>
      <c r="NUC1367" s="110"/>
      <c r="NUD1367" s="110"/>
      <c r="NUE1367" s="110"/>
      <c r="NUF1367" s="110"/>
      <c r="NUG1367" s="110"/>
      <c r="NUH1367" s="110"/>
      <c r="NUI1367" s="110"/>
      <c r="NUJ1367" s="110"/>
      <c r="NUK1367" s="110"/>
      <c r="NUL1367" s="110"/>
      <c r="NUM1367" s="110"/>
      <c r="NUN1367" s="110"/>
      <c r="NUO1367" s="110"/>
      <c r="NUP1367" s="110"/>
      <c r="NUQ1367" s="110"/>
      <c r="NUR1367" s="110"/>
      <c r="NUS1367" s="110"/>
      <c r="NUT1367" s="110"/>
      <c r="NUU1367" s="110"/>
      <c r="NUV1367" s="110"/>
      <c r="NUW1367" s="110"/>
      <c r="NUX1367" s="110"/>
      <c r="NUY1367" s="110"/>
      <c r="NUZ1367" s="110"/>
      <c r="NVA1367" s="110"/>
      <c r="NVB1367" s="110"/>
      <c r="NVC1367" s="110"/>
      <c r="NVD1367" s="110"/>
      <c r="NVE1367" s="110"/>
      <c r="NVF1367" s="110"/>
      <c r="NVG1367" s="110"/>
      <c r="NVH1367" s="110"/>
      <c r="NVI1367" s="110"/>
      <c r="NVJ1367" s="110"/>
      <c r="NVK1367" s="110"/>
      <c r="NVL1367" s="110"/>
      <c r="NVM1367" s="110"/>
      <c r="NVN1367" s="110"/>
      <c r="NVO1367" s="110"/>
      <c r="NVP1367" s="110"/>
      <c r="NVQ1367" s="110"/>
      <c r="NVR1367" s="110"/>
      <c r="NVS1367" s="110"/>
      <c r="NVT1367" s="110"/>
      <c r="NVU1367" s="110"/>
      <c r="NVV1367" s="110"/>
      <c r="NVW1367" s="110"/>
      <c r="NVX1367" s="110"/>
      <c r="NVY1367" s="110"/>
      <c r="NVZ1367" s="110"/>
      <c r="NWA1367" s="110"/>
      <c r="NWB1367" s="110"/>
      <c r="NWC1367" s="110"/>
      <c r="NWD1367" s="110"/>
      <c r="NWE1367" s="110"/>
      <c r="NWF1367" s="110"/>
      <c r="NWG1367" s="110"/>
      <c r="NWH1367" s="110"/>
      <c r="NWI1367" s="110"/>
      <c r="NWJ1367" s="110"/>
      <c r="NWK1367" s="110"/>
      <c r="NWL1367" s="110"/>
      <c r="NWM1367" s="110"/>
      <c r="NWN1367" s="110"/>
      <c r="NWO1367" s="110"/>
      <c r="NWP1367" s="110"/>
      <c r="NWQ1367" s="110"/>
      <c r="NWR1367" s="110"/>
      <c r="NWS1367" s="110"/>
      <c r="NWT1367" s="110"/>
      <c r="NWU1367" s="110"/>
      <c r="NWV1367" s="110"/>
      <c r="NWW1367" s="110"/>
      <c r="NWX1367" s="110"/>
      <c r="NWY1367" s="110"/>
      <c r="NWZ1367" s="110"/>
      <c r="NXA1367" s="110"/>
      <c r="NXB1367" s="110"/>
      <c r="NXC1367" s="110"/>
      <c r="NXD1367" s="110"/>
      <c r="NXE1367" s="110"/>
      <c r="NXF1367" s="110"/>
      <c r="NXG1367" s="110"/>
      <c r="NXH1367" s="110"/>
      <c r="NXI1367" s="110"/>
      <c r="NXJ1367" s="110"/>
      <c r="NXK1367" s="110"/>
      <c r="NXL1367" s="110"/>
      <c r="NXM1367" s="110"/>
      <c r="NXN1367" s="110"/>
      <c r="NXO1367" s="110"/>
      <c r="NXP1367" s="110"/>
      <c r="NXQ1367" s="110"/>
      <c r="NXR1367" s="110"/>
      <c r="NXS1367" s="110"/>
      <c r="NXT1367" s="110"/>
      <c r="NXU1367" s="110"/>
      <c r="NXV1367" s="110"/>
      <c r="NXW1367" s="110"/>
      <c r="NXX1367" s="110"/>
      <c r="NXY1367" s="110"/>
      <c r="NXZ1367" s="110"/>
      <c r="NYA1367" s="110"/>
      <c r="NYB1367" s="110"/>
      <c r="NYC1367" s="110"/>
      <c r="NYD1367" s="110"/>
      <c r="NYE1367" s="110"/>
      <c r="NYF1367" s="110"/>
      <c r="NYG1367" s="110"/>
      <c r="NYH1367" s="110"/>
      <c r="NYI1367" s="110"/>
      <c r="NYJ1367" s="110"/>
      <c r="NYK1367" s="110"/>
      <c r="NYL1367" s="110"/>
      <c r="NYM1367" s="110"/>
      <c r="NYN1367" s="110"/>
      <c r="NYO1367" s="110"/>
      <c r="NYP1367" s="110"/>
      <c r="NYQ1367" s="110"/>
      <c r="NYR1367" s="110"/>
      <c r="NYS1367" s="110"/>
      <c r="NYT1367" s="110"/>
      <c r="NYU1367" s="110"/>
      <c r="NYV1367" s="110"/>
      <c r="NYW1367" s="110"/>
      <c r="NYX1367" s="110"/>
      <c r="NYY1367" s="110"/>
      <c r="NYZ1367" s="110"/>
      <c r="NZA1367" s="110"/>
      <c r="NZB1367" s="110"/>
      <c r="NZC1367" s="110"/>
      <c r="NZD1367" s="110"/>
      <c r="NZE1367" s="110"/>
      <c r="NZF1367" s="110"/>
      <c r="NZG1367" s="110"/>
      <c r="NZH1367" s="110"/>
      <c r="NZI1367" s="110"/>
      <c r="NZJ1367" s="110"/>
      <c r="NZK1367" s="110"/>
      <c r="NZL1367" s="110"/>
      <c r="NZM1367" s="110"/>
      <c r="NZN1367" s="110"/>
      <c r="NZO1367" s="110"/>
      <c r="NZP1367" s="110"/>
      <c r="NZQ1367" s="110"/>
      <c r="NZR1367" s="110"/>
      <c r="NZS1367" s="110"/>
      <c r="NZT1367" s="110"/>
      <c r="NZU1367" s="110"/>
      <c r="NZV1367" s="110"/>
      <c r="NZW1367" s="110"/>
      <c r="NZX1367" s="110"/>
      <c r="NZY1367" s="110"/>
      <c r="NZZ1367" s="110"/>
      <c r="OAA1367" s="110"/>
      <c r="OAB1367" s="110"/>
      <c r="OAC1367" s="110"/>
      <c r="OAD1367" s="110"/>
      <c r="OAE1367" s="110"/>
      <c r="OAF1367" s="110"/>
      <c r="OAG1367" s="110"/>
      <c r="OAH1367" s="110"/>
      <c r="OAI1367" s="110"/>
      <c r="OAJ1367" s="110"/>
      <c r="OAK1367" s="110"/>
      <c r="OAL1367" s="110"/>
      <c r="OAM1367" s="110"/>
      <c r="OAN1367" s="110"/>
      <c r="OAO1367" s="110"/>
      <c r="OAP1367" s="110"/>
      <c r="OAQ1367" s="110"/>
      <c r="OAR1367" s="110"/>
      <c r="OAS1367" s="110"/>
      <c r="OAT1367" s="110"/>
      <c r="OAU1367" s="110"/>
      <c r="OAV1367" s="110"/>
      <c r="OAW1367" s="110"/>
      <c r="OAX1367" s="110"/>
      <c r="OAY1367" s="110"/>
      <c r="OAZ1367" s="110"/>
      <c r="OBA1367" s="110"/>
      <c r="OBB1367" s="110"/>
      <c r="OBC1367" s="110"/>
      <c r="OBD1367" s="110"/>
      <c r="OBE1367" s="110"/>
      <c r="OBF1367" s="110"/>
      <c r="OBG1367" s="110"/>
      <c r="OBH1367" s="110"/>
      <c r="OBI1367" s="110"/>
      <c r="OBJ1367" s="110"/>
      <c r="OBK1367" s="110"/>
      <c r="OBL1367" s="110"/>
      <c r="OBM1367" s="110"/>
      <c r="OBN1367" s="110"/>
      <c r="OBO1367" s="110"/>
      <c r="OBP1367" s="110"/>
      <c r="OBQ1367" s="110"/>
      <c r="OBR1367" s="110"/>
      <c r="OBS1367" s="110"/>
      <c r="OBT1367" s="110"/>
      <c r="OBU1367" s="110"/>
      <c r="OBV1367" s="110"/>
      <c r="OBW1367" s="110"/>
      <c r="OBX1367" s="110"/>
      <c r="OBY1367" s="110"/>
      <c r="OBZ1367" s="110"/>
      <c r="OCA1367" s="110"/>
      <c r="OCB1367" s="110"/>
      <c r="OCC1367" s="110"/>
      <c r="OCD1367" s="110"/>
      <c r="OCE1367" s="110"/>
      <c r="OCF1367" s="110"/>
      <c r="OCG1367" s="110"/>
      <c r="OCH1367" s="110"/>
      <c r="OCI1367" s="110"/>
      <c r="OCJ1367" s="110"/>
      <c r="OCK1367" s="110"/>
      <c r="OCL1367" s="110"/>
      <c r="OCM1367" s="110"/>
      <c r="OCN1367" s="110"/>
      <c r="OCO1367" s="110"/>
      <c r="OCP1367" s="110"/>
      <c r="OCQ1367" s="110"/>
      <c r="OCR1367" s="110"/>
      <c r="OCS1367" s="110"/>
      <c r="OCT1367" s="110"/>
      <c r="OCU1367" s="110"/>
      <c r="OCV1367" s="110"/>
      <c r="OCW1367" s="110"/>
      <c r="OCX1367" s="110"/>
      <c r="OCY1367" s="110"/>
      <c r="OCZ1367" s="110"/>
      <c r="ODA1367" s="110"/>
      <c r="ODB1367" s="110"/>
      <c r="ODC1367" s="110"/>
      <c r="ODD1367" s="110"/>
      <c r="ODE1367" s="110"/>
      <c r="ODF1367" s="110"/>
      <c r="ODG1367" s="110"/>
      <c r="ODH1367" s="110"/>
      <c r="ODI1367" s="110"/>
      <c r="ODJ1367" s="110"/>
      <c r="ODK1367" s="110"/>
      <c r="ODL1367" s="110"/>
      <c r="ODM1367" s="110"/>
      <c r="ODN1367" s="110"/>
      <c r="ODO1367" s="110"/>
      <c r="ODP1367" s="110"/>
      <c r="ODQ1367" s="110"/>
      <c r="ODR1367" s="110"/>
      <c r="ODS1367" s="110"/>
      <c r="ODT1367" s="110"/>
      <c r="ODU1367" s="110"/>
      <c r="ODV1367" s="110"/>
      <c r="ODW1367" s="110"/>
      <c r="ODX1367" s="110"/>
      <c r="ODY1367" s="110"/>
      <c r="ODZ1367" s="110"/>
      <c r="OEA1367" s="110"/>
      <c r="OEB1367" s="110"/>
      <c r="OEC1367" s="110"/>
      <c r="OED1367" s="110"/>
      <c r="OEE1367" s="110"/>
      <c r="OEF1367" s="110"/>
      <c r="OEG1367" s="110"/>
      <c r="OEH1367" s="110"/>
      <c r="OEI1367" s="110"/>
      <c r="OEJ1367" s="110"/>
      <c r="OEK1367" s="110"/>
      <c r="OEL1367" s="110"/>
      <c r="OEM1367" s="110"/>
      <c r="OEN1367" s="110"/>
      <c r="OEO1367" s="110"/>
      <c r="OEP1367" s="110"/>
      <c r="OEQ1367" s="110"/>
      <c r="OER1367" s="110"/>
      <c r="OES1367" s="110"/>
      <c r="OET1367" s="110"/>
      <c r="OEU1367" s="110"/>
      <c r="OEV1367" s="110"/>
      <c r="OEW1367" s="110"/>
      <c r="OEX1367" s="110"/>
      <c r="OEY1367" s="110"/>
      <c r="OEZ1367" s="110"/>
      <c r="OFA1367" s="110"/>
      <c r="OFB1367" s="110"/>
      <c r="OFC1367" s="110"/>
      <c r="OFD1367" s="110"/>
      <c r="OFE1367" s="110"/>
      <c r="OFF1367" s="110"/>
      <c r="OFG1367" s="110"/>
      <c r="OFH1367" s="110"/>
      <c r="OFI1367" s="110"/>
      <c r="OFJ1367" s="110"/>
      <c r="OFK1367" s="110"/>
      <c r="OFL1367" s="110"/>
      <c r="OFM1367" s="110"/>
      <c r="OFN1367" s="110"/>
      <c r="OFO1367" s="110"/>
      <c r="OFP1367" s="110"/>
      <c r="OFQ1367" s="110"/>
      <c r="OFR1367" s="110"/>
      <c r="OFS1367" s="110"/>
      <c r="OFT1367" s="110"/>
      <c r="OFU1367" s="110"/>
      <c r="OFV1367" s="110"/>
      <c r="OFW1367" s="110"/>
      <c r="OFX1367" s="110"/>
      <c r="OFY1367" s="110"/>
      <c r="OFZ1367" s="110"/>
      <c r="OGA1367" s="110"/>
      <c r="OGB1367" s="110"/>
      <c r="OGC1367" s="110"/>
      <c r="OGD1367" s="110"/>
      <c r="OGE1367" s="110"/>
      <c r="OGF1367" s="110"/>
      <c r="OGG1367" s="110"/>
      <c r="OGH1367" s="110"/>
      <c r="OGI1367" s="110"/>
      <c r="OGJ1367" s="110"/>
      <c r="OGK1367" s="110"/>
      <c r="OGL1367" s="110"/>
      <c r="OGM1367" s="110"/>
      <c r="OGN1367" s="110"/>
      <c r="OGO1367" s="110"/>
      <c r="OGP1367" s="110"/>
      <c r="OGQ1367" s="110"/>
      <c r="OGR1367" s="110"/>
      <c r="OGS1367" s="110"/>
      <c r="OGT1367" s="110"/>
      <c r="OGU1367" s="110"/>
      <c r="OGV1367" s="110"/>
      <c r="OGW1367" s="110"/>
      <c r="OGX1367" s="110"/>
      <c r="OGY1367" s="110"/>
      <c r="OGZ1367" s="110"/>
      <c r="OHA1367" s="110"/>
      <c r="OHB1367" s="110"/>
      <c r="OHC1367" s="110"/>
      <c r="OHD1367" s="110"/>
      <c r="OHE1367" s="110"/>
      <c r="OHF1367" s="110"/>
      <c r="OHG1367" s="110"/>
      <c r="OHH1367" s="110"/>
      <c r="OHI1367" s="110"/>
      <c r="OHJ1367" s="110"/>
      <c r="OHK1367" s="110"/>
      <c r="OHL1367" s="110"/>
      <c r="OHM1367" s="110"/>
      <c r="OHN1367" s="110"/>
      <c r="OHO1367" s="110"/>
      <c r="OHP1367" s="110"/>
      <c r="OHQ1367" s="110"/>
      <c r="OHR1367" s="110"/>
      <c r="OHS1367" s="110"/>
      <c r="OHT1367" s="110"/>
      <c r="OHU1367" s="110"/>
      <c r="OHV1367" s="110"/>
      <c r="OHW1367" s="110"/>
      <c r="OHX1367" s="110"/>
      <c r="OHY1367" s="110"/>
      <c r="OHZ1367" s="110"/>
      <c r="OIA1367" s="110"/>
      <c r="OIB1367" s="110"/>
      <c r="OIC1367" s="110"/>
      <c r="OID1367" s="110"/>
      <c r="OIE1367" s="110"/>
      <c r="OIF1367" s="110"/>
      <c r="OIG1367" s="110"/>
      <c r="OIH1367" s="110"/>
      <c r="OII1367" s="110"/>
      <c r="OIJ1367" s="110"/>
      <c r="OIK1367" s="110"/>
      <c r="OIL1367" s="110"/>
      <c r="OIM1367" s="110"/>
      <c r="OIN1367" s="110"/>
      <c r="OIO1367" s="110"/>
      <c r="OIP1367" s="110"/>
      <c r="OIQ1367" s="110"/>
      <c r="OIR1367" s="110"/>
      <c r="OIS1367" s="110"/>
      <c r="OIT1367" s="110"/>
      <c r="OIU1367" s="110"/>
      <c r="OIV1367" s="110"/>
      <c r="OIW1367" s="110"/>
      <c r="OIX1367" s="110"/>
      <c r="OIY1367" s="110"/>
      <c r="OIZ1367" s="110"/>
      <c r="OJA1367" s="110"/>
      <c r="OJB1367" s="110"/>
      <c r="OJC1367" s="110"/>
      <c r="OJD1367" s="110"/>
      <c r="OJE1367" s="110"/>
      <c r="OJF1367" s="110"/>
      <c r="OJG1367" s="110"/>
      <c r="OJH1367" s="110"/>
      <c r="OJI1367" s="110"/>
      <c r="OJJ1367" s="110"/>
      <c r="OJK1367" s="110"/>
      <c r="OJL1367" s="110"/>
      <c r="OJM1367" s="110"/>
      <c r="OJN1367" s="110"/>
      <c r="OJO1367" s="110"/>
      <c r="OJP1367" s="110"/>
      <c r="OJQ1367" s="110"/>
      <c r="OJR1367" s="110"/>
      <c r="OJS1367" s="110"/>
      <c r="OJT1367" s="110"/>
      <c r="OJU1367" s="110"/>
      <c r="OJV1367" s="110"/>
      <c r="OJW1367" s="110"/>
      <c r="OJX1367" s="110"/>
      <c r="OJY1367" s="110"/>
      <c r="OJZ1367" s="110"/>
      <c r="OKA1367" s="110"/>
      <c r="OKB1367" s="110"/>
      <c r="OKC1367" s="110"/>
      <c r="OKD1367" s="110"/>
      <c r="OKE1367" s="110"/>
      <c r="OKF1367" s="110"/>
      <c r="OKG1367" s="110"/>
      <c r="OKH1367" s="110"/>
      <c r="OKI1367" s="110"/>
      <c r="OKJ1367" s="110"/>
      <c r="OKK1367" s="110"/>
      <c r="OKL1367" s="110"/>
      <c r="OKM1367" s="110"/>
      <c r="OKN1367" s="110"/>
      <c r="OKO1367" s="110"/>
      <c r="OKP1367" s="110"/>
      <c r="OKQ1367" s="110"/>
      <c r="OKR1367" s="110"/>
      <c r="OKS1367" s="110"/>
      <c r="OKT1367" s="110"/>
      <c r="OKU1367" s="110"/>
      <c r="OKV1367" s="110"/>
      <c r="OKW1367" s="110"/>
      <c r="OKX1367" s="110"/>
      <c r="OKY1367" s="110"/>
      <c r="OKZ1367" s="110"/>
      <c r="OLA1367" s="110"/>
      <c r="OLB1367" s="110"/>
      <c r="OLC1367" s="110"/>
      <c r="OLD1367" s="110"/>
      <c r="OLE1367" s="110"/>
      <c r="OLF1367" s="110"/>
      <c r="OLG1367" s="110"/>
      <c r="OLH1367" s="110"/>
      <c r="OLI1367" s="110"/>
      <c r="OLJ1367" s="110"/>
      <c r="OLK1367" s="110"/>
      <c r="OLL1367" s="110"/>
      <c r="OLM1367" s="110"/>
      <c r="OLN1367" s="110"/>
      <c r="OLO1367" s="110"/>
      <c r="OLP1367" s="110"/>
      <c r="OLQ1367" s="110"/>
      <c r="OLR1367" s="110"/>
      <c r="OLS1367" s="110"/>
      <c r="OLT1367" s="110"/>
      <c r="OLU1367" s="110"/>
      <c r="OLV1367" s="110"/>
      <c r="OLW1367" s="110"/>
      <c r="OLX1367" s="110"/>
      <c r="OLY1367" s="110"/>
      <c r="OLZ1367" s="110"/>
      <c r="OMA1367" s="110"/>
      <c r="OMB1367" s="110"/>
      <c r="OMC1367" s="110"/>
      <c r="OMD1367" s="110"/>
      <c r="OME1367" s="110"/>
      <c r="OMF1367" s="110"/>
      <c r="OMG1367" s="110"/>
      <c r="OMH1367" s="110"/>
      <c r="OMI1367" s="110"/>
      <c r="OMJ1367" s="110"/>
      <c r="OMK1367" s="110"/>
      <c r="OML1367" s="110"/>
      <c r="OMM1367" s="110"/>
      <c r="OMN1367" s="110"/>
      <c r="OMO1367" s="110"/>
      <c r="OMP1367" s="110"/>
      <c r="OMQ1367" s="110"/>
      <c r="OMR1367" s="110"/>
      <c r="OMS1367" s="110"/>
      <c r="OMT1367" s="110"/>
      <c r="OMU1367" s="110"/>
      <c r="OMV1367" s="110"/>
      <c r="OMW1367" s="110"/>
      <c r="OMX1367" s="110"/>
      <c r="OMY1367" s="110"/>
      <c r="OMZ1367" s="110"/>
      <c r="ONA1367" s="110"/>
      <c r="ONB1367" s="110"/>
      <c r="ONC1367" s="110"/>
      <c r="OND1367" s="110"/>
      <c r="ONE1367" s="110"/>
      <c r="ONF1367" s="110"/>
      <c r="ONG1367" s="110"/>
      <c r="ONH1367" s="110"/>
      <c r="ONI1367" s="110"/>
      <c r="ONJ1367" s="110"/>
      <c r="ONK1367" s="110"/>
      <c r="ONL1367" s="110"/>
      <c r="ONM1367" s="110"/>
      <c r="ONN1367" s="110"/>
      <c r="ONO1367" s="110"/>
      <c r="ONP1367" s="110"/>
      <c r="ONQ1367" s="110"/>
      <c r="ONR1367" s="110"/>
      <c r="ONS1367" s="110"/>
      <c r="ONT1367" s="110"/>
      <c r="ONU1367" s="110"/>
      <c r="ONV1367" s="110"/>
      <c r="ONW1367" s="110"/>
      <c r="ONX1367" s="110"/>
      <c r="ONY1367" s="110"/>
      <c r="ONZ1367" s="110"/>
      <c r="OOA1367" s="110"/>
      <c r="OOB1367" s="110"/>
      <c r="OOC1367" s="110"/>
      <c r="OOD1367" s="110"/>
      <c r="OOE1367" s="110"/>
      <c r="OOF1367" s="110"/>
      <c r="OOG1367" s="110"/>
      <c r="OOH1367" s="110"/>
      <c r="OOI1367" s="110"/>
      <c r="OOJ1367" s="110"/>
      <c r="OOK1367" s="110"/>
      <c r="OOL1367" s="110"/>
      <c r="OOM1367" s="110"/>
      <c r="OON1367" s="110"/>
      <c r="OOO1367" s="110"/>
      <c r="OOP1367" s="110"/>
      <c r="OOQ1367" s="110"/>
      <c r="OOR1367" s="110"/>
      <c r="OOS1367" s="110"/>
      <c r="OOT1367" s="110"/>
      <c r="OOU1367" s="110"/>
      <c r="OOV1367" s="110"/>
      <c r="OOW1367" s="110"/>
      <c r="OOX1367" s="110"/>
      <c r="OOY1367" s="110"/>
      <c r="OOZ1367" s="110"/>
      <c r="OPA1367" s="110"/>
      <c r="OPB1367" s="110"/>
      <c r="OPC1367" s="110"/>
      <c r="OPD1367" s="110"/>
      <c r="OPE1367" s="110"/>
      <c r="OPF1367" s="110"/>
      <c r="OPG1367" s="110"/>
      <c r="OPH1367" s="110"/>
      <c r="OPI1367" s="110"/>
      <c r="OPJ1367" s="110"/>
      <c r="OPK1367" s="110"/>
      <c r="OPL1367" s="110"/>
      <c r="OPM1367" s="110"/>
      <c r="OPN1367" s="110"/>
      <c r="OPO1367" s="110"/>
      <c r="OPP1367" s="110"/>
      <c r="OPQ1367" s="110"/>
      <c r="OPR1367" s="110"/>
      <c r="OPS1367" s="110"/>
      <c r="OPT1367" s="110"/>
      <c r="OPU1367" s="110"/>
      <c r="OPV1367" s="110"/>
      <c r="OPW1367" s="110"/>
      <c r="OPX1367" s="110"/>
      <c r="OPY1367" s="110"/>
      <c r="OPZ1367" s="110"/>
      <c r="OQA1367" s="110"/>
      <c r="OQB1367" s="110"/>
      <c r="OQC1367" s="110"/>
      <c r="OQD1367" s="110"/>
      <c r="OQE1367" s="110"/>
      <c r="OQF1367" s="110"/>
      <c r="OQG1367" s="110"/>
      <c r="OQH1367" s="110"/>
      <c r="OQI1367" s="110"/>
      <c r="OQJ1367" s="110"/>
      <c r="OQK1367" s="110"/>
      <c r="OQL1367" s="110"/>
      <c r="OQM1367" s="110"/>
      <c r="OQN1367" s="110"/>
      <c r="OQO1367" s="110"/>
      <c r="OQP1367" s="110"/>
      <c r="OQQ1367" s="110"/>
      <c r="OQR1367" s="110"/>
      <c r="OQS1367" s="110"/>
      <c r="OQT1367" s="110"/>
      <c r="OQU1367" s="110"/>
      <c r="OQV1367" s="110"/>
      <c r="OQW1367" s="110"/>
      <c r="OQX1367" s="110"/>
      <c r="OQY1367" s="110"/>
      <c r="OQZ1367" s="110"/>
      <c r="ORA1367" s="110"/>
      <c r="ORB1367" s="110"/>
      <c r="ORC1367" s="110"/>
      <c r="ORD1367" s="110"/>
      <c r="ORE1367" s="110"/>
      <c r="ORF1367" s="110"/>
      <c r="ORG1367" s="110"/>
      <c r="ORH1367" s="110"/>
      <c r="ORI1367" s="110"/>
      <c r="ORJ1367" s="110"/>
      <c r="ORK1367" s="110"/>
      <c r="ORL1367" s="110"/>
      <c r="ORM1367" s="110"/>
      <c r="ORN1367" s="110"/>
      <c r="ORO1367" s="110"/>
      <c r="ORP1367" s="110"/>
      <c r="ORQ1367" s="110"/>
      <c r="ORR1367" s="110"/>
      <c r="ORS1367" s="110"/>
      <c r="ORT1367" s="110"/>
      <c r="ORU1367" s="110"/>
      <c r="ORV1367" s="110"/>
      <c r="ORW1367" s="110"/>
      <c r="ORX1367" s="110"/>
      <c r="ORY1367" s="110"/>
      <c r="ORZ1367" s="110"/>
      <c r="OSA1367" s="110"/>
      <c r="OSB1367" s="110"/>
      <c r="OSC1367" s="110"/>
      <c r="OSD1367" s="110"/>
      <c r="OSE1367" s="110"/>
      <c r="OSF1367" s="110"/>
      <c r="OSG1367" s="110"/>
      <c r="OSH1367" s="110"/>
      <c r="OSI1367" s="110"/>
      <c r="OSJ1367" s="110"/>
      <c r="OSK1367" s="110"/>
      <c r="OSL1367" s="110"/>
      <c r="OSM1367" s="110"/>
      <c r="OSN1367" s="110"/>
      <c r="OSO1367" s="110"/>
      <c r="OSP1367" s="110"/>
      <c r="OSQ1367" s="110"/>
      <c r="OSR1367" s="110"/>
      <c r="OSS1367" s="110"/>
      <c r="OST1367" s="110"/>
      <c r="OSU1367" s="110"/>
      <c r="OSV1367" s="110"/>
      <c r="OSW1367" s="110"/>
      <c r="OSX1367" s="110"/>
      <c r="OSY1367" s="110"/>
      <c r="OSZ1367" s="110"/>
      <c r="OTA1367" s="110"/>
      <c r="OTB1367" s="110"/>
      <c r="OTC1367" s="110"/>
      <c r="OTD1367" s="110"/>
      <c r="OTE1367" s="110"/>
      <c r="OTF1367" s="110"/>
      <c r="OTG1367" s="110"/>
      <c r="OTH1367" s="110"/>
      <c r="OTI1367" s="110"/>
      <c r="OTJ1367" s="110"/>
      <c r="OTK1367" s="110"/>
      <c r="OTL1367" s="110"/>
      <c r="OTM1367" s="110"/>
      <c r="OTN1367" s="110"/>
      <c r="OTO1367" s="110"/>
      <c r="OTP1367" s="110"/>
      <c r="OTQ1367" s="110"/>
      <c r="OTR1367" s="110"/>
      <c r="OTS1367" s="110"/>
      <c r="OTT1367" s="110"/>
      <c r="OTU1367" s="110"/>
      <c r="OTV1367" s="110"/>
      <c r="OTW1367" s="110"/>
      <c r="OTX1367" s="110"/>
      <c r="OTY1367" s="110"/>
      <c r="OTZ1367" s="110"/>
      <c r="OUA1367" s="110"/>
      <c r="OUB1367" s="110"/>
      <c r="OUC1367" s="110"/>
      <c r="OUD1367" s="110"/>
      <c r="OUE1367" s="110"/>
      <c r="OUF1367" s="110"/>
      <c r="OUG1367" s="110"/>
      <c r="OUH1367" s="110"/>
      <c r="OUI1367" s="110"/>
      <c r="OUJ1367" s="110"/>
      <c r="OUK1367" s="110"/>
      <c r="OUL1367" s="110"/>
      <c r="OUM1367" s="110"/>
      <c r="OUN1367" s="110"/>
      <c r="OUO1367" s="110"/>
      <c r="OUP1367" s="110"/>
      <c r="OUQ1367" s="110"/>
      <c r="OUR1367" s="110"/>
      <c r="OUS1367" s="110"/>
      <c r="OUT1367" s="110"/>
      <c r="OUU1367" s="110"/>
      <c r="OUV1367" s="110"/>
      <c r="OUW1367" s="110"/>
      <c r="OUX1367" s="110"/>
      <c r="OUY1367" s="110"/>
      <c r="OUZ1367" s="110"/>
      <c r="OVA1367" s="110"/>
      <c r="OVB1367" s="110"/>
      <c r="OVC1367" s="110"/>
      <c r="OVD1367" s="110"/>
      <c r="OVE1367" s="110"/>
      <c r="OVF1367" s="110"/>
      <c r="OVG1367" s="110"/>
      <c r="OVH1367" s="110"/>
      <c r="OVI1367" s="110"/>
      <c r="OVJ1367" s="110"/>
      <c r="OVK1367" s="110"/>
      <c r="OVL1367" s="110"/>
      <c r="OVM1367" s="110"/>
      <c r="OVN1367" s="110"/>
      <c r="OVO1367" s="110"/>
      <c r="OVP1367" s="110"/>
      <c r="OVQ1367" s="110"/>
      <c r="OVR1367" s="110"/>
      <c r="OVS1367" s="110"/>
      <c r="OVT1367" s="110"/>
      <c r="OVU1367" s="110"/>
      <c r="OVV1367" s="110"/>
      <c r="OVW1367" s="110"/>
      <c r="OVX1367" s="110"/>
      <c r="OVY1367" s="110"/>
      <c r="OVZ1367" s="110"/>
      <c r="OWA1367" s="110"/>
      <c r="OWB1367" s="110"/>
      <c r="OWC1367" s="110"/>
      <c r="OWD1367" s="110"/>
      <c r="OWE1367" s="110"/>
      <c r="OWF1367" s="110"/>
      <c r="OWG1367" s="110"/>
      <c r="OWH1367" s="110"/>
      <c r="OWI1367" s="110"/>
      <c r="OWJ1367" s="110"/>
      <c r="OWK1367" s="110"/>
      <c r="OWL1367" s="110"/>
      <c r="OWM1367" s="110"/>
      <c r="OWN1367" s="110"/>
      <c r="OWO1367" s="110"/>
      <c r="OWP1367" s="110"/>
      <c r="OWQ1367" s="110"/>
      <c r="OWR1367" s="110"/>
      <c r="OWS1367" s="110"/>
      <c r="OWT1367" s="110"/>
      <c r="OWU1367" s="110"/>
      <c r="OWV1367" s="110"/>
      <c r="OWW1367" s="110"/>
      <c r="OWX1367" s="110"/>
      <c r="OWY1367" s="110"/>
      <c r="OWZ1367" s="110"/>
      <c r="OXA1367" s="110"/>
      <c r="OXB1367" s="110"/>
      <c r="OXC1367" s="110"/>
      <c r="OXD1367" s="110"/>
      <c r="OXE1367" s="110"/>
      <c r="OXF1367" s="110"/>
      <c r="OXG1367" s="110"/>
      <c r="OXH1367" s="110"/>
      <c r="OXI1367" s="110"/>
      <c r="OXJ1367" s="110"/>
      <c r="OXK1367" s="110"/>
      <c r="OXL1367" s="110"/>
      <c r="OXM1367" s="110"/>
      <c r="OXN1367" s="110"/>
      <c r="OXO1367" s="110"/>
      <c r="OXP1367" s="110"/>
      <c r="OXQ1367" s="110"/>
      <c r="OXR1367" s="110"/>
      <c r="OXS1367" s="110"/>
      <c r="OXT1367" s="110"/>
      <c r="OXU1367" s="110"/>
      <c r="OXV1367" s="110"/>
      <c r="OXW1367" s="110"/>
      <c r="OXX1367" s="110"/>
      <c r="OXY1367" s="110"/>
      <c r="OXZ1367" s="110"/>
      <c r="OYA1367" s="110"/>
      <c r="OYB1367" s="110"/>
      <c r="OYC1367" s="110"/>
      <c r="OYD1367" s="110"/>
      <c r="OYE1367" s="110"/>
      <c r="OYF1367" s="110"/>
      <c r="OYG1367" s="110"/>
      <c r="OYH1367" s="110"/>
      <c r="OYI1367" s="110"/>
      <c r="OYJ1367" s="110"/>
      <c r="OYK1367" s="110"/>
      <c r="OYL1367" s="110"/>
      <c r="OYM1367" s="110"/>
      <c r="OYN1367" s="110"/>
      <c r="OYO1367" s="110"/>
      <c r="OYP1367" s="110"/>
      <c r="OYQ1367" s="110"/>
      <c r="OYR1367" s="110"/>
      <c r="OYS1367" s="110"/>
      <c r="OYT1367" s="110"/>
      <c r="OYU1367" s="110"/>
      <c r="OYV1367" s="110"/>
      <c r="OYW1367" s="110"/>
      <c r="OYX1367" s="110"/>
      <c r="OYY1367" s="110"/>
      <c r="OYZ1367" s="110"/>
      <c r="OZA1367" s="110"/>
      <c r="OZB1367" s="110"/>
      <c r="OZC1367" s="110"/>
      <c r="OZD1367" s="110"/>
      <c r="OZE1367" s="110"/>
      <c r="OZF1367" s="110"/>
      <c r="OZG1367" s="110"/>
      <c r="OZH1367" s="110"/>
      <c r="OZI1367" s="110"/>
      <c r="OZJ1367" s="110"/>
      <c r="OZK1367" s="110"/>
      <c r="OZL1367" s="110"/>
      <c r="OZM1367" s="110"/>
      <c r="OZN1367" s="110"/>
      <c r="OZO1367" s="110"/>
      <c r="OZP1367" s="110"/>
      <c r="OZQ1367" s="110"/>
      <c r="OZR1367" s="110"/>
      <c r="OZS1367" s="110"/>
      <c r="OZT1367" s="110"/>
      <c r="OZU1367" s="110"/>
      <c r="OZV1367" s="110"/>
      <c r="OZW1367" s="110"/>
      <c r="OZX1367" s="110"/>
      <c r="OZY1367" s="110"/>
      <c r="OZZ1367" s="110"/>
      <c r="PAA1367" s="110"/>
      <c r="PAB1367" s="110"/>
      <c r="PAC1367" s="110"/>
      <c r="PAD1367" s="110"/>
      <c r="PAE1367" s="110"/>
      <c r="PAF1367" s="110"/>
      <c r="PAG1367" s="110"/>
      <c r="PAH1367" s="110"/>
      <c r="PAI1367" s="110"/>
      <c r="PAJ1367" s="110"/>
      <c r="PAK1367" s="110"/>
      <c r="PAL1367" s="110"/>
      <c r="PAM1367" s="110"/>
      <c r="PAN1367" s="110"/>
      <c r="PAO1367" s="110"/>
      <c r="PAP1367" s="110"/>
      <c r="PAQ1367" s="110"/>
      <c r="PAR1367" s="110"/>
      <c r="PAS1367" s="110"/>
      <c r="PAT1367" s="110"/>
      <c r="PAU1367" s="110"/>
      <c r="PAV1367" s="110"/>
      <c r="PAW1367" s="110"/>
      <c r="PAX1367" s="110"/>
      <c r="PAY1367" s="110"/>
      <c r="PAZ1367" s="110"/>
      <c r="PBA1367" s="110"/>
      <c r="PBB1367" s="110"/>
      <c r="PBC1367" s="110"/>
      <c r="PBD1367" s="110"/>
      <c r="PBE1367" s="110"/>
      <c r="PBF1367" s="110"/>
      <c r="PBG1367" s="110"/>
      <c r="PBH1367" s="110"/>
      <c r="PBI1367" s="110"/>
      <c r="PBJ1367" s="110"/>
      <c r="PBK1367" s="110"/>
      <c r="PBL1367" s="110"/>
      <c r="PBM1367" s="110"/>
      <c r="PBN1367" s="110"/>
      <c r="PBO1367" s="110"/>
      <c r="PBP1367" s="110"/>
      <c r="PBQ1367" s="110"/>
      <c r="PBR1367" s="110"/>
      <c r="PBS1367" s="110"/>
      <c r="PBT1367" s="110"/>
      <c r="PBU1367" s="110"/>
      <c r="PBV1367" s="110"/>
      <c r="PBW1367" s="110"/>
      <c r="PBX1367" s="110"/>
      <c r="PBY1367" s="110"/>
      <c r="PBZ1367" s="110"/>
      <c r="PCA1367" s="110"/>
      <c r="PCB1367" s="110"/>
      <c r="PCC1367" s="110"/>
      <c r="PCD1367" s="110"/>
      <c r="PCE1367" s="110"/>
      <c r="PCF1367" s="110"/>
      <c r="PCG1367" s="110"/>
      <c r="PCH1367" s="110"/>
      <c r="PCI1367" s="110"/>
      <c r="PCJ1367" s="110"/>
      <c r="PCK1367" s="110"/>
      <c r="PCL1367" s="110"/>
      <c r="PCM1367" s="110"/>
      <c r="PCN1367" s="110"/>
      <c r="PCO1367" s="110"/>
      <c r="PCP1367" s="110"/>
      <c r="PCQ1367" s="110"/>
      <c r="PCR1367" s="110"/>
      <c r="PCS1367" s="110"/>
      <c r="PCT1367" s="110"/>
      <c r="PCU1367" s="110"/>
      <c r="PCV1367" s="110"/>
      <c r="PCW1367" s="110"/>
      <c r="PCX1367" s="110"/>
      <c r="PCY1367" s="110"/>
      <c r="PCZ1367" s="110"/>
      <c r="PDA1367" s="110"/>
      <c r="PDB1367" s="110"/>
      <c r="PDC1367" s="110"/>
      <c r="PDD1367" s="110"/>
      <c r="PDE1367" s="110"/>
      <c r="PDF1367" s="110"/>
      <c r="PDG1367" s="110"/>
      <c r="PDH1367" s="110"/>
      <c r="PDI1367" s="110"/>
      <c r="PDJ1367" s="110"/>
      <c r="PDK1367" s="110"/>
      <c r="PDL1367" s="110"/>
      <c r="PDM1367" s="110"/>
      <c r="PDN1367" s="110"/>
      <c r="PDO1367" s="110"/>
      <c r="PDP1367" s="110"/>
      <c r="PDQ1367" s="110"/>
      <c r="PDR1367" s="110"/>
      <c r="PDS1367" s="110"/>
      <c r="PDT1367" s="110"/>
      <c r="PDU1367" s="110"/>
      <c r="PDV1367" s="110"/>
      <c r="PDW1367" s="110"/>
      <c r="PDX1367" s="110"/>
      <c r="PDY1367" s="110"/>
      <c r="PDZ1367" s="110"/>
      <c r="PEA1367" s="110"/>
      <c r="PEB1367" s="110"/>
      <c r="PEC1367" s="110"/>
      <c r="PED1367" s="110"/>
      <c r="PEE1367" s="110"/>
      <c r="PEF1367" s="110"/>
      <c r="PEG1367" s="110"/>
      <c r="PEH1367" s="110"/>
      <c r="PEI1367" s="110"/>
      <c r="PEJ1367" s="110"/>
      <c r="PEK1367" s="110"/>
      <c r="PEL1367" s="110"/>
      <c r="PEM1367" s="110"/>
      <c r="PEN1367" s="110"/>
      <c r="PEO1367" s="110"/>
      <c r="PEP1367" s="110"/>
      <c r="PEQ1367" s="110"/>
      <c r="PER1367" s="110"/>
      <c r="PES1367" s="110"/>
      <c r="PET1367" s="110"/>
      <c r="PEU1367" s="110"/>
      <c r="PEV1367" s="110"/>
      <c r="PEW1367" s="110"/>
      <c r="PEX1367" s="110"/>
      <c r="PEY1367" s="110"/>
      <c r="PEZ1367" s="110"/>
      <c r="PFA1367" s="110"/>
      <c r="PFB1367" s="110"/>
      <c r="PFC1367" s="110"/>
      <c r="PFD1367" s="110"/>
      <c r="PFE1367" s="110"/>
      <c r="PFF1367" s="110"/>
      <c r="PFG1367" s="110"/>
      <c r="PFH1367" s="110"/>
      <c r="PFI1367" s="110"/>
      <c r="PFJ1367" s="110"/>
      <c r="PFK1367" s="110"/>
      <c r="PFL1367" s="110"/>
      <c r="PFM1367" s="110"/>
      <c r="PFN1367" s="110"/>
      <c r="PFO1367" s="110"/>
      <c r="PFP1367" s="110"/>
      <c r="PFQ1367" s="110"/>
      <c r="PFR1367" s="110"/>
      <c r="PFS1367" s="110"/>
      <c r="PFT1367" s="110"/>
      <c r="PFU1367" s="110"/>
      <c r="PFV1367" s="110"/>
      <c r="PFW1367" s="110"/>
      <c r="PFX1367" s="110"/>
      <c r="PFY1367" s="110"/>
      <c r="PFZ1367" s="110"/>
      <c r="PGA1367" s="110"/>
      <c r="PGB1367" s="110"/>
      <c r="PGC1367" s="110"/>
      <c r="PGD1367" s="110"/>
      <c r="PGE1367" s="110"/>
      <c r="PGF1367" s="110"/>
      <c r="PGG1367" s="110"/>
      <c r="PGH1367" s="110"/>
      <c r="PGI1367" s="110"/>
      <c r="PGJ1367" s="110"/>
      <c r="PGK1367" s="110"/>
      <c r="PGL1367" s="110"/>
      <c r="PGM1367" s="110"/>
      <c r="PGN1367" s="110"/>
      <c r="PGO1367" s="110"/>
      <c r="PGP1367" s="110"/>
      <c r="PGQ1367" s="110"/>
      <c r="PGR1367" s="110"/>
      <c r="PGS1367" s="110"/>
      <c r="PGT1367" s="110"/>
      <c r="PGU1367" s="110"/>
      <c r="PGV1367" s="110"/>
      <c r="PGW1367" s="110"/>
      <c r="PGX1367" s="110"/>
      <c r="PGY1367" s="110"/>
      <c r="PGZ1367" s="110"/>
      <c r="PHA1367" s="110"/>
      <c r="PHB1367" s="110"/>
      <c r="PHC1367" s="110"/>
      <c r="PHD1367" s="110"/>
      <c r="PHE1367" s="110"/>
      <c r="PHF1367" s="110"/>
      <c r="PHG1367" s="110"/>
      <c r="PHH1367" s="110"/>
      <c r="PHI1367" s="110"/>
      <c r="PHJ1367" s="110"/>
      <c r="PHK1367" s="110"/>
      <c r="PHL1367" s="110"/>
      <c r="PHM1367" s="110"/>
      <c r="PHN1367" s="110"/>
      <c r="PHO1367" s="110"/>
      <c r="PHP1367" s="110"/>
      <c r="PHQ1367" s="110"/>
      <c r="PHR1367" s="110"/>
      <c r="PHS1367" s="110"/>
      <c r="PHT1367" s="110"/>
      <c r="PHU1367" s="110"/>
      <c r="PHV1367" s="110"/>
      <c r="PHW1367" s="110"/>
      <c r="PHX1367" s="110"/>
      <c r="PHY1367" s="110"/>
      <c r="PHZ1367" s="110"/>
      <c r="PIA1367" s="110"/>
      <c r="PIB1367" s="110"/>
      <c r="PIC1367" s="110"/>
      <c r="PID1367" s="110"/>
      <c r="PIE1367" s="110"/>
      <c r="PIF1367" s="110"/>
      <c r="PIG1367" s="110"/>
      <c r="PIH1367" s="110"/>
      <c r="PII1367" s="110"/>
      <c r="PIJ1367" s="110"/>
      <c r="PIK1367" s="110"/>
      <c r="PIL1367" s="110"/>
      <c r="PIM1367" s="110"/>
      <c r="PIN1367" s="110"/>
      <c r="PIO1367" s="110"/>
      <c r="PIP1367" s="110"/>
      <c r="PIQ1367" s="110"/>
      <c r="PIR1367" s="110"/>
      <c r="PIS1367" s="110"/>
      <c r="PIT1367" s="110"/>
      <c r="PIU1367" s="110"/>
      <c r="PIV1367" s="110"/>
      <c r="PIW1367" s="110"/>
      <c r="PIX1367" s="110"/>
      <c r="PIY1367" s="110"/>
      <c r="PIZ1367" s="110"/>
      <c r="PJA1367" s="110"/>
      <c r="PJB1367" s="110"/>
      <c r="PJC1367" s="110"/>
      <c r="PJD1367" s="110"/>
      <c r="PJE1367" s="110"/>
      <c r="PJF1367" s="110"/>
      <c r="PJG1367" s="110"/>
      <c r="PJH1367" s="110"/>
      <c r="PJI1367" s="110"/>
      <c r="PJJ1367" s="110"/>
      <c r="PJK1367" s="110"/>
      <c r="PJL1367" s="110"/>
      <c r="PJM1367" s="110"/>
      <c r="PJN1367" s="110"/>
      <c r="PJO1367" s="110"/>
      <c r="PJP1367" s="110"/>
      <c r="PJQ1367" s="110"/>
      <c r="PJR1367" s="110"/>
      <c r="PJS1367" s="110"/>
      <c r="PJT1367" s="110"/>
      <c r="PJU1367" s="110"/>
      <c r="PJV1367" s="110"/>
      <c r="PJW1367" s="110"/>
      <c r="PJX1367" s="110"/>
      <c r="PJY1367" s="110"/>
      <c r="PJZ1367" s="110"/>
      <c r="PKA1367" s="110"/>
      <c r="PKB1367" s="110"/>
      <c r="PKC1367" s="110"/>
      <c r="PKD1367" s="110"/>
      <c r="PKE1367" s="110"/>
      <c r="PKF1367" s="110"/>
      <c r="PKG1367" s="110"/>
      <c r="PKH1367" s="110"/>
      <c r="PKI1367" s="110"/>
      <c r="PKJ1367" s="110"/>
      <c r="PKK1367" s="110"/>
      <c r="PKL1367" s="110"/>
      <c r="PKM1367" s="110"/>
      <c r="PKN1367" s="110"/>
      <c r="PKO1367" s="110"/>
      <c r="PKP1367" s="110"/>
      <c r="PKQ1367" s="110"/>
      <c r="PKR1367" s="110"/>
      <c r="PKS1367" s="110"/>
      <c r="PKT1367" s="110"/>
      <c r="PKU1367" s="110"/>
      <c r="PKV1367" s="110"/>
      <c r="PKW1367" s="110"/>
      <c r="PKX1367" s="110"/>
      <c r="PKY1367" s="110"/>
      <c r="PKZ1367" s="110"/>
      <c r="PLA1367" s="110"/>
      <c r="PLB1367" s="110"/>
      <c r="PLC1367" s="110"/>
      <c r="PLD1367" s="110"/>
      <c r="PLE1367" s="110"/>
      <c r="PLF1367" s="110"/>
      <c r="PLG1367" s="110"/>
      <c r="PLH1367" s="110"/>
      <c r="PLI1367" s="110"/>
      <c r="PLJ1367" s="110"/>
      <c r="PLK1367" s="110"/>
      <c r="PLL1367" s="110"/>
      <c r="PLM1367" s="110"/>
      <c r="PLN1367" s="110"/>
      <c r="PLO1367" s="110"/>
      <c r="PLP1367" s="110"/>
      <c r="PLQ1367" s="110"/>
      <c r="PLR1367" s="110"/>
      <c r="PLS1367" s="110"/>
      <c r="PLT1367" s="110"/>
      <c r="PLU1367" s="110"/>
      <c r="PLV1367" s="110"/>
      <c r="PLW1367" s="110"/>
      <c r="PLX1367" s="110"/>
      <c r="PLY1367" s="110"/>
      <c r="PLZ1367" s="110"/>
      <c r="PMA1367" s="110"/>
      <c r="PMB1367" s="110"/>
      <c r="PMC1367" s="110"/>
      <c r="PMD1367" s="110"/>
      <c r="PME1367" s="110"/>
      <c r="PMF1367" s="110"/>
      <c r="PMG1367" s="110"/>
      <c r="PMH1367" s="110"/>
      <c r="PMI1367" s="110"/>
      <c r="PMJ1367" s="110"/>
      <c r="PMK1367" s="110"/>
      <c r="PML1367" s="110"/>
      <c r="PMM1367" s="110"/>
      <c r="PMN1367" s="110"/>
      <c r="PMO1367" s="110"/>
      <c r="PMP1367" s="110"/>
      <c r="PMQ1367" s="110"/>
      <c r="PMR1367" s="110"/>
      <c r="PMS1367" s="110"/>
      <c r="PMT1367" s="110"/>
      <c r="PMU1367" s="110"/>
      <c r="PMV1367" s="110"/>
      <c r="PMW1367" s="110"/>
      <c r="PMX1367" s="110"/>
      <c r="PMY1367" s="110"/>
      <c r="PMZ1367" s="110"/>
      <c r="PNA1367" s="110"/>
      <c r="PNB1367" s="110"/>
      <c r="PNC1367" s="110"/>
      <c r="PND1367" s="110"/>
      <c r="PNE1367" s="110"/>
      <c r="PNF1367" s="110"/>
      <c r="PNG1367" s="110"/>
      <c r="PNH1367" s="110"/>
      <c r="PNI1367" s="110"/>
      <c r="PNJ1367" s="110"/>
      <c r="PNK1367" s="110"/>
      <c r="PNL1367" s="110"/>
      <c r="PNM1367" s="110"/>
      <c r="PNN1367" s="110"/>
      <c r="PNO1367" s="110"/>
      <c r="PNP1367" s="110"/>
      <c r="PNQ1367" s="110"/>
      <c r="PNR1367" s="110"/>
      <c r="PNS1367" s="110"/>
      <c r="PNT1367" s="110"/>
      <c r="PNU1367" s="110"/>
      <c r="PNV1367" s="110"/>
      <c r="PNW1367" s="110"/>
      <c r="PNX1367" s="110"/>
      <c r="PNY1367" s="110"/>
      <c r="PNZ1367" s="110"/>
      <c r="POA1367" s="110"/>
      <c r="POB1367" s="110"/>
      <c r="POC1367" s="110"/>
      <c r="POD1367" s="110"/>
      <c r="POE1367" s="110"/>
      <c r="POF1367" s="110"/>
      <c r="POG1367" s="110"/>
      <c r="POH1367" s="110"/>
      <c r="POI1367" s="110"/>
      <c r="POJ1367" s="110"/>
      <c r="POK1367" s="110"/>
      <c r="POL1367" s="110"/>
      <c r="POM1367" s="110"/>
      <c r="PON1367" s="110"/>
      <c r="POO1367" s="110"/>
      <c r="POP1367" s="110"/>
      <c r="POQ1367" s="110"/>
      <c r="POR1367" s="110"/>
      <c r="POS1367" s="110"/>
      <c r="POT1367" s="110"/>
      <c r="POU1367" s="110"/>
      <c r="POV1367" s="110"/>
      <c r="POW1367" s="110"/>
      <c r="POX1367" s="110"/>
      <c r="POY1367" s="110"/>
      <c r="POZ1367" s="110"/>
      <c r="PPA1367" s="110"/>
      <c r="PPB1367" s="110"/>
      <c r="PPC1367" s="110"/>
      <c r="PPD1367" s="110"/>
      <c r="PPE1367" s="110"/>
      <c r="PPF1367" s="110"/>
      <c r="PPG1367" s="110"/>
      <c r="PPH1367" s="110"/>
      <c r="PPI1367" s="110"/>
      <c r="PPJ1367" s="110"/>
      <c r="PPK1367" s="110"/>
      <c r="PPL1367" s="110"/>
      <c r="PPM1367" s="110"/>
      <c r="PPN1367" s="110"/>
      <c r="PPO1367" s="110"/>
      <c r="PPP1367" s="110"/>
      <c r="PPQ1367" s="110"/>
      <c r="PPR1367" s="110"/>
      <c r="PPS1367" s="110"/>
      <c r="PPT1367" s="110"/>
      <c r="PPU1367" s="110"/>
      <c r="PPV1367" s="110"/>
      <c r="PPW1367" s="110"/>
      <c r="PPX1367" s="110"/>
      <c r="PPY1367" s="110"/>
      <c r="PPZ1367" s="110"/>
      <c r="PQA1367" s="110"/>
      <c r="PQB1367" s="110"/>
      <c r="PQC1367" s="110"/>
      <c r="PQD1367" s="110"/>
      <c r="PQE1367" s="110"/>
      <c r="PQF1367" s="110"/>
      <c r="PQG1367" s="110"/>
      <c r="PQH1367" s="110"/>
      <c r="PQI1367" s="110"/>
      <c r="PQJ1367" s="110"/>
      <c r="PQK1367" s="110"/>
      <c r="PQL1367" s="110"/>
      <c r="PQM1367" s="110"/>
      <c r="PQN1367" s="110"/>
      <c r="PQO1367" s="110"/>
      <c r="PQP1367" s="110"/>
      <c r="PQQ1367" s="110"/>
      <c r="PQR1367" s="110"/>
      <c r="PQS1367" s="110"/>
      <c r="PQT1367" s="110"/>
      <c r="PQU1367" s="110"/>
      <c r="PQV1367" s="110"/>
      <c r="PQW1367" s="110"/>
      <c r="PQX1367" s="110"/>
      <c r="PQY1367" s="110"/>
      <c r="PQZ1367" s="110"/>
      <c r="PRA1367" s="110"/>
      <c r="PRB1367" s="110"/>
      <c r="PRC1367" s="110"/>
      <c r="PRD1367" s="110"/>
      <c r="PRE1367" s="110"/>
      <c r="PRF1367" s="110"/>
      <c r="PRG1367" s="110"/>
      <c r="PRH1367" s="110"/>
      <c r="PRI1367" s="110"/>
      <c r="PRJ1367" s="110"/>
      <c r="PRK1367" s="110"/>
      <c r="PRL1367" s="110"/>
      <c r="PRM1367" s="110"/>
      <c r="PRN1367" s="110"/>
      <c r="PRO1367" s="110"/>
      <c r="PRP1367" s="110"/>
      <c r="PRQ1367" s="110"/>
      <c r="PRR1367" s="110"/>
      <c r="PRS1367" s="110"/>
      <c r="PRT1367" s="110"/>
      <c r="PRU1367" s="110"/>
      <c r="PRV1367" s="110"/>
      <c r="PRW1367" s="110"/>
      <c r="PRX1367" s="110"/>
      <c r="PRY1367" s="110"/>
      <c r="PRZ1367" s="110"/>
      <c r="PSA1367" s="110"/>
      <c r="PSB1367" s="110"/>
      <c r="PSC1367" s="110"/>
      <c r="PSD1367" s="110"/>
      <c r="PSE1367" s="110"/>
      <c r="PSF1367" s="110"/>
      <c r="PSG1367" s="110"/>
      <c r="PSH1367" s="110"/>
      <c r="PSI1367" s="110"/>
      <c r="PSJ1367" s="110"/>
      <c r="PSK1367" s="110"/>
      <c r="PSL1367" s="110"/>
      <c r="PSM1367" s="110"/>
      <c r="PSN1367" s="110"/>
      <c r="PSO1367" s="110"/>
      <c r="PSP1367" s="110"/>
      <c r="PSQ1367" s="110"/>
      <c r="PSR1367" s="110"/>
      <c r="PSS1367" s="110"/>
      <c r="PST1367" s="110"/>
      <c r="PSU1367" s="110"/>
      <c r="PSV1367" s="110"/>
      <c r="PSW1367" s="110"/>
      <c r="PSX1367" s="110"/>
      <c r="PSY1367" s="110"/>
      <c r="PSZ1367" s="110"/>
      <c r="PTA1367" s="110"/>
      <c r="PTB1367" s="110"/>
      <c r="PTC1367" s="110"/>
      <c r="PTD1367" s="110"/>
      <c r="PTE1367" s="110"/>
      <c r="PTF1367" s="110"/>
      <c r="PTG1367" s="110"/>
      <c r="PTH1367" s="110"/>
      <c r="PTI1367" s="110"/>
      <c r="PTJ1367" s="110"/>
      <c r="PTK1367" s="110"/>
      <c r="PTL1367" s="110"/>
      <c r="PTM1367" s="110"/>
      <c r="PTN1367" s="110"/>
      <c r="PTO1367" s="110"/>
      <c r="PTP1367" s="110"/>
      <c r="PTQ1367" s="110"/>
      <c r="PTR1367" s="110"/>
      <c r="PTS1367" s="110"/>
      <c r="PTT1367" s="110"/>
      <c r="PTU1367" s="110"/>
      <c r="PTV1367" s="110"/>
      <c r="PTW1367" s="110"/>
      <c r="PTX1367" s="110"/>
      <c r="PTY1367" s="110"/>
      <c r="PTZ1367" s="110"/>
      <c r="PUA1367" s="110"/>
      <c r="PUB1367" s="110"/>
      <c r="PUC1367" s="110"/>
      <c r="PUD1367" s="110"/>
      <c r="PUE1367" s="110"/>
      <c r="PUF1367" s="110"/>
      <c r="PUG1367" s="110"/>
      <c r="PUH1367" s="110"/>
      <c r="PUI1367" s="110"/>
      <c r="PUJ1367" s="110"/>
      <c r="PUK1367" s="110"/>
      <c r="PUL1367" s="110"/>
      <c r="PUM1367" s="110"/>
      <c r="PUN1367" s="110"/>
      <c r="PUO1367" s="110"/>
      <c r="PUP1367" s="110"/>
      <c r="PUQ1367" s="110"/>
      <c r="PUR1367" s="110"/>
      <c r="PUS1367" s="110"/>
      <c r="PUT1367" s="110"/>
      <c r="PUU1367" s="110"/>
      <c r="PUV1367" s="110"/>
      <c r="PUW1367" s="110"/>
      <c r="PUX1367" s="110"/>
      <c r="PUY1367" s="110"/>
      <c r="PUZ1367" s="110"/>
      <c r="PVA1367" s="110"/>
      <c r="PVB1367" s="110"/>
      <c r="PVC1367" s="110"/>
      <c r="PVD1367" s="110"/>
      <c r="PVE1367" s="110"/>
      <c r="PVF1367" s="110"/>
      <c r="PVG1367" s="110"/>
      <c r="PVH1367" s="110"/>
      <c r="PVI1367" s="110"/>
      <c r="PVJ1367" s="110"/>
      <c r="PVK1367" s="110"/>
      <c r="PVL1367" s="110"/>
      <c r="PVM1367" s="110"/>
      <c r="PVN1367" s="110"/>
      <c r="PVO1367" s="110"/>
      <c r="PVP1367" s="110"/>
      <c r="PVQ1367" s="110"/>
      <c r="PVR1367" s="110"/>
      <c r="PVS1367" s="110"/>
      <c r="PVT1367" s="110"/>
      <c r="PVU1367" s="110"/>
      <c r="PVV1367" s="110"/>
      <c r="PVW1367" s="110"/>
      <c r="PVX1367" s="110"/>
      <c r="PVY1367" s="110"/>
      <c r="PVZ1367" s="110"/>
      <c r="PWA1367" s="110"/>
      <c r="PWB1367" s="110"/>
      <c r="PWC1367" s="110"/>
      <c r="PWD1367" s="110"/>
      <c r="PWE1367" s="110"/>
      <c r="PWF1367" s="110"/>
      <c r="PWG1367" s="110"/>
      <c r="PWH1367" s="110"/>
      <c r="PWI1367" s="110"/>
      <c r="PWJ1367" s="110"/>
      <c r="PWK1367" s="110"/>
      <c r="PWL1367" s="110"/>
      <c r="PWM1367" s="110"/>
      <c r="PWN1367" s="110"/>
      <c r="PWO1367" s="110"/>
      <c r="PWP1367" s="110"/>
      <c r="PWQ1367" s="110"/>
      <c r="PWR1367" s="110"/>
      <c r="PWS1367" s="110"/>
      <c r="PWT1367" s="110"/>
      <c r="PWU1367" s="110"/>
      <c r="PWV1367" s="110"/>
      <c r="PWW1367" s="110"/>
      <c r="PWX1367" s="110"/>
      <c r="PWY1367" s="110"/>
      <c r="PWZ1367" s="110"/>
      <c r="PXA1367" s="110"/>
      <c r="PXB1367" s="110"/>
      <c r="PXC1367" s="110"/>
      <c r="PXD1367" s="110"/>
      <c r="PXE1367" s="110"/>
      <c r="PXF1367" s="110"/>
      <c r="PXG1367" s="110"/>
      <c r="PXH1367" s="110"/>
      <c r="PXI1367" s="110"/>
      <c r="PXJ1367" s="110"/>
      <c r="PXK1367" s="110"/>
      <c r="PXL1367" s="110"/>
      <c r="PXM1367" s="110"/>
      <c r="PXN1367" s="110"/>
      <c r="PXO1367" s="110"/>
      <c r="PXP1367" s="110"/>
      <c r="PXQ1367" s="110"/>
      <c r="PXR1367" s="110"/>
      <c r="PXS1367" s="110"/>
      <c r="PXT1367" s="110"/>
      <c r="PXU1367" s="110"/>
      <c r="PXV1367" s="110"/>
      <c r="PXW1367" s="110"/>
      <c r="PXX1367" s="110"/>
      <c r="PXY1367" s="110"/>
      <c r="PXZ1367" s="110"/>
      <c r="PYA1367" s="110"/>
      <c r="PYB1367" s="110"/>
      <c r="PYC1367" s="110"/>
      <c r="PYD1367" s="110"/>
      <c r="PYE1367" s="110"/>
      <c r="PYF1367" s="110"/>
      <c r="PYG1367" s="110"/>
      <c r="PYH1367" s="110"/>
      <c r="PYI1367" s="110"/>
      <c r="PYJ1367" s="110"/>
      <c r="PYK1367" s="110"/>
      <c r="PYL1367" s="110"/>
      <c r="PYM1367" s="110"/>
      <c r="PYN1367" s="110"/>
      <c r="PYO1367" s="110"/>
      <c r="PYP1367" s="110"/>
      <c r="PYQ1367" s="110"/>
      <c r="PYR1367" s="110"/>
      <c r="PYS1367" s="110"/>
      <c r="PYT1367" s="110"/>
      <c r="PYU1367" s="110"/>
      <c r="PYV1367" s="110"/>
      <c r="PYW1367" s="110"/>
      <c r="PYX1367" s="110"/>
      <c r="PYY1367" s="110"/>
      <c r="PYZ1367" s="110"/>
      <c r="PZA1367" s="110"/>
      <c r="PZB1367" s="110"/>
      <c r="PZC1367" s="110"/>
      <c r="PZD1367" s="110"/>
      <c r="PZE1367" s="110"/>
      <c r="PZF1367" s="110"/>
      <c r="PZG1367" s="110"/>
      <c r="PZH1367" s="110"/>
      <c r="PZI1367" s="110"/>
      <c r="PZJ1367" s="110"/>
      <c r="PZK1367" s="110"/>
      <c r="PZL1367" s="110"/>
      <c r="PZM1367" s="110"/>
      <c r="PZN1367" s="110"/>
      <c r="PZO1367" s="110"/>
      <c r="PZP1367" s="110"/>
      <c r="PZQ1367" s="110"/>
      <c r="PZR1367" s="110"/>
      <c r="PZS1367" s="110"/>
      <c r="PZT1367" s="110"/>
      <c r="PZU1367" s="110"/>
      <c r="PZV1367" s="110"/>
      <c r="PZW1367" s="110"/>
      <c r="PZX1367" s="110"/>
      <c r="PZY1367" s="110"/>
      <c r="PZZ1367" s="110"/>
      <c r="QAA1367" s="110"/>
      <c r="QAB1367" s="110"/>
      <c r="QAC1367" s="110"/>
      <c r="QAD1367" s="110"/>
      <c r="QAE1367" s="110"/>
      <c r="QAF1367" s="110"/>
      <c r="QAG1367" s="110"/>
      <c r="QAH1367" s="110"/>
      <c r="QAI1367" s="110"/>
      <c r="QAJ1367" s="110"/>
      <c r="QAK1367" s="110"/>
      <c r="QAL1367" s="110"/>
      <c r="QAM1367" s="110"/>
      <c r="QAN1367" s="110"/>
      <c r="QAO1367" s="110"/>
      <c r="QAP1367" s="110"/>
      <c r="QAQ1367" s="110"/>
      <c r="QAR1367" s="110"/>
      <c r="QAS1367" s="110"/>
      <c r="QAT1367" s="110"/>
      <c r="QAU1367" s="110"/>
      <c r="QAV1367" s="110"/>
      <c r="QAW1367" s="110"/>
      <c r="QAX1367" s="110"/>
      <c r="QAY1367" s="110"/>
      <c r="QAZ1367" s="110"/>
      <c r="QBA1367" s="110"/>
      <c r="QBB1367" s="110"/>
      <c r="QBC1367" s="110"/>
      <c r="QBD1367" s="110"/>
      <c r="QBE1367" s="110"/>
      <c r="QBF1367" s="110"/>
      <c r="QBG1367" s="110"/>
      <c r="QBH1367" s="110"/>
      <c r="QBI1367" s="110"/>
      <c r="QBJ1367" s="110"/>
      <c r="QBK1367" s="110"/>
      <c r="QBL1367" s="110"/>
      <c r="QBM1367" s="110"/>
      <c r="QBN1367" s="110"/>
      <c r="QBO1367" s="110"/>
      <c r="QBP1367" s="110"/>
      <c r="QBQ1367" s="110"/>
      <c r="QBR1367" s="110"/>
      <c r="QBS1367" s="110"/>
      <c r="QBT1367" s="110"/>
      <c r="QBU1367" s="110"/>
      <c r="QBV1367" s="110"/>
      <c r="QBW1367" s="110"/>
      <c r="QBX1367" s="110"/>
      <c r="QBY1367" s="110"/>
      <c r="QBZ1367" s="110"/>
      <c r="QCA1367" s="110"/>
      <c r="QCB1367" s="110"/>
      <c r="QCC1367" s="110"/>
      <c r="QCD1367" s="110"/>
      <c r="QCE1367" s="110"/>
      <c r="QCF1367" s="110"/>
      <c r="QCG1367" s="110"/>
      <c r="QCH1367" s="110"/>
      <c r="QCI1367" s="110"/>
      <c r="QCJ1367" s="110"/>
      <c r="QCK1367" s="110"/>
      <c r="QCL1367" s="110"/>
      <c r="QCM1367" s="110"/>
      <c r="QCN1367" s="110"/>
      <c r="QCO1367" s="110"/>
      <c r="QCP1367" s="110"/>
      <c r="QCQ1367" s="110"/>
      <c r="QCR1367" s="110"/>
      <c r="QCS1367" s="110"/>
      <c r="QCT1367" s="110"/>
      <c r="QCU1367" s="110"/>
      <c r="QCV1367" s="110"/>
      <c r="QCW1367" s="110"/>
      <c r="QCX1367" s="110"/>
      <c r="QCY1367" s="110"/>
      <c r="QCZ1367" s="110"/>
      <c r="QDA1367" s="110"/>
      <c r="QDB1367" s="110"/>
      <c r="QDC1367" s="110"/>
      <c r="QDD1367" s="110"/>
      <c r="QDE1367" s="110"/>
      <c r="QDF1367" s="110"/>
      <c r="QDG1367" s="110"/>
      <c r="QDH1367" s="110"/>
      <c r="QDI1367" s="110"/>
      <c r="QDJ1367" s="110"/>
      <c r="QDK1367" s="110"/>
      <c r="QDL1367" s="110"/>
      <c r="QDM1367" s="110"/>
      <c r="QDN1367" s="110"/>
      <c r="QDO1367" s="110"/>
      <c r="QDP1367" s="110"/>
      <c r="QDQ1367" s="110"/>
      <c r="QDR1367" s="110"/>
      <c r="QDS1367" s="110"/>
      <c r="QDT1367" s="110"/>
      <c r="QDU1367" s="110"/>
      <c r="QDV1367" s="110"/>
      <c r="QDW1367" s="110"/>
      <c r="QDX1367" s="110"/>
      <c r="QDY1367" s="110"/>
      <c r="QDZ1367" s="110"/>
      <c r="QEA1367" s="110"/>
      <c r="QEB1367" s="110"/>
      <c r="QEC1367" s="110"/>
      <c r="QED1367" s="110"/>
      <c r="QEE1367" s="110"/>
      <c r="QEF1367" s="110"/>
      <c r="QEG1367" s="110"/>
      <c r="QEH1367" s="110"/>
      <c r="QEI1367" s="110"/>
      <c r="QEJ1367" s="110"/>
      <c r="QEK1367" s="110"/>
      <c r="QEL1367" s="110"/>
      <c r="QEM1367" s="110"/>
      <c r="QEN1367" s="110"/>
      <c r="QEO1367" s="110"/>
      <c r="QEP1367" s="110"/>
      <c r="QEQ1367" s="110"/>
      <c r="QER1367" s="110"/>
      <c r="QES1367" s="110"/>
      <c r="QET1367" s="110"/>
      <c r="QEU1367" s="110"/>
      <c r="QEV1367" s="110"/>
      <c r="QEW1367" s="110"/>
      <c r="QEX1367" s="110"/>
      <c r="QEY1367" s="110"/>
      <c r="QEZ1367" s="110"/>
      <c r="QFA1367" s="110"/>
      <c r="QFB1367" s="110"/>
      <c r="QFC1367" s="110"/>
      <c r="QFD1367" s="110"/>
      <c r="QFE1367" s="110"/>
      <c r="QFF1367" s="110"/>
      <c r="QFG1367" s="110"/>
      <c r="QFH1367" s="110"/>
      <c r="QFI1367" s="110"/>
      <c r="QFJ1367" s="110"/>
      <c r="QFK1367" s="110"/>
      <c r="QFL1367" s="110"/>
      <c r="QFM1367" s="110"/>
      <c r="QFN1367" s="110"/>
      <c r="QFO1367" s="110"/>
      <c r="QFP1367" s="110"/>
      <c r="QFQ1367" s="110"/>
      <c r="QFR1367" s="110"/>
      <c r="QFS1367" s="110"/>
      <c r="QFT1367" s="110"/>
      <c r="QFU1367" s="110"/>
      <c r="QFV1367" s="110"/>
      <c r="QFW1367" s="110"/>
      <c r="QFX1367" s="110"/>
      <c r="QFY1367" s="110"/>
      <c r="QFZ1367" s="110"/>
      <c r="QGA1367" s="110"/>
      <c r="QGB1367" s="110"/>
      <c r="QGC1367" s="110"/>
      <c r="QGD1367" s="110"/>
      <c r="QGE1367" s="110"/>
      <c r="QGF1367" s="110"/>
      <c r="QGG1367" s="110"/>
      <c r="QGH1367" s="110"/>
      <c r="QGI1367" s="110"/>
      <c r="QGJ1367" s="110"/>
      <c r="QGK1367" s="110"/>
      <c r="QGL1367" s="110"/>
      <c r="QGM1367" s="110"/>
      <c r="QGN1367" s="110"/>
      <c r="QGO1367" s="110"/>
      <c r="QGP1367" s="110"/>
      <c r="QGQ1367" s="110"/>
      <c r="QGR1367" s="110"/>
      <c r="QGS1367" s="110"/>
      <c r="QGT1367" s="110"/>
      <c r="QGU1367" s="110"/>
      <c r="QGV1367" s="110"/>
      <c r="QGW1367" s="110"/>
      <c r="QGX1367" s="110"/>
      <c r="QGY1367" s="110"/>
      <c r="QGZ1367" s="110"/>
      <c r="QHA1367" s="110"/>
      <c r="QHB1367" s="110"/>
      <c r="QHC1367" s="110"/>
      <c r="QHD1367" s="110"/>
      <c r="QHE1367" s="110"/>
      <c r="QHF1367" s="110"/>
      <c r="QHG1367" s="110"/>
      <c r="QHH1367" s="110"/>
      <c r="QHI1367" s="110"/>
      <c r="QHJ1367" s="110"/>
      <c r="QHK1367" s="110"/>
      <c r="QHL1367" s="110"/>
      <c r="QHM1367" s="110"/>
      <c r="QHN1367" s="110"/>
      <c r="QHO1367" s="110"/>
      <c r="QHP1367" s="110"/>
      <c r="QHQ1367" s="110"/>
      <c r="QHR1367" s="110"/>
      <c r="QHS1367" s="110"/>
      <c r="QHT1367" s="110"/>
      <c r="QHU1367" s="110"/>
      <c r="QHV1367" s="110"/>
      <c r="QHW1367" s="110"/>
      <c r="QHX1367" s="110"/>
      <c r="QHY1367" s="110"/>
      <c r="QHZ1367" s="110"/>
      <c r="QIA1367" s="110"/>
      <c r="QIB1367" s="110"/>
      <c r="QIC1367" s="110"/>
      <c r="QID1367" s="110"/>
      <c r="QIE1367" s="110"/>
      <c r="QIF1367" s="110"/>
      <c r="QIG1367" s="110"/>
      <c r="QIH1367" s="110"/>
      <c r="QII1367" s="110"/>
      <c r="QIJ1367" s="110"/>
      <c r="QIK1367" s="110"/>
      <c r="QIL1367" s="110"/>
      <c r="QIM1367" s="110"/>
      <c r="QIN1367" s="110"/>
      <c r="QIO1367" s="110"/>
      <c r="QIP1367" s="110"/>
      <c r="QIQ1367" s="110"/>
      <c r="QIR1367" s="110"/>
      <c r="QIS1367" s="110"/>
      <c r="QIT1367" s="110"/>
      <c r="QIU1367" s="110"/>
      <c r="QIV1367" s="110"/>
      <c r="QIW1367" s="110"/>
      <c r="QIX1367" s="110"/>
      <c r="QIY1367" s="110"/>
      <c r="QIZ1367" s="110"/>
      <c r="QJA1367" s="110"/>
      <c r="QJB1367" s="110"/>
      <c r="QJC1367" s="110"/>
      <c r="QJD1367" s="110"/>
      <c r="QJE1367" s="110"/>
      <c r="QJF1367" s="110"/>
      <c r="QJG1367" s="110"/>
      <c r="QJH1367" s="110"/>
      <c r="QJI1367" s="110"/>
      <c r="QJJ1367" s="110"/>
      <c r="QJK1367" s="110"/>
      <c r="QJL1367" s="110"/>
      <c r="QJM1367" s="110"/>
      <c r="QJN1367" s="110"/>
      <c r="QJO1367" s="110"/>
      <c r="QJP1367" s="110"/>
      <c r="QJQ1367" s="110"/>
      <c r="QJR1367" s="110"/>
      <c r="QJS1367" s="110"/>
      <c r="QJT1367" s="110"/>
      <c r="QJU1367" s="110"/>
      <c r="QJV1367" s="110"/>
      <c r="QJW1367" s="110"/>
      <c r="QJX1367" s="110"/>
      <c r="QJY1367" s="110"/>
      <c r="QJZ1367" s="110"/>
      <c r="QKA1367" s="110"/>
      <c r="QKB1367" s="110"/>
      <c r="QKC1367" s="110"/>
      <c r="QKD1367" s="110"/>
      <c r="QKE1367" s="110"/>
      <c r="QKF1367" s="110"/>
      <c r="QKG1367" s="110"/>
      <c r="QKH1367" s="110"/>
      <c r="QKI1367" s="110"/>
      <c r="QKJ1367" s="110"/>
      <c r="QKK1367" s="110"/>
      <c r="QKL1367" s="110"/>
      <c r="QKM1367" s="110"/>
      <c r="QKN1367" s="110"/>
      <c r="QKO1367" s="110"/>
      <c r="QKP1367" s="110"/>
      <c r="QKQ1367" s="110"/>
      <c r="QKR1367" s="110"/>
      <c r="QKS1367" s="110"/>
      <c r="QKT1367" s="110"/>
      <c r="QKU1367" s="110"/>
      <c r="QKV1367" s="110"/>
      <c r="QKW1367" s="110"/>
      <c r="QKX1367" s="110"/>
      <c r="QKY1367" s="110"/>
      <c r="QKZ1367" s="110"/>
      <c r="QLA1367" s="110"/>
      <c r="QLB1367" s="110"/>
      <c r="QLC1367" s="110"/>
      <c r="QLD1367" s="110"/>
      <c r="QLE1367" s="110"/>
      <c r="QLF1367" s="110"/>
      <c r="QLG1367" s="110"/>
      <c r="QLH1367" s="110"/>
      <c r="QLI1367" s="110"/>
      <c r="QLJ1367" s="110"/>
      <c r="QLK1367" s="110"/>
      <c r="QLL1367" s="110"/>
      <c r="QLM1367" s="110"/>
      <c r="QLN1367" s="110"/>
      <c r="QLO1367" s="110"/>
      <c r="QLP1367" s="110"/>
      <c r="QLQ1367" s="110"/>
      <c r="QLR1367" s="110"/>
      <c r="QLS1367" s="110"/>
      <c r="QLT1367" s="110"/>
      <c r="QLU1367" s="110"/>
      <c r="QLV1367" s="110"/>
      <c r="QLW1367" s="110"/>
      <c r="QLX1367" s="110"/>
      <c r="QLY1367" s="110"/>
      <c r="QLZ1367" s="110"/>
      <c r="QMA1367" s="110"/>
      <c r="QMB1367" s="110"/>
      <c r="QMC1367" s="110"/>
      <c r="QMD1367" s="110"/>
      <c r="QME1367" s="110"/>
      <c r="QMF1367" s="110"/>
      <c r="QMG1367" s="110"/>
      <c r="QMH1367" s="110"/>
      <c r="QMI1367" s="110"/>
      <c r="QMJ1367" s="110"/>
      <c r="QMK1367" s="110"/>
      <c r="QML1367" s="110"/>
      <c r="QMM1367" s="110"/>
      <c r="QMN1367" s="110"/>
      <c r="QMO1367" s="110"/>
      <c r="QMP1367" s="110"/>
      <c r="QMQ1367" s="110"/>
      <c r="QMR1367" s="110"/>
      <c r="QMS1367" s="110"/>
      <c r="QMT1367" s="110"/>
      <c r="QMU1367" s="110"/>
      <c r="QMV1367" s="110"/>
      <c r="QMW1367" s="110"/>
      <c r="QMX1367" s="110"/>
      <c r="QMY1367" s="110"/>
      <c r="QMZ1367" s="110"/>
      <c r="QNA1367" s="110"/>
      <c r="QNB1367" s="110"/>
      <c r="QNC1367" s="110"/>
      <c r="QND1367" s="110"/>
      <c r="QNE1367" s="110"/>
      <c r="QNF1367" s="110"/>
      <c r="QNG1367" s="110"/>
      <c r="QNH1367" s="110"/>
      <c r="QNI1367" s="110"/>
      <c r="QNJ1367" s="110"/>
      <c r="QNK1367" s="110"/>
      <c r="QNL1367" s="110"/>
      <c r="QNM1367" s="110"/>
      <c r="QNN1367" s="110"/>
      <c r="QNO1367" s="110"/>
      <c r="QNP1367" s="110"/>
      <c r="QNQ1367" s="110"/>
      <c r="QNR1367" s="110"/>
      <c r="QNS1367" s="110"/>
      <c r="QNT1367" s="110"/>
      <c r="QNU1367" s="110"/>
      <c r="QNV1367" s="110"/>
      <c r="QNW1367" s="110"/>
      <c r="QNX1367" s="110"/>
      <c r="QNY1367" s="110"/>
      <c r="QNZ1367" s="110"/>
      <c r="QOA1367" s="110"/>
      <c r="QOB1367" s="110"/>
      <c r="QOC1367" s="110"/>
      <c r="QOD1367" s="110"/>
      <c r="QOE1367" s="110"/>
      <c r="QOF1367" s="110"/>
      <c r="QOG1367" s="110"/>
      <c r="QOH1367" s="110"/>
      <c r="QOI1367" s="110"/>
      <c r="QOJ1367" s="110"/>
      <c r="QOK1367" s="110"/>
      <c r="QOL1367" s="110"/>
      <c r="QOM1367" s="110"/>
      <c r="QON1367" s="110"/>
      <c r="QOO1367" s="110"/>
      <c r="QOP1367" s="110"/>
      <c r="QOQ1367" s="110"/>
      <c r="QOR1367" s="110"/>
      <c r="QOS1367" s="110"/>
      <c r="QOT1367" s="110"/>
      <c r="QOU1367" s="110"/>
      <c r="QOV1367" s="110"/>
      <c r="QOW1367" s="110"/>
      <c r="QOX1367" s="110"/>
      <c r="QOY1367" s="110"/>
      <c r="QOZ1367" s="110"/>
      <c r="QPA1367" s="110"/>
      <c r="QPB1367" s="110"/>
      <c r="QPC1367" s="110"/>
      <c r="QPD1367" s="110"/>
      <c r="QPE1367" s="110"/>
      <c r="QPF1367" s="110"/>
      <c r="QPG1367" s="110"/>
      <c r="QPH1367" s="110"/>
      <c r="QPI1367" s="110"/>
      <c r="QPJ1367" s="110"/>
      <c r="QPK1367" s="110"/>
      <c r="QPL1367" s="110"/>
      <c r="QPM1367" s="110"/>
      <c r="QPN1367" s="110"/>
      <c r="QPO1367" s="110"/>
      <c r="QPP1367" s="110"/>
      <c r="QPQ1367" s="110"/>
      <c r="QPR1367" s="110"/>
      <c r="QPS1367" s="110"/>
      <c r="QPT1367" s="110"/>
      <c r="QPU1367" s="110"/>
      <c r="QPV1367" s="110"/>
      <c r="QPW1367" s="110"/>
      <c r="QPX1367" s="110"/>
      <c r="QPY1367" s="110"/>
      <c r="QPZ1367" s="110"/>
      <c r="QQA1367" s="110"/>
      <c r="QQB1367" s="110"/>
      <c r="QQC1367" s="110"/>
      <c r="QQD1367" s="110"/>
      <c r="QQE1367" s="110"/>
      <c r="QQF1367" s="110"/>
      <c r="QQG1367" s="110"/>
      <c r="QQH1367" s="110"/>
      <c r="QQI1367" s="110"/>
      <c r="QQJ1367" s="110"/>
      <c r="QQK1367" s="110"/>
      <c r="QQL1367" s="110"/>
      <c r="QQM1367" s="110"/>
      <c r="QQN1367" s="110"/>
      <c r="QQO1367" s="110"/>
      <c r="QQP1367" s="110"/>
      <c r="QQQ1367" s="110"/>
      <c r="QQR1367" s="110"/>
      <c r="QQS1367" s="110"/>
      <c r="QQT1367" s="110"/>
      <c r="QQU1367" s="110"/>
      <c r="QQV1367" s="110"/>
      <c r="QQW1367" s="110"/>
      <c r="QQX1367" s="110"/>
      <c r="QQY1367" s="110"/>
      <c r="QQZ1367" s="110"/>
      <c r="QRA1367" s="110"/>
      <c r="QRB1367" s="110"/>
      <c r="QRC1367" s="110"/>
      <c r="QRD1367" s="110"/>
      <c r="QRE1367" s="110"/>
      <c r="QRF1367" s="110"/>
      <c r="QRG1367" s="110"/>
      <c r="QRH1367" s="110"/>
      <c r="QRI1367" s="110"/>
      <c r="QRJ1367" s="110"/>
      <c r="QRK1367" s="110"/>
      <c r="QRL1367" s="110"/>
      <c r="QRM1367" s="110"/>
      <c r="QRN1367" s="110"/>
      <c r="QRO1367" s="110"/>
      <c r="QRP1367" s="110"/>
      <c r="QRQ1367" s="110"/>
      <c r="QRR1367" s="110"/>
      <c r="QRS1367" s="110"/>
      <c r="QRT1367" s="110"/>
      <c r="QRU1367" s="110"/>
      <c r="QRV1367" s="110"/>
      <c r="QRW1367" s="110"/>
      <c r="QRX1367" s="110"/>
      <c r="QRY1367" s="110"/>
      <c r="QRZ1367" s="110"/>
      <c r="QSA1367" s="110"/>
      <c r="QSB1367" s="110"/>
      <c r="QSC1367" s="110"/>
      <c r="QSD1367" s="110"/>
      <c r="QSE1367" s="110"/>
      <c r="QSF1367" s="110"/>
      <c r="QSG1367" s="110"/>
      <c r="QSH1367" s="110"/>
      <c r="QSI1367" s="110"/>
      <c r="QSJ1367" s="110"/>
      <c r="QSK1367" s="110"/>
      <c r="QSL1367" s="110"/>
      <c r="QSM1367" s="110"/>
      <c r="QSN1367" s="110"/>
      <c r="QSO1367" s="110"/>
      <c r="QSP1367" s="110"/>
      <c r="QSQ1367" s="110"/>
      <c r="QSR1367" s="110"/>
      <c r="QSS1367" s="110"/>
      <c r="QST1367" s="110"/>
      <c r="QSU1367" s="110"/>
      <c r="QSV1367" s="110"/>
      <c r="QSW1367" s="110"/>
      <c r="QSX1367" s="110"/>
      <c r="QSY1367" s="110"/>
      <c r="QSZ1367" s="110"/>
      <c r="QTA1367" s="110"/>
      <c r="QTB1367" s="110"/>
      <c r="QTC1367" s="110"/>
      <c r="QTD1367" s="110"/>
      <c r="QTE1367" s="110"/>
      <c r="QTF1367" s="110"/>
      <c r="QTG1367" s="110"/>
      <c r="QTH1367" s="110"/>
      <c r="QTI1367" s="110"/>
      <c r="QTJ1367" s="110"/>
      <c r="QTK1367" s="110"/>
      <c r="QTL1367" s="110"/>
      <c r="QTM1367" s="110"/>
      <c r="QTN1367" s="110"/>
      <c r="QTO1367" s="110"/>
      <c r="QTP1367" s="110"/>
      <c r="QTQ1367" s="110"/>
      <c r="QTR1367" s="110"/>
      <c r="QTS1367" s="110"/>
      <c r="QTT1367" s="110"/>
      <c r="QTU1367" s="110"/>
      <c r="QTV1367" s="110"/>
      <c r="QTW1367" s="110"/>
      <c r="QTX1367" s="110"/>
      <c r="QTY1367" s="110"/>
      <c r="QTZ1367" s="110"/>
      <c r="QUA1367" s="110"/>
      <c r="QUB1367" s="110"/>
      <c r="QUC1367" s="110"/>
      <c r="QUD1367" s="110"/>
      <c r="QUE1367" s="110"/>
      <c r="QUF1367" s="110"/>
      <c r="QUG1367" s="110"/>
      <c r="QUH1367" s="110"/>
      <c r="QUI1367" s="110"/>
      <c r="QUJ1367" s="110"/>
      <c r="QUK1367" s="110"/>
      <c r="QUL1367" s="110"/>
      <c r="QUM1367" s="110"/>
      <c r="QUN1367" s="110"/>
      <c r="QUO1367" s="110"/>
      <c r="QUP1367" s="110"/>
      <c r="QUQ1367" s="110"/>
      <c r="QUR1367" s="110"/>
      <c r="QUS1367" s="110"/>
      <c r="QUT1367" s="110"/>
      <c r="QUU1367" s="110"/>
      <c r="QUV1367" s="110"/>
      <c r="QUW1367" s="110"/>
      <c r="QUX1367" s="110"/>
      <c r="QUY1367" s="110"/>
      <c r="QUZ1367" s="110"/>
      <c r="QVA1367" s="110"/>
      <c r="QVB1367" s="110"/>
      <c r="QVC1367" s="110"/>
      <c r="QVD1367" s="110"/>
      <c r="QVE1367" s="110"/>
      <c r="QVF1367" s="110"/>
      <c r="QVG1367" s="110"/>
      <c r="QVH1367" s="110"/>
      <c r="QVI1367" s="110"/>
      <c r="QVJ1367" s="110"/>
      <c r="QVK1367" s="110"/>
      <c r="QVL1367" s="110"/>
      <c r="QVM1367" s="110"/>
      <c r="QVN1367" s="110"/>
      <c r="QVO1367" s="110"/>
      <c r="QVP1367" s="110"/>
      <c r="QVQ1367" s="110"/>
      <c r="QVR1367" s="110"/>
      <c r="QVS1367" s="110"/>
      <c r="QVT1367" s="110"/>
      <c r="QVU1367" s="110"/>
      <c r="QVV1367" s="110"/>
      <c r="QVW1367" s="110"/>
      <c r="QVX1367" s="110"/>
      <c r="QVY1367" s="110"/>
      <c r="QVZ1367" s="110"/>
      <c r="QWA1367" s="110"/>
      <c r="QWB1367" s="110"/>
      <c r="QWC1367" s="110"/>
      <c r="QWD1367" s="110"/>
      <c r="QWE1367" s="110"/>
      <c r="QWF1367" s="110"/>
      <c r="QWG1367" s="110"/>
      <c r="QWH1367" s="110"/>
      <c r="QWI1367" s="110"/>
      <c r="QWJ1367" s="110"/>
      <c r="QWK1367" s="110"/>
      <c r="QWL1367" s="110"/>
      <c r="QWM1367" s="110"/>
      <c r="QWN1367" s="110"/>
      <c r="QWO1367" s="110"/>
      <c r="QWP1367" s="110"/>
      <c r="QWQ1367" s="110"/>
      <c r="QWR1367" s="110"/>
      <c r="QWS1367" s="110"/>
      <c r="QWT1367" s="110"/>
      <c r="QWU1367" s="110"/>
      <c r="QWV1367" s="110"/>
      <c r="QWW1367" s="110"/>
      <c r="QWX1367" s="110"/>
      <c r="QWY1367" s="110"/>
      <c r="QWZ1367" s="110"/>
      <c r="QXA1367" s="110"/>
      <c r="QXB1367" s="110"/>
      <c r="QXC1367" s="110"/>
      <c r="QXD1367" s="110"/>
      <c r="QXE1367" s="110"/>
      <c r="QXF1367" s="110"/>
      <c r="QXG1367" s="110"/>
      <c r="QXH1367" s="110"/>
      <c r="QXI1367" s="110"/>
      <c r="QXJ1367" s="110"/>
      <c r="QXK1367" s="110"/>
      <c r="QXL1367" s="110"/>
      <c r="QXM1367" s="110"/>
      <c r="QXN1367" s="110"/>
      <c r="QXO1367" s="110"/>
      <c r="QXP1367" s="110"/>
      <c r="QXQ1367" s="110"/>
      <c r="QXR1367" s="110"/>
      <c r="QXS1367" s="110"/>
      <c r="QXT1367" s="110"/>
      <c r="QXU1367" s="110"/>
      <c r="QXV1367" s="110"/>
      <c r="QXW1367" s="110"/>
      <c r="QXX1367" s="110"/>
      <c r="QXY1367" s="110"/>
      <c r="QXZ1367" s="110"/>
      <c r="QYA1367" s="110"/>
      <c r="QYB1367" s="110"/>
      <c r="QYC1367" s="110"/>
      <c r="QYD1367" s="110"/>
      <c r="QYE1367" s="110"/>
      <c r="QYF1367" s="110"/>
      <c r="QYG1367" s="110"/>
      <c r="QYH1367" s="110"/>
      <c r="QYI1367" s="110"/>
      <c r="QYJ1367" s="110"/>
      <c r="QYK1367" s="110"/>
      <c r="QYL1367" s="110"/>
      <c r="QYM1367" s="110"/>
      <c r="QYN1367" s="110"/>
      <c r="QYO1367" s="110"/>
      <c r="QYP1367" s="110"/>
      <c r="QYQ1367" s="110"/>
      <c r="QYR1367" s="110"/>
      <c r="QYS1367" s="110"/>
      <c r="QYT1367" s="110"/>
      <c r="QYU1367" s="110"/>
      <c r="QYV1367" s="110"/>
      <c r="QYW1367" s="110"/>
      <c r="QYX1367" s="110"/>
      <c r="QYY1367" s="110"/>
      <c r="QYZ1367" s="110"/>
      <c r="QZA1367" s="110"/>
      <c r="QZB1367" s="110"/>
      <c r="QZC1367" s="110"/>
      <c r="QZD1367" s="110"/>
      <c r="QZE1367" s="110"/>
      <c r="QZF1367" s="110"/>
      <c r="QZG1367" s="110"/>
      <c r="QZH1367" s="110"/>
      <c r="QZI1367" s="110"/>
      <c r="QZJ1367" s="110"/>
      <c r="QZK1367" s="110"/>
      <c r="QZL1367" s="110"/>
      <c r="QZM1367" s="110"/>
      <c r="QZN1367" s="110"/>
      <c r="QZO1367" s="110"/>
      <c r="QZP1367" s="110"/>
      <c r="QZQ1367" s="110"/>
      <c r="QZR1367" s="110"/>
      <c r="QZS1367" s="110"/>
      <c r="QZT1367" s="110"/>
      <c r="QZU1367" s="110"/>
      <c r="QZV1367" s="110"/>
      <c r="QZW1367" s="110"/>
      <c r="QZX1367" s="110"/>
      <c r="QZY1367" s="110"/>
      <c r="QZZ1367" s="110"/>
      <c r="RAA1367" s="110"/>
      <c r="RAB1367" s="110"/>
      <c r="RAC1367" s="110"/>
      <c r="RAD1367" s="110"/>
      <c r="RAE1367" s="110"/>
      <c r="RAF1367" s="110"/>
      <c r="RAG1367" s="110"/>
      <c r="RAH1367" s="110"/>
      <c r="RAI1367" s="110"/>
      <c r="RAJ1367" s="110"/>
      <c r="RAK1367" s="110"/>
      <c r="RAL1367" s="110"/>
      <c r="RAM1367" s="110"/>
      <c r="RAN1367" s="110"/>
      <c r="RAO1367" s="110"/>
      <c r="RAP1367" s="110"/>
      <c r="RAQ1367" s="110"/>
      <c r="RAR1367" s="110"/>
      <c r="RAS1367" s="110"/>
      <c r="RAT1367" s="110"/>
      <c r="RAU1367" s="110"/>
      <c r="RAV1367" s="110"/>
      <c r="RAW1367" s="110"/>
      <c r="RAX1367" s="110"/>
      <c r="RAY1367" s="110"/>
      <c r="RAZ1367" s="110"/>
      <c r="RBA1367" s="110"/>
      <c r="RBB1367" s="110"/>
      <c r="RBC1367" s="110"/>
      <c r="RBD1367" s="110"/>
      <c r="RBE1367" s="110"/>
      <c r="RBF1367" s="110"/>
      <c r="RBG1367" s="110"/>
      <c r="RBH1367" s="110"/>
      <c r="RBI1367" s="110"/>
      <c r="RBJ1367" s="110"/>
      <c r="RBK1367" s="110"/>
      <c r="RBL1367" s="110"/>
      <c r="RBM1367" s="110"/>
      <c r="RBN1367" s="110"/>
      <c r="RBO1367" s="110"/>
      <c r="RBP1367" s="110"/>
      <c r="RBQ1367" s="110"/>
      <c r="RBR1367" s="110"/>
      <c r="RBS1367" s="110"/>
      <c r="RBT1367" s="110"/>
      <c r="RBU1367" s="110"/>
      <c r="RBV1367" s="110"/>
      <c r="RBW1367" s="110"/>
      <c r="RBX1367" s="110"/>
      <c r="RBY1367" s="110"/>
      <c r="RBZ1367" s="110"/>
      <c r="RCA1367" s="110"/>
      <c r="RCB1367" s="110"/>
      <c r="RCC1367" s="110"/>
      <c r="RCD1367" s="110"/>
      <c r="RCE1367" s="110"/>
      <c r="RCF1367" s="110"/>
      <c r="RCG1367" s="110"/>
      <c r="RCH1367" s="110"/>
      <c r="RCI1367" s="110"/>
      <c r="RCJ1367" s="110"/>
      <c r="RCK1367" s="110"/>
      <c r="RCL1367" s="110"/>
      <c r="RCM1367" s="110"/>
      <c r="RCN1367" s="110"/>
      <c r="RCO1367" s="110"/>
      <c r="RCP1367" s="110"/>
      <c r="RCQ1367" s="110"/>
      <c r="RCR1367" s="110"/>
      <c r="RCS1367" s="110"/>
      <c r="RCT1367" s="110"/>
      <c r="RCU1367" s="110"/>
      <c r="RCV1367" s="110"/>
      <c r="RCW1367" s="110"/>
      <c r="RCX1367" s="110"/>
      <c r="RCY1367" s="110"/>
      <c r="RCZ1367" s="110"/>
      <c r="RDA1367" s="110"/>
      <c r="RDB1367" s="110"/>
      <c r="RDC1367" s="110"/>
      <c r="RDD1367" s="110"/>
      <c r="RDE1367" s="110"/>
      <c r="RDF1367" s="110"/>
      <c r="RDG1367" s="110"/>
      <c r="RDH1367" s="110"/>
      <c r="RDI1367" s="110"/>
      <c r="RDJ1367" s="110"/>
      <c r="RDK1367" s="110"/>
      <c r="RDL1367" s="110"/>
      <c r="RDM1367" s="110"/>
      <c r="RDN1367" s="110"/>
      <c r="RDO1367" s="110"/>
      <c r="RDP1367" s="110"/>
      <c r="RDQ1367" s="110"/>
      <c r="RDR1367" s="110"/>
      <c r="RDS1367" s="110"/>
      <c r="RDT1367" s="110"/>
      <c r="RDU1367" s="110"/>
      <c r="RDV1367" s="110"/>
      <c r="RDW1367" s="110"/>
      <c r="RDX1367" s="110"/>
      <c r="RDY1367" s="110"/>
      <c r="RDZ1367" s="110"/>
      <c r="REA1367" s="110"/>
      <c r="REB1367" s="110"/>
      <c r="REC1367" s="110"/>
      <c r="RED1367" s="110"/>
      <c r="REE1367" s="110"/>
      <c r="REF1367" s="110"/>
      <c r="REG1367" s="110"/>
      <c r="REH1367" s="110"/>
      <c r="REI1367" s="110"/>
      <c r="REJ1367" s="110"/>
      <c r="REK1367" s="110"/>
      <c r="REL1367" s="110"/>
      <c r="REM1367" s="110"/>
      <c r="REN1367" s="110"/>
      <c r="REO1367" s="110"/>
      <c r="REP1367" s="110"/>
      <c r="REQ1367" s="110"/>
      <c r="RER1367" s="110"/>
      <c r="RES1367" s="110"/>
      <c r="RET1367" s="110"/>
      <c r="REU1367" s="110"/>
      <c r="REV1367" s="110"/>
      <c r="REW1367" s="110"/>
      <c r="REX1367" s="110"/>
      <c r="REY1367" s="110"/>
      <c r="REZ1367" s="110"/>
      <c r="RFA1367" s="110"/>
      <c r="RFB1367" s="110"/>
      <c r="RFC1367" s="110"/>
      <c r="RFD1367" s="110"/>
      <c r="RFE1367" s="110"/>
      <c r="RFF1367" s="110"/>
      <c r="RFG1367" s="110"/>
      <c r="RFH1367" s="110"/>
      <c r="RFI1367" s="110"/>
      <c r="RFJ1367" s="110"/>
      <c r="RFK1367" s="110"/>
      <c r="RFL1367" s="110"/>
      <c r="RFM1367" s="110"/>
      <c r="RFN1367" s="110"/>
      <c r="RFO1367" s="110"/>
      <c r="RFP1367" s="110"/>
      <c r="RFQ1367" s="110"/>
      <c r="RFR1367" s="110"/>
      <c r="RFS1367" s="110"/>
      <c r="RFT1367" s="110"/>
      <c r="RFU1367" s="110"/>
      <c r="RFV1367" s="110"/>
      <c r="RFW1367" s="110"/>
      <c r="RFX1367" s="110"/>
      <c r="RFY1367" s="110"/>
      <c r="RFZ1367" s="110"/>
      <c r="RGA1367" s="110"/>
      <c r="RGB1367" s="110"/>
      <c r="RGC1367" s="110"/>
      <c r="RGD1367" s="110"/>
      <c r="RGE1367" s="110"/>
      <c r="RGF1367" s="110"/>
      <c r="RGG1367" s="110"/>
      <c r="RGH1367" s="110"/>
      <c r="RGI1367" s="110"/>
      <c r="RGJ1367" s="110"/>
      <c r="RGK1367" s="110"/>
      <c r="RGL1367" s="110"/>
      <c r="RGM1367" s="110"/>
      <c r="RGN1367" s="110"/>
      <c r="RGO1367" s="110"/>
      <c r="RGP1367" s="110"/>
      <c r="RGQ1367" s="110"/>
      <c r="RGR1367" s="110"/>
      <c r="RGS1367" s="110"/>
      <c r="RGT1367" s="110"/>
      <c r="RGU1367" s="110"/>
      <c r="RGV1367" s="110"/>
      <c r="RGW1367" s="110"/>
      <c r="RGX1367" s="110"/>
      <c r="RGY1367" s="110"/>
      <c r="RGZ1367" s="110"/>
      <c r="RHA1367" s="110"/>
      <c r="RHB1367" s="110"/>
      <c r="RHC1367" s="110"/>
      <c r="RHD1367" s="110"/>
      <c r="RHE1367" s="110"/>
      <c r="RHF1367" s="110"/>
      <c r="RHG1367" s="110"/>
      <c r="RHH1367" s="110"/>
      <c r="RHI1367" s="110"/>
      <c r="RHJ1367" s="110"/>
      <c r="RHK1367" s="110"/>
      <c r="RHL1367" s="110"/>
      <c r="RHM1367" s="110"/>
      <c r="RHN1367" s="110"/>
      <c r="RHO1367" s="110"/>
      <c r="RHP1367" s="110"/>
      <c r="RHQ1367" s="110"/>
      <c r="RHR1367" s="110"/>
      <c r="RHS1367" s="110"/>
      <c r="RHT1367" s="110"/>
      <c r="RHU1367" s="110"/>
      <c r="RHV1367" s="110"/>
      <c r="RHW1367" s="110"/>
      <c r="RHX1367" s="110"/>
      <c r="RHY1367" s="110"/>
      <c r="RHZ1367" s="110"/>
      <c r="RIA1367" s="110"/>
      <c r="RIB1367" s="110"/>
      <c r="RIC1367" s="110"/>
      <c r="RID1367" s="110"/>
      <c r="RIE1367" s="110"/>
      <c r="RIF1367" s="110"/>
      <c r="RIG1367" s="110"/>
      <c r="RIH1367" s="110"/>
      <c r="RII1367" s="110"/>
      <c r="RIJ1367" s="110"/>
      <c r="RIK1367" s="110"/>
      <c r="RIL1367" s="110"/>
      <c r="RIM1367" s="110"/>
      <c r="RIN1367" s="110"/>
      <c r="RIO1367" s="110"/>
      <c r="RIP1367" s="110"/>
      <c r="RIQ1367" s="110"/>
      <c r="RIR1367" s="110"/>
      <c r="RIS1367" s="110"/>
      <c r="RIT1367" s="110"/>
      <c r="RIU1367" s="110"/>
      <c r="RIV1367" s="110"/>
      <c r="RIW1367" s="110"/>
      <c r="RIX1367" s="110"/>
      <c r="RIY1367" s="110"/>
      <c r="RIZ1367" s="110"/>
      <c r="RJA1367" s="110"/>
      <c r="RJB1367" s="110"/>
      <c r="RJC1367" s="110"/>
      <c r="RJD1367" s="110"/>
      <c r="RJE1367" s="110"/>
      <c r="RJF1367" s="110"/>
      <c r="RJG1367" s="110"/>
      <c r="RJH1367" s="110"/>
      <c r="RJI1367" s="110"/>
      <c r="RJJ1367" s="110"/>
      <c r="RJK1367" s="110"/>
      <c r="RJL1367" s="110"/>
      <c r="RJM1367" s="110"/>
      <c r="RJN1367" s="110"/>
      <c r="RJO1367" s="110"/>
      <c r="RJP1367" s="110"/>
      <c r="RJQ1367" s="110"/>
      <c r="RJR1367" s="110"/>
      <c r="RJS1367" s="110"/>
      <c r="RJT1367" s="110"/>
      <c r="RJU1367" s="110"/>
      <c r="RJV1367" s="110"/>
      <c r="RJW1367" s="110"/>
      <c r="RJX1367" s="110"/>
      <c r="RJY1367" s="110"/>
      <c r="RJZ1367" s="110"/>
      <c r="RKA1367" s="110"/>
      <c r="RKB1367" s="110"/>
      <c r="RKC1367" s="110"/>
      <c r="RKD1367" s="110"/>
      <c r="RKE1367" s="110"/>
      <c r="RKF1367" s="110"/>
      <c r="RKG1367" s="110"/>
      <c r="RKH1367" s="110"/>
      <c r="RKI1367" s="110"/>
      <c r="RKJ1367" s="110"/>
      <c r="RKK1367" s="110"/>
      <c r="RKL1367" s="110"/>
      <c r="RKM1367" s="110"/>
      <c r="RKN1367" s="110"/>
      <c r="RKO1367" s="110"/>
      <c r="RKP1367" s="110"/>
      <c r="RKQ1367" s="110"/>
      <c r="RKR1367" s="110"/>
      <c r="RKS1367" s="110"/>
      <c r="RKT1367" s="110"/>
      <c r="RKU1367" s="110"/>
      <c r="RKV1367" s="110"/>
      <c r="RKW1367" s="110"/>
      <c r="RKX1367" s="110"/>
      <c r="RKY1367" s="110"/>
      <c r="RKZ1367" s="110"/>
      <c r="RLA1367" s="110"/>
      <c r="RLB1367" s="110"/>
      <c r="RLC1367" s="110"/>
      <c r="RLD1367" s="110"/>
      <c r="RLE1367" s="110"/>
      <c r="RLF1367" s="110"/>
      <c r="RLG1367" s="110"/>
      <c r="RLH1367" s="110"/>
      <c r="RLI1367" s="110"/>
      <c r="RLJ1367" s="110"/>
      <c r="RLK1367" s="110"/>
      <c r="RLL1367" s="110"/>
      <c r="RLM1367" s="110"/>
      <c r="RLN1367" s="110"/>
      <c r="RLO1367" s="110"/>
      <c r="RLP1367" s="110"/>
      <c r="RLQ1367" s="110"/>
      <c r="RLR1367" s="110"/>
      <c r="RLS1367" s="110"/>
      <c r="RLT1367" s="110"/>
      <c r="RLU1367" s="110"/>
      <c r="RLV1367" s="110"/>
      <c r="RLW1367" s="110"/>
      <c r="RLX1367" s="110"/>
      <c r="RLY1367" s="110"/>
      <c r="RLZ1367" s="110"/>
      <c r="RMA1367" s="110"/>
      <c r="RMB1367" s="110"/>
      <c r="RMC1367" s="110"/>
      <c r="RMD1367" s="110"/>
      <c r="RME1367" s="110"/>
      <c r="RMF1367" s="110"/>
      <c r="RMG1367" s="110"/>
      <c r="RMH1367" s="110"/>
      <c r="RMI1367" s="110"/>
      <c r="RMJ1367" s="110"/>
      <c r="RMK1367" s="110"/>
      <c r="RML1367" s="110"/>
      <c r="RMM1367" s="110"/>
      <c r="RMN1367" s="110"/>
      <c r="RMO1367" s="110"/>
      <c r="RMP1367" s="110"/>
      <c r="RMQ1367" s="110"/>
      <c r="RMR1367" s="110"/>
      <c r="RMS1367" s="110"/>
      <c r="RMT1367" s="110"/>
      <c r="RMU1367" s="110"/>
      <c r="RMV1367" s="110"/>
      <c r="RMW1367" s="110"/>
      <c r="RMX1367" s="110"/>
      <c r="RMY1367" s="110"/>
      <c r="RMZ1367" s="110"/>
      <c r="RNA1367" s="110"/>
      <c r="RNB1367" s="110"/>
      <c r="RNC1367" s="110"/>
      <c r="RND1367" s="110"/>
      <c r="RNE1367" s="110"/>
      <c r="RNF1367" s="110"/>
      <c r="RNG1367" s="110"/>
      <c r="RNH1367" s="110"/>
      <c r="RNI1367" s="110"/>
      <c r="RNJ1367" s="110"/>
      <c r="RNK1367" s="110"/>
      <c r="RNL1367" s="110"/>
      <c r="RNM1367" s="110"/>
      <c r="RNN1367" s="110"/>
      <c r="RNO1367" s="110"/>
      <c r="RNP1367" s="110"/>
      <c r="RNQ1367" s="110"/>
      <c r="RNR1367" s="110"/>
      <c r="RNS1367" s="110"/>
      <c r="RNT1367" s="110"/>
      <c r="RNU1367" s="110"/>
      <c r="RNV1367" s="110"/>
      <c r="RNW1367" s="110"/>
      <c r="RNX1367" s="110"/>
      <c r="RNY1367" s="110"/>
      <c r="RNZ1367" s="110"/>
      <c r="ROA1367" s="110"/>
      <c r="ROB1367" s="110"/>
      <c r="ROC1367" s="110"/>
      <c r="ROD1367" s="110"/>
      <c r="ROE1367" s="110"/>
      <c r="ROF1367" s="110"/>
      <c r="ROG1367" s="110"/>
      <c r="ROH1367" s="110"/>
      <c r="ROI1367" s="110"/>
      <c r="ROJ1367" s="110"/>
      <c r="ROK1367" s="110"/>
      <c r="ROL1367" s="110"/>
      <c r="ROM1367" s="110"/>
      <c r="RON1367" s="110"/>
      <c r="ROO1367" s="110"/>
      <c r="ROP1367" s="110"/>
      <c r="ROQ1367" s="110"/>
      <c r="ROR1367" s="110"/>
      <c r="ROS1367" s="110"/>
      <c r="ROT1367" s="110"/>
      <c r="ROU1367" s="110"/>
      <c r="ROV1367" s="110"/>
      <c r="ROW1367" s="110"/>
      <c r="ROX1367" s="110"/>
      <c r="ROY1367" s="110"/>
      <c r="ROZ1367" s="110"/>
      <c r="RPA1367" s="110"/>
      <c r="RPB1367" s="110"/>
      <c r="RPC1367" s="110"/>
      <c r="RPD1367" s="110"/>
      <c r="RPE1367" s="110"/>
      <c r="RPF1367" s="110"/>
      <c r="RPG1367" s="110"/>
      <c r="RPH1367" s="110"/>
      <c r="RPI1367" s="110"/>
      <c r="RPJ1367" s="110"/>
      <c r="RPK1367" s="110"/>
      <c r="RPL1367" s="110"/>
      <c r="RPM1367" s="110"/>
      <c r="RPN1367" s="110"/>
      <c r="RPO1367" s="110"/>
      <c r="RPP1367" s="110"/>
      <c r="RPQ1367" s="110"/>
      <c r="RPR1367" s="110"/>
      <c r="RPS1367" s="110"/>
      <c r="RPT1367" s="110"/>
      <c r="RPU1367" s="110"/>
      <c r="RPV1367" s="110"/>
      <c r="RPW1367" s="110"/>
      <c r="RPX1367" s="110"/>
      <c r="RPY1367" s="110"/>
      <c r="RPZ1367" s="110"/>
      <c r="RQA1367" s="110"/>
      <c r="RQB1367" s="110"/>
      <c r="RQC1367" s="110"/>
      <c r="RQD1367" s="110"/>
      <c r="RQE1367" s="110"/>
      <c r="RQF1367" s="110"/>
      <c r="RQG1367" s="110"/>
      <c r="RQH1367" s="110"/>
      <c r="RQI1367" s="110"/>
      <c r="RQJ1367" s="110"/>
      <c r="RQK1367" s="110"/>
      <c r="RQL1367" s="110"/>
      <c r="RQM1367" s="110"/>
      <c r="RQN1367" s="110"/>
      <c r="RQO1367" s="110"/>
      <c r="RQP1367" s="110"/>
      <c r="RQQ1367" s="110"/>
      <c r="RQR1367" s="110"/>
      <c r="RQS1367" s="110"/>
      <c r="RQT1367" s="110"/>
      <c r="RQU1367" s="110"/>
      <c r="RQV1367" s="110"/>
      <c r="RQW1367" s="110"/>
      <c r="RQX1367" s="110"/>
      <c r="RQY1367" s="110"/>
      <c r="RQZ1367" s="110"/>
      <c r="RRA1367" s="110"/>
      <c r="RRB1367" s="110"/>
      <c r="RRC1367" s="110"/>
      <c r="RRD1367" s="110"/>
      <c r="RRE1367" s="110"/>
      <c r="RRF1367" s="110"/>
      <c r="RRG1367" s="110"/>
      <c r="RRH1367" s="110"/>
      <c r="RRI1367" s="110"/>
      <c r="RRJ1367" s="110"/>
      <c r="RRK1367" s="110"/>
      <c r="RRL1367" s="110"/>
      <c r="RRM1367" s="110"/>
      <c r="RRN1367" s="110"/>
      <c r="RRO1367" s="110"/>
      <c r="RRP1367" s="110"/>
      <c r="RRQ1367" s="110"/>
      <c r="RRR1367" s="110"/>
      <c r="RRS1367" s="110"/>
      <c r="RRT1367" s="110"/>
      <c r="RRU1367" s="110"/>
      <c r="RRV1367" s="110"/>
      <c r="RRW1367" s="110"/>
      <c r="RRX1367" s="110"/>
      <c r="RRY1367" s="110"/>
      <c r="RRZ1367" s="110"/>
      <c r="RSA1367" s="110"/>
      <c r="RSB1367" s="110"/>
      <c r="RSC1367" s="110"/>
      <c r="RSD1367" s="110"/>
      <c r="RSE1367" s="110"/>
      <c r="RSF1367" s="110"/>
      <c r="RSG1367" s="110"/>
      <c r="RSH1367" s="110"/>
      <c r="RSI1367" s="110"/>
      <c r="RSJ1367" s="110"/>
      <c r="RSK1367" s="110"/>
      <c r="RSL1367" s="110"/>
      <c r="RSM1367" s="110"/>
      <c r="RSN1367" s="110"/>
      <c r="RSO1367" s="110"/>
      <c r="RSP1367" s="110"/>
      <c r="RSQ1367" s="110"/>
      <c r="RSR1367" s="110"/>
      <c r="RSS1367" s="110"/>
      <c r="RST1367" s="110"/>
      <c r="RSU1367" s="110"/>
      <c r="RSV1367" s="110"/>
      <c r="RSW1367" s="110"/>
      <c r="RSX1367" s="110"/>
      <c r="RSY1367" s="110"/>
      <c r="RSZ1367" s="110"/>
      <c r="RTA1367" s="110"/>
      <c r="RTB1367" s="110"/>
      <c r="RTC1367" s="110"/>
      <c r="RTD1367" s="110"/>
      <c r="RTE1367" s="110"/>
      <c r="RTF1367" s="110"/>
      <c r="RTG1367" s="110"/>
      <c r="RTH1367" s="110"/>
      <c r="RTI1367" s="110"/>
      <c r="RTJ1367" s="110"/>
      <c r="RTK1367" s="110"/>
      <c r="RTL1367" s="110"/>
      <c r="RTM1367" s="110"/>
      <c r="RTN1367" s="110"/>
      <c r="RTO1367" s="110"/>
      <c r="RTP1367" s="110"/>
      <c r="RTQ1367" s="110"/>
      <c r="RTR1367" s="110"/>
      <c r="RTS1367" s="110"/>
      <c r="RTT1367" s="110"/>
      <c r="RTU1367" s="110"/>
      <c r="RTV1367" s="110"/>
      <c r="RTW1367" s="110"/>
      <c r="RTX1367" s="110"/>
      <c r="RTY1367" s="110"/>
      <c r="RTZ1367" s="110"/>
      <c r="RUA1367" s="110"/>
      <c r="RUB1367" s="110"/>
      <c r="RUC1367" s="110"/>
      <c r="RUD1367" s="110"/>
      <c r="RUE1367" s="110"/>
      <c r="RUF1367" s="110"/>
      <c r="RUG1367" s="110"/>
      <c r="RUH1367" s="110"/>
      <c r="RUI1367" s="110"/>
      <c r="RUJ1367" s="110"/>
      <c r="RUK1367" s="110"/>
      <c r="RUL1367" s="110"/>
      <c r="RUM1367" s="110"/>
      <c r="RUN1367" s="110"/>
      <c r="RUO1367" s="110"/>
      <c r="RUP1367" s="110"/>
      <c r="RUQ1367" s="110"/>
      <c r="RUR1367" s="110"/>
      <c r="RUS1367" s="110"/>
      <c r="RUT1367" s="110"/>
      <c r="RUU1367" s="110"/>
      <c r="RUV1367" s="110"/>
      <c r="RUW1367" s="110"/>
      <c r="RUX1367" s="110"/>
      <c r="RUY1367" s="110"/>
      <c r="RUZ1367" s="110"/>
      <c r="RVA1367" s="110"/>
      <c r="RVB1367" s="110"/>
      <c r="RVC1367" s="110"/>
      <c r="RVD1367" s="110"/>
      <c r="RVE1367" s="110"/>
      <c r="RVF1367" s="110"/>
      <c r="RVG1367" s="110"/>
      <c r="RVH1367" s="110"/>
      <c r="RVI1367" s="110"/>
      <c r="RVJ1367" s="110"/>
      <c r="RVK1367" s="110"/>
      <c r="RVL1367" s="110"/>
      <c r="RVM1367" s="110"/>
      <c r="RVN1367" s="110"/>
      <c r="RVO1367" s="110"/>
      <c r="RVP1367" s="110"/>
      <c r="RVQ1367" s="110"/>
      <c r="RVR1367" s="110"/>
      <c r="RVS1367" s="110"/>
      <c r="RVT1367" s="110"/>
      <c r="RVU1367" s="110"/>
      <c r="RVV1367" s="110"/>
      <c r="RVW1367" s="110"/>
      <c r="RVX1367" s="110"/>
      <c r="RVY1367" s="110"/>
      <c r="RVZ1367" s="110"/>
      <c r="RWA1367" s="110"/>
      <c r="RWB1367" s="110"/>
      <c r="RWC1367" s="110"/>
      <c r="RWD1367" s="110"/>
      <c r="RWE1367" s="110"/>
      <c r="RWF1367" s="110"/>
      <c r="RWG1367" s="110"/>
      <c r="RWH1367" s="110"/>
      <c r="RWI1367" s="110"/>
      <c r="RWJ1367" s="110"/>
      <c r="RWK1367" s="110"/>
      <c r="RWL1367" s="110"/>
      <c r="RWM1367" s="110"/>
      <c r="RWN1367" s="110"/>
      <c r="RWO1367" s="110"/>
      <c r="RWP1367" s="110"/>
      <c r="RWQ1367" s="110"/>
      <c r="RWR1367" s="110"/>
      <c r="RWS1367" s="110"/>
      <c r="RWT1367" s="110"/>
      <c r="RWU1367" s="110"/>
      <c r="RWV1367" s="110"/>
      <c r="RWW1367" s="110"/>
      <c r="RWX1367" s="110"/>
      <c r="RWY1367" s="110"/>
      <c r="RWZ1367" s="110"/>
      <c r="RXA1367" s="110"/>
      <c r="RXB1367" s="110"/>
      <c r="RXC1367" s="110"/>
      <c r="RXD1367" s="110"/>
      <c r="RXE1367" s="110"/>
      <c r="RXF1367" s="110"/>
      <c r="RXG1367" s="110"/>
      <c r="RXH1367" s="110"/>
      <c r="RXI1367" s="110"/>
      <c r="RXJ1367" s="110"/>
      <c r="RXK1367" s="110"/>
      <c r="RXL1367" s="110"/>
      <c r="RXM1367" s="110"/>
      <c r="RXN1367" s="110"/>
      <c r="RXO1367" s="110"/>
      <c r="RXP1367" s="110"/>
      <c r="RXQ1367" s="110"/>
      <c r="RXR1367" s="110"/>
      <c r="RXS1367" s="110"/>
      <c r="RXT1367" s="110"/>
      <c r="RXU1367" s="110"/>
      <c r="RXV1367" s="110"/>
      <c r="RXW1367" s="110"/>
      <c r="RXX1367" s="110"/>
      <c r="RXY1367" s="110"/>
      <c r="RXZ1367" s="110"/>
      <c r="RYA1367" s="110"/>
      <c r="RYB1367" s="110"/>
      <c r="RYC1367" s="110"/>
      <c r="RYD1367" s="110"/>
      <c r="RYE1367" s="110"/>
      <c r="RYF1367" s="110"/>
      <c r="RYG1367" s="110"/>
      <c r="RYH1367" s="110"/>
      <c r="RYI1367" s="110"/>
      <c r="RYJ1367" s="110"/>
      <c r="RYK1367" s="110"/>
      <c r="RYL1367" s="110"/>
      <c r="RYM1367" s="110"/>
      <c r="RYN1367" s="110"/>
      <c r="RYO1367" s="110"/>
      <c r="RYP1367" s="110"/>
      <c r="RYQ1367" s="110"/>
      <c r="RYR1367" s="110"/>
      <c r="RYS1367" s="110"/>
      <c r="RYT1367" s="110"/>
      <c r="RYU1367" s="110"/>
      <c r="RYV1367" s="110"/>
      <c r="RYW1367" s="110"/>
      <c r="RYX1367" s="110"/>
      <c r="RYY1367" s="110"/>
      <c r="RYZ1367" s="110"/>
      <c r="RZA1367" s="110"/>
      <c r="RZB1367" s="110"/>
      <c r="RZC1367" s="110"/>
      <c r="RZD1367" s="110"/>
      <c r="RZE1367" s="110"/>
      <c r="RZF1367" s="110"/>
      <c r="RZG1367" s="110"/>
      <c r="RZH1367" s="110"/>
      <c r="RZI1367" s="110"/>
      <c r="RZJ1367" s="110"/>
      <c r="RZK1367" s="110"/>
      <c r="RZL1367" s="110"/>
      <c r="RZM1367" s="110"/>
      <c r="RZN1367" s="110"/>
      <c r="RZO1367" s="110"/>
      <c r="RZP1367" s="110"/>
      <c r="RZQ1367" s="110"/>
      <c r="RZR1367" s="110"/>
      <c r="RZS1367" s="110"/>
      <c r="RZT1367" s="110"/>
      <c r="RZU1367" s="110"/>
      <c r="RZV1367" s="110"/>
      <c r="RZW1367" s="110"/>
      <c r="RZX1367" s="110"/>
      <c r="RZY1367" s="110"/>
      <c r="RZZ1367" s="110"/>
      <c r="SAA1367" s="110"/>
      <c r="SAB1367" s="110"/>
      <c r="SAC1367" s="110"/>
      <c r="SAD1367" s="110"/>
      <c r="SAE1367" s="110"/>
      <c r="SAF1367" s="110"/>
      <c r="SAG1367" s="110"/>
      <c r="SAH1367" s="110"/>
      <c r="SAI1367" s="110"/>
      <c r="SAJ1367" s="110"/>
      <c r="SAK1367" s="110"/>
      <c r="SAL1367" s="110"/>
      <c r="SAM1367" s="110"/>
      <c r="SAN1367" s="110"/>
      <c r="SAO1367" s="110"/>
      <c r="SAP1367" s="110"/>
      <c r="SAQ1367" s="110"/>
      <c r="SAR1367" s="110"/>
      <c r="SAS1367" s="110"/>
      <c r="SAT1367" s="110"/>
      <c r="SAU1367" s="110"/>
      <c r="SAV1367" s="110"/>
      <c r="SAW1367" s="110"/>
      <c r="SAX1367" s="110"/>
      <c r="SAY1367" s="110"/>
      <c r="SAZ1367" s="110"/>
      <c r="SBA1367" s="110"/>
      <c r="SBB1367" s="110"/>
      <c r="SBC1367" s="110"/>
      <c r="SBD1367" s="110"/>
      <c r="SBE1367" s="110"/>
      <c r="SBF1367" s="110"/>
      <c r="SBG1367" s="110"/>
      <c r="SBH1367" s="110"/>
      <c r="SBI1367" s="110"/>
      <c r="SBJ1367" s="110"/>
      <c r="SBK1367" s="110"/>
      <c r="SBL1367" s="110"/>
      <c r="SBM1367" s="110"/>
      <c r="SBN1367" s="110"/>
      <c r="SBO1367" s="110"/>
      <c r="SBP1367" s="110"/>
      <c r="SBQ1367" s="110"/>
      <c r="SBR1367" s="110"/>
      <c r="SBS1367" s="110"/>
      <c r="SBT1367" s="110"/>
      <c r="SBU1367" s="110"/>
      <c r="SBV1367" s="110"/>
      <c r="SBW1367" s="110"/>
      <c r="SBX1367" s="110"/>
      <c r="SBY1367" s="110"/>
      <c r="SBZ1367" s="110"/>
      <c r="SCA1367" s="110"/>
      <c r="SCB1367" s="110"/>
      <c r="SCC1367" s="110"/>
      <c r="SCD1367" s="110"/>
      <c r="SCE1367" s="110"/>
      <c r="SCF1367" s="110"/>
      <c r="SCG1367" s="110"/>
      <c r="SCH1367" s="110"/>
      <c r="SCI1367" s="110"/>
      <c r="SCJ1367" s="110"/>
      <c r="SCK1367" s="110"/>
      <c r="SCL1367" s="110"/>
      <c r="SCM1367" s="110"/>
      <c r="SCN1367" s="110"/>
      <c r="SCO1367" s="110"/>
      <c r="SCP1367" s="110"/>
      <c r="SCQ1367" s="110"/>
      <c r="SCR1367" s="110"/>
      <c r="SCS1367" s="110"/>
      <c r="SCT1367" s="110"/>
      <c r="SCU1367" s="110"/>
      <c r="SCV1367" s="110"/>
      <c r="SCW1367" s="110"/>
      <c r="SCX1367" s="110"/>
      <c r="SCY1367" s="110"/>
      <c r="SCZ1367" s="110"/>
      <c r="SDA1367" s="110"/>
      <c r="SDB1367" s="110"/>
      <c r="SDC1367" s="110"/>
      <c r="SDD1367" s="110"/>
      <c r="SDE1367" s="110"/>
      <c r="SDF1367" s="110"/>
      <c r="SDG1367" s="110"/>
      <c r="SDH1367" s="110"/>
      <c r="SDI1367" s="110"/>
      <c r="SDJ1367" s="110"/>
      <c r="SDK1367" s="110"/>
      <c r="SDL1367" s="110"/>
      <c r="SDM1367" s="110"/>
      <c r="SDN1367" s="110"/>
      <c r="SDO1367" s="110"/>
      <c r="SDP1367" s="110"/>
      <c r="SDQ1367" s="110"/>
      <c r="SDR1367" s="110"/>
      <c r="SDS1367" s="110"/>
      <c r="SDT1367" s="110"/>
      <c r="SDU1367" s="110"/>
      <c r="SDV1367" s="110"/>
      <c r="SDW1367" s="110"/>
      <c r="SDX1367" s="110"/>
      <c r="SDY1367" s="110"/>
      <c r="SDZ1367" s="110"/>
      <c r="SEA1367" s="110"/>
      <c r="SEB1367" s="110"/>
      <c r="SEC1367" s="110"/>
      <c r="SED1367" s="110"/>
      <c r="SEE1367" s="110"/>
      <c r="SEF1367" s="110"/>
      <c r="SEG1367" s="110"/>
      <c r="SEH1367" s="110"/>
      <c r="SEI1367" s="110"/>
      <c r="SEJ1367" s="110"/>
      <c r="SEK1367" s="110"/>
      <c r="SEL1367" s="110"/>
      <c r="SEM1367" s="110"/>
      <c r="SEN1367" s="110"/>
      <c r="SEO1367" s="110"/>
      <c r="SEP1367" s="110"/>
      <c r="SEQ1367" s="110"/>
      <c r="SER1367" s="110"/>
      <c r="SES1367" s="110"/>
      <c r="SET1367" s="110"/>
      <c r="SEU1367" s="110"/>
      <c r="SEV1367" s="110"/>
      <c r="SEW1367" s="110"/>
      <c r="SEX1367" s="110"/>
      <c r="SEY1367" s="110"/>
      <c r="SEZ1367" s="110"/>
      <c r="SFA1367" s="110"/>
      <c r="SFB1367" s="110"/>
      <c r="SFC1367" s="110"/>
      <c r="SFD1367" s="110"/>
      <c r="SFE1367" s="110"/>
      <c r="SFF1367" s="110"/>
      <c r="SFG1367" s="110"/>
      <c r="SFH1367" s="110"/>
      <c r="SFI1367" s="110"/>
      <c r="SFJ1367" s="110"/>
      <c r="SFK1367" s="110"/>
      <c r="SFL1367" s="110"/>
      <c r="SFM1367" s="110"/>
      <c r="SFN1367" s="110"/>
      <c r="SFO1367" s="110"/>
      <c r="SFP1367" s="110"/>
      <c r="SFQ1367" s="110"/>
      <c r="SFR1367" s="110"/>
      <c r="SFS1367" s="110"/>
      <c r="SFT1367" s="110"/>
      <c r="SFU1367" s="110"/>
      <c r="SFV1367" s="110"/>
      <c r="SFW1367" s="110"/>
      <c r="SFX1367" s="110"/>
      <c r="SFY1367" s="110"/>
      <c r="SFZ1367" s="110"/>
      <c r="SGA1367" s="110"/>
      <c r="SGB1367" s="110"/>
      <c r="SGC1367" s="110"/>
      <c r="SGD1367" s="110"/>
      <c r="SGE1367" s="110"/>
      <c r="SGF1367" s="110"/>
      <c r="SGG1367" s="110"/>
      <c r="SGH1367" s="110"/>
      <c r="SGI1367" s="110"/>
      <c r="SGJ1367" s="110"/>
      <c r="SGK1367" s="110"/>
      <c r="SGL1367" s="110"/>
      <c r="SGM1367" s="110"/>
      <c r="SGN1367" s="110"/>
      <c r="SGO1367" s="110"/>
      <c r="SGP1367" s="110"/>
      <c r="SGQ1367" s="110"/>
      <c r="SGR1367" s="110"/>
      <c r="SGS1367" s="110"/>
      <c r="SGT1367" s="110"/>
      <c r="SGU1367" s="110"/>
      <c r="SGV1367" s="110"/>
      <c r="SGW1367" s="110"/>
      <c r="SGX1367" s="110"/>
      <c r="SGY1367" s="110"/>
      <c r="SGZ1367" s="110"/>
      <c r="SHA1367" s="110"/>
      <c r="SHB1367" s="110"/>
      <c r="SHC1367" s="110"/>
      <c r="SHD1367" s="110"/>
      <c r="SHE1367" s="110"/>
      <c r="SHF1367" s="110"/>
      <c r="SHG1367" s="110"/>
      <c r="SHH1367" s="110"/>
      <c r="SHI1367" s="110"/>
      <c r="SHJ1367" s="110"/>
      <c r="SHK1367" s="110"/>
      <c r="SHL1367" s="110"/>
      <c r="SHM1367" s="110"/>
      <c r="SHN1367" s="110"/>
      <c r="SHO1367" s="110"/>
      <c r="SHP1367" s="110"/>
      <c r="SHQ1367" s="110"/>
      <c r="SHR1367" s="110"/>
      <c r="SHS1367" s="110"/>
      <c r="SHT1367" s="110"/>
      <c r="SHU1367" s="110"/>
      <c r="SHV1367" s="110"/>
      <c r="SHW1367" s="110"/>
      <c r="SHX1367" s="110"/>
      <c r="SHY1367" s="110"/>
      <c r="SHZ1367" s="110"/>
      <c r="SIA1367" s="110"/>
      <c r="SIB1367" s="110"/>
      <c r="SIC1367" s="110"/>
      <c r="SID1367" s="110"/>
      <c r="SIE1367" s="110"/>
      <c r="SIF1367" s="110"/>
      <c r="SIG1367" s="110"/>
      <c r="SIH1367" s="110"/>
      <c r="SII1367" s="110"/>
      <c r="SIJ1367" s="110"/>
      <c r="SIK1367" s="110"/>
      <c r="SIL1367" s="110"/>
      <c r="SIM1367" s="110"/>
      <c r="SIN1367" s="110"/>
      <c r="SIO1367" s="110"/>
      <c r="SIP1367" s="110"/>
      <c r="SIQ1367" s="110"/>
      <c r="SIR1367" s="110"/>
      <c r="SIS1367" s="110"/>
      <c r="SIT1367" s="110"/>
      <c r="SIU1367" s="110"/>
      <c r="SIV1367" s="110"/>
      <c r="SIW1367" s="110"/>
      <c r="SIX1367" s="110"/>
      <c r="SIY1367" s="110"/>
      <c r="SIZ1367" s="110"/>
      <c r="SJA1367" s="110"/>
      <c r="SJB1367" s="110"/>
      <c r="SJC1367" s="110"/>
      <c r="SJD1367" s="110"/>
      <c r="SJE1367" s="110"/>
      <c r="SJF1367" s="110"/>
      <c r="SJG1367" s="110"/>
      <c r="SJH1367" s="110"/>
      <c r="SJI1367" s="110"/>
      <c r="SJJ1367" s="110"/>
      <c r="SJK1367" s="110"/>
      <c r="SJL1367" s="110"/>
      <c r="SJM1367" s="110"/>
      <c r="SJN1367" s="110"/>
      <c r="SJO1367" s="110"/>
      <c r="SJP1367" s="110"/>
      <c r="SJQ1367" s="110"/>
      <c r="SJR1367" s="110"/>
      <c r="SJS1367" s="110"/>
      <c r="SJT1367" s="110"/>
      <c r="SJU1367" s="110"/>
      <c r="SJV1367" s="110"/>
      <c r="SJW1367" s="110"/>
      <c r="SJX1367" s="110"/>
      <c r="SJY1367" s="110"/>
      <c r="SJZ1367" s="110"/>
      <c r="SKA1367" s="110"/>
      <c r="SKB1367" s="110"/>
      <c r="SKC1367" s="110"/>
      <c r="SKD1367" s="110"/>
      <c r="SKE1367" s="110"/>
      <c r="SKF1367" s="110"/>
      <c r="SKG1367" s="110"/>
      <c r="SKH1367" s="110"/>
      <c r="SKI1367" s="110"/>
      <c r="SKJ1367" s="110"/>
      <c r="SKK1367" s="110"/>
      <c r="SKL1367" s="110"/>
      <c r="SKM1367" s="110"/>
      <c r="SKN1367" s="110"/>
      <c r="SKO1367" s="110"/>
      <c r="SKP1367" s="110"/>
      <c r="SKQ1367" s="110"/>
      <c r="SKR1367" s="110"/>
      <c r="SKS1367" s="110"/>
      <c r="SKT1367" s="110"/>
      <c r="SKU1367" s="110"/>
      <c r="SKV1367" s="110"/>
      <c r="SKW1367" s="110"/>
      <c r="SKX1367" s="110"/>
      <c r="SKY1367" s="110"/>
      <c r="SKZ1367" s="110"/>
      <c r="SLA1367" s="110"/>
      <c r="SLB1367" s="110"/>
      <c r="SLC1367" s="110"/>
      <c r="SLD1367" s="110"/>
      <c r="SLE1367" s="110"/>
      <c r="SLF1367" s="110"/>
      <c r="SLG1367" s="110"/>
      <c r="SLH1367" s="110"/>
      <c r="SLI1367" s="110"/>
      <c r="SLJ1367" s="110"/>
      <c r="SLK1367" s="110"/>
      <c r="SLL1367" s="110"/>
      <c r="SLM1367" s="110"/>
      <c r="SLN1367" s="110"/>
      <c r="SLO1367" s="110"/>
      <c r="SLP1367" s="110"/>
      <c r="SLQ1367" s="110"/>
      <c r="SLR1367" s="110"/>
      <c r="SLS1367" s="110"/>
      <c r="SLT1367" s="110"/>
      <c r="SLU1367" s="110"/>
      <c r="SLV1367" s="110"/>
      <c r="SLW1367" s="110"/>
      <c r="SLX1367" s="110"/>
      <c r="SLY1367" s="110"/>
      <c r="SLZ1367" s="110"/>
      <c r="SMA1367" s="110"/>
      <c r="SMB1367" s="110"/>
      <c r="SMC1367" s="110"/>
      <c r="SMD1367" s="110"/>
      <c r="SME1367" s="110"/>
      <c r="SMF1367" s="110"/>
      <c r="SMG1367" s="110"/>
      <c r="SMH1367" s="110"/>
      <c r="SMI1367" s="110"/>
      <c r="SMJ1367" s="110"/>
      <c r="SMK1367" s="110"/>
      <c r="SML1367" s="110"/>
      <c r="SMM1367" s="110"/>
      <c r="SMN1367" s="110"/>
      <c r="SMO1367" s="110"/>
      <c r="SMP1367" s="110"/>
      <c r="SMQ1367" s="110"/>
      <c r="SMR1367" s="110"/>
      <c r="SMS1367" s="110"/>
      <c r="SMT1367" s="110"/>
      <c r="SMU1367" s="110"/>
      <c r="SMV1367" s="110"/>
      <c r="SMW1367" s="110"/>
      <c r="SMX1367" s="110"/>
      <c r="SMY1367" s="110"/>
      <c r="SMZ1367" s="110"/>
      <c r="SNA1367" s="110"/>
      <c r="SNB1367" s="110"/>
      <c r="SNC1367" s="110"/>
      <c r="SND1367" s="110"/>
      <c r="SNE1367" s="110"/>
      <c r="SNF1367" s="110"/>
      <c r="SNG1367" s="110"/>
      <c r="SNH1367" s="110"/>
      <c r="SNI1367" s="110"/>
      <c r="SNJ1367" s="110"/>
      <c r="SNK1367" s="110"/>
      <c r="SNL1367" s="110"/>
      <c r="SNM1367" s="110"/>
      <c r="SNN1367" s="110"/>
      <c r="SNO1367" s="110"/>
      <c r="SNP1367" s="110"/>
      <c r="SNQ1367" s="110"/>
      <c r="SNR1367" s="110"/>
      <c r="SNS1367" s="110"/>
      <c r="SNT1367" s="110"/>
      <c r="SNU1367" s="110"/>
      <c r="SNV1367" s="110"/>
      <c r="SNW1367" s="110"/>
      <c r="SNX1367" s="110"/>
      <c r="SNY1367" s="110"/>
      <c r="SNZ1367" s="110"/>
      <c r="SOA1367" s="110"/>
      <c r="SOB1367" s="110"/>
      <c r="SOC1367" s="110"/>
      <c r="SOD1367" s="110"/>
      <c r="SOE1367" s="110"/>
      <c r="SOF1367" s="110"/>
      <c r="SOG1367" s="110"/>
      <c r="SOH1367" s="110"/>
      <c r="SOI1367" s="110"/>
      <c r="SOJ1367" s="110"/>
      <c r="SOK1367" s="110"/>
      <c r="SOL1367" s="110"/>
      <c r="SOM1367" s="110"/>
      <c r="SON1367" s="110"/>
      <c r="SOO1367" s="110"/>
      <c r="SOP1367" s="110"/>
      <c r="SOQ1367" s="110"/>
      <c r="SOR1367" s="110"/>
      <c r="SOS1367" s="110"/>
      <c r="SOT1367" s="110"/>
      <c r="SOU1367" s="110"/>
      <c r="SOV1367" s="110"/>
      <c r="SOW1367" s="110"/>
      <c r="SOX1367" s="110"/>
      <c r="SOY1367" s="110"/>
      <c r="SOZ1367" s="110"/>
      <c r="SPA1367" s="110"/>
      <c r="SPB1367" s="110"/>
      <c r="SPC1367" s="110"/>
      <c r="SPD1367" s="110"/>
      <c r="SPE1367" s="110"/>
      <c r="SPF1367" s="110"/>
      <c r="SPG1367" s="110"/>
      <c r="SPH1367" s="110"/>
      <c r="SPI1367" s="110"/>
      <c r="SPJ1367" s="110"/>
      <c r="SPK1367" s="110"/>
      <c r="SPL1367" s="110"/>
      <c r="SPM1367" s="110"/>
      <c r="SPN1367" s="110"/>
      <c r="SPO1367" s="110"/>
      <c r="SPP1367" s="110"/>
      <c r="SPQ1367" s="110"/>
      <c r="SPR1367" s="110"/>
      <c r="SPS1367" s="110"/>
      <c r="SPT1367" s="110"/>
      <c r="SPU1367" s="110"/>
      <c r="SPV1367" s="110"/>
      <c r="SPW1367" s="110"/>
      <c r="SPX1367" s="110"/>
      <c r="SPY1367" s="110"/>
      <c r="SPZ1367" s="110"/>
      <c r="SQA1367" s="110"/>
      <c r="SQB1367" s="110"/>
      <c r="SQC1367" s="110"/>
      <c r="SQD1367" s="110"/>
      <c r="SQE1367" s="110"/>
      <c r="SQF1367" s="110"/>
      <c r="SQG1367" s="110"/>
      <c r="SQH1367" s="110"/>
      <c r="SQI1367" s="110"/>
      <c r="SQJ1367" s="110"/>
      <c r="SQK1367" s="110"/>
      <c r="SQL1367" s="110"/>
      <c r="SQM1367" s="110"/>
      <c r="SQN1367" s="110"/>
      <c r="SQO1367" s="110"/>
      <c r="SQP1367" s="110"/>
      <c r="SQQ1367" s="110"/>
      <c r="SQR1367" s="110"/>
      <c r="SQS1367" s="110"/>
      <c r="SQT1367" s="110"/>
      <c r="SQU1367" s="110"/>
      <c r="SQV1367" s="110"/>
      <c r="SQW1367" s="110"/>
      <c r="SQX1367" s="110"/>
      <c r="SQY1367" s="110"/>
      <c r="SQZ1367" s="110"/>
      <c r="SRA1367" s="110"/>
      <c r="SRB1367" s="110"/>
      <c r="SRC1367" s="110"/>
      <c r="SRD1367" s="110"/>
      <c r="SRE1367" s="110"/>
      <c r="SRF1367" s="110"/>
      <c r="SRG1367" s="110"/>
      <c r="SRH1367" s="110"/>
      <c r="SRI1367" s="110"/>
      <c r="SRJ1367" s="110"/>
      <c r="SRK1367" s="110"/>
      <c r="SRL1367" s="110"/>
      <c r="SRM1367" s="110"/>
      <c r="SRN1367" s="110"/>
      <c r="SRO1367" s="110"/>
      <c r="SRP1367" s="110"/>
      <c r="SRQ1367" s="110"/>
      <c r="SRR1367" s="110"/>
      <c r="SRS1367" s="110"/>
      <c r="SRT1367" s="110"/>
      <c r="SRU1367" s="110"/>
      <c r="SRV1367" s="110"/>
      <c r="SRW1367" s="110"/>
      <c r="SRX1367" s="110"/>
      <c r="SRY1367" s="110"/>
      <c r="SRZ1367" s="110"/>
      <c r="SSA1367" s="110"/>
      <c r="SSB1367" s="110"/>
      <c r="SSC1367" s="110"/>
      <c r="SSD1367" s="110"/>
      <c r="SSE1367" s="110"/>
      <c r="SSF1367" s="110"/>
      <c r="SSG1367" s="110"/>
      <c r="SSH1367" s="110"/>
      <c r="SSI1367" s="110"/>
      <c r="SSJ1367" s="110"/>
      <c r="SSK1367" s="110"/>
      <c r="SSL1367" s="110"/>
      <c r="SSM1367" s="110"/>
      <c r="SSN1367" s="110"/>
      <c r="SSO1367" s="110"/>
      <c r="SSP1367" s="110"/>
      <c r="SSQ1367" s="110"/>
      <c r="SSR1367" s="110"/>
      <c r="SSS1367" s="110"/>
      <c r="SST1367" s="110"/>
      <c r="SSU1367" s="110"/>
      <c r="SSV1367" s="110"/>
      <c r="SSW1367" s="110"/>
      <c r="SSX1367" s="110"/>
      <c r="SSY1367" s="110"/>
      <c r="SSZ1367" s="110"/>
      <c r="STA1367" s="110"/>
      <c r="STB1367" s="110"/>
      <c r="STC1367" s="110"/>
      <c r="STD1367" s="110"/>
      <c r="STE1367" s="110"/>
      <c r="STF1367" s="110"/>
      <c r="STG1367" s="110"/>
      <c r="STH1367" s="110"/>
      <c r="STI1367" s="110"/>
      <c r="STJ1367" s="110"/>
      <c r="STK1367" s="110"/>
      <c r="STL1367" s="110"/>
      <c r="STM1367" s="110"/>
      <c r="STN1367" s="110"/>
      <c r="STO1367" s="110"/>
      <c r="STP1367" s="110"/>
      <c r="STQ1367" s="110"/>
      <c r="STR1367" s="110"/>
      <c r="STS1367" s="110"/>
      <c r="STT1367" s="110"/>
      <c r="STU1367" s="110"/>
      <c r="STV1367" s="110"/>
      <c r="STW1367" s="110"/>
      <c r="STX1367" s="110"/>
      <c r="STY1367" s="110"/>
      <c r="STZ1367" s="110"/>
      <c r="SUA1367" s="110"/>
      <c r="SUB1367" s="110"/>
      <c r="SUC1367" s="110"/>
      <c r="SUD1367" s="110"/>
      <c r="SUE1367" s="110"/>
      <c r="SUF1367" s="110"/>
      <c r="SUG1367" s="110"/>
      <c r="SUH1367" s="110"/>
      <c r="SUI1367" s="110"/>
      <c r="SUJ1367" s="110"/>
      <c r="SUK1367" s="110"/>
      <c r="SUL1367" s="110"/>
      <c r="SUM1367" s="110"/>
      <c r="SUN1367" s="110"/>
      <c r="SUO1367" s="110"/>
      <c r="SUP1367" s="110"/>
      <c r="SUQ1367" s="110"/>
      <c r="SUR1367" s="110"/>
      <c r="SUS1367" s="110"/>
      <c r="SUT1367" s="110"/>
      <c r="SUU1367" s="110"/>
      <c r="SUV1367" s="110"/>
      <c r="SUW1367" s="110"/>
      <c r="SUX1367" s="110"/>
      <c r="SUY1367" s="110"/>
      <c r="SUZ1367" s="110"/>
      <c r="SVA1367" s="110"/>
      <c r="SVB1367" s="110"/>
      <c r="SVC1367" s="110"/>
      <c r="SVD1367" s="110"/>
      <c r="SVE1367" s="110"/>
      <c r="SVF1367" s="110"/>
      <c r="SVG1367" s="110"/>
      <c r="SVH1367" s="110"/>
      <c r="SVI1367" s="110"/>
      <c r="SVJ1367" s="110"/>
      <c r="SVK1367" s="110"/>
      <c r="SVL1367" s="110"/>
      <c r="SVM1367" s="110"/>
      <c r="SVN1367" s="110"/>
      <c r="SVO1367" s="110"/>
      <c r="SVP1367" s="110"/>
      <c r="SVQ1367" s="110"/>
      <c r="SVR1367" s="110"/>
      <c r="SVS1367" s="110"/>
      <c r="SVT1367" s="110"/>
      <c r="SVU1367" s="110"/>
      <c r="SVV1367" s="110"/>
      <c r="SVW1367" s="110"/>
      <c r="SVX1367" s="110"/>
      <c r="SVY1367" s="110"/>
      <c r="SVZ1367" s="110"/>
      <c r="SWA1367" s="110"/>
      <c r="SWB1367" s="110"/>
      <c r="SWC1367" s="110"/>
      <c r="SWD1367" s="110"/>
      <c r="SWE1367" s="110"/>
      <c r="SWF1367" s="110"/>
      <c r="SWG1367" s="110"/>
      <c r="SWH1367" s="110"/>
      <c r="SWI1367" s="110"/>
      <c r="SWJ1367" s="110"/>
      <c r="SWK1367" s="110"/>
      <c r="SWL1367" s="110"/>
      <c r="SWM1367" s="110"/>
      <c r="SWN1367" s="110"/>
      <c r="SWO1367" s="110"/>
      <c r="SWP1367" s="110"/>
      <c r="SWQ1367" s="110"/>
      <c r="SWR1367" s="110"/>
      <c r="SWS1367" s="110"/>
      <c r="SWT1367" s="110"/>
      <c r="SWU1367" s="110"/>
      <c r="SWV1367" s="110"/>
      <c r="SWW1367" s="110"/>
      <c r="SWX1367" s="110"/>
      <c r="SWY1367" s="110"/>
      <c r="SWZ1367" s="110"/>
      <c r="SXA1367" s="110"/>
      <c r="SXB1367" s="110"/>
      <c r="SXC1367" s="110"/>
      <c r="SXD1367" s="110"/>
      <c r="SXE1367" s="110"/>
      <c r="SXF1367" s="110"/>
      <c r="SXG1367" s="110"/>
      <c r="SXH1367" s="110"/>
      <c r="SXI1367" s="110"/>
      <c r="SXJ1367" s="110"/>
      <c r="SXK1367" s="110"/>
      <c r="SXL1367" s="110"/>
      <c r="SXM1367" s="110"/>
      <c r="SXN1367" s="110"/>
      <c r="SXO1367" s="110"/>
      <c r="SXP1367" s="110"/>
      <c r="SXQ1367" s="110"/>
      <c r="SXR1367" s="110"/>
      <c r="SXS1367" s="110"/>
      <c r="SXT1367" s="110"/>
      <c r="SXU1367" s="110"/>
      <c r="SXV1367" s="110"/>
      <c r="SXW1367" s="110"/>
      <c r="SXX1367" s="110"/>
      <c r="SXY1367" s="110"/>
      <c r="SXZ1367" s="110"/>
      <c r="SYA1367" s="110"/>
      <c r="SYB1367" s="110"/>
      <c r="SYC1367" s="110"/>
      <c r="SYD1367" s="110"/>
      <c r="SYE1367" s="110"/>
      <c r="SYF1367" s="110"/>
      <c r="SYG1367" s="110"/>
      <c r="SYH1367" s="110"/>
      <c r="SYI1367" s="110"/>
      <c r="SYJ1367" s="110"/>
      <c r="SYK1367" s="110"/>
      <c r="SYL1367" s="110"/>
      <c r="SYM1367" s="110"/>
      <c r="SYN1367" s="110"/>
      <c r="SYO1367" s="110"/>
      <c r="SYP1367" s="110"/>
      <c r="SYQ1367" s="110"/>
      <c r="SYR1367" s="110"/>
      <c r="SYS1367" s="110"/>
      <c r="SYT1367" s="110"/>
      <c r="SYU1367" s="110"/>
      <c r="SYV1367" s="110"/>
      <c r="SYW1367" s="110"/>
      <c r="SYX1367" s="110"/>
      <c r="SYY1367" s="110"/>
      <c r="SYZ1367" s="110"/>
      <c r="SZA1367" s="110"/>
      <c r="SZB1367" s="110"/>
      <c r="SZC1367" s="110"/>
      <c r="SZD1367" s="110"/>
      <c r="SZE1367" s="110"/>
      <c r="SZF1367" s="110"/>
      <c r="SZG1367" s="110"/>
      <c r="SZH1367" s="110"/>
      <c r="SZI1367" s="110"/>
      <c r="SZJ1367" s="110"/>
      <c r="SZK1367" s="110"/>
      <c r="SZL1367" s="110"/>
      <c r="SZM1367" s="110"/>
      <c r="SZN1367" s="110"/>
      <c r="SZO1367" s="110"/>
      <c r="SZP1367" s="110"/>
      <c r="SZQ1367" s="110"/>
      <c r="SZR1367" s="110"/>
      <c r="SZS1367" s="110"/>
      <c r="SZT1367" s="110"/>
      <c r="SZU1367" s="110"/>
      <c r="SZV1367" s="110"/>
      <c r="SZW1367" s="110"/>
      <c r="SZX1367" s="110"/>
      <c r="SZY1367" s="110"/>
      <c r="SZZ1367" s="110"/>
      <c r="TAA1367" s="110"/>
      <c r="TAB1367" s="110"/>
      <c r="TAC1367" s="110"/>
      <c r="TAD1367" s="110"/>
      <c r="TAE1367" s="110"/>
      <c r="TAF1367" s="110"/>
      <c r="TAG1367" s="110"/>
      <c r="TAH1367" s="110"/>
      <c r="TAI1367" s="110"/>
      <c r="TAJ1367" s="110"/>
      <c r="TAK1367" s="110"/>
      <c r="TAL1367" s="110"/>
      <c r="TAM1367" s="110"/>
      <c r="TAN1367" s="110"/>
      <c r="TAO1367" s="110"/>
      <c r="TAP1367" s="110"/>
      <c r="TAQ1367" s="110"/>
      <c r="TAR1367" s="110"/>
      <c r="TAS1367" s="110"/>
      <c r="TAT1367" s="110"/>
      <c r="TAU1367" s="110"/>
      <c r="TAV1367" s="110"/>
      <c r="TAW1367" s="110"/>
      <c r="TAX1367" s="110"/>
      <c r="TAY1367" s="110"/>
      <c r="TAZ1367" s="110"/>
      <c r="TBA1367" s="110"/>
      <c r="TBB1367" s="110"/>
      <c r="TBC1367" s="110"/>
      <c r="TBD1367" s="110"/>
      <c r="TBE1367" s="110"/>
      <c r="TBF1367" s="110"/>
      <c r="TBG1367" s="110"/>
      <c r="TBH1367" s="110"/>
      <c r="TBI1367" s="110"/>
      <c r="TBJ1367" s="110"/>
      <c r="TBK1367" s="110"/>
      <c r="TBL1367" s="110"/>
      <c r="TBM1367" s="110"/>
      <c r="TBN1367" s="110"/>
      <c r="TBO1367" s="110"/>
      <c r="TBP1367" s="110"/>
      <c r="TBQ1367" s="110"/>
      <c r="TBR1367" s="110"/>
      <c r="TBS1367" s="110"/>
      <c r="TBT1367" s="110"/>
      <c r="TBU1367" s="110"/>
      <c r="TBV1367" s="110"/>
      <c r="TBW1367" s="110"/>
      <c r="TBX1367" s="110"/>
      <c r="TBY1367" s="110"/>
      <c r="TBZ1367" s="110"/>
      <c r="TCA1367" s="110"/>
      <c r="TCB1367" s="110"/>
      <c r="TCC1367" s="110"/>
      <c r="TCD1367" s="110"/>
      <c r="TCE1367" s="110"/>
      <c r="TCF1367" s="110"/>
      <c r="TCG1367" s="110"/>
      <c r="TCH1367" s="110"/>
      <c r="TCI1367" s="110"/>
      <c r="TCJ1367" s="110"/>
      <c r="TCK1367" s="110"/>
      <c r="TCL1367" s="110"/>
      <c r="TCM1367" s="110"/>
      <c r="TCN1367" s="110"/>
      <c r="TCO1367" s="110"/>
      <c r="TCP1367" s="110"/>
      <c r="TCQ1367" s="110"/>
      <c r="TCR1367" s="110"/>
      <c r="TCS1367" s="110"/>
      <c r="TCT1367" s="110"/>
      <c r="TCU1367" s="110"/>
      <c r="TCV1367" s="110"/>
      <c r="TCW1367" s="110"/>
      <c r="TCX1367" s="110"/>
      <c r="TCY1367" s="110"/>
      <c r="TCZ1367" s="110"/>
      <c r="TDA1367" s="110"/>
      <c r="TDB1367" s="110"/>
      <c r="TDC1367" s="110"/>
      <c r="TDD1367" s="110"/>
      <c r="TDE1367" s="110"/>
      <c r="TDF1367" s="110"/>
      <c r="TDG1367" s="110"/>
      <c r="TDH1367" s="110"/>
      <c r="TDI1367" s="110"/>
      <c r="TDJ1367" s="110"/>
      <c r="TDK1367" s="110"/>
      <c r="TDL1367" s="110"/>
      <c r="TDM1367" s="110"/>
      <c r="TDN1367" s="110"/>
      <c r="TDO1367" s="110"/>
      <c r="TDP1367" s="110"/>
      <c r="TDQ1367" s="110"/>
      <c r="TDR1367" s="110"/>
      <c r="TDS1367" s="110"/>
      <c r="TDT1367" s="110"/>
      <c r="TDU1367" s="110"/>
      <c r="TDV1367" s="110"/>
      <c r="TDW1367" s="110"/>
      <c r="TDX1367" s="110"/>
      <c r="TDY1367" s="110"/>
      <c r="TDZ1367" s="110"/>
      <c r="TEA1367" s="110"/>
      <c r="TEB1367" s="110"/>
      <c r="TEC1367" s="110"/>
      <c r="TED1367" s="110"/>
      <c r="TEE1367" s="110"/>
      <c r="TEF1367" s="110"/>
      <c r="TEG1367" s="110"/>
      <c r="TEH1367" s="110"/>
      <c r="TEI1367" s="110"/>
      <c r="TEJ1367" s="110"/>
      <c r="TEK1367" s="110"/>
      <c r="TEL1367" s="110"/>
      <c r="TEM1367" s="110"/>
      <c r="TEN1367" s="110"/>
      <c r="TEO1367" s="110"/>
      <c r="TEP1367" s="110"/>
      <c r="TEQ1367" s="110"/>
      <c r="TER1367" s="110"/>
      <c r="TES1367" s="110"/>
      <c r="TET1367" s="110"/>
      <c r="TEU1367" s="110"/>
      <c r="TEV1367" s="110"/>
      <c r="TEW1367" s="110"/>
      <c r="TEX1367" s="110"/>
      <c r="TEY1367" s="110"/>
      <c r="TEZ1367" s="110"/>
      <c r="TFA1367" s="110"/>
      <c r="TFB1367" s="110"/>
      <c r="TFC1367" s="110"/>
      <c r="TFD1367" s="110"/>
      <c r="TFE1367" s="110"/>
      <c r="TFF1367" s="110"/>
      <c r="TFG1367" s="110"/>
      <c r="TFH1367" s="110"/>
      <c r="TFI1367" s="110"/>
      <c r="TFJ1367" s="110"/>
      <c r="TFK1367" s="110"/>
      <c r="TFL1367" s="110"/>
      <c r="TFM1367" s="110"/>
      <c r="TFN1367" s="110"/>
      <c r="TFO1367" s="110"/>
      <c r="TFP1367" s="110"/>
      <c r="TFQ1367" s="110"/>
      <c r="TFR1367" s="110"/>
      <c r="TFS1367" s="110"/>
      <c r="TFT1367" s="110"/>
      <c r="TFU1367" s="110"/>
      <c r="TFV1367" s="110"/>
      <c r="TFW1367" s="110"/>
      <c r="TFX1367" s="110"/>
      <c r="TFY1367" s="110"/>
      <c r="TFZ1367" s="110"/>
      <c r="TGA1367" s="110"/>
      <c r="TGB1367" s="110"/>
      <c r="TGC1367" s="110"/>
      <c r="TGD1367" s="110"/>
      <c r="TGE1367" s="110"/>
      <c r="TGF1367" s="110"/>
      <c r="TGG1367" s="110"/>
      <c r="TGH1367" s="110"/>
      <c r="TGI1367" s="110"/>
      <c r="TGJ1367" s="110"/>
      <c r="TGK1367" s="110"/>
      <c r="TGL1367" s="110"/>
      <c r="TGM1367" s="110"/>
      <c r="TGN1367" s="110"/>
      <c r="TGO1367" s="110"/>
      <c r="TGP1367" s="110"/>
      <c r="TGQ1367" s="110"/>
      <c r="TGR1367" s="110"/>
      <c r="TGS1367" s="110"/>
      <c r="TGT1367" s="110"/>
      <c r="TGU1367" s="110"/>
      <c r="TGV1367" s="110"/>
      <c r="TGW1367" s="110"/>
      <c r="TGX1367" s="110"/>
      <c r="TGY1367" s="110"/>
      <c r="TGZ1367" s="110"/>
      <c r="THA1367" s="110"/>
      <c r="THB1367" s="110"/>
      <c r="THC1367" s="110"/>
      <c r="THD1367" s="110"/>
      <c r="THE1367" s="110"/>
      <c r="THF1367" s="110"/>
      <c r="THG1367" s="110"/>
      <c r="THH1367" s="110"/>
      <c r="THI1367" s="110"/>
      <c r="THJ1367" s="110"/>
      <c r="THK1367" s="110"/>
      <c r="THL1367" s="110"/>
      <c r="THM1367" s="110"/>
      <c r="THN1367" s="110"/>
      <c r="THO1367" s="110"/>
      <c r="THP1367" s="110"/>
      <c r="THQ1367" s="110"/>
      <c r="THR1367" s="110"/>
      <c r="THS1367" s="110"/>
      <c r="THT1367" s="110"/>
      <c r="THU1367" s="110"/>
      <c r="THV1367" s="110"/>
      <c r="THW1367" s="110"/>
      <c r="THX1367" s="110"/>
      <c r="THY1367" s="110"/>
      <c r="THZ1367" s="110"/>
      <c r="TIA1367" s="110"/>
      <c r="TIB1367" s="110"/>
      <c r="TIC1367" s="110"/>
      <c r="TID1367" s="110"/>
      <c r="TIE1367" s="110"/>
      <c r="TIF1367" s="110"/>
      <c r="TIG1367" s="110"/>
      <c r="TIH1367" s="110"/>
      <c r="TII1367" s="110"/>
      <c r="TIJ1367" s="110"/>
      <c r="TIK1367" s="110"/>
      <c r="TIL1367" s="110"/>
      <c r="TIM1367" s="110"/>
      <c r="TIN1367" s="110"/>
      <c r="TIO1367" s="110"/>
      <c r="TIP1367" s="110"/>
      <c r="TIQ1367" s="110"/>
      <c r="TIR1367" s="110"/>
      <c r="TIS1367" s="110"/>
      <c r="TIT1367" s="110"/>
      <c r="TIU1367" s="110"/>
      <c r="TIV1367" s="110"/>
      <c r="TIW1367" s="110"/>
      <c r="TIX1367" s="110"/>
      <c r="TIY1367" s="110"/>
      <c r="TIZ1367" s="110"/>
      <c r="TJA1367" s="110"/>
      <c r="TJB1367" s="110"/>
      <c r="TJC1367" s="110"/>
      <c r="TJD1367" s="110"/>
      <c r="TJE1367" s="110"/>
      <c r="TJF1367" s="110"/>
      <c r="TJG1367" s="110"/>
      <c r="TJH1367" s="110"/>
      <c r="TJI1367" s="110"/>
      <c r="TJJ1367" s="110"/>
      <c r="TJK1367" s="110"/>
      <c r="TJL1367" s="110"/>
      <c r="TJM1367" s="110"/>
      <c r="TJN1367" s="110"/>
      <c r="TJO1367" s="110"/>
      <c r="TJP1367" s="110"/>
      <c r="TJQ1367" s="110"/>
      <c r="TJR1367" s="110"/>
      <c r="TJS1367" s="110"/>
      <c r="TJT1367" s="110"/>
      <c r="TJU1367" s="110"/>
      <c r="TJV1367" s="110"/>
      <c r="TJW1367" s="110"/>
      <c r="TJX1367" s="110"/>
      <c r="TJY1367" s="110"/>
      <c r="TJZ1367" s="110"/>
      <c r="TKA1367" s="110"/>
      <c r="TKB1367" s="110"/>
      <c r="TKC1367" s="110"/>
      <c r="TKD1367" s="110"/>
      <c r="TKE1367" s="110"/>
      <c r="TKF1367" s="110"/>
      <c r="TKG1367" s="110"/>
      <c r="TKH1367" s="110"/>
      <c r="TKI1367" s="110"/>
      <c r="TKJ1367" s="110"/>
      <c r="TKK1367" s="110"/>
      <c r="TKL1367" s="110"/>
      <c r="TKM1367" s="110"/>
      <c r="TKN1367" s="110"/>
      <c r="TKO1367" s="110"/>
      <c r="TKP1367" s="110"/>
      <c r="TKQ1367" s="110"/>
      <c r="TKR1367" s="110"/>
      <c r="TKS1367" s="110"/>
      <c r="TKT1367" s="110"/>
      <c r="TKU1367" s="110"/>
      <c r="TKV1367" s="110"/>
      <c r="TKW1367" s="110"/>
      <c r="TKX1367" s="110"/>
      <c r="TKY1367" s="110"/>
      <c r="TKZ1367" s="110"/>
      <c r="TLA1367" s="110"/>
      <c r="TLB1367" s="110"/>
      <c r="TLC1367" s="110"/>
      <c r="TLD1367" s="110"/>
      <c r="TLE1367" s="110"/>
      <c r="TLF1367" s="110"/>
      <c r="TLG1367" s="110"/>
      <c r="TLH1367" s="110"/>
      <c r="TLI1367" s="110"/>
      <c r="TLJ1367" s="110"/>
      <c r="TLK1367" s="110"/>
      <c r="TLL1367" s="110"/>
      <c r="TLM1367" s="110"/>
      <c r="TLN1367" s="110"/>
      <c r="TLO1367" s="110"/>
      <c r="TLP1367" s="110"/>
      <c r="TLQ1367" s="110"/>
      <c r="TLR1367" s="110"/>
      <c r="TLS1367" s="110"/>
      <c r="TLT1367" s="110"/>
      <c r="TLU1367" s="110"/>
      <c r="TLV1367" s="110"/>
      <c r="TLW1367" s="110"/>
      <c r="TLX1367" s="110"/>
      <c r="TLY1367" s="110"/>
      <c r="TLZ1367" s="110"/>
      <c r="TMA1367" s="110"/>
      <c r="TMB1367" s="110"/>
      <c r="TMC1367" s="110"/>
      <c r="TMD1367" s="110"/>
      <c r="TME1367" s="110"/>
      <c r="TMF1367" s="110"/>
      <c r="TMG1367" s="110"/>
      <c r="TMH1367" s="110"/>
      <c r="TMI1367" s="110"/>
      <c r="TMJ1367" s="110"/>
      <c r="TMK1367" s="110"/>
      <c r="TML1367" s="110"/>
      <c r="TMM1367" s="110"/>
      <c r="TMN1367" s="110"/>
      <c r="TMO1367" s="110"/>
      <c r="TMP1367" s="110"/>
      <c r="TMQ1367" s="110"/>
      <c r="TMR1367" s="110"/>
      <c r="TMS1367" s="110"/>
      <c r="TMT1367" s="110"/>
      <c r="TMU1367" s="110"/>
      <c r="TMV1367" s="110"/>
      <c r="TMW1367" s="110"/>
      <c r="TMX1367" s="110"/>
      <c r="TMY1367" s="110"/>
      <c r="TMZ1367" s="110"/>
      <c r="TNA1367" s="110"/>
      <c r="TNB1367" s="110"/>
      <c r="TNC1367" s="110"/>
      <c r="TND1367" s="110"/>
      <c r="TNE1367" s="110"/>
      <c r="TNF1367" s="110"/>
      <c r="TNG1367" s="110"/>
      <c r="TNH1367" s="110"/>
      <c r="TNI1367" s="110"/>
      <c r="TNJ1367" s="110"/>
      <c r="TNK1367" s="110"/>
      <c r="TNL1367" s="110"/>
      <c r="TNM1367" s="110"/>
      <c r="TNN1367" s="110"/>
      <c r="TNO1367" s="110"/>
      <c r="TNP1367" s="110"/>
      <c r="TNQ1367" s="110"/>
      <c r="TNR1367" s="110"/>
      <c r="TNS1367" s="110"/>
      <c r="TNT1367" s="110"/>
      <c r="TNU1367" s="110"/>
      <c r="TNV1367" s="110"/>
      <c r="TNW1367" s="110"/>
      <c r="TNX1367" s="110"/>
      <c r="TNY1367" s="110"/>
      <c r="TNZ1367" s="110"/>
      <c r="TOA1367" s="110"/>
      <c r="TOB1367" s="110"/>
      <c r="TOC1367" s="110"/>
      <c r="TOD1367" s="110"/>
      <c r="TOE1367" s="110"/>
      <c r="TOF1367" s="110"/>
      <c r="TOG1367" s="110"/>
      <c r="TOH1367" s="110"/>
      <c r="TOI1367" s="110"/>
      <c r="TOJ1367" s="110"/>
      <c r="TOK1367" s="110"/>
      <c r="TOL1367" s="110"/>
      <c r="TOM1367" s="110"/>
      <c r="TON1367" s="110"/>
      <c r="TOO1367" s="110"/>
      <c r="TOP1367" s="110"/>
      <c r="TOQ1367" s="110"/>
      <c r="TOR1367" s="110"/>
      <c r="TOS1367" s="110"/>
      <c r="TOT1367" s="110"/>
      <c r="TOU1367" s="110"/>
      <c r="TOV1367" s="110"/>
      <c r="TOW1367" s="110"/>
      <c r="TOX1367" s="110"/>
      <c r="TOY1367" s="110"/>
      <c r="TOZ1367" s="110"/>
      <c r="TPA1367" s="110"/>
      <c r="TPB1367" s="110"/>
      <c r="TPC1367" s="110"/>
      <c r="TPD1367" s="110"/>
      <c r="TPE1367" s="110"/>
      <c r="TPF1367" s="110"/>
      <c r="TPG1367" s="110"/>
      <c r="TPH1367" s="110"/>
      <c r="TPI1367" s="110"/>
      <c r="TPJ1367" s="110"/>
      <c r="TPK1367" s="110"/>
      <c r="TPL1367" s="110"/>
      <c r="TPM1367" s="110"/>
      <c r="TPN1367" s="110"/>
      <c r="TPO1367" s="110"/>
      <c r="TPP1367" s="110"/>
      <c r="TPQ1367" s="110"/>
      <c r="TPR1367" s="110"/>
      <c r="TPS1367" s="110"/>
      <c r="TPT1367" s="110"/>
      <c r="TPU1367" s="110"/>
      <c r="TPV1367" s="110"/>
      <c r="TPW1367" s="110"/>
      <c r="TPX1367" s="110"/>
      <c r="TPY1367" s="110"/>
      <c r="TPZ1367" s="110"/>
      <c r="TQA1367" s="110"/>
      <c r="TQB1367" s="110"/>
      <c r="TQC1367" s="110"/>
      <c r="TQD1367" s="110"/>
      <c r="TQE1367" s="110"/>
      <c r="TQF1367" s="110"/>
      <c r="TQG1367" s="110"/>
      <c r="TQH1367" s="110"/>
      <c r="TQI1367" s="110"/>
      <c r="TQJ1367" s="110"/>
      <c r="TQK1367" s="110"/>
      <c r="TQL1367" s="110"/>
      <c r="TQM1367" s="110"/>
      <c r="TQN1367" s="110"/>
      <c r="TQO1367" s="110"/>
      <c r="TQP1367" s="110"/>
      <c r="TQQ1367" s="110"/>
      <c r="TQR1367" s="110"/>
      <c r="TQS1367" s="110"/>
      <c r="TQT1367" s="110"/>
      <c r="TQU1367" s="110"/>
      <c r="TQV1367" s="110"/>
      <c r="TQW1367" s="110"/>
      <c r="TQX1367" s="110"/>
      <c r="TQY1367" s="110"/>
      <c r="TQZ1367" s="110"/>
      <c r="TRA1367" s="110"/>
      <c r="TRB1367" s="110"/>
      <c r="TRC1367" s="110"/>
      <c r="TRD1367" s="110"/>
      <c r="TRE1367" s="110"/>
      <c r="TRF1367" s="110"/>
      <c r="TRG1367" s="110"/>
      <c r="TRH1367" s="110"/>
      <c r="TRI1367" s="110"/>
      <c r="TRJ1367" s="110"/>
      <c r="TRK1367" s="110"/>
      <c r="TRL1367" s="110"/>
      <c r="TRM1367" s="110"/>
      <c r="TRN1367" s="110"/>
      <c r="TRO1367" s="110"/>
      <c r="TRP1367" s="110"/>
      <c r="TRQ1367" s="110"/>
      <c r="TRR1367" s="110"/>
      <c r="TRS1367" s="110"/>
      <c r="TRT1367" s="110"/>
      <c r="TRU1367" s="110"/>
      <c r="TRV1367" s="110"/>
      <c r="TRW1367" s="110"/>
      <c r="TRX1367" s="110"/>
      <c r="TRY1367" s="110"/>
      <c r="TRZ1367" s="110"/>
      <c r="TSA1367" s="110"/>
      <c r="TSB1367" s="110"/>
      <c r="TSC1367" s="110"/>
      <c r="TSD1367" s="110"/>
      <c r="TSE1367" s="110"/>
      <c r="TSF1367" s="110"/>
      <c r="TSG1367" s="110"/>
      <c r="TSH1367" s="110"/>
      <c r="TSI1367" s="110"/>
      <c r="TSJ1367" s="110"/>
      <c r="TSK1367" s="110"/>
      <c r="TSL1367" s="110"/>
      <c r="TSM1367" s="110"/>
      <c r="TSN1367" s="110"/>
      <c r="TSO1367" s="110"/>
      <c r="TSP1367" s="110"/>
      <c r="TSQ1367" s="110"/>
      <c r="TSR1367" s="110"/>
      <c r="TSS1367" s="110"/>
      <c r="TST1367" s="110"/>
      <c r="TSU1367" s="110"/>
      <c r="TSV1367" s="110"/>
      <c r="TSW1367" s="110"/>
      <c r="TSX1367" s="110"/>
      <c r="TSY1367" s="110"/>
      <c r="TSZ1367" s="110"/>
      <c r="TTA1367" s="110"/>
      <c r="TTB1367" s="110"/>
      <c r="TTC1367" s="110"/>
      <c r="TTD1367" s="110"/>
      <c r="TTE1367" s="110"/>
      <c r="TTF1367" s="110"/>
      <c r="TTG1367" s="110"/>
      <c r="TTH1367" s="110"/>
      <c r="TTI1367" s="110"/>
      <c r="TTJ1367" s="110"/>
      <c r="TTK1367" s="110"/>
      <c r="TTL1367" s="110"/>
      <c r="TTM1367" s="110"/>
      <c r="TTN1367" s="110"/>
      <c r="TTO1367" s="110"/>
      <c r="TTP1367" s="110"/>
      <c r="TTQ1367" s="110"/>
      <c r="TTR1367" s="110"/>
      <c r="TTS1367" s="110"/>
      <c r="TTT1367" s="110"/>
      <c r="TTU1367" s="110"/>
      <c r="TTV1367" s="110"/>
      <c r="TTW1367" s="110"/>
      <c r="TTX1367" s="110"/>
      <c r="TTY1367" s="110"/>
      <c r="TTZ1367" s="110"/>
      <c r="TUA1367" s="110"/>
      <c r="TUB1367" s="110"/>
      <c r="TUC1367" s="110"/>
      <c r="TUD1367" s="110"/>
      <c r="TUE1367" s="110"/>
      <c r="TUF1367" s="110"/>
      <c r="TUG1367" s="110"/>
      <c r="TUH1367" s="110"/>
      <c r="TUI1367" s="110"/>
      <c r="TUJ1367" s="110"/>
      <c r="TUK1367" s="110"/>
      <c r="TUL1367" s="110"/>
      <c r="TUM1367" s="110"/>
      <c r="TUN1367" s="110"/>
      <c r="TUO1367" s="110"/>
      <c r="TUP1367" s="110"/>
      <c r="TUQ1367" s="110"/>
      <c r="TUR1367" s="110"/>
      <c r="TUS1367" s="110"/>
      <c r="TUT1367" s="110"/>
      <c r="TUU1367" s="110"/>
      <c r="TUV1367" s="110"/>
      <c r="TUW1367" s="110"/>
      <c r="TUX1367" s="110"/>
      <c r="TUY1367" s="110"/>
      <c r="TUZ1367" s="110"/>
      <c r="TVA1367" s="110"/>
      <c r="TVB1367" s="110"/>
      <c r="TVC1367" s="110"/>
      <c r="TVD1367" s="110"/>
      <c r="TVE1367" s="110"/>
      <c r="TVF1367" s="110"/>
      <c r="TVG1367" s="110"/>
      <c r="TVH1367" s="110"/>
      <c r="TVI1367" s="110"/>
      <c r="TVJ1367" s="110"/>
      <c r="TVK1367" s="110"/>
      <c r="TVL1367" s="110"/>
      <c r="TVM1367" s="110"/>
      <c r="TVN1367" s="110"/>
      <c r="TVO1367" s="110"/>
      <c r="TVP1367" s="110"/>
      <c r="TVQ1367" s="110"/>
      <c r="TVR1367" s="110"/>
      <c r="TVS1367" s="110"/>
      <c r="TVT1367" s="110"/>
      <c r="TVU1367" s="110"/>
      <c r="TVV1367" s="110"/>
      <c r="TVW1367" s="110"/>
      <c r="TVX1367" s="110"/>
      <c r="TVY1367" s="110"/>
      <c r="TVZ1367" s="110"/>
      <c r="TWA1367" s="110"/>
      <c r="TWB1367" s="110"/>
      <c r="TWC1367" s="110"/>
      <c r="TWD1367" s="110"/>
      <c r="TWE1367" s="110"/>
      <c r="TWF1367" s="110"/>
      <c r="TWG1367" s="110"/>
      <c r="TWH1367" s="110"/>
      <c r="TWI1367" s="110"/>
      <c r="TWJ1367" s="110"/>
      <c r="TWK1367" s="110"/>
      <c r="TWL1367" s="110"/>
      <c r="TWM1367" s="110"/>
      <c r="TWN1367" s="110"/>
      <c r="TWO1367" s="110"/>
      <c r="TWP1367" s="110"/>
      <c r="TWQ1367" s="110"/>
      <c r="TWR1367" s="110"/>
      <c r="TWS1367" s="110"/>
      <c r="TWT1367" s="110"/>
      <c r="TWU1367" s="110"/>
      <c r="TWV1367" s="110"/>
      <c r="TWW1367" s="110"/>
      <c r="TWX1367" s="110"/>
      <c r="TWY1367" s="110"/>
      <c r="TWZ1367" s="110"/>
      <c r="TXA1367" s="110"/>
      <c r="TXB1367" s="110"/>
      <c r="TXC1367" s="110"/>
      <c r="TXD1367" s="110"/>
      <c r="TXE1367" s="110"/>
      <c r="TXF1367" s="110"/>
      <c r="TXG1367" s="110"/>
      <c r="TXH1367" s="110"/>
      <c r="TXI1367" s="110"/>
      <c r="TXJ1367" s="110"/>
      <c r="TXK1367" s="110"/>
      <c r="TXL1367" s="110"/>
      <c r="TXM1367" s="110"/>
      <c r="TXN1367" s="110"/>
      <c r="TXO1367" s="110"/>
      <c r="TXP1367" s="110"/>
      <c r="TXQ1367" s="110"/>
      <c r="TXR1367" s="110"/>
      <c r="TXS1367" s="110"/>
      <c r="TXT1367" s="110"/>
      <c r="TXU1367" s="110"/>
      <c r="TXV1367" s="110"/>
      <c r="TXW1367" s="110"/>
      <c r="TXX1367" s="110"/>
      <c r="TXY1367" s="110"/>
      <c r="TXZ1367" s="110"/>
      <c r="TYA1367" s="110"/>
      <c r="TYB1367" s="110"/>
      <c r="TYC1367" s="110"/>
      <c r="TYD1367" s="110"/>
      <c r="TYE1367" s="110"/>
      <c r="TYF1367" s="110"/>
      <c r="TYG1367" s="110"/>
      <c r="TYH1367" s="110"/>
      <c r="TYI1367" s="110"/>
      <c r="TYJ1367" s="110"/>
      <c r="TYK1367" s="110"/>
      <c r="TYL1367" s="110"/>
      <c r="TYM1367" s="110"/>
      <c r="TYN1367" s="110"/>
      <c r="TYO1367" s="110"/>
      <c r="TYP1367" s="110"/>
      <c r="TYQ1367" s="110"/>
      <c r="TYR1367" s="110"/>
      <c r="TYS1367" s="110"/>
      <c r="TYT1367" s="110"/>
      <c r="TYU1367" s="110"/>
      <c r="TYV1367" s="110"/>
      <c r="TYW1367" s="110"/>
      <c r="TYX1367" s="110"/>
      <c r="TYY1367" s="110"/>
      <c r="TYZ1367" s="110"/>
      <c r="TZA1367" s="110"/>
      <c r="TZB1367" s="110"/>
      <c r="TZC1367" s="110"/>
      <c r="TZD1367" s="110"/>
      <c r="TZE1367" s="110"/>
      <c r="TZF1367" s="110"/>
      <c r="TZG1367" s="110"/>
      <c r="TZH1367" s="110"/>
      <c r="TZI1367" s="110"/>
      <c r="TZJ1367" s="110"/>
      <c r="TZK1367" s="110"/>
      <c r="TZL1367" s="110"/>
      <c r="TZM1367" s="110"/>
      <c r="TZN1367" s="110"/>
      <c r="TZO1367" s="110"/>
      <c r="TZP1367" s="110"/>
      <c r="TZQ1367" s="110"/>
      <c r="TZR1367" s="110"/>
      <c r="TZS1367" s="110"/>
      <c r="TZT1367" s="110"/>
      <c r="TZU1367" s="110"/>
      <c r="TZV1367" s="110"/>
      <c r="TZW1367" s="110"/>
      <c r="TZX1367" s="110"/>
      <c r="TZY1367" s="110"/>
      <c r="TZZ1367" s="110"/>
      <c r="UAA1367" s="110"/>
      <c r="UAB1367" s="110"/>
      <c r="UAC1367" s="110"/>
      <c r="UAD1367" s="110"/>
      <c r="UAE1367" s="110"/>
      <c r="UAF1367" s="110"/>
      <c r="UAG1367" s="110"/>
      <c r="UAH1367" s="110"/>
      <c r="UAI1367" s="110"/>
      <c r="UAJ1367" s="110"/>
      <c r="UAK1367" s="110"/>
      <c r="UAL1367" s="110"/>
      <c r="UAM1367" s="110"/>
      <c r="UAN1367" s="110"/>
      <c r="UAO1367" s="110"/>
      <c r="UAP1367" s="110"/>
      <c r="UAQ1367" s="110"/>
      <c r="UAR1367" s="110"/>
      <c r="UAS1367" s="110"/>
      <c r="UAT1367" s="110"/>
      <c r="UAU1367" s="110"/>
      <c r="UAV1367" s="110"/>
      <c r="UAW1367" s="110"/>
      <c r="UAX1367" s="110"/>
      <c r="UAY1367" s="110"/>
      <c r="UAZ1367" s="110"/>
      <c r="UBA1367" s="110"/>
      <c r="UBB1367" s="110"/>
      <c r="UBC1367" s="110"/>
      <c r="UBD1367" s="110"/>
      <c r="UBE1367" s="110"/>
      <c r="UBF1367" s="110"/>
      <c r="UBG1367" s="110"/>
      <c r="UBH1367" s="110"/>
      <c r="UBI1367" s="110"/>
      <c r="UBJ1367" s="110"/>
      <c r="UBK1367" s="110"/>
      <c r="UBL1367" s="110"/>
      <c r="UBM1367" s="110"/>
      <c r="UBN1367" s="110"/>
      <c r="UBO1367" s="110"/>
      <c r="UBP1367" s="110"/>
      <c r="UBQ1367" s="110"/>
      <c r="UBR1367" s="110"/>
      <c r="UBS1367" s="110"/>
      <c r="UBT1367" s="110"/>
      <c r="UBU1367" s="110"/>
      <c r="UBV1367" s="110"/>
      <c r="UBW1367" s="110"/>
      <c r="UBX1367" s="110"/>
      <c r="UBY1367" s="110"/>
      <c r="UBZ1367" s="110"/>
      <c r="UCA1367" s="110"/>
      <c r="UCB1367" s="110"/>
      <c r="UCC1367" s="110"/>
      <c r="UCD1367" s="110"/>
      <c r="UCE1367" s="110"/>
      <c r="UCF1367" s="110"/>
      <c r="UCG1367" s="110"/>
      <c r="UCH1367" s="110"/>
      <c r="UCI1367" s="110"/>
      <c r="UCJ1367" s="110"/>
      <c r="UCK1367" s="110"/>
      <c r="UCL1367" s="110"/>
      <c r="UCM1367" s="110"/>
      <c r="UCN1367" s="110"/>
      <c r="UCO1367" s="110"/>
      <c r="UCP1367" s="110"/>
      <c r="UCQ1367" s="110"/>
      <c r="UCR1367" s="110"/>
      <c r="UCS1367" s="110"/>
      <c r="UCT1367" s="110"/>
      <c r="UCU1367" s="110"/>
      <c r="UCV1367" s="110"/>
      <c r="UCW1367" s="110"/>
      <c r="UCX1367" s="110"/>
      <c r="UCY1367" s="110"/>
      <c r="UCZ1367" s="110"/>
      <c r="UDA1367" s="110"/>
      <c r="UDB1367" s="110"/>
      <c r="UDC1367" s="110"/>
      <c r="UDD1367" s="110"/>
      <c r="UDE1367" s="110"/>
      <c r="UDF1367" s="110"/>
      <c r="UDG1367" s="110"/>
      <c r="UDH1367" s="110"/>
      <c r="UDI1367" s="110"/>
      <c r="UDJ1367" s="110"/>
      <c r="UDK1367" s="110"/>
      <c r="UDL1367" s="110"/>
      <c r="UDM1367" s="110"/>
      <c r="UDN1367" s="110"/>
      <c r="UDO1367" s="110"/>
      <c r="UDP1367" s="110"/>
      <c r="UDQ1367" s="110"/>
      <c r="UDR1367" s="110"/>
      <c r="UDS1367" s="110"/>
      <c r="UDT1367" s="110"/>
      <c r="UDU1367" s="110"/>
      <c r="UDV1367" s="110"/>
      <c r="UDW1367" s="110"/>
      <c r="UDX1367" s="110"/>
      <c r="UDY1367" s="110"/>
      <c r="UDZ1367" s="110"/>
      <c r="UEA1367" s="110"/>
      <c r="UEB1367" s="110"/>
      <c r="UEC1367" s="110"/>
      <c r="UED1367" s="110"/>
      <c r="UEE1367" s="110"/>
      <c r="UEF1367" s="110"/>
      <c r="UEG1367" s="110"/>
      <c r="UEH1367" s="110"/>
      <c r="UEI1367" s="110"/>
      <c r="UEJ1367" s="110"/>
      <c r="UEK1367" s="110"/>
      <c r="UEL1367" s="110"/>
      <c r="UEM1367" s="110"/>
      <c r="UEN1367" s="110"/>
      <c r="UEO1367" s="110"/>
      <c r="UEP1367" s="110"/>
      <c r="UEQ1367" s="110"/>
      <c r="UER1367" s="110"/>
      <c r="UES1367" s="110"/>
      <c r="UET1367" s="110"/>
      <c r="UEU1367" s="110"/>
      <c r="UEV1367" s="110"/>
      <c r="UEW1367" s="110"/>
      <c r="UEX1367" s="110"/>
      <c r="UEY1367" s="110"/>
      <c r="UEZ1367" s="110"/>
      <c r="UFA1367" s="110"/>
      <c r="UFB1367" s="110"/>
      <c r="UFC1367" s="110"/>
      <c r="UFD1367" s="110"/>
      <c r="UFE1367" s="110"/>
      <c r="UFF1367" s="110"/>
      <c r="UFG1367" s="110"/>
      <c r="UFH1367" s="110"/>
      <c r="UFI1367" s="110"/>
      <c r="UFJ1367" s="110"/>
      <c r="UFK1367" s="110"/>
      <c r="UFL1367" s="110"/>
      <c r="UFM1367" s="110"/>
      <c r="UFN1367" s="110"/>
      <c r="UFO1367" s="110"/>
      <c r="UFP1367" s="110"/>
      <c r="UFQ1367" s="110"/>
      <c r="UFR1367" s="110"/>
      <c r="UFS1367" s="110"/>
      <c r="UFT1367" s="110"/>
      <c r="UFU1367" s="110"/>
      <c r="UFV1367" s="110"/>
      <c r="UFW1367" s="110"/>
      <c r="UFX1367" s="110"/>
      <c r="UFY1367" s="110"/>
      <c r="UFZ1367" s="110"/>
      <c r="UGA1367" s="110"/>
      <c r="UGB1367" s="110"/>
      <c r="UGC1367" s="110"/>
      <c r="UGD1367" s="110"/>
      <c r="UGE1367" s="110"/>
      <c r="UGF1367" s="110"/>
      <c r="UGG1367" s="110"/>
      <c r="UGH1367" s="110"/>
      <c r="UGI1367" s="110"/>
      <c r="UGJ1367" s="110"/>
      <c r="UGK1367" s="110"/>
      <c r="UGL1367" s="110"/>
      <c r="UGM1367" s="110"/>
      <c r="UGN1367" s="110"/>
      <c r="UGO1367" s="110"/>
      <c r="UGP1367" s="110"/>
      <c r="UGQ1367" s="110"/>
      <c r="UGR1367" s="110"/>
      <c r="UGS1367" s="110"/>
      <c r="UGT1367" s="110"/>
      <c r="UGU1367" s="110"/>
      <c r="UGV1367" s="110"/>
      <c r="UGW1367" s="110"/>
      <c r="UGX1367" s="110"/>
      <c r="UGY1367" s="110"/>
      <c r="UGZ1367" s="110"/>
      <c r="UHA1367" s="110"/>
      <c r="UHB1367" s="110"/>
      <c r="UHC1367" s="110"/>
      <c r="UHD1367" s="110"/>
      <c r="UHE1367" s="110"/>
      <c r="UHF1367" s="110"/>
      <c r="UHG1367" s="110"/>
      <c r="UHH1367" s="110"/>
      <c r="UHI1367" s="110"/>
      <c r="UHJ1367" s="110"/>
      <c r="UHK1367" s="110"/>
      <c r="UHL1367" s="110"/>
      <c r="UHM1367" s="110"/>
      <c r="UHN1367" s="110"/>
      <c r="UHO1367" s="110"/>
      <c r="UHP1367" s="110"/>
      <c r="UHQ1367" s="110"/>
      <c r="UHR1367" s="110"/>
      <c r="UHS1367" s="110"/>
      <c r="UHT1367" s="110"/>
      <c r="UHU1367" s="110"/>
      <c r="UHV1367" s="110"/>
      <c r="UHW1367" s="110"/>
      <c r="UHX1367" s="110"/>
      <c r="UHY1367" s="110"/>
      <c r="UHZ1367" s="110"/>
      <c r="UIA1367" s="110"/>
      <c r="UIB1367" s="110"/>
      <c r="UIC1367" s="110"/>
      <c r="UID1367" s="110"/>
      <c r="UIE1367" s="110"/>
      <c r="UIF1367" s="110"/>
      <c r="UIG1367" s="110"/>
      <c r="UIH1367" s="110"/>
      <c r="UII1367" s="110"/>
      <c r="UIJ1367" s="110"/>
      <c r="UIK1367" s="110"/>
      <c r="UIL1367" s="110"/>
      <c r="UIM1367" s="110"/>
      <c r="UIN1367" s="110"/>
      <c r="UIO1367" s="110"/>
      <c r="UIP1367" s="110"/>
      <c r="UIQ1367" s="110"/>
      <c r="UIR1367" s="110"/>
      <c r="UIS1367" s="110"/>
      <c r="UIT1367" s="110"/>
      <c r="UIU1367" s="110"/>
      <c r="UIV1367" s="110"/>
      <c r="UIW1367" s="110"/>
      <c r="UIX1367" s="110"/>
      <c r="UIY1367" s="110"/>
      <c r="UIZ1367" s="110"/>
      <c r="UJA1367" s="110"/>
      <c r="UJB1367" s="110"/>
      <c r="UJC1367" s="110"/>
      <c r="UJD1367" s="110"/>
      <c r="UJE1367" s="110"/>
      <c r="UJF1367" s="110"/>
      <c r="UJG1367" s="110"/>
      <c r="UJH1367" s="110"/>
      <c r="UJI1367" s="110"/>
      <c r="UJJ1367" s="110"/>
      <c r="UJK1367" s="110"/>
      <c r="UJL1367" s="110"/>
      <c r="UJM1367" s="110"/>
      <c r="UJN1367" s="110"/>
      <c r="UJO1367" s="110"/>
      <c r="UJP1367" s="110"/>
      <c r="UJQ1367" s="110"/>
      <c r="UJR1367" s="110"/>
      <c r="UJS1367" s="110"/>
      <c r="UJT1367" s="110"/>
      <c r="UJU1367" s="110"/>
      <c r="UJV1367" s="110"/>
      <c r="UJW1367" s="110"/>
      <c r="UJX1367" s="110"/>
      <c r="UJY1367" s="110"/>
      <c r="UJZ1367" s="110"/>
      <c r="UKA1367" s="110"/>
      <c r="UKB1367" s="110"/>
      <c r="UKC1367" s="110"/>
      <c r="UKD1367" s="110"/>
      <c r="UKE1367" s="110"/>
      <c r="UKF1367" s="110"/>
      <c r="UKG1367" s="110"/>
      <c r="UKH1367" s="110"/>
      <c r="UKI1367" s="110"/>
      <c r="UKJ1367" s="110"/>
      <c r="UKK1367" s="110"/>
      <c r="UKL1367" s="110"/>
      <c r="UKM1367" s="110"/>
      <c r="UKN1367" s="110"/>
      <c r="UKO1367" s="110"/>
      <c r="UKP1367" s="110"/>
      <c r="UKQ1367" s="110"/>
      <c r="UKR1367" s="110"/>
      <c r="UKS1367" s="110"/>
      <c r="UKT1367" s="110"/>
      <c r="UKU1367" s="110"/>
      <c r="UKV1367" s="110"/>
      <c r="UKW1367" s="110"/>
      <c r="UKX1367" s="110"/>
      <c r="UKY1367" s="110"/>
      <c r="UKZ1367" s="110"/>
      <c r="ULA1367" s="110"/>
      <c r="ULB1367" s="110"/>
      <c r="ULC1367" s="110"/>
      <c r="ULD1367" s="110"/>
      <c r="ULE1367" s="110"/>
      <c r="ULF1367" s="110"/>
      <c r="ULG1367" s="110"/>
      <c r="ULH1367" s="110"/>
      <c r="ULI1367" s="110"/>
      <c r="ULJ1367" s="110"/>
      <c r="ULK1367" s="110"/>
      <c r="ULL1367" s="110"/>
      <c r="ULM1367" s="110"/>
      <c r="ULN1367" s="110"/>
      <c r="ULO1367" s="110"/>
      <c r="ULP1367" s="110"/>
      <c r="ULQ1367" s="110"/>
      <c r="ULR1367" s="110"/>
      <c r="ULS1367" s="110"/>
      <c r="ULT1367" s="110"/>
      <c r="ULU1367" s="110"/>
      <c r="ULV1367" s="110"/>
      <c r="ULW1367" s="110"/>
      <c r="ULX1367" s="110"/>
      <c r="ULY1367" s="110"/>
      <c r="ULZ1367" s="110"/>
      <c r="UMA1367" s="110"/>
      <c r="UMB1367" s="110"/>
      <c r="UMC1367" s="110"/>
      <c r="UMD1367" s="110"/>
      <c r="UME1367" s="110"/>
      <c r="UMF1367" s="110"/>
      <c r="UMG1367" s="110"/>
      <c r="UMH1367" s="110"/>
      <c r="UMI1367" s="110"/>
      <c r="UMJ1367" s="110"/>
      <c r="UMK1367" s="110"/>
      <c r="UML1367" s="110"/>
      <c r="UMM1367" s="110"/>
      <c r="UMN1367" s="110"/>
      <c r="UMO1367" s="110"/>
      <c r="UMP1367" s="110"/>
      <c r="UMQ1367" s="110"/>
      <c r="UMR1367" s="110"/>
      <c r="UMS1367" s="110"/>
      <c r="UMT1367" s="110"/>
      <c r="UMU1367" s="110"/>
      <c r="UMV1367" s="110"/>
      <c r="UMW1367" s="110"/>
      <c r="UMX1367" s="110"/>
      <c r="UMY1367" s="110"/>
      <c r="UMZ1367" s="110"/>
      <c r="UNA1367" s="110"/>
      <c r="UNB1367" s="110"/>
      <c r="UNC1367" s="110"/>
      <c r="UND1367" s="110"/>
      <c r="UNE1367" s="110"/>
      <c r="UNF1367" s="110"/>
      <c r="UNG1367" s="110"/>
      <c r="UNH1367" s="110"/>
      <c r="UNI1367" s="110"/>
      <c r="UNJ1367" s="110"/>
      <c r="UNK1367" s="110"/>
      <c r="UNL1367" s="110"/>
      <c r="UNM1367" s="110"/>
      <c r="UNN1367" s="110"/>
      <c r="UNO1367" s="110"/>
      <c r="UNP1367" s="110"/>
      <c r="UNQ1367" s="110"/>
      <c r="UNR1367" s="110"/>
      <c r="UNS1367" s="110"/>
      <c r="UNT1367" s="110"/>
      <c r="UNU1367" s="110"/>
      <c r="UNV1367" s="110"/>
      <c r="UNW1367" s="110"/>
      <c r="UNX1367" s="110"/>
      <c r="UNY1367" s="110"/>
      <c r="UNZ1367" s="110"/>
      <c r="UOA1367" s="110"/>
      <c r="UOB1367" s="110"/>
      <c r="UOC1367" s="110"/>
      <c r="UOD1367" s="110"/>
      <c r="UOE1367" s="110"/>
      <c r="UOF1367" s="110"/>
      <c r="UOG1367" s="110"/>
      <c r="UOH1367" s="110"/>
      <c r="UOI1367" s="110"/>
      <c r="UOJ1367" s="110"/>
      <c r="UOK1367" s="110"/>
      <c r="UOL1367" s="110"/>
      <c r="UOM1367" s="110"/>
      <c r="UON1367" s="110"/>
      <c r="UOO1367" s="110"/>
      <c r="UOP1367" s="110"/>
      <c r="UOQ1367" s="110"/>
      <c r="UOR1367" s="110"/>
      <c r="UOS1367" s="110"/>
      <c r="UOT1367" s="110"/>
      <c r="UOU1367" s="110"/>
      <c r="UOV1367" s="110"/>
      <c r="UOW1367" s="110"/>
      <c r="UOX1367" s="110"/>
      <c r="UOY1367" s="110"/>
      <c r="UOZ1367" s="110"/>
      <c r="UPA1367" s="110"/>
      <c r="UPB1367" s="110"/>
      <c r="UPC1367" s="110"/>
      <c r="UPD1367" s="110"/>
      <c r="UPE1367" s="110"/>
      <c r="UPF1367" s="110"/>
      <c r="UPG1367" s="110"/>
      <c r="UPH1367" s="110"/>
      <c r="UPI1367" s="110"/>
      <c r="UPJ1367" s="110"/>
      <c r="UPK1367" s="110"/>
      <c r="UPL1367" s="110"/>
      <c r="UPM1367" s="110"/>
      <c r="UPN1367" s="110"/>
      <c r="UPO1367" s="110"/>
      <c r="UPP1367" s="110"/>
      <c r="UPQ1367" s="110"/>
      <c r="UPR1367" s="110"/>
      <c r="UPS1367" s="110"/>
      <c r="UPT1367" s="110"/>
      <c r="UPU1367" s="110"/>
      <c r="UPV1367" s="110"/>
      <c r="UPW1367" s="110"/>
      <c r="UPX1367" s="110"/>
      <c r="UPY1367" s="110"/>
      <c r="UPZ1367" s="110"/>
      <c r="UQA1367" s="110"/>
      <c r="UQB1367" s="110"/>
      <c r="UQC1367" s="110"/>
      <c r="UQD1367" s="110"/>
      <c r="UQE1367" s="110"/>
      <c r="UQF1367" s="110"/>
      <c r="UQG1367" s="110"/>
      <c r="UQH1367" s="110"/>
      <c r="UQI1367" s="110"/>
      <c r="UQJ1367" s="110"/>
      <c r="UQK1367" s="110"/>
      <c r="UQL1367" s="110"/>
      <c r="UQM1367" s="110"/>
      <c r="UQN1367" s="110"/>
      <c r="UQO1367" s="110"/>
      <c r="UQP1367" s="110"/>
      <c r="UQQ1367" s="110"/>
      <c r="UQR1367" s="110"/>
      <c r="UQS1367" s="110"/>
      <c r="UQT1367" s="110"/>
      <c r="UQU1367" s="110"/>
      <c r="UQV1367" s="110"/>
      <c r="UQW1367" s="110"/>
      <c r="UQX1367" s="110"/>
      <c r="UQY1367" s="110"/>
      <c r="UQZ1367" s="110"/>
      <c r="URA1367" s="110"/>
      <c r="URB1367" s="110"/>
      <c r="URC1367" s="110"/>
      <c r="URD1367" s="110"/>
      <c r="URE1367" s="110"/>
      <c r="URF1367" s="110"/>
      <c r="URG1367" s="110"/>
      <c r="URH1367" s="110"/>
      <c r="URI1367" s="110"/>
      <c r="URJ1367" s="110"/>
      <c r="URK1367" s="110"/>
      <c r="URL1367" s="110"/>
      <c r="URM1367" s="110"/>
      <c r="URN1367" s="110"/>
      <c r="URO1367" s="110"/>
      <c r="URP1367" s="110"/>
      <c r="URQ1367" s="110"/>
      <c r="URR1367" s="110"/>
      <c r="URS1367" s="110"/>
      <c r="URT1367" s="110"/>
      <c r="URU1367" s="110"/>
      <c r="URV1367" s="110"/>
      <c r="URW1367" s="110"/>
      <c r="URX1367" s="110"/>
      <c r="URY1367" s="110"/>
      <c r="URZ1367" s="110"/>
      <c r="USA1367" s="110"/>
      <c r="USB1367" s="110"/>
      <c r="USC1367" s="110"/>
      <c r="USD1367" s="110"/>
      <c r="USE1367" s="110"/>
      <c r="USF1367" s="110"/>
      <c r="USG1367" s="110"/>
      <c r="USH1367" s="110"/>
      <c r="USI1367" s="110"/>
      <c r="USJ1367" s="110"/>
      <c r="USK1367" s="110"/>
      <c r="USL1367" s="110"/>
      <c r="USM1367" s="110"/>
      <c r="USN1367" s="110"/>
      <c r="USO1367" s="110"/>
      <c r="USP1367" s="110"/>
      <c r="USQ1367" s="110"/>
      <c r="USR1367" s="110"/>
      <c r="USS1367" s="110"/>
      <c r="UST1367" s="110"/>
      <c r="USU1367" s="110"/>
      <c r="USV1367" s="110"/>
      <c r="USW1367" s="110"/>
      <c r="USX1367" s="110"/>
      <c r="USY1367" s="110"/>
      <c r="USZ1367" s="110"/>
      <c r="UTA1367" s="110"/>
      <c r="UTB1367" s="110"/>
      <c r="UTC1367" s="110"/>
      <c r="UTD1367" s="110"/>
      <c r="UTE1367" s="110"/>
      <c r="UTF1367" s="110"/>
      <c r="UTG1367" s="110"/>
      <c r="UTH1367" s="110"/>
      <c r="UTI1367" s="110"/>
      <c r="UTJ1367" s="110"/>
      <c r="UTK1367" s="110"/>
      <c r="UTL1367" s="110"/>
      <c r="UTM1367" s="110"/>
      <c r="UTN1367" s="110"/>
      <c r="UTO1367" s="110"/>
      <c r="UTP1367" s="110"/>
      <c r="UTQ1367" s="110"/>
      <c r="UTR1367" s="110"/>
      <c r="UTS1367" s="110"/>
      <c r="UTT1367" s="110"/>
      <c r="UTU1367" s="110"/>
      <c r="UTV1367" s="110"/>
      <c r="UTW1367" s="110"/>
      <c r="UTX1367" s="110"/>
      <c r="UTY1367" s="110"/>
      <c r="UTZ1367" s="110"/>
      <c r="UUA1367" s="110"/>
      <c r="UUB1367" s="110"/>
      <c r="UUC1367" s="110"/>
      <c r="UUD1367" s="110"/>
      <c r="UUE1367" s="110"/>
      <c r="UUF1367" s="110"/>
      <c r="UUG1367" s="110"/>
      <c r="UUH1367" s="110"/>
      <c r="UUI1367" s="110"/>
      <c r="UUJ1367" s="110"/>
      <c r="UUK1367" s="110"/>
      <c r="UUL1367" s="110"/>
      <c r="UUM1367" s="110"/>
      <c r="UUN1367" s="110"/>
      <c r="UUO1367" s="110"/>
      <c r="UUP1367" s="110"/>
      <c r="UUQ1367" s="110"/>
      <c r="UUR1367" s="110"/>
      <c r="UUS1367" s="110"/>
      <c r="UUT1367" s="110"/>
      <c r="UUU1367" s="110"/>
      <c r="UUV1367" s="110"/>
      <c r="UUW1367" s="110"/>
      <c r="UUX1367" s="110"/>
      <c r="UUY1367" s="110"/>
      <c r="UUZ1367" s="110"/>
      <c r="UVA1367" s="110"/>
      <c r="UVB1367" s="110"/>
      <c r="UVC1367" s="110"/>
      <c r="UVD1367" s="110"/>
      <c r="UVE1367" s="110"/>
      <c r="UVF1367" s="110"/>
      <c r="UVG1367" s="110"/>
      <c r="UVH1367" s="110"/>
      <c r="UVI1367" s="110"/>
      <c r="UVJ1367" s="110"/>
      <c r="UVK1367" s="110"/>
      <c r="UVL1367" s="110"/>
      <c r="UVM1367" s="110"/>
      <c r="UVN1367" s="110"/>
      <c r="UVO1367" s="110"/>
      <c r="UVP1367" s="110"/>
      <c r="UVQ1367" s="110"/>
      <c r="UVR1367" s="110"/>
      <c r="UVS1367" s="110"/>
      <c r="UVT1367" s="110"/>
      <c r="UVU1367" s="110"/>
      <c r="UVV1367" s="110"/>
      <c r="UVW1367" s="110"/>
      <c r="UVX1367" s="110"/>
      <c r="UVY1367" s="110"/>
      <c r="UVZ1367" s="110"/>
      <c r="UWA1367" s="110"/>
      <c r="UWB1367" s="110"/>
      <c r="UWC1367" s="110"/>
      <c r="UWD1367" s="110"/>
      <c r="UWE1367" s="110"/>
      <c r="UWF1367" s="110"/>
      <c r="UWG1367" s="110"/>
      <c r="UWH1367" s="110"/>
      <c r="UWI1367" s="110"/>
      <c r="UWJ1367" s="110"/>
      <c r="UWK1367" s="110"/>
      <c r="UWL1367" s="110"/>
      <c r="UWM1367" s="110"/>
      <c r="UWN1367" s="110"/>
      <c r="UWO1367" s="110"/>
      <c r="UWP1367" s="110"/>
      <c r="UWQ1367" s="110"/>
      <c r="UWR1367" s="110"/>
      <c r="UWS1367" s="110"/>
      <c r="UWT1367" s="110"/>
      <c r="UWU1367" s="110"/>
      <c r="UWV1367" s="110"/>
      <c r="UWW1367" s="110"/>
      <c r="UWX1367" s="110"/>
      <c r="UWY1367" s="110"/>
      <c r="UWZ1367" s="110"/>
      <c r="UXA1367" s="110"/>
      <c r="UXB1367" s="110"/>
      <c r="UXC1367" s="110"/>
      <c r="UXD1367" s="110"/>
      <c r="UXE1367" s="110"/>
      <c r="UXF1367" s="110"/>
      <c r="UXG1367" s="110"/>
      <c r="UXH1367" s="110"/>
      <c r="UXI1367" s="110"/>
      <c r="UXJ1367" s="110"/>
      <c r="UXK1367" s="110"/>
      <c r="UXL1367" s="110"/>
      <c r="UXM1367" s="110"/>
      <c r="UXN1367" s="110"/>
      <c r="UXO1367" s="110"/>
      <c r="UXP1367" s="110"/>
      <c r="UXQ1367" s="110"/>
      <c r="UXR1367" s="110"/>
      <c r="UXS1367" s="110"/>
      <c r="UXT1367" s="110"/>
      <c r="UXU1367" s="110"/>
      <c r="UXV1367" s="110"/>
      <c r="UXW1367" s="110"/>
      <c r="UXX1367" s="110"/>
      <c r="UXY1367" s="110"/>
      <c r="UXZ1367" s="110"/>
      <c r="UYA1367" s="110"/>
      <c r="UYB1367" s="110"/>
      <c r="UYC1367" s="110"/>
      <c r="UYD1367" s="110"/>
      <c r="UYE1367" s="110"/>
      <c r="UYF1367" s="110"/>
      <c r="UYG1367" s="110"/>
      <c r="UYH1367" s="110"/>
      <c r="UYI1367" s="110"/>
      <c r="UYJ1367" s="110"/>
      <c r="UYK1367" s="110"/>
      <c r="UYL1367" s="110"/>
      <c r="UYM1367" s="110"/>
      <c r="UYN1367" s="110"/>
      <c r="UYO1367" s="110"/>
      <c r="UYP1367" s="110"/>
      <c r="UYQ1367" s="110"/>
      <c r="UYR1367" s="110"/>
      <c r="UYS1367" s="110"/>
      <c r="UYT1367" s="110"/>
      <c r="UYU1367" s="110"/>
      <c r="UYV1367" s="110"/>
      <c r="UYW1367" s="110"/>
      <c r="UYX1367" s="110"/>
      <c r="UYY1367" s="110"/>
      <c r="UYZ1367" s="110"/>
      <c r="UZA1367" s="110"/>
      <c r="UZB1367" s="110"/>
      <c r="UZC1367" s="110"/>
      <c r="UZD1367" s="110"/>
      <c r="UZE1367" s="110"/>
      <c r="UZF1367" s="110"/>
      <c r="UZG1367" s="110"/>
      <c r="UZH1367" s="110"/>
      <c r="UZI1367" s="110"/>
      <c r="UZJ1367" s="110"/>
      <c r="UZK1367" s="110"/>
      <c r="UZL1367" s="110"/>
      <c r="UZM1367" s="110"/>
      <c r="UZN1367" s="110"/>
      <c r="UZO1367" s="110"/>
      <c r="UZP1367" s="110"/>
      <c r="UZQ1367" s="110"/>
      <c r="UZR1367" s="110"/>
      <c r="UZS1367" s="110"/>
      <c r="UZT1367" s="110"/>
      <c r="UZU1367" s="110"/>
      <c r="UZV1367" s="110"/>
      <c r="UZW1367" s="110"/>
      <c r="UZX1367" s="110"/>
      <c r="UZY1367" s="110"/>
      <c r="UZZ1367" s="110"/>
      <c r="VAA1367" s="110"/>
      <c r="VAB1367" s="110"/>
      <c r="VAC1367" s="110"/>
      <c r="VAD1367" s="110"/>
      <c r="VAE1367" s="110"/>
      <c r="VAF1367" s="110"/>
      <c r="VAG1367" s="110"/>
      <c r="VAH1367" s="110"/>
      <c r="VAI1367" s="110"/>
      <c r="VAJ1367" s="110"/>
      <c r="VAK1367" s="110"/>
      <c r="VAL1367" s="110"/>
      <c r="VAM1367" s="110"/>
      <c r="VAN1367" s="110"/>
      <c r="VAO1367" s="110"/>
      <c r="VAP1367" s="110"/>
      <c r="VAQ1367" s="110"/>
      <c r="VAR1367" s="110"/>
      <c r="VAS1367" s="110"/>
      <c r="VAT1367" s="110"/>
      <c r="VAU1367" s="110"/>
      <c r="VAV1367" s="110"/>
      <c r="VAW1367" s="110"/>
      <c r="VAX1367" s="110"/>
      <c r="VAY1367" s="110"/>
      <c r="VAZ1367" s="110"/>
      <c r="VBA1367" s="110"/>
      <c r="VBB1367" s="110"/>
      <c r="VBC1367" s="110"/>
      <c r="VBD1367" s="110"/>
      <c r="VBE1367" s="110"/>
      <c r="VBF1367" s="110"/>
      <c r="VBG1367" s="110"/>
      <c r="VBH1367" s="110"/>
      <c r="VBI1367" s="110"/>
      <c r="VBJ1367" s="110"/>
      <c r="VBK1367" s="110"/>
      <c r="VBL1367" s="110"/>
      <c r="VBM1367" s="110"/>
      <c r="VBN1367" s="110"/>
      <c r="VBO1367" s="110"/>
      <c r="VBP1367" s="110"/>
      <c r="VBQ1367" s="110"/>
      <c r="VBR1367" s="110"/>
      <c r="VBS1367" s="110"/>
      <c r="VBT1367" s="110"/>
      <c r="VBU1367" s="110"/>
      <c r="VBV1367" s="110"/>
      <c r="VBW1367" s="110"/>
      <c r="VBX1367" s="110"/>
      <c r="VBY1367" s="110"/>
      <c r="VBZ1367" s="110"/>
      <c r="VCA1367" s="110"/>
      <c r="VCB1367" s="110"/>
      <c r="VCC1367" s="110"/>
      <c r="VCD1367" s="110"/>
      <c r="VCE1367" s="110"/>
      <c r="VCF1367" s="110"/>
      <c r="VCG1367" s="110"/>
      <c r="VCH1367" s="110"/>
      <c r="VCI1367" s="110"/>
      <c r="VCJ1367" s="110"/>
      <c r="VCK1367" s="110"/>
      <c r="VCL1367" s="110"/>
      <c r="VCM1367" s="110"/>
      <c r="VCN1367" s="110"/>
      <c r="VCO1367" s="110"/>
      <c r="VCP1367" s="110"/>
      <c r="VCQ1367" s="110"/>
      <c r="VCR1367" s="110"/>
      <c r="VCS1367" s="110"/>
      <c r="VCT1367" s="110"/>
      <c r="VCU1367" s="110"/>
      <c r="VCV1367" s="110"/>
      <c r="VCW1367" s="110"/>
      <c r="VCX1367" s="110"/>
      <c r="VCY1367" s="110"/>
      <c r="VCZ1367" s="110"/>
      <c r="VDA1367" s="110"/>
      <c r="VDB1367" s="110"/>
      <c r="VDC1367" s="110"/>
      <c r="VDD1367" s="110"/>
      <c r="VDE1367" s="110"/>
      <c r="VDF1367" s="110"/>
      <c r="VDG1367" s="110"/>
      <c r="VDH1367" s="110"/>
      <c r="VDI1367" s="110"/>
      <c r="VDJ1367" s="110"/>
      <c r="VDK1367" s="110"/>
      <c r="VDL1367" s="110"/>
      <c r="VDM1367" s="110"/>
      <c r="VDN1367" s="110"/>
      <c r="VDO1367" s="110"/>
      <c r="VDP1367" s="110"/>
      <c r="VDQ1367" s="110"/>
      <c r="VDR1367" s="110"/>
      <c r="VDS1367" s="110"/>
      <c r="VDT1367" s="110"/>
      <c r="VDU1367" s="110"/>
      <c r="VDV1367" s="110"/>
      <c r="VDW1367" s="110"/>
      <c r="VDX1367" s="110"/>
      <c r="VDY1367" s="110"/>
      <c r="VDZ1367" s="110"/>
      <c r="VEA1367" s="110"/>
      <c r="VEB1367" s="110"/>
      <c r="VEC1367" s="110"/>
      <c r="VED1367" s="110"/>
      <c r="VEE1367" s="110"/>
      <c r="VEF1367" s="110"/>
      <c r="VEG1367" s="110"/>
      <c r="VEH1367" s="110"/>
      <c r="VEI1367" s="110"/>
      <c r="VEJ1367" s="110"/>
      <c r="VEK1367" s="110"/>
      <c r="VEL1367" s="110"/>
      <c r="VEM1367" s="110"/>
      <c r="VEN1367" s="110"/>
      <c r="VEO1367" s="110"/>
      <c r="VEP1367" s="110"/>
      <c r="VEQ1367" s="110"/>
      <c r="VER1367" s="110"/>
      <c r="VES1367" s="110"/>
      <c r="VET1367" s="110"/>
      <c r="VEU1367" s="110"/>
      <c r="VEV1367" s="110"/>
      <c r="VEW1367" s="110"/>
      <c r="VEX1367" s="110"/>
      <c r="VEY1367" s="110"/>
      <c r="VEZ1367" s="110"/>
      <c r="VFA1367" s="110"/>
      <c r="VFB1367" s="110"/>
      <c r="VFC1367" s="110"/>
      <c r="VFD1367" s="110"/>
      <c r="VFE1367" s="110"/>
      <c r="VFF1367" s="110"/>
      <c r="VFG1367" s="110"/>
      <c r="VFH1367" s="110"/>
      <c r="VFI1367" s="110"/>
      <c r="VFJ1367" s="110"/>
      <c r="VFK1367" s="110"/>
      <c r="VFL1367" s="110"/>
      <c r="VFM1367" s="110"/>
      <c r="VFN1367" s="110"/>
      <c r="VFO1367" s="110"/>
      <c r="VFP1367" s="110"/>
      <c r="VFQ1367" s="110"/>
      <c r="VFR1367" s="110"/>
      <c r="VFS1367" s="110"/>
      <c r="VFT1367" s="110"/>
      <c r="VFU1367" s="110"/>
      <c r="VFV1367" s="110"/>
      <c r="VFW1367" s="110"/>
      <c r="VFX1367" s="110"/>
      <c r="VFY1367" s="110"/>
      <c r="VFZ1367" s="110"/>
      <c r="VGA1367" s="110"/>
      <c r="VGB1367" s="110"/>
      <c r="VGC1367" s="110"/>
      <c r="VGD1367" s="110"/>
      <c r="VGE1367" s="110"/>
      <c r="VGF1367" s="110"/>
      <c r="VGG1367" s="110"/>
      <c r="VGH1367" s="110"/>
      <c r="VGI1367" s="110"/>
      <c r="VGJ1367" s="110"/>
      <c r="VGK1367" s="110"/>
      <c r="VGL1367" s="110"/>
      <c r="VGM1367" s="110"/>
      <c r="VGN1367" s="110"/>
      <c r="VGO1367" s="110"/>
      <c r="VGP1367" s="110"/>
      <c r="VGQ1367" s="110"/>
      <c r="VGR1367" s="110"/>
      <c r="VGS1367" s="110"/>
      <c r="VGT1367" s="110"/>
      <c r="VGU1367" s="110"/>
      <c r="VGV1367" s="110"/>
      <c r="VGW1367" s="110"/>
      <c r="VGX1367" s="110"/>
      <c r="VGY1367" s="110"/>
      <c r="VGZ1367" s="110"/>
      <c r="VHA1367" s="110"/>
      <c r="VHB1367" s="110"/>
      <c r="VHC1367" s="110"/>
      <c r="VHD1367" s="110"/>
      <c r="VHE1367" s="110"/>
      <c r="VHF1367" s="110"/>
      <c r="VHG1367" s="110"/>
      <c r="VHH1367" s="110"/>
      <c r="VHI1367" s="110"/>
      <c r="VHJ1367" s="110"/>
      <c r="VHK1367" s="110"/>
      <c r="VHL1367" s="110"/>
      <c r="VHM1367" s="110"/>
      <c r="VHN1367" s="110"/>
      <c r="VHO1367" s="110"/>
      <c r="VHP1367" s="110"/>
      <c r="VHQ1367" s="110"/>
      <c r="VHR1367" s="110"/>
      <c r="VHS1367" s="110"/>
      <c r="VHT1367" s="110"/>
      <c r="VHU1367" s="110"/>
      <c r="VHV1367" s="110"/>
      <c r="VHW1367" s="110"/>
      <c r="VHX1367" s="110"/>
      <c r="VHY1367" s="110"/>
      <c r="VHZ1367" s="110"/>
      <c r="VIA1367" s="110"/>
      <c r="VIB1367" s="110"/>
      <c r="VIC1367" s="110"/>
      <c r="VID1367" s="110"/>
      <c r="VIE1367" s="110"/>
      <c r="VIF1367" s="110"/>
      <c r="VIG1367" s="110"/>
      <c r="VIH1367" s="110"/>
      <c r="VII1367" s="110"/>
      <c r="VIJ1367" s="110"/>
      <c r="VIK1367" s="110"/>
      <c r="VIL1367" s="110"/>
      <c r="VIM1367" s="110"/>
      <c r="VIN1367" s="110"/>
      <c r="VIO1367" s="110"/>
      <c r="VIP1367" s="110"/>
      <c r="VIQ1367" s="110"/>
      <c r="VIR1367" s="110"/>
      <c r="VIS1367" s="110"/>
      <c r="VIT1367" s="110"/>
      <c r="VIU1367" s="110"/>
      <c r="VIV1367" s="110"/>
      <c r="VIW1367" s="110"/>
      <c r="VIX1367" s="110"/>
      <c r="VIY1367" s="110"/>
      <c r="VIZ1367" s="110"/>
      <c r="VJA1367" s="110"/>
      <c r="VJB1367" s="110"/>
      <c r="VJC1367" s="110"/>
      <c r="VJD1367" s="110"/>
      <c r="VJE1367" s="110"/>
      <c r="VJF1367" s="110"/>
      <c r="VJG1367" s="110"/>
      <c r="VJH1367" s="110"/>
      <c r="VJI1367" s="110"/>
      <c r="VJJ1367" s="110"/>
      <c r="VJK1367" s="110"/>
      <c r="VJL1367" s="110"/>
      <c r="VJM1367" s="110"/>
      <c r="VJN1367" s="110"/>
      <c r="VJO1367" s="110"/>
      <c r="VJP1367" s="110"/>
      <c r="VJQ1367" s="110"/>
      <c r="VJR1367" s="110"/>
      <c r="VJS1367" s="110"/>
      <c r="VJT1367" s="110"/>
      <c r="VJU1367" s="110"/>
      <c r="VJV1367" s="110"/>
      <c r="VJW1367" s="110"/>
      <c r="VJX1367" s="110"/>
      <c r="VJY1367" s="110"/>
      <c r="VJZ1367" s="110"/>
      <c r="VKA1367" s="110"/>
      <c r="VKB1367" s="110"/>
      <c r="VKC1367" s="110"/>
      <c r="VKD1367" s="110"/>
      <c r="VKE1367" s="110"/>
      <c r="VKF1367" s="110"/>
      <c r="VKG1367" s="110"/>
      <c r="VKH1367" s="110"/>
      <c r="VKI1367" s="110"/>
      <c r="VKJ1367" s="110"/>
      <c r="VKK1367" s="110"/>
      <c r="VKL1367" s="110"/>
      <c r="VKM1367" s="110"/>
      <c r="VKN1367" s="110"/>
      <c r="VKO1367" s="110"/>
      <c r="VKP1367" s="110"/>
      <c r="VKQ1367" s="110"/>
      <c r="VKR1367" s="110"/>
      <c r="VKS1367" s="110"/>
      <c r="VKT1367" s="110"/>
      <c r="VKU1367" s="110"/>
      <c r="VKV1367" s="110"/>
      <c r="VKW1367" s="110"/>
      <c r="VKX1367" s="110"/>
      <c r="VKY1367" s="110"/>
      <c r="VKZ1367" s="110"/>
      <c r="VLA1367" s="110"/>
      <c r="VLB1367" s="110"/>
      <c r="VLC1367" s="110"/>
      <c r="VLD1367" s="110"/>
      <c r="VLE1367" s="110"/>
      <c r="VLF1367" s="110"/>
      <c r="VLG1367" s="110"/>
      <c r="VLH1367" s="110"/>
      <c r="VLI1367" s="110"/>
      <c r="VLJ1367" s="110"/>
      <c r="VLK1367" s="110"/>
      <c r="VLL1367" s="110"/>
      <c r="VLM1367" s="110"/>
      <c r="VLN1367" s="110"/>
      <c r="VLO1367" s="110"/>
      <c r="VLP1367" s="110"/>
      <c r="VLQ1367" s="110"/>
      <c r="VLR1367" s="110"/>
      <c r="VLS1367" s="110"/>
      <c r="VLT1367" s="110"/>
      <c r="VLU1367" s="110"/>
      <c r="VLV1367" s="110"/>
      <c r="VLW1367" s="110"/>
      <c r="VLX1367" s="110"/>
      <c r="VLY1367" s="110"/>
      <c r="VLZ1367" s="110"/>
      <c r="VMA1367" s="110"/>
      <c r="VMB1367" s="110"/>
      <c r="VMC1367" s="110"/>
      <c r="VMD1367" s="110"/>
      <c r="VME1367" s="110"/>
      <c r="VMF1367" s="110"/>
      <c r="VMG1367" s="110"/>
      <c r="VMH1367" s="110"/>
      <c r="VMI1367" s="110"/>
      <c r="VMJ1367" s="110"/>
      <c r="VMK1367" s="110"/>
      <c r="VML1367" s="110"/>
      <c r="VMM1367" s="110"/>
      <c r="VMN1367" s="110"/>
      <c r="VMO1367" s="110"/>
      <c r="VMP1367" s="110"/>
      <c r="VMQ1367" s="110"/>
      <c r="VMR1367" s="110"/>
      <c r="VMS1367" s="110"/>
      <c r="VMT1367" s="110"/>
      <c r="VMU1367" s="110"/>
      <c r="VMV1367" s="110"/>
      <c r="VMW1367" s="110"/>
      <c r="VMX1367" s="110"/>
      <c r="VMY1367" s="110"/>
      <c r="VMZ1367" s="110"/>
      <c r="VNA1367" s="110"/>
      <c r="VNB1367" s="110"/>
      <c r="VNC1367" s="110"/>
      <c r="VND1367" s="110"/>
      <c r="VNE1367" s="110"/>
      <c r="VNF1367" s="110"/>
      <c r="VNG1367" s="110"/>
      <c r="VNH1367" s="110"/>
      <c r="VNI1367" s="110"/>
      <c r="VNJ1367" s="110"/>
      <c r="VNK1367" s="110"/>
      <c r="VNL1367" s="110"/>
      <c r="VNM1367" s="110"/>
      <c r="VNN1367" s="110"/>
      <c r="VNO1367" s="110"/>
      <c r="VNP1367" s="110"/>
      <c r="VNQ1367" s="110"/>
      <c r="VNR1367" s="110"/>
      <c r="VNS1367" s="110"/>
      <c r="VNT1367" s="110"/>
      <c r="VNU1367" s="110"/>
      <c r="VNV1367" s="110"/>
      <c r="VNW1367" s="110"/>
      <c r="VNX1367" s="110"/>
      <c r="VNY1367" s="110"/>
      <c r="VNZ1367" s="110"/>
      <c r="VOA1367" s="110"/>
      <c r="VOB1367" s="110"/>
      <c r="VOC1367" s="110"/>
      <c r="VOD1367" s="110"/>
      <c r="VOE1367" s="110"/>
      <c r="VOF1367" s="110"/>
      <c r="VOG1367" s="110"/>
      <c r="VOH1367" s="110"/>
      <c r="VOI1367" s="110"/>
      <c r="VOJ1367" s="110"/>
      <c r="VOK1367" s="110"/>
      <c r="VOL1367" s="110"/>
      <c r="VOM1367" s="110"/>
      <c r="VON1367" s="110"/>
      <c r="VOO1367" s="110"/>
      <c r="VOP1367" s="110"/>
      <c r="VOQ1367" s="110"/>
      <c r="VOR1367" s="110"/>
      <c r="VOS1367" s="110"/>
      <c r="VOT1367" s="110"/>
      <c r="VOU1367" s="110"/>
      <c r="VOV1367" s="110"/>
      <c r="VOW1367" s="110"/>
      <c r="VOX1367" s="110"/>
      <c r="VOY1367" s="110"/>
      <c r="VOZ1367" s="110"/>
      <c r="VPA1367" s="110"/>
      <c r="VPB1367" s="110"/>
      <c r="VPC1367" s="110"/>
      <c r="VPD1367" s="110"/>
      <c r="VPE1367" s="110"/>
      <c r="VPF1367" s="110"/>
      <c r="VPG1367" s="110"/>
      <c r="VPH1367" s="110"/>
      <c r="VPI1367" s="110"/>
      <c r="VPJ1367" s="110"/>
      <c r="VPK1367" s="110"/>
      <c r="VPL1367" s="110"/>
      <c r="VPM1367" s="110"/>
      <c r="VPN1367" s="110"/>
      <c r="VPO1367" s="110"/>
      <c r="VPP1367" s="110"/>
      <c r="VPQ1367" s="110"/>
      <c r="VPR1367" s="110"/>
      <c r="VPS1367" s="110"/>
      <c r="VPT1367" s="110"/>
      <c r="VPU1367" s="110"/>
      <c r="VPV1367" s="110"/>
      <c r="VPW1367" s="110"/>
      <c r="VPX1367" s="110"/>
      <c r="VPY1367" s="110"/>
      <c r="VPZ1367" s="110"/>
      <c r="VQA1367" s="110"/>
      <c r="VQB1367" s="110"/>
      <c r="VQC1367" s="110"/>
      <c r="VQD1367" s="110"/>
      <c r="VQE1367" s="110"/>
      <c r="VQF1367" s="110"/>
      <c r="VQG1367" s="110"/>
      <c r="VQH1367" s="110"/>
      <c r="VQI1367" s="110"/>
      <c r="VQJ1367" s="110"/>
      <c r="VQK1367" s="110"/>
      <c r="VQL1367" s="110"/>
      <c r="VQM1367" s="110"/>
      <c r="VQN1367" s="110"/>
      <c r="VQO1367" s="110"/>
      <c r="VQP1367" s="110"/>
      <c r="VQQ1367" s="110"/>
      <c r="VQR1367" s="110"/>
      <c r="VQS1367" s="110"/>
      <c r="VQT1367" s="110"/>
      <c r="VQU1367" s="110"/>
      <c r="VQV1367" s="110"/>
      <c r="VQW1367" s="110"/>
      <c r="VQX1367" s="110"/>
      <c r="VQY1367" s="110"/>
      <c r="VQZ1367" s="110"/>
      <c r="VRA1367" s="110"/>
      <c r="VRB1367" s="110"/>
      <c r="VRC1367" s="110"/>
      <c r="VRD1367" s="110"/>
      <c r="VRE1367" s="110"/>
      <c r="VRF1367" s="110"/>
      <c r="VRG1367" s="110"/>
      <c r="VRH1367" s="110"/>
      <c r="VRI1367" s="110"/>
      <c r="VRJ1367" s="110"/>
      <c r="VRK1367" s="110"/>
      <c r="VRL1367" s="110"/>
      <c r="VRM1367" s="110"/>
      <c r="VRN1367" s="110"/>
      <c r="VRO1367" s="110"/>
      <c r="VRP1367" s="110"/>
      <c r="VRQ1367" s="110"/>
      <c r="VRR1367" s="110"/>
      <c r="VRS1367" s="110"/>
      <c r="VRT1367" s="110"/>
      <c r="VRU1367" s="110"/>
      <c r="VRV1367" s="110"/>
      <c r="VRW1367" s="110"/>
      <c r="VRX1367" s="110"/>
      <c r="VRY1367" s="110"/>
      <c r="VRZ1367" s="110"/>
      <c r="VSA1367" s="110"/>
      <c r="VSB1367" s="110"/>
      <c r="VSC1367" s="110"/>
      <c r="VSD1367" s="110"/>
      <c r="VSE1367" s="110"/>
      <c r="VSF1367" s="110"/>
      <c r="VSG1367" s="110"/>
      <c r="VSH1367" s="110"/>
      <c r="VSI1367" s="110"/>
      <c r="VSJ1367" s="110"/>
      <c r="VSK1367" s="110"/>
      <c r="VSL1367" s="110"/>
      <c r="VSM1367" s="110"/>
      <c r="VSN1367" s="110"/>
      <c r="VSO1367" s="110"/>
      <c r="VSP1367" s="110"/>
      <c r="VSQ1367" s="110"/>
      <c r="VSR1367" s="110"/>
      <c r="VSS1367" s="110"/>
      <c r="VST1367" s="110"/>
      <c r="VSU1367" s="110"/>
      <c r="VSV1367" s="110"/>
      <c r="VSW1367" s="110"/>
      <c r="VSX1367" s="110"/>
      <c r="VSY1367" s="110"/>
      <c r="VSZ1367" s="110"/>
      <c r="VTA1367" s="110"/>
      <c r="VTB1367" s="110"/>
      <c r="VTC1367" s="110"/>
      <c r="VTD1367" s="110"/>
      <c r="VTE1367" s="110"/>
      <c r="VTF1367" s="110"/>
      <c r="VTG1367" s="110"/>
      <c r="VTH1367" s="110"/>
      <c r="VTI1367" s="110"/>
      <c r="VTJ1367" s="110"/>
      <c r="VTK1367" s="110"/>
      <c r="VTL1367" s="110"/>
      <c r="VTM1367" s="110"/>
      <c r="VTN1367" s="110"/>
      <c r="VTO1367" s="110"/>
      <c r="VTP1367" s="110"/>
      <c r="VTQ1367" s="110"/>
      <c r="VTR1367" s="110"/>
      <c r="VTS1367" s="110"/>
      <c r="VTT1367" s="110"/>
      <c r="VTU1367" s="110"/>
      <c r="VTV1367" s="110"/>
      <c r="VTW1367" s="110"/>
      <c r="VTX1367" s="110"/>
      <c r="VTY1367" s="110"/>
      <c r="VTZ1367" s="110"/>
      <c r="VUA1367" s="110"/>
      <c r="VUB1367" s="110"/>
      <c r="VUC1367" s="110"/>
      <c r="VUD1367" s="110"/>
      <c r="VUE1367" s="110"/>
      <c r="VUF1367" s="110"/>
      <c r="VUG1367" s="110"/>
      <c r="VUH1367" s="110"/>
      <c r="VUI1367" s="110"/>
      <c r="VUJ1367" s="110"/>
      <c r="VUK1367" s="110"/>
      <c r="VUL1367" s="110"/>
      <c r="VUM1367" s="110"/>
      <c r="VUN1367" s="110"/>
      <c r="VUO1367" s="110"/>
      <c r="VUP1367" s="110"/>
      <c r="VUQ1367" s="110"/>
      <c r="VUR1367" s="110"/>
      <c r="VUS1367" s="110"/>
      <c r="VUT1367" s="110"/>
      <c r="VUU1367" s="110"/>
      <c r="VUV1367" s="110"/>
      <c r="VUW1367" s="110"/>
      <c r="VUX1367" s="110"/>
      <c r="VUY1367" s="110"/>
      <c r="VUZ1367" s="110"/>
      <c r="VVA1367" s="110"/>
      <c r="VVB1367" s="110"/>
      <c r="VVC1367" s="110"/>
      <c r="VVD1367" s="110"/>
      <c r="VVE1367" s="110"/>
      <c r="VVF1367" s="110"/>
      <c r="VVG1367" s="110"/>
      <c r="VVH1367" s="110"/>
      <c r="VVI1367" s="110"/>
      <c r="VVJ1367" s="110"/>
      <c r="VVK1367" s="110"/>
      <c r="VVL1367" s="110"/>
      <c r="VVM1367" s="110"/>
      <c r="VVN1367" s="110"/>
      <c r="VVO1367" s="110"/>
      <c r="VVP1367" s="110"/>
      <c r="VVQ1367" s="110"/>
      <c r="VVR1367" s="110"/>
      <c r="VVS1367" s="110"/>
      <c r="VVT1367" s="110"/>
      <c r="VVU1367" s="110"/>
      <c r="VVV1367" s="110"/>
      <c r="VVW1367" s="110"/>
      <c r="VVX1367" s="110"/>
      <c r="VVY1367" s="110"/>
      <c r="VVZ1367" s="110"/>
      <c r="VWA1367" s="110"/>
      <c r="VWB1367" s="110"/>
      <c r="VWC1367" s="110"/>
      <c r="VWD1367" s="110"/>
      <c r="VWE1367" s="110"/>
      <c r="VWF1367" s="110"/>
      <c r="VWG1367" s="110"/>
      <c r="VWH1367" s="110"/>
      <c r="VWI1367" s="110"/>
      <c r="VWJ1367" s="110"/>
      <c r="VWK1367" s="110"/>
      <c r="VWL1367" s="110"/>
      <c r="VWM1367" s="110"/>
      <c r="VWN1367" s="110"/>
      <c r="VWO1367" s="110"/>
      <c r="VWP1367" s="110"/>
      <c r="VWQ1367" s="110"/>
      <c r="VWR1367" s="110"/>
      <c r="VWS1367" s="110"/>
      <c r="VWT1367" s="110"/>
      <c r="VWU1367" s="110"/>
      <c r="VWV1367" s="110"/>
      <c r="VWW1367" s="110"/>
      <c r="VWX1367" s="110"/>
      <c r="VWY1367" s="110"/>
      <c r="VWZ1367" s="110"/>
      <c r="VXA1367" s="110"/>
      <c r="VXB1367" s="110"/>
      <c r="VXC1367" s="110"/>
      <c r="VXD1367" s="110"/>
      <c r="VXE1367" s="110"/>
      <c r="VXF1367" s="110"/>
      <c r="VXG1367" s="110"/>
      <c r="VXH1367" s="110"/>
      <c r="VXI1367" s="110"/>
      <c r="VXJ1367" s="110"/>
      <c r="VXK1367" s="110"/>
      <c r="VXL1367" s="110"/>
      <c r="VXM1367" s="110"/>
      <c r="VXN1367" s="110"/>
      <c r="VXO1367" s="110"/>
      <c r="VXP1367" s="110"/>
      <c r="VXQ1367" s="110"/>
      <c r="VXR1367" s="110"/>
      <c r="VXS1367" s="110"/>
      <c r="VXT1367" s="110"/>
      <c r="VXU1367" s="110"/>
      <c r="VXV1367" s="110"/>
      <c r="VXW1367" s="110"/>
      <c r="VXX1367" s="110"/>
      <c r="VXY1367" s="110"/>
      <c r="VXZ1367" s="110"/>
      <c r="VYA1367" s="110"/>
      <c r="VYB1367" s="110"/>
      <c r="VYC1367" s="110"/>
      <c r="VYD1367" s="110"/>
      <c r="VYE1367" s="110"/>
      <c r="VYF1367" s="110"/>
      <c r="VYG1367" s="110"/>
      <c r="VYH1367" s="110"/>
      <c r="VYI1367" s="110"/>
      <c r="VYJ1367" s="110"/>
      <c r="VYK1367" s="110"/>
      <c r="VYL1367" s="110"/>
      <c r="VYM1367" s="110"/>
      <c r="VYN1367" s="110"/>
      <c r="VYO1367" s="110"/>
      <c r="VYP1367" s="110"/>
      <c r="VYQ1367" s="110"/>
      <c r="VYR1367" s="110"/>
      <c r="VYS1367" s="110"/>
      <c r="VYT1367" s="110"/>
      <c r="VYU1367" s="110"/>
      <c r="VYV1367" s="110"/>
      <c r="VYW1367" s="110"/>
      <c r="VYX1367" s="110"/>
      <c r="VYY1367" s="110"/>
      <c r="VYZ1367" s="110"/>
      <c r="VZA1367" s="110"/>
      <c r="VZB1367" s="110"/>
      <c r="VZC1367" s="110"/>
      <c r="VZD1367" s="110"/>
      <c r="VZE1367" s="110"/>
      <c r="VZF1367" s="110"/>
      <c r="VZG1367" s="110"/>
      <c r="VZH1367" s="110"/>
      <c r="VZI1367" s="110"/>
      <c r="VZJ1367" s="110"/>
      <c r="VZK1367" s="110"/>
      <c r="VZL1367" s="110"/>
      <c r="VZM1367" s="110"/>
      <c r="VZN1367" s="110"/>
      <c r="VZO1367" s="110"/>
      <c r="VZP1367" s="110"/>
      <c r="VZQ1367" s="110"/>
      <c r="VZR1367" s="110"/>
      <c r="VZS1367" s="110"/>
      <c r="VZT1367" s="110"/>
      <c r="VZU1367" s="110"/>
      <c r="VZV1367" s="110"/>
      <c r="VZW1367" s="110"/>
      <c r="VZX1367" s="110"/>
      <c r="VZY1367" s="110"/>
      <c r="VZZ1367" s="110"/>
      <c r="WAA1367" s="110"/>
      <c r="WAB1367" s="110"/>
      <c r="WAC1367" s="110"/>
      <c r="WAD1367" s="110"/>
      <c r="WAE1367" s="110"/>
      <c r="WAF1367" s="110"/>
      <c r="WAG1367" s="110"/>
      <c r="WAH1367" s="110"/>
      <c r="WAI1367" s="110"/>
      <c r="WAJ1367" s="110"/>
      <c r="WAK1367" s="110"/>
      <c r="WAL1367" s="110"/>
      <c r="WAM1367" s="110"/>
      <c r="WAN1367" s="110"/>
      <c r="WAO1367" s="110"/>
      <c r="WAP1367" s="110"/>
      <c r="WAQ1367" s="110"/>
      <c r="WAR1367" s="110"/>
      <c r="WAS1367" s="110"/>
      <c r="WAT1367" s="110"/>
      <c r="WAU1367" s="110"/>
      <c r="WAV1367" s="110"/>
      <c r="WAW1367" s="110"/>
      <c r="WAX1367" s="110"/>
      <c r="WAY1367" s="110"/>
      <c r="WAZ1367" s="110"/>
      <c r="WBA1367" s="110"/>
      <c r="WBB1367" s="110"/>
      <c r="WBC1367" s="110"/>
      <c r="WBD1367" s="110"/>
      <c r="WBE1367" s="110"/>
      <c r="WBF1367" s="110"/>
      <c r="WBG1367" s="110"/>
      <c r="WBH1367" s="110"/>
      <c r="WBI1367" s="110"/>
      <c r="WBJ1367" s="110"/>
      <c r="WBK1367" s="110"/>
      <c r="WBL1367" s="110"/>
      <c r="WBM1367" s="110"/>
      <c r="WBN1367" s="110"/>
      <c r="WBO1367" s="110"/>
      <c r="WBP1367" s="110"/>
      <c r="WBQ1367" s="110"/>
      <c r="WBR1367" s="110"/>
      <c r="WBS1367" s="110"/>
      <c r="WBT1367" s="110"/>
      <c r="WBU1367" s="110"/>
      <c r="WBV1367" s="110"/>
      <c r="WBW1367" s="110"/>
      <c r="WBX1367" s="110"/>
      <c r="WBY1367" s="110"/>
      <c r="WBZ1367" s="110"/>
      <c r="WCA1367" s="110"/>
      <c r="WCB1367" s="110"/>
      <c r="WCC1367" s="110"/>
      <c r="WCD1367" s="110"/>
      <c r="WCE1367" s="110"/>
      <c r="WCF1367" s="110"/>
      <c r="WCG1367" s="110"/>
      <c r="WCH1367" s="110"/>
      <c r="WCI1367" s="110"/>
      <c r="WCJ1367" s="110"/>
      <c r="WCK1367" s="110"/>
      <c r="WCL1367" s="110"/>
      <c r="WCM1367" s="110"/>
      <c r="WCN1367" s="110"/>
      <c r="WCO1367" s="110"/>
      <c r="WCP1367" s="110"/>
      <c r="WCQ1367" s="110"/>
      <c r="WCR1367" s="110"/>
      <c r="WCS1367" s="110"/>
      <c r="WCT1367" s="110"/>
      <c r="WCU1367" s="110"/>
      <c r="WCV1367" s="110"/>
      <c r="WCW1367" s="110"/>
      <c r="WCX1367" s="110"/>
      <c r="WCY1367" s="110"/>
      <c r="WCZ1367" s="110"/>
      <c r="WDA1367" s="110"/>
      <c r="WDB1367" s="110"/>
      <c r="WDC1367" s="110"/>
      <c r="WDD1367" s="110"/>
      <c r="WDE1367" s="110"/>
      <c r="WDF1367" s="110"/>
      <c r="WDG1367" s="110"/>
      <c r="WDH1367" s="110"/>
      <c r="WDI1367" s="110"/>
      <c r="WDJ1367" s="110"/>
      <c r="WDK1367" s="110"/>
      <c r="WDL1367" s="110"/>
      <c r="WDM1367" s="110"/>
      <c r="WDN1367" s="110"/>
      <c r="WDO1367" s="110"/>
      <c r="WDP1367" s="110"/>
      <c r="WDQ1367" s="110"/>
      <c r="WDR1367" s="110"/>
      <c r="WDS1367" s="110"/>
      <c r="WDT1367" s="110"/>
      <c r="WDU1367" s="110"/>
      <c r="WDV1367" s="110"/>
      <c r="WDW1367" s="110"/>
      <c r="WDX1367" s="110"/>
      <c r="WDY1367" s="110"/>
      <c r="WDZ1367" s="110"/>
      <c r="WEA1367" s="110"/>
      <c r="WEB1367" s="110"/>
      <c r="WEC1367" s="110"/>
      <c r="WED1367" s="110"/>
      <c r="WEE1367" s="110"/>
      <c r="WEF1367" s="110"/>
      <c r="WEG1367" s="110"/>
      <c r="WEH1367" s="110"/>
      <c r="WEI1367" s="110"/>
      <c r="WEJ1367" s="110"/>
      <c r="WEK1367" s="110"/>
      <c r="WEL1367" s="110"/>
      <c r="WEM1367" s="110"/>
      <c r="WEN1367" s="110"/>
      <c r="WEO1367" s="110"/>
      <c r="WEP1367" s="110"/>
      <c r="WEQ1367" s="110"/>
      <c r="WER1367" s="110"/>
      <c r="WES1367" s="110"/>
      <c r="WET1367" s="110"/>
      <c r="WEU1367" s="110"/>
      <c r="WEV1367" s="110"/>
      <c r="WEW1367" s="110"/>
      <c r="WEX1367" s="110"/>
      <c r="WEY1367" s="110"/>
      <c r="WEZ1367" s="110"/>
      <c r="WFA1367" s="110"/>
      <c r="WFB1367" s="110"/>
      <c r="WFC1367" s="110"/>
      <c r="WFD1367" s="110"/>
      <c r="WFE1367" s="110"/>
      <c r="WFF1367" s="110"/>
      <c r="WFG1367" s="110"/>
      <c r="WFH1367" s="110"/>
      <c r="WFI1367" s="110"/>
      <c r="WFJ1367" s="110"/>
      <c r="WFK1367" s="110"/>
      <c r="WFL1367" s="110"/>
      <c r="WFM1367" s="110"/>
      <c r="WFN1367" s="110"/>
      <c r="WFO1367" s="110"/>
      <c r="WFP1367" s="110"/>
      <c r="WFQ1367" s="110"/>
      <c r="WFR1367" s="110"/>
      <c r="WFS1367" s="110"/>
      <c r="WFT1367" s="110"/>
      <c r="WFU1367" s="110"/>
      <c r="WFV1367" s="110"/>
      <c r="WFW1367" s="110"/>
      <c r="WFX1367" s="110"/>
      <c r="WFY1367" s="110"/>
      <c r="WFZ1367" s="110"/>
      <c r="WGA1367" s="110"/>
      <c r="WGB1367" s="110"/>
      <c r="WGC1367" s="110"/>
      <c r="WGD1367" s="110"/>
      <c r="WGE1367" s="110"/>
      <c r="WGF1367" s="110"/>
      <c r="WGG1367" s="110"/>
      <c r="WGH1367" s="110"/>
      <c r="WGI1367" s="110"/>
      <c r="WGJ1367" s="110"/>
      <c r="WGK1367" s="110"/>
      <c r="WGL1367" s="110"/>
      <c r="WGM1367" s="110"/>
      <c r="WGN1367" s="110"/>
      <c r="WGO1367" s="110"/>
      <c r="WGP1367" s="110"/>
      <c r="WGQ1367" s="110"/>
      <c r="WGR1367" s="110"/>
      <c r="WGS1367" s="110"/>
      <c r="WGT1367" s="110"/>
      <c r="WGU1367" s="110"/>
      <c r="WGV1367" s="110"/>
      <c r="WGW1367" s="110"/>
      <c r="WGX1367" s="110"/>
      <c r="WGY1367" s="110"/>
      <c r="WGZ1367" s="110"/>
      <c r="WHA1367" s="110"/>
      <c r="WHB1367" s="110"/>
      <c r="WHC1367" s="110"/>
      <c r="WHD1367" s="110"/>
      <c r="WHE1367" s="110"/>
      <c r="WHF1367" s="110"/>
      <c r="WHG1367" s="110"/>
      <c r="WHH1367" s="110"/>
      <c r="WHI1367" s="110"/>
      <c r="WHJ1367" s="110"/>
      <c r="WHK1367" s="110"/>
      <c r="WHL1367" s="110"/>
      <c r="WHM1367" s="110"/>
      <c r="WHN1367" s="110"/>
      <c r="WHO1367" s="110"/>
      <c r="WHP1367" s="110"/>
      <c r="WHQ1367" s="110"/>
      <c r="WHR1367" s="110"/>
      <c r="WHS1367" s="110"/>
      <c r="WHT1367" s="110"/>
      <c r="WHU1367" s="110"/>
      <c r="WHV1367" s="110"/>
      <c r="WHW1367" s="110"/>
      <c r="WHX1367" s="110"/>
      <c r="WHY1367" s="110"/>
      <c r="WHZ1367" s="110"/>
      <c r="WIA1367" s="110"/>
      <c r="WIB1367" s="110"/>
      <c r="WIC1367" s="110"/>
      <c r="WID1367" s="110"/>
      <c r="WIE1367" s="110"/>
      <c r="WIF1367" s="110"/>
      <c r="WIG1367" s="110"/>
      <c r="WIH1367" s="110"/>
      <c r="WII1367" s="110"/>
      <c r="WIJ1367" s="110"/>
      <c r="WIK1367" s="110"/>
      <c r="WIL1367" s="110"/>
      <c r="WIM1367" s="110"/>
      <c r="WIN1367" s="110"/>
      <c r="WIO1367" s="110"/>
      <c r="WIP1367" s="110"/>
      <c r="WIQ1367" s="110"/>
      <c r="WIR1367" s="110"/>
      <c r="WIS1367" s="110"/>
      <c r="WIT1367" s="110"/>
      <c r="WIU1367" s="110"/>
      <c r="WIV1367" s="110"/>
      <c r="WIW1367" s="110"/>
      <c r="WIX1367" s="110"/>
      <c r="WIY1367" s="110"/>
      <c r="WIZ1367" s="110"/>
      <c r="WJA1367" s="110"/>
      <c r="WJB1367" s="110"/>
      <c r="WJC1367" s="110"/>
      <c r="WJD1367" s="110"/>
      <c r="WJE1367" s="110"/>
      <c r="WJF1367" s="110"/>
      <c r="WJG1367" s="110"/>
      <c r="WJH1367" s="110"/>
      <c r="WJI1367" s="110"/>
      <c r="WJJ1367" s="110"/>
      <c r="WJK1367" s="110"/>
      <c r="WJL1367" s="110"/>
      <c r="WJM1367" s="110"/>
      <c r="WJN1367" s="110"/>
      <c r="WJO1367" s="110"/>
      <c r="WJP1367" s="110"/>
      <c r="WJQ1367" s="110"/>
      <c r="WJR1367" s="110"/>
      <c r="WJS1367" s="110"/>
      <c r="WJT1367" s="110"/>
      <c r="WJU1367" s="110"/>
      <c r="WJV1367" s="110"/>
      <c r="WJW1367" s="110"/>
      <c r="WJX1367" s="110"/>
      <c r="WJY1367" s="110"/>
      <c r="WJZ1367" s="110"/>
      <c r="WKA1367" s="110"/>
      <c r="WKB1367" s="110"/>
      <c r="WKC1367" s="110"/>
      <c r="WKD1367" s="110"/>
      <c r="WKE1367" s="110"/>
      <c r="WKF1367" s="110"/>
      <c r="WKG1367" s="110"/>
      <c r="WKH1367" s="110"/>
      <c r="WKI1367" s="110"/>
      <c r="WKJ1367" s="110"/>
      <c r="WKK1367" s="110"/>
      <c r="WKL1367" s="110"/>
      <c r="WKM1367" s="110"/>
      <c r="WKN1367" s="110"/>
      <c r="WKO1367" s="110"/>
      <c r="WKP1367" s="110"/>
      <c r="WKQ1367" s="110"/>
      <c r="WKR1367" s="110"/>
      <c r="WKS1367" s="110"/>
      <c r="WKT1367" s="110"/>
      <c r="WKU1367" s="110"/>
      <c r="WKV1367" s="110"/>
      <c r="WKW1367" s="110"/>
      <c r="WKX1367" s="110"/>
      <c r="WKY1367" s="110"/>
      <c r="WKZ1367" s="110"/>
      <c r="WLA1367" s="110"/>
      <c r="WLB1367" s="110"/>
      <c r="WLC1367" s="110"/>
      <c r="WLD1367" s="110"/>
      <c r="WLE1367" s="110"/>
      <c r="WLF1367" s="110"/>
      <c r="WLG1367" s="110"/>
      <c r="WLH1367" s="110"/>
      <c r="WLI1367" s="110"/>
      <c r="WLJ1367" s="110"/>
      <c r="WLK1367" s="110"/>
      <c r="WLL1367" s="110"/>
      <c r="WLM1367" s="110"/>
      <c r="WLN1367" s="110"/>
      <c r="WLO1367" s="110"/>
      <c r="WLP1367" s="110"/>
      <c r="WLQ1367" s="110"/>
      <c r="WLR1367" s="110"/>
      <c r="WLS1367" s="110"/>
      <c r="WLT1367" s="110"/>
      <c r="WLU1367" s="110"/>
      <c r="WLV1367" s="110"/>
      <c r="WLW1367" s="110"/>
      <c r="WLX1367" s="110"/>
      <c r="WLY1367" s="110"/>
      <c r="WLZ1367" s="110"/>
      <c r="WMA1367" s="110"/>
      <c r="WMB1367" s="110"/>
      <c r="WMC1367" s="110"/>
      <c r="WMD1367" s="110"/>
      <c r="WME1367" s="110"/>
      <c r="WMF1367" s="110"/>
      <c r="WMG1367" s="110"/>
      <c r="WMH1367" s="110"/>
      <c r="WMI1367" s="110"/>
      <c r="WMJ1367" s="110"/>
      <c r="WMK1367" s="110"/>
      <c r="WML1367" s="110"/>
      <c r="WMM1367" s="110"/>
      <c r="WMN1367" s="110"/>
      <c r="WMO1367" s="110"/>
      <c r="WMP1367" s="110"/>
      <c r="WMQ1367" s="110"/>
      <c r="WMR1367" s="110"/>
      <c r="WMS1367" s="110"/>
      <c r="WMT1367" s="110"/>
      <c r="WMU1367" s="110"/>
      <c r="WMV1367" s="110"/>
      <c r="WMW1367" s="110"/>
      <c r="WMX1367" s="110"/>
      <c r="WMY1367" s="110"/>
      <c r="WMZ1367" s="110"/>
      <c r="WNA1367" s="110"/>
      <c r="WNB1367" s="110"/>
      <c r="WNC1367" s="110"/>
      <c r="WND1367" s="110"/>
      <c r="WNE1367" s="110"/>
      <c r="WNF1367" s="110"/>
      <c r="WNG1367" s="110"/>
      <c r="WNH1367" s="110"/>
      <c r="WNI1367" s="110"/>
      <c r="WNJ1367" s="110"/>
      <c r="WNK1367" s="110"/>
      <c r="WNL1367" s="110"/>
      <c r="WNM1367" s="110"/>
      <c r="WNN1367" s="110"/>
      <c r="WNO1367" s="110"/>
      <c r="WNP1367" s="110"/>
      <c r="WNQ1367" s="110"/>
      <c r="WNR1367" s="110"/>
      <c r="WNS1367" s="110"/>
      <c r="WNT1367" s="110"/>
      <c r="WNU1367" s="110"/>
      <c r="WNV1367" s="110"/>
      <c r="WNW1367" s="110"/>
      <c r="WNX1367" s="110"/>
      <c r="WNY1367" s="110"/>
      <c r="WNZ1367" s="110"/>
      <c r="WOA1367" s="110"/>
      <c r="WOB1367" s="110"/>
      <c r="WOC1367" s="110"/>
      <c r="WOD1367" s="110"/>
      <c r="WOE1367" s="110"/>
      <c r="WOF1367" s="110"/>
      <c r="WOG1367" s="110"/>
      <c r="WOH1367" s="110"/>
      <c r="WOI1367" s="110"/>
      <c r="WOJ1367" s="110"/>
      <c r="WOK1367" s="110"/>
      <c r="WOL1367" s="110"/>
      <c r="WOM1367" s="110"/>
      <c r="WON1367" s="110"/>
      <c r="WOO1367" s="110"/>
      <c r="WOP1367" s="110"/>
      <c r="WOQ1367" s="110"/>
      <c r="WOR1367" s="110"/>
      <c r="WOS1367" s="110"/>
      <c r="WOT1367" s="110"/>
      <c r="WOU1367" s="110"/>
      <c r="WOV1367" s="110"/>
      <c r="WOW1367" s="110"/>
      <c r="WOX1367" s="110"/>
      <c r="WOY1367" s="110"/>
      <c r="WOZ1367" s="110"/>
      <c r="WPA1367" s="110"/>
      <c r="WPB1367" s="110"/>
      <c r="WPC1367" s="110"/>
      <c r="WPD1367" s="110"/>
      <c r="WPE1367" s="110"/>
      <c r="WPF1367" s="110"/>
      <c r="WPG1367" s="110"/>
      <c r="WPH1367" s="110"/>
      <c r="WPI1367" s="110"/>
      <c r="WPJ1367" s="110"/>
      <c r="WPK1367" s="110"/>
      <c r="WPL1367" s="110"/>
      <c r="WPM1367" s="110"/>
      <c r="WPN1367" s="110"/>
      <c r="WPO1367" s="110"/>
      <c r="WPP1367" s="110"/>
      <c r="WPQ1367" s="110"/>
      <c r="WPR1367" s="110"/>
      <c r="WPS1367" s="110"/>
      <c r="WPT1367" s="110"/>
      <c r="WPU1367" s="110"/>
      <c r="WPV1367" s="110"/>
      <c r="WPW1367" s="110"/>
      <c r="WPX1367" s="110"/>
      <c r="WPY1367" s="110"/>
      <c r="WPZ1367" s="110"/>
      <c r="WQA1367" s="110"/>
      <c r="WQB1367" s="110"/>
      <c r="WQC1367" s="110"/>
      <c r="WQD1367" s="110"/>
      <c r="WQE1367" s="110"/>
      <c r="WQF1367" s="110"/>
      <c r="WQG1367" s="110"/>
      <c r="WQH1367" s="110"/>
      <c r="WQI1367" s="110"/>
      <c r="WQJ1367" s="110"/>
      <c r="WQK1367" s="110"/>
      <c r="WQL1367" s="110"/>
      <c r="WQM1367" s="110"/>
      <c r="WQN1367" s="110"/>
      <c r="WQO1367" s="110"/>
      <c r="WQP1367" s="110"/>
      <c r="WQQ1367" s="110"/>
      <c r="WQR1367" s="110"/>
      <c r="WQS1367" s="110"/>
      <c r="WQT1367" s="110"/>
      <c r="WQU1367" s="110"/>
      <c r="WQV1367" s="110"/>
      <c r="WQW1367" s="110"/>
      <c r="WQX1367" s="110"/>
      <c r="WQY1367" s="110"/>
      <c r="WQZ1367" s="110"/>
      <c r="WRA1367" s="110"/>
      <c r="WRB1367" s="110"/>
      <c r="WRC1367" s="110"/>
      <c r="WRD1367" s="110"/>
      <c r="WRE1367" s="110"/>
      <c r="WRF1367" s="110"/>
      <c r="WRG1367" s="110"/>
      <c r="WRH1367" s="110"/>
      <c r="WRI1367" s="110"/>
      <c r="WRJ1367" s="110"/>
      <c r="WRK1367" s="110"/>
      <c r="WRL1367" s="110"/>
      <c r="WRM1367" s="110"/>
      <c r="WRN1367" s="110"/>
      <c r="WRO1367" s="110"/>
      <c r="WRP1367" s="110"/>
      <c r="WRQ1367" s="110"/>
      <c r="WRR1367" s="110"/>
      <c r="WRS1367" s="110"/>
      <c r="WRT1367" s="110"/>
      <c r="WRU1367" s="110"/>
      <c r="WRV1367" s="110"/>
      <c r="WRW1367" s="110"/>
      <c r="WRX1367" s="110"/>
      <c r="WRY1367" s="110"/>
      <c r="WRZ1367" s="110"/>
      <c r="WSA1367" s="110"/>
      <c r="WSB1367" s="110"/>
      <c r="WSC1367" s="110"/>
      <c r="WSD1367" s="110"/>
      <c r="WSE1367" s="110"/>
      <c r="WSF1367" s="110"/>
      <c r="WSG1367" s="110"/>
      <c r="WSH1367" s="110"/>
      <c r="WSI1367" s="110"/>
      <c r="WSJ1367" s="110"/>
      <c r="WSK1367" s="110"/>
      <c r="WSL1367" s="110"/>
      <c r="WSM1367" s="110"/>
      <c r="WSN1367" s="110"/>
      <c r="WSO1367" s="110"/>
      <c r="WSP1367" s="110"/>
      <c r="WSQ1367" s="110"/>
      <c r="WSR1367" s="110"/>
      <c r="WSS1367" s="110"/>
      <c r="WST1367" s="110"/>
      <c r="WSU1367" s="110"/>
      <c r="WSV1367" s="110"/>
      <c r="WSW1367" s="110"/>
      <c r="WSX1367" s="110"/>
      <c r="WSY1367" s="110"/>
      <c r="WSZ1367" s="110"/>
      <c r="WTA1367" s="110"/>
      <c r="WTB1367" s="110"/>
      <c r="WTC1367" s="110"/>
      <c r="WTD1367" s="110"/>
      <c r="WTE1367" s="110"/>
      <c r="WTF1367" s="110"/>
      <c r="WTG1367" s="110"/>
      <c r="WTH1367" s="110"/>
      <c r="WTI1367" s="110"/>
      <c r="WTJ1367" s="110"/>
      <c r="WTK1367" s="110"/>
      <c r="WTL1367" s="110"/>
      <c r="WTM1367" s="110"/>
      <c r="WTN1367" s="110"/>
      <c r="WTO1367" s="110"/>
      <c r="WTP1367" s="110"/>
      <c r="WTQ1367" s="110"/>
      <c r="WTR1367" s="110"/>
      <c r="WTS1367" s="110"/>
      <c r="WTT1367" s="110"/>
      <c r="WTU1367" s="110"/>
      <c r="WTV1367" s="110"/>
      <c r="WTW1367" s="110"/>
      <c r="WTX1367" s="110"/>
      <c r="WTY1367" s="110"/>
      <c r="WTZ1367" s="110"/>
      <c r="WUA1367" s="110"/>
      <c r="WUB1367" s="110"/>
      <c r="WUC1367" s="110"/>
      <c r="WUD1367" s="110"/>
      <c r="WUE1367" s="110"/>
      <c r="WUF1367" s="110"/>
      <c r="WUG1367" s="110"/>
      <c r="WUH1367" s="110"/>
      <c r="WUI1367" s="110"/>
      <c r="WUJ1367" s="110"/>
      <c r="WUK1367" s="110"/>
      <c r="WUL1367" s="110"/>
      <c r="WUM1367" s="110"/>
      <c r="WUN1367" s="110"/>
      <c r="WUO1367" s="110"/>
      <c r="WUP1367" s="110"/>
      <c r="WUQ1367" s="110"/>
      <c r="WUR1367" s="110"/>
      <c r="WUS1367" s="110"/>
      <c r="WUT1367" s="110"/>
      <c r="WUU1367" s="110"/>
      <c r="WUV1367" s="110"/>
      <c r="WUW1367" s="110"/>
      <c r="WUX1367" s="110"/>
      <c r="WUY1367" s="110"/>
      <c r="WUZ1367" s="110"/>
      <c r="WVA1367" s="110"/>
      <c r="WVB1367" s="110"/>
      <c r="WVC1367" s="110"/>
      <c r="WVD1367" s="110"/>
      <c r="WVE1367" s="110"/>
      <c r="WVF1367" s="110"/>
      <c r="WVG1367" s="110"/>
      <c r="WVH1367" s="110"/>
      <c r="WVI1367" s="110"/>
      <c r="WVJ1367" s="110"/>
      <c r="WVK1367" s="110"/>
      <c r="WVL1367" s="110"/>
      <c r="WVM1367" s="110"/>
      <c r="WVN1367" s="110"/>
      <c r="WVO1367" s="110"/>
      <c r="WVP1367" s="110"/>
      <c r="WVQ1367" s="110"/>
      <c r="WVR1367" s="110"/>
      <c r="WVS1367" s="110"/>
      <c r="WVT1367" s="110"/>
      <c r="WVU1367" s="110"/>
      <c r="WVV1367" s="110"/>
      <c r="WVW1367" s="110"/>
      <c r="WVX1367" s="110"/>
      <c r="WVY1367" s="110"/>
      <c r="WVZ1367" s="110"/>
      <c r="WWA1367" s="110"/>
      <c r="WWB1367" s="110"/>
      <c r="WWC1367" s="110"/>
      <c r="WWD1367" s="110"/>
      <c r="WWE1367" s="110"/>
      <c r="WWF1367" s="110"/>
      <c r="WWG1367" s="110"/>
      <c r="WWH1367" s="110"/>
      <c r="WWI1367" s="110"/>
      <c r="WWJ1367" s="110"/>
      <c r="WWK1367" s="110"/>
      <c r="WWL1367" s="110"/>
      <c r="WWM1367" s="110"/>
      <c r="WWN1367" s="110"/>
      <c r="WWO1367" s="110"/>
      <c r="WWP1367" s="110"/>
      <c r="WWQ1367" s="110"/>
      <c r="WWR1367" s="110"/>
      <c r="WWS1367" s="110"/>
      <c r="WWT1367" s="110"/>
      <c r="WWU1367" s="110"/>
      <c r="WWV1367" s="110"/>
      <c r="WWW1367" s="110"/>
      <c r="WWX1367" s="110"/>
      <c r="WWY1367" s="110"/>
      <c r="WWZ1367" s="110"/>
      <c r="WXA1367" s="110"/>
      <c r="WXB1367" s="110"/>
      <c r="WXC1367" s="110"/>
      <c r="WXD1367" s="110"/>
      <c r="WXE1367" s="110"/>
      <c r="WXF1367" s="110"/>
      <c r="WXG1367" s="110"/>
      <c r="WXH1367" s="110"/>
      <c r="WXI1367" s="110"/>
      <c r="WXJ1367" s="110"/>
      <c r="WXK1367" s="110"/>
      <c r="WXL1367" s="110"/>
      <c r="WXM1367" s="110"/>
      <c r="WXN1367" s="110"/>
      <c r="WXO1367" s="110"/>
      <c r="WXP1367" s="110"/>
      <c r="WXQ1367" s="110"/>
      <c r="WXR1367" s="110"/>
      <c r="WXS1367" s="110"/>
      <c r="WXT1367" s="110"/>
      <c r="WXU1367" s="110"/>
      <c r="WXV1367" s="110"/>
      <c r="WXW1367" s="110"/>
      <c r="WXX1367" s="110"/>
      <c r="WXY1367" s="110"/>
      <c r="WXZ1367" s="110"/>
      <c r="WYA1367" s="110"/>
      <c r="WYB1367" s="110"/>
      <c r="WYC1367" s="110"/>
      <c r="WYD1367" s="110"/>
      <c r="WYE1367" s="110"/>
      <c r="WYF1367" s="110"/>
      <c r="WYG1367" s="110"/>
      <c r="WYH1367" s="110"/>
      <c r="WYI1367" s="110"/>
      <c r="WYJ1367" s="110"/>
      <c r="WYK1367" s="110"/>
      <c r="WYL1367" s="110"/>
      <c r="WYM1367" s="110"/>
      <c r="WYN1367" s="110"/>
      <c r="WYO1367" s="110"/>
      <c r="WYP1367" s="110"/>
      <c r="WYQ1367" s="110"/>
      <c r="WYR1367" s="110"/>
      <c r="WYS1367" s="110"/>
      <c r="WYT1367" s="110"/>
      <c r="WYU1367" s="110"/>
      <c r="WYV1367" s="110"/>
      <c r="WYW1367" s="110"/>
      <c r="WYX1367" s="110"/>
      <c r="WYY1367" s="110"/>
      <c r="WYZ1367" s="110"/>
      <c r="WZA1367" s="110"/>
      <c r="WZB1367" s="110"/>
      <c r="WZC1367" s="110"/>
      <c r="WZD1367" s="110"/>
      <c r="WZE1367" s="110"/>
      <c r="WZF1367" s="110"/>
      <c r="WZG1367" s="110"/>
      <c r="WZH1367" s="110"/>
      <c r="WZI1367" s="110"/>
      <c r="WZJ1367" s="110"/>
      <c r="WZK1367" s="110"/>
      <c r="WZL1367" s="110"/>
      <c r="WZM1367" s="110"/>
      <c r="WZN1367" s="110"/>
      <c r="WZO1367" s="110"/>
      <c r="WZP1367" s="110"/>
      <c r="WZQ1367" s="110"/>
      <c r="WZR1367" s="110"/>
      <c r="WZS1367" s="110"/>
      <c r="WZT1367" s="110"/>
      <c r="WZU1367" s="110"/>
      <c r="WZV1367" s="110"/>
      <c r="WZW1367" s="110"/>
      <c r="WZX1367" s="110"/>
      <c r="WZY1367" s="110"/>
      <c r="WZZ1367" s="110"/>
      <c r="XAA1367" s="110"/>
      <c r="XAB1367" s="110"/>
      <c r="XAC1367" s="110"/>
      <c r="XAD1367" s="110"/>
      <c r="XAE1367" s="110"/>
      <c r="XAF1367" s="110"/>
      <c r="XAG1367" s="110"/>
      <c r="XAH1367" s="110"/>
      <c r="XAI1367" s="110"/>
      <c r="XAJ1367" s="110"/>
      <c r="XAK1367" s="110"/>
      <c r="XAL1367" s="110"/>
      <c r="XAM1367" s="110"/>
      <c r="XAN1367" s="110"/>
      <c r="XAO1367" s="110"/>
      <c r="XAP1367" s="110"/>
      <c r="XAQ1367" s="110"/>
      <c r="XAR1367" s="110"/>
      <c r="XAS1367" s="110"/>
      <c r="XAT1367" s="110"/>
      <c r="XAU1367" s="110"/>
      <c r="XAV1367" s="110"/>
      <c r="XAW1367" s="110"/>
      <c r="XAX1367" s="110"/>
      <c r="XAY1367" s="110"/>
      <c r="XAZ1367" s="110"/>
      <c r="XBA1367" s="110"/>
      <c r="XBB1367" s="110"/>
      <c r="XBC1367" s="110"/>
      <c r="XBD1367" s="110"/>
      <c r="XBE1367" s="110"/>
      <c r="XBF1367" s="110"/>
      <c r="XBG1367" s="110"/>
      <c r="XBH1367" s="110"/>
      <c r="XBI1367" s="110"/>
      <c r="XBJ1367" s="110"/>
      <c r="XBK1367" s="110"/>
      <c r="XBL1367" s="110"/>
      <c r="XBM1367" s="110"/>
      <c r="XBN1367" s="110"/>
      <c r="XBO1367" s="110"/>
      <c r="XBP1367" s="110"/>
      <c r="XBQ1367" s="110"/>
      <c r="XBR1367" s="110"/>
      <c r="XBS1367" s="110"/>
      <c r="XBT1367" s="110"/>
      <c r="XBU1367" s="110"/>
      <c r="XBV1367" s="110"/>
      <c r="XBW1367" s="110"/>
      <c r="XBX1367" s="110"/>
      <c r="XBY1367" s="110"/>
      <c r="XBZ1367" s="110"/>
      <c r="XCA1367" s="110"/>
      <c r="XCB1367" s="110"/>
      <c r="XCC1367" s="110"/>
      <c r="XCD1367" s="110"/>
      <c r="XCE1367" s="110"/>
      <c r="XCF1367" s="110"/>
      <c r="XCG1367" s="110"/>
      <c r="XCH1367" s="110"/>
      <c r="XCI1367" s="110"/>
      <c r="XCJ1367" s="110"/>
      <c r="XCK1367" s="110"/>
      <c r="XCL1367" s="110"/>
      <c r="XCM1367" s="110"/>
      <c r="XCN1367" s="110"/>
      <c r="XCO1367" s="110"/>
      <c r="XCP1367" s="110"/>
      <c r="XCQ1367" s="110"/>
      <c r="XCR1367" s="110"/>
      <c r="XCS1367" s="110"/>
      <c r="XCT1367" s="110"/>
      <c r="XCU1367" s="110"/>
      <c r="XCV1367" s="110"/>
      <c r="XCW1367" s="110"/>
      <c r="XCX1367" s="110"/>
      <c r="XCY1367" s="110"/>
      <c r="XCZ1367" s="110"/>
      <c r="XDA1367" s="110"/>
      <c r="XDB1367" s="110"/>
      <c r="XDC1367" s="110"/>
      <c r="XDD1367" s="110"/>
      <c r="XDE1367" s="110"/>
      <c r="XDF1367" s="110"/>
      <c r="XDG1367" s="110"/>
      <c r="XDH1367" s="110"/>
      <c r="XDI1367" s="110"/>
      <c r="XDJ1367" s="110"/>
      <c r="XDK1367" s="110"/>
      <c r="XDL1367" s="110"/>
      <c r="XDM1367" s="110"/>
      <c r="XDN1367" s="110"/>
      <c r="XDO1367" s="110"/>
      <c r="XDP1367" s="110"/>
      <c r="XDQ1367" s="110"/>
      <c r="XDR1367" s="110"/>
      <c r="XDS1367" s="110"/>
      <c r="XDT1367" s="110"/>
      <c r="XDU1367" s="110"/>
      <c r="XDV1367" s="110"/>
      <c r="XDW1367" s="110"/>
      <c r="XDX1367" s="110"/>
      <c r="XDY1367" s="110"/>
      <c r="XDZ1367" s="110"/>
      <c r="XEA1367" s="110"/>
      <c r="XEB1367" s="110"/>
      <c r="XEC1367" s="110"/>
      <c r="XED1367" s="110"/>
      <c r="XEE1367" s="110"/>
      <c r="XEF1367" s="110"/>
      <c r="XEG1367" s="110"/>
      <c r="XEH1367" s="110"/>
      <c r="XEI1367" s="110"/>
      <c r="XEJ1367" s="110"/>
      <c r="XEK1367" s="110"/>
      <c r="XEL1367" s="110"/>
      <c r="XEM1367" s="110"/>
      <c r="XEN1367" s="110"/>
      <c r="XEO1367" s="110"/>
      <c r="XEP1367" s="110"/>
      <c r="XEQ1367" s="110"/>
      <c r="XER1367" s="110"/>
      <c r="XES1367" s="110"/>
      <c r="XET1367" s="110"/>
      <c r="XEU1367" s="110"/>
      <c r="XEV1367" s="110"/>
      <c r="XEW1367" s="110"/>
      <c r="XEX1367" s="110"/>
      <c r="XEY1367" s="110"/>
      <c r="XEZ1367" s="110"/>
      <c r="XFA1367" s="110"/>
      <c r="XFB1367" s="110"/>
    </row>
    <row r="1368" spans="1:16382" s="53" customFormat="1" ht="11.25" customHeight="1" x14ac:dyDescent="0.15">
      <c r="A1368" s="53" t="s">
        <v>699</v>
      </c>
      <c r="C1368" s="54" t="s">
        <v>360</v>
      </c>
      <c r="D1368" s="54">
        <v>2023</v>
      </c>
      <c r="E1368" s="70">
        <v>45291</v>
      </c>
      <c r="F1368" s="54"/>
      <c r="I1368" s="111"/>
      <c r="J1368" s="111"/>
      <c r="L1368" s="97">
        <f>SUM(L1360:L1367)</f>
        <v>712216</v>
      </c>
      <c r="M1368" s="97">
        <f>SUM(M1360:M1367)</f>
        <v>234520.48</v>
      </c>
      <c r="N1368" s="97">
        <f>SUM(N1360:N1367)</f>
        <v>485771.26</v>
      </c>
      <c r="O1368" s="57">
        <f t="shared" si="942"/>
        <v>0.68205608972558884</v>
      </c>
      <c r="P1368" s="97">
        <f>SUM(P1360:P1367)</f>
        <v>712216</v>
      </c>
      <c r="Q1368" s="24"/>
      <c r="R1368" s="117">
        <f>SUM(R1360:R1367)</f>
        <v>138</v>
      </c>
      <c r="S1368" s="117">
        <f t="shared" ref="S1368:W1368" si="949">SUM(S1360:S1367)</f>
        <v>5428.02</v>
      </c>
      <c r="T1368" s="117">
        <f t="shared" si="949"/>
        <v>0</v>
      </c>
      <c r="U1368" s="117">
        <f t="shared" si="949"/>
        <v>225979.69</v>
      </c>
      <c r="V1368" s="117">
        <f t="shared" si="949"/>
        <v>0</v>
      </c>
      <c r="W1368" s="26">
        <f t="shared" si="949"/>
        <v>231652.06</v>
      </c>
      <c r="X1368" s="56"/>
      <c r="Y1368" s="57">
        <f>IFERROR(U1368/P1368,0)</f>
        <v>0.31729094825165399</v>
      </c>
      <c r="Z1368" s="28">
        <f>P1368-W1368</f>
        <v>480563.94</v>
      </c>
      <c r="AA1368" s="57">
        <f>Z1368/P1368</f>
        <v>0.67474465611556045</v>
      </c>
      <c r="AB1368" s="58">
        <f t="shared" si="947"/>
        <v>2868.4200000000128</v>
      </c>
      <c r="AC1368" s="57">
        <f>IFERROR(AA1368-O1368,"")</f>
        <v>-7.311433610028395E-3</v>
      </c>
      <c r="AG1368" s="61"/>
    </row>
    <row r="1369" spans="1:16382" s="110" customFormat="1" ht="11.25" customHeight="1" x14ac:dyDescent="0.15">
      <c r="A1369" s="110" t="s">
        <v>699</v>
      </c>
      <c r="C1369" s="240" t="s">
        <v>47</v>
      </c>
      <c r="D1369" s="213">
        <v>2025</v>
      </c>
      <c r="E1369" s="281">
        <v>45716</v>
      </c>
      <c r="F1369" s="111"/>
      <c r="G1369" s="111">
        <v>50000010</v>
      </c>
      <c r="H1369" s="111"/>
      <c r="I1369" s="111"/>
      <c r="J1369" s="111"/>
      <c r="K1369" s="112" t="s">
        <v>709</v>
      </c>
      <c r="L1369" s="120">
        <v>53001</v>
      </c>
      <c r="M1369" s="120">
        <v>21387.040000000001</v>
      </c>
      <c r="N1369" s="120">
        <f t="shared" ref="N1369:N1371" si="950">L1369-M1369</f>
        <v>31613.96</v>
      </c>
      <c r="O1369" s="119">
        <f t="shared" si="942"/>
        <v>0.59647855700835828</v>
      </c>
      <c r="P1369" s="120">
        <f>L1369</f>
        <v>53001</v>
      </c>
      <c r="Q1369" s="111">
        <v>4158</v>
      </c>
      <c r="R1369" s="117">
        <v>439</v>
      </c>
      <c r="S1369" s="117">
        <v>21354.54</v>
      </c>
      <c r="T1369" s="117">
        <v>26314.81</v>
      </c>
      <c r="U1369" s="117">
        <v>20308.740000000002</v>
      </c>
      <c r="V1369" s="117">
        <v>350.72</v>
      </c>
      <c r="W1369" s="26">
        <f>SUM(S1369:V1369)</f>
        <v>68328.810000000012</v>
      </c>
      <c r="X1369" s="118">
        <f t="shared" si="943"/>
        <v>48.643599088838272</v>
      </c>
      <c r="Y1369" s="119"/>
      <c r="Z1369" s="117">
        <f t="shared" ref="Z1369" si="951">P1369-W1369</f>
        <v>-15327.810000000012</v>
      </c>
      <c r="AA1369" s="119">
        <f t="shared" ref="AA1369" si="952">Z1369/P1369</f>
        <v>-0.28919850568857214</v>
      </c>
      <c r="AB1369" s="120">
        <f t="shared" ref="AB1369" si="953">M1369-W1369</f>
        <v>-46941.770000000011</v>
      </c>
      <c r="AC1369" s="119">
        <f t="shared" ref="AC1369" si="954">IFERROR(AA1369-O1369,"")</f>
        <v>-0.88567706269693036</v>
      </c>
      <c r="AD1369" s="110" t="s">
        <v>710</v>
      </c>
      <c r="AE1369" s="121"/>
    </row>
    <row r="1370" spans="1:16382" ht="11.25" customHeight="1" x14ac:dyDescent="0.15">
      <c r="A1370" s="110" t="s">
        <v>699</v>
      </c>
      <c r="B1370" s="110"/>
      <c r="C1370" s="111" t="s">
        <v>248</v>
      </c>
      <c r="D1370" s="213">
        <v>2025</v>
      </c>
      <c r="E1370" s="281">
        <v>45716</v>
      </c>
      <c r="F1370" s="111"/>
      <c r="G1370" s="111">
        <v>96000000</v>
      </c>
      <c r="H1370" s="111"/>
      <c r="I1370" s="111"/>
      <c r="J1370" s="111"/>
      <c r="K1370" s="112" t="s">
        <v>250</v>
      </c>
      <c r="L1370" s="120">
        <v>46766</v>
      </c>
      <c r="M1370" s="120">
        <v>18347</v>
      </c>
      <c r="N1370" s="120">
        <f t="shared" si="950"/>
        <v>28419</v>
      </c>
      <c r="O1370" s="119">
        <f t="shared" si="942"/>
        <v>0.60768507035025443</v>
      </c>
      <c r="P1370" s="120">
        <f t="shared" ref="P1370:P1374" si="955">L1370</f>
        <v>46766</v>
      </c>
      <c r="Q1370" s="111">
        <v>2755</v>
      </c>
      <c r="R1370" s="117">
        <v>36</v>
      </c>
      <c r="S1370" s="117">
        <v>2035.8</v>
      </c>
      <c r="T1370" s="117"/>
      <c r="U1370" s="117"/>
      <c r="V1370" s="117"/>
      <c r="W1370" s="26">
        <f t="shared" si="934"/>
        <v>2035.8</v>
      </c>
      <c r="X1370" s="118">
        <f t="shared" si="943"/>
        <v>56.55</v>
      </c>
      <c r="Y1370" s="119">
        <f t="shared" ref="Y1370:Y1371" si="956">U1370/P1370</f>
        <v>0</v>
      </c>
      <c r="Z1370" s="117">
        <f t="shared" ref="Z1370:Z1371" si="957">P1370-W1370</f>
        <v>44730.2</v>
      </c>
      <c r="AA1370" s="119">
        <f t="shared" ref="AA1370:AA1371" si="958">Z1370/P1370</f>
        <v>0.95646837446007782</v>
      </c>
      <c r="AB1370" s="120">
        <f t="shared" si="947"/>
        <v>16311.2</v>
      </c>
      <c r="AC1370" s="119">
        <f t="shared" ref="AC1370:AC1371" si="959">IFERROR(AA1370-O1370,"")</f>
        <v>0.34878330410982339</v>
      </c>
      <c r="AD1370" s="110"/>
      <c r="AE1370" s="110"/>
      <c r="AF1370" s="110"/>
      <c r="AG1370" s="121"/>
      <c r="AH1370" s="110"/>
      <c r="AI1370" s="110"/>
      <c r="AJ1370" s="110"/>
      <c r="AK1370" s="110"/>
      <c r="AL1370" s="110"/>
      <c r="AM1370" s="110"/>
      <c r="AN1370" s="110"/>
      <c r="AO1370" s="110"/>
      <c r="AP1370" s="110"/>
      <c r="AQ1370" s="110"/>
      <c r="AR1370" s="110"/>
      <c r="AS1370" s="110"/>
      <c r="AT1370" s="110"/>
      <c r="AU1370" s="110"/>
      <c r="AV1370" s="110"/>
      <c r="AW1370" s="110"/>
      <c r="AX1370" s="110"/>
      <c r="AY1370" s="110"/>
      <c r="AZ1370" s="110"/>
      <c r="BA1370" s="110"/>
      <c r="BB1370" s="110"/>
      <c r="BC1370" s="110"/>
      <c r="BD1370" s="110"/>
      <c r="BE1370" s="110"/>
      <c r="BF1370" s="110"/>
      <c r="BG1370" s="110"/>
      <c r="BH1370" s="110"/>
      <c r="BI1370" s="110"/>
      <c r="BJ1370" s="110"/>
      <c r="BK1370" s="110"/>
      <c r="BL1370" s="110"/>
      <c r="BM1370" s="110"/>
      <c r="BN1370" s="110"/>
      <c r="BO1370" s="110"/>
      <c r="BP1370" s="110"/>
      <c r="BQ1370" s="110"/>
      <c r="BR1370" s="110"/>
      <c r="BS1370" s="110"/>
      <c r="BT1370" s="110"/>
      <c r="BU1370" s="110"/>
      <c r="BV1370" s="110"/>
      <c r="BW1370" s="110"/>
      <c r="BX1370" s="110"/>
      <c r="BY1370" s="110"/>
      <c r="BZ1370" s="110"/>
      <c r="CA1370" s="110"/>
      <c r="CB1370" s="110"/>
      <c r="CC1370" s="110"/>
      <c r="CD1370" s="110"/>
      <c r="CE1370" s="110"/>
      <c r="CF1370" s="110"/>
      <c r="CG1370" s="110"/>
      <c r="CH1370" s="110"/>
      <c r="CI1370" s="110"/>
      <c r="CJ1370" s="110"/>
      <c r="CK1370" s="110"/>
      <c r="CL1370" s="110"/>
      <c r="CM1370" s="110"/>
      <c r="CN1370" s="110"/>
      <c r="CO1370" s="110"/>
      <c r="CP1370" s="110"/>
      <c r="CQ1370" s="110"/>
      <c r="CR1370" s="110"/>
      <c r="CS1370" s="110"/>
      <c r="CT1370" s="110"/>
      <c r="CU1370" s="110"/>
      <c r="CV1370" s="110"/>
      <c r="CW1370" s="110"/>
      <c r="CX1370" s="110"/>
      <c r="CY1370" s="110"/>
      <c r="CZ1370" s="110"/>
      <c r="DA1370" s="110"/>
      <c r="DB1370" s="110"/>
      <c r="DC1370" s="110"/>
      <c r="DD1370" s="110"/>
      <c r="DE1370" s="110"/>
      <c r="DF1370" s="110"/>
      <c r="DG1370" s="110"/>
      <c r="DH1370" s="110"/>
      <c r="DI1370" s="110"/>
      <c r="DJ1370" s="110"/>
      <c r="DK1370" s="110"/>
      <c r="DL1370" s="110"/>
      <c r="DM1370" s="110"/>
      <c r="DN1370" s="110"/>
      <c r="DO1370" s="110"/>
      <c r="DP1370" s="110"/>
      <c r="DQ1370" s="110"/>
      <c r="DR1370" s="110"/>
      <c r="DS1370" s="110"/>
      <c r="DT1370" s="110"/>
      <c r="DU1370" s="110"/>
      <c r="DV1370" s="110"/>
      <c r="DW1370" s="110"/>
      <c r="DX1370" s="110"/>
      <c r="DY1370" s="110"/>
      <c r="DZ1370" s="110"/>
      <c r="EA1370" s="110"/>
      <c r="EB1370" s="110"/>
      <c r="EC1370" s="110"/>
      <c r="ED1370" s="110"/>
      <c r="EE1370" s="110"/>
      <c r="EF1370" s="110"/>
      <c r="EG1370" s="110"/>
      <c r="EH1370" s="110"/>
      <c r="EI1370" s="110"/>
      <c r="EJ1370" s="110"/>
      <c r="EK1370" s="110"/>
      <c r="EL1370" s="110"/>
      <c r="EM1370" s="110"/>
      <c r="EN1370" s="110"/>
      <c r="EO1370" s="110"/>
      <c r="EP1370" s="110"/>
      <c r="EQ1370" s="110"/>
      <c r="ER1370" s="110"/>
      <c r="ES1370" s="110"/>
      <c r="ET1370" s="110"/>
      <c r="EU1370" s="110"/>
      <c r="EV1370" s="110"/>
      <c r="EW1370" s="110"/>
      <c r="EX1370" s="110"/>
      <c r="EY1370" s="110"/>
      <c r="EZ1370" s="110"/>
      <c r="FA1370" s="110"/>
      <c r="FB1370" s="110"/>
      <c r="FC1370" s="110"/>
      <c r="FD1370" s="110"/>
      <c r="FE1370" s="110"/>
      <c r="FF1370" s="110"/>
      <c r="FG1370" s="110"/>
      <c r="FH1370" s="110"/>
      <c r="FI1370" s="110"/>
      <c r="FJ1370" s="110"/>
      <c r="FK1370" s="110"/>
      <c r="FL1370" s="110"/>
      <c r="FM1370" s="110"/>
      <c r="FN1370" s="110"/>
      <c r="FO1370" s="110"/>
      <c r="FP1370" s="110"/>
      <c r="FQ1370" s="110"/>
      <c r="FR1370" s="110"/>
      <c r="FS1370" s="110"/>
      <c r="FT1370" s="110"/>
      <c r="FU1370" s="110"/>
      <c r="FV1370" s="110"/>
      <c r="FW1370" s="110"/>
      <c r="FX1370" s="110"/>
      <c r="FY1370" s="110"/>
      <c r="FZ1370" s="110"/>
      <c r="GA1370" s="110"/>
      <c r="GB1370" s="110"/>
      <c r="GC1370" s="110"/>
      <c r="GD1370" s="110"/>
      <c r="GE1370" s="110"/>
      <c r="GF1370" s="110"/>
      <c r="GG1370" s="110"/>
      <c r="GH1370" s="110"/>
      <c r="GI1370" s="110"/>
      <c r="GJ1370" s="110"/>
      <c r="GK1370" s="110"/>
      <c r="GL1370" s="110"/>
      <c r="GM1370" s="110"/>
      <c r="GN1370" s="110"/>
      <c r="GO1370" s="110"/>
      <c r="GP1370" s="110"/>
      <c r="GQ1370" s="110"/>
      <c r="GR1370" s="110"/>
      <c r="GS1370" s="110"/>
      <c r="GT1370" s="110"/>
      <c r="GU1370" s="110"/>
      <c r="GV1370" s="110"/>
      <c r="GW1370" s="110"/>
      <c r="GX1370" s="110"/>
      <c r="GY1370" s="110"/>
      <c r="GZ1370" s="110"/>
      <c r="HA1370" s="110"/>
      <c r="HB1370" s="110"/>
      <c r="HC1370" s="110"/>
      <c r="HD1370" s="110"/>
      <c r="HE1370" s="110"/>
      <c r="HF1370" s="110"/>
      <c r="HG1370" s="110"/>
      <c r="HH1370" s="110"/>
      <c r="HI1370" s="110"/>
      <c r="HJ1370" s="110"/>
      <c r="HK1370" s="110"/>
      <c r="HL1370" s="110"/>
      <c r="HM1370" s="110"/>
      <c r="HN1370" s="110"/>
      <c r="HO1370" s="110"/>
      <c r="HP1370" s="110"/>
      <c r="HQ1370" s="110"/>
      <c r="HR1370" s="110"/>
      <c r="HS1370" s="110"/>
      <c r="HT1370" s="110"/>
      <c r="HU1370" s="110"/>
      <c r="HV1370" s="110"/>
      <c r="HW1370" s="110"/>
      <c r="HX1370" s="110"/>
      <c r="HY1370" s="110"/>
      <c r="HZ1370" s="110"/>
      <c r="IA1370" s="110"/>
      <c r="IB1370" s="110"/>
      <c r="IC1370" s="110"/>
      <c r="ID1370" s="110"/>
      <c r="IE1370" s="110"/>
      <c r="IF1370" s="110"/>
      <c r="IG1370" s="110"/>
      <c r="IH1370" s="110"/>
      <c r="II1370" s="110"/>
      <c r="IJ1370" s="110"/>
      <c r="IK1370" s="110"/>
      <c r="IL1370" s="110"/>
      <c r="IM1370" s="110"/>
      <c r="IN1370" s="110"/>
      <c r="IO1370" s="110"/>
      <c r="IP1370" s="110"/>
      <c r="IQ1370" s="110"/>
      <c r="IR1370" s="110"/>
      <c r="IS1370" s="110"/>
      <c r="IT1370" s="110"/>
      <c r="IU1370" s="110"/>
      <c r="IV1370" s="110"/>
      <c r="IW1370" s="110"/>
      <c r="IX1370" s="110"/>
      <c r="IY1370" s="110"/>
      <c r="IZ1370" s="110"/>
      <c r="JA1370" s="110"/>
      <c r="JB1370" s="110"/>
      <c r="JC1370" s="110"/>
      <c r="JD1370" s="110"/>
      <c r="JE1370" s="110"/>
      <c r="JF1370" s="110"/>
      <c r="JG1370" s="110"/>
      <c r="JH1370" s="110"/>
      <c r="JI1370" s="110"/>
      <c r="JJ1370" s="110"/>
      <c r="JK1370" s="110"/>
      <c r="JL1370" s="110"/>
      <c r="JM1370" s="110"/>
      <c r="JN1370" s="110"/>
      <c r="JO1370" s="110"/>
      <c r="JP1370" s="110"/>
      <c r="JQ1370" s="110"/>
      <c r="JR1370" s="110"/>
      <c r="JS1370" s="110"/>
      <c r="JT1370" s="110"/>
      <c r="JU1370" s="110"/>
      <c r="JV1370" s="110"/>
      <c r="JW1370" s="110"/>
      <c r="JX1370" s="110"/>
      <c r="JY1370" s="110"/>
      <c r="JZ1370" s="110"/>
      <c r="KA1370" s="110"/>
      <c r="KB1370" s="110"/>
      <c r="KC1370" s="110"/>
      <c r="KD1370" s="110"/>
      <c r="KE1370" s="110"/>
      <c r="KF1370" s="110"/>
      <c r="KG1370" s="110"/>
      <c r="KH1370" s="110"/>
      <c r="KI1370" s="110"/>
      <c r="KJ1370" s="110"/>
      <c r="KK1370" s="110"/>
      <c r="KL1370" s="110"/>
      <c r="KM1370" s="110"/>
      <c r="KN1370" s="110"/>
      <c r="KO1370" s="110"/>
      <c r="KP1370" s="110"/>
      <c r="KQ1370" s="110"/>
      <c r="KR1370" s="110"/>
      <c r="KS1370" s="110"/>
      <c r="KT1370" s="110"/>
      <c r="KU1370" s="110"/>
      <c r="KV1370" s="110"/>
      <c r="KW1370" s="110"/>
      <c r="KX1370" s="110"/>
      <c r="KY1370" s="110"/>
      <c r="KZ1370" s="110"/>
      <c r="LA1370" s="110"/>
      <c r="LB1370" s="110"/>
      <c r="LC1370" s="110"/>
      <c r="LD1370" s="110"/>
      <c r="LE1370" s="110"/>
      <c r="LF1370" s="110"/>
      <c r="LG1370" s="110"/>
      <c r="LH1370" s="110"/>
      <c r="LI1370" s="110"/>
      <c r="LJ1370" s="110"/>
      <c r="LK1370" s="110"/>
      <c r="LL1370" s="110"/>
      <c r="LM1370" s="110"/>
      <c r="LN1370" s="110"/>
      <c r="LO1370" s="110"/>
      <c r="LP1370" s="110"/>
      <c r="LQ1370" s="110"/>
      <c r="LR1370" s="110"/>
      <c r="LS1370" s="110"/>
      <c r="LT1370" s="110"/>
      <c r="LU1370" s="110"/>
      <c r="LV1370" s="110"/>
      <c r="LW1370" s="110"/>
      <c r="LX1370" s="110"/>
      <c r="LY1370" s="110"/>
      <c r="LZ1370" s="110"/>
      <c r="MA1370" s="110"/>
      <c r="MB1370" s="110"/>
      <c r="MC1370" s="110"/>
      <c r="MD1370" s="110"/>
      <c r="ME1370" s="110"/>
      <c r="MF1370" s="110"/>
      <c r="MG1370" s="110"/>
      <c r="MH1370" s="110"/>
      <c r="MI1370" s="110"/>
      <c r="MJ1370" s="110"/>
      <c r="MK1370" s="110"/>
      <c r="ML1370" s="110"/>
      <c r="MM1370" s="110"/>
      <c r="MN1370" s="110"/>
      <c r="MO1370" s="110"/>
      <c r="MP1370" s="110"/>
      <c r="MQ1370" s="110"/>
      <c r="MR1370" s="110"/>
      <c r="MS1370" s="110"/>
      <c r="MT1370" s="110"/>
      <c r="MU1370" s="110"/>
      <c r="MV1370" s="110"/>
      <c r="MW1370" s="110"/>
      <c r="MX1370" s="110"/>
      <c r="MY1370" s="110"/>
      <c r="MZ1370" s="110"/>
      <c r="NA1370" s="110"/>
      <c r="NB1370" s="110"/>
      <c r="NC1370" s="110"/>
      <c r="ND1370" s="110"/>
      <c r="NE1370" s="110"/>
      <c r="NF1370" s="110"/>
      <c r="NG1370" s="110"/>
      <c r="NH1370" s="110"/>
      <c r="NI1370" s="110"/>
      <c r="NJ1370" s="110"/>
      <c r="NK1370" s="110"/>
      <c r="NL1370" s="110"/>
      <c r="NM1370" s="110"/>
      <c r="NN1370" s="110"/>
      <c r="NO1370" s="110"/>
      <c r="NP1370" s="110"/>
      <c r="NQ1370" s="110"/>
      <c r="NR1370" s="110"/>
      <c r="NS1370" s="110"/>
      <c r="NT1370" s="110"/>
      <c r="NU1370" s="110"/>
      <c r="NV1370" s="110"/>
      <c r="NW1370" s="110"/>
      <c r="NX1370" s="110"/>
      <c r="NY1370" s="110"/>
      <c r="NZ1370" s="110"/>
      <c r="OA1370" s="110"/>
      <c r="OB1370" s="110"/>
      <c r="OC1370" s="110"/>
      <c r="OD1370" s="110"/>
      <c r="OE1370" s="110"/>
      <c r="OF1370" s="110"/>
      <c r="OG1370" s="110"/>
      <c r="OH1370" s="110"/>
      <c r="OI1370" s="110"/>
      <c r="OJ1370" s="110"/>
      <c r="OK1370" s="110"/>
      <c r="OL1370" s="110"/>
      <c r="OM1370" s="110"/>
      <c r="ON1370" s="110"/>
      <c r="OO1370" s="110"/>
      <c r="OP1370" s="110"/>
      <c r="OQ1370" s="110"/>
      <c r="OR1370" s="110"/>
      <c r="OS1370" s="110"/>
      <c r="OT1370" s="110"/>
      <c r="OU1370" s="110"/>
      <c r="OV1370" s="110"/>
      <c r="OW1370" s="110"/>
      <c r="OX1370" s="110"/>
      <c r="OY1370" s="110"/>
      <c r="OZ1370" s="110"/>
      <c r="PA1370" s="110"/>
      <c r="PB1370" s="110"/>
      <c r="PC1370" s="110"/>
      <c r="PD1370" s="110"/>
      <c r="PE1370" s="110"/>
      <c r="PF1370" s="110"/>
      <c r="PG1370" s="110"/>
      <c r="PH1370" s="110"/>
      <c r="PI1370" s="110"/>
      <c r="PJ1370" s="110"/>
      <c r="PK1370" s="110"/>
      <c r="PL1370" s="110"/>
      <c r="PM1370" s="110"/>
      <c r="PN1370" s="110"/>
      <c r="PO1370" s="110"/>
      <c r="PP1370" s="110"/>
      <c r="PQ1370" s="110"/>
      <c r="PR1370" s="110"/>
      <c r="PS1370" s="110"/>
      <c r="PT1370" s="110"/>
      <c r="PU1370" s="110"/>
      <c r="PV1370" s="110"/>
      <c r="PW1370" s="110"/>
      <c r="PX1370" s="110"/>
      <c r="PY1370" s="110"/>
      <c r="PZ1370" s="110"/>
      <c r="QA1370" s="110"/>
      <c r="QB1370" s="110"/>
      <c r="QC1370" s="110"/>
      <c r="QD1370" s="110"/>
      <c r="QE1370" s="110"/>
      <c r="QF1370" s="110"/>
      <c r="QG1370" s="110"/>
      <c r="QH1370" s="110"/>
      <c r="QI1370" s="110"/>
      <c r="QJ1370" s="110"/>
      <c r="QK1370" s="110"/>
      <c r="QL1370" s="110"/>
      <c r="QM1370" s="110"/>
      <c r="QN1370" s="110"/>
      <c r="QO1370" s="110"/>
      <c r="QP1370" s="110"/>
      <c r="QQ1370" s="110"/>
      <c r="QR1370" s="110"/>
      <c r="QS1370" s="110"/>
      <c r="QT1370" s="110"/>
      <c r="QU1370" s="110"/>
      <c r="QV1370" s="110"/>
      <c r="QW1370" s="110"/>
      <c r="QX1370" s="110"/>
      <c r="QY1370" s="110"/>
      <c r="QZ1370" s="110"/>
      <c r="RA1370" s="110"/>
      <c r="RB1370" s="110"/>
      <c r="RC1370" s="110"/>
      <c r="RD1370" s="110"/>
      <c r="RE1370" s="110"/>
      <c r="RF1370" s="110"/>
      <c r="RG1370" s="110"/>
      <c r="RH1370" s="110"/>
      <c r="RI1370" s="110"/>
      <c r="RJ1370" s="110"/>
      <c r="RK1370" s="110"/>
      <c r="RL1370" s="110"/>
      <c r="RM1370" s="110"/>
      <c r="RN1370" s="110"/>
      <c r="RO1370" s="110"/>
      <c r="RP1370" s="110"/>
      <c r="RQ1370" s="110"/>
      <c r="RR1370" s="110"/>
      <c r="RS1370" s="110"/>
      <c r="RT1370" s="110"/>
      <c r="RU1370" s="110"/>
      <c r="RV1370" s="110"/>
      <c r="RW1370" s="110"/>
      <c r="RX1370" s="110"/>
      <c r="RY1370" s="110"/>
      <c r="RZ1370" s="110"/>
      <c r="SA1370" s="110"/>
      <c r="SB1370" s="110"/>
      <c r="SC1370" s="110"/>
      <c r="SD1370" s="110"/>
      <c r="SE1370" s="110"/>
      <c r="SF1370" s="110"/>
      <c r="SG1370" s="110"/>
      <c r="SH1370" s="110"/>
      <c r="SI1370" s="110"/>
      <c r="SJ1370" s="110"/>
      <c r="SK1370" s="110"/>
      <c r="SL1370" s="110"/>
      <c r="SM1370" s="110"/>
      <c r="SN1370" s="110"/>
      <c r="SO1370" s="110"/>
      <c r="SP1370" s="110"/>
      <c r="SQ1370" s="110"/>
      <c r="SR1370" s="110"/>
      <c r="SS1370" s="110"/>
      <c r="ST1370" s="110"/>
      <c r="SU1370" s="110"/>
      <c r="SV1370" s="110"/>
      <c r="SW1370" s="110"/>
      <c r="SX1370" s="110"/>
      <c r="SY1370" s="110"/>
      <c r="SZ1370" s="110"/>
      <c r="TA1370" s="110"/>
      <c r="TB1370" s="110"/>
      <c r="TC1370" s="110"/>
      <c r="TD1370" s="110"/>
      <c r="TE1370" s="110"/>
      <c r="TF1370" s="110"/>
      <c r="TG1370" s="110"/>
      <c r="TH1370" s="110"/>
      <c r="TI1370" s="110"/>
      <c r="TJ1370" s="110"/>
      <c r="TK1370" s="110"/>
      <c r="TL1370" s="110"/>
      <c r="TM1370" s="110"/>
      <c r="TN1370" s="110"/>
      <c r="TO1370" s="110"/>
      <c r="TP1370" s="110"/>
      <c r="TQ1370" s="110"/>
      <c r="TR1370" s="110"/>
      <c r="TS1370" s="110"/>
      <c r="TT1370" s="110"/>
      <c r="TU1370" s="110"/>
      <c r="TV1370" s="110"/>
      <c r="TW1370" s="110"/>
      <c r="TX1370" s="110"/>
      <c r="TY1370" s="110"/>
      <c r="TZ1370" s="110"/>
      <c r="UA1370" s="110"/>
      <c r="UB1370" s="110"/>
      <c r="UC1370" s="110"/>
      <c r="UD1370" s="110"/>
      <c r="UE1370" s="110"/>
      <c r="UF1370" s="110"/>
      <c r="UG1370" s="110"/>
      <c r="UH1370" s="110"/>
      <c r="UI1370" s="110"/>
      <c r="UJ1370" s="110"/>
      <c r="UK1370" s="110"/>
      <c r="UL1370" s="110"/>
      <c r="UM1370" s="110"/>
      <c r="UN1370" s="110"/>
      <c r="UO1370" s="110"/>
      <c r="UP1370" s="110"/>
      <c r="UQ1370" s="110"/>
      <c r="UR1370" s="110"/>
      <c r="US1370" s="110"/>
      <c r="UT1370" s="110"/>
      <c r="UU1370" s="110"/>
      <c r="UV1370" s="110"/>
      <c r="UW1370" s="110"/>
      <c r="UX1370" s="110"/>
      <c r="UY1370" s="110"/>
      <c r="UZ1370" s="110"/>
      <c r="VA1370" s="110"/>
      <c r="VB1370" s="110"/>
      <c r="VC1370" s="110"/>
      <c r="VD1370" s="110"/>
      <c r="VE1370" s="110"/>
      <c r="VF1370" s="110"/>
      <c r="VG1370" s="110"/>
      <c r="VH1370" s="110"/>
      <c r="VI1370" s="110"/>
      <c r="VJ1370" s="110"/>
      <c r="VK1370" s="110"/>
      <c r="VL1370" s="110"/>
      <c r="VM1370" s="110"/>
      <c r="VN1370" s="110"/>
      <c r="VO1370" s="110"/>
      <c r="VP1370" s="110"/>
      <c r="VQ1370" s="110"/>
      <c r="VR1370" s="110"/>
      <c r="VS1370" s="110"/>
      <c r="VT1370" s="110"/>
      <c r="VU1370" s="110"/>
      <c r="VV1370" s="110"/>
      <c r="VW1370" s="110"/>
      <c r="VX1370" s="110"/>
      <c r="VY1370" s="110"/>
      <c r="VZ1370" s="110"/>
      <c r="WA1370" s="110"/>
      <c r="WB1370" s="110"/>
      <c r="WC1370" s="110"/>
      <c r="WD1370" s="110"/>
      <c r="WE1370" s="110"/>
      <c r="WF1370" s="110"/>
      <c r="WG1370" s="110"/>
      <c r="WH1370" s="110"/>
      <c r="WI1370" s="110"/>
      <c r="WJ1370" s="110"/>
      <c r="WK1370" s="110"/>
      <c r="WL1370" s="110"/>
      <c r="WM1370" s="110"/>
      <c r="WN1370" s="110"/>
      <c r="WO1370" s="110"/>
      <c r="WP1370" s="110"/>
      <c r="WQ1370" s="110"/>
      <c r="WR1370" s="110"/>
      <c r="WS1370" s="110"/>
      <c r="WT1370" s="110"/>
      <c r="WU1370" s="110"/>
      <c r="WV1370" s="110"/>
      <c r="WW1370" s="110"/>
      <c r="WX1370" s="110"/>
      <c r="WY1370" s="110"/>
      <c r="WZ1370" s="110"/>
      <c r="XA1370" s="110"/>
      <c r="XB1370" s="110"/>
      <c r="XC1370" s="110"/>
      <c r="XD1370" s="110"/>
      <c r="XE1370" s="110"/>
      <c r="XF1370" s="110"/>
      <c r="XG1370" s="110"/>
      <c r="XH1370" s="110"/>
      <c r="XI1370" s="110"/>
      <c r="XJ1370" s="110"/>
      <c r="XK1370" s="110"/>
      <c r="XL1370" s="110"/>
      <c r="XM1370" s="110"/>
      <c r="XN1370" s="110"/>
      <c r="XO1370" s="110"/>
      <c r="XP1370" s="110"/>
      <c r="XQ1370" s="110"/>
      <c r="XR1370" s="110"/>
      <c r="XS1370" s="110"/>
      <c r="XT1370" s="110"/>
      <c r="XU1370" s="110"/>
      <c r="XV1370" s="110"/>
      <c r="XW1370" s="110"/>
      <c r="XX1370" s="110"/>
      <c r="XY1370" s="110"/>
      <c r="XZ1370" s="110"/>
      <c r="YA1370" s="110"/>
      <c r="YB1370" s="110"/>
      <c r="YC1370" s="110"/>
      <c r="YD1370" s="110"/>
      <c r="YE1370" s="110"/>
      <c r="YF1370" s="110"/>
      <c r="YG1370" s="110"/>
      <c r="YH1370" s="110"/>
      <c r="YI1370" s="110"/>
      <c r="YJ1370" s="110"/>
      <c r="YK1370" s="110"/>
      <c r="YL1370" s="110"/>
      <c r="YM1370" s="110"/>
      <c r="YN1370" s="110"/>
      <c r="YO1370" s="110"/>
      <c r="YP1370" s="110"/>
      <c r="YQ1370" s="110"/>
      <c r="YR1370" s="110"/>
      <c r="YS1370" s="110"/>
      <c r="YT1370" s="110"/>
      <c r="YU1370" s="110"/>
      <c r="YV1370" s="110"/>
      <c r="YW1370" s="110"/>
      <c r="YX1370" s="110"/>
      <c r="YY1370" s="110"/>
      <c r="YZ1370" s="110"/>
      <c r="ZA1370" s="110"/>
      <c r="ZB1370" s="110"/>
      <c r="ZC1370" s="110"/>
      <c r="ZD1370" s="110"/>
      <c r="ZE1370" s="110"/>
      <c r="ZF1370" s="110"/>
      <c r="ZG1370" s="110"/>
      <c r="ZH1370" s="110"/>
      <c r="ZI1370" s="110"/>
      <c r="ZJ1370" s="110"/>
      <c r="ZK1370" s="110"/>
      <c r="ZL1370" s="110"/>
      <c r="ZM1370" s="110"/>
      <c r="ZN1370" s="110"/>
      <c r="ZO1370" s="110"/>
      <c r="ZP1370" s="110"/>
      <c r="ZQ1370" s="110"/>
      <c r="ZR1370" s="110"/>
      <c r="ZS1370" s="110"/>
      <c r="ZT1370" s="110"/>
      <c r="ZU1370" s="110"/>
      <c r="ZV1370" s="110"/>
      <c r="ZW1370" s="110"/>
      <c r="ZX1370" s="110"/>
      <c r="ZY1370" s="110"/>
      <c r="ZZ1370" s="110"/>
      <c r="AAA1370" s="110"/>
      <c r="AAB1370" s="110"/>
      <c r="AAC1370" s="110"/>
      <c r="AAD1370" s="110"/>
      <c r="AAE1370" s="110"/>
      <c r="AAF1370" s="110"/>
      <c r="AAG1370" s="110"/>
      <c r="AAH1370" s="110"/>
      <c r="AAI1370" s="110"/>
      <c r="AAJ1370" s="110"/>
      <c r="AAK1370" s="110"/>
      <c r="AAL1370" s="110"/>
      <c r="AAM1370" s="110"/>
      <c r="AAN1370" s="110"/>
      <c r="AAO1370" s="110"/>
      <c r="AAP1370" s="110"/>
      <c r="AAQ1370" s="110"/>
      <c r="AAR1370" s="110"/>
      <c r="AAS1370" s="110"/>
      <c r="AAT1370" s="110"/>
      <c r="AAU1370" s="110"/>
      <c r="AAV1370" s="110"/>
      <c r="AAW1370" s="110"/>
      <c r="AAX1370" s="110"/>
      <c r="AAY1370" s="110"/>
      <c r="AAZ1370" s="110"/>
      <c r="ABA1370" s="110"/>
      <c r="ABB1370" s="110"/>
      <c r="ABC1370" s="110"/>
      <c r="ABD1370" s="110"/>
      <c r="ABE1370" s="110"/>
      <c r="ABF1370" s="110"/>
      <c r="ABG1370" s="110"/>
      <c r="ABH1370" s="110"/>
      <c r="ABI1370" s="110"/>
      <c r="ABJ1370" s="110"/>
      <c r="ABK1370" s="110"/>
      <c r="ABL1370" s="110"/>
      <c r="ABM1370" s="110"/>
      <c r="ABN1370" s="110"/>
      <c r="ABO1370" s="110"/>
      <c r="ABP1370" s="110"/>
      <c r="ABQ1370" s="110"/>
      <c r="ABR1370" s="110"/>
      <c r="ABS1370" s="110"/>
      <c r="ABT1370" s="110"/>
      <c r="ABU1370" s="110"/>
      <c r="ABV1370" s="110"/>
      <c r="ABW1370" s="110"/>
      <c r="ABX1370" s="110"/>
      <c r="ABY1370" s="110"/>
      <c r="ABZ1370" s="110"/>
      <c r="ACA1370" s="110"/>
      <c r="ACB1370" s="110"/>
      <c r="ACC1370" s="110"/>
      <c r="ACD1370" s="110"/>
      <c r="ACE1370" s="110"/>
      <c r="ACF1370" s="110"/>
      <c r="ACG1370" s="110"/>
      <c r="ACH1370" s="110"/>
      <c r="ACI1370" s="110"/>
      <c r="ACJ1370" s="110"/>
      <c r="ACK1370" s="110"/>
      <c r="ACL1370" s="110"/>
      <c r="ACM1370" s="110"/>
      <c r="ACN1370" s="110"/>
      <c r="ACO1370" s="110"/>
      <c r="ACP1370" s="110"/>
      <c r="ACQ1370" s="110"/>
      <c r="ACR1370" s="110"/>
      <c r="ACS1370" s="110"/>
      <c r="ACT1370" s="110"/>
      <c r="ACU1370" s="110"/>
      <c r="ACV1370" s="110"/>
      <c r="ACW1370" s="110"/>
      <c r="ACX1370" s="110"/>
      <c r="ACY1370" s="110"/>
      <c r="ACZ1370" s="110"/>
      <c r="ADA1370" s="110"/>
      <c r="ADB1370" s="110"/>
      <c r="ADC1370" s="110"/>
      <c r="ADD1370" s="110"/>
      <c r="ADE1370" s="110"/>
      <c r="ADF1370" s="110"/>
      <c r="ADG1370" s="110"/>
      <c r="ADH1370" s="110"/>
      <c r="ADI1370" s="110"/>
      <c r="ADJ1370" s="110"/>
      <c r="ADK1370" s="110"/>
      <c r="ADL1370" s="110"/>
      <c r="ADM1370" s="110"/>
      <c r="ADN1370" s="110"/>
      <c r="ADO1370" s="110"/>
      <c r="ADP1370" s="110"/>
      <c r="ADQ1370" s="110"/>
      <c r="ADR1370" s="110"/>
      <c r="ADS1370" s="110"/>
      <c r="ADT1370" s="110"/>
      <c r="ADU1370" s="110"/>
      <c r="ADV1370" s="110"/>
      <c r="ADW1370" s="110"/>
      <c r="ADX1370" s="110"/>
      <c r="ADY1370" s="110"/>
      <c r="ADZ1370" s="110"/>
      <c r="AEA1370" s="110"/>
      <c r="AEB1370" s="110"/>
      <c r="AEC1370" s="110"/>
      <c r="AED1370" s="110"/>
      <c r="AEE1370" s="110"/>
      <c r="AEF1370" s="110"/>
      <c r="AEG1370" s="110"/>
      <c r="AEH1370" s="110"/>
      <c r="AEI1370" s="110"/>
      <c r="AEJ1370" s="110"/>
      <c r="AEK1370" s="110"/>
      <c r="AEL1370" s="110"/>
      <c r="AEM1370" s="110"/>
      <c r="AEN1370" s="110"/>
      <c r="AEO1370" s="110"/>
      <c r="AEP1370" s="110"/>
      <c r="AEQ1370" s="110"/>
      <c r="AER1370" s="110"/>
      <c r="AES1370" s="110"/>
      <c r="AET1370" s="110"/>
      <c r="AEU1370" s="110"/>
      <c r="AEV1370" s="110"/>
      <c r="AEW1370" s="110"/>
      <c r="AEX1370" s="110"/>
      <c r="AEY1370" s="110"/>
      <c r="AEZ1370" s="110"/>
      <c r="AFA1370" s="110"/>
      <c r="AFB1370" s="110"/>
      <c r="AFC1370" s="110"/>
      <c r="AFD1370" s="110"/>
      <c r="AFE1370" s="110"/>
      <c r="AFF1370" s="110"/>
      <c r="AFG1370" s="110"/>
      <c r="AFH1370" s="110"/>
      <c r="AFI1370" s="110"/>
      <c r="AFJ1370" s="110"/>
      <c r="AFK1370" s="110"/>
      <c r="AFL1370" s="110"/>
      <c r="AFM1370" s="110"/>
      <c r="AFN1370" s="110"/>
      <c r="AFO1370" s="110"/>
      <c r="AFP1370" s="110"/>
      <c r="AFQ1370" s="110"/>
      <c r="AFR1370" s="110"/>
      <c r="AFS1370" s="110"/>
      <c r="AFT1370" s="110"/>
      <c r="AFU1370" s="110"/>
      <c r="AFV1370" s="110"/>
      <c r="AFW1370" s="110"/>
      <c r="AFX1370" s="110"/>
      <c r="AFY1370" s="110"/>
      <c r="AFZ1370" s="110"/>
      <c r="AGA1370" s="110"/>
      <c r="AGB1370" s="110"/>
      <c r="AGC1370" s="110"/>
      <c r="AGD1370" s="110"/>
      <c r="AGE1370" s="110"/>
      <c r="AGF1370" s="110"/>
      <c r="AGG1370" s="110"/>
      <c r="AGH1370" s="110"/>
      <c r="AGI1370" s="110"/>
      <c r="AGJ1370" s="110"/>
      <c r="AGK1370" s="110"/>
      <c r="AGL1370" s="110"/>
      <c r="AGM1370" s="110"/>
      <c r="AGN1370" s="110"/>
      <c r="AGO1370" s="110"/>
      <c r="AGP1370" s="110"/>
      <c r="AGQ1370" s="110"/>
      <c r="AGR1370" s="110"/>
      <c r="AGS1370" s="110"/>
      <c r="AGT1370" s="110"/>
      <c r="AGU1370" s="110"/>
      <c r="AGV1370" s="110"/>
      <c r="AGW1370" s="110"/>
      <c r="AGX1370" s="110"/>
      <c r="AGY1370" s="110"/>
      <c r="AGZ1370" s="110"/>
      <c r="AHA1370" s="110"/>
      <c r="AHB1370" s="110"/>
      <c r="AHC1370" s="110"/>
      <c r="AHD1370" s="110"/>
      <c r="AHE1370" s="110"/>
      <c r="AHF1370" s="110"/>
      <c r="AHG1370" s="110"/>
      <c r="AHH1370" s="110"/>
      <c r="AHI1370" s="110"/>
      <c r="AHJ1370" s="110"/>
      <c r="AHK1370" s="110"/>
      <c r="AHL1370" s="110"/>
      <c r="AHM1370" s="110"/>
      <c r="AHN1370" s="110"/>
      <c r="AHO1370" s="110"/>
      <c r="AHP1370" s="110"/>
      <c r="AHQ1370" s="110"/>
      <c r="AHR1370" s="110"/>
      <c r="AHS1370" s="110"/>
      <c r="AHT1370" s="110"/>
      <c r="AHU1370" s="110"/>
      <c r="AHV1370" s="110"/>
      <c r="AHW1370" s="110"/>
      <c r="AHX1370" s="110"/>
      <c r="AHY1370" s="110"/>
      <c r="AHZ1370" s="110"/>
      <c r="AIA1370" s="110"/>
      <c r="AIB1370" s="110"/>
      <c r="AIC1370" s="110"/>
      <c r="AID1370" s="110"/>
      <c r="AIE1370" s="110"/>
      <c r="AIF1370" s="110"/>
      <c r="AIG1370" s="110"/>
      <c r="AIH1370" s="110"/>
      <c r="AII1370" s="110"/>
      <c r="AIJ1370" s="110"/>
      <c r="AIK1370" s="110"/>
      <c r="AIL1370" s="110"/>
      <c r="AIM1370" s="110"/>
      <c r="AIN1370" s="110"/>
      <c r="AIO1370" s="110"/>
      <c r="AIP1370" s="110"/>
      <c r="AIQ1370" s="110"/>
      <c r="AIR1370" s="110"/>
      <c r="AIS1370" s="110"/>
      <c r="AIT1370" s="110"/>
      <c r="AIU1370" s="110"/>
      <c r="AIV1370" s="110"/>
      <c r="AIW1370" s="110"/>
      <c r="AIX1370" s="110"/>
      <c r="AIY1370" s="110"/>
      <c r="AIZ1370" s="110"/>
      <c r="AJA1370" s="110"/>
      <c r="AJB1370" s="110"/>
      <c r="AJC1370" s="110"/>
      <c r="AJD1370" s="110"/>
      <c r="AJE1370" s="110"/>
      <c r="AJF1370" s="110"/>
      <c r="AJG1370" s="110"/>
      <c r="AJH1370" s="110"/>
      <c r="AJI1370" s="110"/>
      <c r="AJJ1370" s="110"/>
      <c r="AJK1370" s="110"/>
      <c r="AJL1370" s="110"/>
      <c r="AJM1370" s="110"/>
      <c r="AJN1370" s="110"/>
      <c r="AJO1370" s="110"/>
      <c r="AJP1370" s="110"/>
      <c r="AJQ1370" s="110"/>
      <c r="AJR1370" s="110"/>
      <c r="AJS1370" s="110"/>
      <c r="AJT1370" s="110"/>
      <c r="AJU1370" s="110"/>
      <c r="AJV1370" s="110"/>
      <c r="AJW1370" s="110"/>
      <c r="AJX1370" s="110"/>
      <c r="AJY1370" s="110"/>
      <c r="AJZ1370" s="110"/>
      <c r="AKA1370" s="110"/>
      <c r="AKB1370" s="110"/>
      <c r="AKC1370" s="110"/>
      <c r="AKD1370" s="110"/>
      <c r="AKE1370" s="110"/>
      <c r="AKF1370" s="110"/>
      <c r="AKG1370" s="110"/>
      <c r="AKH1370" s="110"/>
      <c r="AKI1370" s="110"/>
      <c r="AKJ1370" s="110"/>
      <c r="AKK1370" s="110"/>
      <c r="AKL1370" s="110"/>
      <c r="AKM1370" s="110"/>
      <c r="AKN1370" s="110"/>
      <c r="AKO1370" s="110"/>
      <c r="AKP1370" s="110"/>
      <c r="AKQ1370" s="110"/>
      <c r="AKR1370" s="110"/>
      <c r="AKS1370" s="110"/>
      <c r="AKT1370" s="110"/>
      <c r="AKU1370" s="110"/>
      <c r="AKV1370" s="110"/>
      <c r="AKW1370" s="110"/>
      <c r="AKX1370" s="110"/>
      <c r="AKY1370" s="110"/>
      <c r="AKZ1370" s="110"/>
      <c r="ALA1370" s="110"/>
      <c r="ALB1370" s="110"/>
      <c r="ALC1370" s="110"/>
      <c r="ALD1370" s="110"/>
      <c r="ALE1370" s="110"/>
      <c r="ALF1370" s="110"/>
      <c r="ALG1370" s="110"/>
      <c r="ALH1370" s="110"/>
      <c r="ALI1370" s="110"/>
      <c r="ALJ1370" s="110"/>
      <c r="ALK1370" s="110"/>
      <c r="ALL1370" s="110"/>
      <c r="ALM1370" s="110"/>
      <c r="ALN1370" s="110"/>
      <c r="ALO1370" s="110"/>
      <c r="ALP1370" s="110"/>
      <c r="ALQ1370" s="110"/>
      <c r="ALR1370" s="110"/>
      <c r="ALS1370" s="110"/>
      <c r="ALT1370" s="110"/>
      <c r="ALU1370" s="110"/>
      <c r="ALV1370" s="110"/>
      <c r="ALW1370" s="110"/>
      <c r="ALX1370" s="110"/>
      <c r="ALY1370" s="110"/>
      <c r="ALZ1370" s="110"/>
      <c r="AMA1370" s="110"/>
      <c r="AMB1370" s="110"/>
      <c r="AMC1370" s="110"/>
      <c r="AMD1370" s="110"/>
      <c r="AME1370" s="110"/>
      <c r="AMF1370" s="110"/>
      <c r="AMG1370" s="110"/>
      <c r="AMH1370" s="110"/>
      <c r="AMI1370" s="110"/>
      <c r="AMJ1370" s="110"/>
      <c r="AMK1370" s="110"/>
      <c r="AML1370" s="110"/>
      <c r="AMM1370" s="110"/>
      <c r="AMN1370" s="110"/>
      <c r="AMO1370" s="110"/>
      <c r="AMP1370" s="110"/>
      <c r="AMQ1370" s="110"/>
      <c r="AMR1370" s="110"/>
      <c r="AMS1370" s="110"/>
      <c r="AMT1370" s="110"/>
      <c r="AMU1370" s="110"/>
      <c r="AMV1370" s="110"/>
      <c r="AMW1370" s="110"/>
      <c r="AMX1370" s="110"/>
      <c r="AMY1370" s="110"/>
      <c r="AMZ1370" s="110"/>
      <c r="ANA1370" s="110"/>
      <c r="ANB1370" s="110"/>
      <c r="ANC1370" s="110"/>
      <c r="AND1370" s="110"/>
      <c r="ANE1370" s="110"/>
      <c r="ANF1370" s="110"/>
      <c r="ANG1370" s="110"/>
      <c r="ANH1370" s="110"/>
      <c r="ANI1370" s="110"/>
      <c r="ANJ1370" s="110"/>
      <c r="ANK1370" s="110"/>
      <c r="ANL1370" s="110"/>
      <c r="ANM1370" s="110"/>
      <c r="ANN1370" s="110"/>
      <c r="ANO1370" s="110"/>
      <c r="ANP1370" s="110"/>
      <c r="ANQ1370" s="110"/>
      <c r="ANR1370" s="110"/>
      <c r="ANS1370" s="110"/>
      <c r="ANT1370" s="110"/>
      <c r="ANU1370" s="110"/>
      <c r="ANV1370" s="110"/>
      <c r="ANW1370" s="110"/>
      <c r="ANX1370" s="110"/>
      <c r="ANY1370" s="110"/>
      <c r="ANZ1370" s="110"/>
      <c r="AOA1370" s="110"/>
      <c r="AOB1370" s="110"/>
      <c r="AOC1370" s="110"/>
      <c r="AOD1370" s="110"/>
      <c r="AOE1370" s="110"/>
      <c r="AOF1370" s="110"/>
      <c r="AOG1370" s="110"/>
      <c r="AOH1370" s="110"/>
      <c r="AOI1370" s="110"/>
      <c r="AOJ1370" s="110"/>
      <c r="AOK1370" s="110"/>
      <c r="AOL1370" s="110"/>
      <c r="AOM1370" s="110"/>
      <c r="AON1370" s="110"/>
      <c r="AOO1370" s="110"/>
      <c r="AOP1370" s="110"/>
      <c r="AOQ1370" s="110"/>
      <c r="AOR1370" s="110"/>
      <c r="AOS1370" s="110"/>
      <c r="AOT1370" s="110"/>
      <c r="AOU1370" s="110"/>
      <c r="AOV1370" s="110"/>
      <c r="AOW1370" s="110"/>
      <c r="AOX1370" s="110"/>
      <c r="AOY1370" s="110"/>
      <c r="AOZ1370" s="110"/>
      <c r="APA1370" s="110"/>
      <c r="APB1370" s="110"/>
      <c r="APC1370" s="110"/>
      <c r="APD1370" s="110"/>
      <c r="APE1370" s="110"/>
      <c r="APF1370" s="110"/>
      <c r="APG1370" s="110"/>
      <c r="APH1370" s="110"/>
      <c r="API1370" s="110"/>
      <c r="APJ1370" s="110"/>
      <c r="APK1370" s="110"/>
      <c r="APL1370" s="110"/>
      <c r="APM1370" s="110"/>
      <c r="APN1370" s="110"/>
      <c r="APO1370" s="110"/>
      <c r="APP1370" s="110"/>
      <c r="APQ1370" s="110"/>
      <c r="APR1370" s="110"/>
      <c r="APS1370" s="110"/>
      <c r="APT1370" s="110"/>
      <c r="APU1370" s="110"/>
      <c r="APV1370" s="110"/>
      <c r="APW1370" s="110"/>
      <c r="APX1370" s="110"/>
      <c r="APY1370" s="110"/>
      <c r="APZ1370" s="110"/>
      <c r="AQA1370" s="110"/>
      <c r="AQB1370" s="110"/>
      <c r="AQC1370" s="110"/>
      <c r="AQD1370" s="110"/>
      <c r="AQE1370" s="110"/>
      <c r="AQF1370" s="110"/>
      <c r="AQG1370" s="110"/>
      <c r="AQH1370" s="110"/>
      <c r="AQI1370" s="110"/>
      <c r="AQJ1370" s="110"/>
      <c r="AQK1370" s="110"/>
      <c r="AQL1370" s="110"/>
      <c r="AQM1370" s="110"/>
      <c r="AQN1370" s="110"/>
      <c r="AQO1370" s="110"/>
      <c r="AQP1370" s="110"/>
      <c r="AQQ1370" s="110"/>
      <c r="AQR1370" s="110"/>
      <c r="AQS1370" s="110"/>
      <c r="AQT1370" s="110"/>
      <c r="AQU1370" s="110"/>
      <c r="AQV1370" s="110"/>
      <c r="AQW1370" s="110"/>
      <c r="AQX1370" s="110"/>
      <c r="AQY1370" s="110"/>
      <c r="AQZ1370" s="110"/>
      <c r="ARA1370" s="110"/>
      <c r="ARB1370" s="110"/>
      <c r="ARC1370" s="110"/>
      <c r="ARD1370" s="110"/>
      <c r="ARE1370" s="110"/>
      <c r="ARF1370" s="110"/>
      <c r="ARG1370" s="110"/>
      <c r="ARH1370" s="110"/>
      <c r="ARI1370" s="110"/>
      <c r="ARJ1370" s="110"/>
      <c r="ARK1370" s="110"/>
      <c r="ARL1370" s="110"/>
      <c r="ARM1370" s="110"/>
      <c r="ARN1370" s="110"/>
      <c r="ARO1370" s="110"/>
      <c r="ARP1370" s="110"/>
      <c r="ARQ1370" s="110"/>
      <c r="ARR1370" s="110"/>
      <c r="ARS1370" s="110"/>
      <c r="ART1370" s="110"/>
      <c r="ARU1370" s="110"/>
      <c r="ARV1370" s="110"/>
      <c r="ARW1370" s="110"/>
      <c r="ARX1370" s="110"/>
      <c r="ARY1370" s="110"/>
      <c r="ARZ1370" s="110"/>
      <c r="ASA1370" s="110"/>
      <c r="ASB1370" s="110"/>
      <c r="ASC1370" s="110"/>
      <c r="ASD1370" s="110"/>
      <c r="ASE1370" s="110"/>
      <c r="ASF1370" s="110"/>
      <c r="ASG1370" s="110"/>
      <c r="ASH1370" s="110"/>
      <c r="ASI1370" s="110"/>
      <c r="ASJ1370" s="110"/>
      <c r="ASK1370" s="110"/>
      <c r="ASL1370" s="110"/>
      <c r="ASM1370" s="110"/>
      <c r="ASN1370" s="110"/>
      <c r="ASO1370" s="110"/>
      <c r="ASP1370" s="110"/>
      <c r="ASQ1370" s="110"/>
      <c r="ASR1370" s="110"/>
      <c r="ASS1370" s="110"/>
      <c r="AST1370" s="110"/>
      <c r="ASU1370" s="110"/>
      <c r="ASV1370" s="110"/>
      <c r="ASW1370" s="110"/>
      <c r="ASX1370" s="110"/>
      <c r="ASY1370" s="110"/>
      <c r="ASZ1370" s="110"/>
      <c r="ATA1370" s="110"/>
      <c r="ATB1370" s="110"/>
      <c r="ATC1370" s="110"/>
      <c r="ATD1370" s="110"/>
      <c r="ATE1370" s="110"/>
      <c r="ATF1370" s="110"/>
      <c r="ATG1370" s="110"/>
      <c r="ATH1370" s="110"/>
      <c r="ATI1370" s="110"/>
      <c r="ATJ1370" s="110"/>
      <c r="ATK1370" s="110"/>
      <c r="ATL1370" s="110"/>
      <c r="ATM1370" s="110"/>
      <c r="ATN1370" s="110"/>
      <c r="ATO1370" s="110"/>
      <c r="ATP1370" s="110"/>
      <c r="ATQ1370" s="110"/>
      <c r="ATR1370" s="110"/>
      <c r="ATS1370" s="110"/>
      <c r="ATT1370" s="110"/>
      <c r="ATU1370" s="110"/>
      <c r="ATV1370" s="110"/>
      <c r="ATW1370" s="110"/>
      <c r="ATX1370" s="110"/>
      <c r="ATY1370" s="110"/>
      <c r="ATZ1370" s="110"/>
      <c r="AUA1370" s="110"/>
      <c r="AUB1370" s="110"/>
      <c r="AUC1370" s="110"/>
      <c r="AUD1370" s="110"/>
      <c r="AUE1370" s="110"/>
      <c r="AUF1370" s="110"/>
      <c r="AUG1370" s="110"/>
      <c r="AUH1370" s="110"/>
      <c r="AUI1370" s="110"/>
      <c r="AUJ1370" s="110"/>
      <c r="AUK1370" s="110"/>
      <c r="AUL1370" s="110"/>
      <c r="AUM1370" s="110"/>
      <c r="AUN1370" s="110"/>
      <c r="AUO1370" s="110"/>
      <c r="AUP1370" s="110"/>
      <c r="AUQ1370" s="110"/>
      <c r="AUR1370" s="110"/>
      <c r="AUS1370" s="110"/>
      <c r="AUT1370" s="110"/>
      <c r="AUU1370" s="110"/>
      <c r="AUV1370" s="110"/>
      <c r="AUW1370" s="110"/>
      <c r="AUX1370" s="110"/>
      <c r="AUY1370" s="110"/>
      <c r="AUZ1370" s="110"/>
      <c r="AVA1370" s="110"/>
      <c r="AVB1370" s="110"/>
      <c r="AVC1370" s="110"/>
      <c r="AVD1370" s="110"/>
      <c r="AVE1370" s="110"/>
      <c r="AVF1370" s="110"/>
      <c r="AVG1370" s="110"/>
      <c r="AVH1370" s="110"/>
      <c r="AVI1370" s="110"/>
      <c r="AVJ1370" s="110"/>
      <c r="AVK1370" s="110"/>
      <c r="AVL1370" s="110"/>
      <c r="AVM1370" s="110"/>
      <c r="AVN1370" s="110"/>
      <c r="AVO1370" s="110"/>
      <c r="AVP1370" s="110"/>
      <c r="AVQ1370" s="110"/>
      <c r="AVR1370" s="110"/>
      <c r="AVS1370" s="110"/>
      <c r="AVT1370" s="110"/>
      <c r="AVU1370" s="110"/>
      <c r="AVV1370" s="110"/>
      <c r="AVW1370" s="110"/>
      <c r="AVX1370" s="110"/>
      <c r="AVY1370" s="110"/>
      <c r="AVZ1370" s="110"/>
      <c r="AWA1370" s="110"/>
      <c r="AWB1370" s="110"/>
      <c r="AWC1370" s="110"/>
      <c r="AWD1370" s="110"/>
      <c r="AWE1370" s="110"/>
      <c r="AWF1370" s="110"/>
      <c r="AWG1370" s="110"/>
      <c r="AWH1370" s="110"/>
      <c r="AWI1370" s="110"/>
      <c r="AWJ1370" s="110"/>
      <c r="AWK1370" s="110"/>
      <c r="AWL1370" s="110"/>
      <c r="AWM1370" s="110"/>
      <c r="AWN1370" s="110"/>
      <c r="AWO1370" s="110"/>
      <c r="AWP1370" s="110"/>
      <c r="AWQ1370" s="110"/>
      <c r="AWR1370" s="110"/>
      <c r="AWS1370" s="110"/>
      <c r="AWT1370" s="110"/>
      <c r="AWU1370" s="110"/>
      <c r="AWV1370" s="110"/>
      <c r="AWW1370" s="110"/>
      <c r="AWX1370" s="110"/>
      <c r="AWY1370" s="110"/>
      <c r="AWZ1370" s="110"/>
      <c r="AXA1370" s="110"/>
      <c r="AXB1370" s="110"/>
      <c r="AXC1370" s="110"/>
      <c r="AXD1370" s="110"/>
      <c r="AXE1370" s="110"/>
      <c r="AXF1370" s="110"/>
      <c r="AXG1370" s="110"/>
      <c r="AXH1370" s="110"/>
      <c r="AXI1370" s="110"/>
      <c r="AXJ1370" s="110"/>
      <c r="AXK1370" s="110"/>
      <c r="AXL1370" s="110"/>
      <c r="AXM1370" s="110"/>
      <c r="AXN1370" s="110"/>
      <c r="AXO1370" s="110"/>
      <c r="AXP1370" s="110"/>
      <c r="AXQ1370" s="110"/>
      <c r="AXR1370" s="110"/>
      <c r="AXS1370" s="110"/>
      <c r="AXT1370" s="110"/>
      <c r="AXU1370" s="110"/>
      <c r="AXV1370" s="110"/>
      <c r="AXW1370" s="110"/>
      <c r="AXX1370" s="110"/>
      <c r="AXY1370" s="110"/>
      <c r="AXZ1370" s="110"/>
      <c r="AYA1370" s="110"/>
      <c r="AYB1370" s="110"/>
      <c r="AYC1370" s="110"/>
      <c r="AYD1370" s="110"/>
      <c r="AYE1370" s="110"/>
      <c r="AYF1370" s="110"/>
      <c r="AYG1370" s="110"/>
      <c r="AYH1370" s="110"/>
      <c r="AYI1370" s="110"/>
      <c r="AYJ1370" s="110"/>
      <c r="AYK1370" s="110"/>
      <c r="AYL1370" s="110"/>
      <c r="AYM1370" s="110"/>
      <c r="AYN1370" s="110"/>
      <c r="AYO1370" s="110"/>
      <c r="AYP1370" s="110"/>
      <c r="AYQ1370" s="110"/>
      <c r="AYR1370" s="110"/>
      <c r="AYS1370" s="110"/>
      <c r="AYT1370" s="110"/>
      <c r="AYU1370" s="110"/>
      <c r="AYV1370" s="110"/>
      <c r="AYW1370" s="110"/>
      <c r="AYX1370" s="110"/>
      <c r="AYY1370" s="110"/>
      <c r="AYZ1370" s="110"/>
      <c r="AZA1370" s="110"/>
      <c r="AZB1370" s="110"/>
      <c r="AZC1370" s="110"/>
      <c r="AZD1370" s="110"/>
      <c r="AZE1370" s="110"/>
      <c r="AZF1370" s="110"/>
      <c r="AZG1370" s="110"/>
      <c r="AZH1370" s="110"/>
      <c r="AZI1370" s="110"/>
      <c r="AZJ1370" s="110"/>
      <c r="AZK1370" s="110"/>
      <c r="AZL1370" s="110"/>
      <c r="AZM1370" s="110"/>
      <c r="AZN1370" s="110"/>
      <c r="AZO1370" s="110"/>
      <c r="AZP1370" s="110"/>
      <c r="AZQ1370" s="110"/>
      <c r="AZR1370" s="110"/>
      <c r="AZS1370" s="110"/>
      <c r="AZT1370" s="110"/>
      <c r="AZU1370" s="110"/>
      <c r="AZV1370" s="110"/>
      <c r="AZW1370" s="110"/>
      <c r="AZX1370" s="110"/>
      <c r="AZY1370" s="110"/>
      <c r="AZZ1370" s="110"/>
      <c r="BAA1370" s="110"/>
      <c r="BAB1370" s="110"/>
      <c r="BAC1370" s="110"/>
      <c r="BAD1370" s="110"/>
      <c r="BAE1370" s="110"/>
      <c r="BAF1370" s="110"/>
      <c r="BAG1370" s="110"/>
      <c r="BAH1370" s="110"/>
      <c r="BAI1370" s="110"/>
      <c r="BAJ1370" s="110"/>
      <c r="BAK1370" s="110"/>
      <c r="BAL1370" s="110"/>
      <c r="BAM1370" s="110"/>
      <c r="BAN1370" s="110"/>
      <c r="BAO1370" s="110"/>
      <c r="BAP1370" s="110"/>
      <c r="BAQ1370" s="110"/>
      <c r="BAR1370" s="110"/>
      <c r="BAS1370" s="110"/>
      <c r="BAT1370" s="110"/>
      <c r="BAU1370" s="110"/>
      <c r="BAV1370" s="110"/>
      <c r="BAW1370" s="110"/>
      <c r="BAX1370" s="110"/>
      <c r="BAY1370" s="110"/>
      <c r="BAZ1370" s="110"/>
      <c r="BBA1370" s="110"/>
      <c r="BBB1370" s="110"/>
      <c r="BBC1370" s="110"/>
      <c r="BBD1370" s="110"/>
      <c r="BBE1370" s="110"/>
      <c r="BBF1370" s="110"/>
      <c r="BBG1370" s="110"/>
      <c r="BBH1370" s="110"/>
      <c r="BBI1370" s="110"/>
      <c r="BBJ1370" s="110"/>
      <c r="BBK1370" s="110"/>
      <c r="BBL1370" s="110"/>
      <c r="BBM1370" s="110"/>
      <c r="BBN1370" s="110"/>
      <c r="BBO1370" s="110"/>
      <c r="BBP1370" s="110"/>
      <c r="BBQ1370" s="110"/>
      <c r="BBR1370" s="110"/>
      <c r="BBS1370" s="110"/>
      <c r="BBT1370" s="110"/>
      <c r="BBU1370" s="110"/>
      <c r="BBV1370" s="110"/>
      <c r="BBW1370" s="110"/>
      <c r="BBX1370" s="110"/>
      <c r="BBY1370" s="110"/>
      <c r="BBZ1370" s="110"/>
      <c r="BCA1370" s="110"/>
      <c r="BCB1370" s="110"/>
      <c r="BCC1370" s="110"/>
      <c r="BCD1370" s="110"/>
      <c r="BCE1370" s="110"/>
      <c r="BCF1370" s="110"/>
      <c r="BCG1370" s="110"/>
      <c r="BCH1370" s="110"/>
      <c r="BCI1370" s="110"/>
      <c r="BCJ1370" s="110"/>
      <c r="BCK1370" s="110"/>
      <c r="BCL1370" s="110"/>
      <c r="BCM1370" s="110"/>
      <c r="BCN1370" s="110"/>
      <c r="BCO1370" s="110"/>
      <c r="BCP1370" s="110"/>
      <c r="BCQ1370" s="110"/>
      <c r="BCR1370" s="110"/>
      <c r="BCS1370" s="110"/>
      <c r="BCT1370" s="110"/>
      <c r="BCU1370" s="110"/>
      <c r="BCV1370" s="110"/>
      <c r="BCW1370" s="110"/>
      <c r="BCX1370" s="110"/>
      <c r="BCY1370" s="110"/>
      <c r="BCZ1370" s="110"/>
      <c r="BDA1370" s="110"/>
      <c r="BDB1370" s="110"/>
      <c r="BDC1370" s="110"/>
      <c r="BDD1370" s="110"/>
      <c r="BDE1370" s="110"/>
      <c r="BDF1370" s="110"/>
      <c r="BDG1370" s="110"/>
      <c r="BDH1370" s="110"/>
      <c r="BDI1370" s="110"/>
      <c r="BDJ1370" s="110"/>
      <c r="BDK1370" s="110"/>
      <c r="BDL1370" s="110"/>
      <c r="BDM1370" s="110"/>
      <c r="BDN1370" s="110"/>
      <c r="BDO1370" s="110"/>
      <c r="BDP1370" s="110"/>
      <c r="BDQ1370" s="110"/>
      <c r="BDR1370" s="110"/>
      <c r="BDS1370" s="110"/>
      <c r="BDT1370" s="110"/>
      <c r="BDU1370" s="110"/>
      <c r="BDV1370" s="110"/>
      <c r="BDW1370" s="110"/>
      <c r="BDX1370" s="110"/>
      <c r="BDY1370" s="110"/>
      <c r="BDZ1370" s="110"/>
      <c r="BEA1370" s="110"/>
      <c r="BEB1370" s="110"/>
      <c r="BEC1370" s="110"/>
      <c r="BED1370" s="110"/>
      <c r="BEE1370" s="110"/>
      <c r="BEF1370" s="110"/>
      <c r="BEG1370" s="110"/>
      <c r="BEH1370" s="110"/>
      <c r="BEI1370" s="110"/>
      <c r="BEJ1370" s="110"/>
      <c r="BEK1370" s="110"/>
      <c r="BEL1370" s="110"/>
      <c r="BEM1370" s="110"/>
      <c r="BEN1370" s="110"/>
      <c r="BEO1370" s="110"/>
      <c r="BEP1370" s="110"/>
      <c r="BEQ1370" s="110"/>
      <c r="BER1370" s="110"/>
      <c r="BES1370" s="110"/>
      <c r="BET1370" s="110"/>
      <c r="BEU1370" s="110"/>
      <c r="BEV1370" s="110"/>
      <c r="BEW1370" s="110"/>
      <c r="BEX1370" s="110"/>
      <c r="BEY1370" s="110"/>
      <c r="BEZ1370" s="110"/>
      <c r="BFA1370" s="110"/>
      <c r="BFB1370" s="110"/>
      <c r="BFC1370" s="110"/>
      <c r="BFD1370" s="110"/>
      <c r="BFE1370" s="110"/>
      <c r="BFF1370" s="110"/>
      <c r="BFG1370" s="110"/>
      <c r="BFH1370" s="110"/>
      <c r="BFI1370" s="110"/>
      <c r="BFJ1370" s="110"/>
      <c r="BFK1370" s="110"/>
      <c r="BFL1370" s="110"/>
      <c r="BFM1370" s="110"/>
      <c r="BFN1370" s="110"/>
      <c r="BFO1370" s="110"/>
      <c r="BFP1370" s="110"/>
      <c r="BFQ1370" s="110"/>
      <c r="BFR1370" s="110"/>
      <c r="BFS1370" s="110"/>
      <c r="BFT1370" s="110"/>
      <c r="BFU1370" s="110"/>
      <c r="BFV1370" s="110"/>
      <c r="BFW1370" s="110"/>
      <c r="BFX1370" s="110"/>
      <c r="BFY1370" s="110"/>
      <c r="BFZ1370" s="110"/>
      <c r="BGA1370" s="110"/>
      <c r="BGB1370" s="110"/>
      <c r="BGC1370" s="110"/>
      <c r="BGD1370" s="110"/>
      <c r="BGE1370" s="110"/>
      <c r="BGF1370" s="110"/>
      <c r="BGG1370" s="110"/>
      <c r="BGH1370" s="110"/>
      <c r="BGI1370" s="110"/>
      <c r="BGJ1370" s="110"/>
      <c r="BGK1370" s="110"/>
      <c r="BGL1370" s="110"/>
      <c r="BGM1370" s="110"/>
      <c r="BGN1370" s="110"/>
      <c r="BGO1370" s="110"/>
      <c r="BGP1370" s="110"/>
      <c r="BGQ1370" s="110"/>
      <c r="BGR1370" s="110"/>
      <c r="BGS1370" s="110"/>
      <c r="BGT1370" s="110"/>
      <c r="BGU1370" s="110"/>
      <c r="BGV1370" s="110"/>
      <c r="BGW1370" s="110"/>
      <c r="BGX1370" s="110"/>
      <c r="BGY1370" s="110"/>
      <c r="BGZ1370" s="110"/>
      <c r="BHA1370" s="110"/>
      <c r="BHB1370" s="110"/>
      <c r="BHC1370" s="110"/>
      <c r="BHD1370" s="110"/>
      <c r="BHE1370" s="110"/>
      <c r="BHF1370" s="110"/>
      <c r="BHG1370" s="110"/>
      <c r="BHH1370" s="110"/>
      <c r="BHI1370" s="110"/>
      <c r="BHJ1370" s="110"/>
      <c r="BHK1370" s="110"/>
      <c r="BHL1370" s="110"/>
      <c r="BHM1370" s="110"/>
      <c r="BHN1370" s="110"/>
      <c r="BHO1370" s="110"/>
      <c r="BHP1370" s="110"/>
      <c r="BHQ1370" s="110"/>
      <c r="BHR1370" s="110"/>
      <c r="BHS1370" s="110"/>
      <c r="BHT1370" s="110"/>
      <c r="BHU1370" s="110"/>
      <c r="BHV1370" s="110"/>
      <c r="BHW1370" s="110"/>
      <c r="BHX1370" s="110"/>
      <c r="BHY1370" s="110"/>
      <c r="BHZ1370" s="110"/>
      <c r="BIA1370" s="110"/>
      <c r="BIB1370" s="110"/>
      <c r="BIC1370" s="110"/>
      <c r="BID1370" s="110"/>
      <c r="BIE1370" s="110"/>
      <c r="BIF1370" s="110"/>
      <c r="BIG1370" s="110"/>
      <c r="BIH1370" s="110"/>
      <c r="BII1370" s="110"/>
      <c r="BIJ1370" s="110"/>
      <c r="BIK1370" s="110"/>
      <c r="BIL1370" s="110"/>
      <c r="BIM1370" s="110"/>
      <c r="BIN1370" s="110"/>
      <c r="BIO1370" s="110"/>
      <c r="BIP1370" s="110"/>
      <c r="BIQ1370" s="110"/>
      <c r="BIR1370" s="110"/>
      <c r="BIS1370" s="110"/>
      <c r="BIT1370" s="110"/>
      <c r="BIU1370" s="110"/>
      <c r="BIV1370" s="110"/>
      <c r="BIW1370" s="110"/>
      <c r="BIX1370" s="110"/>
      <c r="BIY1370" s="110"/>
      <c r="BIZ1370" s="110"/>
      <c r="BJA1370" s="110"/>
      <c r="BJB1370" s="110"/>
      <c r="BJC1370" s="110"/>
      <c r="BJD1370" s="110"/>
      <c r="BJE1370" s="110"/>
      <c r="BJF1370" s="110"/>
      <c r="BJG1370" s="110"/>
      <c r="BJH1370" s="110"/>
      <c r="BJI1370" s="110"/>
      <c r="BJJ1370" s="110"/>
      <c r="BJK1370" s="110"/>
      <c r="BJL1370" s="110"/>
      <c r="BJM1370" s="110"/>
      <c r="BJN1370" s="110"/>
      <c r="BJO1370" s="110"/>
      <c r="BJP1370" s="110"/>
      <c r="BJQ1370" s="110"/>
      <c r="BJR1370" s="110"/>
      <c r="BJS1370" s="110"/>
      <c r="BJT1370" s="110"/>
      <c r="BJU1370" s="110"/>
      <c r="BJV1370" s="110"/>
      <c r="BJW1370" s="110"/>
      <c r="BJX1370" s="110"/>
      <c r="BJY1370" s="110"/>
      <c r="BJZ1370" s="110"/>
      <c r="BKA1370" s="110"/>
      <c r="BKB1370" s="110"/>
      <c r="BKC1370" s="110"/>
      <c r="BKD1370" s="110"/>
      <c r="BKE1370" s="110"/>
      <c r="BKF1370" s="110"/>
      <c r="BKG1370" s="110"/>
      <c r="BKH1370" s="110"/>
      <c r="BKI1370" s="110"/>
      <c r="BKJ1370" s="110"/>
      <c r="BKK1370" s="110"/>
      <c r="BKL1370" s="110"/>
      <c r="BKM1370" s="110"/>
      <c r="BKN1370" s="110"/>
      <c r="BKO1370" s="110"/>
      <c r="BKP1370" s="110"/>
      <c r="BKQ1370" s="110"/>
      <c r="BKR1370" s="110"/>
      <c r="BKS1370" s="110"/>
      <c r="BKT1370" s="110"/>
      <c r="BKU1370" s="110"/>
      <c r="BKV1370" s="110"/>
      <c r="BKW1370" s="110"/>
      <c r="BKX1370" s="110"/>
      <c r="BKY1370" s="110"/>
      <c r="BKZ1370" s="110"/>
      <c r="BLA1370" s="110"/>
      <c r="BLB1370" s="110"/>
      <c r="BLC1370" s="110"/>
      <c r="BLD1370" s="110"/>
      <c r="BLE1370" s="110"/>
      <c r="BLF1370" s="110"/>
      <c r="BLG1370" s="110"/>
      <c r="BLH1370" s="110"/>
      <c r="BLI1370" s="110"/>
      <c r="BLJ1370" s="110"/>
      <c r="BLK1370" s="110"/>
      <c r="BLL1370" s="110"/>
      <c r="BLM1370" s="110"/>
      <c r="BLN1370" s="110"/>
      <c r="BLO1370" s="110"/>
      <c r="BLP1370" s="110"/>
      <c r="BLQ1370" s="110"/>
      <c r="BLR1370" s="110"/>
      <c r="BLS1370" s="110"/>
      <c r="BLT1370" s="110"/>
      <c r="BLU1370" s="110"/>
      <c r="BLV1370" s="110"/>
      <c r="BLW1370" s="110"/>
      <c r="BLX1370" s="110"/>
      <c r="BLY1370" s="110"/>
      <c r="BLZ1370" s="110"/>
      <c r="BMA1370" s="110"/>
      <c r="BMB1370" s="110"/>
      <c r="BMC1370" s="110"/>
      <c r="BMD1370" s="110"/>
      <c r="BME1370" s="110"/>
      <c r="BMF1370" s="110"/>
      <c r="BMG1370" s="110"/>
      <c r="BMH1370" s="110"/>
      <c r="BMI1370" s="110"/>
      <c r="BMJ1370" s="110"/>
      <c r="BMK1370" s="110"/>
      <c r="BML1370" s="110"/>
      <c r="BMM1370" s="110"/>
      <c r="BMN1370" s="110"/>
      <c r="BMO1370" s="110"/>
      <c r="BMP1370" s="110"/>
      <c r="BMQ1370" s="110"/>
      <c r="BMR1370" s="110"/>
      <c r="BMS1370" s="110"/>
      <c r="BMT1370" s="110"/>
      <c r="BMU1370" s="110"/>
      <c r="BMV1370" s="110"/>
      <c r="BMW1370" s="110"/>
      <c r="BMX1370" s="110"/>
      <c r="BMY1370" s="110"/>
      <c r="BMZ1370" s="110"/>
      <c r="BNA1370" s="110"/>
      <c r="BNB1370" s="110"/>
      <c r="BNC1370" s="110"/>
      <c r="BND1370" s="110"/>
      <c r="BNE1370" s="110"/>
      <c r="BNF1370" s="110"/>
      <c r="BNG1370" s="110"/>
      <c r="BNH1370" s="110"/>
      <c r="BNI1370" s="110"/>
      <c r="BNJ1370" s="110"/>
      <c r="BNK1370" s="110"/>
      <c r="BNL1370" s="110"/>
      <c r="BNM1370" s="110"/>
      <c r="BNN1370" s="110"/>
      <c r="BNO1370" s="110"/>
      <c r="BNP1370" s="110"/>
      <c r="BNQ1370" s="110"/>
      <c r="BNR1370" s="110"/>
      <c r="BNS1370" s="110"/>
      <c r="BNT1370" s="110"/>
      <c r="BNU1370" s="110"/>
      <c r="BNV1370" s="110"/>
      <c r="BNW1370" s="110"/>
      <c r="BNX1370" s="110"/>
      <c r="BNY1370" s="110"/>
      <c r="BNZ1370" s="110"/>
      <c r="BOA1370" s="110"/>
      <c r="BOB1370" s="110"/>
      <c r="BOC1370" s="110"/>
      <c r="BOD1370" s="110"/>
      <c r="BOE1370" s="110"/>
      <c r="BOF1370" s="110"/>
      <c r="BOG1370" s="110"/>
      <c r="BOH1370" s="110"/>
      <c r="BOI1370" s="110"/>
      <c r="BOJ1370" s="110"/>
      <c r="BOK1370" s="110"/>
      <c r="BOL1370" s="110"/>
      <c r="BOM1370" s="110"/>
      <c r="BON1370" s="110"/>
      <c r="BOO1370" s="110"/>
      <c r="BOP1370" s="110"/>
      <c r="BOQ1370" s="110"/>
      <c r="BOR1370" s="110"/>
      <c r="BOS1370" s="110"/>
      <c r="BOT1370" s="110"/>
      <c r="BOU1370" s="110"/>
      <c r="BOV1370" s="110"/>
      <c r="BOW1370" s="110"/>
      <c r="BOX1370" s="110"/>
      <c r="BOY1370" s="110"/>
      <c r="BOZ1370" s="110"/>
      <c r="BPA1370" s="110"/>
      <c r="BPB1370" s="110"/>
      <c r="BPC1370" s="110"/>
      <c r="BPD1370" s="110"/>
      <c r="BPE1370" s="110"/>
      <c r="BPF1370" s="110"/>
      <c r="BPG1370" s="110"/>
      <c r="BPH1370" s="110"/>
      <c r="BPI1370" s="110"/>
      <c r="BPJ1370" s="110"/>
      <c r="BPK1370" s="110"/>
      <c r="BPL1370" s="110"/>
      <c r="BPM1370" s="110"/>
      <c r="BPN1370" s="110"/>
      <c r="BPO1370" s="110"/>
      <c r="BPP1370" s="110"/>
      <c r="BPQ1370" s="110"/>
      <c r="BPR1370" s="110"/>
      <c r="BPS1370" s="110"/>
      <c r="BPT1370" s="110"/>
      <c r="BPU1370" s="110"/>
      <c r="BPV1370" s="110"/>
      <c r="BPW1370" s="110"/>
      <c r="BPX1370" s="110"/>
      <c r="BPY1370" s="110"/>
      <c r="BPZ1370" s="110"/>
      <c r="BQA1370" s="110"/>
      <c r="BQB1370" s="110"/>
      <c r="BQC1370" s="110"/>
      <c r="BQD1370" s="110"/>
      <c r="BQE1370" s="110"/>
      <c r="BQF1370" s="110"/>
      <c r="BQG1370" s="110"/>
      <c r="BQH1370" s="110"/>
      <c r="BQI1370" s="110"/>
      <c r="BQJ1370" s="110"/>
      <c r="BQK1370" s="110"/>
      <c r="BQL1370" s="110"/>
      <c r="BQM1370" s="110"/>
      <c r="BQN1370" s="110"/>
      <c r="BQO1370" s="110"/>
      <c r="BQP1370" s="110"/>
      <c r="BQQ1370" s="110"/>
      <c r="BQR1370" s="110"/>
      <c r="BQS1370" s="110"/>
      <c r="BQT1370" s="110"/>
      <c r="BQU1370" s="110"/>
      <c r="BQV1370" s="110"/>
      <c r="BQW1370" s="110"/>
      <c r="BQX1370" s="110"/>
      <c r="BQY1370" s="110"/>
      <c r="BQZ1370" s="110"/>
      <c r="BRA1370" s="110"/>
      <c r="BRB1370" s="110"/>
      <c r="BRC1370" s="110"/>
      <c r="BRD1370" s="110"/>
      <c r="BRE1370" s="110"/>
      <c r="BRF1370" s="110"/>
      <c r="BRG1370" s="110"/>
      <c r="BRH1370" s="110"/>
      <c r="BRI1370" s="110"/>
      <c r="BRJ1370" s="110"/>
      <c r="BRK1370" s="110"/>
      <c r="BRL1370" s="110"/>
      <c r="BRM1370" s="110"/>
      <c r="BRN1370" s="110"/>
      <c r="BRO1370" s="110"/>
      <c r="BRP1370" s="110"/>
      <c r="BRQ1370" s="110"/>
      <c r="BRR1370" s="110"/>
      <c r="BRS1370" s="110"/>
      <c r="BRT1370" s="110"/>
      <c r="BRU1370" s="110"/>
      <c r="BRV1370" s="110"/>
      <c r="BRW1370" s="110"/>
      <c r="BRX1370" s="110"/>
      <c r="BRY1370" s="110"/>
      <c r="BRZ1370" s="110"/>
      <c r="BSA1370" s="110"/>
      <c r="BSB1370" s="110"/>
      <c r="BSC1370" s="110"/>
      <c r="BSD1370" s="110"/>
      <c r="BSE1370" s="110"/>
      <c r="BSF1370" s="110"/>
      <c r="BSG1370" s="110"/>
      <c r="BSH1370" s="110"/>
      <c r="BSI1370" s="110"/>
      <c r="BSJ1370" s="110"/>
      <c r="BSK1370" s="110"/>
      <c r="BSL1370" s="110"/>
      <c r="BSM1370" s="110"/>
      <c r="BSN1370" s="110"/>
      <c r="BSO1370" s="110"/>
      <c r="BSP1370" s="110"/>
      <c r="BSQ1370" s="110"/>
      <c r="BSR1370" s="110"/>
      <c r="BSS1370" s="110"/>
      <c r="BST1370" s="110"/>
      <c r="BSU1370" s="110"/>
      <c r="BSV1370" s="110"/>
      <c r="BSW1370" s="110"/>
      <c r="BSX1370" s="110"/>
      <c r="BSY1370" s="110"/>
      <c r="BSZ1370" s="110"/>
      <c r="BTA1370" s="110"/>
      <c r="BTB1370" s="110"/>
      <c r="BTC1370" s="110"/>
      <c r="BTD1370" s="110"/>
      <c r="BTE1370" s="110"/>
      <c r="BTF1370" s="110"/>
      <c r="BTG1370" s="110"/>
      <c r="BTH1370" s="110"/>
      <c r="BTI1370" s="110"/>
      <c r="BTJ1370" s="110"/>
      <c r="BTK1370" s="110"/>
      <c r="BTL1370" s="110"/>
      <c r="BTM1370" s="110"/>
      <c r="BTN1370" s="110"/>
      <c r="BTO1370" s="110"/>
      <c r="BTP1370" s="110"/>
      <c r="BTQ1370" s="110"/>
      <c r="BTR1370" s="110"/>
      <c r="BTS1370" s="110"/>
      <c r="BTT1370" s="110"/>
      <c r="BTU1370" s="110"/>
      <c r="BTV1370" s="110"/>
      <c r="BTW1370" s="110"/>
      <c r="BTX1370" s="110"/>
      <c r="BTY1370" s="110"/>
      <c r="BTZ1370" s="110"/>
      <c r="BUA1370" s="110"/>
      <c r="BUB1370" s="110"/>
      <c r="BUC1370" s="110"/>
      <c r="BUD1370" s="110"/>
      <c r="BUE1370" s="110"/>
      <c r="BUF1370" s="110"/>
      <c r="BUG1370" s="110"/>
      <c r="BUH1370" s="110"/>
      <c r="BUI1370" s="110"/>
      <c r="BUJ1370" s="110"/>
      <c r="BUK1370" s="110"/>
      <c r="BUL1370" s="110"/>
      <c r="BUM1370" s="110"/>
      <c r="BUN1370" s="110"/>
      <c r="BUO1370" s="110"/>
      <c r="BUP1370" s="110"/>
      <c r="BUQ1370" s="110"/>
      <c r="BUR1370" s="110"/>
      <c r="BUS1370" s="110"/>
      <c r="BUT1370" s="110"/>
      <c r="BUU1370" s="110"/>
      <c r="BUV1370" s="110"/>
      <c r="BUW1370" s="110"/>
      <c r="BUX1370" s="110"/>
      <c r="BUY1370" s="110"/>
      <c r="BUZ1370" s="110"/>
      <c r="BVA1370" s="110"/>
      <c r="BVB1370" s="110"/>
      <c r="BVC1370" s="110"/>
      <c r="BVD1370" s="110"/>
      <c r="BVE1370" s="110"/>
      <c r="BVF1370" s="110"/>
      <c r="BVG1370" s="110"/>
      <c r="BVH1370" s="110"/>
      <c r="BVI1370" s="110"/>
      <c r="BVJ1370" s="110"/>
      <c r="BVK1370" s="110"/>
      <c r="BVL1370" s="110"/>
      <c r="BVM1370" s="110"/>
      <c r="BVN1370" s="110"/>
      <c r="BVO1370" s="110"/>
      <c r="BVP1370" s="110"/>
      <c r="BVQ1370" s="110"/>
      <c r="BVR1370" s="110"/>
      <c r="BVS1370" s="110"/>
      <c r="BVT1370" s="110"/>
      <c r="BVU1370" s="110"/>
      <c r="BVV1370" s="110"/>
      <c r="BVW1370" s="110"/>
      <c r="BVX1370" s="110"/>
      <c r="BVY1370" s="110"/>
      <c r="BVZ1370" s="110"/>
      <c r="BWA1370" s="110"/>
      <c r="BWB1370" s="110"/>
      <c r="BWC1370" s="110"/>
      <c r="BWD1370" s="110"/>
      <c r="BWE1370" s="110"/>
      <c r="BWF1370" s="110"/>
      <c r="BWG1370" s="110"/>
      <c r="BWH1370" s="110"/>
      <c r="BWI1370" s="110"/>
      <c r="BWJ1370" s="110"/>
      <c r="BWK1370" s="110"/>
      <c r="BWL1370" s="110"/>
      <c r="BWM1370" s="110"/>
      <c r="BWN1370" s="110"/>
      <c r="BWO1370" s="110"/>
      <c r="BWP1370" s="110"/>
      <c r="BWQ1370" s="110"/>
      <c r="BWR1370" s="110"/>
      <c r="BWS1370" s="110"/>
      <c r="BWT1370" s="110"/>
      <c r="BWU1370" s="110"/>
      <c r="BWV1370" s="110"/>
      <c r="BWW1370" s="110"/>
      <c r="BWX1370" s="110"/>
      <c r="BWY1370" s="110"/>
      <c r="BWZ1370" s="110"/>
      <c r="BXA1370" s="110"/>
      <c r="BXB1370" s="110"/>
      <c r="BXC1370" s="110"/>
      <c r="BXD1370" s="110"/>
      <c r="BXE1370" s="110"/>
      <c r="BXF1370" s="110"/>
      <c r="BXG1370" s="110"/>
      <c r="BXH1370" s="110"/>
      <c r="BXI1370" s="110"/>
      <c r="BXJ1370" s="110"/>
      <c r="BXK1370" s="110"/>
      <c r="BXL1370" s="110"/>
      <c r="BXM1370" s="110"/>
      <c r="BXN1370" s="110"/>
      <c r="BXO1370" s="110"/>
      <c r="BXP1370" s="110"/>
      <c r="BXQ1370" s="110"/>
      <c r="BXR1370" s="110"/>
      <c r="BXS1370" s="110"/>
      <c r="BXT1370" s="110"/>
      <c r="BXU1370" s="110"/>
      <c r="BXV1370" s="110"/>
      <c r="BXW1370" s="110"/>
      <c r="BXX1370" s="110"/>
      <c r="BXY1370" s="110"/>
      <c r="BXZ1370" s="110"/>
      <c r="BYA1370" s="110"/>
      <c r="BYB1370" s="110"/>
      <c r="BYC1370" s="110"/>
      <c r="BYD1370" s="110"/>
      <c r="BYE1370" s="110"/>
      <c r="BYF1370" s="110"/>
      <c r="BYG1370" s="110"/>
      <c r="BYH1370" s="110"/>
      <c r="BYI1370" s="110"/>
      <c r="BYJ1370" s="110"/>
      <c r="BYK1370" s="110"/>
      <c r="BYL1370" s="110"/>
      <c r="BYM1370" s="110"/>
      <c r="BYN1370" s="110"/>
      <c r="BYO1370" s="110"/>
      <c r="BYP1370" s="110"/>
      <c r="BYQ1370" s="110"/>
      <c r="BYR1370" s="110"/>
      <c r="BYS1370" s="110"/>
      <c r="BYT1370" s="110"/>
      <c r="BYU1370" s="110"/>
      <c r="BYV1370" s="110"/>
      <c r="BYW1370" s="110"/>
      <c r="BYX1370" s="110"/>
      <c r="BYY1370" s="110"/>
      <c r="BYZ1370" s="110"/>
      <c r="BZA1370" s="110"/>
      <c r="BZB1370" s="110"/>
      <c r="BZC1370" s="110"/>
      <c r="BZD1370" s="110"/>
      <c r="BZE1370" s="110"/>
      <c r="BZF1370" s="110"/>
      <c r="BZG1370" s="110"/>
      <c r="BZH1370" s="110"/>
      <c r="BZI1370" s="110"/>
      <c r="BZJ1370" s="110"/>
      <c r="BZK1370" s="110"/>
      <c r="BZL1370" s="110"/>
      <c r="BZM1370" s="110"/>
      <c r="BZN1370" s="110"/>
      <c r="BZO1370" s="110"/>
      <c r="BZP1370" s="110"/>
      <c r="BZQ1370" s="110"/>
      <c r="BZR1370" s="110"/>
      <c r="BZS1370" s="110"/>
      <c r="BZT1370" s="110"/>
      <c r="BZU1370" s="110"/>
      <c r="BZV1370" s="110"/>
      <c r="BZW1370" s="110"/>
      <c r="BZX1370" s="110"/>
      <c r="BZY1370" s="110"/>
      <c r="BZZ1370" s="110"/>
      <c r="CAA1370" s="110"/>
      <c r="CAB1370" s="110"/>
      <c r="CAC1370" s="110"/>
      <c r="CAD1370" s="110"/>
      <c r="CAE1370" s="110"/>
      <c r="CAF1370" s="110"/>
      <c r="CAG1370" s="110"/>
      <c r="CAH1370" s="110"/>
      <c r="CAI1370" s="110"/>
      <c r="CAJ1370" s="110"/>
      <c r="CAK1370" s="110"/>
      <c r="CAL1370" s="110"/>
      <c r="CAM1370" s="110"/>
      <c r="CAN1370" s="110"/>
      <c r="CAO1370" s="110"/>
      <c r="CAP1370" s="110"/>
      <c r="CAQ1370" s="110"/>
      <c r="CAR1370" s="110"/>
      <c r="CAS1370" s="110"/>
      <c r="CAT1370" s="110"/>
      <c r="CAU1370" s="110"/>
      <c r="CAV1370" s="110"/>
      <c r="CAW1370" s="110"/>
      <c r="CAX1370" s="110"/>
      <c r="CAY1370" s="110"/>
      <c r="CAZ1370" s="110"/>
      <c r="CBA1370" s="110"/>
      <c r="CBB1370" s="110"/>
      <c r="CBC1370" s="110"/>
      <c r="CBD1370" s="110"/>
      <c r="CBE1370" s="110"/>
      <c r="CBF1370" s="110"/>
      <c r="CBG1370" s="110"/>
      <c r="CBH1370" s="110"/>
      <c r="CBI1370" s="110"/>
      <c r="CBJ1370" s="110"/>
      <c r="CBK1370" s="110"/>
      <c r="CBL1370" s="110"/>
      <c r="CBM1370" s="110"/>
      <c r="CBN1370" s="110"/>
      <c r="CBO1370" s="110"/>
      <c r="CBP1370" s="110"/>
      <c r="CBQ1370" s="110"/>
      <c r="CBR1370" s="110"/>
      <c r="CBS1370" s="110"/>
      <c r="CBT1370" s="110"/>
      <c r="CBU1370" s="110"/>
      <c r="CBV1370" s="110"/>
      <c r="CBW1370" s="110"/>
      <c r="CBX1370" s="110"/>
      <c r="CBY1370" s="110"/>
      <c r="CBZ1370" s="110"/>
      <c r="CCA1370" s="110"/>
      <c r="CCB1370" s="110"/>
      <c r="CCC1370" s="110"/>
      <c r="CCD1370" s="110"/>
      <c r="CCE1370" s="110"/>
      <c r="CCF1370" s="110"/>
      <c r="CCG1370" s="110"/>
      <c r="CCH1370" s="110"/>
      <c r="CCI1370" s="110"/>
      <c r="CCJ1370" s="110"/>
      <c r="CCK1370" s="110"/>
      <c r="CCL1370" s="110"/>
      <c r="CCM1370" s="110"/>
      <c r="CCN1370" s="110"/>
      <c r="CCO1370" s="110"/>
      <c r="CCP1370" s="110"/>
      <c r="CCQ1370" s="110"/>
      <c r="CCR1370" s="110"/>
      <c r="CCS1370" s="110"/>
      <c r="CCT1370" s="110"/>
      <c r="CCU1370" s="110"/>
      <c r="CCV1370" s="110"/>
      <c r="CCW1370" s="110"/>
      <c r="CCX1370" s="110"/>
      <c r="CCY1370" s="110"/>
      <c r="CCZ1370" s="110"/>
      <c r="CDA1370" s="110"/>
      <c r="CDB1370" s="110"/>
      <c r="CDC1370" s="110"/>
      <c r="CDD1370" s="110"/>
      <c r="CDE1370" s="110"/>
      <c r="CDF1370" s="110"/>
      <c r="CDG1370" s="110"/>
      <c r="CDH1370" s="110"/>
      <c r="CDI1370" s="110"/>
      <c r="CDJ1370" s="110"/>
      <c r="CDK1370" s="110"/>
      <c r="CDL1370" s="110"/>
      <c r="CDM1370" s="110"/>
      <c r="CDN1370" s="110"/>
      <c r="CDO1370" s="110"/>
      <c r="CDP1370" s="110"/>
      <c r="CDQ1370" s="110"/>
      <c r="CDR1370" s="110"/>
      <c r="CDS1370" s="110"/>
      <c r="CDT1370" s="110"/>
      <c r="CDU1370" s="110"/>
      <c r="CDV1370" s="110"/>
      <c r="CDW1370" s="110"/>
      <c r="CDX1370" s="110"/>
      <c r="CDY1370" s="110"/>
      <c r="CDZ1370" s="110"/>
      <c r="CEA1370" s="110"/>
      <c r="CEB1370" s="110"/>
      <c r="CEC1370" s="110"/>
      <c r="CED1370" s="110"/>
      <c r="CEE1370" s="110"/>
      <c r="CEF1370" s="110"/>
      <c r="CEG1370" s="110"/>
      <c r="CEH1370" s="110"/>
      <c r="CEI1370" s="110"/>
      <c r="CEJ1370" s="110"/>
      <c r="CEK1370" s="110"/>
      <c r="CEL1370" s="110"/>
      <c r="CEM1370" s="110"/>
      <c r="CEN1370" s="110"/>
      <c r="CEO1370" s="110"/>
      <c r="CEP1370" s="110"/>
      <c r="CEQ1370" s="110"/>
      <c r="CER1370" s="110"/>
      <c r="CES1370" s="110"/>
      <c r="CET1370" s="110"/>
      <c r="CEU1370" s="110"/>
      <c r="CEV1370" s="110"/>
      <c r="CEW1370" s="110"/>
      <c r="CEX1370" s="110"/>
      <c r="CEY1370" s="110"/>
      <c r="CEZ1370" s="110"/>
      <c r="CFA1370" s="110"/>
      <c r="CFB1370" s="110"/>
      <c r="CFC1370" s="110"/>
      <c r="CFD1370" s="110"/>
      <c r="CFE1370" s="110"/>
      <c r="CFF1370" s="110"/>
      <c r="CFG1370" s="110"/>
      <c r="CFH1370" s="110"/>
      <c r="CFI1370" s="110"/>
      <c r="CFJ1370" s="110"/>
      <c r="CFK1370" s="110"/>
      <c r="CFL1370" s="110"/>
      <c r="CFM1370" s="110"/>
      <c r="CFN1370" s="110"/>
      <c r="CFO1370" s="110"/>
      <c r="CFP1370" s="110"/>
      <c r="CFQ1370" s="110"/>
      <c r="CFR1370" s="110"/>
      <c r="CFS1370" s="110"/>
      <c r="CFT1370" s="110"/>
      <c r="CFU1370" s="110"/>
      <c r="CFV1370" s="110"/>
      <c r="CFW1370" s="110"/>
      <c r="CFX1370" s="110"/>
      <c r="CFY1370" s="110"/>
      <c r="CFZ1370" s="110"/>
      <c r="CGA1370" s="110"/>
      <c r="CGB1370" s="110"/>
      <c r="CGC1370" s="110"/>
      <c r="CGD1370" s="110"/>
      <c r="CGE1370" s="110"/>
      <c r="CGF1370" s="110"/>
      <c r="CGG1370" s="110"/>
      <c r="CGH1370" s="110"/>
      <c r="CGI1370" s="110"/>
      <c r="CGJ1370" s="110"/>
      <c r="CGK1370" s="110"/>
      <c r="CGL1370" s="110"/>
      <c r="CGM1370" s="110"/>
      <c r="CGN1370" s="110"/>
      <c r="CGO1370" s="110"/>
      <c r="CGP1370" s="110"/>
      <c r="CGQ1370" s="110"/>
      <c r="CGR1370" s="110"/>
      <c r="CGS1370" s="110"/>
      <c r="CGT1370" s="110"/>
      <c r="CGU1370" s="110"/>
      <c r="CGV1370" s="110"/>
      <c r="CGW1370" s="110"/>
      <c r="CGX1370" s="110"/>
      <c r="CGY1370" s="110"/>
      <c r="CGZ1370" s="110"/>
      <c r="CHA1370" s="110"/>
      <c r="CHB1370" s="110"/>
      <c r="CHC1370" s="110"/>
      <c r="CHD1370" s="110"/>
      <c r="CHE1370" s="110"/>
      <c r="CHF1370" s="110"/>
      <c r="CHG1370" s="110"/>
      <c r="CHH1370" s="110"/>
      <c r="CHI1370" s="110"/>
      <c r="CHJ1370" s="110"/>
      <c r="CHK1370" s="110"/>
      <c r="CHL1370" s="110"/>
      <c r="CHM1370" s="110"/>
      <c r="CHN1370" s="110"/>
      <c r="CHO1370" s="110"/>
      <c r="CHP1370" s="110"/>
      <c r="CHQ1370" s="110"/>
      <c r="CHR1370" s="110"/>
      <c r="CHS1370" s="110"/>
      <c r="CHT1370" s="110"/>
      <c r="CHU1370" s="110"/>
      <c r="CHV1370" s="110"/>
      <c r="CHW1370" s="110"/>
      <c r="CHX1370" s="110"/>
      <c r="CHY1370" s="110"/>
      <c r="CHZ1370" s="110"/>
      <c r="CIA1370" s="110"/>
      <c r="CIB1370" s="110"/>
      <c r="CIC1370" s="110"/>
      <c r="CID1370" s="110"/>
      <c r="CIE1370" s="110"/>
      <c r="CIF1370" s="110"/>
      <c r="CIG1370" s="110"/>
      <c r="CIH1370" s="110"/>
      <c r="CII1370" s="110"/>
      <c r="CIJ1370" s="110"/>
      <c r="CIK1370" s="110"/>
      <c r="CIL1370" s="110"/>
      <c r="CIM1370" s="110"/>
      <c r="CIN1370" s="110"/>
      <c r="CIO1370" s="110"/>
      <c r="CIP1370" s="110"/>
      <c r="CIQ1370" s="110"/>
      <c r="CIR1370" s="110"/>
      <c r="CIS1370" s="110"/>
      <c r="CIT1370" s="110"/>
      <c r="CIU1370" s="110"/>
      <c r="CIV1370" s="110"/>
      <c r="CIW1370" s="110"/>
      <c r="CIX1370" s="110"/>
      <c r="CIY1370" s="110"/>
      <c r="CIZ1370" s="110"/>
      <c r="CJA1370" s="110"/>
      <c r="CJB1370" s="110"/>
      <c r="CJC1370" s="110"/>
      <c r="CJD1370" s="110"/>
      <c r="CJE1370" s="110"/>
      <c r="CJF1370" s="110"/>
      <c r="CJG1370" s="110"/>
      <c r="CJH1370" s="110"/>
      <c r="CJI1370" s="110"/>
      <c r="CJJ1370" s="110"/>
      <c r="CJK1370" s="110"/>
      <c r="CJL1370" s="110"/>
      <c r="CJM1370" s="110"/>
      <c r="CJN1370" s="110"/>
      <c r="CJO1370" s="110"/>
      <c r="CJP1370" s="110"/>
      <c r="CJQ1370" s="110"/>
      <c r="CJR1370" s="110"/>
      <c r="CJS1370" s="110"/>
      <c r="CJT1370" s="110"/>
      <c r="CJU1370" s="110"/>
      <c r="CJV1370" s="110"/>
      <c r="CJW1370" s="110"/>
      <c r="CJX1370" s="110"/>
      <c r="CJY1370" s="110"/>
      <c r="CJZ1370" s="110"/>
      <c r="CKA1370" s="110"/>
      <c r="CKB1370" s="110"/>
      <c r="CKC1370" s="110"/>
      <c r="CKD1370" s="110"/>
      <c r="CKE1370" s="110"/>
      <c r="CKF1370" s="110"/>
      <c r="CKG1370" s="110"/>
      <c r="CKH1370" s="110"/>
      <c r="CKI1370" s="110"/>
      <c r="CKJ1370" s="110"/>
      <c r="CKK1370" s="110"/>
      <c r="CKL1370" s="110"/>
      <c r="CKM1370" s="110"/>
      <c r="CKN1370" s="110"/>
      <c r="CKO1370" s="110"/>
      <c r="CKP1370" s="110"/>
      <c r="CKQ1370" s="110"/>
      <c r="CKR1370" s="110"/>
      <c r="CKS1370" s="110"/>
      <c r="CKT1370" s="110"/>
      <c r="CKU1370" s="110"/>
      <c r="CKV1370" s="110"/>
      <c r="CKW1370" s="110"/>
      <c r="CKX1370" s="110"/>
      <c r="CKY1370" s="110"/>
      <c r="CKZ1370" s="110"/>
      <c r="CLA1370" s="110"/>
      <c r="CLB1370" s="110"/>
      <c r="CLC1370" s="110"/>
      <c r="CLD1370" s="110"/>
      <c r="CLE1370" s="110"/>
      <c r="CLF1370" s="110"/>
      <c r="CLG1370" s="110"/>
      <c r="CLH1370" s="110"/>
      <c r="CLI1370" s="110"/>
      <c r="CLJ1370" s="110"/>
      <c r="CLK1370" s="110"/>
      <c r="CLL1370" s="110"/>
      <c r="CLM1370" s="110"/>
      <c r="CLN1370" s="110"/>
      <c r="CLO1370" s="110"/>
      <c r="CLP1370" s="110"/>
      <c r="CLQ1370" s="110"/>
      <c r="CLR1370" s="110"/>
      <c r="CLS1370" s="110"/>
      <c r="CLT1370" s="110"/>
      <c r="CLU1370" s="110"/>
      <c r="CLV1370" s="110"/>
      <c r="CLW1370" s="110"/>
      <c r="CLX1370" s="110"/>
      <c r="CLY1370" s="110"/>
      <c r="CLZ1370" s="110"/>
      <c r="CMA1370" s="110"/>
      <c r="CMB1370" s="110"/>
      <c r="CMC1370" s="110"/>
      <c r="CMD1370" s="110"/>
      <c r="CME1370" s="110"/>
      <c r="CMF1370" s="110"/>
      <c r="CMG1370" s="110"/>
      <c r="CMH1370" s="110"/>
      <c r="CMI1370" s="110"/>
      <c r="CMJ1370" s="110"/>
      <c r="CMK1370" s="110"/>
      <c r="CML1370" s="110"/>
      <c r="CMM1370" s="110"/>
      <c r="CMN1370" s="110"/>
      <c r="CMO1370" s="110"/>
      <c r="CMP1370" s="110"/>
      <c r="CMQ1370" s="110"/>
      <c r="CMR1370" s="110"/>
      <c r="CMS1370" s="110"/>
      <c r="CMT1370" s="110"/>
      <c r="CMU1370" s="110"/>
      <c r="CMV1370" s="110"/>
      <c r="CMW1370" s="110"/>
      <c r="CMX1370" s="110"/>
      <c r="CMY1370" s="110"/>
      <c r="CMZ1370" s="110"/>
      <c r="CNA1370" s="110"/>
      <c r="CNB1370" s="110"/>
      <c r="CNC1370" s="110"/>
      <c r="CND1370" s="110"/>
      <c r="CNE1370" s="110"/>
      <c r="CNF1370" s="110"/>
      <c r="CNG1370" s="110"/>
      <c r="CNH1370" s="110"/>
      <c r="CNI1370" s="110"/>
      <c r="CNJ1370" s="110"/>
      <c r="CNK1370" s="110"/>
      <c r="CNL1370" s="110"/>
      <c r="CNM1370" s="110"/>
      <c r="CNN1370" s="110"/>
      <c r="CNO1370" s="110"/>
      <c r="CNP1370" s="110"/>
      <c r="CNQ1370" s="110"/>
      <c r="CNR1370" s="110"/>
      <c r="CNS1370" s="110"/>
      <c r="CNT1370" s="110"/>
      <c r="CNU1370" s="110"/>
      <c r="CNV1370" s="110"/>
      <c r="CNW1370" s="110"/>
      <c r="CNX1370" s="110"/>
      <c r="CNY1370" s="110"/>
      <c r="CNZ1370" s="110"/>
      <c r="COA1370" s="110"/>
      <c r="COB1370" s="110"/>
      <c r="COC1370" s="110"/>
      <c r="COD1370" s="110"/>
      <c r="COE1370" s="110"/>
      <c r="COF1370" s="110"/>
      <c r="COG1370" s="110"/>
      <c r="COH1370" s="110"/>
      <c r="COI1370" s="110"/>
      <c r="COJ1370" s="110"/>
      <c r="COK1370" s="110"/>
      <c r="COL1370" s="110"/>
      <c r="COM1370" s="110"/>
      <c r="CON1370" s="110"/>
      <c r="COO1370" s="110"/>
      <c r="COP1370" s="110"/>
      <c r="COQ1370" s="110"/>
      <c r="COR1370" s="110"/>
      <c r="COS1370" s="110"/>
      <c r="COT1370" s="110"/>
      <c r="COU1370" s="110"/>
      <c r="COV1370" s="110"/>
      <c r="COW1370" s="110"/>
      <c r="COX1370" s="110"/>
      <c r="COY1370" s="110"/>
      <c r="COZ1370" s="110"/>
      <c r="CPA1370" s="110"/>
      <c r="CPB1370" s="110"/>
      <c r="CPC1370" s="110"/>
      <c r="CPD1370" s="110"/>
      <c r="CPE1370" s="110"/>
      <c r="CPF1370" s="110"/>
      <c r="CPG1370" s="110"/>
      <c r="CPH1370" s="110"/>
      <c r="CPI1370" s="110"/>
      <c r="CPJ1370" s="110"/>
      <c r="CPK1370" s="110"/>
      <c r="CPL1370" s="110"/>
      <c r="CPM1370" s="110"/>
      <c r="CPN1370" s="110"/>
      <c r="CPO1370" s="110"/>
      <c r="CPP1370" s="110"/>
      <c r="CPQ1370" s="110"/>
      <c r="CPR1370" s="110"/>
      <c r="CPS1370" s="110"/>
      <c r="CPT1370" s="110"/>
      <c r="CPU1370" s="110"/>
      <c r="CPV1370" s="110"/>
      <c r="CPW1370" s="110"/>
      <c r="CPX1370" s="110"/>
      <c r="CPY1370" s="110"/>
      <c r="CPZ1370" s="110"/>
      <c r="CQA1370" s="110"/>
      <c r="CQB1370" s="110"/>
      <c r="CQC1370" s="110"/>
      <c r="CQD1370" s="110"/>
      <c r="CQE1370" s="110"/>
      <c r="CQF1370" s="110"/>
      <c r="CQG1370" s="110"/>
      <c r="CQH1370" s="110"/>
      <c r="CQI1370" s="110"/>
      <c r="CQJ1370" s="110"/>
      <c r="CQK1370" s="110"/>
      <c r="CQL1370" s="110"/>
      <c r="CQM1370" s="110"/>
      <c r="CQN1370" s="110"/>
      <c r="CQO1370" s="110"/>
      <c r="CQP1370" s="110"/>
      <c r="CQQ1370" s="110"/>
      <c r="CQR1370" s="110"/>
      <c r="CQS1370" s="110"/>
      <c r="CQT1370" s="110"/>
      <c r="CQU1370" s="110"/>
      <c r="CQV1370" s="110"/>
      <c r="CQW1370" s="110"/>
      <c r="CQX1370" s="110"/>
      <c r="CQY1370" s="110"/>
      <c r="CQZ1370" s="110"/>
      <c r="CRA1370" s="110"/>
      <c r="CRB1370" s="110"/>
      <c r="CRC1370" s="110"/>
      <c r="CRD1370" s="110"/>
      <c r="CRE1370" s="110"/>
      <c r="CRF1370" s="110"/>
      <c r="CRG1370" s="110"/>
      <c r="CRH1370" s="110"/>
      <c r="CRI1370" s="110"/>
      <c r="CRJ1370" s="110"/>
      <c r="CRK1370" s="110"/>
      <c r="CRL1370" s="110"/>
      <c r="CRM1370" s="110"/>
      <c r="CRN1370" s="110"/>
      <c r="CRO1370" s="110"/>
      <c r="CRP1370" s="110"/>
      <c r="CRQ1370" s="110"/>
      <c r="CRR1370" s="110"/>
      <c r="CRS1370" s="110"/>
      <c r="CRT1370" s="110"/>
      <c r="CRU1370" s="110"/>
      <c r="CRV1370" s="110"/>
      <c r="CRW1370" s="110"/>
      <c r="CRX1370" s="110"/>
      <c r="CRY1370" s="110"/>
      <c r="CRZ1370" s="110"/>
      <c r="CSA1370" s="110"/>
      <c r="CSB1370" s="110"/>
      <c r="CSC1370" s="110"/>
      <c r="CSD1370" s="110"/>
      <c r="CSE1370" s="110"/>
      <c r="CSF1370" s="110"/>
      <c r="CSG1370" s="110"/>
      <c r="CSH1370" s="110"/>
      <c r="CSI1370" s="110"/>
      <c r="CSJ1370" s="110"/>
      <c r="CSK1370" s="110"/>
      <c r="CSL1370" s="110"/>
      <c r="CSM1370" s="110"/>
      <c r="CSN1370" s="110"/>
      <c r="CSO1370" s="110"/>
      <c r="CSP1370" s="110"/>
      <c r="CSQ1370" s="110"/>
      <c r="CSR1370" s="110"/>
      <c r="CSS1370" s="110"/>
      <c r="CST1370" s="110"/>
      <c r="CSU1370" s="110"/>
      <c r="CSV1370" s="110"/>
      <c r="CSW1370" s="110"/>
      <c r="CSX1370" s="110"/>
      <c r="CSY1370" s="110"/>
      <c r="CSZ1370" s="110"/>
      <c r="CTA1370" s="110"/>
      <c r="CTB1370" s="110"/>
      <c r="CTC1370" s="110"/>
      <c r="CTD1370" s="110"/>
      <c r="CTE1370" s="110"/>
      <c r="CTF1370" s="110"/>
      <c r="CTG1370" s="110"/>
      <c r="CTH1370" s="110"/>
      <c r="CTI1370" s="110"/>
      <c r="CTJ1370" s="110"/>
      <c r="CTK1370" s="110"/>
      <c r="CTL1370" s="110"/>
      <c r="CTM1370" s="110"/>
      <c r="CTN1370" s="110"/>
      <c r="CTO1370" s="110"/>
      <c r="CTP1370" s="110"/>
      <c r="CTQ1370" s="110"/>
      <c r="CTR1370" s="110"/>
      <c r="CTS1370" s="110"/>
      <c r="CTT1370" s="110"/>
      <c r="CTU1370" s="110"/>
      <c r="CTV1370" s="110"/>
      <c r="CTW1370" s="110"/>
      <c r="CTX1370" s="110"/>
      <c r="CTY1370" s="110"/>
      <c r="CTZ1370" s="110"/>
      <c r="CUA1370" s="110"/>
      <c r="CUB1370" s="110"/>
      <c r="CUC1370" s="110"/>
      <c r="CUD1370" s="110"/>
      <c r="CUE1370" s="110"/>
      <c r="CUF1370" s="110"/>
      <c r="CUG1370" s="110"/>
      <c r="CUH1370" s="110"/>
      <c r="CUI1370" s="110"/>
      <c r="CUJ1370" s="110"/>
      <c r="CUK1370" s="110"/>
      <c r="CUL1370" s="110"/>
      <c r="CUM1370" s="110"/>
      <c r="CUN1370" s="110"/>
      <c r="CUO1370" s="110"/>
      <c r="CUP1370" s="110"/>
      <c r="CUQ1370" s="110"/>
      <c r="CUR1370" s="110"/>
      <c r="CUS1370" s="110"/>
      <c r="CUT1370" s="110"/>
      <c r="CUU1370" s="110"/>
      <c r="CUV1370" s="110"/>
      <c r="CUW1370" s="110"/>
      <c r="CUX1370" s="110"/>
      <c r="CUY1370" s="110"/>
      <c r="CUZ1370" s="110"/>
      <c r="CVA1370" s="110"/>
      <c r="CVB1370" s="110"/>
      <c r="CVC1370" s="110"/>
      <c r="CVD1370" s="110"/>
      <c r="CVE1370" s="110"/>
      <c r="CVF1370" s="110"/>
      <c r="CVG1370" s="110"/>
      <c r="CVH1370" s="110"/>
      <c r="CVI1370" s="110"/>
      <c r="CVJ1370" s="110"/>
      <c r="CVK1370" s="110"/>
      <c r="CVL1370" s="110"/>
      <c r="CVM1370" s="110"/>
      <c r="CVN1370" s="110"/>
      <c r="CVO1370" s="110"/>
      <c r="CVP1370" s="110"/>
      <c r="CVQ1370" s="110"/>
      <c r="CVR1370" s="110"/>
      <c r="CVS1370" s="110"/>
      <c r="CVT1370" s="110"/>
      <c r="CVU1370" s="110"/>
      <c r="CVV1370" s="110"/>
      <c r="CVW1370" s="110"/>
      <c r="CVX1370" s="110"/>
      <c r="CVY1370" s="110"/>
      <c r="CVZ1370" s="110"/>
      <c r="CWA1370" s="110"/>
      <c r="CWB1370" s="110"/>
      <c r="CWC1370" s="110"/>
      <c r="CWD1370" s="110"/>
      <c r="CWE1370" s="110"/>
      <c r="CWF1370" s="110"/>
      <c r="CWG1370" s="110"/>
      <c r="CWH1370" s="110"/>
      <c r="CWI1370" s="110"/>
      <c r="CWJ1370" s="110"/>
      <c r="CWK1370" s="110"/>
      <c r="CWL1370" s="110"/>
      <c r="CWM1370" s="110"/>
      <c r="CWN1370" s="110"/>
      <c r="CWO1370" s="110"/>
      <c r="CWP1370" s="110"/>
      <c r="CWQ1370" s="110"/>
      <c r="CWR1370" s="110"/>
      <c r="CWS1370" s="110"/>
      <c r="CWT1370" s="110"/>
      <c r="CWU1370" s="110"/>
      <c r="CWV1370" s="110"/>
      <c r="CWW1370" s="110"/>
      <c r="CWX1370" s="110"/>
      <c r="CWY1370" s="110"/>
      <c r="CWZ1370" s="110"/>
      <c r="CXA1370" s="110"/>
      <c r="CXB1370" s="110"/>
      <c r="CXC1370" s="110"/>
      <c r="CXD1370" s="110"/>
      <c r="CXE1370" s="110"/>
      <c r="CXF1370" s="110"/>
      <c r="CXG1370" s="110"/>
      <c r="CXH1370" s="110"/>
      <c r="CXI1370" s="110"/>
      <c r="CXJ1370" s="110"/>
      <c r="CXK1370" s="110"/>
      <c r="CXL1370" s="110"/>
      <c r="CXM1370" s="110"/>
      <c r="CXN1370" s="110"/>
      <c r="CXO1370" s="110"/>
      <c r="CXP1370" s="110"/>
      <c r="CXQ1370" s="110"/>
      <c r="CXR1370" s="110"/>
      <c r="CXS1370" s="110"/>
      <c r="CXT1370" s="110"/>
      <c r="CXU1370" s="110"/>
      <c r="CXV1370" s="110"/>
      <c r="CXW1370" s="110"/>
      <c r="CXX1370" s="110"/>
      <c r="CXY1370" s="110"/>
      <c r="CXZ1370" s="110"/>
      <c r="CYA1370" s="110"/>
      <c r="CYB1370" s="110"/>
      <c r="CYC1370" s="110"/>
      <c r="CYD1370" s="110"/>
      <c r="CYE1370" s="110"/>
      <c r="CYF1370" s="110"/>
      <c r="CYG1370" s="110"/>
      <c r="CYH1370" s="110"/>
      <c r="CYI1370" s="110"/>
      <c r="CYJ1370" s="110"/>
      <c r="CYK1370" s="110"/>
      <c r="CYL1370" s="110"/>
      <c r="CYM1370" s="110"/>
      <c r="CYN1370" s="110"/>
      <c r="CYO1370" s="110"/>
      <c r="CYP1370" s="110"/>
      <c r="CYQ1370" s="110"/>
      <c r="CYR1370" s="110"/>
      <c r="CYS1370" s="110"/>
      <c r="CYT1370" s="110"/>
      <c r="CYU1370" s="110"/>
      <c r="CYV1370" s="110"/>
      <c r="CYW1370" s="110"/>
      <c r="CYX1370" s="110"/>
      <c r="CYY1370" s="110"/>
      <c r="CYZ1370" s="110"/>
      <c r="CZA1370" s="110"/>
      <c r="CZB1370" s="110"/>
      <c r="CZC1370" s="110"/>
      <c r="CZD1370" s="110"/>
      <c r="CZE1370" s="110"/>
      <c r="CZF1370" s="110"/>
      <c r="CZG1370" s="110"/>
      <c r="CZH1370" s="110"/>
      <c r="CZI1370" s="110"/>
      <c r="CZJ1370" s="110"/>
      <c r="CZK1370" s="110"/>
      <c r="CZL1370" s="110"/>
      <c r="CZM1370" s="110"/>
      <c r="CZN1370" s="110"/>
      <c r="CZO1370" s="110"/>
      <c r="CZP1370" s="110"/>
      <c r="CZQ1370" s="110"/>
      <c r="CZR1370" s="110"/>
      <c r="CZS1370" s="110"/>
      <c r="CZT1370" s="110"/>
      <c r="CZU1370" s="110"/>
      <c r="CZV1370" s="110"/>
      <c r="CZW1370" s="110"/>
      <c r="CZX1370" s="110"/>
      <c r="CZY1370" s="110"/>
      <c r="CZZ1370" s="110"/>
      <c r="DAA1370" s="110"/>
      <c r="DAB1370" s="110"/>
      <c r="DAC1370" s="110"/>
      <c r="DAD1370" s="110"/>
      <c r="DAE1370" s="110"/>
      <c r="DAF1370" s="110"/>
      <c r="DAG1370" s="110"/>
      <c r="DAH1370" s="110"/>
      <c r="DAI1370" s="110"/>
      <c r="DAJ1370" s="110"/>
      <c r="DAK1370" s="110"/>
      <c r="DAL1370" s="110"/>
      <c r="DAM1370" s="110"/>
      <c r="DAN1370" s="110"/>
      <c r="DAO1370" s="110"/>
      <c r="DAP1370" s="110"/>
      <c r="DAQ1370" s="110"/>
      <c r="DAR1370" s="110"/>
      <c r="DAS1370" s="110"/>
      <c r="DAT1370" s="110"/>
      <c r="DAU1370" s="110"/>
      <c r="DAV1370" s="110"/>
      <c r="DAW1370" s="110"/>
      <c r="DAX1370" s="110"/>
      <c r="DAY1370" s="110"/>
      <c r="DAZ1370" s="110"/>
      <c r="DBA1370" s="110"/>
      <c r="DBB1370" s="110"/>
      <c r="DBC1370" s="110"/>
      <c r="DBD1370" s="110"/>
      <c r="DBE1370" s="110"/>
      <c r="DBF1370" s="110"/>
      <c r="DBG1370" s="110"/>
      <c r="DBH1370" s="110"/>
      <c r="DBI1370" s="110"/>
      <c r="DBJ1370" s="110"/>
      <c r="DBK1370" s="110"/>
      <c r="DBL1370" s="110"/>
      <c r="DBM1370" s="110"/>
      <c r="DBN1370" s="110"/>
      <c r="DBO1370" s="110"/>
      <c r="DBP1370" s="110"/>
      <c r="DBQ1370" s="110"/>
      <c r="DBR1370" s="110"/>
      <c r="DBS1370" s="110"/>
      <c r="DBT1370" s="110"/>
      <c r="DBU1370" s="110"/>
      <c r="DBV1370" s="110"/>
      <c r="DBW1370" s="110"/>
      <c r="DBX1370" s="110"/>
      <c r="DBY1370" s="110"/>
      <c r="DBZ1370" s="110"/>
      <c r="DCA1370" s="110"/>
      <c r="DCB1370" s="110"/>
      <c r="DCC1370" s="110"/>
      <c r="DCD1370" s="110"/>
      <c r="DCE1370" s="110"/>
      <c r="DCF1370" s="110"/>
      <c r="DCG1370" s="110"/>
      <c r="DCH1370" s="110"/>
      <c r="DCI1370" s="110"/>
      <c r="DCJ1370" s="110"/>
      <c r="DCK1370" s="110"/>
      <c r="DCL1370" s="110"/>
      <c r="DCM1370" s="110"/>
      <c r="DCN1370" s="110"/>
      <c r="DCO1370" s="110"/>
      <c r="DCP1370" s="110"/>
      <c r="DCQ1370" s="110"/>
      <c r="DCR1370" s="110"/>
      <c r="DCS1370" s="110"/>
      <c r="DCT1370" s="110"/>
      <c r="DCU1370" s="110"/>
      <c r="DCV1370" s="110"/>
      <c r="DCW1370" s="110"/>
      <c r="DCX1370" s="110"/>
      <c r="DCY1370" s="110"/>
      <c r="DCZ1370" s="110"/>
      <c r="DDA1370" s="110"/>
      <c r="DDB1370" s="110"/>
      <c r="DDC1370" s="110"/>
      <c r="DDD1370" s="110"/>
      <c r="DDE1370" s="110"/>
      <c r="DDF1370" s="110"/>
      <c r="DDG1370" s="110"/>
      <c r="DDH1370" s="110"/>
      <c r="DDI1370" s="110"/>
      <c r="DDJ1370" s="110"/>
      <c r="DDK1370" s="110"/>
      <c r="DDL1370" s="110"/>
      <c r="DDM1370" s="110"/>
      <c r="DDN1370" s="110"/>
      <c r="DDO1370" s="110"/>
      <c r="DDP1370" s="110"/>
      <c r="DDQ1370" s="110"/>
      <c r="DDR1370" s="110"/>
      <c r="DDS1370" s="110"/>
      <c r="DDT1370" s="110"/>
      <c r="DDU1370" s="110"/>
      <c r="DDV1370" s="110"/>
      <c r="DDW1370" s="110"/>
      <c r="DDX1370" s="110"/>
      <c r="DDY1370" s="110"/>
      <c r="DDZ1370" s="110"/>
      <c r="DEA1370" s="110"/>
      <c r="DEB1370" s="110"/>
      <c r="DEC1370" s="110"/>
      <c r="DED1370" s="110"/>
      <c r="DEE1370" s="110"/>
      <c r="DEF1370" s="110"/>
      <c r="DEG1370" s="110"/>
      <c r="DEH1370" s="110"/>
      <c r="DEI1370" s="110"/>
      <c r="DEJ1370" s="110"/>
      <c r="DEK1370" s="110"/>
      <c r="DEL1370" s="110"/>
      <c r="DEM1370" s="110"/>
      <c r="DEN1370" s="110"/>
      <c r="DEO1370" s="110"/>
      <c r="DEP1370" s="110"/>
      <c r="DEQ1370" s="110"/>
      <c r="DER1370" s="110"/>
      <c r="DES1370" s="110"/>
      <c r="DET1370" s="110"/>
      <c r="DEU1370" s="110"/>
      <c r="DEV1370" s="110"/>
      <c r="DEW1370" s="110"/>
      <c r="DEX1370" s="110"/>
      <c r="DEY1370" s="110"/>
      <c r="DEZ1370" s="110"/>
      <c r="DFA1370" s="110"/>
      <c r="DFB1370" s="110"/>
      <c r="DFC1370" s="110"/>
      <c r="DFD1370" s="110"/>
      <c r="DFE1370" s="110"/>
      <c r="DFF1370" s="110"/>
      <c r="DFG1370" s="110"/>
      <c r="DFH1370" s="110"/>
      <c r="DFI1370" s="110"/>
      <c r="DFJ1370" s="110"/>
      <c r="DFK1370" s="110"/>
      <c r="DFL1370" s="110"/>
      <c r="DFM1370" s="110"/>
      <c r="DFN1370" s="110"/>
      <c r="DFO1370" s="110"/>
      <c r="DFP1370" s="110"/>
      <c r="DFQ1370" s="110"/>
      <c r="DFR1370" s="110"/>
      <c r="DFS1370" s="110"/>
      <c r="DFT1370" s="110"/>
      <c r="DFU1370" s="110"/>
      <c r="DFV1370" s="110"/>
      <c r="DFW1370" s="110"/>
      <c r="DFX1370" s="110"/>
      <c r="DFY1370" s="110"/>
      <c r="DFZ1370" s="110"/>
      <c r="DGA1370" s="110"/>
      <c r="DGB1370" s="110"/>
      <c r="DGC1370" s="110"/>
      <c r="DGD1370" s="110"/>
      <c r="DGE1370" s="110"/>
      <c r="DGF1370" s="110"/>
      <c r="DGG1370" s="110"/>
      <c r="DGH1370" s="110"/>
      <c r="DGI1370" s="110"/>
      <c r="DGJ1370" s="110"/>
      <c r="DGK1370" s="110"/>
      <c r="DGL1370" s="110"/>
      <c r="DGM1370" s="110"/>
      <c r="DGN1370" s="110"/>
      <c r="DGO1370" s="110"/>
      <c r="DGP1370" s="110"/>
      <c r="DGQ1370" s="110"/>
      <c r="DGR1370" s="110"/>
      <c r="DGS1370" s="110"/>
      <c r="DGT1370" s="110"/>
      <c r="DGU1370" s="110"/>
      <c r="DGV1370" s="110"/>
      <c r="DGW1370" s="110"/>
      <c r="DGX1370" s="110"/>
      <c r="DGY1370" s="110"/>
      <c r="DGZ1370" s="110"/>
      <c r="DHA1370" s="110"/>
      <c r="DHB1370" s="110"/>
      <c r="DHC1370" s="110"/>
      <c r="DHD1370" s="110"/>
      <c r="DHE1370" s="110"/>
      <c r="DHF1370" s="110"/>
      <c r="DHG1370" s="110"/>
      <c r="DHH1370" s="110"/>
      <c r="DHI1370" s="110"/>
      <c r="DHJ1370" s="110"/>
      <c r="DHK1370" s="110"/>
      <c r="DHL1370" s="110"/>
      <c r="DHM1370" s="110"/>
      <c r="DHN1370" s="110"/>
      <c r="DHO1370" s="110"/>
      <c r="DHP1370" s="110"/>
      <c r="DHQ1370" s="110"/>
      <c r="DHR1370" s="110"/>
      <c r="DHS1370" s="110"/>
      <c r="DHT1370" s="110"/>
      <c r="DHU1370" s="110"/>
      <c r="DHV1370" s="110"/>
      <c r="DHW1370" s="110"/>
      <c r="DHX1370" s="110"/>
      <c r="DHY1370" s="110"/>
      <c r="DHZ1370" s="110"/>
      <c r="DIA1370" s="110"/>
      <c r="DIB1370" s="110"/>
      <c r="DIC1370" s="110"/>
      <c r="DID1370" s="110"/>
      <c r="DIE1370" s="110"/>
      <c r="DIF1370" s="110"/>
      <c r="DIG1370" s="110"/>
      <c r="DIH1370" s="110"/>
      <c r="DII1370" s="110"/>
      <c r="DIJ1370" s="110"/>
      <c r="DIK1370" s="110"/>
      <c r="DIL1370" s="110"/>
      <c r="DIM1370" s="110"/>
      <c r="DIN1370" s="110"/>
      <c r="DIO1370" s="110"/>
      <c r="DIP1370" s="110"/>
      <c r="DIQ1370" s="110"/>
      <c r="DIR1370" s="110"/>
      <c r="DIS1370" s="110"/>
      <c r="DIT1370" s="110"/>
      <c r="DIU1370" s="110"/>
      <c r="DIV1370" s="110"/>
      <c r="DIW1370" s="110"/>
      <c r="DIX1370" s="110"/>
      <c r="DIY1370" s="110"/>
      <c r="DIZ1370" s="110"/>
      <c r="DJA1370" s="110"/>
      <c r="DJB1370" s="110"/>
      <c r="DJC1370" s="110"/>
      <c r="DJD1370" s="110"/>
      <c r="DJE1370" s="110"/>
      <c r="DJF1370" s="110"/>
      <c r="DJG1370" s="110"/>
      <c r="DJH1370" s="110"/>
      <c r="DJI1370" s="110"/>
      <c r="DJJ1370" s="110"/>
      <c r="DJK1370" s="110"/>
      <c r="DJL1370" s="110"/>
      <c r="DJM1370" s="110"/>
      <c r="DJN1370" s="110"/>
      <c r="DJO1370" s="110"/>
      <c r="DJP1370" s="110"/>
      <c r="DJQ1370" s="110"/>
      <c r="DJR1370" s="110"/>
      <c r="DJS1370" s="110"/>
      <c r="DJT1370" s="110"/>
      <c r="DJU1370" s="110"/>
      <c r="DJV1370" s="110"/>
      <c r="DJW1370" s="110"/>
      <c r="DJX1370" s="110"/>
      <c r="DJY1370" s="110"/>
      <c r="DJZ1370" s="110"/>
      <c r="DKA1370" s="110"/>
      <c r="DKB1370" s="110"/>
      <c r="DKC1370" s="110"/>
      <c r="DKD1370" s="110"/>
      <c r="DKE1370" s="110"/>
      <c r="DKF1370" s="110"/>
      <c r="DKG1370" s="110"/>
      <c r="DKH1370" s="110"/>
      <c r="DKI1370" s="110"/>
      <c r="DKJ1370" s="110"/>
      <c r="DKK1370" s="110"/>
      <c r="DKL1370" s="110"/>
      <c r="DKM1370" s="110"/>
      <c r="DKN1370" s="110"/>
      <c r="DKO1370" s="110"/>
      <c r="DKP1370" s="110"/>
      <c r="DKQ1370" s="110"/>
      <c r="DKR1370" s="110"/>
      <c r="DKS1370" s="110"/>
      <c r="DKT1370" s="110"/>
      <c r="DKU1370" s="110"/>
      <c r="DKV1370" s="110"/>
      <c r="DKW1370" s="110"/>
      <c r="DKX1370" s="110"/>
      <c r="DKY1370" s="110"/>
      <c r="DKZ1370" s="110"/>
      <c r="DLA1370" s="110"/>
      <c r="DLB1370" s="110"/>
      <c r="DLC1370" s="110"/>
      <c r="DLD1370" s="110"/>
      <c r="DLE1370" s="110"/>
      <c r="DLF1370" s="110"/>
      <c r="DLG1370" s="110"/>
      <c r="DLH1370" s="110"/>
      <c r="DLI1370" s="110"/>
      <c r="DLJ1370" s="110"/>
      <c r="DLK1370" s="110"/>
      <c r="DLL1370" s="110"/>
      <c r="DLM1370" s="110"/>
      <c r="DLN1370" s="110"/>
      <c r="DLO1370" s="110"/>
      <c r="DLP1370" s="110"/>
      <c r="DLQ1370" s="110"/>
      <c r="DLR1370" s="110"/>
      <c r="DLS1370" s="110"/>
      <c r="DLT1370" s="110"/>
      <c r="DLU1370" s="110"/>
      <c r="DLV1370" s="110"/>
      <c r="DLW1370" s="110"/>
      <c r="DLX1370" s="110"/>
      <c r="DLY1370" s="110"/>
      <c r="DLZ1370" s="110"/>
      <c r="DMA1370" s="110"/>
      <c r="DMB1370" s="110"/>
      <c r="DMC1370" s="110"/>
      <c r="DMD1370" s="110"/>
      <c r="DME1370" s="110"/>
      <c r="DMF1370" s="110"/>
      <c r="DMG1370" s="110"/>
      <c r="DMH1370" s="110"/>
      <c r="DMI1370" s="110"/>
      <c r="DMJ1370" s="110"/>
      <c r="DMK1370" s="110"/>
      <c r="DML1370" s="110"/>
      <c r="DMM1370" s="110"/>
      <c r="DMN1370" s="110"/>
      <c r="DMO1370" s="110"/>
      <c r="DMP1370" s="110"/>
      <c r="DMQ1370" s="110"/>
      <c r="DMR1370" s="110"/>
      <c r="DMS1370" s="110"/>
      <c r="DMT1370" s="110"/>
      <c r="DMU1370" s="110"/>
      <c r="DMV1370" s="110"/>
      <c r="DMW1370" s="110"/>
      <c r="DMX1370" s="110"/>
      <c r="DMY1370" s="110"/>
      <c r="DMZ1370" s="110"/>
      <c r="DNA1370" s="110"/>
      <c r="DNB1370" s="110"/>
      <c r="DNC1370" s="110"/>
      <c r="DND1370" s="110"/>
      <c r="DNE1370" s="110"/>
      <c r="DNF1370" s="110"/>
      <c r="DNG1370" s="110"/>
      <c r="DNH1370" s="110"/>
      <c r="DNI1370" s="110"/>
      <c r="DNJ1370" s="110"/>
      <c r="DNK1370" s="110"/>
      <c r="DNL1370" s="110"/>
      <c r="DNM1370" s="110"/>
      <c r="DNN1370" s="110"/>
      <c r="DNO1370" s="110"/>
      <c r="DNP1370" s="110"/>
      <c r="DNQ1370" s="110"/>
      <c r="DNR1370" s="110"/>
      <c r="DNS1370" s="110"/>
      <c r="DNT1370" s="110"/>
      <c r="DNU1370" s="110"/>
      <c r="DNV1370" s="110"/>
      <c r="DNW1370" s="110"/>
      <c r="DNX1370" s="110"/>
      <c r="DNY1370" s="110"/>
      <c r="DNZ1370" s="110"/>
      <c r="DOA1370" s="110"/>
      <c r="DOB1370" s="110"/>
      <c r="DOC1370" s="110"/>
      <c r="DOD1370" s="110"/>
      <c r="DOE1370" s="110"/>
      <c r="DOF1370" s="110"/>
      <c r="DOG1370" s="110"/>
      <c r="DOH1370" s="110"/>
      <c r="DOI1370" s="110"/>
      <c r="DOJ1370" s="110"/>
      <c r="DOK1370" s="110"/>
      <c r="DOL1370" s="110"/>
      <c r="DOM1370" s="110"/>
      <c r="DON1370" s="110"/>
      <c r="DOO1370" s="110"/>
      <c r="DOP1370" s="110"/>
      <c r="DOQ1370" s="110"/>
      <c r="DOR1370" s="110"/>
      <c r="DOS1370" s="110"/>
      <c r="DOT1370" s="110"/>
      <c r="DOU1370" s="110"/>
      <c r="DOV1370" s="110"/>
      <c r="DOW1370" s="110"/>
      <c r="DOX1370" s="110"/>
      <c r="DOY1370" s="110"/>
      <c r="DOZ1370" s="110"/>
      <c r="DPA1370" s="110"/>
      <c r="DPB1370" s="110"/>
      <c r="DPC1370" s="110"/>
      <c r="DPD1370" s="110"/>
      <c r="DPE1370" s="110"/>
      <c r="DPF1370" s="110"/>
      <c r="DPG1370" s="110"/>
      <c r="DPH1370" s="110"/>
      <c r="DPI1370" s="110"/>
      <c r="DPJ1370" s="110"/>
      <c r="DPK1370" s="110"/>
      <c r="DPL1370" s="110"/>
      <c r="DPM1370" s="110"/>
      <c r="DPN1370" s="110"/>
      <c r="DPO1370" s="110"/>
      <c r="DPP1370" s="110"/>
      <c r="DPQ1370" s="110"/>
      <c r="DPR1370" s="110"/>
      <c r="DPS1370" s="110"/>
      <c r="DPT1370" s="110"/>
      <c r="DPU1370" s="110"/>
      <c r="DPV1370" s="110"/>
      <c r="DPW1370" s="110"/>
      <c r="DPX1370" s="110"/>
      <c r="DPY1370" s="110"/>
      <c r="DPZ1370" s="110"/>
      <c r="DQA1370" s="110"/>
      <c r="DQB1370" s="110"/>
      <c r="DQC1370" s="110"/>
      <c r="DQD1370" s="110"/>
      <c r="DQE1370" s="110"/>
      <c r="DQF1370" s="110"/>
      <c r="DQG1370" s="110"/>
      <c r="DQH1370" s="110"/>
      <c r="DQI1370" s="110"/>
      <c r="DQJ1370" s="110"/>
      <c r="DQK1370" s="110"/>
      <c r="DQL1370" s="110"/>
      <c r="DQM1370" s="110"/>
      <c r="DQN1370" s="110"/>
      <c r="DQO1370" s="110"/>
      <c r="DQP1370" s="110"/>
      <c r="DQQ1370" s="110"/>
      <c r="DQR1370" s="110"/>
      <c r="DQS1370" s="110"/>
      <c r="DQT1370" s="110"/>
      <c r="DQU1370" s="110"/>
      <c r="DQV1370" s="110"/>
      <c r="DQW1370" s="110"/>
      <c r="DQX1370" s="110"/>
      <c r="DQY1370" s="110"/>
      <c r="DQZ1370" s="110"/>
      <c r="DRA1370" s="110"/>
      <c r="DRB1370" s="110"/>
      <c r="DRC1370" s="110"/>
      <c r="DRD1370" s="110"/>
      <c r="DRE1370" s="110"/>
      <c r="DRF1370" s="110"/>
      <c r="DRG1370" s="110"/>
      <c r="DRH1370" s="110"/>
      <c r="DRI1370" s="110"/>
      <c r="DRJ1370" s="110"/>
      <c r="DRK1370" s="110"/>
      <c r="DRL1370" s="110"/>
      <c r="DRM1370" s="110"/>
      <c r="DRN1370" s="110"/>
      <c r="DRO1370" s="110"/>
      <c r="DRP1370" s="110"/>
      <c r="DRQ1370" s="110"/>
      <c r="DRR1370" s="110"/>
      <c r="DRS1370" s="110"/>
      <c r="DRT1370" s="110"/>
      <c r="DRU1370" s="110"/>
      <c r="DRV1370" s="110"/>
      <c r="DRW1370" s="110"/>
      <c r="DRX1370" s="110"/>
      <c r="DRY1370" s="110"/>
      <c r="DRZ1370" s="110"/>
      <c r="DSA1370" s="110"/>
      <c r="DSB1370" s="110"/>
      <c r="DSC1370" s="110"/>
      <c r="DSD1370" s="110"/>
      <c r="DSE1370" s="110"/>
      <c r="DSF1370" s="110"/>
      <c r="DSG1370" s="110"/>
      <c r="DSH1370" s="110"/>
      <c r="DSI1370" s="110"/>
      <c r="DSJ1370" s="110"/>
      <c r="DSK1370" s="110"/>
      <c r="DSL1370" s="110"/>
      <c r="DSM1370" s="110"/>
      <c r="DSN1370" s="110"/>
      <c r="DSO1370" s="110"/>
      <c r="DSP1370" s="110"/>
      <c r="DSQ1370" s="110"/>
      <c r="DSR1370" s="110"/>
      <c r="DSS1370" s="110"/>
      <c r="DST1370" s="110"/>
      <c r="DSU1370" s="110"/>
      <c r="DSV1370" s="110"/>
      <c r="DSW1370" s="110"/>
      <c r="DSX1370" s="110"/>
      <c r="DSY1370" s="110"/>
      <c r="DSZ1370" s="110"/>
      <c r="DTA1370" s="110"/>
      <c r="DTB1370" s="110"/>
      <c r="DTC1370" s="110"/>
      <c r="DTD1370" s="110"/>
      <c r="DTE1370" s="110"/>
      <c r="DTF1370" s="110"/>
      <c r="DTG1370" s="110"/>
      <c r="DTH1370" s="110"/>
      <c r="DTI1370" s="110"/>
      <c r="DTJ1370" s="110"/>
      <c r="DTK1370" s="110"/>
      <c r="DTL1370" s="110"/>
      <c r="DTM1370" s="110"/>
      <c r="DTN1370" s="110"/>
      <c r="DTO1370" s="110"/>
      <c r="DTP1370" s="110"/>
      <c r="DTQ1370" s="110"/>
      <c r="DTR1370" s="110"/>
      <c r="DTS1370" s="110"/>
      <c r="DTT1370" s="110"/>
      <c r="DTU1370" s="110"/>
      <c r="DTV1370" s="110"/>
      <c r="DTW1370" s="110"/>
      <c r="DTX1370" s="110"/>
      <c r="DTY1370" s="110"/>
      <c r="DTZ1370" s="110"/>
      <c r="DUA1370" s="110"/>
      <c r="DUB1370" s="110"/>
      <c r="DUC1370" s="110"/>
      <c r="DUD1370" s="110"/>
      <c r="DUE1370" s="110"/>
      <c r="DUF1370" s="110"/>
      <c r="DUG1370" s="110"/>
      <c r="DUH1370" s="110"/>
      <c r="DUI1370" s="110"/>
      <c r="DUJ1370" s="110"/>
      <c r="DUK1370" s="110"/>
      <c r="DUL1370" s="110"/>
      <c r="DUM1370" s="110"/>
      <c r="DUN1370" s="110"/>
      <c r="DUO1370" s="110"/>
      <c r="DUP1370" s="110"/>
      <c r="DUQ1370" s="110"/>
      <c r="DUR1370" s="110"/>
      <c r="DUS1370" s="110"/>
      <c r="DUT1370" s="110"/>
      <c r="DUU1370" s="110"/>
      <c r="DUV1370" s="110"/>
      <c r="DUW1370" s="110"/>
      <c r="DUX1370" s="110"/>
      <c r="DUY1370" s="110"/>
      <c r="DUZ1370" s="110"/>
      <c r="DVA1370" s="110"/>
      <c r="DVB1370" s="110"/>
      <c r="DVC1370" s="110"/>
      <c r="DVD1370" s="110"/>
      <c r="DVE1370" s="110"/>
      <c r="DVF1370" s="110"/>
      <c r="DVG1370" s="110"/>
      <c r="DVH1370" s="110"/>
      <c r="DVI1370" s="110"/>
      <c r="DVJ1370" s="110"/>
      <c r="DVK1370" s="110"/>
      <c r="DVL1370" s="110"/>
      <c r="DVM1370" s="110"/>
      <c r="DVN1370" s="110"/>
      <c r="DVO1370" s="110"/>
      <c r="DVP1370" s="110"/>
      <c r="DVQ1370" s="110"/>
      <c r="DVR1370" s="110"/>
      <c r="DVS1370" s="110"/>
      <c r="DVT1370" s="110"/>
      <c r="DVU1370" s="110"/>
      <c r="DVV1370" s="110"/>
      <c r="DVW1370" s="110"/>
      <c r="DVX1370" s="110"/>
      <c r="DVY1370" s="110"/>
      <c r="DVZ1370" s="110"/>
      <c r="DWA1370" s="110"/>
      <c r="DWB1370" s="110"/>
      <c r="DWC1370" s="110"/>
      <c r="DWD1370" s="110"/>
      <c r="DWE1370" s="110"/>
      <c r="DWF1370" s="110"/>
      <c r="DWG1370" s="110"/>
      <c r="DWH1370" s="110"/>
      <c r="DWI1370" s="110"/>
      <c r="DWJ1370" s="110"/>
      <c r="DWK1370" s="110"/>
      <c r="DWL1370" s="110"/>
      <c r="DWM1370" s="110"/>
      <c r="DWN1370" s="110"/>
      <c r="DWO1370" s="110"/>
      <c r="DWP1370" s="110"/>
      <c r="DWQ1370" s="110"/>
      <c r="DWR1370" s="110"/>
      <c r="DWS1370" s="110"/>
      <c r="DWT1370" s="110"/>
      <c r="DWU1370" s="110"/>
      <c r="DWV1370" s="110"/>
      <c r="DWW1370" s="110"/>
      <c r="DWX1370" s="110"/>
      <c r="DWY1370" s="110"/>
      <c r="DWZ1370" s="110"/>
      <c r="DXA1370" s="110"/>
      <c r="DXB1370" s="110"/>
      <c r="DXC1370" s="110"/>
      <c r="DXD1370" s="110"/>
      <c r="DXE1370" s="110"/>
      <c r="DXF1370" s="110"/>
      <c r="DXG1370" s="110"/>
      <c r="DXH1370" s="110"/>
      <c r="DXI1370" s="110"/>
      <c r="DXJ1370" s="110"/>
      <c r="DXK1370" s="110"/>
      <c r="DXL1370" s="110"/>
      <c r="DXM1370" s="110"/>
      <c r="DXN1370" s="110"/>
      <c r="DXO1370" s="110"/>
      <c r="DXP1370" s="110"/>
      <c r="DXQ1370" s="110"/>
      <c r="DXR1370" s="110"/>
      <c r="DXS1370" s="110"/>
      <c r="DXT1370" s="110"/>
      <c r="DXU1370" s="110"/>
      <c r="DXV1370" s="110"/>
      <c r="DXW1370" s="110"/>
      <c r="DXX1370" s="110"/>
      <c r="DXY1370" s="110"/>
      <c r="DXZ1370" s="110"/>
      <c r="DYA1370" s="110"/>
      <c r="DYB1370" s="110"/>
      <c r="DYC1370" s="110"/>
      <c r="DYD1370" s="110"/>
      <c r="DYE1370" s="110"/>
      <c r="DYF1370" s="110"/>
      <c r="DYG1370" s="110"/>
      <c r="DYH1370" s="110"/>
      <c r="DYI1370" s="110"/>
      <c r="DYJ1370" s="110"/>
      <c r="DYK1370" s="110"/>
      <c r="DYL1370" s="110"/>
      <c r="DYM1370" s="110"/>
      <c r="DYN1370" s="110"/>
      <c r="DYO1370" s="110"/>
      <c r="DYP1370" s="110"/>
      <c r="DYQ1370" s="110"/>
      <c r="DYR1370" s="110"/>
      <c r="DYS1370" s="110"/>
      <c r="DYT1370" s="110"/>
      <c r="DYU1370" s="110"/>
      <c r="DYV1370" s="110"/>
      <c r="DYW1370" s="110"/>
      <c r="DYX1370" s="110"/>
      <c r="DYY1370" s="110"/>
      <c r="DYZ1370" s="110"/>
      <c r="DZA1370" s="110"/>
      <c r="DZB1370" s="110"/>
      <c r="DZC1370" s="110"/>
      <c r="DZD1370" s="110"/>
      <c r="DZE1370" s="110"/>
      <c r="DZF1370" s="110"/>
      <c r="DZG1370" s="110"/>
      <c r="DZH1370" s="110"/>
      <c r="DZI1370" s="110"/>
      <c r="DZJ1370" s="110"/>
      <c r="DZK1370" s="110"/>
      <c r="DZL1370" s="110"/>
      <c r="DZM1370" s="110"/>
      <c r="DZN1370" s="110"/>
      <c r="DZO1370" s="110"/>
      <c r="DZP1370" s="110"/>
      <c r="DZQ1370" s="110"/>
      <c r="DZR1370" s="110"/>
      <c r="DZS1370" s="110"/>
      <c r="DZT1370" s="110"/>
      <c r="DZU1370" s="110"/>
      <c r="DZV1370" s="110"/>
      <c r="DZW1370" s="110"/>
      <c r="DZX1370" s="110"/>
      <c r="DZY1370" s="110"/>
      <c r="DZZ1370" s="110"/>
      <c r="EAA1370" s="110"/>
      <c r="EAB1370" s="110"/>
      <c r="EAC1370" s="110"/>
      <c r="EAD1370" s="110"/>
      <c r="EAE1370" s="110"/>
      <c r="EAF1370" s="110"/>
      <c r="EAG1370" s="110"/>
      <c r="EAH1370" s="110"/>
      <c r="EAI1370" s="110"/>
      <c r="EAJ1370" s="110"/>
      <c r="EAK1370" s="110"/>
      <c r="EAL1370" s="110"/>
      <c r="EAM1370" s="110"/>
      <c r="EAN1370" s="110"/>
      <c r="EAO1370" s="110"/>
      <c r="EAP1370" s="110"/>
      <c r="EAQ1370" s="110"/>
      <c r="EAR1370" s="110"/>
      <c r="EAS1370" s="110"/>
      <c r="EAT1370" s="110"/>
      <c r="EAU1370" s="110"/>
      <c r="EAV1370" s="110"/>
      <c r="EAW1370" s="110"/>
      <c r="EAX1370" s="110"/>
      <c r="EAY1370" s="110"/>
      <c r="EAZ1370" s="110"/>
      <c r="EBA1370" s="110"/>
      <c r="EBB1370" s="110"/>
      <c r="EBC1370" s="110"/>
      <c r="EBD1370" s="110"/>
      <c r="EBE1370" s="110"/>
      <c r="EBF1370" s="110"/>
      <c r="EBG1370" s="110"/>
      <c r="EBH1370" s="110"/>
      <c r="EBI1370" s="110"/>
      <c r="EBJ1370" s="110"/>
      <c r="EBK1370" s="110"/>
      <c r="EBL1370" s="110"/>
      <c r="EBM1370" s="110"/>
      <c r="EBN1370" s="110"/>
      <c r="EBO1370" s="110"/>
      <c r="EBP1370" s="110"/>
      <c r="EBQ1370" s="110"/>
      <c r="EBR1370" s="110"/>
      <c r="EBS1370" s="110"/>
      <c r="EBT1370" s="110"/>
      <c r="EBU1370" s="110"/>
      <c r="EBV1370" s="110"/>
      <c r="EBW1370" s="110"/>
      <c r="EBX1370" s="110"/>
      <c r="EBY1370" s="110"/>
      <c r="EBZ1370" s="110"/>
      <c r="ECA1370" s="110"/>
      <c r="ECB1370" s="110"/>
      <c r="ECC1370" s="110"/>
      <c r="ECD1370" s="110"/>
      <c r="ECE1370" s="110"/>
      <c r="ECF1370" s="110"/>
      <c r="ECG1370" s="110"/>
      <c r="ECH1370" s="110"/>
      <c r="ECI1370" s="110"/>
      <c r="ECJ1370" s="110"/>
      <c r="ECK1370" s="110"/>
      <c r="ECL1370" s="110"/>
      <c r="ECM1370" s="110"/>
      <c r="ECN1370" s="110"/>
      <c r="ECO1370" s="110"/>
      <c r="ECP1370" s="110"/>
      <c r="ECQ1370" s="110"/>
      <c r="ECR1370" s="110"/>
      <c r="ECS1370" s="110"/>
      <c r="ECT1370" s="110"/>
      <c r="ECU1370" s="110"/>
      <c r="ECV1370" s="110"/>
      <c r="ECW1370" s="110"/>
      <c r="ECX1370" s="110"/>
      <c r="ECY1370" s="110"/>
      <c r="ECZ1370" s="110"/>
      <c r="EDA1370" s="110"/>
      <c r="EDB1370" s="110"/>
      <c r="EDC1370" s="110"/>
      <c r="EDD1370" s="110"/>
      <c r="EDE1370" s="110"/>
      <c r="EDF1370" s="110"/>
      <c r="EDG1370" s="110"/>
      <c r="EDH1370" s="110"/>
      <c r="EDI1370" s="110"/>
      <c r="EDJ1370" s="110"/>
      <c r="EDK1370" s="110"/>
      <c r="EDL1370" s="110"/>
      <c r="EDM1370" s="110"/>
      <c r="EDN1370" s="110"/>
      <c r="EDO1370" s="110"/>
      <c r="EDP1370" s="110"/>
      <c r="EDQ1370" s="110"/>
      <c r="EDR1370" s="110"/>
      <c r="EDS1370" s="110"/>
      <c r="EDT1370" s="110"/>
      <c r="EDU1370" s="110"/>
      <c r="EDV1370" s="110"/>
      <c r="EDW1370" s="110"/>
      <c r="EDX1370" s="110"/>
      <c r="EDY1370" s="110"/>
      <c r="EDZ1370" s="110"/>
      <c r="EEA1370" s="110"/>
      <c r="EEB1370" s="110"/>
      <c r="EEC1370" s="110"/>
      <c r="EED1370" s="110"/>
      <c r="EEE1370" s="110"/>
      <c r="EEF1370" s="110"/>
      <c r="EEG1370" s="110"/>
      <c r="EEH1370" s="110"/>
      <c r="EEI1370" s="110"/>
      <c r="EEJ1370" s="110"/>
      <c r="EEK1370" s="110"/>
      <c r="EEL1370" s="110"/>
      <c r="EEM1370" s="110"/>
      <c r="EEN1370" s="110"/>
      <c r="EEO1370" s="110"/>
      <c r="EEP1370" s="110"/>
      <c r="EEQ1370" s="110"/>
      <c r="EER1370" s="110"/>
      <c r="EES1370" s="110"/>
      <c r="EET1370" s="110"/>
      <c r="EEU1370" s="110"/>
      <c r="EEV1370" s="110"/>
      <c r="EEW1370" s="110"/>
      <c r="EEX1370" s="110"/>
      <c r="EEY1370" s="110"/>
      <c r="EEZ1370" s="110"/>
      <c r="EFA1370" s="110"/>
      <c r="EFB1370" s="110"/>
      <c r="EFC1370" s="110"/>
      <c r="EFD1370" s="110"/>
      <c r="EFE1370" s="110"/>
      <c r="EFF1370" s="110"/>
      <c r="EFG1370" s="110"/>
      <c r="EFH1370" s="110"/>
      <c r="EFI1370" s="110"/>
      <c r="EFJ1370" s="110"/>
      <c r="EFK1370" s="110"/>
      <c r="EFL1370" s="110"/>
      <c r="EFM1370" s="110"/>
      <c r="EFN1370" s="110"/>
      <c r="EFO1370" s="110"/>
      <c r="EFP1370" s="110"/>
      <c r="EFQ1370" s="110"/>
      <c r="EFR1370" s="110"/>
      <c r="EFS1370" s="110"/>
      <c r="EFT1370" s="110"/>
      <c r="EFU1370" s="110"/>
      <c r="EFV1370" s="110"/>
      <c r="EFW1370" s="110"/>
      <c r="EFX1370" s="110"/>
      <c r="EFY1370" s="110"/>
      <c r="EFZ1370" s="110"/>
      <c r="EGA1370" s="110"/>
      <c r="EGB1370" s="110"/>
      <c r="EGC1370" s="110"/>
      <c r="EGD1370" s="110"/>
      <c r="EGE1370" s="110"/>
      <c r="EGF1370" s="110"/>
      <c r="EGG1370" s="110"/>
      <c r="EGH1370" s="110"/>
      <c r="EGI1370" s="110"/>
      <c r="EGJ1370" s="110"/>
      <c r="EGK1370" s="110"/>
      <c r="EGL1370" s="110"/>
      <c r="EGM1370" s="110"/>
      <c r="EGN1370" s="110"/>
      <c r="EGO1370" s="110"/>
      <c r="EGP1370" s="110"/>
      <c r="EGQ1370" s="110"/>
      <c r="EGR1370" s="110"/>
      <c r="EGS1370" s="110"/>
      <c r="EGT1370" s="110"/>
      <c r="EGU1370" s="110"/>
      <c r="EGV1370" s="110"/>
      <c r="EGW1370" s="110"/>
      <c r="EGX1370" s="110"/>
      <c r="EGY1370" s="110"/>
      <c r="EGZ1370" s="110"/>
      <c r="EHA1370" s="110"/>
      <c r="EHB1370" s="110"/>
      <c r="EHC1370" s="110"/>
      <c r="EHD1370" s="110"/>
      <c r="EHE1370" s="110"/>
      <c r="EHF1370" s="110"/>
      <c r="EHG1370" s="110"/>
      <c r="EHH1370" s="110"/>
      <c r="EHI1370" s="110"/>
      <c r="EHJ1370" s="110"/>
      <c r="EHK1370" s="110"/>
      <c r="EHL1370" s="110"/>
      <c r="EHM1370" s="110"/>
      <c r="EHN1370" s="110"/>
      <c r="EHO1370" s="110"/>
      <c r="EHP1370" s="110"/>
      <c r="EHQ1370" s="110"/>
      <c r="EHR1370" s="110"/>
      <c r="EHS1370" s="110"/>
      <c r="EHT1370" s="110"/>
      <c r="EHU1370" s="110"/>
      <c r="EHV1370" s="110"/>
      <c r="EHW1370" s="110"/>
      <c r="EHX1370" s="110"/>
      <c r="EHY1370" s="110"/>
      <c r="EHZ1370" s="110"/>
      <c r="EIA1370" s="110"/>
      <c r="EIB1370" s="110"/>
      <c r="EIC1370" s="110"/>
      <c r="EID1370" s="110"/>
      <c r="EIE1370" s="110"/>
      <c r="EIF1370" s="110"/>
      <c r="EIG1370" s="110"/>
      <c r="EIH1370" s="110"/>
      <c r="EII1370" s="110"/>
      <c r="EIJ1370" s="110"/>
      <c r="EIK1370" s="110"/>
      <c r="EIL1370" s="110"/>
      <c r="EIM1370" s="110"/>
      <c r="EIN1370" s="110"/>
      <c r="EIO1370" s="110"/>
      <c r="EIP1370" s="110"/>
      <c r="EIQ1370" s="110"/>
      <c r="EIR1370" s="110"/>
      <c r="EIS1370" s="110"/>
      <c r="EIT1370" s="110"/>
      <c r="EIU1370" s="110"/>
      <c r="EIV1370" s="110"/>
      <c r="EIW1370" s="110"/>
      <c r="EIX1370" s="110"/>
      <c r="EIY1370" s="110"/>
      <c r="EIZ1370" s="110"/>
      <c r="EJA1370" s="110"/>
      <c r="EJB1370" s="110"/>
      <c r="EJC1370" s="110"/>
      <c r="EJD1370" s="110"/>
      <c r="EJE1370" s="110"/>
      <c r="EJF1370" s="110"/>
      <c r="EJG1370" s="110"/>
      <c r="EJH1370" s="110"/>
      <c r="EJI1370" s="110"/>
      <c r="EJJ1370" s="110"/>
      <c r="EJK1370" s="110"/>
      <c r="EJL1370" s="110"/>
      <c r="EJM1370" s="110"/>
      <c r="EJN1370" s="110"/>
      <c r="EJO1370" s="110"/>
      <c r="EJP1370" s="110"/>
      <c r="EJQ1370" s="110"/>
      <c r="EJR1370" s="110"/>
      <c r="EJS1370" s="110"/>
      <c r="EJT1370" s="110"/>
      <c r="EJU1370" s="110"/>
      <c r="EJV1370" s="110"/>
      <c r="EJW1370" s="110"/>
      <c r="EJX1370" s="110"/>
      <c r="EJY1370" s="110"/>
      <c r="EJZ1370" s="110"/>
      <c r="EKA1370" s="110"/>
      <c r="EKB1370" s="110"/>
      <c r="EKC1370" s="110"/>
      <c r="EKD1370" s="110"/>
      <c r="EKE1370" s="110"/>
      <c r="EKF1370" s="110"/>
      <c r="EKG1370" s="110"/>
      <c r="EKH1370" s="110"/>
      <c r="EKI1370" s="110"/>
      <c r="EKJ1370" s="110"/>
      <c r="EKK1370" s="110"/>
      <c r="EKL1370" s="110"/>
      <c r="EKM1370" s="110"/>
      <c r="EKN1370" s="110"/>
      <c r="EKO1370" s="110"/>
      <c r="EKP1370" s="110"/>
      <c r="EKQ1370" s="110"/>
      <c r="EKR1370" s="110"/>
      <c r="EKS1370" s="110"/>
      <c r="EKT1370" s="110"/>
      <c r="EKU1370" s="110"/>
      <c r="EKV1370" s="110"/>
      <c r="EKW1370" s="110"/>
      <c r="EKX1370" s="110"/>
      <c r="EKY1370" s="110"/>
      <c r="EKZ1370" s="110"/>
      <c r="ELA1370" s="110"/>
      <c r="ELB1370" s="110"/>
      <c r="ELC1370" s="110"/>
      <c r="ELD1370" s="110"/>
      <c r="ELE1370" s="110"/>
      <c r="ELF1370" s="110"/>
      <c r="ELG1370" s="110"/>
      <c r="ELH1370" s="110"/>
      <c r="ELI1370" s="110"/>
      <c r="ELJ1370" s="110"/>
      <c r="ELK1370" s="110"/>
      <c r="ELL1370" s="110"/>
      <c r="ELM1370" s="110"/>
      <c r="ELN1370" s="110"/>
      <c r="ELO1370" s="110"/>
      <c r="ELP1370" s="110"/>
      <c r="ELQ1370" s="110"/>
      <c r="ELR1370" s="110"/>
      <c r="ELS1370" s="110"/>
      <c r="ELT1370" s="110"/>
      <c r="ELU1370" s="110"/>
      <c r="ELV1370" s="110"/>
      <c r="ELW1370" s="110"/>
      <c r="ELX1370" s="110"/>
      <c r="ELY1370" s="110"/>
      <c r="ELZ1370" s="110"/>
      <c r="EMA1370" s="110"/>
      <c r="EMB1370" s="110"/>
      <c r="EMC1370" s="110"/>
      <c r="EMD1370" s="110"/>
      <c r="EME1370" s="110"/>
      <c r="EMF1370" s="110"/>
      <c r="EMG1370" s="110"/>
      <c r="EMH1370" s="110"/>
      <c r="EMI1370" s="110"/>
      <c r="EMJ1370" s="110"/>
      <c r="EMK1370" s="110"/>
      <c r="EML1370" s="110"/>
      <c r="EMM1370" s="110"/>
      <c r="EMN1370" s="110"/>
      <c r="EMO1370" s="110"/>
      <c r="EMP1370" s="110"/>
      <c r="EMQ1370" s="110"/>
      <c r="EMR1370" s="110"/>
      <c r="EMS1370" s="110"/>
      <c r="EMT1370" s="110"/>
      <c r="EMU1370" s="110"/>
      <c r="EMV1370" s="110"/>
      <c r="EMW1370" s="110"/>
      <c r="EMX1370" s="110"/>
      <c r="EMY1370" s="110"/>
      <c r="EMZ1370" s="110"/>
      <c r="ENA1370" s="110"/>
      <c r="ENB1370" s="110"/>
      <c r="ENC1370" s="110"/>
      <c r="END1370" s="110"/>
      <c r="ENE1370" s="110"/>
      <c r="ENF1370" s="110"/>
      <c r="ENG1370" s="110"/>
      <c r="ENH1370" s="110"/>
      <c r="ENI1370" s="110"/>
      <c r="ENJ1370" s="110"/>
      <c r="ENK1370" s="110"/>
      <c r="ENL1370" s="110"/>
      <c r="ENM1370" s="110"/>
      <c r="ENN1370" s="110"/>
      <c r="ENO1370" s="110"/>
      <c r="ENP1370" s="110"/>
      <c r="ENQ1370" s="110"/>
      <c r="ENR1370" s="110"/>
      <c r="ENS1370" s="110"/>
      <c r="ENT1370" s="110"/>
      <c r="ENU1370" s="110"/>
      <c r="ENV1370" s="110"/>
      <c r="ENW1370" s="110"/>
      <c r="ENX1370" s="110"/>
      <c r="ENY1370" s="110"/>
      <c r="ENZ1370" s="110"/>
      <c r="EOA1370" s="110"/>
      <c r="EOB1370" s="110"/>
      <c r="EOC1370" s="110"/>
      <c r="EOD1370" s="110"/>
      <c r="EOE1370" s="110"/>
      <c r="EOF1370" s="110"/>
      <c r="EOG1370" s="110"/>
      <c r="EOH1370" s="110"/>
      <c r="EOI1370" s="110"/>
      <c r="EOJ1370" s="110"/>
      <c r="EOK1370" s="110"/>
      <c r="EOL1370" s="110"/>
      <c r="EOM1370" s="110"/>
      <c r="EON1370" s="110"/>
      <c r="EOO1370" s="110"/>
      <c r="EOP1370" s="110"/>
      <c r="EOQ1370" s="110"/>
      <c r="EOR1370" s="110"/>
      <c r="EOS1370" s="110"/>
      <c r="EOT1370" s="110"/>
      <c r="EOU1370" s="110"/>
      <c r="EOV1370" s="110"/>
      <c r="EOW1370" s="110"/>
      <c r="EOX1370" s="110"/>
      <c r="EOY1370" s="110"/>
      <c r="EOZ1370" s="110"/>
      <c r="EPA1370" s="110"/>
      <c r="EPB1370" s="110"/>
      <c r="EPC1370" s="110"/>
      <c r="EPD1370" s="110"/>
      <c r="EPE1370" s="110"/>
      <c r="EPF1370" s="110"/>
      <c r="EPG1370" s="110"/>
      <c r="EPH1370" s="110"/>
      <c r="EPI1370" s="110"/>
      <c r="EPJ1370" s="110"/>
      <c r="EPK1370" s="110"/>
      <c r="EPL1370" s="110"/>
      <c r="EPM1370" s="110"/>
      <c r="EPN1370" s="110"/>
      <c r="EPO1370" s="110"/>
      <c r="EPP1370" s="110"/>
      <c r="EPQ1370" s="110"/>
      <c r="EPR1370" s="110"/>
      <c r="EPS1370" s="110"/>
      <c r="EPT1370" s="110"/>
      <c r="EPU1370" s="110"/>
      <c r="EPV1370" s="110"/>
      <c r="EPW1370" s="110"/>
      <c r="EPX1370" s="110"/>
      <c r="EPY1370" s="110"/>
      <c r="EPZ1370" s="110"/>
      <c r="EQA1370" s="110"/>
      <c r="EQB1370" s="110"/>
      <c r="EQC1370" s="110"/>
      <c r="EQD1370" s="110"/>
      <c r="EQE1370" s="110"/>
      <c r="EQF1370" s="110"/>
      <c r="EQG1370" s="110"/>
      <c r="EQH1370" s="110"/>
      <c r="EQI1370" s="110"/>
      <c r="EQJ1370" s="110"/>
      <c r="EQK1370" s="110"/>
      <c r="EQL1370" s="110"/>
      <c r="EQM1370" s="110"/>
      <c r="EQN1370" s="110"/>
      <c r="EQO1370" s="110"/>
      <c r="EQP1370" s="110"/>
      <c r="EQQ1370" s="110"/>
      <c r="EQR1370" s="110"/>
      <c r="EQS1370" s="110"/>
      <c r="EQT1370" s="110"/>
      <c r="EQU1370" s="110"/>
      <c r="EQV1370" s="110"/>
      <c r="EQW1370" s="110"/>
      <c r="EQX1370" s="110"/>
      <c r="EQY1370" s="110"/>
      <c r="EQZ1370" s="110"/>
      <c r="ERA1370" s="110"/>
      <c r="ERB1370" s="110"/>
      <c r="ERC1370" s="110"/>
      <c r="ERD1370" s="110"/>
      <c r="ERE1370" s="110"/>
      <c r="ERF1370" s="110"/>
      <c r="ERG1370" s="110"/>
      <c r="ERH1370" s="110"/>
      <c r="ERI1370" s="110"/>
      <c r="ERJ1370" s="110"/>
      <c r="ERK1370" s="110"/>
      <c r="ERL1370" s="110"/>
      <c r="ERM1370" s="110"/>
      <c r="ERN1370" s="110"/>
      <c r="ERO1370" s="110"/>
      <c r="ERP1370" s="110"/>
      <c r="ERQ1370" s="110"/>
      <c r="ERR1370" s="110"/>
      <c r="ERS1370" s="110"/>
      <c r="ERT1370" s="110"/>
      <c r="ERU1370" s="110"/>
      <c r="ERV1370" s="110"/>
      <c r="ERW1370" s="110"/>
      <c r="ERX1370" s="110"/>
      <c r="ERY1370" s="110"/>
      <c r="ERZ1370" s="110"/>
      <c r="ESA1370" s="110"/>
      <c r="ESB1370" s="110"/>
      <c r="ESC1370" s="110"/>
      <c r="ESD1370" s="110"/>
      <c r="ESE1370" s="110"/>
      <c r="ESF1370" s="110"/>
      <c r="ESG1370" s="110"/>
      <c r="ESH1370" s="110"/>
      <c r="ESI1370" s="110"/>
      <c r="ESJ1370" s="110"/>
      <c r="ESK1370" s="110"/>
      <c r="ESL1370" s="110"/>
      <c r="ESM1370" s="110"/>
      <c r="ESN1370" s="110"/>
      <c r="ESO1370" s="110"/>
      <c r="ESP1370" s="110"/>
      <c r="ESQ1370" s="110"/>
      <c r="ESR1370" s="110"/>
      <c r="ESS1370" s="110"/>
      <c r="EST1370" s="110"/>
      <c r="ESU1370" s="110"/>
      <c r="ESV1370" s="110"/>
      <c r="ESW1370" s="110"/>
      <c r="ESX1370" s="110"/>
      <c r="ESY1370" s="110"/>
      <c r="ESZ1370" s="110"/>
      <c r="ETA1370" s="110"/>
      <c r="ETB1370" s="110"/>
      <c r="ETC1370" s="110"/>
      <c r="ETD1370" s="110"/>
      <c r="ETE1370" s="110"/>
      <c r="ETF1370" s="110"/>
      <c r="ETG1370" s="110"/>
      <c r="ETH1370" s="110"/>
      <c r="ETI1370" s="110"/>
      <c r="ETJ1370" s="110"/>
      <c r="ETK1370" s="110"/>
      <c r="ETL1370" s="110"/>
      <c r="ETM1370" s="110"/>
      <c r="ETN1370" s="110"/>
      <c r="ETO1370" s="110"/>
      <c r="ETP1370" s="110"/>
      <c r="ETQ1370" s="110"/>
      <c r="ETR1370" s="110"/>
      <c r="ETS1370" s="110"/>
      <c r="ETT1370" s="110"/>
      <c r="ETU1370" s="110"/>
      <c r="ETV1370" s="110"/>
      <c r="ETW1370" s="110"/>
      <c r="ETX1370" s="110"/>
      <c r="ETY1370" s="110"/>
      <c r="ETZ1370" s="110"/>
      <c r="EUA1370" s="110"/>
      <c r="EUB1370" s="110"/>
      <c r="EUC1370" s="110"/>
      <c r="EUD1370" s="110"/>
      <c r="EUE1370" s="110"/>
      <c r="EUF1370" s="110"/>
      <c r="EUG1370" s="110"/>
      <c r="EUH1370" s="110"/>
      <c r="EUI1370" s="110"/>
      <c r="EUJ1370" s="110"/>
      <c r="EUK1370" s="110"/>
      <c r="EUL1370" s="110"/>
      <c r="EUM1370" s="110"/>
      <c r="EUN1370" s="110"/>
      <c r="EUO1370" s="110"/>
      <c r="EUP1370" s="110"/>
      <c r="EUQ1370" s="110"/>
      <c r="EUR1370" s="110"/>
      <c r="EUS1370" s="110"/>
      <c r="EUT1370" s="110"/>
      <c r="EUU1370" s="110"/>
      <c r="EUV1370" s="110"/>
      <c r="EUW1370" s="110"/>
      <c r="EUX1370" s="110"/>
      <c r="EUY1370" s="110"/>
      <c r="EUZ1370" s="110"/>
      <c r="EVA1370" s="110"/>
      <c r="EVB1370" s="110"/>
      <c r="EVC1370" s="110"/>
      <c r="EVD1370" s="110"/>
      <c r="EVE1370" s="110"/>
      <c r="EVF1370" s="110"/>
      <c r="EVG1370" s="110"/>
      <c r="EVH1370" s="110"/>
      <c r="EVI1370" s="110"/>
      <c r="EVJ1370" s="110"/>
      <c r="EVK1370" s="110"/>
      <c r="EVL1370" s="110"/>
      <c r="EVM1370" s="110"/>
      <c r="EVN1370" s="110"/>
      <c r="EVO1370" s="110"/>
      <c r="EVP1370" s="110"/>
      <c r="EVQ1370" s="110"/>
      <c r="EVR1370" s="110"/>
      <c r="EVS1370" s="110"/>
      <c r="EVT1370" s="110"/>
      <c r="EVU1370" s="110"/>
      <c r="EVV1370" s="110"/>
      <c r="EVW1370" s="110"/>
      <c r="EVX1370" s="110"/>
      <c r="EVY1370" s="110"/>
      <c r="EVZ1370" s="110"/>
      <c r="EWA1370" s="110"/>
      <c r="EWB1370" s="110"/>
      <c r="EWC1370" s="110"/>
      <c r="EWD1370" s="110"/>
      <c r="EWE1370" s="110"/>
      <c r="EWF1370" s="110"/>
      <c r="EWG1370" s="110"/>
      <c r="EWH1370" s="110"/>
      <c r="EWI1370" s="110"/>
      <c r="EWJ1370" s="110"/>
      <c r="EWK1370" s="110"/>
      <c r="EWL1370" s="110"/>
      <c r="EWM1370" s="110"/>
      <c r="EWN1370" s="110"/>
      <c r="EWO1370" s="110"/>
      <c r="EWP1370" s="110"/>
      <c r="EWQ1370" s="110"/>
      <c r="EWR1370" s="110"/>
      <c r="EWS1370" s="110"/>
      <c r="EWT1370" s="110"/>
      <c r="EWU1370" s="110"/>
      <c r="EWV1370" s="110"/>
      <c r="EWW1370" s="110"/>
      <c r="EWX1370" s="110"/>
      <c r="EWY1370" s="110"/>
      <c r="EWZ1370" s="110"/>
      <c r="EXA1370" s="110"/>
      <c r="EXB1370" s="110"/>
      <c r="EXC1370" s="110"/>
      <c r="EXD1370" s="110"/>
      <c r="EXE1370" s="110"/>
      <c r="EXF1370" s="110"/>
      <c r="EXG1370" s="110"/>
      <c r="EXH1370" s="110"/>
      <c r="EXI1370" s="110"/>
      <c r="EXJ1370" s="110"/>
      <c r="EXK1370" s="110"/>
      <c r="EXL1370" s="110"/>
      <c r="EXM1370" s="110"/>
      <c r="EXN1370" s="110"/>
      <c r="EXO1370" s="110"/>
      <c r="EXP1370" s="110"/>
      <c r="EXQ1370" s="110"/>
      <c r="EXR1370" s="110"/>
      <c r="EXS1370" s="110"/>
      <c r="EXT1370" s="110"/>
      <c r="EXU1370" s="110"/>
      <c r="EXV1370" s="110"/>
      <c r="EXW1370" s="110"/>
      <c r="EXX1370" s="110"/>
      <c r="EXY1370" s="110"/>
      <c r="EXZ1370" s="110"/>
      <c r="EYA1370" s="110"/>
      <c r="EYB1370" s="110"/>
      <c r="EYC1370" s="110"/>
      <c r="EYD1370" s="110"/>
      <c r="EYE1370" s="110"/>
      <c r="EYF1370" s="110"/>
      <c r="EYG1370" s="110"/>
      <c r="EYH1370" s="110"/>
      <c r="EYI1370" s="110"/>
      <c r="EYJ1370" s="110"/>
      <c r="EYK1370" s="110"/>
      <c r="EYL1370" s="110"/>
      <c r="EYM1370" s="110"/>
      <c r="EYN1370" s="110"/>
      <c r="EYO1370" s="110"/>
      <c r="EYP1370" s="110"/>
      <c r="EYQ1370" s="110"/>
      <c r="EYR1370" s="110"/>
      <c r="EYS1370" s="110"/>
      <c r="EYT1370" s="110"/>
      <c r="EYU1370" s="110"/>
      <c r="EYV1370" s="110"/>
      <c r="EYW1370" s="110"/>
      <c r="EYX1370" s="110"/>
      <c r="EYY1370" s="110"/>
      <c r="EYZ1370" s="110"/>
      <c r="EZA1370" s="110"/>
      <c r="EZB1370" s="110"/>
      <c r="EZC1370" s="110"/>
      <c r="EZD1370" s="110"/>
      <c r="EZE1370" s="110"/>
      <c r="EZF1370" s="110"/>
      <c r="EZG1370" s="110"/>
      <c r="EZH1370" s="110"/>
      <c r="EZI1370" s="110"/>
      <c r="EZJ1370" s="110"/>
      <c r="EZK1370" s="110"/>
      <c r="EZL1370" s="110"/>
      <c r="EZM1370" s="110"/>
      <c r="EZN1370" s="110"/>
      <c r="EZO1370" s="110"/>
      <c r="EZP1370" s="110"/>
      <c r="EZQ1370" s="110"/>
      <c r="EZR1370" s="110"/>
      <c r="EZS1370" s="110"/>
      <c r="EZT1370" s="110"/>
      <c r="EZU1370" s="110"/>
      <c r="EZV1370" s="110"/>
      <c r="EZW1370" s="110"/>
      <c r="EZX1370" s="110"/>
      <c r="EZY1370" s="110"/>
      <c r="EZZ1370" s="110"/>
      <c r="FAA1370" s="110"/>
      <c r="FAB1370" s="110"/>
      <c r="FAC1370" s="110"/>
      <c r="FAD1370" s="110"/>
      <c r="FAE1370" s="110"/>
      <c r="FAF1370" s="110"/>
      <c r="FAG1370" s="110"/>
      <c r="FAH1370" s="110"/>
      <c r="FAI1370" s="110"/>
      <c r="FAJ1370" s="110"/>
      <c r="FAK1370" s="110"/>
      <c r="FAL1370" s="110"/>
      <c r="FAM1370" s="110"/>
      <c r="FAN1370" s="110"/>
      <c r="FAO1370" s="110"/>
      <c r="FAP1370" s="110"/>
      <c r="FAQ1370" s="110"/>
      <c r="FAR1370" s="110"/>
      <c r="FAS1370" s="110"/>
      <c r="FAT1370" s="110"/>
      <c r="FAU1370" s="110"/>
      <c r="FAV1370" s="110"/>
      <c r="FAW1370" s="110"/>
      <c r="FAX1370" s="110"/>
      <c r="FAY1370" s="110"/>
      <c r="FAZ1370" s="110"/>
      <c r="FBA1370" s="110"/>
      <c r="FBB1370" s="110"/>
      <c r="FBC1370" s="110"/>
      <c r="FBD1370" s="110"/>
      <c r="FBE1370" s="110"/>
      <c r="FBF1370" s="110"/>
      <c r="FBG1370" s="110"/>
      <c r="FBH1370" s="110"/>
      <c r="FBI1370" s="110"/>
      <c r="FBJ1370" s="110"/>
      <c r="FBK1370" s="110"/>
      <c r="FBL1370" s="110"/>
      <c r="FBM1370" s="110"/>
      <c r="FBN1370" s="110"/>
      <c r="FBO1370" s="110"/>
      <c r="FBP1370" s="110"/>
      <c r="FBQ1370" s="110"/>
      <c r="FBR1370" s="110"/>
      <c r="FBS1370" s="110"/>
      <c r="FBT1370" s="110"/>
      <c r="FBU1370" s="110"/>
      <c r="FBV1370" s="110"/>
      <c r="FBW1370" s="110"/>
      <c r="FBX1370" s="110"/>
      <c r="FBY1370" s="110"/>
      <c r="FBZ1370" s="110"/>
      <c r="FCA1370" s="110"/>
      <c r="FCB1370" s="110"/>
      <c r="FCC1370" s="110"/>
      <c r="FCD1370" s="110"/>
      <c r="FCE1370" s="110"/>
      <c r="FCF1370" s="110"/>
      <c r="FCG1370" s="110"/>
      <c r="FCH1370" s="110"/>
      <c r="FCI1370" s="110"/>
      <c r="FCJ1370" s="110"/>
      <c r="FCK1370" s="110"/>
      <c r="FCL1370" s="110"/>
      <c r="FCM1370" s="110"/>
      <c r="FCN1370" s="110"/>
      <c r="FCO1370" s="110"/>
      <c r="FCP1370" s="110"/>
      <c r="FCQ1370" s="110"/>
      <c r="FCR1370" s="110"/>
      <c r="FCS1370" s="110"/>
      <c r="FCT1370" s="110"/>
      <c r="FCU1370" s="110"/>
      <c r="FCV1370" s="110"/>
      <c r="FCW1370" s="110"/>
      <c r="FCX1370" s="110"/>
      <c r="FCY1370" s="110"/>
      <c r="FCZ1370" s="110"/>
      <c r="FDA1370" s="110"/>
      <c r="FDB1370" s="110"/>
      <c r="FDC1370" s="110"/>
      <c r="FDD1370" s="110"/>
      <c r="FDE1370" s="110"/>
      <c r="FDF1370" s="110"/>
      <c r="FDG1370" s="110"/>
      <c r="FDH1370" s="110"/>
      <c r="FDI1370" s="110"/>
      <c r="FDJ1370" s="110"/>
      <c r="FDK1370" s="110"/>
      <c r="FDL1370" s="110"/>
      <c r="FDM1370" s="110"/>
      <c r="FDN1370" s="110"/>
      <c r="FDO1370" s="110"/>
      <c r="FDP1370" s="110"/>
      <c r="FDQ1370" s="110"/>
      <c r="FDR1370" s="110"/>
      <c r="FDS1370" s="110"/>
      <c r="FDT1370" s="110"/>
      <c r="FDU1370" s="110"/>
      <c r="FDV1370" s="110"/>
      <c r="FDW1370" s="110"/>
      <c r="FDX1370" s="110"/>
      <c r="FDY1370" s="110"/>
      <c r="FDZ1370" s="110"/>
      <c r="FEA1370" s="110"/>
      <c r="FEB1370" s="110"/>
      <c r="FEC1370" s="110"/>
      <c r="FED1370" s="110"/>
      <c r="FEE1370" s="110"/>
      <c r="FEF1370" s="110"/>
      <c r="FEG1370" s="110"/>
      <c r="FEH1370" s="110"/>
      <c r="FEI1370" s="110"/>
      <c r="FEJ1370" s="110"/>
      <c r="FEK1370" s="110"/>
      <c r="FEL1370" s="110"/>
      <c r="FEM1370" s="110"/>
      <c r="FEN1370" s="110"/>
      <c r="FEO1370" s="110"/>
      <c r="FEP1370" s="110"/>
      <c r="FEQ1370" s="110"/>
      <c r="FER1370" s="110"/>
      <c r="FES1370" s="110"/>
      <c r="FET1370" s="110"/>
      <c r="FEU1370" s="110"/>
      <c r="FEV1370" s="110"/>
      <c r="FEW1370" s="110"/>
      <c r="FEX1370" s="110"/>
      <c r="FEY1370" s="110"/>
      <c r="FEZ1370" s="110"/>
      <c r="FFA1370" s="110"/>
      <c r="FFB1370" s="110"/>
      <c r="FFC1370" s="110"/>
      <c r="FFD1370" s="110"/>
      <c r="FFE1370" s="110"/>
      <c r="FFF1370" s="110"/>
      <c r="FFG1370" s="110"/>
      <c r="FFH1370" s="110"/>
      <c r="FFI1370" s="110"/>
      <c r="FFJ1370" s="110"/>
      <c r="FFK1370" s="110"/>
      <c r="FFL1370" s="110"/>
      <c r="FFM1370" s="110"/>
      <c r="FFN1370" s="110"/>
      <c r="FFO1370" s="110"/>
      <c r="FFP1370" s="110"/>
      <c r="FFQ1370" s="110"/>
      <c r="FFR1370" s="110"/>
      <c r="FFS1370" s="110"/>
      <c r="FFT1370" s="110"/>
      <c r="FFU1370" s="110"/>
      <c r="FFV1370" s="110"/>
      <c r="FFW1370" s="110"/>
      <c r="FFX1370" s="110"/>
      <c r="FFY1370" s="110"/>
      <c r="FFZ1370" s="110"/>
      <c r="FGA1370" s="110"/>
      <c r="FGB1370" s="110"/>
      <c r="FGC1370" s="110"/>
      <c r="FGD1370" s="110"/>
      <c r="FGE1370" s="110"/>
      <c r="FGF1370" s="110"/>
      <c r="FGG1370" s="110"/>
      <c r="FGH1370" s="110"/>
      <c r="FGI1370" s="110"/>
      <c r="FGJ1370" s="110"/>
      <c r="FGK1370" s="110"/>
      <c r="FGL1370" s="110"/>
      <c r="FGM1370" s="110"/>
      <c r="FGN1370" s="110"/>
      <c r="FGO1370" s="110"/>
      <c r="FGP1370" s="110"/>
      <c r="FGQ1370" s="110"/>
      <c r="FGR1370" s="110"/>
      <c r="FGS1370" s="110"/>
      <c r="FGT1370" s="110"/>
      <c r="FGU1370" s="110"/>
      <c r="FGV1370" s="110"/>
      <c r="FGW1370" s="110"/>
      <c r="FGX1370" s="110"/>
      <c r="FGY1370" s="110"/>
      <c r="FGZ1370" s="110"/>
      <c r="FHA1370" s="110"/>
      <c r="FHB1370" s="110"/>
      <c r="FHC1370" s="110"/>
      <c r="FHD1370" s="110"/>
      <c r="FHE1370" s="110"/>
      <c r="FHF1370" s="110"/>
      <c r="FHG1370" s="110"/>
      <c r="FHH1370" s="110"/>
      <c r="FHI1370" s="110"/>
      <c r="FHJ1370" s="110"/>
      <c r="FHK1370" s="110"/>
      <c r="FHL1370" s="110"/>
      <c r="FHM1370" s="110"/>
      <c r="FHN1370" s="110"/>
      <c r="FHO1370" s="110"/>
      <c r="FHP1370" s="110"/>
      <c r="FHQ1370" s="110"/>
      <c r="FHR1370" s="110"/>
      <c r="FHS1370" s="110"/>
      <c r="FHT1370" s="110"/>
      <c r="FHU1370" s="110"/>
      <c r="FHV1370" s="110"/>
      <c r="FHW1370" s="110"/>
      <c r="FHX1370" s="110"/>
      <c r="FHY1370" s="110"/>
      <c r="FHZ1370" s="110"/>
      <c r="FIA1370" s="110"/>
      <c r="FIB1370" s="110"/>
      <c r="FIC1370" s="110"/>
      <c r="FID1370" s="110"/>
      <c r="FIE1370" s="110"/>
      <c r="FIF1370" s="110"/>
      <c r="FIG1370" s="110"/>
      <c r="FIH1370" s="110"/>
      <c r="FII1370" s="110"/>
      <c r="FIJ1370" s="110"/>
      <c r="FIK1370" s="110"/>
      <c r="FIL1370" s="110"/>
      <c r="FIM1370" s="110"/>
      <c r="FIN1370" s="110"/>
      <c r="FIO1370" s="110"/>
      <c r="FIP1370" s="110"/>
      <c r="FIQ1370" s="110"/>
      <c r="FIR1370" s="110"/>
      <c r="FIS1370" s="110"/>
      <c r="FIT1370" s="110"/>
      <c r="FIU1370" s="110"/>
      <c r="FIV1370" s="110"/>
      <c r="FIW1370" s="110"/>
      <c r="FIX1370" s="110"/>
      <c r="FIY1370" s="110"/>
      <c r="FIZ1370" s="110"/>
      <c r="FJA1370" s="110"/>
      <c r="FJB1370" s="110"/>
      <c r="FJC1370" s="110"/>
      <c r="FJD1370" s="110"/>
      <c r="FJE1370" s="110"/>
      <c r="FJF1370" s="110"/>
      <c r="FJG1370" s="110"/>
      <c r="FJH1370" s="110"/>
      <c r="FJI1370" s="110"/>
      <c r="FJJ1370" s="110"/>
      <c r="FJK1370" s="110"/>
      <c r="FJL1370" s="110"/>
      <c r="FJM1370" s="110"/>
      <c r="FJN1370" s="110"/>
      <c r="FJO1370" s="110"/>
      <c r="FJP1370" s="110"/>
      <c r="FJQ1370" s="110"/>
      <c r="FJR1370" s="110"/>
      <c r="FJS1370" s="110"/>
      <c r="FJT1370" s="110"/>
      <c r="FJU1370" s="110"/>
      <c r="FJV1370" s="110"/>
      <c r="FJW1370" s="110"/>
      <c r="FJX1370" s="110"/>
      <c r="FJY1370" s="110"/>
      <c r="FJZ1370" s="110"/>
      <c r="FKA1370" s="110"/>
      <c r="FKB1370" s="110"/>
      <c r="FKC1370" s="110"/>
      <c r="FKD1370" s="110"/>
      <c r="FKE1370" s="110"/>
      <c r="FKF1370" s="110"/>
      <c r="FKG1370" s="110"/>
      <c r="FKH1370" s="110"/>
      <c r="FKI1370" s="110"/>
      <c r="FKJ1370" s="110"/>
      <c r="FKK1370" s="110"/>
      <c r="FKL1370" s="110"/>
      <c r="FKM1370" s="110"/>
      <c r="FKN1370" s="110"/>
      <c r="FKO1370" s="110"/>
      <c r="FKP1370" s="110"/>
      <c r="FKQ1370" s="110"/>
      <c r="FKR1370" s="110"/>
      <c r="FKS1370" s="110"/>
      <c r="FKT1370" s="110"/>
      <c r="FKU1370" s="110"/>
      <c r="FKV1370" s="110"/>
      <c r="FKW1370" s="110"/>
      <c r="FKX1370" s="110"/>
      <c r="FKY1370" s="110"/>
      <c r="FKZ1370" s="110"/>
      <c r="FLA1370" s="110"/>
      <c r="FLB1370" s="110"/>
      <c r="FLC1370" s="110"/>
      <c r="FLD1370" s="110"/>
      <c r="FLE1370" s="110"/>
      <c r="FLF1370" s="110"/>
      <c r="FLG1370" s="110"/>
      <c r="FLH1370" s="110"/>
      <c r="FLI1370" s="110"/>
      <c r="FLJ1370" s="110"/>
      <c r="FLK1370" s="110"/>
      <c r="FLL1370" s="110"/>
      <c r="FLM1370" s="110"/>
      <c r="FLN1370" s="110"/>
      <c r="FLO1370" s="110"/>
      <c r="FLP1370" s="110"/>
      <c r="FLQ1370" s="110"/>
      <c r="FLR1370" s="110"/>
      <c r="FLS1370" s="110"/>
      <c r="FLT1370" s="110"/>
      <c r="FLU1370" s="110"/>
      <c r="FLV1370" s="110"/>
      <c r="FLW1370" s="110"/>
      <c r="FLX1370" s="110"/>
      <c r="FLY1370" s="110"/>
      <c r="FLZ1370" s="110"/>
      <c r="FMA1370" s="110"/>
      <c r="FMB1370" s="110"/>
      <c r="FMC1370" s="110"/>
      <c r="FMD1370" s="110"/>
      <c r="FME1370" s="110"/>
      <c r="FMF1370" s="110"/>
      <c r="FMG1370" s="110"/>
      <c r="FMH1370" s="110"/>
      <c r="FMI1370" s="110"/>
      <c r="FMJ1370" s="110"/>
      <c r="FMK1370" s="110"/>
      <c r="FML1370" s="110"/>
      <c r="FMM1370" s="110"/>
      <c r="FMN1370" s="110"/>
      <c r="FMO1370" s="110"/>
      <c r="FMP1370" s="110"/>
      <c r="FMQ1370" s="110"/>
      <c r="FMR1370" s="110"/>
      <c r="FMS1370" s="110"/>
      <c r="FMT1370" s="110"/>
      <c r="FMU1370" s="110"/>
      <c r="FMV1370" s="110"/>
      <c r="FMW1370" s="110"/>
      <c r="FMX1370" s="110"/>
      <c r="FMY1370" s="110"/>
      <c r="FMZ1370" s="110"/>
      <c r="FNA1370" s="110"/>
      <c r="FNB1370" s="110"/>
      <c r="FNC1370" s="110"/>
      <c r="FND1370" s="110"/>
      <c r="FNE1370" s="110"/>
      <c r="FNF1370" s="110"/>
      <c r="FNG1370" s="110"/>
      <c r="FNH1370" s="110"/>
      <c r="FNI1370" s="110"/>
      <c r="FNJ1370" s="110"/>
      <c r="FNK1370" s="110"/>
      <c r="FNL1370" s="110"/>
      <c r="FNM1370" s="110"/>
      <c r="FNN1370" s="110"/>
      <c r="FNO1370" s="110"/>
      <c r="FNP1370" s="110"/>
      <c r="FNQ1370" s="110"/>
      <c r="FNR1370" s="110"/>
      <c r="FNS1370" s="110"/>
      <c r="FNT1370" s="110"/>
      <c r="FNU1370" s="110"/>
      <c r="FNV1370" s="110"/>
      <c r="FNW1370" s="110"/>
      <c r="FNX1370" s="110"/>
      <c r="FNY1370" s="110"/>
      <c r="FNZ1370" s="110"/>
      <c r="FOA1370" s="110"/>
      <c r="FOB1370" s="110"/>
      <c r="FOC1370" s="110"/>
      <c r="FOD1370" s="110"/>
      <c r="FOE1370" s="110"/>
      <c r="FOF1370" s="110"/>
      <c r="FOG1370" s="110"/>
      <c r="FOH1370" s="110"/>
      <c r="FOI1370" s="110"/>
      <c r="FOJ1370" s="110"/>
      <c r="FOK1370" s="110"/>
      <c r="FOL1370" s="110"/>
      <c r="FOM1370" s="110"/>
      <c r="FON1370" s="110"/>
      <c r="FOO1370" s="110"/>
      <c r="FOP1370" s="110"/>
      <c r="FOQ1370" s="110"/>
      <c r="FOR1370" s="110"/>
      <c r="FOS1370" s="110"/>
      <c r="FOT1370" s="110"/>
      <c r="FOU1370" s="110"/>
      <c r="FOV1370" s="110"/>
      <c r="FOW1370" s="110"/>
      <c r="FOX1370" s="110"/>
      <c r="FOY1370" s="110"/>
      <c r="FOZ1370" s="110"/>
      <c r="FPA1370" s="110"/>
      <c r="FPB1370" s="110"/>
      <c r="FPC1370" s="110"/>
      <c r="FPD1370" s="110"/>
      <c r="FPE1370" s="110"/>
      <c r="FPF1370" s="110"/>
      <c r="FPG1370" s="110"/>
      <c r="FPH1370" s="110"/>
      <c r="FPI1370" s="110"/>
      <c r="FPJ1370" s="110"/>
      <c r="FPK1370" s="110"/>
      <c r="FPL1370" s="110"/>
      <c r="FPM1370" s="110"/>
      <c r="FPN1370" s="110"/>
      <c r="FPO1370" s="110"/>
      <c r="FPP1370" s="110"/>
      <c r="FPQ1370" s="110"/>
      <c r="FPR1370" s="110"/>
      <c r="FPS1370" s="110"/>
      <c r="FPT1370" s="110"/>
      <c r="FPU1370" s="110"/>
      <c r="FPV1370" s="110"/>
      <c r="FPW1370" s="110"/>
      <c r="FPX1370" s="110"/>
      <c r="FPY1370" s="110"/>
      <c r="FPZ1370" s="110"/>
      <c r="FQA1370" s="110"/>
      <c r="FQB1370" s="110"/>
      <c r="FQC1370" s="110"/>
      <c r="FQD1370" s="110"/>
      <c r="FQE1370" s="110"/>
      <c r="FQF1370" s="110"/>
      <c r="FQG1370" s="110"/>
      <c r="FQH1370" s="110"/>
      <c r="FQI1370" s="110"/>
      <c r="FQJ1370" s="110"/>
      <c r="FQK1370" s="110"/>
      <c r="FQL1370" s="110"/>
      <c r="FQM1370" s="110"/>
      <c r="FQN1370" s="110"/>
      <c r="FQO1370" s="110"/>
      <c r="FQP1370" s="110"/>
      <c r="FQQ1370" s="110"/>
      <c r="FQR1370" s="110"/>
      <c r="FQS1370" s="110"/>
      <c r="FQT1370" s="110"/>
      <c r="FQU1370" s="110"/>
      <c r="FQV1370" s="110"/>
      <c r="FQW1370" s="110"/>
      <c r="FQX1370" s="110"/>
      <c r="FQY1370" s="110"/>
      <c r="FQZ1370" s="110"/>
      <c r="FRA1370" s="110"/>
      <c r="FRB1370" s="110"/>
      <c r="FRC1370" s="110"/>
      <c r="FRD1370" s="110"/>
      <c r="FRE1370" s="110"/>
      <c r="FRF1370" s="110"/>
      <c r="FRG1370" s="110"/>
      <c r="FRH1370" s="110"/>
      <c r="FRI1370" s="110"/>
      <c r="FRJ1370" s="110"/>
      <c r="FRK1370" s="110"/>
      <c r="FRL1370" s="110"/>
      <c r="FRM1370" s="110"/>
      <c r="FRN1370" s="110"/>
      <c r="FRO1370" s="110"/>
      <c r="FRP1370" s="110"/>
      <c r="FRQ1370" s="110"/>
      <c r="FRR1370" s="110"/>
      <c r="FRS1370" s="110"/>
      <c r="FRT1370" s="110"/>
      <c r="FRU1370" s="110"/>
      <c r="FRV1370" s="110"/>
      <c r="FRW1370" s="110"/>
      <c r="FRX1370" s="110"/>
      <c r="FRY1370" s="110"/>
      <c r="FRZ1370" s="110"/>
      <c r="FSA1370" s="110"/>
      <c r="FSB1370" s="110"/>
      <c r="FSC1370" s="110"/>
      <c r="FSD1370" s="110"/>
      <c r="FSE1370" s="110"/>
      <c r="FSF1370" s="110"/>
      <c r="FSG1370" s="110"/>
      <c r="FSH1370" s="110"/>
      <c r="FSI1370" s="110"/>
      <c r="FSJ1370" s="110"/>
      <c r="FSK1370" s="110"/>
      <c r="FSL1370" s="110"/>
      <c r="FSM1370" s="110"/>
      <c r="FSN1370" s="110"/>
      <c r="FSO1370" s="110"/>
      <c r="FSP1370" s="110"/>
      <c r="FSQ1370" s="110"/>
      <c r="FSR1370" s="110"/>
      <c r="FSS1370" s="110"/>
      <c r="FST1370" s="110"/>
      <c r="FSU1370" s="110"/>
      <c r="FSV1370" s="110"/>
      <c r="FSW1370" s="110"/>
      <c r="FSX1370" s="110"/>
      <c r="FSY1370" s="110"/>
      <c r="FSZ1370" s="110"/>
      <c r="FTA1370" s="110"/>
      <c r="FTB1370" s="110"/>
      <c r="FTC1370" s="110"/>
      <c r="FTD1370" s="110"/>
      <c r="FTE1370" s="110"/>
      <c r="FTF1370" s="110"/>
      <c r="FTG1370" s="110"/>
      <c r="FTH1370" s="110"/>
      <c r="FTI1370" s="110"/>
      <c r="FTJ1370" s="110"/>
      <c r="FTK1370" s="110"/>
      <c r="FTL1370" s="110"/>
      <c r="FTM1370" s="110"/>
      <c r="FTN1370" s="110"/>
      <c r="FTO1370" s="110"/>
      <c r="FTP1370" s="110"/>
      <c r="FTQ1370" s="110"/>
      <c r="FTR1370" s="110"/>
      <c r="FTS1370" s="110"/>
      <c r="FTT1370" s="110"/>
      <c r="FTU1370" s="110"/>
      <c r="FTV1370" s="110"/>
      <c r="FTW1370" s="110"/>
      <c r="FTX1370" s="110"/>
      <c r="FTY1370" s="110"/>
      <c r="FTZ1370" s="110"/>
      <c r="FUA1370" s="110"/>
      <c r="FUB1370" s="110"/>
      <c r="FUC1370" s="110"/>
      <c r="FUD1370" s="110"/>
      <c r="FUE1370" s="110"/>
      <c r="FUF1370" s="110"/>
      <c r="FUG1370" s="110"/>
      <c r="FUH1370" s="110"/>
      <c r="FUI1370" s="110"/>
      <c r="FUJ1370" s="110"/>
      <c r="FUK1370" s="110"/>
      <c r="FUL1370" s="110"/>
      <c r="FUM1370" s="110"/>
      <c r="FUN1370" s="110"/>
      <c r="FUO1370" s="110"/>
      <c r="FUP1370" s="110"/>
      <c r="FUQ1370" s="110"/>
      <c r="FUR1370" s="110"/>
      <c r="FUS1370" s="110"/>
      <c r="FUT1370" s="110"/>
      <c r="FUU1370" s="110"/>
      <c r="FUV1370" s="110"/>
      <c r="FUW1370" s="110"/>
      <c r="FUX1370" s="110"/>
      <c r="FUY1370" s="110"/>
      <c r="FUZ1370" s="110"/>
      <c r="FVA1370" s="110"/>
      <c r="FVB1370" s="110"/>
      <c r="FVC1370" s="110"/>
      <c r="FVD1370" s="110"/>
      <c r="FVE1370" s="110"/>
      <c r="FVF1370" s="110"/>
      <c r="FVG1370" s="110"/>
      <c r="FVH1370" s="110"/>
      <c r="FVI1370" s="110"/>
      <c r="FVJ1370" s="110"/>
      <c r="FVK1370" s="110"/>
      <c r="FVL1370" s="110"/>
      <c r="FVM1370" s="110"/>
      <c r="FVN1370" s="110"/>
      <c r="FVO1370" s="110"/>
      <c r="FVP1370" s="110"/>
      <c r="FVQ1370" s="110"/>
      <c r="FVR1370" s="110"/>
      <c r="FVS1370" s="110"/>
      <c r="FVT1370" s="110"/>
      <c r="FVU1370" s="110"/>
      <c r="FVV1370" s="110"/>
      <c r="FVW1370" s="110"/>
      <c r="FVX1370" s="110"/>
      <c r="FVY1370" s="110"/>
      <c r="FVZ1370" s="110"/>
      <c r="FWA1370" s="110"/>
      <c r="FWB1370" s="110"/>
      <c r="FWC1370" s="110"/>
      <c r="FWD1370" s="110"/>
      <c r="FWE1370" s="110"/>
      <c r="FWF1370" s="110"/>
      <c r="FWG1370" s="110"/>
      <c r="FWH1370" s="110"/>
      <c r="FWI1370" s="110"/>
      <c r="FWJ1370" s="110"/>
      <c r="FWK1370" s="110"/>
      <c r="FWL1370" s="110"/>
      <c r="FWM1370" s="110"/>
      <c r="FWN1370" s="110"/>
      <c r="FWO1370" s="110"/>
      <c r="FWP1370" s="110"/>
      <c r="FWQ1370" s="110"/>
      <c r="FWR1370" s="110"/>
      <c r="FWS1370" s="110"/>
      <c r="FWT1370" s="110"/>
      <c r="FWU1370" s="110"/>
      <c r="FWV1370" s="110"/>
      <c r="FWW1370" s="110"/>
      <c r="FWX1370" s="110"/>
      <c r="FWY1370" s="110"/>
      <c r="FWZ1370" s="110"/>
      <c r="FXA1370" s="110"/>
      <c r="FXB1370" s="110"/>
      <c r="FXC1370" s="110"/>
      <c r="FXD1370" s="110"/>
      <c r="FXE1370" s="110"/>
      <c r="FXF1370" s="110"/>
      <c r="FXG1370" s="110"/>
      <c r="FXH1370" s="110"/>
      <c r="FXI1370" s="110"/>
      <c r="FXJ1370" s="110"/>
      <c r="FXK1370" s="110"/>
      <c r="FXL1370" s="110"/>
      <c r="FXM1370" s="110"/>
      <c r="FXN1370" s="110"/>
      <c r="FXO1370" s="110"/>
      <c r="FXP1370" s="110"/>
      <c r="FXQ1370" s="110"/>
      <c r="FXR1370" s="110"/>
      <c r="FXS1370" s="110"/>
      <c r="FXT1370" s="110"/>
      <c r="FXU1370" s="110"/>
      <c r="FXV1370" s="110"/>
      <c r="FXW1370" s="110"/>
      <c r="FXX1370" s="110"/>
      <c r="FXY1370" s="110"/>
      <c r="FXZ1370" s="110"/>
      <c r="FYA1370" s="110"/>
      <c r="FYB1370" s="110"/>
      <c r="FYC1370" s="110"/>
      <c r="FYD1370" s="110"/>
      <c r="FYE1370" s="110"/>
      <c r="FYF1370" s="110"/>
      <c r="FYG1370" s="110"/>
      <c r="FYH1370" s="110"/>
      <c r="FYI1370" s="110"/>
      <c r="FYJ1370" s="110"/>
      <c r="FYK1370" s="110"/>
      <c r="FYL1370" s="110"/>
      <c r="FYM1370" s="110"/>
      <c r="FYN1370" s="110"/>
      <c r="FYO1370" s="110"/>
      <c r="FYP1370" s="110"/>
      <c r="FYQ1370" s="110"/>
      <c r="FYR1370" s="110"/>
      <c r="FYS1370" s="110"/>
      <c r="FYT1370" s="110"/>
      <c r="FYU1370" s="110"/>
      <c r="FYV1370" s="110"/>
      <c r="FYW1370" s="110"/>
      <c r="FYX1370" s="110"/>
      <c r="FYY1370" s="110"/>
      <c r="FYZ1370" s="110"/>
      <c r="FZA1370" s="110"/>
      <c r="FZB1370" s="110"/>
      <c r="FZC1370" s="110"/>
      <c r="FZD1370" s="110"/>
      <c r="FZE1370" s="110"/>
      <c r="FZF1370" s="110"/>
      <c r="FZG1370" s="110"/>
      <c r="FZH1370" s="110"/>
      <c r="FZI1370" s="110"/>
      <c r="FZJ1370" s="110"/>
      <c r="FZK1370" s="110"/>
      <c r="FZL1370" s="110"/>
      <c r="FZM1370" s="110"/>
      <c r="FZN1370" s="110"/>
      <c r="FZO1370" s="110"/>
      <c r="FZP1370" s="110"/>
      <c r="FZQ1370" s="110"/>
      <c r="FZR1370" s="110"/>
      <c r="FZS1370" s="110"/>
      <c r="FZT1370" s="110"/>
      <c r="FZU1370" s="110"/>
      <c r="FZV1370" s="110"/>
      <c r="FZW1370" s="110"/>
      <c r="FZX1370" s="110"/>
      <c r="FZY1370" s="110"/>
      <c r="FZZ1370" s="110"/>
      <c r="GAA1370" s="110"/>
      <c r="GAB1370" s="110"/>
      <c r="GAC1370" s="110"/>
      <c r="GAD1370" s="110"/>
      <c r="GAE1370" s="110"/>
      <c r="GAF1370" s="110"/>
      <c r="GAG1370" s="110"/>
      <c r="GAH1370" s="110"/>
      <c r="GAI1370" s="110"/>
      <c r="GAJ1370" s="110"/>
      <c r="GAK1370" s="110"/>
      <c r="GAL1370" s="110"/>
      <c r="GAM1370" s="110"/>
      <c r="GAN1370" s="110"/>
      <c r="GAO1370" s="110"/>
      <c r="GAP1370" s="110"/>
      <c r="GAQ1370" s="110"/>
      <c r="GAR1370" s="110"/>
      <c r="GAS1370" s="110"/>
      <c r="GAT1370" s="110"/>
      <c r="GAU1370" s="110"/>
      <c r="GAV1370" s="110"/>
      <c r="GAW1370" s="110"/>
      <c r="GAX1370" s="110"/>
      <c r="GAY1370" s="110"/>
      <c r="GAZ1370" s="110"/>
      <c r="GBA1370" s="110"/>
      <c r="GBB1370" s="110"/>
      <c r="GBC1370" s="110"/>
      <c r="GBD1370" s="110"/>
      <c r="GBE1370" s="110"/>
      <c r="GBF1370" s="110"/>
      <c r="GBG1370" s="110"/>
      <c r="GBH1370" s="110"/>
      <c r="GBI1370" s="110"/>
      <c r="GBJ1370" s="110"/>
      <c r="GBK1370" s="110"/>
      <c r="GBL1370" s="110"/>
      <c r="GBM1370" s="110"/>
      <c r="GBN1370" s="110"/>
      <c r="GBO1370" s="110"/>
      <c r="GBP1370" s="110"/>
      <c r="GBQ1370" s="110"/>
      <c r="GBR1370" s="110"/>
      <c r="GBS1370" s="110"/>
      <c r="GBT1370" s="110"/>
      <c r="GBU1370" s="110"/>
      <c r="GBV1370" s="110"/>
      <c r="GBW1370" s="110"/>
      <c r="GBX1370" s="110"/>
      <c r="GBY1370" s="110"/>
      <c r="GBZ1370" s="110"/>
      <c r="GCA1370" s="110"/>
      <c r="GCB1370" s="110"/>
      <c r="GCC1370" s="110"/>
      <c r="GCD1370" s="110"/>
      <c r="GCE1370" s="110"/>
      <c r="GCF1370" s="110"/>
      <c r="GCG1370" s="110"/>
      <c r="GCH1370" s="110"/>
      <c r="GCI1370" s="110"/>
      <c r="GCJ1370" s="110"/>
      <c r="GCK1370" s="110"/>
      <c r="GCL1370" s="110"/>
      <c r="GCM1370" s="110"/>
      <c r="GCN1370" s="110"/>
      <c r="GCO1370" s="110"/>
      <c r="GCP1370" s="110"/>
      <c r="GCQ1370" s="110"/>
      <c r="GCR1370" s="110"/>
      <c r="GCS1370" s="110"/>
      <c r="GCT1370" s="110"/>
      <c r="GCU1370" s="110"/>
      <c r="GCV1370" s="110"/>
      <c r="GCW1370" s="110"/>
      <c r="GCX1370" s="110"/>
      <c r="GCY1370" s="110"/>
      <c r="GCZ1370" s="110"/>
      <c r="GDA1370" s="110"/>
      <c r="GDB1370" s="110"/>
      <c r="GDC1370" s="110"/>
      <c r="GDD1370" s="110"/>
      <c r="GDE1370" s="110"/>
      <c r="GDF1370" s="110"/>
      <c r="GDG1370" s="110"/>
      <c r="GDH1370" s="110"/>
      <c r="GDI1370" s="110"/>
      <c r="GDJ1370" s="110"/>
      <c r="GDK1370" s="110"/>
      <c r="GDL1370" s="110"/>
      <c r="GDM1370" s="110"/>
      <c r="GDN1370" s="110"/>
      <c r="GDO1370" s="110"/>
      <c r="GDP1370" s="110"/>
      <c r="GDQ1370" s="110"/>
      <c r="GDR1370" s="110"/>
      <c r="GDS1370" s="110"/>
      <c r="GDT1370" s="110"/>
      <c r="GDU1370" s="110"/>
      <c r="GDV1370" s="110"/>
      <c r="GDW1370" s="110"/>
      <c r="GDX1370" s="110"/>
      <c r="GDY1370" s="110"/>
      <c r="GDZ1370" s="110"/>
      <c r="GEA1370" s="110"/>
      <c r="GEB1370" s="110"/>
      <c r="GEC1370" s="110"/>
      <c r="GED1370" s="110"/>
      <c r="GEE1370" s="110"/>
      <c r="GEF1370" s="110"/>
      <c r="GEG1370" s="110"/>
      <c r="GEH1370" s="110"/>
      <c r="GEI1370" s="110"/>
      <c r="GEJ1370" s="110"/>
      <c r="GEK1370" s="110"/>
      <c r="GEL1370" s="110"/>
      <c r="GEM1370" s="110"/>
      <c r="GEN1370" s="110"/>
      <c r="GEO1370" s="110"/>
      <c r="GEP1370" s="110"/>
      <c r="GEQ1370" s="110"/>
      <c r="GER1370" s="110"/>
      <c r="GES1370" s="110"/>
      <c r="GET1370" s="110"/>
      <c r="GEU1370" s="110"/>
      <c r="GEV1370" s="110"/>
      <c r="GEW1370" s="110"/>
      <c r="GEX1370" s="110"/>
      <c r="GEY1370" s="110"/>
      <c r="GEZ1370" s="110"/>
      <c r="GFA1370" s="110"/>
      <c r="GFB1370" s="110"/>
      <c r="GFC1370" s="110"/>
      <c r="GFD1370" s="110"/>
      <c r="GFE1370" s="110"/>
      <c r="GFF1370" s="110"/>
      <c r="GFG1370" s="110"/>
      <c r="GFH1370" s="110"/>
      <c r="GFI1370" s="110"/>
      <c r="GFJ1370" s="110"/>
      <c r="GFK1370" s="110"/>
      <c r="GFL1370" s="110"/>
      <c r="GFM1370" s="110"/>
      <c r="GFN1370" s="110"/>
      <c r="GFO1370" s="110"/>
      <c r="GFP1370" s="110"/>
      <c r="GFQ1370" s="110"/>
      <c r="GFR1370" s="110"/>
      <c r="GFS1370" s="110"/>
      <c r="GFT1370" s="110"/>
      <c r="GFU1370" s="110"/>
      <c r="GFV1370" s="110"/>
      <c r="GFW1370" s="110"/>
      <c r="GFX1370" s="110"/>
      <c r="GFY1370" s="110"/>
      <c r="GFZ1370" s="110"/>
      <c r="GGA1370" s="110"/>
      <c r="GGB1370" s="110"/>
      <c r="GGC1370" s="110"/>
      <c r="GGD1370" s="110"/>
      <c r="GGE1370" s="110"/>
      <c r="GGF1370" s="110"/>
      <c r="GGG1370" s="110"/>
      <c r="GGH1370" s="110"/>
      <c r="GGI1370" s="110"/>
      <c r="GGJ1370" s="110"/>
      <c r="GGK1370" s="110"/>
      <c r="GGL1370" s="110"/>
      <c r="GGM1370" s="110"/>
      <c r="GGN1370" s="110"/>
      <c r="GGO1370" s="110"/>
      <c r="GGP1370" s="110"/>
      <c r="GGQ1370" s="110"/>
      <c r="GGR1370" s="110"/>
      <c r="GGS1370" s="110"/>
      <c r="GGT1370" s="110"/>
      <c r="GGU1370" s="110"/>
      <c r="GGV1370" s="110"/>
      <c r="GGW1370" s="110"/>
      <c r="GGX1370" s="110"/>
      <c r="GGY1370" s="110"/>
      <c r="GGZ1370" s="110"/>
      <c r="GHA1370" s="110"/>
      <c r="GHB1370" s="110"/>
      <c r="GHC1370" s="110"/>
      <c r="GHD1370" s="110"/>
      <c r="GHE1370" s="110"/>
      <c r="GHF1370" s="110"/>
      <c r="GHG1370" s="110"/>
      <c r="GHH1370" s="110"/>
      <c r="GHI1370" s="110"/>
      <c r="GHJ1370" s="110"/>
      <c r="GHK1370" s="110"/>
      <c r="GHL1370" s="110"/>
      <c r="GHM1370" s="110"/>
      <c r="GHN1370" s="110"/>
      <c r="GHO1370" s="110"/>
      <c r="GHP1370" s="110"/>
      <c r="GHQ1370" s="110"/>
      <c r="GHR1370" s="110"/>
      <c r="GHS1370" s="110"/>
      <c r="GHT1370" s="110"/>
      <c r="GHU1370" s="110"/>
      <c r="GHV1370" s="110"/>
      <c r="GHW1370" s="110"/>
      <c r="GHX1370" s="110"/>
      <c r="GHY1370" s="110"/>
      <c r="GHZ1370" s="110"/>
      <c r="GIA1370" s="110"/>
      <c r="GIB1370" s="110"/>
      <c r="GIC1370" s="110"/>
      <c r="GID1370" s="110"/>
      <c r="GIE1370" s="110"/>
      <c r="GIF1370" s="110"/>
      <c r="GIG1370" s="110"/>
      <c r="GIH1370" s="110"/>
      <c r="GII1370" s="110"/>
      <c r="GIJ1370" s="110"/>
      <c r="GIK1370" s="110"/>
      <c r="GIL1370" s="110"/>
      <c r="GIM1370" s="110"/>
      <c r="GIN1370" s="110"/>
      <c r="GIO1370" s="110"/>
      <c r="GIP1370" s="110"/>
      <c r="GIQ1370" s="110"/>
      <c r="GIR1370" s="110"/>
      <c r="GIS1370" s="110"/>
      <c r="GIT1370" s="110"/>
      <c r="GIU1370" s="110"/>
      <c r="GIV1370" s="110"/>
      <c r="GIW1370" s="110"/>
      <c r="GIX1370" s="110"/>
      <c r="GIY1370" s="110"/>
      <c r="GIZ1370" s="110"/>
      <c r="GJA1370" s="110"/>
      <c r="GJB1370" s="110"/>
      <c r="GJC1370" s="110"/>
      <c r="GJD1370" s="110"/>
      <c r="GJE1370" s="110"/>
      <c r="GJF1370" s="110"/>
      <c r="GJG1370" s="110"/>
      <c r="GJH1370" s="110"/>
      <c r="GJI1370" s="110"/>
      <c r="GJJ1370" s="110"/>
      <c r="GJK1370" s="110"/>
      <c r="GJL1370" s="110"/>
      <c r="GJM1370" s="110"/>
      <c r="GJN1370" s="110"/>
      <c r="GJO1370" s="110"/>
      <c r="GJP1370" s="110"/>
      <c r="GJQ1370" s="110"/>
      <c r="GJR1370" s="110"/>
      <c r="GJS1370" s="110"/>
      <c r="GJT1370" s="110"/>
      <c r="GJU1370" s="110"/>
      <c r="GJV1370" s="110"/>
      <c r="GJW1370" s="110"/>
      <c r="GJX1370" s="110"/>
      <c r="GJY1370" s="110"/>
      <c r="GJZ1370" s="110"/>
      <c r="GKA1370" s="110"/>
      <c r="GKB1370" s="110"/>
      <c r="GKC1370" s="110"/>
      <c r="GKD1370" s="110"/>
      <c r="GKE1370" s="110"/>
      <c r="GKF1370" s="110"/>
      <c r="GKG1370" s="110"/>
      <c r="GKH1370" s="110"/>
      <c r="GKI1370" s="110"/>
      <c r="GKJ1370" s="110"/>
      <c r="GKK1370" s="110"/>
      <c r="GKL1370" s="110"/>
      <c r="GKM1370" s="110"/>
      <c r="GKN1370" s="110"/>
      <c r="GKO1370" s="110"/>
      <c r="GKP1370" s="110"/>
      <c r="GKQ1370" s="110"/>
      <c r="GKR1370" s="110"/>
      <c r="GKS1370" s="110"/>
      <c r="GKT1370" s="110"/>
      <c r="GKU1370" s="110"/>
      <c r="GKV1370" s="110"/>
      <c r="GKW1370" s="110"/>
      <c r="GKX1370" s="110"/>
      <c r="GKY1370" s="110"/>
      <c r="GKZ1370" s="110"/>
      <c r="GLA1370" s="110"/>
      <c r="GLB1370" s="110"/>
      <c r="GLC1370" s="110"/>
      <c r="GLD1370" s="110"/>
      <c r="GLE1370" s="110"/>
      <c r="GLF1370" s="110"/>
      <c r="GLG1370" s="110"/>
      <c r="GLH1370" s="110"/>
      <c r="GLI1370" s="110"/>
      <c r="GLJ1370" s="110"/>
      <c r="GLK1370" s="110"/>
      <c r="GLL1370" s="110"/>
      <c r="GLM1370" s="110"/>
      <c r="GLN1370" s="110"/>
      <c r="GLO1370" s="110"/>
      <c r="GLP1370" s="110"/>
      <c r="GLQ1370" s="110"/>
      <c r="GLR1370" s="110"/>
      <c r="GLS1370" s="110"/>
      <c r="GLT1370" s="110"/>
      <c r="GLU1370" s="110"/>
      <c r="GLV1370" s="110"/>
      <c r="GLW1370" s="110"/>
      <c r="GLX1370" s="110"/>
      <c r="GLY1370" s="110"/>
      <c r="GLZ1370" s="110"/>
      <c r="GMA1370" s="110"/>
      <c r="GMB1370" s="110"/>
      <c r="GMC1370" s="110"/>
      <c r="GMD1370" s="110"/>
      <c r="GME1370" s="110"/>
      <c r="GMF1370" s="110"/>
      <c r="GMG1370" s="110"/>
      <c r="GMH1370" s="110"/>
      <c r="GMI1370" s="110"/>
      <c r="GMJ1370" s="110"/>
      <c r="GMK1370" s="110"/>
      <c r="GML1370" s="110"/>
      <c r="GMM1370" s="110"/>
      <c r="GMN1370" s="110"/>
      <c r="GMO1370" s="110"/>
      <c r="GMP1370" s="110"/>
      <c r="GMQ1370" s="110"/>
      <c r="GMR1370" s="110"/>
      <c r="GMS1370" s="110"/>
      <c r="GMT1370" s="110"/>
      <c r="GMU1370" s="110"/>
      <c r="GMV1370" s="110"/>
      <c r="GMW1370" s="110"/>
      <c r="GMX1370" s="110"/>
      <c r="GMY1370" s="110"/>
      <c r="GMZ1370" s="110"/>
      <c r="GNA1370" s="110"/>
      <c r="GNB1370" s="110"/>
      <c r="GNC1370" s="110"/>
      <c r="GND1370" s="110"/>
      <c r="GNE1370" s="110"/>
      <c r="GNF1370" s="110"/>
      <c r="GNG1370" s="110"/>
      <c r="GNH1370" s="110"/>
      <c r="GNI1370" s="110"/>
      <c r="GNJ1370" s="110"/>
      <c r="GNK1370" s="110"/>
      <c r="GNL1370" s="110"/>
      <c r="GNM1370" s="110"/>
      <c r="GNN1370" s="110"/>
      <c r="GNO1370" s="110"/>
      <c r="GNP1370" s="110"/>
      <c r="GNQ1370" s="110"/>
      <c r="GNR1370" s="110"/>
      <c r="GNS1370" s="110"/>
      <c r="GNT1370" s="110"/>
      <c r="GNU1370" s="110"/>
      <c r="GNV1370" s="110"/>
      <c r="GNW1370" s="110"/>
      <c r="GNX1370" s="110"/>
      <c r="GNY1370" s="110"/>
      <c r="GNZ1370" s="110"/>
      <c r="GOA1370" s="110"/>
      <c r="GOB1370" s="110"/>
      <c r="GOC1370" s="110"/>
      <c r="GOD1370" s="110"/>
      <c r="GOE1370" s="110"/>
      <c r="GOF1370" s="110"/>
      <c r="GOG1370" s="110"/>
      <c r="GOH1370" s="110"/>
      <c r="GOI1370" s="110"/>
      <c r="GOJ1370" s="110"/>
      <c r="GOK1370" s="110"/>
      <c r="GOL1370" s="110"/>
      <c r="GOM1370" s="110"/>
      <c r="GON1370" s="110"/>
      <c r="GOO1370" s="110"/>
      <c r="GOP1370" s="110"/>
      <c r="GOQ1370" s="110"/>
      <c r="GOR1370" s="110"/>
      <c r="GOS1370" s="110"/>
      <c r="GOT1370" s="110"/>
      <c r="GOU1370" s="110"/>
      <c r="GOV1370" s="110"/>
      <c r="GOW1370" s="110"/>
      <c r="GOX1370" s="110"/>
      <c r="GOY1370" s="110"/>
      <c r="GOZ1370" s="110"/>
      <c r="GPA1370" s="110"/>
      <c r="GPB1370" s="110"/>
      <c r="GPC1370" s="110"/>
      <c r="GPD1370" s="110"/>
      <c r="GPE1370" s="110"/>
      <c r="GPF1370" s="110"/>
      <c r="GPG1370" s="110"/>
      <c r="GPH1370" s="110"/>
      <c r="GPI1370" s="110"/>
      <c r="GPJ1370" s="110"/>
      <c r="GPK1370" s="110"/>
      <c r="GPL1370" s="110"/>
      <c r="GPM1370" s="110"/>
      <c r="GPN1370" s="110"/>
      <c r="GPO1370" s="110"/>
      <c r="GPP1370" s="110"/>
      <c r="GPQ1370" s="110"/>
      <c r="GPR1370" s="110"/>
      <c r="GPS1370" s="110"/>
      <c r="GPT1370" s="110"/>
      <c r="GPU1370" s="110"/>
      <c r="GPV1370" s="110"/>
      <c r="GPW1370" s="110"/>
      <c r="GPX1370" s="110"/>
      <c r="GPY1370" s="110"/>
      <c r="GPZ1370" s="110"/>
      <c r="GQA1370" s="110"/>
      <c r="GQB1370" s="110"/>
      <c r="GQC1370" s="110"/>
      <c r="GQD1370" s="110"/>
      <c r="GQE1370" s="110"/>
      <c r="GQF1370" s="110"/>
      <c r="GQG1370" s="110"/>
      <c r="GQH1370" s="110"/>
      <c r="GQI1370" s="110"/>
      <c r="GQJ1370" s="110"/>
      <c r="GQK1370" s="110"/>
      <c r="GQL1370" s="110"/>
      <c r="GQM1370" s="110"/>
      <c r="GQN1370" s="110"/>
      <c r="GQO1370" s="110"/>
      <c r="GQP1370" s="110"/>
      <c r="GQQ1370" s="110"/>
      <c r="GQR1370" s="110"/>
      <c r="GQS1370" s="110"/>
      <c r="GQT1370" s="110"/>
      <c r="GQU1370" s="110"/>
      <c r="GQV1370" s="110"/>
      <c r="GQW1370" s="110"/>
      <c r="GQX1370" s="110"/>
      <c r="GQY1370" s="110"/>
      <c r="GQZ1370" s="110"/>
      <c r="GRA1370" s="110"/>
      <c r="GRB1370" s="110"/>
      <c r="GRC1370" s="110"/>
      <c r="GRD1370" s="110"/>
      <c r="GRE1370" s="110"/>
      <c r="GRF1370" s="110"/>
      <c r="GRG1370" s="110"/>
      <c r="GRH1370" s="110"/>
      <c r="GRI1370" s="110"/>
      <c r="GRJ1370" s="110"/>
      <c r="GRK1370" s="110"/>
      <c r="GRL1370" s="110"/>
      <c r="GRM1370" s="110"/>
      <c r="GRN1370" s="110"/>
      <c r="GRO1370" s="110"/>
      <c r="GRP1370" s="110"/>
      <c r="GRQ1370" s="110"/>
      <c r="GRR1370" s="110"/>
      <c r="GRS1370" s="110"/>
      <c r="GRT1370" s="110"/>
      <c r="GRU1370" s="110"/>
      <c r="GRV1370" s="110"/>
      <c r="GRW1370" s="110"/>
      <c r="GRX1370" s="110"/>
      <c r="GRY1370" s="110"/>
      <c r="GRZ1370" s="110"/>
      <c r="GSA1370" s="110"/>
      <c r="GSB1370" s="110"/>
      <c r="GSC1370" s="110"/>
      <c r="GSD1370" s="110"/>
      <c r="GSE1370" s="110"/>
      <c r="GSF1370" s="110"/>
      <c r="GSG1370" s="110"/>
      <c r="GSH1370" s="110"/>
      <c r="GSI1370" s="110"/>
      <c r="GSJ1370" s="110"/>
      <c r="GSK1370" s="110"/>
      <c r="GSL1370" s="110"/>
      <c r="GSM1370" s="110"/>
      <c r="GSN1370" s="110"/>
      <c r="GSO1370" s="110"/>
      <c r="GSP1370" s="110"/>
      <c r="GSQ1370" s="110"/>
      <c r="GSR1370" s="110"/>
      <c r="GSS1370" s="110"/>
      <c r="GST1370" s="110"/>
      <c r="GSU1370" s="110"/>
      <c r="GSV1370" s="110"/>
      <c r="GSW1370" s="110"/>
      <c r="GSX1370" s="110"/>
      <c r="GSY1370" s="110"/>
      <c r="GSZ1370" s="110"/>
      <c r="GTA1370" s="110"/>
      <c r="GTB1370" s="110"/>
      <c r="GTC1370" s="110"/>
      <c r="GTD1370" s="110"/>
      <c r="GTE1370" s="110"/>
      <c r="GTF1370" s="110"/>
      <c r="GTG1370" s="110"/>
      <c r="GTH1370" s="110"/>
      <c r="GTI1370" s="110"/>
      <c r="GTJ1370" s="110"/>
      <c r="GTK1370" s="110"/>
      <c r="GTL1370" s="110"/>
      <c r="GTM1370" s="110"/>
      <c r="GTN1370" s="110"/>
      <c r="GTO1370" s="110"/>
      <c r="GTP1370" s="110"/>
      <c r="GTQ1370" s="110"/>
      <c r="GTR1370" s="110"/>
      <c r="GTS1370" s="110"/>
      <c r="GTT1370" s="110"/>
      <c r="GTU1370" s="110"/>
      <c r="GTV1370" s="110"/>
      <c r="GTW1370" s="110"/>
      <c r="GTX1370" s="110"/>
      <c r="GTY1370" s="110"/>
      <c r="GTZ1370" s="110"/>
      <c r="GUA1370" s="110"/>
      <c r="GUB1370" s="110"/>
      <c r="GUC1370" s="110"/>
      <c r="GUD1370" s="110"/>
      <c r="GUE1370" s="110"/>
      <c r="GUF1370" s="110"/>
      <c r="GUG1370" s="110"/>
      <c r="GUH1370" s="110"/>
      <c r="GUI1370" s="110"/>
      <c r="GUJ1370" s="110"/>
      <c r="GUK1370" s="110"/>
      <c r="GUL1370" s="110"/>
      <c r="GUM1370" s="110"/>
      <c r="GUN1370" s="110"/>
      <c r="GUO1370" s="110"/>
      <c r="GUP1370" s="110"/>
      <c r="GUQ1370" s="110"/>
      <c r="GUR1370" s="110"/>
      <c r="GUS1370" s="110"/>
      <c r="GUT1370" s="110"/>
      <c r="GUU1370" s="110"/>
      <c r="GUV1370" s="110"/>
      <c r="GUW1370" s="110"/>
      <c r="GUX1370" s="110"/>
      <c r="GUY1370" s="110"/>
      <c r="GUZ1370" s="110"/>
      <c r="GVA1370" s="110"/>
      <c r="GVB1370" s="110"/>
      <c r="GVC1370" s="110"/>
      <c r="GVD1370" s="110"/>
      <c r="GVE1370" s="110"/>
      <c r="GVF1370" s="110"/>
      <c r="GVG1370" s="110"/>
      <c r="GVH1370" s="110"/>
      <c r="GVI1370" s="110"/>
      <c r="GVJ1370" s="110"/>
      <c r="GVK1370" s="110"/>
      <c r="GVL1370" s="110"/>
      <c r="GVM1370" s="110"/>
      <c r="GVN1370" s="110"/>
      <c r="GVO1370" s="110"/>
      <c r="GVP1370" s="110"/>
      <c r="GVQ1370" s="110"/>
      <c r="GVR1370" s="110"/>
      <c r="GVS1370" s="110"/>
      <c r="GVT1370" s="110"/>
      <c r="GVU1370" s="110"/>
      <c r="GVV1370" s="110"/>
      <c r="GVW1370" s="110"/>
      <c r="GVX1370" s="110"/>
      <c r="GVY1370" s="110"/>
      <c r="GVZ1370" s="110"/>
      <c r="GWA1370" s="110"/>
      <c r="GWB1370" s="110"/>
      <c r="GWC1370" s="110"/>
      <c r="GWD1370" s="110"/>
      <c r="GWE1370" s="110"/>
      <c r="GWF1370" s="110"/>
      <c r="GWG1370" s="110"/>
      <c r="GWH1370" s="110"/>
      <c r="GWI1370" s="110"/>
      <c r="GWJ1370" s="110"/>
      <c r="GWK1370" s="110"/>
      <c r="GWL1370" s="110"/>
      <c r="GWM1370" s="110"/>
      <c r="GWN1370" s="110"/>
      <c r="GWO1370" s="110"/>
      <c r="GWP1370" s="110"/>
      <c r="GWQ1370" s="110"/>
      <c r="GWR1370" s="110"/>
      <c r="GWS1370" s="110"/>
      <c r="GWT1370" s="110"/>
      <c r="GWU1370" s="110"/>
      <c r="GWV1370" s="110"/>
      <c r="GWW1370" s="110"/>
      <c r="GWX1370" s="110"/>
      <c r="GWY1370" s="110"/>
      <c r="GWZ1370" s="110"/>
      <c r="GXA1370" s="110"/>
      <c r="GXB1370" s="110"/>
      <c r="GXC1370" s="110"/>
      <c r="GXD1370" s="110"/>
      <c r="GXE1370" s="110"/>
      <c r="GXF1370" s="110"/>
      <c r="GXG1370" s="110"/>
      <c r="GXH1370" s="110"/>
      <c r="GXI1370" s="110"/>
      <c r="GXJ1370" s="110"/>
      <c r="GXK1370" s="110"/>
      <c r="GXL1370" s="110"/>
      <c r="GXM1370" s="110"/>
      <c r="GXN1370" s="110"/>
      <c r="GXO1370" s="110"/>
      <c r="GXP1370" s="110"/>
      <c r="GXQ1370" s="110"/>
      <c r="GXR1370" s="110"/>
      <c r="GXS1370" s="110"/>
      <c r="GXT1370" s="110"/>
      <c r="GXU1370" s="110"/>
      <c r="GXV1370" s="110"/>
      <c r="GXW1370" s="110"/>
      <c r="GXX1370" s="110"/>
      <c r="GXY1370" s="110"/>
      <c r="GXZ1370" s="110"/>
      <c r="GYA1370" s="110"/>
      <c r="GYB1370" s="110"/>
      <c r="GYC1370" s="110"/>
      <c r="GYD1370" s="110"/>
      <c r="GYE1370" s="110"/>
      <c r="GYF1370" s="110"/>
      <c r="GYG1370" s="110"/>
      <c r="GYH1370" s="110"/>
      <c r="GYI1370" s="110"/>
      <c r="GYJ1370" s="110"/>
      <c r="GYK1370" s="110"/>
      <c r="GYL1370" s="110"/>
      <c r="GYM1370" s="110"/>
      <c r="GYN1370" s="110"/>
      <c r="GYO1370" s="110"/>
      <c r="GYP1370" s="110"/>
      <c r="GYQ1370" s="110"/>
      <c r="GYR1370" s="110"/>
      <c r="GYS1370" s="110"/>
      <c r="GYT1370" s="110"/>
      <c r="GYU1370" s="110"/>
      <c r="GYV1370" s="110"/>
      <c r="GYW1370" s="110"/>
      <c r="GYX1370" s="110"/>
      <c r="GYY1370" s="110"/>
      <c r="GYZ1370" s="110"/>
      <c r="GZA1370" s="110"/>
      <c r="GZB1370" s="110"/>
      <c r="GZC1370" s="110"/>
      <c r="GZD1370" s="110"/>
      <c r="GZE1370" s="110"/>
      <c r="GZF1370" s="110"/>
      <c r="GZG1370" s="110"/>
      <c r="GZH1370" s="110"/>
      <c r="GZI1370" s="110"/>
      <c r="GZJ1370" s="110"/>
      <c r="GZK1370" s="110"/>
      <c r="GZL1370" s="110"/>
      <c r="GZM1370" s="110"/>
      <c r="GZN1370" s="110"/>
      <c r="GZO1370" s="110"/>
      <c r="GZP1370" s="110"/>
      <c r="GZQ1370" s="110"/>
      <c r="GZR1370" s="110"/>
      <c r="GZS1370" s="110"/>
      <c r="GZT1370" s="110"/>
      <c r="GZU1370" s="110"/>
      <c r="GZV1370" s="110"/>
      <c r="GZW1370" s="110"/>
      <c r="GZX1370" s="110"/>
      <c r="GZY1370" s="110"/>
      <c r="GZZ1370" s="110"/>
      <c r="HAA1370" s="110"/>
      <c r="HAB1370" s="110"/>
      <c r="HAC1370" s="110"/>
      <c r="HAD1370" s="110"/>
      <c r="HAE1370" s="110"/>
      <c r="HAF1370" s="110"/>
      <c r="HAG1370" s="110"/>
      <c r="HAH1370" s="110"/>
      <c r="HAI1370" s="110"/>
      <c r="HAJ1370" s="110"/>
      <c r="HAK1370" s="110"/>
      <c r="HAL1370" s="110"/>
      <c r="HAM1370" s="110"/>
      <c r="HAN1370" s="110"/>
      <c r="HAO1370" s="110"/>
      <c r="HAP1370" s="110"/>
      <c r="HAQ1370" s="110"/>
      <c r="HAR1370" s="110"/>
      <c r="HAS1370" s="110"/>
      <c r="HAT1370" s="110"/>
      <c r="HAU1370" s="110"/>
      <c r="HAV1370" s="110"/>
      <c r="HAW1370" s="110"/>
      <c r="HAX1370" s="110"/>
      <c r="HAY1370" s="110"/>
      <c r="HAZ1370" s="110"/>
      <c r="HBA1370" s="110"/>
      <c r="HBB1370" s="110"/>
      <c r="HBC1370" s="110"/>
      <c r="HBD1370" s="110"/>
      <c r="HBE1370" s="110"/>
      <c r="HBF1370" s="110"/>
      <c r="HBG1370" s="110"/>
      <c r="HBH1370" s="110"/>
      <c r="HBI1370" s="110"/>
      <c r="HBJ1370" s="110"/>
      <c r="HBK1370" s="110"/>
      <c r="HBL1370" s="110"/>
      <c r="HBM1370" s="110"/>
      <c r="HBN1370" s="110"/>
      <c r="HBO1370" s="110"/>
      <c r="HBP1370" s="110"/>
      <c r="HBQ1370" s="110"/>
      <c r="HBR1370" s="110"/>
      <c r="HBS1370" s="110"/>
      <c r="HBT1370" s="110"/>
      <c r="HBU1370" s="110"/>
      <c r="HBV1370" s="110"/>
      <c r="HBW1370" s="110"/>
      <c r="HBX1370" s="110"/>
      <c r="HBY1370" s="110"/>
      <c r="HBZ1370" s="110"/>
      <c r="HCA1370" s="110"/>
      <c r="HCB1370" s="110"/>
      <c r="HCC1370" s="110"/>
      <c r="HCD1370" s="110"/>
      <c r="HCE1370" s="110"/>
      <c r="HCF1370" s="110"/>
      <c r="HCG1370" s="110"/>
      <c r="HCH1370" s="110"/>
      <c r="HCI1370" s="110"/>
      <c r="HCJ1370" s="110"/>
      <c r="HCK1370" s="110"/>
      <c r="HCL1370" s="110"/>
      <c r="HCM1370" s="110"/>
      <c r="HCN1370" s="110"/>
      <c r="HCO1370" s="110"/>
      <c r="HCP1370" s="110"/>
      <c r="HCQ1370" s="110"/>
      <c r="HCR1370" s="110"/>
      <c r="HCS1370" s="110"/>
      <c r="HCT1370" s="110"/>
      <c r="HCU1370" s="110"/>
      <c r="HCV1370" s="110"/>
      <c r="HCW1370" s="110"/>
      <c r="HCX1370" s="110"/>
      <c r="HCY1370" s="110"/>
      <c r="HCZ1370" s="110"/>
      <c r="HDA1370" s="110"/>
      <c r="HDB1370" s="110"/>
      <c r="HDC1370" s="110"/>
      <c r="HDD1370" s="110"/>
      <c r="HDE1370" s="110"/>
      <c r="HDF1370" s="110"/>
      <c r="HDG1370" s="110"/>
      <c r="HDH1370" s="110"/>
      <c r="HDI1370" s="110"/>
      <c r="HDJ1370" s="110"/>
      <c r="HDK1370" s="110"/>
      <c r="HDL1370" s="110"/>
      <c r="HDM1370" s="110"/>
      <c r="HDN1370" s="110"/>
      <c r="HDO1370" s="110"/>
      <c r="HDP1370" s="110"/>
      <c r="HDQ1370" s="110"/>
      <c r="HDR1370" s="110"/>
      <c r="HDS1370" s="110"/>
      <c r="HDT1370" s="110"/>
      <c r="HDU1370" s="110"/>
      <c r="HDV1370" s="110"/>
      <c r="HDW1370" s="110"/>
      <c r="HDX1370" s="110"/>
      <c r="HDY1370" s="110"/>
      <c r="HDZ1370" s="110"/>
      <c r="HEA1370" s="110"/>
      <c r="HEB1370" s="110"/>
      <c r="HEC1370" s="110"/>
      <c r="HED1370" s="110"/>
      <c r="HEE1370" s="110"/>
      <c r="HEF1370" s="110"/>
      <c r="HEG1370" s="110"/>
      <c r="HEH1370" s="110"/>
      <c r="HEI1370" s="110"/>
      <c r="HEJ1370" s="110"/>
      <c r="HEK1370" s="110"/>
      <c r="HEL1370" s="110"/>
      <c r="HEM1370" s="110"/>
      <c r="HEN1370" s="110"/>
      <c r="HEO1370" s="110"/>
      <c r="HEP1370" s="110"/>
      <c r="HEQ1370" s="110"/>
      <c r="HER1370" s="110"/>
      <c r="HES1370" s="110"/>
      <c r="HET1370" s="110"/>
      <c r="HEU1370" s="110"/>
      <c r="HEV1370" s="110"/>
      <c r="HEW1370" s="110"/>
      <c r="HEX1370" s="110"/>
      <c r="HEY1370" s="110"/>
      <c r="HEZ1370" s="110"/>
      <c r="HFA1370" s="110"/>
      <c r="HFB1370" s="110"/>
      <c r="HFC1370" s="110"/>
      <c r="HFD1370" s="110"/>
      <c r="HFE1370" s="110"/>
      <c r="HFF1370" s="110"/>
      <c r="HFG1370" s="110"/>
      <c r="HFH1370" s="110"/>
      <c r="HFI1370" s="110"/>
      <c r="HFJ1370" s="110"/>
      <c r="HFK1370" s="110"/>
      <c r="HFL1370" s="110"/>
      <c r="HFM1370" s="110"/>
      <c r="HFN1370" s="110"/>
      <c r="HFO1370" s="110"/>
      <c r="HFP1370" s="110"/>
      <c r="HFQ1370" s="110"/>
      <c r="HFR1370" s="110"/>
      <c r="HFS1370" s="110"/>
      <c r="HFT1370" s="110"/>
      <c r="HFU1370" s="110"/>
      <c r="HFV1370" s="110"/>
      <c r="HFW1370" s="110"/>
      <c r="HFX1370" s="110"/>
      <c r="HFY1370" s="110"/>
      <c r="HFZ1370" s="110"/>
      <c r="HGA1370" s="110"/>
      <c r="HGB1370" s="110"/>
      <c r="HGC1370" s="110"/>
      <c r="HGD1370" s="110"/>
      <c r="HGE1370" s="110"/>
      <c r="HGF1370" s="110"/>
      <c r="HGG1370" s="110"/>
      <c r="HGH1370" s="110"/>
      <c r="HGI1370" s="110"/>
      <c r="HGJ1370" s="110"/>
      <c r="HGK1370" s="110"/>
      <c r="HGL1370" s="110"/>
      <c r="HGM1370" s="110"/>
      <c r="HGN1370" s="110"/>
      <c r="HGO1370" s="110"/>
      <c r="HGP1370" s="110"/>
      <c r="HGQ1370" s="110"/>
      <c r="HGR1370" s="110"/>
      <c r="HGS1370" s="110"/>
      <c r="HGT1370" s="110"/>
      <c r="HGU1370" s="110"/>
      <c r="HGV1370" s="110"/>
      <c r="HGW1370" s="110"/>
      <c r="HGX1370" s="110"/>
      <c r="HGY1370" s="110"/>
      <c r="HGZ1370" s="110"/>
      <c r="HHA1370" s="110"/>
      <c r="HHB1370" s="110"/>
      <c r="HHC1370" s="110"/>
      <c r="HHD1370" s="110"/>
      <c r="HHE1370" s="110"/>
      <c r="HHF1370" s="110"/>
      <c r="HHG1370" s="110"/>
      <c r="HHH1370" s="110"/>
      <c r="HHI1370" s="110"/>
      <c r="HHJ1370" s="110"/>
      <c r="HHK1370" s="110"/>
      <c r="HHL1370" s="110"/>
      <c r="HHM1370" s="110"/>
      <c r="HHN1370" s="110"/>
      <c r="HHO1370" s="110"/>
      <c r="HHP1370" s="110"/>
      <c r="HHQ1370" s="110"/>
      <c r="HHR1370" s="110"/>
      <c r="HHS1370" s="110"/>
      <c r="HHT1370" s="110"/>
      <c r="HHU1370" s="110"/>
      <c r="HHV1370" s="110"/>
      <c r="HHW1370" s="110"/>
      <c r="HHX1370" s="110"/>
      <c r="HHY1370" s="110"/>
      <c r="HHZ1370" s="110"/>
      <c r="HIA1370" s="110"/>
      <c r="HIB1370" s="110"/>
      <c r="HIC1370" s="110"/>
      <c r="HID1370" s="110"/>
      <c r="HIE1370" s="110"/>
      <c r="HIF1370" s="110"/>
      <c r="HIG1370" s="110"/>
      <c r="HIH1370" s="110"/>
      <c r="HII1370" s="110"/>
      <c r="HIJ1370" s="110"/>
      <c r="HIK1370" s="110"/>
      <c r="HIL1370" s="110"/>
      <c r="HIM1370" s="110"/>
      <c r="HIN1370" s="110"/>
      <c r="HIO1370" s="110"/>
      <c r="HIP1370" s="110"/>
      <c r="HIQ1370" s="110"/>
      <c r="HIR1370" s="110"/>
      <c r="HIS1370" s="110"/>
      <c r="HIT1370" s="110"/>
      <c r="HIU1370" s="110"/>
      <c r="HIV1370" s="110"/>
      <c r="HIW1370" s="110"/>
      <c r="HIX1370" s="110"/>
      <c r="HIY1370" s="110"/>
      <c r="HIZ1370" s="110"/>
      <c r="HJA1370" s="110"/>
      <c r="HJB1370" s="110"/>
      <c r="HJC1370" s="110"/>
      <c r="HJD1370" s="110"/>
      <c r="HJE1370" s="110"/>
      <c r="HJF1370" s="110"/>
      <c r="HJG1370" s="110"/>
      <c r="HJH1370" s="110"/>
      <c r="HJI1370" s="110"/>
      <c r="HJJ1370" s="110"/>
      <c r="HJK1370" s="110"/>
      <c r="HJL1370" s="110"/>
      <c r="HJM1370" s="110"/>
      <c r="HJN1370" s="110"/>
      <c r="HJO1370" s="110"/>
      <c r="HJP1370" s="110"/>
      <c r="HJQ1370" s="110"/>
      <c r="HJR1370" s="110"/>
      <c r="HJS1370" s="110"/>
      <c r="HJT1370" s="110"/>
      <c r="HJU1370" s="110"/>
      <c r="HJV1370" s="110"/>
      <c r="HJW1370" s="110"/>
      <c r="HJX1370" s="110"/>
      <c r="HJY1370" s="110"/>
      <c r="HJZ1370" s="110"/>
      <c r="HKA1370" s="110"/>
      <c r="HKB1370" s="110"/>
      <c r="HKC1370" s="110"/>
      <c r="HKD1370" s="110"/>
      <c r="HKE1370" s="110"/>
      <c r="HKF1370" s="110"/>
      <c r="HKG1370" s="110"/>
      <c r="HKH1370" s="110"/>
      <c r="HKI1370" s="110"/>
      <c r="HKJ1370" s="110"/>
      <c r="HKK1370" s="110"/>
      <c r="HKL1370" s="110"/>
      <c r="HKM1370" s="110"/>
      <c r="HKN1370" s="110"/>
      <c r="HKO1370" s="110"/>
      <c r="HKP1370" s="110"/>
      <c r="HKQ1370" s="110"/>
      <c r="HKR1370" s="110"/>
      <c r="HKS1370" s="110"/>
      <c r="HKT1370" s="110"/>
      <c r="HKU1370" s="110"/>
      <c r="HKV1370" s="110"/>
      <c r="HKW1370" s="110"/>
      <c r="HKX1370" s="110"/>
      <c r="HKY1370" s="110"/>
      <c r="HKZ1370" s="110"/>
      <c r="HLA1370" s="110"/>
      <c r="HLB1370" s="110"/>
      <c r="HLC1370" s="110"/>
      <c r="HLD1370" s="110"/>
      <c r="HLE1370" s="110"/>
      <c r="HLF1370" s="110"/>
      <c r="HLG1370" s="110"/>
      <c r="HLH1370" s="110"/>
      <c r="HLI1370" s="110"/>
      <c r="HLJ1370" s="110"/>
      <c r="HLK1370" s="110"/>
      <c r="HLL1370" s="110"/>
      <c r="HLM1370" s="110"/>
      <c r="HLN1370" s="110"/>
      <c r="HLO1370" s="110"/>
      <c r="HLP1370" s="110"/>
      <c r="HLQ1370" s="110"/>
      <c r="HLR1370" s="110"/>
      <c r="HLS1370" s="110"/>
      <c r="HLT1370" s="110"/>
      <c r="HLU1370" s="110"/>
      <c r="HLV1370" s="110"/>
      <c r="HLW1370" s="110"/>
      <c r="HLX1370" s="110"/>
      <c r="HLY1370" s="110"/>
      <c r="HLZ1370" s="110"/>
      <c r="HMA1370" s="110"/>
      <c r="HMB1370" s="110"/>
      <c r="HMC1370" s="110"/>
      <c r="HMD1370" s="110"/>
      <c r="HME1370" s="110"/>
      <c r="HMF1370" s="110"/>
      <c r="HMG1370" s="110"/>
      <c r="HMH1370" s="110"/>
      <c r="HMI1370" s="110"/>
      <c r="HMJ1370" s="110"/>
      <c r="HMK1370" s="110"/>
      <c r="HML1370" s="110"/>
      <c r="HMM1370" s="110"/>
      <c r="HMN1370" s="110"/>
      <c r="HMO1370" s="110"/>
      <c r="HMP1370" s="110"/>
      <c r="HMQ1370" s="110"/>
      <c r="HMR1370" s="110"/>
      <c r="HMS1370" s="110"/>
      <c r="HMT1370" s="110"/>
      <c r="HMU1370" s="110"/>
      <c r="HMV1370" s="110"/>
      <c r="HMW1370" s="110"/>
      <c r="HMX1370" s="110"/>
      <c r="HMY1370" s="110"/>
      <c r="HMZ1370" s="110"/>
      <c r="HNA1370" s="110"/>
      <c r="HNB1370" s="110"/>
      <c r="HNC1370" s="110"/>
      <c r="HND1370" s="110"/>
      <c r="HNE1370" s="110"/>
      <c r="HNF1370" s="110"/>
      <c r="HNG1370" s="110"/>
      <c r="HNH1370" s="110"/>
      <c r="HNI1370" s="110"/>
      <c r="HNJ1370" s="110"/>
      <c r="HNK1370" s="110"/>
      <c r="HNL1370" s="110"/>
      <c r="HNM1370" s="110"/>
      <c r="HNN1370" s="110"/>
      <c r="HNO1370" s="110"/>
      <c r="HNP1370" s="110"/>
      <c r="HNQ1370" s="110"/>
      <c r="HNR1370" s="110"/>
      <c r="HNS1370" s="110"/>
      <c r="HNT1370" s="110"/>
      <c r="HNU1370" s="110"/>
      <c r="HNV1370" s="110"/>
      <c r="HNW1370" s="110"/>
      <c r="HNX1370" s="110"/>
      <c r="HNY1370" s="110"/>
      <c r="HNZ1370" s="110"/>
      <c r="HOA1370" s="110"/>
      <c r="HOB1370" s="110"/>
      <c r="HOC1370" s="110"/>
      <c r="HOD1370" s="110"/>
      <c r="HOE1370" s="110"/>
      <c r="HOF1370" s="110"/>
      <c r="HOG1370" s="110"/>
      <c r="HOH1370" s="110"/>
      <c r="HOI1370" s="110"/>
      <c r="HOJ1370" s="110"/>
      <c r="HOK1370" s="110"/>
      <c r="HOL1370" s="110"/>
      <c r="HOM1370" s="110"/>
      <c r="HON1370" s="110"/>
      <c r="HOO1370" s="110"/>
      <c r="HOP1370" s="110"/>
      <c r="HOQ1370" s="110"/>
      <c r="HOR1370" s="110"/>
      <c r="HOS1370" s="110"/>
      <c r="HOT1370" s="110"/>
      <c r="HOU1370" s="110"/>
      <c r="HOV1370" s="110"/>
      <c r="HOW1370" s="110"/>
      <c r="HOX1370" s="110"/>
      <c r="HOY1370" s="110"/>
      <c r="HOZ1370" s="110"/>
      <c r="HPA1370" s="110"/>
      <c r="HPB1370" s="110"/>
      <c r="HPC1370" s="110"/>
      <c r="HPD1370" s="110"/>
      <c r="HPE1370" s="110"/>
      <c r="HPF1370" s="110"/>
      <c r="HPG1370" s="110"/>
      <c r="HPH1370" s="110"/>
      <c r="HPI1370" s="110"/>
      <c r="HPJ1370" s="110"/>
      <c r="HPK1370" s="110"/>
      <c r="HPL1370" s="110"/>
      <c r="HPM1370" s="110"/>
      <c r="HPN1370" s="110"/>
      <c r="HPO1370" s="110"/>
      <c r="HPP1370" s="110"/>
      <c r="HPQ1370" s="110"/>
      <c r="HPR1370" s="110"/>
      <c r="HPS1370" s="110"/>
      <c r="HPT1370" s="110"/>
      <c r="HPU1370" s="110"/>
      <c r="HPV1370" s="110"/>
      <c r="HPW1370" s="110"/>
      <c r="HPX1370" s="110"/>
      <c r="HPY1370" s="110"/>
      <c r="HPZ1370" s="110"/>
      <c r="HQA1370" s="110"/>
      <c r="HQB1370" s="110"/>
      <c r="HQC1370" s="110"/>
      <c r="HQD1370" s="110"/>
      <c r="HQE1370" s="110"/>
      <c r="HQF1370" s="110"/>
      <c r="HQG1370" s="110"/>
      <c r="HQH1370" s="110"/>
      <c r="HQI1370" s="110"/>
      <c r="HQJ1370" s="110"/>
      <c r="HQK1370" s="110"/>
      <c r="HQL1370" s="110"/>
      <c r="HQM1370" s="110"/>
      <c r="HQN1370" s="110"/>
      <c r="HQO1370" s="110"/>
      <c r="HQP1370" s="110"/>
      <c r="HQQ1370" s="110"/>
      <c r="HQR1370" s="110"/>
      <c r="HQS1370" s="110"/>
      <c r="HQT1370" s="110"/>
      <c r="HQU1370" s="110"/>
      <c r="HQV1370" s="110"/>
      <c r="HQW1370" s="110"/>
      <c r="HQX1370" s="110"/>
      <c r="HQY1370" s="110"/>
      <c r="HQZ1370" s="110"/>
      <c r="HRA1370" s="110"/>
      <c r="HRB1370" s="110"/>
      <c r="HRC1370" s="110"/>
      <c r="HRD1370" s="110"/>
      <c r="HRE1370" s="110"/>
      <c r="HRF1370" s="110"/>
      <c r="HRG1370" s="110"/>
      <c r="HRH1370" s="110"/>
      <c r="HRI1370" s="110"/>
      <c r="HRJ1370" s="110"/>
      <c r="HRK1370" s="110"/>
      <c r="HRL1370" s="110"/>
      <c r="HRM1370" s="110"/>
      <c r="HRN1370" s="110"/>
      <c r="HRO1370" s="110"/>
      <c r="HRP1370" s="110"/>
      <c r="HRQ1370" s="110"/>
      <c r="HRR1370" s="110"/>
      <c r="HRS1370" s="110"/>
      <c r="HRT1370" s="110"/>
      <c r="HRU1370" s="110"/>
      <c r="HRV1370" s="110"/>
      <c r="HRW1370" s="110"/>
      <c r="HRX1370" s="110"/>
      <c r="HRY1370" s="110"/>
      <c r="HRZ1370" s="110"/>
      <c r="HSA1370" s="110"/>
      <c r="HSB1370" s="110"/>
      <c r="HSC1370" s="110"/>
      <c r="HSD1370" s="110"/>
      <c r="HSE1370" s="110"/>
      <c r="HSF1370" s="110"/>
      <c r="HSG1370" s="110"/>
      <c r="HSH1370" s="110"/>
      <c r="HSI1370" s="110"/>
      <c r="HSJ1370" s="110"/>
      <c r="HSK1370" s="110"/>
      <c r="HSL1370" s="110"/>
      <c r="HSM1370" s="110"/>
      <c r="HSN1370" s="110"/>
      <c r="HSO1370" s="110"/>
      <c r="HSP1370" s="110"/>
      <c r="HSQ1370" s="110"/>
      <c r="HSR1370" s="110"/>
      <c r="HSS1370" s="110"/>
      <c r="HST1370" s="110"/>
      <c r="HSU1370" s="110"/>
      <c r="HSV1370" s="110"/>
      <c r="HSW1370" s="110"/>
      <c r="HSX1370" s="110"/>
      <c r="HSY1370" s="110"/>
      <c r="HSZ1370" s="110"/>
      <c r="HTA1370" s="110"/>
      <c r="HTB1370" s="110"/>
      <c r="HTC1370" s="110"/>
      <c r="HTD1370" s="110"/>
      <c r="HTE1370" s="110"/>
      <c r="HTF1370" s="110"/>
      <c r="HTG1370" s="110"/>
      <c r="HTH1370" s="110"/>
      <c r="HTI1370" s="110"/>
      <c r="HTJ1370" s="110"/>
      <c r="HTK1370" s="110"/>
      <c r="HTL1370" s="110"/>
      <c r="HTM1370" s="110"/>
      <c r="HTN1370" s="110"/>
      <c r="HTO1370" s="110"/>
      <c r="HTP1370" s="110"/>
      <c r="HTQ1370" s="110"/>
      <c r="HTR1370" s="110"/>
      <c r="HTS1370" s="110"/>
      <c r="HTT1370" s="110"/>
      <c r="HTU1370" s="110"/>
      <c r="HTV1370" s="110"/>
      <c r="HTW1370" s="110"/>
      <c r="HTX1370" s="110"/>
      <c r="HTY1370" s="110"/>
      <c r="HTZ1370" s="110"/>
      <c r="HUA1370" s="110"/>
      <c r="HUB1370" s="110"/>
      <c r="HUC1370" s="110"/>
      <c r="HUD1370" s="110"/>
      <c r="HUE1370" s="110"/>
      <c r="HUF1370" s="110"/>
      <c r="HUG1370" s="110"/>
      <c r="HUH1370" s="110"/>
      <c r="HUI1370" s="110"/>
      <c r="HUJ1370" s="110"/>
      <c r="HUK1370" s="110"/>
      <c r="HUL1370" s="110"/>
      <c r="HUM1370" s="110"/>
      <c r="HUN1370" s="110"/>
      <c r="HUO1370" s="110"/>
      <c r="HUP1370" s="110"/>
      <c r="HUQ1370" s="110"/>
      <c r="HUR1370" s="110"/>
      <c r="HUS1370" s="110"/>
      <c r="HUT1370" s="110"/>
      <c r="HUU1370" s="110"/>
      <c r="HUV1370" s="110"/>
      <c r="HUW1370" s="110"/>
      <c r="HUX1370" s="110"/>
      <c r="HUY1370" s="110"/>
      <c r="HUZ1370" s="110"/>
      <c r="HVA1370" s="110"/>
      <c r="HVB1370" s="110"/>
      <c r="HVC1370" s="110"/>
      <c r="HVD1370" s="110"/>
      <c r="HVE1370" s="110"/>
      <c r="HVF1370" s="110"/>
      <c r="HVG1370" s="110"/>
      <c r="HVH1370" s="110"/>
      <c r="HVI1370" s="110"/>
      <c r="HVJ1370" s="110"/>
      <c r="HVK1370" s="110"/>
      <c r="HVL1370" s="110"/>
      <c r="HVM1370" s="110"/>
      <c r="HVN1370" s="110"/>
      <c r="HVO1370" s="110"/>
      <c r="HVP1370" s="110"/>
      <c r="HVQ1370" s="110"/>
      <c r="HVR1370" s="110"/>
      <c r="HVS1370" s="110"/>
      <c r="HVT1370" s="110"/>
      <c r="HVU1370" s="110"/>
      <c r="HVV1370" s="110"/>
      <c r="HVW1370" s="110"/>
      <c r="HVX1370" s="110"/>
      <c r="HVY1370" s="110"/>
      <c r="HVZ1370" s="110"/>
      <c r="HWA1370" s="110"/>
      <c r="HWB1370" s="110"/>
      <c r="HWC1370" s="110"/>
      <c r="HWD1370" s="110"/>
      <c r="HWE1370" s="110"/>
      <c r="HWF1370" s="110"/>
      <c r="HWG1370" s="110"/>
      <c r="HWH1370" s="110"/>
      <c r="HWI1370" s="110"/>
      <c r="HWJ1370" s="110"/>
      <c r="HWK1370" s="110"/>
      <c r="HWL1370" s="110"/>
      <c r="HWM1370" s="110"/>
      <c r="HWN1370" s="110"/>
      <c r="HWO1370" s="110"/>
      <c r="HWP1370" s="110"/>
      <c r="HWQ1370" s="110"/>
      <c r="HWR1370" s="110"/>
      <c r="HWS1370" s="110"/>
      <c r="HWT1370" s="110"/>
      <c r="HWU1370" s="110"/>
      <c r="HWV1370" s="110"/>
      <c r="HWW1370" s="110"/>
      <c r="HWX1370" s="110"/>
      <c r="HWY1370" s="110"/>
      <c r="HWZ1370" s="110"/>
      <c r="HXA1370" s="110"/>
      <c r="HXB1370" s="110"/>
      <c r="HXC1370" s="110"/>
      <c r="HXD1370" s="110"/>
      <c r="HXE1370" s="110"/>
      <c r="HXF1370" s="110"/>
      <c r="HXG1370" s="110"/>
      <c r="HXH1370" s="110"/>
      <c r="HXI1370" s="110"/>
      <c r="HXJ1370" s="110"/>
      <c r="HXK1370" s="110"/>
      <c r="HXL1370" s="110"/>
      <c r="HXM1370" s="110"/>
      <c r="HXN1370" s="110"/>
      <c r="HXO1370" s="110"/>
      <c r="HXP1370" s="110"/>
      <c r="HXQ1370" s="110"/>
      <c r="HXR1370" s="110"/>
      <c r="HXS1370" s="110"/>
      <c r="HXT1370" s="110"/>
      <c r="HXU1370" s="110"/>
      <c r="HXV1370" s="110"/>
      <c r="HXW1370" s="110"/>
      <c r="HXX1370" s="110"/>
      <c r="HXY1370" s="110"/>
      <c r="HXZ1370" s="110"/>
      <c r="HYA1370" s="110"/>
      <c r="HYB1370" s="110"/>
      <c r="HYC1370" s="110"/>
      <c r="HYD1370" s="110"/>
      <c r="HYE1370" s="110"/>
      <c r="HYF1370" s="110"/>
      <c r="HYG1370" s="110"/>
      <c r="HYH1370" s="110"/>
      <c r="HYI1370" s="110"/>
      <c r="HYJ1370" s="110"/>
      <c r="HYK1370" s="110"/>
      <c r="HYL1370" s="110"/>
      <c r="HYM1370" s="110"/>
      <c r="HYN1370" s="110"/>
      <c r="HYO1370" s="110"/>
      <c r="HYP1370" s="110"/>
      <c r="HYQ1370" s="110"/>
      <c r="HYR1370" s="110"/>
      <c r="HYS1370" s="110"/>
      <c r="HYT1370" s="110"/>
      <c r="HYU1370" s="110"/>
      <c r="HYV1370" s="110"/>
      <c r="HYW1370" s="110"/>
      <c r="HYX1370" s="110"/>
      <c r="HYY1370" s="110"/>
      <c r="HYZ1370" s="110"/>
      <c r="HZA1370" s="110"/>
      <c r="HZB1370" s="110"/>
      <c r="HZC1370" s="110"/>
      <c r="HZD1370" s="110"/>
      <c r="HZE1370" s="110"/>
      <c r="HZF1370" s="110"/>
      <c r="HZG1370" s="110"/>
      <c r="HZH1370" s="110"/>
      <c r="HZI1370" s="110"/>
      <c r="HZJ1370" s="110"/>
      <c r="HZK1370" s="110"/>
      <c r="HZL1370" s="110"/>
      <c r="HZM1370" s="110"/>
      <c r="HZN1370" s="110"/>
      <c r="HZO1370" s="110"/>
      <c r="HZP1370" s="110"/>
      <c r="HZQ1370" s="110"/>
      <c r="HZR1370" s="110"/>
      <c r="HZS1370" s="110"/>
      <c r="HZT1370" s="110"/>
      <c r="HZU1370" s="110"/>
      <c r="HZV1370" s="110"/>
      <c r="HZW1370" s="110"/>
      <c r="HZX1370" s="110"/>
      <c r="HZY1370" s="110"/>
      <c r="HZZ1370" s="110"/>
      <c r="IAA1370" s="110"/>
      <c r="IAB1370" s="110"/>
      <c r="IAC1370" s="110"/>
      <c r="IAD1370" s="110"/>
      <c r="IAE1370" s="110"/>
      <c r="IAF1370" s="110"/>
      <c r="IAG1370" s="110"/>
      <c r="IAH1370" s="110"/>
      <c r="IAI1370" s="110"/>
      <c r="IAJ1370" s="110"/>
      <c r="IAK1370" s="110"/>
      <c r="IAL1370" s="110"/>
      <c r="IAM1370" s="110"/>
      <c r="IAN1370" s="110"/>
      <c r="IAO1370" s="110"/>
      <c r="IAP1370" s="110"/>
      <c r="IAQ1370" s="110"/>
      <c r="IAR1370" s="110"/>
      <c r="IAS1370" s="110"/>
      <c r="IAT1370" s="110"/>
      <c r="IAU1370" s="110"/>
      <c r="IAV1370" s="110"/>
      <c r="IAW1370" s="110"/>
      <c r="IAX1370" s="110"/>
      <c r="IAY1370" s="110"/>
      <c r="IAZ1370" s="110"/>
      <c r="IBA1370" s="110"/>
      <c r="IBB1370" s="110"/>
      <c r="IBC1370" s="110"/>
      <c r="IBD1370" s="110"/>
      <c r="IBE1370" s="110"/>
      <c r="IBF1370" s="110"/>
      <c r="IBG1370" s="110"/>
      <c r="IBH1370" s="110"/>
      <c r="IBI1370" s="110"/>
      <c r="IBJ1370" s="110"/>
      <c r="IBK1370" s="110"/>
      <c r="IBL1370" s="110"/>
      <c r="IBM1370" s="110"/>
      <c r="IBN1370" s="110"/>
      <c r="IBO1370" s="110"/>
      <c r="IBP1370" s="110"/>
      <c r="IBQ1370" s="110"/>
      <c r="IBR1370" s="110"/>
      <c r="IBS1370" s="110"/>
      <c r="IBT1370" s="110"/>
      <c r="IBU1370" s="110"/>
      <c r="IBV1370" s="110"/>
      <c r="IBW1370" s="110"/>
      <c r="IBX1370" s="110"/>
      <c r="IBY1370" s="110"/>
      <c r="IBZ1370" s="110"/>
      <c r="ICA1370" s="110"/>
      <c r="ICB1370" s="110"/>
      <c r="ICC1370" s="110"/>
      <c r="ICD1370" s="110"/>
      <c r="ICE1370" s="110"/>
      <c r="ICF1370" s="110"/>
      <c r="ICG1370" s="110"/>
      <c r="ICH1370" s="110"/>
      <c r="ICI1370" s="110"/>
      <c r="ICJ1370" s="110"/>
      <c r="ICK1370" s="110"/>
      <c r="ICL1370" s="110"/>
      <c r="ICM1370" s="110"/>
      <c r="ICN1370" s="110"/>
      <c r="ICO1370" s="110"/>
      <c r="ICP1370" s="110"/>
      <c r="ICQ1370" s="110"/>
      <c r="ICR1370" s="110"/>
      <c r="ICS1370" s="110"/>
      <c r="ICT1370" s="110"/>
      <c r="ICU1370" s="110"/>
      <c r="ICV1370" s="110"/>
      <c r="ICW1370" s="110"/>
      <c r="ICX1370" s="110"/>
      <c r="ICY1370" s="110"/>
      <c r="ICZ1370" s="110"/>
      <c r="IDA1370" s="110"/>
      <c r="IDB1370" s="110"/>
      <c r="IDC1370" s="110"/>
      <c r="IDD1370" s="110"/>
      <c r="IDE1370" s="110"/>
      <c r="IDF1370" s="110"/>
      <c r="IDG1370" s="110"/>
      <c r="IDH1370" s="110"/>
      <c r="IDI1370" s="110"/>
      <c r="IDJ1370" s="110"/>
      <c r="IDK1370" s="110"/>
      <c r="IDL1370" s="110"/>
      <c r="IDM1370" s="110"/>
      <c r="IDN1370" s="110"/>
      <c r="IDO1370" s="110"/>
      <c r="IDP1370" s="110"/>
      <c r="IDQ1370" s="110"/>
      <c r="IDR1370" s="110"/>
      <c r="IDS1370" s="110"/>
      <c r="IDT1370" s="110"/>
      <c r="IDU1370" s="110"/>
      <c r="IDV1370" s="110"/>
      <c r="IDW1370" s="110"/>
      <c r="IDX1370" s="110"/>
      <c r="IDY1370" s="110"/>
      <c r="IDZ1370" s="110"/>
      <c r="IEA1370" s="110"/>
      <c r="IEB1370" s="110"/>
      <c r="IEC1370" s="110"/>
      <c r="IED1370" s="110"/>
      <c r="IEE1370" s="110"/>
      <c r="IEF1370" s="110"/>
      <c r="IEG1370" s="110"/>
      <c r="IEH1370" s="110"/>
      <c r="IEI1370" s="110"/>
      <c r="IEJ1370" s="110"/>
      <c r="IEK1370" s="110"/>
      <c r="IEL1370" s="110"/>
      <c r="IEM1370" s="110"/>
      <c r="IEN1370" s="110"/>
      <c r="IEO1370" s="110"/>
      <c r="IEP1370" s="110"/>
      <c r="IEQ1370" s="110"/>
      <c r="IER1370" s="110"/>
      <c r="IES1370" s="110"/>
      <c r="IET1370" s="110"/>
      <c r="IEU1370" s="110"/>
      <c r="IEV1370" s="110"/>
      <c r="IEW1370" s="110"/>
      <c r="IEX1370" s="110"/>
      <c r="IEY1370" s="110"/>
      <c r="IEZ1370" s="110"/>
      <c r="IFA1370" s="110"/>
      <c r="IFB1370" s="110"/>
      <c r="IFC1370" s="110"/>
      <c r="IFD1370" s="110"/>
      <c r="IFE1370" s="110"/>
      <c r="IFF1370" s="110"/>
      <c r="IFG1370" s="110"/>
      <c r="IFH1370" s="110"/>
      <c r="IFI1370" s="110"/>
      <c r="IFJ1370" s="110"/>
      <c r="IFK1370" s="110"/>
      <c r="IFL1370" s="110"/>
      <c r="IFM1370" s="110"/>
      <c r="IFN1370" s="110"/>
      <c r="IFO1370" s="110"/>
      <c r="IFP1370" s="110"/>
      <c r="IFQ1370" s="110"/>
      <c r="IFR1370" s="110"/>
      <c r="IFS1370" s="110"/>
      <c r="IFT1370" s="110"/>
      <c r="IFU1370" s="110"/>
      <c r="IFV1370" s="110"/>
      <c r="IFW1370" s="110"/>
      <c r="IFX1370" s="110"/>
      <c r="IFY1370" s="110"/>
      <c r="IFZ1370" s="110"/>
      <c r="IGA1370" s="110"/>
      <c r="IGB1370" s="110"/>
      <c r="IGC1370" s="110"/>
      <c r="IGD1370" s="110"/>
      <c r="IGE1370" s="110"/>
      <c r="IGF1370" s="110"/>
      <c r="IGG1370" s="110"/>
      <c r="IGH1370" s="110"/>
      <c r="IGI1370" s="110"/>
      <c r="IGJ1370" s="110"/>
      <c r="IGK1370" s="110"/>
      <c r="IGL1370" s="110"/>
      <c r="IGM1370" s="110"/>
      <c r="IGN1370" s="110"/>
      <c r="IGO1370" s="110"/>
      <c r="IGP1370" s="110"/>
      <c r="IGQ1370" s="110"/>
      <c r="IGR1370" s="110"/>
      <c r="IGS1370" s="110"/>
      <c r="IGT1370" s="110"/>
      <c r="IGU1370" s="110"/>
      <c r="IGV1370" s="110"/>
      <c r="IGW1370" s="110"/>
      <c r="IGX1370" s="110"/>
      <c r="IGY1370" s="110"/>
      <c r="IGZ1370" s="110"/>
      <c r="IHA1370" s="110"/>
      <c r="IHB1370" s="110"/>
      <c r="IHC1370" s="110"/>
      <c r="IHD1370" s="110"/>
      <c r="IHE1370" s="110"/>
      <c r="IHF1370" s="110"/>
      <c r="IHG1370" s="110"/>
      <c r="IHH1370" s="110"/>
      <c r="IHI1370" s="110"/>
      <c r="IHJ1370" s="110"/>
      <c r="IHK1370" s="110"/>
      <c r="IHL1370" s="110"/>
      <c r="IHM1370" s="110"/>
      <c r="IHN1370" s="110"/>
      <c r="IHO1370" s="110"/>
      <c r="IHP1370" s="110"/>
      <c r="IHQ1370" s="110"/>
      <c r="IHR1370" s="110"/>
      <c r="IHS1370" s="110"/>
      <c r="IHT1370" s="110"/>
      <c r="IHU1370" s="110"/>
      <c r="IHV1370" s="110"/>
      <c r="IHW1370" s="110"/>
      <c r="IHX1370" s="110"/>
      <c r="IHY1370" s="110"/>
      <c r="IHZ1370" s="110"/>
      <c r="IIA1370" s="110"/>
      <c r="IIB1370" s="110"/>
      <c r="IIC1370" s="110"/>
      <c r="IID1370" s="110"/>
      <c r="IIE1370" s="110"/>
      <c r="IIF1370" s="110"/>
      <c r="IIG1370" s="110"/>
      <c r="IIH1370" s="110"/>
      <c r="III1370" s="110"/>
      <c r="IIJ1370" s="110"/>
      <c r="IIK1370" s="110"/>
      <c r="IIL1370" s="110"/>
      <c r="IIM1370" s="110"/>
      <c r="IIN1370" s="110"/>
      <c r="IIO1370" s="110"/>
      <c r="IIP1370" s="110"/>
      <c r="IIQ1370" s="110"/>
      <c r="IIR1370" s="110"/>
      <c r="IIS1370" s="110"/>
      <c r="IIT1370" s="110"/>
      <c r="IIU1370" s="110"/>
      <c r="IIV1370" s="110"/>
      <c r="IIW1370" s="110"/>
      <c r="IIX1370" s="110"/>
      <c r="IIY1370" s="110"/>
      <c r="IIZ1370" s="110"/>
      <c r="IJA1370" s="110"/>
      <c r="IJB1370" s="110"/>
      <c r="IJC1370" s="110"/>
      <c r="IJD1370" s="110"/>
      <c r="IJE1370" s="110"/>
      <c r="IJF1370" s="110"/>
      <c r="IJG1370" s="110"/>
      <c r="IJH1370" s="110"/>
      <c r="IJI1370" s="110"/>
      <c r="IJJ1370" s="110"/>
      <c r="IJK1370" s="110"/>
      <c r="IJL1370" s="110"/>
      <c r="IJM1370" s="110"/>
      <c r="IJN1370" s="110"/>
      <c r="IJO1370" s="110"/>
      <c r="IJP1370" s="110"/>
      <c r="IJQ1370" s="110"/>
      <c r="IJR1370" s="110"/>
      <c r="IJS1370" s="110"/>
      <c r="IJT1370" s="110"/>
      <c r="IJU1370" s="110"/>
      <c r="IJV1370" s="110"/>
      <c r="IJW1370" s="110"/>
      <c r="IJX1370" s="110"/>
      <c r="IJY1370" s="110"/>
      <c r="IJZ1370" s="110"/>
      <c r="IKA1370" s="110"/>
      <c r="IKB1370" s="110"/>
      <c r="IKC1370" s="110"/>
      <c r="IKD1370" s="110"/>
      <c r="IKE1370" s="110"/>
      <c r="IKF1370" s="110"/>
      <c r="IKG1370" s="110"/>
      <c r="IKH1370" s="110"/>
      <c r="IKI1370" s="110"/>
      <c r="IKJ1370" s="110"/>
      <c r="IKK1370" s="110"/>
      <c r="IKL1370" s="110"/>
      <c r="IKM1370" s="110"/>
      <c r="IKN1370" s="110"/>
      <c r="IKO1370" s="110"/>
      <c r="IKP1370" s="110"/>
      <c r="IKQ1370" s="110"/>
      <c r="IKR1370" s="110"/>
      <c r="IKS1370" s="110"/>
      <c r="IKT1370" s="110"/>
      <c r="IKU1370" s="110"/>
      <c r="IKV1370" s="110"/>
      <c r="IKW1370" s="110"/>
      <c r="IKX1370" s="110"/>
      <c r="IKY1370" s="110"/>
      <c r="IKZ1370" s="110"/>
      <c r="ILA1370" s="110"/>
      <c r="ILB1370" s="110"/>
      <c r="ILC1370" s="110"/>
      <c r="ILD1370" s="110"/>
      <c r="ILE1370" s="110"/>
      <c r="ILF1370" s="110"/>
      <c r="ILG1370" s="110"/>
      <c r="ILH1370" s="110"/>
      <c r="ILI1370" s="110"/>
      <c r="ILJ1370" s="110"/>
      <c r="ILK1370" s="110"/>
      <c r="ILL1370" s="110"/>
      <c r="ILM1370" s="110"/>
      <c r="ILN1370" s="110"/>
      <c r="ILO1370" s="110"/>
      <c r="ILP1370" s="110"/>
      <c r="ILQ1370" s="110"/>
      <c r="ILR1370" s="110"/>
      <c r="ILS1370" s="110"/>
      <c r="ILT1370" s="110"/>
      <c r="ILU1370" s="110"/>
      <c r="ILV1370" s="110"/>
      <c r="ILW1370" s="110"/>
      <c r="ILX1370" s="110"/>
      <c r="ILY1370" s="110"/>
      <c r="ILZ1370" s="110"/>
      <c r="IMA1370" s="110"/>
      <c r="IMB1370" s="110"/>
      <c r="IMC1370" s="110"/>
      <c r="IMD1370" s="110"/>
      <c r="IME1370" s="110"/>
      <c r="IMF1370" s="110"/>
      <c r="IMG1370" s="110"/>
      <c r="IMH1370" s="110"/>
      <c r="IMI1370" s="110"/>
      <c r="IMJ1370" s="110"/>
      <c r="IMK1370" s="110"/>
      <c r="IML1370" s="110"/>
      <c r="IMM1370" s="110"/>
      <c r="IMN1370" s="110"/>
      <c r="IMO1370" s="110"/>
      <c r="IMP1370" s="110"/>
      <c r="IMQ1370" s="110"/>
      <c r="IMR1370" s="110"/>
      <c r="IMS1370" s="110"/>
      <c r="IMT1370" s="110"/>
      <c r="IMU1370" s="110"/>
      <c r="IMV1370" s="110"/>
      <c r="IMW1370" s="110"/>
      <c r="IMX1370" s="110"/>
      <c r="IMY1370" s="110"/>
      <c r="IMZ1370" s="110"/>
      <c r="INA1370" s="110"/>
      <c r="INB1370" s="110"/>
      <c r="INC1370" s="110"/>
      <c r="IND1370" s="110"/>
      <c r="INE1370" s="110"/>
      <c r="INF1370" s="110"/>
      <c r="ING1370" s="110"/>
      <c r="INH1370" s="110"/>
      <c r="INI1370" s="110"/>
      <c r="INJ1370" s="110"/>
      <c r="INK1370" s="110"/>
      <c r="INL1370" s="110"/>
      <c r="INM1370" s="110"/>
      <c r="INN1370" s="110"/>
      <c r="INO1370" s="110"/>
      <c r="INP1370" s="110"/>
      <c r="INQ1370" s="110"/>
      <c r="INR1370" s="110"/>
      <c r="INS1370" s="110"/>
      <c r="INT1370" s="110"/>
      <c r="INU1370" s="110"/>
      <c r="INV1370" s="110"/>
      <c r="INW1370" s="110"/>
      <c r="INX1370" s="110"/>
      <c r="INY1370" s="110"/>
      <c r="INZ1370" s="110"/>
      <c r="IOA1370" s="110"/>
      <c r="IOB1370" s="110"/>
      <c r="IOC1370" s="110"/>
      <c r="IOD1370" s="110"/>
      <c r="IOE1370" s="110"/>
      <c r="IOF1370" s="110"/>
      <c r="IOG1370" s="110"/>
      <c r="IOH1370" s="110"/>
      <c r="IOI1370" s="110"/>
      <c r="IOJ1370" s="110"/>
      <c r="IOK1370" s="110"/>
      <c r="IOL1370" s="110"/>
      <c r="IOM1370" s="110"/>
      <c r="ION1370" s="110"/>
      <c r="IOO1370" s="110"/>
      <c r="IOP1370" s="110"/>
      <c r="IOQ1370" s="110"/>
      <c r="IOR1370" s="110"/>
      <c r="IOS1370" s="110"/>
      <c r="IOT1370" s="110"/>
      <c r="IOU1370" s="110"/>
      <c r="IOV1370" s="110"/>
      <c r="IOW1370" s="110"/>
      <c r="IOX1370" s="110"/>
      <c r="IOY1370" s="110"/>
      <c r="IOZ1370" s="110"/>
      <c r="IPA1370" s="110"/>
      <c r="IPB1370" s="110"/>
      <c r="IPC1370" s="110"/>
      <c r="IPD1370" s="110"/>
      <c r="IPE1370" s="110"/>
      <c r="IPF1370" s="110"/>
      <c r="IPG1370" s="110"/>
      <c r="IPH1370" s="110"/>
      <c r="IPI1370" s="110"/>
      <c r="IPJ1370" s="110"/>
      <c r="IPK1370" s="110"/>
      <c r="IPL1370" s="110"/>
      <c r="IPM1370" s="110"/>
      <c r="IPN1370" s="110"/>
      <c r="IPO1370" s="110"/>
      <c r="IPP1370" s="110"/>
      <c r="IPQ1370" s="110"/>
      <c r="IPR1370" s="110"/>
      <c r="IPS1370" s="110"/>
      <c r="IPT1370" s="110"/>
      <c r="IPU1370" s="110"/>
      <c r="IPV1370" s="110"/>
      <c r="IPW1370" s="110"/>
      <c r="IPX1370" s="110"/>
      <c r="IPY1370" s="110"/>
      <c r="IPZ1370" s="110"/>
      <c r="IQA1370" s="110"/>
      <c r="IQB1370" s="110"/>
      <c r="IQC1370" s="110"/>
      <c r="IQD1370" s="110"/>
      <c r="IQE1370" s="110"/>
      <c r="IQF1370" s="110"/>
      <c r="IQG1370" s="110"/>
      <c r="IQH1370" s="110"/>
      <c r="IQI1370" s="110"/>
      <c r="IQJ1370" s="110"/>
      <c r="IQK1370" s="110"/>
      <c r="IQL1370" s="110"/>
      <c r="IQM1370" s="110"/>
      <c r="IQN1370" s="110"/>
      <c r="IQO1370" s="110"/>
      <c r="IQP1370" s="110"/>
      <c r="IQQ1370" s="110"/>
      <c r="IQR1370" s="110"/>
      <c r="IQS1370" s="110"/>
      <c r="IQT1370" s="110"/>
      <c r="IQU1370" s="110"/>
      <c r="IQV1370" s="110"/>
      <c r="IQW1370" s="110"/>
      <c r="IQX1370" s="110"/>
      <c r="IQY1370" s="110"/>
      <c r="IQZ1370" s="110"/>
      <c r="IRA1370" s="110"/>
      <c r="IRB1370" s="110"/>
      <c r="IRC1370" s="110"/>
      <c r="IRD1370" s="110"/>
      <c r="IRE1370" s="110"/>
      <c r="IRF1370" s="110"/>
      <c r="IRG1370" s="110"/>
      <c r="IRH1370" s="110"/>
      <c r="IRI1370" s="110"/>
      <c r="IRJ1370" s="110"/>
      <c r="IRK1370" s="110"/>
      <c r="IRL1370" s="110"/>
      <c r="IRM1370" s="110"/>
      <c r="IRN1370" s="110"/>
      <c r="IRO1370" s="110"/>
      <c r="IRP1370" s="110"/>
      <c r="IRQ1370" s="110"/>
      <c r="IRR1370" s="110"/>
      <c r="IRS1370" s="110"/>
      <c r="IRT1370" s="110"/>
      <c r="IRU1370" s="110"/>
      <c r="IRV1370" s="110"/>
      <c r="IRW1370" s="110"/>
      <c r="IRX1370" s="110"/>
      <c r="IRY1370" s="110"/>
      <c r="IRZ1370" s="110"/>
      <c r="ISA1370" s="110"/>
      <c r="ISB1370" s="110"/>
      <c r="ISC1370" s="110"/>
      <c r="ISD1370" s="110"/>
      <c r="ISE1370" s="110"/>
      <c r="ISF1370" s="110"/>
      <c r="ISG1370" s="110"/>
      <c r="ISH1370" s="110"/>
      <c r="ISI1370" s="110"/>
      <c r="ISJ1370" s="110"/>
      <c r="ISK1370" s="110"/>
      <c r="ISL1370" s="110"/>
      <c r="ISM1370" s="110"/>
      <c r="ISN1370" s="110"/>
      <c r="ISO1370" s="110"/>
      <c r="ISP1370" s="110"/>
      <c r="ISQ1370" s="110"/>
      <c r="ISR1370" s="110"/>
      <c r="ISS1370" s="110"/>
      <c r="IST1370" s="110"/>
      <c r="ISU1370" s="110"/>
      <c r="ISV1370" s="110"/>
      <c r="ISW1370" s="110"/>
      <c r="ISX1370" s="110"/>
      <c r="ISY1370" s="110"/>
      <c r="ISZ1370" s="110"/>
      <c r="ITA1370" s="110"/>
      <c r="ITB1370" s="110"/>
      <c r="ITC1370" s="110"/>
      <c r="ITD1370" s="110"/>
      <c r="ITE1370" s="110"/>
      <c r="ITF1370" s="110"/>
      <c r="ITG1370" s="110"/>
      <c r="ITH1370" s="110"/>
      <c r="ITI1370" s="110"/>
      <c r="ITJ1370" s="110"/>
      <c r="ITK1370" s="110"/>
      <c r="ITL1370" s="110"/>
      <c r="ITM1370" s="110"/>
      <c r="ITN1370" s="110"/>
      <c r="ITO1370" s="110"/>
      <c r="ITP1370" s="110"/>
      <c r="ITQ1370" s="110"/>
      <c r="ITR1370" s="110"/>
      <c r="ITS1370" s="110"/>
      <c r="ITT1370" s="110"/>
      <c r="ITU1370" s="110"/>
      <c r="ITV1370" s="110"/>
      <c r="ITW1370" s="110"/>
      <c r="ITX1370" s="110"/>
      <c r="ITY1370" s="110"/>
      <c r="ITZ1370" s="110"/>
      <c r="IUA1370" s="110"/>
      <c r="IUB1370" s="110"/>
      <c r="IUC1370" s="110"/>
      <c r="IUD1370" s="110"/>
      <c r="IUE1370" s="110"/>
      <c r="IUF1370" s="110"/>
      <c r="IUG1370" s="110"/>
      <c r="IUH1370" s="110"/>
      <c r="IUI1370" s="110"/>
      <c r="IUJ1370" s="110"/>
      <c r="IUK1370" s="110"/>
      <c r="IUL1370" s="110"/>
      <c r="IUM1370" s="110"/>
      <c r="IUN1370" s="110"/>
      <c r="IUO1370" s="110"/>
      <c r="IUP1370" s="110"/>
      <c r="IUQ1370" s="110"/>
      <c r="IUR1370" s="110"/>
      <c r="IUS1370" s="110"/>
      <c r="IUT1370" s="110"/>
      <c r="IUU1370" s="110"/>
      <c r="IUV1370" s="110"/>
      <c r="IUW1370" s="110"/>
      <c r="IUX1370" s="110"/>
      <c r="IUY1370" s="110"/>
      <c r="IUZ1370" s="110"/>
      <c r="IVA1370" s="110"/>
      <c r="IVB1370" s="110"/>
      <c r="IVC1370" s="110"/>
      <c r="IVD1370" s="110"/>
      <c r="IVE1370" s="110"/>
      <c r="IVF1370" s="110"/>
      <c r="IVG1370" s="110"/>
      <c r="IVH1370" s="110"/>
      <c r="IVI1370" s="110"/>
      <c r="IVJ1370" s="110"/>
      <c r="IVK1370" s="110"/>
      <c r="IVL1370" s="110"/>
      <c r="IVM1370" s="110"/>
      <c r="IVN1370" s="110"/>
      <c r="IVO1370" s="110"/>
      <c r="IVP1370" s="110"/>
      <c r="IVQ1370" s="110"/>
      <c r="IVR1370" s="110"/>
      <c r="IVS1370" s="110"/>
      <c r="IVT1370" s="110"/>
      <c r="IVU1370" s="110"/>
      <c r="IVV1370" s="110"/>
      <c r="IVW1370" s="110"/>
      <c r="IVX1370" s="110"/>
      <c r="IVY1370" s="110"/>
      <c r="IVZ1370" s="110"/>
      <c r="IWA1370" s="110"/>
      <c r="IWB1370" s="110"/>
      <c r="IWC1370" s="110"/>
      <c r="IWD1370" s="110"/>
      <c r="IWE1370" s="110"/>
      <c r="IWF1370" s="110"/>
      <c r="IWG1370" s="110"/>
      <c r="IWH1370" s="110"/>
      <c r="IWI1370" s="110"/>
      <c r="IWJ1370" s="110"/>
      <c r="IWK1370" s="110"/>
      <c r="IWL1370" s="110"/>
      <c r="IWM1370" s="110"/>
      <c r="IWN1370" s="110"/>
      <c r="IWO1370" s="110"/>
      <c r="IWP1370" s="110"/>
      <c r="IWQ1370" s="110"/>
      <c r="IWR1370" s="110"/>
      <c r="IWS1370" s="110"/>
      <c r="IWT1370" s="110"/>
      <c r="IWU1370" s="110"/>
      <c r="IWV1370" s="110"/>
      <c r="IWW1370" s="110"/>
      <c r="IWX1370" s="110"/>
      <c r="IWY1370" s="110"/>
      <c r="IWZ1370" s="110"/>
      <c r="IXA1370" s="110"/>
      <c r="IXB1370" s="110"/>
      <c r="IXC1370" s="110"/>
      <c r="IXD1370" s="110"/>
      <c r="IXE1370" s="110"/>
      <c r="IXF1370" s="110"/>
      <c r="IXG1370" s="110"/>
      <c r="IXH1370" s="110"/>
      <c r="IXI1370" s="110"/>
      <c r="IXJ1370" s="110"/>
      <c r="IXK1370" s="110"/>
      <c r="IXL1370" s="110"/>
      <c r="IXM1370" s="110"/>
      <c r="IXN1370" s="110"/>
      <c r="IXO1370" s="110"/>
      <c r="IXP1370" s="110"/>
      <c r="IXQ1370" s="110"/>
      <c r="IXR1370" s="110"/>
      <c r="IXS1370" s="110"/>
      <c r="IXT1370" s="110"/>
      <c r="IXU1370" s="110"/>
      <c r="IXV1370" s="110"/>
      <c r="IXW1370" s="110"/>
      <c r="IXX1370" s="110"/>
      <c r="IXY1370" s="110"/>
      <c r="IXZ1370" s="110"/>
      <c r="IYA1370" s="110"/>
      <c r="IYB1370" s="110"/>
      <c r="IYC1370" s="110"/>
      <c r="IYD1370" s="110"/>
      <c r="IYE1370" s="110"/>
      <c r="IYF1370" s="110"/>
      <c r="IYG1370" s="110"/>
      <c r="IYH1370" s="110"/>
      <c r="IYI1370" s="110"/>
      <c r="IYJ1370" s="110"/>
      <c r="IYK1370" s="110"/>
      <c r="IYL1370" s="110"/>
      <c r="IYM1370" s="110"/>
      <c r="IYN1370" s="110"/>
      <c r="IYO1370" s="110"/>
      <c r="IYP1370" s="110"/>
      <c r="IYQ1370" s="110"/>
      <c r="IYR1370" s="110"/>
      <c r="IYS1370" s="110"/>
      <c r="IYT1370" s="110"/>
      <c r="IYU1370" s="110"/>
      <c r="IYV1370" s="110"/>
      <c r="IYW1370" s="110"/>
      <c r="IYX1370" s="110"/>
      <c r="IYY1370" s="110"/>
      <c r="IYZ1370" s="110"/>
      <c r="IZA1370" s="110"/>
      <c r="IZB1370" s="110"/>
      <c r="IZC1370" s="110"/>
      <c r="IZD1370" s="110"/>
      <c r="IZE1370" s="110"/>
      <c r="IZF1370" s="110"/>
      <c r="IZG1370" s="110"/>
      <c r="IZH1370" s="110"/>
      <c r="IZI1370" s="110"/>
      <c r="IZJ1370" s="110"/>
      <c r="IZK1370" s="110"/>
      <c r="IZL1370" s="110"/>
      <c r="IZM1370" s="110"/>
      <c r="IZN1370" s="110"/>
      <c r="IZO1370" s="110"/>
      <c r="IZP1370" s="110"/>
      <c r="IZQ1370" s="110"/>
      <c r="IZR1370" s="110"/>
      <c r="IZS1370" s="110"/>
      <c r="IZT1370" s="110"/>
      <c r="IZU1370" s="110"/>
      <c r="IZV1370" s="110"/>
      <c r="IZW1370" s="110"/>
      <c r="IZX1370" s="110"/>
      <c r="IZY1370" s="110"/>
      <c r="IZZ1370" s="110"/>
      <c r="JAA1370" s="110"/>
      <c r="JAB1370" s="110"/>
      <c r="JAC1370" s="110"/>
      <c r="JAD1370" s="110"/>
      <c r="JAE1370" s="110"/>
      <c r="JAF1370" s="110"/>
      <c r="JAG1370" s="110"/>
      <c r="JAH1370" s="110"/>
      <c r="JAI1370" s="110"/>
      <c r="JAJ1370" s="110"/>
      <c r="JAK1370" s="110"/>
      <c r="JAL1370" s="110"/>
      <c r="JAM1370" s="110"/>
      <c r="JAN1370" s="110"/>
      <c r="JAO1370" s="110"/>
      <c r="JAP1370" s="110"/>
      <c r="JAQ1370" s="110"/>
      <c r="JAR1370" s="110"/>
      <c r="JAS1370" s="110"/>
      <c r="JAT1370" s="110"/>
      <c r="JAU1370" s="110"/>
      <c r="JAV1370" s="110"/>
      <c r="JAW1370" s="110"/>
      <c r="JAX1370" s="110"/>
      <c r="JAY1370" s="110"/>
      <c r="JAZ1370" s="110"/>
      <c r="JBA1370" s="110"/>
      <c r="JBB1370" s="110"/>
      <c r="JBC1370" s="110"/>
      <c r="JBD1370" s="110"/>
      <c r="JBE1370" s="110"/>
      <c r="JBF1370" s="110"/>
      <c r="JBG1370" s="110"/>
      <c r="JBH1370" s="110"/>
      <c r="JBI1370" s="110"/>
      <c r="JBJ1370" s="110"/>
      <c r="JBK1370" s="110"/>
      <c r="JBL1370" s="110"/>
      <c r="JBM1370" s="110"/>
      <c r="JBN1370" s="110"/>
      <c r="JBO1370" s="110"/>
      <c r="JBP1370" s="110"/>
      <c r="JBQ1370" s="110"/>
      <c r="JBR1370" s="110"/>
      <c r="JBS1370" s="110"/>
      <c r="JBT1370" s="110"/>
      <c r="JBU1370" s="110"/>
      <c r="JBV1370" s="110"/>
      <c r="JBW1370" s="110"/>
      <c r="JBX1370" s="110"/>
      <c r="JBY1370" s="110"/>
      <c r="JBZ1370" s="110"/>
      <c r="JCA1370" s="110"/>
      <c r="JCB1370" s="110"/>
      <c r="JCC1370" s="110"/>
      <c r="JCD1370" s="110"/>
      <c r="JCE1370" s="110"/>
      <c r="JCF1370" s="110"/>
      <c r="JCG1370" s="110"/>
      <c r="JCH1370" s="110"/>
      <c r="JCI1370" s="110"/>
      <c r="JCJ1370" s="110"/>
      <c r="JCK1370" s="110"/>
      <c r="JCL1370" s="110"/>
      <c r="JCM1370" s="110"/>
      <c r="JCN1370" s="110"/>
      <c r="JCO1370" s="110"/>
      <c r="JCP1370" s="110"/>
      <c r="JCQ1370" s="110"/>
      <c r="JCR1370" s="110"/>
      <c r="JCS1370" s="110"/>
      <c r="JCT1370" s="110"/>
      <c r="JCU1370" s="110"/>
      <c r="JCV1370" s="110"/>
      <c r="JCW1370" s="110"/>
      <c r="JCX1370" s="110"/>
      <c r="JCY1370" s="110"/>
      <c r="JCZ1370" s="110"/>
      <c r="JDA1370" s="110"/>
      <c r="JDB1370" s="110"/>
      <c r="JDC1370" s="110"/>
      <c r="JDD1370" s="110"/>
      <c r="JDE1370" s="110"/>
      <c r="JDF1370" s="110"/>
      <c r="JDG1370" s="110"/>
      <c r="JDH1370" s="110"/>
      <c r="JDI1370" s="110"/>
      <c r="JDJ1370" s="110"/>
      <c r="JDK1370" s="110"/>
      <c r="JDL1370" s="110"/>
      <c r="JDM1370" s="110"/>
      <c r="JDN1370" s="110"/>
      <c r="JDO1370" s="110"/>
      <c r="JDP1370" s="110"/>
      <c r="JDQ1370" s="110"/>
      <c r="JDR1370" s="110"/>
      <c r="JDS1370" s="110"/>
      <c r="JDT1370" s="110"/>
      <c r="JDU1370" s="110"/>
      <c r="JDV1370" s="110"/>
      <c r="JDW1370" s="110"/>
      <c r="JDX1370" s="110"/>
      <c r="JDY1370" s="110"/>
      <c r="JDZ1370" s="110"/>
      <c r="JEA1370" s="110"/>
      <c r="JEB1370" s="110"/>
      <c r="JEC1370" s="110"/>
      <c r="JED1370" s="110"/>
      <c r="JEE1370" s="110"/>
      <c r="JEF1370" s="110"/>
      <c r="JEG1370" s="110"/>
      <c r="JEH1370" s="110"/>
      <c r="JEI1370" s="110"/>
      <c r="JEJ1370" s="110"/>
      <c r="JEK1370" s="110"/>
      <c r="JEL1370" s="110"/>
      <c r="JEM1370" s="110"/>
      <c r="JEN1370" s="110"/>
      <c r="JEO1370" s="110"/>
      <c r="JEP1370" s="110"/>
      <c r="JEQ1370" s="110"/>
      <c r="JER1370" s="110"/>
      <c r="JES1370" s="110"/>
      <c r="JET1370" s="110"/>
      <c r="JEU1370" s="110"/>
      <c r="JEV1370" s="110"/>
      <c r="JEW1370" s="110"/>
      <c r="JEX1370" s="110"/>
      <c r="JEY1370" s="110"/>
      <c r="JEZ1370" s="110"/>
      <c r="JFA1370" s="110"/>
      <c r="JFB1370" s="110"/>
      <c r="JFC1370" s="110"/>
      <c r="JFD1370" s="110"/>
      <c r="JFE1370" s="110"/>
      <c r="JFF1370" s="110"/>
      <c r="JFG1370" s="110"/>
      <c r="JFH1370" s="110"/>
      <c r="JFI1370" s="110"/>
      <c r="JFJ1370" s="110"/>
      <c r="JFK1370" s="110"/>
      <c r="JFL1370" s="110"/>
      <c r="JFM1370" s="110"/>
      <c r="JFN1370" s="110"/>
      <c r="JFO1370" s="110"/>
      <c r="JFP1370" s="110"/>
      <c r="JFQ1370" s="110"/>
      <c r="JFR1370" s="110"/>
      <c r="JFS1370" s="110"/>
      <c r="JFT1370" s="110"/>
      <c r="JFU1370" s="110"/>
      <c r="JFV1370" s="110"/>
      <c r="JFW1370" s="110"/>
      <c r="JFX1370" s="110"/>
      <c r="JFY1370" s="110"/>
      <c r="JFZ1370" s="110"/>
      <c r="JGA1370" s="110"/>
      <c r="JGB1370" s="110"/>
      <c r="JGC1370" s="110"/>
      <c r="JGD1370" s="110"/>
      <c r="JGE1370" s="110"/>
      <c r="JGF1370" s="110"/>
      <c r="JGG1370" s="110"/>
      <c r="JGH1370" s="110"/>
      <c r="JGI1370" s="110"/>
      <c r="JGJ1370" s="110"/>
      <c r="JGK1370" s="110"/>
      <c r="JGL1370" s="110"/>
      <c r="JGM1370" s="110"/>
      <c r="JGN1370" s="110"/>
      <c r="JGO1370" s="110"/>
      <c r="JGP1370" s="110"/>
      <c r="JGQ1370" s="110"/>
      <c r="JGR1370" s="110"/>
      <c r="JGS1370" s="110"/>
      <c r="JGT1370" s="110"/>
      <c r="JGU1370" s="110"/>
      <c r="JGV1370" s="110"/>
      <c r="JGW1370" s="110"/>
      <c r="JGX1370" s="110"/>
      <c r="JGY1370" s="110"/>
      <c r="JGZ1370" s="110"/>
      <c r="JHA1370" s="110"/>
      <c r="JHB1370" s="110"/>
      <c r="JHC1370" s="110"/>
      <c r="JHD1370" s="110"/>
      <c r="JHE1370" s="110"/>
      <c r="JHF1370" s="110"/>
      <c r="JHG1370" s="110"/>
      <c r="JHH1370" s="110"/>
      <c r="JHI1370" s="110"/>
      <c r="JHJ1370" s="110"/>
      <c r="JHK1370" s="110"/>
      <c r="JHL1370" s="110"/>
      <c r="JHM1370" s="110"/>
      <c r="JHN1370" s="110"/>
      <c r="JHO1370" s="110"/>
      <c r="JHP1370" s="110"/>
      <c r="JHQ1370" s="110"/>
      <c r="JHR1370" s="110"/>
      <c r="JHS1370" s="110"/>
      <c r="JHT1370" s="110"/>
      <c r="JHU1370" s="110"/>
      <c r="JHV1370" s="110"/>
      <c r="JHW1370" s="110"/>
      <c r="JHX1370" s="110"/>
      <c r="JHY1370" s="110"/>
      <c r="JHZ1370" s="110"/>
      <c r="JIA1370" s="110"/>
      <c r="JIB1370" s="110"/>
      <c r="JIC1370" s="110"/>
      <c r="JID1370" s="110"/>
      <c r="JIE1370" s="110"/>
      <c r="JIF1370" s="110"/>
      <c r="JIG1370" s="110"/>
      <c r="JIH1370" s="110"/>
      <c r="JII1370" s="110"/>
      <c r="JIJ1370" s="110"/>
      <c r="JIK1370" s="110"/>
      <c r="JIL1370" s="110"/>
      <c r="JIM1370" s="110"/>
      <c r="JIN1370" s="110"/>
      <c r="JIO1370" s="110"/>
      <c r="JIP1370" s="110"/>
      <c r="JIQ1370" s="110"/>
      <c r="JIR1370" s="110"/>
      <c r="JIS1370" s="110"/>
      <c r="JIT1370" s="110"/>
      <c r="JIU1370" s="110"/>
      <c r="JIV1370" s="110"/>
      <c r="JIW1370" s="110"/>
      <c r="JIX1370" s="110"/>
      <c r="JIY1370" s="110"/>
      <c r="JIZ1370" s="110"/>
      <c r="JJA1370" s="110"/>
      <c r="JJB1370" s="110"/>
      <c r="JJC1370" s="110"/>
      <c r="JJD1370" s="110"/>
      <c r="JJE1370" s="110"/>
      <c r="JJF1370" s="110"/>
      <c r="JJG1370" s="110"/>
      <c r="JJH1370" s="110"/>
      <c r="JJI1370" s="110"/>
      <c r="JJJ1370" s="110"/>
      <c r="JJK1370" s="110"/>
      <c r="JJL1370" s="110"/>
      <c r="JJM1370" s="110"/>
      <c r="JJN1370" s="110"/>
      <c r="JJO1370" s="110"/>
      <c r="JJP1370" s="110"/>
      <c r="JJQ1370" s="110"/>
      <c r="JJR1370" s="110"/>
      <c r="JJS1370" s="110"/>
      <c r="JJT1370" s="110"/>
      <c r="JJU1370" s="110"/>
      <c r="JJV1370" s="110"/>
      <c r="JJW1370" s="110"/>
      <c r="JJX1370" s="110"/>
      <c r="JJY1370" s="110"/>
      <c r="JJZ1370" s="110"/>
      <c r="JKA1370" s="110"/>
      <c r="JKB1370" s="110"/>
      <c r="JKC1370" s="110"/>
      <c r="JKD1370" s="110"/>
      <c r="JKE1370" s="110"/>
      <c r="JKF1370" s="110"/>
      <c r="JKG1370" s="110"/>
      <c r="JKH1370" s="110"/>
      <c r="JKI1370" s="110"/>
      <c r="JKJ1370" s="110"/>
      <c r="JKK1370" s="110"/>
      <c r="JKL1370" s="110"/>
      <c r="JKM1370" s="110"/>
      <c r="JKN1370" s="110"/>
      <c r="JKO1370" s="110"/>
      <c r="JKP1370" s="110"/>
      <c r="JKQ1370" s="110"/>
      <c r="JKR1370" s="110"/>
      <c r="JKS1370" s="110"/>
      <c r="JKT1370" s="110"/>
      <c r="JKU1370" s="110"/>
      <c r="JKV1370" s="110"/>
      <c r="JKW1370" s="110"/>
      <c r="JKX1370" s="110"/>
      <c r="JKY1370" s="110"/>
      <c r="JKZ1370" s="110"/>
      <c r="JLA1370" s="110"/>
      <c r="JLB1370" s="110"/>
      <c r="JLC1370" s="110"/>
      <c r="JLD1370" s="110"/>
      <c r="JLE1370" s="110"/>
      <c r="JLF1370" s="110"/>
      <c r="JLG1370" s="110"/>
      <c r="JLH1370" s="110"/>
      <c r="JLI1370" s="110"/>
      <c r="JLJ1370" s="110"/>
      <c r="JLK1370" s="110"/>
      <c r="JLL1370" s="110"/>
      <c r="JLM1370" s="110"/>
      <c r="JLN1370" s="110"/>
      <c r="JLO1370" s="110"/>
      <c r="JLP1370" s="110"/>
      <c r="JLQ1370" s="110"/>
      <c r="JLR1370" s="110"/>
      <c r="JLS1370" s="110"/>
      <c r="JLT1370" s="110"/>
      <c r="JLU1370" s="110"/>
      <c r="JLV1370" s="110"/>
      <c r="JLW1370" s="110"/>
      <c r="JLX1370" s="110"/>
      <c r="JLY1370" s="110"/>
      <c r="JLZ1370" s="110"/>
      <c r="JMA1370" s="110"/>
      <c r="JMB1370" s="110"/>
      <c r="JMC1370" s="110"/>
      <c r="JMD1370" s="110"/>
      <c r="JME1370" s="110"/>
      <c r="JMF1370" s="110"/>
      <c r="JMG1370" s="110"/>
      <c r="JMH1370" s="110"/>
      <c r="JMI1370" s="110"/>
      <c r="JMJ1370" s="110"/>
      <c r="JMK1370" s="110"/>
      <c r="JML1370" s="110"/>
      <c r="JMM1370" s="110"/>
      <c r="JMN1370" s="110"/>
      <c r="JMO1370" s="110"/>
      <c r="JMP1370" s="110"/>
      <c r="JMQ1370" s="110"/>
      <c r="JMR1370" s="110"/>
      <c r="JMS1370" s="110"/>
      <c r="JMT1370" s="110"/>
      <c r="JMU1370" s="110"/>
      <c r="JMV1370" s="110"/>
      <c r="JMW1370" s="110"/>
      <c r="JMX1370" s="110"/>
      <c r="JMY1370" s="110"/>
      <c r="JMZ1370" s="110"/>
      <c r="JNA1370" s="110"/>
      <c r="JNB1370" s="110"/>
      <c r="JNC1370" s="110"/>
      <c r="JND1370" s="110"/>
      <c r="JNE1370" s="110"/>
      <c r="JNF1370" s="110"/>
      <c r="JNG1370" s="110"/>
      <c r="JNH1370" s="110"/>
      <c r="JNI1370" s="110"/>
      <c r="JNJ1370" s="110"/>
      <c r="JNK1370" s="110"/>
      <c r="JNL1370" s="110"/>
      <c r="JNM1370" s="110"/>
      <c r="JNN1370" s="110"/>
      <c r="JNO1370" s="110"/>
      <c r="JNP1370" s="110"/>
      <c r="JNQ1370" s="110"/>
      <c r="JNR1370" s="110"/>
      <c r="JNS1370" s="110"/>
      <c r="JNT1370" s="110"/>
      <c r="JNU1370" s="110"/>
      <c r="JNV1370" s="110"/>
      <c r="JNW1370" s="110"/>
      <c r="JNX1370" s="110"/>
      <c r="JNY1370" s="110"/>
      <c r="JNZ1370" s="110"/>
      <c r="JOA1370" s="110"/>
      <c r="JOB1370" s="110"/>
      <c r="JOC1370" s="110"/>
      <c r="JOD1370" s="110"/>
      <c r="JOE1370" s="110"/>
      <c r="JOF1370" s="110"/>
      <c r="JOG1370" s="110"/>
      <c r="JOH1370" s="110"/>
      <c r="JOI1370" s="110"/>
      <c r="JOJ1370" s="110"/>
      <c r="JOK1370" s="110"/>
      <c r="JOL1370" s="110"/>
      <c r="JOM1370" s="110"/>
      <c r="JON1370" s="110"/>
      <c r="JOO1370" s="110"/>
      <c r="JOP1370" s="110"/>
      <c r="JOQ1370" s="110"/>
      <c r="JOR1370" s="110"/>
      <c r="JOS1370" s="110"/>
      <c r="JOT1370" s="110"/>
      <c r="JOU1370" s="110"/>
      <c r="JOV1370" s="110"/>
      <c r="JOW1370" s="110"/>
      <c r="JOX1370" s="110"/>
      <c r="JOY1370" s="110"/>
      <c r="JOZ1370" s="110"/>
      <c r="JPA1370" s="110"/>
      <c r="JPB1370" s="110"/>
      <c r="JPC1370" s="110"/>
      <c r="JPD1370" s="110"/>
      <c r="JPE1370" s="110"/>
      <c r="JPF1370" s="110"/>
      <c r="JPG1370" s="110"/>
      <c r="JPH1370" s="110"/>
      <c r="JPI1370" s="110"/>
      <c r="JPJ1370" s="110"/>
      <c r="JPK1370" s="110"/>
      <c r="JPL1370" s="110"/>
      <c r="JPM1370" s="110"/>
      <c r="JPN1370" s="110"/>
      <c r="JPO1370" s="110"/>
      <c r="JPP1370" s="110"/>
      <c r="JPQ1370" s="110"/>
      <c r="JPR1370" s="110"/>
      <c r="JPS1370" s="110"/>
      <c r="JPT1370" s="110"/>
      <c r="JPU1370" s="110"/>
      <c r="JPV1370" s="110"/>
      <c r="JPW1370" s="110"/>
      <c r="JPX1370" s="110"/>
      <c r="JPY1370" s="110"/>
      <c r="JPZ1370" s="110"/>
      <c r="JQA1370" s="110"/>
      <c r="JQB1370" s="110"/>
      <c r="JQC1370" s="110"/>
      <c r="JQD1370" s="110"/>
      <c r="JQE1370" s="110"/>
      <c r="JQF1370" s="110"/>
      <c r="JQG1370" s="110"/>
      <c r="JQH1370" s="110"/>
      <c r="JQI1370" s="110"/>
      <c r="JQJ1370" s="110"/>
      <c r="JQK1370" s="110"/>
      <c r="JQL1370" s="110"/>
      <c r="JQM1370" s="110"/>
      <c r="JQN1370" s="110"/>
      <c r="JQO1370" s="110"/>
      <c r="JQP1370" s="110"/>
      <c r="JQQ1370" s="110"/>
      <c r="JQR1370" s="110"/>
      <c r="JQS1370" s="110"/>
      <c r="JQT1370" s="110"/>
      <c r="JQU1370" s="110"/>
      <c r="JQV1370" s="110"/>
      <c r="JQW1370" s="110"/>
      <c r="JQX1370" s="110"/>
      <c r="JQY1370" s="110"/>
      <c r="JQZ1370" s="110"/>
      <c r="JRA1370" s="110"/>
      <c r="JRB1370" s="110"/>
      <c r="JRC1370" s="110"/>
      <c r="JRD1370" s="110"/>
      <c r="JRE1370" s="110"/>
      <c r="JRF1370" s="110"/>
      <c r="JRG1370" s="110"/>
      <c r="JRH1370" s="110"/>
      <c r="JRI1370" s="110"/>
      <c r="JRJ1370" s="110"/>
      <c r="JRK1370" s="110"/>
      <c r="JRL1370" s="110"/>
      <c r="JRM1370" s="110"/>
      <c r="JRN1370" s="110"/>
      <c r="JRO1370" s="110"/>
      <c r="JRP1370" s="110"/>
      <c r="JRQ1370" s="110"/>
      <c r="JRR1370" s="110"/>
      <c r="JRS1370" s="110"/>
      <c r="JRT1370" s="110"/>
      <c r="JRU1370" s="110"/>
      <c r="JRV1370" s="110"/>
      <c r="JRW1370" s="110"/>
      <c r="JRX1370" s="110"/>
      <c r="JRY1370" s="110"/>
      <c r="JRZ1370" s="110"/>
      <c r="JSA1370" s="110"/>
      <c r="JSB1370" s="110"/>
      <c r="JSC1370" s="110"/>
      <c r="JSD1370" s="110"/>
      <c r="JSE1370" s="110"/>
      <c r="JSF1370" s="110"/>
      <c r="JSG1370" s="110"/>
      <c r="JSH1370" s="110"/>
      <c r="JSI1370" s="110"/>
      <c r="JSJ1370" s="110"/>
      <c r="JSK1370" s="110"/>
      <c r="JSL1370" s="110"/>
      <c r="JSM1370" s="110"/>
      <c r="JSN1370" s="110"/>
      <c r="JSO1370" s="110"/>
      <c r="JSP1370" s="110"/>
      <c r="JSQ1370" s="110"/>
      <c r="JSR1370" s="110"/>
      <c r="JSS1370" s="110"/>
      <c r="JST1370" s="110"/>
      <c r="JSU1370" s="110"/>
      <c r="JSV1370" s="110"/>
      <c r="JSW1370" s="110"/>
      <c r="JSX1370" s="110"/>
      <c r="JSY1370" s="110"/>
      <c r="JSZ1370" s="110"/>
      <c r="JTA1370" s="110"/>
      <c r="JTB1370" s="110"/>
      <c r="JTC1370" s="110"/>
      <c r="JTD1370" s="110"/>
      <c r="JTE1370" s="110"/>
      <c r="JTF1370" s="110"/>
      <c r="JTG1370" s="110"/>
      <c r="JTH1370" s="110"/>
      <c r="JTI1370" s="110"/>
      <c r="JTJ1370" s="110"/>
      <c r="JTK1370" s="110"/>
      <c r="JTL1370" s="110"/>
      <c r="JTM1370" s="110"/>
      <c r="JTN1370" s="110"/>
      <c r="JTO1370" s="110"/>
      <c r="JTP1370" s="110"/>
      <c r="JTQ1370" s="110"/>
      <c r="JTR1370" s="110"/>
      <c r="JTS1370" s="110"/>
      <c r="JTT1370" s="110"/>
      <c r="JTU1370" s="110"/>
      <c r="JTV1370" s="110"/>
      <c r="JTW1370" s="110"/>
      <c r="JTX1370" s="110"/>
      <c r="JTY1370" s="110"/>
      <c r="JTZ1370" s="110"/>
      <c r="JUA1370" s="110"/>
      <c r="JUB1370" s="110"/>
      <c r="JUC1370" s="110"/>
      <c r="JUD1370" s="110"/>
      <c r="JUE1370" s="110"/>
      <c r="JUF1370" s="110"/>
      <c r="JUG1370" s="110"/>
      <c r="JUH1370" s="110"/>
      <c r="JUI1370" s="110"/>
      <c r="JUJ1370" s="110"/>
      <c r="JUK1370" s="110"/>
      <c r="JUL1370" s="110"/>
      <c r="JUM1370" s="110"/>
      <c r="JUN1370" s="110"/>
      <c r="JUO1370" s="110"/>
      <c r="JUP1370" s="110"/>
      <c r="JUQ1370" s="110"/>
      <c r="JUR1370" s="110"/>
      <c r="JUS1370" s="110"/>
      <c r="JUT1370" s="110"/>
      <c r="JUU1370" s="110"/>
      <c r="JUV1370" s="110"/>
      <c r="JUW1370" s="110"/>
      <c r="JUX1370" s="110"/>
      <c r="JUY1370" s="110"/>
      <c r="JUZ1370" s="110"/>
      <c r="JVA1370" s="110"/>
      <c r="JVB1370" s="110"/>
      <c r="JVC1370" s="110"/>
      <c r="JVD1370" s="110"/>
      <c r="JVE1370" s="110"/>
      <c r="JVF1370" s="110"/>
      <c r="JVG1370" s="110"/>
      <c r="JVH1370" s="110"/>
      <c r="JVI1370" s="110"/>
      <c r="JVJ1370" s="110"/>
      <c r="JVK1370" s="110"/>
      <c r="JVL1370" s="110"/>
      <c r="JVM1370" s="110"/>
      <c r="JVN1370" s="110"/>
      <c r="JVO1370" s="110"/>
      <c r="JVP1370" s="110"/>
      <c r="JVQ1370" s="110"/>
      <c r="JVR1370" s="110"/>
      <c r="JVS1370" s="110"/>
      <c r="JVT1370" s="110"/>
      <c r="JVU1370" s="110"/>
      <c r="JVV1370" s="110"/>
      <c r="JVW1370" s="110"/>
      <c r="JVX1370" s="110"/>
      <c r="JVY1370" s="110"/>
      <c r="JVZ1370" s="110"/>
      <c r="JWA1370" s="110"/>
      <c r="JWB1370" s="110"/>
      <c r="JWC1370" s="110"/>
      <c r="JWD1370" s="110"/>
      <c r="JWE1370" s="110"/>
      <c r="JWF1370" s="110"/>
      <c r="JWG1370" s="110"/>
      <c r="JWH1370" s="110"/>
      <c r="JWI1370" s="110"/>
      <c r="JWJ1370" s="110"/>
      <c r="JWK1370" s="110"/>
      <c r="JWL1370" s="110"/>
      <c r="JWM1370" s="110"/>
      <c r="JWN1370" s="110"/>
      <c r="JWO1370" s="110"/>
      <c r="JWP1370" s="110"/>
      <c r="JWQ1370" s="110"/>
      <c r="JWR1370" s="110"/>
      <c r="JWS1370" s="110"/>
      <c r="JWT1370" s="110"/>
      <c r="JWU1370" s="110"/>
      <c r="JWV1370" s="110"/>
      <c r="JWW1370" s="110"/>
      <c r="JWX1370" s="110"/>
      <c r="JWY1370" s="110"/>
      <c r="JWZ1370" s="110"/>
      <c r="JXA1370" s="110"/>
      <c r="JXB1370" s="110"/>
      <c r="JXC1370" s="110"/>
      <c r="JXD1370" s="110"/>
      <c r="JXE1370" s="110"/>
      <c r="JXF1370" s="110"/>
      <c r="JXG1370" s="110"/>
      <c r="JXH1370" s="110"/>
      <c r="JXI1370" s="110"/>
      <c r="JXJ1370" s="110"/>
      <c r="JXK1370" s="110"/>
      <c r="JXL1370" s="110"/>
      <c r="JXM1370" s="110"/>
      <c r="JXN1370" s="110"/>
      <c r="JXO1370" s="110"/>
      <c r="JXP1370" s="110"/>
      <c r="JXQ1370" s="110"/>
      <c r="JXR1370" s="110"/>
      <c r="JXS1370" s="110"/>
      <c r="JXT1370" s="110"/>
      <c r="JXU1370" s="110"/>
      <c r="JXV1370" s="110"/>
      <c r="JXW1370" s="110"/>
      <c r="JXX1370" s="110"/>
      <c r="JXY1370" s="110"/>
      <c r="JXZ1370" s="110"/>
      <c r="JYA1370" s="110"/>
      <c r="JYB1370" s="110"/>
      <c r="JYC1370" s="110"/>
      <c r="JYD1370" s="110"/>
      <c r="JYE1370" s="110"/>
      <c r="JYF1370" s="110"/>
      <c r="JYG1370" s="110"/>
      <c r="JYH1370" s="110"/>
      <c r="JYI1370" s="110"/>
      <c r="JYJ1370" s="110"/>
      <c r="JYK1370" s="110"/>
      <c r="JYL1370" s="110"/>
      <c r="JYM1370" s="110"/>
      <c r="JYN1370" s="110"/>
      <c r="JYO1370" s="110"/>
      <c r="JYP1370" s="110"/>
      <c r="JYQ1370" s="110"/>
      <c r="JYR1370" s="110"/>
      <c r="JYS1370" s="110"/>
      <c r="JYT1370" s="110"/>
      <c r="JYU1370" s="110"/>
      <c r="JYV1370" s="110"/>
      <c r="JYW1370" s="110"/>
      <c r="JYX1370" s="110"/>
      <c r="JYY1370" s="110"/>
      <c r="JYZ1370" s="110"/>
      <c r="JZA1370" s="110"/>
      <c r="JZB1370" s="110"/>
      <c r="JZC1370" s="110"/>
      <c r="JZD1370" s="110"/>
      <c r="JZE1370" s="110"/>
      <c r="JZF1370" s="110"/>
      <c r="JZG1370" s="110"/>
      <c r="JZH1370" s="110"/>
      <c r="JZI1370" s="110"/>
      <c r="JZJ1370" s="110"/>
      <c r="JZK1370" s="110"/>
      <c r="JZL1370" s="110"/>
      <c r="JZM1370" s="110"/>
      <c r="JZN1370" s="110"/>
      <c r="JZO1370" s="110"/>
      <c r="JZP1370" s="110"/>
      <c r="JZQ1370" s="110"/>
      <c r="JZR1370" s="110"/>
      <c r="JZS1370" s="110"/>
      <c r="JZT1370" s="110"/>
      <c r="JZU1370" s="110"/>
      <c r="JZV1370" s="110"/>
      <c r="JZW1370" s="110"/>
      <c r="JZX1370" s="110"/>
      <c r="JZY1370" s="110"/>
      <c r="JZZ1370" s="110"/>
      <c r="KAA1370" s="110"/>
      <c r="KAB1370" s="110"/>
      <c r="KAC1370" s="110"/>
      <c r="KAD1370" s="110"/>
      <c r="KAE1370" s="110"/>
      <c r="KAF1370" s="110"/>
      <c r="KAG1370" s="110"/>
      <c r="KAH1370" s="110"/>
      <c r="KAI1370" s="110"/>
      <c r="KAJ1370" s="110"/>
      <c r="KAK1370" s="110"/>
      <c r="KAL1370" s="110"/>
      <c r="KAM1370" s="110"/>
      <c r="KAN1370" s="110"/>
      <c r="KAO1370" s="110"/>
      <c r="KAP1370" s="110"/>
      <c r="KAQ1370" s="110"/>
      <c r="KAR1370" s="110"/>
      <c r="KAS1370" s="110"/>
      <c r="KAT1370" s="110"/>
      <c r="KAU1370" s="110"/>
      <c r="KAV1370" s="110"/>
      <c r="KAW1370" s="110"/>
      <c r="KAX1370" s="110"/>
      <c r="KAY1370" s="110"/>
      <c r="KAZ1370" s="110"/>
      <c r="KBA1370" s="110"/>
      <c r="KBB1370" s="110"/>
      <c r="KBC1370" s="110"/>
      <c r="KBD1370" s="110"/>
      <c r="KBE1370" s="110"/>
      <c r="KBF1370" s="110"/>
      <c r="KBG1370" s="110"/>
      <c r="KBH1370" s="110"/>
      <c r="KBI1370" s="110"/>
      <c r="KBJ1370" s="110"/>
      <c r="KBK1370" s="110"/>
      <c r="KBL1370" s="110"/>
      <c r="KBM1370" s="110"/>
      <c r="KBN1370" s="110"/>
      <c r="KBO1370" s="110"/>
      <c r="KBP1370" s="110"/>
      <c r="KBQ1370" s="110"/>
      <c r="KBR1370" s="110"/>
      <c r="KBS1370" s="110"/>
      <c r="KBT1370" s="110"/>
      <c r="KBU1370" s="110"/>
      <c r="KBV1370" s="110"/>
      <c r="KBW1370" s="110"/>
      <c r="KBX1370" s="110"/>
      <c r="KBY1370" s="110"/>
      <c r="KBZ1370" s="110"/>
      <c r="KCA1370" s="110"/>
      <c r="KCB1370" s="110"/>
      <c r="KCC1370" s="110"/>
      <c r="KCD1370" s="110"/>
      <c r="KCE1370" s="110"/>
      <c r="KCF1370" s="110"/>
      <c r="KCG1370" s="110"/>
      <c r="KCH1370" s="110"/>
      <c r="KCI1370" s="110"/>
      <c r="KCJ1370" s="110"/>
      <c r="KCK1370" s="110"/>
      <c r="KCL1370" s="110"/>
      <c r="KCM1370" s="110"/>
      <c r="KCN1370" s="110"/>
      <c r="KCO1370" s="110"/>
      <c r="KCP1370" s="110"/>
      <c r="KCQ1370" s="110"/>
      <c r="KCR1370" s="110"/>
      <c r="KCS1370" s="110"/>
      <c r="KCT1370" s="110"/>
      <c r="KCU1370" s="110"/>
      <c r="KCV1370" s="110"/>
      <c r="KCW1370" s="110"/>
      <c r="KCX1370" s="110"/>
      <c r="KCY1370" s="110"/>
      <c r="KCZ1370" s="110"/>
      <c r="KDA1370" s="110"/>
      <c r="KDB1370" s="110"/>
      <c r="KDC1370" s="110"/>
      <c r="KDD1370" s="110"/>
      <c r="KDE1370" s="110"/>
      <c r="KDF1370" s="110"/>
      <c r="KDG1370" s="110"/>
      <c r="KDH1370" s="110"/>
      <c r="KDI1370" s="110"/>
      <c r="KDJ1370" s="110"/>
      <c r="KDK1370" s="110"/>
      <c r="KDL1370" s="110"/>
      <c r="KDM1370" s="110"/>
      <c r="KDN1370" s="110"/>
      <c r="KDO1370" s="110"/>
      <c r="KDP1370" s="110"/>
      <c r="KDQ1370" s="110"/>
      <c r="KDR1370" s="110"/>
      <c r="KDS1370" s="110"/>
      <c r="KDT1370" s="110"/>
      <c r="KDU1370" s="110"/>
      <c r="KDV1370" s="110"/>
      <c r="KDW1370" s="110"/>
      <c r="KDX1370" s="110"/>
      <c r="KDY1370" s="110"/>
      <c r="KDZ1370" s="110"/>
      <c r="KEA1370" s="110"/>
      <c r="KEB1370" s="110"/>
      <c r="KEC1370" s="110"/>
      <c r="KED1370" s="110"/>
      <c r="KEE1370" s="110"/>
      <c r="KEF1370" s="110"/>
      <c r="KEG1370" s="110"/>
      <c r="KEH1370" s="110"/>
      <c r="KEI1370" s="110"/>
      <c r="KEJ1370" s="110"/>
      <c r="KEK1370" s="110"/>
      <c r="KEL1370" s="110"/>
      <c r="KEM1370" s="110"/>
      <c r="KEN1370" s="110"/>
      <c r="KEO1370" s="110"/>
      <c r="KEP1370" s="110"/>
      <c r="KEQ1370" s="110"/>
      <c r="KER1370" s="110"/>
      <c r="KES1370" s="110"/>
      <c r="KET1370" s="110"/>
      <c r="KEU1370" s="110"/>
      <c r="KEV1370" s="110"/>
      <c r="KEW1370" s="110"/>
      <c r="KEX1370" s="110"/>
      <c r="KEY1370" s="110"/>
      <c r="KEZ1370" s="110"/>
      <c r="KFA1370" s="110"/>
      <c r="KFB1370" s="110"/>
      <c r="KFC1370" s="110"/>
      <c r="KFD1370" s="110"/>
      <c r="KFE1370" s="110"/>
      <c r="KFF1370" s="110"/>
      <c r="KFG1370" s="110"/>
      <c r="KFH1370" s="110"/>
      <c r="KFI1370" s="110"/>
      <c r="KFJ1370" s="110"/>
      <c r="KFK1370" s="110"/>
      <c r="KFL1370" s="110"/>
      <c r="KFM1370" s="110"/>
      <c r="KFN1370" s="110"/>
      <c r="KFO1370" s="110"/>
      <c r="KFP1370" s="110"/>
      <c r="KFQ1370" s="110"/>
      <c r="KFR1370" s="110"/>
      <c r="KFS1370" s="110"/>
      <c r="KFT1370" s="110"/>
      <c r="KFU1370" s="110"/>
      <c r="KFV1370" s="110"/>
      <c r="KFW1370" s="110"/>
      <c r="KFX1370" s="110"/>
      <c r="KFY1370" s="110"/>
      <c r="KFZ1370" s="110"/>
      <c r="KGA1370" s="110"/>
      <c r="KGB1370" s="110"/>
      <c r="KGC1370" s="110"/>
      <c r="KGD1370" s="110"/>
      <c r="KGE1370" s="110"/>
      <c r="KGF1370" s="110"/>
      <c r="KGG1370" s="110"/>
      <c r="KGH1370" s="110"/>
      <c r="KGI1370" s="110"/>
      <c r="KGJ1370" s="110"/>
      <c r="KGK1370" s="110"/>
      <c r="KGL1370" s="110"/>
      <c r="KGM1370" s="110"/>
      <c r="KGN1370" s="110"/>
      <c r="KGO1370" s="110"/>
      <c r="KGP1370" s="110"/>
      <c r="KGQ1370" s="110"/>
      <c r="KGR1370" s="110"/>
      <c r="KGS1370" s="110"/>
      <c r="KGT1370" s="110"/>
      <c r="KGU1370" s="110"/>
      <c r="KGV1370" s="110"/>
      <c r="KGW1370" s="110"/>
      <c r="KGX1370" s="110"/>
      <c r="KGY1370" s="110"/>
      <c r="KGZ1370" s="110"/>
      <c r="KHA1370" s="110"/>
      <c r="KHB1370" s="110"/>
      <c r="KHC1370" s="110"/>
      <c r="KHD1370" s="110"/>
      <c r="KHE1370" s="110"/>
      <c r="KHF1370" s="110"/>
      <c r="KHG1370" s="110"/>
      <c r="KHH1370" s="110"/>
      <c r="KHI1370" s="110"/>
      <c r="KHJ1370" s="110"/>
      <c r="KHK1370" s="110"/>
      <c r="KHL1370" s="110"/>
      <c r="KHM1370" s="110"/>
      <c r="KHN1370" s="110"/>
      <c r="KHO1370" s="110"/>
      <c r="KHP1370" s="110"/>
      <c r="KHQ1370" s="110"/>
      <c r="KHR1370" s="110"/>
      <c r="KHS1370" s="110"/>
      <c r="KHT1370" s="110"/>
      <c r="KHU1370" s="110"/>
      <c r="KHV1370" s="110"/>
      <c r="KHW1370" s="110"/>
      <c r="KHX1370" s="110"/>
      <c r="KHY1370" s="110"/>
      <c r="KHZ1370" s="110"/>
      <c r="KIA1370" s="110"/>
      <c r="KIB1370" s="110"/>
      <c r="KIC1370" s="110"/>
      <c r="KID1370" s="110"/>
      <c r="KIE1370" s="110"/>
      <c r="KIF1370" s="110"/>
      <c r="KIG1370" s="110"/>
      <c r="KIH1370" s="110"/>
      <c r="KII1370" s="110"/>
      <c r="KIJ1370" s="110"/>
      <c r="KIK1370" s="110"/>
      <c r="KIL1370" s="110"/>
      <c r="KIM1370" s="110"/>
      <c r="KIN1370" s="110"/>
      <c r="KIO1370" s="110"/>
      <c r="KIP1370" s="110"/>
      <c r="KIQ1370" s="110"/>
      <c r="KIR1370" s="110"/>
      <c r="KIS1370" s="110"/>
      <c r="KIT1370" s="110"/>
      <c r="KIU1370" s="110"/>
      <c r="KIV1370" s="110"/>
      <c r="KIW1370" s="110"/>
      <c r="KIX1370" s="110"/>
      <c r="KIY1370" s="110"/>
      <c r="KIZ1370" s="110"/>
      <c r="KJA1370" s="110"/>
      <c r="KJB1370" s="110"/>
      <c r="KJC1370" s="110"/>
      <c r="KJD1370" s="110"/>
      <c r="KJE1370" s="110"/>
      <c r="KJF1370" s="110"/>
      <c r="KJG1370" s="110"/>
      <c r="KJH1370" s="110"/>
      <c r="KJI1370" s="110"/>
      <c r="KJJ1370" s="110"/>
      <c r="KJK1370" s="110"/>
      <c r="KJL1370" s="110"/>
      <c r="KJM1370" s="110"/>
      <c r="KJN1370" s="110"/>
      <c r="KJO1370" s="110"/>
      <c r="KJP1370" s="110"/>
      <c r="KJQ1370" s="110"/>
      <c r="KJR1370" s="110"/>
      <c r="KJS1370" s="110"/>
      <c r="KJT1370" s="110"/>
      <c r="KJU1370" s="110"/>
      <c r="KJV1370" s="110"/>
      <c r="KJW1370" s="110"/>
      <c r="KJX1370" s="110"/>
      <c r="KJY1370" s="110"/>
      <c r="KJZ1370" s="110"/>
      <c r="KKA1370" s="110"/>
      <c r="KKB1370" s="110"/>
      <c r="KKC1370" s="110"/>
      <c r="KKD1370" s="110"/>
      <c r="KKE1370" s="110"/>
      <c r="KKF1370" s="110"/>
      <c r="KKG1370" s="110"/>
      <c r="KKH1370" s="110"/>
      <c r="KKI1370" s="110"/>
      <c r="KKJ1370" s="110"/>
      <c r="KKK1370" s="110"/>
      <c r="KKL1370" s="110"/>
      <c r="KKM1370" s="110"/>
      <c r="KKN1370" s="110"/>
      <c r="KKO1370" s="110"/>
      <c r="KKP1370" s="110"/>
      <c r="KKQ1370" s="110"/>
      <c r="KKR1370" s="110"/>
      <c r="KKS1370" s="110"/>
      <c r="KKT1370" s="110"/>
      <c r="KKU1370" s="110"/>
      <c r="KKV1370" s="110"/>
      <c r="KKW1370" s="110"/>
      <c r="KKX1370" s="110"/>
      <c r="KKY1370" s="110"/>
      <c r="KKZ1370" s="110"/>
      <c r="KLA1370" s="110"/>
      <c r="KLB1370" s="110"/>
      <c r="KLC1370" s="110"/>
      <c r="KLD1370" s="110"/>
      <c r="KLE1370" s="110"/>
      <c r="KLF1370" s="110"/>
      <c r="KLG1370" s="110"/>
      <c r="KLH1370" s="110"/>
      <c r="KLI1370" s="110"/>
      <c r="KLJ1370" s="110"/>
      <c r="KLK1370" s="110"/>
      <c r="KLL1370" s="110"/>
      <c r="KLM1370" s="110"/>
      <c r="KLN1370" s="110"/>
      <c r="KLO1370" s="110"/>
      <c r="KLP1370" s="110"/>
      <c r="KLQ1370" s="110"/>
      <c r="KLR1370" s="110"/>
      <c r="KLS1370" s="110"/>
      <c r="KLT1370" s="110"/>
      <c r="KLU1370" s="110"/>
      <c r="KLV1370" s="110"/>
      <c r="KLW1370" s="110"/>
      <c r="KLX1370" s="110"/>
      <c r="KLY1370" s="110"/>
      <c r="KLZ1370" s="110"/>
      <c r="KMA1370" s="110"/>
      <c r="KMB1370" s="110"/>
      <c r="KMC1370" s="110"/>
      <c r="KMD1370" s="110"/>
      <c r="KME1370" s="110"/>
      <c r="KMF1370" s="110"/>
      <c r="KMG1370" s="110"/>
      <c r="KMH1370" s="110"/>
      <c r="KMI1370" s="110"/>
      <c r="KMJ1370" s="110"/>
      <c r="KMK1370" s="110"/>
      <c r="KML1370" s="110"/>
      <c r="KMM1370" s="110"/>
      <c r="KMN1370" s="110"/>
      <c r="KMO1370" s="110"/>
      <c r="KMP1370" s="110"/>
      <c r="KMQ1370" s="110"/>
      <c r="KMR1370" s="110"/>
      <c r="KMS1370" s="110"/>
      <c r="KMT1370" s="110"/>
      <c r="KMU1370" s="110"/>
      <c r="KMV1370" s="110"/>
      <c r="KMW1370" s="110"/>
      <c r="KMX1370" s="110"/>
      <c r="KMY1370" s="110"/>
      <c r="KMZ1370" s="110"/>
      <c r="KNA1370" s="110"/>
      <c r="KNB1370" s="110"/>
      <c r="KNC1370" s="110"/>
      <c r="KND1370" s="110"/>
      <c r="KNE1370" s="110"/>
      <c r="KNF1370" s="110"/>
      <c r="KNG1370" s="110"/>
      <c r="KNH1370" s="110"/>
      <c r="KNI1370" s="110"/>
      <c r="KNJ1370" s="110"/>
      <c r="KNK1370" s="110"/>
      <c r="KNL1370" s="110"/>
      <c r="KNM1370" s="110"/>
      <c r="KNN1370" s="110"/>
      <c r="KNO1370" s="110"/>
      <c r="KNP1370" s="110"/>
      <c r="KNQ1370" s="110"/>
      <c r="KNR1370" s="110"/>
      <c r="KNS1370" s="110"/>
      <c r="KNT1370" s="110"/>
      <c r="KNU1370" s="110"/>
      <c r="KNV1370" s="110"/>
      <c r="KNW1370" s="110"/>
      <c r="KNX1370" s="110"/>
      <c r="KNY1370" s="110"/>
      <c r="KNZ1370" s="110"/>
      <c r="KOA1370" s="110"/>
      <c r="KOB1370" s="110"/>
      <c r="KOC1370" s="110"/>
      <c r="KOD1370" s="110"/>
      <c r="KOE1370" s="110"/>
      <c r="KOF1370" s="110"/>
      <c r="KOG1370" s="110"/>
      <c r="KOH1370" s="110"/>
      <c r="KOI1370" s="110"/>
      <c r="KOJ1370" s="110"/>
      <c r="KOK1370" s="110"/>
      <c r="KOL1370" s="110"/>
      <c r="KOM1370" s="110"/>
      <c r="KON1370" s="110"/>
      <c r="KOO1370" s="110"/>
      <c r="KOP1370" s="110"/>
      <c r="KOQ1370" s="110"/>
      <c r="KOR1370" s="110"/>
      <c r="KOS1370" s="110"/>
      <c r="KOT1370" s="110"/>
      <c r="KOU1370" s="110"/>
      <c r="KOV1370" s="110"/>
      <c r="KOW1370" s="110"/>
      <c r="KOX1370" s="110"/>
      <c r="KOY1370" s="110"/>
      <c r="KOZ1370" s="110"/>
      <c r="KPA1370" s="110"/>
      <c r="KPB1370" s="110"/>
      <c r="KPC1370" s="110"/>
      <c r="KPD1370" s="110"/>
      <c r="KPE1370" s="110"/>
      <c r="KPF1370" s="110"/>
      <c r="KPG1370" s="110"/>
      <c r="KPH1370" s="110"/>
      <c r="KPI1370" s="110"/>
      <c r="KPJ1370" s="110"/>
      <c r="KPK1370" s="110"/>
      <c r="KPL1370" s="110"/>
      <c r="KPM1370" s="110"/>
      <c r="KPN1370" s="110"/>
      <c r="KPO1370" s="110"/>
      <c r="KPP1370" s="110"/>
      <c r="KPQ1370" s="110"/>
      <c r="KPR1370" s="110"/>
      <c r="KPS1370" s="110"/>
      <c r="KPT1370" s="110"/>
      <c r="KPU1370" s="110"/>
      <c r="KPV1370" s="110"/>
      <c r="KPW1370" s="110"/>
      <c r="KPX1370" s="110"/>
      <c r="KPY1370" s="110"/>
      <c r="KPZ1370" s="110"/>
      <c r="KQA1370" s="110"/>
      <c r="KQB1370" s="110"/>
      <c r="KQC1370" s="110"/>
      <c r="KQD1370" s="110"/>
      <c r="KQE1370" s="110"/>
      <c r="KQF1370" s="110"/>
      <c r="KQG1370" s="110"/>
      <c r="KQH1370" s="110"/>
      <c r="KQI1370" s="110"/>
      <c r="KQJ1370" s="110"/>
      <c r="KQK1370" s="110"/>
      <c r="KQL1370" s="110"/>
      <c r="KQM1370" s="110"/>
      <c r="KQN1370" s="110"/>
      <c r="KQO1370" s="110"/>
      <c r="KQP1370" s="110"/>
      <c r="KQQ1370" s="110"/>
      <c r="KQR1370" s="110"/>
      <c r="KQS1370" s="110"/>
      <c r="KQT1370" s="110"/>
      <c r="KQU1370" s="110"/>
      <c r="KQV1370" s="110"/>
      <c r="KQW1370" s="110"/>
      <c r="KQX1370" s="110"/>
      <c r="KQY1370" s="110"/>
      <c r="KQZ1370" s="110"/>
      <c r="KRA1370" s="110"/>
      <c r="KRB1370" s="110"/>
      <c r="KRC1370" s="110"/>
      <c r="KRD1370" s="110"/>
      <c r="KRE1370" s="110"/>
      <c r="KRF1370" s="110"/>
      <c r="KRG1370" s="110"/>
      <c r="KRH1370" s="110"/>
      <c r="KRI1370" s="110"/>
      <c r="KRJ1370" s="110"/>
      <c r="KRK1370" s="110"/>
      <c r="KRL1370" s="110"/>
      <c r="KRM1370" s="110"/>
      <c r="KRN1370" s="110"/>
      <c r="KRO1370" s="110"/>
      <c r="KRP1370" s="110"/>
      <c r="KRQ1370" s="110"/>
      <c r="KRR1370" s="110"/>
      <c r="KRS1370" s="110"/>
      <c r="KRT1370" s="110"/>
      <c r="KRU1370" s="110"/>
      <c r="KRV1370" s="110"/>
      <c r="KRW1370" s="110"/>
      <c r="KRX1370" s="110"/>
      <c r="KRY1370" s="110"/>
      <c r="KRZ1370" s="110"/>
      <c r="KSA1370" s="110"/>
      <c r="KSB1370" s="110"/>
      <c r="KSC1370" s="110"/>
      <c r="KSD1370" s="110"/>
      <c r="KSE1370" s="110"/>
      <c r="KSF1370" s="110"/>
      <c r="KSG1370" s="110"/>
      <c r="KSH1370" s="110"/>
      <c r="KSI1370" s="110"/>
      <c r="KSJ1370" s="110"/>
      <c r="KSK1370" s="110"/>
      <c r="KSL1370" s="110"/>
      <c r="KSM1370" s="110"/>
      <c r="KSN1370" s="110"/>
      <c r="KSO1370" s="110"/>
      <c r="KSP1370" s="110"/>
      <c r="KSQ1370" s="110"/>
      <c r="KSR1370" s="110"/>
      <c r="KSS1370" s="110"/>
      <c r="KST1370" s="110"/>
      <c r="KSU1370" s="110"/>
      <c r="KSV1370" s="110"/>
      <c r="KSW1370" s="110"/>
      <c r="KSX1370" s="110"/>
      <c r="KSY1370" s="110"/>
      <c r="KSZ1370" s="110"/>
      <c r="KTA1370" s="110"/>
      <c r="KTB1370" s="110"/>
      <c r="KTC1370" s="110"/>
      <c r="KTD1370" s="110"/>
      <c r="KTE1370" s="110"/>
      <c r="KTF1370" s="110"/>
      <c r="KTG1370" s="110"/>
      <c r="KTH1370" s="110"/>
      <c r="KTI1370" s="110"/>
      <c r="KTJ1370" s="110"/>
      <c r="KTK1370" s="110"/>
      <c r="KTL1370" s="110"/>
      <c r="KTM1370" s="110"/>
      <c r="KTN1370" s="110"/>
      <c r="KTO1370" s="110"/>
      <c r="KTP1370" s="110"/>
      <c r="KTQ1370" s="110"/>
      <c r="KTR1370" s="110"/>
      <c r="KTS1370" s="110"/>
      <c r="KTT1370" s="110"/>
      <c r="KTU1370" s="110"/>
      <c r="KTV1370" s="110"/>
      <c r="KTW1370" s="110"/>
      <c r="KTX1370" s="110"/>
      <c r="KTY1370" s="110"/>
      <c r="KTZ1370" s="110"/>
      <c r="KUA1370" s="110"/>
      <c r="KUB1370" s="110"/>
      <c r="KUC1370" s="110"/>
      <c r="KUD1370" s="110"/>
      <c r="KUE1370" s="110"/>
      <c r="KUF1370" s="110"/>
      <c r="KUG1370" s="110"/>
      <c r="KUH1370" s="110"/>
      <c r="KUI1370" s="110"/>
      <c r="KUJ1370" s="110"/>
      <c r="KUK1370" s="110"/>
      <c r="KUL1370" s="110"/>
      <c r="KUM1370" s="110"/>
      <c r="KUN1370" s="110"/>
      <c r="KUO1370" s="110"/>
      <c r="KUP1370" s="110"/>
      <c r="KUQ1370" s="110"/>
      <c r="KUR1370" s="110"/>
      <c r="KUS1370" s="110"/>
      <c r="KUT1370" s="110"/>
      <c r="KUU1370" s="110"/>
      <c r="KUV1370" s="110"/>
      <c r="KUW1370" s="110"/>
      <c r="KUX1370" s="110"/>
      <c r="KUY1370" s="110"/>
      <c r="KUZ1370" s="110"/>
      <c r="KVA1370" s="110"/>
      <c r="KVB1370" s="110"/>
      <c r="KVC1370" s="110"/>
      <c r="KVD1370" s="110"/>
      <c r="KVE1370" s="110"/>
      <c r="KVF1370" s="110"/>
      <c r="KVG1370" s="110"/>
      <c r="KVH1370" s="110"/>
      <c r="KVI1370" s="110"/>
      <c r="KVJ1370" s="110"/>
      <c r="KVK1370" s="110"/>
      <c r="KVL1370" s="110"/>
      <c r="KVM1370" s="110"/>
      <c r="KVN1370" s="110"/>
      <c r="KVO1370" s="110"/>
      <c r="KVP1370" s="110"/>
      <c r="KVQ1370" s="110"/>
      <c r="KVR1370" s="110"/>
      <c r="KVS1370" s="110"/>
      <c r="KVT1370" s="110"/>
      <c r="KVU1370" s="110"/>
      <c r="KVV1370" s="110"/>
      <c r="KVW1370" s="110"/>
      <c r="KVX1370" s="110"/>
      <c r="KVY1370" s="110"/>
      <c r="KVZ1370" s="110"/>
      <c r="KWA1370" s="110"/>
      <c r="KWB1370" s="110"/>
      <c r="KWC1370" s="110"/>
      <c r="KWD1370" s="110"/>
      <c r="KWE1370" s="110"/>
      <c r="KWF1370" s="110"/>
      <c r="KWG1370" s="110"/>
      <c r="KWH1370" s="110"/>
      <c r="KWI1370" s="110"/>
      <c r="KWJ1370" s="110"/>
      <c r="KWK1370" s="110"/>
      <c r="KWL1370" s="110"/>
      <c r="KWM1370" s="110"/>
      <c r="KWN1370" s="110"/>
      <c r="KWO1370" s="110"/>
      <c r="KWP1370" s="110"/>
      <c r="KWQ1370" s="110"/>
      <c r="KWR1370" s="110"/>
      <c r="KWS1370" s="110"/>
      <c r="KWT1370" s="110"/>
      <c r="KWU1370" s="110"/>
      <c r="KWV1370" s="110"/>
      <c r="KWW1370" s="110"/>
      <c r="KWX1370" s="110"/>
      <c r="KWY1370" s="110"/>
      <c r="KWZ1370" s="110"/>
      <c r="KXA1370" s="110"/>
      <c r="KXB1370" s="110"/>
      <c r="KXC1370" s="110"/>
      <c r="KXD1370" s="110"/>
      <c r="KXE1370" s="110"/>
      <c r="KXF1370" s="110"/>
      <c r="KXG1370" s="110"/>
      <c r="KXH1370" s="110"/>
      <c r="KXI1370" s="110"/>
      <c r="KXJ1370" s="110"/>
      <c r="KXK1370" s="110"/>
      <c r="KXL1370" s="110"/>
      <c r="KXM1370" s="110"/>
      <c r="KXN1370" s="110"/>
      <c r="KXO1370" s="110"/>
      <c r="KXP1370" s="110"/>
      <c r="KXQ1370" s="110"/>
      <c r="KXR1370" s="110"/>
      <c r="KXS1370" s="110"/>
      <c r="KXT1370" s="110"/>
      <c r="KXU1370" s="110"/>
      <c r="KXV1370" s="110"/>
      <c r="KXW1370" s="110"/>
      <c r="KXX1370" s="110"/>
      <c r="KXY1370" s="110"/>
      <c r="KXZ1370" s="110"/>
      <c r="KYA1370" s="110"/>
      <c r="KYB1370" s="110"/>
      <c r="KYC1370" s="110"/>
      <c r="KYD1370" s="110"/>
      <c r="KYE1370" s="110"/>
      <c r="KYF1370" s="110"/>
      <c r="KYG1370" s="110"/>
      <c r="KYH1370" s="110"/>
      <c r="KYI1370" s="110"/>
      <c r="KYJ1370" s="110"/>
      <c r="KYK1370" s="110"/>
      <c r="KYL1370" s="110"/>
      <c r="KYM1370" s="110"/>
      <c r="KYN1370" s="110"/>
      <c r="KYO1370" s="110"/>
      <c r="KYP1370" s="110"/>
      <c r="KYQ1370" s="110"/>
      <c r="KYR1370" s="110"/>
      <c r="KYS1370" s="110"/>
      <c r="KYT1370" s="110"/>
      <c r="KYU1370" s="110"/>
      <c r="KYV1370" s="110"/>
      <c r="KYW1370" s="110"/>
      <c r="KYX1370" s="110"/>
      <c r="KYY1370" s="110"/>
      <c r="KYZ1370" s="110"/>
      <c r="KZA1370" s="110"/>
      <c r="KZB1370" s="110"/>
      <c r="KZC1370" s="110"/>
      <c r="KZD1370" s="110"/>
      <c r="KZE1370" s="110"/>
      <c r="KZF1370" s="110"/>
      <c r="KZG1370" s="110"/>
      <c r="KZH1370" s="110"/>
      <c r="KZI1370" s="110"/>
      <c r="KZJ1370" s="110"/>
      <c r="KZK1370" s="110"/>
      <c r="KZL1370" s="110"/>
      <c r="KZM1370" s="110"/>
      <c r="KZN1370" s="110"/>
      <c r="KZO1370" s="110"/>
      <c r="KZP1370" s="110"/>
      <c r="KZQ1370" s="110"/>
      <c r="KZR1370" s="110"/>
      <c r="KZS1370" s="110"/>
      <c r="KZT1370" s="110"/>
      <c r="KZU1370" s="110"/>
      <c r="KZV1370" s="110"/>
      <c r="KZW1370" s="110"/>
      <c r="KZX1370" s="110"/>
      <c r="KZY1370" s="110"/>
      <c r="KZZ1370" s="110"/>
      <c r="LAA1370" s="110"/>
      <c r="LAB1370" s="110"/>
      <c r="LAC1370" s="110"/>
      <c r="LAD1370" s="110"/>
      <c r="LAE1370" s="110"/>
      <c r="LAF1370" s="110"/>
      <c r="LAG1370" s="110"/>
      <c r="LAH1370" s="110"/>
      <c r="LAI1370" s="110"/>
      <c r="LAJ1370" s="110"/>
      <c r="LAK1370" s="110"/>
      <c r="LAL1370" s="110"/>
      <c r="LAM1370" s="110"/>
      <c r="LAN1370" s="110"/>
      <c r="LAO1370" s="110"/>
      <c r="LAP1370" s="110"/>
      <c r="LAQ1370" s="110"/>
      <c r="LAR1370" s="110"/>
      <c r="LAS1370" s="110"/>
      <c r="LAT1370" s="110"/>
      <c r="LAU1370" s="110"/>
      <c r="LAV1370" s="110"/>
      <c r="LAW1370" s="110"/>
      <c r="LAX1370" s="110"/>
      <c r="LAY1370" s="110"/>
      <c r="LAZ1370" s="110"/>
      <c r="LBA1370" s="110"/>
      <c r="LBB1370" s="110"/>
      <c r="LBC1370" s="110"/>
      <c r="LBD1370" s="110"/>
      <c r="LBE1370" s="110"/>
      <c r="LBF1370" s="110"/>
      <c r="LBG1370" s="110"/>
      <c r="LBH1370" s="110"/>
      <c r="LBI1370" s="110"/>
      <c r="LBJ1370" s="110"/>
      <c r="LBK1370" s="110"/>
      <c r="LBL1370" s="110"/>
      <c r="LBM1370" s="110"/>
      <c r="LBN1370" s="110"/>
      <c r="LBO1370" s="110"/>
      <c r="LBP1370" s="110"/>
      <c r="LBQ1370" s="110"/>
      <c r="LBR1370" s="110"/>
      <c r="LBS1370" s="110"/>
      <c r="LBT1370" s="110"/>
      <c r="LBU1370" s="110"/>
      <c r="LBV1370" s="110"/>
      <c r="LBW1370" s="110"/>
      <c r="LBX1370" s="110"/>
      <c r="LBY1370" s="110"/>
      <c r="LBZ1370" s="110"/>
      <c r="LCA1370" s="110"/>
      <c r="LCB1370" s="110"/>
      <c r="LCC1370" s="110"/>
      <c r="LCD1370" s="110"/>
      <c r="LCE1370" s="110"/>
      <c r="LCF1370" s="110"/>
      <c r="LCG1370" s="110"/>
      <c r="LCH1370" s="110"/>
      <c r="LCI1370" s="110"/>
      <c r="LCJ1370" s="110"/>
      <c r="LCK1370" s="110"/>
      <c r="LCL1370" s="110"/>
      <c r="LCM1370" s="110"/>
      <c r="LCN1370" s="110"/>
      <c r="LCO1370" s="110"/>
      <c r="LCP1370" s="110"/>
      <c r="LCQ1370" s="110"/>
      <c r="LCR1370" s="110"/>
      <c r="LCS1370" s="110"/>
      <c r="LCT1370" s="110"/>
      <c r="LCU1370" s="110"/>
      <c r="LCV1370" s="110"/>
      <c r="LCW1370" s="110"/>
      <c r="LCX1370" s="110"/>
      <c r="LCY1370" s="110"/>
      <c r="LCZ1370" s="110"/>
      <c r="LDA1370" s="110"/>
      <c r="LDB1370" s="110"/>
      <c r="LDC1370" s="110"/>
      <c r="LDD1370" s="110"/>
      <c r="LDE1370" s="110"/>
      <c r="LDF1370" s="110"/>
      <c r="LDG1370" s="110"/>
      <c r="LDH1370" s="110"/>
      <c r="LDI1370" s="110"/>
      <c r="LDJ1370" s="110"/>
      <c r="LDK1370" s="110"/>
      <c r="LDL1370" s="110"/>
      <c r="LDM1370" s="110"/>
      <c r="LDN1370" s="110"/>
      <c r="LDO1370" s="110"/>
      <c r="LDP1370" s="110"/>
      <c r="LDQ1370" s="110"/>
      <c r="LDR1370" s="110"/>
      <c r="LDS1370" s="110"/>
      <c r="LDT1370" s="110"/>
      <c r="LDU1370" s="110"/>
      <c r="LDV1370" s="110"/>
      <c r="LDW1370" s="110"/>
      <c r="LDX1370" s="110"/>
      <c r="LDY1370" s="110"/>
      <c r="LDZ1370" s="110"/>
      <c r="LEA1370" s="110"/>
      <c r="LEB1370" s="110"/>
      <c r="LEC1370" s="110"/>
      <c r="LED1370" s="110"/>
      <c r="LEE1370" s="110"/>
      <c r="LEF1370" s="110"/>
      <c r="LEG1370" s="110"/>
      <c r="LEH1370" s="110"/>
      <c r="LEI1370" s="110"/>
      <c r="LEJ1370" s="110"/>
      <c r="LEK1370" s="110"/>
      <c r="LEL1370" s="110"/>
      <c r="LEM1370" s="110"/>
      <c r="LEN1370" s="110"/>
      <c r="LEO1370" s="110"/>
      <c r="LEP1370" s="110"/>
      <c r="LEQ1370" s="110"/>
      <c r="LER1370" s="110"/>
      <c r="LES1370" s="110"/>
      <c r="LET1370" s="110"/>
      <c r="LEU1370" s="110"/>
      <c r="LEV1370" s="110"/>
      <c r="LEW1370" s="110"/>
      <c r="LEX1370" s="110"/>
      <c r="LEY1370" s="110"/>
      <c r="LEZ1370" s="110"/>
      <c r="LFA1370" s="110"/>
      <c r="LFB1370" s="110"/>
      <c r="LFC1370" s="110"/>
      <c r="LFD1370" s="110"/>
      <c r="LFE1370" s="110"/>
      <c r="LFF1370" s="110"/>
      <c r="LFG1370" s="110"/>
      <c r="LFH1370" s="110"/>
      <c r="LFI1370" s="110"/>
      <c r="LFJ1370" s="110"/>
      <c r="LFK1370" s="110"/>
      <c r="LFL1370" s="110"/>
      <c r="LFM1370" s="110"/>
      <c r="LFN1370" s="110"/>
      <c r="LFO1370" s="110"/>
      <c r="LFP1370" s="110"/>
      <c r="LFQ1370" s="110"/>
      <c r="LFR1370" s="110"/>
      <c r="LFS1370" s="110"/>
      <c r="LFT1370" s="110"/>
      <c r="LFU1370" s="110"/>
      <c r="LFV1370" s="110"/>
      <c r="LFW1370" s="110"/>
      <c r="LFX1370" s="110"/>
      <c r="LFY1370" s="110"/>
      <c r="LFZ1370" s="110"/>
      <c r="LGA1370" s="110"/>
      <c r="LGB1370" s="110"/>
      <c r="LGC1370" s="110"/>
      <c r="LGD1370" s="110"/>
      <c r="LGE1370" s="110"/>
      <c r="LGF1370" s="110"/>
      <c r="LGG1370" s="110"/>
      <c r="LGH1370" s="110"/>
      <c r="LGI1370" s="110"/>
      <c r="LGJ1370" s="110"/>
      <c r="LGK1370" s="110"/>
      <c r="LGL1370" s="110"/>
      <c r="LGM1370" s="110"/>
      <c r="LGN1370" s="110"/>
      <c r="LGO1370" s="110"/>
      <c r="LGP1370" s="110"/>
      <c r="LGQ1370" s="110"/>
      <c r="LGR1370" s="110"/>
      <c r="LGS1370" s="110"/>
      <c r="LGT1370" s="110"/>
      <c r="LGU1370" s="110"/>
      <c r="LGV1370" s="110"/>
      <c r="LGW1370" s="110"/>
      <c r="LGX1370" s="110"/>
      <c r="LGY1370" s="110"/>
      <c r="LGZ1370" s="110"/>
      <c r="LHA1370" s="110"/>
      <c r="LHB1370" s="110"/>
      <c r="LHC1370" s="110"/>
      <c r="LHD1370" s="110"/>
      <c r="LHE1370" s="110"/>
      <c r="LHF1370" s="110"/>
      <c r="LHG1370" s="110"/>
      <c r="LHH1370" s="110"/>
      <c r="LHI1370" s="110"/>
      <c r="LHJ1370" s="110"/>
      <c r="LHK1370" s="110"/>
      <c r="LHL1370" s="110"/>
      <c r="LHM1370" s="110"/>
      <c r="LHN1370" s="110"/>
      <c r="LHO1370" s="110"/>
      <c r="LHP1370" s="110"/>
      <c r="LHQ1370" s="110"/>
      <c r="LHR1370" s="110"/>
      <c r="LHS1370" s="110"/>
      <c r="LHT1370" s="110"/>
      <c r="LHU1370" s="110"/>
      <c r="LHV1370" s="110"/>
      <c r="LHW1370" s="110"/>
      <c r="LHX1370" s="110"/>
      <c r="LHY1370" s="110"/>
      <c r="LHZ1370" s="110"/>
      <c r="LIA1370" s="110"/>
      <c r="LIB1370" s="110"/>
      <c r="LIC1370" s="110"/>
      <c r="LID1370" s="110"/>
      <c r="LIE1370" s="110"/>
      <c r="LIF1370" s="110"/>
      <c r="LIG1370" s="110"/>
      <c r="LIH1370" s="110"/>
      <c r="LII1370" s="110"/>
      <c r="LIJ1370" s="110"/>
      <c r="LIK1370" s="110"/>
      <c r="LIL1370" s="110"/>
      <c r="LIM1370" s="110"/>
      <c r="LIN1370" s="110"/>
      <c r="LIO1370" s="110"/>
      <c r="LIP1370" s="110"/>
      <c r="LIQ1370" s="110"/>
      <c r="LIR1370" s="110"/>
      <c r="LIS1370" s="110"/>
      <c r="LIT1370" s="110"/>
      <c r="LIU1370" s="110"/>
      <c r="LIV1370" s="110"/>
      <c r="LIW1370" s="110"/>
      <c r="LIX1370" s="110"/>
      <c r="LIY1370" s="110"/>
      <c r="LIZ1370" s="110"/>
      <c r="LJA1370" s="110"/>
      <c r="LJB1370" s="110"/>
      <c r="LJC1370" s="110"/>
      <c r="LJD1370" s="110"/>
      <c r="LJE1370" s="110"/>
      <c r="LJF1370" s="110"/>
      <c r="LJG1370" s="110"/>
      <c r="LJH1370" s="110"/>
      <c r="LJI1370" s="110"/>
      <c r="LJJ1370" s="110"/>
      <c r="LJK1370" s="110"/>
      <c r="LJL1370" s="110"/>
      <c r="LJM1370" s="110"/>
      <c r="LJN1370" s="110"/>
      <c r="LJO1370" s="110"/>
      <c r="LJP1370" s="110"/>
      <c r="LJQ1370" s="110"/>
      <c r="LJR1370" s="110"/>
      <c r="LJS1370" s="110"/>
      <c r="LJT1370" s="110"/>
      <c r="LJU1370" s="110"/>
      <c r="LJV1370" s="110"/>
      <c r="LJW1370" s="110"/>
      <c r="LJX1370" s="110"/>
      <c r="LJY1370" s="110"/>
      <c r="LJZ1370" s="110"/>
      <c r="LKA1370" s="110"/>
      <c r="LKB1370" s="110"/>
      <c r="LKC1370" s="110"/>
      <c r="LKD1370" s="110"/>
      <c r="LKE1370" s="110"/>
      <c r="LKF1370" s="110"/>
      <c r="LKG1370" s="110"/>
      <c r="LKH1370" s="110"/>
      <c r="LKI1370" s="110"/>
      <c r="LKJ1370" s="110"/>
      <c r="LKK1370" s="110"/>
      <c r="LKL1370" s="110"/>
      <c r="LKM1370" s="110"/>
      <c r="LKN1370" s="110"/>
      <c r="LKO1370" s="110"/>
      <c r="LKP1370" s="110"/>
      <c r="LKQ1370" s="110"/>
      <c r="LKR1370" s="110"/>
      <c r="LKS1370" s="110"/>
      <c r="LKT1370" s="110"/>
      <c r="LKU1370" s="110"/>
      <c r="LKV1370" s="110"/>
      <c r="LKW1370" s="110"/>
      <c r="LKX1370" s="110"/>
      <c r="LKY1370" s="110"/>
      <c r="LKZ1370" s="110"/>
      <c r="LLA1370" s="110"/>
      <c r="LLB1370" s="110"/>
      <c r="LLC1370" s="110"/>
      <c r="LLD1370" s="110"/>
      <c r="LLE1370" s="110"/>
      <c r="LLF1370" s="110"/>
      <c r="LLG1370" s="110"/>
      <c r="LLH1370" s="110"/>
      <c r="LLI1370" s="110"/>
      <c r="LLJ1370" s="110"/>
      <c r="LLK1370" s="110"/>
      <c r="LLL1370" s="110"/>
      <c r="LLM1370" s="110"/>
      <c r="LLN1370" s="110"/>
      <c r="LLO1370" s="110"/>
      <c r="LLP1370" s="110"/>
      <c r="LLQ1370" s="110"/>
      <c r="LLR1370" s="110"/>
      <c r="LLS1370" s="110"/>
      <c r="LLT1370" s="110"/>
      <c r="LLU1370" s="110"/>
      <c r="LLV1370" s="110"/>
      <c r="LLW1370" s="110"/>
      <c r="LLX1370" s="110"/>
      <c r="LLY1370" s="110"/>
      <c r="LLZ1370" s="110"/>
      <c r="LMA1370" s="110"/>
      <c r="LMB1370" s="110"/>
      <c r="LMC1370" s="110"/>
      <c r="LMD1370" s="110"/>
      <c r="LME1370" s="110"/>
      <c r="LMF1370" s="110"/>
      <c r="LMG1370" s="110"/>
      <c r="LMH1370" s="110"/>
      <c r="LMI1370" s="110"/>
      <c r="LMJ1370" s="110"/>
      <c r="LMK1370" s="110"/>
      <c r="LML1370" s="110"/>
      <c r="LMM1370" s="110"/>
      <c r="LMN1370" s="110"/>
      <c r="LMO1370" s="110"/>
      <c r="LMP1370" s="110"/>
      <c r="LMQ1370" s="110"/>
      <c r="LMR1370" s="110"/>
      <c r="LMS1370" s="110"/>
      <c r="LMT1370" s="110"/>
      <c r="LMU1370" s="110"/>
      <c r="LMV1370" s="110"/>
      <c r="LMW1370" s="110"/>
      <c r="LMX1370" s="110"/>
      <c r="LMY1370" s="110"/>
      <c r="LMZ1370" s="110"/>
      <c r="LNA1370" s="110"/>
      <c r="LNB1370" s="110"/>
      <c r="LNC1370" s="110"/>
      <c r="LND1370" s="110"/>
      <c r="LNE1370" s="110"/>
      <c r="LNF1370" s="110"/>
      <c r="LNG1370" s="110"/>
      <c r="LNH1370" s="110"/>
      <c r="LNI1370" s="110"/>
      <c r="LNJ1370" s="110"/>
      <c r="LNK1370" s="110"/>
      <c r="LNL1370" s="110"/>
      <c r="LNM1370" s="110"/>
      <c r="LNN1370" s="110"/>
      <c r="LNO1370" s="110"/>
      <c r="LNP1370" s="110"/>
      <c r="LNQ1370" s="110"/>
      <c r="LNR1370" s="110"/>
      <c r="LNS1370" s="110"/>
      <c r="LNT1370" s="110"/>
      <c r="LNU1370" s="110"/>
      <c r="LNV1370" s="110"/>
      <c r="LNW1370" s="110"/>
      <c r="LNX1370" s="110"/>
      <c r="LNY1370" s="110"/>
      <c r="LNZ1370" s="110"/>
      <c r="LOA1370" s="110"/>
      <c r="LOB1370" s="110"/>
      <c r="LOC1370" s="110"/>
      <c r="LOD1370" s="110"/>
      <c r="LOE1370" s="110"/>
      <c r="LOF1370" s="110"/>
      <c r="LOG1370" s="110"/>
      <c r="LOH1370" s="110"/>
      <c r="LOI1370" s="110"/>
      <c r="LOJ1370" s="110"/>
      <c r="LOK1370" s="110"/>
      <c r="LOL1370" s="110"/>
      <c r="LOM1370" s="110"/>
      <c r="LON1370" s="110"/>
      <c r="LOO1370" s="110"/>
      <c r="LOP1370" s="110"/>
      <c r="LOQ1370" s="110"/>
      <c r="LOR1370" s="110"/>
      <c r="LOS1370" s="110"/>
      <c r="LOT1370" s="110"/>
      <c r="LOU1370" s="110"/>
      <c r="LOV1370" s="110"/>
      <c r="LOW1370" s="110"/>
      <c r="LOX1370" s="110"/>
      <c r="LOY1370" s="110"/>
      <c r="LOZ1370" s="110"/>
      <c r="LPA1370" s="110"/>
      <c r="LPB1370" s="110"/>
      <c r="LPC1370" s="110"/>
      <c r="LPD1370" s="110"/>
      <c r="LPE1370" s="110"/>
      <c r="LPF1370" s="110"/>
      <c r="LPG1370" s="110"/>
      <c r="LPH1370" s="110"/>
      <c r="LPI1370" s="110"/>
      <c r="LPJ1370" s="110"/>
      <c r="LPK1370" s="110"/>
      <c r="LPL1370" s="110"/>
      <c r="LPM1370" s="110"/>
      <c r="LPN1370" s="110"/>
      <c r="LPO1370" s="110"/>
      <c r="LPP1370" s="110"/>
      <c r="LPQ1370" s="110"/>
      <c r="LPR1370" s="110"/>
      <c r="LPS1370" s="110"/>
      <c r="LPT1370" s="110"/>
      <c r="LPU1370" s="110"/>
      <c r="LPV1370" s="110"/>
      <c r="LPW1370" s="110"/>
      <c r="LPX1370" s="110"/>
      <c r="LPY1370" s="110"/>
      <c r="LPZ1370" s="110"/>
      <c r="LQA1370" s="110"/>
      <c r="LQB1370" s="110"/>
      <c r="LQC1370" s="110"/>
      <c r="LQD1370" s="110"/>
      <c r="LQE1370" s="110"/>
      <c r="LQF1370" s="110"/>
      <c r="LQG1370" s="110"/>
      <c r="LQH1370" s="110"/>
      <c r="LQI1370" s="110"/>
      <c r="LQJ1370" s="110"/>
      <c r="LQK1370" s="110"/>
      <c r="LQL1370" s="110"/>
      <c r="LQM1370" s="110"/>
      <c r="LQN1370" s="110"/>
      <c r="LQO1370" s="110"/>
      <c r="LQP1370" s="110"/>
      <c r="LQQ1370" s="110"/>
      <c r="LQR1370" s="110"/>
      <c r="LQS1370" s="110"/>
      <c r="LQT1370" s="110"/>
      <c r="LQU1370" s="110"/>
      <c r="LQV1370" s="110"/>
      <c r="LQW1370" s="110"/>
      <c r="LQX1370" s="110"/>
      <c r="LQY1370" s="110"/>
      <c r="LQZ1370" s="110"/>
      <c r="LRA1370" s="110"/>
      <c r="LRB1370" s="110"/>
      <c r="LRC1370" s="110"/>
      <c r="LRD1370" s="110"/>
      <c r="LRE1370" s="110"/>
      <c r="LRF1370" s="110"/>
      <c r="LRG1370" s="110"/>
      <c r="LRH1370" s="110"/>
      <c r="LRI1370" s="110"/>
      <c r="LRJ1370" s="110"/>
      <c r="LRK1370" s="110"/>
      <c r="LRL1370" s="110"/>
      <c r="LRM1370" s="110"/>
      <c r="LRN1370" s="110"/>
      <c r="LRO1370" s="110"/>
      <c r="LRP1370" s="110"/>
      <c r="LRQ1370" s="110"/>
      <c r="LRR1370" s="110"/>
      <c r="LRS1370" s="110"/>
      <c r="LRT1370" s="110"/>
      <c r="LRU1370" s="110"/>
      <c r="LRV1370" s="110"/>
      <c r="LRW1370" s="110"/>
      <c r="LRX1370" s="110"/>
      <c r="LRY1370" s="110"/>
      <c r="LRZ1370" s="110"/>
      <c r="LSA1370" s="110"/>
      <c r="LSB1370" s="110"/>
      <c r="LSC1370" s="110"/>
      <c r="LSD1370" s="110"/>
      <c r="LSE1370" s="110"/>
      <c r="LSF1370" s="110"/>
      <c r="LSG1370" s="110"/>
      <c r="LSH1370" s="110"/>
      <c r="LSI1370" s="110"/>
      <c r="LSJ1370" s="110"/>
      <c r="LSK1370" s="110"/>
      <c r="LSL1370" s="110"/>
      <c r="LSM1370" s="110"/>
      <c r="LSN1370" s="110"/>
      <c r="LSO1370" s="110"/>
      <c r="LSP1370" s="110"/>
      <c r="LSQ1370" s="110"/>
      <c r="LSR1370" s="110"/>
      <c r="LSS1370" s="110"/>
      <c r="LST1370" s="110"/>
      <c r="LSU1370" s="110"/>
      <c r="LSV1370" s="110"/>
      <c r="LSW1370" s="110"/>
      <c r="LSX1370" s="110"/>
      <c r="LSY1370" s="110"/>
      <c r="LSZ1370" s="110"/>
      <c r="LTA1370" s="110"/>
      <c r="LTB1370" s="110"/>
      <c r="LTC1370" s="110"/>
      <c r="LTD1370" s="110"/>
      <c r="LTE1370" s="110"/>
      <c r="LTF1370" s="110"/>
      <c r="LTG1370" s="110"/>
      <c r="LTH1370" s="110"/>
      <c r="LTI1370" s="110"/>
      <c r="LTJ1370" s="110"/>
      <c r="LTK1370" s="110"/>
      <c r="LTL1370" s="110"/>
      <c r="LTM1370" s="110"/>
      <c r="LTN1370" s="110"/>
      <c r="LTO1370" s="110"/>
      <c r="LTP1370" s="110"/>
      <c r="LTQ1370" s="110"/>
      <c r="LTR1370" s="110"/>
      <c r="LTS1370" s="110"/>
      <c r="LTT1370" s="110"/>
      <c r="LTU1370" s="110"/>
      <c r="LTV1370" s="110"/>
      <c r="LTW1370" s="110"/>
      <c r="LTX1370" s="110"/>
      <c r="LTY1370" s="110"/>
      <c r="LTZ1370" s="110"/>
      <c r="LUA1370" s="110"/>
      <c r="LUB1370" s="110"/>
      <c r="LUC1370" s="110"/>
      <c r="LUD1370" s="110"/>
      <c r="LUE1370" s="110"/>
      <c r="LUF1370" s="110"/>
      <c r="LUG1370" s="110"/>
      <c r="LUH1370" s="110"/>
      <c r="LUI1370" s="110"/>
      <c r="LUJ1370" s="110"/>
      <c r="LUK1370" s="110"/>
      <c r="LUL1370" s="110"/>
      <c r="LUM1370" s="110"/>
      <c r="LUN1370" s="110"/>
      <c r="LUO1370" s="110"/>
      <c r="LUP1370" s="110"/>
      <c r="LUQ1370" s="110"/>
      <c r="LUR1370" s="110"/>
      <c r="LUS1370" s="110"/>
      <c r="LUT1370" s="110"/>
      <c r="LUU1370" s="110"/>
      <c r="LUV1370" s="110"/>
      <c r="LUW1370" s="110"/>
      <c r="LUX1370" s="110"/>
      <c r="LUY1370" s="110"/>
      <c r="LUZ1370" s="110"/>
      <c r="LVA1370" s="110"/>
      <c r="LVB1370" s="110"/>
      <c r="LVC1370" s="110"/>
      <c r="LVD1370" s="110"/>
      <c r="LVE1370" s="110"/>
      <c r="LVF1370" s="110"/>
      <c r="LVG1370" s="110"/>
      <c r="LVH1370" s="110"/>
      <c r="LVI1370" s="110"/>
      <c r="LVJ1370" s="110"/>
      <c r="LVK1370" s="110"/>
      <c r="LVL1370" s="110"/>
      <c r="LVM1370" s="110"/>
      <c r="LVN1370" s="110"/>
      <c r="LVO1370" s="110"/>
      <c r="LVP1370" s="110"/>
      <c r="LVQ1370" s="110"/>
      <c r="LVR1370" s="110"/>
      <c r="LVS1370" s="110"/>
      <c r="LVT1370" s="110"/>
      <c r="LVU1370" s="110"/>
      <c r="LVV1370" s="110"/>
      <c r="LVW1370" s="110"/>
      <c r="LVX1370" s="110"/>
      <c r="LVY1370" s="110"/>
      <c r="LVZ1370" s="110"/>
      <c r="LWA1370" s="110"/>
      <c r="LWB1370" s="110"/>
      <c r="LWC1370" s="110"/>
      <c r="LWD1370" s="110"/>
      <c r="LWE1370" s="110"/>
      <c r="LWF1370" s="110"/>
      <c r="LWG1370" s="110"/>
      <c r="LWH1370" s="110"/>
      <c r="LWI1370" s="110"/>
      <c r="LWJ1370" s="110"/>
      <c r="LWK1370" s="110"/>
      <c r="LWL1370" s="110"/>
      <c r="LWM1370" s="110"/>
      <c r="LWN1370" s="110"/>
      <c r="LWO1370" s="110"/>
      <c r="LWP1370" s="110"/>
      <c r="LWQ1370" s="110"/>
      <c r="LWR1370" s="110"/>
      <c r="LWS1370" s="110"/>
      <c r="LWT1370" s="110"/>
      <c r="LWU1370" s="110"/>
      <c r="LWV1370" s="110"/>
      <c r="LWW1370" s="110"/>
      <c r="LWX1370" s="110"/>
      <c r="LWY1370" s="110"/>
      <c r="LWZ1370" s="110"/>
      <c r="LXA1370" s="110"/>
      <c r="LXB1370" s="110"/>
      <c r="LXC1370" s="110"/>
      <c r="LXD1370" s="110"/>
      <c r="LXE1370" s="110"/>
      <c r="LXF1370" s="110"/>
      <c r="LXG1370" s="110"/>
      <c r="LXH1370" s="110"/>
      <c r="LXI1370" s="110"/>
      <c r="LXJ1370" s="110"/>
      <c r="LXK1370" s="110"/>
      <c r="LXL1370" s="110"/>
      <c r="LXM1370" s="110"/>
      <c r="LXN1370" s="110"/>
      <c r="LXO1370" s="110"/>
      <c r="LXP1370" s="110"/>
      <c r="LXQ1370" s="110"/>
      <c r="LXR1370" s="110"/>
      <c r="LXS1370" s="110"/>
      <c r="LXT1370" s="110"/>
      <c r="LXU1370" s="110"/>
      <c r="LXV1370" s="110"/>
      <c r="LXW1370" s="110"/>
      <c r="LXX1370" s="110"/>
      <c r="LXY1370" s="110"/>
      <c r="LXZ1370" s="110"/>
      <c r="LYA1370" s="110"/>
      <c r="LYB1370" s="110"/>
      <c r="LYC1370" s="110"/>
      <c r="LYD1370" s="110"/>
      <c r="LYE1370" s="110"/>
      <c r="LYF1370" s="110"/>
      <c r="LYG1370" s="110"/>
      <c r="LYH1370" s="110"/>
      <c r="LYI1370" s="110"/>
      <c r="LYJ1370" s="110"/>
      <c r="LYK1370" s="110"/>
      <c r="LYL1370" s="110"/>
      <c r="LYM1370" s="110"/>
      <c r="LYN1370" s="110"/>
      <c r="LYO1370" s="110"/>
      <c r="LYP1370" s="110"/>
      <c r="LYQ1370" s="110"/>
      <c r="LYR1370" s="110"/>
      <c r="LYS1370" s="110"/>
      <c r="LYT1370" s="110"/>
      <c r="LYU1370" s="110"/>
      <c r="LYV1370" s="110"/>
      <c r="LYW1370" s="110"/>
      <c r="LYX1370" s="110"/>
      <c r="LYY1370" s="110"/>
      <c r="LYZ1370" s="110"/>
      <c r="LZA1370" s="110"/>
      <c r="LZB1370" s="110"/>
      <c r="LZC1370" s="110"/>
      <c r="LZD1370" s="110"/>
      <c r="LZE1370" s="110"/>
      <c r="LZF1370" s="110"/>
      <c r="LZG1370" s="110"/>
      <c r="LZH1370" s="110"/>
      <c r="LZI1370" s="110"/>
      <c r="LZJ1370" s="110"/>
      <c r="LZK1370" s="110"/>
      <c r="LZL1370" s="110"/>
      <c r="LZM1370" s="110"/>
      <c r="LZN1370" s="110"/>
      <c r="LZO1370" s="110"/>
      <c r="LZP1370" s="110"/>
      <c r="LZQ1370" s="110"/>
      <c r="LZR1370" s="110"/>
      <c r="LZS1370" s="110"/>
      <c r="LZT1370" s="110"/>
      <c r="LZU1370" s="110"/>
      <c r="LZV1370" s="110"/>
      <c r="LZW1370" s="110"/>
      <c r="LZX1370" s="110"/>
      <c r="LZY1370" s="110"/>
      <c r="LZZ1370" s="110"/>
      <c r="MAA1370" s="110"/>
      <c r="MAB1370" s="110"/>
      <c r="MAC1370" s="110"/>
      <c r="MAD1370" s="110"/>
      <c r="MAE1370" s="110"/>
      <c r="MAF1370" s="110"/>
      <c r="MAG1370" s="110"/>
      <c r="MAH1370" s="110"/>
      <c r="MAI1370" s="110"/>
      <c r="MAJ1370" s="110"/>
      <c r="MAK1370" s="110"/>
      <c r="MAL1370" s="110"/>
      <c r="MAM1370" s="110"/>
      <c r="MAN1370" s="110"/>
      <c r="MAO1370" s="110"/>
      <c r="MAP1370" s="110"/>
      <c r="MAQ1370" s="110"/>
      <c r="MAR1370" s="110"/>
      <c r="MAS1370" s="110"/>
      <c r="MAT1370" s="110"/>
      <c r="MAU1370" s="110"/>
      <c r="MAV1370" s="110"/>
      <c r="MAW1370" s="110"/>
      <c r="MAX1370" s="110"/>
      <c r="MAY1370" s="110"/>
      <c r="MAZ1370" s="110"/>
      <c r="MBA1370" s="110"/>
      <c r="MBB1370" s="110"/>
      <c r="MBC1370" s="110"/>
      <c r="MBD1370" s="110"/>
      <c r="MBE1370" s="110"/>
      <c r="MBF1370" s="110"/>
      <c r="MBG1370" s="110"/>
      <c r="MBH1370" s="110"/>
      <c r="MBI1370" s="110"/>
      <c r="MBJ1370" s="110"/>
      <c r="MBK1370" s="110"/>
      <c r="MBL1370" s="110"/>
      <c r="MBM1370" s="110"/>
      <c r="MBN1370" s="110"/>
      <c r="MBO1370" s="110"/>
      <c r="MBP1370" s="110"/>
      <c r="MBQ1370" s="110"/>
      <c r="MBR1370" s="110"/>
      <c r="MBS1370" s="110"/>
      <c r="MBT1370" s="110"/>
      <c r="MBU1370" s="110"/>
      <c r="MBV1370" s="110"/>
      <c r="MBW1370" s="110"/>
      <c r="MBX1370" s="110"/>
      <c r="MBY1370" s="110"/>
      <c r="MBZ1370" s="110"/>
      <c r="MCA1370" s="110"/>
      <c r="MCB1370" s="110"/>
      <c r="MCC1370" s="110"/>
      <c r="MCD1370" s="110"/>
      <c r="MCE1370" s="110"/>
      <c r="MCF1370" s="110"/>
      <c r="MCG1370" s="110"/>
      <c r="MCH1370" s="110"/>
      <c r="MCI1370" s="110"/>
      <c r="MCJ1370" s="110"/>
      <c r="MCK1370" s="110"/>
      <c r="MCL1370" s="110"/>
      <c r="MCM1370" s="110"/>
      <c r="MCN1370" s="110"/>
      <c r="MCO1370" s="110"/>
      <c r="MCP1370" s="110"/>
      <c r="MCQ1370" s="110"/>
      <c r="MCR1370" s="110"/>
      <c r="MCS1370" s="110"/>
      <c r="MCT1370" s="110"/>
      <c r="MCU1370" s="110"/>
      <c r="MCV1370" s="110"/>
      <c r="MCW1370" s="110"/>
      <c r="MCX1370" s="110"/>
      <c r="MCY1370" s="110"/>
      <c r="MCZ1370" s="110"/>
      <c r="MDA1370" s="110"/>
      <c r="MDB1370" s="110"/>
      <c r="MDC1370" s="110"/>
      <c r="MDD1370" s="110"/>
      <c r="MDE1370" s="110"/>
      <c r="MDF1370" s="110"/>
      <c r="MDG1370" s="110"/>
      <c r="MDH1370" s="110"/>
      <c r="MDI1370" s="110"/>
      <c r="MDJ1370" s="110"/>
      <c r="MDK1370" s="110"/>
      <c r="MDL1370" s="110"/>
      <c r="MDM1370" s="110"/>
      <c r="MDN1370" s="110"/>
      <c r="MDO1370" s="110"/>
      <c r="MDP1370" s="110"/>
      <c r="MDQ1370" s="110"/>
      <c r="MDR1370" s="110"/>
      <c r="MDS1370" s="110"/>
      <c r="MDT1370" s="110"/>
      <c r="MDU1370" s="110"/>
      <c r="MDV1370" s="110"/>
      <c r="MDW1370" s="110"/>
      <c r="MDX1370" s="110"/>
      <c r="MDY1370" s="110"/>
      <c r="MDZ1370" s="110"/>
      <c r="MEA1370" s="110"/>
      <c r="MEB1370" s="110"/>
      <c r="MEC1370" s="110"/>
      <c r="MED1370" s="110"/>
      <c r="MEE1370" s="110"/>
      <c r="MEF1370" s="110"/>
      <c r="MEG1370" s="110"/>
      <c r="MEH1370" s="110"/>
      <c r="MEI1370" s="110"/>
      <c r="MEJ1370" s="110"/>
      <c r="MEK1370" s="110"/>
      <c r="MEL1370" s="110"/>
      <c r="MEM1370" s="110"/>
      <c r="MEN1370" s="110"/>
      <c r="MEO1370" s="110"/>
      <c r="MEP1370" s="110"/>
      <c r="MEQ1370" s="110"/>
      <c r="MER1370" s="110"/>
      <c r="MES1370" s="110"/>
      <c r="MET1370" s="110"/>
      <c r="MEU1370" s="110"/>
      <c r="MEV1370" s="110"/>
      <c r="MEW1370" s="110"/>
      <c r="MEX1370" s="110"/>
      <c r="MEY1370" s="110"/>
      <c r="MEZ1370" s="110"/>
      <c r="MFA1370" s="110"/>
      <c r="MFB1370" s="110"/>
      <c r="MFC1370" s="110"/>
      <c r="MFD1370" s="110"/>
      <c r="MFE1370" s="110"/>
      <c r="MFF1370" s="110"/>
      <c r="MFG1370" s="110"/>
      <c r="MFH1370" s="110"/>
      <c r="MFI1370" s="110"/>
      <c r="MFJ1370" s="110"/>
      <c r="MFK1370" s="110"/>
      <c r="MFL1370" s="110"/>
      <c r="MFM1370" s="110"/>
      <c r="MFN1370" s="110"/>
      <c r="MFO1370" s="110"/>
      <c r="MFP1370" s="110"/>
      <c r="MFQ1370" s="110"/>
      <c r="MFR1370" s="110"/>
      <c r="MFS1370" s="110"/>
      <c r="MFT1370" s="110"/>
      <c r="MFU1370" s="110"/>
      <c r="MFV1370" s="110"/>
      <c r="MFW1370" s="110"/>
      <c r="MFX1370" s="110"/>
      <c r="MFY1370" s="110"/>
      <c r="MFZ1370" s="110"/>
      <c r="MGA1370" s="110"/>
      <c r="MGB1370" s="110"/>
      <c r="MGC1370" s="110"/>
      <c r="MGD1370" s="110"/>
      <c r="MGE1370" s="110"/>
      <c r="MGF1370" s="110"/>
      <c r="MGG1370" s="110"/>
      <c r="MGH1370" s="110"/>
      <c r="MGI1370" s="110"/>
      <c r="MGJ1370" s="110"/>
      <c r="MGK1370" s="110"/>
      <c r="MGL1370" s="110"/>
      <c r="MGM1370" s="110"/>
      <c r="MGN1370" s="110"/>
      <c r="MGO1370" s="110"/>
      <c r="MGP1370" s="110"/>
      <c r="MGQ1370" s="110"/>
      <c r="MGR1370" s="110"/>
      <c r="MGS1370" s="110"/>
      <c r="MGT1370" s="110"/>
      <c r="MGU1370" s="110"/>
      <c r="MGV1370" s="110"/>
      <c r="MGW1370" s="110"/>
      <c r="MGX1370" s="110"/>
      <c r="MGY1370" s="110"/>
      <c r="MGZ1370" s="110"/>
      <c r="MHA1370" s="110"/>
      <c r="MHB1370" s="110"/>
      <c r="MHC1370" s="110"/>
      <c r="MHD1370" s="110"/>
      <c r="MHE1370" s="110"/>
      <c r="MHF1370" s="110"/>
      <c r="MHG1370" s="110"/>
      <c r="MHH1370" s="110"/>
      <c r="MHI1370" s="110"/>
      <c r="MHJ1370" s="110"/>
      <c r="MHK1370" s="110"/>
      <c r="MHL1370" s="110"/>
      <c r="MHM1370" s="110"/>
      <c r="MHN1370" s="110"/>
      <c r="MHO1370" s="110"/>
      <c r="MHP1370" s="110"/>
      <c r="MHQ1370" s="110"/>
      <c r="MHR1370" s="110"/>
      <c r="MHS1370" s="110"/>
      <c r="MHT1370" s="110"/>
      <c r="MHU1370" s="110"/>
      <c r="MHV1370" s="110"/>
      <c r="MHW1370" s="110"/>
      <c r="MHX1370" s="110"/>
      <c r="MHY1370" s="110"/>
      <c r="MHZ1370" s="110"/>
      <c r="MIA1370" s="110"/>
      <c r="MIB1370" s="110"/>
      <c r="MIC1370" s="110"/>
      <c r="MID1370" s="110"/>
      <c r="MIE1370" s="110"/>
      <c r="MIF1370" s="110"/>
      <c r="MIG1370" s="110"/>
      <c r="MIH1370" s="110"/>
      <c r="MII1370" s="110"/>
      <c r="MIJ1370" s="110"/>
      <c r="MIK1370" s="110"/>
      <c r="MIL1370" s="110"/>
      <c r="MIM1370" s="110"/>
      <c r="MIN1370" s="110"/>
      <c r="MIO1370" s="110"/>
      <c r="MIP1370" s="110"/>
      <c r="MIQ1370" s="110"/>
      <c r="MIR1370" s="110"/>
      <c r="MIS1370" s="110"/>
      <c r="MIT1370" s="110"/>
      <c r="MIU1370" s="110"/>
      <c r="MIV1370" s="110"/>
      <c r="MIW1370" s="110"/>
      <c r="MIX1370" s="110"/>
      <c r="MIY1370" s="110"/>
      <c r="MIZ1370" s="110"/>
      <c r="MJA1370" s="110"/>
      <c r="MJB1370" s="110"/>
      <c r="MJC1370" s="110"/>
      <c r="MJD1370" s="110"/>
      <c r="MJE1370" s="110"/>
      <c r="MJF1370" s="110"/>
      <c r="MJG1370" s="110"/>
      <c r="MJH1370" s="110"/>
      <c r="MJI1370" s="110"/>
      <c r="MJJ1370" s="110"/>
      <c r="MJK1370" s="110"/>
      <c r="MJL1370" s="110"/>
      <c r="MJM1370" s="110"/>
      <c r="MJN1370" s="110"/>
      <c r="MJO1370" s="110"/>
      <c r="MJP1370" s="110"/>
      <c r="MJQ1370" s="110"/>
      <c r="MJR1370" s="110"/>
      <c r="MJS1370" s="110"/>
      <c r="MJT1370" s="110"/>
      <c r="MJU1370" s="110"/>
      <c r="MJV1370" s="110"/>
      <c r="MJW1370" s="110"/>
      <c r="MJX1370" s="110"/>
      <c r="MJY1370" s="110"/>
      <c r="MJZ1370" s="110"/>
      <c r="MKA1370" s="110"/>
      <c r="MKB1370" s="110"/>
      <c r="MKC1370" s="110"/>
      <c r="MKD1370" s="110"/>
      <c r="MKE1370" s="110"/>
      <c r="MKF1370" s="110"/>
      <c r="MKG1370" s="110"/>
      <c r="MKH1370" s="110"/>
      <c r="MKI1370" s="110"/>
      <c r="MKJ1370" s="110"/>
      <c r="MKK1370" s="110"/>
      <c r="MKL1370" s="110"/>
      <c r="MKM1370" s="110"/>
      <c r="MKN1370" s="110"/>
      <c r="MKO1370" s="110"/>
      <c r="MKP1370" s="110"/>
      <c r="MKQ1370" s="110"/>
      <c r="MKR1370" s="110"/>
      <c r="MKS1370" s="110"/>
      <c r="MKT1370" s="110"/>
      <c r="MKU1370" s="110"/>
      <c r="MKV1370" s="110"/>
      <c r="MKW1370" s="110"/>
      <c r="MKX1370" s="110"/>
      <c r="MKY1370" s="110"/>
      <c r="MKZ1370" s="110"/>
      <c r="MLA1370" s="110"/>
      <c r="MLB1370" s="110"/>
      <c r="MLC1370" s="110"/>
      <c r="MLD1370" s="110"/>
      <c r="MLE1370" s="110"/>
      <c r="MLF1370" s="110"/>
      <c r="MLG1370" s="110"/>
      <c r="MLH1370" s="110"/>
      <c r="MLI1370" s="110"/>
      <c r="MLJ1370" s="110"/>
      <c r="MLK1370" s="110"/>
      <c r="MLL1370" s="110"/>
      <c r="MLM1370" s="110"/>
      <c r="MLN1370" s="110"/>
      <c r="MLO1370" s="110"/>
      <c r="MLP1370" s="110"/>
      <c r="MLQ1370" s="110"/>
      <c r="MLR1370" s="110"/>
      <c r="MLS1370" s="110"/>
      <c r="MLT1370" s="110"/>
      <c r="MLU1370" s="110"/>
      <c r="MLV1370" s="110"/>
      <c r="MLW1370" s="110"/>
      <c r="MLX1370" s="110"/>
      <c r="MLY1370" s="110"/>
      <c r="MLZ1370" s="110"/>
      <c r="MMA1370" s="110"/>
      <c r="MMB1370" s="110"/>
      <c r="MMC1370" s="110"/>
      <c r="MMD1370" s="110"/>
      <c r="MME1370" s="110"/>
      <c r="MMF1370" s="110"/>
      <c r="MMG1370" s="110"/>
      <c r="MMH1370" s="110"/>
      <c r="MMI1370" s="110"/>
      <c r="MMJ1370" s="110"/>
      <c r="MMK1370" s="110"/>
      <c r="MML1370" s="110"/>
      <c r="MMM1370" s="110"/>
      <c r="MMN1370" s="110"/>
      <c r="MMO1370" s="110"/>
      <c r="MMP1370" s="110"/>
      <c r="MMQ1370" s="110"/>
      <c r="MMR1370" s="110"/>
      <c r="MMS1370" s="110"/>
      <c r="MMT1370" s="110"/>
      <c r="MMU1370" s="110"/>
      <c r="MMV1370" s="110"/>
      <c r="MMW1370" s="110"/>
      <c r="MMX1370" s="110"/>
      <c r="MMY1370" s="110"/>
      <c r="MMZ1370" s="110"/>
      <c r="MNA1370" s="110"/>
      <c r="MNB1370" s="110"/>
      <c r="MNC1370" s="110"/>
      <c r="MND1370" s="110"/>
      <c r="MNE1370" s="110"/>
      <c r="MNF1370" s="110"/>
      <c r="MNG1370" s="110"/>
      <c r="MNH1370" s="110"/>
      <c r="MNI1370" s="110"/>
      <c r="MNJ1370" s="110"/>
      <c r="MNK1370" s="110"/>
      <c r="MNL1370" s="110"/>
      <c r="MNM1370" s="110"/>
      <c r="MNN1370" s="110"/>
      <c r="MNO1370" s="110"/>
      <c r="MNP1370" s="110"/>
      <c r="MNQ1370" s="110"/>
      <c r="MNR1370" s="110"/>
      <c r="MNS1370" s="110"/>
      <c r="MNT1370" s="110"/>
      <c r="MNU1370" s="110"/>
      <c r="MNV1370" s="110"/>
      <c r="MNW1370" s="110"/>
      <c r="MNX1370" s="110"/>
      <c r="MNY1370" s="110"/>
      <c r="MNZ1370" s="110"/>
      <c r="MOA1370" s="110"/>
      <c r="MOB1370" s="110"/>
      <c r="MOC1370" s="110"/>
      <c r="MOD1370" s="110"/>
      <c r="MOE1370" s="110"/>
      <c r="MOF1370" s="110"/>
      <c r="MOG1370" s="110"/>
      <c r="MOH1370" s="110"/>
      <c r="MOI1370" s="110"/>
      <c r="MOJ1370" s="110"/>
      <c r="MOK1370" s="110"/>
      <c r="MOL1370" s="110"/>
      <c r="MOM1370" s="110"/>
      <c r="MON1370" s="110"/>
      <c r="MOO1370" s="110"/>
      <c r="MOP1370" s="110"/>
      <c r="MOQ1370" s="110"/>
      <c r="MOR1370" s="110"/>
      <c r="MOS1370" s="110"/>
      <c r="MOT1370" s="110"/>
      <c r="MOU1370" s="110"/>
      <c r="MOV1370" s="110"/>
      <c r="MOW1370" s="110"/>
      <c r="MOX1370" s="110"/>
      <c r="MOY1370" s="110"/>
      <c r="MOZ1370" s="110"/>
      <c r="MPA1370" s="110"/>
      <c r="MPB1370" s="110"/>
      <c r="MPC1370" s="110"/>
      <c r="MPD1370" s="110"/>
      <c r="MPE1370" s="110"/>
      <c r="MPF1370" s="110"/>
      <c r="MPG1370" s="110"/>
      <c r="MPH1370" s="110"/>
      <c r="MPI1370" s="110"/>
      <c r="MPJ1370" s="110"/>
      <c r="MPK1370" s="110"/>
      <c r="MPL1370" s="110"/>
      <c r="MPM1370" s="110"/>
      <c r="MPN1370" s="110"/>
      <c r="MPO1370" s="110"/>
      <c r="MPP1370" s="110"/>
      <c r="MPQ1370" s="110"/>
      <c r="MPR1370" s="110"/>
      <c r="MPS1370" s="110"/>
      <c r="MPT1370" s="110"/>
      <c r="MPU1370" s="110"/>
      <c r="MPV1370" s="110"/>
      <c r="MPW1370" s="110"/>
      <c r="MPX1370" s="110"/>
      <c r="MPY1370" s="110"/>
      <c r="MPZ1370" s="110"/>
      <c r="MQA1370" s="110"/>
      <c r="MQB1370" s="110"/>
      <c r="MQC1370" s="110"/>
      <c r="MQD1370" s="110"/>
      <c r="MQE1370" s="110"/>
      <c r="MQF1370" s="110"/>
      <c r="MQG1370" s="110"/>
      <c r="MQH1370" s="110"/>
      <c r="MQI1370" s="110"/>
      <c r="MQJ1370" s="110"/>
      <c r="MQK1370" s="110"/>
      <c r="MQL1370" s="110"/>
      <c r="MQM1370" s="110"/>
      <c r="MQN1370" s="110"/>
      <c r="MQO1370" s="110"/>
      <c r="MQP1370" s="110"/>
      <c r="MQQ1370" s="110"/>
      <c r="MQR1370" s="110"/>
      <c r="MQS1370" s="110"/>
      <c r="MQT1370" s="110"/>
      <c r="MQU1370" s="110"/>
      <c r="MQV1370" s="110"/>
      <c r="MQW1370" s="110"/>
      <c r="MQX1370" s="110"/>
      <c r="MQY1370" s="110"/>
      <c r="MQZ1370" s="110"/>
      <c r="MRA1370" s="110"/>
      <c r="MRB1370" s="110"/>
      <c r="MRC1370" s="110"/>
      <c r="MRD1370" s="110"/>
      <c r="MRE1370" s="110"/>
      <c r="MRF1370" s="110"/>
      <c r="MRG1370" s="110"/>
      <c r="MRH1370" s="110"/>
      <c r="MRI1370" s="110"/>
      <c r="MRJ1370" s="110"/>
      <c r="MRK1370" s="110"/>
      <c r="MRL1370" s="110"/>
      <c r="MRM1370" s="110"/>
      <c r="MRN1370" s="110"/>
      <c r="MRO1370" s="110"/>
      <c r="MRP1370" s="110"/>
      <c r="MRQ1370" s="110"/>
      <c r="MRR1370" s="110"/>
      <c r="MRS1370" s="110"/>
      <c r="MRT1370" s="110"/>
      <c r="MRU1370" s="110"/>
      <c r="MRV1370" s="110"/>
      <c r="MRW1370" s="110"/>
      <c r="MRX1370" s="110"/>
      <c r="MRY1370" s="110"/>
      <c r="MRZ1370" s="110"/>
      <c r="MSA1370" s="110"/>
      <c r="MSB1370" s="110"/>
      <c r="MSC1370" s="110"/>
      <c r="MSD1370" s="110"/>
      <c r="MSE1370" s="110"/>
      <c r="MSF1370" s="110"/>
      <c r="MSG1370" s="110"/>
      <c r="MSH1370" s="110"/>
      <c r="MSI1370" s="110"/>
      <c r="MSJ1370" s="110"/>
      <c r="MSK1370" s="110"/>
      <c r="MSL1370" s="110"/>
      <c r="MSM1370" s="110"/>
      <c r="MSN1370" s="110"/>
      <c r="MSO1370" s="110"/>
      <c r="MSP1370" s="110"/>
      <c r="MSQ1370" s="110"/>
      <c r="MSR1370" s="110"/>
      <c r="MSS1370" s="110"/>
      <c r="MST1370" s="110"/>
      <c r="MSU1370" s="110"/>
      <c r="MSV1370" s="110"/>
      <c r="MSW1370" s="110"/>
      <c r="MSX1370" s="110"/>
      <c r="MSY1370" s="110"/>
      <c r="MSZ1370" s="110"/>
      <c r="MTA1370" s="110"/>
      <c r="MTB1370" s="110"/>
      <c r="MTC1370" s="110"/>
      <c r="MTD1370" s="110"/>
      <c r="MTE1370" s="110"/>
      <c r="MTF1370" s="110"/>
      <c r="MTG1370" s="110"/>
      <c r="MTH1370" s="110"/>
      <c r="MTI1370" s="110"/>
      <c r="MTJ1370" s="110"/>
      <c r="MTK1370" s="110"/>
      <c r="MTL1370" s="110"/>
      <c r="MTM1370" s="110"/>
      <c r="MTN1370" s="110"/>
      <c r="MTO1370" s="110"/>
      <c r="MTP1370" s="110"/>
      <c r="MTQ1370" s="110"/>
      <c r="MTR1370" s="110"/>
      <c r="MTS1370" s="110"/>
      <c r="MTT1370" s="110"/>
      <c r="MTU1370" s="110"/>
      <c r="MTV1370" s="110"/>
      <c r="MTW1370" s="110"/>
      <c r="MTX1370" s="110"/>
      <c r="MTY1370" s="110"/>
      <c r="MTZ1370" s="110"/>
      <c r="MUA1370" s="110"/>
      <c r="MUB1370" s="110"/>
      <c r="MUC1370" s="110"/>
      <c r="MUD1370" s="110"/>
      <c r="MUE1370" s="110"/>
      <c r="MUF1370" s="110"/>
      <c r="MUG1370" s="110"/>
      <c r="MUH1370" s="110"/>
      <c r="MUI1370" s="110"/>
      <c r="MUJ1370" s="110"/>
      <c r="MUK1370" s="110"/>
      <c r="MUL1370" s="110"/>
      <c r="MUM1370" s="110"/>
      <c r="MUN1370" s="110"/>
      <c r="MUO1370" s="110"/>
      <c r="MUP1370" s="110"/>
      <c r="MUQ1370" s="110"/>
      <c r="MUR1370" s="110"/>
      <c r="MUS1370" s="110"/>
      <c r="MUT1370" s="110"/>
      <c r="MUU1370" s="110"/>
      <c r="MUV1370" s="110"/>
      <c r="MUW1370" s="110"/>
      <c r="MUX1370" s="110"/>
      <c r="MUY1370" s="110"/>
      <c r="MUZ1370" s="110"/>
      <c r="MVA1370" s="110"/>
      <c r="MVB1370" s="110"/>
      <c r="MVC1370" s="110"/>
      <c r="MVD1370" s="110"/>
      <c r="MVE1370" s="110"/>
      <c r="MVF1370" s="110"/>
      <c r="MVG1370" s="110"/>
      <c r="MVH1370" s="110"/>
      <c r="MVI1370" s="110"/>
      <c r="MVJ1370" s="110"/>
      <c r="MVK1370" s="110"/>
      <c r="MVL1370" s="110"/>
      <c r="MVM1370" s="110"/>
      <c r="MVN1370" s="110"/>
      <c r="MVO1370" s="110"/>
      <c r="MVP1370" s="110"/>
      <c r="MVQ1370" s="110"/>
      <c r="MVR1370" s="110"/>
      <c r="MVS1370" s="110"/>
      <c r="MVT1370" s="110"/>
      <c r="MVU1370" s="110"/>
      <c r="MVV1370" s="110"/>
      <c r="MVW1370" s="110"/>
      <c r="MVX1370" s="110"/>
      <c r="MVY1370" s="110"/>
      <c r="MVZ1370" s="110"/>
      <c r="MWA1370" s="110"/>
      <c r="MWB1370" s="110"/>
      <c r="MWC1370" s="110"/>
      <c r="MWD1370" s="110"/>
      <c r="MWE1370" s="110"/>
      <c r="MWF1370" s="110"/>
      <c r="MWG1370" s="110"/>
      <c r="MWH1370" s="110"/>
      <c r="MWI1370" s="110"/>
      <c r="MWJ1370" s="110"/>
      <c r="MWK1370" s="110"/>
      <c r="MWL1370" s="110"/>
      <c r="MWM1370" s="110"/>
      <c r="MWN1370" s="110"/>
      <c r="MWO1370" s="110"/>
      <c r="MWP1370" s="110"/>
      <c r="MWQ1370" s="110"/>
      <c r="MWR1370" s="110"/>
      <c r="MWS1370" s="110"/>
      <c r="MWT1370" s="110"/>
      <c r="MWU1370" s="110"/>
      <c r="MWV1370" s="110"/>
      <c r="MWW1370" s="110"/>
      <c r="MWX1370" s="110"/>
      <c r="MWY1370" s="110"/>
      <c r="MWZ1370" s="110"/>
      <c r="MXA1370" s="110"/>
      <c r="MXB1370" s="110"/>
      <c r="MXC1370" s="110"/>
      <c r="MXD1370" s="110"/>
      <c r="MXE1370" s="110"/>
      <c r="MXF1370" s="110"/>
      <c r="MXG1370" s="110"/>
      <c r="MXH1370" s="110"/>
      <c r="MXI1370" s="110"/>
      <c r="MXJ1370" s="110"/>
      <c r="MXK1370" s="110"/>
      <c r="MXL1370" s="110"/>
      <c r="MXM1370" s="110"/>
      <c r="MXN1370" s="110"/>
      <c r="MXO1370" s="110"/>
      <c r="MXP1370" s="110"/>
      <c r="MXQ1370" s="110"/>
      <c r="MXR1370" s="110"/>
      <c r="MXS1370" s="110"/>
      <c r="MXT1370" s="110"/>
      <c r="MXU1370" s="110"/>
      <c r="MXV1370" s="110"/>
      <c r="MXW1370" s="110"/>
      <c r="MXX1370" s="110"/>
      <c r="MXY1370" s="110"/>
      <c r="MXZ1370" s="110"/>
      <c r="MYA1370" s="110"/>
      <c r="MYB1370" s="110"/>
      <c r="MYC1370" s="110"/>
      <c r="MYD1370" s="110"/>
      <c r="MYE1370" s="110"/>
      <c r="MYF1370" s="110"/>
      <c r="MYG1370" s="110"/>
      <c r="MYH1370" s="110"/>
      <c r="MYI1370" s="110"/>
      <c r="MYJ1370" s="110"/>
      <c r="MYK1370" s="110"/>
      <c r="MYL1370" s="110"/>
      <c r="MYM1370" s="110"/>
      <c r="MYN1370" s="110"/>
      <c r="MYO1370" s="110"/>
      <c r="MYP1370" s="110"/>
      <c r="MYQ1370" s="110"/>
      <c r="MYR1370" s="110"/>
      <c r="MYS1370" s="110"/>
      <c r="MYT1370" s="110"/>
      <c r="MYU1370" s="110"/>
      <c r="MYV1370" s="110"/>
      <c r="MYW1370" s="110"/>
      <c r="MYX1370" s="110"/>
      <c r="MYY1370" s="110"/>
      <c r="MYZ1370" s="110"/>
      <c r="MZA1370" s="110"/>
      <c r="MZB1370" s="110"/>
      <c r="MZC1370" s="110"/>
      <c r="MZD1370" s="110"/>
      <c r="MZE1370" s="110"/>
      <c r="MZF1370" s="110"/>
      <c r="MZG1370" s="110"/>
      <c r="MZH1370" s="110"/>
      <c r="MZI1370" s="110"/>
      <c r="MZJ1370" s="110"/>
      <c r="MZK1370" s="110"/>
      <c r="MZL1370" s="110"/>
      <c r="MZM1370" s="110"/>
      <c r="MZN1370" s="110"/>
      <c r="MZO1370" s="110"/>
      <c r="MZP1370" s="110"/>
      <c r="MZQ1370" s="110"/>
      <c r="MZR1370" s="110"/>
      <c r="MZS1370" s="110"/>
      <c r="MZT1370" s="110"/>
      <c r="MZU1370" s="110"/>
      <c r="MZV1370" s="110"/>
      <c r="MZW1370" s="110"/>
      <c r="MZX1370" s="110"/>
      <c r="MZY1370" s="110"/>
      <c r="MZZ1370" s="110"/>
      <c r="NAA1370" s="110"/>
      <c r="NAB1370" s="110"/>
      <c r="NAC1370" s="110"/>
      <c r="NAD1370" s="110"/>
      <c r="NAE1370" s="110"/>
      <c r="NAF1370" s="110"/>
      <c r="NAG1370" s="110"/>
      <c r="NAH1370" s="110"/>
      <c r="NAI1370" s="110"/>
      <c r="NAJ1370" s="110"/>
      <c r="NAK1370" s="110"/>
      <c r="NAL1370" s="110"/>
      <c r="NAM1370" s="110"/>
      <c r="NAN1370" s="110"/>
      <c r="NAO1370" s="110"/>
      <c r="NAP1370" s="110"/>
      <c r="NAQ1370" s="110"/>
      <c r="NAR1370" s="110"/>
      <c r="NAS1370" s="110"/>
      <c r="NAT1370" s="110"/>
      <c r="NAU1370" s="110"/>
      <c r="NAV1370" s="110"/>
      <c r="NAW1370" s="110"/>
      <c r="NAX1370" s="110"/>
      <c r="NAY1370" s="110"/>
      <c r="NAZ1370" s="110"/>
      <c r="NBA1370" s="110"/>
      <c r="NBB1370" s="110"/>
      <c r="NBC1370" s="110"/>
      <c r="NBD1370" s="110"/>
      <c r="NBE1370" s="110"/>
      <c r="NBF1370" s="110"/>
      <c r="NBG1370" s="110"/>
      <c r="NBH1370" s="110"/>
      <c r="NBI1370" s="110"/>
      <c r="NBJ1370" s="110"/>
      <c r="NBK1370" s="110"/>
      <c r="NBL1370" s="110"/>
      <c r="NBM1370" s="110"/>
      <c r="NBN1370" s="110"/>
      <c r="NBO1370" s="110"/>
      <c r="NBP1370" s="110"/>
      <c r="NBQ1370" s="110"/>
      <c r="NBR1370" s="110"/>
      <c r="NBS1370" s="110"/>
      <c r="NBT1370" s="110"/>
      <c r="NBU1370" s="110"/>
      <c r="NBV1370" s="110"/>
      <c r="NBW1370" s="110"/>
      <c r="NBX1370" s="110"/>
      <c r="NBY1370" s="110"/>
      <c r="NBZ1370" s="110"/>
      <c r="NCA1370" s="110"/>
      <c r="NCB1370" s="110"/>
      <c r="NCC1370" s="110"/>
      <c r="NCD1370" s="110"/>
      <c r="NCE1370" s="110"/>
      <c r="NCF1370" s="110"/>
      <c r="NCG1370" s="110"/>
      <c r="NCH1370" s="110"/>
      <c r="NCI1370" s="110"/>
      <c r="NCJ1370" s="110"/>
      <c r="NCK1370" s="110"/>
      <c r="NCL1370" s="110"/>
      <c r="NCM1370" s="110"/>
      <c r="NCN1370" s="110"/>
      <c r="NCO1370" s="110"/>
      <c r="NCP1370" s="110"/>
      <c r="NCQ1370" s="110"/>
      <c r="NCR1370" s="110"/>
      <c r="NCS1370" s="110"/>
      <c r="NCT1370" s="110"/>
      <c r="NCU1370" s="110"/>
      <c r="NCV1370" s="110"/>
      <c r="NCW1370" s="110"/>
      <c r="NCX1370" s="110"/>
      <c r="NCY1370" s="110"/>
      <c r="NCZ1370" s="110"/>
      <c r="NDA1370" s="110"/>
      <c r="NDB1370" s="110"/>
      <c r="NDC1370" s="110"/>
      <c r="NDD1370" s="110"/>
      <c r="NDE1370" s="110"/>
      <c r="NDF1370" s="110"/>
      <c r="NDG1370" s="110"/>
      <c r="NDH1370" s="110"/>
      <c r="NDI1370" s="110"/>
      <c r="NDJ1370" s="110"/>
      <c r="NDK1370" s="110"/>
      <c r="NDL1370" s="110"/>
      <c r="NDM1370" s="110"/>
      <c r="NDN1370" s="110"/>
      <c r="NDO1370" s="110"/>
      <c r="NDP1370" s="110"/>
      <c r="NDQ1370" s="110"/>
      <c r="NDR1370" s="110"/>
      <c r="NDS1370" s="110"/>
      <c r="NDT1370" s="110"/>
      <c r="NDU1370" s="110"/>
      <c r="NDV1370" s="110"/>
      <c r="NDW1370" s="110"/>
      <c r="NDX1370" s="110"/>
      <c r="NDY1370" s="110"/>
      <c r="NDZ1370" s="110"/>
      <c r="NEA1370" s="110"/>
      <c r="NEB1370" s="110"/>
      <c r="NEC1370" s="110"/>
      <c r="NED1370" s="110"/>
      <c r="NEE1370" s="110"/>
      <c r="NEF1370" s="110"/>
      <c r="NEG1370" s="110"/>
      <c r="NEH1370" s="110"/>
      <c r="NEI1370" s="110"/>
      <c r="NEJ1370" s="110"/>
      <c r="NEK1370" s="110"/>
      <c r="NEL1370" s="110"/>
      <c r="NEM1370" s="110"/>
      <c r="NEN1370" s="110"/>
      <c r="NEO1370" s="110"/>
      <c r="NEP1370" s="110"/>
      <c r="NEQ1370" s="110"/>
      <c r="NER1370" s="110"/>
      <c r="NES1370" s="110"/>
      <c r="NET1370" s="110"/>
      <c r="NEU1370" s="110"/>
      <c r="NEV1370" s="110"/>
      <c r="NEW1370" s="110"/>
      <c r="NEX1370" s="110"/>
      <c r="NEY1370" s="110"/>
      <c r="NEZ1370" s="110"/>
      <c r="NFA1370" s="110"/>
      <c r="NFB1370" s="110"/>
      <c r="NFC1370" s="110"/>
      <c r="NFD1370" s="110"/>
      <c r="NFE1370" s="110"/>
      <c r="NFF1370" s="110"/>
      <c r="NFG1370" s="110"/>
      <c r="NFH1370" s="110"/>
      <c r="NFI1370" s="110"/>
      <c r="NFJ1370" s="110"/>
      <c r="NFK1370" s="110"/>
      <c r="NFL1370" s="110"/>
      <c r="NFM1370" s="110"/>
      <c r="NFN1370" s="110"/>
      <c r="NFO1370" s="110"/>
      <c r="NFP1370" s="110"/>
      <c r="NFQ1370" s="110"/>
      <c r="NFR1370" s="110"/>
      <c r="NFS1370" s="110"/>
      <c r="NFT1370" s="110"/>
      <c r="NFU1370" s="110"/>
      <c r="NFV1370" s="110"/>
      <c r="NFW1370" s="110"/>
      <c r="NFX1370" s="110"/>
      <c r="NFY1370" s="110"/>
      <c r="NFZ1370" s="110"/>
      <c r="NGA1370" s="110"/>
      <c r="NGB1370" s="110"/>
      <c r="NGC1370" s="110"/>
      <c r="NGD1370" s="110"/>
      <c r="NGE1370" s="110"/>
      <c r="NGF1370" s="110"/>
      <c r="NGG1370" s="110"/>
      <c r="NGH1370" s="110"/>
      <c r="NGI1370" s="110"/>
      <c r="NGJ1370" s="110"/>
      <c r="NGK1370" s="110"/>
      <c r="NGL1370" s="110"/>
      <c r="NGM1370" s="110"/>
      <c r="NGN1370" s="110"/>
      <c r="NGO1370" s="110"/>
      <c r="NGP1370" s="110"/>
      <c r="NGQ1370" s="110"/>
      <c r="NGR1370" s="110"/>
      <c r="NGS1370" s="110"/>
      <c r="NGT1370" s="110"/>
      <c r="NGU1370" s="110"/>
      <c r="NGV1370" s="110"/>
      <c r="NGW1370" s="110"/>
      <c r="NGX1370" s="110"/>
      <c r="NGY1370" s="110"/>
      <c r="NGZ1370" s="110"/>
      <c r="NHA1370" s="110"/>
      <c r="NHB1370" s="110"/>
      <c r="NHC1370" s="110"/>
      <c r="NHD1370" s="110"/>
      <c r="NHE1370" s="110"/>
      <c r="NHF1370" s="110"/>
      <c r="NHG1370" s="110"/>
      <c r="NHH1370" s="110"/>
      <c r="NHI1370" s="110"/>
      <c r="NHJ1370" s="110"/>
      <c r="NHK1370" s="110"/>
      <c r="NHL1370" s="110"/>
      <c r="NHM1370" s="110"/>
      <c r="NHN1370" s="110"/>
      <c r="NHO1370" s="110"/>
      <c r="NHP1370" s="110"/>
      <c r="NHQ1370" s="110"/>
      <c r="NHR1370" s="110"/>
      <c r="NHS1370" s="110"/>
      <c r="NHT1370" s="110"/>
      <c r="NHU1370" s="110"/>
      <c r="NHV1370" s="110"/>
      <c r="NHW1370" s="110"/>
      <c r="NHX1370" s="110"/>
      <c r="NHY1370" s="110"/>
      <c r="NHZ1370" s="110"/>
      <c r="NIA1370" s="110"/>
      <c r="NIB1370" s="110"/>
      <c r="NIC1370" s="110"/>
      <c r="NID1370" s="110"/>
      <c r="NIE1370" s="110"/>
      <c r="NIF1370" s="110"/>
      <c r="NIG1370" s="110"/>
      <c r="NIH1370" s="110"/>
      <c r="NII1370" s="110"/>
      <c r="NIJ1370" s="110"/>
      <c r="NIK1370" s="110"/>
      <c r="NIL1370" s="110"/>
      <c r="NIM1370" s="110"/>
      <c r="NIN1370" s="110"/>
      <c r="NIO1370" s="110"/>
      <c r="NIP1370" s="110"/>
      <c r="NIQ1370" s="110"/>
      <c r="NIR1370" s="110"/>
      <c r="NIS1370" s="110"/>
      <c r="NIT1370" s="110"/>
      <c r="NIU1370" s="110"/>
      <c r="NIV1370" s="110"/>
      <c r="NIW1370" s="110"/>
      <c r="NIX1370" s="110"/>
      <c r="NIY1370" s="110"/>
      <c r="NIZ1370" s="110"/>
      <c r="NJA1370" s="110"/>
      <c r="NJB1370" s="110"/>
      <c r="NJC1370" s="110"/>
      <c r="NJD1370" s="110"/>
      <c r="NJE1370" s="110"/>
      <c r="NJF1370" s="110"/>
      <c r="NJG1370" s="110"/>
      <c r="NJH1370" s="110"/>
      <c r="NJI1370" s="110"/>
      <c r="NJJ1370" s="110"/>
      <c r="NJK1370" s="110"/>
      <c r="NJL1370" s="110"/>
      <c r="NJM1370" s="110"/>
      <c r="NJN1370" s="110"/>
      <c r="NJO1370" s="110"/>
      <c r="NJP1370" s="110"/>
      <c r="NJQ1370" s="110"/>
      <c r="NJR1370" s="110"/>
      <c r="NJS1370" s="110"/>
      <c r="NJT1370" s="110"/>
      <c r="NJU1370" s="110"/>
      <c r="NJV1370" s="110"/>
      <c r="NJW1370" s="110"/>
      <c r="NJX1370" s="110"/>
      <c r="NJY1370" s="110"/>
      <c r="NJZ1370" s="110"/>
      <c r="NKA1370" s="110"/>
      <c r="NKB1370" s="110"/>
      <c r="NKC1370" s="110"/>
      <c r="NKD1370" s="110"/>
      <c r="NKE1370" s="110"/>
      <c r="NKF1370" s="110"/>
      <c r="NKG1370" s="110"/>
      <c r="NKH1370" s="110"/>
      <c r="NKI1370" s="110"/>
      <c r="NKJ1370" s="110"/>
      <c r="NKK1370" s="110"/>
      <c r="NKL1370" s="110"/>
      <c r="NKM1370" s="110"/>
      <c r="NKN1370" s="110"/>
      <c r="NKO1370" s="110"/>
      <c r="NKP1370" s="110"/>
      <c r="NKQ1370" s="110"/>
      <c r="NKR1370" s="110"/>
      <c r="NKS1370" s="110"/>
      <c r="NKT1370" s="110"/>
      <c r="NKU1370" s="110"/>
      <c r="NKV1370" s="110"/>
      <c r="NKW1370" s="110"/>
      <c r="NKX1370" s="110"/>
      <c r="NKY1370" s="110"/>
      <c r="NKZ1370" s="110"/>
      <c r="NLA1370" s="110"/>
      <c r="NLB1370" s="110"/>
      <c r="NLC1370" s="110"/>
      <c r="NLD1370" s="110"/>
      <c r="NLE1370" s="110"/>
      <c r="NLF1370" s="110"/>
      <c r="NLG1370" s="110"/>
      <c r="NLH1370" s="110"/>
      <c r="NLI1370" s="110"/>
      <c r="NLJ1370" s="110"/>
      <c r="NLK1370" s="110"/>
      <c r="NLL1370" s="110"/>
      <c r="NLM1370" s="110"/>
      <c r="NLN1370" s="110"/>
      <c r="NLO1370" s="110"/>
      <c r="NLP1370" s="110"/>
      <c r="NLQ1370" s="110"/>
      <c r="NLR1370" s="110"/>
      <c r="NLS1370" s="110"/>
      <c r="NLT1370" s="110"/>
      <c r="NLU1370" s="110"/>
      <c r="NLV1370" s="110"/>
      <c r="NLW1370" s="110"/>
      <c r="NLX1370" s="110"/>
      <c r="NLY1370" s="110"/>
      <c r="NLZ1370" s="110"/>
      <c r="NMA1370" s="110"/>
      <c r="NMB1370" s="110"/>
      <c r="NMC1370" s="110"/>
      <c r="NMD1370" s="110"/>
      <c r="NME1370" s="110"/>
      <c r="NMF1370" s="110"/>
      <c r="NMG1370" s="110"/>
      <c r="NMH1370" s="110"/>
      <c r="NMI1370" s="110"/>
      <c r="NMJ1370" s="110"/>
      <c r="NMK1370" s="110"/>
      <c r="NML1370" s="110"/>
      <c r="NMM1370" s="110"/>
      <c r="NMN1370" s="110"/>
      <c r="NMO1370" s="110"/>
      <c r="NMP1370" s="110"/>
      <c r="NMQ1370" s="110"/>
      <c r="NMR1370" s="110"/>
      <c r="NMS1370" s="110"/>
      <c r="NMT1370" s="110"/>
      <c r="NMU1370" s="110"/>
      <c r="NMV1370" s="110"/>
      <c r="NMW1370" s="110"/>
      <c r="NMX1370" s="110"/>
      <c r="NMY1370" s="110"/>
      <c r="NMZ1370" s="110"/>
      <c r="NNA1370" s="110"/>
      <c r="NNB1370" s="110"/>
      <c r="NNC1370" s="110"/>
      <c r="NND1370" s="110"/>
      <c r="NNE1370" s="110"/>
      <c r="NNF1370" s="110"/>
      <c r="NNG1370" s="110"/>
      <c r="NNH1370" s="110"/>
      <c r="NNI1370" s="110"/>
      <c r="NNJ1370" s="110"/>
      <c r="NNK1370" s="110"/>
      <c r="NNL1370" s="110"/>
      <c r="NNM1370" s="110"/>
      <c r="NNN1370" s="110"/>
      <c r="NNO1370" s="110"/>
      <c r="NNP1370" s="110"/>
      <c r="NNQ1370" s="110"/>
      <c r="NNR1370" s="110"/>
      <c r="NNS1370" s="110"/>
      <c r="NNT1370" s="110"/>
      <c r="NNU1370" s="110"/>
      <c r="NNV1370" s="110"/>
      <c r="NNW1370" s="110"/>
      <c r="NNX1370" s="110"/>
      <c r="NNY1370" s="110"/>
      <c r="NNZ1370" s="110"/>
      <c r="NOA1370" s="110"/>
      <c r="NOB1370" s="110"/>
      <c r="NOC1370" s="110"/>
      <c r="NOD1370" s="110"/>
      <c r="NOE1370" s="110"/>
      <c r="NOF1370" s="110"/>
      <c r="NOG1370" s="110"/>
      <c r="NOH1370" s="110"/>
      <c r="NOI1370" s="110"/>
      <c r="NOJ1370" s="110"/>
      <c r="NOK1370" s="110"/>
      <c r="NOL1370" s="110"/>
      <c r="NOM1370" s="110"/>
      <c r="NON1370" s="110"/>
      <c r="NOO1370" s="110"/>
      <c r="NOP1370" s="110"/>
      <c r="NOQ1370" s="110"/>
      <c r="NOR1370" s="110"/>
      <c r="NOS1370" s="110"/>
      <c r="NOT1370" s="110"/>
      <c r="NOU1370" s="110"/>
      <c r="NOV1370" s="110"/>
      <c r="NOW1370" s="110"/>
      <c r="NOX1370" s="110"/>
      <c r="NOY1370" s="110"/>
      <c r="NOZ1370" s="110"/>
      <c r="NPA1370" s="110"/>
      <c r="NPB1370" s="110"/>
      <c r="NPC1370" s="110"/>
      <c r="NPD1370" s="110"/>
      <c r="NPE1370" s="110"/>
      <c r="NPF1370" s="110"/>
      <c r="NPG1370" s="110"/>
      <c r="NPH1370" s="110"/>
      <c r="NPI1370" s="110"/>
      <c r="NPJ1370" s="110"/>
      <c r="NPK1370" s="110"/>
      <c r="NPL1370" s="110"/>
      <c r="NPM1370" s="110"/>
      <c r="NPN1370" s="110"/>
      <c r="NPO1370" s="110"/>
      <c r="NPP1370" s="110"/>
      <c r="NPQ1370" s="110"/>
      <c r="NPR1370" s="110"/>
      <c r="NPS1370" s="110"/>
      <c r="NPT1370" s="110"/>
      <c r="NPU1370" s="110"/>
      <c r="NPV1370" s="110"/>
      <c r="NPW1370" s="110"/>
      <c r="NPX1370" s="110"/>
      <c r="NPY1370" s="110"/>
      <c r="NPZ1370" s="110"/>
      <c r="NQA1370" s="110"/>
      <c r="NQB1370" s="110"/>
      <c r="NQC1370" s="110"/>
      <c r="NQD1370" s="110"/>
      <c r="NQE1370" s="110"/>
      <c r="NQF1370" s="110"/>
      <c r="NQG1370" s="110"/>
      <c r="NQH1370" s="110"/>
      <c r="NQI1370" s="110"/>
      <c r="NQJ1370" s="110"/>
      <c r="NQK1370" s="110"/>
      <c r="NQL1370" s="110"/>
      <c r="NQM1370" s="110"/>
      <c r="NQN1370" s="110"/>
      <c r="NQO1370" s="110"/>
      <c r="NQP1370" s="110"/>
      <c r="NQQ1370" s="110"/>
      <c r="NQR1370" s="110"/>
      <c r="NQS1370" s="110"/>
      <c r="NQT1370" s="110"/>
      <c r="NQU1370" s="110"/>
      <c r="NQV1370" s="110"/>
      <c r="NQW1370" s="110"/>
      <c r="NQX1370" s="110"/>
      <c r="NQY1370" s="110"/>
      <c r="NQZ1370" s="110"/>
      <c r="NRA1370" s="110"/>
      <c r="NRB1370" s="110"/>
      <c r="NRC1370" s="110"/>
      <c r="NRD1370" s="110"/>
      <c r="NRE1370" s="110"/>
      <c r="NRF1370" s="110"/>
      <c r="NRG1370" s="110"/>
      <c r="NRH1370" s="110"/>
      <c r="NRI1370" s="110"/>
      <c r="NRJ1370" s="110"/>
      <c r="NRK1370" s="110"/>
      <c r="NRL1370" s="110"/>
      <c r="NRM1370" s="110"/>
      <c r="NRN1370" s="110"/>
      <c r="NRO1370" s="110"/>
      <c r="NRP1370" s="110"/>
      <c r="NRQ1370" s="110"/>
      <c r="NRR1370" s="110"/>
      <c r="NRS1370" s="110"/>
      <c r="NRT1370" s="110"/>
      <c r="NRU1370" s="110"/>
      <c r="NRV1370" s="110"/>
      <c r="NRW1370" s="110"/>
      <c r="NRX1370" s="110"/>
      <c r="NRY1370" s="110"/>
      <c r="NRZ1370" s="110"/>
      <c r="NSA1370" s="110"/>
      <c r="NSB1370" s="110"/>
      <c r="NSC1370" s="110"/>
      <c r="NSD1370" s="110"/>
      <c r="NSE1370" s="110"/>
      <c r="NSF1370" s="110"/>
      <c r="NSG1370" s="110"/>
      <c r="NSH1370" s="110"/>
      <c r="NSI1370" s="110"/>
      <c r="NSJ1370" s="110"/>
      <c r="NSK1370" s="110"/>
      <c r="NSL1370" s="110"/>
      <c r="NSM1370" s="110"/>
      <c r="NSN1370" s="110"/>
      <c r="NSO1370" s="110"/>
      <c r="NSP1370" s="110"/>
      <c r="NSQ1370" s="110"/>
      <c r="NSR1370" s="110"/>
      <c r="NSS1370" s="110"/>
      <c r="NST1370" s="110"/>
      <c r="NSU1370" s="110"/>
      <c r="NSV1370" s="110"/>
      <c r="NSW1370" s="110"/>
      <c r="NSX1370" s="110"/>
      <c r="NSY1370" s="110"/>
      <c r="NSZ1370" s="110"/>
      <c r="NTA1370" s="110"/>
      <c r="NTB1370" s="110"/>
      <c r="NTC1370" s="110"/>
      <c r="NTD1370" s="110"/>
      <c r="NTE1370" s="110"/>
      <c r="NTF1370" s="110"/>
      <c r="NTG1370" s="110"/>
      <c r="NTH1370" s="110"/>
      <c r="NTI1370" s="110"/>
      <c r="NTJ1370" s="110"/>
      <c r="NTK1370" s="110"/>
      <c r="NTL1370" s="110"/>
      <c r="NTM1370" s="110"/>
      <c r="NTN1370" s="110"/>
      <c r="NTO1370" s="110"/>
      <c r="NTP1370" s="110"/>
      <c r="NTQ1370" s="110"/>
      <c r="NTR1370" s="110"/>
      <c r="NTS1370" s="110"/>
      <c r="NTT1370" s="110"/>
      <c r="NTU1370" s="110"/>
      <c r="NTV1370" s="110"/>
      <c r="NTW1370" s="110"/>
      <c r="NTX1370" s="110"/>
      <c r="NTY1370" s="110"/>
      <c r="NTZ1370" s="110"/>
      <c r="NUA1370" s="110"/>
      <c r="NUB1370" s="110"/>
      <c r="NUC1370" s="110"/>
      <c r="NUD1370" s="110"/>
      <c r="NUE1370" s="110"/>
      <c r="NUF1370" s="110"/>
      <c r="NUG1370" s="110"/>
      <c r="NUH1370" s="110"/>
      <c r="NUI1370" s="110"/>
      <c r="NUJ1370" s="110"/>
      <c r="NUK1370" s="110"/>
      <c r="NUL1370" s="110"/>
      <c r="NUM1370" s="110"/>
      <c r="NUN1370" s="110"/>
      <c r="NUO1370" s="110"/>
      <c r="NUP1370" s="110"/>
      <c r="NUQ1370" s="110"/>
      <c r="NUR1370" s="110"/>
      <c r="NUS1370" s="110"/>
      <c r="NUT1370" s="110"/>
      <c r="NUU1370" s="110"/>
      <c r="NUV1370" s="110"/>
      <c r="NUW1370" s="110"/>
      <c r="NUX1370" s="110"/>
      <c r="NUY1370" s="110"/>
      <c r="NUZ1370" s="110"/>
      <c r="NVA1370" s="110"/>
      <c r="NVB1370" s="110"/>
      <c r="NVC1370" s="110"/>
      <c r="NVD1370" s="110"/>
      <c r="NVE1370" s="110"/>
      <c r="NVF1370" s="110"/>
      <c r="NVG1370" s="110"/>
      <c r="NVH1370" s="110"/>
      <c r="NVI1370" s="110"/>
      <c r="NVJ1370" s="110"/>
      <c r="NVK1370" s="110"/>
      <c r="NVL1370" s="110"/>
      <c r="NVM1370" s="110"/>
      <c r="NVN1370" s="110"/>
      <c r="NVO1370" s="110"/>
      <c r="NVP1370" s="110"/>
      <c r="NVQ1370" s="110"/>
      <c r="NVR1370" s="110"/>
      <c r="NVS1370" s="110"/>
      <c r="NVT1370" s="110"/>
      <c r="NVU1370" s="110"/>
      <c r="NVV1370" s="110"/>
      <c r="NVW1370" s="110"/>
      <c r="NVX1370" s="110"/>
      <c r="NVY1370" s="110"/>
      <c r="NVZ1370" s="110"/>
      <c r="NWA1370" s="110"/>
      <c r="NWB1370" s="110"/>
      <c r="NWC1370" s="110"/>
      <c r="NWD1370" s="110"/>
      <c r="NWE1370" s="110"/>
      <c r="NWF1370" s="110"/>
      <c r="NWG1370" s="110"/>
      <c r="NWH1370" s="110"/>
      <c r="NWI1370" s="110"/>
      <c r="NWJ1370" s="110"/>
      <c r="NWK1370" s="110"/>
      <c r="NWL1370" s="110"/>
      <c r="NWM1370" s="110"/>
      <c r="NWN1370" s="110"/>
      <c r="NWO1370" s="110"/>
      <c r="NWP1370" s="110"/>
      <c r="NWQ1370" s="110"/>
      <c r="NWR1370" s="110"/>
      <c r="NWS1370" s="110"/>
      <c r="NWT1370" s="110"/>
      <c r="NWU1370" s="110"/>
      <c r="NWV1370" s="110"/>
      <c r="NWW1370" s="110"/>
      <c r="NWX1370" s="110"/>
      <c r="NWY1370" s="110"/>
      <c r="NWZ1370" s="110"/>
      <c r="NXA1370" s="110"/>
      <c r="NXB1370" s="110"/>
      <c r="NXC1370" s="110"/>
      <c r="NXD1370" s="110"/>
      <c r="NXE1370" s="110"/>
      <c r="NXF1370" s="110"/>
      <c r="NXG1370" s="110"/>
      <c r="NXH1370" s="110"/>
      <c r="NXI1370" s="110"/>
      <c r="NXJ1370" s="110"/>
      <c r="NXK1370" s="110"/>
      <c r="NXL1370" s="110"/>
      <c r="NXM1370" s="110"/>
      <c r="NXN1370" s="110"/>
      <c r="NXO1370" s="110"/>
      <c r="NXP1370" s="110"/>
      <c r="NXQ1370" s="110"/>
      <c r="NXR1370" s="110"/>
      <c r="NXS1370" s="110"/>
      <c r="NXT1370" s="110"/>
      <c r="NXU1370" s="110"/>
      <c r="NXV1370" s="110"/>
      <c r="NXW1370" s="110"/>
      <c r="NXX1370" s="110"/>
      <c r="NXY1370" s="110"/>
      <c r="NXZ1370" s="110"/>
      <c r="NYA1370" s="110"/>
      <c r="NYB1370" s="110"/>
      <c r="NYC1370" s="110"/>
      <c r="NYD1370" s="110"/>
      <c r="NYE1370" s="110"/>
      <c r="NYF1370" s="110"/>
      <c r="NYG1370" s="110"/>
      <c r="NYH1370" s="110"/>
      <c r="NYI1370" s="110"/>
      <c r="NYJ1370" s="110"/>
      <c r="NYK1370" s="110"/>
      <c r="NYL1370" s="110"/>
      <c r="NYM1370" s="110"/>
      <c r="NYN1370" s="110"/>
      <c r="NYO1370" s="110"/>
      <c r="NYP1370" s="110"/>
      <c r="NYQ1370" s="110"/>
      <c r="NYR1370" s="110"/>
      <c r="NYS1370" s="110"/>
      <c r="NYT1370" s="110"/>
      <c r="NYU1370" s="110"/>
      <c r="NYV1370" s="110"/>
      <c r="NYW1370" s="110"/>
      <c r="NYX1370" s="110"/>
      <c r="NYY1370" s="110"/>
      <c r="NYZ1370" s="110"/>
      <c r="NZA1370" s="110"/>
      <c r="NZB1370" s="110"/>
      <c r="NZC1370" s="110"/>
      <c r="NZD1370" s="110"/>
      <c r="NZE1370" s="110"/>
      <c r="NZF1370" s="110"/>
      <c r="NZG1370" s="110"/>
      <c r="NZH1370" s="110"/>
      <c r="NZI1370" s="110"/>
      <c r="NZJ1370" s="110"/>
      <c r="NZK1370" s="110"/>
      <c r="NZL1370" s="110"/>
      <c r="NZM1370" s="110"/>
      <c r="NZN1370" s="110"/>
      <c r="NZO1370" s="110"/>
      <c r="NZP1370" s="110"/>
      <c r="NZQ1370" s="110"/>
      <c r="NZR1370" s="110"/>
      <c r="NZS1370" s="110"/>
      <c r="NZT1370" s="110"/>
      <c r="NZU1370" s="110"/>
      <c r="NZV1370" s="110"/>
      <c r="NZW1370" s="110"/>
      <c r="NZX1370" s="110"/>
      <c r="NZY1370" s="110"/>
      <c r="NZZ1370" s="110"/>
      <c r="OAA1370" s="110"/>
      <c r="OAB1370" s="110"/>
      <c r="OAC1370" s="110"/>
      <c r="OAD1370" s="110"/>
      <c r="OAE1370" s="110"/>
      <c r="OAF1370" s="110"/>
      <c r="OAG1370" s="110"/>
      <c r="OAH1370" s="110"/>
      <c r="OAI1370" s="110"/>
      <c r="OAJ1370" s="110"/>
      <c r="OAK1370" s="110"/>
      <c r="OAL1370" s="110"/>
      <c r="OAM1370" s="110"/>
      <c r="OAN1370" s="110"/>
      <c r="OAO1370" s="110"/>
      <c r="OAP1370" s="110"/>
      <c r="OAQ1370" s="110"/>
      <c r="OAR1370" s="110"/>
      <c r="OAS1370" s="110"/>
      <c r="OAT1370" s="110"/>
      <c r="OAU1370" s="110"/>
      <c r="OAV1370" s="110"/>
      <c r="OAW1370" s="110"/>
      <c r="OAX1370" s="110"/>
      <c r="OAY1370" s="110"/>
      <c r="OAZ1370" s="110"/>
      <c r="OBA1370" s="110"/>
      <c r="OBB1370" s="110"/>
      <c r="OBC1370" s="110"/>
      <c r="OBD1370" s="110"/>
      <c r="OBE1370" s="110"/>
      <c r="OBF1370" s="110"/>
      <c r="OBG1370" s="110"/>
      <c r="OBH1370" s="110"/>
      <c r="OBI1370" s="110"/>
      <c r="OBJ1370" s="110"/>
      <c r="OBK1370" s="110"/>
      <c r="OBL1370" s="110"/>
      <c r="OBM1370" s="110"/>
      <c r="OBN1370" s="110"/>
      <c r="OBO1370" s="110"/>
      <c r="OBP1370" s="110"/>
      <c r="OBQ1370" s="110"/>
      <c r="OBR1370" s="110"/>
      <c r="OBS1370" s="110"/>
      <c r="OBT1370" s="110"/>
      <c r="OBU1370" s="110"/>
      <c r="OBV1370" s="110"/>
      <c r="OBW1370" s="110"/>
      <c r="OBX1370" s="110"/>
      <c r="OBY1370" s="110"/>
      <c r="OBZ1370" s="110"/>
      <c r="OCA1370" s="110"/>
      <c r="OCB1370" s="110"/>
      <c r="OCC1370" s="110"/>
      <c r="OCD1370" s="110"/>
      <c r="OCE1370" s="110"/>
      <c r="OCF1370" s="110"/>
      <c r="OCG1370" s="110"/>
      <c r="OCH1370" s="110"/>
      <c r="OCI1370" s="110"/>
      <c r="OCJ1370" s="110"/>
      <c r="OCK1370" s="110"/>
      <c r="OCL1370" s="110"/>
      <c r="OCM1370" s="110"/>
      <c r="OCN1370" s="110"/>
      <c r="OCO1370" s="110"/>
      <c r="OCP1370" s="110"/>
      <c r="OCQ1370" s="110"/>
      <c r="OCR1370" s="110"/>
      <c r="OCS1370" s="110"/>
      <c r="OCT1370" s="110"/>
      <c r="OCU1370" s="110"/>
      <c r="OCV1370" s="110"/>
      <c r="OCW1370" s="110"/>
      <c r="OCX1370" s="110"/>
      <c r="OCY1370" s="110"/>
      <c r="OCZ1370" s="110"/>
      <c r="ODA1370" s="110"/>
      <c r="ODB1370" s="110"/>
      <c r="ODC1370" s="110"/>
      <c r="ODD1370" s="110"/>
      <c r="ODE1370" s="110"/>
      <c r="ODF1370" s="110"/>
      <c r="ODG1370" s="110"/>
      <c r="ODH1370" s="110"/>
      <c r="ODI1370" s="110"/>
      <c r="ODJ1370" s="110"/>
      <c r="ODK1370" s="110"/>
      <c r="ODL1370" s="110"/>
      <c r="ODM1370" s="110"/>
      <c r="ODN1370" s="110"/>
      <c r="ODO1370" s="110"/>
      <c r="ODP1370" s="110"/>
      <c r="ODQ1370" s="110"/>
      <c r="ODR1370" s="110"/>
      <c r="ODS1370" s="110"/>
      <c r="ODT1370" s="110"/>
      <c r="ODU1370" s="110"/>
      <c r="ODV1370" s="110"/>
      <c r="ODW1370" s="110"/>
      <c r="ODX1370" s="110"/>
      <c r="ODY1370" s="110"/>
      <c r="ODZ1370" s="110"/>
      <c r="OEA1370" s="110"/>
      <c r="OEB1370" s="110"/>
      <c r="OEC1370" s="110"/>
      <c r="OED1370" s="110"/>
      <c r="OEE1370" s="110"/>
      <c r="OEF1370" s="110"/>
      <c r="OEG1370" s="110"/>
      <c r="OEH1370" s="110"/>
      <c r="OEI1370" s="110"/>
      <c r="OEJ1370" s="110"/>
      <c r="OEK1370" s="110"/>
      <c r="OEL1370" s="110"/>
      <c r="OEM1370" s="110"/>
      <c r="OEN1370" s="110"/>
      <c r="OEO1370" s="110"/>
      <c r="OEP1370" s="110"/>
      <c r="OEQ1370" s="110"/>
      <c r="OER1370" s="110"/>
      <c r="OES1370" s="110"/>
      <c r="OET1370" s="110"/>
      <c r="OEU1370" s="110"/>
      <c r="OEV1370" s="110"/>
      <c r="OEW1370" s="110"/>
      <c r="OEX1370" s="110"/>
      <c r="OEY1370" s="110"/>
      <c r="OEZ1370" s="110"/>
      <c r="OFA1370" s="110"/>
      <c r="OFB1370" s="110"/>
      <c r="OFC1370" s="110"/>
      <c r="OFD1370" s="110"/>
      <c r="OFE1370" s="110"/>
      <c r="OFF1370" s="110"/>
      <c r="OFG1370" s="110"/>
      <c r="OFH1370" s="110"/>
      <c r="OFI1370" s="110"/>
      <c r="OFJ1370" s="110"/>
      <c r="OFK1370" s="110"/>
      <c r="OFL1370" s="110"/>
      <c r="OFM1370" s="110"/>
      <c r="OFN1370" s="110"/>
      <c r="OFO1370" s="110"/>
      <c r="OFP1370" s="110"/>
      <c r="OFQ1370" s="110"/>
      <c r="OFR1370" s="110"/>
      <c r="OFS1370" s="110"/>
      <c r="OFT1370" s="110"/>
      <c r="OFU1370" s="110"/>
      <c r="OFV1370" s="110"/>
      <c r="OFW1370" s="110"/>
      <c r="OFX1370" s="110"/>
      <c r="OFY1370" s="110"/>
      <c r="OFZ1370" s="110"/>
      <c r="OGA1370" s="110"/>
      <c r="OGB1370" s="110"/>
      <c r="OGC1370" s="110"/>
      <c r="OGD1370" s="110"/>
      <c r="OGE1370" s="110"/>
      <c r="OGF1370" s="110"/>
      <c r="OGG1370" s="110"/>
      <c r="OGH1370" s="110"/>
      <c r="OGI1370" s="110"/>
      <c r="OGJ1370" s="110"/>
      <c r="OGK1370" s="110"/>
      <c r="OGL1370" s="110"/>
      <c r="OGM1370" s="110"/>
      <c r="OGN1370" s="110"/>
      <c r="OGO1370" s="110"/>
      <c r="OGP1370" s="110"/>
      <c r="OGQ1370" s="110"/>
      <c r="OGR1370" s="110"/>
      <c r="OGS1370" s="110"/>
      <c r="OGT1370" s="110"/>
      <c r="OGU1370" s="110"/>
      <c r="OGV1370" s="110"/>
      <c r="OGW1370" s="110"/>
      <c r="OGX1370" s="110"/>
      <c r="OGY1370" s="110"/>
      <c r="OGZ1370" s="110"/>
      <c r="OHA1370" s="110"/>
      <c r="OHB1370" s="110"/>
      <c r="OHC1370" s="110"/>
      <c r="OHD1370" s="110"/>
      <c r="OHE1370" s="110"/>
      <c r="OHF1370" s="110"/>
      <c r="OHG1370" s="110"/>
      <c r="OHH1370" s="110"/>
      <c r="OHI1370" s="110"/>
      <c r="OHJ1370" s="110"/>
      <c r="OHK1370" s="110"/>
      <c r="OHL1370" s="110"/>
      <c r="OHM1370" s="110"/>
      <c r="OHN1370" s="110"/>
      <c r="OHO1370" s="110"/>
      <c r="OHP1370" s="110"/>
      <c r="OHQ1370" s="110"/>
      <c r="OHR1370" s="110"/>
      <c r="OHS1370" s="110"/>
      <c r="OHT1370" s="110"/>
      <c r="OHU1370" s="110"/>
      <c r="OHV1370" s="110"/>
      <c r="OHW1370" s="110"/>
      <c r="OHX1370" s="110"/>
      <c r="OHY1370" s="110"/>
      <c r="OHZ1370" s="110"/>
      <c r="OIA1370" s="110"/>
      <c r="OIB1370" s="110"/>
      <c r="OIC1370" s="110"/>
      <c r="OID1370" s="110"/>
      <c r="OIE1370" s="110"/>
      <c r="OIF1370" s="110"/>
      <c r="OIG1370" s="110"/>
      <c r="OIH1370" s="110"/>
      <c r="OII1370" s="110"/>
      <c r="OIJ1370" s="110"/>
      <c r="OIK1370" s="110"/>
      <c r="OIL1370" s="110"/>
      <c r="OIM1370" s="110"/>
      <c r="OIN1370" s="110"/>
      <c r="OIO1370" s="110"/>
      <c r="OIP1370" s="110"/>
      <c r="OIQ1370" s="110"/>
      <c r="OIR1370" s="110"/>
      <c r="OIS1370" s="110"/>
      <c r="OIT1370" s="110"/>
      <c r="OIU1370" s="110"/>
      <c r="OIV1370" s="110"/>
      <c r="OIW1370" s="110"/>
      <c r="OIX1370" s="110"/>
      <c r="OIY1370" s="110"/>
      <c r="OIZ1370" s="110"/>
      <c r="OJA1370" s="110"/>
      <c r="OJB1370" s="110"/>
      <c r="OJC1370" s="110"/>
      <c r="OJD1370" s="110"/>
      <c r="OJE1370" s="110"/>
      <c r="OJF1370" s="110"/>
      <c r="OJG1370" s="110"/>
      <c r="OJH1370" s="110"/>
      <c r="OJI1370" s="110"/>
      <c r="OJJ1370" s="110"/>
      <c r="OJK1370" s="110"/>
      <c r="OJL1370" s="110"/>
      <c r="OJM1370" s="110"/>
      <c r="OJN1370" s="110"/>
      <c r="OJO1370" s="110"/>
      <c r="OJP1370" s="110"/>
      <c r="OJQ1370" s="110"/>
      <c r="OJR1370" s="110"/>
      <c r="OJS1370" s="110"/>
      <c r="OJT1370" s="110"/>
      <c r="OJU1370" s="110"/>
      <c r="OJV1370" s="110"/>
      <c r="OJW1370" s="110"/>
      <c r="OJX1370" s="110"/>
      <c r="OJY1370" s="110"/>
      <c r="OJZ1370" s="110"/>
      <c r="OKA1370" s="110"/>
      <c r="OKB1370" s="110"/>
      <c r="OKC1370" s="110"/>
      <c r="OKD1370" s="110"/>
      <c r="OKE1370" s="110"/>
      <c r="OKF1370" s="110"/>
      <c r="OKG1370" s="110"/>
      <c r="OKH1370" s="110"/>
      <c r="OKI1370" s="110"/>
      <c r="OKJ1370" s="110"/>
      <c r="OKK1370" s="110"/>
      <c r="OKL1370" s="110"/>
      <c r="OKM1370" s="110"/>
      <c r="OKN1370" s="110"/>
      <c r="OKO1370" s="110"/>
      <c r="OKP1370" s="110"/>
      <c r="OKQ1370" s="110"/>
      <c r="OKR1370" s="110"/>
      <c r="OKS1370" s="110"/>
      <c r="OKT1370" s="110"/>
      <c r="OKU1370" s="110"/>
      <c r="OKV1370" s="110"/>
      <c r="OKW1370" s="110"/>
      <c r="OKX1370" s="110"/>
      <c r="OKY1370" s="110"/>
      <c r="OKZ1370" s="110"/>
      <c r="OLA1370" s="110"/>
      <c r="OLB1370" s="110"/>
      <c r="OLC1370" s="110"/>
      <c r="OLD1370" s="110"/>
      <c r="OLE1370" s="110"/>
      <c r="OLF1370" s="110"/>
      <c r="OLG1370" s="110"/>
      <c r="OLH1370" s="110"/>
      <c r="OLI1370" s="110"/>
      <c r="OLJ1370" s="110"/>
      <c r="OLK1370" s="110"/>
      <c r="OLL1370" s="110"/>
      <c r="OLM1370" s="110"/>
      <c r="OLN1370" s="110"/>
      <c r="OLO1370" s="110"/>
      <c r="OLP1370" s="110"/>
      <c r="OLQ1370" s="110"/>
      <c r="OLR1370" s="110"/>
      <c r="OLS1370" s="110"/>
      <c r="OLT1370" s="110"/>
      <c r="OLU1370" s="110"/>
      <c r="OLV1370" s="110"/>
      <c r="OLW1370" s="110"/>
      <c r="OLX1370" s="110"/>
      <c r="OLY1370" s="110"/>
      <c r="OLZ1370" s="110"/>
      <c r="OMA1370" s="110"/>
      <c r="OMB1370" s="110"/>
      <c r="OMC1370" s="110"/>
      <c r="OMD1370" s="110"/>
      <c r="OME1370" s="110"/>
      <c r="OMF1370" s="110"/>
      <c r="OMG1370" s="110"/>
      <c r="OMH1370" s="110"/>
      <c r="OMI1370" s="110"/>
      <c r="OMJ1370" s="110"/>
      <c r="OMK1370" s="110"/>
      <c r="OML1370" s="110"/>
      <c r="OMM1370" s="110"/>
      <c r="OMN1370" s="110"/>
      <c r="OMO1370" s="110"/>
      <c r="OMP1370" s="110"/>
      <c r="OMQ1370" s="110"/>
      <c r="OMR1370" s="110"/>
      <c r="OMS1370" s="110"/>
      <c r="OMT1370" s="110"/>
      <c r="OMU1370" s="110"/>
      <c r="OMV1370" s="110"/>
      <c r="OMW1370" s="110"/>
      <c r="OMX1370" s="110"/>
      <c r="OMY1370" s="110"/>
      <c r="OMZ1370" s="110"/>
      <c r="ONA1370" s="110"/>
      <c r="ONB1370" s="110"/>
      <c r="ONC1370" s="110"/>
      <c r="OND1370" s="110"/>
      <c r="ONE1370" s="110"/>
      <c r="ONF1370" s="110"/>
      <c r="ONG1370" s="110"/>
      <c r="ONH1370" s="110"/>
      <c r="ONI1370" s="110"/>
      <c r="ONJ1370" s="110"/>
      <c r="ONK1370" s="110"/>
      <c r="ONL1370" s="110"/>
      <c r="ONM1370" s="110"/>
      <c r="ONN1370" s="110"/>
      <c r="ONO1370" s="110"/>
      <c r="ONP1370" s="110"/>
      <c r="ONQ1370" s="110"/>
      <c r="ONR1370" s="110"/>
      <c r="ONS1370" s="110"/>
      <c r="ONT1370" s="110"/>
      <c r="ONU1370" s="110"/>
      <c r="ONV1370" s="110"/>
      <c r="ONW1370" s="110"/>
      <c r="ONX1370" s="110"/>
      <c r="ONY1370" s="110"/>
      <c r="ONZ1370" s="110"/>
      <c r="OOA1370" s="110"/>
      <c r="OOB1370" s="110"/>
      <c r="OOC1370" s="110"/>
      <c r="OOD1370" s="110"/>
      <c r="OOE1370" s="110"/>
      <c r="OOF1370" s="110"/>
      <c r="OOG1370" s="110"/>
      <c r="OOH1370" s="110"/>
      <c r="OOI1370" s="110"/>
      <c r="OOJ1370" s="110"/>
      <c r="OOK1370" s="110"/>
      <c r="OOL1370" s="110"/>
      <c r="OOM1370" s="110"/>
      <c r="OON1370" s="110"/>
      <c r="OOO1370" s="110"/>
      <c r="OOP1370" s="110"/>
      <c r="OOQ1370" s="110"/>
      <c r="OOR1370" s="110"/>
      <c r="OOS1370" s="110"/>
      <c r="OOT1370" s="110"/>
      <c r="OOU1370" s="110"/>
      <c r="OOV1370" s="110"/>
      <c r="OOW1370" s="110"/>
      <c r="OOX1370" s="110"/>
      <c r="OOY1370" s="110"/>
      <c r="OOZ1370" s="110"/>
      <c r="OPA1370" s="110"/>
      <c r="OPB1370" s="110"/>
      <c r="OPC1370" s="110"/>
      <c r="OPD1370" s="110"/>
      <c r="OPE1370" s="110"/>
      <c r="OPF1370" s="110"/>
      <c r="OPG1370" s="110"/>
      <c r="OPH1370" s="110"/>
      <c r="OPI1370" s="110"/>
      <c r="OPJ1370" s="110"/>
      <c r="OPK1370" s="110"/>
      <c r="OPL1370" s="110"/>
      <c r="OPM1370" s="110"/>
      <c r="OPN1370" s="110"/>
      <c r="OPO1370" s="110"/>
      <c r="OPP1370" s="110"/>
      <c r="OPQ1370" s="110"/>
      <c r="OPR1370" s="110"/>
      <c r="OPS1370" s="110"/>
      <c r="OPT1370" s="110"/>
      <c r="OPU1370" s="110"/>
      <c r="OPV1370" s="110"/>
      <c r="OPW1370" s="110"/>
      <c r="OPX1370" s="110"/>
      <c r="OPY1370" s="110"/>
      <c r="OPZ1370" s="110"/>
      <c r="OQA1370" s="110"/>
      <c r="OQB1370" s="110"/>
      <c r="OQC1370" s="110"/>
      <c r="OQD1370" s="110"/>
      <c r="OQE1370" s="110"/>
      <c r="OQF1370" s="110"/>
      <c r="OQG1370" s="110"/>
      <c r="OQH1370" s="110"/>
      <c r="OQI1370" s="110"/>
      <c r="OQJ1370" s="110"/>
      <c r="OQK1370" s="110"/>
      <c r="OQL1370" s="110"/>
      <c r="OQM1370" s="110"/>
      <c r="OQN1370" s="110"/>
      <c r="OQO1370" s="110"/>
      <c r="OQP1370" s="110"/>
      <c r="OQQ1370" s="110"/>
      <c r="OQR1370" s="110"/>
      <c r="OQS1370" s="110"/>
      <c r="OQT1370" s="110"/>
      <c r="OQU1370" s="110"/>
      <c r="OQV1370" s="110"/>
      <c r="OQW1370" s="110"/>
      <c r="OQX1370" s="110"/>
      <c r="OQY1370" s="110"/>
      <c r="OQZ1370" s="110"/>
      <c r="ORA1370" s="110"/>
      <c r="ORB1370" s="110"/>
      <c r="ORC1370" s="110"/>
      <c r="ORD1370" s="110"/>
      <c r="ORE1370" s="110"/>
      <c r="ORF1370" s="110"/>
      <c r="ORG1370" s="110"/>
      <c r="ORH1370" s="110"/>
      <c r="ORI1370" s="110"/>
      <c r="ORJ1370" s="110"/>
      <c r="ORK1370" s="110"/>
      <c r="ORL1370" s="110"/>
      <c r="ORM1370" s="110"/>
      <c r="ORN1370" s="110"/>
      <c r="ORO1370" s="110"/>
      <c r="ORP1370" s="110"/>
      <c r="ORQ1370" s="110"/>
      <c r="ORR1370" s="110"/>
      <c r="ORS1370" s="110"/>
      <c r="ORT1370" s="110"/>
      <c r="ORU1370" s="110"/>
      <c r="ORV1370" s="110"/>
      <c r="ORW1370" s="110"/>
      <c r="ORX1370" s="110"/>
      <c r="ORY1370" s="110"/>
      <c r="ORZ1370" s="110"/>
      <c r="OSA1370" s="110"/>
      <c r="OSB1370" s="110"/>
      <c r="OSC1370" s="110"/>
      <c r="OSD1370" s="110"/>
      <c r="OSE1370" s="110"/>
      <c r="OSF1370" s="110"/>
      <c r="OSG1370" s="110"/>
      <c r="OSH1370" s="110"/>
      <c r="OSI1370" s="110"/>
      <c r="OSJ1370" s="110"/>
      <c r="OSK1370" s="110"/>
      <c r="OSL1370" s="110"/>
      <c r="OSM1370" s="110"/>
      <c r="OSN1370" s="110"/>
      <c r="OSO1370" s="110"/>
      <c r="OSP1370" s="110"/>
      <c r="OSQ1370" s="110"/>
      <c r="OSR1370" s="110"/>
      <c r="OSS1370" s="110"/>
      <c r="OST1370" s="110"/>
      <c r="OSU1370" s="110"/>
      <c r="OSV1370" s="110"/>
      <c r="OSW1370" s="110"/>
      <c r="OSX1370" s="110"/>
      <c r="OSY1370" s="110"/>
      <c r="OSZ1370" s="110"/>
      <c r="OTA1370" s="110"/>
      <c r="OTB1370" s="110"/>
      <c r="OTC1370" s="110"/>
      <c r="OTD1370" s="110"/>
      <c r="OTE1370" s="110"/>
      <c r="OTF1370" s="110"/>
      <c r="OTG1370" s="110"/>
      <c r="OTH1370" s="110"/>
      <c r="OTI1370" s="110"/>
      <c r="OTJ1370" s="110"/>
      <c r="OTK1370" s="110"/>
      <c r="OTL1370" s="110"/>
      <c r="OTM1370" s="110"/>
      <c r="OTN1370" s="110"/>
      <c r="OTO1370" s="110"/>
      <c r="OTP1370" s="110"/>
      <c r="OTQ1370" s="110"/>
      <c r="OTR1370" s="110"/>
      <c r="OTS1370" s="110"/>
      <c r="OTT1370" s="110"/>
      <c r="OTU1370" s="110"/>
      <c r="OTV1370" s="110"/>
      <c r="OTW1370" s="110"/>
      <c r="OTX1370" s="110"/>
      <c r="OTY1370" s="110"/>
      <c r="OTZ1370" s="110"/>
      <c r="OUA1370" s="110"/>
      <c r="OUB1370" s="110"/>
      <c r="OUC1370" s="110"/>
      <c r="OUD1370" s="110"/>
      <c r="OUE1370" s="110"/>
      <c r="OUF1370" s="110"/>
      <c r="OUG1370" s="110"/>
      <c r="OUH1370" s="110"/>
      <c r="OUI1370" s="110"/>
      <c r="OUJ1370" s="110"/>
      <c r="OUK1370" s="110"/>
      <c r="OUL1370" s="110"/>
      <c r="OUM1370" s="110"/>
      <c r="OUN1370" s="110"/>
      <c r="OUO1370" s="110"/>
      <c r="OUP1370" s="110"/>
      <c r="OUQ1370" s="110"/>
      <c r="OUR1370" s="110"/>
      <c r="OUS1370" s="110"/>
      <c r="OUT1370" s="110"/>
      <c r="OUU1370" s="110"/>
      <c r="OUV1370" s="110"/>
      <c r="OUW1370" s="110"/>
      <c r="OUX1370" s="110"/>
      <c r="OUY1370" s="110"/>
      <c r="OUZ1370" s="110"/>
      <c r="OVA1370" s="110"/>
      <c r="OVB1370" s="110"/>
      <c r="OVC1370" s="110"/>
      <c r="OVD1370" s="110"/>
      <c r="OVE1370" s="110"/>
      <c r="OVF1370" s="110"/>
      <c r="OVG1370" s="110"/>
      <c r="OVH1370" s="110"/>
      <c r="OVI1370" s="110"/>
      <c r="OVJ1370" s="110"/>
      <c r="OVK1370" s="110"/>
      <c r="OVL1370" s="110"/>
      <c r="OVM1370" s="110"/>
      <c r="OVN1370" s="110"/>
      <c r="OVO1370" s="110"/>
      <c r="OVP1370" s="110"/>
      <c r="OVQ1370" s="110"/>
      <c r="OVR1370" s="110"/>
      <c r="OVS1370" s="110"/>
      <c r="OVT1370" s="110"/>
      <c r="OVU1370" s="110"/>
      <c r="OVV1370" s="110"/>
      <c r="OVW1370" s="110"/>
      <c r="OVX1370" s="110"/>
      <c r="OVY1370" s="110"/>
      <c r="OVZ1370" s="110"/>
      <c r="OWA1370" s="110"/>
      <c r="OWB1370" s="110"/>
      <c r="OWC1370" s="110"/>
      <c r="OWD1370" s="110"/>
      <c r="OWE1370" s="110"/>
      <c r="OWF1370" s="110"/>
      <c r="OWG1370" s="110"/>
      <c r="OWH1370" s="110"/>
      <c r="OWI1370" s="110"/>
      <c r="OWJ1370" s="110"/>
      <c r="OWK1370" s="110"/>
      <c r="OWL1370" s="110"/>
      <c r="OWM1370" s="110"/>
      <c r="OWN1370" s="110"/>
      <c r="OWO1370" s="110"/>
      <c r="OWP1370" s="110"/>
      <c r="OWQ1370" s="110"/>
      <c r="OWR1370" s="110"/>
      <c r="OWS1370" s="110"/>
      <c r="OWT1370" s="110"/>
      <c r="OWU1370" s="110"/>
      <c r="OWV1370" s="110"/>
      <c r="OWW1370" s="110"/>
      <c r="OWX1370" s="110"/>
      <c r="OWY1370" s="110"/>
      <c r="OWZ1370" s="110"/>
      <c r="OXA1370" s="110"/>
      <c r="OXB1370" s="110"/>
      <c r="OXC1370" s="110"/>
      <c r="OXD1370" s="110"/>
      <c r="OXE1370" s="110"/>
      <c r="OXF1370" s="110"/>
      <c r="OXG1370" s="110"/>
      <c r="OXH1370" s="110"/>
      <c r="OXI1370" s="110"/>
      <c r="OXJ1370" s="110"/>
      <c r="OXK1370" s="110"/>
      <c r="OXL1370" s="110"/>
      <c r="OXM1370" s="110"/>
      <c r="OXN1370" s="110"/>
      <c r="OXO1370" s="110"/>
      <c r="OXP1370" s="110"/>
      <c r="OXQ1370" s="110"/>
      <c r="OXR1370" s="110"/>
      <c r="OXS1370" s="110"/>
      <c r="OXT1370" s="110"/>
      <c r="OXU1370" s="110"/>
      <c r="OXV1370" s="110"/>
      <c r="OXW1370" s="110"/>
      <c r="OXX1370" s="110"/>
      <c r="OXY1370" s="110"/>
      <c r="OXZ1370" s="110"/>
      <c r="OYA1370" s="110"/>
      <c r="OYB1370" s="110"/>
      <c r="OYC1370" s="110"/>
      <c r="OYD1370" s="110"/>
      <c r="OYE1370" s="110"/>
      <c r="OYF1370" s="110"/>
      <c r="OYG1370" s="110"/>
      <c r="OYH1370" s="110"/>
      <c r="OYI1370" s="110"/>
      <c r="OYJ1370" s="110"/>
      <c r="OYK1370" s="110"/>
      <c r="OYL1370" s="110"/>
      <c r="OYM1370" s="110"/>
      <c r="OYN1370" s="110"/>
      <c r="OYO1370" s="110"/>
      <c r="OYP1370" s="110"/>
      <c r="OYQ1370" s="110"/>
      <c r="OYR1370" s="110"/>
      <c r="OYS1370" s="110"/>
      <c r="OYT1370" s="110"/>
      <c r="OYU1370" s="110"/>
      <c r="OYV1370" s="110"/>
      <c r="OYW1370" s="110"/>
      <c r="OYX1370" s="110"/>
      <c r="OYY1370" s="110"/>
      <c r="OYZ1370" s="110"/>
      <c r="OZA1370" s="110"/>
      <c r="OZB1370" s="110"/>
      <c r="OZC1370" s="110"/>
      <c r="OZD1370" s="110"/>
      <c r="OZE1370" s="110"/>
      <c r="OZF1370" s="110"/>
      <c r="OZG1370" s="110"/>
      <c r="OZH1370" s="110"/>
      <c r="OZI1370" s="110"/>
      <c r="OZJ1370" s="110"/>
      <c r="OZK1370" s="110"/>
      <c r="OZL1370" s="110"/>
      <c r="OZM1370" s="110"/>
      <c r="OZN1370" s="110"/>
      <c r="OZO1370" s="110"/>
      <c r="OZP1370" s="110"/>
      <c r="OZQ1370" s="110"/>
      <c r="OZR1370" s="110"/>
      <c r="OZS1370" s="110"/>
      <c r="OZT1370" s="110"/>
      <c r="OZU1370" s="110"/>
      <c r="OZV1370" s="110"/>
      <c r="OZW1370" s="110"/>
      <c r="OZX1370" s="110"/>
      <c r="OZY1370" s="110"/>
      <c r="OZZ1370" s="110"/>
      <c r="PAA1370" s="110"/>
      <c r="PAB1370" s="110"/>
      <c r="PAC1370" s="110"/>
      <c r="PAD1370" s="110"/>
      <c r="PAE1370" s="110"/>
      <c r="PAF1370" s="110"/>
      <c r="PAG1370" s="110"/>
      <c r="PAH1370" s="110"/>
      <c r="PAI1370" s="110"/>
      <c r="PAJ1370" s="110"/>
      <c r="PAK1370" s="110"/>
      <c r="PAL1370" s="110"/>
      <c r="PAM1370" s="110"/>
      <c r="PAN1370" s="110"/>
      <c r="PAO1370" s="110"/>
      <c r="PAP1370" s="110"/>
      <c r="PAQ1370" s="110"/>
      <c r="PAR1370" s="110"/>
      <c r="PAS1370" s="110"/>
      <c r="PAT1370" s="110"/>
      <c r="PAU1370" s="110"/>
      <c r="PAV1370" s="110"/>
      <c r="PAW1370" s="110"/>
      <c r="PAX1370" s="110"/>
      <c r="PAY1370" s="110"/>
      <c r="PAZ1370" s="110"/>
      <c r="PBA1370" s="110"/>
      <c r="PBB1370" s="110"/>
      <c r="PBC1370" s="110"/>
      <c r="PBD1370" s="110"/>
      <c r="PBE1370" s="110"/>
      <c r="PBF1370" s="110"/>
      <c r="PBG1370" s="110"/>
      <c r="PBH1370" s="110"/>
      <c r="PBI1370" s="110"/>
      <c r="PBJ1370" s="110"/>
      <c r="PBK1370" s="110"/>
      <c r="PBL1370" s="110"/>
      <c r="PBM1370" s="110"/>
      <c r="PBN1370" s="110"/>
      <c r="PBO1370" s="110"/>
      <c r="PBP1370" s="110"/>
      <c r="PBQ1370" s="110"/>
      <c r="PBR1370" s="110"/>
      <c r="PBS1370" s="110"/>
      <c r="PBT1370" s="110"/>
      <c r="PBU1370" s="110"/>
      <c r="PBV1370" s="110"/>
      <c r="PBW1370" s="110"/>
      <c r="PBX1370" s="110"/>
      <c r="PBY1370" s="110"/>
      <c r="PBZ1370" s="110"/>
      <c r="PCA1370" s="110"/>
      <c r="PCB1370" s="110"/>
      <c r="PCC1370" s="110"/>
      <c r="PCD1370" s="110"/>
      <c r="PCE1370" s="110"/>
      <c r="PCF1370" s="110"/>
      <c r="PCG1370" s="110"/>
      <c r="PCH1370" s="110"/>
      <c r="PCI1370" s="110"/>
      <c r="PCJ1370" s="110"/>
      <c r="PCK1370" s="110"/>
      <c r="PCL1370" s="110"/>
      <c r="PCM1370" s="110"/>
      <c r="PCN1370" s="110"/>
      <c r="PCO1370" s="110"/>
      <c r="PCP1370" s="110"/>
      <c r="PCQ1370" s="110"/>
      <c r="PCR1370" s="110"/>
      <c r="PCS1370" s="110"/>
      <c r="PCT1370" s="110"/>
      <c r="PCU1370" s="110"/>
      <c r="PCV1370" s="110"/>
      <c r="PCW1370" s="110"/>
      <c r="PCX1370" s="110"/>
      <c r="PCY1370" s="110"/>
      <c r="PCZ1370" s="110"/>
      <c r="PDA1370" s="110"/>
      <c r="PDB1370" s="110"/>
      <c r="PDC1370" s="110"/>
      <c r="PDD1370" s="110"/>
      <c r="PDE1370" s="110"/>
      <c r="PDF1370" s="110"/>
      <c r="PDG1370" s="110"/>
      <c r="PDH1370" s="110"/>
      <c r="PDI1370" s="110"/>
      <c r="PDJ1370" s="110"/>
      <c r="PDK1370" s="110"/>
      <c r="PDL1370" s="110"/>
      <c r="PDM1370" s="110"/>
      <c r="PDN1370" s="110"/>
      <c r="PDO1370" s="110"/>
      <c r="PDP1370" s="110"/>
      <c r="PDQ1370" s="110"/>
      <c r="PDR1370" s="110"/>
      <c r="PDS1370" s="110"/>
      <c r="PDT1370" s="110"/>
      <c r="PDU1370" s="110"/>
      <c r="PDV1370" s="110"/>
      <c r="PDW1370" s="110"/>
      <c r="PDX1370" s="110"/>
      <c r="PDY1370" s="110"/>
      <c r="PDZ1370" s="110"/>
      <c r="PEA1370" s="110"/>
      <c r="PEB1370" s="110"/>
      <c r="PEC1370" s="110"/>
      <c r="PED1370" s="110"/>
      <c r="PEE1370" s="110"/>
      <c r="PEF1370" s="110"/>
      <c r="PEG1370" s="110"/>
      <c r="PEH1370" s="110"/>
      <c r="PEI1370" s="110"/>
      <c r="PEJ1370" s="110"/>
      <c r="PEK1370" s="110"/>
      <c r="PEL1370" s="110"/>
      <c r="PEM1370" s="110"/>
      <c r="PEN1370" s="110"/>
      <c r="PEO1370" s="110"/>
      <c r="PEP1370" s="110"/>
      <c r="PEQ1370" s="110"/>
      <c r="PER1370" s="110"/>
      <c r="PES1370" s="110"/>
      <c r="PET1370" s="110"/>
      <c r="PEU1370" s="110"/>
      <c r="PEV1370" s="110"/>
      <c r="PEW1370" s="110"/>
      <c r="PEX1370" s="110"/>
      <c r="PEY1370" s="110"/>
      <c r="PEZ1370" s="110"/>
      <c r="PFA1370" s="110"/>
      <c r="PFB1370" s="110"/>
      <c r="PFC1370" s="110"/>
      <c r="PFD1370" s="110"/>
      <c r="PFE1370" s="110"/>
      <c r="PFF1370" s="110"/>
      <c r="PFG1370" s="110"/>
      <c r="PFH1370" s="110"/>
      <c r="PFI1370" s="110"/>
      <c r="PFJ1370" s="110"/>
      <c r="PFK1370" s="110"/>
      <c r="PFL1370" s="110"/>
      <c r="PFM1370" s="110"/>
      <c r="PFN1370" s="110"/>
      <c r="PFO1370" s="110"/>
      <c r="PFP1370" s="110"/>
      <c r="PFQ1370" s="110"/>
      <c r="PFR1370" s="110"/>
      <c r="PFS1370" s="110"/>
      <c r="PFT1370" s="110"/>
      <c r="PFU1370" s="110"/>
      <c r="PFV1370" s="110"/>
      <c r="PFW1370" s="110"/>
      <c r="PFX1370" s="110"/>
      <c r="PFY1370" s="110"/>
      <c r="PFZ1370" s="110"/>
      <c r="PGA1370" s="110"/>
      <c r="PGB1370" s="110"/>
      <c r="PGC1370" s="110"/>
      <c r="PGD1370" s="110"/>
      <c r="PGE1370" s="110"/>
      <c r="PGF1370" s="110"/>
      <c r="PGG1370" s="110"/>
      <c r="PGH1370" s="110"/>
      <c r="PGI1370" s="110"/>
      <c r="PGJ1370" s="110"/>
      <c r="PGK1370" s="110"/>
      <c r="PGL1370" s="110"/>
      <c r="PGM1370" s="110"/>
      <c r="PGN1370" s="110"/>
      <c r="PGO1370" s="110"/>
      <c r="PGP1370" s="110"/>
      <c r="PGQ1370" s="110"/>
      <c r="PGR1370" s="110"/>
      <c r="PGS1370" s="110"/>
      <c r="PGT1370" s="110"/>
      <c r="PGU1370" s="110"/>
      <c r="PGV1370" s="110"/>
      <c r="PGW1370" s="110"/>
      <c r="PGX1370" s="110"/>
      <c r="PGY1370" s="110"/>
      <c r="PGZ1370" s="110"/>
      <c r="PHA1370" s="110"/>
      <c r="PHB1370" s="110"/>
      <c r="PHC1370" s="110"/>
      <c r="PHD1370" s="110"/>
      <c r="PHE1370" s="110"/>
      <c r="PHF1370" s="110"/>
      <c r="PHG1370" s="110"/>
      <c r="PHH1370" s="110"/>
      <c r="PHI1370" s="110"/>
      <c r="PHJ1370" s="110"/>
      <c r="PHK1370" s="110"/>
      <c r="PHL1370" s="110"/>
      <c r="PHM1370" s="110"/>
      <c r="PHN1370" s="110"/>
      <c r="PHO1370" s="110"/>
      <c r="PHP1370" s="110"/>
      <c r="PHQ1370" s="110"/>
      <c r="PHR1370" s="110"/>
      <c r="PHS1370" s="110"/>
      <c r="PHT1370" s="110"/>
      <c r="PHU1370" s="110"/>
      <c r="PHV1370" s="110"/>
      <c r="PHW1370" s="110"/>
      <c r="PHX1370" s="110"/>
      <c r="PHY1370" s="110"/>
      <c r="PHZ1370" s="110"/>
      <c r="PIA1370" s="110"/>
      <c r="PIB1370" s="110"/>
      <c r="PIC1370" s="110"/>
      <c r="PID1370" s="110"/>
      <c r="PIE1370" s="110"/>
      <c r="PIF1370" s="110"/>
      <c r="PIG1370" s="110"/>
      <c r="PIH1370" s="110"/>
      <c r="PII1370" s="110"/>
      <c r="PIJ1370" s="110"/>
      <c r="PIK1370" s="110"/>
      <c r="PIL1370" s="110"/>
      <c r="PIM1370" s="110"/>
      <c r="PIN1370" s="110"/>
      <c r="PIO1370" s="110"/>
      <c r="PIP1370" s="110"/>
      <c r="PIQ1370" s="110"/>
      <c r="PIR1370" s="110"/>
      <c r="PIS1370" s="110"/>
      <c r="PIT1370" s="110"/>
      <c r="PIU1370" s="110"/>
      <c r="PIV1370" s="110"/>
      <c r="PIW1370" s="110"/>
      <c r="PIX1370" s="110"/>
      <c r="PIY1370" s="110"/>
      <c r="PIZ1370" s="110"/>
      <c r="PJA1370" s="110"/>
      <c r="PJB1370" s="110"/>
      <c r="PJC1370" s="110"/>
      <c r="PJD1370" s="110"/>
      <c r="PJE1370" s="110"/>
      <c r="PJF1370" s="110"/>
      <c r="PJG1370" s="110"/>
      <c r="PJH1370" s="110"/>
      <c r="PJI1370" s="110"/>
      <c r="PJJ1370" s="110"/>
      <c r="PJK1370" s="110"/>
      <c r="PJL1370" s="110"/>
      <c r="PJM1370" s="110"/>
      <c r="PJN1370" s="110"/>
      <c r="PJO1370" s="110"/>
      <c r="PJP1370" s="110"/>
      <c r="PJQ1370" s="110"/>
      <c r="PJR1370" s="110"/>
      <c r="PJS1370" s="110"/>
      <c r="PJT1370" s="110"/>
      <c r="PJU1370" s="110"/>
      <c r="PJV1370" s="110"/>
      <c r="PJW1370" s="110"/>
      <c r="PJX1370" s="110"/>
      <c r="PJY1370" s="110"/>
      <c r="PJZ1370" s="110"/>
      <c r="PKA1370" s="110"/>
      <c r="PKB1370" s="110"/>
      <c r="PKC1370" s="110"/>
      <c r="PKD1370" s="110"/>
      <c r="PKE1370" s="110"/>
      <c r="PKF1370" s="110"/>
      <c r="PKG1370" s="110"/>
      <c r="PKH1370" s="110"/>
      <c r="PKI1370" s="110"/>
      <c r="PKJ1370" s="110"/>
      <c r="PKK1370" s="110"/>
      <c r="PKL1370" s="110"/>
      <c r="PKM1370" s="110"/>
      <c r="PKN1370" s="110"/>
      <c r="PKO1370" s="110"/>
      <c r="PKP1370" s="110"/>
      <c r="PKQ1370" s="110"/>
      <c r="PKR1370" s="110"/>
      <c r="PKS1370" s="110"/>
      <c r="PKT1370" s="110"/>
      <c r="PKU1370" s="110"/>
      <c r="PKV1370" s="110"/>
      <c r="PKW1370" s="110"/>
      <c r="PKX1370" s="110"/>
      <c r="PKY1370" s="110"/>
      <c r="PKZ1370" s="110"/>
      <c r="PLA1370" s="110"/>
      <c r="PLB1370" s="110"/>
      <c r="PLC1370" s="110"/>
      <c r="PLD1370" s="110"/>
      <c r="PLE1370" s="110"/>
      <c r="PLF1370" s="110"/>
      <c r="PLG1370" s="110"/>
      <c r="PLH1370" s="110"/>
      <c r="PLI1370" s="110"/>
      <c r="PLJ1370" s="110"/>
      <c r="PLK1370" s="110"/>
      <c r="PLL1370" s="110"/>
      <c r="PLM1370" s="110"/>
      <c r="PLN1370" s="110"/>
      <c r="PLO1370" s="110"/>
      <c r="PLP1370" s="110"/>
      <c r="PLQ1370" s="110"/>
      <c r="PLR1370" s="110"/>
      <c r="PLS1370" s="110"/>
      <c r="PLT1370" s="110"/>
      <c r="PLU1370" s="110"/>
      <c r="PLV1370" s="110"/>
      <c r="PLW1370" s="110"/>
      <c r="PLX1370" s="110"/>
      <c r="PLY1370" s="110"/>
      <c r="PLZ1370" s="110"/>
      <c r="PMA1370" s="110"/>
      <c r="PMB1370" s="110"/>
      <c r="PMC1370" s="110"/>
      <c r="PMD1370" s="110"/>
      <c r="PME1370" s="110"/>
      <c r="PMF1370" s="110"/>
      <c r="PMG1370" s="110"/>
      <c r="PMH1370" s="110"/>
      <c r="PMI1370" s="110"/>
      <c r="PMJ1370" s="110"/>
      <c r="PMK1370" s="110"/>
      <c r="PML1370" s="110"/>
      <c r="PMM1370" s="110"/>
      <c r="PMN1370" s="110"/>
      <c r="PMO1370" s="110"/>
      <c r="PMP1370" s="110"/>
      <c r="PMQ1370" s="110"/>
      <c r="PMR1370" s="110"/>
      <c r="PMS1370" s="110"/>
      <c r="PMT1370" s="110"/>
      <c r="PMU1370" s="110"/>
      <c r="PMV1370" s="110"/>
      <c r="PMW1370" s="110"/>
      <c r="PMX1370" s="110"/>
      <c r="PMY1370" s="110"/>
      <c r="PMZ1370" s="110"/>
      <c r="PNA1370" s="110"/>
      <c r="PNB1370" s="110"/>
      <c r="PNC1370" s="110"/>
      <c r="PND1370" s="110"/>
      <c r="PNE1370" s="110"/>
      <c r="PNF1370" s="110"/>
      <c r="PNG1370" s="110"/>
      <c r="PNH1370" s="110"/>
      <c r="PNI1370" s="110"/>
      <c r="PNJ1370" s="110"/>
      <c r="PNK1370" s="110"/>
      <c r="PNL1370" s="110"/>
      <c r="PNM1370" s="110"/>
      <c r="PNN1370" s="110"/>
      <c r="PNO1370" s="110"/>
      <c r="PNP1370" s="110"/>
      <c r="PNQ1370" s="110"/>
      <c r="PNR1370" s="110"/>
      <c r="PNS1370" s="110"/>
      <c r="PNT1370" s="110"/>
      <c r="PNU1370" s="110"/>
      <c r="PNV1370" s="110"/>
      <c r="PNW1370" s="110"/>
      <c r="PNX1370" s="110"/>
      <c r="PNY1370" s="110"/>
      <c r="PNZ1370" s="110"/>
      <c r="POA1370" s="110"/>
      <c r="POB1370" s="110"/>
      <c r="POC1370" s="110"/>
      <c r="POD1370" s="110"/>
      <c r="POE1370" s="110"/>
      <c r="POF1370" s="110"/>
      <c r="POG1370" s="110"/>
      <c r="POH1370" s="110"/>
      <c r="POI1370" s="110"/>
      <c r="POJ1370" s="110"/>
      <c r="POK1370" s="110"/>
      <c r="POL1370" s="110"/>
      <c r="POM1370" s="110"/>
      <c r="PON1370" s="110"/>
      <c r="POO1370" s="110"/>
      <c r="POP1370" s="110"/>
      <c r="POQ1370" s="110"/>
      <c r="POR1370" s="110"/>
      <c r="POS1370" s="110"/>
      <c r="POT1370" s="110"/>
      <c r="POU1370" s="110"/>
      <c r="POV1370" s="110"/>
      <c r="POW1370" s="110"/>
      <c r="POX1370" s="110"/>
      <c r="POY1370" s="110"/>
      <c r="POZ1370" s="110"/>
      <c r="PPA1370" s="110"/>
      <c r="PPB1370" s="110"/>
      <c r="PPC1370" s="110"/>
      <c r="PPD1370" s="110"/>
      <c r="PPE1370" s="110"/>
      <c r="PPF1370" s="110"/>
      <c r="PPG1370" s="110"/>
      <c r="PPH1370" s="110"/>
      <c r="PPI1370" s="110"/>
      <c r="PPJ1370" s="110"/>
      <c r="PPK1370" s="110"/>
      <c r="PPL1370" s="110"/>
      <c r="PPM1370" s="110"/>
      <c r="PPN1370" s="110"/>
      <c r="PPO1370" s="110"/>
      <c r="PPP1370" s="110"/>
      <c r="PPQ1370" s="110"/>
      <c r="PPR1370" s="110"/>
      <c r="PPS1370" s="110"/>
      <c r="PPT1370" s="110"/>
      <c r="PPU1370" s="110"/>
      <c r="PPV1370" s="110"/>
      <c r="PPW1370" s="110"/>
      <c r="PPX1370" s="110"/>
      <c r="PPY1370" s="110"/>
      <c r="PPZ1370" s="110"/>
      <c r="PQA1370" s="110"/>
      <c r="PQB1370" s="110"/>
      <c r="PQC1370" s="110"/>
      <c r="PQD1370" s="110"/>
      <c r="PQE1370" s="110"/>
      <c r="PQF1370" s="110"/>
      <c r="PQG1370" s="110"/>
      <c r="PQH1370" s="110"/>
      <c r="PQI1370" s="110"/>
      <c r="PQJ1370" s="110"/>
      <c r="PQK1370" s="110"/>
      <c r="PQL1370" s="110"/>
      <c r="PQM1370" s="110"/>
      <c r="PQN1370" s="110"/>
      <c r="PQO1370" s="110"/>
      <c r="PQP1370" s="110"/>
      <c r="PQQ1370" s="110"/>
      <c r="PQR1370" s="110"/>
      <c r="PQS1370" s="110"/>
      <c r="PQT1370" s="110"/>
      <c r="PQU1370" s="110"/>
      <c r="PQV1370" s="110"/>
      <c r="PQW1370" s="110"/>
      <c r="PQX1370" s="110"/>
      <c r="PQY1370" s="110"/>
      <c r="PQZ1370" s="110"/>
      <c r="PRA1370" s="110"/>
      <c r="PRB1370" s="110"/>
      <c r="PRC1370" s="110"/>
      <c r="PRD1370" s="110"/>
      <c r="PRE1370" s="110"/>
      <c r="PRF1370" s="110"/>
      <c r="PRG1370" s="110"/>
      <c r="PRH1370" s="110"/>
      <c r="PRI1370" s="110"/>
      <c r="PRJ1370" s="110"/>
      <c r="PRK1370" s="110"/>
      <c r="PRL1370" s="110"/>
      <c r="PRM1370" s="110"/>
      <c r="PRN1370" s="110"/>
      <c r="PRO1370" s="110"/>
      <c r="PRP1370" s="110"/>
      <c r="PRQ1370" s="110"/>
      <c r="PRR1370" s="110"/>
      <c r="PRS1370" s="110"/>
      <c r="PRT1370" s="110"/>
      <c r="PRU1370" s="110"/>
      <c r="PRV1370" s="110"/>
      <c r="PRW1370" s="110"/>
      <c r="PRX1370" s="110"/>
      <c r="PRY1370" s="110"/>
      <c r="PRZ1370" s="110"/>
      <c r="PSA1370" s="110"/>
      <c r="PSB1370" s="110"/>
      <c r="PSC1370" s="110"/>
      <c r="PSD1370" s="110"/>
      <c r="PSE1370" s="110"/>
      <c r="PSF1370" s="110"/>
      <c r="PSG1370" s="110"/>
      <c r="PSH1370" s="110"/>
      <c r="PSI1370" s="110"/>
      <c r="PSJ1370" s="110"/>
      <c r="PSK1370" s="110"/>
      <c r="PSL1370" s="110"/>
      <c r="PSM1370" s="110"/>
      <c r="PSN1370" s="110"/>
      <c r="PSO1370" s="110"/>
      <c r="PSP1370" s="110"/>
      <c r="PSQ1370" s="110"/>
      <c r="PSR1370" s="110"/>
      <c r="PSS1370" s="110"/>
      <c r="PST1370" s="110"/>
      <c r="PSU1370" s="110"/>
      <c r="PSV1370" s="110"/>
      <c r="PSW1370" s="110"/>
      <c r="PSX1370" s="110"/>
      <c r="PSY1370" s="110"/>
      <c r="PSZ1370" s="110"/>
      <c r="PTA1370" s="110"/>
      <c r="PTB1370" s="110"/>
      <c r="PTC1370" s="110"/>
      <c r="PTD1370" s="110"/>
      <c r="PTE1370" s="110"/>
      <c r="PTF1370" s="110"/>
      <c r="PTG1370" s="110"/>
      <c r="PTH1370" s="110"/>
      <c r="PTI1370" s="110"/>
      <c r="PTJ1370" s="110"/>
      <c r="PTK1370" s="110"/>
      <c r="PTL1370" s="110"/>
      <c r="PTM1370" s="110"/>
      <c r="PTN1370" s="110"/>
      <c r="PTO1370" s="110"/>
      <c r="PTP1370" s="110"/>
      <c r="PTQ1370" s="110"/>
      <c r="PTR1370" s="110"/>
      <c r="PTS1370" s="110"/>
      <c r="PTT1370" s="110"/>
      <c r="PTU1370" s="110"/>
      <c r="PTV1370" s="110"/>
      <c r="PTW1370" s="110"/>
      <c r="PTX1370" s="110"/>
      <c r="PTY1370" s="110"/>
      <c r="PTZ1370" s="110"/>
      <c r="PUA1370" s="110"/>
      <c r="PUB1370" s="110"/>
      <c r="PUC1370" s="110"/>
      <c r="PUD1370" s="110"/>
      <c r="PUE1370" s="110"/>
      <c r="PUF1370" s="110"/>
      <c r="PUG1370" s="110"/>
      <c r="PUH1370" s="110"/>
      <c r="PUI1370" s="110"/>
      <c r="PUJ1370" s="110"/>
      <c r="PUK1370" s="110"/>
      <c r="PUL1370" s="110"/>
      <c r="PUM1370" s="110"/>
      <c r="PUN1370" s="110"/>
      <c r="PUO1370" s="110"/>
      <c r="PUP1370" s="110"/>
      <c r="PUQ1370" s="110"/>
      <c r="PUR1370" s="110"/>
      <c r="PUS1370" s="110"/>
      <c r="PUT1370" s="110"/>
      <c r="PUU1370" s="110"/>
      <c r="PUV1370" s="110"/>
      <c r="PUW1370" s="110"/>
      <c r="PUX1370" s="110"/>
      <c r="PUY1370" s="110"/>
      <c r="PUZ1370" s="110"/>
      <c r="PVA1370" s="110"/>
      <c r="PVB1370" s="110"/>
      <c r="PVC1370" s="110"/>
      <c r="PVD1370" s="110"/>
      <c r="PVE1370" s="110"/>
      <c r="PVF1370" s="110"/>
      <c r="PVG1370" s="110"/>
      <c r="PVH1370" s="110"/>
      <c r="PVI1370" s="110"/>
      <c r="PVJ1370" s="110"/>
      <c r="PVK1370" s="110"/>
      <c r="PVL1370" s="110"/>
      <c r="PVM1370" s="110"/>
      <c r="PVN1370" s="110"/>
      <c r="PVO1370" s="110"/>
      <c r="PVP1370" s="110"/>
      <c r="PVQ1370" s="110"/>
      <c r="PVR1370" s="110"/>
      <c r="PVS1370" s="110"/>
      <c r="PVT1370" s="110"/>
      <c r="PVU1370" s="110"/>
      <c r="PVV1370" s="110"/>
      <c r="PVW1370" s="110"/>
      <c r="PVX1370" s="110"/>
      <c r="PVY1370" s="110"/>
      <c r="PVZ1370" s="110"/>
      <c r="PWA1370" s="110"/>
      <c r="PWB1370" s="110"/>
      <c r="PWC1370" s="110"/>
      <c r="PWD1370" s="110"/>
      <c r="PWE1370" s="110"/>
      <c r="PWF1370" s="110"/>
      <c r="PWG1370" s="110"/>
      <c r="PWH1370" s="110"/>
      <c r="PWI1370" s="110"/>
      <c r="PWJ1370" s="110"/>
      <c r="PWK1370" s="110"/>
      <c r="PWL1370" s="110"/>
      <c r="PWM1370" s="110"/>
      <c r="PWN1370" s="110"/>
      <c r="PWO1370" s="110"/>
      <c r="PWP1370" s="110"/>
      <c r="PWQ1370" s="110"/>
      <c r="PWR1370" s="110"/>
      <c r="PWS1370" s="110"/>
      <c r="PWT1370" s="110"/>
      <c r="PWU1370" s="110"/>
      <c r="PWV1370" s="110"/>
      <c r="PWW1370" s="110"/>
      <c r="PWX1370" s="110"/>
      <c r="PWY1370" s="110"/>
      <c r="PWZ1370" s="110"/>
      <c r="PXA1370" s="110"/>
      <c r="PXB1370" s="110"/>
      <c r="PXC1370" s="110"/>
      <c r="PXD1370" s="110"/>
      <c r="PXE1370" s="110"/>
      <c r="PXF1370" s="110"/>
      <c r="PXG1370" s="110"/>
      <c r="PXH1370" s="110"/>
      <c r="PXI1370" s="110"/>
      <c r="PXJ1370" s="110"/>
      <c r="PXK1370" s="110"/>
      <c r="PXL1370" s="110"/>
      <c r="PXM1370" s="110"/>
      <c r="PXN1370" s="110"/>
      <c r="PXO1370" s="110"/>
      <c r="PXP1370" s="110"/>
      <c r="PXQ1370" s="110"/>
      <c r="PXR1370" s="110"/>
      <c r="PXS1370" s="110"/>
      <c r="PXT1370" s="110"/>
      <c r="PXU1370" s="110"/>
      <c r="PXV1370" s="110"/>
      <c r="PXW1370" s="110"/>
      <c r="PXX1370" s="110"/>
      <c r="PXY1370" s="110"/>
      <c r="PXZ1370" s="110"/>
      <c r="PYA1370" s="110"/>
      <c r="PYB1370" s="110"/>
      <c r="PYC1370" s="110"/>
      <c r="PYD1370" s="110"/>
      <c r="PYE1370" s="110"/>
      <c r="PYF1370" s="110"/>
      <c r="PYG1370" s="110"/>
      <c r="PYH1370" s="110"/>
      <c r="PYI1370" s="110"/>
      <c r="PYJ1370" s="110"/>
      <c r="PYK1370" s="110"/>
      <c r="PYL1370" s="110"/>
      <c r="PYM1370" s="110"/>
      <c r="PYN1370" s="110"/>
      <c r="PYO1370" s="110"/>
      <c r="PYP1370" s="110"/>
      <c r="PYQ1370" s="110"/>
      <c r="PYR1370" s="110"/>
      <c r="PYS1370" s="110"/>
      <c r="PYT1370" s="110"/>
      <c r="PYU1370" s="110"/>
      <c r="PYV1370" s="110"/>
      <c r="PYW1370" s="110"/>
      <c r="PYX1370" s="110"/>
      <c r="PYY1370" s="110"/>
      <c r="PYZ1370" s="110"/>
      <c r="PZA1370" s="110"/>
      <c r="PZB1370" s="110"/>
      <c r="PZC1370" s="110"/>
      <c r="PZD1370" s="110"/>
      <c r="PZE1370" s="110"/>
      <c r="PZF1370" s="110"/>
      <c r="PZG1370" s="110"/>
      <c r="PZH1370" s="110"/>
      <c r="PZI1370" s="110"/>
      <c r="PZJ1370" s="110"/>
      <c r="PZK1370" s="110"/>
      <c r="PZL1370" s="110"/>
      <c r="PZM1370" s="110"/>
      <c r="PZN1370" s="110"/>
      <c r="PZO1370" s="110"/>
      <c r="PZP1370" s="110"/>
      <c r="PZQ1370" s="110"/>
      <c r="PZR1370" s="110"/>
      <c r="PZS1370" s="110"/>
      <c r="PZT1370" s="110"/>
      <c r="PZU1370" s="110"/>
      <c r="PZV1370" s="110"/>
      <c r="PZW1370" s="110"/>
      <c r="PZX1370" s="110"/>
      <c r="PZY1370" s="110"/>
      <c r="PZZ1370" s="110"/>
      <c r="QAA1370" s="110"/>
      <c r="QAB1370" s="110"/>
      <c r="QAC1370" s="110"/>
      <c r="QAD1370" s="110"/>
      <c r="QAE1370" s="110"/>
      <c r="QAF1370" s="110"/>
      <c r="QAG1370" s="110"/>
      <c r="QAH1370" s="110"/>
      <c r="QAI1370" s="110"/>
      <c r="QAJ1370" s="110"/>
      <c r="QAK1370" s="110"/>
      <c r="QAL1370" s="110"/>
      <c r="QAM1370" s="110"/>
      <c r="QAN1370" s="110"/>
      <c r="QAO1370" s="110"/>
      <c r="QAP1370" s="110"/>
      <c r="QAQ1370" s="110"/>
      <c r="QAR1370" s="110"/>
      <c r="QAS1370" s="110"/>
      <c r="QAT1370" s="110"/>
      <c r="QAU1370" s="110"/>
      <c r="QAV1370" s="110"/>
      <c r="QAW1370" s="110"/>
      <c r="QAX1370" s="110"/>
      <c r="QAY1370" s="110"/>
      <c r="QAZ1370" s="110"/>
      <c r="QBA1370" s="110"/>
      <c r="QBB1370" s="110"/>
      <c r="QBC1370" s="110"/>
      <c r="QBD1370" s="110"/>
      <c r="QBE1370" s="110"/>
      <c r="QBF1370" s="110"/>
      <c r="QBG1370" s="110"/>
      <c r="QBH1370" s="110"/>
      <c r="QBI1370" s="110"/>
      <c r="QBJ1370" s="110"/>
      <c r="QBK1370" s="110"/>
      <c r="QBL1370" s="110"/>
      <c r="QBM1370" s="110"/>
      <c r="QBN1370" s="110"/>
      <c r="QBO1370" s="110"/>
      <c r="QBP1370" s="110"/>
      <c r="QBQ1370" s="110"/>
      <c r="QBR1370" s="110"/>
      <c r="QBS1370" s="110"/>
      <c r="QBT1370" s="110"/>
      <c r="QBU1370" s="110"/>
      <c r="QBV1370" s="110"/>
      <c r="QBW1370" s="110"/>
      <c r="QBX1370" s="110"/>
      <c r="QBY1370" s="110"/>
      <c r="QBZ1370" s="110"/>
      <c r="QCA1370" s="110"/>
      <c r="QCB1370" s="110"/>
      <c r="QCC1370" s="110"/>
      <c r="QCD1370" s="110"/>
      <c r="QCE1370" s="110"/>
      <c r="QCF1370" s="110"/>
      <c r="QCG1370" s="110"/>
      <c r="QCH1370" s="110"/>
      <c r="QCI1370" s="110"/>
      <c r="QCJ1370" s="110"/>
      <c r="QCK1370" s="110"/>
      <c r="QCL1370" s="110"/>
      <c r="QCM1370" s="110"/>
      <c r="QCN1370" s="110"/>
      <c r="QCO1370" s="110"/>
      <c r="QCP1370" s="110"/>
      <c r="QCQ1370" s="110"/>
      <c r="QCR1370" s="110"/>
      <c r="QCS1370" s="110"/>
      <c r="QCT1370" s="110"/>
      <c r="QCU1370" s="110"/>
      <c r="QCV1370" s="110"/>
      <c r="QCW1370" s="110"/>
      <c r="QCX1370" s="110"/>
      <c r="QCY1370" s="110"/>
      <c r="QCZ1370" s="110"/>
      <c r="QDA1370" s="110"/>
      <c r="QDB1370" s="110"/>
      <c r="QDC1370" s="110"/>
      <c r="QDD1370" s="110"/>
      <c r="QDE1370" s="110"/>
      <c r="QDF1370" s="110"/>
      <c r="QDG1370" s="110"/>
      <c r="QDH1370" s="110"/>
      <c r="QDI1370" s="110"/>
      <c r="QDJ1370" s="110"/>
      <c r="QDK1370" s="110"/>
      <c r="QDL1370" s="110"/>
      <c r="QDM1370" s="110"/>
      <c r="QDN1370" s="110"/>
      <c r="QDO1370" s="110"/>
      <c r="QDP1370" s="110"/>
      <c r="QDQ1370" s="110"/>
      <c r="QDR1370" s="110"/>
      <c r="QDS1370" s="110"/>
      <c r="QDT1370" s="110"/>
      <c r="QDU1370" s="110"/>
      <c r="QDV1370" s="110"/>
      <c r="QDW1370" s="110"/>
      <c r="QDX1370" s="110"/>
      <c r="QDY1370" s="110"/>
      <c r="QDZ1370" s="110"/>
      <c r="QEA1370" s="110"/>
      <c r="QEB1370" s="110"/>
      <c r="QEC1370" s="110"/>
      <c r="QED1370" s="110"/>
      <c r="QEE1370" s="110"/>
      <c r="QEF1370" s="110"/>
      <c r="QEG1370" s="110"/>
      <c r="QEH1370" s="110"/>
      <c r="QEI1370" s="110"/>
      <c r="QEJ1370" s="110"/>
      <c r="QEK1370" s="110"/>
      <c r="QEL1370" s="110"/>
      <c r="QEM1370" s="110"/>
      <c r="QEN1370" s="110"/>
      <c r="QEO1370" s="110"/>
      <c r="QEP1370" s="110"/>
      <c r="QEQ1370" s="110"/>
      <c r="QER1370" s="110"/>
      <c r="QES1370" s="110"/>
      <c r="QET1370" s="110"/>
      <c r="QEU1370" s="110"/>
      <c r="QEV1370" s="110"/>
      <c r="QEW1370" s="110"/>
      <c r="QEX1370" s="110"/>
      <c r="QEY1370" s="110"/>
      <c r="QEZ1370" s="110"/>
      <c r="QFA1370" s="110"/>
      <c r="QFB1370" s="110"/>
      <c r="QFC1370" s="110"/>
      <c r="QFD1370" s="110"/>
      <c r="QFE1370" s="110"/>
      <c r="QFF1370" s="110"/>
      <c r="QFG1370" s="110"/>
      <c r="QFH1370" s="110"/>
      <c r="QFI1370" s="110"/>
      <c r="QFJ1370" s="110"/>
      <c r="QFK1370" s="110"/>
      <c r="QFL1370" s="110"/>
      <c r="QFM1370" s="110"/>
      <c r="QFN1370" s="110"/>
      <c r="QFO1370" s="110"/>
      <c r="QFP1370" s="110"/>
      <c r="QFQ1370" s="110"/>
      <c r="QFR1370" s="110"/>
      <c r="QFS1370" s="110"/>
      <c r="QFT1370" s="110"/>
      <c r="QFU1370" s="110"/>
      <c r="QFV1370" s="110"/>
      <c r="QFW1370" s="110"/>
      <c r="QFX1370" s="110"/>
      <c r="QFY1370" s="110"/>
      <c r="QFZ1370" s="110"/>
      <c r="QGA1370" s="110"/>
      <c r="QGB1370" s="110"/>
      <c r="QGC1370" s="110"/>
      <c r="QGD1370" s="110"/>
      <c r="QGE1370" s="110"/>
      <c r="QGF1370" s="110"/>
      <c r="QGG1370" s="110"/>
      <c r="QGH1370" s="110"/>
      <c r="QGI1370" s="110"/>
      <c r="QGJ1370" s="110"/>
      <c r="QGK1370" s="110"/>
      <c r="QGL1370" s="110"/>
      <c r="QGM1370" s="110"/>
      <c r="QGN1370" s="110"/>
      <c r="QGO1370" s="110"/>
      <c r="QGP1370" s="110"/>
      <c r="QGQ1370" s="110"/>
      <c r="QGR1370" s="110"/>
      <c r="QGS1370" s="110"/>
      <c r="QGT1370" s="110"/>
      <c r="QGU1370" s="110"/>
      <c r="QGV1370" s="110"/>
      <c r="QGW1370" s="110"/>
      <c r="QGX1370" s="110"/>
      <c r="QGY1370" s="110"/>
      <c r="QGZ1370" s="110"/>
      <c r="QHA1370" s="110"/>
      <c r="QHB1370" s="110"/>
      <c r="QHC1370" s="110"/>
      <c r="QHD1370" s="110"/>
      <c r="QHE1370" s="110"/>
      <c r="QHF1370" s="110"/>
      <c r="QHG1370" s="110"/>
      <c r="QHH1370" s="110"/>
      <c r="QHI1370" s="110"/>
      <c r="QHJ1370" s="110"/>
      <c r="QHK1370" s="110"/>
      <c r="QHL1370" s="110"/>
      <c r="QHM1370" s="110"/>
      <c r="QHN1370" s="110"/>
      <c r="QHO1370" s="110"/>
      <c r="QHP1370" s="110"/>
      <c r="QHQ1370" s="110"/>
      <c r="QHR1370" s="110"/>
      <c r="QHS1370" s="110"/>
      <c r="QHT1370" s="110"/>
      <c r="QHU1370" s="110"/>
      <c r="QHV1370" s="110"/>
      <c r="QHW1370" s="110"/>
      <c r="QHX1370" s="110"/>
      <c r="QHY1370" s="110"/>
      <c r="QHZ1370" s="110"/>
      <c r="QIA1370" s="110"/>
      <c r="QIB1370" s="110"/>
      <c r="QIC1370" s="110"/>
      <c r="QID1370" s="110"/>
      <c r="QIE1370" s="110"/>
      <c r="QIF1370" s="110"/>
      <c r="QIG1370" s="110"/>
      <c r="QIH1370" s="110"/>
      <c r="QII1370" s="110"/>
      <c r="QIJ1370" s="110"/>
      <c r="QIK1370" s="110"/>
      <c r="QIL1370" s="110"/>
      <c r="QIM1370" s="110"/>
      <c r="QIN1370" s="110"/>
      <c r="QIO1370" s="110"/>
      <c r="QIP1370" s="110"/>
      <c r="QIQ1370" s="110"/>
      <c r="QIR1370" s="110"/>
      <c r="QIS1370" s="110"/>
      <c r="QIT1370" s="110"/>
      <c r="QIU1370" s="110"/>
      <c r="QIV1370" s="110"/>
      <c r="QIW1370" s="110"/>
      <c r="QIX1370" s="110"/>
      <c r="QIY1370" s="110"/>
      <c r="QIZ1370" s="110"/>
      <c r="QJA1370" s="110"/>
      <c r="QJB1370" s="110"/>
      <c r="QJC1370" s="110"/>
      <c r="QJD1370" s="110"/>
      <c r="QJE1370" s="110"/>
      <c r="QJF1370" s="110"/>
      <c r="QJG1370" s="110"/>
      <c r="QJH1370" s="110"/>
      <c r="QJI1370" s="110"/>
      <c r="QJJ1370" s="110"/>
      <c r="QJK1370" s="110"/>
      <c r="QJL1370" s="110"/>
      <c r="QJM1370" s="110"/>
      <c r="QJN1370" s="110"/>
      <c r="QJO1370" s="110"/>
      <c r="QJP1370" s="110"/>
      <c r="QJQ1370" s="110"/>
      <c r="QJR1370" s="110"/>
      <c r="QJS1370" s="110"/>
      <c r="QJT1370" s="110"/>
      <c r="QJU1370" s="110"/>
      <c r="QJV1370" s="110"/>
      <c r="QJW1370" s="110"/>
      <c r="QJX1370" s="110"/>
      <c r="QJY1370" s="110"/>
      <c r="QJZ1370" s="110"/>
      <c r="QKA1370" s="110"/>
      <c r="QKB1370" s="110"/>
      <c r="QKC1370" s="110"/>
      <c r="QKD1370" s="110"/>
      <c r="QKE1370" s="110"/>
      <c r="QKF1370" s="110"/>
      <c r="QKG1370" s="110"/>
      <c r="QKH1370" s="110"/>
      <c r="QKI1370" s="110"/>
      <c r="QKJ1370" s="110"/>
      <c r="QKK1370" s="110"/>
      <c r="QKL1370" s="110"/>
      <c r="QKM1370" s="110"/>
      <c r="QKN1370" s="110"/>
      <c r="QKO1370" s="110"/>
      <c r="QKP1370" s="110"/>
      <c r="QKQ1370" s="110"/>
      <c r="QKR1370" s="110"/>
      <c r="QKS1370" s="110"/>
      <c r="QKT1370" s="110"/>
      <c r="QKU1370" s="110"/>
      <c r="QKV1370" s="110"/>
      <c r="QKW1370" s="110"/>
      <c r="QKX1370" s="110"/>
      <c r="QKY1370" s="110"/>
      <c r="QKZ1370" s="110"/>
      <c r="QLA1370" s="110"/>
      <c r="QLB1370" s="110"/>
      <c r="QLC1370" s="110"/>
      <c r="QLD1370" s="110"/>
      <c r="QLE1370" s="110"/>
      <c r="QLF1370" s="110"/>
      <c r="QLG1370" s="110"/>
      <c r="QLH1370" s="110"/>
      <c r="QLI1370" s="110"/>
      <c r="QLJ1370" s="110"/>
      <c r="QLK1370" s="110"/>
      <c r="QLL1370" s="110"/>
      <c r="QLM1370" s="110"/>
      <c r="QLN1370" s="110"/>
      <c r="QLO1370" s="110"/>
      <c r="QLP1370" s="110"/>
      <c r="QLQ1370" s="110"/>
      <c r="QLR1370" s="110"/>
      <c r="QLS1370" s="110"/>
      <c r="QLT1370" s="110"/>
      <c r="QLU1370" s="110"/>
      <c r="QLV1370" s="110"/>
      <c r="QLW1370" s="110"/>
      <c r="QLX1370" s="110"/>
      <c r="QLY1370" s="110"/>
      <c r="QLZ1370" s="110"/>
      <c r="QMA1370" s="110"/>
      <c r="QMB1370" s="110"/>
      <c r="QMC1370" s="110"/>
      <c r="QMD1370" s="110"/>
      <c r="QME1370" s="110"/>
      <c r="QMF1370" s="110"/>
      <c r="QMG1370" s="110"/>
      <c r="QMH1370" s="110"/>
      <c r="QMI1370" s="110"/>
      <c r="QMJ1370" s="110"/>
      <c r="QMK1370" s="110"/>
      <c r="QML1370" s="110"/>
      <c r="QMM1370" s="110"/>
      <c r="QMN1370" s="110"/>
      <c r="QMO1370" s="110"/>
      <c r="QMP1370" s="110"/>
      <c r="QMQ1370" s="110"/>
      <c r="QMR1370" s="110"/>
      <c r="QMS1370" s="110"/>
      <c r="QMT1370" s="110"/>
      <c r="QMU1370" s="110"/>
      <c r="QMV1370" s="110"/>
      <c r="QMW1370" s="110"/>
      <c r="QMX1370" s="110"/>
      <c r="QMY1370" s="110"/>
      <c r="QMZ1370" s="110"/>
      <c r="QNA1370" s="110"/>
      <c r="QNB1370" s="110"/>
      <c r="QNC1370" s="110"/>
      <c r="QND1370" s="110"/>
      <c r="QNE1370" s="110"/>
      <c r="QNF1370" s="110"/>
      <c r="QNG1370" s="110"/>
      <c r="QNH1370" s="110"/>
      <c r="QNI1370" s="110"/>
      <c r="QNJ1370" s="110"/>
      <c r="QNK1370" s="110"/>
      <c r="QNL1370" s="110"/>
      <c r="QNM1370" s="110"/>
      <c r="QNN1370" s="110"/>
      <c r="QNO1370" s="110"/>
      <c r="QNP1370" s="110"/>
      <c r="QNQ1370" s="110"/>
      <c r="QNR1370" s="110"/>
      <c r="QNS1370" s="110"/>
      <c r="QNT1370" s="110"/>
      <c r="QNU1370" s="110"/>
      <c r="QNV1370" s="110"/>
      <c r="QNW1370" s="110"/>
      <c r="QNX1370" s="110"/>
      <c r="QNY1370" s="110"/>
      <c r="QNZ1370" s="110"/>
      <c r="QOA1370" s="110"/>
      <c r="QOB1370" s="110"/>
      <c r="QOC1370" s="110"/>
      <c r="QOD1370" s="110"/>
      <c r="QOE1370" s="110"/>
      <c r="QOF1370" s="110"/>
      <c r="QOG1370" s="110"/>
      <c r="QOH1370" s="110"/>
      <c r="QOI1370" s="110"/>
      <c r="QOJ1370" s="110"/>
      <c r="QOK1370" s="110"/>
      <c r="QOL1370" s="110"/>
      <c r="QOM1370" s="110"/>
      <c r="QON1370" s="110"/>
      <c r="QOO1370" s="110"/>
      <c r="QOP1370" s="110"/>
      <c r="QOQ1370" s="110"/>
      <c r="QOR1370" s="110"/>
      <c r="QOS1370" s="110"/>
      <c r="QOT1370" s="110"/>
      <c r="QOU1370" s="110"/>
      <c r="QOV1370" s="110"/>
      <c r="QOW1370" s="110"/>
      <c r="QOX1370" s="110"/>
      <c r="QOY1370" s="110"/>
      <c r="QOZ1370" s="110"/>
      <c r="QPA1370" s="110"/>
      <c r="QPB1370" s="110"/>
      <c r="QPC1370" s="110"/>
      <c r="QPD1370" s="110"/>
      <c r="QPE1370" s="110"/>
      <c r="QPF1370" s="110"/>
      <c r="QPG1370" s="110"/>
      <c r="QPH1370" s="110"/>
      <c r="QPI1370" s="110"/>
      <c r="QPJ1370" s="110"/>
      <c r="QPK1370" s="110"/>
      <c r="QPL1370" s="110"/>
      <c r="QPM1370" s="110"/>
      <c r="QPN1370" s="110"/>
      <c r="QPO1370" s="110"/>
      <c r="QPP1370" s="110"/>
      <c r="QPQ1370" s="110"/>
      <c r="QPR1370" s="110"/>
      <c r="QPS1370" s="110"/>
      <c r="QPT1370" s="110"/>
      <c r="QPU1370" s="110"/>
      <c r="QPV1370" s="110"/>
      <c r="QPW1370" s="110"/>
      <c r="QPX1370" s="110"/>
      <c r="QPY1370" s="110"/>
      <c r="QPZ1370" s="110"/>
      <c r="QQA1370" s="110"/>
      <c r="QQB1370" s="110"/>
      <c r="QQC1370" s="110"/>
      <c r="QQD1370" s="110"/>
      <c r="QQE1370" s="110"/>
      <c r="QQF1370" s="110"/>
      <c r="QQG1370" s="110"/>
      <c r="QQH1370" s="110"/>
      <c r="QQI1370" s="110"/>
      <c r="QQJ1370" s="110"/>
      <c r="QQK1370" s="110"/>
      <c r="QQL1370" s="110"/>
      <c r="QQM1370" s="110"/>
      <c r="QQN1370" s="110"/>
      <c r="QQO1370" s="110"/>
      <c r="QQP1370" s="110"/>
      <c r="QQQ1370" s="110"/>
      <c r="QQR1370" s="110"/>
      <c r="QQS1370" s="110"/>
      <c r="QQT1370" s="110"/>
      <c r="QQU1370" s="110"/>
      <c r="QQV1370" s="110"/>
      <c r="QQW1370" s="110"/>
      <c r="QQX1370" s="110"/>
      <c r="QQY1370" s="110"/>
      <c r="QQZ1370" s="110"/>
      <c r="QRA1370" s="110"/>
      <c r="QRB1370" s="110"/>
      <c r="QRC1370" s="110"/>
      <c r="QRD1370" s="110"/>
      <c r="QRE1370" s="110"/>
      <c r="QRF1370" s="110"/>
      <c r="QRG1370" s="110"/>
      <c r="QRH1370" s="110"/>
      <c r="QRI1370" s="110"/>
      <c r="QRJ1370" s="110"/>
      <c r="QRK1370" s="110"/>
      <c r="QRL1370" s="110"/>
      <c r="QRM1370" s="110"/>
      <c r="QRN1370" s="110"/>
      <c r="QRO1370" s="110"/>
      <c r="QRP1370" s="110"/>
      <c r="QRQ1370" s="110"/>
      <c r="QRR1370" s="110"/>
      <c r="QRS1370" s="110"/>
      <c r="QRT1370" s="110"/>
      <c r="QRU1370" s="110"/>
      <c r="QRV1370" s="110"/>
      <c r="QRW1370" s="110"/>
      <c r="QRX1370" s="110"/>
      <c r="QRY1370" s="110"/>
      <c r="QRZ1370" s="110"/>
      <c r="QSA1370" s="110"/>
      <c r="QSB1370" s="110"/>
      <c r="QSC1370" s="110"/>
      <c r="QSD1370" s="110"/>
      <c r="QSE1370" s="110"/>
      <c r="QSF1370" s="110"/>
      <c r="QSG1370" s="110"/>
      <c r="QSH1370" s="110"/>
      <c r="QSI1370" s="110"/>
      <c r="QSJ1370" s="110"/>
      <c r="QSK1370" s="110"/>
      <c r="QSL1370" s="110"/>
      <c r="QSM1370" s="110"/>
      <c r="QSN1370" s="110"/>
      <c r="QSO1370" s="110"/>
      <c r="QSP1370" s="110"/>
      <c r="QSQ1370" s="110"/>
      <c r="QSR1370" s="110"/>
      <c r="QSS1370" s="110"/>
      <c r="QST1370" s="110"/>
      <c r="QSU1370" s="110"/>
      <c r="QSV1370" s="110"/>
      <c r="QSW1370" s="110"/>
      <c r="QSX1370" s="110"/>
      <c r="QSY1370" s="110"/>
      <c r="QSZ1370" s="110"/>
      <c r="QTA1370" s="110"/>
      <c r="QTB1370" s="110"/>
      <c r="QTC1370" s="110"/>
      <c r="QTD1370" s="110"/>
      <c r="QTE1370" s="110"/>
      <c r="QTF1370" s="110"/>
      <c r="QTG1370" s="110"/>
      <c r="QTH1370" s="110"/>
      <c r="QTI1370" s="110"/>
      <c r="QTJ1370" s="110"/>
      <c r="QTK1370" s="110"/>
      <c r="QTL1370" s="110"/>
      <c r="QTM1370" s="110"/>
      <c r="QTN1370" s="110"/>
      <c r="QTO1370" s="110"/>
      <c r="QTP1370" s="110"/>
      <c r="QTQ1370" s="110"/>
      <c r="QTR1370" s="110"/>
      <c r="QTS1370" s="110"/>
      <c r="QTT1370" s="110"/>
      <c r="QTU1370" s="110"/>
      <c r="QTV1370" s="110"/>
      <c r="QTW1370" s="110"/>
      <c r="QTX1370" s="110"/>
      <c r="QTY1370" s="110"/>
      <c r="QTZ1370" s="110"/>
      <c r="QUA1370" s="110"/>
      <c r="QUB1370" s="110"/>
      <c r="QUC1370" s="110"/>
      <c r="QUD1370" s="110"/>
      <c r="QUE1370" s="110"/>
      <c r="QUF1370" s="110"/>
      <c r="QUG1370" s="110"/>
      <c r="QUH1370" s="110"/>
      <c r="QUI1370" s="110"/>
      <c r="QUJ1370" s="110"/>
      <c r="QUK1370" s="110"/>
      <c r="QUL1370" s="110"/>
      <c r="QUM1370" s="110"/>
      <c r="QUN1370" s="110"/>
      <c r="QUO1370" s="110"/>
      <c r="QUP1370" s="110"/>
      <c r="QUQ1370" s="110"/>
      <c r="QUR1370" s="110"/>
      <c r="QUS1370" s="110"/>
      <c r="QUT1370" s="110"/>
      <c r="QUU1370" s="110"/>
      <c r="QUV1370" s="110"/>
      <c r="QUW1370" s="110"/>
      <c r="QUX1370" s="110"/>
      <c r="QUY1370" s="110"/>
      <c r="QUZ1370" s="110"/>
      <c r="QVA1370" s="110"/>
      <c r="QVB1370" s="110"/>
      <c r="QVC1370" s="110"/>
      <c r="QVD1370" s="110"/>
      <c r="QVE1370" s="110"/>
      <c r="QVF1370" s="110"/>
      <c r="QVG1370" s="110"/>
      <c r="QVH1370" s="110"/>
      <c r="QVI1370" s="110"/>
      <c r="QVJ1370" s="110"/>
      <c r="QVK1370" s="110"/>
      <c r="QVL1370" s="110"/>
      <c r="QVM1370" s="110"/>
      <c r="QVN1370" s="110"/>
      <c r="QVO1370" s="110"/>
      <c r="QVP1370" s="110"/>
      <c r="QVQ1370" s="110"/>
      <c r="QVR1370" s="110"/>
      <c r="QVS1370" s="110"/>
      <c r="QVT1370" s="110"/>
      <c r="QVU1370" s="110"/>
      <c r="QVV1370" s="110"/>
      <c r="QVW1370" s="110"/>
      <c r="QVX1370" s="110"/>
      <c r="QVY1370" s="110"/>
      <c r="QVZ1370" s="110"/>
      <c r="QWA1370" s="110"/>
      <c r="QWB1370" s="110"/>
      <c r="QWC1370" s="110"/>
      <c r="QWD1370" s="110"/>
      <c r="QWE1370" s="110"/>
      <c r="QWF1370" s="110"/>
      <c r="QWG1370" s="110"/>
      <c r="QWH1370" s="110"/>
      <c r="QWI1370" s="110"/>
      <c r="QWJ1370" s="110"/>
      <c r="QWK1370" s="110"/>
      <c r="QWL1370" s="110"/>
      <c r="QWM1370" s="110"/>
      <c r="QWN1370" s="110"/>
      <c r="QWO1370" s="110"/>
      <c r="QWP1370" s="110"/>
      <c r="QWQ1370" s="110"/>
      <c r="QWR1370" s="110"/>
      <c r="QWS1370" s="110"/>
      <c r="QWT1370" s="110"/>
      <c r="QWU1370" s="110"/>
      <c r="QWV1370" s="110"/>
      <c r="QWW1370" s="110"/>
      <c r="QWX1370" s="110"/>
      <c r="QWY1370" s="110"/>
      <c r="QWZ1370" s="110"/>
      <c r="QXA1370" s="110"/>
      <c r="QXB1370" s="110"/>
      <c r="QXC1370" s="110"/>
      <c r="QXD1370" s="110"/>
      <c r="QXE1370" s="110"/>
      <c r="QXF1370" s="110"/>
      <c r="QXG1370" s="110"/>
      <c r="QXH1370" s="110"/>
      <c r="QXI1370" s="110"/>
      <c r="QXJ1370" s="110"/>
      <c r="QXK1370" s="110"/>
      <c r="QXL1370" s="110"/>
      <c r="QXM1370" s="110"/>
      <c r="QXN1370" s="110"/>
      <c r="QXO1370" s="110"/>
      <c r="QXP1370" s="110"/>
      <c r="QXQ1370" s="110"/>
      <c r="QXR1370" s="110"/>
      <c r="QXS1370" s="110"/>
      <c r="QXT1370" s="110"/>
      <c r="QXU1370" s="110"/>
      <c r="QXV1370" s="110"/>
      <c r="QXW1370" s="110"/>
      <c r="QXX1370" s="110"/>
      <c r="QXY1370" s="110"/>
      <c r="QXZ1370" s="110"/>
      <c r="QYA1370" s="110"/>
      <c r="QYB1370" s="110"/>
      <c r="QYC1370" s="110"/>
      <c r="QYD1370" s="110"/>
      <c r="QYE1370" s="110"/>
      <c r="QYF1370" s="110"/>
      <c r="QYG1370" s="110"/>
      <c r="QYH1370" s="110"/>
      <c r="QYI1370" s="110"/>
      <c r="QYJ1370" s="110"/>
      <c r="QYK1370" s="110"/>
      <c r="QYL1370" s="110"/>
      <c r="QYM1370" s="110"/>
      <c r="QYN1370" s="110"/>
      <c r="QYO1370" s="110"/>
      <c r="QYP1370" s="110"/>
      <c r="QYQ1370" s="110"/>
      <c r="QYR1370" s="110"/>
      <c r="QYS1370" s="110"/>
      <c r="QYT1370" s="110"/>
      <c r="QYU1370" s="110"/>
      <c r="QYV1370" s="110"/>
      <c r="QYW1370" s="110"/>
      <c r="QYX1370" s="110"/>
      <c r="QYY1370" s="110"/>
      <c r="QYZ1370" s="110"/>
      <c r="QZA1370" s="110"/>
      <c r="QZB1370" s="110"/>
      <c r="QZC1370" s="110"/>
      <c r="QZD1370" s="110"/>
      <c r="QZE1370" s="110"/>
      <c r="QZF1370" s="110"/>
      <c r="QZG1370" s="110"/>
      <c r="QZH1370" s="110"/>
      <c r="QZI1370" s="110"/>
      <c r="QZJ1370" s="110"/>
      <c r="QZK1370" s="110"/>
      <c r="QZL1370" s="110"/>
      <c r="QZM1370" s="110"/>
      <c r="QZN1370" s="110"/>
      <c r="QZO1370" s="110"/>
      <c r="QZP1370" s="110"/>
      <c r="QZQ1370" s="110"/>
      <c r="QZR1370" s="110"/>
      <c r="QZS1370" s="110"/>
      <c r="QZT1370" s="110"/>
      <c r="QZU1370" s="110"/>
      <c r="QZV1370" s="110"/>
      <c r="QZW1370" s="110"/>
      <c r="QZX1370" s="110"/>
      <c r="QZY1370" s="110"/>
      <c r="QZZ1370" s="110"/>
      <c r="RAA1370" s="110"/>
      <c r="RAB1370" s="110"/>
      <c r="RAC1370" s="110"/>
      <c r="RAD1370" s="110"/>
      <c r="RAE1370" s="110"/>
      <c r="RAF1370" s="110"/>
      <c r="RAG1370" s="110"/>
      <c r="RAH1370" s="110"/>
      <c r="RAI1370" s="110"/>
      <c r="RAJ1370" s="110"/>
      <c r="RAK1370" s="110"/>
      <c r="RAL1370" s="110"/>
      <c r="RAM1370" s="110"/>
      <c r="RAN1370" s="110"/>
      <c r="RAO1370" s="110"/>
      <c r="RAP1370" s="110"/>
      <c r="RAQ1370" s="110"/>
      <c r="RAR1370" s="110"/>
      <c r="RAS1370" s="110"/>
      <c r="RAT1370" s="110"/>
      <c r="RAU1370" s="110"/>
      <c r="RAV1370" s="110"/>
      <c r="RAW1370" s="110"/>
      <c r="RAX1370" s="110"/>
      <c r="RAY1370" s="110"/>
      <c r="RAZ1370" s="110"/>
      <c r="RBA1370" s="110"/>
      <c r="RBB1370" s="110"/>
      <c r="RBC1370" s="110"/>
      <c r="RBD1370" s="110"/>
      <c r="RBE1370" s="110"/>
      <c r="RBF1370" s="110"/>
      <c r="RBG1370" s="110"/>
      <c r="RBH1370" s="110"/>
      <c r="RBI1370" s="110"/>
      <c r="RBJ1370" s="110"/>
      <c r="RBK1370" s="110"/>
      <c r="RBL1370" s="110"/>
      <c r="RBM1370" s="110"/>
      <c r="RBN1370" s="110"/>
      <c r="RBO1370" s="110"/>
      <c r="RBP1370" s="110"/>
      <c r="RBQ1370" s="110"/>
      <c r="RBR1370" s="110"/>
      <c r="RBS1370" s="110"/>
      <c r="RBT1370" s="110"/>
      <c r="RBU1370" s="110"/>
      <c r="RBV1370" s="110"/>
      <c r="RBW1370" s="110"/>
      <c r="RBX1370" s="110"/>
      <c r="RBY1370" s="110"/>
      <c r="RBZ1370" s="110"/>
      <c r="RCA1370" s="110"/>
      <c r="RCB1370" s="110"/>
      <c r="RCC1370" s="110"/>
      <c r="RCD1370" s="110"/>
      <c r="RCE1370" s="110"/>
      <c r="RCF1370" s="110"/>
      <c r="RCG1370" s="110"/>
      <c r="RCH1370" s="110"/>
      <c r="RCI1370" s="110"/>
      <c r="RCJ1370" s="110"/>
      <c r="RCK1370" s="110"/>
      <c r="RCL1370" s="110"/>
      <c r="RCM1370" s="110"/>
      <c r="RCN1370" s="110"/>
      <c r="RCO1370" s="110"/>
      <c r="RCP1370" s="110"/>
      <c r="RCQ1370" s="110"/>
      <c r="RCR1370" s="110"/>
      <c r="RCS1370" s="110"/>
      <c r="RCT1370" s="110"/>
      <c r="RCU1370" s="110"/>
      <c r="RCV1370" s="110"/>
      <c r="RCW1370" s="110"/>
      <c r="RCX1370" s="110"/>
      <c r="RCY1370" s="110"/>
      <c r="RCZ1370" s="110"/>
      <c r="RDA1370" s="110"/>
      <c r="RDB1370" s="110"/>
      <c r="RDC1370" s="110"/>
      <c r="RDD1370" s="110"/>
      <c r="RDE1370" s="110"/>
      <c r="RDF1370" s="110"/>
      <c r="RDG1370" s="110"/>
      <c r="RDH1370" s="110"/>
      <c r="RDI1370" s="110"/>
      <c r="RDJ1370" s="110"/>
      <c r="RDK1370" s="110"/>
      <c r="RDL1370" s="110"/>
      <c r="RDM1370" s="110"/>
      <c r="RDN1370" s="110"/>
      <c r="RDO1370" s="110"/>
      <c r="RDP1370" s="110"/>
      <c r="RDQ1370" s="110"/>
      <c r="RDR1370" s="110"/>
      <c r="RDS1370" s="110"/>
      <c r="RDT1370" s="110"/>
      <c r="RDU1370" s="110"/>
      <c r="RDV1370" s="110"/>
      <c r="RDW1370" s="110"/>
      <c r="RDX1370" s="110"/>
      <c r="RDY1370" s="110"/>
      <c r="RDZ1370" s="110"/>
      <c r="REA1370" s="110"/>
      <c r="REB1370" s="110"/>
      <c r="REC1370" s="110"/>
      <c r="RED1370" s="110"/>
      <c r="REE1370" s="110"/>
      <c r="REF1370" s="110"/>
      <c r="REG1370" s="110"/>
      <c r="REH1370" s="110"/>
      <c r="REI1370" s="110"/>
      <c r="REJ1370" s="110"/>
      <c r="REK1370" s="110"/>
      <c r="REL1370" s="110"/>
      <c r="REM1370" s="110"/>
      <c r="REN1370" s="110"/>
      <c r="REO1370" s="110"/>
      <c r="REP1370" s="110"/>
      <c r="REQ1370" s="110"/>
      <c r="RER1370" s="110"/>
      <c r="RES1370" s="110"/>
      <c r="RET1370" s="110"/>
      <c r="REU1370" s="110"/>
      <c r="REV1370" s="110"/>
      <c r="REW1370" s="110"/>
      <c r="REX1370" s="110"/>
      <c r="REY1370" s="110"/>
      <c r="REZ1370" s="110"/>
      <c r="RFA1370" s="110"/>
      <c r="RFB1370" s="110"/>
      <c r="RFC1370" s="110"/>
      <c r="RFD1370" s="110"/>
      <c r="RFE1370" s="110"/>
      <c r="RFF1370" s="110"/>
      <c r="RFG1370" s="110"/>
      <c r="RFH1370" s="110"/>
      <c r="RFI1370" s="110"/>
      <c r="RFJ1370" s="110"/>
      <c r="RFK1370" s="110"/>
      <c r="RFL1370" s="110"/>
      <c r="RFM1370" s="110"/>
      <c r="RFN1370" s="110"/>
      <c r="RFO1370" s="110"/>
      <c r="RFP1370" s="110"/>
      <c r="RFQ1370" s="110"/>
      <c r="RFR1370" s="110"/>
      <c r="RFS1370" s="110"/>
      <c r="RFT1370" s="110"/>
      <c r="RFU1370" s="110"/>
      <c r="RFV1370" s="110"/>
      <c r="RFW1370" s="110"/>
      <c r="RFX1370" s="110"/>
      <c r="RFY1370" s="110"/>
      <c r="RFZ1370" s="110"/>
      <c r="RGA1370" s="110"/>
      <c r="RGB1370" s="110"/>
      <c r="RGC1370" s="110"/>
      <c r="RGD1370" s="110"/>
      <c r="RGE1370" s="110"/>
      <c r="RGF1370" s="110"/>
      <c r="RGG1370" s="110"/>
      <c r="RGH1370" s="110"/>
      <c r="RGI1370" s="110"/>
      <c r="RGJ1370" s="110"/>
      <c r="RGK1370" s="110"/>
      <c r="RGL1370" s="110"/>
      <c r="RGM1370" s="110"/>
      <c r="RGN1370" s="110"/>
      <c r="RGO1370" s="110"/>
      <c r="RGP1370" s="110"/>
      <c r="RGQ1370" s="110"/>
      <c r="RGR1370" s="110"/>
      <c r="RGS1370" s="110"/>
      <c r="RGT1370" s="110"/>
      <c r="RGU1370" s="110"/>
      <c r="RGV1370" s="110"/>
      <c r="RGW1370" s="110"/>
      <c r="RGX1370" s="110"/>
      <c r="RGY1370" s="110"/>
      <c r="RGZ1370" s="110"/>
      <c r="RHA1370" s="110"/>
      <c r="RHB1370" s="110"/>
      <c r="RHC1370" s="110"/>
      <c r="RHD1370" s="110"/>
      <c r="RHE1370" s="110"/>
      <c r="RHF1370" s="110"/>
      <c r="RHG1370" s="110"/>
      <c r="RHH1370" s="110"/>
      <c r="RHI1370" s="110"/>
      <c r="RHJ1370" s="110"/>
      <c r="RHK1370" s="110"/>
      <c r="RHL1370" s="110"/>
      <c r="RHM1370" s="110"/>
      <c r="RHN1370" s="110"/>
      <c r="RHO1370" s="110"/>
      <c r="RHP1370" s="110"/>
      <c r="RHQ1370" s="110"/>
      <c r="RHR1370" s="110"/>
      <c r="RHS1370" s="110"/>
      <c r="RHT1370" s="110"/>
      <c r="RHU1370" s="110"/>
      <c r="RHV1370" s="110"/>
      <c r="RHW1370" s="110"/>
      <c r="RHX1370" s="110"/>
      <c r="RHY1370" s="110"/>
      <c r="RHZ1370" s="110"/>
      <c r="RIA1370" s="110"/>
      <c r="RIB1370" s="110"/>
      <c r="RIC1370" s="110"/>
      <c r="RID1370" s="110"/>
      <c r="RIE1370" s="110"/>
      <c r="RIF1370" s="110"/>
      <c r="RIG1370" s="110"/>
      <c r="RIH1370" s="110"/>
      <c r="RII1370" s="110"/>
      <c r="RIJ1370" s="110"/>
      <c r="RIK1370" s="110"/>
      <c r="RIL1370" s="110"/>
      <c r="RIM1370" s="110"/>
      <c r="RIN1370" s="110"/>
      <c r="RIO1370" s="110"/>
      <c r="RIP1370" s="110"/>
      <c r="RIQ1370" s="110"/>
      <c r="RIR1370" s="110"/>
      <c r="RIS1370" s="110"/>
      <c r="RIT1370" s="110"/>
      <c r="RIU1370" s="110"/>
      <c r="RIV1370" s="110"/>
      <c r="RIW1370" s="110"/>
      <c r="RIX1370" s="110"/>
      <c r="RIY1370" s="110"/>
      <c r="RIZ1370" s="110"/>
      <c r="RJA1370" s="110"/>
      <c r="RJB1370" s="110"/>
      <c r="RJC1370" s="110"/>
      <c r="RJD1370" s="110"/>
      <c r="RJE1370" s="110"/>
      <c r="RJF1370" s="110"/>
      <c r="RJG1370" s="110"/>
      <c r="RJH1370" s="110"/>
      <c r="RJI1370" s="110"/>
      <c r="RJJ1370" s="110"/>
      <c r="RJK1370" s="110"/>
      <c r="RJL1370" s="110"/>
      <c r="RJM1370" s="110"/>
      <c r="RJN1370" s="110"/>
      <c r="RJO1370" s="110"/>
      <c r="RJP1370" s="110"/>
      <c r="RJQ1370" s="110"/>
      <c r="RJR1370" s="110"/>
      <c r="RJS1370" s="110"/>
      <c r="RJT1370" s="110"/>
      <c r="RJU1370" s="110"/>
      <c r="RJV1370" s="110"/>
      <c r="RJW1370" s="110"/>
      <c r="RJX1370" s="110"/>
      <c r="RJY1370" s="110"/>
      <c r="RJZ1370" s="110"/>
      <c r="RKA1370" s="110"/>
      <c r="RKB1370" s="110"/>
      <c r="RKC1370" s="110"/>
      <c r="RKD1370" s="110"/>
      <c r="RKE1370" s="110"/>
      <c r="RKF1370" s="110"/>
      <c r="RKG1370" s="110"/>
      <c r="RKH1370" s="110"/>
      <c r="RKI1370" s="110"/>
      <c r="RKJ1370" s="110"/>
      <c r="RKK1370" s="110"/>
      <c r="RKL1370" s="110"/>
      <c r="RKM1370" s="110"/>
      <c r="RKN1370" s="110"/>
      <c r="RKO1370" s="110"/>
      <c r="RKP1370" s="110"/>
      <c r="RKQ1370" s="110"/>
      <c r="RKR1370" s="110"/>
      <c r="RKS1370" s="110"/>
      <c r="RKT1370" s="110"/>
      <c r="RKU1370" s="110"/>
      <c r="RKV1370" s="110"/>
      <c r="RKW1370" s="110"/>
      <c r="RKX1370" s="110"/>
      <c r="RKY1370" s="110"/>
      <c r="RKZ1370" s="110"/>
      <c r="RLA1370" s="110"/>
      <c r="RLB1370" s="110"/>
      <c r="RLC1370" s="110"/>
      <c r="RLD1370" s="110"/>
      <c r="RLE1370" s="110"/>
      <c r="RLF1370" s="110"/>
      <c r="RLG1370" s="110"/>
      <c r="RLH1370" s="110"/>
      <c r="RLI1370" s="110"/>
      <c r="RLJ1370" s="110"/>
      <c r="RLK1370" s="110"/>
      <c r="RLL1370" s="110"/>
      <c r="RLM1370" s="110"/>
      <c r="RLN1370" s="110"/>
      <c r="RLO1370" s="110"/>
      <c r="RLP1370" s="110"/>
      <c r="RLQ1370" s="110"/>
      <c r="RLR1370" s="110"/>
      <c r="RLS1370" s="110"/>
      <c r="RLT1370" s="110"/>
      <c r="RLU1370" s="110"/>
      <c r="RLV1370" s="110"/>
      <c r="RLW1370" s="110"/>
      <c r="RLX1370" s="110"/>
      <c r="RLY1370" s="110"/>
      <c r="RLZ1370" s="110"/>
      <c r="RMA1370" s="110"/>
      <c r="RMB1370" s="110"/>
      <c r="RMC1370" s="110"/>
      <c r="RMD1370" s="110"/>
      <c r="RME1370" s="110"/>
      <c r="RMF1370" s="110"/>
      <c r="RMG1370" s="110"/>
      <c r="RMH1370" s="110"/>
      <c r="RMI1370" s="110"/>
      <c r="RMJ1370" s="110"/>
      <c r="RMK1370" s="110"/>
      <c r="RML1370" s="110"/>
      <c r="RMM1370" s="110"/>
      <c r="RMN1370" s="110"/>
      <c r="RMO1370" s="110"/>
      <c r="RMP1370" s="110"/>
      <c r="RMQ1370" s="110"/>
      <c r="RMR1370" s="110"/>
      <c r="RMS1370" s="110"/>
      <c r="RMT1370" s="110"/>
      <c r="RMU1370" s="110"/>
      <c r="RMV1370" s="110"/>
      <c r="RMW1370" s="110"/>
      <c r="RMX1370" s="110"/>
      <c r="RMY1370" s="110"/>
      <c r="RMZ1370" s="110"/>
      <c r="RNA1370" s="110"/>
      <c r="RNB1370" s="110"/>
      <c r="RNC1370" s="110"/>
      <c r="RND1370" s="110"/>
      <c r="RNE1370" s="110"/>
      <c r="RNF1370" s="110"/>
      <c r="RNG1370" s="110"/>
      <c r="RNH1370" s="110"/>
      <c r="RNI1370" s="110"/>
      <c r="RNJ1370" s="110"/>
      <c r="RNK1370" s="110"/>
      <c r="RNL1370" s="110"/>
      <c r="RNM1370" s="110"/>
      <c r="RNN1370" s="110"/>
      <c r="RNO1370" s="110"/>
      <c r="RNP1370" s="110"/>
      <c r="RNQ1370" s="110"/>
      <c r="RNR1370" s="110"/>
      <c r="RNS1370" s="110"/>
      <c r="RNT1370" s="110"/>
      <c r="RNU1370" s="110"/>
      <c r="RNV1370" s="110"/>
      <c r="RNW1370" s="110"/>
      <c r="RNX1370" s="110"/>
      <c r="RNY1370" s="110"/>
      <c r="RNZ1370" s="110"/>
      <c r="ROA1370" s="110"/>
      <c r="ROB1370" s="110"/>
      <c r="ROC1370" s="110"/>
      <c r="ROD1370" s="110"/>
      <c r="ROE1370" s="110"/>
      <c r="ROF1370" s="110"/>
      <c r="ROG1370" s="110"/>
      <c r="ROH1370" s="110"/>
      <c r="ROI1370" s="110"/>
      <c r="ROJ1370" s="110"/>
      <c r="ROK1370" s="110"/>
      <c r="ROL1370" s="110"/>
      <c r="ROM1370" s="110"/>
      <c r="RON1370" s="110"/>
      <c r="ROO1370" s="110"/>
      <c r="ROP1370" s="110"/>
      <c r="ROQ1370" s="110"/>
      <c r="ROR1370" s="110"/>
      <c r="ROS1370" s="110"/>
      <c r="ROT1370" s="110"/>
      <c r="ROU1370" s="110"/>
      <c r="ROV1370" s="110"/>
      <c r="ROW1370" s="110"/>
      <c r="ROX1370" s="110"/>
      <c r="ROY1370" s="110"/>
      <c r="ROZ1370" s="110"/>
      <c r="RPA1370" s="110"/>
      <c r="RPB1370" s="110"/>
      <c r="RPC1370" s="110"/>
      <c r="RPD1370" s="110"/>
      <c r="RPE1370" s="110"/>
      <c r="RPF1370" s="110"/>
      <c r="RPG1370" s="110"/>
      <c r="RPH1370" s="110"/>
      <c r="RPI1370" s="110"/>
      <c r="RPJ1370" s="110"/>
      <c r="RPK1370" s="110"/>
      <c r="RPL1370" s="110"/>
      <c r="RPM1370" s="110"/>
      <c r="RPN1370" s="110"/>
      <c r="RPO1370" s="110"/>
      <c r="RPP1370" s="110"/>
      <c r="RPQ1370" s="110"/>
      <c r="RPR1370" s="110"/>
      <c r="RPS1370" s="110"/>
      <c r="RPT1370" s="110"/>
      <c r="RPU1370" s="110"/>
      <c r="RPV1370" s="110"/>
      <c r="RPW1370" s="110"/>
      <c r="RPX1370" s="110"/>
      <c r="RPY1370" s="110"/>
      <c r="RPZ1370" s="110"/>
      <c r="RQA1370" s="110"/>
      <c r="RQB1370" s="110"/>
      <c r="RQC1370" s="110"/>
      <c r="RQD1370" s="110"/>
      <c r="RQE1370" s="110"/>
      <c r="RQF1370" s="110"/>
      <c r="RQG1370" s="110"/>
      <c r="RQH1370" s="110"/>
      <c r="RQI1370" s="110"/>
      <c r="RQJ1370" s="110"/>
      <c r="RQK1370" s="110"/>
      <c r="RQL1370" s="110"/>
      <c r="RQM1370" s="110"/>
      <c r="RQN1370" s="110"/>
      <c r="RQO1370" s="110"/>
      <c r="RQP1370" s="110"/>
      <c r="RQQ1370" s="110"/>
      <c r="RQR1370" s="110"/>
      <c r="RQS1370" s="110"/>
      <c r="RQT1370" s="110"/>
      <c r="RQU1370" s="110"/>
      <c r="RQV1370" s="110"/>
      <c r="RQW1370" s="110"/>
      <c r="RQX1370" s="110"/>
      <c r="RQY1370" s="110"/>
      <c r="RQZ1370" s="110"/>
      <c r="RRA1370" s="110"/>
      <c r="RRB1370" s="110"/>
      <c r="RRC1370" s="110"/>
      <c r="RRD1370" s="110"/>
      <c r="RRE1370" s="110"/>
      <c r="RRF1370" s="110"/>
      <c r="RRG1370" s="110"/>
      <c r="RRH1370" s="110"/>
      <c r="RRI1370" s="110"/>
      <c r="RRJ1370" s="110"/>
      <c r="RRK1370" s="110"/>
      <c r="RRL1370" s="110"/>
      <c r="RRM1370" s="110"/>
      <c r="RRN1370" s="110"/>
      <c r="RRO1370" s="110"/>
      <c r="RRP1370" s="110"/>
      <c r="RRQ1370" s="110"/>
      <c r="RRR1370" s="110"/>
      <c r="RRS1370" s="110"/>
      <c r="RRT1370" s="110"/>
      <c r="RRU1370" s="110"/>
      <c r="RRV1370" s="110"/>
      <c r="RRW1370" s="110"/>
      <c r="RRX1370" s="110"/>
      <c r="RRY1370" s="110"/>
      <c r="RRZ1370" s="110"/>
      <c r="RSA1370" s="110"/>
      <c r="RSB1370" s="110"/>
      <c r="RSC1370" s="110"/>
      <c r="RSD1370" s="110"/>
      <c r="RSE1370" s="110"/>
      <c r="RSF1370" s="110"/>
      <c r="RSG1370" s="110"/>
      <c r="RSH1370" s="110"/>
      <c r="RSI1370" s="110"/>
      <c r="RSJ1370" s="110"/>
      <c r="RSK1370" s="110"/>
      <c r="RSL1370" s="110"/>
      <c r="RSM1370" s="110"/>
      <c r="RSN1370" s="110"/>
      <c r="RSO1370" s="110"/>
      <c r="RSP1370" s="110"/>
      <c r="RSQ1370" s="110"/>
      <c r="RSR1370" s="110"/>
      <c r="RSS1370" s="110"/>
      <c r="RST1370" s="110"/>
      <c r="RSU1370" s="110"/>
      <c r="RSV1370" s="110"/>
      <c r="RSW1370" s="110"/>
      <c r="RSX1370" s="110"/>
      <c r="RSY1370" s="110"/>
      <c r="RSZ1370" s="110"/>
      <c r="RTA1370" s="110"/>
      <c r="RTB1370" s="110"/>
      <c r="RTC1370" s="110"/>
      <c r="RTD1370" s="110"/>
      <c r="RTE1370" s="110"/>
      <c r="RTF1370" s="110"/>
      <c r="RTG1370" s="110"/>
      <c r="RTH1370" s="110"/>
      <c r="RTI1370" s="110"/>
      <c r="RTJ1370" s="110"/>
      <c r="RTK1370" s="110"/>
      <c r="RTL1370" s="110"/>
      <c r="RTM1370" s="110"/>
      <c r="RTN1370" s="110"/>
      <c r="RTO1370" s="110"/>
      <c r="RTP1370" s="110"/>
      <c r="RTQ1370" s="110"/>
      <c r="RTR1370" s="110"/>
      <c r="RTS1370" s="110"/>
      <c r="RTT1370" s="110"/>
      <c r="RTU1370" s="110"/>
      <c r="RTV1370" s="110"/>
      <c r="RTW1370" s="110"/>
      <c r="RTX1370" s="110"/>
      <c r="RTY1370" s="110"/>
      <c r="RTZ1370" s="110"/>
      <c r="RUA1370" s="110"/>
      <c r="RUB1370" s="110"/>
      <c r="RUC1370" s="110"/>
      <c r="RUD1370" s="110"/>
      <c r="RUE1370" s="110"/>
      <c r="RUF1370" s="110"/>
      <c r="RUG1370" s="110"/>
      <c r="RUH1370" s="110"/>
      <c r="RUI1370" s="110"/>
      <c r="RUJ1370" s="110"/>
      <c r="RUK1370" s="110"/>
      <c r="RUL1370" s="110"/>
      <c r="RUM1370" s="110"/>
      <c r="RUN1370" s="110"/>
      <c r="RUO1370" s="110"/>
      <c r="RUP1370" s="110"/>
      <c r="RUQ1370" s="110"/>
      <c r="RUR1370" s="110"/>
      <c r="RUS1370" s="110"/>
      <c r="RUT1370" s="110"/>
      <c r="RUU1370" s="110"/>
      <c r="RUV1370" s="110"/>
      <c r="RUW1370" s="110"/>
      <c r="RUX1370" s="110"/>
      <c r="RUY1370" s="110"/>
      <c r="RUZ1370" s="110"/>
      <c r="RVA1370" s="110"/>
      <c r="RVB1370" s="110"/>
      <c r="RVC1370" s="110"/>
      <c r="RVD1370" s="110"/>
      <c r="RVE1370" s="110"/>
      <c r="RVF1370" s="110"/>
      <c r="RVG1370" s="110"/>
      <c r="RVH1370" s="110"/>
      <c r="RVI1370" s="110"/>
      <c r="RVJ1370" s="110"/>
      <c r="RVK1370" s="110"/>
      <c r="RVL1370" s="110"/>
      <c r="RVM1370" s="110"/>
      <c r="RVN1370" s="110"/>
      <c r="RVO1370" s="110"/>
      <c r="RVP1370" s="110"/>
      <c r="RVQ1370" s="110"/>
      <c r="RVR1370" s="110"/>
      <c r="RVS1370" s="110"/>
      <c r="RVT1370" s="110"/>
      <c r="RVU1370" s="110"/>
      <c r="RVV1370" s="110"/>
      <c r="RVW1370" s="110"/>
      <c r="RVX1370" s="110"/>
      <c r="RVY1370" s="110"/>
      <c r="RVZ1370" s="110"/>
      <c r="RWA1370" s="110"/>
      <c r="RWB1370" s="110"/>
      <c r="RWC1370" s="110"/>
      <c r="RWD1370" s="110"/>
      <c r="RWE1370" s="110"/>
      <c r="RWF1370" s="110"/>
      <c r="RWG1370" s="110"/>
      <c r="RWH1370" s="110"/>
      <c r="RWI1370" s="110"/>
      <c r="RWJ1370" s="110"/>
      <c r="RWK1370" s="110"/>
      <c r="RWL1370" s="110"/>
      <c r="RWM1370" s="110"/>
      <c r="RWN1370" s="110"/>
      <c r="RWO1370" s="110"/>
      <c r="RWP1370" s="110"/>
      <c r="RWQ1370" s="110"/>
      <c r="RWR1370" s="110"/>
      <c r="RWS1370" s="110"/>
      <c r="RWT1370" s="110"/>
      <c r="RWU1370" s="110"/>
      <c r="RWV1370" s="110"/>
      <c r="RWW1370" s="110"/>
      <c r="RWX1370" s="110"/>
      <c r="RWY1370" s="110"/>
      <c r="RWZ1370" s="110"/>
      <c r="RXA1370" s="110"/>
      <c r="RXB1370" s="110"/>
      <c r="RXC1370" s="110"/>
      <c r="RXD1370" s="110"/>
      <c r="RXE1370" s="110"/>
      <c r="RXF1370" s="110"/>
      <c r="RXG1370" s="110"/>
      <c r="RXH1370" s="110"/>
      <c r="RXI1370" s="110"/>
      <c r="RXJ1370" s="110"/>
      <c r="RXK1370" s="110"/>
      <c r="RXL1370" s="110"/>
      <c r="RXM1370" s="110"/>
      <c r="RXN1370" s="110"/>
      <c r="RXO1370" s="110"/>
      <c r="RXP1370" s="110"/>
      <c r="RXQ1370" s="110"/>
      <c r="RXR1370" s="110"/>
      <c r="RXS1370" s="110"/>
      <c r="RXT1370" s="110"/>
      <c r="RXU1370" s="110"/>
      <c r="RXV1370" s="110"/>
      <c r="RXW1370" s="110"/>
      <c r="RXX1370" s="110"/>
      <c r="RXY1370" s="110"/>
      <c r="RXZ1370" s="110"/>
      <c r="RYA1370" s="110"/>
      <c r="RYB1370" s="110"/>
      <c r="RYC1370" s="110"/>
      <c r="RYD1370" s="110"/>
      <c r="RYE1370" s="110"/>
      <c r="RYF1370" s="110"/>
      <c r="RYG1370" s="110"/>
      <c r="RYH1370" s="110"/>
      <c r="RYI1370" s="110"/>
      <c r="RYJ1370" s="110"/>
      <c r="RYK1370" s="110"/>
      <c r="RYL1370" s="110"/>
      <c r="RYM1370" s="110"/>
      <c r="RYN1370" s="110"/>
      <c r="RYO1370" s="110"/>
      <c r="RYP1370" s="110"/>
      <c r="RYQ1370" s="110"/>
      <c r="RYR1370" s="110"/>
      <c r="RYS1370" s="110"/>
      <c r="RYT1370" s="110"/>
      <c r="RYU1370" s="110"/>
      <c r="RYV1370" s="110"/>
      <c r="RYW1370" s="110"/>
      <c r="RYX1370" s="110"/>
      <c r="RYY1370" s="110"/>
      <c r="RYZ1370" s="110"/>
      <c r="RZA1370" s="110"/>
      <c r="RZB1370" s="110"/>
      <c r="RZC1370" s="110"/>
      <c r="RZD1370" s="110"/>
      <c r="RZE1370" s="110"/>
      <c r="RZF1370" s="110"/>
      <c r="RZG1370" s="110"/>
      <c r="RZH1370" s="110"/>
      <c r="RZI1370" s="110"/>
      <c r="RZJ1370" s="110"/>
      <c r="RZK1370" s="110"/>
      <c r="RZL1370" s="110"/>
      <c r="RZM1370" s="110"/>
      <c r="RZN1370" s="110"/>
      <c r="RZO1370" s="110"/>
      <c r="RZP1370" s="110"/>
      <c r="RZQ1370" s="110"/>
      <c r="RZR1370" s="110"/>
      <c r="RZS1370" s="110"/>
      <c r="RZT1370" s="110"/>
      <c r="RZU1370" s="110"/>
      <c r="RZV1370" s="110"/>
      <c r="RZW1370" s="110"/>
      <c r="RZX1370" s="110"/>
      <c r="RZY1370" s="110"/>
      <c r="RZZ1370" s="110"/>
      <c r="SAA1370" s="110"/>
      <c r="SAB1370" s="110"/>
      <c r="SAC1370" s="110"/>
      <c r="SAD1370" s="110"/>
      <c r="SAE1370" s="110"/>
      <c r="SAF1370" s="110"/>
      <c r="SAG1370" s="110"/>
      <c r="SAH1370" s="110"/>
      <c r="SAI1370" s="110"/>
      <c r="SAJ1370" s="110"/>
      <c r="SAK1370" s="110"/>
      <c r="SAL1370" s="110"/>
      <c r="SAM1370" s="110"/>
      <c r="SAN1370" s="110"/>
      <c r="SAO1370" s="110"/>
      <c r="SAP1370" s="110"/>
      <c r="SAQ1370" s="110"/>
      <c r="SAR1370" s="110"/>
      <c r="SAS1370" s="110"/>
      <c r="SAT1370" s="110"/>
      <c r="SAU1370" s="110"/>
      <c r="SAV1370" s="110"/>
      <c r="SAW1370" s="110"/>
      <c r="SAX1370" s="110"/>
      <c r="SAY1370" s="110"/>
      <c r="SAZ1370" s="110"/>
      <c r="SBA1370" s="110"/>
      <c r="SBB1370" s="110"/>
      <c r="SBC1370" s="110"/>
      <c r="SBD1370" s="110"/>
      <c r="SBE1370" s="110"/>
      <c r="SBF1370" s="110"/>
      <c r="SBG1370" s="110"/>
      <c r="SBH1370" s="110"/>
      <c r="SBI1370" s="110"/>
      <c r="SBJ1370" s="110"/>
      <c r="SBK1370" s="110"/>
      <c r="SBL1370" s="110"/>
      <c r="SBM1370" s="110"/>
      <c r="SBN1370" s="110"/>
      <c r="SBO1370" s="110"/>
      <c r="SBP1370" s="110"/>
      <c r="SBQ1370" s="110"/>
      <c r="SBR1370" s="110"/>
      <c r="SBS1370" s="110"/>
      <c r="SBT1370" s="110"/>
      <c r="SBU1370" s="110"/>
      <c r="SBV1370" s="110"/>
      <c r="SBW1370" s="110"/>
      <c r="SBX1370" s="110"/>
      <c r="SBY1370" s="110"/>
      <c r="SBZ1370" s="110"/>
      <c r="SCA1370" s="110"/>
      <c r="SCB1370" s="110"/>
      <c r="SCC1370" s="110"/>
      <c r="SCD1370" s="110"/>
      <c r="SCE1370" s="110"/>
      <c r="SCF1370" s="110"/>
      <c r="SCG1370" s="110"/>
      <c r="SCH1370" s="110"/>
      <c r="SCI1370" s="110"/>
      <c r="SCJ1370" s="110"/>
      <c r="SCK1370" s="110"/>
      <c r="SCL1370" s="110"/>
      <c r="SCM1370" s="110"/>
      <c r="SCN1370" s="110"/>
      <c r="SCO1370" s="110"/>
      <c r="SCP1370" s="110"/>
      <c r="SCQ1370" s="110"/>
      <c r="SCR1370" s="110"/>
      <c r="SCS1370" s="110"/>
      <c r="SCT1370" s="110"/>
      <c r="SCU1370" s="110"/>
      <c r="SCV1370" s="110"/>
      <c r="SCW1370" s="110"/>
      <c r="SCX1370" s="110"/>
      <c r="SCY1370" s="110"/>
      <c r="SCZ1370" s="110"/>
      <c r="SDA1370" s="110"/>
      <c r="SDB1370" s="110"/>
      <c r="SDC1370" s="110"/>
      <c r="SDD1370" s="110"/>
      <c r="SDE1370" s="110"/>
      <c r="SDF1370" s="110"/>
      <c r="SDG1370" s="110"/>
      <c r="SDH1370" s="110"/>
      <c r="SDI1370" s="110"/>
      <c r="SDJ1370" s="110"/>
      <c r="SDK1370" s="110"/>
      <c r="SDL1370" s="110"/>
      <c r="SDM1370" s="110"/>
      <c r="SDN1370" s="110"/>
      <c r="SDO1370" s="110"/>
      <c r="SDP1370" s="110"/>
      <c r="SDQ1370" s="110"/>
      <c r="SDR1370" s="110"/>
      <c r="SDS1370" s="110"/>
      <c r="SDT1370" s="110"/>
      <c r="SDU1370" s="110"/>
      <c r="SDV1370" s="110"/>
      <c r="SDW1370" s="110"/>
      <c r="SDX1370" s="110"/>
      <c r="SDY1370" s="110"/>
      <c r="SDZ1370" s="110"/>
      <c r="SEA1370" s="110"/>
      <c r="SEB1370" s="110"/>
      <c r="SEC1370" s="110"/>
      <c r="SED1370" s="110"/>
      <c r="SEE1370" s="110"/>
      <c r="SEF1370" s="110"/>
      <c r="SEG1370" s="110"/>
      <c r="SEH1370" s="110"/>
      <c r="SEI1370" s="110"/>
      <c r="SEJ1370" s="110"/>
      <c r="SEK1370" s="110"/>
      <c r="SEL1370" s="110"/>
      <c r="SEM1370" s="110"/>
      <c r="SEN1370" s="110"/>
      <c r="SEO1370" s="110"/>
      <c r="SEP1370" s="110"/>
      <c r="SEQ1370" s="110"/>
      <c r="SER1370" s="110"/>
      <c r="SES1370" s="110"/>
      <c r="SET1370" s="110"/>
      <c r="SEU1370" s="110"/>
      <c r="SEV1370" s="110"/>
      <c r="SEW1370" s="110"/>
      <c r="SEX1370" s="110"/>
      <c r="SEY1370" s="110"/>
      <c r="SEZ1370" s="110"/>
      <c r="SFA1370" s="110"/>
      <c r="SFB1370" s="110"/>
      <c r="SFC1370" s="110"/>
      <c r="SFD1370" s="110"/>
      <c r="SFE1370" s="110"/>
      <c r="SFF1370" s="110"/>
      <c r="SFG1370" s="110"/>
      <c r="SFH1370" s="110"/>
      <c r="SFI1370" s="110"/>
      <c r="SFJ1370" s="110"/>
      <c r="SFK1370" s="110"/>
      <c r="SFL1370" s="110"/>
      <c r="SFM1370" s="110"/>
      <c r="SFN1370" s="110"/>
      <c r="SFO1370" s="110"/>
      <c r="SFP1370" s="110"/>
      <c r="SFQ1370" s="110"/>
      <c r="SFR1370" s="110"/>
      <c r="SFS1370" s="110"/>
      <c r="SFT1370" s="110"/>
      <c r="SFU1370" s="110"/>
      <c r="SFV1370" s="110"/>
      <c r="SFW1370" s="110"/>
      <c r="SFX1370" s="110"/>
      <c r="SFY1370" s="110"/>
      <c r="SFZ1370" s="110"/>
      <c r="SGA1370" s="110"/>
      <c r="SGB1370" s="110"/>
      <c r="SGC1370" s="110"/>
      <c r="SGD1370" s="110"/>
      <c r="SGE1370" s="110"/>
      <c r="SGF1370" s="110"/>
      <c r="SGG1370" s="110"/>
      <c r="SGH1370" s="110"/>
      <c r="SGI1370" s="110"/>
      <c r="SGJ1370" s="110"/>
      <c r="SGK1370" s="110"/>
      <c r="SGL1370" s="110"/>
      <c r="SGM1370" s="110"/>
      <c r="SGN1370" s="110"/>
      <c r="SGO1370" s="110"/>
      <c r="SGP1370" s="110"/>
      <c r="SGQ1370" s="110"/>
      <c r="SGR1370" s="110"/>
      <c r="SGS1370" s="110"/>
      <c r="SGT1370" s="110"/>
      <c r="SGU1370" s="110"/>
      <c r="SGV1370" s="110"/>
      <c r="SGW1370" s="110"/>
      <c r="SGX1370" s="110"/>
      <c r="SGY1370" s="110"/>
      <c r="SGZ1370" s="110"/>
      <c r="SHA1370" s="110"/>
      <c r="SHB1370" s="110"/>
      <c r="SHC1370" s="110"/>
      <c r="SHD1370" s="110"/>
      <c r="SHE1370" s="110"/>
      <c r="SHF1370" s="110"/>
      <c r="SHG1370" s="110"/>
      <c r="SHH1370" s="110"/>
      <c r="SHI1370" s="110"/>
      <c r="SHJ1370" s="110"/>
      <c r="SHK1370" s="110"/>
      <c r="SHL1370" s="110"/>
      <c r="SHM1370" s="110"/>
      <c r="SHN1370" s="110"/>
      <c r="SHO1370" s="110"/>
      <c r="SHP1370" s="110"/>
      <c r="SHQ1370" s="110"/>
      <c r="SHR1370" s="110"/>
      <c r="SHS1370" s="110"/>
      <c r="SHT1370" s="110"/>
      <c r="SHU1370" s="110"/>
      <c r="SHV1370" s="110"/>
      <c r="SHW1370" s="110"/>
      <c r="SHX1370" s="110"/>
      <c r="SHY1370" s="110"/>
      <c r="SHZ1370" s="110"/>
      <c r="SIA1370" s="110"/>
      <c r="SIB1370" s="110"/>
      <c r="SIC1370" s="110"/>
      <c r="SID1370" s="110"/>
      <c r="SIE1370" s="110"/>
      <c r="SIF1370" s="110"/>
      <c r="SIG1370" s="110"/>
      <c r="SIH1370" s="110"/>
      <c r="SII1370" s="110"/>
      <c r="SIJ1370" s="110"/>
      <c r="SIK1370" s="110"/>
      <c r="SIL1370" s="110"/>
      <c r="SIM1370" s="110"/>
      <c r="SIN1370" s="110"/>
      <c r="SIO1370" s="110"/>
      <c r="SIP1370" s="110"/>
      <c r="SIQ1370" s="110"/>
      <c r="SIR1370" s="110"/>
      <c r="SIS1370" s="110"/>
      <c r="SIT1370" s="110"/>
      <c r="SIU1370" s="110"/>
      <c r="SIV1370" s="110"/>
      <c r="SIW1370" s="110"/>
      <c r="SIX1370" s="110"/>
      <c r="SIY1370" s="110"/>
      <c r="SIZ1370" s="110"/>
      <c r="SJA1370" s="110"/>
      <c r="SJB1370" s="110"/>
      <c r="SJC1370" s="110"/>
      <c r="SJD1370" s="110"/>
      <c r="SJE1370" s="110"/>
      <c r="SJF1370" s="110"/>
      <c r="SJG1370" s="110"/>
      <c r="SJH1370" s="110"/>
      <c r="SJI1370" s="110"/>
      <c r="SJJ1370" s="110"/>
      <c r="SJK1370" s="110"/>
      <c r="SJL1370" s="110"/>
      <c r="SJM1370" s="110"/>
      <c r="SJN1370" s="110"/>
      <c r="SJO1370" s="110"/>
      <c r="SJP1370" s="110"/>
      <c r="SJQ1370" s="110"/>
      <c r="SJR1370" s="110"/>
      <c r="SJS1370" s="110"/>
      <c r="SJT1370" s="110"/>
      <c r="SJU1370" s="110"/>
      <c r="SJV1370" s="110"/>
      <c r="SJW1370" s="110"/>
      <c r="SJX1370" s="110"/>
      <c r="SJY1370" s="110"/>
      <c r="SJZ1370" s="110"/>
      <c r="SKA1370" s="110"/>
      <c r="SKB1370" s="110"/>
      <c r="SKC1370" s="110"/>
      <c r="SKD1370" s="110"/>
      <c r="SKE1370" s="110"/>
      <c r="SKF1370" s="110"/>
      <c r="SKG1370" s="110"/>
      <c r="SKH1370" s="110"/>
      <c r="SKI1370" s="110"/>
      <c r="SKJ1370" s="110"/>
      <c r="SKK1370" s="110"/>
      <c r="SKL1370" s="110"/>
      <c r="SKM1370" s="110"/>
      <c r="SKN1370" s="110"/>
      <c r="SKO1370" s="110"/>
      <c r="SKP1370" s="110"/>
      <c r="SKQ1370" s="110"/>
      <c r="SKR1370" s="110"/>
      <c r="SKS1370" s="110"/>
      <c r="SKT1370" s="110"/>
      <c r="SKU1370" s="110"/>
      <c r="SKV1370" s="110"/>
      <c r="SKW1370" s="110"/>
      <c r="SKX1370" s="110"/>
      <c r="SKY1370" s="110"/>
      <c r="SKZ1370" s="110"/>
      <c r="SLA1370" s="110"/>
      <c r="SLB1370" s="110"/>
      <c r="SLC1370" s="110"/>
      <c r="SLD1370" s="110"/>
      <c r="SLE1370" s="110"/>
      <c r="SLF1370" s="110"/>
      <c r="SLG1370" s="110"/>
      <c r="SLH1370" s="110"/>
      <c r="SLI1370" s="110"/>
      <c r="SLJ1370" s="110"/>
      <c r="SLK1370" s="110"/>
      <c r="SLL1370" s="110"/>
      <c r="SLM1370" s="110"/>
      <c r="SLN1370" s="110"/>
      <c r="SLO1370" s="110"/>
      <c r="SLP1370" s="110"/>
      <c r="SLQ1370" s="110"/>
      <c r="SLR1370" s="110"/>
      <c r="SLS1370" s="110"/>
      <c r="SLT1370" s="110"/>
      <c r="SLU1370" s="110"/>
      <c r="SLV1370" s="110"/>
      <c r="SLW1370" s="110"/>
      <c r="SLX1370" s="110"/>
      <c r="SLY1370" s="110"/>
      <c r="SLZ1370" s="110"/>
      <c r="SMA1370" s="110"/>
      <c r="SMB1370" s="110"/>
      <c r="SMC1370" s="110"/>
      <c r="SMD1370" s="110"/>
      <c r="SME1370" s="110"/>
      <c r="SMF1370" s="110"/>
      <c r="SMG1370" s="110"/>
      <c r="SMH1370" s="110"/>
      <c r="SMI1370" s="110"/>
      <c r="SMJ1370" s="110"/>
      <c r="SMK1370" s="110"/>
      <c r="SML1370" s="110"/>
      <c r="SMM1370" s="110"/>
      <c r="SMN1370" s="110"/>
      <c r="SMO1370" s="110"/>
      <c r="SMP1370" s="110"/>
      <c r="SMQ1370" s="110"/>
      <c r="SMR1370" s="110"/>
      <c r="SMS1370" s="110"/>
      <c r="SMT1370" s="110"/>
      <c r="SMU1370" s="110"/>
      <c r="SMV1370" s="110"/>
      <c r="SMW1370" s="110"/>
      <c r="SMX1370" s="110"/>
      <c r="SMY1370" s="110"/>
      <c r="SMZ1370" s="110"/>
      <c r="SNA1370" s="110"/>
      <c r="SNB1370" s="110"/>
      <c r="SNC1370" s="110"/>
      <c r="SND1370" s="110"/>
      <c r="SNE1370" s="110"/>
      <c r="SNF1370" s="110"/>
      <c r="SNG1370" s="110"/>
      <c r="SNH1370" s="110"/>
      <c r="SNI1370" s="110"/>
      <c r="SNJ1370" s="110"/>
      <c r="SNK1370" s="110"/>
      <c r="SNL1370" s="110"/>
      <c r="SNM1370" s="110"/>
      <c r="SNN1370" s="110"/>
      <c r="SNO1370" s="110"/>
      <c r="SNP1370" s="110"/>
      <c r="SNQ1370" s="110"/>
      <c r="SNR1370" s="110"/>
      <c r="SNS1370" s="110"/>
      <c r="SNT1370" s="110"/>
      <c r="SNU1370" s="110"/>
      <c r="SNV1370" s="110"/>
      <c r="SNW1370" s="110"/>
      <c r="SNX1370" s="110"/>
      <c r="SNY1370" s="110"/>
      <c r="SNZ1370" s="110"/>
      <c r="SOA1370" s="110"/>
      <c r="SOB1370" s="110"/>
      <c r="SOC1370" s="110"/>
      <c r="SOD1370" s="110"/>
      <c r="SOE1370" s="110"/>
      <c r="SOF1370" s="110"/>
      <c r="SOG1370" s="110"/>
      <c r="SOH1370" s="110"/>
      <c r="SOI1370" s="110"/>
      <c r="SOJ1370" s="110"/>
      <c r="SOK1370" s="110"/>
      <c r="SOL1370" s="110"/>
      <c r="SOM1370" s="110"/>
      <c r="SON1370" s="110"/>
      <c r="SOO1370" s="110"/>
      <c r="SOP1370" s="110"/>
      <c r="SOQ1370" s="110"/>
      <c r="SOR1370" s="110"/>
      <c r="SOS1370" s="110"/>
      <c r="SOT1370" s="110"/>
      <c r="SOU1370" s="110"/>
      <c r="SOV1370" s="110"/>
      <c r="SOW1370" s="110"/>
      <c r="SOX1370" s="110"/>
      <c r="SOY1370" s="110"/>
      <c r="SOZ1370" s="110"/>
      <c r="SPA1370" s="110"/>
      <c r="SPB1370" s="110"/>
      <c r="SPC1370" s="110"/>
      <c r="SPD1370" s="110"/>
      <c r="SPE1370" s="110"/>
      <c r="SPF1370" s="110"/>
      <c r="SPG1370" s="110"/>
      <c r="SPH1370" s="110"/>
      <c r="SPI1370" s="110"/>
      <c r="SPJ1370" s="110"/>
      <c r="SPK1370" s="110"/>
      <c r="SPL1370" s="110"/>
      <c r="SPM1370" s="110"/>
      <c r="SPN1370" s="110"/>
      <c r="SPO1370" s="110"/>
      <c r="SPP1370" s="110"/>
      <c r="SPQ1370" s="110"/>
      <c r="SPR1370" s="110"/>
      <c r="SPS1370" s="110"/>
      <c r="SPT1370" s="110"/>
      <c r="SPU1370" s="110"/>
      <c r="SPV1370" s="110"/>
      <c r="SPW1370" s="110"/>
      <c r="SPX1370" s="110"/>
      <c r="SPY1370" s="110"/>
      <c r="SPZ1370" s="110"/>
      <c r="SQA1370" s="110"/>
      <c r="SQB1370" s="110"/>
      <c r="SQC1370" s="110"/>
      <c r="SQD1370" s="110"/>
      <c r="SQE1370" s="110"/>
      <c r="SQF1370" s="110"/>
      <c r="SQG1370" s="110"/>
      <c r="SQH1370" s="110"/>
      <c r="SQI1370" s="110"/>
      <c r="SQJ1370" s="110"/>
      <c r="SQK1370" s="110"/>
      <c r="SQL1370" s="110"/>
      <c r="SQM1370" s="110"/>
      <c r="SQN1370" s="110"/>
      <c r="SQO1370" s="110"/>
      <c r="SQP1370" s="110"/>
      <c r="SQQ1370" s="110"/>
      <c r="SQR1370" s="110"/>
      <c r="SQS1370" s="110"/>
      <c r="SQT1370" s="110"/>
      <c r="SQU1370" s="110"/>
      <c r="SQV1370" s="110"/>
      <c r="SQW1370" s="110"/>
      <c r="SQX1370" s="110"/>
      <c r="SQY1370" s="110"/>
      <c r="SQZ1370" s="110"/>
      <c r="SRA1370" s="110"/>
      <c r="SRB1370" s="110"/>
      <c r="SRC1370" s="110"/>
      <c r="SRD1370" s="110"/>
      <c r="SRE1370" s="110"/>
      <c r="SRF1370" s="110"/>
      <c r="SRG1370" s="110"/>
      <c r="SRH1370" s="110"/>
      <c r="SRI1370" s="110"/>
      <c r="SRJ1370" s="110"/>
      <c r="SRK1370" s="110"/>
      <c r="SRL1370" s="110"/>
      <c r="SRM1370" s="110"/>
      <c r="SRN1370" s="110"/>
      <c r="SRO1370" s="110"/>
      <c r="SRP1370" s="110"/>
      <c r="SRQ1370" s="110"/>
      <c r="SRR1370" s="110"/>
      <c r="SRS1370" s="110"/>
      <c r="SRT1370" s="110"/>
      <c r="SRU1370" s="110"/>
      <c r="SRV1370" s="110"/>
      <c r="SRW1370" s="110"/>
      <c r="SRX1370" s="110"/>
      <c r="SRY1370" s="110"/>
      <c r="SRZ1370" s="110"/>
      <c r="SSA1370" s="110"/>
      <c r="SSB1370" s="110"/>
      <c r="SSC1370" s="110"/>
      <c r="SSD1370" s="110"/>
      <c r="SSE1370" s="110"/>
      <c r="SSF1370" s="110"/>
      <c r="SSG1370" s="110"/>
      <c r="SSH1370" s="110"/>
      <c r="SSI1370" s="110"/>
      <c r="SSJ1370" s="110"/>
      <c r="SSK1370" s="110"/>
      <c r="SSL1370" s="110"/>
      <c r="SSM1370" s="110"/>
      <c r="SSN1370" s="110"/>
      <c r="SSO1370" s="110"/>
      <c r="SSP1370" s="110"/>
      <c r="SSQ1370" s="110"/>
      <c r="SSR1370" s="110"/>
      <c r="SSS1370" s="110"/>
      <c r="SST1370" s="110"/>
      <c r="SSU1370" s="110"/>
      <c r="SSV1370" s="110"/>
      <c r="SSW1370" s="110"/>
      <c r="SSX1370" s="110"/>
      <c r="SSY1370" s="110"/>
      <c r="SSZ1370" s="110"/>
      <c r="STA1370" s="110"/>
      <c r="STB1370" s="110"/>
      <c r="STC1370" s="110"/>
      <c r="STD1370" s="110"/>
      <c r="STE1370" s="110"/>
      <c r="STF1370" s="110"/>
      <c r="STG1370" s="110"/>
      <c r="STH1370" s="110"/>
      <c r="STI1370" s="110"/>
      <c r="STJ1370" s="110"/>
      <c r="STK1370" s="110"/>
      <c r="STL1370" s="110"/>
      <c r="STM1370" s="110"/>
      <c r="STN1370" s="110"/>
      <c r="STO1370" s="110"/>
      <c r="STP1370" s="110"/>
      <c r="STQ1370" s="110"/>
      <c r="STR1370" s="110"/>
      <c r="STS1370" s="110"/>
      <c r="STT1370" s="110"/>
      <c r="STU1370" s="110"/>
      <c r="STV1370" s="110"/>
      <c r="STW1370" s="110"/>
      <c r="STX1370" s="110"/>
      <c r="STY1370" s="110"/>
      <c r="STZ1370" s="110"/>
      <c r="SUA1370" s="110"/>
      <c r="SUB1370" s="110"/>
      <c r="SUC1370" s="110"/>
      <c r="SUD1370" s="110"/>
      <c r="SUE1370" s="110"/>
      <c r="SUF1370" s="110"/>
      <c r="SUG1370" s="110"/>
      <c r="SUH1370" s="110"/>
      <c r="SUI1370" s="110"/>
      <c r="SUJ1370" s="110"/>
      <c r="SUK1370" s="110"/>
      <c r="SUL1370" s="110"/>
      <c r="SUM1370" s="110"/>
      <c r="SUN1370" s="110"/>
      <c r="SUO1370" s="110"/>
      <c r="SUP1370" s="110"/>
      <c r="SUQ1370" s="110"/>
      <c r="SUR1370" s="110"/>
      <c r="SUS1370" s="110"/>
      <c r="SUT1370" s="110"/>
      <c r="SUU1370" s="110"/>
      <c r="SUV1370" s="110"/>
      <c r="SUW1370" s="110"/>
      <c r="SUX1370" s="110"/>
      <c r="SUY1370" s="110"/>
      <c r="SUZ1370" s="110"/>
      <c r="SVA1370" s="110"/>
      <c r="SVB1370" s="110"/>
      <c r="SVC1370" s="110"/>
      <c r="SVD1370" s="110"/>
      <c r="SVE1370" s="110"/>
      <c r="SVF1370" s="110"/>
      <c r="SVG1370" s="110"/>
      <c r="SVH1370" s="110"/>
      <c r="SVI1370" s="110"/>
      <c r="SVJ1370" s="110"/>
      <c r="SVK1370" s="110"/>
      <c r="SVL1370" s="110"/>
      <c r="SVM1370" s="110"/>
      <c r="SVN1370" s="110"/>
      <c r="SVO1370" s="110"/>
      <c r="SVP1370" s="110"/>
      <c r="SVQ1370" s="110"/>
      <c r="SVR1370" s="110"/>
      <c r="SVS1370" s="110"/>
      <c r="SVT1370" s="110"/>
      <c r="SVU1370" s="110"/>
      <c r="SVV1370" s="110"/>
      <c r="SVW1370" s="110"/>
      <c r="SVX1370" s="110"/>
      <c r="SVY1370" s="110"/>
      <c r="SVZ1370" s="110"/>
      <c r="SWA1370" s="110"/>
      <c r="SWB1370" s="110"/>
      <c r="SWC1370" s="110"/>
      <c r="SWD1370" s="110"/>
      <c r="SWE1370" s="110"/>
      <c r="SWF1370" s="110"/>
      <c r="SWG1370" s="110"/>
      <c r="SWH1370" s="110"/>
      <c r="SWI1370" s="110"/>
      <c r="SWJ1370" s="110"/>
      <c r="SWK1370" s="110"/>
      <c r="SWL1370" s="110"/>
      <c r="SWM1370" s="110"/>
      <c r="SWN1370" s="110"/>
      <c r="SWO1370" s="110"/>
      <c r="SWP1370" s="110"/>
      <c r="SWQ1370" s="110"/>
      <c r="SWR1370" s="110"/>
      <c r="SWS1370" s="110"/>
      <c r="SWT1370" s="110"/>
      <c r="SWU1370" s="110"/>
      <c r="SWV1370" s="110"/>
      <c r="SWW1370" s="110"/>
      <c r="SWX1370" s="110"/>
      <c r="SWY1370" s="110"/>
      <c r="SWZ1370" s="110"/>
      <c r="SXA1370" s="110"/>
      <c r="SXB1370" s="110"/>
      <c r="SXC1370" s="110"/>
      <c r="SXD1370" s="110"/>
      <c r="SXE1370" s="110"/>
      <c r="SXF1370" s="110"/>
      <c r="SXG1370" s="110"/>
      <c r="SXH1370" s="110"/>
      <c r="SXI1370" s="110"/>
      <c r="SXJ1370" s="110"/>
      <c r="SXK1370" s="110"/>
      <c r="SXL1370" s="110"/>
      <c r="SXM1370" s="110"/>
      <c r="SXN1370" s="110"/>
      <c r="SXO1370" s="110"/>
      <c r="SXP1370" s="110"/>
      <c r="SXQ1370" s="110"/>
      <c r="SXR1370" s="110"/>
      <c r="SXS1370" s="110"/>
      <c r="SXT1370" s="110"/>
      <c r="SXU1370" s="110"/>
      <c r="SXV1370" s="110"/>
      <c r="SXW1370" s="110"/>
      <c r="SXX1370" s="110"/>
      <c r="SXY1370" s="110"/>
      <c r="SXZ1370" s="110"/>
      <c r="SYA1370" s="110"/>
      <c r="SYB1370" s="110"/>
      <c r="SYC1370" s="110"/>
      <c r="SYD1370" s="110"/>
      <c r="SYE1370" s="110"/>
      <c r="SYF1370" s="110"/>
      <c r="SYG1370" s="110"/>
      <c r="SYH1370" s="110"/>
      <c r="SYI1370" s="110"/>
      <c r="SYJ1370" s="110"/>
      <c r="SYK1370" s="110"/>
      <c r="SYL1370" s="110"/>
      <c r="SYM1370" s="110"/>
      <c r="SYN1370" s="110"/>
      <c r="SYO1370" s="110"/>
      <c r="SYP1370" s="110"/>
      <c r="SYQ1370" s="110"/>
      <c r="SYR1370" s="110"/>
      <c r="SYS1370" s="110"/>
      <c r="SYT1370" s="110"/>
      <c r="SYU1370" s="110"/>
      <c r="SYV1370" s="110"/>
      <c r="SYW1370" s="110"/>
      <c r="SYX1370" s="110"/>
      <c r="SYY1370" s="110"/>
      <c r="SYZ1370" s="110"/>
      <c r="SZA1370" s="110"/>
      <c r="SZB1370" s="110"/>
      <c r="SZC1370" s="110"/>
      <c r="SZD1370" s="110"/>
      <c r="SZE1370" s="110"/>
      <c r="SZF1370" s="110"/>
      <c r="SZG1370" s="110"/>
      <c r="SZH1370" s="110"/>
      <c r="SZI1370" s="110"/>
      <c r="SZJ1370" s="110"/>
      <c r="SZK1370" s="110"/>
      <c r="SZL1370" s="110"/>
      <c r="SZM1370" s="110"/>
      <c r="SZN1370" s="110"/>
      <c r="SZO1370" s="110"/>
      <c r="SZP1370" s="110"/>
      <c r="SZQ1370" s="110"/>
      <c r="SZR1370" s="110"/>
      <c r="SZS1370" s="110"/>
      <c r="SZT1370" s="110"/>
      <c r="SZU1370" s="110"/>
      <c r="SZV1370" s="110"/>
      <c r="SZW1370" s="110"/>
      <c r="SZX1370" s="110"/>
      <c r="SZY1370" s="110"/>
      <c r="SZZ1370" s="110"/>
      <c r="TAA1370" s="110"/>
      <c r="TAB1370" s="110"/>
      <c r="TAC1370" s="110"/>
      <c r="TAD1370" s="110"/>
      <c r="TAE1370" s="110"/>
      <c r="TAF1370" s="110"/>
      <c r="TAG1370" s="110"/>
      <c r="TAH1370" s="110"/>
      <c r="TAI1370" s="110"/>
      <c r="TAJ1370" s="110"/>
      <c r="TAK1370" s="110"/>
      <c r="TAL1370" s="110"/>
      <c r="TAM1370" s="110"/>
      <c r="TAN1370" s="110"/>
      <c r="TAO1370" s="110"/>
      <c r="TAP1370" s="110"/>
      <c r="TAQ1370" s="110"/>
      <c r="TAR1370" s="110"/>
      <c r="TAS1370" s="110"/>
      <c r="TAT1370" s="110"/>
      <c r="TAU1370" s="110"/>
      <c r="TAV1370" s="110"/>
      <c r="TAW1370" s="110"/>
      <c r="TAX1370" s="110"/>
      <c r="TAY1370" s="110"/>
      <c r="TAZ1370" s="110"/>
      <c r="TBA1370" s="110"/>
      <c r="TBB1370" s="110"/>
      <c r="TBC1370" s="110"/>
      <c r="TBD1370" s="110"/>
      <c r="TBE1370" s="110"/>
      <c r="TBF1370" s="110"/>
      <c r="TBG1370" s="110"/>
      <c r="TBH1370" s="110"/>
      <c r="TBI1370" s="110"/>
      <c r="TBJ1370" s="110"/>
      <c r="TBK1370" s="110"/>
      <c r="TBL1370" s="110"/>
      <c r="TBM1370" s="110"/>
      <c r="TBN1370" s="110"/>
      <c r="TBO1370" s="110"/>
      <c r="TBP1370" s="110"/>
      <c r="TBQ1370" s="110"/>
      <c r="TBR1370" s="110"/>
      <c r="TBS1370" s="110"/>
      <c r="TBT1370" s="110"/>
      <c r="TBU1370" s="110"/>
      <c r="TBV1370" s="110"/>
      <c r="TBW1370" s="110"/>
      <c r="TBX1370" s="110"/>
      <c r="TBY1370" s="110"/>
      <c r="TBZ1370" s="110"/>
      <c r="TCA1370" s="110"/>
      <c r="TCB1370" s="110"/>
      <c r="TCC1370" s="110"/>
      <c r="TCD1370" s="110"/>
      <c r="TCE1370" s="110"/>
      <c r="TCF1370" s="110"/>
      <c r="TCG1370" s="110"/>
      <c r="TCH1370" s="110"/>
      <c r="TCI1370" s="110"/>
      <c r="TCJ1370" s="110"/>
      <c r="TCK1370" s="110"/>
      <c r="TCL1370" s="110"/>
      <c r="TCM1370" s="110"/>
      <c r="TCN1370" s="110"/>
      <c r="TCO1370" s="110"/>
      <c r="TCP1370" s="110"/>
      <c r="TCQ1370" s="110"/>
      <c r="TCR1370" s="110"/>
      <c r="TCS1370" s="110"/>
      <c r="TCT1370" s="110"/>
      <c r="TCU1370" s="110"/>
      <c r="TCV1370" s="110"/>
      <c r="TCW1370" s="110"/>
      <c r="TCX1370" s="110"/>
      <c r="TCY1370" s="110"/>
      <c r="TCZ1370" s="110"/>
      <c r="TDA1370" s="110"/>
      <c r="TDB1370" s="110"/>
      <c r="TDC1370" s="110"/>
      <c r="TDD1370" s="110"/>
      <c r="TDE1370" s="110"/>
      <c r="TDF1370" s="110"/>
      <c r="TDG1370" s="110"/>
      <c r="TDH1370" s="110"/>
      <c r="TDI1370" s="110"/>
      <c r="TDJ1370" s="110"/>
      <c r="TDK1370" s="110"/>
      <c r="TDL1370" s="110"/>
      <c r="TDM1370" s="110"/>
      <c r="TDN1370" s="110"/>
      <c r="TDO1370" s="110"/>
      <c r="TDP1370" s="110"/>
      <c r="TDQ1370" s="110"/>
      <c r="TDR1370" s="110"/>
      <c r="TDS1370" s="110"/>
      <c r="TDT1370" s="110"/>
      <c r="TDU1370" s="110"/>
      <c r="TDV1370" s="110"/>
      <c r="TDW1370" s="110"/>
      <c r="TDX1370" s="110"/>
      <c r="TDY1370" s="110"/>
      <c r="TDZ1370" s="110"/>
      <c r="TEA1370" s="110"/>
      <c r="TEB1370" s="110"/>
      <c r="TEC1370" s="110"/>
      <c r="TED1370" s="110"/>
      <c r="TEE1370" s="110"/>
      <c r="TEF1370" s="110"/>
      <c r="TEG1370" s="110"/>
      <c r="TEH1370" s="110"/>
      <c r="TEI1370" s="110"/>
      <c r="TEJ1370" s="110"/>
      <c r="TEK1370" s="110"/>
      <c r="TEL1370" s="110"/>
      <c r="TEM1370" s="110"/>
      <c r="TEN1370" s="110"/>
      <c r="TEO1370" s="110"/>
      <c r="TEP1370" s="110"/>
      <c r="TEQ1370" s="110"/>
      <c r="TER1370" s="110"/>
      <c r="TES1370" s="110"/>
      <c r="TET1370" s="110"/>
      <c r="TEU1370" s="110"/>
      <c r="TEV1370" s="110"/>
      <c r="TEW1370" s="110"/>
      <c r="TEX1370" s="110"/>
      <c r="TEY1370" s="110"/>
      <c r="TEZ1370" s="110"/>
      <c r="TFA1370" s="110"/>
      <c r="TFB1370" s="110"/>
      <c r="TFC1370" s="110"/>
      <c r="TFD1370" s="110"/>
      <c r="TFE1370" s="110"/>
      <c r="TFF1370" s="110"/>
      <c r="TFG1370" s="110"/>
      <c r="TFH1370" s="110"/>
      <c r="TFI1370" s="110"/>
      <c r="TFJ1370" s="110"/>
      <c r="TFK1370" s="110"/>
      <c r="TFL1370" s="110"/>
      <c r="TFM1370" s="110"/>
      <c r="TFN1370" s="110"/>
      <c r="TFO1370" s="110"/>
      <c r="TFP1370" s="110"/>
      <c r="TFQ1370" s="110"/>
      <c r="TFR1370" s="110"/>
      <c r="TFS1370" s="110"/>
      <c r="TFT1370" s="110"/>
      <c r="TFU1370" s="110"/>
      <c r="TFV1370" s="110"/>
      <c r="TFW1370" s="110"/>
      <c r="TFX1370" s="110"/>
      <c r="TFY1370" s="110"/>
      <c r="TFZ1370" s="110"/>
      <c r="TGA1370" s="110"/>
      <c r="TGB1370" s="110"/>
      <c r="TGC1370" s="110"/>
      <c r="TGD1370" s="110"/>
      <c r="TGE1370" s="110"/>
      <c r="TGF1370" s="110"/>
      <c r="TGG1370" s="110"/>
      <c r="TGH1370" s="110"/>
      <c r="TGI1370" s="110"/>
      <c r="TGJ1370" s="110"/>
      <c r="TGK1370" s="110"/>
      <c r="TGL1370" s="110"/>
      <c r="TGM1370" s="110"/>
      <c r="TGN1370" s="110"/>
      <c r="TGO1370" s="110"/>
      <c r="TGP1370" s="110"/>
      <c r="TGQ1370" s="110"/>
      <c r="TGR1370" s="110"/>
      <c r="TGS1370" s="110"/>
      <c r="TGT1370" s="110"/>
      <c r="TGU1370" s="110"/>
      <c r="TGV1370" s="110"/>
      <c r="TGW1370" s="110"/>
      <c r="TGX1370" s="110"/>
      <c r="TGY1370" s="110"/>
      <c r="TGZ1370" s="110"/>
      <c r="THA1370" s="110"/>
      <c r="THB1370" s="110"/>
      <c r="THC1370" s="110"/>
      <c r="THD1370" s="110"/>
      <c r="THE1370" s="110"/>
      <c r="THF1370" s="110"/>
      <c r="THG1370" s="110"/>
      <c r="THH1370" s="110"/>
      <c r="THI1370" s="110"/>
      <c r="THJ1370" s="110"/>
      <c r="THK1370" s="110"/>
      <c r="THL1370" s="110"/>
      <c r="THM1370" s="110"/>
      <c r="THN1370" s="110"/>
      <c r="THO1370" s="110"/>
      <c r="THP1370" s="110"/>
      <c r="THQ1370" s="110"/>
      <c r="THR1370" s="110"/>
      <c r="THS1370" s="110"/>
      <c r="THT1370" s="110"/>
      <c r="THU1370" s="110"/>
      <c r="THV1370" s="110"/>
      <c r="THW1370" s="110"/>
      <c r="THX1370" s="110"/>
      <c r="THY1370" s="110"/>
      <c r="THZ1370" s="110"/>
      <c r="TIA1370" s="110"/>
      <c r="TIB1370" s="110"/>
      <c r="TIC1370" s="110"/>
      <c r="TID1370" s="110"/>
      <c r="TIE1370" s="110"/>
      <c r="TIF1370" s="110"/>
      <c r="TIG1370" s="110"/>
      <c r="TIH1370" s="110"/>
      <c r="TII1370" s="110"/>
      <c r="TIJ1370" s="110"/>
      <c r="TIK1370" s="110"/>
      <c r="TIL1370" s="110"/>
      <c r="TIM1370" s="110"/>
      <c r="TIN1370" s="110"/>
      <c r="TIO1370" s="110"/>
      <c r="TIP1370" s="110"/>
      <c r="TIQ1370" s="110"/>
      <c r="TIR1370" s="110"/>
      <c r="TIS1370" s="110"/>
      <c r="TIT1370" s="110"/>
      <c r="TIU1370" s="110"/>
      <c r="TIV1370" s="110"/>
      <c r="TIW1370" s="110"/>
      <c r="TIX1370" s="110"/>
      <c r="TIY1370" s="110"/>
      <c r="TIZ1370" s="110"/>
      <c r="TJA1370" s="110"/>
      <c r="TJB1370" s="110"/>
      <c r="TJC1370" s="110"/>
      <c r="TJD1370" s="110"/>
      <c r="TJE1370" s="110"/>
      <c r="TJF1370" s="110"/>
      <c r="TJG1370" s="110"/>
      <c r="TJH1370" s="110"/>
      <c r="TJI1370" s="110"/>
      <c r="TJJ1370" s="110"/>
      <c r="TJK1370" s="110"/>
      <c r="TJL1370" s="110"/>
      <c r="TJM1370" s="110"/>
      <c r="TJN1370" s="110"/>
      <c r="TJO1370" s="110"/>
      <c r="TJP1370" s="110"/>
      <c r="TJQ1370" s="110"/>
      <c r="TJR1370" s="110"/>
      <c r="TJS1370" s="110"/>
      <c r="TJT1370" s="110"/>
      <c r="TJU1370" s="110"/>
      <c r="TJV1370" s="110"/>
      <c r="TJW1370" s="110"/>
      <c r="TJX1370" s="110"/>
      <c r="TJY1370" s="110"/>
      <c r="TJZ1370" s="110"/>
      <c r="TKA1370" s="110"/>
      <c r="TKB1370" s="110"/>
      <c r="TKC1370" s="110"/>
      <c r="TKD1370" s="110"/>
      <c r="TKE1370" s="110"/>
      <c r="TKF1370" s="110"/>
      <c r="TKG1370" s="110"/>
      <c r="TKH1370" s="110"/>
      <c r="TKI1370" s="110"/>
      <c r="TKJ1370" s="110"/>
      <c r="TKK1370" s="110"/>
      <c r="TKL1370" s="110"/>
      <c r="TKM1370" s="110"/>
      <c r="TKN1370" s="110"/>
      <c r="TKO1370" s="110"/>
      <c r="TKP1370" s="110"/>
      <c r="TKQ1370" s="110"/>
      <c r="TKR1370" s="110"/>
      <c r="TKS1370" s="110"/>
      <c r="TKT1370" s="110"/>
      <c r="TKU1370" s="110"/>
      <c r="TKV1370" s="110"/>
      <c r="TKW1370" s="110"/>
      <c r="TKX1370" s="110"/>
      <c r="TKY1370" s="110"/>
      <c r="TKZ1370" s="110"/>
      <c r="TLA1370" s="110"/>
      <c r="TLB1370" s="110"/>
      <c r="TLC1370" s="110"/>
      <c r="TLD1370" s="110"/>
      <c r="TLE1370" s="110"/>
      <c r="TLF1370" s="110"/>
      <c r="TLG1370" s="110"/>
      <c r="TLH1370" s="110"/>
      <c r="TLI1370" s="110"/>
      <c r="TLJ1370" s="110"/>
      <c r="TLK1370" s="110"/>
      <c r="TLL1370" s="110"/>
      <c r="TLM1370" s="110"/>
      <c r="TLN1370" s="110"/>
      <c r="TLO1370" s="110"/>
      <c r="TLP1370" s="110"/>
      <c r="TLQ1370" s="110"/>
      <c r="TLR1370" s="110"/>
      <c r="TLS1370" s="110"/>
      <c r="TLT1370" s="110"/>
      <c r="TLU1370" s="110"/>
      <c r="TLV1370" s="110"/>
      <c r="TLW1370" s="110"/>
      <c r="TLX1370" s="110"/>
      <c r="TLY1370" s="110"/>
      <c r="TLZ1370" s="110"/>
      <c r="TMA1370" s="110"/>
      <c r="TMB1370" s="110"/>
      <c r="TMC1370" s="110"/>
      <c r="TMD1370" s="110"/>
      <c r="TME1370" s="110"/>
      <c r="TMF1370" s="110"/>
      <c r="TMG1370" s="110"/>
      <c r="TMH1370" s="110"/>
      <c r="TMI1370" s="110"/>
      <c r="TMJ1370" s="110"/>
      <c r="TMK1370" s="110"/>
      <c r="TML1370" s="110"/>
      <c r="TMM1370" s="110"/>
      <c r="TMN1370" s="110"/>
      <c r="TMO1370" s="110"/>
      <c r="TMP1370" s="110"/>
      <c r="TMQ1370" s="110"/>
      <c r="TMR1370" s="110"/>
      <c r="TMS1370" s="110"/>
      <c r="TMT1370" s="110"/>
      <c r="TMU1370" s="110"/>
      <c r="TMV1370" s="110"/>
      <c r="TMW1370" s="110"/>
      <c r="TMX1370" s="110"/>
      <c r="TMY1370" s="110"/>
      <c r="TMZ1370" s="110"/>
      <c r="TNA1370" s="110"/>
      <c r="TNB1370" s="110"/>
      <c r="TNC1370" s="110"/>
      <c r="TND1370" s="110"/>
      <c r="TNE1370" s="110"/>
      <c r="TNF1370" s="110"/>
      <c r="TNG1370" s="110"/>
      <c r="TNH1370" s="110"/>
      <c r="TNI1370" s="110"/>
      <c r="TNJ1370" s="110"/>
      <c r="TNK1370" s="110"/>
      <c r="TNL1370" s="110"/>
      <c r="TNM1370" s="110"/>
      <c r="TNN1370" s="110"/>
      <c r="TNO1370" s="110"/>
      <c r="TNP1370" s="110"/>
      <c r="TNQ1370" s="110"/>
      <c r="TNR1370" s="110"/>
      <c r="TNS1370" s="110"/>
      <c r="TNT1370" s="110"/>
      <c r="TNU1370" s="110"/>
      <c r="TNV1370" s="110"/>
      <c r="TNW1370" s="110"/>
      <c r="TNX1370" s="110"/>
      <c r="TNY1370" s="110"/>
      <c r="TNZ1370" s="110"/>
      <c r="TOA1370" s="110"/>
      <c r="TOB1370" s="110"/>
      <c r="TOC1370" s="110"/>
      <c r="TOD1370" s="110"/>
      <c r="TOE1370" s="110"/>
      <c r="TOF1370" s="110"/>
      <c r="TOG1370" s="110"/>
      <c r="TOH1370" s="110"/>
      <c r="TOI1370" s="110"/>
      <c r="TOJ1370" s="110"/>
      <c r="TOK1370" s="110"/>
      <c r="TOL1370" s="110"/>
      <c r="TOM1370" s="110"/>
      <c r="TON1370" s="110"/>
      <c r="TOO1370" s="110"/>
      <c r="TOP1370" s="110"/>
      <c r="TOQ1370" s="110"/>
      <c r="TOR1370" s="110"/>
      <c r="TOS1370" s="110"/>
      <c r="TOT1370" s="110"/>
      <c r="TOU1370" s="110"/>
      <c r="TOV1370" s="110"/>
      <c r="TOW1370" s="110"/>
      <c r="TOX1370" s="110"/>
      <c r="TOY1370" s="110"/>
      <c r="TOZ1370" s="110"/>
      <c r="TPA1370" s="110"/>
      <c r="TPB1370" s="110"/>
      <c r="TPC1370" s="110"/>
      <c r="TPD1370" s="110"/>
      <c r="TPE1370" s="110"/>
      <c r="TPF1370" s="110"/>
      <c r="TPG1370" s="110"/>
      <c r="TPH1370" s="110"/>
      <c r="TPI1370" s="110"/>
      <c r="TPJ1370" s="110"/>
      <c r="TPK1370" s="110"/>
      <c r="TPL1370" s="110"/>
      <c r="TPM1370" s="110"/>
      <c r="TPN1370" s="110"/>
      <c r="TPO1370" s="110"/>
      <c r="TPP1370" s="110"/>
      <c r="TPQ1370" s="110"/>
      <c r="TPR1370" s="110"/>
      <c r="TPS1370" s="110"/>
      <c r="TPT1370" s="110"/>
      <c r="TPU1370" s="110"/>
      <c r="TPV1370" s="110"/>
      <c r="TPW1370" s="110"/>
      <c r="TPX1370" s="110"/>
      <c r="TPY1370" s="110"/>
      <c r="TPZ1370" s="110"/>
      <c r="TQA1370" s="110"/>
      <c r="TQB1370" s="110"/>
      <c r="TQC1370" s="110"/>
      <c r="TQD1370" s="110"/>
      <c r="TQE1370" s="110"/>
      <c r="TQF1370" s="110"/>
      <c r="TQG1370" s="110"/>
      <c r="TQH1370" s="110"/>
      <c r="TQI1370" s="110"/>
      <c r="TQJ1370" s="110"/>
      <c r="TQK1370" s="110"/>
      <c r="TQL1370" s="110"/>
      <c r="TQM1370" s="110"/>
      <c r="TQN1370" s="110"/>
      <c r="TQO1370" s="110"/>
      <c r="TQP1370" s="110"/>
      <c r="TQQ1370" s="110"/>
      <c r="TQR1370" s="110"/>
      <c r="TQS1370" s="110"/>
      <c r="TQT1370" s="110"/>
      <c r="TQU1370" s="110"/>
      <c r="TQV1370" s="110"/>
      <c r="TQW1370" s="110"/>
      <c r="TQX1370" s="110"/>
      <c r="TQY1370" s="110"/>
      <c r="TQZ1370" s="110"/>
      <c r="TRA1370" s="110"/>
      <c r="TRB1370" s="110"/>
      <c r="TRC1370" s="110"/>
      <c r="TRD1370" s="110"/>
      <c r="TRE1370" s="110"/>
      <c r="TRF1370" s="110"/>
      <c r="TRG1370" s="110"/>
      <c r="TRH1370" s="110"/>
      <c r="TRI1370" s="110"/>
      <c r="TRJ1370" s="110"/>
      <c r="TRK1370" s="110"/>
      <c r="TRL1370" s="110"/>
      <c r="TRM1370" s="110"/>
      <c r="TRN1370" s="110"/>
      <c r="TRO1370" s="110"/>
      <c r="TRP1370" s="110"/>
      <c r="TRQ1370" s="110"/>
      <c r="TRR1370" s="110"/>
      <c r="TRS1370" s="110"/>
      <c r="TRT1370" s="110"/>
      <c r="TRU1370" s="110"/>
      <c r="TRV1370" s="110"/>
      <c r="TRW1370" s="110"/>
      <c r="TRX1370" s="110"/>
      <c r="TRY1370" s="110"/>
      <c r="TRZ1370" s="110"/>
      <c r="TSA1370" s="110"/>
      <c r="TSB1370" s="110"/>
      <c r="TSC1370" s="110"/>
      <c r="TSD1370" s="110"/>
      <c r="TSE1370" s="110"/>
      <c r="TSF1370" s="110"/>
      <c r="TSG1370" s="110"/>
      <c r="TSH1370" s="110"/>
      <c r="TSI1370" s="110"/>
      <c r="TSJ1370" s="110"/>
      <c r="TSK1370" s="110"/>
      <c r="TSL1370" s="110"/>
      <c r="TSM1370" s="110"/>
      <c r="TSN1370" s="110"/>
      <c r="TSO1370" s="110"/>
      <c r="TSP1370" s="110"/>
      <c r="TSQ1370" s="110"/>
      <c r="TSR1370" s="110"/>
      <c r="TSS1370" s="110"/>
      <c r="TST1370" s="110"/>
      <c r="TSU1370" s="110"/>
      <c r="TSV1370" s="110"/>
      <c r="TSW1370" s="110"/>
      <c r="TSX1370" s="110"/>
      <c r="TSY1370" s="110"/>
      <c r="TSZ1370" s="110"/>
      <c r="TTA1370" s="110"/>
      <c r="TTB1370" s="110"/>
      <c r="TTC1370" s="110"/>
      <c r="TTD1370" s="110"/>
      <c r="TTE1370" s="110"/>
      <c r="TTF1370" s="110"/>
      <c r="TTG1370" s="110"/>
      <c r="TTH1370" s="110"/>
      <c r="TTI1370" s="110"/>
      <c r="TTJ1370" s="110"/>
      <c r="TTK1370" s="110"/>
      <c r="TTL1370" s="110"/>
      <c r="TTM1370" s="110"/>
      <c r="TTN1370" s="110"/>
      <c r="TTO1370" s="110"/>
      <c r="TTP1370" s="110"/>
      <c r="TTQ1370" s="110"/>
      <c r="TTR1370" s="110"/>
      <c r="TTS1370" s="110"/>
      <c r="TTT1370" s="110"/>
      <c r="TTU1370" s="110"/>
      <c r="TTV1370" s="110"/>
      <c r="TTW1370" s="110"/>
      <c r="TTX1370" s="110"/>
      <c r="TTY1370" s="110"/>
      <c r="TTZ1370" s="110"/>
      <c r="TUA1370" s="110"/>
      <c r="TUB1370" s="110"/>
      <c r="TUC1370" s="110"/>
      <c r="TUD1370" s="110"/>
      <c r="TUE1370" s="110"/>
      <c r="TUF1370" s="110"/>
      <c r="TUG1370" s="110"/>
      <c r="TUH1370" s="110"/>
      <c r="TUI1370" s="110"/>
      <c r="TUJ1370" s="110"/>
      <c r="TUK1370" s="110"/>
      <c r="TUL1370" s="110"/>
      <c r="TUM1370" s="110"/>
      <c r="TUN1370" s="110"/>
      <c r="TUO1370" s="110"/>
      <c r="TUP1370" s="110"/>
      <c r="TUQ1370" s="110"/>
      <c r="TUR1370" s="110"/>
      <c r="TUS1370" s="110"/>
      <c r="TUT1370" s="110"/>
      <c r="TUU1370" s="110"/>
      <c r="TUV1370" s="110"/>
      <c r="TUW1370" s="110"/>
      <c r="TUX1370" s="110"/>
      <c r="TUY1370" s="110"/>
      <c r="TUZ1370" s="110"/>
      <c r="TVA1370" s="110"/>
      <c r="TVB1370" s="110"/>
      <c r="TVC1370" s="110"/>
      <c r="TVD1370" s="110"/>
      <c r="TVE1370" s="110"/>
      <c r="TVF1370" s="110"/>
      <c r="TVG1370" s="110"/>
      <c r="TVH1370" s="110"/>
      <c r="TVI1370" s="110"/>
      <c r="TVJ1370" s="110"/>
      <c r="TVK1370" s="110"/>
      <c r="TVL1370" s="110"/>
      <c r="TVM1370" s="110"/>
      <c r="TVN1370" s="110"/>
      <c r="TVO1370" s="110"/>
      <c r="TVP1370" s="110"/>
      <c r="TVQ1370" s="110"/>
      <c r="TVR1370" s="110"/>
      <c r="TVS1370" s="110"/>
      <c r="TVT1370" s="110"/>
      <c r="TVU1370" s="110"/>
      <c r="TVV1370" s="110"/>
      <c r="TVW1370" s="110"/>
      <c r="TVX1370" s="110"/>
      <c r="TVY1370" s="110"/>
      <c r="TVZ1370" s="110"/>
      <c r="TWA1370" s="110"/>
      <c r="TWB1370" s="110"/>
      <c r="TWC1370" s="110"/>
      <c r="TWD1370" s="110"/>
      <c r="TWE1370" s="110"/>
      <c r="TWF1370" s="110"/>
      <c r="TWG1370" s="110"/>
      <c r="TWH1370" s="110"/>
      <c r="TWI1370" s="110"/>
      <c r="TWJ1370" s="110"/>
      <c r="TWK1370" s="110"/>
      <c r="TWL1370" s="110"/>
      <c r="TWM1370" s="110"/>
      <c r="TWN1370" s="110"/>
      <c r="TWO1370" s="110"/>
      <c r="TWP1370" s="110"/>
      <c r="TWQ1370" s="110"/>
      <c r="TWR1370" s="110"/>
      <c r="TWS1370" s="110"/>
      <c r="TWT1370" s="110"/>
      <c r="TWU1370" s="110"/>
      <c r="TWV1370" s="110"/>
      <c r="TWW1370" s="110"/>
      <c r="TWX1370" s="110"/>
      <c r="TWY1370" s="110"/>
      <c r="TWZ1370" s="110"/>
      <c r="TXA1370" s="110"/>
      <c r="TXB1370" s="110"/>
      <c r="TXC1370" s="110"/>
      <c r="TXD1370" s="110"/>
      <c r="TXE1370" s="110"/>
      <c r="TXF1370" s="110"/>
      <c r="TXG1370" s="110"/>
      <c r="TXH1370" s="110"/>
      <c r="TXI1370" s="110"/>
      <c r="TXJ1370" s="110"/>
      <c r="TXK1370" s="110"/>
      <c r="TXL1370" s="110"/>
      <c r="TXM1370" s="110"/>
      <c r="TXN1370" s="110"/>
      <c r="TXO1370" s="110"/>
      <c r="TXP1370" s="110"/>
      <c r="TXQ1370" s="110"/>
      <c r="TXR1370" s="110"/>
      <c r="TXS1370" s="110"/>
      <c r="TXT1370" s="110"/>
      <c r="TXU1370" s="110"/>
      <c r="TXV1370" s="110"/>
      <c r="TXW1370" s="110"/>
      <c r="TXX1370" s="110"/>
      <c r="TXY1370" s="110"/>
      <c r="TXZ1370" s="110"/>
      <c r="TYA1370" s="110"/>
      <c r="TYB1370" s="110"/>
      <c r="TYC1370" s="110"/>
      <c r="TYD1370" s="110"/>
      <c r="TYE1370" s="110"/>
      <c r="TYF1370" s="110"/>
      <c r="TYG1370" s="110"/>
      <c r="TYH1370" s="110"/>
      <c r="TYI1370" s="110"/>
      <c r="TYJ1370" s="110"/>
      <c r="TYK1370" s="110"/>
      <c r="TYL1370" s="110"/>
      <c r="TYM1370" s="110"/>
      <c r="TYN1370" s="110"/>
      <c r="TYO1370" s="110"/>
      <c r="TYP1370" s="110"/>
      <c r="TYQ1370" s="110"/>
      <c r="TYR1370" s="110"/>
      <c r="TYS1370" s="110"/>
      <c r="TYT1370" s="110"/>
      <c r="TYU1370" s="110"/>
      <c r="TYV1370" s="110"/>
      <c r="TYW1370" s="110"/>
      <c r="TYX1370" s="110"/>
      <c r="TYY1370" s="110"/>
      <c r="TYZ1370" s="110"/>
      <c r="TZA1370" s="110"/>
      <c r="TZB1370" s="110"/>
      <c r="TZC1370" s="110"/>
      <c r="TZD1370" s="110"/>
      <c r="TZE1370" s="110"/>
      <c r="TZF1370" s="110"/>
      <c r="TZG1370" s="110"/>
      <c r="TZH1370" s="110"/>
      <c r="TZI1370" s="110"/>
      <c r="TZJ1370" s="110"/>
      <c r="TZK1370" s="110"/>
      <c r="TZL1370" s="110"/>
      <c r="TZM1370" s="110"/>
      <c r="TZN1370" s="110"/>
      <c r="TZO1370" s="110"/>
      <c r="TZP1370" s="110"/>
      <c r="TZQ1370" s="110"/>
      <c r="TZR1370" s="110"/>
      <c r="TZS1370" s="110"/>
      <c r="TZT1370" s="110"/>
      <c r="TZU1370" s="110"/>
      <c r="TZV1370" s="110"/>
      <c r="TZW1370" s="110"/>
      <c r="TZX1370" s="110"/>
      <c r="TZY1370" s="110"/>
      <c r="TZZ1370" s="110"/>
      <c r="UAA1370" s="110"/>
      <c r="UAB1370" s="110"/>
      <c r="UAC1370" s="110"/>
      <c r="UAD1370" s="110"/>
      <c r="UAE1370" s="110"/>
      <c r="UAF1370" s="110"/>
      <c r="UAG1370" s="110"/>
      <c r="UAH1370" s="110"/>
      <c r="UAI1370" s="110"/>
      <c r="UAJ1370" s="110"/>
      <c r="UAK1370" s="110"/>
      <c r="UAL1370" s="110"/>
      <c r="UAM1370" s="110"/>
      <c r="UAN1370" s="110"/>
      <c r="UAO1370" s="110"/>
      <c r="UAP1370" s="110"/>
      <c r="UAQ1370" s="110"/>
      <c r="UAR1370" s="110"/>
      <c r="UAS1370" s="110"/>
      <c r="UAT1370" s="110"/>
      <c r="UAU1370" s="110"/>
      <c r="UAV1370" s="110"/>
      <c r="UAW1370" s="110"/>
      <c r="UAX1370" s="110"/>
      <c r="UAY1370" s="110"/>
      <c r="UAZ1370" s="110"/>
      <c r="UBA1370" s="110"/>
      <c r="UBB1370" s="110"/>
      <c r="UBC1370" s="110"/>
      <c r="UBD1370" s="110"/>
      <c r="UBE1370" s="110"/>
      <c r="UBF1370" s="110"/>
      <c r="UBG1370" s="110"/>
      <c r="UBH1370" s="110"/>
      <c r="UBI1370" s="110"/>
      <c r="UBJ1370" s="110"/>
      <c r="UBK1370" s="110"/>
      <c r="UBL1370" s="110"/>
      <c r="UBM1370" s="110"/>
      <c r="UBN1370" s="110"/>
      <c r="UBO1370" s="110"/>
      <c r="UBP1370" s="110"/>
      <c r="UBQ1370" s="110"/>
      <c r="UBR1370" s="110"/>
      <c r="UBS1370" s="110"/>
      <c r="UBT1370" s="110"/>
      <c r="UBU1370" s="110"/>
      <c r="UBV1370" s="110"/>
      <c r="UBW1370" s="110"/>
      <c r="UBX1370" s="110"/>
      <c r="UBY1370" s="110"/>
      <c r="UBZ1370" s="110"/>
      <c r="UCA1370" s="110"/>
      <c r="UCB1370" s="110"/>
      <c r="UCC1370" s="110"/>
      <c r="UCD1370" s="110"/>
      <c r="UCE1370" s="110"/>
      <c r="UCF1370" s="110"/>
      <c r="UCG1370" s="110"/>
      <c r="UCH1370" s="110"/>
      <c r="UCI1370" s="110"/>
      <c r="UCJ1370" s="110"/>
      <c r="UCK1370" s="110"/>
      <c r="UCL1370" s="110"/>
      <c r="UCM1370" s="110"/>
      <c r="UCN1370" s="110"/>
      <c r="UCO1370" s="110"/>
      <c r="UCP1370" s="110"/>
      <c r="UCQ1370" s="110"/>
      <c r="UCR1370" s="110"/>
      <c r="UCS1370" s="110"/>
      <c r="UCT1370" s="110"/>
      <c r="UCU1370" s="110"/>
      <c r="UCV1370" s="110"/>
      <c r="UCW1370" s="110"/>
      <c r="UCX1370" s="110"/>
      <c r="UCY1370" s="110"/>
      <c r="UCZ1370" s="110"/>
      <c r="UDA1370" s="110"/>
      <c r="UDB1370" s="110"/>
      <c r="UDC1370" s="110"/>
      <c r="UDD1370" s="110"/>
      <c r="UDE1370" s="110"/>
      <c r="UDF1370" s="110"/>
      <c r="UDG1370" s="110"/>
      <c r="UDH1370" s="110"/>
      <c r="UDI1370" s="110"/>
      <c r="UDJ1370" s="110"/>
      <c r="UDK1370" s="110"/>
      <c r="UDL1370" s="110"/>
      <c r="UDM1370" s="110"/>
      <c r="UDN1370" s="110"/>
      <c r="UDO1370" s="110"/>
      <c r="UDP1370" s="110"/>
      <c r="UDQ1370" s="110"/>
      <c r="UDR1370" s="110"/>
      <c r="UDS1370" s="110"/>
      <c r="UDT1370" s="110"/>
      <c r="UDU1370" s="110"/>
      <c r="UDV1370" s="110"/>
      <c r="UDW1370" s="110"/>
      <c r="UDX1370" s="110"/>
      <c r="UDY1370" s="110"/>
      <c r="UDZ1370" s="110"/>
      <c r="UEA1370" s="110"/>
      <c r="UEB1370" s="110"/>
      <c r="UEC1370" s="110"/>
      <c r="UED1370" s="110"/>
      <c r="UEE1370" s="110"/>
      <c r="UEF1370" s="110"/>
      <c r="UEG1370" s="110"/>
      <c r="UEH1370" s="110"/>
      <c r="UEI1370" s="110"/>
      <c r="UEJ1370" s="110"/>
      <c r="UEK1370" s="110"/>
      <c r="UEL1370" s="110"/>
      <c r="UEM1370" s="110"/>
      <c r="UEN1370" s="110"/>
      <c r="UEO1370" s="110"/>
      <c r="UEP1370" s="110"/>
      <c r="UEQ1370" s="110"/>
      <c r="UER1370" s="110"/>
      <c r="UES1370" s="110"/>
      <c r="UET1370" s="110"/>
      <c r="UEU1370" s="110"/>
      <c r="UEV1370" s="110"/>
      <c r="UEW1370" s="110"/>
      <c r="UEX1370" s="110"/>
      <c r="UEY1370" s="110"/>
      <c r="UEZ1370" s="110"/>
      <c r="UFA1370" s="110"/>
      <c r="UFB1370" s="110"/>
      <c r="UFC1370" s="110"/>
      <c r="UFD1370" s="110"/>
      <c r="UFE1370" s="110"/>
      <c r="UFF1370" s="110"/>
      <c r="UFG1370" s="110"/>
      <c r="UFH1370" s="110"/>
      <c r="UFI1370" s="110"/>
      <c r="UFJ1370" s="110"/>
      <c r="UFK1370" s="110"/>
      <c r="UFL1370" s="110"/>
      <c r="UFM1370" s="110"/>
      <c r="UFN1370" s="110"/>
      <c r="UFO1370" s="110"/>
      <c r="UFP1370" s="110"/>
      <c r="UFQ1370" s="110"/>
      <c r="UFR1370" s="110"/>
      <c r="UFS1370" s="110"/>
      <c r="UFT1370" s="110"/>
      <c r="UFU1370" s="110"/>
      <c r="UFV1370" s="110"/>
      <c r="UFW1370" s="110"/>
      <c r="UFX1370" s="110"/>
      <c r="UFY1370" s="110"/>
      <c r="UFZ1370" s="110"/>
      <c r="UGA1370" s="110"/>
      <c r="UGB1370" s="110"/>
      <c r="UGC1370" s="110"/>
      <c r="UGD1370" s="110"/>
      <c r="UGE1370" s="110"/>
      <c r="UGF1370" s="110"/>
      <c r="UGG1370" s="110"/>
      <c r="UGH1370" s="110"/>
      <c r="UGI1370" s="110"/>
      <c r="UGJ1370" s="110"/>
      <c r="UGK1370" s="110"/>
      <c r="UGL1370" s="110"/>
      <c r="UGM1370" s="110"/>
      <c r="UGN1370" s="110"/>
      <c r="UGO1370" s="110"/>
      <c r="UGP1370" s="110"/>
      <c r="UGQ1370" s="110"/>
      <c r="UGR1370" s="110"/>
      <c r="UGS1370" s="110"/>
      <c r="UGT1370" s="110"/>
      <c r="UGU1370" s="110"/>
      <c r="UGV1370" s="110"/>
      <c r="UGW1370" s="110"/>
      <c r="UGX1370" s="110"/>
      <c r="UGY1370" s="110"/>
      <c r="UGZ1370" s="110"/>
      <c r="UHA1370" s="110"/>
      <c r="UHB1370" s="110"/>
      <c r="UHC1370" s="110"/>
      <c r="UHD1370" s="110"/>
      <c r="UHE1370" s="110"/>
      <c r="UHF1370" s="110"/>
      <c r="UHG1370" s="110"/>
      <c r="UHH1370" s="110"/>
      <c r="UHI1370" s="110"/>
      <c r="UHJ1370" s="110"/>
      <c r="UHK1370" s="110"/>
      <c r="UHL1370" s="110"/>
      <c r="UHM1370" s="110"/>
      <c r="UHN1370" s="110"/>
      <c r="UHO1370" s="110"/>
      <c r="UHP1370" s="110"/>
      <c r="UHQ1370" s="110"/>
      <c r="UHR1370" s="110"/>
      <c r="UHS1370" s="110"/>
      <c r="UHT1370" s="110"/>
      <c r="UHU1370" s="110"/>
      <c r="UHV1370" s="110"/>
      <c r="UHW1370" s="110"/>
      <c r="UHX1370" s="110"/>
      <c r="UHY1370" s="110"/>
      <c r="UHZ1370" s="110"/>
      <c r="UIA1370" s="110"/>
      <c r="UIB1370" s="110"/>
      <c r="UIC1370" s="110"/>
      <c r="UID1370" s="110"/>
      <c r="UIE1370" s="110"/>
      <c r="UIF1370" s="110"/>
      <c r="UIG1370" s="110"/>
      <c r="UIH1370" s="110"/>
      <c r="UII1370" s="110"/>
      <c r="UIJ1370" s="110"/>
      <c r="UIK1370" s="110"/>
      <c r="UIL1370" s="110"/>
      <c r="UIM1370" s="110"/>
      <c r="UIN1370" s="110"/>
      <c r="UIO1370" s="110"/>
      <c r="UIP1370" s="110"/>
      <c r="UIQ1370" s="110"/>
      <c r="UIR1370" s="110"/>
      <c r="UIS1370" s="110"/>
      <c r="UIT1370" s="110"/>
      <c r="UIU1370" s="110"/>
      <c r="UIV1370" s="110"/>
      <c r="UIW1370" s="110"/>
      <c r="UIX1370" s="110"/>
      <c r="UIY1370" s="110"/>
      <c r="UIZ1370" s="110"/>
      <c r="UJA1370" s="110"/>
      <c r="UJB1370" s="110"/>
      <c r="UJC1370" s="110"/>
      <c r="UJD1370" s="110"/>
      <c r="UJE1370" s="110"/>
      <c r="UJF1370" s="110"/>
      <c r="UJG1370" s="110"/>
      <c r="UJH1370" s="110"/>
      <c r="UJI1370" s="110"/>
      <c r="UJJ1370" s="110"/>
      <c r="UJK1370" s="110"/>
      <c r="UJL1370" s="110"/>
      <c r="UJM1370" s="110"/>
      <c r="UJN1370" s="110"/>
      <c r="UJO1370" s="110"/>
      <c r="UJP1370" s="110"/>
      <c r="UJQ1370" s="110"/>
      <c r="UJR1370" s="110"/>
      <c r="UJS1370" s="110"/>
      <c r="UJT1370" s="110"/>
      <c r="UJU1370" s="110"/>
      <c r="UJV1370" s="110"/>
      <c r="UJW1370" s="110"/>
      <c r="UJX1370" s="110"/>
      <c r="UJY1370" s="110"/>
      <c r="UJZ1370" s="110"/>
      <c r="UKA1370" s="110"/>
      <c r="UKB1370" s="110"/>
      <c r="UKC1370" s="110"/>
      <c r="UKD1370" s="110"/>
      <c r="UKE1370" s="110"/>
      <c r="UKF1370" s="110"/>
      <c r="UKG1370" s="110"/>
      <c r="UKH1370" s="110"/>
      <c r="UKI1370" s="110"/>
      <c r="UKJ1370" s="110"/>
      <c r="UKK1370" s="110"/>
      <c r="UKL1370" s="110"/>
      <c r="UKM1370" s="110"/>
      <c r="UKN1370" s="110"/>
      <c r="UKO1370" s="110"/>
      <c r="UKP1370" s="110"/>
      <c r="UKQ1370" s="110"/>
      <c r="UKR1370" s="110"/>
      <c r="UKS1370" s="110"/>
      <c r="UKT1370" s="110"/>
      <c r="UKU1370" s="110"/>
      <c r="UKV1370" s="110"/>
      <c r="UKW1370" s="110"/>
      <c r="UKX1370" s="110"/>
      <c r="UKY1370" s="110"/>
      <c r="UKZ1370" s="110"/>
      <c r="ULA1370" s="110"/>
      <c r="ULB1370" s="110"/>
      <c r="ULC1370" s="110"/>
      <c r="ULD1370" s="110"/>
      <c r="ULE1370" s="110"/>
      <c r="ULF1370" s="110"/>
      <c r="ULG1370" s="110"/>
      <c r="ULH1370" s="110"/>
      <c r="ULI1370" s="110"/>
      <c r="ULJ1370" s="110"/>
      <c r="ULK1370" s="110"/>
      <c r="ULL1370" s="110"/>
      <c r="ULM1370" s="110"/>
      <c r="ULN1370" s="110"/>
      <c r="ULO1370" s="110"/>
      <c r="ULP1370" s="110"/>
      <c r="ULQ1370" s="110"/>
      <c r="ULR1370" s="110"/>
      <c r="ULS1370" s="110"/>
      <c r="ULT1370" s="110"/>
      <c r="ULU1370" s="110"/>
      <c r="ULV1370" s="110"/>
      <c r="ULW1370" s="110"/>
      <c r="ULX1370" s="110"/>
      <c r="ULY1370" s="110"/>
      <c r="ULZ1370" s="110"/>
      <c r="UMA1370" s="110"/>
      <c r="UMB1370" s="110"/>
      <c r="UMC1370" s="110"/>
      <c r="UMD1370" s="110"/>
      <c r="UME1370" s="110"/>
      <c r="UMF1370" s="110"/>
      <c r="UMG1370" s="110"/>
      <c r="UMH1370" s="110"/>
      <c r="UMI1370" s="110"/>
      <c r="UMJ1370" s="110"/>
      <c r="UMK1370" s="110"/>
      <c r="UML1370" s="110"/>
      <c r="UMM1370" s="110"/>
      <c r="UMN1370" s="110"/>
      <c r="UMO1370" s="110"/>
      <c r="UMP1370" s="110"/>
      <c r="UMQ1370" s="110"/>
      <c r="UMR1370" s="110"/>
      <c r="UMS1370" s="110"/>
      <c r="UMT1370" s="110"/>
      <c r="UMU1370" s="110"/>
      <c r="UMV1370" s="110"/>
      <c r="UMW1370" s="110"/>
      <c r="UMX1370" s="110"/>
      <c r="UMY1370" s="110"/>
      <c r="UMZ1370" s="110"/>
      <c r="UNA1370" s="110"/>
      <c r="UNB1370" s="110"/>
      <c r="UNC1370" s="110"/>
      <c r="UND1370" s="110"/>
      <c r="UNE1370" s="110"/>
      <c r="UNF1370" s="110"/>
      <c r="UNG1370" s="110"/>
      <c r="UNH1370" s="110"/>
      <c r="UNI1370" s="110"/>
      <c r="UNJ1370" s="110"/>
      <c r="UNK1370" s="110"/>
      <c r="UNL1370" s="110"/>
      <c r="UNM1370" s="110"/>
      <c r="UNN1370" s="110"/>
      <c r="UNO1370" s="110"/>
      <c r="UNP1370" s="110"/>
      <c r="UNQ1370" s="110"/>
      <c r="UNR1370" s="110"/>
      <c r="UNS1370" s="110"/>
      <c r="UNT1370" s="110"/>
      <c r="UNU1370" s="110"/>
      <c r="UNV1370" s="110"/>
      <c r="UNW1370" s="110"/>
      <c r="UNX1370" s="110"/>
      <c r="UNY1370" s="110"/>
      <c r="UNZ1370" s="110"/>
      <c r="UOA1370" s="110"/>
      <c r="UOB1370" s="110"/>
      <c r="UOC1370" s="110"/>
      <c r="UOD1370" s="110"/>
      <c r="UOE1370" s="110"/>
      <c r="UOF1370" s="110"/>
      <c r="UOG1370" s="110"/>
      <c r="UOH1370" s="110"/>
      <c r="UOI1370" s="110"/>
      <c r="UOJ1370" s="110"/>
      <c r="UOK1370" s="110"/>
      <c r="UOL1370" s="110"/>
      <c r="UOM1370" s="110"/>
      <c r="UON1370" s="110"/>
      <c r="UOO1370" s="110"/>
      <c r="UOP1370" s="110"/>
      <c r="UOQ1370" s="110"/>
      <c r="UOR1370" s="110"/>
      <c r="UOS1370" s="110"/>
      <c r="UOT1370" s="110"/>
      <c r="UOU1370" s="110"/>
      <c r="UOV1370" s="110"/>
      <c r="UOW1370" s="110"/>
      <c r="UOX1370" s="110"/>
      <c r="UOY1370" s="110"/>
      <c r="UOZ1370" s="110"/>
      <c r="UPA1370" s="110"/>
      <c r="UPB1370" s="110"/>
      <c r="UPC1370" s="110"/>
      <c r="UPD1370" s="110"/>
      <c r="UPE1370" s="110"/>
      <c r="UPF1370" s="110"/>
      <c r="UPG1370" s="110"/>
      <c r="UPH1370" s="110"/>
      <c r="UPI1370" s="110"/>
      <c r="UPJ1370" s="110"/>
      <c r="UPK1370" s="110"/>
      <c r="UPL1370" s="110"/>
      <c r="UPM1370" s="110"/>
      <c r="UPN1370" s="110"/>
      <c r="UPO1370" s="110"/>
      <c r="UPP1370" s="110"/>
      <c r="UPQ1370" s="110"/>
      <c r="UPR1370" s="110"/>
      <c r="UPS1370" s="110"/>
      <c r="UPT1370" s="110"/>
      <c r="UPU1370" s="110"/>
      <c r="UPV1370" s="110"/>
      <c r="UPW1370" s="110"/>
      <c r="UPX1370" s="110"/>
      <c r="UPY1370" s="110"/>
      <c r="UPZ1370" s="110"/>
      <c r="UQA1370" s="110"/>
      <c r="UQB1370" s="110"/>
      <c r="UQC1370" s="110"/>
      <c r="UQD1370" s="110"/>
      <c r="UQE1370" s="110"/>
      <c r="UQF1370" s="110"/>
      <c r="UQG1370" s="110"/>
      <c r="UQH1370" s="110"/>
      <c r="UQI1370" s="110"/>
      <c r="UQJ1370" s="110"/>
      <c r="UQK1370" s="110"/>
      <c r="UQL1370" s="110"/>
      <c r="UQM1370" s="110"/>
      <c r="UQN1370" s="110"/>
      <c r="UQO1370" s="110"/>
      <c r="UQP1370" s="110"/>
      <c r="UQQ1370" s="110"/>
      <c r="UQR1370" s="110"/>
      <c r="UQS1370" s="110"/>
      <c r="UQT1370" s="110"/>
      <c r="UQU1370" s="110"/>
      <c r="UQV1370" s="110"/>
      <c r="UQW1370" s="110"/>
      <c r="UQX1370" s="110"/>
      <c r="UQY1370" s="110"/>
      <c r="UQZ1370" s="110"/>
      <c r="URA1370" s="110"/>
      <c r="URB1370" s="110"/>
      <c r="URC1370" s="110"/>
      <c r="URD1370" s="110"/>
      <c r="URE1370" s="110"/>
      <c r="URF1370" s="110"/>
      <c r="URG1370" s="110"/>
      <c r="URH1370" s="110"/>
      <c r="URI1370" s="110"/>
      <c r="URJ1370" s="110"/>
      <c r="URK1370" s="110"/>
      <c r="URL1370" s="110"/>
      <c r="URM1370" s="110"/>
      <c r="URN1370" s="110"/>
      <c r="URO1370" s="110"/>
      <c r="URP1370" s="110"/>
      <c r="URQ1370" s="110"/>
      <c r="URR1370" s="110"/>
      <c r="URS1370" s="110"/>
      <c r="URT1370" s="110"/>
      <c r="URU1370" s="110"/>
      <c r="URV1370" s="110"/>
      <c r="URW1370" s="110"/>
      <c r="URX1370" s="110"/>
      <c r="URY1370" s="110"/>
      <c r="URZ1370" s="110"/>
      <c r="USA1370" s="110"/>
      <c r="USB1370" s="110"/>
      <c r="USC1370" s="110"/>
      <c r="USD1370" s="110"/>
      <c r="USE1370" s="110"/>
      <c r="USF1370" s="110"/>
      <c r="USG1370" s="110"/>
      <c r="USH1370" s="110"/>
      <c r="USI1370" s="110"/>
      <c r="USJ1370" s="110"/>
      <c r="USK1370" s="110"/>
      <c r="USL1370" s="110"/>
      <c r="USM1370" s="110"/>
      <c r="USN1370" s="110"/>
      <c r="USO1370" s="110"/>
      <c r="USP1370" s="110"/>
      <c r="USQ1370" s="110"/>
      <c r="USR1370" s="110"/>
      <c r="USS1370" s="110"/>
      <c r="UST1370" s="110"/>
      <c r="USU1370" s="110"/>
      <c r="USV1370" s="110"/>
      <c r="USW1370" s="110"/>
      <c r="USX1370" s="110"/>
      <c r="USY1370" s="110"/>
      <c r="USZ1370" s="110"/>
      <c r="UTA1370" s="110"/>
      <c r="UTB1370" s="110"/>
      <c r="UTC1370" s="110"/>
      <c r="UTD1370" s="110"/>
      <c r="UTE1370" s="110"/>
      <c r="UTF1370" s="110"/>
      <c r="UTG1370" s="110"/>
      <c r="UTH1370" s="110"/>
      <c r="UTI1370" s="110"/>
      <c r="UTJ1370" s="110"/>
      <c r="UTK1370" s="110"/>
      <c r="UTL1370" s="110"/>
      <c r="UTM1370" s="110"/>
      <c r="UTN1370" s="110"/>
      <c r="UTO1370" s="110"/>
      <c r="UTP1370" s="110"/>
      <c r="UTQ1370" s="110"/>
      <c r="UTR1370" s="110"/>
      <c r="UTS1370" s="110"/>
      <c r="UTT1370" s="110"/>
      <c r="UTU1370" s="110"/>
      <c r="UTV1370" s="110"/>
      <c r="UTW1370" s="110"/>
      <c r="UTX1370" s="110"/>
      <c r="UTY1370" s="110"/>
      <c r="UTZ1370" s="110"/>
      <c r="UUA1370" s="110"/>
      <c r="UUB1370" s="110"/>
      <c r="UUC1370" s="110"/>
      <c r="UUD1370" s="110"/>
      <c r="UUE1370" s="110"/>
      <c r="UUF1370" s="110"/>
      <c r="UUG1370" s="110"/>
      <c r="UUH1370" s="110"/>
      <c r="UUI1370" s="110"/>
      <c r="UUJ1370" s="110"/>
      <c r="UUK1370" s="110"/>
      <c r="UUL1370" s="110"/>
      <c r="UUM1370" s="110"/>
      <c r="UUN1370" s="110"/>
      <c r="UUO1370" s="110"/>
      <c r="UUP1370" s="110"/>
      <c r="UUQ1370" s="110"/>
      <c r="UUR1370" s="110"/>
      <c r="UUS1370" s="110"/>
      <c r="UUT1370" s="110"/>
      <c r="UUU1370" s="110"/>
      <c r="UUV1370" s="110"/>
      <c r="UUW1370" s="110"/>
      <c r="UUX1370" s="110"/>
      <c r="UUY1370" s="110"/>
      <c r="UUZ1370" s="110"/>
      <c r="UVA1370" s="110"/>
      <c r="UVB1370" s="110"/>
      <c r="UVC1370" s="110"/>
      <c r="UVD1370" s="110"/>
      <c r="UVE1370" s="110"/>
      <c r="UVF1370" s="110"/>
      <c r="UVG1370" s="110"/>
      <c r="UVH1370" s="110"/>
      <c r="UVI1370" s="110"/>
      <c r="UVJ1370" s="110"/>
      <c r="UVK1370" s="110"/>
      <c r="UVL1370" s="110"/>
      <c r="UVM1370" s="110"/>
      <c r="UVN1370" s="110"/>
      <c r="UVO1370" s="110"/>
      <c r="UVP1370" s="110"/>
      <c r="UVQ1370" s="110"/>
      <c r="UVR1370" s="110"/>
      <c r="UVS1370" s="110"/>
      <c r="UVT1370" s="110"/>
      <c r="UVU1370" s="110"/>
      <c r="UVV1370" s="110"/>
      <c r="UVW1370" s="110"/>
      <c r="UVX1370" s="110"/>
      <c r="UVY1370" s="110"/>
      <c r="UVZ1370" s="110"/>
      <c r="UWA1370" s="110"/>
      <c r="UWB1370" s="110"/>
      <c r="UWC1370" s="110"/>
      <c r="UWD1370" s="110"/>
      <c r="UWE1370" s="110"/>
      <c r="UWF1370" s="110"/>
      <c r="UWG1370" s="110"/>
      <c r="UWH1370" s="110"/>
      <c r="UWI1370" s="110"/>
      <c r="UWJ1370" s="110"/>
      <c r="UWK1370" s="110"/>
      <c r="UWL1370" s="110"/>
      <c r="UWM1370" s="110"/>
      <c r="UWN1370" s="110"/>
      <c r="UWO1370" s="110"/>
      <c r="UWP1370" s="110"/>
      <c r="UWQ1370" s="110"/>
      <c r="UWR1370" s="110"/>
      <c r="UWS1370" s="110"/>
      <c r="UWT1370" s="110"/>
      <c r="UWU1370" s="110"/>
      <c r="UWV1370" s="110"/>
      <c r="UWW1370" s="110"/>
      <c r="UWX1370" s="110"/>
      <c r="UWY1370" s="110"/>
      <c r="UWZ1370" s="110"/>
      <c r="UXA1370" s="110"/>
      <c r="UXB1370" s="110"/>
      <c r="UXC1370" s="110"/>
      <c r="UXD1370" s="110"/>
      <c r="UXE1370" s="110"/>
      <c r="UXF1370" s="110"/>
      <c r="UXG1370" s="110"/>
      <c r="UXH1370" s="110"/>
      <c r="UXI1370" s="110"/>
      <c r="UXJ1370" s="110"/>
      <c r="UXK1370" s="110"/>
      <c r="UXL1370" s="110"/>
      <c r="UXM1370" s="110"/>
      <c r="UXN1370" s="110"/>
      <c r="UXO1370" s="110"/>
      <c r="UXP1370" s="110"/>
      <c r="UXQ1370" s="110"/>
      <c r="UXR1370" s="110"/>
      <c r="UXS1370" s="110"/>
      <c r="UXT1370" s="110"/>
      <c r="UXU1370" s="110"/>
      <c r="UXV1370" s="110"/>
      <c r="UXW1370" s="110"/>
      <c r="UXX1370" s="110"/>
      <c r="UXY1370" s="110"/>
      <c r="UXZ1370" s="110"/>
      <c r="UYA1370" s="110"/>
      <c r="UYB1370" s="110"/>
      <c r="UYC1370" s="110"/>
      <c r="UYD1370" s="110"/>
      <c r="UYE1370" s="110"/>
      <c r="UYF1370" s="110"/>
      <c r="UYG1370" s="110"/>
      <c r="UYH1370" s="110"/>
      <c r="UYI1370" s="110"/>
      <c r="UYJ1370" s="110"/>
      <c r="UYK1370" s="110"/>
      <c r="UYL1370" s="110"/>
      <c r="UYM1370" s="110"/>
      <c r="UYN1370" s="110"/>
      <c r="UYO1370" s="110"/>
      <c r="UYP1370" s="110"/>
      <c r="UYQ1370" s="110"/>
      <c r="UYR1370" s="110"/>
      <c r="UYS1370" s="110"/>
      <c r="UYT1370" s="110"/>
      <c r="UYU1370" s="110"/>
      <c r="UYV1370" s="110"/>
      <c r="UYW1370" s="110"/>
      <c r="UYX1370" s="110"/>
      <c r="UYY1370" s="110"/>
      <c r="UYZ1370" s="110"/>
      <c r="UZA1370" s="110"/>
      <c r="UZB1370" s="110"/>
      <c r="UZC1370" s="110"/>
      <c r="UZD1370" s="110"/>
      <c r="UZE1370" s="110"/>
      <c r="UZF1370" s="110"/>
      <c r="UZG1370" s="110"/>
      <c r="UZH1370" s="110"/>
      <c r="UZI1370" s="110"/>
      <c r="UZJ1370" s="110"/>
      <c r="UZK1370" s="110"/>
      <c r="UZL1370" s="110"/>
      <c r="UZM1370" s="110"/>
      <c r="UZN1370" s="110"/>
      <c r="UZO1370" s="110"/>
      <c r="UZP1370" s="110"/>
      <c r="UZQ1370" s="110"/>
      <c r="UZR1370" s="110"/>
      <c r="UZS1370" s="110"/>
      <c r="UZT1370" s="110"/>
      <c r="UZU1370" s="110"/>
      <c r="UZV1370" s="110"/>
      <c r="UZW1370" s="110"/>
      <c r="UZX1370" s="110"/>
      <c r="UZY1370" s="110"/>
      <c r="UZZ1370" s="110"/>
      <c r="VAA1370" s="110"/>
      <c r="VAB1370" s="110"/>
      <c r="VAC1370" s="110"/>
      <c r="VAD1370" s="110"/>
      <c r="VAE1370" s="110"/>
      <c r="VAF1370" s="110"/>
      <c r="VAG1370" s="110"/>
      <c r="VAH1370" s="110"/>
      <c r="VAI1370" s="110"/>
      <c r="VAJ1370" s="110"/>
      <c r="VAK1370" s="110"/>
      <c r="VAL1370" s="110"/>
      <c r="VAM1370" s="110"/>
      <c r="VAN1370" s="110"/>
      <c r="VAO1370" s="110"/>
      <c r="VAP1370" s="110"/>
      <c r="VAQ1370" s="110"/>
      <c r="VAR1370" s="110"/>
      <c r="VAS1370" s="110"/>
      <c r="VAT1370" s="110"/>
      <c r="VAU1370" s="110"/>
      <c r="VAV1370" s="110"/>
      <c r="VAW1370" s="110"/>
      <c r="VAX1370" s="110"/>
      <c r="VAY1370" s="110"/>
      <c r="VAZ1370" s="110"/>
      <c r="VBA1370" s="110"/>
      <c r="VBB1370" s="110"/>
      <c r="VBC1370" s="110"/>
      <c r="VBD1370" s="110"/>
      <c r="VBE1370" s="110"/>
      <c r="VBF1370" s="110"/>
      <c r="VBG1370" s="110"/>
      <c r="VBH1370" s="110"/>
      <c r="VBI1370" s="110"/>
      <c r="VBJ1370" s="110"/>
      <c r="VBK1370" s="110"/>
      <c r="VBL1370" s="110"/>
      <c r="VBM1370" s="110"/>
      <c r="VBN1370" s="110"/>
      <c r="VBO1370" s="110"/>
      <c r="VBP1370" s="110"/>
      <c r="VBQ1370" s="110"/>
      <c r="VBR1370" s="110"/>
      <c r="VBS1370" s="110"/>
      <c r="VBT1370" s="110"/>
      <c r="VBU1370" s="110"/>
      <c r="VBV1370" s="110"/>
      <c r="VBW1370" s="110"/>
      <c r="VBX1370" s="110"/>
      <c r="VBY1370" s="110"/>
      <c r="VBZ1370" s="110"/>
      <c r="VCA1370" s="110"/>
      <c r="VCB1370" s="110"/>
      <c r="VCC1370" s="110"/>
      <c r="VCD1370" s="110"/>
      <c r="VCE1370" s="110"/>
      <c r="VCF1370" s="110"/>
      <c r="VCG1370" s="110"/>
      <c r="VCH1370" s="110"/>
      <c r="VCI1370" s="110"/>
      <c r="VCJ1370" s="110"/>
      <c r="VCK1370" s="110"/>
      <c r="VCL1370" s="110"/>
      <c r="VCM1370" s="110"/>
      <c r="VCN1370" s="110"/>
      <c r="VCO1370" s="110"/>
      <c r="VCP1370" s="110"/>
      <c r="VCQ1370" s="110"/>
      <c r="VCR1370" s="110"/>
      <c r="VCS1370" s="110"/>
      <c r="VCT1370" s="110"/>
      <c r="VCU1370" s="110"/>
      <c r="VCV1370" s="110"/>
      <c r="VCW1370" s="110"/>
      <c r="VCX1370" s="110"/>
      <c r="VCY1370" s="110"/>
      <c r="VCZ1370" s="110"/>
      <c r="VDA1370" s="110"/>
      <c r="VDB1370" s="110"/>
      <c r="VDC1370" s="110"/>
      <c r="VDD1370" s="110"/>
      <c r="VDE1370" s="110"/>
      <c r="VDF1370" s="110"/>
      <c r="VDG1370" s="110"/>
      <c r="VDH1370" s="110"/>
      <c r="VDI1370" s="110"/>
      <c r="VDJ1370" s="110"/>
      <c r="VDK1370" s="110"/>
      <c r="VDL1370" s="110"/>
      <c r="VDM1370" s="110"/>
      <c r="VDN1370" s="110"/>
      <c r="VDO1370" s="110"/>
      <c r="VDP1370" s="110"/>
      <c r="VDQ1370" s="110"/>
      <c r="VDR1370" s="110"/>
      <c r="VDS1370" s="110"/>
      <c r="VDT1370" s="110"/>
      <c r="VDU1370" s="110"/>
      <c r="VDV1370" s="110"/>
      <c r="VDW1370" s="110"/>
      <c r="VDX1370" s="110"/>
      <c r="VDY1370" s="110"/>
      <c r="VDZ1370" s="110"/>
      <c r="VEA1370" s="110"/>
      <c r="VEB1370" s="110"/>
      <c r="VEC1370" s="110"/>
      <c r="VED1370" s="110"/>
      <c r="VEE1370" s="110"/>
      <c r="VEF1370" s="110"/>
      <c r="VEG1370" s="110"/>
      <c r="VEH1370" s="110"/>
      <c r="VEI1370" s="110"/>
      <c r="VEJ1370" s="110"/>
      <c r="VEK1370" s="110"/>
      <c r="VEL1370" s="110"/>
      <c r="VEM1370" s="110"/>
      <c r="VEN1370" s="110"/>
      <c r="VEO1370" s="110"/>
      <c r="VEP1370" s="110"/>
      <c r="VEQ1370" s="110"/>
      <c r="VER1370" s="110"/>
      <c r="VES1370" s="110"/>
      <c r="VET1370" s="110"/>
      <c r="VEU1370" s="110"/>
      <c r="VEV1370" s="110"/>
      <c r="VEW1370" s="110"/>
      <c r="VEX1370" s="110"/>
      <c r="VEY1370" s="110"/>
      <c r="VEZ1370" s="110"/>
      <c r="VFA1370" s="110"/>
      <c r="VFB1370" s="110"/>
      <c r="VFC1370" s="110"/>
      <c r="VFD1370" s="110"/>
      <c r="VFE1370" s="110"/>
      <c r="VFF1370" s="110"/>
      <c r="VFG1370" s="110"/>
      <c r="VFH1370" s="110"/>
      <c r="VFI1370" s="110"/>
      <c r="VFJ1370" s="110"/>
      <c r="VFK1370" s="110"/>
      <c r="VFL1370" s="110"/>
      <c r="VFM1370" s="110"/>
      <c r="VFN1370" s="110"/>
      <c r="VFO1370" s="110"/>
      <c r="VFP1370" s="110"/>
      <c r="VFQ1370" s="110"/>
      <c r="VFR1370" s="110"/>
      <c r="VFS1370" s="110"/>
      <c r="VFT1370" s="110"/>
      <c r="VFU1370" s="110"/>
      <c r="VFV1370" s="110"/>
      <c r="VFW1370" s="110"/>
      <c r="VFX1370" s="110"/>
      <c r="VFY1370" s="110"/>
      <c r="VFZ1370" s="110"/>
      <c r="VGA1370" s="110"/>
      <c r="VGB1370" s="110"/>
      <c r="VGC1370" s="110"/>
      <c r="VGD1370" s="110"/>
      <c r="VGE1370" s="110"/>
      <c r="VGF1370" s="110"/>
      <c r="VGG1370" s="110"/>
      <c r="VGH1370" s="110"/>
      <c r="VGI1370" s="110"/>
      <c r="VGJ1370" s="110"/>
      <c r="VGK1370" s="110"/>
      <c r="VGL1370" s="110"/>
      <c r="VGM1370" s="110"/>
      <c r="VGN1370" s="110"/>
      <c r="VGO1370" s="110"/>
      <c r="VGP1370" s="110"/>
      <c r="VGQ1370" s="110"/>
      <c r="VGR1370" s="110"/>
      <c r="VGS1370" s="110"/>
      <c r="VGT1370" s="110"/>
      <c r="VGU1370" s="110"/>
      <c r="VGV1370" s="110"/>
      <c r="VGW1370" s="110"/>
      <c r="VGX1370" s="110"/>
      <c r="VGY1370" s="110"/>
      <c r="VGZ1370" s="110"/>
      <c r="VHA1370" s="110"/>
      <c r="VHB1370" s="110"/>
      <c r="VHC1370" s="110"/>
      <c r="VHD1370" s="110"/>
      <c r="VHE1370" s="110"/>
      <c r="VHF1370" s="110"/>
      <c r="VHG1370" s="110"/>
      <c r="VHH1370" s="110"/>
      <c r="VHI1370" s="110"/>
      <c r="VHJ1370" s="110"/>
      <c r="VHK1370" s="110"/>
      <c r="VHL1370" s="110"/>
      <c r="VHM1370" s="110"/>
      <c r="VHN1370" s="110"/>
      <c r="VHO1370" s="110"/>
      <c r="VHP1370" s="110"/>
      <c r="VHQ1370" s="110"/>
      <c r="VHR1370" s="110"/>
      <c r="VHS1370" s="110"/>
      <c r="VHT1370" s="110"/>
      <c r="VHU1370" s="110"/>
      <c r="VHV1370" s="110"/>
      <c r="VHW1370" s="110"/>
      <c r="VHX1370" s="110"/>
      <c r="VHY1370" s="110"/>
      <c r="VHZ1370" s="110"/>
      <c r="VIA1370" s="110"/>
      <c r="VIB1370" s="110"/>
      <c r="VIC1370" s="110"/>
      <c r="VID1370" s="110"/>
      <c r="VIE1370" s="110"/>
      <c r="VIF1370" s="110"/>
      <c r="VIG1370" s="110"/>
      <c r="VIH1370" s="110"/>
      <c r="VII1370" s="110"/>
      <c r="VIJ1370" s="110"/>
      <c r="VIK1370" s="110"/>
      <c r="VIL1370" s="110"/>
      <c r="VIM1370" s="110"/>
      <c r="VIN1370" s="110"/>
      <c r="VIO1370" s="110"/>
      <c r="VIP1370" s="110"/>
      <c r="VIQ1370" s="110"/>
      <c r="VIR1370" s="110"/>
      <c r="VIS1370" s="110"/>
      <c r="VIT1370" s="110"/>
      <c r="VIU1370" s="110"/>
      <c r="VIV1370" s="110"/>
      <c r="VIW1370" s="110"/>
      <c r="VIX1370" s="110"/>
      <c r="VIY1370" s="110"/>
      <c r="VIZ1370" s="110"/>
      <c r="VJA1370" s="110"/>
      <c r="VJB1370" s="110"/>
      <c r="VJC1370" s="110"/>
      <c r="VJD1370" s="110"/>
      <c r="VJE1370" s="110"/>
      <c r="VJF1370" s="110"/>
      <c r="VJG1370" s="110"/>
      <c r="VJH1370" s="110"/>
      <c r="VJI1370" s="110"/>
      <c r="VJJ1370" s="110"/>
      <c r="VJK1370" s="110"/>
      <c r="VJL1370" s="110"/>
      <c r="VJM1370" s="110"/>
      <c r="VJN1370" s="110"/>
      <c r="VJO1370" s="110"/>
      <c r="VJP1370" s="110"/>
      <c r="VJQ1370" s="110"/>
      <c r="VJR1370" s="110"/>
      <c r="VJS1370" s="110"/>
      <c r="VJT1370" s="110"/>
      <c r="VJU1370" s="110"/>
      <c r="VJV1370" s="110"/>
      <c r="VJW1370" s="110"/>
      <c r="VJX1370" s="110"/>
      <c r="VJY1370" s="110"/>
      <c r="VJZ1370" s="110"/>
      <c r="VKA1370" s="110"/>
      <c r="VKB1370" s="110"/>
      <c r="VKC1370" s="110"/>
      <c r="VKD1370" s="110"/>
      <c r="VKE1370" s="110"/>
      <c r="VKF1370" s="110"/>
      <c r="VKG1370" s="110"/>
      <c r="VKH1370" s="110"/>
      <c r="VKI1370" s="110"/>
      <c r="VKJ1370" s="110"/>
      <c r="VKK1370" s="110"/>
      <c r="VKL1370" s="110"/>
      <c r="VKM1370" s="110"/>
      <c r="VKN1370" s="110"/>
      <c r="VKO1370" s="110"/>
      <c r="VKP1370" s="110"/>
      <c r="VKQ1370" s="110"/>
      <c r="VKR1370" s="110"/>
      <c r="VKS1370" s="110"/>
      <c r="VKT1370" s="110"/>
      <c r="VKU1370" s="110"/>
      <c r="VKV1370" s="110"/>
      <c r="VKW1370" s="110"/>
      <c r="VKX1370" s="110"/>
      <c r="VKY1370" s="110"/>
      <c r="VKZ1370" s="110"/>
      <c r="VLA1370" s="110"/>
      <c r="VLB1370" s="110"/>
      <c r="VLC1370" s="110"/>
      <c r="VLD1370" s="110"/>
      <c r="VLE1370" s="110"/>
      <c r="VLF1370" s="110"/>
      <c r="VLG1370" s="110"/>
      <c r="VLH1370" s="110"/>
      <c r="VLI1370" s="110"/>
      <c r="VLJ1370" s="110"/>
      <c r="VLK1370" s="110"/>
      <c r="VLL1370" s="110"/>
      <c r="VLM1370" s="110"/>
      <c r="VLN1370" s="110"/>
      <c r="VLO1370" s="110"/>
      <c r="VLP1370" s="110"/>
      <c r="VLQ1370" s="110"/>
      <c r="VLR1370" s="110"/>
      <c r="VLS1370" s="110"/>
      <c r="VLT1370" s="110"/>
      <c r="VLU1370" s="110"/>
      <c r="VLV1370" s="110"/>
      <c r="VLW1370" s="110"/>
      <c r="VLX1370" s="110"/>
      <c r="VLY1370" s="110"/>
      <c r="VLZ1370" s="110"/>
      <c r="VMA1370" s="110"/>
      <c r="VMB1370" s="110"/>
      <c r="VMC1370" s="110"/>
      <c r="VMD1370" s="110"/>
      <c r="VME1370" s="110"/>
      <c r="VMF1370" s="110"/>
      <c r="VMG1370" s="110"/>
      <c r="VMH1370" s="110"/>
      <c r="VMI1370" s="110"/>
      <c r="VMJ1370" s="110"/>
      <c r="VMK1370" s="110"/>
      <c r="VML1370" s="110"/>
      <c r="VMM1370" s="110"/>
      <c r="VMN1370" s="110"/>
      <c r="VMO1370" s="110"/>
      <c r="VMP1370" s="110"/>
      <c r="VMQ1370" s="110"/>
      <c r="VMR1370" s="110"/>
      <c r="VMS1370" s="110"/>
      <c r="VMT1370" s="110"/>
      <c r="VMU1370" s="110"/>
      <c r="VMV1370" s="110"/>
      <c r="VMW1370" s="110"/>
      <c r="VMX1370" s="110"/>
      <c r="VMY1370" s="110"/>
      <c r="VMZ1370" s="110"/>
      <c r="VNA1370" s="110"/>
      <c r="VNB1370" s="110"/>
      <c r="VNC1370" s="110"/>
      <c r="VND1370" s="110"/>
      <c r="VNE1370" s="110"/>
      <c r="VNF1370" s="110"/>
      <c r="VNG1370" s="110"/>
      <c r="VNH1370" s="110"/>
      <c r="VNI1370" s="110"/>
      <c r="VNJ1370" s="110"/>
      <c r="VNK1370" s="110"/>
      <c r="VNL1370" s="110"/>
      <c r="VNM1370" s="110"/>
      <c r="VNN1370" s="110"/>
      <c r="VNO1370" s="110"/>
      <c r="VNP1370" s="110"/>
      <c r="VNQ1370" s="110"/>
      <c r="VNR1370" s="110"/>
      <c r="VNS1370" s="110"/>
      <c r="VNT1370" s="110"/>
      <c r="VNU1370" s="110"/>
      <c r="VNV1370" s="110"/>
      <c r="VNW1370" s="110"/>
      <c r="VNX1370" s="110"/>
      <c r="VNY1370" s="110"/>
      <c r="VNZ1370" s="110"/>
      <c r="VOA1370" s="110"/>
      <c r="VOB1370" s="110"/>
      <c r="VOC1370" s="110"/>
      <c r="VOD1370" s="110"/>
      <c r="VOE1370" s="110"/>
      <c r="VOF1370" s="110"/>
      <c r="VOG1370" s="110"/>
      <c r="VOH1370" s="110"/>
      <c r="VOI1370" s="110"/>
      <c r="VOJ1370" s="110"/>
      <c r="VOK1370" s="110"/>
      <c r="VOL1370" s="110"/>
      <c r="VOM1370" s="110"/>
      <c r="VON1370" s="110"/>
      <c r="VOO1370" s="110"/>
      <c r="VOP1370" s="110"/>
      <c r="VOQ1370" s="110"/>
      <c r="VOR1370" s="110"/>
      <c r="VOS1370" s="110"/>
      <c r="VOT1370" s="110"/>
      <c r="VOU1370" s="110"/>
      <c r="VOV1370" s="110"/>
      <c r="VOW1370" s="110"/>
      <c r="VOX1370" s="110"/>
      <c r="VOY1370" s="110"/>
      <c r="VOZ1370" s="110"/>
      <c r="VPA1370" s="110"/>
      <c r="VPB1370" s="110"/>
      <c r="VPC1370" s="110"/>
      <c r="VPD1370" s="110"/>
      <c r="VPE1370" s="110"/>
      <c r="VPF1370" s="110"/>
      <c r="VPG1370" s="110"/>
      <c r="VPH1370" s="110"/>
      <c r="VPI1370" s="110"/>
      <c r="VPJ1370" s="110"/>
      <c r="VPK1370" s="110"/>
      <c r="VPL1370" s="110"/>
      <c r="VPM1370" s="110"/>
      <c r="VPN1370" s="110"/>
      <c r="VPO1370" s="110"/>
      <c r="VPP1370" s="110"/>
      <c r="VPQ1370" s="110"/>
      <c r="VPR1370" s="110"/>
      <c r="VPS1370" s="110"/>
      <c r="VPT1370" s="110"/>
      <c r="VPU1370" s="110"/>
      <c r="VPV1370" s="110"/>
      <c r="VPW1370" s="110"/>
      <c r="VPX1370" s="110"/>
      <c r="VPY1370" s="110"/>
      <c r="VPZ1370" s="110"/>
      <c r="VQA1370" s="110"/>
      <c r="VQB1370" s="110"/>
      <c r="VQC1370" s="110"/>
      <c r="VQD1370" s="110"/>
      <c r="VQE1370" s="110"/>
      <c r="VQF1370" s="110"/>
      <c r="VQG1370" s="110"/>
      <c r="VQH1370" s="110"/>
      <c r="VQI1370" s="110"/>
      <c r="VQJ1370" s="110"/>
      <c r="VQK1370" s="110"/>
      <c r="VQL1370" s="110"/>
      <c r="VQM1370" s="110"/>
      <c r="VQN1370" s="110"/>
      <c r="VQO1370" s="110"/>
      <c r="VQP1370" s="110"/>
      <c r="VQQ1370" s="110"/>
      <c r="VQR1370" s="110"/>
      <c r="VQS1370" s="110"/>
      <c r="VQT1370" s="110"/>
      <c r="VQU1370" s="110"/>
      <c r="VQV1370" s="110"/>
      <c r="VQW1370" s="110"/>
      <c r="VQX1370" s="110"/>
      <c r="VQY1370" s="110"/>
      <c r="VQZ1370" s="110"/>
      <c r="VRA1370" s="110"/>
      <c r="VRB1370" s="110"/>
      <c r="VRC1370" s="110"/>
      <c r="VRD1370" s="110"/>
      <c r="VRE1370" s="110"/>
      <c r="VRF1370" s="110"/>
      <c r="VRG1370" s="110"/>
      <c r="VRH1370" s="110"/>
      <c r="VRI1370" s="110"/>
      <c r="VRJ1370" s="110"/>
      <c r="VRK1370" s="110"/>
      <c r="VRL1370" s="110"/>
      <c r="VRM1370" s="110"/>
      <c r="VRN1370" s="110"/>
      <c r="VRO1370" s="110"/>
      <c r="VRP1370" s="110"/>
      <c r="VRQ1370" s="110"/>
      <c r="VRR1370" s="110"/>
      <c r="VRS1370" s="110"/>
      <c r="VRT1370" s="110"/>
      <c r="VRU1370" s="110"/>
      <c r="VRV1370" s="110"/>
      <c r="VRW1370" s="110"/>
      <c r="VRX1370" s="110"/>
      <c r="VRY1370" s="110"/>
      <c r="VRZ1370" s="110"/>
      <c r="VSA1370" s="110"/>
      <c r="VSB1370" s="110"/>
      <c r="VSC1370" s="110"/>
      <c r="VSD1370" s="110"/>
      <c r="VSE1370" s="110"/>
      <c r="VSF1370" s="110"/>
      <c r="VSG1370" s="110"/>
      <c r="VSH1370" s="110"/>
      <c r="VSI1370" s="110"/>
      <c r="VSJ1370" s="110"/>
      <c r="VSK1370" s="110"/>
      <c r="VSL1370" s="110"/>
      <c r="VSM1370" s="110"/>
      <c r="VSN1370" s="110"/>
      <c r="VSO1370" s="110"/>
      <c r="VSP1370" s="110"/>
      <c r="VSQ1370" s="110"/>
      <c r="VSR1370" s="110"/>
      <c r="VSS1370" s="110"/>
      <c r="VST1370" s="110"/>
      <c r="VSU1370" s="110"/>
      <c r="VSV1370" s="110"/>
      <c r="VSW1370" s="110"/>
      <c r="VSX1370" s="110"/>
      <c r="VSY1370" s="110"/>
      <c r="VSZ1370" s="110"/>
      <c r="VTA1370" s="110"/>
      <c r="VTB1370" s="110"/>
      <c r="VTC1370" s="110"/>
      <c r="VTD1370" s="110"/>
      <c r="VTE1370" s="110"/>
      <c r="VTF1370" s="110"/>
      <c r="VTG1370" s="110"/>
      <c r="VTH1370" s="110"/>
      <c r="VTI1370" s="110"/>
      <c r="VTJ1370" s="110"/>
      <c r="VTK1370" s="110"/>
      <c r="VTL1370" s="110"/>
      <c r="VTM1370" s="110"/>
      <c r="VTN1370" s="110"/>
      <c r="VTO1370" s="110"/>
      <c r="VTP1370" s="110"/>
      <c r="VTQ1370" s="110"/>
      <c r="VTR1370" s="110"/>
      <c r="VTS1370" s="110"/>
      <c r="VTT1370" s="110"/>
      <c r="VTU1370" s="110"/>
      <c r="VTV1370" s="110"/>
      <c r="VTW1370" s="110"/>
      <c r="VTX1370" s="110"/>
      <c r="VTY1370" s="110"/>
      <c r="VTZ1370" s="110"/>
      <c r="VUA1370" s="110"/>
      <c r="VUB1370" s="110"/>
      <c r="VUC1370" s="110"/>
      <c r="VUD1370" s="110"/>
      <c r="VUE1370" s="110"/>
      <c r="VUF1370" s="110"/>
      <c r="VUG1370" s="110"/>
      <c r="VUH1370" s="110"/>
      <c r="VUI1370" s="110"/>
      <c r="VUJ1370" s="110"/>
      <c r="VUK1370" s="110"/>
      <c r="VUL1370" s="110"/>
      <c r="VUM1370" s="110"/>
      <c r="VUN1370" s="110"/>
      <c r="VUO1370" s="110"/>
      <c r="VUP1370" s="110"/>
      <c r="VUQ1370" s="110"/>
      <c r="VUR1370" s="110"/>
      <c r="VUS1370" s="110"/>
      <c r="VUT1370" s="110"/>
      <c r="VUU1370" s="110"/>
      <c r="VUV1370" s="110"/>
      <c r="VUW1370" s="110"/>
      <c r="VUX1370" s="110"/>
      <c r="VUY1370" s="110"/>
      <c r="VUZ1370" s="110"/>
      <c r="VVA1370" s="110"/>
      <c r="VVB1370" s="110"/>
      <c r="VVC1370" s="110"/>
      <c r="VVD1370" s="110"/>
      <c r="VVE1370" s="110"/>
      <c r="VVF1370" s="110"/>
      <c r="VVG1370" s="110"/>
      <c r="VVH1370" s="110"/>
      <c r="VVI1370" s="110"/>
      <c r="VVJ1370" s="110"/>
      <c r="VVK1370" s="110"/>
      <c r="VVL1370" s="110"/>
      <c r="VVM1370" s="110"/>
      <c r="VVN1370" s="110"/>
      <c r="VVO1370" s="110"/>
      <c r="VVP1370" s="110"/>
      <c r="VVQ1370" s="110"/>
      <c r="VVR1370" s="110"/>
      <c r="VVS1370" s="110"/>
      <c r="VVT1370" s="110"/>
      <c r="VVU1370" s="110"/>
      <c r="VVV1370" s="110"/>
      <c r="VVW1370" s="110"/>
      <c r="VVX1370" s="110"/>
      <c r="VVY1370" s="110"/>
      <c r="VVZ1370" s="110"/>
      <c r="VWA1370" s="110"/>
      <c r="VWB1370" s="110"/>
      <c r="VWC1370" s="110"/>
      <c r="VWD1370" s="110"/>
      <c r="VWE1370" s="110"/>
      <c r="VWF1370" s="110"/>
      <c r="VWG1370" s="110"/>
      <c r="VWH1370" s="110"/>
      <c r="VWI1370" s="110"/>
      <c r="VWJ1370" s="110"/>
      <c r="VWK1370" s="110"/>
      <c r="VWL1370" s="110"/>
      <c r="VWM1370" s="110"/>
      <c r="VWN1370" s="110"/>
      <c r="VWO1370" s="110"/>
      <c r="VWP1370" s="110"/>
      <c r="VWQ1370" s="110"/>
      <c r="VWR1370" s="110"/>
      <c r="VWS1370" s="110"/>
      <c r="VWT1370" s="110"/>
      <c r="VWU1370" s="110"/>
      <c r="VWV1370" s="110"/>
      <c r="VWW1370" s="110"/>
      <c r="VWX1370" s="110"/>
      <c r="VWY1370" s="110"/>
      <c r="VWZ1370" s="110"/>
      <c r="VXA1370" s="110"/>
      <c r="VXB1370" s="110"/>
      <c r="VXC1370" s="110"/>
      <c r="VXD1370" s="110"/>
      <c r="VXE1370" s="110"/>
      <c r="VXF1370" s="110"/>
      <c r="VXG1370" s="110"/>
      <c r="VXH1370" s="110"/>
      <c r="VXI1370" s="110"/>
      <c r="VXJ1370" s="110"/>
      <c r="VXK1370" s="110"/>
      <c r="VXL1370" s="110"/>
      <c r="VXM1370" s="110"/>
      <c r="VXN1370" s="110"/>
      <c r="VXO1370" s="110"/>
      <c r="VXP1370" s="110"/>
      <c r="VXQ1370" s="110"/>
      <c r="VXR1370" s="110"/>
      <c r="VXS1370" s="110"/>
      <c r="VXT1370" s="110"/>
      <c r="VXU1370" s="110"/>
      <c r="VXV1370" s="110"/>
      <c r="VXW1370" s="110"/>
      <c r="VXX1370" s="110"/>
      <c r="VXY1370" s="110"/>
      <c r="VXZ1370" s="110"/>
      <c r="VYA1370" s="110"/>
      <c r="VYB1370" s="110"/>
      <c r="VYC1370" s="110"/>
      <c r="VYD1370" s="110"/>
      <c r="VYE1370" s="110"/>
      <c r="VYF1370" s="110"/>
      <c r="VYG1370" s="110"/>
      <c r="VYH1370" s="110"/>
      <c r="VYI1370" s="110"/>
      <c r="VYJ1370" s="110"/>
      <c r="VYK1370" s="110"/>
      <c r="VYL1370" s="110"/>
      <c r="VYM1370" s="110"/>
      <c r="VYN1370" s="110"/>
      <c r="VYO1370" s="110"/>
      <c r="VYP1370" s="110"/>
      <c r="VYQ1370" s="110"/>
      <c r="VYR1370" s="110"/>
      <c r="VYS1370" s="110"/>
      <c r="VYT1370" s="110"/>
      <c r="VYU1370" s="110"/>
      <c r="VYV1370" s="110"/>
      <c r="VYW1370" s="110"/>
      <c r="VYX1370" s="110"/>
      <c r="VYY1370" s="110"/>
      <c r="VYZ1370" s="110"/>
      <c r="VZA1370" s="110"/>
      <c r="VZB1370" s="110"/>
      <c r="VZC1370" s="110"/>
      <c r="VZD1370" s="110"/>
      <c r="VZE1370" s="110"/>
      <c r="VZF1370" s="110"/>
      <c r="VZG1370" s="110"/>
      <c r="VZH1370" s="110"/>
      <c r="VZI1370" s="110"/>
      <c r="VZJ1370" s="110"/>
      <c r="VZK1370" s="110"/>
      <c r="VZL1370" s="110"/>
      <c r="VZM1370" s="110"/>
      <c r="VZN1370" s="110"/>
      <c r="VZO1370" s="110"/>
      <c r="VZP1370" s="110"/>
      <c r="VZQ1370" s="110"/>
      <c r="VZR1370" s="110"/>
      <c r="VZS1370" s="110"/>
      <c r="VZT1370" s="110"/>
      <c r="VZU1370" s="110"/>
      <c r="VZV1370" s="110"/>
      <c r="VZW1370" s="110"/>
      <c r="VZX1370" s="110"/>
      <c r="VZY1370" s="110"/>
      <c r="VZZ1370" s="110"/>
      <c r="WAA1370" s="110"/>
      <c r="WAB1370" s="110"/>
      <c r="WAC1370" s="110"/>
      <c r="WAD1370" s="110"/>
      <c r="WAE1370" s="110"/>
      <c r="WAF1370" s="110"/>
      <c r="WAG1370" s="110"/>
      <c r="WAH1370" s="110"/>
      <c r="WAI1370" s="110"/>
      <c r="WAJ1370" s="110"/>
      <c r="WAK1370" s="110"/>
      <c r="WAL1370" s="110"/>
      <c r="WAM1370" s="110"/>
      <c r="WAN1370" s="110"/>
      <c r="WAO1370" s="110"/>
      <c r="WAP1370" s="110"/>
      <c r="WAQ1370" s="110"/>
      <c r="WAR1370" s="110"/>
      <c r="WAS1370" s="110"/>
      <c r="WAT1370" s="110"/>
      <c r="WAU1370" s="110"/>
      <c r="WAV1370" s="110"/>
      <c r="WAW1370" s="110"/>
      <c r="WAX1370" s="110"/>
      <c r="WAY1370" s="110"/>
      <c r="WAZ1370" s="110"/>
      <c r="WBA1370" s="110"/>
      <c r="WBB1370" s="110"/>
      <c r="WBC1370" s="110"/>
      <c r="WBD1370" s="110"/>
      <c r="WBE1370" s="110"/>
      <c r="WBF1370" s="110"/>
      <c r="WBG1370" s="110"/>
      <c r="WBH1370" s="110"/>
      <c r="WBI1370" s="110"/>
      <c r="WBJ1370" s="110"/>
      <c r="WBK1370" s="110"/>
      <c r="WBL1370" s="110"/>
      <c r="WBM1370" s="110"/>
      <c r="WBN1370" s="110"/>
      <c r="WBO1370" s="110"/>
      <c r="WBP1370" s="110"/>
      <c r="WBQ1370" s="110"/>
      <c r="WBR1370" s="110"/>
      <c r="WBS1370" s="110"/>
      <c r="WBT1370" s="110"/>
      <c r="WBU1370" s="110"/>
      <c r="WBV1370" s="110"/>
      <c r="WBW1370" s="110"/>
      <c r="WBX1370" s="110"/>
      <c r="WBY1370" s="110"/>
      <c r="WBZ1370" s="110"/>
      <c r="WCA1370" s="110"/>
      <c r="WCB1370" s="110"/>
      <c r="WCC1370" s="110"/>
      <c r="WCD1370" s="110"/>
      <c r="WCE1370" s="110"/>
      <c r="WCF1370" s="110"/>
      <c r="WCG1370" s="110"/>
      <c r="WCH1370" s="110"/>
      <c r="WCI1370" s="110"/>
      <c r="WCJ1370" s="110"/>
      <c r="WCK1370" s="110"/>
      <c r="WCL1370" s="110"/>
      <c r="WCM1370" s="110"/>
      <c r="WCN1370" s="110"/>
      <c r="WCO1370" s="110"/>
      <c r="WCP1370" s="110"/>
      <c r="WCQ1370" s="110"/>
      <c r="WCR1370" s="110"/>
      <c r="WCS1370" s="110"/>
      <c r="WCT1370" s="110"/>
      <c r="WCU1370" s="110"/>
      <c r="WCV1370" s="110"/>
      <c r="WCW1370" s="110"/>
      <c r="WCX1370" s="110"/>
      <c r="WCY1370" s="110"/>
      <c r="WCZ1370" s="110"/>
      <c r="WDA1370" s="110"/>
      <c r="WDB1370" s="110"/>
      <c r="WDC1370" s="110"/>
      <c r="WDD1370" s="110"/>
      <c r="WDE1370" s="110"/>
      <c r="WDF1370" s="110"/>
      <c r="WDG1370" s="110"/>
      <c r="WDH1370" s="110"/>
      <c r="WDI1370" s="110"/>
      <c r="WDJ1370" s="110"/>
      <c r="WDK1370" s="110"/>
      <c r="WDL1370" s="110"/>
      <c r="WDM1370" s="110"/>
      <c r="WDN1370" s="110"/>
      <c r="WDO1370" s="110"/>
      <c r="WDP1370" s="110"/>
      <c r="WDQ1370" s="110"/>
      <c r="WDR1370" s="110"/>
      <c r="WDS1370" s="110"/>
      <c r="WDT1370" s="110"/>
      <c r="WDU1370" s="110"/>
      <c r="WDV1370" s="110"/>
      <c r="WDW1370" s="110"/>
      <c r="WDX1370" s="110"/>
      <c r="WDY1370" s="110"/>
      <c r="WDZ1370" s="110"/>
      <c r="WEA1370" s="110"/>
      <c r="WEB1370" s="110"/>
      <c r="WEC1370" s="110"/>
      <c r="WED1370" s="110"/>
      <c r="WEE1370" s="110"/>
      <c r="WEF1370" s="110"/>
      <c r="WEG1370" s="110"/>
      <c r="WEH1370" s="110"/>
      <c r="WEI1370" s="110"/>
      <c r="WEJ1370" s="110"/>
      <c r="WEK1370" s="110"/>
      <c r="WEL1370" s="110"/>
      <c r="WEM1370" s="110"/>
      <c r="WEN1370" s="110"/>
      <c r="WEO1370" s="110"/>
      <c r="WEP1370" s="110"/>
      <c r="WEQ1370" s="110"/>
      <c r="WER1370" s="110"/>
      <c r="WES1370" s="110"/>
      <c r="WET1370" s="110"/>
      <c r="WEU1370" s="110"/>
      <c r="WEV1370" s="110"/>
      <c r="WEW1370" s="110"/>
      <c r="WEX1370" s="110"/>
      <c r="WEY1370" s="110"/>
      <c r="WEZ1370" s="110"/>
      <c r="WFA1370" s="110"/>
      <c r="WFB1370" s="110"/>
      <c r="WFC1370" s="110"/>
      <c r="WFD1370" s="110"/>
      <c r="WFE1370" s="110"/>
      <c r="WFF1370" s="110"/>
      <c r="WFG1370" s="110"/>
      <c r="WFH1370" s="110"/>
      <c r="WFI1370" s="110"/>
      <c r="WFJ1370" s="110"/>
      <c r="WFK1370" s="110"/>
      <c r="WFL1370" s="110"/>
      <c r="WFM1370" s="110"/>
      <c r="WFN1370" s="110"/>
      <c r="WFO1370" s="110"/>
      <c r="WFP1370" s="110"/>
      <c r="WFQ1370" s="110"/>
      <c r="WFR1370" s="110"/>
      <c r="WFS1370" s="110"/>
      <c r="WFT1370" s="110"/>
      <c r="WFU1370" s="110"/>
      <c r="WFV1370" s="110"/>
      <c r="WFW1370" s="110"/>
      <c r="WFX1370" s="110"/>
      <c r="WFY1370" s="110"/>
      <c r="WFZ1370" s="110"/>
      <c r="WGA1370" s="110"/>
      <c r="WGB1370" s="110"/>
      <c r="WGC1370" s="110"/>
      <c r="WGD1370" s="110"/>
      <c r="WGE1370" s="110"/>
      <c r="WGF1370" s="110"/>
      <c r="WGG1370" s="110"/>
      <c r="WGH1370" s="110"/>
      <c r="WGI1370" s="110"/>
      <c r="WGJ1370" s="110"/>
      <c r="WGK1370" s="110"/>
      <c r="WGL1370" s="110"/>
      <c r="WGM1370" s="110"/>
      <c r="WGN1370" s="110"/>
      <c r="WGO1370" s="110"/>
      <c r="WGP1370" s="110"/>
      <c r="WGQ1370" s="110"/>
      <c r="WGR1370" s="110"/>
      <c r="WGS1370" s="110"/>
      <c r="WGT1370" s="110"/>
      <c r="WGU1370" s="110"/>
      <c r="WGV1370" s="110"/>
      <c r="WGW1370" s="110"/>
      <c r="WGX1370" s="110"/>
      <c r="WGY1370" s="110"/>
      <c r="WGZ1370" s="110"/>
      <c r="WHA1370" s="110"/>
      <c r="WHB1370" s="110"/>
      <c r="WHC1370" s="110"/>
      <c r="WHD1370" s="110"/>
      <c r="WHE1370" s="110"/>
      <c r="WHF1370" s="110"/>
      <c r="WHG1370" s="110"/>
      <c r="WHH1370" s="110"/>
      <c r="WHI1370" s="110"/>
      <c r="WHJ1370" s="110"/>
      <c r="WHK1370" s="110"/>
      <c r="WHL1370" s="110"/>
      <c r="WHM1370" s="110"/>
      <c r="WHN1370" s="110"/>
      <c r="WHO1370" s="110"/>
      <c r="WHP1370" s="110"/>
      <c r="WHQ1370" s="110"/>
      <c r="WHR1370" s="110"/>
      <c r="WHS1370" s="110"/>
      <c r="WHT1370" s="110"/>
      <c r="WHU1370" s="110"/>
      <c r="WHV1370" s="110"/>
      <c r="WHW1370" s="110"/>
      <c r="WHX1370" s="110"/>
      <c r="WHY1370" s="110"/>
      <c r="WHZ1370" s="110"/>
      <c r="WIA1370" s="110"/>
      <c r="WIB1370" s="110"/>
      <c r="WIC1370" s="110"/>
      <c r="WID1370" s="110"/>
      <c r="WIE1370" s="110"/>
      <c r="WIF1370" s="110"/>
      <c r="WIG1370" s="110"/>
      <c r="WIH1370" s="110"/>
      <c r="WII1370" s="110"/>
      <c r="WIJ1370" s="110"/>
      <c r="WIK1370" s="110"/>
      <c r="WIL1370" s="110"/>
      <c r="WIM1370" s="110"/>
      <c r="WIN1370" s="110"/>
      <c r="WIO1370" s="110"/>
      <c r="WIP1370" s="110"/>
      <c r="WIQ1370" s="110"/>
      <c r="WIR1370" s="110"/>
      <c r="WIS1370" s="110"/>
      <c r="WIT1370" s="110"/>
      <c r="WIU1370" s="110"/>
      <c r="WIV1370" s="110"/>
      <c r="WIW1370" s="110"/>
      <c r="WIX1370" s="110"/>
      <c r="WIY1370" s="110"/>
      <c r="WIZ1370" s="110"/>
      <c r="WJA1370" s="110"/>
      <c r="WJB1370" s="110"/>
      <c r="WJC1370" s="110"/>
      <c r="WJD1370" s="110"/>
      <c r="WJE1370" s="110"/>
      <c r="WJF1370" s="110"/>
      <c r="WJG1370" s="110"/>
      <c r="WJH1370" s="110"/>
      <c r="WJI1370" s="110"/>
      <c r="WJJ1370" s="110"/>
      <c r="WJK1370" s="110"/>
      <c r="WJL1370" s="110"/>
      <c r="WJM1370" s="110"/>
      <c r="WJN1370" s="110"/>
      <c r="WJO1370" s="110"/>
      <c r="WJP1370" s="110"/>
      <c r="WJQ1370" s="110"/>
      <c r="WJR1370" s="110"/>
      <c r="WJS1370" s="110"/>
      <c r="WJT1370" s="110"/>
      <c r="WJU1370" s="110"/>
      <c r="WJV1370" s="110"/>
      <c r="WJW1370" s="110"/>
      <c r="WJX1370" s="110"/>
      <c r="WJY1370" s="110"/>
      <c r="WJZ1370" s="110"/>
      <c r="WKA1370" s="110"/>
      <c r="WKB1370" s="110"/>
      <c r="WKC1370" s="110"/>
      <c r="WKD1370" s="110"/>
      <c r="WKE1370" s="110"/>
      <c r="WKF1370" s="110"/>
      <c r="WKG1370" s="110"/>
      <c r="WKH1370" s="110"/>
      <c r="WKI1370" s="110"/>
      <c r="WKJ1370" s="110"/>
      <c r="WKK1370" s="110"/>
      <c r="WKL1370" s="110"/>
      <c r="WKM1370" s="110"/>
      <c r="WKN1370" s="110"/>
      <c r="WKO1370" s="110"/>
      <c r="WKP1370" s="110"/>
      <c r="WKQ1370" s="110"/>
      <c r="WKR1370" s="110"/>
      <c r="WKS1370" s="110"/>
      <c r="WKT1370" s="110"/>
      <c r="WKU1370" s="110"/>
      <c r="WKV1370" s="110"/>
      <c r="WKW1370" s="110"/>
      <c r="WKX1370" s="110"/>
      <c r="WKY1370" s="110"/>
      <c r="WKZ1370" s="110"/>
      <c r="WLA1370" s="110"/>
      <c r="WLB1370" s="110"/>
      <c r="WLC1370" s="110"/>
      <c r="WLD1370" s="110"/>
      <c r="WLE1370" s="110"/>
      <c r="WLF1370" s="110"/>
      <c r="WLG1370" s="110"/>
      <c r="WLH1370" s="110"/>
      <c r="WLI1370" s="110"/>
      <c r="WLJ1370" s="110"/>
      <c r="WLK1370" s="110"/>
      <c r="WLL1370" s="110"/>
      <c r="WLM1370" s="110"/>
      <c r="WLN1370" s="110"/>
      <c r="WLO1370" s="110"/>
      <c r="WLP1370" s="110"/>
      <c r="WLQ1370" s="110"/>
      <c r="WLR1370" s="110"/>
      <c r="WLS1370" s="110"/>
      <c r="WLT1370" s="110"/>
      <c r="WLU1370" s="110"/>
      <c r="WLV1370" s="110"/>
      <c r="WLW1370" s="110"/>
      <c r="WLX1370" s="110"/>
      <c r="WLY1370" s="110"/>
      <c r="WLZ1370" s="110"/>
      <c r="WMA1370" s="110"/>
      <c r="WMB1370" s="110"/>
      <c r="WMC1370" s="110"/>
      <c r="WMD1370" s="110"/>
      <c r="WME1370" s="110"/>
      <c r="WMF1370" s="110"/>
      <c r="WMG1370" s="110"/>
      <c r="WMH1370" s="110"/>
      <c r="WMI1370" s="110"/>
      <c r="WMJ1370" s="110"/>
      <c r="WMK1370" s="110"/>
      <c r="WML1370" s="110"/>
      <c r="WMM1370" s="110"/>
      <c r="WMN1370" s="110"/>
      <c r="WMO1370" s="110"/>
      <c r="WMP1370" s="110"/>
      <c r="WMQ1370" s="110"/>
      <c r="WMR1370" s="110"/>
      <c r="WMS1370" s="110"/>
      <c r="WMT1370" s="110"/>
      <c r="WMU1370" s="110"/>
      <c r="WMV1370" s="110"/>
      <c r="WMW1370" s="110"/>
      <c r="WMX1370" s="110"/>
      <c r="WMY1370" s="110"/>
      <c r="WMZ1370" s="110"/>
      <c r="WNA1370" s="110"/>
      <c r="WNB1370" s="110"/>
      <c r="WNC1370" s="110"/>
      <c r="WND1370" s="110"/>
      <c r="WNE1370" s="110"/>
      <c r="WNF1370" s="110"/>
      <c r="WNG1370" s="110"/>
      <c r="WNH1370" s="110"/>
      <c r="WNI1370" s="110"/>
      <c r="WNJ1370" s="110"/>
      <c r="WNK1370" s="110"/>
      <c r="WNL1370" s="110"/>
      <c r="WNM1370" s="110"/>
      <c r="WNN1370" s="110"/>
      <c r="WNO1370" s="110"/>
      <c r="WNP1370" s="110"/>
      <c r="WNQ1370" s="110"/>
      <c r="WNR1370" s="110"/>
      <c r="WNS1370" s="110"/>
      <c r="WNT1370" s="110"/>
      <c r="WNU1370" s="110"/>
      <c r="WNV1370" s="110"/>
      <c r="WNW1370" s="110"/>
      <c r="WNX1370" s="110"/>
      <c r="WNY1370" s="110"/>
      <c r="WNZ1370" s="110"/>
      <c r="WOA1370" s="110"/>
      <c r="WOB1370" s="110"/>
      <c r="WOC1370" s="110"/>
      <c r="WOD1370" s="110"/>
      <c r="WOE1370" s="110"/>
      <c r="WOF1370" s="110"/>
      <c r="WOG1370" s="110"/>
      <c r="WOH1370" s="110"/>
      <c r="WOI1370" s="110"/>
      <c r="WOJ1370" s="110"/>
      <c r="WOK1370" s="110"/>
      <c r="WOL1370" s="110"/>
      <c r="WOM1370" s="110"/>
      <c r="WON1370" s="110"/>
      <c r="WOO1370" s="110"/>
      <c r="WOP1370" s="110"/>
      <c r="WOQ1370" s="110"/>
      <c r="WOR1370" s="110"/>
      <c r="WOS1370" s="110"/>
      <c r="WOT1370" s="110"/>
      <c r="WOU1370" s="110"/>
      <c r="WOV1370" s="110"/>
      <c r="WOW1370" s="110"/>
      <c r="WOX1370" s="110"/>
      <c r="WOY1370" s="110"/>
      <c r="WOZ1370" s="110"/>
      <c r="WPA1370" s="110"/>
      <c r="WPB1370" s="110"/>
      <c r="WPC1370" s="110"/>
      <c r="WPD1370" s="110"/>
      <c r="WPE1370" s="110"/>
      <c r="WPF1370" s="110"/>
      <c r="WPG1370" s="110"/>
      <c r="WPH1370" s="110"/>
      <c r="WPI1370" s="110"/>
      <c r="WPJ1370" s="110"/>
      <c r="WPK1370" s="110"/>
      <c r="WPL1370" s="110"/>
      <c r="WPM1370" s="110"/>
      <c r="WPN1370" s="110"/>
      <c r="WPO1370" s="110"/>
      <c r="WPP1370" s="110"/>
      <c r="WPQ1370" s="110"/>
      <c r="WPR1370" s="110"/>
      <c r="WPS1370" s="110"/>
      <c r="WPT1370" s="110"/>
      <c r="WPU1370" s="110"/>
      <c r="WPV1370" s="110"/>
      <c r="WPW1370" s="110"/>
      <c r="WPX1370" s="110"/>
      <c r="WPY1370" s="110"/>
      <c r="WPZ1370" s="110"/>
      <c r="WQA1370" s="110"/>
      <c r="WQB1370" s="110"/>
      <c r="WQC1370" s="110"/>
      <c r="WQD1370" s="110"/>
      <c r="WQE1370" s="110"/>
      <c r="WQF1370" s="110"/>
      <c r="WQG1370" s="110"/>
      <c r="WQH1370" s="110"/>
      <c r="WQI1370" s="110"/>
      <c r="WQJ1370" s="110"/>
      <c r="WQK1370" s="110"/>
      <c r="WQL1370" s="110"/>
      <c r="WQM1370" s="110"/>
      <c r="WQN1370" s="110"/>
      <c r="WQO1370" s="110"/>
      <c r="WQP1370" s="110"/>
      <c r="WQQ1370" s="110"/>
      <c r="WQR1370" s="110"/>
      <c r="WQS1370" s="110"/>
      <c r="WQT1370" s="110"/>
      <c r="WQU1370" s="110"/>
      <c r="WQV1370" s="110"/>
      <c r="WQW1370" s="110"/>
      <c r="WQX1370" s="110"/>
      <c r="WQY1370" s="110"/>
      <c r="WQZ1370" s="110"/>
      <c r="WRA1370" s="110"/>
      <c r="WRB1370" s="110"/>
      <c r="WRC1370" s="110"/>
      <c r="WRD1370" s="110"/>
      <c r="WRE1370" s="110"/>
      <c r="WRF1370" s="110"/>
      <c r="WRG1370" s="110"/>
      <c r="WRH1370" s="110"/>
      <c r="WRI1370" s="110"/>
      <c r="WRJ1370" s="110"/>
      <c r="WRK1370" s="110"/>
      <c r="WRL1370" s="110"/>
      <c r="WRM1370" s="110"/>
      <c r="WRN1370" s="110"/>
      <c r="WRO1370" s="110"/>
      <c r="WRP1370" s="110"/>
      <c r="WRQ1370" s="110"/>
      <c r="WRR1370" s="110"/>
      <c r="WRS1370" s="110"/>
      <c r="WRT1370" s="110"/>
      <c r="WRU1370" s="110"/>
      <c r="WRV1370" s="110"/>
      <c r="WRW1370" s="110"/>
      <c r="WRX1370" s="110"/>
      <c r="WRY1370" s="110"/>
      <c r="WRZ1370" s="110"/>
      <c r="WSA1370" s="110"/>
      <c r="WSB1370" s="110"/>
      <c r="WSC1370" s="110"/>
      <c r="WSD1370" s="110"/>
      <c r="WSE1370" s="110"/>
      <c r="WSF1370" s="110"/>
      <c r="WSG1370" s="110"/>
      <c r="WSH1370" s="110"/>
      <c r="WSI1370" s="110"/>
      <c r="WSJ1370" s="110"/>
      <c r="WSK1370" s="110"/>
      <c r="WSL1370" s="110"/>
      <c r="WSM1370" s="110"/>
      <c r="WSN1370" s="110"/>
      <c r="WSO1370" s="110"/>
      <c r="WSP1370" s="110"/>
      <c r="WSQ1370" s="110"/>
      <c r="WSR1370" s="110"/>
      <c r="WSS1370" s="110"/>
      <c r="WST1370" s="110"/>
      <c r="WSU1370" s="110"/>
      <c r="WSV1370" s="110"/>
      <c r="WSW1370" s="110"/>
      <c r="WSX1370" s="110"/>
      <c r="WSY1370" s="110"/>
      <c r="WSZ1370" s="110"/>
      <c r="WTA1370" s="110"/>
      <c r="WTB1370" s="110"/>
      <c r="WTC1370" s="110"/>
      <c r="WTD1370" s="110"/>
      <c r="WTE1370" s="110"/>
      <c r="WTF1370" s="110"/>
      <c r="WTG1370" s="110"/>
      <c r="WTH1370" s="110"/>
      <c r="WTI1370" s="110"/>
      <c r="WTJ1370" s="110"/>
      <c r="WTK1370" s="110"/>
      <c r="WTL1370" s="110"/>
      <c r="WTM1370" s="110"/>
      <c r="WTN1370" s="110"/>
      <c r="WTO1370" s="110"/>
      <c r="WTP1370" s="110"/>
      <c r="WTQ1370" s="110"/>
      <c r="WTR1370" s="110"/>
      <c r="WTS1370" s="110"/>
      <c r="WTT1370" s="110"/>
      <c r="WTU1370" s="110"/>
      <c r="WTV1370" s="110"/>
      <c r="WTW1370" s="110"/>
      <c r="WTX1370" s="110"/>
      <c r="WTY1370" s="110"/>
      <c r="WTZ1370" s="110"/>
      <c r="WUA1370" s="110"/>
      <c r="WUB1370" s="110"/>
      <c r="WUC1370" s="110"/>
      <c r="WUD1370" s="110"/>
      <c r="WUE1370" s="110"/>
      <c r="WUF1370" s="110"/>
      <c r="WUG1370" s="110"/>
      <c r="WUH1370" s="110"/>
      <c r="WUI1370" s="110"/>
      <c r="WUJ1370" s="110"/>
      <c r="WUK1370" s="110"/>
      <c r="WUL1370" s="110"/>
      <c r="WUM1370" s="110"/>
      <c r="WUN1370" s="110"/>
      <c r="WUO1370" s="110"/>
      <c r="WUP1370" s="110"/>
      <c r="WUQ1370" s="110"/>
      <c r="WUR1370" s="110"/>
      <c r="WUS1370" s="110"/>
      <c r="WUT1370" s="110"/>
      <c r="WUU1370" s="110"/>
      <c r="WUV1370" s="110"/>
      <c r="WUW1370" s="110"/>
      <c r="WUX1370" s="110"/>
      <c r="WUY1370" s="110"/>
      <c r="WUZ1370" s="110"/>
      <c r="WVA1370" s="110"/>
      <c r="WVB1370" s="110"/>
      <c r="WVC1370" s="110"/>
      <c r="WVD1370" s="110"/>
      <c r="WVE1370" s="110"/>
      <c r="WVF1370" s="110"/>
      <c r="WVG1370" s="110"/>
      <c r="WVH1370" s="110"/>
      <c r="WVI1370" s="110"/>
      <c r="WVJ1370" s="110"/>
      <c r="WVK1370" s="110"/>
      <c r="WVL1370" s="110"/>
      <c r="WVM1370" s="110"/>
      <c r="WVN1370" s="110"/>
      <c r="WVO1370" s="110"/>
      <c r="WVP1370" s="110"/>
      <c r="WVQ1370" s="110"/>
      <c r="WVR1370" s="110"/>
      <c r="WVS1370" s="110"/>
      <c r="WVT1370" s="110"/>
      <c r="WVU1370" s="110"/>
      <c r="WVV1370" s="110"/>
      <c r="WVW1370" s="110"/>
      <c r="WVX1370" s="110"/>
      <c r="WVY1370" s="110"/>
      <c r="WVZ1370" s="110"/>
      <c r="WWA1370" s="110"/>
      <c r="WWB1370" s="110"/>
      <c r="WWC1370" s="110"/>
      <c r="WWD1370" s="110"/>
      <c r="WWE1370" s="110"/>
      <c r="WWF1370" s="110"/>
      <c r="WWG1370" s="110"/>
      <c r="WWH1370" s="110"/>
      <c r="WWI1370" s="110"/>
      <c r="WWJ1370" s="110"/>
      <c r="WWK1370" s="110"/>
      <c r="WWL1370" s="110"/>
      <c r="WWM1370" s="110"/>
      <c r="WWN1370" s="110"/>
      <c r="WWO1370" s="110"/>
      <c r="WWP1370" s="110"/>
      <c r="WWQ1370" s="110"/>
      <c r="WWR1370" s="110"/>
      <c r="WWS1370" s="110"/>
      <c r="WWT1370" s="110"/>
      <c r="WWU1370" s="110"/>
      <c r="WWV1370" s="110"/>
      <c r="WWW1370" s="110"/>
      <c r="WWX1370" s="110"/>
      <c r="WWY1370" s="110"/>
      <c r="WWZ1370" s="110"/>
      <c r="WXA1370" s="110"/>
      <c r="WXB1370" s="110"/>
      <c r="WXC1370" s="110"/>
      <c r="WXD1370" s="110"/>
      <c r="WXE1370" s="110"/>
      <c r="WXF1370" s="110"/>
      <c r="WXG1370" s="110"/>
      <c r="WXH1370" s="110"/>
      <c r="WXI1370" s="110"/>
      <c r="WXJ1370" s="110"/>
      <c r="WXK1370" s="110"/>
      <c r="WXL1370" s="110"/>
      <c r="WXM1370" s="110"/>
      <c r="WXN1370" s="110"/>
      <c r="WXO1370" s="110"/>
      <c r="WXP1370" s="110"/>
      <c r="WXQ1370" s="110"/>
      <c r="WXR1370" s="110"/>
      <c r="WXS1370" s="110"/>
      <c r="WXT1370" s="110"/>
      <c r="WXU1370" s="110"/>
      <c r="WXV1370" s="110"/>
      <c r="WXW1370" s="110"/>
      <c r="WXX1370" s="110"/>
      <c r="WXY1370" s="110"/>
      <c r="WXZ1370" s="110"/>
      <c r="WYA1370" s="110"/>
      <c r="WYB1370" s="110"/>
      <c r="WYC1370" s="110"/>
      <c r="WYD1370" s="110"/>
      <c r="WYE1370" s="110"/>
      <c r="WYF1370" s="110"/>
      <c r="WYG1370" s="110"/>
      <c r="WYH1370" s="110"/>
      <c r="WYI1370" s="110"/>
      <c r="WYJ1370" s="110"/>
      <c r="WYK1370" s="110"/>
      <c r="WYL1370" s="110"/>
      <c r="WYM1370" s="110"/>
      <c r="WYN1370" s="110"/>
      <c r="WYO1370" s="110"/>
      <c r="WYP1370" s="110"/>
      <c r="WYQ1370" s="110"/>
      <c r="WYR1370" s="110"/>
      <c r="WYS1370" s="110"/>
      <c r="WYT1370" s="110"/>
      <c r="WYU1370" s="110"/>
      <c r="WYV1370" s="110"/>
      <c r="WYW1370" s="110"/>
      <c r="WYX1370" s="110"/>
      <c r="WYY1370" s="110"/>
      <c r="WYZ1370" s="110"/>
      <c r="WZA1370" s="110"/>
      <c r="WZB1370" s="110"/>
      <c r="WZC1370" s="110"/>
      <c r="WZD1370" s="110"/>
      <c r="WZE1370" s="110"/>
      <c r="WZF1370" s="110"/>
      <c r="WZG1370" s="110"/>
      <c r="WZH1370" s="110"/>
      <c r="WZI1370" s="110"/>
      <c r="WZJ1370" s="110"/>
      <c r="WZK1370" s="110"/>
      <c r="WZL1370" s="110"/>
      <c r="WZM1370" s="110"/>
      <c r="WZN1370" s="110"/>
      <c r="WZO1370" s="110"/>
      <c r="WZP1370" s="110"/>
      <c r="WZQ1370" s="110"/>
      <c r="WZR1370" s="110"/>
      <c r="WZS1370" s="110"/>
      <c r="WZT1370" s="110"/>
      <c r="WZU1370" s="110"/>
      <c r="WZV1370" s="110"/>
      <c r="WZW1370" s="110"/>
      <c r="WZX1370" s="110"/>
      <c r="WZY1370" s="110"/>
      <c r="WZZ1370" s="110"/>
      <c r="XAA1370" s="110"/>
      <c r="XAB1370" s="110"/>
      <c r="XAC1370" s="110"/>
      <c r="XAD1370" s="110"/>
      <c r="XAE1370" s="110"/>
      <c r="XAF1370" s="110"/>
      <c r="XAG1370" s="110"/>
      <c r="XAH1370" s="110"/>
      <c r="XAI1370" s="110"/>
      <c r="XAJ1370" s="110"/>
      <c r="XAK1370" s="110"/>
      <c r="XAL1370" s="110"/>
      <c r="XAM1370" s="110"/>
      <c r="XAN1370" s="110"/>
      <c r="XAO1370" s="110"/>
      <c r="XAP1370" s="110"/>
      <c r="XAQ1370" s="110"/>
      <c r="XAR1370" s="110"/>
      <c r="XAS1370" s="110"/>
      <c r="XAT1370" s="110"/>
      <c r="XAU1370" s="110"/>
      <c r="XAV1370" s="110"/>
      <c r="XAW1370" s="110"/>
      <c r="XAX1370" s="110"/>
      <c r="XAY1370" s="110"/>
      <c r="XAZ1370" s="110"/>
      <c r="XBA1370" s="110"/>
      <c r="XBB1370" s="110"/>
      <c r="XBC1370" s="110"/>
      <c r="XBD1370" s="110"/>
      <c r="XBE1370" s="110"/>
      <c r="XBF1370" s="110"/>
      <c r="XBG1370" s="110"/>
      <c r="XBH1370" s="110"/>
      <c r="XBI1370" s="110"/>
      <c r="XBJ1370" s="110"/>
      <c r="XBK1370" s="110"/>
      <c r="XBL1370" s="110"/>
      <c r="XBM1370" s="110"/>
      <c r="XBN1370" s="110"/>
      <c r="XBO1370" s="110"/>
      <c r="XBP1370" s="110"/>
      <c r="XBQ1370" s="110"/>
      <c r="XBR1370" s="110"/>
      <c r="XBS1370" s="110"/>
      <c r="XBT1370" s="110"/>
      <c r="XBU1370" s="110"/>
      <c r="XBV1370" s="110"/>
      <c r="XBW1370" s="110"/>
      <c r="XBX1370" s="110"/>
      <c r="XBY1370" s="110"/>
      <c r="XBZ1370" s="110"/>
      <c r="XCA1370" s="110"/>
      <c r="XCB1370" s="110"/>
      <c r="XCC1370" s="110"/>
      <c r="XCD1370" s="110"/>
      <c r="XCE1370" s="110"/>
      <c r="XCF1370" s="110"/>
      <c r="XCG1370" s="110"/>
      <c r="XCH1370" s="110"/>
      <c r="XCI1370" s="110"/>
      <c r="XCJ1370" s="110"/>
      <c r="XCK1370" s="110"/>
      <c r="XCL1370" s="110"/>
      <c r="XCM1370" s="110"/>
      <c r="XCN1370" s="110"/>
      <c r="XCO1370" s="110"/>
      <c r="XCP1370" s="110"/>
      <c r="XCQ1370" s="110"/>
      <c r="XCR1370" s="110"/>
      <c r="XCS1370" s="110"/>
      <c r="XCT1370" s="110"/>
      <c r="XCU1370" s="110"/>
      <c r="XCV1370" s="110"/>
      <c r="XCW1370" s="110"/>
      <c r="XCX1370" s="110"/>
      <c r="XCY1370" s="110"/>
      <c r="XCZ1370" s="110"/>
      <c r="XDA1370" s="110"/>
      <c r="XDB1370" s="110"/>
      <c r="XDC1370" s="110"/>
      <c r="XDD1370" s="110"/>
      <c r="XDE1370" s="110"/>
      <c r="XDF1370" s="110"/>
      <c r="XDG1370" s="110"/>
      <c r="XDH1370" s="110"/>
      <c r="XDI1370" s="110"/>
      <c r="XDJ1370" s="110"/>
      <c r="XDK1370" s="110"/>
      <c r="XDL1370" s="110"/>
      <c r="XDM1370" s="110"/>
      <c r="XDN1370" s="110"/>
      <c r="XDO1370" s="110"/>
      <c r="XDP1370" s="110"/>
      <c r="XDQ1370" s="110"/>
      <c r="XDR1370" s="110"/>
      <c r="XDS1370" s="110"/>
      <c r="XDT1370" s="110"/>
      <c r="XDU1370" s="110"/>
      <c r="XDV1370" s="110"/>
      <c r="XDW1370" s="110"/>
      <c r="XDX1370" s="110"/>
      <c r="XDY1370" s="110"/>
      <c r="XDZ1370" s="110"/>
      <c r="XEA1370" s="110"/>
      <c r="XEB1370" s="110"/>
      <c r="XEC1370" s="110"/>
      <c r="XED1370" s="110"/>
      <c r="XEE1370" s="110"/>
      <c r="XEF1370" s="110"/>
      <c r="XEG1370" s="110"/>
      <c r="XEH1370" s="110"/>
      <c r="XEI1370" s="110"/>
      <c r="XEJ1370" s="110"/>
      <c r="XEK1370" s="110"/>
      <c r="XEL1370" s="110"/>
      <c r="XEM1370" s="110"/>
      <c r="XEN1370" s="110"/>
      <c r="XEO1370" s="110"/>
      <c r="XEP1370" s="110"/>
      <c r="XEQ1370" s="110"/>
      <c r="XER1370" s="110"/>
      <c r="XES1370" s="110"/>
      <c r="XET1370" s="110"/>
      <c r="XEU1370" s="110"/>
      <c r="XEV1370" s="110"/>
      <c r="XEW1370" s="110"/>
      <c r="XEX1370" s="110"/>
      <c r="XEY1370" s="110"/>
      <c r="XEZ1370" s="110"/>
      <c r="XFA1370" s="110"/>
      <c r="XFB1370" s="110"/>
    </row>
    <row r="1371" spans="1:16382" ht="11.25" customHeight="1" x14ac:dyDescent="0.15">
      <c r="A1371" s="110" t="s">
        <v>699</v>
      </c>
      <c r="B1371" s="110"/>
      <c r="C1371" s="111" t="s">
        <v>55</v>
      </c>
      <c r="D1371" s="213">
        <v>2025</v>
      </c>
      <c r="E1371" s="281">
        <v>45716</v>
      </c>
      <c r="F1371" s="111"/>
      <c r="G1371" s="111" t="s">
        <v>56</v>
      </c>
      <c r="H1371" s="111"/>
      <c r="I1371" s="111"/>
      <c r="J1371" s="111"/>
      <c r="K1371" s="112" t="s">
        <v>71</v>
      </c>
      <c r="L1371" s="120">
        <v>21663</v>
      </c>
      <c r="M1371" s="120">
        <v>7888</v>
      </c>
      <c r="N1371" s="120">
        <f t="shared" si="950"/>
        <v>13775</v>
      </c>
      <c r="O1371" s="119">
        <f t="shared" si="942"/>
        <v>0.63587684069611783</v>
      </c>
      <c r="P1371" s="120">
        <f t="shared" si="955"/>
        <v>21663</v>
      </c>
      <c r="Q1371" s="111">
        <v>2756</v>
      </c>
      <c r="R1371" s="117">
        <v>57.5</v>
      </c>
      <c r="S1371" s="117">
        <v>2558.75</v>
      </c>
      <c r="T1371" s="117"/>
      <c r="U1371" s="117"/>
      <c r="V1371" s="117">
        <v>24081.1</v>
      </c>
      <c r="W1371" s="26">
        <f t="shared" si="934"/>
        <v>26639.85</v>
      </c>
      <c r="X1371" s="118">
        <f t="shared" si="943"/>
        <v>44.5</v>
      </c>
      <c r="Y1371" s="119">
        <f t="shared" si="956"/>
        <v>0</v>
      </c>
      <c r="Z1371" s="117">
        <f t="shared" si="957"/>
        <v>-4976.8499999999985</v>
      </c>
      <c r="AA1371" s="119">
        <f t="shared" si="958"/>
        <v>-0.22973964824816501</v>
      </c>
      <c r="AB1371" s="120">
        <f t="shared" si="947"/>
        <v>-18751.849999999999</v>
      </c>
      <c r="AC1371" s="119">
        <f t="shared" si="959"/>
        <v>-0.86561648894428278</v>
      </c>
      <c r="AD1371" s="110" t="s">
        <v>711</v>
      </c>
      <c r="AE1371" s="110"/>
      <c r="AF1371" s="110"/>
      <c r="AG1371" s="121"/>
      <c r="AH1371" s="110"/>
      <c r="AI1371" s="110"/>
      <c r="AJ1371" s="110"/>
      <c r="AK1371" s="110"/>
      <c r="AL1371" s="110"/>
      <c r="AM1371" s="110"/>
      <c r="AN1371" s="110"/>
      <c r="AO1371" s="110"/>
      <c r="AP1371" s="110"/>
      <c r="AQ1371" s="110"/>
      <c r="AR1371" s="110"/>
      <c r="AS1371" s="110"/>
      <c r="AT1371" s="110"/>
      <c r="AU1371" s="110"/>
      <c r="AV1371" s="110"/>
      <c r="AW1371" s="110"/>
      <c r="AX1371" s="110"/>
      <c r="AY1371" s="110"/>
      <c r="AZ1371" s="110"/>
      <c r="BA1371" s="110"/>
      <c r="BB1371" s="110"/>
      <c r="BC1371" s="110"/>
      <c r="BD1371" s="110"/>
      <c r="BE1371" s="110"/>
      <c r="BF1371" s="110"/>
      <c r="BG1371" s="110"/>
      <c r="BH1371" s="110"/>
      <c r="BI1371" s="110"/>
      <c r="BJ1371" s="110"/>
      <c r="BK1371" s="110"/>
      <c r="BL1371" s="110"/>
      <c r="BM1371" s="110"/>
      <c r="BN1371" s="110"/>
      <c r="BO1371" s="110"/>
      <c r="BP1371" s="110"/>
      <c r="BQ1371" s="110"/>
      <c r="BR1371" s="110"/>
      <c r="BS1371" s="110"/>
      <c r="BT1371" s="110"/>
      <c r="BU1371" s="110"/>
      <c r="BV1371" s="110"/>
      <c r="BW1371" s="110"/>
      <c r="BX1371" s="110"/>
      <c r="BY1371" s="110"/>
      <c r="BZ1371" s="110"/>
      <c r="CA1371" s="110"/>
      <c r="CB1371" s="110"/>
      <c r="CC1371" s="110"/>
      <c r="CD1371" s="110"/>
      <c r="CE1371" s="110"/>
      <c r="CF1371" s="110"/>
      <c r="CG1371" s="110"/>
      <c r="CH1371" s="110"/>
      <c r="CI1371" s="110"/>
      <c r="CJ1371" s="110"/>
      <c r="CK1371" s="110"/>
      <c r="CL1371" s="110"/>
      <c r="CM1371" s="110"/>
      <c r="CN1371" s="110"/>
      <c r="CO1371" s="110"/>
      <c r="CP1371" s="110"/>
      <c r="CQ1371" s="110"/>
      <c r="CR1371" s="110"/>
      <c r="CS1371" s="110"/>
      <c r="CT1371" s="110"/>
      <c r="CU1371" s="110"/>
      <c r="CV1371" s="110"/>
      <c r="CW1371" s="110"/>
      <c r="CX1371" s="110"/>
      <c r="CY1371" s="110"/>
      <c r="CZ1371" s="110"/>
      <c r="DA1371" s="110"/>
      <c r="DB1371" s="110"/>
      <c r="DC1371" s="110"/>
      <c r="DD1371" s="110"/>
      <c r="DE1371" s="110"/>
      <c r="DF1371" s="110"/>
      <c r="DG1371" s="110"/>
      <c r="DH1371" s="110"/>
      <c r="DI1371" s="110"/>
      <c r="DJ1371" s="110"/>
      <c r="DK1371" s="110"/>
      <c r="DL1371" s="110"/>
      <c r="DM1371" s="110"/>
      <c r="DN1371" s="110"/>
      <c r="DO1371" s="110"/>
      <c r="DP1371" s="110"/>
      <c r="DQ1371" s="110"/>
      <c r="DR1371" s="110"/>
      <c r="DS1371" s="110"/>
      <c r="DT1371" s="110"/>
      <c r="DU1371" s="110"/>
      <c r="DV1371" s="110"/>
      <c r="DW1371" s="110"/>
      <c r="DX1371" s="110"/>
      <c r="DY1371" s="110"/>
      <c r="DZ1371" s="110"/>
      <c r="EA1371" s="110"/>
      <c r="EB1371" s="110"/>
      <c r="EC1371" s="110"/>
      <c r="ED1371" s="110"/>
      <c r="EE1371" s="110"/>
      <c r="EF1371" s="110"/>
      <c r="EG1371" s="110"/>
      <c r="EH1371" s="110"/>
      <c r="EI1371" s="110"/>
      <c r="EJ1371" s="110"/>
      <c r="EK1371" s="110"/>
      <c r="EL1371" s="110"/>
      <c r="EM1371" s="110"/>
      <c r="EN1371" s="110"/>
      <c r="EO1371" s="110"/>
      <c r="EP1371" s="110"/>
      <c r="EQ1371" s="110"/>
      <c r="ER1371" s="110"/>
      <c r="ES1371" s="110"/>
      <c r="ET1371" s="110"/>
      <c r="EU1371" s="110"/>
      <c r="EV1371" s="110"/>
      <c r="EW1371" s="110"/>
      <c r="EX1371" s="110"/>
      <c r="EY1371" s="110"/>
      <c r="EZ1371" s="110"/>
      <c r="FA1371" s="110"/>
      <c r="FB1371" s="110"/>
      <c r="FC1371" s="110"/>
      <c r="FD1371" s="110"/>
      <c r="FE1371" s="110"/>
      <c r="FF1371" s="110"/>
      <c r="FG1371" s="110"/>
      <c r="FH1371" s="110"/>
      <c r="FI1371" s="110"/>
      <c r="FJ1371" s="110"/>
      <c r="FK1371" s="110"/>
      <c r="FL1371" s="110"/>
      <c r="FM1371" s="110"/>
      <c r="FN1371" s="110"/>
      <c r="FO1371" s="110"/>
      <c r="FP1371" s="110"/>
      <c r="FQ1371" s="110"/>
      <c r="FR1371" s="110"/>
      <c r="FS1371" s="110"/>
      <c r="FT1371" s="110"/>
      <c r="FU1371" s="110"/>
      <c r="FV1371" s="110"/>
      <c r="FW1371" s="110"/>
      <c r="FX1371" s="110"/>
      <c r="FY1371" s="110"/>
      <c r="FZ1371" s="110"/>
      <c r="GA1371" s="110"/>
      <c r="GB1371" s="110"/>
      <c r="GC1371" s="110"/>
      <c r="GD1371" s="110"/>
      <c r="GE1371" s="110"/>
      <c r="GF1371" s="110"/>
      <c r="GG1371" s="110"/>
      <c r="GH1371" s="110"/>
      <c r="GI1371" s="110"/>
      <c r="GJ1371" s="110"/>
      <c r="GK1371" s="110"/>
      <c r="GL1371" s="110"/>
      <c r="GM1371" s="110"/>
      <c r="GN1371" s="110"/>
      <c r="GO1371" s="110"/>
      <c r="GP1371" s="110"/>
      <c r="GQ1371" s="110"/>
      <c r="GR1371" s="110"/>
      <c r="GS1371" s="110"/>
      <c r="GT1371" s="110"/>
      <c r="GU1371" s="110"/>
      <c r="GV1371" s="110"/>
      <c r="GW1371" s="110"/>
      <c r="GX1371" s="110"/>
      <c r="GY1371" s="110"/>
      <c r="GZ1371" s="110"/>
      <c r="HA1371" s="110"/>
      <c r="HB1371" s="110"/>
      <c r="HC1371" s="110"/>
      <c r="HD1371" s="110"/>
      <c r="HE1371" s="110"/>
      <c r="HF1371" s="110"/>
      <c r="HG1371" s="110"/>
      <c r="HH1371" s="110"/>
      <c r="HI1371" s="110"/>
      <c r="HJ1371" s="110"/>
      <c r="HK1371" s="110"/>
      <c r="HL1371" s="110"/>
      <c r="HM1371" s="110"/>
      <c r="HN1371" s="110"/>
      <c r="HO1371" s="110"/>
      <c r="HP1371" s="110"/>
      <c r="HQ1371" s="110"/>
      <c r="HR1371" s="110"/>
      <c r="HS1371" s="110"/>
      <c r="HT1371" s="110"/>
      <c r="HU1371" s="110"/>
      <c r="HV1371" s="110"/>
      <c r="HW1371" s="110"/>
      <c r="HX1371" s="110"/>
      <c r="HY1371" s="110"/>
      <c r="HZ1371" s="110"/>
      <c r="IA1371" s="110"/>
      <c r="IB1371" s="110"/>
      <c r="IC1371" s="110"/>
      <c r="ID1371" s="110"/>
      <c r="IE1371" s="110"/>
      <c r="IF1371" s="110"/>
      <c r="IG1371" s="110"/>
      <c r="IH1371" s="110"/>
      <c r="II1371" s="110"/>
      <c r="IJ1371" s="110"/>
      <c r="IK1371" s="110"/>
      <c r="IL1371" s="110"/>
      <c r="IM1371" s="110"/>
      <c r="IN1371" s="110"/>
      <c r="IO1371" s="110"/>
      <c r="IP1371" s="110"/>
      <c r="IQ1371" s="110"/>
      <c r="IR1371" s="110"/>
      <c r="IS1371" s="110"/>
      <c r="IT1371" s="110"/>
      <c r="IU1371" s="110"/>
      <c r="IV1371" s="110"/>
      <c r="IW1371" s="110"/>
      <c r="IX1371" s="110"/>
      <c r="IY1371" s="110"/>
      <c r="IZ1371" s="110"/>
      <c r="JA1371" s="110"/>
      <c r="JB1371" s="110"/>
      <c r="JC1371" s="110"/>
      <c r="JD1371" s="110"/>
      <c r="JE1371" s="110"/>
      <c r="JF1371" s="110"/>
      <c r="JG1371" s="110"/>
      <c r="JH1371" s="110"/>
      <c r="JI1371" s="110"/>
      <c r="JJ1371" s="110"/>
      <c r="JK1371" s="110"/>
      <c r="JL1371" s="110"/>
      <c r="JM1371" s="110"/>
      <c r="JN1371" s="110"/>
      <c r="JO1371" s="110"/>
      <c r="JP1371" s="110"/>
      <c r="JQ1371" s="110"/>
      <c r="JR1371" s="110"/>
      <c r="JS1371" s="110"/>
      <c r="JT1371" s="110"/>
      <c r="JU1371" s="110"/>
      <c r="JV1371" s="110"/>
      <c r="JW1371" s="110"/>
      <c r="JX1371" s="110"/>
      <c r="JY1371" s="110"/>
      <c r="JZ1371" s="110"/>
      <c r="KA1371" s="110"/>
      <c r="KB1371" s="110"/>
      <c r="KC1371" s="110"/>
      <c r="KD1371" s="110"/>
      <c r="KE1371" s="110"/>
      <c r="KF1371" s="110"/>
      <c r="KG1371" s="110"/>
      <c r="KH1371" s="110"/>
      <c r="KI1371" s="110"/>
      <c r="KJ1371" s="110"/>
      <c r="KK1371" s="110"/>
      <c r="KL1371" s="110"/>
      <c r="KM1371" s="110"/>
      <c r="KN1371" s="110"/>
      <c r="KO1371" s="110"/>
      <c r="KP1371" s="110"/>
      <c r="KQ1371" s="110"/>
      <c r="KR1371" s="110"/>
      <c r="KS1371" s="110"/>
      <c r="KT1371" s="110"/>
      <c r="KU1371" s="110"/>
      <c r="KV1371" s="110"/>
      <c r="KW1371" s="110"/>
      <c r="KX1371" s="110"/>
      <c r="KY1371" s="110"/>
      <c r="KZ1371" s="110"/>
      <c r="LA1371" s="110"/>
      <c r="LB1371" s="110"/>
      <c r="LC1371" s="110"/>
      <c r="LD1371" s="110"/>
      <c r="LE1371" s="110"/>
      <c r="LF1371" s="110"/>
      <c r="LG1371" s="110"/>
      <c r="LH1371" s="110"/>
      <c r="LI1371" s="110"/>
      <c r="LJ1371" s="110"/>
      <c r="LK1371" s="110"/>
      <c r="LL1371" s="110"/>
      <c r="LM1371" s="110"/>
      <c r="LN1371" s="110"/>
      <c r="LO1371" s="110"/>
      <c r="LP1371" s="110"/>
      <c r="LQ1371" s="110"/>
      <c r="LR1371" s="110"/>
      <c r="LS1371" s="110"/>
      <c r="LT1371" s="110"/>
      <c r="LU1371" s="110"/>
      <c r="LV1371" s="110"/>
      <c r="LW1371" s="110"/>
      <c r="LX1371" s="110"/>
      <c r="LY1371" s="110"/>
      <c r="LZ1371" s="110"/>
      <c r="MA1371" s="110"/>
      <c r="MB1371" s="110"/>
      <c r="MC1371" s="110"/>
      <c r="MD1371" s="110"/>
      <c r="ME1371" s="110"/>
      <c r="MF1371" s="110"/>
      <c r="MG1371" s="110"/>
      <c r="MH1371" s="110"/>
      <c r="MI1371" s="110"/>
      <c r="MJ1371" s="110"/>
      <c r="MK1371" s="110"/>
      <c r="ML1371" s="110"/>
      <c r="MM1371" s="110"/>
      <c r="MN1371" s="110"/>
      <c r="MO1371" s="110"/>
      <c r="MP1371" s="110"/>
      <c r="MQ1371" s="110"/>
      <c r="MR1371" s="110"/>
      <c r="MS1371" s="110"/>
      <c r="MT1371" s="110"/>
      <c r="MU1371" s="110"/>
      <c r="MV1371" s="110"/>
      <c r="MW1371" s="110"/>
      <c r="MX1371" s="110"/>
      <c r="MY1371" s="110"/>
      <c r="MZ1371" s="110"/>
      <c r="NA1371" s="110"/>
      <c r="NB1371" s="110"/>
      <c r="NC1371" s="110"/>
      <c r="ND1371" s="110"/>
      <c r="NE1371" s="110"/>
      <c r="NF1371" s="110"/>
      <c r="NG1371" s="110"/>
      <c r="NH1371" s="110"/>
      <c r="NI1371" s="110"/>
      <c r="NJ1371" s="110"/>
      <c r="NK1371" s="110"/>
      <c r="NL1371" s="110"/>
      <c r="NM1371" s="110"/>
      <c r="NN1371" s="110"/>
      <c r="NO1371" s="110"/>
      <c r="NP1371" s="110"/>
      <c r="NQ1371" s="110"/>
      <c r="NR1371" s="110"/>
      <c r="NS1371" s="110"/>
      <c r="NT1371" s="110"/>
      <c r="NU1371" s="110"/>
      <c r="NV1371" s="110"/>
      <c r="NW1371" s="110"/>
      <c r="NX1371" s="110"/>
      <c r="NY1371" s="110"/>
      <c r="NZ1371" s="110"/>
      <c r="OA1371" s="110"/>
      <c r="OB1371" s="110"/>
      <c r="OC1371" s="110"/>
      <c r="OD1371" s="110"/>
      <c r="OE1371" s="110"/>
      <c r="OF1371" s="110"/>
      <c r="OG1371" s="110"/>
      <c r="OH1371" s="110"/>
      <c r="OI1371" s="110"/>
      <c r="OJ1371" s="110"/>
      <c r="OK1371" s="110"/>
      <c r="OL1371" s="110"/>
      <c r="OM1371" s="110"/>
      <c r="ON1371" s="110"/>
      <c r="OO1371" s="110"/>
      <c r="OP1371" s="110"/>
      <c r="OQ1371" s="110"/>
      <c r="OR1371" s="110"/>
      <c r="OS1371" s="110"/>
      <c r="OT1371" s="110"/>
      <c r="OU1371" s="110"/>
      <c r="OV1371" s="110"/>
      <c r="OW1371" s="110"/>
      <c r="OX1371" s="110"/>
      <c r="OY1371" s="110"/>
      <c r="OZ1371" s="110"/>
      <c r="PA1371" s="110"/>
      <c r="PB1371" s="110"/>
      <c r="PC1371" s="110"/>
      <c r="PD1371" s="110"/>
      <c r="PE1371" s="110"/>
      <c r="PF1371" s="110"/>
      <c r="PG1371" s="110"/>
      <c r="PH1371" s="110"/>
      <c r="PI1371" s="110"/>
      <c r="PJ1371" s="110"/>
      <c r="PK1371" s="110"/>
      <c r="PL1371" s="110"/>
      <c r="PM1371" s="110"/>
      <c r="PN1371" s="110"/>
      <c r="PO1371" s="110"/>
      <c r="PP1371" s="110"/>
      <c r="PQ1371" s="110"/>
      <c r="PR1371" s="110"/>
      <c r="PS1371" s="110"/>
      <c r="PT1371" s="110"/>
      <c r="PU1371" s="110"/>
      <c r="PV1371" s="110"/>
      <c r="PW1371" s="110"/>
      <c r="PX1371" s="110"/>
      <c r="PY1371" s="110"/>
      <c r="PZ1371" s="110"/>
      <c r="QA1371" s="110"/>
      <c r="QB1371" s="110"/>
      <c r="QC1371" s="110"/>
      <c r="QD1371" s="110"/>
      <c r="QE1371" s="110"/>
      <c r="QF1371" s="110"/>
      <c r="QG1371" s="110"/>
      <c r="QH1371" s="110"/>
      <c r="QI1371" s="110"/>
      <c r="QJ1371" s="110"/>
      <c r="QK1371" s="110"/>
      <c r="QL1371" s="110"/>
      <c r="QM1371" s="110"/>
      <c r="QN1371" s="110"/>
      <c r="QO1371" s="110"/>
      <c r="QP1371" s="110"/>
      <c r="QQ1371" s="110"/>
      <c r="QR1371" s="110"/>
      <c r="QS1371" s="110"/>
      <c r="QT1371" s="110"/>
      <c r="QU1371" s="110"/>
      <c r="QV1371" s="110"/>
      <c r="QW1371" s="110"/>
      <c r="QX1371" s="110"/>
      <c r="QY1371" s="110"/>
      <c r="QZ1371" s="110"/>
      <c r="RA1371" s="110"/>
      <c r="RB1371" s="110"/>
      <c r="RC1371" s="110"/>
      <c r="RD1371" s="110"/>
      <c r="RE1371" s="110"/>
      <c r="RF1371" s="110"/>
      <c r="RG1371" s="110"/>
      <c r="RH1371" s="110"/>
      <c r="RI1371" s="110"/>
      <c r="RJ1371" s="110"/>
      <c r="RK1371" s="110"/>
      <c r="RL1371" s="110"/>
      <c r="RM1371" s="110"/>
      <c r="RN1371" s="110"/>
      <c r="RO1371" s="110"/>
      <c r="RP1371" s="110"/>
      <c r="RQ1371" s="110"/>
      <c r="RR1371" s="110"/>
      <c r="RS1371" s="110"/>
      <c r="RT1371" s="110"/>
      <c r="RU1371" s="110"/>
      <c r="RV1371" s="110"/>
      <c r="RW1371" s="110"/>
      <c r="RX1371" s="110"/>
      <c r="RY1371" s="110"/>
      <c r="RZ1371" s="110"/>
      <c r="SA1371" s="110"/>
      <c r="SB1371" s="110"/>
      <c r="SC1371" s="110"/>
      <c r="SD1371" s="110"/>
      <c r="SE1371" s="110"/>
      <c r="SF1371" s="110"/>
      <c r="SG1371" s="110"/>
      <c r="SH1371" s="110"/>
      <c r="SI1371" s="110"/>
      <c r="SJ1371" s="110"/>
      <c r="SK1371" s="110"/>
      <c r="SL1371" s="110"/>
      <c r="SM1371" s="110"/>
      <c r="SN1371" s="110"/>
      <c r="SO1371" s="110"/>
      <c r="SP1371" s="110"/>
      <c r="SQ1371" s="110"/>
      <c r="SR1371" s="110"/>
      <c r="SS1371" s="110"/>
      <c r="ST1371" s="110"/>
      <c r="SU1371" s="110"/>
      <c r="SV1371" s="110"/>
      <c r="SW1371" s="110"/>
      <c r="SX1371" s="110"/>
      <c r="SY1371" s="110"/>
      <c r="SZ1371" s="110"/>
      <c r="TA1371" s="110"/>
      <c r="TB1371" s="110"/>
      <c r="TC1371" s="110"/>
      <c r="TD1371" s="110"/>
      <c r="TE1371" s="110"/>
      <c r="TF1371" s="110"/>
      <c r="TG1371" s="110"/>
      <c r="TH1371" s="110"/>
      <c r="TI1371" s="110"/>
      <c r="TJ1371" s="110"/>
      <c r="TK1371" s="110"/>
      <c r="TL1371" s="110"/>
      <c r="TM1371" s="110"/>
      <c r="TN1371" s="110"/>
      <c r="TO1371" s="110"/>
      <c r="TP1371" s="110"/>
      <c r="TQ1371" s="110"/>
      <c r="TR1371" s="110"/>
      <c r="TS1371" s="110"/>
      <c r="TT1371" s="110"/>
      <c r="TU1371" s="110"/>
      <c r="TV1371" s="110"/>
      <c r="TW1371" s="110"/>
      <c r="TX1371" s="110"/>
      <c r="TY1371" s="110"/>
      <c r="TZ1371" s="110"/>
      <c r="UA1371" s="110"/>
      <c r="UB1371" s="110"/>
      <c r="UC1371" s="110"/>
      <c r="UD1371" s="110"/>
      <c r="UE1371" s="110"/>
      <c r="UF1371" s="110"/>
      <c r="UG1371" s="110"/>
      <c r="UH1371" s="110"/>
      <c r="UI1371" s="110"/>
      <c r="UJ1371" s="110"/>
      <c r="UK1371" s="110"/>
      <c r="UL1371" s="110"/>
      <c r="UM1371" s="110"/>
      <c r="UN1371" s="110"/>
      <c r="UO1371" s="110"/>
      <c r="UP1371" s="110"/>
      <c r="UQ1371" s="110"/>
      <c r="UR1371" s="110"/>
      <c r="US1371" s="110"/>
      <c r="UT1371" s="110"/>
      <c r="UU1371" s="110"/>
      <c r="UV1371" s="110"/>
      <c r="UW1371" s="110"/>
      <c r="UX1371" s="110"/>
      <c r="UY1371" s="110"/>
      <c r="UZ1371" s="110"/>
      <c r="VA1371" s="110"/>
      <c r="VB1371" s="110"/>
      <c r="VC1371" s="110"/>
      <c r="VD1371" s="110"/>
      <c r="VE1371" s="110"/>
      <c r="VF1371" s="110"/>
      <c r="VG1371" s="110"/>
      <c r="VH1371" s="110"/>
      <c r="VI1371" s="110"/>
      <c r="VJ1371" s="110"/>
      <c r="VK1371" s="110"/>
      <c r="VL1371" s="110"/>
      <c r="VM1371" s="110"/>
      <c r="VN1371" s="110"/>
      <c r="VO1371" s="110"/>
      <c r="VP1371" s="110"/>
      <c r="VQ1371" s="110"/>
      <c r="VR1371" s="110"/>
      <c r="VS1371" s="110"/>
      <c r="VT1371" s="110"/>
      <c r="VU1371" s="110"/>
      <c r="VV1371" s="110"/>
      <c r="VW1371" s="110"/>
      <c r="VX1371" s="110"/>
      <c r="VY1371" s="110"/>
      <c r="VZ1371" s="110"/>
      <c r="WA1371" s="110"/>
      <c r="WB1371" s="110"/>
      <c r="WC1371" s="110"/>
      <c r="WD1371" s="110"/>
      <c r="WE1371" s="110"/>
      <c r="WF1371" s="110"/>
      <c r="WG1371" s="110"/>
      <c r="WH1371" s="110"/>
      <c r="WI1371" s="110"/>
      <c r="WJ1371" s="110"/>
      <c r="WK1371" s="110"/>
      <c r="WL1371" s="110"/>
      <c r="WM1371" s="110"/>
      <c r="WN1371" s="110"/>
      <c r="WO1371" s="110"/>
      <c r="WP1371" s="110"/>
      <c r="WQ1371" s="110"/>
      <c r="WR1371" s="110"/>
      <c r="WS1371" s="110"/>
      <c r="WT1371" s="110"/>
      <c r="WU1371" s="110"/>
      <c r="WV1371" s="110"/>
      <c r="WW1371" s="110"/>
      <c r="WX1371" s="110"/>
      <c r="WY1371" s="110"/>
      <c r="WZ1371" s="110"/>
      <c r="XA1371" s="110"/>
      <c r="XB1371" s="110"/>
      <c r="XC1371" s="110"/>
      <c r="XD1371" s="110"/>
      <c r="XE1371" s="110"/>
      <c r="XF1371" s="110"/>
      <c r="XG1371" s="110"/>
      <c r="XH1371" s="110"/>
      <c r="XI1371" s="110"/>
      <c r="XJ1371" s="110"/>
      <c r="XK1371" s="110"/>
      <c r="XL1371" s="110"/>
      <c r="XM1371" s="110"/>
      <c r="XN1371" s="110"/>
      <c r="XO1371" s="110"/>
      <c r="XP1371" s="110"/>
      <c r="XQ1371" s="110"/>
      <c r="XR1371" s="110"/>
      <c r="XS1371" s="110"/>
      <c r="XT1371" s="110"/>
      <c r="XU1371" s="110"/>
      <c r="XV1371" s="110"/>
      <c r="XW1371" s="110"/>
      <c r="XX1371" s="110"/>
      <c r="XY1371" s="110"/>
      <c r="XZ1371" s="110"/>
      <c r="YA1371" s="110"/>
      <c r="YB1371" s="110"/>
      <c r="YC1371" s="110"/>
      <c r="YD1371" s="110"/>
      <c r="YE1371" s="110"/>
      <c r="YF1371" s="110"/>
      <c r="YG1371" s="110"/>
      <c r="YH1371" s="110"/>
      <c r="YI1371" s="110"/>
      <c r="YJ1371" s="110"/>
      <c r="YK1371" s="110"/>
      <c r="YL1371" s="110"/>
      <c r="YM1371" s="110"/>
      <c r="YN1371" s="110"/>
      <c r="YO1371" s="110"/>
      <c r="YP1371" s="110"/>
      <c r="YQ1371" s="110"/>
      <c r="YR1371" s="110"/>
      <c r="YS1371" s="110"/>
      <c r="YT1371" s="110"/>
      <c r="YU1371" s="110"/>
      <c r="YV1371" s="110"/>
      <c r="YW1371" s="110"/>
      <c r="YX1371" s="110"/>
      <c r="YY1371" s="110"/>
      <c r="YZ1371" s="110"/>
      <c r="ZA1371" s="110"/>
      <c r="ZB1371" s="110"/>
      <c r="ZC1371" s="110"/>
      <c r="ZD1371" s="110"/>
      <c r="ZE1371" s="110"/>
      <c r="ZF1371" s="110"/>
      <c r="ZG1371" s="110"/>
      <c r="ZH1371" s="110"/>
      <c r="ZI1371" s="110"/>
      <c r="ZJ1371" s="110"/>
      <c r="ZK1371" s="110"/>
      <c r="ZL1371" s="110"/>
      <c r="ZM1371" s="110"/>
      <c r="ZN1371" s="110"/>
      <c r="ZO1371" s="110"/>
      <c r="ZP1371" s="110"/>
      <c r="ZQ1371" s="110"/>
      <c r="ZR1371" s="110"/>
      <c r="ZS1371" s="110"/>
      <c r="ZT1371" s="110"/>
      <c r="ZU1371" s="110"/>
      <c r="ZV1371" s="110"/>
      <c r="ZW1371" s="110"/>
      <c r="ZX1371" s="110"/>
      <c r="ZY1371" s="110"/>
      <c r="ZZ1371" s="110"/>
      <c r="AAA1371" s="110"/>
      <c r="AAB1371" s="110"/>
      <c r="AAC1371" s="110"/>
      <c r="AAD1371" s="110"/>
      <c r="AAE1371" s="110"/>
      <c r="AAF1371" s="110"/>
      <c r="AAG1371" s="110"/>
      <c r="AAH1371" s="110"/>
      <c r="AAI1371" s="110"/>
      <c r="AAJ1371" s="110"/>
      <c r="AAK1371" s="110"/>
      <c r="AAL1371" s="110"/>
      <c r="AAM1371" s="110"/>
      <c r="AAN1371" s="110"/>
      <c r="AAO1371" s="110"/>
      <c r="AAP1371" s="110"/>
      <c r="AAQ1371" s="110"/>
      <c r="AAR1371" s="110"/>
      <c r="AAS1371" s="110"/>
      <c r="AAT1371" s="110"/>
      <c r="AAU1371" s="110"/>
      <c r="AAV1371" s="110"/>
      <c r="AAW1371" s="110"/>
      <c r="AAX1371" s="110"/>
      <c r="AAY1371" s="110"/>
      <c r="AAZ1371" s="110"/>
      <c r="ABA1371" s="110"/>
      <c r="ABB1371" s="110"/>
      <c r="ABC1371" s="110"/>
      <c r="ABD1371" s="110"/>
      <c r="ABE1371" s="110"/>
      <c r="ABF1371" s="110"/>
      <c r="ABG1371" s="110"/>
      <c r="ABH1371" s="110"/>
      <c r="ABI1371" s="110"/>
      <c r="ABJ1371" s="110"/>
      <c r="ABK1371" s="110"/>
      <c r="ABL1371" s="110"/>
      <c r="ABM1371" s="110"/>
      <c r="ABN1371" s="110"/>
      <c r="ABO1371" s="110"/>
      <c r="ABP1371" s="110"/>
      <c r="ABQ1371" s="110"/>
      <c r="ABR1371" s="110"/>
      <c r="ABS1371" s="110"/>
      <c r="ABT1371" s="110"/>
      <c r="ABU1371" s="110"/>
      <c r="ABV1371" s="110"/>
      <c r="ABW1371" s="110"/>
      <c r="ABX1371" s="110"/>
      <c r="ABY1371" s="110"/>
      <c r="ABZ1371" s="110"/>
      <c r="ACA1371" s="110"/>
      <c r="ACB1371" s="110"/>
      <c r="ACC1371" s="110"/>
      <c r="ACD1371" s="110"/>
      <c r="ACE1371" s="110"/>
      <c r="ACF1371" s="110"/>
      <c r="ACG1371" s="110"/>
      <c r="ACH1371" s="110"/>
      <c r="ACI1371" s="110"/>
      <c r="ACJ1371" s="110"/>
      <c r="ACK1371" s="110"/>
      <c r="ACL1371" s="110"/>
      <c r="ACM1371" s="110"/>
      <c r="ACN1371" s="110"/>
      <c r="ACO1371" s="110"/>
      <c r="ACP1371" s="110"/>
      <c r="ACQ1371" s="110"/>
      <c r="ACR1371" s="110"/>
      <c r="ACS1371" s="110"/>
      <c r="ACT1371" s="110"/>
      <c r="ACU1371" s="110"/>
      <c r="ACV1371" s="110"/>
      <c r="ACW1371" s="110"/>
      <c r="ACX1371" s="110"/>
      <c r="ACY1371" s="110"/>
      <c r="ACZ1371" s="110"/>
      <c r="ADA1371" s="110"/>
      <c r="ADB1371" s="110"/>
      <c r="ADC1371" s="110"/>
      <c r="ADD1371" s="110"/>
      <c r="ADE1371" s="110"/>
      <c r="ADF1371" s="110"/>
      <c r="ADG1371" s="110"/>
      <c r="ADH1371" s="110"/>
      <c r="ADI1371" s="110"/>
      <c r="ADJ1371" s="110"/>
      <c r="ADK1371" s="110"/>
      <c r="ADL1371" s="110"/>
      <c r="ADM1371" s="110"/>
      <c r="ADN1371" s="110"/>
      <c r="ADO1371" s="110"/>
      <c r="ADP1371" s="110"/>
      <c r="ADQ1371" s="110"/>
      <c r="ADR1371" s="110"/>
      <c r="ADS1371" s="110"/>
      <c r="ADT1371" s="110"/>
      <c r="ADU1371" s="110"/>
      <c r="ADV1371" s="110"/>
      <c r="ADW1371" s="110"/>
      <c r="ADX1371" s="110"/>
      <c r="ADY1371" s="110"/>
      <c r="ADZ1371" s="110"/>
      <c r="AEA1371" s="110"/>
      <c r="AEB1371" s="110"/>
      <c r="AEC1371" s="110"/>
      <c r="AED1371" s="110"/>
      <c r="AEE1371" s="110"/>
      <c r="AEF1371" s="110"/>
      <c r="AEG1371" s="110"/>
      <c r="AEH1371" s="110"/>
      <c r="AEI1371" s="110"/>
      <c r="AEJ1371" s="110"/>
      <c r="AEK1371" s="110"/>
      <c r="AEL1371" s="110"/>
      <c r="AEM1371" s="110"/>
      <c r="AEN1371" s="110"/>
      <c r="AEO1371" s="110"/>
      <c r="AEP1371" s="110"/>
      <c r="AEQ1371" s="110"/>
      <c r="AER1371" s="110"/>
      <c r="AES1371" s="110"/>
      <c r="AET1371" s="110"/>
      <c r="AEU1371" s="110"/>
      <c r="AEV1371" s="110"/>
      <c r="AEW1371" s="110"/>
      <c r="AEX1371" s="110"/>
      <c r="AEY1371" s="110"/>
      <c r="AEZ1371" s="110"/>
      <c r="AFA1371" s="110"/>
      <c r="AFB1371" s="110"/>
      <c r="AFC1371" s="110"/>
      <c r="AFD1371" s="110"/>
      <c r="AFE1371" s="110"/>
      <c r="AFF1371" s="110"/>
      <c r="AFG1371" s="110"/>
      <c r="AFH1371" s="110"/>
      <c r="AFI1371" s="110"/>
      <c r="AFJ1371" s="110"/>
      <c r="AFK1371" s="110"/>
      <c r="AFL1371" s="110"/>
      <c r="AFM1371" s="110"/>
      <c r="AFN1371" s="110"/>
      <c r="AFO1371" s="110"/>
      <c r="AFP1371" s="110"/>
      <c r="AFQ1371" s="110"/>
      <c r="AFR1371" s="110"/>
      <c r="AFS1371" s="110"/>
      <c r="AFT1371" s="110"/>
      <c r="AFU1371" s="110"/>
      <c r="AFV1371" s="110"/>
      <c r="AFW1371" s="110"/>
      <c r="AFX1371" s="110"/>
      <c r="AFY1371" s="110"/>
      <c r="AFZ1371" s="110"/>
      <c r="AGA1371" s="110"/>
      <c r="AGB1371" s="110"/>
      <c r="AGC1371" s="110"/>
      <c r="AGD1371" s="110"/>
      <c r="AGE1371" s="110"/>
      <c r="AGF1371" s="110"/>
      <c r="AGG1371" s="110"/>
      <c r="AGH1371" s="110"/>
      <c r="AGI1371" s="110"/>
      <c r="AGJ1371" s="110"/>
      <c r="AGK1371" s="110"/>
      <c r="AGL1371" s="110"/>
      <c r="AGM1371" s="110"/>
      <c r="AGN1371" s="110"/>
      <c r="AGO1371" s="110"/>
      <c r="AGP1371" s="110"/>
      <c r="AGQ1371" s="110"/>
      <c r="AGR1371" s="110"/>
      <c r="AGS1371" s="110"/>
      <c r="AGT1371" s="110"/>
      <c r="AGU1371" s="110"/>
      <c r="AGV1371" s="110"/>
      <c r="AGW1371" s="110"/>
      <c r="AGX1371" s="110"/>
      <c r="AGY1371" s="110"/>
      <c r="AGZ1371" s="110"/>
      <c r="AHA1371" s="110"/>
      <c r="AHB1371" s="110"/>
      <c r="AHC1371" s="110"/>
      <c r="AHD1371" s="110"/>
      <c r="AHE1371" s="110"/>
      <c r="AHF1371" s="110"/>
      <c r="AHG1371" s="110"/>
      <c r="AHH1371" s="110"/>
      <c r="AHI1371" s="110"/>
      <c r="AHJ1371" s="110"/>
      <c r="AHK1371" s="110"/>
      <c r="AHL1371" s="110"/>
      <c r="AHM1371" s="110"/>
      <c r="AHN1371" s="110"/>
      <c r="AHO1371" s="110"/>
      <c r="AHP1371" s="110"/>
      <c r="AHQ1371" s="110"/>
      <c r="AHR1371" s="110"/>
      <c r="AHS1371" s="110"/>
      <c r="AHT1371" s="110"/>
      <c r="AHU1371" s="110"/>
      <c r="AHV1371" s="110"/>
      <c r="AHW1371" s="110"/>
      <c r="AHX1371" s="110"/>
      <c r="AHY1371" s="110"/>
      <c r="AHZ1371" s="110"/>
      <c r="AIA1371" s="110"/>
      <c r="AIB1371" s="110"/>
      <c r="AIC1371" s="110"/>
      <c r="AID1371" s="110"/>
      <c r="AIE1371" s="110"/>
      <c r="AIF1371" s="110"/>
      <c r="AIG1371" s="110"/>
      <c r="AIH1371" s="110"/>
      <c r="AII1371" s="110"/>
      <c r="AIJ1371" s="110"/>
      <c r="AIK1371" s="110"/>
      <c r="AIL1371" s="110"/>
      <c r="AIM1371" s="110"/>
      <c r="AIN1371" s="110"/>
      <c r="AIO1371" s="110"/>
      <c r="AIP1371" s="110"/>
      <c r="AIQ1371" s="110"/>
      <c r="AIR1371" s="110"/>
      <c r="AIS1371" s="110"/>
      <c r="AIT1371" s="110"/>
      <c r="AIU1371" s="110"/>
      <c r="AIV1371" s="110"/>
      <c r="AIW1371" s="110"/>
      <c r="AIX1371" s="110"/>
      <c r="AIY1371" s="110"/>
      <c r="AIZ1371" s="110"/>
      <c r="AJA1371" s="110"/>
      <c r="AJB1371" s="110"/>
      <c r="AJC1371" s="110"/>
      <c r="AJD1371" s="110"/>
      <c r="AJE1371" s="110"/>
      <c r="AJF1371" s="110"/>
      <c r="AJG1371" s="110"/>
      <c r="AJH1371" s="110"/>
      <c r="AJI1371" s="110"/>
      <c r="AJJ1371" s="110"/>
      <c r="AJK1371" s="110"/>
      <c r="AJL1371" s="110"/>
      <c r="AJM1371" s="110"/>
      <c r="AJN1371" s="110"/>
      <c r="AJO1371" s="110"/>
      <c r="AJP1371" s="110"/>
      <c r="AJQ1371" s="110"/>
      <c r="AJR1371" s="110"/>
      <c r="AJS1371" s="110"/>
      <c r="AJT1371" s="110"/>
      <c r="AJU1371" s="110"/>
      <c r="AJV1371" s="110"/>
      <c r="AJW1371" s="110"/>
      <c r="AJX1371" s="110"/>
      <c r="AJY1371" s="110"/>
      <c r="AJZ1371" s="110"/>
      <c r="AKA1371" s="110"/>
      <c r="AKB1371" s="110"/>
      <c r="AKC1371" s="110"/>
      <c r="AKD1371" s="110"/>
      <c r="AKE1371" s="110"/>
      <c r="AKF1371" s="110"/>
      <c r="AKG1371" s="110"/>
      <c r="AKH1371" s="110"/>
      <c r="AKI1371" s="110"/>
      <c r="AKJ1371" s="110"/>
      <c r="AKK1371" s="110"/>
      <c r="AKL1371" s="110"/>
      <c r="AKM1371" s="110"/>
      <c r="AKN1371" s="110"/>
      <c r="AKO1371" s="110"/>
      <c r="AKP1371" s="110"/>
      <c r="AKQ1371" s="110"/>
      <c r="AKR1371" s="110"/>
      <c r="AKS1371" s="110"/>
      <c r="AKT1371" s="110"/>
      <c r="AKU1371" s="110"/>
      <c r="AKV1371" s="110"/>
      <c r="AKW1371" s="110"/>
      <c r="AKX1371" s="110"/>
      <c r="AKY1371" s="110"/>
      <c r="AKZ1371" s="110"/>
      <c r="ALA1371" s="110"/>
      <c r="ALB1371" s="110"/>
      <c r="ALC1371" s="110"/>
      <c r="ALD1371" s="110"/>
      <c r="ALE1371" s="110"/>
      <c r="ALF1371" s="110"/>
      <c r="ALG1371" s="110"/>
      <c r="ALH1371" s="110"/>
      <c r="ALI1371" s="110"/>
      <c r="ALJ1371" s="110"/>
      <c r="ALK1371" s="110"/>
      <c r="ALL1371" s="110"/>
      <c r="ALM1371" s="110"/>
      <c r="ALN1371" s="110"/>
      <c r="ALO1371" s="110"/>
      <c r="ALP1371" s="110"/>
      <c r="ALQ1371" s="110"/>
      <c r="ALR1371" s="110"/>
      <c r="ALS1371" s="110"/>
      <c r="ALT1371" s="110"/>
      <c r="ALU1371" s="110"/>
      <c r="ALV1371" s="110"/>
      <c r="ALW1371" s="110"/>
      <c r="ALX1371" s="110"/>
      <c r="ALY1371" s="110"/>
      <c r="ALZ1371" s="110"/>
      <c r="AMA1371" s="110"/>
      <c r="AMB1371" s="110"/>
      <c r="AMC1371" s="110"/>
      <c r="AMD1371" s="110"/>
      <c r="AME1371" s="110"/>
      <c r="AMF1371" s="110"/>
      <c r="AMG1371" s="110"/>
      <c r="AMH1371" s="110"/>
      <c r="AMI1371" s="110"/>
      <c r="AMJ1371" s="110"/>
      <c r="AMK1371" s="110"/>
      <c r="AML1371" s="110"/>
      <c r="AMM1371" s="110"/>
      <c r="AMN1371" s="110"/>
      <c r="AMO1371" s="110"/>
      <c r="AMP1371" s="110"/>
      <c r="AMQ1371" s="110"/>
      <c r="AMR1371" s="110"/>
      <c r="AMS1371" s="110"/>
      <c r="AMT1371" s="110"/>
      <c r="AMU1371" s="110"/>
      <c r="AMV1371" s="110"/>
      <c r="AMW1371" s="110"/>
      <c r="AMX1371" s="110"/>
      <c r="AMY1371" s="110"/>
      <c r="AMZ1371" s="110"/>
      <c r="ANA1371" s="110"/>
      <c r="ANB1371" s="110"/>
      <c r="ANC1371" s="110"/>
      <c r="AND1371" s="110"/>
      <c r="ANE1371" s="110"/>
      <c r="ANF1371" s="110"/>
      <c r="ANG1371" s="110"/>
      <c r="ANH1371" s="110"/>
      <c r="ANI1371" s="110"/>
      <c r="ANJ1371" s="110"/>
      <c r="ANK1371" s="110"/>
      <c r="ANL1371" s="110"/>
      <c r="ANM1371" s="110"/>
      <c r="ANN1371" s="110"/>
      <c r="ANO1371" s="110"/>
      <c r="ANP1371" s="110"/>
      <c r="ANQ1371" s="110"/>
      <c r="ANR1371" s="110"/>
      <c r="ANS1371" s="110"/>
      <c r="ANT1371" s="110"/>
      <c r="ANU1371" s="110"/>
      <c r="ANV1371" s="110"/>
      <c r="ANW1371" s="110"/>
      <c r="ANX1371" s="110"/>
      <c r="ANY1371" s="110"/>
      <c r="ANZ1371" s="110"/>
      <c r="AOA1371" s="110"/>
      <c r="AOB1371" s="110"/>
      <c r="AOC1371" s="110"/>
      <c r="AOD1371" s="110"/>
      <c r="AOE1371" s="110"/>
      <c r="AOF1371" s="110"/>
      <c r="AOG1371" s="110"/>
      <c r="AOH1371" s="110"/>
      <c r="AOI1371" s="110"/>
      <c r="AOJ1371" s="110"/>
      <c r="AOK1371" s="110"/>
      <c r="AOL1371" s="110"/>
      <c r="AOM1371" s="110"/>
      <c r="AON1371" s="110"/>
      <c r="AOO1371" s="110"/>
      <c r="AOP1371" s="110"/>
      <c r="AOQ1371" s="110"/>
      <c r="AOR1371" s="110"/>
      <c r="AOS1371" s="110"/>
      <c r="AOT1371" s="110"/>
      <c r="AOU1371" s="110"/>
      <c r="AOV1371" s="110"/>
      <c r="AOW1371" s="110"/>
      <c r="AOX1371" s="110"/>
      <c r="AOY1371" s="110"/>
      <c r="AOZ1371" s="110"/>
      <c r="APA1371" s="110"/>
      <c r="APB1371" s="110"/>
      <c r="APC1371" s="110"/>
      <c r="APD1371" s="110"/>
      <c r="APE1371" s="110"/>
      <c r="APF1371" s="110"/>
      <c r="APG1371" s="110"/>
      <c r="APH1371" s="110"/>
      <c r="API1371" s="110"/>
      <c r="APJ1371" s="110"/>
      <c r="APK1371" s="110"/>
      <c r="APL1371" s="110"/>
      <c r="APM1371" s="110"/>
      <c r="APN1371" s="110"/>
      <c r="APO1371" s="110"/>
      <c r="APP1371" s="110"/>
      <c r="APQ1371" s="110"/>
      <c r="APR1371" s="110"/>
      <c r="APS1371" s="110"/>
      <c r="APT1371" s="110"/>
      <c r="APU1371" s="110"/>
      <c r="APV1371" s="110"/>
      <c r="APW1371" s="110"/>
      <c r="APX1371" s="110"/>
      <c r="APY1371" s="110"/>
      <c r="APZ1371" s="110"/>
      <c r="AQA1371" s="110"/>
      <c r="AQB1371" s="110"/>
      <c r="AQC1371" s="110"/>
      <c r="AQD1371" s="110"/>
      <c r="AQE1371" s="110"/>
      <c r="AQF1371" s="110"/>
      <c r="AQG1371" s="110"/>
      <c r="AQH1371" s="110"/>
      <c r="AQI1371" s="110"/>
      <c r="AQJ1371" s="110"/>
      <c r="AQK1371" s="110"/>
      <c r="AQL1371" s="110"/>
      <c r="AQM1371" s="110"/>
      <c r="AQN1371" s="110"/>
      <c r="AQO1371" s="110"/>
      <c r="AQP1371" s="110"/>
      <c r="AQQ1371" s="110"/>
      <c r="AQR1371" s="110"/>
      <c r="AQS1371" s="110"/>
      <c r="AQT1371" s="110"/>
      <c r="AQU1371" s="110"/>
      <c r="AQV1371" s="110"/>
      <c r="AQW1371" s="110"/>
      <c r="AQX1371" s="110"/>
      <c r="AQY1371" s="110"/>
      <c r="AQZ1371" s="110"/>
      <c r="ARA1371" s="110"/>
      <c r="ARB1371" s="110"/>
      <c r="ARC1371" s="110"/>
      <c r="ARD1371" s="110"/>
      <c r="ARE1371" s="110"/>
      <c r="ARF1371" s="110"/>
      <c r="ARG1371" s="110"/>
      <c r="ARH1371" s="110"/>
      <c r="ARI1371" s="110"/>
      <c r="ARJ1371" s="110"/>
      <c r="ARK1371" s="110"/>
      <c r="ARL1371" s="110"/>
      <c r="ARM1371" s="110"/>
      <c r="ARN1371" s="110"/>
      <c r="ARO1371" s="110"/>
      <c r="ARP1371" s="110"/>
      <c r="ARQ1371" s="110"/>
      <c r="ARR1371" s="110"/>
      <c r="ARS1371" s="110"/>
      <c r="ART1371" s="110"/>
      <c r="ARU1371" s="110"/>
      <c r="ARV1371" s="110"/>
      <c r="ARW1371" s="110"/>
      <c r="ARX1371" s="110"/>
      <c r="ARY1371" s="110"/>
      <c r="ARZ1371" s="110"/>
      <c r="ASA1371" s="110"/>
      <c r="ASB1371" s="110"/>
      <c r="ASC1371" s="110"/>
      <c r="ASD1371" s="110"/>
      <c r="ASE1371" s="110"/>
      <c r="ASF1371" s="110"/>
      <c r="ASG1371" s="110"/>
      <c r="ASH1371" s="110"/>
      <c r="ASI1371" s="110"/>
      <c r="ASJ1371" s="110"/>
      <c r="ASK1371" s="110"/>
      <c r="ASL1371" s="110"/>
      <c r="ASM1371" s="110"/>
      <c r="ASN1371" s="110"/>
      <c r="ASO1371" s="110"/>
      <c r="ASP1371" s="110"/>
      <c r="ASQ1371" s="110"/>
      <c r="ASR1371" s="110"/>
      <c r="ASS1371" s="110"/>
      <c r="AST1371" s="110"/>
      <c r="ASU1371" s="110"/>
      <c r="ASV1371" s="110"/>
      <c r="ASW1371" s="110"/>
      <c r="ASX1371" s="110"/>
      <c r="ASY1371" s="110"/>
      <c r="ASZ1371" s="110"/>
      <c r="ATA1371" s="110"/>
      <c r="ATB1371" s="110"/>
      <c r="ATC1371" s="110"/>
      <c r="ATD1371" s="110"/>
      <c r="ATE1371" s="110"/>
      <c r="ATF1371" s="110"/>
      <c r="ATG1371" s="110"/>
      <c r="ATH1371" s="110"/>
      <c r="ATI1371" s="110"/>
      <c r="ATJ1371" s="110"/>
      <c r="ATK1371" s="110"/>
      <c r="ATL1371" s="110"/>
      <c r="ATM1371" s="110"/>
      <c r="ATN1371" s="110"/>
      <c r="ATO1371" s="110"/>
      <c r="ATP1371" s="110"/>
      <c r="ATQ1371" s="110"/>
      <c r="ATR1371" s="110"/>
      <c r="ATS1371" s="110"/>
      <c r="ATT1371" s="110"/>
      <c r="ATU1371" s="110"/>
      <c r="ATV1371" s="110"/>
      <c r="ATW1371" s="110"/>
      <c r="ATX1371" s="110"/>
      <c r="ATY1371" s="110"/>
      <c r="ATZ1371" s="110"/>
      <c r="AUA1371" s="110"/>
      <c r="AUB1371" s="110"/>
      <c r="AUC1371" s="110"/>
      <c r="AUD1371" s="110"/>
      <c r="AUE1371" s="110"/>
      <c r="AUF1371" s="110"/>
      <c r="AUG1371" s="110"/>
      <c r="AUH1371" s="110"/>
      <c r="AUI1371" s="110"/>
      <c r="AUJ1371" s="110"/>
      <c r="AUK1371" s="110"/>
      <c r="AUL1371" s="110"/>
      <c r="AUM1371" s="110"/>
      <c r="AUN1371" s="110"/>
      <c r="AUO1371" s="110"/>
      <c r="AUP1371" s="110"/>
      <c r="AUQ1371" s="110"/>
      <c r="AUR1371" s="110"/>
      <c r="AUS1371" s="110"/>
      <c r="AUT1371" s="110"/>
      <c r="AUU1371" s="110"/>
      <c r="AUV1371" s="110"/>
      <c r="AUW1371" s="110"/>
      <c r="AUX1371" s="110"/>
      <c r="AUY1371" s="110"/>
      <c r="AUZ1371" s="110"/>
      <c r="AVA1371" s="110"/>
      <c r="AVB1371" s="110"/>
      <c r="AVC1371" s="110"/>
      <c r="AVD1371" s="110"/>
      <c r="AVE1371" s="110"/>
      <c r="AVF1371" s="110"/>
      <c r="AVG1371" s="110"/>
      <c r="AVH1371" s="110"/>
      <c r="AVI1371" s="110"/>
      <c r="AVJ1371" s="110"/>
      <c r="AVK1371" s="110"/>
      <c r="AVL1371" s="110"/>
      <c r="AVM1371" s="110"/>
      <c r="AVN1371" s="110"/>
      <c r="AVO1371" s="110"/>
      <c r="AVP1371" s="110"/>
      <c r="AVQ1371" s="110"/>
      <c r="AVR1371" s="110"/>
      <c r="AVS1371" s="110"/>
      <c r="AVT1371" s="110"/>
      <c r="AVU1371" s="110"/>
      <c r="AVV1371" s="110"/>
      <c r="AVW1371" s="110"/>
      <c r="AVX1371" s="110"/>
      <c r="AVY1371" s="110"/>
      <c r="AVZ1371" s="110"/>
      <c r="AWA1371" s="110"/>
      <c r="AWB1371" s="110"/>
      <c r="AWC1371" s="110"/>
      <c r="AWD1371" s="110"/>
      <c r="AWE1371" s="110"/>
      <c r="AWF1371" s="110"/>
      <c r="AWG1371" s="110"/>
      <c r="AWH1371" s="110"/>
      <c r="AWI1371" s="110"/>
      <c r="AWJ1371" s="110"/>
      <c r="AWK1371" s="110"/>
      <c r="AWL1371" s="110"/>
      <c r="AWM1371" s="110"/>
      <c r="AWN1371" s="110"/>
      <c r="AWO1371" s="110"/>
      <c r="AWP1371" s="110"/>
      <c r="AWQ1371" s="110"/>
      <c r="AWR1371" s="110"/>
      <c r="AWS1371" s="110"/>
      <c r="AWT1371" s="110"/>
      <c r="AWU1371" s="110"/>
      <c r="AWV1371" s="110"/>
      <c r="AWW1371" s="110"/>
      <c r="AWX1371" s="110"/>
      <c r="AWY1371" s="110"/>
      <c r="AWZ1371" s="110"/>
      <c r="AXA1371" s="110"/>
      <c r="AXB1371" s="110"/>
      <c r="AXC1371" s="110"/>
      <c r="AXD1371" s="110"/>
      <c r="AXE1371" s="110"/>
      <c r="AXF1371" s="110"/>
      <c r="AXG1371" s="110"/>
      <c r="AXH1371" s="110"/>
      <c r="AXI1371" s="110"/>
      <c r="AXJ1371" s="110"/>
      <c r="AXK1371" s="110"/>
      <c r="AXL1371" s="110"/>
      <c r="AXM1371" s="110"/>
      <c r="AXN1371" s="110"/>
      <c r="AXO1371" s="110"/>
      <c r="AXP1371" s="110"/>
      <c r="AXQ1371" s="110"/>
      <c r="AXR1371" s="110"/>
      <c r="AXS1371" s="110"/>
      <c r="AXT1371" s="110"/>
      <c r="AXU1371" s="110"/>
      <c r="AXV1371" s="110"/>
      <c r="AXW1371" s="110"/>
      <c r="AXX1371" s="110"/>
      <c r="AXY1371" s="110"/>
      <c r="AXZ1371" s="110"/>
      <c r="AYA1371" s="110"/>
      <c r="AYB1371" s="110"/>
      <c r="AYC1371" s="110"/>
      <c r="AYD1371" s="110"/>
      <c r="AYE1371" s="110"/>
      <c r="AYF1371" s="110"/>
      <c r="AYG1371" s="110"/>
      <c r="AYH1371" s="110"/>
      <c r="AYI1371" s="110"/>
      <c r="AYJ1371" s="110"/>
      <c r="AYK1371" s="110"/>
      <c r="AYL1371" s="110"/>
      <c r="AYM1371" s="110"/>
      <c r="AYN1371" s="110"/>
      <c r="AYO1371" s="110"/>
      <c r="AYP1371" s="110"/>
      <c r="AYQ1371" s="110"/>
      <c r="AYR1371" s="110"/>
      <c r="AYS1371" s="110"/>
      <c r="AYT1371" s="110"/>
      <c r="AYU1371" s="110"/>
      <c r="AYV1371" s="110"/>
      <c r="AYW1371" s="110"/>
      <c r="AYX1371" s="110"/>
      <c r="AYY1371" s="110"/>
      <c r="AYZ1371" s="110"/>
      <c r="AZA1371" s="110"/>
      <c r="AZB1371" s="110"/>
      <c r="AZC1371" s="110"/>
      <c r="AZD1371" s="110"/>
      <c r="AZE1371" s="110"/>
      <c r="AZF1371" s="110"/>
      <c r="AZG1371" s="110"/>
      <c r="AZH1371" s="110"/>
      <c r="AZI1371" s="110"/>
      <c r="AZJ1371" s="110"/>
      <c r="AZK1371" s="110"/>
      <c r="AZL1371" s="110"/>
      <c r="AZM1371" s="110"/>
      <c r="AZN1371" s="110"/>
      <c r="AZO1371" s="110"/>
      <c r="AZP1371" s="110"/>
      <c r="AZQ1371" s="110"/>
      <c r="AZR1371" s="110"/>
      <c r="AZS1371" s="110"/>
      <c r="AZT1371" s="110"/>
      <c r="AZU1371" s="110"/>
      <c r="AZV1371" s="110"/>
      <c r="AZW1371" s="110"/>
      <c r="AZX1371" s="110"/>
      <c r="AZY1371" s="110"/>
      <c r="AZZ1371" s="110"/>
      <c r="BAA1371" s="110"/>
      <c r="BAB1371" s="110"/>
      <c r="BAC1371" s="110"/>
      <c r="BAD1371" s="110"/>
      <c r="BAE1371" s="110"/>
      <c r="BAF1371" s="110"/>
      <c r="BAG1371" s="110"/>
      <c r="BAH1371" s="110"/>
      <c r="BAI1371" s="110"/>
      <c r="BAJ1371" s="110"/>
      <c r="BAK1371" s="110"/>
      <c r="BAL1371" s="110"/>
      <c r="BAM1371" s="110"/>
      <c r="BAN1371" s="110"/>
      <c r="BAO1371" s="110"/>
      <c r="BAP1371" s="110"/>
      <c r="BAQ1371" s="110"/>
      <c r="BAR1371" s="110"/>
      <c r="BAS1371" s="110"/>
      <c r="BAT1371" s="110"/>
      <c r="BAU1371" s="110"/>
      <c r="BAV1371" s="110"/>
      <c r="BAW1371" s="110"/>
      <c r="BAX1371" s="110"/>
      <c r="BAY1371" s="110"/>
      <c r="BAZ1371" s="110"/>
      <c r="BBA1371" s="110"/>
      <c r="BBB1371" s="110"/>
      <c r="BBC1371" s="110"/>
      <c r="BBD1371" s="110"/>
      <c r="BBE1371" s="110"/>
      <c r="BBF1371" s="110"/>
      <c r="BBG1371" s="110"/>
      <c r="BBH1371" s="110"/>
      <c r="BBI1371" s="110"/>
      <c r="BBJ1371" s="110"/>
      <c r="BBK1371" s="110"/>
      <c r="BBL1371" s="110"/>
      <c r="BBM1371" s="110"/>
      <c r="BBN1371" s="110"/>
      <c r="BBO1371" s="110"/>
      <c r="BBP1371" s="110"/>
      <c r="BBQ1371" s="110"/>
      <c r="BBR1371" s="110"/>
      <c r="BBS1371" s="110"/>
      <c r="BBT1371" s="110"/>
      <c r="BBU1371" s="110"/>
      <c r="BBV1371" s="110"/>
      <c r="BBW1371" s="110"/>
      <c r="BBX1371" s="110"/>
      <c r="BBY1371" s="110"/>
      <c r="BBZ1371" s="110"/>
      <c r="BCA1371" s="110"/>
      <c r="BCB1371" s="110"/>
      <c r="BCC1371" s="110"/>
      <c r="BCD1371" s="110"/>
      <c r="BCE1371" s="110"/>
      <c r="BCF1371" s="110"/>
      <c r="BCG1371" s="110"/>
      <c r="BCH1371" s="110"/>
      <c r="BCI1371" s="110"/>
      <c r="BCJ1371" s="110"/>
      <c r="BCK1371" s="110"/>
      <c r="BCL1371" s="110"/>
      <c r="BCM1371" s="110"/>
      <c r="BCN1371" s="110"/>
      <c r="BCO1371" s="110"/>
      <c r="BCP1371" s="110"/>
      <c r="BCQ1371" s="110"/>
      <c r="BCR1371" s="110"/>
      <c r="BCS1371" s="110"/>
      <c r="BCT1371" s="110"/>
      <c r="BCU1371" s="110"/>
      <c r="BCV1371" s="110"/>
      <c r="BCW1371" s="110"/>
      <c r="BCX1371" s="110"/>
      <c r="BCY1371" s="110"/>
      <c r="BCZ1371" s="110"/>
      <c r="BDA1371" s="110"/>
      <c r="BDB1371" s="110"/>
      <c r="BDC1371" s="110"/>
      <c r="BDD1371" s="110"/>
      <c r="BDE1371" s="110"/>
      <c r="BDF1371" s="110"/>
      <c r="BDG1371" s="110"/>
      <c r="BDH1371" s="110"/>
      <c r="BDI1371" s="110"/>
      <c r="BDJ1371" s="110"/>
      <c r="BDK1371" s="110"/>
      <c r="BDL1371" s="110"/>
      <c r="BDM1371" s="110"/>
      <c r="BDN1371" s="110"/>
      <c r="BDO1371" s="110"/>
      <c r="BDP1371" s="110"/>
      <c r="BDQ1371" s="110"/>
      <c r="BDR1371" s="110"/>
      <c r="BDS1371" s="110"/>
      <c r="BDT1371" s="110"/>
      <c r="BDU1371" s="110"/>
      <c r="BDV1371" s="110"/>
      <c r="BDW1371" s="110"/>
      <c r="BDX1371" s="110"/>
      <c r="BDY1371" s="110"/>
      <c r="BDZ1371" s="110"/>
      <c r="BEA1371" s="110"/>
      <c r="BEB1371" s="110"/>
      <c r="BEC1371" s="110"/>
      <c r="BED1371" s="110"/>
      <c r="BEE1371" s="110"/>
      <c r="BEF1371" s="110"/>
      <c r="BEG1371" s="110"/>
      <c r="BEH1371" s="110"/>
      <c r="BEI1371" s="110"/>
      <c r="BEJ1371" s="110"/>
      <c r="BEK1371" s="110"/>
      <c r="BEL1371" s="110"/>
      <c r="BEM1371" s="110"/>
      <c r="BEN1371" s="110"/>
      <c r="BEO1371" s="110"/>
      <c r="BEP1371" s="110"/>
      <c r="BEQ1371" s="110"/>
      <c r="BER1371" s="110"/>
      <c r="BES1371" s="110"/>
      <c r="BET1371" s="110"/>
      <c r="BEU1371" s="110"/>
      <c r="BEV1371" s="110"/>
      <c r="BEW1371" s="110"/>
      <c r="BEX1371" s="110"/>
      <c r="BEY1371" s="110"/>
      <c r="BEZ1371" s="110"/>
      <c r="BFA1371" s="110"/>
      <c r="BFB1371" s="110"/>
      <c r="BFC1371" s="110"/>
      <c r="BFD1371" s="110"/>
      <c r="BFE1371" s="110"/>
      <c r="BFF1371" s="110"/>
      <c r="BFG1371" s="110"/>
      <c r="BFH1371" s="110"/>
      <c r="BFI1371" s="110"/>
      <c r="BFJ1371" s="110"/>
      <c r="BFK1371" s="110"/>
      <c r="BFL1371" s="110"/>
      <c r="BFM1371" s="110"/>
      <c r="BFN1371" s="110"/>
      <c r="BFO1371" s="110"/>
      <c r="BFP1371" s="110"/>
      <c r="BFQ1371" s="110"/>
      <c r="BFR1371" s="110"/>
      <c r="BFS1371" s="110"/>
      <c r="BFT1371" s="110"/>
      <c r="BFU1371" s="110"/>
      <c r="BFV1371" s="110"/>
      <c r="BFW1371" s="110"/>
      <c r="BFX1371" s="110"/>
      <c r="BFY1371" s="110"/>
      <c r="BFZ1371" s="110"/>
      <c r="BGA1371" s="110"/>
      <c r="BGB1371" s="110"/>
      <c r="BGC1371" s="110"/>
      <c r="BGD1371" s="110"/>
      <c r="BGE1371" s="110"/>
      <c r="BGF1371" s="110"/>
      <c r="BGG1371" s="110"/>
      <c r="BGH1371" s="110"/>
      <c r="BGI1371" s="110"/>
      <c r="BGJ1371" s="110"/>
      <c r="BGK1371" s="110"/>
      <c r="BGL1371" s="110"/>
      <c r="BGM1371" s="110"/>
      <c r="BGN1371" s="110"/>
      <c r="BGO1371" s="110"/>
      <c r="BGP1371" s="110"/>
      <c r="BGQ1371" s="110"/>
      <c r="BGR1371" s="110"/>
      <c r="BGS1371" s="110"/>
      <c r="BGT1371" s="110"/>
      <c r="BGU1371" s="110"/>
      <c r="BGV1371" s="110"/>
      <c r="BGW1371" s="110"/>
      <c r="BGX1371" s="110"/>
      <c r="BGY1371" s="110"/>
      <c r="BGZ1371" s="110"/>
      <c r="BHA1371" s="110"/>
      <c r="BHB1371" s="110"/>
      <c r="BHC1371" s="110"/>
      <c r="BHD1371" s="110"/>
      <c r="BHE1371" s="110"/>
      <c r="BHF1371" s="110"/>
      <c r="BHG1371" s="110"/>
      <c r="BHH1371" s="110"/>
      <c r="BHI1371" s="110"/>
      <c r="BHJ1371" s="110"/>
      <c r="BHK1371" s="110"/>
      <c r="BHL1371" s="110"/>
      <c r="BHM1371" s="110"/>
      <c r="BHN1371" s="110"/>
      <c r="BHO1371" s="110"/>
      <c r="BHP1371" s="110"/>
      <c r="BHQ1371" s="110"/>
      <c r="BHR1371" s="110"/>
      <c r="BHS1371" s="110"/>
      <c r="BHT1371" s="110"/>
      <c r="BHU1371" s="110"/>
      <c r="BHV1371" s="110"/>
      <c r="BHW1371" s="110"/>
      <c r="BHX1371" s="110"/>
      <c r="BHY1371" s="110"/>
      <c r="BHZ1371" s="110"/>
      <c r="BIA1371" s="110"/>
      <c r="BIB1371" s="110"/>
      <c r="BIC1371" s="110"/>
      <c r="BID1371" s="110"/>
      <c r="BIE1371" s="110"/>
      <c r="BIF1371" s="110"/>
      <c r="BIG1371" s="110"/>
      <c r="BIH1371" s="110"/>
      <c r="BII1371" s="110"/>
      <c r="BIJ1371" s="110"/>
      <c r="BIK1371" s="110"/>
      <c r="BIL1371" s="110"/>
      <c r="BIM1371" s="110"/>
      <c r="BIN1371" s="110"/>
      <c r="BIO1371" s="110"/>
      <c r="BIP1371" s="110"/>
      <c r="BIQ1371" s="110"/>
      <c r="BIR1371" s="110"/>
      <c r="BIS1371" s="110"/>
      <c r="BIT1371" s="110"/>
      <c r="BIU1371" s="110"/>
      <c r="BIV1371" s="110"/>
      <c r="BIW1371" s="110"/>
      <c r="BIX1371" s="110"/>
      <c r="BIY1371" s="110"/>
      <c r="BIZ1371" s="110"/>
      <c r="BJA1371" s="110"/>
      <c r="BJB1371" s="110"/>
      <c r="BJC1371" s="110"/>
      <c r="BJD1371" s="110"/>
      <c r="BJE1371" s="110"/>
      <c r="BJF1371" s="110"/>
      <c r="BJG1371" s="110"/>
      <c r="BJH1371" s="110"/>
      <c r="BJI1371" s="110"/>
      <c r="BJJ1371" s="110"/>
      <c r="BJK1371" s="110"/>
      <c r="BJL1371" s="110"/>
      <c r="BJM1371" s="110"/>
      <c r="BJN1371" s="110"/>
      <c r="BJO1371" s="110"/>
      <c r="BJP1371" s="110"/>
      <c r="BJQ1371" s="110"/>
      <c r="BJR1371" s="110"/>
      <c r="BJS1371" s="110"/>
      <c r="BJT1371" s="110"/>
      <c r="BJU1371" s="110"/>
      <c r="BJV1371" s="110"/>
      <c r="BJW1371" s="110"/>
      <c r="BJX1371" s="110"/>
      <c r="BJY1371" s="110"/>
      <c r="BJZ1371" s="110"/>
      <c r="BKA1371" s="110"/>
      <c r="BKB1371" s="110"/>
      <c r="BKC1371" s="110"/>
      <c r="BKD1371" s="110"/>
      <c r="BKE1371" s="110"/>
      <c r="BKF1371" s="110"/>
      <c r="BKG1371" s="110"/>
      <c r="BKH1371" s="110"/>
      <c r="BKI1371" s="110"/>
      <c r="BKJ1371" s="110"/>
      <c r="BKK1371" s="110"/>
      <c r="BKL1371" s="110"/>
      <c r="BKM1371" s="110"/>
      <c r="BKN1371" s="110"/>
      <c r="BKO1371" s="110"/>
      <c r="BKP1371" s="110"/>
      <c r="BKQ1371" s="110"/>
      <c r="BKR1371" s="110"/>
      <c r="BKS1371" s="110"/>
      <c r="BKT1371" s="110"/>
      <c r="BKU1371" s="110"/>
      <c r="BKV1371" s="110"/>
      <c r="BKW1371" s="110"/>
      <c r="BKX1371" s="110"/>
      <c r="BKY1371" s="110"/>
      <c r="BKZ1371" s="110"/>
      <c r="BLA1371" s="110"/>
      <c r="BLB1371" s="110"/>
      <c r="BLC1371" s="110"/>
      <c r="BLD1371" s="110"/>
      <c r="BLE1371" s="110"/>
      <c r="BLF1371" s="110"/>
      <c r="BLG1371" s="110"/>
      <c r="BLH1371" s="110"/>
      <c r="BLI1371" s="110"/>
      <c r="BLJ1371" s="110"/>
      <c r="BLK1371" s="110"/>
      <c r="BLL1371" s="110"/>
      <c r="BLM1371" s="110"/>
      <c r="BLN1371" s="110"/>
      <c r="BLO1371" s="110"/>
      <c r="BLP1371" s="110"/>
      <c r="BLQ1371" s="110"/>
      <c r="BLR1371" s="110"/>
      <c r="BLS1371" s="110"/>
      <c r="BLT1371" s="110"/>
      <c r="BLU1371" s="110"/>
      <c r="BLV1371" s="110"/>
      <c r="BLW1371" s="110"/>
      <c r="BLX1371" s="110"/>
      <c r="BLY1371" s="110"/>
      <c r="BLZ1371" s="110"/>
      <c r="BMA1371" s="110"/>
      <c r="BMB1371" s="110"/>
      <c r="BMC1371" s="110"/>
      <c r="BMD1371" s="110"/>
      <c r="BME1371" s="110"/>
      <c r="BMF1371" s="110"/>
      <c r="BMG1371" s="110"/>
      <c r="BMH1371" s="110"/>
      <c r="BMI1371" s="110"/>
      <c r="BMJ1371" s="110"/>
      <c r="BMK1371" s="110"/>
      <c r="BML1371" s="110"/>
      <c r="BMM1371" s="110"/>
      <c r="BMN1371" s="110"/>
      <c r="BMO1371" s="110"/>
      <c r="BMP1371" s="110"/>
      <c r="BMQ1371" s="110"/>
      <c r="BMR1371" s="110"/>
      <c r="BMS1371" s="110"/>
      <c r="BMT1371" s="110"/>
      <c r="BMU1371" s="110"/>
      <c r="BMV1371" s="110"/>
      <c r="BMW1371" s="110"/>
      <c r="BMX1371" s="110"/>
      <c r="BMY1371" s="110"/>
      <c r="BMZ1371" s="110"/>
      <c r="BNA1371" s="110"/>
      <c r="BNB1371" s="110"/>
      <c r="BNC1371" s="110"/>
      <c r="BND1371" s="110"/>
      <c r="BNE1371" s="110"/>
      <c r="BNF1371" s="110"/>
      <c r="BNG1371" s="110"/>
      <c r="BNH1371" s="110"/>
      <c r="BNI1371" s="110"/>
      <c r="BNJ1371" s="110"/>
      <c r="BNK1371" s="110"/>
      <c r="BNL1371" s="110"/>
      <c r="BNM1371" s="110"/>
      <c r="BNN1371" s="110"/>
      <c r="BNO1371" s="110"/>
      <c r="BNP1371" s="110"/>
      <c r="BNQ1371" s="110"/>
      <c r="BNR1371" s="110"/>
      <c r="BNS1371" s="110"/>
      <c r="BNT1371" s="110"/>
      <c r="BNU1371" s="110"/>
      <c r="BNV1371" s="110"/>
      <c r="BNW1371" s="110"/>
      <c r="BNX1371" s="110"/>
      <c r="BNY1371" s="110"/>
      <c r="BNZ1371" s="110"/>
      <c r="BOA1371" s="110"/>
      <c r="BOB1371" s="110"/>
      <c r="BOC1371" s="110"/>
      <c r="BOD1371" s="110"/>
      <c r="BOE1371" s="110"/>
      <c r="BOF1371" s="110"/>
      <c r="BOG1371" s="110"/>
      <c r="BOH1371" s="110"/>
      <c r="BOI1371" s="110"/>
      <c r="BOJ1371" s="110"/>
      <c r="BOK1371" s="110"/>
      <c r="BOL1371" s="110"/>
      <c r="BOM1371" s="110"/>
      <c r="BON1371" s="110"/>
      <c r="BOO1371" s="110"/>
      <c r="BOP1371" s="110"/>
      <c r="BOQ1371" s="110"/>
      <c r="BOR1371" s="110"/>
      <c r="BOS1371" s="110"/>
      <c r="BOT1371" s="110"/>
      <c r="BOU1371" s="110"/>
      <c r="BOV1371" s="110"/>
      <c r="BOW1371" s="110"/>
      <c r="BOX1371" s="110"/>
      <c r="BOY1371" s="110"/>
      <c r="BOZ1371" s="110"/>
      <c r="BPA1371" s="110"/>
      <c r="BPB1371" s="110"/>
      <c r="BPC1371" s="110"/>
      <c r="BPD1371" s="110"/>
      <c r="BPE1371" s="110"/>
      <c r="BPF1371" s="110"/>
      <c r="BPG1371" s="110"/>
      <c r="BPH1371" s="110"/>
      <c r="BPI1371" s="110"/>
      <c r="BPJ1371" s="110"/>
      <c r="BPK1371" s="110"/>
      <c r="BPL1371" s="110"/>
      <c r="BPM1371" s="110"/>
      <c r="BPN1371" s="110"/>
      <c r="BPO1371" s="110"/>
      <c r="BPP1371" s="110"/>
      <c r="BPQ1371" s="110"/>
      <c r="BPR1371" s="110"/>
      <c r="BPS1371" s="110"/>
      <c r="BPT1371" s="110"/>
      <c r="BPU1371" s="110"/>
      <c r="BPV1371" s="110"/>
      <c r="BPW1371" s="110"/>
      <c r="BPX1371" s="110"/>
      <c r="BPY1371" s="110"/>
      <c r="BPZ1371" s="110"/>
      <c r="BQA1371" s="110"/>
      <c r="BQB1371" s="110"/>
      <c r="BQC1371" s="110"/>
      <c r="BQD1371" s="110"/>
      <c r="BQE1371" s="110"/>
      <c r="BQF1371" s="110"/>
      <c r="BQG1371" s="110"/>
      <c r="BQH1371" s="110"/>
      <c r="BQI1371" s="110"/>
      <c r="BQJ1371" s="110"/>
      <c r="BQK1371" s="110"/>
      <c r="BQL1371" s="110"/>
      <c r="BQM1371" s="110"/>
      <c r="BQN1371" s="110"/>
      <c r="BQO1371" s="110"/>
      <c r="BQP1371" s="110"/>
      <c r="BQQ1371" s="110"/>
      <c r="BQR1371" s="110"/>
      <c r="BQS1371" s="110"/>
      <c r="BQT1371" s="110"/>
      <c r="BQU1371" s="110"/>
      <c r="BQV1371" s="110"/>
      <c r="BQW1371" s="110"/>
      <c r="BQX1371" s="110"/>
      <c r="BQY1371" s="110"/>
      <c r="BQZ1371" s="110"/>
      <c r="BRA1371" s="110"/>
      <c r="BRB1371" s="110"/>
      <c r="BRC1371" s="110"/>
      <c r="BRD1371" s="110"/>
      <c r="BRE1371" s="110"/>
      <c r="BRF1371" s="110"/>
      <c r="BRG1371" s="110"/>
      <c r="BRH1371" s="110"/>
      <c r="BRI1371" s="110"/>
      <c r="BRJ1371" s="110"/>
      <c r="BRK1371" s="110"/>
      <c r="BRL1371" s="110"/>
      <c r="BRM1371" s="110"/>
      <c r="BRN1371" s="110"/>
      <c r="BRO1371" s="110"/>
      <c r="BRP1371" s="110"/>
      <c r="BRQ1371" s="110"/>
      <c r="BRR1371" s="110"/>
      <c r="BRS1371" s="110"/>
      <c r="BRT1371" s="110"/>
      <c r="BRU1371" s="110"/>
      <c r="BRV1371" s="110"/>
      <c r="BRW1371" s="110"/>
      <c r="BRX1371" s="110"/>
      <c r="BRY1371" s="110"/>
      <c r="BRZ1371" s="110"/>
      <c r="BSA1371" s="110"/>
      <c r="BSB1371" s="110"/>
      <c r="BSC1371" s="110"/>
      <c r="BSD1371" s="110"/>
      <c r="BSE1371" s="110"/>
      <c r="BSF1371" s="110"/>
      <c r="BSG1371" s="110"/>
      <c r="BSH1371" s="110"/>
      <c r="BSI1371" s="110"/>
      <c r="BSJ1371" s="110"/>
      <c r="BSK1371" s="110"/>
      <c r="BSL1371" s="110"/>
      <c r="BSM1371" s="110"/>
      <c r="BSN1371" s="110"/>
      <c r="BSO1371" s="110"/>
      <c r="BSP1371" s="110"/>
      <c r="BSQ1371" s="110"/>
      <c r="BSR1371" s="110"/>
      <c r="BSS1371" s="110"/>
      <c r="BST1371" s="110"/>
      <c r="BSU1371" s="110"/>
      <c r="BSV1371" s="110"/>
      <c r="BSW1371" s="110"/>
      <c r="BSX1371" s="110"/>
      <c r="BSY1371" s="110"/>
      <c r="BSZ1371" s="110"/>
      <c r="BTA1371" s="110"/>
      <c r="BTB1371" s="110"/>
      <c r="BTC1371" s="110"/>
      <c r="BTD1371" s="110"/>
      <c r="BTE1371" s="110"/>
      <c r="BTF1371" s="110"/>
      <c r="BTG1371" s="110"/>
      <c r="BTH1371" s="110"/>
      <c r="BTI1371" s="110"/>
      <c r="BTJ1371" s="110"/>
      <c r="BTK1371" s="110"/>
      <c r="BTL1371" s="110"/>
      <c r="BTM1371" s="110"/>
      <c r="BTN1371" s="110"/>
      <c r="BTO1371" s="110"/>
      <c r="BTP1371" s="110"/>
      <c r="BTQ1371" s="110"/>
      <c r="BTR1371" s="110"/>
      <c r="BTS1371" s="110"/>
      <c r="BTT1371" s="110"/>
      <c r="BTU1371" s="110"/>
      <c r="BTV1371" s="110"/>
      <c r="BTW1371" s="110"/>
      <c r="BTX1371" s="110"/>
      <c r="BTY1371" s="110"/>
      <c r="BTZ1371" s="110"/>
      <c r="BUA1371" s="110"/>
      <c r="BUB1371" s="110"/>
      <c r="BUC1371" s="110"/>
      <c r="BUD1371" s="110"/>
      <c r="BUE1371" s="110"/>
      <c r="BUF1371" s="110"/>
      <c r="BUG1371" s="110"/>
      <c r="BUH1371" s="110"/>
      <c r="BUI1371" s="110"/>
      <c r="BUJ1371" s="110"/>
      <c r="BUK1371" s="110"/>
      <c r="BUL1371" s="110"/>
      <c r="BUM1371" s="110"/>
      <c r="BUN1371" s="110"/>
      <c r="BUO1371" s="110"/>
      <c r="BUP1371" s="110"/>
      <c r="BUQ1371" s="110"/>
      <c r="BUR1371" s="110"/>
      <c r="BUS1371" s="110"/>
      <c r="BUT1371" s="110"/>
      <c r="BUU1371" s="110"/>
      <c r="BUV1371" s="110"/>
      <c r="BUW1371" s="110"/>
      <c r="BUX1371" s="110"/>
      <c r="BUY1371" s="110"/>
      <c r="BUZ1371" s="110"/>
      <c r="BVA1371" s="110"/>
      <c r="BVB1371" s="110"/>
      <c r="BVC1371" s="110"/>
      <c r="BVD1371" s="110"/>
      <c r="BVE1371" s="110"/>
      <c r="BVF1371" s="110"/>
      <c r="BVG1371" s="110"/>
      <c r="BVH1371" s="110"/>
      <c r="BVI1371" s="110"/>
      <c r="BVJ1371" s="110"/>
      <c r="BVK1371" s="110"/>
      <c r="BVL1371" s="110"/>
      <c r="BVM1371" s="110"/>
      <c r="BVN1371" s="110"/>
      <c r="BVO1371" s="110"/>
      <c r="BVP1371" s="110"/>
      <c r="BVQ1371" s="110"/>
      <c r="BVR1371" s="110"/>
      <c r="BVS1371" s="110"/>
      <c r="BVT1371" s="110"/>
      <c r="BVU1371" s="110"/>
      <c r="BVV1371" s="110"/>
      <c r="BVW1371" s="110"/>
      <c r="BVX1371" s="110"/>
      <c r="BVY1371" s="110"/>
      <c r="BVZ1371" s="110"/>
      <c r="BWA1371" s="110"/>
      <c r="BWB1371" s="110"/>
      <c r="BWC1371" s="110"/>
      <c r="BWD1371" s="110"/>
      <c r="BWE1371" s="110"/>
      <c r="BWF1371" s="110"/>
      <c r="BWG1371" s="110"/>
      <c r="BWH1371" s="110"/>
      <c r="BWI1371" s="110"/>
      <c r="BWJ1371" s="110"/>
      <c r="BWK1371" s="110"/>
      <c r="BWL1371" s="110"/>
      <c r="BWM1371" s="110"/>
      <c r="BWN1371" s="110"/>
      <c r="BWO1371" s="110"/>
      <c r="BWP1371" s="110"/>
      <c r="BWQ1371" s="110"/>
      <c r="BWR1371" s="110"/>
      <c r="BWS1371" s="110"/>
      <c r="BWT1371" s="110"/>
      <c r="BWU1371" s="110"/>
      <c r="BWV1371" s="110"/>
      <c r="BWW1371" s="110"/>
      <c r="BWX1371" s="110"/>
      <c r="BWY1371" s="110"/>
      <c r="BWZ1371" s="110"/>
      <c r="BXA1371" s="110"/>
      <c r="BXB1371" s="110"/>
      <c r="BXC1371" s="110"/>
      <c r="BXD1371" s="110"/>
      <c r="BXE1371" s="110"/>
      <c r="BXF1371" s="110"/>
      <c r="BXG1371" s="110"/>
      <c r="BXH1371" s="110"/>
      <c r="BXI1371" s="110"/>
      <c r="BXJ1371" s="110"/>
      <c r="BXK1371" s="110"/>
      <c r="BXL1371" s="110"/>
      <c r="BXM1371" s="110"/>
      <c r="BXN1371" s="110"/>
      <c r="BXO1371" s="110"/>
      <c r="BXP1371" s="110"/>
      <c r="BXQ1371" s="110"/>
      <c r="BXR1371" s="110"/>
      <c r="BXS1371" s="110"/>
      <c r="BXT1371" s="110"/>
      <c r="BXU1371" s="110"/>
      <c r="BXV1371" s="110"/>
      <c r="BXW1371" s="110"/>
      <c r="BXX1371" s="110"/>
      <c r="BXY1371" s="110"/>
      <c r="BXZ1371" s="110"/>
      <c r="BYA1371" s="110"/>
      <c r="BYB1371" s="110"/>
      <c r="BYC1371" s="110"/>
      <c r="BYD1371" s="110"/>
      <c r="BYE1371" s="110"/>
      <c r="BYF1371" s="110"/>
      <c r="BYG1371" s="110"/>
      <c r="BYH1371" s="110"/>
      <c r="BYI1371" s="110"/>
      <c r="BYJ1371" s="110"/>
      <c r="BYK1371" s="110"/>
      <c r="BYL1371" s="110"/>
      <c r="BYM1371" s="110"/>
      <c r="BYN1371" s="110"/>
      <c r="BYO1371" s="110"/>
      <c r="BYP1371" s="110"/>
      <c r="BYQ1371" s="110"/>
      <c r="BYR1371" s="110"/>
      <c r="BYS1371" s="110"/>
      <c r="BYT1371" s="110"/>
      <c r="BYU1371" s="110"/>
      <c r="BYV1371" s="110"/>
      <c r="BYW1371" s="110"/>
      <c r="BYX1371" s="110"/>
      <c r="BYY1371" s="110"/>
      <c r="BYZ1371" s="110"/>
      <c r="BZA1371" s="110"/>
      <c r="BZB1371" s="110"/>
      <c r="BZC1371" s="110"/>
      <c r="BZD1371" s="110"/>
      <c r="BZE1371" s="110"/>
      <c r="BZF1371" s="110"/>
      <c r="BZG1371" s="110"/>
      <c r="BZH1371" s="110"/>
      <c r="BZI1371" s="110"/>
      <c r="BZJ1371" s="110"/>
      <c r="BZK1371" s="110"/>
      <c r="BZL1371" s="110"/>
      <c r="BZM1371" s="110"/>
      <c r="BZN1371" s="110"/>
      <c r="BZO1371" s="110"/>
      <c r="BZP1371" s="110"/>
      <c r="BZQ1371" s="110"/>
      <c r="BZR1371" s="110"/>
      <c r="BZS1371" s="110"/>
      <c r="BZT1371" s="110"/>
      <c r="BZU1371" s="110"/>
      <c r="BZV1371" s="110"/>
      <c r="BZW1371" s="110"/>
      <c r="BZX1371" s="110"/>
      <c r="BZY1371" s="110"/>
      <c r="BZZ1371" s="110"/>
      <c r="CAA1371" s="110"/>
      <c r="CAB1371" s="110"/>
      <c r="CAC1371" s="110"/>
      <c r="CAD1371" s="110"/>
      <c r="CAE1371" s="110"/>
      <c r="CAF1371" s="110"/>
      <c r="CAG1371" s="110"/>
      <c r="CAH1371" s="110"/>
      <c r="CAI1371" s="110"/>
      <c r="CAJ1371" s="110"/>
      <c r="CAK1371" s="110"/>
      <c r="CAL1371" s="110"/>
      <c r="CAM1371" s="110"/>
      <c r="CAN1371" s="110"/>
      <c r="CAO1371" s="110"/>
      <c r="CAP1371" s="110"/>
      <c r="CAQ1371" s="110"/>
      <c r="CAR1371" s="110"/>
      <c r="CAS1371" s="110"/>
      <c r="CAT1371" s="110"/>
      <c r="CAU1371" s="110"/>
      <c r="CAV1371" s="110"/>
      <c r="CAW1371" s="110"/>
      <c r="CAX1371" s="110"/>
      <c r="CAY1371" s="110"/>
      <c r="CAZ1371" s="110"/>
      <c r="CBA1371" s="110"/>
      <c r="CBB1371" s="110"/>
      <c r="CBC1371" s="110"/>
      <c r="CBD1371" s="110"/>
      <c r="CBE1371" s="110"/>
      <c r="CBF1371" s="110"/>
      <c r="CBG1371" s="110"/>
      <c r="CBH1371" s="110"/>
      <c r="CBI1371" s="110"/>
      <c r="CBJ1371" s="110"/>
      <c r="CBK1371" s="110"/>
      <c r="CBL1371" s="110"/>
      <c r="CBM1371" s="110"/>
      <c r="CBN1371" s="110"/>
      <c r="CBO1371" s="110"/>
      <c r="CBP1371" s="110"/>
      <c r="CBQ1371" s="110"/>
      <c r="CBR1371" s="110"/>
      <c r="CBS1371" s="110"/>
      <c r="CBT1371" s="110"/>
      <c r="CBU1371" s="110"/>
      <c r="CBV1371" s="110"/>
      <c r="CBW1371" s="110"/>
      <c r="CBX1371" s="110"/>
      <c r="CBY1371" s="110"/>
      <c r="CBZ1371" s="110"/>
      <c r="CCA1371" s="110"/>
      <c r="CCB1371" s="110"/>
      <c r="CCC1371" s="110"/>
      <c r="CCD1371" s="110"/>
      <c r="CCE1371" s="110"/>
      <c r="CCF1371" s="110"/>
      <c r="CCG1371" s="110"/>
      <c r="CCH1371" s="110"/>
      <c r="CCI1371" s="110"/>
      <c r="CCJ1371" s="110"/>
      <c r="CCK1371" s="110"/>
      <c r="CCL1371" s="110"/>
      <c r="CCM1371" s="110"/>
      <c r="CCN1371" s="110"/>
      <c r="CCO1371" s="110"/>
      <c r="CCP1371" s="110"/>
      <c r="CCQ1371" s="110"/>
      <c r="CCR1371" s="110"/>
      <c r="CCS1371" s="110"/>
      <c r="CCT1371" s="110"/>
      <c r="CCU1371" s="110"/>
      <c r="CCV1371" s="110"/>
      <c r="CCW1371" s="110"/>
      <c r="CCX1371" s="110"/>
      <c r="CCY1371" s="110"/>
      <c r="CCZ1371" s="110"/>
      <c r="CDA1371" s="110"/>
      <c r="CDB1371" s="110"/>
      <c r="CDC1371" s="110"/>
      <c r="CDD1371" s="110"/>
      <c r="CDE1371" s="110"/>
      <c r="CDF1371" s="110"/>
      <c r="CDG1371" s="110"/>
      <c r="CDH1371" s="110"/>
      <c r="CDI1371" s="110"/>
      <c r="CDJ1371" s="110"/>
      <c r="CDK1371" s="110"/>
      <c r="CDL1371" s="110"/>
      <c r="CDM1371" s="110"/>
      <c r="CDN1371" s="110"/>
      <c r="CDO1371" s="110"/>
      <c r="CDP1371" s="110"/>
      <c r="CDQ1371" s="110"/>
      <c r="CDR1371" s="110"/>
      <c r="CDS1371" s="110"/>
      <c r="CDT1371" s="110"/>
      <c r="CDU1371" s="110"/>
      <c r="CDV1371" s="110"/>
      <c r="CDW1371" s="110"/>
      <c r="CDX1371" s="110"/>
      <c r="CDY1371" s="110"/>
      <c r="CDZ1371" s="110"/>
      <c r="CEA1371" s="110"/>
      <c r="CEB1371" s="110"/>
      <c r="CEC1371" s="110"/>
      <c r="CED1371" s="110"/>
      <c r="CEE1371" s="110"/>
      <c r="CEF1371" s="110"/>
      <c r="CEG1371" s="110"/>
      <c r="CEH1371" s="110"/>
      <c r="CEI1371" s="110"/>
      <c r="CEJ1371" s="110"/>
      <c r="CEK1371" s="110"/>
      <c r="CEL1371" s="110"/>
      <c r="CEM1371" s="110"/>
      <c r="CEN1371" s="110"/>
      <c r="CEO1371" s="110"/>
      <c r="CEP1371" s="110"/>
      <c r="CEQ1371" s="110"/>
      <c r="CER1371" s="110"/>
      <c r="CES1371" s="110"/>
      <c r="CET1371" s="110"/>
      <c r="CEU1371" s="110"/>
      <c r="CEV1371" s="110"/>
      <c r="CEW1371" s="110"/>
      <c r="CEX1371" s="110"/>
      <c r="CEY1371" s="110"/>
      <c r="CEZ1371" s="110"/>
      <c r="CFA1371" s="110"/>
      <c r="CFB1371" s="110"/>
      <c r="CFC1371" s="110"/>
      <c r="CFD1371" s="110"/>
      <c r="CFE1371" s="110"/>
      <c r="CFF1371" s="110"/>
      <c r="CFG1371" s="110"/>
      <c r="CFH1371" s="110"/>
      <c r="CFI1371" s="110"/>
      <c r="CFJ1371" s="110"/>
      <c r="CFK1371" s="110"/>
      <c r="CFL1371" s="110"/>
      <c r="CFM1371" s="110"/>
      <c r="CFN1371" s="110"/>
      <c r="CFO1371" s="110"/>
      <c r="CFP1371" s="110"/>
      <c r="CFQ1371" s="110"/>
      <c r="CFR1371" s="110"/>
      <c r="CFS1371" s="110"/>
      <c r="CFT1371" s="110"/>
      <c r="CFU1371" s="110"/>
      <c r="CFV1371" s="110"/>
      <c r="CFW1371" s="110"/>
      <c r="CFX1371" s="110"/>
      <c r="CFY1371" s="110"/>
      <c r="CFZ1371" s="110"/>
      <c r="CGA1371" s="110"/>
      <c r="CGB1371" s="110"/>
      <c r="CGC1371" s="110"/>
      <c r="CGD1371" s="110"/>
      <c r="CGE1371" s="110"/>
      <c r="CGF1371" s="110"/>
      <c r="CGG1371" s="110"/>
      <c r="CGH1371" s="110"/>
      <c r="CGI1371" s="110"/>
      <c r="CGJ1371" s="110"/>
      <c r="CGK1371" s="110"/>
      <c r="CGL1371" s="110"/>
      <c r="CGM1371" s="110"/>
      <c r="CGN1371" s="110"/>
      <c r="CGO1371" s="110"/>
      <c r="CGP1371" s="110"/>
      <c r="CGQ1371" s="110"/>
      <c r="CGR1371" s="110"/>
      <c r="CGS1371" s="110"/>
      <c r="CGT1371" s="110"/>
      <c r="CGU1371" s="110"/>
      <c r="CGV1371" s="110"/>
      <c r="CGW1371" s="110"/>
      <c r="CGX1371" s="110"/>
      <c r="CGY1371" s="110"/>
      <c r="CGZ1371" s="110"/>
      <c r="CHA1371" s="110"/>
      <c r="CHB1371" s="110"/>
      <c r="CHC1371" s="110"/>
      <c r="CHD1371" s="110"/>
      <c r="CHE1371" s="110"/>
      <c r="CHF1371" s="110"/>
      <c r="CHG1371" s="110"/>
      <c r="CHH1371" s="110"/>
      <c r="CHI1371" s="110"/>
      <c r="CHJ1371" s="110"/>
      <c r="CHK1371" s="110"/>
      <c r="CHL1371" s="110"/>
      <c r="CHM1371" s="110"/>
      <c r="CHN1371" s="110"/>
      <c r="CHO1371" s="110"/>
      <c r="CHP1371" s="110"/>
      <c r="CHQ1371" s="110"/>
      <c r="CHR1371" s="110"/>
      <c r="CHS1371" s="110"/>
      <c r="CHT1371" s="110"/>
      <c r="CHU1371" s="110"/>
      <c r="CHV1371" s="110"/>
      <c r="CHW1371" s="110"/>
      <c r="CHX1371" s="110"/>
      <c r="CHY1371" s="110"/>
      <c r="CHZ1371" s="110"/>
      <c r="CIA1371" s="110"/>
      <c r="CIB1371" s="110"/>
      <c r="CIC1371" s="110"/>
      <c r="CID1371" s="110"/>
      <c r="CIE1371" s="110"/>
      <c r="CIF1371" s="110"/>
      <c r="CIG1371" s="110"/>
      <c r="CIH1371" s="110"/>
      <c r="CII1371" s="110"/>
      <c r="CIJ1371" s="110"/>
      <c r="CIK1371" s="110"/>
      <c r="CIL1371" s="110"/>
      <c r="CIM1371" s="110"/>
      <c r="CIN1371" s="110"/>
      <c r="CIO1371" s="110"/>
      <c r="CIP1371" s="110"/>
      <c r="CIQ1371" s="110"/>
      <c r="CIR1371" s="110"/>
      <c r="CIS1371" s="110"/>
      <c r="CIT1371" s="110"/>
      <c r="CIU1371" s="110"/>
      <c r="CIV1371" s="110"/>
      <c r="CIW1371" s="110"/>
      <c r="CIX1371" s="110"/>
      <c r="CIY1371" s="110"/>
      <c r="CIZ1371" s="110"/>
      <c r="CJA1371" s="110"/>
      <c r="CJB1371" s="110"/>
      <c r="CJC1371" s="110"/>
      <c r="CJD1371" s="110"/>
      <c r="CJE1371" s="110"/>
      <c r="CJF1371" s="110"/>
      <c r="CJG1371" s="110"/>
      <c r="CJH1371" s="110"/>
      <c r="CJI1371" s="110"/>
      <c r="CJJ1371" s="110"/>
      <c r="CJK1371" s="110"/>
      <c r="CJL1371" s="110"/>
      <c r="CJM1371" s="110"/>
      <c r="CJN1371" s="110"/>
      <c r="CJO1371" s="110"/>
      <c r="CJP1371" s="110"/>
      <c r="CJQ1371" s="110"/>
      <c r="CJR1371" s="110"/>
      <c r="CJS1371" s="110"/>
      <c r="CJT1371" s="110"/>
      <c r="CJU1371" s="110"/>
      <c r="CJV1371" s="110"/>
      <c r="CJW1371" s="110"/>
      <c r="CJX1371" s="110"/>
      <c r="CJY1371" s="110"/>
      <c r="CJZ1371" s="110"/>
      <c r="CKA1371" s="110"/>
      <c r="CKB1371" s="110"/>
      <c r="CKC1371" s="110"/>
      <c r="CKD1371" s="110"/>
      <c r="CKE1371" s="110"/>
      <c r="CKF1371" s="110"/>
      <c r="CKG1371" s="110"/>
      <c r="CKH1371" s="110"/>
      <c r="CKI1371" s="110"/>
      <c r="CKJ1371" s="110"/>
      <c r="CKK1371" s="110"/>
      <c r="CKL1371" s="110"/>
      <c r="CKM1371" s="110"/>
      <c r="CKN1371" s="110"/>
      <c r="CKO1371" s="110"/>
      <c r="CKP1371" s="110"/>
      <c r="CKQ1371" s="110"/>
      <c r="CKR1371" s="110"/>
      <c r="CKS1371" s="110"/>
      <c r="CKT1371" s="110"/>
      <c r="CKU1371" s="110"/>
      <c r="CKV1371" s="110"/>
      <c r="CKW1371" s="110"/>
      <c r="CKX1371" s="110"/>
      <c r="CKY1371" s="110"/>
      <c r="CKZ1371" s="110"/>
      <c r="CLA1371" s="110"/>
      <c r="CLB1371" s="110"/>
      <c r="CLC1371" s="110"/>
      <c r="CLD1371" s="110"/>
      <c r="CLE1371" s="110"/>
      <c r="CLF1371" s="110"/>
      <c r="CLG1371" s="110"/>
      <c r="CLH1371" s="110"/>
      <c r="CLI1371" s="110"/>
      <c r="CLJ1371" s="110"/>
      <c r="CLK1371" s="110"/>
      <c r="CLL1371" s="110"/>
      <c r="CLM1371" s="110"/>
      <c r="CLN1371" s="110"/>
      <c r="CLO1371" s="110"/>
      <c r="CLP1371" s="110"/>
      <c r="CLQ1371" s="110"/>
      <c r="CLR1371" s="110"/>
      <c r="CLS1371" s="110"/>
      <c r="CLT1371" s="110"/>
      <c r="CLU1371" s="110"/>
      <c r="CLV1371" s="110"/>
      <c r="CLW1371" s="110"/>
      <c r="CLX1371" s="110"/>
      <c r="CLY1371" s="110"/>
      <c r="CLZ1371" s="110"/>
      <c r="CMA1371" s="110"/>
      <c r="CMB1371" s="110"/>
      <c r="CMC1371" s="110"/>
      <c r="CMD1371" s="110"/>
      <c r="CME1371" s="110"/>
      <c r="CMF1371" s="110"/>
      <c r="CMG1371" s="110"/>
      <c r="CMH1371" s="110"/>
      <c r="CMI1371" s="110"/>
      <c r="CMJ1371" s="110"/>
      <c r="CMK1371" s="110"/>
      <c r="CML1371" s="110"/>
      <c r="CMM1371" s="110"/>
      <c r="CMN1371" s="110"/>
      <c r="CMO1371" s="110"/>
      <c r="CMP1371" s="110"/>
      <c r="CMQ1371" s="110"/>
      <c r="CMR1371" s="110"/>
      <c r="CMS1371" s="110"/>
      <c r="CMT1371" s="110"/>
      <c r="CMU1371" s="110"/>
      <c r="CMV1371" s="110"/>
      <c r="CMW1371" s="110"/>
      <c r="CMX1371" s="110"/>
      <c r="CMY1371" s="110"/>
      <c r="CMZ1371" s="110"/>
      <c r="CNA1371" s="110"/>
      <c r="CNB1371" s="110"/>
      <c r="CNC1371" s="110"/>
      <c r="CND1371" s="110"/>
      <c r="CNE1371" s="110"/>
      <c r="CNF1371" s="110"/>
      <c r="CNG1371" s="110"/>
      <c r="CNH1371" s="110"/>
      <c r="CNI1371" s="110"/>
      <c r="CNJ1371" s="110"/>
      <c r="CNK1371" s="110"/>
      <c r="CNL1371" s="110"/>
      <c r="CNM1371" s="110"/>
      <c r="CNN1371" s="110"/>
      <c r="CNO1371" s="110"/>
      <c r="CNP1371" s="110"/>
      <c r="CNQ1371" s="110"/>
      <c r="CNR1371" s="110"/>
      <c r="CNS1371" s="110"/>
      <c r="CNT1371" s="110"/>
      <c r="CNU1371" s="110"/>
      <c r="CNV1371" s="110"/>
      <c r="CNW1371" s="110"/>
      <c r="CNX1371" s="110"/>
      <c r="CNY1371" s="110"/>
      <c r="CNZ1371" s="110"/>
      <c r="COA1371" s="110"/>
      <c r="COB1371" s="110"/>
      <c r="COC1371" s="110"/>
      <c r="COD1371" s="110"/>
      <c r="COE1371" s="110"/>
      <c r="COF1371" s="110"/>
      <c r="COG1371" s="110"/>
      <c r="COH1371" s="110"/>
      <c r="COI1371" s="110"/>
      <c r="COJ1371" s="110"/>
      <c r="COK1371" s="110"/>
      <c r="COL1371" s="110"/>
      <c r="COM1371" s="110"/>
      <c r="CON1371" s="110"/>
      <c r="COO1371" s="110"/>
      <c r="COP1371" s="110"/>
      <c r="COQ1371" s="110"/>
      <c r="COR1371" s="110"/>
      <c r="COS1371" s="110"/>
      <c r="COT1371" s="110"/>
      <c r="COU1371" s="110"/>
      <c r="COV1371" s="110"/>
      <c r="COW1371" s="110"/>
      <c r="COX1371" s="110"/>
      <c r="COY1371" s="110"/>
      <c r="COZ1371" s="110"/>
      <c r="CPA1371" s="110"/>
      <c r="CPB1371" s="110"/>
      <c r="CPC1371" s="110"/>
      <c r="CPD1371" s="110"/>
      <c r="CPE1371" s="110"/>
      <c r="CPF1371" s="110"/>
      <c r="CPG1371" s="110"/>
      <c r="CPH1371" s="110"/>
      <c r="CPI1371" s="110"/>
      <c r="CPJ1371" s="110"/>
      <c r="CPK1371" s="110"/>
      <c r="CPL1371" s="110"/>
      <c r="CPM1371" s="110"/>
      <c r="CPN1371" s="110"/>
      <c r="CPO1371" s="110"/>
      <c r="CPP1371" s="110"/>
      <c r="CPQ1371" s="110"/>
      <c r="CPR1371" s="110"/>
      <c r="CPS1371" s="110"/>
      <c r="CPT1371" s="110"/>
      <c r="CPU1371" s="110"/>
      <c r="CPV1371" s="110"/>
      <c r="CPW1371" s="110"/>
      <c r="CPX1371" s="110"/>
      <c r="CPY1371" s="110"/>
      <c r="CPZ1371" s="110"/>
      <c r="CQA1371" s="110"/>
      <c r="CQB1371" s="110"/>
      <c r="CQC1371" s="110"/>
      <c r="CQD1371" s="110"/>
      <c r="CQE1371" s="110"/>
      <c r="CQF1371" s="110"/>
      <c r="CQG1371" s="110"/>
      <c r="CQH1371" s="110"/>
      <c r="CQI1371" s="110"/>
      <c r="CQJ1371" s="110"/>
      <c r="CQK1371" s="110"/>
      <c r="CQL1371" s="110"/>
      <c r="CQM1371" s="110"/>
      <c r="CQN1371" s="110"/>
      <c r="CQO1371" s="110"/>
      <c r="CQP1371" s="110"/>
      <c r="CQQ1371" s="110"/>
      <c r="CQR1371" s="110"/>
      <c r="CQS1371" s="110"/>
      <c r="CQT1371" s="110"/>
      <c r="CQU1371" s="110"/>
      <c r="CQV1371" s="110"/>
      <c r="CQW1371" s="110"/>
      <c r="CQX1371" s="110"/>
      <c r="CQY1371" s="110"/>
      <c r="CQZ1371" s="110"/>
      <c r="CRA1371" s="110"/>
      <c r="CRB1371" s="110"/>
      <c r="CRC1371" s="110"/>
      <c r="CRD1371" s="110"/>
      <c r="CRE1371" s="110"/>
      <c r="CRF1371" s="110"/>
      <c r="CRG1371" s="110"/>
      <c r="CRH1371" s="110"/>
      <c r="CRI1371" s="110"/>
      <c r="CRJ1371" s="110"/>
      <c r="CRK1371" s="110"/>
      <c r="CRL1371" s="110"/>
      <c r="CRM1371" s="110"/>
      <c r="CRN1371" s="110"/>
      <c r="CRO1371" s="110"/>
      <c r="CRP1371" s="110"/>
      <c r="CRQ1371" s="110"/>
      <c r="CRR1371" s="110"/>
      <c r="CRS1371" s="110"/>
      <c r="CRT1371" s="110"/>
      <c r="CRU1371" s="110"/>
      <c r="CRV1371" s="110"/>
      <c r="CRW1371" s="110"/>
      <c r="CRX1371" s="110"/>
      <c r="CRY1371" s="110"/>
      <c r="CRZ1371" s="110"/>
      <c r="CSA1371" s="110"/>
      <c r="CSB1371" s="110"/>
      <c r="CSC1371" s="110"/>
      <c r="CSD1371" s="110"/>
      <c r="CSE1371" s="110"/>
      <c r="CSF1371" s="110"/>
      <c r="CSG1371" s="110"/>
      <c r="CSH1371" s="110"/>
      <c r="CSI1371" s="110"/>
      <c r="CSJ1371" s="110"/>
      <c r="CSK1371" s="110"/>
      <c r="CSL1371" s="110"/>
      <c r="CSM1371" s="110"/>
      <c r="CSN1371" s="110"/>
      <c r="CSO1371" s="110"/>
      <c r="CSP1371" s="110"/>
      <c r="CSQ1371" s="110"/>
      <c r="CSR1371" s="110"/>
      <c r="CSS1371" s="110"/>
      <c r="CST1371" s="110"/>
      <c r="CSU1371" s="110"/>
      <c r="CSV1371" s="110"/>
      <c r="CSW1371" s="110"/>
      <c r="CSX1371" s="110"/>
      <c r="CSY1371" s="110"/>
      <c r="CSZ1371" s="110"/>
      <c r="CTA1371" s="110"/>
      <c r="CTB1371" s="110"/>
      <c r="CTC1371" s="110"/>
      <c r="CTD1371" s="110"/>
      <c r="CTE1371" s="110"/>
      <c r="CTF1371" s="110"/>
      <c r="CTG1371" s="110"/>
      <c r="CTH1371" s="110"/>
      <c r="CTI1371" s="110"/>
      <c r="CTJ1371" s="110"/>
      <c r="CTK1371" s="110"/>
      <c r="CTL1371" s="110"/>
      <c r="CTM1371" s="110"/>
      <c r="CTN1371" s="110"/>
      <c r="CTO1371" s="110"/>
      <c r="CTP1371" s="110"/>
      <c r="CTQ1371" s="110"/>
      <c r="CTR1371" s="110"/>
      <c r="CTS1371" s="110"/>
      <c r="CTT1371" s="110"/>
      <c r="CTU1371" s="110"/>
      <c r="CTV1371" s="110"/>
      <c r="CTW1371" s="110"/>
      <c r="CTX1371" s="110"/>
      <c r="CTY1371" s="110"/>
      <c r="CTZ1371" s="110"/>
      <c r="CUA1371" s="110"/>
      <c r="CUB1371" s="110"/>
      <c r="CUC1371" s="110"/>
      <c r="CUD1371" s="110"/>
      <c r="CUE1371" s="110"/>
      <c r="CUF1371" s="110"/>
      <c r="CUG1371" s="110"/>
      <c r="CUH1371" s="110"/>
      <c r="CUI1371" s="110"/>
      <c r="CUJ1371" s="110"/>
      <c r="CUK1371" s="110"/>
      <c r="CUL1371" s="110"/>
      <c r="CUM1371" s="110"/>
      <c r="CUN1371" s="110"/>
      <c r="CUO1371" s="110"/>
      <c r="CUP1371" s="110"/>
      <c r="CUQ1371" s="110"/>
      <c r="CUR1371" s="110"/>
      <c r="CUS1371" s="110"/>
      <c r="CUT1371" s="110"/>
      <c r="CUU1371" s="110"/>
      <c r="CUV1371" s="110"/>
      <c r="CUW1371" s="110"/>
      <c r="CUX1371" s="110"/>
      <c r="CUY1371" s="110"/>
      <c r="CUZ1371" s="110"/>
      <c r="CVA1371" s="110"/>
      <c r="CVB1371" s="110"/>
      <c r="CVC1371" s="110"/>
      <c r="CVD1371" s="110"/>
      <c r="CVE1371" s="110"/>
      <c r="CVF1371" s="110"/>
      <c r="CVG1371" s="110"/>
      <c r="CVH1371" s="110"/>
      <c r="CVI1371" s="110"/>
      <c r="CVJ1371" s="110"/>
      <c r="CVK1371" s="110"/>
      <c r="CVL1371" s="110"/>
      <c r="CVM1371" s="110"/>
      <c r="CVN1371" s="110"/>
      <c r="CVO1371" s="110"/>
      <c r="CVP1371" s="110"/>
      <c r="CVQ1371" s="110"/>
      <c r="CVR1371" s="110"/>
      <c r="CVS1371" s="110"/>
      <c r="CVT1371" s="110"/>
      <c r="CVU1371" s="110"/>
      <c r="CVV1371" s="110"/>
      <c r="CVW1371" s="110"/>
      <c r="CVX1371" s="110"/>
      <c r="CVY1371" s="110"/>
      <c r="CVZ1371" s="110"/>
      <c r="CWA1371" s="110"/>
      <c r="CWB1371" s="110"/>
      <c r="CWC1371" s="110"/>
      <c r="CWD1371" s="110"/>
      <c r="CWE1371" s="110"/>
      <c r="CWF1371" s="110"/>
      <c r="CWG1371" s="110"/>
      <c r="CWH1371" s="110"/>
      <c r="CWI1371" s="110"/>
      <c r="CWJ1371" s="110"/>
      <c r="CWK1371" s="110"/>
      <c r="CWL1371" s="110"/>
      <c r="CWM1371" s="110"/>
      <c r="CWN1371" s="110"/>
      <c r="CWO1371" s="110"/>
      <c r="CWP1371" s="110"/>
      <c r="CWQ1371" s="110"/>
      <c r="CWR1371" s="110"/>
      <c r="CWS1371" s="110"/>
      <c r="CWT1371" s="110"/>
      <c r="CWU1371" s="110"/>
      <c r="CWV1371" s="110"/>
      <c r="CWW1371" s="110"/>
      <c r="CWX1371" s="110"/>
      <c r="CWY1371" s="110"/>
      <c r="CWZ1371" s="110"/>
      <c r="CXA1371" s="110"/>
      <c r="CXB1371" s="110"/>
      <c r="CXC1371" s="110"/>
      <c r="CXD1371" s="110"/>
      <c r="CXE1371" s="110"/>
      <c r="CXF1371" s="110"/>
      <c r="CXG1371" s="110"/>
      <c r="CXH1371" s="110"/>
      <c r="CXI1371" s="110"/>
      <c r="CXJ1371" s="110"/>
      <c r="CXK1371" s="110"/>
      <c r="CXL1371" s="110"/>
      <c r="CXM1371" s="110"/>
      <c r="CXN1371" s="110"/>
      <c r="CXO1371" s="110"/>
      <c r="CXP1371" s="110"/>
      <c r="CXQ1371" s="110"/>
      <c r="CXR1371" s="110"/>
      <c r="CXS1371" s="110"/>
      <c r="CXT1371" s="110"/>
      <c r="CXU1371" s="110"/>
      <c r="CXV1371" s="110"/>
      <c r="CXW1371" s="110"/>
      <c r="CXX1371" s="110"/>
      <c r="CXY1371" s="110"/>
      <c r="CXZ1371" s="110"/>
      <c r="CYA1371" s="110"/>
      <c r="CYB1371" s="110"/>
      <c r="CYC1371" s="110"/>
      <c r="CYD1371" s="110"/>
      <c r="CYE1371" s="110"/>
      <c r="CYF1371" s="110"/>
      <c r="CYG1371" s="110"/>
      <c r="CYH1371" s="110"/>
      <c r="CYI1371" s="110"/>
      <c r="CYJ1371" s="110"/>
      <c r="CYK1371" s="110"/>
      <c r="CYL1371" s="110"/>
      <c r="CYM1371" s="110"/>
      <c r="CYN1371" s="110"/>
      <c r="CYO1371" s="110"/>
      <c r="CYP1371" s="110"/>
      <c r="CYQ1371" s="110"/>
      <c r="CYR1371" s="110"/>
      <c r="CYS1371" s="110"/>
      <c r="CYT1371" s="110"/>
      <c r="CYU1371" s="110"/>
      <c r="CYV1371" s="110"/>
      <c r="CYW1371" s="110"/>
      <c r="CYX1371" s="110"/>
      <c r="CYY1371" s="110"/>
      <c r="CYZ1371" s="110"/>
      <c r="CZA1371" s="110"/>
      <c r="CZB1371" s="110"/>
      <c r="CZC1371" s="110"/>
      <c r="CZD1371" s="110"/>
      <c r="CZE1371" s="110"/>
      <c r="CZF1371" s="110"/>
      <c r="CZG1371" s="110"/>
      <c r="CZH1371" s="110"/>
      <c r="CZI1371" s="110"/>
      <c r="CZJ1371" s="110"/>
      <c r="CZK1371" s="110"/>
      <c r="CZL1371" s="110"/>
      <c r="CZM1371" s="110"/>
      <c r="CZN1371" s="110"/>
      <c r="CZO1371" s="110"/>
      <c r="CZP1371" s="110"/>
      <c r="CZQ1371" s="110"/>
      <c r="CZR1371" s="110"/>
      <c r="CZS1371" s="110"/>
      <c r="CZT1371" s="110"/>
      <c r="CZU1371" s="110"/>
      <c r="CZV1371" s="110"/>
      <c r="CZW1371" s="110"/>
      <c r="CZX1371" s="110"/>
      <c r="CZY1371" s="110"/>
      <c r="CZZ1371" s="110"/>
      <c r="DAA1371" s="110"/>
      <c r="DAB1371" s="110"/>
      <c r="DAC1371" s="110"/>
      <c r="DAD1371" s="110"/>
      <c r="DAE1371" s="110"/>
      <c r="DAF1371" s="110"/>
      <c r="DAG1371" s="110"/>
      <c r="DAH1371" s="110"/>
      <c r="DAI1371" s="110"/>
      <c r="DAJ1371" s="110"/>
      <c r="DAK1371" s="110"/>
      <c r="DAL1371" s="110"/>
      <c r="DAM1371" s="110"/>
      <c r="DAN1371" s="110"/>
      <c r="DAO1371" s="110"/>
      <c r="DAP1371" s="110"/>
      <c r="DAQ1371" s="110"/>
      <c r="DAR1371" s="110"/>
      <c r="DAS1371" s="110"/>
      <c r="DAT1371" s="110"/>
      <c r="DAU1371" s="110"/>
      <c r="DAV1371" s="110"/>
      <c r="DAW1371" s="110"/>
      <c r="DAX1371" s="110"/>
      <c r="DAY1371" s="110"/>
      <c r="DAZ1371" s="110"/>
      <c r="DBA1371" s="110"/>
      <c r="DBB1371" s="110"/>
      <c r="DBC1371" s="110"/>
      <c r="DBD1371" s="110"/>
      <c r="DBE1371" s="110"/>
      <c r="DBF1371" s="110"/>
      <c r="DBG1371" s="110"/>
      <c r="DBH1371" s="110"/>
      <c r="DBI1371" s="110"/>
      <c r="DBJ1371" s="110"/>
      <c r="DBK1371" s="110"/>
      <c r="DBL1371" s="110"/>
      <c r="DBM1371" s="110"/>
      <c r="DBN1371" s="110"/>
      <c r="DBO1371" s="110"/>
      <c r="DBP1371" s="110"/>
      <c r="DBQ1371" s="110"/>
      <c r="DBR1371" s="110"/>
      <c r="DBS1371" s="110"/>
      <c r="DBT1371" s="110"/>
      <c r="DBU1371" s="110"/>
      <c r="DBV1371" s="110"/>
      <c r="DBW1371" s="110"/>
      <c r="DBX1371" s="110"/>
      <c r="DBY1371" s="110"/>
      <c r="DBZ1371" s="110"/>
      <c r="DCA1371" s="110"/>
      <c r="DCB1371" s="110"/>
      <c r="DCC1371" s="110"/>
      <c r="DCD1371" s="110"/>
      <c r="DCE1371" s="110"/>
      <c r="DCF1371" s="110"/>
      <c r="DCG1371" s="110"/>
      <c r="DCH1371" s="110"/>
      <c r="DCI1371" s="110"/>
      <c r="DCJ1371" s="110"/>
      <c r="DCK1371" s="110"/>
      <c r="DCL1371" s="110"/>
      <c r="DCM1371" s="110"/>
      <c r="DCN1371" s="110"/>
      <c r="DCO1371" s="110"/>
      <c r="DCP1371" s="110"/>
      <c r="DCQ1371" s="110"/>
      <c r="DCR1371" s="110"/>
      <c r="DCS1371" s="110"/>
      <c r="DCT1371" s="110"/>
      <c r="DCU1371" s="110"/>
      <c r="DCV1371" s="110"/>
      <c r="DCW1371" s="110"/>
      <c r="DCX1371" s="110"/>
      <c r="DCY1371" s="110"/>
      <c r="DCZ1371" s="110"/>
      <c r="DDA1371" s="110"/>
      <c r="DDB1371" s="110"/>
      <c r="DDC1371" s="110"/>
      <c r="DDD1371" s="110"/>
      <c r="DDE1371" s="110"/>
      <c r="DDF1371" s="110"/>
      <c r="DDG1371" s="110"/>
      <c r="DDH1371" s="110"/>
      <c r="DDI1371" s="110"/>
      <c r="DDJ1371" s="110"/>
      <c r="DDK1371" s="110"/>
      <c r="DDL1371" s="110"/>
      <c r="DDM1371" s="110"/>
      <c r="DDN1371" s="110"/>
      <c r="DDO1371" s="110"/>
      <c r="DDP1371" s="110"/>
      <c r="DDQ1371" s="110"/>
      <c r="DDR1371" s="110"/>
      <c r="DDS1371" s="110"/>
      <c r="DDT1371" s="110"/>
      <c r="DDU1371" s="110"/>
      <c r="DDV1371" s="110"/>
      <c r="DDW1371" s="110"/>
      <c r="DDX1371" s="110"/>
      <c r="DDY1371" s="110"/>
      <c r="DDZ1371" s="110"/>
      <c r="DEA1371" s="110"/>
      <c r="DEB1371" s="110"/>
      <c r="DEC1371" s="110"/>
      <c r="DED1371" s="110"/>
      <c r="DEE1371" s="110"/>
      <c r="DEF1371" s="110"/>
      <c r="DEG1371" s="110"/>
      <c r="DEH1371" s="110"/>
      <c r="DEI1371" s="110"/>
      <c r="DEJ1371" s="110"/>
      <c r="DEK1371" s="110"/>
      <c r="DEL1371" s="110"/>
      <c r="DEM1371" s="110"/>
      <c r="DEN1371" s="110"/>
      <c r="DEO1371" s="110"/>
      <c r="DEP1371" s="110"/>
      <c r="DEQ1371" s="110"/>
      <c r="DER1371" s="110"/>
      <c r="DES1371" s="110"/>
      <c r="DET1371" s="110"/>
      <c r="DEU1371" s="110"/>
      <c r="DEV1371" s="110"/>
      <c r="DEW1371" s="110"/>
      <c r="DEX1371" s="110"/>
      <c r="DEY1371" s="110"/>
      <c r="DEZ1371" s="110"/>
      <c r="DFA1371" s="110"/>
      <c r="DFB1371" s="110"/>
      <c r="DFC1371" s="110"/>
      <c r="DFD1371" s="110"/>
      <c r="DFE1371" s="110"/>
      <c r="DFF1371" s="110"/>
      <c r="DFG1371" s="110"/>
      <c r="DFH1371" s="110"/>
      <c r="DFI1371" s="110"/>
      <c r="DFJ1371" s="110"/>
      <c r="DFK1371" s="110"/>
      <c r="DFL1371" s="110"/>
      <c r="DFM1371" s="110"/>
      <c r="DFN1371" s="110"/>
      <c r="DFO1371" s="110"/>
      <c r="DFP1371" s="110"/>
      <c r="DFQ1371" s="110"/>
      <c r="DFR1371" s="110"/>
      <c r="DFS1371" s="110"/>
      <c r="DFT1371" s="110"/>
      <c r="DFU1371" s="110"/>
      <c r="DFV1371" s="110"/>
      <c r="DFW1371" s="110"/>
      <c r="DFX1371" s="110"/>
      <c r="DFY1371" s="110"/>
      <c r="DFZ1371" s="110"/>
      <c r="DGA1371" s="110"/>
      <c r="DGB1371" s="110"/>
      <c r="DGC1371" s="110"/>
      <c r="DGD1371" s="110"/>
      <c r="DGE1371" s="110"/>
      <c r="DGF1371" s="110"/>
      <c r="DGG1371" s="110"/>
      <c r="DGH1371" s="110"/>
      <c r="DGI1371" s="110"/>
      <c r="DGJ1371" s="110"/>
      <c r="DGK1371" s="110"/>
      <c r="DGL1371" s="110"/>
      <c r="DGM1371" s="110"/>
      <c r="DGN1371" s="110"/>
      <c r="DGO1371" s="110"/>
      <c r="DGP1371" s="110"/>
      <c r="DGQ1371" s="110"/>
      <c r="DGR1371" s="110"/>
      <c r="DGS1371" s="110"/>
      <c r="DGT1371" s="110"/>
      <c r="DGU1371" s="110"/>
      <c r="DGV1371" s="110"/>
      <c r="DGW1371" s="110"/>
      <c r="DGX1371" s="110"/>
      <c r="DGY1371" s="110"/>
      <c r="DGZ1371" s="110"/>
      <c r="DHA1371" s="110"/>
      <c r="DHB1371" s="110"/>
      <c r="DHC1371" s="110"/>
      <c r="DHD1371" s="110"/>
      <c r="DHE1371" s="110"/>
      <c r="DHF1371" s="110"/>
      <c r="DHG1371" s="110"/>
      <c r="DHH1371" s="110"/>
      <c r="DHI1371" s="110"/>
      <c r="DHJ1371" s="110"/>
      <c r="DHK1371" s="110"/>
      <c r="DHL1371" s="110"/>
      <c r="DHM1371" s="110"/>
      <c r="DHN1371" s="110"/>
      <c r="DHO1371" s="110"/>
      <c r="DHP1371" s="110"/>
      <c r="DHQ1371" s="110"/>
      <c r="DHR1371" s="110"/>
      <c r="DHS1371" s="110"/>
      <c r="DHT1371" s="110"/>
      <c r="DHU1371" s="110"/>
      <c r="DHV1371" s="110"/>
      <c r="DHW1371" s="110"/>
      <c r="DHX1371" s="110"/>
      <c r="DHY1371" s="110"/>
      <c r="DHZ1371" s="110"/>
      <c r="DIA1371" s="110"/>
      <c r="DIB1371" s="110"/>
      <c r="DIC1371" s="110"/>
      <c r="DID1371" s="110"/>
      <c r="DIE1371" s="110"/>
      <c r="DIF1371" s="110"/>
      <c r="DIG1371" s="110"/>
      <c r="DIH1371" s="110"/>
      <c r="DII1371" s="110"/>
      <c r="DIJ1371" s="110"/>
      <c r="DIK1371" s="110"/>
      <c r="DIL1371" s="110"/>
      <c r="DIM1371" s="110"/>
      <c r="DIN1371" s="110"/>
      <c r="DIO1371" s="110"/>
      <c r="DIP1371" s="110"/>
      <c r="DIQ1371" s="110"/>
      <c r="DIR1371" s="110"/>
      <c r="DIS1371" s="110"/>
      <c r="DIT1371" s="110"/>
      <c r="DIU1371" s="110"/>
      <c r="DIV1371" s="110"/>
      <c r="DIW1371" s="110"/>
      <c r="DIX1371" s="110"/>
      <c r="DIY1371" s="110"/>
      <c r="DIZ1371" s="110"/>
      <c r="DJA1371" s="110"/>
      <c r="DJB1371" s="110"/>
      <c r="DJC1371" s="110"/>
      <c r="DJD1371" s="110"/>
      <c r="DJE1371" s="110"/>
      <c r="DJF1371" s="110"/>
      <c r="DJG1371" s="110"/>
      <c r="DJH1371" s="110"/>
      <c r="DJI1371" s="110"/>
      <c r="DJJ1371" s="110"/>
      <c r="DJK1371" s="110"/>
      <c r="DJL1371" s="110"/>
      <c r="DJM1371" s="110"/>
      <c r="DJN1371" s="110"/>
      <c r="DJO1371" s="110"/>
      <c r="DJP1371" s="110"/>
      <c r="DJQ1371" s="110"/>
      <c r="DJR1371" s="110"/>
      <c r="DJS1371" s="110"/>
      <c r="DJT1371" s="110"/>
      <c r="DJU1371" s="110"/>
      <c r="DJV1371" s="110"/>
      <c r="DJW1371" s="110"/>
      <c r="DJX1371" s="110"/>
      <c r="DJY1371" s="110"/>
      <c r="DJZ1371" s="110"/>
      <c r="DKA1371" s="110"/>
      <c r="DKB1371" s="110"/>
      <c r="DKC1371" s="110"/>
      <c r="DKD1371" s="110"/>
      <c r="DKE1371" s="110"/>
      <c r="DKF1371" s="110"/>
      <c r="DKG1371" s="110"/>
      <c r="DKH1371" s="110"/>
      <c r="DKI1371" s="110"/>
      <c r="DKJ1371" s="110"/>
      <c r="DKK1371" s="110"/>
      <c r="DKL1371" s="110"/>
      <c r="DKM1371" s="110"/>
      <c r="DKN1371" s="110"/>
      <c r="DKO1371" s="110"/>
      <c r="DKP1371" s="110"/>
      <c r="DKQ1371" s="110"/>
      <c r="DKR1371" s="110"/>
      <c r="DKS1371" s="110"/>
      <c r="DKT1371" s="110"/>
      <c r="DKU1371" s="110"/>
      <c r="DKV1371" s="110"/>
      <c r="DKW1371" s="110"/>
      <c r="DKX1371" s="110"/>
      <c r="DKY1371" s="110"/>
      <c r="DKZ1371" s="110"/>
      <c r="DLA1371" s="110"/>
      <c r="DLB1371" s="110"/>
      <c r="DLC1371" s="110"/>
      <c r="DLD1371" s="110"/>
      <c r="DLE1371" s="110"/>
      <c r="DLF1371" s="110"/>
      <c r="DLG1371" s="110"/>
      <c r="DLH1371" s="110"/>
      <c r="DLI1371" s="110"/>
      <c r="DLJ1371" s="110"/>
      <c r="DLK1371" s="110"/>
      <c r="DLL1371" s="110"/>
      <c r="DLM1371" s="110"/>
      <c r="DLN1371" s="110"/>
      <c r="DLO1371" s="110"/>
      <c r="DLP1371" s="110"/>
      <c r="DLQ1371" s="110"/>
      <c r="DLR1371" s="110"/>
      <c r="DLS1371" s="110"/>
      <c r="DLT1371" s="110"/>
      <c r="DLU1371" s="110"/>
      <c r="DLV1371" s="110"/>
      <c r="DLW1371" s="110"/>
      <c r="DLX1371" s="110"/>
      <c r="DLY1371" s="110"/>
      <c r="DLZ1371" s="110"/>
      <c r="DMA1371" s="110"/>
      <c r="DMB1371" s="110"/>
      <c r="DMC1371" s="110"/>
      <c r="DMD1371" s="110"/>
      <c r="DME1371" s="110"/>
      <c r="DMF1371" s="110"/>
      <c r="DMG1371" s="110"/>
      <c r="DMH1371" s="110"/>
      <c r="DMI1371" s="110"/>
      <c r="DMJ1371" s="110"/>
      <c r="DMK1371" s="110"/>
      <c r="DML1371" s="110"/>
      <c r="DMM1371" s="110"/>
      <c r="DMN1371" s="110"/>
      <c r="DMO1371" s="110"/>
      <c r="DMP1371" s="110"/>
      <c r="DMQ1371" s="110"/>
      <c r="DMR1371" s="110"/>
      <c r="DMS1371" s="110"/>
      <c r="DMT1371" s="110"/>
      <c r="DMU1371" s="110"/>
      <c r="DMV1371" s="110"/>
      <c r="DMW1371" s="110"/>
      <c r="DMX1371" s="110"/>
      <c r="DMY1371" s="110"/>
      <c r="DMZ1371" s="110"/>
      <c r="DNA1371" s="110"/>
      <c r="DNB1371" s="110"/>
      <c r="DNC1371" s="110"/>
      <c r="DND1371" s="110"/>
      <c r="DNE1371" s="110"/>
      <c r="DNF1371" s="110"/>
      <c r="DNG1371" s="110"/>
      <c r="DNH1371" s="110"/>
      <c r="DNI1371" s="110"/>
      <c r="DNJ1371" s="110"/>
      <c r="DNK1371" s="110"/>
      <c r="DNL1371" s="110"/>
      <c r="DNM1371" s="110"/>
      <c r="DNN1371" s="110"/>
      <c r="DNO1371" s="110"/>
      <c r="DNP1371" s="110"/>
      <c r="DNQ1371" s="110"/>
      <c r="DNR1371" s="110"/>
      <c r="DNS1371" s="110"/>
      <c r="DNT1371" s="110"/>
      <c r="DNU1371" s="110"/>
      <c r="DNV1371" s="110"/>
      <c r="DNW1371" s="110"/>
      <c r="DNX1371" s="110"/>
      <c r="DNY1371" s="110"/>
      <c r="DNZ1371" s="110"/>
      <c r="DOA1371" s="110"/>
      <c r="DOB1371" s="110"/>
      <c r="DOC1371" s="110"/>
      <c r="DOD1371" s="110"/>
      <c r="DOE1371" s="110"/>
      <c r="DOF1371" s="110"/>
      <c r="DOG1371" s="110"/>
      <c r="DOH1371" s="110"/>
      <c r="DOI1371" s="110"/>
      <c r="DOJ1371" s="110"/>
      <c r="DOK1371" s="110"/>
      <c r="DOL1371" s="110"/>
      <c r="DOM1371" s="110"/>
      <c r="DON1371" s="110"/>
      <c r="DOO1371" s="110"/>
      <c r="DOP1371" s="110"/>
      <c r="DOQ1371" s="110"/>
      <c r="DOR1371" s="110"/>
      <c r="DOS1371" s="110"/>
      <c r="DOT1371" s="110"/>
      <c r="DOU1371" s="110"/>
      <c r="DOV1371" s="110"/>
      <c r="DOW1371" s="110"/>
      <c r="DOX1371" s="110"/>
      <c r="DOY1371" s="110"/>
      <c r="DOZ1371" s="110"/>
      <c r="DPA1371" s="110"/>
      <c r="DPB1371" s="110"/>
      <c r="DPC1371" s="110"/>
      <c r="DPD1371" s="110"/>
      <c r="DPE1371" s="110"/>
      <c r="DPF1371" s="110"/>
      <c r="DPG1371" s="110"/>
      <c r="DPH1371" s="110"/>
      <c r="DPI1371" s="110"/>
      <c r="DPJ1371" s="110"/>
      <c r="DPK1371" s="110"/>
      <c r="DPL1371" s="110"/>
      <c r="DPM1371" s="110"/>
      <c r="DPN1371" s="110"/>
      <c r="DPO1371" s="110"/>
      <c r="DPP1371" s="110"/>
      <c r="DPQ1371" s="110"/>
      <c r="DPR1371" s="110"/>
      <c r="DPS1371" s="110"/>
      <c r="DPT1371" s="110"/>
      <c r="DPU1371" s="110"/>
      <c r="DPV1371" s="110"/>
      <c r="DPW1371" s="110"/>
      <c r="DPX1371" s="110"/>
      <c r="DPY1371" s="110"/>
      <c r="DPZ1371" s="110"/>
      <c r="DQA1371" s="110"/>
      <c r="DQB1371" s="110"/>
      <c r="DQC1371" s="110"/>
      <c r="DQD1371" s="110"/>
      <c r="DQE1371" s="110"/>
      <c r="DQF1371" s="110"/>
      <c r="DQG1371" s="110"/>
      <c r="DQH1371" s="110"/>
      <c r="DQI1371" s="110"/>
      <c r="DQJ1371" s="110"/>
      <c r="DQK1371" s="110"/>
      <c r="DQL1371" s="110"/>
      <c r="DQM1371" s="110"/>
      <c r="DQN1371" s="110"/>
      <c r="DQO1371" s="110"/>
      <c r="DQP1371" s="110"/>
      <c r="DQQ1371" s="110"/>
      <c r="DQR1371" s="110"/>
      <c r="DQS1371" s="110"/>
      <c r="DQT1371" s="110"/>
      <c r="DQU1371" s="110"/>
      <c r="DQV1371" s="110"/>
      <c r="DQW1371" s="110"/>
      <c r="DQX1371" s="110"/>
      <c r="DQY1371" s="110"/>
      <c r="DQZ1371" s="110"/>
      <c r="DRA1371" s="110"/>
      <c r="DRB1371" s="110"/>
      <c r="DRC1371" s="110"/>
      <c r="DRD1371" s="110"/>
      <c r="DRE1371" s="110"/>
      <c r="DRF1371" s="110"/>
      <c r="DRG1371" s="110"/>
      <c r="DRH1371" s="110"/>
      <c r="DRI1371" s="110"/>
      <c r="DRJ1371" s="110"/>
      <c r="DRK1371" s="110"/>
      <c r="DRL1371" s="110"/>
      <c r="DRM1371" s="110"/>
      <c r="DRN1371" s="110"/>
      <c r="DRO1371" s="110"/>
      <c r="DRP1371" s="110"/>
      <c r="DRQ1371" s="110"/>
      <c r="DRR1371" s="110"/>
      <c r="DRS1371" s="110"/>
      <c r="DRT1371" s="110"/>
      <c r="DRU1371" s="110"/>
      <c r="DRV1371" s="110"/>
      <c r="DRW1371" s="110"/>
      <c r="DRX1371" s="110"/>
      <c r="DRY1371" s="110"/>
      <c r="DRZ1371" s="110"/>
      <c r="DSA1371" s="110"/>
      <c r="DSB1371" s="110"/>
      <c r="DSC1371" s="110"/>
      <c r="DSD1371" s="110"/>
      <c r="DSE1371" s="110"/>
      <c r="DSF1371" s="110"/>
      <c r="DSG1371" s="110"/>
      <c r="DSH1371" s="110"/>
      <c r="DSI1371" s="110"/>
      <c r="DSJ1371" s="110"/>
      <c r="DSK1371" s="110"/>
      <c r="DSL1371" s="110"/>
      <c r="DSM1371" s="110"/>
      <c r="DSN1371" s="110"/>
      <c r="DSO1371" s="110"/>
      <c r="DSP1371" s="110"/>
      <c r="DSQ1371" s="110"/>
      <c r="DSR1371" s="110"/>
      <c r="DSS1371" s="110"/>
      <c r="DST1371" s="110"/>
      <c r="DSU1371" s="110"/>
      <c r="DSV1371" s="110"/>
      <c r="DSW1371" s="110"/>
      <c r="DSX1371" s="110"/>
      <c r="DSY1371" s="110"/>
      <c r="DSZ1371" s="110"/>
      <c r="DTA1371" s="110"/>
      <c r="DTB1371" s="110"/>
      <c r="DTC1371" s="110"/>
      <c r="DTD1371" s="110"/>
      <c r="DTE1371" s="110"/>
      <c r="DTF1371" s="110"/>
      <c r="DTG1371" s="110"/>
      <c r="DTH1371" s="110"/>
      <c r="DTI1371" s="110"/>
      <c r="DTJ1371" s="110"/>
      <c r="DTK1371" s="110"/>
      <c r="DTL1371" s="110"/>
      <c r="DTM1371" s="110"/>
      <c r="DTN1371" s="110"/>
      <c r="DTO1371" s="110"/>
      <c r="DTP1371" s="110"/>
      <c r="DTQ1371" s="110"/>
      <c r="DTR1371" s="110"/>
      <c r="DTS1371" s="110"/>
      <c r="DTT1371" s="110"/>
      <c r="DTU1371" s="110"/>
      <c r="DTV1371" s="110"/>
      <c r="DTW1371" s="110"/>
      <c r="DTX1371" s="110"/>
      <c r="DTY1371" s="110"/>
      <c r="DTZ1371" s="110"/>
      <c r="DUA1371" s="110"/>
      <c r="DUB1371" s="110"/>
      <c r="DUC1371" s="110"/>
      <c r="DUD1371" s="110"/>
      <c r="DUE1371" s="110"/>
      <c r="DUF1371" s="110"/>
      <c r="DUG1371" s="110"/>
      <c r="DUH1371" s="110"/>
      <c r="DUI1371" s="110"/>
      <c r="DUJ1371" s="110"/>
      <c r="DUK1371" s="110"/>
      <c r="DUL1371" s="110"/>
      <c r="DUM1371" s="110"/>
      <c r="DUN1371" s="110"/>
      <c r="DUO1371" s="110"/>
      <c r="DUP1371" s="110"/>
      <c r="DUQ1371" s="110"/>
      <c r="DUR1371" s="110"/>
      <c r="DUS1371" s="110"/>
      <c r="DUT1371" s="110"/>
      <c r="DUU1371" s="110"/>
      <c r="DUV1371" s="110"/>
      <c r="DUW1371" s="110"/>
      <c r="DUX1371" s="110"/>
      <c r="DUY1371" s="110"/>
      <c r="DUZ1371" s="110"/>
      <c r="DVA1371" s="110"/>
      <c r="DVB1371" s="110"/>
      <c r="DVC1371" s="110"/>
      <c r="DVD1371" s="110"/>
      <c r="DVE1371" s="110"/>
      <c r="DVF1371" s="110"/>
      <c r="DVG1371" s="110"/>
      <c r="DVH1371" s="110"/>
      <c r="DVI1371" s="110"/>
      <c r="DVJ1371" s="110"/>
      <c r="DVK1371" s="110"/>
      <c r="DVL1371" s="110"/>
      <c r="DVM1371" s="110"/>
      <c r="DVN1371" s="110"/>
      <c r="DVO1371" s="110"/>
      <c r="DVP1371" s="110"/>
      <c r="DVQ1371" s="110"/>
      <c r="DVR1371" s="110"/>
      <c r="DVS1371" s="110"/>
      <c r="DVT1371" s="110"/>
      <c r="DVU1371" s="110"/>
      <c r="DVV1371" s="110"/>
      <c r="DVW1371" s="110"/>
      <c r="DVX1371" s="110"/>
      <c r="DVY1371" s="110"/>
      <c r="DVZ1371" s="110"/>
      <c r="DWA1371" s="110"/>
      <c r="DWB1371" s="110"/>
      <c r="DWC1371" s="110"/>
      <c r="DWD1371" s="110"/>
      <c r="DWE1371" s="110"/>
      <c r="DWF1371" s="110"/>
      <c r="DWG1371" s="110"/>
      <c r="DWH1371" s="110"/>
      <c r="DWI1371" s="110"/>
      <c r="DWJ1371" s="110"/>
      <c r="DWK1371" s="110"/>
      <c r="DWL1371" s="110"/>
      <c r="DWM1371" s="110"/>
      <c r="DWN1371" s="110"/>
      <c r="DWO1371" s="110"/>
      <c r="DWP1371" s="110"/>
      <c r="DWQ1371" s="110"/>
      <c r="DWR1371" s="110"/>
      <c r="DWS1371" s="110"/>
      <c r="DWT1371" s="110"/>
      <c r="DWU1371" s="110"/>
      <c r="DWV1371" s="110"/>
      <c r="DWW1371" s="110"/>
      <c r="DWX1371" s="110"/>
      <c r="DWY1371" s="110"/>
      <c r="DWZ1371" s="110"/>
      <c r="DXA1371" s="110"/>
      <c r="DXB1371" s="110"/>
      <c r="DXC1371" s="110"/>
      <c r="DXD1371" s="110"/>
      <c r="DXE1371" s="110"/>
      <c r="DXF1371" s="110"/>
      <c r="DXG1371" s="110"/>
      <c r="DXH1371" s="110"/>
      <c r="DXI1371" s="110"/>
      <c r="DXJ1371" s="110"/>
      <c r="DXK1371" s="110"/>
      <c r="DXL1371" s="110"/>
      <c r="DXM1371" s="110"/>
      <c r="DXN1371" s="110"/>
      <c r="DXO1371" s="110"/>
      <c r="DXP1371" s="110"/>
      <c r="DXQ1371" s="110"/>
      <c r="DXR1371" s="110"/>
      <c r="DXS1371" s="110"/>
      <c r="DXT1371" s="110"/>
      <c r="DXU1371" s="110"/>
      <c r="DXV1371" s="110"/>
      <c r="DXW1371" s="110"/>
      <c r="DXX1371" s="110"/>
      <c r="DXY1371" s="110"/>
      <c r="DXZ1371" s="110"/>
      <c r="DYA1371" s="110"/>
      <c r="DYB1371" s="110"/>
      <c r="DYC1371" s="110"/>
      <c r="DYD1371" s="110"/>
      <c r="DYE1371" s="110"/>
      <c r="DYF1371" s="110"/>
      <c r="DYG1371" s="110"/>
      <c r="DYH1371" s="110"/>
      <c r="DYI1371" s="110"/>
      <c r="DYJ1371" s="110"/>
      <c r="DYK1371" s="110"/>
      <c r="DYL1371" s="110"/>
      <c r="DYM1371" s="110"/>
      <c r="DYN1371" s="110"/>
      <c r="DYO1371" s="110"/>
      <c r="DYP1371" s="110"/>
      <c r="DYQ1371" s="110"/>
      <c r="DYR1371" s="110"/>
      <c r="DYS1371" s="110"/>
      <c r="DYT1371" s="110"/>
      <c r="DYU1371" s="110"/>
      <c r="DYV1371" s="110"/>
      <c r="DYW1371" s="110"/>
      <c r="DYX1371" s="110"/>
      <c r="DYY1371" s="110"/>
      <c r="DYZ1371" s="110"/>
      <c r="DZA1371" s="110"/>
      <c r="DZB1371" s="110"/>
      <c r="DZC1371" s="110"/>
      <c r="DZD1371" s="110"/>
      <c r="DZE1371" s="110"/>
      <c r="DZF1371" s="110"/>
      <c r="DZG1371" s="110"/>
      <c r="DZH1371" s="110"/>
      <c r="DZI1371" s="110"/>
      <c r="DZJ1371" s="110"/>
      <c r="DZK1371" s="110"/>
      <c r="DZL1371" s="110"/>
      <c r="DZM1371" s="110"/>
      <c r="DZN1371" s="110"/>
      <c r="DZO1371" s="110"/>
      <c r="DZP1371" s="110"/>
      <c r="DZQ1371" s="110"/>
      <c r="DZR1371" s="110"/>
      <c r="DZS1371" s="110"/>
      <c r="DZT1371" s="110"/>
      <c r="DZU1371" s="110"/>
      <c r="DZV1371" s="110"/>
      <c r="DZW1371" s="110"/>
      <c r="DZX1371" s="110"/>
      <c r="DZY1371" s="110"/>
      <c r="DZZ1371" s="110"/>
      <c r="EAA1371" s="110"/>
      <c r="EAB1371" s="110"/>
      <c r="EAC1371" s="110"/>
      <c r="EAD1371" s="110"/>
      <c r="EAE1371" s="110"/>
      <c r="EAF1371" s="110"/>
      <c r="EAG1371" s="110"/>
      <c r="EAH1371" s="110"/>
      <c r="EAI1371" s="110"/>
      <c r="EAJ1371" s="110"/>
      <c r="EAK1371" s="110"/>
      <c r="EAL1371" s="110"/>
      <c r="EAM1371" s="110"/>
      <c r="EAN1371" s="110"/>
      <c r="EAO1371" s="110"/>
      <c r="EAP1371" s="110"/>
      <c r="EAQ1371" s="110"/>
      <c r="EAR1371" s="110"/>
      <c r="EAS1371" s="110"/>
      <c r="EAT1371" s="110"/>
      <c r="EAU1371" s="110"/>
      <c r="EAV1371" s="110"/>
      <c r="EAW1371" s="110"/>
      <c r="EAX1371" s="110"/>
      <c r="EAY1371" s="110"/>
      <c r="EAZ1371" s="110"/>
      <c r="EBA1371" s="110"/>
      <c r="EBB1371" s="110"/>
      <c r="EBC1371" s="110"/>
      <c r="EBD1371" s="110"/>
      <c r="EBE1371" s="110"/>
      <c r="EBF1371" s="110"/>
      <c r="EBG1371" s="110"/>
      <c r="EBH1371" s="110"/>
      <c r="EBI1371" s="110"/>
      <c r="EBJ1371" s="110"/>
      <c r="EBK1371" s="110"/>
      <c r="EBL1371" s="110"/>
      <c r="EBM1371" s="110"/>
      <c r="EBN1371" s="110"/>
      <c r="EBO1371" s="110"/>
      <c r="EBP1371" s="110"/>
      <c r="EBQ1371" s="110"/>
      <c r="EBR1371" s="110"/>
      <c r="EBS1371" s="110"/>
      <c r="EBT1371" s="110"/>
      <c r="EBU1371" s="110"/>
      <c r="EBV1371" s="110"/>
      <c r="EBW1371" s="110"/>
      <c r="EBX1371" s="110"/>
      <c r="EBY1371" s="110"/>
      <c r="EBZ1371" s="110"/>
      <c r="ECA1371" s="110"/>
      <c r="ECB1371" s="110"/>
      <c r="ECC1371" s="110"/>
      <c r="ECD1371" s="110"/>
      <c r="ECE1371" s="110"/>
      <c r="ECF1371" s="110"/>
      <c r="ECG1371" s="110"/>
      <c r="ECH1371" s="110"/>
      <c r="ECI1371" s="110"/>
      <c r="ECJ1371" s="110"/>
      <c r="ECK1371" s="110"/>
      <c r="ECL1371" s="110"/>
      <c r="ECM1371" s="110"/>
      <c r="ECN1371" s="110"/>
      <c r="ECO1371" s="110"/>
      <c r="ECP1371" s="110"/>
      <c r="ECQ1371" s="110"/>
      <c r="ECR1371" s="110"/>
      <c r="ECS1371" s="110"/>
      <c r="ECT1371" s="110"/>
      <c r="ECU1371" s="110"/>
      <c r="ECV1371" s="110"/>
      <c r="ECW1371" s="110"/>
      <c r="ECX1371" s="110"/>
      <c r="ECY1371" s="110"/>
      <c r="ECZ1371" s="110"/>
      <c r="EDA1371" s="110"/>
      <c r="EDB1371" s="110"/>
      <c r="EDC1371" s="110"/>
      <c r="EDD1371" s="110"/>
      <c r="EDE1371" s="110"/>
      <c r="EDF1371" s="110"/>
      <c r="EDG1371" s="110"/>
      <c r="EDH1371" s="110"/>
      <c r="EDI1371" s="110"/>
      <c r="EDJ1371" s="110"/>
      <c r="EDK1371" s="110"/>
      <c r="EDL1371" s="110"/>
      <c r="EDM1371" s="110"/>
      <c r="EDN1371" s="110"/>
      <c r="EDO1371" s="110"/>
      <c r="EDP1371" s="110"/>
      <c r="EDQ1371" s="110"/>
      <c r="EDR1371" s="110"/>
      <c r="EDS1371" s="110"/>
      <c r="EDT1371" s="110"/>
      <c r="EDU1371" s="110"/>
      <c r="EDV1371" s="110"/>
      <c r="EDW1371" s="110"/>
      <c r="EDX1371" s="110"/>
      <c r="EDY1371" s="110"/>
      <c r="EDZ1371" s="110"/>
      <c r="EEA1371" s="110"/>
      <c r="EEB1371" s="110"/>
      <c r="EEC1371" s="110"/>
      <c r="EED1371" s="110"/>
      <c r="EEE1371" s="110"/>
      <c r="EEF1371" s="110"/>
      <c r="EEG1371" s="110"/>
      <c r="EEH1371" s="110"/>
      <c r="EEI1371" s="110"/>
      <c r="EEJ1371" s="110"/>
      <c r="EEK1371" s="110"/>
      <c r="EEL1371" s="110"/>
      <c r="EEM1371" s="110"/>
      <c r="EEN1371" s="110"/>
      <c r="EEO1371" s="110"/>
      <c r="EEP1371" s="110"/>
      <c r="EEQ1371" s="110"/>
      <c r="EER1371" s="110"/>
      <c r="EES1371" s="110"/>
      <c r="EET1371" s="110"/>
      <c r="EEU1371" s="110"/>
      <c r="EEV1371" s="110"/>
      <c r="EEW1371" s="110"/>
      <c r="EEX1371" s="110"/>
      <c r="EEY1371" s="110"/>
      <c r="EEZ1371" s="110"/>
      <c r="EFA1371" s="110"/>
      <c r="EFB1371" s="110"/>
      <c r="EFC1371" s="110"/>
      <c r="EFD1371" s="110"/>
      <c r="EFE1371" s="110"/>
      <c r="EFF1371" s="110"/>
      <c r="EFG1371" s="110"/>
      <c r="EFH1371" s="110"/>
      <c r="EFI1371" s="110"/>
      <c r="EFJ1371" s="110"/>
      <c r="EFK1371" s="110"/>
      <c r="EFL1371" s="110"/>
      <c r="EFM1371" s="110"/>
      <c r="EFN1371" s="110"/>
      <c r="EFO1371" s="110"/>
      <c r="EFP1371" s="110"/>
      <c r="EFQ1371" s="110"/>
      <c r="EFR1371" s="110"/>
      <c r="EFS1371" s="110"/>
      <c r="EFT1371" s="110"/>
      <c r="EFU1371" s="110"/>
      <c r="EFV1371" s="110"/>
      <c r="EFW1371" s="110"/>
      <c r="EFX1371" s="110"/>
      <c r="EFY1371" s="110"/>
      <c r="EFZ1371" s="110"/>
      <c r="EGA1371" s="110"/>
      <c r="EGB1371" s="110"/>
      <c r="EGC1371" s="110"/>
      <c r="EGD1371" s="110"/>
      <c r="EGE1371" s="110"/>
      <c r="EGF1371" s="110"/>
      <c r="EGG1371" s="110"/>
      <c r="EGH1371" s="110"/>
      <c r="EGI1371" s="110"/>
      <c r="EGJ1371" s="110"/>
      <c r="EGK1371" s="110"/>
      <c r="EGL1371" s="110"/>
      <c r="EGM1371" s="110"/>
      <c r="EGN1371" s="110"/>
      <c r="EGO1371" s="110"/>
      <c r="EGP1371" s="110"/>
      <c r="EGQ1371" s="110"/>
      <c r="EGR1371" s="110"/>
      <c r="EGS1371" s="110"/>
      <c r="EGT1371" s="110"/>
      <c r="EGU1371" s="110"/>
      <c r="EGV1371" s="110"/>
      <c r="EGW1371" s="110"/>
      <c r="EGX1371" s="110"/>
      <c r="EGY1371" s="110"/>
      <c r="EGZ1371" s="110"/>
      <c r="EHA1371" s="110"/>
      <c r="EHB1371" s="110"/>
      <c r="EHC1371" s="110"/>
      <c r="EHD1371" s="110"/>
      <c r="EHE1371" s="110"/>
      <c r="EHF1371" s="110"/>
      <c r="EHG1371" s="110"/>
      <c r="EHH1371" s="110"/>
      <c r="EHI1371" s="110"/>
      <c r="EHJ1371" s="110"/>
      <c r="EHK1371" s="110"/>
      <c r="EHL1371" s="110"/>
      <c r="EHM1371" s="110"/>
      <c r="EHN1371" s="110"/>
      <c r="EHO1371" s="110"/>
      <c r="EHP1371" s="110"/>
      <c r="EHQ1371" s="110"/>
      <c r="EHR1371" s="110"/>
      <c r="EHS1371" s="110"/>
      <c r="EHT1371" s="110"/>
      <c r="EHU1371" s="110"/>
      <c r="EHV1371" s="110"/>
      <c r="EHW1371" s="110"/>
      <c r="EHX1371" s="110"/>
      <c r="EHY1371" s="110"/>
      <c r="EHZ1371" s="110"/>
      <c r="EIA1371" s="110"/>
      <c r="EIB1371" s="110"/>
      <c r="EIC1371" s="110"/>
      <c r="EID1371" s="110"/>
      <c r="EIE1371" s="110"/>
      <c r="EIF1371" s="110"/>
      <c r="EIG1371" s="110"/>
      <c r="EIH1371" s="110"/>
      <c r="EII1371" s="110"/>
      <c r="EIJ1371" s="110"/>
      <c r="EIK1371" s="110"/>
      <c r="EIL1371" s="110"/>
      <c r="EIM1371" s="110"/>
      <c r="EIN1371" s="110"/>
      <c r="EIO1371" s="110"/>
      <c r="EIP1371" s="110"/>
      <c r="EIQ1371" s="110"/>
      <c r="EIR1371" s="110"/>
      <c r="EIS1371" s="110"/>
      <c r="EIT1371" s="110"/>
      <c r="EIU1371" s="110"/>
      <c r="EIV1371" s="110"/>
      <c r="EIW1371" s="110"/>
      <c r="EIX1371" s="110"/>
      <c r="EIY1371" s="110"/>
      <c r="EIZ1371" s="110"/>
      <c r="EJA1371" s="110"/>
      <c r="EJB1371" s="110"/>
      <c r="EJC1371" s="110"/>
      <c r="EJD1371" s="110"/>
      <c r="EJE1371" s="110"/>
      <c r="EJF1371" s="110"/>
      <c r="EJG1371" s="110"/>
      <c r="EJH1371" s="110"/>
      <c r="EJI1371" s="110"/>
      <c r="EJJ1371" s="110"/>
      <c r="EJK1371" s="110"/>
      <c r="EJL1371" s="110"/>
      <c r="EJM1371" s="110"/>
      <c r="EJN1371" s="110"/>
      <c r="EJO1371" s="110"/>
      <c r="EJP1371" s="110"/>
      <c r="EJQ1371" s="110"/>
      <c r="EJR1371" s="110"/>
      <c r="EJS1371" s="110"/>
      <c r="EJT1371" s="110"/>
      <c r="EJU1371" s="110"/>
      <c r="EJV1371" s="110"/>
      <c r="EJW1371" s="110"/>
      <c r="EJX1371" s="110"/>
      <c r="EJY1371" s="110"/>
      <c r="EJZ1371" s="110"/>
      <c r="EKA1371" s="110"/>
      <c r="EKB1371" s="110"/>
      <c r="EKC1371" s="110"/>
      <c r="EKD1371" s="110"/>
      <c r="EKE1371" s="110"/>
      <c r="EKF1371" s="110"/>
      <c r="EKG1371" s="110"/>
      <c r="EKH1371" s="110"/>
      <c r="EKI1371" s="110"/>
      <c r="EKJ1371" s="110"/>
      <c r="EKK1371" s="110"/>
      <c r="EKL1371" s="110"/>
      <c r="EKM1371" s="110"/>
      <c r="EKN1371" s="110"/>
      <c r="EKO1371" s="110"/>
      <c r="EKP1371" s="110"/>
      <c r="EKQ1371" s="110"/>
      <c r="EKR1371" s="110"/>
      <c r="EKS1371" s="110"/>
      <c r="EKT1371" s="110"/>
      <c r="EKU1371" s="110"/>
      <c r="EKV1371" s="110"/>
      <c r="EKW1371" s="110"/>
      <c r="EKX1371" s="110"/>
      <c r="EKY1371" s="110"/>
      <c r="EKZ1371" s="110"/>
      <c r="ELA1371" s="110"/>
      <c r="ELB1371" s="110"/>
      <c r="ELC1371" s="110"/>
      <c r="ELD1371" s="110"/>
      <c r="ELE1371" s="110"/>
      <c r="ELF1371" s="110"/>
      <c r="ELG1371" s="110"/>
      <c r="ELH1371" s="110"/>
      <c r="ELI1371" s="110"/>
      <c r="ELJ1371" s="110"/>
      <c r="ELK1371" s="110"/>
      <c r="ELL1371" s="110"/>
      <c r="ELM1371" s="110"/>
      <c r="ELN1371" s="110"/>
      <c r="ELO1371" s="110"/>
      <c r="ELP1371" s="110"/>
      <c r="ELQ1371" s="110"/>
      <c r="ELR1371" s="110"/>
      <c r="ELS1371" s="110"/>
      <c r="ELT1371" s="110"/>
      <c r="ELU1371" s="110"/>
      <c r="ELV1371" s="110"/>
      <c r="ELW1371" s="110"/>
      <c r="ELX1371" s="110"/>
      <c r="ELY1371" s="110"/>
      <c r="ELZ1371" s="110"/>
      <c r="EMA1371" s="110"/>
      <c r="EMB1371" s="110"/>
      <c r="EMC1371" s="110"/>
      <c r="EMD1371" s="110"/>
      <c r="EME1371" s="110"/>
      <c r="EMF1371" s="110"/>
      <c r="EMG1371" s="110"/>
      <c r="EMH1371" s="110"/>
      <c r="EMI1371" s="110"/>
      <c r="EMJ1371" s="110"/>
      <c r="EMK1371" s="110"/>
      <c r="EML1371" s="110"/>
      <c r="EMM1371" s="110"/>
      <c r="EMN1371" s="110"/>
      <c r="EMO1371" s="110"/>
      <c r="EMP1371" s="110"/>
      <c r="EMQ1371" s="110"/>
      <c r="EMR1371" s="110"/>
      <c r="EMS1371" s="110"/>
      <c r="EMT1371" s="110"/>
      <c r="EMU1371" s="110"/>
      <c r="EMV1371" s="110"/>
      <c r="EMW1371" s="110"/>
      <c r="EMX1371" s="110"/>
      <c r="EMY1371" s="110"/>
      <c r="EMZ1371" s="110"/>
      <c r="ENA1371" s="110"/>
      <c r="ENB1371" s="110"/>
      <c r="ENC1371" s="110"/>
      <c r="END1371" s="110"/>
      <c r="ENE1371" s="110"/>
      <c r="ENF1371" s="110"/>
      <c r="ENG1371" s="110"/>
      <c r="ENH1371" s="110"/>
      <c r="ENI1371" s="110"/>
      <c r="ENJ1371" s="110"/>
      <c r="ENK1371" s="110"/>
      <c r="ENL1371" s="110"/>
      <c r="ENM1371" s="110"/>
      <c r="ENN1371" s="110"/>
      <c r="ENO1371" s="110"/>
      <c r="ENP1371" s="110"/>
      <c r="ENQ1371" s="110"/>
      <c r="ENR1371" s="110"/>
      <c r="ENS1371" s="110"/>
      <c r="ENT1371" s="110"/>
      <c r="ENU1371" s="110"/>
      <c r="ENV1371" s="110"/>
      <c r="ENW1371" s="110"/>
      <c r="ENX1371" s="110"/>
      <c r="ENY1371" s="110"/>
      <c r="ENZ1371" s="110"/>
      <c r="EOA1371" s="110"/>
      <c r="EOB1371" s="110"/>
      <c r="EOC1371" s="110"/>
      <c r="EOD1371" s="110"/>
      <c r="EOE1371" s="110"/>
      <c r="EOF1371" s="110"/>
      <c r="EOG1371" s="110"/>
      <c r="EOH1371" s="110"/>
      <c r="EOI1371" s="110"/>
      <c r="EOJ1371" s="110"/>
      <c r="EOK1371" s="110"/>
      <c r="EOL1371" s="110"/>
      <c r="EOM1371" s="110"/>
      <c r="EON1371" s="110"/>
      <c r="EOO1371" s="110"/>
      <c r="EOP1371" s="110"/>
      <c r="EOQ1371" s="110"/>
      <c r="EOR1371" s="110"/>
      <c r="EOS1371" s="110"/>
      <c r="EOT1371" s="110"/>
      <c r="EOU1371" s="110"/>
      <c r="EOV1371" s="110"/>
      <c r="EOW1371" s="110"/>
      <c r="EOX1371" s="110"/>
      <c r="EOY1371" s="110"/>
      <c r="EOZ1371" s="110"/>
      <c r="EPA1371" s="110"/>
      <c r="EPB1371" s="110"/>
      <c r="EPC1371" s="110"/>
      <c r="EPD1371" s="110"/>
      <c r="EPE1371" s="110"/>
      <c r="EPF1371" s="110"/>
      <c r="EPG1371" s="110"/>
      <c r="EPH1371" s="110"/>
      <c r="EPI1371" s="110"/>
      <c r="EPJ1371" s="110"/>
      <c r="EPK1371" s="110"/>
      <c r="EPL1371" s="110"/>
      <c r="EPM1371" s="110"/>
      <c r="EPN1371" s="110"/>
      <c r="EPO1371" s="110"/>
      <c r="EPP1371" s="110"/>
      <c r="EPQ1371" s="110"/>
      <c r="EPR1371" s="110"/>
      <c r="EPS1371" s="110"/>
      <c r="EPT1371" s="110"/>
      <c r="EPU1371" s="110"/>
      <c r="EPV1371" s="110"/>
      <c r="EPW1371" s="110"/>
      <c r="EPX1371" s="110"/>
      <c r="EPY1371" s="110"/>
      <c r="EPZ1371" s="110"/>
      <c r="EQA1371" s="110"/>
      <c r="EQB1371" s="110"/>
      <c r="EQC1371" s="110"/>
      <c r="EQD1371" s="110"/>
      <c r="EQE1371" s="110"/>
      <c r="EQF1371" s="110"/>
      <c r="EQG1371" s="110"/>
      <c r="EQH1371" s="110"/>
      <c r="EQI1371" s="110"/>
      <c r="EQJ1371" s="110"/>
      <c r="EQK1371" s="110"/>
      <c r="EQL1371" s="110"/>
      <c r="EQM1371" s="110"/>
      <c r="EQN1371" s="110"/>
      <c r="EQO1371" s="110"/>
      <c r="EQP1371" s="110"/>
      <c r="EQQ1371" s="110"/>
      <c r="EQR1371" s="110"/>
      <c r="EQS1371" s="110"/>
      <c r="EQT1371" s="110"/>
      <c r="EQU1371" s="110"/>
      <c r="EQV1371" s="110"/>
      <c r="EQW1371" s="110"/>
      <c r="EQX1371" s="110"/>
      <c r="EQY1371" s="110"/>
      <c r="EQZ1371" s="110"/>
      <c r="ERA1371" s="110"/>
      <c r="ERB1371" s="110"/>
      <c r="ERC1371" s="110"/>
      <c r="ERD1371" s="110"/>
      <c r="ERE1371" s="110"/>
      <c r="ERF1371" s="110"/>
      <c r="ERG1371" s="110"/>
      <c r="ERH1371" s="110"/>
      <c r="ERI1371" s="110"/>
      <c r="ERJ1371" s="110"/>
      <c r="ERK1371" s="110"/>
      <c r="ERL1371" s="110"/>
      <c r="ERM1371" s="110"/>
      <c r="ERN1371" s="110"/>
      <c r="ERO1371" s="110"/>
      <c r="ERP1371" s="110"/>
      <c r="ERQ1371" s="110"/>
      <c r="ERR1371" s="110"/>
      <c r="ERS1371" s="110"/>
      <c r="ERT1371" s="110"/>
      <c r="ERU1371" s="110"/>
      <c r="ERV1371" s="110"/>
      <c r="ERW1371" s="110"/>
      <c r="ERX1371" s="110"/>
      <c r="ERY1371" s="110"/>
      <c r="ERZ1371" s="110"/>
      <c r="ESA1371" s="110"/>
      <c r="ESB1371" s="110"/>
      <c r="ESC1371" s="110"/>
      <c r="ESD1371" s="110"/>
      <c r="ESE1371" s="110"/>
      <c r="ESF1371" s="110"/>
      <c r="ESG1371" s="110"/>
      <c r="ESH1371" s="110"/>
      <c r="ESI1371" s="110"/>
      <c r="ESJ1371" s="110"/>
      <c r="ESK1371" s="110"/>
      <c r="ESL1371" s="110"/>
      <c r="ESM1371" s="110"/>
      <c r="ESN1371" s="110"/>
      <c r="ESO1371" s="110"/>
      <c r="ESP1371" s="110"/>
      <c r="ESQ1371" s="110"/>
      <c r="ESR1371" s="110"/>
      <c r="ESS1371" s="110"/>
      <c r="EST1371" s="110"/>
      <c r="ESU1371" s="110"/>
      <c r="ESV1371" s="110"/>
      <c r="ESW1371" s="110"/>
      <c r="ESX1371" s="110"/>
      <c r="ESY1371" s="110"/>
      <c r="ESZ1371" s="110"/>
      <c r="ETA1371" s="110"/>
      <c r="ETB1371" s="110"/>
      <c r="ETC1371" s="110"/>
      <c r="ETD1371" s="110"/>
      <c r="ETE1371" s="110"/>
      <c r="ETF1371" s="110"/>
      <c r="ETG1371" s="110"/>
      <c r="ETH1371" s="110"/>
      <c r="ETI1371" s="110"/>
      <c r="ETJ1371" s="110"/>
      <c r="ETK1371" s="110"/>
      <c r="ETL1371" s="110"/>
      <c r="ETM1371" s="110"/>
      <c r="ETN1371" s="110"/>
      <c r="ETO1371" s="110"/>
      <c r="ETP1371" s="110"/>
      <c r="ETQ1371" s="110"/>
      <c r="ETR1371" s="110"/>
      <c r="ETS1371" s="110"/>
      <c r="ETT1371" s="110"/>
      <c r="ETU1371" s="110"/>
      <c r="ETV1371" s="110"/>
      <c r="ETW1371" s="110"/>
      <c r="ETX1371" s="110"/>
      <c r="ETY1371" s="110"/>
      <c r="ETZ1371" s="110"/>
      <c r="EUA1371" s="110"/>
      <c r="EUB1371" s="110"/>
      <c r="EUC1371" s="110"/>
      <c r="EUD1371" s="110"/>
      <c r="EUE1371" s="110"/>
      <c r="EUF1371" s="110"/>
      <c r="EUG1371" s="110"/>
      <c r="EUH1371" s="110"/>
      <c r="EUI1371" s="110"/>
      <c r="EUJ1371" s="110"/>
      <c r="EUK1371" s="110"/>
      <c r="EUL1371" s="110"/>
      <c r="EUM1371" s="110"/>
      <c r="EUN1371" s="110"/>
      <c r="EUO1371" s="110"/>
      <c r="EUP1371" s="110"/>
      <c r="EUQ1371" s="110"/>
      <c r="EUR1371" s="110"/>
      <c r="EUS1371" s="110"/>
      <c r="EUT1371" s="110"/>
      <c r="EUU1371" s="110"/>
      <c r="EUV1371" s="110"/>
      <c r="EUW1371" s="110"/>
      <c r="EUX1371" s="110"/>
      <c r="EUY1371" s="110"/>
      <c r="EUZ1371" s="110"/>
      <c r="EVA1371" s="110"/>
      <c r="EVB1371" s="110"/>
      <c r="EVC1371" s="110"/>
      <c r="EVD1371" s="110"/>
      <c r="EVE1371" s="110"/>
      <c r="EVF1371" s="110"/>
      <c r="EVG1371" s="110"/>
      <c r="EVH1371" s="110"/>
      <c r="EVI1371" s="110"/>
      <c r="EVJ1371" s="110"/>
      <c r="EVK1371" s="110"/>
      <c r="EVL1371" s="110"/>
      <c r="EVM1371" s="110"/>
      <c r="EVN1371" s="110"/>
      <c r="EVO1371" s="110"/>
      <c r="EVP1371" s="110"/>
      <c r="EVQ1371" s="110"/>
      <c r="EVR1371" s="110"/>
      <c r="EVS1371" s="110"/>
      <c r="EVT1371" s="110"/>
      <c r="EVU1371" s="110"/>
      <c r="EVV1371" s="110"/>
      <c r="EVW1371" s="110"/>
      <c r="EVX1371" s="110"/>
      <c r="EVY1371" s="110"/>
      <c r="EVZ1371" s="110"/>
      <c r="EWA1371" s="110"/>
      <c r="EWB1371" s="110"/>
      <c r="EWC1371" s="110"/>
      <c r="EWD1371" s="110"/>
      <c r="EWE1371" s="110"/>
      <c r="EWF1371" s="110"/>
      <c r="EWG1371" s="110"/>
      <c r="EWH1371" s="110"/>
      <c r="EWI1371" s="110"/>
      <c r="EWJ1371" s="110"/>
      <c r="EWK1371" s="110"/>
      <c r="EWL1371" s="110"/>
      <c r="EWM1371" s="110"/>
      <c r="EWN1371" s="110"/>
      <c r="EWO1371" s="110"/>
      <c r="EWP1371" s="110"/>
      <c r="EWQ1371" s="110"/>
      <c r="EWR1371" s="110"/>
      <c r="EWS1371" s="110"/>
      <c r="EWT1371" s="110"/>
      <c r="EWU1371" s="110"/>
      <c r="EWV1371" s="110"/>
      <c r="EWW1371" s="110"/>
      <c r="EWX1371" s="110"/>
      <c r="EWY1371" s="110"/>
      <c r="EWZ1371" s="110"/>
      <c r="EXA1371" s="110"/>
      <c r="EXB1371" s="110"/>
      <c r="EXC1371" s="110"/>
      <c r="EXD1371" s="110"/>
      <c r="EXE1371" s="110"/>
      <c r="EXF1371" s="110"/>
      <c r="EXG1371" s="110"/>
      <c r="EXH1371" s="110"/>
      <c r="EXI1371" s="110"/>
      <c r="EXJ1371" s="110"/>
      <c r="EXK1371" s="110"/>
      <c r="EXL1371" s="110"/>
      <c r="EXM1371" s="110"/>
      <c r="EXN1371" s="110"/>
      <c r="EXO1371" s="110"/>
      <c r="EXP1371" s="110"/>
      <c r="EXQ1371" s="110"/>
      <c r="EXR1371" s="110"/>
      <c r="EXS1371" s="110"/>
      <c r="EXT1371" s="110"/>
      <c r="EXU1371" s="110"/>
      <c r="EXV1371" s="110"/>
      <c r="EXW1371" s="110"/>
      <c r="EXX1371" s="110"/>
      <c r="EXY1371" s="110"/>
      <c r="EXZ1371" s="110"/>
      <c r="EYA1371" s="110"/>
      <c r="EYB1371" s="110"/>
      <c r="EYC1371" s="110"/>
      <c r="EYD1371" s="110"/>
      <c r="EYE1371" s="110"/>
      <c r="EYF1371" s="110"/>
      <c r="EYG1371" s="110"/>
      <c r="EYH1371" s="110"/>
      <c r="EYI1371" s="110"/>
      <c r="EYJ1371" s="110"/>
      <c r="EYK1371" s="110"/>
      <c r="EYL1371" s="110"/>
      <c r="EYM1371" s="110"/>
      <c r="EYN1371" s="110"/>
      <c r="EYO1371" s="110"/>
      <c r="EYP1371" s="110"/>
      <c r="EYQ1371" s="110"/>
      <c r="EYR1371" s="110"/>
      <c r="EYS1371" s="110"/>
      <c r="EYT1371" s="110"/>
      <c r="EYU1371" s="110"/>
      <c r="EYV1371" s="110"/>
      <c r="EYW1371" s="110"/>
      <c r="EYX1371" s="110"/>
      <c r="EYY1371" s="110"/>
      <c r="EYZ1371" s="110"/>
      <c r="EZA1371" s="110"/>
      <c r="EZB1371" s="110"/>
      <c r="EZC1371" s="110"/>
      <c r="EZD1371" s="110"/>
      <c r="EZE1371" s="110"/>
      <c r="EZF1371" s="110"/>
      <c r="EZG1371" s="110"/>
      <c r="EZH1371" s="110"/>
      <c r="EZI1371" s="110"/>
      <c r="EZJ1371" s="110"/>
      <c r="EZK1371" s="110"/>
      <c r="EZL1371" s="110"/>
      <c r="EZM1371" s="110"/>
      <c r="EZN1371" s="110"/>
      <c r="EZO1371" s="110"/>
      <c r="EZP1371" s="110"/>
      <c r="EZQ1371" s="110"/>
      <c r="EZR1371" s="110"/>
      <c r="EZS1371" s="110"/>
      <c r="EZT1371" s="110"/>
      <c r="EZU1371" s="110"/>
      <c r="EZV1371" s="110"/>
      <c r="EZW1371" s="110"/>
      <c r="EZX1371" s="110"/>
      <c r="EZY1371" s="110"/>
      <c r="EZZ1371" s="110"/>
      <c r="FAA1371" s="110"/>
      <c r="FAB1371" s="110"/>
      <c r="FAC1371" s="110"/>
      <c r="FAD1371" s="110"/>
      <c r="FAE1371" s="110"/>
      <c r="FAF1371" s="110"/>
      <c r="FAG1371" s="110"/>
      <c r="FAH1371" s="110"/>
      <c r="FAI1371" s="110"/>
      <c r="FAJ1371" s="110"/>
      <c r="FAK1371" s="110"/>
      <c r="FAL1371" s="110"/>
      <c r="FAM1371" s="110"/>
      <c r="FAN1371" s="110"/>
      <c r="FAO1371" s="110"/>
      <c r="FAP1371" s="110"/>
      <c r="FAQ1371" s="110"/>
      <c r="FAR1371" s="110"/>
      <c r="FAS1371" s="110"/>
      <c r="FAT1371" s="110"/>
      <c r="FAU1371" s="110"/>
      <c r="FAV1371" s="110"/>
      <c r="FAW1371" s="110"/>
      <c r="FAX1371" s="110"/>
      <c r="FAY1371" s="110"/>
      <c r="FAZ1371" s="110"/>
      <c r="FBA1371" s="110"/>
      <c r="FBB1371" s="110"/>
      <c r="FBC1371" s="110"/>
      <c r="FBD1371" s="110"/>
      <c r="FBE1371" s="110"/>
      <c r="FBF1371" s="110"/>
      <c r="FBG1371" s="110"/>
      <c r="FBH1371" s="110"/>
      <c r="FBI1371" s="110"/>
      <c r="FBJ1371" s="110"/>
      <c r="FBK1371" s="110"/>
      <c r="FBL1371" s="110"/>
      <c r="FBM1371" s="110"/>
      <c r="FBN1371" s="110"/>
      <c r="FBO1371" s="110"/>
      <c r="FBP1371" s="110"/>
      <c r="FBQ1371" s="110"/>
      <c r="FBR1371" s="110"/>
      <c r="FBS1371" s="110"/>
      <c r="FBT1371" s="110"/>
      <c r="FBU1371" s="110"/>
      <c r="FBV1371" s="110"/>
      <c r="FBW1371" s="110"/>
      <c r="FBX1371" s="110"/>
      <c r="FBY1371" s="110"/>
      <c r="FBZ1371" s="110"/>
      <c r="FCA1371" s="110"/>
      <c r="FCB1371" s="110"/>
      <c r="FCC1371" s="110"/>
      <c r="FCD1371" s="110"/>
      <c r="FCE1371" s="110"/>
      <c r="FCF1371" s="110"/>
      <c r="FCG1371" s="110"/>
      <c r="FCH1371" s="110"/>
      <c r="FCI1371" s="110"/>
      <c r="FCJ1371" s="110"/>
      <c r="FCK1371" s="110"/>
      <c r="FCL1371" s="110"/>
      <c r="FCM1371" s="110"/>
      <c r="FCN1371" s="110"/>
      <c r="FCO1371" s="110"/>
      <c r="FCP1371" s="110"/>
      <c r="FCQ1371" s="110"/>
      <c r="FCR1371" s="110"/>
      <c r="FCS1371" s="110"/>
      <c r="FCT1371" s="110"/>
      <c r="FCU1371" s="110"/>
      <c r="FCV1371" s="110"/>
      <c r="FCW1371" s="110"/>
      <c r="FCX1371" s="110"/>
      <c r="FCY1371" s="110"/>
      <c r="FCZ1371" s="110"/>
      <c r="FDA1371" s="110"/>
      <c r="FDB1371" s="110"/>
      <c r="FDC1371" s="110"/>
      <c r="FDD1371" s="110"/>
      <c r="FDE1371" s="110"/>
      <c r="FDF1371" s="110"/>
      <c r="FDG1371" s="110"/>
      <c r="FDH1371" s="110"/>
      <c r="FDI1371" s="110"/>
      <c r="FDJ1371" s="110"/>
      <c r="FDK1371" s="110"/>
      <c r="FDL1371" s="110"/>
      <c r="FDM1371" s="110"/>
      <c r="FDN1371" s="110"/>
      <c r="FDO1371" s="110"/>
      <c r="FDP1371" s="110"/>
      <c r="FDQ1371" s="110"/>
      <c r="FDR1371" s="110"/>
      <c r="FDS1371" s="110"/>
      <c r="FDT1371" s="110"/>
      <c r="FDU1371" s="110"/>
      <c r="FDV1371" s="110"/>
      <c r="FDW1371" s="110"/>
      <c r="FDX1371" s="110"/>
      <c r="FDY1371" s="110"/>
      <c r="FDZ1371" s="110"/>
      <c r="FEA1371" s="110"/>
      <c r="FEB1371" s="110"/>
      <c r="FEC1371" s="110"/>
      <c r="FED1371" s="110"/>
      <c r="FEE1371" s="110"/>
      <c r="FEF1371" s="110"/>
      <c r="FEG1371" s="110"/>
      <c r="FEH1371" s="110"/>
      <c r="FEI1371" s="110"/>
      <c r="FEJ1371" s="110"/>
      <c r="FEK1371" s="110"/>
      <c r="FEL1371" s="110"/>
      <c r="FEM1371" s="110"/>
      <c r="FEN1371" s="110"/>
      <c r="FEO1371" s="110"/>
      <c r="FEP1371" s="110"/>
      <c r="FEQ1371" s="110"/>
      <c r="FER1371" s="110"/>
      <c r="FES1371" s="110"/>
      <c r="FET1371" s="110"/>
      <c r="FEU1371" s="110"/>
      <c r="FEV1371" s="110"/>
      <c r="FEW1371" s="110"/>
      <c r="FEX1371" s="110"/>
      <c r="FEY1371" s="110"/>
      <c r="FEZ1371" s="110"/>
      <c r="FFA1371" s="110"/>
      <c r="FFB1371" s="110"/>
      <c r="FFC1371" s="110"/>
      <c r="FFD1371" s="110"/>
      <c r="FFE1371" s="110"/>
      <c r="FFF1371" s="110"/>
      <c r="FFG1371" s="110"/>
      <c r="FFH1371" s="110"/>
      <c r="FFI1371" s="110"/>
      <c r="FFJ1371" s="110"/>
      <c r="FFK1371" s="110"/>
      <c r="FFL1371" s="110"/>
      <c r="FFM1371" s="110"/>
      <c r="FFN1371" s="110"/>
      <c r="FFO1371" s="110"/>
      <c r="FFP1371" s="110"/>
      <c r="FFQ1371" s="110"/>
      <c r="FFR1371" s="110"/>
      <c r="FFS1371" s="110"/>
      <c r="FFT1371" s="110"/>
      <c r="FFU1371" s="110"/>
      <c r="FFV1371" s="110"/>
      <c r="FFW1371" s="110"/>
      <c r="FFX1371" s="110"/>
      <c r="FFY1371" s="110"/>
      <c r="FFZ1371" s="110"/>
      <c r="FGA1371" s="110"/>
      <c r="FGB1371" s="110"/>
      <c r="FGC1371" s="110"/>
      <c r="FGD1371" s="110"/>
      <c r="FGE1371" s="110"/>
      <c r="FGF1371" s="110"/>
      <c r="FGG1371" s="110"/>
      <c r="FGH1371" s="110"/>
      <c r="FGI1371" s="110"/>
      <c r="FGJ1371" s="110"/>
      <c r="FGK1371" s="110"/>
      <c r="FGL1371" s="110"/>
      <c r="FGM1371" s="110"/>
      <c r="FGN1371" s="110"/>
      <c r="FGO1371" s="110"/>
      <c r="FGP1371" s="110"/>
      <c r="FGQ1371" s="110"/>
      <c r="FGR1371" s="110"/>
      <c r="FGS1371" s="110"/>
      <c r="FGT1371" s="110"/>
      <c r="FGU1371" s="110"/>
      <c r="FGV1371" s="110"/>
      <c r="FGW1371" s="110"/>
      <c r="FGX1371" s="110"/>
      <c r="FGY1371" s="110"/>
      <c r="FGZ1371" s="110"/>
      <c r="FHA1371" s="110"/>
      <c r="FHB1371" s="110"/>
      <c r="FHC1371" s="110"/>
      <c r="FHD1371" s="110"/>
      <c r="FHE1371" s="110"/>
      <c r="FHF1371" s="110"/>
      <c r="FHG1371" s="110"/>
      <c r="FHH1371" s="110"/>
      <c r="FHI1371" s="110"/>
      <c r="FHJ1371" s="110"/>
      <c r="FHK1371" s="110"/>
      <c r="FHL1371" s="110"/>
      <c r="FHM1371" s="110"/>
      <c r="FHN1371" s="110"/>
      <c r="FHO1371" s="110"/>
      <c r="FHP1371" s="110"/>
      <c r="FHQ1371" s="110"/>
      <c r="FHR1371" s="110"/>
      <c r="FHS1371" s="110"/>
      <c r="FHT1371" s="110"/>
      <c r="FHU1371" s="110"/>
      <c r="FHV1371" s="110"/>
      <c r="FHW1371" s="110"/>
      <c r="FHX1371" s="110"/>
      <c r="FHY1371" s="110"/>
      <c r="FHZ1371" s="110"/>
      <c r="FIA1371" s="110"/>
      <c r="FIB1371" s="110"/>
      <c r="FIC1371" s="110"/>
      <c r="FID1371" s="110"/>
      <c r="FIE1371" s="110"/>
      <c r="FIF1371" s="110"/>
      <c r="FIG1371" s="110"/>
      <c r="FIH1371" s="110"/>
      <c r="FII1371" s="110"/>
      <c r="FIJ1371" s="110"/>
      <c r="FIK1371" s="110"/>
      <c r="FIL1371" s="110"/>
      <c r="FIM1371" s="110"/>
      <c r="FIN1371" s="110"/>
      <c r="FIO1371" s="110"/>
      <c r="FIP1371" s="110"/>
      <c r="FIQ1371" s="110"/>
      <c r="FIR1371" s="110"/>
      <c r="FIS1371" s="110"/>
      <c r="FIT1371" s="110"/>
      <c r="FIU1371" s="110"/>
      <c r="FIV1371" s="110"/>
      <c r="FIW1371" s="110"/>
      <c r="FIX1371" s="110"/>
      <c r="FIY1371" s="110"/>
      <c r="FIZ1371" s="110"/>
      <c r="FJA1371" s="110"/>
      <c r="FJB1371" s="110"/>
      <c r="FJC1371" s="110"/>
      <c r="FJD1371" s="110"/>
      <c r="FJE1371" s="110"/>
      <c r="FJF1371" s="110"/>
      <c r="FJG1371" s="110"/>
      <c r="FJH1371" s="110"/>
      <c r="FJI1371" s="110"/>
      <c r="FJJ1371" s="110"/>
      <c r="FJK1371" s="110"/>
      <c r="FJL1371" s="110"/>
      <c r="FJM1371" s="110"/>
      <c r="FJN1371" s="110"/>
      <c r="FJO1371" s="110"/>
      <c r="FJP1371" s="110"/>
      <c r="FJQ1371" s="110"/>
      <c r="FJR1371" s="110"/>
      <c r="FJS1371" s="110"/>
      <c r="FJT1371" s="110"/>
      <c r="FJU1371" s="110"/>
      <c r="FJV1371" s="110"/>
      <c r="FJW1371" s="110"/>
      <c r="FJX1371" s="110"/>
      <c r="FJY1371" s="110"/>
      <c r="FJZ1371" s="110"/>
      <c r="FKA1371" s="110"/>
      <c r="FKB1371" s="110"/>
      <c r="FKC1371" s="110"/>
      <c r="FKD1371" s="110"/>
      <c r="FKE1371" s="110"/>
      <c r="FKF1371" s="110"/>
      <c r="FKG1371" s="110"/>
      <c r="FKH1371" s="110"/>
      <c r="FKI1371" s="110"/>
      <c r="FKJ1371" s="110"/>
      <c r="FKK1371" s="110"/>
      <c r="FKL1371" s="110"/>
      <c r="FKM1371" s="110"/>
      <c r="FKN1371" s="110"/>
      <c r="FKO1371" s="110"/>
      <c r="FKP1371" s="110"/>
      <c r="FKQ1371" s="110"/>
      <c r="FKR1371" s="110"/>
      <c r="FKS1371" s="110"/>
      <c r="FKT1371" s="110"/>
      <c r="FKU1371" s="110"/>
      <c r="FKV1371" s="110"/>
      <c r="FKW1371" s="110"/>
      <c r="FKX1371" s="110"/>
      <c r="FKY1371" s="110"/>
      <c r="FKZ1371" s="110"/>
      <c r="FLA1371" s="110"/>
      <c r="FLB1371" s="110"/>
      <c r="FLC1371" s="110"/>
      <c r="FLD1371" s="110"/>
      <c r="FLE1371" s="110"/>
      <c r="FLF1371" s="110"/>
      <c r="FLG1371" s="110"/>
      <c r="FLH1371" s="110"/>
      <c r="FLI1371" s="110"/>
      <c r="FLJ1371" s="110"/>
      <c r="FLK1371" s="110"/>
      <c r="FLL1371" s="110"/>
      <c r="FLM1371" s="110"/>
      <c r="FLN1371" s="110"/>
      <c r="FLO1371" s="110"/>
      <c r="FLP1371" s="110"/>
      <c r="FLQ1371" s="110"/>
      <c r="FLR1371" s="110"/>
      <c r="FLS1371" s="110"/>
      <c r="FLT1371" s="110"/>
      <c r="FLU1371" s="110"/>
      <c r="FLV1371" s="110"/>
      <c r="FLW1371" s="110"/>
      <c r="FLX1371" s="110"/>
      <c r="FLY1371" s="110"/>
      <c r="FLZ1371" s="110"/>
      <c r="FMA1371" s="110"/>
      <c r="FMB1371" s="110"/>
      <c r="FMC1371" s="110"/>
      <c r="FMD1371" s="110"/>
      <c r="FME1371" s="110"/>
      <c r="FMF1371" s="110"/>
      <c r="FMG1371" s="110"/>
      <c r="FMH1371" s="110"/>
      <c r="FMI1371" s="110"/>
      <c r="FMJ1371" s="110"/>
      <c r="FMK1371" s="110"/>
      <c r="FML1371" s="110"/>
      <c r="FMM1371" s="110"/>
      <c r="FMN1371" s="110"/>
      <c r="FMO1371" s="110"/>
      <c r="FMP1371" s="110"/>
      <c r="FMQ1371" s="110"/>
      <c r="FMR1371" s="110"/>
      <c r="FMS1371" s="110"/>
      <c r="FMT1371" s="110"/>
      <c r="FMU1371" s="110"/>
      <c r="FMV1371" s="110"/>
      <c r="FMW1371" s="110"/>
      <c r="FMX1371" s="110"/>
      <c r="FMY1371" s="110"/>
      <c r="FMZ1371" s="110"/>
      <c r="FNA1371" s="110"/>
      <c r="FNB1371" s="110"/>
      <c r="FNC1371" s="110"/>
      <c r="FND1371" s="110"/>
      <c r="FNE1371" s="110"/>
      <c r="FNF1371" s="110"/>
      <c r="FNG1371" s="110"/>
      <c r="FNH1371" s="110"/>
      <c r="FNI1371" s="110"/>
      <c r="FNJ1371" s="110"/>
      <c r="FNK1371" s="110"/>
      <c r="FNL1371" s="110"/>
      <c r="FNM1371" s="110"/>
      <c r="FNN1371" s="110"/>
      <c r="FNO1371" s="110"/>
      <c r="FNP1371" s="110"/>
      <c r="FNQ1371" s="110"/>
      <c r="FNR1371" s="110"/>
      <c r="FNS1371" s="110"/>
      <c r="FNT1371" s="110"/>
      <c r="FNU1371" s="110"/>
      <c r="FNV1371" s="110"/>
      <c r="FNW1371" s="110"/>
      <c r="FNX1371" s="110"/>
      <c r="FNY1371" s="110"/>
      <c r="FNZ1371" s="110"/>
      <c r="FOA1371" s="110"/>
      <c r="FOB1371" s="110"/>
      <c r="FOC1371" s="110"/>
      <c r="FOD1371" s="110"/>
      <c r="FOE1371" s="110"/>
      <c r="FOF1371" s="110"/>
      <c r="FOG1371" s="110"/>
      <c r="FOH1371" s="110"/>
      <c r="FOI1371" s="110"/>
      <c r="FOJ1371" s="110"/>
      <c r="FOK1371" s="110"/>
      <c r="FOL1371" s="110"/>
      <c r="FOM1371" s="110"/>
      <c r="FON1371" s="110"/>
      <c r="FOO1371" s="110"/>
      <c r="FOP1371" s="110"/>
      <c r="FOQ1371" s="110"/>
      <c r="FOR1371" s="110"/>
      <c r="FOS1371" s="110"/>
      <c r="FOT1371" s="110"/>
      <c r="FOU1371" s="110"/>
      <c r="FOV1371" s="110"/>
      <c r="FOW1371" s="110"/>
      <c r="FOX1371" s="110"/>
      <c r="FOY1371" s="110"/>
      <c r="FOZ1371" s="110"/>
      <c r="FPA1371" s="110"/>
      <c r="FPB1371" s="110"/>
      <c r="FPC1371" s="110"/>
      <c r="FPD1371" s="110"/>
      <c r="FPE1371" s="110"/>
      <c r="FPF1371" s="110"/>
      <c r="FPG1371" s="110"/>
      <c r="FPH1371" s="110"/>
      <c r="FPI1371" s="110"/>
      <c r="FPJ1371" s="110"/>
      <c r="FPK1371" s="110"/>
      <c r="FPL1371" s="110"/>
      <c r="FPM1371" s="110"/>
      <c r="FPN1371" s="110"/>
      <c r="FPO1371" s="110"/>
      <c r="FPP1371" s="110"/>
      <c r="FPQ1371" s="110"/>
      <c r="FPR1371" s="110"/>
      <c r="FPS1371" s="110"/>
      <c r="FPT1371" s="110"/>
      <c r="FPU1371" s="110"/>
      <c r="FPV1371" s="110"/>
      <c r="FPW1371" s="110"/>
      <c r="FPX1371" s="110"/>
      <c r="FPY1371" s="110"/>
      <c r="FPZ1371" s="110"/>
      <c r="FQA1371" s="110"/>
      <c r="FQB1371" s="110"/>
      <c r="FQC1371" s="110"/>
      <c r="FQD1371" s="110"/>
      <c r="FQE1371" s="110"/>
      <c r="FQF1371" s="110"/>
      <c r="FQG1371" s="110"/>
      <c r="FQH1371" s="110"/>
      <c r="FQI1371" s="110"/>
      <c r="FQJ1371" s="110"/>
      <c r="FQK1371" s="110"/>
      <c r="FQL1371" s="110"/>
      <c r="FQM1371" s="110"/>
      <c r="FQN1371" s="110"/>
      <c r="FQO1371" s="110"/>
      <c r="FQP1371" s="110"/>
      <c r="FQQ1371" s="110"/>
      <c r="FQR1371" s="110"/>
      <c r="FQS1371" s="110"/>
      <c r="FQT1371" s="110"/>
      <c r="FQU1371" s="110"/>
      <c r="FQV1371" s="110"/>
      <c r="FQW1371" s="110"/>
      <c r="FQX1371" s="110"/>
      <c r="FQY1371" s="110"/>
      <c r="FQZ1371" s="110"/>
      <c r="FRA1371" s="110"/>
      <c r="FRB1371" s="110"/>
      <c r="FRC1371" s="110"/>
      <c r="FRD1371" s="110"/>
      <c r="FRE1371" s="110"/>
      <c r="FRF1371" s="110"/>
      <c r="FRG1371" s="110"/>
      <c r="FRH1371" s="110"/>
      <c r="FRI1371" s="110"/>
      <c r="FRJ1371" s="110"/>
      <c r="FRK1371" s="110"/>
      <c r="FRL1371" s="110"/>
      <c r="FRM1371" s="110"/>
      <c r="FRN1371" s="110"/>
      <c r="FRO1371" s="110"/>
      <c r="FRP1371" s="110"/>
      <c r="FRQ1371" s="110"/>
      <c r="FRR1371" s="110"/>
      <c r="FRS1371" s="110"/>
      <c r="FRT1371" s="110"/>
      <c r="FRU1371" s="110"/>
      <c r="FRV1371" s="110"/>
      <c r="FRW1371" s="110"/>
      <c r="FRX1371" s="110"/>
      <c r="FRY1371" s="110"/>
      <c r="FRZ1371" s="110"/>
      <c r="FSA1371" s="110"/>
      <c r="FSB1371" s="110"/>
      <c r="FSC1371" s="110"/>
      <c r="FSD1371" s="110"/>
      <c r="FSE1371" s="110"/>
      <c r="FSF1371" s="110"/>
      <c r="FSG1371" s="110"/>
      <c r="FSH1371" s="110"/>
      <c r="FSI1371" s="110"/>
      <c r="FSJ1371" s="110"/>
      <c r="FSK1371" s="110"/>
      <c r="FSL1371" s="110"/>
      <c r="FSM1371" s="110"/>
      <c r="FSN1371" s="110"/>
      <c r="FSO1371" s="110"/>
      <c r="FSP1371" s="110"/>
      <c r="FSQ1371" s="110"/>
      <c r="FSR1371" s="110"/>
      <c r="FSS1371" s="110"/>
      <c r="FST1371" s="110"/>
      <c r="FSU1371" s="110"/>
      <c r="FSV1371" s="110"/>
      <c r="FSW1371" s="110"/>
      <c r="FSX1371" s="110"/>
      <c r="FSY1371" s="110"/>
      <c r="FSZ1371" s="110"/>
      <c r="FTA1371" s="110"/>
      <c r="FTB1371" s="110"/>
      <c r="FTC1371" s="110"/>
      <c r="FTD1371" s="110"/>
      <c r="FTE1371" s="110"/>
      <c r="FTF1371" s="110"/>
      <c r="FTG1371" s="110"/>
      <c r="FTH1371" s="110"/>
      <c r="FTI1371" s="110"/>
      <c r="FTJ1371" s="110"/>
      <c r="FTK1371" s="110"/>
      <c r="FTL1371" s="110"/>
      <c r="FTM1371" s="110"/>
      <c r="FTN1371" s="110"/>
      <c r="FTO1371" s="110"/>
      <c r="FTP1371" s="110"/>
      <c r="FTQ1371" s="110"/>
      <c r="FTR1371" s="110"/>
      <c r="FTS1371" s="110"/>
      <c r="FTT1371" s="110"/>
      <c r="FTU1371" s="110"/>
      <c r="FTV1371" s="110"/>
      <c r="FTW1371" s="110"/>
      <c r="FTX1371" s="110"/>
      <c r="FTY1371" s="110"/>
      <c r="FTZ1371" s="110"/>
      <c r="FUA1371" s="110"/>
      <c r="FUB1371" s="110"/>
      <c r="FUC1371" s="110"/>
      <c r="FUD1371" s="110"/>
      <c r="FUE1371" s="110"/>
      <c r="FUF1371" s="110"/>
      <c r="FUG1371" s="110"/>
      <c r="FUH1371" s="110"/>
      <c r="FUI1371" s="110"/>
      <c r="FUJ1371" s="110"/>
      <c r="FUK1371" s="110"/>
      <c r="FUL1371" s="110"/>
      <c r="FUM1371" s="110"/>
      <c r="FUN1371" s="110"/>
      <c r="FUO1371" s="110"/>
      <c r="FUP1371" s="110"/>
      <c r="FUQ1371" s="110"/>
      <c r="FUR1371" s="110"/>
      <c r="FUS1371" s="110"/>
      <c r="FUT1371" s="110"/>
      <c r="FUU1371" s="110"/>
      <c r="FUV1371" s="110"/>
      <c r="FUW1371" s="110"/>
      <c r="FUX1371" s="110"/>
      <c r="FUY1371" s="110"/>
      <c r="FUZ1371" s="110"/>
      <c r="FVA1371" s="110"/>
      <c r="FVB1371" s="110"/>
      <c r="FVC1371" s="110"/>
      <c r="FVD1371" s="110"/>
      <c r="FVE1371" s="110"/>
      <c r="FVF1371" s="110"/>
      <c r="FVG1371" s="110"/>
      <c r="FVH1371" s="110"/>
      <c r="FVI1371" s="110"/>
      <c r="FVJ1371" s="110"/>
      <c r="FVK1371" s="110"/>
      <c r="FVL1371" s="110"/>
      <c r="FVM1371" s="110"/>
      <c r="FVN1371" s="110"/>
      <c r="FVO1371" s="110"/>
      <c r="FVP1371" s="110"/>
      <c r="FVQ1371" s="110"/>
      <c r="FVR1371" s="110"/>
      <c r="FVS1371" s="110"/>
      <c r="FVT1371" s="110"/>
      <c r="FVU1371" s="110"/>
      <c r="FVV1371" s="110"/>
      <c r="FVW1371" s="110"/>
      <c r="FVX1371" s="110"/>
      <c r="FVY1371" s="110"/>
      <c r="FVZ1371" s="110"/>
      <c r="FWA1371" s="110"/>
      <c r="FWB1371" s="110"/>
      <c r="FWC1371" s="110"/>
      <c r="FWD1371" s="110"/>
      <c r="FWE1371" s="110"/>
      <c r="FWF1371" s="110"/>
      <c r="FWG1371" s="110"/>
      <c r="FWH1371" s="110"/>
      <c r="FWI1371" s="110"/>
      <c r="FWJ1371" s="110"/>
      <c r="FWK1371" s="110"/>
      <c r="FWL1371" s="110"/>
      <c r="FWM1371" s="110"/>
      <c r="FWN1371" s="110"/>
      <c r="FWO1371" s="110"/>
      <c r="FWP1371" s="110"/>
      <c r="FWQ1371" s="110"/>
      <c r="FWR1371" s="110"/>
      <c r="FWS1371" s="110"/>
      <c r="FWT1371" s="110"/>
      <c r="FWU1371" s="110"/>
      <c r="FWV1371" s="110"/>
      <c r="FWW1371" s="110"/>
      <c r="FWX1371" s="110"/>
      <c r="FWY1371" s="110"/>
      <c r="FWZ1371" s="110"/>
      <c r="FXA1371" s="110"/>
      <c r="FXB1371" s="110"/>
      <c r="FXC1371" s="110"/>
      <c r="FXD1371" s="110"/>
      <c r="FXE1371" s="110"/>
      <c r="FXF1371" s="110"/>
      <c r="FXG1371" s="110"/>
      <c r="FXH1371" s="110"/>
      <c r="FXI1371" s="110"/>
      <c r="FXJ1371" s="110"/>
      <c r="FXK1371" s="110"/>
      <c r="FXL1371" s="110"/>
      <c r="FXM1371" s="110"/>
      <c r="FXN1371" s="110"/>
      <c r="FXO1371" s="110"/>
      <c r="FXP1371" s="110"/>
      <c r="FXQ1371" s="110"/>
      <c r="FXR1371" s="110"/>
      <c r="FXS1371" s="110"/>
      <c r="FXT1371" s="110"/>
      <c r="FXU1371" s="110"/>
      <c r="FXV1371" s="110"/>
      <c r="FXW1371" s="110"/>
      <c r="FXX1371" s="110"/>
      <c r="FXY1371" s="110"/>
      <c r="FXZ1371" s="110"/>
      <c r="FYA1371" s="110"/>
      <c r="FYB1371" s="110"/>
      <c r="FYC1371" s="110"/>
      <c r="FYD1371" s="110"/>
      <c r="FYE1371" s="110"/>
      <c r="FYF1371" s="110"/>
      <c r="FYG1371" s="110"/>
      <c r="FYH1371" s="110"/>
      <c r="FYI1371" s="110"/>
      <c r="FYJ1371" s="110"/>
      <c r="FYK1371" s="110"/>
      <c r="FYL1371" s="110"/>
      <c r="FYM1371" s="110"/>
      <c r="FYN1371" s="110"/>
      <c r="FYO1371" s="110"/>
      <c r="FYP1371" s="110"/>
      <c r="FYQ1371" s="110"/>
      <c r="FYR1371" s="110"/>
      <c r="FYS1371" s="110"/>
      <c r="FYT1371" s="110"/>
      <c r="FYU1371" s="110"/>
      <c r="FYV1371" s="110"/>
      <c r="FYW1371" s="110"/>
      <c r="FYX1371" s="110"/>
      <c r="FYY1371" s="110"/>
      <c r="FYZ1371" s="110"/>
      <c r="FZA1371" s="110"/>
      <c r="FZB1371" s="110"/>
      <c r="FZC1371" s="110"/>
      <c r="FZD1371" s="110"/>
      <c r="FZE1371" s="110"/>
      <c r="FZF1371" s="110"/>
      <c r="FZG1371" s="110"/>
      <c r="FZH1371" s="110"/>
      <c r="FZI1371" s="110"/>
      <c r="FZJ1371" s="110"/>
      <c r="FZK1371" s="110"/>
      <c r="FZL1371" s="110"/>
      <c r="FZM1371" s="110"/>
      <c r="FZN1371" s="110"/>
      <c r="FZO1371" s="110"/>
      <c r="FZP1371" s="110"/>
      <c r="FZQ1371" s="110"/>
      <c r="FZR1371" s="110"/>
      <c r="FZS1371" s="110"/>
      <c r="FZT1371" s="110"/>
      <c r="FZU1371" s="110"/>
      <c r="FZV1371" s="110"/>
      <c r="FZW1371" s="110"/>
      <c r="FZX1371" s="110"/>
      <c r="FZY1371" s="110"/>
      <c r="FZZ1371" s="110"/>
      <c r="GAA1371" s="110"/>
      <c r="GAB1371" s="110"/>
      <c r="GAC1371" s="110"/>
      <c r="GAD1371" s="110"/>
      <c r="GAE1371" s="110"/>
      <c r="GAF1371" s="110"/>
      <c r="GAG1371" s="110"/>
      <c r="GAH1371" s="110"/>
      <c r="GAI1371" s="110"/>
      <c r="GAJ1371" s="110"/>
      <c r="GAK1371" s="110"/>
      <c r="GAL1371" s="110"/>
      <c r="GAM1371" s="110"/>
      <c r="GAN1371" s="110"/>
      <c r="GAO1371" s="110"/>
      <c r="GAP1371" s="110"/>
      <c r="GAQ1371" s="110"/>
      <c r="GAR1371" s="110"/>
      <c r="GAS1371" s="110"/>
      <c r="GAT1371" s="110"/>
      <c r="GAU1371" s="110"/>
      <c r="GAV1371" s="110"/>
      <c r="GAW1371" s="110"/>
      <c r="GAX1371" s="110"/>
      <c r="GAY1371" s="110"/>
      <c r="GAZ1371" s="110"/>
      <c r="GBA1371" s="110"/>
      <c r="GBB1371" s="110"/>
      <c r="GBC1371" s="110"/>
      <c r="GBD1371" s="110"/>
      <c r="GBE1371" s="110"/>
      <c r="GBF1371" s="110"/>
      <c r="GBG1371" s="110"/>
      <c r="GBH1371" s="110"/>
      <c r="GBI1371" s="110"/>
      <c r="GBJ1371" s="110"/>
      <c r="GBK1371" s="110"/>
      <c r="GBL1371" s="110"/>
      <c r="GBM1371" s="110"/>
      <c r="GBN1371" s="110"/>
      <c r="GBO1371" s="110"/>
      <c r="GBP1371" s="110"/>
      <c r="GBQ1371" s="110"/>
      <c r="GBR1371" s="110"/>
      <c r="GBS1371" s="110"/>
      <c r="GBT1371" s="110"/>
      <c r="GBU1371" s="110"/>
      <c r="GBV1371" s="110"/>
      <c r="GBW1371" s="110"/>
      <c r="GBX1371" s="110"/>
      <c r="GBY1371" s="110"/>
      <c r="GBZ1371" s="110"/>
      <c r="GCA1371" s="110"/>
      <c r="GCB1371" s="110"/>
      <c r="GCC1371" s="110"/>
      <c r="GCD1371" s="110"/>
      <c r="GCE1371" s="110"/>
      <c r="GCF1371" s="110"/>
      <c r="GCG1371" s="110"/>
      <c r="GCH1371" s="110"/>
      <c r="GCI1371" s="110"/>
      <c r="GCJ1371" s="110"/>
      <c r="GCK1371" s="110"/>
      <c r="GCL1371" s="110"/>
      <c r="GCM1371" s="110"/>
      <c r="GCN1371" s="110"/>
      <c r="GCO1371" s="110"/>
      <c r="GCP1371" s="110"/>
      <c r="GCQ1371" s="110"/>
      <c r="GCR1371" s="110"/>
      <c r="GCS1371" s="110"/>
      <c r="GCT1371" s="110"/>
      <c r="GCU1371" s="110"/>
      <c r="GCV1371" s="110"/>
      <c r="GCW1371" s="110"/>
      <c r="GCX1371" s="110"/>
      <c r="GCY1371" s="110"/>
      <c r="GCZ1371" s="110"/>
      <c r="GDA1371" s="110"/>
      <c r="GDB1371" s="110"/>
      <c r="GDC1371" s="110"/>
      <c r="GDD1371" s="110"/>
      <c r="GDE1371" s="110"/>
      <c r="GDF1371" s="110"/>
      <c r="GDG1371" s="110"/>
      <c r="GDH1371" s="110"/>
      <c r="GDI1371" s="110"/>
      <c r="GDJ1371" s="110"/>
      <c r="GDK1371" s="110"/>
      <c r="GDL1371" s="110"/>
      <c r="GDM1371" s="110"/>
      <c r="GDN1371" s="110"/>
      <c r="GDO1371" s="110"/>
      <c r="GDP1371" s="110"/>
      <c r="GDQ1371" s="110"/>
      <c r="GDR1371" s="110"/>
      <c r="GDS1371" s="110"/>
      <c r="GDT1371" s="110"/>
      <c r="GDU1371" s="110"/>
      <c r="GDV1371" s="110"/>
      <c r="GDW1371" s="110"/>
      <c r="GDX1371" s="110"/>
      <c r="GDY1371" s="110"/>
      <c r="GDZ1371" s="110"/>
      <c r="GEA1371" s="110"/>
      <c r="GEB1371" s="110"/>
      <c r="GEC1371" s="110"/>
      <c r="GED1371" s="110"/>
      <c r="GEE1371" s="110"/>
      <c r="GEF1371" s="110"/>
      <c r="GEG1371" s="110"/>
      <c r="GEH1371" s="110"/>
      <c r="GEI1371" s="110"/>
      <c r="GEJ1371" s="110"/>
      <c r="GEK1371" s="110"/>
      <c r="GEL1371" s="110"/>
      <c r="GEM1371" s="110"/>
      <c r="GEN1371" s="110"/>
      <c r="GEO1371" s="110"/>
      <c r="GEP1371" s="110"/>
      <c r="GEQ1371" s="110"/>
      <c r="GER1371" s="110"/>
      <c r="GES1371" s="110"/>
      <c r="GET1371" s="110"/>
      <c r="GEU1371" s="110"/>
      <c r="GEV1371" s="110"/>
      <c r="GEW1371" s="110"/>
      <c r="GEX1371" s="110"/>
      <c r="GEY1371" s="110"/>
      <c r="GEZ1371" s="110"/>
      <c r="GFA1371" s="110"/>
      <c r="GFB1371" s="110"/>
      <c r="GFC1371" s="110"/>
      <c r="GFD1371" s="110"/>
      <c r="GFE1371" s="110"/>
      <c r="GFF1371" s="110"/>
      <c r="GFG1371" s="110"/>
      <c r="GFH1371" s="110"/>
      <c r="GFI1371" s="110"/>
      <c r="GFJ1371" s="110"/>
      <c r="GFK1371" s="110"/>
      <c r="GFL1371" s="110"/>
      <c r="GFM1371" s="110"/>
      <c r="GFN1371" s="110"/>
      <c r="GFO1371" s="110"/>
      <c r="GFP1371" s="110"/>
      <c r="GFQ1371" s="110"/>
      <c r="GFR1371" s="110"/>
      <c r="GFS1371" s="110"/>
      <c r="GFT1371" s="110"/>
      <c r="GFU1371" s="110"/>
      <c r="GFV1371" s="110"/>
      <c r="GFW1371" s="110"/>
      <c r="GFX1371" s="110"/>
      <c r="GFY1371" s="110"/>
      <c r="GFZ1371" s="110"/>
      <c r="GGA1371" s="110"/>
      <c r="GGB1371" s="110"/>
      <c r="GGC1371" s="110"/>
      <c r="GGD1371" s="110"/>
      <c r="GGE1371" s="110"/>
      <c r="GGF1371" s="110"/>
      <c r="GGG1371" s="110"/>
      <c r="GGH1371" s="110"/>
      <c r="GGI1371" s="110"/>
      <c r="GGJ1371" s="110"/>
      <c r="GGK1371" s="110"/>
      <c r="GGL1371" s="110"/>
      <c r="GGM1371" s="110"/>
      <c r="GGN1371" s="110"/>
      <c r="GGO1371" s="110"/>
      <c r="GGP1371" s="110"/>
      <c r="GGQ1371" s="110"/>
      <c r="GGR1371" s="110"/>
      <c r="GGS1371" s="110"/>
      <c r="GGT1371" s="110"/>
      <c r="GGU1371" s="110"/>
      <c r="GGV1371" s="110"/>
      <c r="GGW1371" s="110"/>
      <c r="GGX1371" s="110"/>
      <c r="GGY1371" s="110"/>
      <c r="GGZ1371" s="110"/>
      <c r="GHA1371" s="110"/>
      <c r="GHB1371" s="110"/>
      <c r="GHC1371" s="110"/>
      <c r="GHD1371" s="110"/>
      <c r="GHE1371" s="110"/>
      <c r="GHF1371" s="110"/>
      <c r="GHG1371" s="110"/>
      <c r="GHH1371" s="110"/>
      <c r="GHI1371" s="110"/>
      <c r="GHJ1371" s="110"/>
      <c r="GHK1371" s="110"/>
      <c r="GHL1371" s="110"/>
      <c r="GHM1371" s="110"/>
      <c r="GHN1371" s="110"/>
      <c r="GHO1371" s="110"/>
      <c r="GHP1371" s="110"/>
      <c r="GHQ1371" s="110"/>
      <c r="GHR1371" s="110"/>
      <c r="GHS1371" s="110"/>
      <c r="GHT1371" s="110"/>
      <c r="GHU1371" s="110"/>
      <c r="GHV1371" s="110"/>
      <c r="GHW1371" s="110"/>
      <c r="GHX1371" s="110"/>
      <c r="GHY1371" s="110"/>
      <c r="GHZ1371" s="110"/>
      <c r="GIA1371" s="110"/>
      <c r="GIB1371" s="110"/>
      <c r="GIC1371" s="110"/>
      <c r="GID1371" s="110"/>
      <c r="GIE1371" s="110"/>
      <c r="GIF1371" s="110"/>
      <c r="GIG1371" s="110"/>
      <c r="GIH1371" s="110"/>
      <c r="GII1371" s="110"/>
      <c r="GIJ1371" s="110"/>
      <c r="GIK1371" s="110"/>
      <c r="GIL1371" s="110"/>
      <c r="GIM1371" s="110"/>
      <c r="GIN1371" s="110"/>
      <c r="GIO1371" s="110"/>
      <c r="GIP1371" s="110"/>
      <c r="GIQ1371" s="110"/>
      <c r="GIR1371" s="110"/>
      <c r="GIS1371" s="110"/>
      <c r="GIT1371" s="110"/>
      <c r="GIU1371" s="110"/>
      <c r="GIV1371" s="110"/>
      <c r="GIW1371" s="110"/>
      <c r="GIX1371" s="110"/>
      <c r="GIY1371" s="110"/>
      <c r="GIZ1371" s="110"/>
      <c r="GJA1371" s="110"/>
      <c r="GJB1371" s="110"/>
      <c r="GJC1371" s="110"/>
      <c r="GJD1371" s="110"/>
      <c r="GJE1371" s="110"/>
      <c r="GJF1371" s="110"/>
      <c r="GJG1371" s="110"/>
      <c r="GJH1371" s="110"/>
      <c r="GJI1371" s="110"/>
      <c r="GJJ1371" s="110"/>
      <c r="GJK1371" s="110"/>
      <c r="GJL1371" s="110"/>
      <c r="GJM1371" s="110"/>
      <c r="GJN1371" s="110"/>
      <c r="GJO1371" s="110"/>
      <c r="GJP1371" s="110"/>
      <c r="GJQ1371" s="110"/>
      <c r="GJR1371" s="110"/>
      <c r="GJS1371" s="110"/>
      <c r="GJT1371" s="110"/>
      <c r="GJU1371" s="110"/>
      <c r="GJV1371" s="110"/>
      <c r="GJW1371" s="110"/>
      <c r="GJX1371" s="110"/>
      <c r="GJY1371" s="110"/>
      <c r="GJZ1371" s="110"/>
      <c r="GKA1371" s="110"/>
      <c r="GKB1371" s="110"/>
      <c r="GKC1371" s="110"/>
      <c r="GKD1371" s="110"/>
      <c r="GKE1371" s="110"/>
      <c r="GKF1371" s="110"/>
      <c r="GKG1371" s="110"/>
      <c r="GKH1371" s="110"/>
      <c r="GKI1371" s="110"/>
      <c r="GKJ1371" s="110"/>
      <c r="GKK1371" s="110"/>
      <c r="GKL1371" s="110"/>
      <c r="GKM1371" s="110"/>
      <c r="GKN1371" s="110"/>
      <c r="GKO1371" s="110"/>
      <c r="GKP1371" s="110"/>
      <c r="GKQ1371" s="110"/>
      <c r="GKR1371" s="110"/>
      <c r="GKS1371" s="110"/>
      <c r="GKT1371" s="110"/>
      <c r="GKU1371" s="110"/>
      <c r="GKV1371" s="110"/>
      <c r="GKW1371" s="110"/>
      <c r="GKX1371" s="110"/>
      <c r="GKY1371" s="110"/>
      <c r="GKZ1371" s="110"/>
      <c r="GLA1371" s="110"/>
      <c r="GLB1371" s="110"/>
      <c r="GLC1371" s="110"/>
      <c r="GLD1371" s="110"/>
      <c r="GLE1371" s="110"/>
      <c r="GLF1371" s="110"/>
      <c r="GLG1371" s="110"/>
      <c r="GLH1371" s="110"/>
      <c r="GLI1371" s="110"/>
      <c r="GLJ1371" s="110"/>
      <c r="GLK1371" s="110"/>
      <c r="GLL1371" s="110"/>
      <c r="GLM1371" s="110"/>
      <c r="GLN1371" s="110"/>
      <c r="GLO1371" s="110"/>
      <c r="GLP1371" s="110"/>
      <c r="GLQ1371" s="110"/>
      <c r="GLR1371" s="110"/>
      <c r="GLS1371" s="110"/>
      <c r="GLT1371" s="110"/>
      <c r="GLU1371" s="110"/>
      <c r="GLV1371" s="110"/>
      <c r="GLW1371" s="110"/>
      <c r="GLX1371" s="110"/>
      <c r="GLY1371" s="110"/>
      <c r="GLZ1371" s="110"/>
      <c r="GMA1371" s="110"/>
      <c r="GMB1371" s="110"/>
      <c r="GMC1371" s="110"/>
      <c r="GMD1371" s="110"/>
      <c r="GME1371" s="110"/>
      <c r="GMF1371" s="110"/>
      <c r="GMG1371" s="110"/>
      <c r="GMH1371" s="110"/>
      <c r="GMI1371" s="110"/>
      <c r="GMJ1371" s="110"/>
      <c r="GMK1371" s="110"/>
      <c r="GML1371" s="110"/>
      <c r="GMM1371" s="110"/>
      <c r="GMN1371" s="110"/>
      <c r="GMO1371" s="110"/>
      <c r="GMP1371" s="110"/>
      <c r="GMQ1371" s="110"/>
      <c r="GMR1371" s="110"/>
      <c r="GMS1371" s="110"/>
      <c r="GMT1371" s="110"/>
      <c r="GMU1371" s="110"/>
      <c r="GMV1371" s="110"/>
      <c r="GMW1371" s="110"/>
      <c r="GMX1371" s="110"/>
      <c r="GMY1371" s="110"/>
      <c r="GMZ1371" s="110"/>
      <c r="GNA1371" s="110"/>
      <c r="GNB1371" s="110"/>
      <c r="GNC1371" s="110"/>
      <c r="GND1371" s="110"/>
      <c r="GNE1371" s="110"/>
      <c r="GNF1371" s="110"/>
      <c r="GNG1371" s="110"/>
      <c r="GNH1371" s="110"/>
      <c r="GNI1371" s="110"/>
      <c r="GNJ1371" s="110"/>
      <c r="GNK1371" s="110"/>
      <c r="GNL1371" s="110"/>
      <c r="GNM1371" s="110"/>
      <c r="GNN1371" s="110"/>
      <c r="GNO1371" s="110"/>
      <c r="GNP1371" s="110"/>
      <c r="GNQ1371" s="110"/>
      <c r="GNR1371" s="110"/>
      <c r="GNS1371" s="110"/>
      <c r="GNT1371" s="110"/>
      <c r="GNU1371" s="110"/>
      <c r="GNV1371" s="110"/>
      <c r="GNW1371" s="110"/>
      <c r="GNX1371" s="110"/>
      <c r="GNY1371" s="110"/>
      <c r="GNZ1371" s="110"/>
      <c r="GOA1371" s="110"/>
      <c r="GOB1371" s="110"/>
      <c r="GOC1371" s="110"/>
      <c r="GOD1371" s="110"/>
      <c r="GOE1371" s="110"/>
      <c r="GOF1371" s="110"/>
      <c r="GOG1371" s="110"/>
      <c r="GOH1371" s="110"/>
      <c r="GOI1371" s="110"/>
      <c r="GOJ1371" s="110"/>
      <c r="GOK1371" s="110"/>
      <c r="GOL1371" s="110"/>
      <c r="GOM1371" s="110"/>
      <c r="GON1371" s="110"/>
      <c r="GOO1371" s="110"/>
      <c r="GOP1371" s="110"/>
      <c r="GOQ1371" s="110"/>
      <c r="GOR1371" s="110"/>
      <c r="GOS1371" s="110"/>
      <c r="GOT1371" s="110"/>
      <c r="GOU1371" s="110"/>
      <c r="GOV1371" s="110"/>
      <c r="GOW1371" s="110"/>
      <c r="GOX1371" s="110"/>
      <c r="GOY1371" s="110"/>
      <c r="GOZ1371" s="110"/>
      <c r="GPA1371" s="110"/>
      <c r="GPB1371" s="110"/>
      <c r="GPC1371" s="110"/>
      <c r="GPD1371" s="110"/>
      <c r="GPE1371" s="110"/>
      <c r="GPF1371" s="110"/>
      <c r="GPG1371" s="110"/>
      <c r="GPH1371" s="110"/>
      <c r="GPI1371" s="110"/>
      <c r="GPJ1371" s="110"/>
      <c r="GPK1371" s="110"/>
      <c r="GPL1371" s="110"/>
      <c r="GPM1371" s="110"/>
      <c r="GPN1371" s="110"/>
      <c r="GPO1371" s="110"/>
      <c r="GPP1371" s="110"/>
      <c r="GPQ1371" s="110"/>
      <c r="GPR1371" s="110"/>
      <c r="GPS1371" s="110"/>
      <c r="GPT1371" s="110"/>
      <c r="GPU1371" s="110"/>
      <c r="GPV1371" s="110"/>
      <c r="GPW1371" s="110"/>
      <c r="GPX1371" s="110"/>
      <c r="GPY1371" s="110"/>
      <c r="GPZ1371" s="110"/>
      <c r="GQA1371" s="110"/>
      <c r="GQB1371" s="110"/>
      <c r="GQC1371" s="110"/>
      <c r="GQD1371" s="110"/>
      <c r="GQE1371" s="110"/>
      <c r="GQF1371" s="110"/>
      <c r="GQG1371" s="110"/>
      <c r="GQH1371" s="110"/>
      <c r="GQI1371" s="110"/>
      <c r="GQJ1371" s="110"/>
      <c r="GQK1371" s="110"/>
      <c r="GQL1371" s="110"/>
      <c r="GQM1371" s="110"/>
      <c r="GQN1371" s="110"/>
      <c r="GQO1371" s="110"/>
      <c r="GQP1371" s="110"/>
      <c r="GQQ1371" s="110"/>
      <c r="GQR1371" s="110"/>
      <c r="GQS1371" s="110"/>
      <c r="GQT1371" s="110"/>
      <c r="GQU1371" s="110"/>
      <c r="GQV1371" s="110"/>
      <c r="GQW1371" s="110"/>
      <c r="GQX1371" s="110"/>
      <c r="GQY1371" s="110"/>
      <c r="GQZ1371" s="110"/>
      <c r="GRA1371" s="110"/>
      <c r="GRB1371" s="110"/>
      <c r="GRC1371" s="110"/>
      <c r="GRD1371" s="110"/>
      <c r="GRE1371" s="110"/>
      <c r="GRF1371" s="110"/>
      <c r="GRG1371" s="110"/>
      <c r="GRH1371" s="110"/>
      <c r="GRI1371" s="110"/>
      <c r="GRJ1371" s="110"/>
      <c r="GRK1371" s="110"/>
      <c r="GRL1371" s="110"/>
      <c r="GRM1371" s="110"/>
      <c r="GRN1371" s="110"/>
      <c r="GRO1371" s="110"/>
      <c r="GRP1371" s="110"/>
      <c r="GRQ1371" s="110"/>
      <c r="GRR1371" s="110"/>
      <c r="GRS1371" s="110"/>
      <c r="GRT1371" s="110"/>
      <c r="GRU1371" s="110"/>
      <c r="GRV1371" s="110"/>
      <c r="GRW1371" s="110"/>
      <c r="GRX1371" s="110"/>
      <c r="GRY1371" s="110"/>
      <c r="GRZ1371" s="110"/>
      <c r="GSA1371" s="110"/>
      <c r="GSB1371" s="110"/>
      <c r="GSC1371" s="110"/>
      <c r="GSD1371" s="110"/>
      <c r="GSE1371" s="110"/>
      <c r="GSF1371" s="110"/>
      <c r="GSG1371" s="110"/>
      <c r="GSH1371" s="110"/>
      <c r="GSI1371" s="110"/>
      <c r="GSJ1371" s="110"/>
      <c r="GSK1371" s="110"/>
      <c r="GSL1371" s="110"/>
      <c r="GSM1371" s="110"/>
      <c r="GSN1371" s="110"/>
      <c r="GSO1371" s="110"/>
      <c r="GSP1371" s="110"/>
      <c r="GSQ1371" s="110"/>
      <c r="GSR1371" s="110"/>
      <c r="GSS1371" s="110"/>
      <c r="GST1371" s="110"/>
      <c r="GSU1371" s="110"/>
      <c r="GSV1371" s="110"/>
      <c r="GSW1371" s="110"/>
      <c r="GSX1371" s="110"/>
      <c r="GSY1371" s="110"/>
      <c r="GSZ1371" s="110"/>
      <c r="GTA1371" s="110"/>
      <c r="GTB1371" s="110"/>
      <c r="GTC1371" s="110"/>
      <c r="GTD1371" s="110"/>
      <c r="GTE1371" s="110"/>
      <c r="GTF1371" s="110"/>
      <c r="GTG1371" s="110"/>
      <c r="GTH1371" s="110"/>
      <c r="GTI1371" s="110"/>
      <c r="GTJ1371" s="110"/>
      <c r="GTK1371" s="110"/>
      <c r="GTL1371" s="110"/>
      <c r="GTM1371" s="110"/>
      <c r="GTN1371" s="110"/>
      <c r="GTO1371" s="110"/>
      <c r="GTP1371" s="110"/>
      <c r="GTQ1371" s="110"/>
      <c r="GTR1371" s="110"/>
      <c r="GTS1371" s="110"/>
      <c r="GTT1371" s="110"/>
      <c r="GTU1371" s="110"/>
      <c r="GTV1371" s="110"/>
      <c r="GTW1371" s="110"/>
      <c r="GTX1371" s="110"/>
      <c r="GTY1371" s="110"/>
      <c r="GTZ1371" s="110"/>
      <c r="GUA1371" s="110"/>
      <c r="GUB1371" s="110"/>
      <c r="GUC1371" s="110"/>
      <c r="GUD1371" s="110"/>
      <c r="GUE1371" s="110"/>
      <c r="GUF1371" s="110"/>
      <c r="GUG1371" s="110"/>
      <c r="GUH1371" s="110"/>
      <c r="GUI1371" s="110"/>
      <c r="GUJ1371" s="110"/>
      <c r="GUK1371" s="110"/>
      <c r="GUL1371" s="110"/>
      <c r="GUM1371" s="110"/>
      <c r="GUN1371" s="110"/>
      <c r="GUO1371" s="110"/>
      <c r="GUP1371" s="110"/>
      <c r="GUQ1371" s="110"/>
      <c r="GUR1371" s="110"/>
      <c r="GUS1371" s="110"/>
      <c r="GUT1371" s="110"/>
      <c r="GUU1371" s="110"/>
      <c r="GUV1371" s="110"/>
      <c r="GUW1371" s="110"/>
      <c r="GUX1371" s="110"/>
      <c r="GUY1371" s="110"/>
      <c r="GUZ1371" s="110"/>
      <c r="GVA1371" s="110"/>
      <c r="GVB1371" s="110"/>
      <c r="GVC1371" s="110"/>
      <c r="GVD1371" s="110"/>
      <c r="GVE1371" s="110"/>
      <c r="GVF1371" s="110"/>
      <c r="GVG1371" s="110"/>
      <c r="GVH1371" s="110"/>
      <c r="GVI1371" s="110"/>
      <c r="GVJ1371" s="110"/>
      <c r="GVK1371" s="110"/>
      <c r="GVL1371" s="110"/>
      <c r="GVM1371" s="110"/>
      <c r="GVN1371" s="110"/>
      <c r="GVO1371" s="110"/>
      <c r="GVP1371" s="110"/>
      <c r="GVQ1371" s="110"/>
      <c r="GVR1371" s="110"/>
      <c r="GVS1371" s="110"/>
      <c r="GVT1371" s="110"/>
      <c r="GVU1371" s="110"/>
      <c r="GVV1371" s="110"/>
      <c r="GVW1371" s="110"/>
      <c r="GVX1371" s="110"/>
      <c r="GVY1371" s="110"/>
      <c r="GVZ1371" s="110"/>
      <c r="GWA1371" s="110"/>
      <c r="GWB1371" s="110"/>
      <c r="GWC1371" s="110"/>
      <c r="GWD1371" s="110"/>
      <c r="GWE1371" s="110"/>
      <c r="GWF1371" s="110"/>
      <c r="GWG1371" s="110"/>
      <c r="GWH1371" s="110"/>
      <c r="GWI1371" s="110"/>
      <c r="GWJ1371" s="110"/>
      <c r="GWK1371" s="110"/>
      <c r="GWL1371" s="110"/>
      <c r="GWM1371" s="110"/>
      <c r="GWN1371" s="110"/>
      <c r="GWO1371" s="110"/>
      <c r="GWP1371" s="110"/>
      <c r="GWQ1371" s="110"/>
      <c r="GWR1371" s="110"/>
      <c r="GWS1371" s="110"/>
      <c r="GWT1371" s="110"/>
      <c r="GWU1371" s="110"/>
      <c r="GWV1371" s="110"/>
      <c r="GWW1371" s="110"/>
      <c r="GWX1371" s="110"/>
      <c r="GWY1371" s="110"/>
      <c r="GWZ1371" s="110"/>
      <c r="GXA1371" s="110"/>
      <c r="GXB1371" s="110"/>
      <c r="GXC1371" s="110"/>
      <c r="GXD1371" s="110"/>
      <c r="GXE1371" s="110"/>
      <c r="GXF1371" s="110"/>
      <c r="GXG1371" s="110"/>
      <c r="GXH1371" s="110"/>
      <c r="GXI1371" s="110"/>
      <c r="GXJ1371" s="110"/>
      <c r="GXK1371" s="110"/>
      <c r="GXL1371" s="110"/>
      <c r="GXM1371" s="110"/>
      <c r="GXN1371" s="110"/>
      <c r="GXO1371" s="110"/>
      <c r="GXP1371" s="110"/>
      <c r="GXQ1371" s="110"/>
      <c r="GXR1371" s="110"/>
      <c r="GXS1371" s="110"/>
      <c r="GXT1371" s="110"/>
      <c r="GXU1371" s="110"/>
      <c r="GXV1371" s="110"/>
      <c r="GXW1371" s="110"/>
      <c r="GXX1371" s="110"/>
      <c r="GXY1371" s="110"/>
      <c r="GXZ1371" s="110"/>
      <c r="GYA1371" s="110"/>
      <c r="GYB1371" s="110"/>
      <c r="GYC1371" s="110"/>
      <c r="GYD1371" s="110"/>
      <c r="GYE1371" s="110"/>
      <c r="GYF1371" s="110"/>
      <c r="GYG1371" s="110"/>
      <c r="GYH1371" s="110"/>
      <c r="GYI1371" s="110"/>
      <c r="GYJ1371" s="110"/>
      <c r="GYK1371" s="110"/>
      <c r="GYL1371" s="110"/>
      <c r="GYM1371" s="110"/>
      <c r="GYN1371" s="110"/>
      <c r="GYO1371" s="110"/>
      <c r="GYP1371" s="110"/>
      <c r="GYQ1371" s="110"/>
      <c r="GYR1371" s="110"/>
      <c r="GYS1371" s="110"/>
      <c r="GYT1371" s="110"/>
      <c r="GYU1371" s="110"/>
      <c r="GYV1371" s="110"/>
      <c r="GYW1371" s="110"/>
      <c r="GYX1371" s="110"/>
      <c r="GYY1371" s="110"/>
      <c r="GYZ1371" s="110"/>
      <c r="GZA1371" s="110"/>
      <c r="GZB1371" s="110"/>
      <c r="GZC1371" s="110"/>
      <c r="GZD1371" s="110"/>
      <c r="GZE1371" s="110"/>
      <c r="GZF1371" s="110"/>
      <c r="GZG1371" s="110"/>
      <c r="GZH1371" s="110"/>
      <c r="GZI1371" s="110"/>
      <c r="GZJ1371" s="110"/>
      <c r="GZK1371" s="110"/>
      <c r="GZL1371" s="110"/>
      <c r="GZM1371" s="110"/>
      <c r="GZN1371" s="110"/>
      <c r="GZO1371" s="110"/>
      <c r="GZP1371" s="110"/>
      <c r="GZQ1371" s="110"/>
      <c r="GZR1371" s="110"/>
      <c r="GZS1371" s="110"/>
      <c r="GZT1371" s="110"/>
      <c r="GZU1371" s="110"/>
      <c r="GZV1371" s="110"/>
      <c r="GZW1371" s="110"/>
      <c r="GZX1371" s="110"/>
      <c r="GZY1371" s="110"/>
      <c r="GZZ1371" s="110"/>
      <c r="HAA1371" s="110"/>
      <c r="HAB1371" s="110"/>
      <c r="HAC1371" s="110"/>
      <c r="HAD1371" s="110"/>
      <c r="HAE1371" s="110"/>
      <c r="HAF1371" s="110"/>
      <c r="HAG1371" s="110"/>
      <c r="HAH1371" s="110"/>
      <c r="HAI1371" s="110"/>
      <c r="HAJ1371" s="110"/>
      <c r="HAK1371" s="110"/>
      <c r="HAL1371" s="110"/>
      <c r="HAM1371" s="110"/>
      <c r="HAN1371" s="110"/>
      <c r="HAO1371" s="110"/>
      <c r="HAP1371" s="110"/>
      <c r="HAQ1371" s="110"/>
      <c r="HAR1371" s="110"/>
      <c r="HAS1371" s="110"/>
      <c r="HAT1371" s="110"/>
      <c r="HAU1371" s="110"/>
      <c r="HAV1371" s="110"/>
      <c r="HAW1371" s="110"/>
      <c r="HAX1371" s="110"/>
      <c r="HAY1371" s="110"/>
      <c r="HAZ1371" s="110"/>
      <c r="HBA1371" s="110"/>
      <c r="HBB1371" s="110"/>
      <c r="HBC1371" s="110"/>
      <c r="HBD1371" s="110"/>
      <c r="HBE1371" s="110"/>
      <c r="HBF1371" s="110"/>
      <c r="HBG1371" s="110"/>
      <c r="HBH1371" s="110"/>
      <c r="HBI1371" s="110"/>
      <c r="HBJ1371" s="110"/>
      <c r="HBK1371" s="110"/>
      <c r="HBL1371" s="110"/>
      <c r="HBM1371" s="110"/>
      <c r="HBN1371" s="110"/>
      <c r="HBO1371" s="110"/>
      <c r="HBP1371" s="110"/>
      <c r="HBQ1371" s="110"/>
      <c r="HBR1371" s="110"/>
      <c r="HBS1371" s="110"/>
      <c r="HBT1371" s="110"/>
      <c r="HBU1371" s="110"/>
      <c r="HBV1371" s="110"/>
      <c r="HBW1371" s="110"/>
      <c r="HBX1371" s="110"/>
      <c r="HBY1371" s="110"/>
      <c r="HBZ1371" s="110"/>
      <c r="HCA1371" s="110"/>
      <c r="HCB1371" s="110"/>
      <c r="HCC1371" s="110"/>
      <c r="HCD1371" s="110"/>
      <c r="HCE1371" s="110"/>
      <c r="HCF1371" s="110"/>
      <c r="HCG1371" s="110"/>
      <c r="HCH1371" s="110"/>
      <c r="HCI1371" s="110"/>
      <c r="HCJ1371" s="110"/>
      <c r="HCK1371" s="110"/>
      <c r="HCL1371" s="110"/>
      <c r="HCM1371" s="110"/>
      <c r="HCN1371" s="110"/>
      <c r="HCO1371" s="110"/>
      <c r="HCP1371" s="110"/>
      <c r="HCQ1371" s="110"/>
      <c r="HCR1371" s="110"/>
      <c r="HCS1371" s="110"/>
      <c r="HCT1371" s="110"/>
      <c r="HCU1371" s="110"/>
      <c r="HCV1371" s="110"/>
      <c r="HCW1371" s="110"/>
      <c r="HCX1371" s="110"/>
      <c r="HCY1371" s="110"/>
      <c r="HCZ1371" s="110"/>
      <c r="HDA1371" s="110"/>
      <c r="HDB1371" s="110"/>
      <c r="HDC1371" s="110"/>
      <c r="HDD1371" s="110"/>
      <c r="HDE1371" s="110"/>
      <c r="HDF1371" s="110"/>
      <c r="HDG1371" s="110"/>
      <c r="HDH1371" s="110"/>
      <c r="HDI1371" s="110"/>
      <c r="HDJ1371" s="110"/>
      <c r="HDK1371" s="110"/>
      <c r="HDL1371" s="110"/>
      <c r="HDM1371" s="110"/>
      <c r="HDN1371" s="110"/>
      <c r="HDO1371" s="110"/>
      <c r="HDP1371" s="110"/>
      <c r="HDQ1371" s="110"/>
      <c r="HDR1371" s="110"/>
      <c r="HDS1371" s="110"/>
      <c r="HDT1371" s="110"/>
      <c r="HDU1371" s="110"/>
      <c r="HDV1371" s="110"/>
      <c r="HDW1371" s="110"/>
      <c r="HDX1371" s="110"/>
      <c r="HDY1371" s="110"/>
      <c r="HDZ1371" s="110"/>
      <c r="HEA1371" s="110"/>
      <c r="HEB1371" s="110"/>
      <c r="HEC1371" s="110"/>
      <c r="HED1371" s="110"/>
      <c r="HEE1371" s="110"/>
      <c r="HEF1371" s="110"/>
      <c r="HEG1371" s="110"/>
      <c r="HEH1371" s="110"/>
      <c r="HEI1371" s="110"/>
      <c r="HEJ1371" s="110"/>
      <c r="HEK1371" s="110"/>
      <c r="HEL1371" s="110"/>
      <c r="HEM1371" s="110"/>
      <c r="HEN1371" s="110"/>
      <c r="HEO1371" s="110"/>
      <c r="HEP1371" s="110"/>
      <c r="HEQ1371" s="110"/>
      <c r="HER1371" s="110"/>
      <c r="HES1371" s="110"/>
      <c r="HET1371" s="110"/>
      <c r="HEU1371" s="110"/>
      <c r="HEV1371" s="110"/>
      <c r="HEW1371" s="110"/>
      <c r="HEX1371" s="110"/>
      <c r="HEY1371" s="110"/>
      <c r="HEZ1371" s="110"/>
      <c r="HFA1371" s="110"/>
      <c r="HFB1371" s="110"/>
      <c r="HFC1371" s="110"/>
      <c r="HFD1371" s="110"/>
      <c r="HFE1371" s="110"/>
      <c r="HFF1371" s="110"/>
      <c r="HFG1371" s="110"/>
      <c r="HFH1371" s="110"/>
      <c r="HFI1371" s="110"/>
      <c r="HFJ1371" s="110"/>
      <c r="HFK1371" s="110"/>
      <c r="HFL1371" s="110"/>
      <c r="HFM1371" s="110"/>
      <c r="HFN1371" s="110"/>
      <c r="HFO1371" s="110"/>
      <c r="HFP1371" s="110"/>
      <c r="HFQ1371" s="110"/>
      <c r="HFR1371" s="110"/>
      <c r="HFS1371" s="110"/>
      <c r="HFT1371" s="110"/>
      <c r="HFU1371" s="110"/>
      <c r="HFV1371" s="110"/>
      <c r="HFW1371" s="110"/>
      <c r="HFX1371" s="110"/>
      <c r="HFY1371" s="110"/>
      <c r="HFZ1371" s="110"/>
      <c r="HGA1371" s="110"/>
      <c r="HGB1371" s="110"/>
      <c r="HGC1371" s="110"/>
      <c r="HGD1371" s="110"/>
      <c r="HGE1371" s="110"/>
      <c r="HGF1371" s="110"/>
      <c r="HGG1371" s="110"/>
      <c r="HGH1371" s="110"/>
      <c r="HGI1371" s="110"/>
      <c r="HGJ1371" s="110"/>
      <c r="HGK1371" s="110"/>
      <c r="HGL1371" s="110"/>
      <c r="HGM1371" s="110"/>
      <c r="HGN1371" s="110"/>
      <c r="HGO1371" s="110"/>
      <c r="HGP1371" s="110"/>
      <c r="HGQ1371" s="110"/>
      <c r="HGR1371" s="110"/>
      <c r="HGS1371" s="110"/>
      <c r="HGT1371" s="110"/>
      <c r="HGU1371" s="110"/>
      <c r="HGV1371" s="110"/>
      <c r="HGW1371" s="110"/>
      <c r="HGX1371" s="110"/>
      <c r="HGY1371" s="110"/>
      <c r="HGZ1371" s="110"/>
      <c r="HHA1371" s="110"/>
      <c r="HHB1371" s="110"/>
      <c r="HHC1371" s="110"/>
      <c r="HHD1371" s="110"/>
      <c r="HHE1371" s="110"/>
      <c r="HHF1371" s="110"/>
      <c r="HHG1371" s="110"/>
      <c r="HHH1371" s="110"/>
      <c r="HHI1371" s="110"/>
      <c r="HHJ1371" s="110"/>
      <c r="HHK1371" s="110"/>
      <c r="HHL1371" s="110"/>
      <c r="HHM1371" s="110"/>
      <c r="HHN1371" s="110"/>
      <c r="HHO1371" s="110"/>
      <c r="HHP1371" s="110"/>
      <c r="HHQ1371" s="110"/>
      <c r="HHR1371" s="110"/>
      <c r="HHS1371" s="110"/>
      <c r="HHT1371" s="110"/>
      <c r="HHU1371" s="110"/>
      <c r="HHV1371" s="110"/>
      <c r="HHW1371" s="110"/>
      <c r="HHX1371" s="110"/>
      <c r="HHY1371" s="110"/>
      <c r="HHZ1371" s="110"/>
      <c r="HIA1371" s="110"/>
      <c r="HIB1371" s="110"/>
      <c r="HIC1371" s="110"/>
      <c r="HID1371" s="110"/>
      <c r="HIE1371" s="110"/>
      <c r="HIF1371" s="110"/>
      <c r="HIG1371" s="110"/>
      <c r="HIH1371" s="110"/>
      <c r="HII1371" s="110"/>
      <c r="HIJ1371" s="110"/>
      <c r="HIK1371" s="110"/>
      <c r="HIL1371" s="110"/>
      <c r="HIM1371" s="110"/>
      <c r="HIN1371" s="110"/>
      <c r="HIO1371" s="110"/>
      <c r="HIP1371" s="110"/>
      <c r="HIQ1371" s="110"/>
      <c r="HIR1371" s="110"/>
      <c r="HIS1371" s="110"/>
      <c r="HIT1371" s="110"/>
      <c r="HIU1371" s="110"/>
      <c r="HIV1371" s="110"/>
      <c r="HIW1371" s="110"/>
      <c r="HIX1371" s="110"/>
      <c r="HIY1371" s="110"/>
      <c r="HIZ1371" s="110"/>
      <c r="HJA1371" s="110"/>
      <c r="HJB1371" s="110"/>
      <c r="HJC1371" s="110"/>
      <c r="HJD1371" s="110"/>
      <c r="HJE1371" s="110"/>
      <c r="HJF1371" s="110"/>
      <c r="HJG1371" s="110"/>
      <c r="HJH1371" s="110"/>
      <c r="HJI1371" s="110"/>
      <c r="HJJ1371" s="110"/>
      <c r="HJK1371" s="110"/>
      <c r="HJL1371" s="110"/>
      <c r="HJM1371" s="110"/>
      <c r="HJN1371" s="110"/>
      <c r="HJO1371" s="110"/>
      <c r="HJP1371" s="110"/>
      <c r="HJQ1371" s="110"/>
      <c r="HJR1371" s="110"/>
      <c r="HJS1371" s="110"/>
      <c r="HJT1371" s="110"/>
      <c r="HJU1371" s="110"/>
      <c r="HJV1371" s="110"/>
      <c r="HJW1371" s="110"/>
      <c r="HJX1371" s="110"/>
      <c r="HJY1371" s="110"/>
      <c r="HJZ1371" s="110"/>
      <c r="HKA1371" s="110"/>
      <c r="HKB1371" s="110"/>
      <c r="HKC1371" s="110"/>
      <c r="HKD1371" s="110"/>
      <c r="HKE1371" s="110"/>
      <c r="HKF1371" s="110"/>
      <c r="HKG1371" s="110"/>
      <c r="HKH1371" s="110"/>
      <c r="HKI1371" s="110"/>
      <c r="HKJ1371" s="110"/>
      <c r="HKK1371" s="110"/>
      <c r="HKL1371" s="110"/>
      <c r="HKM1371" s="110"/>
      <c r="HKN1371" s="110"/>
      <c r="HKO1371" s="110"/>
      <c r="HKP1371" s="110"/>
      <c r="HKQ1371" s="110"/>
      <c r="HKR1371" s="110"/>
      <c r="HKS1371" s="110"/>
      <c r="HKT1371" s="110"/>
      <c r="HKU1371" s="110"/>
      <c r="HKV1371" s="110"/>
      <c r="HKW1371" s="110"/>
      <c r="HKX1371" s="110"/>
      <c r="HKY1371" s="110"/>
      <c r="HKZ1371" s="110"/>
      <c r="HLA1371" s="110"/>
      <c r="HLB1371" s="110"/>
      <c r="HLC1371" s="110"/>
      <c r="HLD1371" s="110"/>
      <c r="HLE1371" s="110"/>
      <c r="HLF1371" s="110"/>
      <c r="HLG1371" s="110"/>
      <c r="HLH1371" s="110"/>
      <c r="HLI1371" s="110"/>
      <c r="HLJ1371" s="110"/>
      <c r="HLK1371" s="110"/>
      <c r="HLL1371" s="110"/>
      <c r="HLM1371" s="110"/>
      <c r="HLN1371" s="110"/>
      <c r="HLO1371" s="110"/>
      <c r="HLP1371" s="110"/>
      <c r="HLQ1371" s="110"/>
      <c r="HLR1371" s="110"/>
      <c r="HLS1371" s="110"/>
      <c r="HLT1371" s="110"/>
      <c r="HLU1371" s="110"/>
      <c r="HLV1371" s="110"/>
      <c r="HLW1371" s="110"/>
      <c r="HLX1371" s="110"/>
      <c r="HLY1371" s="110"/>
      <c r="HLZ1371" s="110"/>
      <c r="HMA1371" s="110"/>
      <c r="HMB1371" s="110"/>
      <c r="HMC1371" s="110"/>
      <c r="HMD1371" s="110"/>
      <c r="HME1371" s="110"/>
      <c r="HMF1371" s="110"/>
      <c r="HMG1371" s="110"/>
      <c r="HMH1371" s="110"/>
      <c r="HMI1371" s="110"/>
      <c r="HMJ1371" s="110"/>
      <c r="HMK1371" s="110"/>
      <c r="HML1371" s="110"/>
      <c r="HMM1371" s="110"/>
      <c r="HMN1371" s="110"/>
      <c r="HMO1371" s="110"/>
      <c r="HMP1371" s="110"/>
      <c r="HMQ1371" s="110"/>
      <c r="HMR1371" s="110"/>
      <c r="HMS1371" s="110"/>
      <c r="HMT1371" s="110"/>
      <c r="HMU1371" s="110"/>
      <c r="HMV1371" s="110"/>
      <c r="HMW1371" s="110"/>
      <c r="HMX1371" s="110"/>
      <c r="HMY1371" s="110"/>
      <c r="HMZ1371" s="110"/>
      <c r="HNA1371" s="110"/>
      <c r="HNB1371" s="110"/>
      <c r="HNC1371" s="110"/>
      <c r="HND1371" s="110"/>
      <c r="HNE1371" s="110"/>
      <c r="HNF1371" s="110"/>
      <c r="HNG1371" s="110"/>
      <c r="HNH1371" s="110"/>
      <c r="HNI1371" s="110"/>
      <c r="HNJ1371" s="110"/>
      <c r="HNK1371" s="110"/>
      <c r="HNL1371" s="110"/>
      <c r="HNM1371" s="110"/>
      <c r="HNN1371" s="110"/>
      <c r="HNO1371" s="110"/>
      <c r="HNP1371" s="110"/>
      <c r="HNQ1371" s="110"/>
      <c r="HNR1371" s="110"/>
      <c r="HNS1371" s="110"/>
      <c r="HNT1371" s="110"/>
      <c r="HNU1371" s="110"/>
      <c r="HNV1371" s="110"/>
      <c r="HNW1371" s="110"/>
      <c r="HNX1371" s="110"/>
      <c r="HNY1371" s="110"/>
      <c r="HNZ1371" s="110"/>
      <c r="HOA1371" s="110"/>
      <c r="HOB1371" s="110"/>
      <c r="HOC1371" s="110"/>
      <c r="HOD1371" s="110"/>
      <c r="HOE1371" s="110"/>
      <c r="HOF1371" s="110"/>
      <c r="HOG1371" s="110"/>
      <c r="HOH1371" s="110"/>
      <c r="HOI1371" s="110"/>
      <c r="HOJ1371" s="110"/>
      <c r="HOK1371" s="110"/>
      <c r="HOL1371" s="110"/>
      <c r="HOM1371" s="110"/>
      <c r="HON1371" s="110"/>
      <c r="HOO1371" s="110"/>
      <c r="HOP1371" s="110"/>
      <c r="HOQ1371" s="110"/>
      <c r="HOR1371" s="110"/>
      <c r="HOS1371" s="110"/>
      <c r="HOT1371" s="110"/>
      <c r="HOU1371" s="110"/>
      <c r="HOV1371" s="110"/>
      <c r="HOW1371" s="110"/>
      <c r="HOX1371" s="110"/>
      <c r="HOY1371" s="110"/>
      <c r="HOZ1371" s="110"/>
      <c r="HPA1371" s="110"/>
      <c r="HPB1371" s="110"/>
      <c r="HPC1371" s="110"/>
      <c r="HPD1371" s="110"/>
      <c r="HPE1371" s="110"/>
      <c r="HPF1371" s="110"/>
      <c r="HPG1371" s="110"/>
      <c r="HPH1371" s="110"/>
      <c r="HPI1371" s="110"/>
      <c r="HPJ1371" s="110"/>
      <c r="HPK1371" s="110"/>
      <c r="HPL1371" s="110"/>
      <c r="HPM1371" s="110"/>
      <c r="HPN1371" s="110"/>
      <c r="HPO1371" s="110"/>
      <c r="HPP1371" s="110"/>
      <c r="HPQ1371" s="110"/>
      <c r="HPR1371" s="110"/>
      <c r="HPS1371" s="110"/>
      <c r="HPT1371" s="110"/>
      <c r="HPU1371" s="110"/>
      <c r="HPV1371" s="110"/>
      <c r="HPW1371" s="110"/>
      <c r="HPX1371" s="110"/>
      <c r="HPY1371" s="110"/>
      <c r="HPZ1371" s="110"/>
      <c r="HQA1371" s="110"/>
      <c r="HQB1371" s="110"/>
      <c r="HQC1371" s="110"/>
      <c r="HQD1371" s="110"/>
      <c r="HQE1371" s="110"/>
      <c r="HQF1371" s="110"/>
      <c r="HQG1371" s="110"/>
      <c r="HQH1371" s="110"/>
      <c r="HQI1371" s="110"/>
      <c r="HQJ1371" s="110"/>
      <c r="HQK1371" s="110"/>
      <c r="HQL1371" s="110"/>
      <c r="HQM1371" s="110"/>
      <c r="HQN1371" s="110"/>
      <c r="HQO1371" s="110"/>
      <c r="HQP1371" s="110"/>
      <c r="HQQ1371" s="110"/>
      <c r="HQR1371" s="110"/>
      <c r="HQS1371" s="110"/>
      <c r="HQT1371" s="110"/>
      <c r="HQU1371" s="110"/>
      <c r="HQV1371" s="110"/>
      <c r="HQW1371" s="110"/>
      <c r="HQX1371" s="110"/>
      <c r="HQY1371" s="110"/>
      <c r="HQZ1371" s="110"/>
      <c r="HRA1371" s="110"/>
      <c r="HRB1371" s="110"/>
      <c r="HRC1371" s="110"/>
      <c r="HRD1371" s="110"/>
      <c r="HRE1371" s="110"/>
      <c r="HRF1371" s="110"/>
      <c r="HRG1371" s="110"/>
      <c r="HRH1371" s="110"/>
      <c r="HRI1371" s="110"/>
      <c r="HRJ1371" s="110"/>
      <c r="HRK1371" s="110"/>
      <c r="HRL1371" s="110"/>
      <c r="HRM1371" s="110"/>
      <c r="HRN1371" s="110"/>
      <c r="HRO1371" s="110"/>
      <c r="HRP1371" s="110"/>
      <c r="HRQ1371" s="110"/>
      <c r="HRR1371" s="110"/>
      <c r="HRS1371" s="110"/>
      <c r="HRT1371" s="110"/>
      <c r="HRU1371" s="110"/>
      <c r="HRV1371" s="110"/>
      <c r="HRW1371" s="110"/>
      <c r="HRX1371" s="110"/>
      <c r="HRY1371" s="110"/>
      <c r="HRZ1371" s="110"/>
      <c r="HSA1371" s="110"/>
      <c r="HSB1371" s="110"/>
      <c r="HSC1371" s="110"/>
      <c r="HSD1371" s="110"/>
      <c r="HSE1371" s="110"/>
      <c r="HSF1371" s="110"/>
      <c r="HSG1371" s="110"/>
      <c r="HSH1371" s="110"/>
      <c r="HSI1371" s="110"/>
      <c r="HSJ1371" s="110"/>
      <c r="HSK1371" s="110"/>
      <c r="HSL1371" s="110"/>
      <c r="HSM1371" s="110"/>
      <c r="HSN1371" s="110"/>
      <c r="HSO1371" s="110"/>
      <c r="HSP1371" s="110"/>
      <c r="HSQ1371" s="110"/>
      <c r="HSR1371" s="110"/>
      <c r="HSS1371" s="110"/>
      <c r="HST1371" s="110"/>
      <c r="HSU1371" s="110"/>
      <c r="HSV1371" s="110"/>
      <c r="HSW1371" s="110"/>
      <c r="HSX1371" s="110"/>
      <c r="HSY1371" s="110"/>
      <c r="HSZ1371" s="110"/>
      <c r="HTA1371" s="110"/>
      <c r="HTB1371" s="110"/>
      <c r="HTC1371" s="110"/>
      <c r="HTD1371" s="110"/>
      <c r="HTE1371" s="110"/>
      <c r="HTF1371" s="110"/>
      <c r="HTG1371" s="110"/>
      <c r="HTH1371" s="110"/>
      <c r="HTI1371" s="110"/>
      <c r="HTJ1371" s="110"/>
      <c r="HTK1371" s="110"/>
      <c r="HTL1371" s="110"/>
      <c r="HTM1371" s="110"/>
      <c r="HTN1371" s="110"/>
      <c r="HTO1371" s="110"/>
      <c r="HTP1371" s="110"/>
      <c r="HTQ1371" s="110"/>
      <c r="HTR1371" s="110"/>
      <c r="HTS1371" s="110"/>
      <c r="HTT1371" s="110"/>
      <c r="HTU1371" s="110"/>
      <c r="HTV1371" s="110"/>
      <c r="HTW1371" s="110"/>
      <c r="HTX1371" s="110"/>
      <c r="HTY1371" s="110"/>
      <c r="HTZ1371" s="110"/>
      <c r="HUA1371" s="110"/>
      <c r="HUB1371" s="110"/>
      <c r="HUC1371" s="110"/>
      <c r="HUD1371" s="110"/>
      <c r="HUE1371" s="110"/>
      <c r="HUF1371" s="110"/>
      <c r="HUG1371" s="110"/>
      <c r="HUH1371" s="110"/>
      <c r="HUI1371" s="110"/>
      <c r="HUJ1371" s="110"/>
      <c r="HUK1371" s="110"/>
      <c r="HUL1371" s="110"/>
      <c r="HUM1371" s="110"/>
      <c r="HUN1371" s="110"/>
      <c r="HUO1371" s="110"/>
      <c r="HUP1371" s="110"/>
      <c r="HUQ1371" s="110"/>
      <c r="HUR1371" s="110"/>
      <c r="HUS1371" s="110"/>
      <c r="HUT1371" s="110"/>
      <c r="HUU1371" s="110"/>
      <c r="HUV1371" s="110"/>
      <c r="HUW1371" s="110"/>
      <c r="HUX1371" s="110"/>
      <c r="HUY1371" s="110"/>
      <c r="HUZ1371" s="110"/>
      <c r="HVA1371" s="110"/>
      <c r="HVB1371" s="110"/>
      <c r="HVC1371" s="110"/>
      <c r="HVD1371" s="110"/>
      <c r="HVE1371" s="110"/>
      <c r="HVF1371" s="110"/>
      <c r="HVG1371" s="110"/>
      <c r="HVH1371" s="110"/>
      <c r="HVI1371" s="110"/>
      <c r="HVJ1371" s="110"/>
      <c r="HVK1371" s="110"/>
      <c r="HVL1371" s="110"/>
      <c r="HVM1371" s="110"/>
      <c r="HVN1371" s="110"/>
      <c r="HVO1371" s="110"/>
      <c r="HVP1371" s="110"/>
      <c r="HVQ1371" s="110"/>
      <c r="HVR1371" s="110"/>
      <c r="HVS1371" s="110"/>
      <c r="HVT1371" s="110"/>
      <c r="HVU1371" s="110"/>
      <c r="HVV1371" s="110"/>
      <c r="HVW1371" s="110"/>
      <c r="HVX1371" s="110"/>
      <c r="HVY1371" s="110"/>
      <c r="HVZ1371" s="110"/>
      <c r="HWA1371" s="110"/>
      <c r="HWB1371" s="110"/>
      <c r="HWC1371" s="110"/>
      <c r="HWD1371" s="110"/>
      <c r="HWE1371" s="110"/>
      <c r="HWF1371" s="110"/>
      <c r="HWG1371" s="110"/>
      <c r="HWH1371" s="110"/>
      <c r="HWI1371" s="110"/>
      <c r="HWJ1371" s="110"/>
      <c r="HWK1371" s="110"/>
      <c r="HWL1371" s="110"/>
      <c r="HWM1371" s="110"/>
      <c r="HWN1371" s="110"/>
      <c r="HWO1371" s="110"/>
      <c r="HWP1371" s="110"/>
      <c r="HWQ1371" s="110"/>
      <c r="HWR1371" s="110"/>
      <c r="HWS1371" s="110"/>
      <c r="HWT1371" s="110"/>
      <c r="HWU1371" s="110"/>
      <c r="HWV1371" s="110"/>
      <c r="HWW1371" s="110"/>
      <c r="HWX1371" s="110"/>
      <c r="HWY1371" s="110"/>
      <c r="HWZ1371" s="110"/>
      <c r="HXA1371" s="110"/>
      <c r="HXB1371" s="110"/>
      <c r="HXC1371" s="110"/>
      <c r="HXD1371" s="110"/>
      <c r="HXE1371" s="110"/>
      <c r="HXF1371" s="110"/>
      <c r="HXG1371" s="110"/>
      <c r="HXH1371" s="110"/>
      <c r="HXI1371" s="110"/>
      <c r="HXJ1371" s="110"/>
      <c r="HXK1371" s="110"/>
      <c r="HXL1371" s="110"/>
      <c r="HXM1371" s="110"/>
      <c r="HXN1371" s="110"/>
      <c r="HXO1371" s="110"/>
      <c r="HXP1371" s="110"/>
      <c r="HXQ1371" s="110"/>
      <c r="HXR1371" s="110"/>
      <c r="HXS1371" s="110"/>
      <c r="HXT1371" s="110"/>
      <c r="HXU1371" s="110"/>
      <c r="HXV1371" s="110"/>
      <c r="HXW1371" s="110"/>
      <c r="HXX1371" s="110"/>
      <c r="HXY1371" s="110"/>
      <c r="HXZ1371" s="110"/>
      <c r="HYA1371" s="110"/>
      <c r="HYB1371" s="110"/>
      <c r="HYC1371" s="110"/>
      <c r="HYD1371" s="110"/>
      <c r="HYE1371" s="110"/>
      <c r="HYF1371" s="110"/>
      <c r="HYG1371" s="110"/>
      <c r="HYH1371" s="110"/>
      <c r="HYI1371" s="110"/>
      <c r="HYJ1371" s="110"/>
      <c r="HYK1371" s="110"/>
      <c r="HYL1371" s="110"/>
      <c r="HYM1371" s="110"/>
      <c r="HYN1371" s="110"/>
      <c r="HYO1371" s="110"/>
      <c r="HYP1371" s="110"/>
      <c r="HYQ1371" s="110"/>
      <c r="HYR1371" s="110"/>
      <c r="HYS1371" s="110"/>
      <c r="HYT1371" s="110"/>
      <c r="HYU1371" s="110"/>
      <c r="HYV1371" s="110"/>
      <c r="HYW1371" s="110"/>
      <c r="HYX1371" s="110"/>
      <c r="HYY1371" s="110"/>
      <c r="HYZ1371" s="110"/>
      <c r="HZA1371" s="110"/>
      <c r="HZB1371" s="110"/>
      <c r="HZC1371" s="110"/>
      <c r="HZD1371" s="110"/>
      <c r="HZE1371" s="110"/>
      <c r="HZF1371" s="110"/>
      <c r="HZG1371" s="110"/>
      <c r="HZH1371" s="110"/>
      <c r="HZI1371" s="110"/>
      <c r="HZJ1371" s="110"/>
      <c r="HZK1371" s="110"/>
      <c r="HZL1371" s="110"/>
      <c r="HZM1371" s="110"/>
      <c r="HZN1371" s="110"/>
      <c r="HZO1371" s="110"/>
      <c r="HZP1371" s="110"/>
      <c r="HZQ1371" s="110"/>
      <c r="HZR1371" s="110"/>
      <c r="HZS1371" s="110"/>
      <c r="HZT1371" s="110"/>
      <c r="HZU1371" s="110"/>
      <c r="HZV1371" s="110"/>
      <c r="HZW1371" s="110"/>
      <c r="HZX1371" s="110"/>
      <c r="HZY1371" s="110"/>
      <c r="HZZ1371" s="110"/>
      <c r="IAA1371" s="110"/>
      <c r="IAB1371" s="110"/>
      <c r="IAC1371" s="110"/>
      <c r="IAD1371" s="110"/>
      <c r="IAE1371" s="110"/>
      <c r="IAF1371" s="110"/>
      <c r="IAG1371" s="110"/>
      <c r="IAH1371" s="110"/>
      <c r="IAI1371" s="110"/>
      <c r="IAJ1371" s="110"/>
      <c r="IAK1371" s="110"/>
      <c r="IAL1371" s="110"/>
      <c r="IAM1371" s="110"/>
      <c r="IAN1371" s="110"/>
      <c r="IAO1371" s="110"/>
      <c r="IAP1371" s="110"/>
      <c r="IAQ1371" s="110"/>
      <c r="IAR1371" s="110"/>
      <c r="IAS1371" s="110"/>
      <c r="IAT1371" s="110"/>
      <c r="IAU1371" s="110"/>
      <c r="IAV1371" s="110"/>
      <c r="IAW1371" s="110"/>
      <c r="IAX1371" s="110"/>
      <c r="IAY1371" s="110"/>
      <c r="IAZ1371" s="110"/>
      <c r="IBA1371" s="110"/>
      <c r="IBB1371" s="110"/>
      <c r="IBC1371" s="110"/>
      <c r="IBD1371" s="110"/>
      <c r="IBE1371" s="110"/>
      <c r="IBF1371" s="110"/>
      <c r="IBG1371" s="110"/>
      <c r="IBH1371" s="110"/>
      <c r="IBI1371" s="110"/>
      <c r="IBJ1371" s="110"/>
      <c r="IBK1371" s="110"/>
      <c r="IBL1371" s="110"/>
      <c r="IBM1371" s="110"/>
      <c r="IBN1371" s="110"/>
      <c r="IBO1371" s="110"/>
      <c r="IBP1371" s="110"/>
      <c r="IBQ1371" s="110"/>
      <c r="IBR1371" s="110"/>
      <c r="IBS1371" s="110"/>
      <c r="IBT1371" s="110"/>
      <c r="IBU1371" s="110"/>
      <c r="IBV1371" s="110"/>
      <c r="IBW1371" s="110"/>
      <c r="IBX1371" s="110"/>
      <c r="IBY1371" s="110"/>
      <c r="IBZ1371" s="110"/>
      <c r="ICA1371" s="110"/>
      <c r="ICB1371" s="110"/>
      <c r="ICC1371" s="110"/>
      <c r="ICD1371" s="110"/>
      <c r="ICE1371" s="110"/>
      <c r="ICF1371" s="110"/>
      <c r="ICG1371" s="110"/>
      <c r="ICH1371" s="110"/>
      <c r="ICI1371" s="110"/>
      <c r="ICJ1371" s="110"/>
      <c r="ICK1371" s="110"/>
      <c r="ICL1371" s="110"/>
      <c r="ICM1371" s="110"/>
      <c r="ICN1371" s="110"/>
      <c r="ICO1371" s="110"/>
      <c r="ICP1371" s="110"/>
      <c r="ICQ1371" s="110"/>
      <c r="ICR1371" s="110"/>
      <c r="ICS1371" s="110"/>
      <c r="ICT1371" s="110"/>
      <c r="ICU1371" s="110"/>
      <c r="ICV1371" s="110"/>
      <c r="ICW1371" s="110"/>
      <c r="ICX1371" s="110"/>
      <c r="ICY1371" s="110"/>
      <c r="ICZ1371" s="110"/>
      <c r="IDA1371" s="110"/>
      <c r="IDB1371" s="110"/>
      <c r="IDC1371" s="110"/>
      <c r="IDD1371" s="110"/>
      <c r="IDE1371" s="110"/>
      <c r="IDF1371" s="110"/>
      <c r="IDG1371" s="110"/>
      <c r="IDH1371" s="110"/>
      <c r="IDI1371" s="110"/>
      <c r="IDJ1371" s="110"/>
      <c r="IDK1371" s="110"/>
      <c r="IDL1371" s="110"/>
      <c r="IDM1371" s="110"/>
      <c r="IDN1371" s="110"/>
      <c r="IDO1371" s="110"/>
      <c r="IDP1371" s="110"/>
      <c r="IDQ1371" s="110"/>
      <c r="IDR1371" s="110"/>
      <c r="IDS1371" s="110"/>
      <c r="IDT1371" s="110"/>
      <c r="IDU1371" s="110"/>
      <c r="IDV1371" s="110"/>
      <c r="IDW1371" s="110"/>
      <c r="IDX1371" s="110"/>
      <c r="IDY1371" s="110"/>
      <c r="IDZ1371" s="110"/>
      <c r="IEA1371" s="110"/>
      <c r="IEB1371" s="110"/>
      <c r="IEC1371" s="110"/>
      <c r="IED1371" s="110"/>
      <c r="IEE1371" s="110"/>
      <c r="IEF1371" s="110"/>
      <c r="IEG1371" s="110"/>
      <c r="IEH1371" s="110"/>
      <c r="IEI1371" s="110"/>
      <c r="IEJ1371" s="110"/>
      <c r="IEK1371" s="110"/>
      <c r="IEL1371" s="110"/>
      <c r="IEM1371" s="110"/>
      <c r="IEN1371" s="110"/>
      <c r="IEO1371" s="110"/>
      <c r="IEP1371" s="110"/>
      <c r="IEQ1371" s="110"/>
      <c r="IER1371" s="110"/>
      <c r="IES1371" s="110"/>
      <c r="IET1371" s="110"/>
      <c r="IEU1371" s="110"/>
      <c r="IEV1371" s="110"/>
      <c r="IEW1371" s="110"/>
      <c r="IEX1371" s="110"/>
      <c r="IEY1371" s="110"/>
      <c r="IEZ1371" s="110"/>
      <c r="IFA1371" s="110"/>
      <c r="IFB1371" s="110"/>
      <c r="IFC1371" s="110"/>
      <c r="IFD1371" s="110"/>
      <c r="IFE1371" s="110"/>
      <c r="IFF1371" s="110"/>
      <c r="IFG1371" s="110"/>
      <c r="IFH1371" s="110"/>
      <c r="IFI1371" s="110"/>
      <c r="IFJ1371" s="110"/>
      <c r="IFK1371" s="110"/>
      <c r="IFL1371" s="110"/>
      <c r="IFM1371" s="110"/>
      <c r="IFN1371" s="110"/>
      <c r="IFO1371" s="110"/>
      <c r="IFP1371" s="110"/>
      <c r="IFQ1371" s="110"/>
      <c r="IFR1371" s="110"/>
      <c r="IFS1371" s="110"/>
      <c r="IFT1371" s="110"/>
      <c r="IFU1371" s="110"/>
      <c r="IFV1371" s="110"/>
      <c r="IFW1371" s="110"/>
      <c r="IFX1371" s="110"/>
      <c r="IFY1371" s="110"/>
      <c r="IFZ1371" s="110"/>
      <c r="IGA1371" s="110"/>
      <c r="IGB1371" s="110"/>
      <c r="IGC1371" s="110"/>
      <c r="IGD1371" s="110"/>
      <c r="IGE1371" s="110"/>
      <c r="IGF1371" s="110"/>
      <c r="IGG1371" s="110"/>
      <c r="IGH1371" s="110"/>
      <c r="IGI1371" s="110"/>
      <c r="IGJ1371" s="110"/>
      <c r="IGK1371" s="110"/>
      <c r="IGL1371" s="110"/>
      <c r="IGM1371" s="110"/>
      <c r="IGN1371" s="110"/>
      <c r="IGO1371" s="110"/>
      <c r="IGP1371" s="110"/>
      <c r="IGQ1371" s="110"/>
      <c r="IGR1371" s="110"/>
      <c r="IGS1371" s="110"/>
      <c r="IGT1371" s="110"/>
      <c r="IGU1371" s="110"/>
      <c r="IGV1371" s="110"/>
      <c r="IGW1371" s="110"/>
      <c r="IGX1371" s="110"/>
      <c r="IGY1371" s="110"/>
      <c r="IGZ1371" s="110"/>
      <c r="IHA1371" s="110"/>
      <c r="IHB1371" s="110"/>
      <c r="IHC1371" s="110"/>
      <c r="IHD1371" s="110"/>
      <c r="IHE1371" s="110"/>
      <c r="IHF1371" s="110"/>
      <c r="IHG1371" s="110"/>
      <c r="IHH1371" s="110"/>
      <c r="IHI1371" s="110"/>
      <c r="IHJ1371" s="110"/>
      <c r="IHK1371" s="110"/>
      <c r="IHL1371" s="110"/>
      <c r="IHM1371" s="110"/>
      <c r="IHN1371" s="110"/>
      <c r="IHO1371" s="110"/>
      <c r="IHP1371" s="110"/>
      <c r="IHQ1371" s="110"/>
      <c r="IHR1371" s="110"/>
      <c r="IHS1371" s="110"/>
      <c r="IHT1371" s="110"/>
      <c r="IHU1371" s="110"/>
      <c r="IHV1371" s="110"/>
      <c r="IHW1371" s="110"/>
      <c r="IHX1371" s="110"/>
      <c r="IHY1371" s="110"/>
      <c r="IHZ1371" s="110"/>
      <c r="IIA1371" s="110"/>
      <c r="IIB1371" s="110"/>
      <c r="IIC1371" s="110"/>
      <c r="IID1371" s="110"/>
      <c r="IIE1371" s="110"/>
      <c r="IIF1371" s="110"/>
      <c r="IIG1371" s="110"/>
      <c r="IIH1371" s="110"/>
      <c r="III1371" s="110"/>
      <c r="IIJ1371" s="110"/>
      <c r="IIK1371" s="110"/>
      <c r="IIL1371" s="110"/>
      <c r="IIM1371" s="110"/>
      <c r="IIN1371" s="110"/>
      <c r="IIO1371" s="110"/>
      <c r="IIP1371" s="110"/>
      <c r="IIQ1371" s="110"/>
      <c r="IIR1371" s="110"/>
      <c r="IIS1371" s="110"/>
      <c r="IIT1371" s="110"/>
      <c r="IIU1371" s="110"/>
      <c r="IIV1371" s="110"/>
      <c r="IIW1371" s="110"/>
      <c r="IIX1371" s="110"/>
      <c r="IIY1371" s="110"/>
      <c r="IIZ1371" s="110"/>
      <c r="IJA1371" s="110"/>
      <c r="IJB1371" s="110"/>
      <c r="IJC1371" s="110"/>
      <c r="IJD1371" s="110"/>
      <c r="IJE1371" s="110"/>
      <c r="IJF1371" s="110"/>
      <c r="IJG1371" s="110"/>
      <c r="IJH1371" s="110"/>
      <c r="IJI1371" s="110"/>
      <c r="IJJ1371" s="110"/>
      <c r="IJK1371" s="110"/>
      <c r="IJL1371" s="110"/>
      <c r="IJM1371" s="110"/>
      <c r="IJN1371" s="110"/>
      <c r="IJO1371" s="110"/>
      <c r="IJP1371" s="110"/>
      <c r="IJQ1371" s="110"/>
      <c r="IJR1371" s="110"/>
      <c r="IJS1371" s="110"/>
      <c r="IJT1371" s="110"/>
      <c r="IJU1371" s="110"/>
      <c r="IJV1371" s="110"/>
      <c r="IJW1371" s="110"/>
      <c r="IJX1371" s="110"/>
      <c r="IJY1371" s="110"/>
      <c r="IJZ1371" s="110"/>
      <c r="IKA1371" s="110"/>
      <c r="IKB1371" s="110"/>
      <c r="IKC1371" s="110"/>
      <c r="IKD1371" s="110"/>
      <c r="IKE1371" s="110"/>
      <c r="IKF1371" s="110"/>
      <c r="IKG1371" s="110"/>
      <c r="IKH1371" s="110"/>
      <c r="IKI1371" s="110"/>
      <c r="IKJ1371" s="110"/>
      <c r="IKK1371" s="110"/>
      <c r="IKL1371" s="110"/>
      <c r="IKM1371" s="110"/>
      <c r="IKN1371" s="110"/>
      <c r="IKO1371" s="110"/>
      <c r="IKP1371" s="110"/>
      <c r="IKQ1371" s="110"/>
      <c r="IKR1371" s="110"/>
      <c r="IKS1371" s="110"/>
      <c r="IKT1371" s="110"/>
      <c r="IKU1371" s="110"/>
      <c r="IKV1371" s="110"/>
      <c r="IKW1371" s="110"/>
      <c r="IKX1371" s="110"/>
      <c r="IKY1371" s="110"/>
      <c r="IKZ1371" s="110"/>
      <c r="ILA1371" s="110"/>
      <c r="ILB1371" s="110"/>
      <c r="ILC1371" s="110"/>
      <c r="ILD1371" s="110"/>
      <c r="ILE1371" s="110"/>
      <c r="ILF1371" s="110"/>
      <c r="ILG1371" s="110"/>
      <c r="ILH1371" s="110"/>
      <c r="ILI1371" s="110"/>
      <c r="ILJ1371" s="110"/>
      <c r="ILK1371" s="110"/>
      <c r="ILL1371" s="110"/>
      <c r="ILM1371" s="110"/>
      <c r="ILN1371" s="110"/>
      <c r="ILO1371" s="110"/>
      <c r="ILP1371" s="110"/>
      <c r="ILQ1371" s="110"/>
      <c r="ILR1371" s="110"/>
      <c r="ILS1371" s="110"/>
      <c r="ILT1371" s="110"/>
      <c r="ILU1371" s="110"/>
      <c r="ILV1371" s="110"/>
      <c r="ILW1371" s="110"/>
      <c r="ILX1371" s="110"/>
      <c r="ILY1371" s="110"/>
      <c r="ILZ1371" s="110"/>
      <c r="IMA1371" s="110"/>
      <c r="IMB1371" s="110"/>
      <c r="IMC1371" s="110"/>
      <c r="IMD1371" s="110"/>
      <c r="IME1371" s="110"/>
      <c r="IMF1371" s="110"/>
      <c r="IMG1371" s="110"/>
      <c r="IMH1371" s="110"/>
      <c r="IMI1371" s="110"/>
      <c r="IMJ1371" s="110"/>
      <c r="IMK1371" s="110"/>
      <c r="IML1371" s="110"/>
      <c r="IMM1371" s="110"/>
      <c r="IMN1371" s="110"/>
      <c r="IMO1371" s="110"/>
      <c r="IMP1371" s="110"/>
      <c r="IMQ1371" s="110"/>
      <c r="IMR1371" s="110"/>
      <c r="IMS1371" s="110"/>
      <c r="IMT1371" s="110"/>
      <c r="IMU1371" s="110"/>
      <c r="IMV1371" s="110"/>
      <c r="IMW1371" s="110"/>
      <c r="IMX1371" s="110"/>
      <c r="IMY1371" s="110"/>
      <c r="IMZ1371" s="110"/>
      <c r="INA1371" s="110"/>
      <c r="INB1371" s="110"/>
      <c r="INC1371" s="110"/>
      <c r="IND1371" s="110"/>
      <c r="INE1371" s="110"/>
      <c r="INF1371" s="110"/>
      <c r="ING1371" s="110"/>
      <c r="INH1371" s="110"/>
      <c r="INI1371" s="110"/>
      <c r="INJ1371" s="110"/>
      <c r="INK1371" s="110"/>
      <c r="INL1371" s="110"/>
      <c r="INM1371" s="110"/>
      <c r="INN1371" s="110"/>
      <c r="INO1371" s="110"/>
      <c r="INP1371" s="110"/>
      <c r="INQ1371" s="110"/>
      <c r="INR1371" s="110"/>
      <c r="INS1371" s="110"/>
      <c r="INT1371" s="110"/>
      <c r="INU1371" s="110"/>
      <c r="INV1371" s="110"/>
      <c r="INW1371" s="110"/>
      <c r="INX1371" s="110"/>
      <c r="INY1371" s="110"/>
      <c r="INZ1371" s="110"/>
      <c r="IOA1371" s="110"/>
      <c r="IOB1371" s="110"/>
      <c r="IOC1371" s="110"/>
      <c r="IOD1371" s="110"/>
      <c r="IOE1371" s="110"/>
      <c r="IOF1371" s="110"/>
      <c r="IOG1371" s="110"/>
      <c r="IOH1371" s="110"/>
      <c r="IOI1371" s="110"/>
      <c r="IOJ1371" s="110"/>
      <c r="IOK1371" s="110"/>
      <c r="IOL1371" s="110"/>
      <c r="IOM1371" s="110"/>
      <c r="ION1371" s="110"/>
      <c r="IOO1371" s="110"/>
      <c r="IOP1371" s="110"/>
      <c r="IOQ1371" s="110"/>
      <c r="IOR1371" s="110"/>
      <c r="IOS1371" s="110"/>
      <c r="IOT1371" s="110"/>
      <c r="IOU1371" s="110"/>
      <c r="IOV1371" s="110"/>
      <c r="IOW1371" s="110"/>
      <c r="IOX1371" s="110"/>
      <c r="IOY1371" s="110"/>
      <c r="IOZ1371" s="110"/>
      <c r="IPA1371" s="110"/>
      <c r="IPB1371" s="110"/>
      <c r="IPC1371" s="110"/>
      <c r="IPD1371" s="110"/>
      <c r="IPE1371" s="110"/>
      <c r="IPF1371" s="110"/>
      <c r="IPG1371" s="110"/>
      <c r="IPH1371" s="110"/>
      <c r="IPI1371" s="110"/>
      <c r="IPJ1371" s="110"/>
      <c r="IPK1371" s="110"/>
      <c r="IPL1371" s="110"/>
      <c r="IPM1371" s="110"/>
      <c r="IPN1371" s="110"/>
      <c r="IPO1371" s="110"/>
      <c r="IPP1371" s="110"/>
      <c r="IPQ1371" s="110"/>
      <c r="IPR1371" s="110"/>
      <c r="IPS1371" s="110"/>
      <c r="IPT1371" s="110"/>
      <c r="IPU1371" s="110"/>
      <c r="IPV1371" s="110"/>
      <c r="IPW1371" s="110"/>
      <c r="IPX1371" s="110"/>
      <c r="IPY1371" s="110"/>
      <c r="IPZ1371" s="110"/>
      <c r="IQA1371" s="110"/>
      <c r="IQB1371" s="110"/>
      <c r="IQC1371" s="110"/>
      <c r="IQD1371" s="110"/>
      <c r="IQE1371" s="110"/>
      <c r="IQF1371" s="110"/>
      <c r="IQG1371" s="110"/>
      <c r="IQH1371" s="110"/>
      <c r="IQI1371" s="110"/>
      <c r="IQJ1371" s="110"/>
      <c r="IQK1371" s="110"/>
      <c r="IQL1371" s="110"/>
      <c r="IQM1371" s="110"/>
      <c r="IQN1371" s="110"/>
      <c r="IQO1371" s="110"/>
      <c r="IQP1371" s="110"/>
      <c r="IQQ1371" s="110"/>
      <c r="IQR1371" s="110"/>
      <c r="IQS1371" s="110"/>
      <c r="IQT1371" s="110"/>
      <c r="IQU1371" s="110"/>
      <c r="IQV1371" s="110"/>
      <c r="IQW1371" s="110"/>
      <c r="IQX1371" s="110"/>
      <c r="IQY1371" s="110"/>
      <c r="IQZ1371" s="110"/>
      <c r="IRA1371" s="110"/>
      <c r="IRB1371" s="110"/>
      <c r="IRC1371" s="110"/>
      <c r="IRD1371" s="110"/>
      <c r="IRE1371" s="110"/>
      <c r="IRF1371" s="110"/>
      <c r="IRG1371" s="110"/>
      <c r="IRH1371" s="110"/>
      <c r="IRI1371" s="110"/>
      <c r="IRJ1371" s="110"/>
      <c r="IRK1371" s="110"/>
      <c r="IRL1371" s="110"/>
      <c r="IRM1371" s="110"/>
      <c r="IRN1371" s="110"/>
      <c r="IRO1371" s="110"/>
      <c r="IRP1371" s="110"/>
      <c r="IRQ1371" s="110"/>
      <c r="IRR1371" s="110"/>
      <c r="IRS1371" s="110"/>
      <c r="IRT1371" s="110"/>
      <c r="IRU1371" s="110"/>
      <c r="IRV1371" s="110"/>
      <c r="IRW1371" s="110"/>
      <c r="IRX1371" s="110"/>
      <c r="IRY1371" s="110"/>
      <c r="IRZ1371" s="110"/>
      <c r="ISA1371" s="110"/>
      <c r="ISB1371" s="110"/>
      <c r="ISC1371" s="110"/>
      <c r="ISD1371" s="110"/>
      <c r="ISE1371" s="110"/>
      <c r="ISF1371" s="110"/>
      <c r="ISG1371" s="110"/>
      <c r="ISH1371" s="110"/>
      <c r="ISI1371" s="110"/>
      <c r="ISJ1371" s="110"/>
      <c r="ISK1371" s="110"/>
      <c r="ISL1371" s="110"/>
      <c r="ISM1371" s="110"/>
      <c r="ISN1371" s="110"/>
      <c r="ISO1371" s="110"/>
      <c r="ISP1371" s="110"/>
      <c r="ISQ1371" s="110"/>
      <c r="ISR1371" s="110"/>
      <c r="ISS1371" s="110"/>
      <c r="IST1371" s="110"/>
      <c r="ISU1371" s="110"/>
      <c r="ISV1371" s="110"/>
      <c r="ISW1371" s="110"/>
      <c r="ISX1371" s="110"/>
      <c r="ISY1371" s="110"/>
      <c r="ISZ1371" s="110"/>
      <c r="ITA1371" s="110"/>
      <c r="ITB1371" s="110"/>
      <c r="ITC1371" s="110"/>
      <c r="ITD1371" s="110"/>
      <c r="ITE1371" s="110"/>
      <c r="ITF1371" s="110"/>
      <c r="ITG1371" s="110"/>
      <c r="ITH1371" s="110"/>
      <c r="ITI1371" s="110"/>
      <c r="ITJ1371" s="110"/>
      <c r="ITK1371" s="110"/>
      <c r="ITL1371" s="110"/>
      <c r="ITM1371" s="110"/>
      <c r="ITN1371" s="110"/>
      <c r="ITO1371" s="110"/>
      <c r="ITP1371" s="110"/>
      <c r="ITQ1371" s="110"/>
      <c r="ITR1371" s="110"/>
      <c r="ITS1371" s="110"/>
      <c r="ITT1371" s="110"/>
      <c r="ITU1371" s="110"/>
      <c r="ITV1371" s="110"/>
      <c r="ITW1371" s="110"/>
      <c r="ITX1371" s="110"/>
      <c r="ITY1371" s="110"/>
      <c r="ITZ1371" s="110"/>
      <c r="IUA1371" s="110"/>
      <c r="IUB1371" s="110"/>
      <c r="IUC1371" s="110"/>
      <c r="IUD1371" s="110"/>
      <c r="IUE1371" s="110"/>
      <c r="IUF1371" s="110"/>
      <c r="IUG1371" s="110"/>
      <c r="IUH1371" s="110"/>
      <c r="IUI1371" s="110"/>
      <c r="IUJ1371" s="110"/>
      <c r="IUK1371" s="110"/>
      <c r="IUL1371" s="110"/>
      <c r="IUM1371" s="110"/>
      <c r="IUN1371" s="110"/>
      <c r="IUO1371" s="110"/>
      <c r="IUP1371" s="110"/>
      <c r="IUQ1371" s="110"/>
      <c r="IUR1371" s="110"/>
      <c r="IUS1371" s="110"/>
      <c r="IUT1371" s="110"/>
      <c r="IUU1371" s="110"/>
      <c r="IUV1371" s="110"/>
      <c r="IUW1371" s="110"/>
      <c r="IUX1371" s="110"/>
      <c r="IUY1371" s="110"/>
      <c r="IUZ1371" s="110"/>
      <c r="IVA1371" s="110"/>
      <c r="IVB1371" s="110"/>
      <c r="IVC1371" s="110"/>
      <c r="IVD1371" s="110"/>
      <c r="IVE1371" s="110"/>
      <c r="IVF1371" s="110"/>
      <c r="IVG1371" s="110"/>
      <c r="IVH1371" s="110"/>
      <c r="IVI1371" s="110"/>
      <c r="IVJ1371" s="110"/>
      <c r="IVK1371" s="110"/>
      <c r="IVL1371" s="110"/>
      <c r="IVM1371" s="110"/>
      <c r="IVN1371" s="110"/>
      <c r="IVO1371" s="110"/>
      <c r="IVP1371" s="110"/>
      <c r="IVQ1371" s="110"/>
      <c r="IVR1371" s="110"/>
      <c r="IVS1371" s="110"/>
      <c r="IVT1371" s="110"/>
      <c r="IVU1371" s="110"/>
      <c r="IVV1371" s="110"/>
      <c r="IVW1371" s="110"/>
      <c r="IVX1371" s="110"/>
      <c r="IVY1371" s="110"/>
      <c r="IVZ1371" s="110"/>
      <c r="IWA1371" s="110"/>
      <c r="IWB1371" s="110"/>
      <c r="IWC1371" s="110"/>
      <c r="IWD1371" s="110"/>
      <c r="IWE1371" s="110"/>
      <c r="IWF1371" s="110"/>
      <c r="IWG1371" s="110"/>
      <c r="IWH1371" s="110"/>
      <c r="IWI1371" s="110"/>
      <c r="IWJ1371" s="110"/>
      <c r="IWK1371" s="110"/>
      <c r="IWL1371" s="110"/>
      <c r="IWM1371" s="110"/>
      <c r="IWN1371" s="110"/>
      <c r="IWO1371" s="110"/>
      <c r="IWP1371" s="110"/>
      <c r="IWQ1371" s="110"/>
      <c r="IWR1371" s="110"/>
      <c r="IWS1371" s="110"/>
      <c r="IWT1371" s="110"/>
      <c r="IWU1371" s="110"/>
      <c r="IWV1371" s="110"/>
      <c r="IWW1371" s="110"/>
      <c r="IWX1371" s="110"/>
      <c r="IWY1371" s="110"/>
      <c r="IWZ1371" s="110"/>
      <c r="IXA1371" s="110"/>
      <c r="IXB1371" s="110"/>
      <c r="IXC1371" s="110"/>
      <c r="IXD1371" s="110"/>
      <c r="IXE1371" s="110"/>
      <c r="IXF1371" s="110"/>
      <c r="IXG1371" s="110"/>
      <c r="IXH1371" s="110"/>
      <c r="IXI1371" s="110"/>
      <c r="IXJ1371" s="110"/>
      <c r="IXK1371" s="110"/>
      <c r="IXL1371" s="110"/>
      <c r="IXM1371" s="110"/>
      <c r="IXN1371" s="110"/>
      <c r="IXO1371" s="110"/>
      <c r="IXP1371" s="110"/>
      <c r="IXQ1371" s="110"/>
      <c r="IXR1371" s="110"/>
      <c r="IXS1371" s="110"/>
      <c r="IXT1371" s="110"/>
      <c r="IXU1371" s="110"/>
      <c r="IXV1371" s="110"/>
      <c r="IXW1371" s="110"/>
      <c r="IXX1371" s="110"/>
      <c r="IXY1371" s="110"/>
      <c r="IXZ1371" s="110"/>
      <c r="IYA1371" s="110"/>
      <c r="IYB1371" s="110"/>
      <c r="IYC1371" s="110"/>
      <c r="IYD1371" s="110"/>
      <c r="IYE1371" s="110"/>
      <c r="IYF1371" s="110"/>
      <c r="IYG1371" s="110"/>
      <c r="IYH1371" s="110"/>
      <c r="IYI1371" s="110"/>
      <c r="IYJ1371" s="110"/>
      <c r="IYK1371" s="110"/>
      <c r="IYL1371" s="110"/>
      <c r="IYM1371" s="110"/>
      <c r="IYN1371" s="110"/>
      <c r="IYO1371" s="110"/>
      <c r="IYP1371" s="110"/>
      <c r="IYQ1371" s="110"/>
      <c r="IYR1371" s="110"/>
      <c r="IYS1371" s="110"/>
      <c r="IYT1371" s="110"/>
      <c r="IYU1371" s="110"/>
      <c r="IYV1371" s="110"/>
      <c r="IYW1371" s="110"/>
      <c r="IYX1371" s="110"/>
      <c r="IYY1371" s="110"/>
      <c r="IYZ1371" s="110"/>
      <c r="IZA1371" s="110"/>
      <c r="IZB1371" s="110"/>
      <c r="IZC1371" s="110"/>
      <c r="IZD1371" s="110"/>
      <c r="IZE1371" s="110"/>
      <c r="IZF1371" s="110"/>
      <c r="IZG1371" s="110"/>
      <c r="IZH1371" s="110"/>
      <c r="IZI1371" s="110"/>
      <c r="IZJ1371" s="110"/>
      <c r="IZK1371" s="110"/>
      <c r="IZL1371" s="110"/>
      <c r="IZM1371" s="110"/>
      <c r="IZN1371" s="110"/>
      <c r="IZO1371" s="110"/>
      <c r="IZP1371" s="110"/>
      <c r="IZQ1371" s="110"/>
      <c r="IZR1371" s="110"/>
      <c r="IZS1371" s="110"/>
      <c r="IZT1371" s="110"/>
      <c r="IZU1371" s="110"/>
      <c r="IZV1371" s="110"/>
      <c r="IZW1371" s="110"/>
      <c r="IZX1371" s="110"/>
      <c r="IZY1371" s="110"/>
      <c r="IZZ1371" s="110"/>
      <c r="JAA1371" s="110"/>
      <c r="JAB1371" s="110"/>
      <c r="JAC1371" s="110"/>
      <c r="JAD1371" s="110"/>
      <c r="JAE1371" s="110"/>
      <c r="JAF1371" s="110"/>
      <c r="JAG1371" s="110"/>
      <c r="JAH1371" s="110"/>
      <c r="JAI1371" s="110"/>
      <c r="JAJ1371" s="110"/>
      <c r="JAK1371" s="110"/>
      <c r="JAL1371" s="110"/>
      <c r="JAM1371" s="110"/>
      <c r="JAN1371" s="110"/>
      <c r="JAO1371" s="110"/>
      <c r="JAP1371" s="110"/>
      <c r="JAQ1371" s="110"/>
      <c r="JAR1371" s="110"/>
      <c r="JAS1371" s="110"/>
      <c r="JAT1371" s="110"/>
      <c r="JAU1371" s="110"/>
      <c r="JAV1371" s="110"/>
      <c r="JAW1371" s="110"/>
      <c r="JAX1371" s="110"/>
      <c r="JAY1371" s="110"/>
      <c r="JAZ1371" s="110"/>
      <c r="JBA1371" s="110"/>
      <c r="JBB1371" s="110"/>
      <c r="JBC1371" s="110"/>
      <c r="JBD1371" s="110"/>
      <c r="JBE1371" s="110"/>
      <c r="JBF1371" s="110"/>
      <c r="JBG1371" s="110"/>
      <c r="JBH1371" s="110"/>
      <c r="JBI1371" s="110"/>
      <c r="JBJ1371" s="110"/>
      <c r="JBK1371" s="110"/>
      <c r="JBL1371" s="110"/>
      <c r="JBM1371" s="110"/>
      <c r="JBN1371" s="110"/>
      <c r="JBO1371" s="110"/>
      <c r="JBP1371" s="110"/>
      <c r="JBQ1371" s="110"/>
      <c r="JBR1371" s="110"/>
      <c r="JBS1371" s="110"/>
      <c r="JBT1371" s="110"/>
      <c r="JBU1371" s="110"/>
      <c r="JBV1371" s="110"/>
      <c r="JBW1371" s="110"/>
      <c r="JBX1371" s="110"/>
      <c r="JBY1371" s="110"/>
      <c r="JBZ1371" s="110"/>
      <c r="JCA1371" s="110"/>
      <c r="JCB1371" s="110"/>
      <c r="JCC1371" s="110"/>
      <c r="JCD1371" s="110"/>
      <c r="JCE1371" s="110"/>
      <c r="JCF1371" s="110"/>
      <c r="JCG1371" s="110"/>
      <c r="JCH1371" s="110"/>
      <c r="JCI1371" s="110"/>
      <c r="JCJ1371" s="110"/>
      <c r="JCK1371" s="110"/>
      <c r="JCL1371" s="110"/>
      <c r="JCM1371" s="110"/>
      <c r="JCN1371" s="110"/>
      <c r="JCO1371" s="110"/>
      <c r="JCP1371" s="110"/>
      <c r="JCQ1371" s="110"/>
      <c r="JCR1371" s="110"/>
      <c r="JCS1371" s="110"/>
      <c r="JCT1371" s="110"/>
      <c r="JCU1371" s="110"/>
      <c r="JCV1371" s="110"/>
      <c r="JCW1371" s="110"/>
      <c r="JCX1371" s="110"/>
      <c r="JCY1371" s="110"/>
      <c r="JCZ1371" s="110"/>
      <c r="JDA1371" s="110"/>
      <c r="JDB1371" s="110"/>
      <c r="JDC1371" s="110"/>
      <c r="JDD1371" s="110"/>
      <c r="JDE1371" s="110"/>
      <c r="JDF1371" s="110"/>
      <c r="JDG1371" s="110"/>
      <c r="JDH1371" s="110"/>
      <c r="JDI1371" s="110"/>
      <c r="JDJ1371" s="110"/>
      <c r="JDK1371" s="110"/>
      <c r="JDL1371" s="110"/>
      <c r="JDM1371" s="110"/>
      <c r="JDN1371" s="110"/>
      <c r="JDO1371" s="110"/>
      <c r="JDP1371" s="110"/>
      <c r="JDQ1371" s="110"/>
      <c r="JDR1371" s="110"/>
      <c r="JDS1371" s="110"/>
      <c r="JDT1371" s="110"/>
      <c r="JDU1371" s="110"/>
      <c r="JDV1371" s="110"/>
      <c r="JDW1371" s="110"/>
      <c r="JDX1371" s="110"/>
      <c r="JDY1371" s="110"/>
      <c r="JDZ1371" s="110"/>
      <c r="JEA1371" s="110"/>
      <c r="JEB1371" s="110"/>
      <c r="JEC1371" s="110"/>
      <c r="JED1371" s="110"/>
      <c r="JEE1371" s="110"/>
      <c r="JEF1371" s="110"/>
      <c r="JEG1371" s="110"/>
      <c r="JEH1371" s="110"/>
      <c r="JEI1371" s="110"/>
      <c r="JEJ1371" s="110"/>
      <c r="JEK1371" s="110"/>
      <c r="JEL1371" s="110"/>
      <c r="JEM1371" s="110"/>
      <c r="JEN1371" s="110"/>
      <c r="JEO1371" s="110"/>
      <c r="JEP1371" s="110"/>
      <c r="JEQ1371" s="110"/>
      <c r="JER1371" s="110"/>
      <c r="JES1371" s="110"/>
      <c r="JET1371" s="110"/>
      <c r="JEU1371" s="110"/>
      <c r="JEV1371" s="110"/>
      <c r="JEW1371" s="110"/>
      <c r="JEX1371" s="110"/>
      <c r="JEY1371" s="110"/>
      <c r="JEZ1371" s="110"/>
      <c r="JFA1371" s="110"/>
      <c r="JFB1371" s="110"/>
      <c r="JFC1371" s="110"/>
      <c r="JFD1371" s="110"/>
      <c r="JFE1371" s="110"/>
      <c r="JFF1371" s="110"/>
      <c r="JFG1371" s="110"/>
      <c r="JFH1371" s="110"/>
      <c r="JFI1371" s="110"/>
      <c r="JFJ1371" s="110"/>
      <c r="JFK1371" s="110"/>
      <c r="JFL1371" s="110"/>
      <c r="JFM1371" s="110"/>
      <c r="JFN1371" s="110"/>
      <c r="JFO1371" s="110"/>
      <c r="JFP1371" s="110"/>
      <c r="JFQ1371" s="110"/>
      <c r="JFR1371" s="110"/>
      <c r="JFS1371" s="110"/>
      <c r="JFT1371" s="110"/>
      <c r="JFU1371" s="110"/>
      <c r="JFV1371" s="110"/>
      <c r="JFW1371" s="110"/>
      <c r="JFX1371" s="110"/>
      <c r="JFY1371" s="110"/>
      <c r="JFZ1371" s="110"/>
      <c r="JGA1371" s="110"/>
      <c r="JGB1371" s="110"/>
      <c r="JGC1371" s="110"/>
      <c r="JGD1371" s="110"/>
      <c r="JGE1371" s="110"/>
      <c r="JGF1371" s="110"/>
      <c r="JGG1371" s="110"/>
      <c r="JGH1371" s="110"/>
      <c r="JGI1371" s="110"/>
      <c r="JGJ1371" s="110"/>
      <c r="JGK1371" s="110"/>
      <c r="JGL1371" s="110"/>
      <c r="JGM1371" s="110"/>
      <c r="JGN1371" s="110"/>
      <c r="JGO1371" s="110"/>
      <c r="JGP1371" s="110"/>
      <c r="JGQ1371" s="110"/>
      <c r="JGR1371" s="110"/>
      <c r="JGS1371" s="110"/>
      <c r="JGT1371" s="110"/>
      <c r="JGU1371" s="110"/>
      <c r="JGV1371" s="110"/>
      <c r="JGW1371" s="110"/>
      <c r="JGX1371" s="110"/>
      <c r="JGY1371" s="110"/>
      <c r="JGZ1371" s="110"/>
      <c r="JHA1371" s="110"/>
      <c r="JHB1371" s="110"/>
      <c r="JHC1371" s="110"/>
      <c r="JHD1371" s="110"/>
      <c r="JHE1371" s="110"/>
      <c r="JHF1371" s="110"/>
      <c r="JHG1371" s="110"/>
      <c r="JHH1371" s="110"/>
      <c r="JHI1371" s="110"/>
      <c r="JHJ1371" s="110"/>
      <c r="JHK1371" s="110"/>
      <c r="JHL1371" s="110"/>
      <c r="JHM1371" s="110"/>
      <c r="JHN1371" s="110"/>
      <c r="JHO1371" s="110"/>
      <c r="JHP1371" s="110"/>
      <c r="JHQ1371" s="110"/>
      <c r="JHR1371" s="110"/>
      <c r="JHS1371" s="110"/>
      <c r="JHT1371" s="110"/>
      <c r="JHU1371" s="110"/>
      <c r="JHV1371" s="110"/>
      <c r="JHW1371" s="110"/>
      <c r="JHX1371" s="110"/>
      <c r="JHY1371" s="110"/>
      <c r="JHZ1371" s="110"/>
      <c r="JIA1371" s="110"/>
      <c r="JIB1371" s="110"/>
      <c r="JIC1371" s="110"/>
      <c r="JID1371" s="110"/>
      <c r="JIE1371" s="110"/>
      <c r="JIF1371" s="110"/>
      <c r="JIG1371" s="110"/>
      <c r="JIH1371" s="110"/>
      <c r="JII1371" s="110"/>
      <c r="JIJ1371" s="110"/>
      <c r="JIK1371" s="110"/>
      <c r="JIL1371" s="110"/>
      <c r="JIM1371" s="110"/>
      <c r="JIN1371" s="110"/>
      <c r="JIO1371" s="110"/>
      <c r="JIP1371" s="110"/>
      <c r="JIQ1371" s="110"/>
      <c r="JIR1371" s="110"/>
      <c r="JIS1371" s="110"/>
      <c r="JIT1371" s="110"/>
      <c r="JIU1371" s="110"/>
      <c r="JIV1371" s="110"/>
      <c r="JIW1371" s="110"/>
      <c r="JIX1371" s="110"/>
      <c r="JIY1371" s="110"/>
      <c r="JIZ1371" s="110"/>
      <c r="JJA1371" s="110"/>
      <c r="JJB1371" s="110"/>
      <c r="JJC1371" s="110"/>
      <c r="JJD1371" s="110"/>
      <c r="JJE1371" s="110"/>
      <c r="JJF1371" s="110"/>
      <c r="JJG1371" s="110"/>
      <c r="JJH1371" s="110"/>
      <c r="JJI1371" s="110"/>
      <c r="JJJ1371" s="110"/>
      <c r="JJK1371" s="110"/>
      <c r="JJL1371" s="110"/>
      <c r="JJM1371" s="110"/>
      <c r="JJN1371" s="110"/>
      <c r="JJO1371" s="110"/>
      <c r="JJP1371" s="110"/>
      <c r="JJQ1371" s="110"/>
      <c r="JJR1371" s="110"/>
      <c r="JJS1371" s="110"/>
      <c r="JJT1371" s="110"/>
      <c r="JJU1371" s="110"/>
      <c r="JJV1371" s="110"/>
      <c r="JJW1371" s="110"/>
      <c r="JJX1371" s="110"/>
      <c r="JJY1371" s="110"/>
      <c r="JJZ1371" s="110"/>
      <c r="JKA1371" s="110"/>
      <c r="JKB1371" s="110"/>
      <c r="JKC1371" s="110"/>
      <c r="JKD1371" s="110"/>
      <c r="JKE1371" s="110"/>
      <c r="JKF1371" s="110"/>
      <c r="JKG1371" s="110"/>
      <c r="JKH1371" s="110"/>
      <c r="JKI1371" s="110"/>
      <c r="JKJ1371" s="110"/>
      <c r="JKK1371" s="110"/>
      <c r="JKL1371" s="110"/>
      <c r="JKM1371" s="110"/>
      <c r="JKN1371" s="110"/>
      <c r="JKO1371" s="110"/>
      <c r="JKP1371" s="110"/>
      <c r="JKQ1371" s="110"/>
      <c r="JKR1371" s="110"/>
      <c r="JKS1371" s="110"/>
      <c r="JKT1371" s="110"/>
      <c r="JKU1371" s="110"/>
      <c r="JKV1371" s="110"/>
      <c r="JKW1371" s="110"/>
      <c r="JKX1371" s="110"/>
      <c r="JKY1371" s="110"/>
      <c r="JKZ1371" s="110"/>
      <c r="JLA1371" s="110"/>
      <c r="JLB1371" s="110"/>
      <c r="JLC1371" s="110"/>
      <c r="JLD1371" s="110"/>
      <c r="JLE1371" s="110"/>
      <c r="JLF1371" s="110"/>
      <c r="JLG1371" s="110"/>
      <c r="JLH1371" s="110"/>
      <c r="JLI1371" s="110"/>
      <c r="JLJ1371" s="110"/>
      <c r="JLK1371" s="110"/>
      <c r="JLL1371" s="110"/>
      <c r="JLM1371" s="110"/>
      <c r="JLN1371" s="110"/>
      <c r="JLO1371" s="110"/>
      <c r="JLP1371" s="110"/>
      <c r="JLQ1371" s="110"/>
      <c r="JLR1371" s="110"/>
      <c r="JLS1371" s="110"/>
      <c r="JLT1371" s="110"/>
      <c r="JLU1371" s="110"/>
      <c r="JLV1371" s="110"/>
      <c r="JLW1371" s="110"/>
      <c r="JLX1371" s="110"/>
      <c r="JLY1371" s="110"/>
      <c r="JLZ1371" s="110"/>
      <c r="JMA1371" s="110"/>
      <c r="JMB1371" s="110"/>
      <c r="JMC1371" s="110"/>
      <c r="JMD1371" s="110"/>
      <c r="JME1371" s="110"/>
      <c r="JMF1371" s="110"/>
      <c r="JMG1371" s="110"/>
      <c r="JMH1371" s="110"/>
      <c r="JMI1371" s="110"/>
      <c r="JMJ1371" s="110"/>
      <c r="JMK1371" s="110"/>
      <c r="JML1371" s="110"/>
      <c r="JMM1371" s="110"/>
      <c r="JMN1371" s="110"/>
      <c r="JMO1371" s="110"/>
      <c r="JMP1371" s="110"/>
      <c r="JMQ1371" s="110"/>
      <c r="JMR1371" s="110"/>
      <c r="JMS1371" s="110"/>
      <c r="JMT1371" s="110"/>
      <c r="JMU1371" s="110"/>
      <c r="JMV1371" s="110"/>
      <c r="JMW1371" s="110"/>
      <c r="JMX1371" s="110"/>
      <c r="JMY1371" s="110"/>
      <c r="JMZ1371" s="110"/>
      <c r="JNA1371" s="110"/>
      <c r="JNB1371" s="110"/>
      <c r="JNC1371" s="110"/>
      <c r="JND1371" s="110"/>
      <c r="JNE1371" s="110"/>
      <c r="JNF1371" s="110"/>
      <c r="JNG1371" s="110"/>
      <c r="JNH1371" s="110"/>
      <c r="JNI1371" s="110"/>
      <c r="JNJ1371" s="110"/>
      <c r="JNK1371" s="110"/>
      <c r="JNL1371" s="110"/>
      <c r="JNM1371" s="110"/>
      <c r="JNN1371" s="110"/>
      <c r="JNO1371" s="110"/>
      <c r="JNP1371" s="110"/>
      <c r="JNQ1371" s="110"/>
      <c r="JNR1371" s="110"/>
      <c r="JNS1371" s="110"/>
      <c r="JNT1371" s="110"/>
      <c r="JNU1371" s="110"/>
      <c r="JNV1371" s="110"/>
      <c r="JNW1371" s="110"/>
      <c r="JNX1371" s="110"/>
      <c r="JNY1371" s="110"/>
      <c r="JNZ1371" s="110"/>
      <c r="JOA1371" s="110"/>
      <c r="JOB1371" s="110"/>
      <c r="JOC1371" s="110"/>
      <c r="JOD1371" s="110"/>
      <c r="JOE1371" s="110"/>
      <c r="JOF1371" s="110"/>
      <c r="JOG1371" s="110"/>
      <c r="JOH1371" s="110"/>
      <c r="JOI1371" s="110"/>
      <c r="JOJ1371" s="110"/>
      <c r="JOK1371" s="110"/>
      <c r="JOL1371" s="110"/>
      <c r="JOM1371" s="110"/>
      <c r="JON1371" s="110"/>
      <c r="JOO1371" s="110"/>
      <c r="JOP1371" s="110"/>
      <c r="JOQ1371" s="110"/>
      <c r="JOR1371" s="110"/>
      <c r="JOS1371" s="110"/>
      <c r="JOT1371" s="110"/>
      <c r="JOU1371" s="110"/>
      <c r="JOV1371" s="110"/>
      <c r="JOW1371" s="110"/>
      <c r="JOX1371" s="110"/>
      <c r="JOY1371" s="110"/>
      <c r="JOZ1371" s="110"/>
      <c r="JPA1371" s="110"/>
      <c r="JPB1371" s="110"/>
      <c r="JPC1371" s="110"/>
      <c r="JPD1371" s="110"/>
      <c r="JPE1371" s="110"/>
      <c r="JPF1371" s="110"/>
      <c r="JPG1371" s="110"/>
      <c r="JPH1371" s="110"/>
      <c r="JPI1371" s="110"/>
      <c r="JPJ1371" s="110"/>
      <c r="JPK1371" s="110"/>
      <c r="JPL1371" s="110"/>
      <c r="JPM1371" s="110"/>
      <c r="JPN1371" s="110"/>
      <c r="JPO1371" s="110"/>
      <c r="JPP1371" s="110"/>
      <c r="JPQ1371" s="110"/>
      <c r="JPR1371" s="110"/>
      <c r="JPS1371" s="110"/>
      <c r="JPT1371" s="110"/>
      <c r="JPU1371" s="110"/>
      <c r="JPV1371" s="110"/>
      <c r="JPW1371" s="110"/>
      <c r="JPX1371" s="110"/>
      <c r="JPY1371" s="110"/>
      <c r="JPZ1371" s="110"/>
      <c r="JQA1371" s="110"/>
      <c r="JQB1371" s="110"/>
      <c r="JQC1371" s="110"/>
      <c r="JQD1371" s="110"/>
      <c r="JQE1371" s="110"/>
      <c r="JQF1371" s="110"/>
      <c r="JQG1371" s="110"/>
      <c r="JQH1371" s="110"/>
      <c r="JQI1371" s="110"/>
      <c r="JQJ1371" s="110"/>
      <c r="JQK1371" s="110"/>
      <c r="JQL1371" s="110"/>
      <c r="JQM1371" s="110"/>
      <c r="JQN1371" s="110"/>
      <c r="JQO1371" s="110"/>
      <c r="JQP1371" s="110"/>
      <c r="JQQ1371" s="110"/>
      <c r="JQR1371" s="110"/>
      <c r="JQS1371" s="110"/>
      <c r="JQT1371" s="110"/>
      <c r="JQU1371" s="110"/>
      <c r="JQV1371" s="110"/>
      <c r="JQW1371" s="110"/>
      <c r="JQX1371" s="110"/>
      <c r="JQY1371" s="110"/>
      <c r="JQZ1371" s="110"/>
      <c r="JRA1371" s="110"/>
      <c r="JRB1371" s="110"/>
      <c r="JRC1371" s="110"/>
      <c r="JRD1371" s="110"/>
      <c r="JRE1371" s="110"/>
      <c r="JRF1371" s="110"/>
      <c r="JRG1371" s="110"/>
      <c r="JRH1371" s="110"/>
      <c r="JRI1371" s="110"/>
      <c r="JRJ1371" s="110"/>
      <c r="JRK1371" s="110"/>
      <c r="JRL1371" s="110"/>
      <c r="JRM1371" s="110"/>
      <c r="JRN1371" s="110"/>
      <c r="JRO1371" s="110"/>
      <c r="JRP1371" s="110"/>
      <c r="JRQ1371" s="110"/>
      <c r="JRR1371" s="110"/>
      <c r="JRS1371" s="110"/>
      <c r="JRT1371" s="110"/>
      <c r="JRU1371" s="110"/>
      <c r="JRV1371" s="110"/>
      <c r="JRW1371" s="110"/>
      <c r="JRX1371" s="110"/>
      <c r="JRY1371" s="110"/>
      <c r="JRZ1371" s="110"/>
      <c r="JSA1371" s="110"/>
      <c r="JSB1371" s="110"/>
      <c r="JSC1371" s="110"/>
      <c r="JSD1371" s="110"/>
      <c r="JSE1371" s="110"/>
      <c r="JSF1371" s="110"/>
      <c r="JSG1371" s="110"/>
      <c r="JSH1371" s="110"/>
      <c r="JSI1371" s="110"/>
      <c r="JSJ1371" s="110"/>
      <c r="JSK1371" s="110"/>
      <c r="JSL1371" s="110"/>
      <c r="JSM1371" s="110"/>
      <c r="JSN1371" s="110"/>
      <c r="JSO1371" s="110"/>
      <c r="JSP1371" s="110"/>
      <c r="JSQ1371" s="110"/>
      <c r="JSR1371" s="110"/>
      <c r="JSS1371" s="110"/>
      <c r="JST1371" s="110"/>
      <c r="JSU1371" s="110"/>
      <c r="JSV1371" s="110"/>
      <c r="JSW1371" s="110"/>
      <c r="JSX1371" s="110"/>
      <c r="JSY1371" s="110"/>
      <c r="JSZ1371" s="110"/>
      <c r="JTA1371" s="110"/>
      <c r="JTB1371" s="110"/>
      <c r="JTC1371" s="110"/>
      <c r="JTD1371" s="110"/>
      <c r="JTE1371" s="110"/>
      <c r="JTF1371" s="110"/>
      <c r="JTG1371" s="110"/>
      <c r="JTH1371" s="110"/>
      <c r="JTI1371" s="110"/>
      <c r="JTJ1371" s="110"/>
      <c r="JTK1371" s="110"/>
      <c r="JTL1371" s="110"/>
      <c r="JTM1371" s="110"/>
      <c r="JTN1371" s="110"/>
      <c r="JTO1371" s="110"/>
      <c r="JTP1371" s="110"/>
      <c r="JTQ1371" s="110"/>
      <c r="JTR1371" s="110"/>
      <c r="JTS1371" s="110"/>
      <c r="JTT1371" s="110"/>
      <c r="JTU1371" s="110"/>
      <c r="JTV1371" s="110"/>
      <c r="JTW1371" s="110"/>
      <c r="JTX1371" s="110"/>
      <c r="JTY1371" s="110"/>
      <c r="JTZ1371" s="110"/>
      <c r="JUA1371" s="110"/>
      <c r="JUB1371" s="110"/>
      <c r="JUC1371" s="110"/>
      <c r="JUD1371" s="110"/>
      <c r="JUE1371" s="110"/>
      <c r="JUF1371" s="110"/>
      <c r="JUG1371" s="110"/>
      <c r="JUH1371" s="110"/>
      <c r="JUI1371" s="110"/>
      <c r="JUJ1371" s="110"/>
      <c r="JUK1371" s="110"/>
      <c r="JUL1371" s="110"/>
      <c r="JUM1371" s="110"/>
      <c r="JUN1371" s="110"/>
      <c r="JUO1371" s="110"/>
      <c r="JUP1371" s="110"/>
      <c r="JUQ1371" s="110"/>
      <c r="JUR1371" s="110"/>
      <c r="JUS1371" s="110"/>
      <c r="JUT1371" s="110"/>
      <c r="JUU1371" s="110"/>
      <c r="JUV1371" s="110"/>
      <c r="JUW1371" s="110"/>
      <c r="JUX1371" s="110"/>
      <c r="JUY1371" s="110"/>
      <c r="JUZ1371" s="110"/>
      <c r="JVA1371" s="110"/>
      <c r="JVB1371" s="110"/>
      <c r="JVC1371" s="110"/>
      <c r="JVD1371" s="110"/>
      <c r="JVE1371" s="110"/>
      <c r="JVF1371" s="110"/>
      <c r="JVG1371" s="110"/>
      <c r="JVH1371" s="110"/>
      <c r="JVI1371" s="110"/>
      <c r="JVJ1371" s="110"/>
      <c r="JVK1371" s="110"/>
      <c r="JVL1371" s="110"/>
      <c r="JVM1371" s="110"/>
      <c r="JVN1371" s="110"/>
      <c r="JVO1371" s="110"/>
      <c r="JVP1371" s="110"/>
      <c r="JVQ1371" s="110"/>
      <c r="JVR1371" s="110"/>
      <c r="JVS1371" s="110"/>
      <c r="JVT1371" s="110"/>
      <c r="JVU1371" s="110"/>
      <c r="JVV1371" s="110"/>
      <c r="JVW1371" s="110"/>
      <c r="JVX1371" s="110"/>
      <c r="JVY1371" s="110"/>
      <c r="JVZ1371" s="110"/>
      <c r="JWA1371" s="110"/>
      <c r="JWB1371" s="110"/>
      <c r="JWC1371" s="110"/>
      <c r="JWD1371" s="110"/>
      <c r="JWE1371" s="110"/>
      <c r="JWF1371" s="110"/>
      <c r="JWG1371" s="110"/>
      <c r="JWH1371" s="110"/>
      <c r="JWI1371" s="110"/>
      <c r="JWJ1371" s="110"/>
      <c r="JWK1371" s="110"/>
      <c r="JWL1371" s="110"/>
      <c r="JWM1371" s="110"/>
      <c r="JWN1371" s="110"/>
      <c r="JWO1371" s="110"/>
      <c r="JWP1371" s="110"/>
      <c r="JWQ1371" s="110"/>
      <c r="JWR1371" s="110"/>
      <c r="JWS1371" s="110"/>
      <c r="JWT1371" s="110"/>
      <c r="JWU1371" s="110"/>
      <c r="JWV1371" s="110"/>
      <c r="JWW1371" s="110"/>
      <c r="JWX1371" s="110"/>
      <c r="JWY1371" s="110"/>
      <c r="JWZ1371" s="110"/>
      <c r="JXA1371" s="110"/>
      <c r="JXB1371" s="110"/>
      <c r="JXC1371" s="110"/>
      <c r="JXD1371" s="110"/>
      <c r="JXE1371" s="110"/>
      <c r="JXF1371" s="110"/>
      <c r="JXG1371" s="110"/>
      <c r="JXH1371" s="110"/>
      <c r="JXI1371" s="110"/>
      <c r="JXJ1371" s="110"/>
      <c r="JXK1371" s="110"/>
      <c r="JXL1371" s="110"/>
      <c r="JXM1371" s="110"/>
      <c r="JXN1371" s="110"/>
      <c r="JXO1371" s="110"/>
      <c r="JXP1371" s="110"/>
      <c r="JXQ1371" s="110"/>
      <c r="JXR1371" s="110"/>
      <c r="JXS1371" s="110"/>
      <c r="JXT1371" s="110"/>
      <c r="JXU1371" s="110"/>
      <c r="JXV1371" s="110"/>
      <c r="JXW1371" s="110"/>
      <c r="JXX1371" s="110"/>
      <c r="JXY1371" s="110"/>
      <c r="JXZ1371" s="110"/>
      <c r="JYA1371" s="110"/>
      <c r="JYB1371" s="110"/>
      <c r="JYC1371" s="110"/>
      <c r="JYD1371" s="110"/>
      <c r="JYE1371" s="110"/>
      <c r="JYF1371" s="110"/>
      <c r="JYG1371" s="110"/>
      <c r="JYH1371" s="110"/>
      <c r="JYI1371" s="110"/>
      <c r="JYJ1371" s="110"/>
      <c r="JYK1371" s="110"/>
      <c r="JYL1371" s="110"/>
      <c r="JYM1371" s="110"/>
      <c r="JYN1371" s="110"/>
      <c r="JYO1371" s="110"/>
      <c r="JYP1371" s="110"/>
      <c r="JYQ1371" s="110"/>
      <c r="JYR1371" s="110"/>
      <c r="JYS1371" s="110"/>
      <c r="JYT1371" s="110"/>
      <c r="JYU1371" s="110"/>
      <c r="JYV1371" s="110"/>
      <c r="JYW1371" s="110"/>
      <c r="JYX1371" s="110"/>
      <c r="JYY1371" s="110"/>
      <c r="JYZ1371" s="110"/>
      <c r="JZA1371" s="110"/>
      <c r="JZB1371" s="110"/>
      <c r="JZC1371" s="110"/>
      <c r="JZD1371" s="110"/>
      <c r="JZE1371" s="110"/>
      <c r="JZF1371" s="110"/>
      <c r="JZG1371" s="110"/>
      <c r="JZH1371" s="110"/>
      <c r="JZI1371" s="110"/>
      <c r="JZJ1371" s="110"/>
      <c r="JZK1371" s="110"/>
      <c r="JZL1371" s="110"/>
      <c r="JZM1371" s="110"/>
      <c r="JZN1371" s="110"/>
      <c r="JZO1371" s="110"/>
      <c r="JZP1371" s="110"/>
      <c r="JZQ1371" s="110"/>
      <c r="JZR1371" s="110"/>
      <c r="JZS1371" s="110"/>
      <c r="JZT1371" s="110"/>
      <c r="JZU1371" s="110"/>
      <c r="JZV1371" s="110"/>
      <c r="JZW1371" s="110"/>
      <c r="JZX1371" s="110"/>
      <c r="JZY1371" s="110"/>
      <c r="JZZ1371" s="110"/>
      <c r="KAA1371" s="110"/>
      <c r="KAB1371" s="110"/>
      <c r="KAC1371" s="110"/>
      <c r="KAD1371" s="110"/>
      <c r="KAE1371" s="110"/>
      <c r="KAF1371" s="110"/>
      <c r="KAG1371" s="110"/>
      <c r="KAH1371" s="110"/>
      <c r="KAI1371" s="110"/>
      <c r="KAJ1371" s="110"/>
      <c r="KAK1371" s="110"/>
      <c r="KAL1371" s="110"/>
      <c r="KAM1371" s="110"/>
      <c r="KAN1371" s="110"/>
      <c r="KAO1371" s="110"/>
      <c r="KAP1371" s="110"/>
      <c r="KAQ1371" s="110"/>
      <c r="KAR1371" s="110"/>
      <c r="KAS1371" s="110"/>
      <c r="KAT1371" s="110"/>
      <c r="KAU1371" s="110"/>
      <c r="KAV1371" s="110"/>
      <c r="KAW1371" s="110"/>
      <c r="KAX1371" s="110"/>
      <c r="KAY1371" s="110"/>
      <c r="KAZ1371" s="110"/>
      <c r="KBA1371" s="110"/>
      <c r="KBB1371" s="110"/>
      <c r="KBC1371" s="110"/>
      <c r="KBD1371" s="110"/>
      <c r="KBE1371" s="110"/>
      <c r="KBF1371" s="110"/>
      <c r="KBG1371" s="110"/>
      <c r="KBH1371" s="110"/>
      <c r="KBI1371" s="110"/>
      <c r="KBJ1371" s="110"/>
      <c r="KBK1371" s="110"/>
      <c r="KBL1371" s="110"/>
      <c r="KBM1371" s="110"/>
      <c r="KBN1371" s="110"/>
      <c r="KBO1371" s="110"/>
      <c r="KBP1371" s="110"/>
      <c r="KBQ1371" s="110"/>
      <c r="KBR1371" s="110"/>
      <c r="KBS1371" s="110"/>
      <c r="KBT1371" s="110"/>
      <c r="KBU1371" s="110"/>
      <c r="KBV1371" s="110"/>
      <c r="KBW1371" s="110"/>
      <c r="KBX1371" s="110"/>
      <c r="KBY1371" s="110"/>
      <c r="KBZ1371" s="110"/>
      <c r="KCA1371" s="110"/>
      <c r="KCB1371" s="110"/>
      <c r="KCC1371" s="110"/>
      <c r="KCD1371" s="110"/>
      <c r="KCE1371" s="110"/>
      <c r="KCF1371" s="110"/>
      <c r="KCG1371" s="110"/>
      <c r="KCH1371" s="110"/>
      <c r="KCI1371" s="110"/>
      <c r="KCJ1371" s="110"/>
      <c r="KCK1371" s="110"/>
      <c r="KCL1371" s="110"/>
      <c r="KCM1371" s="110"/>
      <c r="KCN1371" s="110"/>
      <c r="KCO1371" s="110"/>
      <c r="KCP1371" s="110"/>
      <c r="KCQ1371" s="110"/>
      <c r="KCR1371" s="110"/>
      <c r="KCS1371" s="110"/>
      <c r="KCT1371" s="110"/>
      <c r="KCU1371" s="110"/>
      <c r="KCV1371" s="110"/>
      <c r="KCW1371" s="110"/>
      <c r="KCX1371" s="110"/>
      <c r="KCY1371" s="110"/>
      <c r="KCZ1371" s="110"/>
      <c r="KDA1371" s="110"/>
      <c r="KDB1371" s="110"/>
      <c r="KDC1371" s="110"/>
      <c r="KDD1371" s="110"/>
      <c r="KDE1371" s="110"/>
      <c r="KDF1371" s="110"/>
      <c r="KDG1371" s="110"/>
      <c r="KDH1371" s="110"/>
      <c r="KDI1371" s="110"/>
      <c r="KDJ1371" s="110"/>
      <c r="KDK1371" s="110"/>
      <c r="KDL1371" s="110"/>
      <c r="KDM1371" s="110"/>
      <c r="KDN1371" s="110"/>
      <c r="KDO1371" s="110"/>
      <c r="KDP1371" s="110"/>
      <c r="KDQ1371" s="110"/>
      <c r="KDR1371" s="110"/>
      <c r="KDS1371" s="110"/>
      <c r="KDT1371" s="110"/>
      <c r="KDU1371" s="110"/>
      <c r="KDV1371" s="110"/>
      <c r="KDW1371" s="110"/>
      <c r="KDX1371" s="110"/>
      <c r="KDY1371" s="110"/>
      <c r="KDZ1371" s="110"/>
      <c r="KEA1371" s="110"/>
      <c r="KEB1371" s="110"/>
      <c r="KEC1371" s="110"/>
      <c r="KED1371" s="110"/>
      <c r="KEE1371" s="110"/>
      <c r="KEF1371" s="110"/>
      <c r="KEG1371" s="110"/>
      <c r="KEH1371" s="110"/>
      <c r="KEI1371" s="110"/>
      <c r="KEJ1371" s="110"/>
      <c r="KEK1371" s="110"/>
      <c r="KEL1371" s="110"/>
      <c r="KEM1371" s="110"/>
      <c r="KEN1371" s="110"/>
      <c r="KEO1371" s="110"/>
      <c r="KEP1371" s="110"/>
      <c r="KEQ1371" s="110"/>
      <c r="KER1371" s="110"/>
      <c r="KES1371" s="110"/>
      <c r="KET1371" s="110"/>
      <c r="KEU1371" s="110"/>
      <c r="KEV1371" s="110"/>
      <c r="KEW1371" s="110"/>
      <c r="KEX1371" s="110"/>
      <c r="KEY1371" s="110"/>
      <c r="KEZ1371" s="110"/>
      <c r="KFA1371" s="110"/>
      <c r="KFB1371" s="110"/>
      <c r="KFC1371" s="110"/>
      <c r="KFD1371" s="110"/>
      <c r="KFE1371" s="110"/>
      <c r="KFF1371" s="110"/>
      <c r="KFG1371" s="110"/>
      <c r="KFH1371" s="110"/>
      <c r="KFI1371" s="110"/>
      <c r="KFJ1371" s="110"/>
      <c r="KFK1371" s="110"/>
      <c r="KFL1371" s="110"/>
      <c r="KFM1371" s="110"/>
      <c r="KFN1371" s="110"/>
      <c r="KFO1371" s="110"/>
      <c r="KFP1371" s="110"/>
      <c r="KFQ1371" s="110"/>
      <c r="KFR1371" s="110"/>
      <c r="KFS1371" s="110"/>
      <c r="KFT1371" s="110"/>
      <c r="KFU1371" s="110"/>
      <c r="KFV1371" s="110"/>
      <c r="KFW1371" s="110"/>
      <c r="KFX1371" s="110"/>
      <c r="KFY1371" s="110"/>
      <c r="KFZ1371" s="110"/>
      <c r="KGA1371" s="110"/>
      <c r="KGB1371" s="110"/>
      <c r="KGC1371" s="110"/>
      <c r="KGD1371" s="110"/>
      <c r="KGE1371" s="110"/>
      <c r="KGF1371" s="110"/>
      <c r="KGG1371" s="110"/>
      <c r="KGH1371" s="110"/>
      <c r="KGI1371" s="110"/>
      <c r="KGJ1371" s="110"/>
      <c r="KGK1371" s="110"/>
      <c r="KGL1371" s="110"/>
      <c r="KGM1371" s="110"/>
      <c r="KGN1371" s="110"/>
      <c r="KGO1371" s="110"/>
      <c r="KGP1371" s="110"/>
      <c r="KGQ1371" s="110"/>
      <c r="KGR1371" s="110"/>
      <c r="KGS1371" s="110"/>
      <c r="KGT1371" s="110"/>
      <c r="KGU1371" s="110"/>
      <c r="KGV1371" s="110"/>
      <c r="KGW1371" s="110"/>
      <c r="KGX1371" s="110"/>
      <c r="KGY1371" s="110"/>
      <c r="KGZ1371" s="110"/>
      <c r="KHA1371" s="110"/>
      <c r="KHB1371" s="110"/>
      <c r="KHC1371" s="110"/>
      <c r="KHD1371" s="110"/>
      <c r="KHE1371" s="110"/>
      <c r="KHF1371" s="110"/>
      <c r="KHG1371" s="110"/>
      <c r="KHH1371" s="110"/>
      <c r="KHI1371" s="110"/>
      <c r="KHJ1371" s="110"/>
      <c r="KHK1371" s="110"/>
      <c r="KHL1371" s="110"/>
      <c r="KHM1371" s="110"/>
      <c r="KHN1371" s="110"/>
      <c r="KHO1371" s="110"/>
      <c r="KHP1371" s="110"/>
      <c r="KHQ1371" s="110"/>
      <c r="KHR1371" s="110"/>
      <c r="KHS1371" s="110"/>
      <c r="KHT1371" s="110"/>
      <c r="KHU1371" s="110"/>
      <c r="KHV1371" s="110"/>
      <c r="KHW1371" s="110"/>
      <c r="KHX1371" s="110"/>
      <c r="KHY1371" s="110"/>
      <c r="KHZ1371" s="110"/>
      <c r="KIA1371" s="110"/>
      <c r="KIB1371" s="110"/>
      <c r="KIC1371" s="110"/>
      <c r="KID1371" s="110"/>
      <c r="KIE1371" s="110"/>
      <c r="KIF1371" s="110"/>
      <c r="KIG1371" s="110"/>
      <c r="KIH1371" s="110"/>
      <c r="KII1371" s="110"/>
      <c r="KIJ1371" s="110"/>
      <c r="KIK1371" s="110"/>
      <c r="KIL1371" s="110"/>
      <c r="KIM1371" s="110"/>
      <c r="KIN1371" s="110"/>
      <c r="KIO1371" s="110"/>
      <c r="KIP1371" s="110"/>
      <c r="KIQ1371" s="110"/>
      <c r="KIR1371" s="110"/>
      <c r="KIS1371" s="110"/>
      <c r="KIT1371" s="110"/>
      <c r="KIU1371" s="110"/>
      <c r="KIV1371" s="110"/>
      <c r="KIW1371" s="110"/>
      <c r="KIX1371" s="110"/>
      <c r="KIY1371" s="110"/>
      <c r="KIZ1371" s="110"/>
      <c r="KJA1371" s="110"/>
      <c r="KJB1371" s="110"/>
      <c r="KJC1371" s="110"/>
      <c r="KJD1371" s="110"/>
      <c r="KJE1371" s="110"/>
      <c r="KJF1371" s="110"/>
      <c r="KJG1371" s="110"/>
      <c r="KJH1371" s="110"/>
      <c r="KJI1371" s="110"/>
      <c r="KJJ1371" s="110"/>
      <c r="KJK1371" s="110"/>
      <c r="KJL1371" s="110"/>
      <c r="KJM1371" s="110"/>
      <c r="KJN1371" s="110"/>
      <c r="KJO1371" s="110"/>
      <c r="KJP1371" s="110"/>
      <c r="KJQ1371" s="110"/>
      <c r="KJR1371" s="110"/>
      <c r="KJS1371" s="110"/>
      <c r="KJT1371" s="110"/>
      <c r="KJU1371" s="110"/>
      <c r="KJV1371" s="110"/>
      <c r="KJW1371" s="110"/>
      <c r="KJX1371" s="110"/>
      <c r="KJY1371" s="110"/>
      <c r="KJZ1371" s="110"/>
      <c r="KKA1371" s="110"/>
      <c r="KKB1371" s="110"/>
      <c r="KKC1371" s="110"/>
      <c r="KKD1371" s="110"/>
      <c r="KKE1371" s="110"/>
      <c r="KKF1371" s="110"/>
      <c r="KKG1371" s="110"/>
      <c r="KKH1371" s="110"/>
      <c r="KKI1371" s="110"/>
      <c r="KKJ1371" s="110"/>
      <c r="KKK1371" s="110"/>
      <c r="KKL1371" s="110"/>
      <c r="KKM1371" s="110"/>
      <c r="KKN1371" s="110"/>
      <c r="KKO1371" s="110"/>
      <c r="KKP1371" s="110"/>
      <c r="KKQ1371" s="110"/>
      <c r="KKR1371" s="110"/>
      <c r="KKS1371" s="110"/>
      <c r="KKT1371" s="110"/>
      <c r="KKU1371" s="110"/>
      <c r="KKV1371" s="110"/>
      <c r="KKW1371" s="110"/>
      <c r="KKX1371" s="110"/>
      <c r="KKY1371" s="110"/>
      <c r="KKZ1371" s="110"/>
      <c r="KLA1371" s="110"/>
      <c r="KLB1371" s="110"/>
      <c r="KLC1371" s="110"/>
      <c r="KLD1371" s="110"/>
      <c r="KLE1371" s="110"/>
      <c r="KLF1371" s="110"/>
      <c r="KLG1371" s="110"/>
      <c r="KLH1371" s="110"/>
      <c r="KLI1371" s="110"/>
      <c r="KLJ1371" s="110"/>
      <c r="KLK1371" s="110"/>
      <c r="KLL1371" s="110"/>
      <c r="KLM1371" s="110"/>
      <c r="KLN1371" s="110"/>
      <c r="KLO1371" s="110"/>
      <c r="KLP1371" s="110"/>
      <c r="KLQ1371" s="110"/>
      <c r="KLR1371" s="110"/>
      <c r="KLS1371" s="110"/>
      <c r="KLT1371" s="110"/>
      <c r="KLU1371" s="110"/>
      <c r="KLV1371" s="110"/>
      <c r="KLW1371" s="110"/>
      <c r="KLX1371" s="110"/>
      <c r="KLY1371" s="110"/>
      <c r="KLZ1371" s="110"/>
      <c r="KMA1371" s="110"/>
      <c r="KMB1371" s="110"/>
      <c r="KMC1371" s="110"/>
      <c r="KMD1371" s="110"/>
      <c r="KME1371" s="110"/>
      <c r="KMF1371" s="110"/>
      <c r="KMG1371" s="110"/>
      <c r="KMH1371" s="110"/>
      <c r="KMI1371" s="110"/>
      <c r="KMJ1371" s="110"/>
      <c r="KMK1371" s="110"/>
      <c r="KML1371" s="110"/>
      <c r="KMM1371" s="110"/>
      <c r="KMN1371" s="110"/>
      <c r="KMO1371" s="110"/>
      <c r="KMP1371" s="110"/>
      <c r="KMQ1371" s="110"/>
      <c r="KMR1371" s="110"/>
      <c r="KMS1371" s="110"/>
      <c r="KMT1371" s="110"/>
      <c r="KMU1371" s="110"/>
      <c r="KMV1371" s="110"/>
      <c r="KMW1371" s="110"/>
      <c r="KMX1371" s="110"/>
      <c r="KMY1371" s="110"/>
      <c r="KMZ1371" s="110"/>
      <c r="KNA1371" s="110"/>
      <c r="KNB1371" s="110"/>
      <c r="KNC1371" s="110"/>
      <c r="KND1371" s="110"/>
      <c r="KNE1371" s="110"/>
      <c r="KNF1371" s="110"/>
      <c r="KNG1371" s="110"/>
      <c r="KNH1371" s="110"/>
      <c r="KNI1371" s="110"/>
      <c r="KNJ1371" s="110"/>
      <c r="KNK1371" s="110"/>
      <c r="KNL1371" s="110"/>
      <c r="KNM1371" s="110"/>
      <c r="KNN1371" s="110"/>
      <c r="KNO1371" s="110"/>
      <c r="KNP1371" s="110"/>
      <c r="KNQ1371" s="110"/>
      <c r="KNR1371" s="110"/>
      <c r="KNS1371" s="110"/>
      <c r="KNT1371" s="110"/>
      <c r="KNU1371" s="110"/>
      <c r="KNV1371" s="110"/>
      <c r="KNW1371" s="110"/>
      <c r="KNX1371" s="110"/>
      <c r="KNY1371" s="110"/>
      <c r="KNZ1371" s="110"/>
      <c r="KOA1371" s="110"/>
      <c r="KOB1371" s="110"/>
      <c r="KOC1371" s="110"/>
      <c r="KOD1371" s="110"/>
      <c r="KOE1371" s="110"/>
      <c r="KOF1371" s="110"/>
      <c r="KOG1371" s="110"/>
      <c r="KOH1371" s="110"/>
      <c r="KOI1371" s="110"/>
      <c r="KOJ1371" s="110"/>
      <c r="KOK1371" s="110"/>
      <c r="KOL1371" s="110"/>
      <c r="KOM1371" s="110"/>
      <c r="KON1371" s="110"/>
      <c r="KOO1371" s="110"/>
      <c r="KOP1371" s="110"/>
      <c r="KOQ1371" s="110"/>
      <c r="KOR1371" s="110"/>
      <c r="KOS1371" s="110"/>
      <c r="KOT1371" s="110"/>
      <c r="KOU1371" s="110"/>
      <c r="KOV1371" s="110"/>
      <c r="KOW1371" s="110"/>
      <c r="KOX1371" s="110"/>
      <c r="KOY1371" s="110"/>
      <c r="KOZ1371" s="110"/>
      <c r="KPA1371" s="110"/>
      <c r="KPB1371" s="110"/>
      <c r="KPC1371" s="110"/>
      <c r="KPD1371" s="110"/>
      <c r="KPE1371" s="110"/>
      <c r="KPF1371" s="110"/>
      <c r="KPG1371" s="110"/>
      <c r="KPH1371" s="110"/>
      <c r="KPI1371" s="110"/>
      <c r="KPJ1371" s="110"/>
      <c r="KPK1371" s="110"/>
      <c r="KPL1371" s="110"/>
      <c r="KPM1371" s="110"/>
      <c r="KPN1371" s="110"/>
      <c r="KPO1371" s="110"/>
      <c r="KPP1371" s="110"/>
      <c r="KPQ1371" s="110"/>
      <c r="KPR1371" s="110"/>
      <c r="KPS1371" s="110"/>
      <c r="KPT1371" s="110"/>
      <c r="KPU1371" s="110"/>
      <c r="KPV1371" s="110"/>
      <c r="KPW1371" s="110"/>
      <c r="KPX1371" s="110"/>
      <c r="KPY1371" s="110"/>
      <c r="KPZ1371" s="110"/>
      <c r="KQA1371" s="110"/>
      <c r="KQB1371" s="110"/>
      <c r="KQC1371" s="110"/>
      <c r="KQD1371" s="110"/>
      <c r="KQE1371" s="110"/>
      <c r="KQF1371" s="110"/>
      <c r="KQG1371" s="110"/>
      <c r="KQH1371" s="110"/>
      <c r="KQI1371" s="110"/>
      <c r="KQJ1371" s="110"/>
      <c r="KQK1371" s="110"/>
      <c r="KQL1371" s="110"/>
      <c r="KQM1371" s="110"/>
      <c r="KQN1371" s="110"/>
      <c r="KQO1371" s="110"/>
      <c r="KQP1371" s="110"/>
      <c r="KQQ1371" s="110"/>
      <c r="KQR1371" s="110"/>
      <c r="KQS1371" s="110"/>
      <c r="KQT1371" s="110"/>
      <c r="KQU1371" s="110"/>
      <c r="KQV1371" s="110"/>
      <c r="KQW1371" s="110"/>
      <c r="KQX1371" s="110"/>
      <c r="KQY1371" s="110"/>
      <c r="KQZ1371" s="110"/>
      <c r="KRA1371" s="110"/>
      <c r="KRB1371" s="110"/>
      <c r="KRC1371" s="110"/>
      <c r="KRD1371" s="110"/>
      <c r="KRE1371" s="110"/>
      <c r="KRF1371" s="110"/>
      <c r="KRG1371" s="110"/>
      <c r="KRH1371" s="110"/>
      <c r="KRI1371" s="110"/>
      <c r="KRJ1371" s="110"/>
      <c r="KRK1371" s="110"/>
      <c r="KRL1371" s="110"/>
      <c r="KRM1371" s="110"/>
      <c r="KRN1371" s="110"/>
      <c r="KRO1371" s="110"/>
      <c r="KRP1371" s="110"/>
      <c r="KRQ1371" s="110"/>
      <c r="KRR1371" s="110"/>
      <c r="KRS1371" s="110"/>
      <c r="KRT1371" s="110"/>
      <c r="KRU1371" s="110"/>
      <c r="KRV1371" s="110"/>
      <c r="KRW1371" s="110"/>
      <c r="KRX1371" s="110"/>
      <c r="KRY1371" s="110"/>
      <c r="KRZ1371" s="110"/>
      <c r="KSA1371" s="110"/>
      <c r="KSB1371" s="110"/>
      <c r="KSC1371" s="110"/>
      <c r="KSD1371" s="110"/>
      <c r="KSE1371" s="110"/>
      <c r="KSF1371" s="110"/>
      <c r="KSG1371" s="110"/>
      <c r="KSH1371" s="110"/>
      <c r="KSI1371" s="110"/>
      <c r="KSJ1371" s="110"/>
      <c r="KSK1371" s="110"/>
      <c r="KSL1371" s="110"/>
      <c r="KSM1371" s="110"/>
      <c r="KSN1371" s="110"/>
      <c r="KSO1371" s="110"/>
      <c r="KSP1371" s="110"/>
      <c r="KSQ1371" s="110"/>
      <c r="KSR1371" s="110"/>
      <c r="KSS1371" s="110"/>
      <c r="KST1371" s="110"/>
      <c r="KSU1371" s="110"/>
      <c r="KSV1371" s="110"/>
      <c r="KSW1371" s="110"/>
      <c r="KSX1371" s="110"/>
      <c r="KSY1371" s="110"/>
      <c r="KSZ1371" s="110"/>
      <c r="KTA1371" s="110"/>
      <c r="KTB1371" s="110"/>
      <c r="KTC1371" s="110"/>
      <c r="KTD1371" s="110"/>
      <c r="KTE1371" s="110"/>
      <c r="KTF1371" s="110"/>
      <c r="KTG1371" s="110"/>
      <c r="KTH1371" s="110"/>
      <c r="KTI1371" s="110"/>
      <c r="KTJ1371" s="110"/>
      <c r="KTK1371" s="110"/>
      <c r="KTL1371" s="110"/>
      <c r="KTM1371" s="110"/>
      <c r="KTN1371" s="110"/>
      <c r="KTO1371" s="110"/>
      <c r="KTP1371" s="110"/>
      <c r="KTQ1371" s="110"/>
      <c r="KTR1371" s="110"/>
      <c r="KTS1371" s="110"/>
      <c r="KTT1371" s="110"/>
      <c r="KTU1371" s="110"/>
      <c r="KTV1371" s="110"/>
      <c r="KTW1371" s="110"/>
      <c r="KTX1371" s="110"/>
      <c r="KTY1371" s="110"/>
      <c r="KTZ1371" s="110"/>
      <c r="KUA1371" s="110"/>
      <c r="KUB1371" s="110"/>
      <c r="KUC1371" s="110"/>
      <c r="KUD1371" s="110"/>
      <c r="KUE1371" s="110"/>
      <c r="KUF1371" s="110"/>
      <c r="KUG1371" s="110"/>
      <c r="KUH1371" s="110"/>
      <c r="KUI1371" s="110"/>
      <c r="KUJ1371" s="110"/>
      <c r="KUK1371" s="110"/>
      <c r="KUL1371" s="110"/>
      <c r="KUM1371" s="110"/>
      <c r="KUN1371" s="110"/>
      <c r="KUO1371" s="110"/>
      <c r="KUP1371" s="110"/>
      <c r="KUQ1371" s="110"/>
      <c r="KUR1371" s="110"/>
      <c r="KUS1371" s="110"/>
      <c r="KUT1371" s="110"/>
      <c r="KUU1371" s="110"/>
      <c r="KUV1371" s="110"/>
      <c r="KUW1371" s="110"/>
      <c r="KUX1371" s="110"/>
      <c r="KUY1371" s="110"/>
      <c r="KUZ1371" s="110"/>
      <c r="KVA1371" s="110"/>
      <c r="KVB1371" s="110"/>
      <c r="KVC1371" s="110"/>
      <c r="KVD1371" s="110"/>
      <c r="KVE1371" s="110"/>
      <c r="KVF1371" s="110"/>
      <c r="KVG1371" s="110"/>
      <c r="KVH1371" s="110"/>
      <c r="KVI1371" s="110"/>
      <c r="KVJ1371" s="110"/>
      <c r="KVK1371" s="110"/>
      <c r="KVL1371" s="110"/>
      <c r="KVM1371" s="110"/>
      <c r="KVN1371" s="110"/>
      <c r="KVO1371" s="110"/>
      <c r="KVP1371" s="110"/>
      <c r="KVQ1371" s="110"/>
      <c r="KVR1371" s="110"/>
      <c r="KVS1371" s="110"/>
      <c r="KVT1371" s="110"/>
      <c r="KVU1371" s="110"/>
      <c r="KVV1371" s="110"/>
      <c r="KVW1371" s="110"/>
      <c r="KVX1371" s="110"/>
      <c r="KVY1371" s="110"/>
      <c r="KVZ1371" s="110"/>
      <c r="KWA1371" s="110"/>
      <c r="KWB1371" s="110"/>
      <c r="KWC1371" s="110"/>
      <c r="KWD1371" s="110"/>
      <c r="KWE1371" s="110"/>
      <c r="KWF1371" s="110"/>
      <c r="KWG1371" s="110"/>
      <c r="KWH1371" s="110"/>
      <c r="KWI1371" s="110"/>
      <c r="KWJ1371" s="110"/>
      <c r="KWK1371" s="110"/>
      <c r="KWL1371" s="110"/>
      <c r="KWM1371" s="110"/>
      <c r="KWN1371" s="110"/>
      <c r="KWO1371" s="110"/>
      <c r="KWP1371" s="110"/>
      <c r="KWQ1371" s="110"/>
      <c r="KWR1371" s="110"/>
      <c r="KWS1371" s="110"/>
      <c r="KWT1371" s="110"/>
      <c r="KWU1371" s="110"/>
      <c r="KWV1371" s="110"/>
      <c r="KWW1371" s="110"/>
      <c r="KWX1371" s="110"/>
      <c r="KWY1371" s="110"/>
      <c r="KWZ1371" s="110"/>
      <c r="KXA1371" s="110"/>
      <c r="KXB1371" s="110"/>
      <c r="KXC1371" s="110"/>
      <c r="KXD1371" s="110"/>
      <c r="KXE1371" s="110"/>
      <c r="KXF1371" s="110"/>
      <c r="KXG1371" s="110"/>
      <c r="KXH1371" s="110"/>
      <c r="KXI1371" s="110"/>
      <c r="KXJ1371" s="110"/>
      <c r="KXK1371" s="110"/>
      <c r="KXL1371" s="110"/>
      <c r="KXM1371" s="110"/>
      <c r="KXN1371" s="110"/>
      <c r="KXO1371" s="110"/>
      <c r="KXP1371" s="110"/>
      <c r="KXQ1371" s="110"/>
      <c r="KXR1371" s="110"/>
      <c r="KXS1371" s="110"/>
      <c r="KXT1371" s="110"/>
      <c r="KXU1371" s="110"/>
      <c r="KXV1371" s="110"/>
      <c r="KXW1371" s="110"/>
      <c r="KXX1371" s="110"/>
      <c r="KXY1371" s="110"/>
      <c r="KXZ1371" s="110"/>
      <c r="KYA1371" s="110"/>
      <c r="KYB1371" s="110"/>
      <c r="KYC1371" s="110"/>
      <c r="KYD1371" s="110"/>
      <c r="KYE1371" s="110"/>
      <c r="KYF1371" s="110"/>
      <c r="KYG1371" s="110"/>
      <c r="KYH1371" s="110"/>
      <c r="KYI1371" s="110"/>
      <c r="KYJ1371" s="110"/>
      <c r="KYK1371" s="110"/>
      <c r="KYL1371" s="110"/>
      <c r="KYM1371" s="110"/>
      <c r="KYN1371" s="110"/>
      <c r="KYO1371" s="110"/>
      <c r="KYP1371" s="110"/>
      <c r="KYQ1371" s="110"/>
      <c r="KYR1371" s="110"/>
      <c r="KYS1371" s="110"/>
      <c r="KYT1371" s="110"/>
      <c r="KYU1371" s="110"/>
      <c r="KYV1371" s="110"/>
      <c r="KYW1371" s="110"/>
      <c r="KYX1371" s="110"/>
      <c r="KYY1371" s="110"/>
      <c r="KYZ1371" s="110"/>
      <c r="KZA1371" s="110"/>
      <c r="KZB1371" s="110"/>
      <c r="KZC1371" s="110"/>
      <c r="KZD1371" s="110"/>
      <c r="KZE1371" s="110"/>
      <c r="KZF1371" s="110"/>
      <c r="KZG1371" s="110"/>
      <c r="KZH1371" s="110"/>
      <c r="KZI1371" s="110"/>
      <c r="KZJ1371" s="110"/>
      <c r="KZK1371" s="110"/>
      <c r="KZL1371" s="110"/>
      <c r="KZM1371" s="110"/>
      <c r="KZN1371" s="110"/>
      <c r="KZO1371" s="110"/>
      <c r="KZP1371" s="110"/>
      <c r="KZQ1371" s="110"/>
      <c r="KZR1371" s="110"/>
      <c r="KZS1371" s="110"/>
      <c r="KZT1371" s="110"/>
      <c r="KZU1371" s="110"/>
      <c r="KZV1371" s="110"/>
      <c r="KZW1371" s="110"/>
      <c r="KZX1371" s="110"/>
      <c r="KZY1371" s="110"/>
      <c r="KZZ1371" s="110"/>
      <c r="LAA1371" s="110"/>
      <c r="LAB1371" s="110"/>
      <c r="LAC1371" s="110"/>
      <c r="LAD1371" s="110"/>
      <c r="LAE1371" s="110"/>
      <c r="LAF1371" s="110"/>
      <c r="LAG1371" s="110"/>
      <c r="LAH1371" s="110"/>
      <c r="LAI1371" s="110"/>
      <c r="LAJ1371" s="110"/>
      <c r="LAK1371" s="110"/>
      <c r="LAL1371" s="110"/>
      <c r="LAM1371" s="110"/>
      <c r="LAN1371" s="110"/>
      <c r="LAO1371" s="110"/>
      <c r="LAP1371" s="110"/>
      <c r="LAQ1371" s="110"/>
      <c r="LAR1371" s="110"/>
      <c r="LAS1371" s="110"/>
      <c r="LAT1371" s="110"/>
      <c r="LAU1371" s="110"/>
      <c r="LAV1371" s="110"/>
      <c r="LAW1371" s="110"/>
      <c r="LAX1371" s="110"/>
      <c r="LAY1371" s="110"/>
      <c r="LAZ1371" s="110"/>
      <c r="LBA1371" s="110"/>
      <c r="LBB1371" s="110"/>
      <c r="LBC1371" s="110"/>
      <c r="LBD1371" s="110"/>
      <c r="LBE1371" s="110"/>
      <c r="LBF1371" s="110"/>
      <c r="LBG1371" s="110"/>
      <c r="LBH1371" s="110"/>
      <c r="LBI1371" s="110"/>
      <c r="LBJ1371" s="110"/>
      <c r="LBK1371" s="110"/>
      <c r="LBL1371" s="110"/>
      <c r="LBM1371" s="110"/>
      <c r="LBN1371" s="110"/>
      <c r="LBO1371" s="110"/>
      <c r="LBP1371" s="110"/>
      <c r="LBQ1371" s="110"/>
      <c r="LBR1371" s="110"/>
      <c r="LBS1371" s="110"/>
      <c r="LBT1371" s="110"/>
      <c r="LBU1371" s="110"/>
      <c r="LBV1371" s="110"/>
      <c r="LBW1371" s="110"/>
      <c r="LBX1371" s="110"/>
      <c r="LBY1371" s="110"/>
      <c r="LBZ1371" s="110"/>
      <c r="LCA1371" s="110"/>
      <c r="LCB1371" s="110"/>
      <c r="LCC1371" s="110"/>
      <c r="LCD1371" s="110"/>
      <c r="LCE1371" s="110"/>
      <c r="LCF1371" s="110"/>
      <c r="LCG1371" s="110"/>
      <c r="LCH1371" s="110"/>
      <c r="LCI1371" s="110"/>
      <c r="LCJ1371" s="110"/>
      <c r="LCK1371" s="110"/>
      <c r="LCL1371" s="110"/>
      <c r="LCM1371" s="110"/>
      <c r="LCN1371" s="110"/>
      <c r="LCO1371" s="110"/>
      <c r="LCP1371" s="110"/>
      <c r="LCQ1371" s="110"/>
      <c r="LCR1371" s="110"/>
      <c r="LCS1371" s="110"/>
      <c r="LCT1371" s="110"/>
      <c r="LCU1371" s="110"/>
      <c r="LCV1371" s="110"/>
      <c r="LCW1371" s="110"/>
      <c r="LCX1371" s="110"/>
      <c r="LCY1371" s="110"/>
      <c r="LCZ1371" s="110"/>
      <c r="LDA1371" s="110"/>
      <c r="LDB1371" s="110"/>
      <c r="LDC1371" s="110"/>
      <c r="LDD1371" s="110"/>
      <c r="LDE1371" s="110"/>
      <c r="LDF1371" s="110"/>
      <c r="LDG1371" s="110"/>
      <c r="LDH1371" s="110"/>
      <c r="LDI1371" s="110"/>
      <c r="LDJ1371" s="110"/>
      <c r="LDK1371" s="110"/>
      <c r="LDL1371" s="110"/>
      <c r="LDM1371" s="110"/>
      <c r="LDN1371" s="110"/>
      <c r="LDO1371" s="110"/>
      <c r="LDP1371" s="110"/>
      <c r="LDQ1371" s="110"/>
      <c r="LDR1371" s="110"/>
      <c r="LDS1371" s="110"/>
      <c r="LDT1371" s="110"/>
      <c r="LDU1371" s="110"/>
      <c r="LDV1371" s="110"/>
      <c r="LDW1371" s="110"/>
      <c r="LDX1371" s="110"/>
      <c r="LDY1371" s="110"/>
      <c r="LDZ1371" s="110"/>
      <c r="LEA1371" s="110"/>
      <c r="LEB1371" s="110"/>
      <c r="LEC1371" s="110"/>
      <c r="LED1371" s="110"/>
      <c r="LEE1371" s="110"/>
      <c r="LEF1371" s="110"/>
      <c r="LEG1371" s="110"/>
      <c r="LEH1371" s="110"/>
      <c r="LEI1371" s="110"/>
      <c r="LEJ1371" s="110"/>
      <c r="LEK1371" s="110"/>
      <c r="LEL1371" s="110"/>
      <c r="LEM1371" s="110"/>
      <c r="LEN1371" s="110"/>
      <c r="LEO1371" s="110"/>
      <c r="LEP1371" s="110"/>
      <c r="LEQ1371" s="110"/>
      <c r="LER1371" s="110"/>
      <c r="LES1371" s="110"/>
      <c r="LET1371" s="110"/>
      <c r="LEU1371" s="110"/>
      <c r="LEV1371" s="110"/>
      <c r="LEW1371" s="110"/>
      <c r="LEX1371" s="110"/>
      <c r="LEY1371" s="110"/>
      <c r="LEZ1371" s="110"/>
      <c r="LFA1371" s="110"/>
      <c r="LFB1371" s="110"/>
      <c r="LFC1371" s="110"/>
      <c r="LFD1371" s="110"/>
      <c r="LFE1371" s="110"/>
      <c r="LFF1371" s="110"/>
      <c r="LFG1371" s="110"/>
      <c r="LFH1371" s="110"/>
      <c r="LFI1371" s="110"/>
      <c r="LFJ1371" s="110"/>
      <c r="LFK1371" s="110"/>
      <c r="LFL1371" s="110"/>
      <c r="LFM1371" s="110"/>
      <c r="LFN1371" s="110"/>
      <c r="LFO1371" s="110"/>
      <c r="LFP1371" s="110"/>
      <c r="LFQ1371" s="110"/>
      <c r="LFR1371" s="110"/>
      <c r="LFS1371" s="110"/>
      <c r="LFT1371" s="110"/>
      <c r="LFU1371" s="110"/>
      <c r="LFV1371" s="110"/>
      <c r="LFW1371" s="110"/>
      <c r="LFX1371" s="110"/>
      <c r="LFY1371" s="110"/>
      <c r="LFZ1371" s="110"/>
      <c r="LGA1371" s="110"/>
      <c r="LGB1371" s="110"/>
      <c r="LGC1371" s="110"/>
      <c r="LGD1371" s="110"/>
      <c r="LGE1371" s="110"/>
      <c r="LGF1371" s="110"/>
      <c r="LGG1371" s="110"/>
      <c r="LGH1371" s="110"/>
      <c r="LGI1371" s="110"/>
      <c r="LGJ1371" s="110"/>
      <c r="LGK1371" s="110"/>
      <c r="LGL1371" s="110"/>
      <c r="LGM1371" s="110"/>
      <c r="LGN1371" s="110"/>
      <c r="LGO1371" s="110"/>
      <c r="LGP1371" s="110"/>
      <c r="LGQ1371" s="110"/>
      <c r="LGR1371" s="110"/>
      <c r="LGS1371" s="110"/>
      <c r="LGT1371" s="110"/>
      <c r="LGU1371" s="110"/>
      <c r="LGV1371" s="110"/>
      <c r="LGW1371" s="110"/>
      <c r="LGX1371" s="110"/>
      <c r="LGY1371" s="110"/>
      <c r="LGZ1371" s="110"/>
      <c r="LHA1371" s="110"/>
      <c r="LHB1371" s="110"/>
      <c r="LHC1371" s="110"/>
      <c r="LHD1371" s="110"/>
      <c r="LHE1371" s="110"/>
      <c r="LHF1371" s="110"/>
      <c r="LHG1371" s="110"/>
      <c r="LHH1371" s="110"/>
      <c r="LHI1371" s="110"/>
      <c r="LHJ1371" s="110"/>
      <c r="LHK1371" s="110"/>
      <c r="LHL1371" s="110"/>
      <c r="LHM1371" s="110"/>
      <c r="LHN1371" s="110"/>
      <c r="LHO1371" s="110"/>
      <c r="LHP1371" s="110"/>
      <c r="LHQ1371" s="110"/>
      <c r="LHR1371" s="110"/>
      <c r="LHS1371" s="110"/>
      <c r="LHT1371" s="110"/>
      <c r="LHU1371" s="110"/>
      <c r="LHV1371" s="110"/>
      <c r="LHW1371" s="110"/>
      <c r="LHX1371" s="110"/>
      <c r="LHY1371" s="110"/>
      <c r="LHZ1371" s="110"/>
      <c r="LIA1371" s="110"/>
      <c r="LIB1371" s="110"/>
      <c r="LIC1371" s="110"/>
      <c r="LID1371" s="110"/>
      <c r="LIE1371" s="110"/>
      <c r="LIF1371" s="110"/>
      <c r="LIG1371" s="110"/>
      <c r="LIH1371" s="110"/>
      <c r="LII1371" s="110"/>
      <c r="LIJ1371" s="110"/>
      <c r="LIK1371" s="110"/>
      <c r="LIL1371" s="110"/>
      <c r="LIM1371" s="110"/>
      <c r="LIN1371" s="110"/>
      <c r="LIO1371" s="110"/>
      <c r="LIP1371" s="110"/>
      <c r="LIQ1371" s="110"/>
      <c r="LIR1371" s="110"/>
      <c r="LIS1371" s="110"/>
      <c r="LIT1371" s="110"/>
      <c r="LIU1371" s="110"/>
      <c r="LIV1371" s="110"/>
      <c r="LIW1371" s="110"/>
      <c r="LIX1371" s="110"/>
      <c r="LIY1371" s="110"/>
      <c r="LIZ1371" s="110"/>
      <c r="LJA1371" s="110"/>
      <c r="LJB1371" s="110"/>
      <c r="LJC1371" s="110"/>
      <c r="LJD1371" s="110"/>
      <c r="LJE1371" s="110"/>
      <c r="LJF1371" s="110"/>
      <c r="LJG1371" s="110"/>
      <c r="LJH1371" s="110"/>
      <c r="LJI1371" s="110"/>
      <c r="LJJ1371" s="110"/>
      <c r="LJK1371" s="110"/>
      <c r="LJL1371" s="110"/>
      <c r="LJM1371" s="110"/>
      <c r="LJN1371" s="110"/>
      <c r="LJO1371" s="110"/>
      <c r="LJP1371" s="110"/>
      <c r="LJQ1371" s="110"/>
      <c r="LJR1371" s="110"/>
      <c r="LJS1371" s="110"/>
      <c r="LJT1371" s="110"/>
      <c r="LJU1371" s="110"/>
      <c r="LJV1371" s="110"/>
      <c r="LJW1371" s="110"/>
      <c r="LJX1371" s="110"/>
      <c r="LJY1371" s="110"/>
      <c r="LJZ1371" s="110"/>
      <c r="LKA1371" s="110"/>
      <c r="LKB1371" s="110"/>
      <c r="LKC1371" s="110"/>
      <c r="LKD1371" s="110"/>
      <c r="LKE1371" s="110"/>
      <c r="LKF1371" s="110"/>
      <c r="LKG1371" s="110"/>
      <c r="LKH1371" s="110"/>
      <c r="LKI1371" s="110"/>
      <c r="LKJ1371" s="110"/>
      <c r="LKK1371" s="110"/>
      <c r="LKL1371" s="110"/>
      <c r="LKM1371" s="110"/>
      <c r="LKN1371" s="110"/>
      <c r="LKO1371" s="110"/>
      <c r="LKP1371" s="110"/>
      <c r="LKQ1371" s="110"/>
      <c r="LKR1371" s="110"/>
      <c r="LKS1371" s="110"/>
      <c r="LKT1371" s="110"/>
      <c r="LKU1371" s="110"/>
      <c r="LKV1371" s="110"/>
      <c r="LKW1371" s="110"/>
      <c r="LKX1371" s="110"/>
      <c r="LKY1371" s="110"/>
      <c r="LKZ1371" s="110"/>
      <c r="LLA1371" s="110"/>
      <c r="LLB1371" s="110"/>
      <c r="LLC1371" s="110"/>
      <c r="LLD1371" s="110"/>
      <c r="LLE1371" s="110"/>
      <c r="LLF1371" s="110"/>
      <c r="LLG1371" s="110"/>
      <c r="LLH1371" s="110"/>
      <c r="LLI1371" s="110"/>
      <c r="LLJ1371" s="110"/>
      <c r="LLK1371" s="110"/>
      <c r="LLL1371" s="110"/>
      <c r="LLM1371" s="110"/>
      <c r="LLN1371" s="110"/>
      <c r="LLO1371" s="110"/>
      <c r="LLP1371" s="110"/>
      <c r="LLQ1371" s="110"/>
      <c r="LLR1371" s="110"/>
      <c r="LLS1371" s="110"/>
      <c r="LLT1371" s="110"/>
      <c r="LLU1371" s="110"/>
      <c r="LLV1371" s="110"/>
      <c r="LLW1371" s="110"/>
      <c r="LLX1371" s="110"/>
      <c r="LLY1371" s="110"/>
      <c r="LLZ1371" s="110"/>
      <c r="LMA1371" s="110"/>
      <c r="LMB1371" s="110"/>
      <c r="LMC1371" s="110"/>
      <c r="LMD1371" s="110"/>
      <c r="LME1371" s="110"/>
      <c r="LMF1371" s="110"/>
      <c r="LMG1371" s="110"/>
      <c r="LMH1371" s="110"/>
      <c r="LMI1371" s="110"/>
      <c r="LMJ1371" s="110"/>
      <c r="LMK1371" s="110"/>
      <c r="LML1371" s="110"/>
      <c r="LMM1371" s="110"/>
      <c r="LMN1371" s="110"/>
      <c r="LMO1371" s="110"/>
      <c r="LMP1371" s="110"/>
      <c r="LMQ1371" s="110"/>
      <c r="LMR1371" s="110"/>
      <c r="LMS1371" s="110"/>
      <c r="LMT1371" s="110"/>
      <c r="LMU1371" s="110"/>
      <c r="LMV1371" s="110"/>
      <c r="LMW1371" s="110"/>
      <c r="LMX1371" s="110"/>
      <c r="LMY1371" s="110"/>
      <c r="LMZ1371" s="110"/>
      <c r="LNA1371" s="110"/>
      <c r="LNB1371" s="110"/>
      <c r="LNC1371" s="110"/>
      <c r="LND1371" s="110"/>
      <c r="LNE1371" s="110"/>
      <c r="LNF1371" s="110"/>
      <c r="LNG1371" s="110"/>
      <c r="LNH1371" s="110"/>
      <c r="LNI1371" s="110"/>
      <c r="LNJ1371" s="110"/>
      <c r="LNK1371" s="110"/>
      <c r="LNL1371" s="110"/>
      <c r="LNM1371" s="110"/>
      <c r="LNN1371" s="110"/>
      <c r="LNO1371" s="110"/>
      <c r="LNP1371" s="110"/>
      <c r="LNQ1371" s="110"/>
      <c r="LNR1371" s="110"/>
      <c r="LNS1371" s="110"/>
      <c r="LNT1371" s="110"/>
      <c r="LNU1371" s="110"/>
      <c r="LNV1371" s="110"/>
      <c r="LNW1371" s="110"/>
      <c r="LNX1371" s="110"/>
      <c r="LNY1371" s="110"/>
      <c r="LNZ1371" s="110"/>
      <c r="LOA1371" s="110"/>
      <c r="LOB1371" s="110"/>
      <c r="LOC1371" s="110"/>
      <c r="LOD1371" s="110"/>
      <c r="LOE1371" s="110"/>
      <c r="LOF1371" s="110"/>
      <c r="LOG1371" s="110"/>
      <c r="LOH1371" s="110"/>
      <c r="LOI1371" s="110"/>
      <c r="LOJ1371" s="110"/>
      <c r="LOK1371" s="110"/>
      <c r="LOL1371" s="110"/>
      <c r="LOM1371" s="110"/>
      <c r="LON1371" s="110"/>
      <c r="LOO1371" s="110"/>
      <c r="LOP1371" s="110"/>
      <c r="LOQ1371" s="110"/>
      <c r="LOR1371" s="110"/>
      <c r="LOS1371" s="110"/>
      <c r="LOT1371" s="110"/>
      <c r="LOU1371" s="110"/>
      <c r="LOV1371" s="110"/>
      <c r="LOW1371" s="110"/>
      <c r="LOX1371" s="110"/>
      <c r="LOY1371" s="110"/>
      <c r="LOZ1371" s="110"/>
      <c r="LPA1371" s="110"/>
      <c r="LPB1371" s="110"/>
      <c r="LPC1371" s="110"/>
      <c r="LPD1371" s="110"/>
      <c r="LPE1371" s="110"/>
      <c r="LPF1371" s="110"/>
      <c r="LPG1371" s="110"/>
      <c r="LPH1371" s="110"/>
      <c r="LPI1371" s="110"/>
      <c r="LPJ1371" s="110"/>
      <c r="LPK1371" s="110"/>
      <c r="LPL1371" s="110"/>
      <c r="LPM1371" s="110"/>
      <c r="LPN1371" s="110"/>
      <c r="LPO1371" s="110"/>
      <c r="LPP1371" s="110"/>
      <c r="LPQ1371" s="110"/>
      <c r="LPR1371" s="110"/>
      <c r="LPS1371" s="110"/>
      <c r="LPT1371" s="110"/>
      <c r="LPU1371" s="110"/>
      <c r="LPV1371" s="110"/>
      <c r="LPW1371" s="110"/>
      <c r="LPX1371" s="110"/>
      <c r="LPY1371" s="110"/>
      <c r="LPZ1371" s="110"/>
      <c r="LQA1371" s="110"/>
      <c r="LQB1371" s="110"/>
      <c r="LQC1371" s="110"/>
      <c r="LQD1371" s="110"/>
      <c r="LQE1371" s="110"/>
      <c r="LQF1371" s="110"/>
      <c r="LQG1371" s="110"/>
      <c r="LQH1371" s="110"/>
      <c r="LQI1371" s="110"/>
      <c r="LQJ1371" s="110"/>
      <c r="LQK1371" s="110"/>
      <c r="LQL1371" s="110"/>
      <c r="LQM1371" s="110"/>
      <c r="LQN1371" s="110"/>
      <c r="LQO1371" s="110"/>
      <c r="LQP1371" s="110"/>
      <c r="LQQ1371" s="110"/>
      <c r="LQR1371" s="110"/>
      <c r="LQS1371" s="110"/>
      <c r="LQT1371" s="110"/>
      <c r="LQU1371" s="110"/>
      <c r="LQV1371" s="110"/>
      <c r="LQW1371" s="110"/>
      <c r="LQX1371" s="110"/>
      <c r="LQY1371" s="110"/>
      <c r="LQZ1371" s="110"/>
      <c r="LRA1371" s="110"/>
      <c r="LRB1371" s="110"/>
      <c r="LRC1371" s="110"/>
      <c r="LRD1371" s="110"/>
      <c r="LRE1371" s="110"/>
      <c r="LRF1371" s="110"/>
      <c r="LRG1371" s="110"/>
      <c r="LRH1371" s="110"/>
      <c r="LRI1371" s="110"/>
      <c r="LRJ1371" s="110"/>
      <c r="LRK1371" s="110"/>
      <c r="LRL1371" s="110"/>
      <c r="LRM1371" s="110"/>
      <c r="LRN1371" s="110"/>
      <c r="LRO1371" s="110"/>
      <c r="LRP1371" s="110"/>
      <c r="LRQ1371" s="110"/>
      <c r="LRR1371" s="110"/>
      <c r="LRS1371" s="110"/>
      <c r="LRT1371" s="110"/>
      <c r="LRU1371" s="110"/>
      <c r="LRV1371" s="110"/>
      <c r="LRW1371" s="110"/>
      <c r="LRX1371" s="110"/>
      <c r="LRY1371" s="110"/>
      <c r="LRZ1371" s="110"/>
      <c r="LSA1371" s="110"/>
      <c r="LSB1371" s="110"/>
      <c r="LSC1371" s="110"/>
      <c r="LSD1371" s="110"/>
      <c r="LSE1371" s="110"/>
      <c r="LSF1371" s="110"/>
      <c r="LSG1371" s="110"/>
      <c r="LSH1371" s="110"/>
      <c r="LSI1371" s="110"/>
      <c r="LSJ1371" s="110"/>
      <c r="LSK1371" s="110"/>
      <c r="LSL1371" s="110"/>
      <c r="LSM1371" s="110"/>
      <c r="LSN1371" s="110"/>
      <c r="LSO1371" s="110"/>
      <c r="LSP1371" s="110"/>
      <c r="LSQ1371" s="110"/>
      <c r="LSR1371" s="110"/>
      <c r="LSS1371" s="110"/>
      <c r="LST1371" s="110"/>
      <c r="LSU1371" s="110"/>
      <c r="LSV1371" s="110"/>
      <c r="LSW1371" s="110"/>
      <c r="LSX1371" s="110"/>
      <c r="LSY1371" s="110"/>
      <c r="LSZ1371" s="110"/>
      <c r="LTA1371" s="110"/>
      <c r="LTB1371" s="110"/>
      <c r="LTC1371" s="110"/>
      <c r="LTD1371" s="110"/>
      <c r="LTE1371" s="110"/>
      <c r="LTF1371" s="110"/>
      <c r="LTG1371" s="110"/>
      <c r="LTH1371" s="110"/>
      <c r="LTI1371" s="110"/>
      <c r="LTJ1371" s="110"/>
      <c r="LTK1371" s="110"/>
      <c r="LTL1371" s="110"/>
      <c r="LTM1371" s="110"/>
      <c r="LTN1371" s="110"/>
      <c r="LTO1371" s="110"/>
      <c r="LTP1371" s="110"/>
      <c r="LTQ1371" s="110"/>
      <c r="LTR1371" s="110"/>
      <c r="LTS1371" s="110"/>
      <c r="LTT1371" s="110"/>
      <c r="LTU1371" s="110"/>
      <c r="LTV1371" s="110"/>
      <c r="LTW1371" s="110"/>
      <c r="LTX1371" s="110"/>
      <c r="LTY1371" s="110"/>
      <c r="LTZ1371" s="110"/>
      <c r="LUA1371" s="110"/>
      <c r="LUB1371" s="110"/>
      <c r="LUC1371" s="110"/>
      <c r="LUD1371" s="110"/>
      <c r="LUE1371" s="110"/>
      <c r="LUF1371" s="110"/>
      <c r="LUG1371" s="110"/>
      <c r="LUH1371" s="110"/>
      <c r="LUI1371" s="110"/>
      <c r="LUJ1371" s="110"/>
      <c r="LUK1371" s="110"/>
      <c r="LUL1371" s="110"/>
      <c r="LUM1371" s="110"/>
      <c r="LUN1371" s="110"/>
      <c r="LUO1371" s="110"/>
      <c r="LUP1371" s="110"/>
      <c r="LUQ1371" s="110"/>
      <c r="LUR1371" s="110"/>
      <c r="LUS1371" s="110"/>
      <c r="LUT1371" s="110"/>
      <c r="LUU1371" s="110"/>
      <c r="LUV1371" s="110"/>
      <c r="LUW1371" s="110"/>
      <c r="LUX1371" s="110"/>
      <c r="LUY1371" s="110"/>
      <c r="LUZ1371" s="110"/>
      <c r="LVA1371" s="110"/>
      <c r="LVB1371" s="110"/>
      <c r="LVC1371" s="110"/>
      <c r="LVD1371" s="110"/>
      <c r="LVE1371" s="110"/>
      <c r="LVF1371" s="110"/>
      <c r="LVG1371" s="110"/>
      <c r="LVH1371" s="110"/>
      <c r="LVI1371" s="110"/>
      <c r="LVJ1371" s="110"/>
      <c r="LVK1371" s="110"/>
      <c r="LVL1371" s="110"/>
      <c r="LVM1371" s="110"/>
      <c r="LVN1371" s="110"/>
      <c r="LVO1371" s="110"/>
      <c r="LVP1371" s="110"/>
      <c r="LVQ1371" s="110"/>
      <c r="LVR1371" s="110"/>
      <c r="LVS1371" s="110"/>
      <c r="LVT1371" s="110"/>
      <c r="LVU1371" s="110"/>
      <c r="LVV1371" s="110"/>
      <c r="LVW1371" s="110"/>
      <c r="LVX1371" s="110"/>
      <c r="LVY1371" s="110"/>
      <c r="LVZ1371" s="110"/>
      <c r="LWA1371" s="110"/>
      <c r="LWB1371" s="110"/>
      <c r="LWC1371" s="110"/>
      <c r="LWD1371" s="110"/>
      <c r="LWE1371" s="110"/>
      <c r="LWF1371" s="110"/>
      <c r="LWG1371" s="110"/>
      <c r="LWH1371" s="110"/>
      <c r="LWI1371" s="110"/>
      <c r="LWJ1371" s="110"/>
      <c r="LWK1371" s="110"/>
      <c r="LWL1371" s="110"/>
      <c r="LWM1371" s="110"/>
      <c r="LWN1371" s="110"/>
      <c r="LWO1371" s="110"/>
      <c r="LWP1371" s="110"/>
      <c r="LWQ1371" s="110"/>
      <c r="LWR1371" s="110"/>
      <c r="LWS1371" s="110"/>
      <c r="LWT1371" s="110"/>
      <c r="LWU1371" s="110"/>
      <c r="LWV1371" s="110"/>
      <c r="LWW1371" s="110"/>
      <c r="LWX1371" s="110"/>
      <c r="LWY1371" s="110"/>
      <c r="LWZ1371" s="110"/>
      <c r="LXA1371" s="110"/>
      <c r="LXB1371" s="110"/>
      <c r="LXC1371" s="110"/>
      <c r="LXD1371" s="110"/>
      <c r="LXE1371" s="110"/>
      <c r="LXF1371" s="110"/>
      <c r="LXG1371" s="110"/>
      <c r="LXH1371" s="110"/>
      <c r="LXI1371" s="110"/>
      <c r="LXJ1371" s="110"/>
      <c r="LXK1371" s="110"/>
      <c r="LXL1371" s="110"/>
      <c r="LXM1371" s="110"/>
      <c r="LXN1371" s="110"/>
      <c r="LXO1371" s="110"/>
      <c r="LXP1371" s="110"/>
      <c r="LXQ1371" s="110"/>
      <c r="LXR1371" s="110"/>
      <c r="LXS1371" s="110"/>
      <c r="LXT1371" s="110"/>
      <c r="LXU1371" s="110"/>
      <c r="LXV1371" s="110"/>
      <c r="LXW1371" s="110"/>
      <c r="LXX1371" s="110"/>
      <c r="LXY1371" s="110"/>
      <c r="LXZ1371" s="110"/>
      <c r="LYA1371" s="110"/>
      <c r="LYB1371" s="110"/>
      <c r="LYC1371" s="110"/>
      <c r="LYD1371" s="110"/>
      <c r="LYE1371" s="110"/>
      <c r="LYF1371" s="110"/>
      <c r="LYG1371" s="110"/>
      <c r="LYH1371" s="110"/>
      <c r="LYI1371" s="110"/>
      <c r="LYJ1371" s="110"/>
      <c r="LYK1371" s="110"/>
      <c r="LYL1371" s="110"/>
      <c r="LYM1371" s="110"/>
      <c r="LYN1371" s="110"/>
      <c r="LYO1371" s="110"/>
      <c r="LYP1371" s="110"/>
      <c r="LYQ1371" s="110"/>
      <c r="LYR1371" s="110"/>
      <c r="LYS1371" s="110"/>
      <c r="LYT1371" s="110"/>
      <c r="LYU1371" s="110"/>
      <c r="LYV1371" s="110"/>
      <c r="LYW1371" s="110"/>
      <c r="LYX1371" s="110"/>
      <c r="LYY1371" s="110"/>
      <c r="LYZ1371" s="110"/>
      <c r="LZA1371" s="110"/>
      <c r="LZB1371" s="110"/>
      <c r="LZC1371" s="110"/>
      <c r="LZD1371" s="110"/>
      <c r="LZE1371" s="110"/>
      <c r="LZF1371" s="110"/>
      <c r="LZG1371" s="110"/>
      <c r="LZH1371" s="110"/>
      <c r="LZI1371" s="110"/>
      <c r="LZJ1371" s="110"/>
      <c r="LZK1371" s="110"/>
      <c r="LZL1371" s="110"/>
      <c r="LZM1371" s="110"/>
      <c r="LZN1371" s="110"/>
      <c r="LZO1371" s="110"/>
      <c r="LZP1371" s="110"/>
      <c r="LZQ1371" s="110"/>
      <c r="LZR1371" s="110"/>
      <c r="LZS1371" s="110"/>
      <c r="LZT1371" s="110"/>
      <c r="LZU1371" s="110"/>
      <c r="LZV1371" s="110"/>
      <c r="LZW1371" s="110"/>
      <c r="LZX1371" s="110"/>
      <c r="LZY1371" s="110"/>
      <c r="LZZ1371" s="110"/>
      <c r="MAA1371" s="110"/>
      <c r="MAB1371" s="110"/>
      <c r="MAC1371" s="110"/>
      <c r="MAD1371" s="110"/>
      <c r="MAE1371" s="110"/>
      <c r="MAF1371" s="110"/>
      <c r="MAG1371" s="110"/>
      <c r="MAH1371" s="110"/>
      <c r="MAI1371" s="110"/>
      <c r="MAJ1371" s="110"/>
      <c r="MAK1371" s="110"/>
      <c r="MAL1371" s="110"/>
      <c r="MAM1371" s="110"/>
      <c r="MAN1371" s="110"/>
      <c r="MAO1371" s="110"/>
      <c r="MAP1371" s="110"/>
      <c r="MAQ1371" s="110"/>
      <c r="MAR1371" s="110"/>
      <c r="MAS1371" s="110"/>
      <c r="MAT1371" s="110"/>
      <c r="MAU1371" s="110"/>
      <c r="MAV1371" s="110"/>
      <c r="MAW1371" s="110"/>
      <c r="MAX1371" s="110"/>
      <c r="MAY1371" s="110"/>
      <c r="MAZ1371" s="110"/>
      <c r="MBA1371" s="110"/>
      <c r="MBB1371" s="110"/>
      <c r="MBC1371" s="110"/>
      <c r="MBD1371" s="110"/>
      <c r="MBE1371" s="110"/>
      <c r="MBF1371" s="110"/>
      <c r="MBG1371" s="110"/>
      <c r="MBH1371" s="110"/>
      <c r="MBI1371" s="110"/>
      <c r="MBJ1371" s="110"/>
      <c r="MBK1371" s="110"/>
      <c r="MBL1371" s="110"/>
      <c r="MBM1371" s="110"/>
      <c r="MBN1371" s="110"/>
      <c r="MBO1371" s="110"/>
      <c r="MBP1371" s="110"/>
      <c r="MBQ1371" s="110"/>
      <c r="MBR1371" s="110"/>
      <c r="MBS1371" s="110"/>
      <c r="MBT1371" s="110"/>
      <c r="MBU1371" s="110"/>
      <c r="MBV1371" s="110"/>
      <c r="MBW1371" s="110"/>
      <c r="MBX1371" s="110"/>
      <c r="MBY1371" s="110"/>
      <c r="MBZ1371" s="110"/>
      <c r="MCA1371" s="110"/>
      <c r="MCB1371" s="110"/>
      <c r="MCC1371" s="110"/>
      <c r="MCD1371" s="110"/>
      <c r="MCE1371" s="110"/>
      <c r="MCF1371" s="110"/>
      <c r="MCG1371" s="110"/>
      <c r="MCH1371" s="110"/>
      <c r="MCI1371" s="110"/>
      <c r="MCJ1371" s="110"/>
      <c r="MCK1371" s="110"/>
      <c r="MCL1371" s="110"/>
      <c r="MCM1371" s="110"/>
      <c r="MCN1371" s="110"/>
      <c r="MCO1371" s="110"/>
      <c r="MCP1371" s="110"/>
      <c r="MCQ1371" s="110"/>
      <c r="MCR1371" s="110"/>
      <c r="MCS1371" s="110"/>
      <c r="MCT1371" s="110"/>
      <c r="MCU1371" s="110"/>
      <c r="MCV1371" s="110"/>
      <c r="MCW1371" s="110"/>
      <c r="MCX1371" s="110"/>
      <c r="MCY1371" s="110"/>
      <c r="MCZ1371" s="110"/>
      <c r="MDA1371" s="110"/>
      <c r="MDB1371" s="110"/>
      <c r="MDC1371" s="110"/>
      <c r="MDD1371" s="110"/>
      <c r="MDE1371" s="110"/>
      <c r="MDF1371" s="110"/>
      <c r="MDG1371" s="110"/>
      <c r="MDH1371" s="110"/>
      <c r="MDI1371" s="110"/>
      <c r="MDJ1371" s="110"/>
      <c r="MDK1371" s="110"/>
      <c r="MDL1371" s="110"/>
      <c r="MDM1371" s="110"/>
      <c r="MDN1371" s="110"/>
      <c r="MDO1371" s="110"/>
      <c r="MDP1371" s="110"/>
      <c r="MDQ1371" s="110"/>
      <c r="MDR1371" s="110"/>
      <c r="MDS1371" s="110"/>
      <c r="MDT1371" s="110"/>
      <c r="MDU1371" s="110"/>
      <c r="MDV1371" s="110"/>
      <c r="MDW1371" s="110"/>
      <c r="MDX1371" s="110"/>
      <c r="MDY1371" s="110"/>
      <c r="MDZ1371" s="110"/>
      <c r="MEA1371" s="110"/>
      <c r="MEB1371" s="110"/>
      <c r="MEC1371" s="110"/>
      <c r="MED1371" s="110"/>
      <c r="MEE1371" s="110"/>
      <c r="MEF1371" s="110"/>
      <c r="MEG1371" s="110"/>
      <c r="MEH1371" s="110"/>
      <c r="MEI1371" s="110"/>
      <c r="MEJ1371" s="110"/>
      <c r="MEK1371" s="110"/>
      <c r="MEL1371" s="110"/>
      <c r="MEM1371" s="110"/>
      <c r="MEN1371" s="110"/>
      <c r="MEO1371" s="110"/>
      <c r="MEP1371" s="110"/>
      <c r="MEQ1371" s="110"/>
      <c r="MER1371" s="110"/>
      <c r="MES1371" s="110"/>
      <c r="MET1371" s="110"/>
      <c r="MEU1371" s="110"/>
      <c r="MEV1371" s="110"/>
      <c r="MEW1371" s="110"/>
      <c r="MEX1371" s="110"/>
      <c r="MEY1371" s="110"/>
      <c r="MEZ1371" s="110"/>
      <c r="MFA1371" s="110"/>
      <c r="MFB1371" s="110"/>
      <c r="MFC1371" s="110"/>
      <c r="MFD1371" s="110"/>
      <c r="MFE1371" s="110"/>
      <c r="MFF1371" s="110"/>
      <c r="MFG1371" s="110"/>
      <c r="MFH1371" s="110"/>
      <c r="MFI1371" s="110"/>
      <c r="MFJ1371" s="110"/>
      <c r="MFK1371" s="110"/>
      <c r="MFL1371" s="110"/>
      <c r="MFM1371" s="110"/>
      <c r="MFN1371" s="110"/>
      <c r="MFO1371" s="110"/>
      <c r="MFP1371" s="110"/>
      <c r="MFQ1371" s="110"/>
      <c r="MFR1371" s="110"/>
      <c r="MFS1371" s="110"/>
      <c r="MFT1371" s="110"/>
      <c r="MFU1371" s="110"/>
      <c r="MFV1371" s="110"/>
      <c r="MFW1371" s="110"/>
      <c r="MFX1371" s="110"/>
      <c r="MFY1371" s="110"/>
      <c r="MFZ1371" s="110"/>
      <c r="MGA1371" s="110"/>
      <c r="MGB1371" s="110"/>
      <c r="MGC1371" s="110"/>
      <c r="MGD1371" s="110"/>
      <c r="MGE1371" s="110"/>
      <c r="MGF1371" s="110"/>
      <c r="MGG1371" s="110"/>
      <c r="MGH1371" s="110"/>
      <c r="MGI1371" s="110"/>
      <c r="MGJ1371" s="110"/>
      <c r="MGK1371" s="110"/>
      <c r="MGL1371" s="110"/>
      <c r="MGM1371" s="110"/>
      <c r="MGN1371" s="110"/>
      <c r="MGO1371" s="110"/>
      <c r="MGP1371" s="110"/>
      <c r="MGQ1371" s="110"/>
      <c r="MGR1371" s="110"/>
      <c r="MGS1371" s="110"/>
      <c r="MGT1371" s="110"/>
      <c r="MGU1371" s="110"/>
      <c r="MGV1371" s="110"/>
      <c r="MGW1371" s="110"/>
      <c r="MGX1371" s="110"/>
      <c r="MGY1371" s="110"/>
      <c r="MGZ1371" s="110"/>
      <c r="MHA1371" s="110"/>
      <c r="MHB1371" s="110"/>
      <c r="MHC1371" s="110"/>
      <c r="MHD1371" s="110"/>
      <c r="MHE1371" s="110"/>
      <c r="MHF1371" s="110"/>
      <c r="MHG1371" s="110"/>
      <c r="MHH1371" s="110"/>
      <c r="MHI1371" s="110"/>
      <c r="MHJ1371" s="110"/>
      <c r="MHK1371" s="110"/>
      <c r="MHL1371" s="110"/>
      <c r="MHM1371" s="110"/>
      <c r="MHN1371" s="110"/>
      <c r="MHO1371" s="110"/>
      <c r="MHP1371" s="110"/>
      <c r="MHQ1371" s="110"/>
      <c r="MHR1371" s="110"/>
      <c r="MHS1371" s="110"/>
      <c r="MHT1371" s="110"/>
      <c r="MHU1371" s="110"/>
      <c r="MHV1371" s="110"/>
      <c r="MHW1371" s="110"/>
      <c r="MHX1371" s="110"/>
      <c r="MHY1371" s="110"/>
      <c r="MHZ1371" s="110"/>
      <c r="MIA1371" s="110"/>
      <c r="MIB1371" s="110"/>
      <c r="MIC1371" s="110"/>
      <c r="MID1371" s="110"/>
      <c r="MIE1371" s="110"/>
      <c r="MIF1371" s="110"/>
      <c r="MIG1371" s="110"/>
      <c r="MIH1371" s="110"/>
      <c r="MII1371" s="110"/>
      <c r="MIJ1371" s="110"/>
      <c r="MIK1371" s="110"/>
      <c r="MIL1371" s="110"/>
      <c r="MIM1371" s="110"/>
      <c r="MIN1371" s="110"/>
      <c r="MIO1371" s="110"/>
      <c r="MIP1371" s="110"/>
      <c r="MIQ1371" s="110"/>
      <c r="MIR1371" s="110"/>
      <c r="MIS1371" s="110"/>
      <c r="MIT1371" s="110"/>
      <c r="MIU1371" s="110"/>
      <c r="MIV1371" s="110"/>
      <c r="MIW1371" s="110"/>
      <c r="MIX1371" s="110"/>
      <c r="MIY1371" s="110"/>
      <c r="MIZ1371" s="110"/>
      <c r="MJA1371" s="110"/>
      <c r="MJB1371" s="110"/>
      <c r="MJC1371" s="110"/>
      <c r="MJD1371" s="110"/>
      <c r="MJE1371" s="110"/>
      <c r="MJF1371" s="110"/>
      <c r="MJG1371" s="110"/>
      <c r="MJH1371" s="110"/>
      <c r="MJI1371" s="110"/>
      <c r="MJJ1371" s="110"/>
      <c r="MJK1371" s="110"/>
      <c r="MJL1371" s="110"/>
      <c r="MJM1371" s="110"/>
      <c r="MJN1371" s="110"/>
      <c r="MJO1371" s="110"/>
      <c r="MJP1371" s="110"/>
      <c r="MJQ1371" s="110"/>
      <c r="MJR1371" s="110"/>
      <c r="MJS1371" s="110"/>
      <c r="MJT1371" s="110"/>
      <c r="MJU1371" s="110"/>
      <c r="MJV1371" s="110"/>
      <c r="MJW1371" s="110"/>
      <c r="MJX1371" s="110"/>
      <c r="MJY1371" s="110"/>
      <c r="MJZ1371" s="110"/>
      <c r="MKA1371" s="110"/>
      <c r="MKB1371" s="110"/>
      <c r="MKC1371" s="110"/>
      <c r="MKD1371" s="110"/>
      <c r="MKE1371" s="110"/>
      <c r="MKF1371" s="110"/>
      <c r="MKG1371" s="110"/>
      <c r="MKH1371" s="110"/>
      <c r="MKI1371" s="110"/>
      <c r="MKJ1371" s="110"/>
      <c r="MKK1371" s="110"/>
      <c r="MKL1371" s="110"/>
      <c r="MKM1371" s="110"/>
      <c r="MKN1371" s="110"/>
      <c r="MKO1371" s="110"/>
      <c r="MKP1371" s="110"/>
      <c r="MKQ1371" s="110"/>
      <c r="MKR1371" s="110"/>
      <c r="MKS1371" s="110"/>
      <c r="MKT1371" s="110"/>
      <c r="MKU1371" s="110"/>
      <c r="MKV1371" s="110"/>
      <c r="MKW1371" s="110"/>
      <c r="MKX1371" s="110"/>
      <c r="MKY1371" s="110"/>
      <c r="MKZ1371" s="110"/>
      <c r="MLA1371" s="110"/>
      <c r="MLB1371" s="110"/>
      <c r="MLC1371" s="110"/>
      <c r="MLD1371" s="110"/>
      <c r="MLE1371" s="110"/>
      <c r="MLF1371" s="110"/>
      <c r="MLG1371" s="110"/>
      <c r="MLH1371" s="110"/>
      <c r="MLI1371" s="110"/>
      <c r="MLJ1371" s="110"/>
      <c r="MLK1371" s="110"/>
      <c r="MLL1371" s="110"/>
      <c r="MLM1371" s="110"/>
      <c r="MLN1371" s="110"/>
      <c r="MLO1371" s="110"/>
      <c r="MLP1371" s="110"/>
      <c r="MLQ1371" s="110"/>
      <c r="MLR1371" s="110"/>
      <c r="MLS1371" s="110"/>
      <c r="MLT1371" s="110"/>
      <c r="MLU1371" s="110"/>
      <c r="MLV1371" s="110"/>
      <c r="MLW1371" s="110"/>
      <c r="MLX1371" s="110"/>
      <c r="MLY1371" s="110"/>
      <c r="MLZ1371" s="110"/>
      <c r="MMA1371" s="110"/>
      <c r="MMB1371" s="110"/>
      <c r="MMC1371" s="110"/>
      <c r="MMD1371" s="110"/>
      <c r="MME1371" s="110"/>
      <c r="MMF1371" s="110"/>
      <c r="MMG1371" s="110"/>
      <c r="MMH1371" s="110"/>
      <c r="MMI1371" s="110"/>
      <c r="MMJ1371" s="110"/>
      <c r="MMK1371" s="110"/>
      <c r="MML1371" s="110"/>
      <c r="MMM1371" s="110"/>
      <c r="MMN1371" s="110"/>
      <c r="MMO1371" s="110"/>
      <c r="MMP1371" s="110"/>
      <c r="MMQ1371" s="110"/>
      <c r="MMR1371" s="110"/>
      <c r="MMS1371" s="110"/>
      <c r="MMT1371" s="110"/>
      <c r="MMU1371" s="110"/>
      <c r="MMV1371" s="110"/>
      <c r="MMW1371" s="110"/>
      <c r="MMX1371" s="110"/>
      <c r="MMY1371" s="110"/>
      <c r="MMZ1371" s="110"/>
      <c r="MNA1371" s="110"/>
      <c r="MNB1371" s="110"/>
      <c r="MNC1371" s="110"/>
      <c r="MND1371" s="110"/>
      <c r="MNE1371" s="110"/>
      <c r="MNF1371" s="110"/>
      <c r="MNG1371" s="110"/>
      <c r="MNH1371" s="110"/>
      <c r="MNI1371" s="110"/>
      <c r="MNJ1371" s="110"/>
      <c r="MNK1371" s="110"/>
      <c r="MNL1371" s="110"/>
      <c r="MNM1371" s="110"/>
      <c r="MNN1371" s="110"/>
      <c r="MNO1371" s="110"/>
      <c r="MNP1371" s="110"/>
      <c r="MNQ1371" s="110"/>
      <c r="MNR1371" s="110"/>
      <c r="MNS1371" s="110"/>
      <c r="MNT1371" s="110"/>
      <c r="MNU1371" s="110"/>
      <c r="MNV1371" s="110"/>
      <c r="MNW1371" s="110"/>
      <c r="MNX1371" s="110"/>
      <c r="MNY1371" s="110"/>
      <c r="MNZ1371" s="110"/>
      <c r="MOA1371" s="110"/>
      <c r="MOB1371" s="110"/>
      <c r="MOC1371" s="110"/>
      <c r="MOD1371" s="110"/>
      <c r="MOE1371" s="110"/>
      <c r="MOF1371" s="110"/>
      <c r="MOG1371" s="110"/>
      <c r="MOH1371" s="110"/>
      <c r="MOI1371" s="110"/>
      <c r="MOJ1371" s="110"/>
      <c r="MOK1371" s="110"/>
      <c r="MOL1371" s="110"/>
      <c r="MOM1371" s="110"/>
      <c r="MON1371" s="110"/>
      <c r="MOO1371" s="110"/>
      <c r="MOP1371" s="110"/>
      <c r="MOQ1371" s="110"/>
      <c r="MOR1371" s="110"/>
      <c r="MOS1371" s="110"/>
      <c r="MOT1371" s="110"/>
      <c r="MOU1371" s="110"/>
      <c r="MOV1371" s="110"/>
      <c r="MOW1371" s="110"/>
      <c r="MOX1371" s="110"/>
      <c r="MOY1371" s="110"/>
      <c r="MOZ1371" s="110"/>
      <c r="MPA1371" s="110"/>
      <c r="MPB1371" s="110"/>
      <c r="MPC1371" s="110"/>
      <c r="MPD1371" s="110"/>
      <c r="MPE1371" s="110"/>
      <c r="MPF1371" s="110"/>
      <c r="MPG1371" s="110"/>
      <c r="MPH1371" s="110"/>
      <c r="MPI1371" s="110"/>
      <c r="MPJ1371" s="110"/>
      <c r="MPK1371" s="110"/>
      <c r="MPL1371" s="110"/>
      <c r="MPM1371" s="110"/>
      <c r="MPN1371" s="110"/>
      <c r="MPO1371" s="110"/>
      <c r="MPP1371" s="110"/>
      <c r="MPQ1371" s="110"/>
      <c r="MPR1371" s="110"/>
      <c r="MPS1371" s="110"/>
      <c r="MPT1371" s="110"/>
      <c r="MPU1371" s="110"/>
      <c r="MPV1371" s="110"/>
      <c r="MPW1371" s="110"/>
      <c r="MPX1371" s="110"/>
      <c r="MPY1371" s="110"/>
      <c r="MPZ1371" s="110"/>
      <c r="MQA1371" s="110"/>
      <c r="MQB1371" s="110"/>
      <c r="MQC1371" s="110"/>
      <c r="MQD1371" s="110"/>
      <c r="MQE1371" s="110"/>
      <c r="MQF1371" s="110"/>
      <c r="MQG1371" s="110"/>
      <c r="MQH1371" s="110"/>
      <c r="MQI1371" s="110"/>
      <c r="MQJ1371" s="110"/>
      <c r="MQK1371" s="110"/>
      <c r="MQL1371" s="110"/>
      <c r="MQM1371" s="110"/>
      <c r="MQN1371" s="110"/>
      <c r="MQO1371" s="110"/>
      <c r="MQP1371" s="110"/>
      <c r="MQQ1371" s="110"/>
      <c r="MQR1371" s="110"/>
      <c r="MQS1371" s="110"/>
      <c r="MQT1371" s="110"/>
      <c r="MQU1371" s="110"/>
      <c r="MQV1371" s="110"/>
      <c r="MQW1371" s="110"/>
      <c r="MQX1371" s="110"/>
      <c r="MQY1371" s="110"/>
      <c r="MQZ1371" s="110"/>
      <c r="MRA1371" s="110"/>
      <c r="MRB1371" s="110"/>
      <c r="MRC1371" s="110"/>
      <c r="MRD1371" s="110"/>
      <c r="MRE1371" s="110"/>
      <c r="MRF1371" s="110"/>
      <c r="MRG1371" s="110"/>
      <c r="MRH1371" s="110"/>
      <c r="MRI1371" s="110"/>
      <c r="MRJ1371" s="110"/>
      <c r="MRK1371" s="110"/>
      <c r="MRL1371" s="110"/>
      <c r="MRM1371" s="110"/>
      <c r="MRN1371" s="110"/>
      <c r="MRO1371" s="110"/>
      <c r="MRP1371" s="110"/>
      <c r="MRQ1371" s="110"/>
      <c r="MRR1371" s="110"/>
      <c r="MRS1371" s="110"/>
      <c r="MRT1371" s="110"/>
      <c r="MRU1371" s="110"/>
      <c r="MRV1371" s="110"/>
      <c r="MRW1371" s="110"/>
      <c r="MRX1371" s="110"/>
      <c r="MRY1371" s="110"/>
      <c r="MRZ1371" s="110"/>
      <c r="MSA1371" s="110"/>
      <c r="MSB1371" s="110"/>
      <c r="MSC1371" s="110"/>
      <c r="MSD1371" s="110"/>
      <c r="MSE1371" s="110"/>
      <c r="MSF1371" s="110"/>
      <c r="MSG1371" s="110"/>
      <c r="MSH1371" s="110"/>
      <c r="MSI1371" s="110"/>
      <c r="MSJ1371" s="110"/>
      <c r="MSK1371" s="110"/>
      <c r="MSL1371" s="110"/>
      <c r="MSM1371" s="110"/>
      <c r="MSN1371" s="110"/>
      <c r="MSO1371" s="110"/>
      <c r="MSP1371" s="110"/>
      <c r="MSQ1371" s="110"/>
      <c r="MSR1371" s="110"/>
      <c r="MSS1371" s="110"/>
      <c r="MST1371" s="110"/>
      <c r="MSU1371" s="110"/>
      <c r="MSV1371" s="110"/>
      <c r="MSW1371" s="110"/>
      <c r="MSX1371" s="110"/>
      <c r="MSY1371" s="110"/>
      <c r="MSZ1371" s="110"/>
      <c r="MTA1371" s="110"/>
      <c r="MTB1371" s="110"/>
      <c r="MTC1371" s="110"/>
      <c r="MTD1371" s="110"/>
      <c r="MTE1371" s="110"/>
      <c r="MTF1371" s="110"/>
      <c r="MTG1371" s="110"/>
      <c r="MTH1371" s="110"/>
      <c r="MTI1371" s="110"/>
      <c r="MTJ1371" s="110"/>
      <c r="MTK1371" s="110"/>
      <c r="MTL1371" s="110"/>
      <c r="MTM1371" s="110"/>
      <c r="MTN1371" s="110"/>
      <c r="MTO1371" s="110"/>
      <c r="MTP1371" s="110"/>
      <c r="MTQ1371" s="110"/>
      <c r="MTR1371" s="110"/>
      <c r="MTS1371" s="110"/>
      <c r="MTT1371" s="110"/>
      <c r="MTU1371" s="110"/>
      <c r="MTV1371" s="110"/>
      <c r="MTW1371" s="110"/>
      <c r="MTX1371" s="110"/>
      <c r="MTY1371" s="110"/>
      <c r="MTZ1371" s="110"/>
      <c r="MUA1371" s="110"/>
      <c r="MUB1371" s="110"/>
      <c r="MUC1371" s="110"/>
      <c r="MUD1371" s="110"/>
      <c r="MUE1371" s="110"/>
      <c r="MUF1371" s="110"/>
      <c r="MUG1371" s="110"/>
      <c r="MUH1371" s="110"/>
      <c r="MUI1371" s="110"/>
      <c r="MUJ1371" s="110"/>
      <c r="MUK1371" s="110"/>
      <c r="MUL1371" s="110"/>
      <c r="MUM1371" s="110"/>
      <c r="MUN1371" s="110"/>
      <c r="MUO1371" s="110"/>
      <c r="MUP1371" s="110"/>
      <c r="MUQ1371" s="110"/>
      <c r="MUR1371" s="110"/>
      <c r="MUS1371" s="110"/>
      <c r="MUT1371" s="110"/>
      <c r="MUU1371" s="110"/>
      <c r="MUV1371" s="110"/>
      <c r="MUW1371" s="110"/>
      <c r="MUX1371" s="110"/>
      <c r="MUY1371" s="110"/>
      <c r="MUZ1371" s="110"/>
      <c r="MVA1371" s="110"/>
      <c r="MVB1371" s="110"/>
      <c r="MVC1371" s="110"/>
      <c r="MVD1371" s="110"/>
      <c r="MVE1371" s="110"/>
      <c r="MVF1371" s="110"/>
      <c r="MVG1371" s="110"/>
      <c r="MVH1371" s="110"/>
      <c r="MVI1371" s="110"/>
      <c r="MVJ1371" s="110"/>
      <c r="MVK1371" s="110"/>
      <c r="MVL1371" s="110"/>
      <c r="MVM1371" s="110"/>
      <c r="MVN1371" s="110"/>
      <c r="MVO1371" s="110"/>
      <c r="MVP1371" s="110"/>
      <c r="MVQ1371" s="110"/>
      <c r="MVR1371" s="110"/>
      <c r="MVS1371" s="110"/>
      <c r="MVT1371" s="110"/>
      <c r="MVU1371" s="110"/>
      <c r="MVV1371" s="110"/>
      <c r="MVW1371" s="110"/>
      <c r="MVX1371" s="110"/>
      <c r="MVY1371" s="110"/>
      <c r="MVZ1371" s="110"/>
      <c r="MWA1371" s="110"/>
      <c r="MWB1371" s="110"/>
      <c r="MWC1371" s="110"/>
      <c r="MWD1371" s="110"/>
      <c r="MWE1371" s="110"/>
      <c r="MWF1371" s="110"/>
      <c r="MWG1371" s="110"/>
      <c r="MWH1371" s="110"/>
      <c r="MWI1371" s="110"/>
      <c r="MWJ1371" s="110"/>
      <c r="MWK1371" s="110"/>
      <c r="MWL1371" s="110"/>
      <c r="MWM1371" s="110"/>
      <c r="MWN1371" s="110"/>
      <c r="MWO1371" s="110"/>
      <c r="MWP1371" s="110"/>
      <c r="MWQ1371" s="110"/>
      <c r="MWR1371" s="110"/>
      <c r="MWS1371" s="110"/>
      <c r="MWT1371" s="110"/>
      <c r="MWU1371" s="110"/>
      <c r="MWV1371" s="110"/>
      <c r="MWW1371" s="110"/>
      <c r="MWX1371" s="110"/>
      <c r="MWY1371" s="110"/>
      <c r="MWZ1371" s="110"/>
      <c r="MXA1371" s="110"/>
      <c r="MXB1371" s="110"/>
      <c r="MXC1371" s="110"/>
      <c r="MXD1371" s="110"/>
      <c r="MXE1371" s="110"/>
      <c r="MXF1371" s="110"/>
      <c r="MXG1371" s="110"/>
      <c r="MXH1371" s="110"/>
      <c r="MXI1371" s="110"/>
      <c r="MXJ1371" s="110"/>
      <c r="MXK1371" s="110"/>
      <c r="MXL1371" s="110"/>
      <c r="MXM1371" s="110"/>
      <c r="MXN1371" s="110"/>
      <c r="MXO1371" s="110"/>
      <c r="MXP1371" s="110"/>
      <c r="MXQ1371" s="110"/>
      <c r="MXR1371" s="110"/>
      <c r="MXS1371" s="110"/>
      <c r="MXT1371" s="110"/>
      <c r="MXU1371" s="110"/>
      <c r="MXV1371" s="110"/>
      <c r="MXW1371" s="110"/>
      <c r="MXX1371" s="110"/>
      <c r="MXY1371" s="110"/>
      <c r="MXZ1371" s="110"/>
      <c r="MYA1371" s="110"/>
      <c r="MYB1371" s="110"/>
      <c r="MYC1371" s="110"/>
      <c r="MYD1371" s="110"/>
      <c r="MYE1371" s="110"/>
      <c r="MYF1371" s="110"/>
      <c r="MYG1371" s="110"/>
      <c r="MYH1371" s="110"/>
      <c r="MYI1371" s="110"/>
      <c r="MYJ1371" s="110"/>
      <c r="MYK1371" s="110"/>
      <c r="MYL1371" s="110"/>
      <c r="MYM1371" s="110"/>
      <c r="MYN1371" s="110"/>
      <c r="MYO1371" s="110"/>
      <c r="MYP1371" s="110"/>
      <c r="MYQ1371" s="110"/>
      <c r="MYR1371" s="110"/>
      <c r="MYS1371" s="110"/>
      <c r="MYT1371" s="110"/>
      <c r="MYU1371" s="110"/>
      <c r="MYV1371" s="110"/>
      <c r="MYW1371" s="110"/>
      <c r="MYX1371" s="110"/>
      <c r="MYY1371" s="110"/>
      <c r="MYZ1371" s="110"/>
      <c r="MZA1371" s="110"/>
      <c r="MZB1371" s="110"/>
      <c r="MZC1371" s="110"/>
      <c r="MZD1371" s="110"/>
      <c r="MZE1371" s="110"/>
      <c r="MZF1371" s="110"/>
      <c r="MZG1371" s="110"/>
      <c r="MZH1371" s="110"/>
      <c r="MZI1371" s="110"/>
      <c r="MZJ1371" s="110"/>
      <c r="MZK1371" s="110"/>
      <c r="MZL1371" s="110"/>
      <c r="MZM1371" s="110"/>
      <c r="MZN1371" s="110"/>
      <c r="MZO1371" s="110"/>
      <c r="MZP1371" s="110"/>
      <c r="MZQ1371" s="110"/>
      <c r="MZR1371" s="110"/>
      <c r="MZS1371" s="110"/>
      <c r="MZT1371" s="110"/>
      <c r="MZU1371" s="110"/>
      <c r="MZV1371" s="110"/>
      <c r="MZW1371" s="110"/>
      <c r="MZX1371" s="110"/>
      <c r="MZY1371" s="110"/>
      <c r="MZZ1371" s="110"/>
      <c r="NAA1371" s="110"/>
      <c r="NAB1371" s="110"/>
      <c r="NAC1371" s="110"/>
      <c r="NAD1371" s="110"/>
      <c r="NAE1371" s="110"/>
      <c r="NAF1371" s="110"/>
      <c r="NAG1371" s="110"/>
      <c r="NAH1371" s="110"/>
      <c r="NAI1371" s="110"/>
      <c r="NAJ1371" s="110"/>
      <c r="NAK1371" s="110"/>
      <c r="NAL1371" s="110"/>
      <c r="NAM1371" s="110"/>
      <c r="NAN1371" s="110"/>
      <c r="NAO1371" s="110"/>
      <c r="NAP1371" s="110"/>
      <c r="NAQ1371" s="110"/>
      <c r="NAR1371" s="110"/>
      <c r="NAS1371" s="110"/>
      <c r="NAT1371" s="110"/>
      <c r="NAU1371" s="110"/>
      <c r="NAV1371" s="110"/>
      <c r="NAW1371" s="110"/>
      <c r="NAX1371" s="110"/>
      <c r="NAY1371" s="110"/>
      <c r="NAZ1371" s="110"/>
      <c r="NBA1371" s="110"/>
      <c r="NBB1371" s="110"/>
      <c r="NBC1371" s="110"/>
      <c r="NBD1371" s="110"/>
      <c r="NBE1371" s="110"/>
      <c r="NBF1371" s="110"/>
      <c r="NBG1371" s="110"/>
      <c r="NBH1371" s="110"/>
      <c r="NBI1371" s="110"/>
      <c r="NBJ1371" s="110"/>
      <c r="NBK1371" s="110"/>
      <c r="NBL1371" s="110"/>
      <c r="NBM1371" s="110"/>
      <c r="NBN1371" s="110"/>
      <c r="NBO1371" s="110"/>
      <c r="NBP1371" s="110"/>
      <c r="NBQ1371" s="110"/>
      <c r="NBR1371" s="110"/>
      <c r="NBS1371" s="110"/>
      <c r="NBT1371" s="110"/>
      <c r="NBU1371" s="110"/>
      <c r="NBV1371" s="110"/>
      <c r="NBW1371" s="110"/>
      <c r="NBX1371" s="110"/>
      <c r="NBY1371" s="110"/>
      <c r="NBZ1371" s="110"/>
      <c r="NCA1371" s="110"/>
      <c r="NCB1371" s="110"/>
      <c r="NCC1371" s="110"/>
      <c r="NCD1371" s="110"/>
      <c r="NCE1371" s="110"/>
      <c r="NCF1371" s="110"/>
      <c r="NCG1371" s="110"/>
      <c r="NCH1371" s="110"/>
      <c r="NCI1371" s="110"/>
      <c r="NCJ1371" s="110"/>
      <c r="NCK1371" s="110"/>
      <c r="NCL1371" s="110"/>
      <c r="NCM1371" s="110"/>
      <c r="NCN1371" s="110"/>
      <c r="NCO1371" s="110"/>
      <c r="NCP1371" s="110"/>
      <c r="NCQ1371" s="110"/>
      <c r="NCR1371" s="110"/>
      <c r="NCS1371" s="110"/>
      <c r="NCT1371" s="110"/>
      <c r="NCU1371" s="110"/>
      <c r="NCV1371" s="110"/>
      <c r="NCW1371" s="110"/>
      <c r="NCX1371" s="110"/>
      <c r="NCY1371" s="110"/>
      <c r="NCZ1371" s="110"/>
      <c r="NDA1371" s="110"/>
      <c r="NDB1371" s="110"/>
      <c r="NDC1371" s="110"/>
      <c r="NDD1371" s="110"/>
      <c r="NDE1371" s="110"/>
      <c r="NDF1371" s="110"/>
      <c r="NDG1371" s="110"/>
      <c r="NDH1371" s="110"/>
      <c r="NDI1371" s="110"/>
      <c r="NDJ1371" s="110"/>
      <c r="NDK1371" s="110"/>
      <c r="NDL1371" s="110"/>
      <c r="NDM1371" s="110"/>
      <c r="NDN1371" s="110"/>
      <c r="NDO1371" s="110"/>
      <c r="NDP1371" s="110"/>
      <c r="NDQ1371" s="110"/>
      <c r="NDR1371" s="110"/>
      <c r="NDS1371" s="110"/>
      <c r="NDT1371" s="110"/>
      <c r="NDU1371" s="110"/>
      <c r="NDV1371" s="110"/>
      <c r="NDW1371" s="110"/>
      <c r="NDX1371" s="110"/>
      <c r="NDY1371" s="110"/>
      <c r="NDZ1371" s="110"/>
      <c r="NEA1371" s="110"/>
      <c r="NEB1371" s="110"/>
      <c r="NEC1371" s="110"/>
      <c r="NED1371" s="110"/>
      <c r="NEE1371" s="110"/>
      <c r="NEF1371" s="110"/>
      <c r="NEG1371" s="110"/>
      <c r="NEH1371" s="110"/>
      <c r="NEI1371" s="110"/>
      <c r="NEJ1371" s="110"/>
      <c r="NEK1371" s="110"/>
      <c r="NEL1371" s="110"/>
      <c r="NEM1371" s="110"/>
      <c r="NEN1371" s="110"/>
      <c r="NEO1371" s="110"/>
      <c r="NEP1371" s="110"/>
      <c r="NEQ1371" s="110"/>
      <c r="NER1371" s="110"/>
      <c r="NES1371" s="110"/>
      <c r="NET1371" s="110"/>
      <c r="NEU1371" s="110"/>
      <c r="NEV1371" s="110"/>
      <c r="NEW1371" s="110"/>
      <c r="NEX1371" s="110"/>
      <c r="NEY1371" s="110"/>
      <c r="NEZ1371" s="110"/>
      <c r="NFA1371" s="110"/>
      <c r="NFB1371" s="110"/>
      <c r="NFC1371" s="110"/>
      <c r="NFD1371" s="110"/>
      <c r="NFE1371" s="110"/>
      <c r="NFF1371" s="110"/>
      <c r="NFG1371" s="110"/>
      <c r="NFH1371" s="110"/>
      <c r="NFI1371" s="110"/>
      <c r="NFJ1371" s="110"/>
      <c r="NFK1371" s="110"/>
      <c r="NFL1371" s="110"/>
      <c r="NFM1371" s="110"/>
      <c r="NFN1371" s="110"/>
      <c r="NFO1371" s="110"/>
      <c r="NFP1371" s="110"/>
      <c r="NFQ1371" s="110"/>
      <c r="NFR1371" s="110"/>
      <c r="NFS1371" s="110"/>
      <c r="NFT1371" s="110"/>
      <c r="NFU1371" s="110"/>
      <c r="NFV1371" s="110"/>
      <c r="NFW1371" s="110"/>
      <c r="NFX1371" s="110"/>
      <c r="NFY1371" s="110"/>
      <c r="NFZ1371" s="110"/>
      <c r="NGA1371" s="110"/>
      <c r="NGB1371" s="110"/>
      <c r="NGC1371" s="110"/>
      <c r="NGD1371" s="110"/>
      <c r="NGE1371" s="110"/>
      <c r="NGF1371" s="110"/>
      <c r="NGG1371" s="110"/>
      <c r="NGH1371" s="110"/>
      <c r="NGI1371" s="110"/>
      <c r="NGJ1371" s="110"/>
      <c r="NGK1371" s="110"/>
      <c r="NGL1371" s="110"/>
      <c r="NGM1371" s="110"/>
      <c r="NGN1371" s="110"/>
      <c r="NGO1371" s="110"/>
      <c r="NGP1371" s="110"/>
      <c r="NGQ1371" s="110"/>
      <c r="NGR1371" s="110"/>
      <c r="NGS1371" s="110"/>
      <c r="NGT1371" s="110"/>
      <c r="NGU1371" s="110"/>
      <c r="NGV1371" s="110"/>
      <c r="NGW1371" s="110"/>
      <c r="NGX1371" s="110"/>
      <c r="NGY1371" s="110"/>
      <c r="NGZ1371" s="110"/>
      <c r="NHA1371" s="110"/>
      <c r="NHB1371" s="110"/>
      <c r="NHC1371" s="110"/>
      <c r="NHD1371" s="110"/>
      <c r="NHE1371" s="110"/>
      <c r="NHF1371" s="110"/>
      <c r="NHG1371" s="110"/>
      <c r="NHH1371" s="110"/>
      <c r="NHI1371" s="110"/>
      <c r="NHJ1371" s="110"/>
      <c r="NHK1371" s="110"/>
      <c r="NHL1371" s="110"/>
      <c r="NHM1371" s="110"/>
      <c r="NHN1371" s="110"/>
      <c r="NHO1371" s="110"/>
      <c r="NHP1371" s="110"/>
      <c r="NHQ1371" s="110"/>
      <c r="NHR1371" s="110"/>
      <c r="NHS1371" s="110"/>
      <c r="NHT1371" s="110"/>
      <c r="NHU1371" s="110"/>
      <c r="NHV1371" s="110"/>
      <c r="NHW1371" s="110"/>
      <c r="NHX1371" s="110"/>
      <c r="NHY1371" s="110"/>
      <c r="NHZ1371" s="110"/>
      <c r="NIA1371" s="110"/>
      <c r="NIB1371" s="110"/>
      <c r="NIC1371" s="110"/>
      <c r="NID1371" s="110"/>
      <c r="NIE1371" s="110"/>
      <c r="NIF1371" s="110"/>
      <c r="NIG1371" s="110"/>
      <c r="NIH1371" s="110"/>
      <c r="NII1371" s="110"/>
      <c r="NIJ1371" s="110"/>
      <c r="NIK1371" s="110"/>
      <c r="NIL1371" s="110"/>
      <c r="NIM1371" s="110"/>
      <c r="NIN1371" s="110"/>
      <c r="NIO1371" s="110"/>
      <c r="NIP1371" s="110"/>
      <c r="NIQ1371" s="110"/>
      <c r="NIR1371" s="110"/>
      <c r="NIS1371" s="110"/>
      <c r="NIT1371" s="110"/>
      <c r="NIU1371" s="110"/>
      <c r="NIV1371" s="110"/>
      <c r="NIW1371" s="110"/>
      <c r="NIX1371" s="110"/>
      <c r="NIY1371" s="110"/>
      <c r="NIZ1371" s="110"/>
      <c r="NJA1371" s="110"/>
      <c r="NJB1371" s="110"/>
      <c r="NJC1371" s="110"/>
      <c r="NJD1371" s="110"/>
      <c r="NJE1371" s="110"/>
      <c r="NJF1371" s="110"/>
      <c r="NJG1371" s="110"/>
      <c r="NJH1371" s="110"/>
      <c r="NJI1371" s="110"/>
      <c r="NJJ1371" s="110"/>
      <c r="NJK1371" s="110"/>
      <c r="NJL1371" s="110"/>
      <c r="NJM1371" s="110"/>
      <c r="NJN1371" s="110"/>
      <c r="NJO1371" s="110"/>
      <c r="NJP1371" s="110"/>
      <c r="NJQ1371" s="110"/>
      <c r="NJR1371" s="110"/>
      <c r="NJS1371" s="110"/>
      <c r="NJT1371" s="110"/>
      <c r="NJU1371" s="110"/>
      <c r="NJV1371" s="110"/>
      <c r="NJW1371" s="110"/>
      <c r="NJX1371" s="110"/>
      <c r="NJY1371" s="110"/>
      <c r="NJZ1371" s="110"/>
      <c r="NKA1371" s="110"/>
      <c r="NKB1371" s="110"/>
      <c r="NKC1371" s="110"/>
      <c r="NKD1371" s="110"/>
      <c r="NKE1371" s="110"/>
      <c r="NKF1371" s="110"/>
      <c r="NKG1371" s="110"/>
      <c r="NKH1371" s="110"/>
      <c r="NKI1371" s="110"/>
      <c r="NKJ1371" s="110"/>
      <c r="NKK1371" s="110"/>
      <c r="NKL1371" s="110"/>
      <c r="NKM1371" s="110"/>
      <c r="NKN1371" s="110"/>
      <c r="NKO1371" s="110"/>
      <c r="NKP1371" s="110"/>
      <c r="NKQ1371" s="110"/>
      <c r="NKR1371" s="110"/>
      <c r="NKS1371" s="110"/>
      <c r="NKT1371" s="110"/>
      <c r="NKU1371" s="110"/>
      <c r="NKV1371" s="110"/>
      <c r="NKW1371" s="110"/>
      <c r="NKX1371" s="110"/>
      <c r="NKY1371" s="110"/>
      <c r="NKZ1371" s="110"/>
      <c r="NLA1371" s="110"/>
      <c r="NLB1371" s="110"/>
      <c r="NLC1371" s="110"/>
      <c r="NLD1371" s="110"/>
      <c r="NLE1371" s="110"/>
      <c r="NLF1371" s="110"/>
      <c r="NLG1371" s="110"/>
      <c r="NLH1371" s="110"/>
      <c r="NLI1371" s="110"/>
      <c r="NLJ1371" s="110"/>
      <c r="NLK1371" s="110"/>
      <c r="NLL1371" s="110"/>
      <c r="NLM1371" s="110"/>
      <c r="NLN1371" s="110"/>
      <c r="NLO1371" s="110"/>
      <c r="NLP1371" s="110"/>
      <c r="NLQ1371" s="110"/>
      <c r="NLR1371" s="110"/>
      <c r="NLS1371" s="110"/>
      <c r="NLT1371" s="110"/>
      <c r="NLU1371" s="110"/>
      <c r="NLV1371" s="110"/>
      <c r="NLW1371" s="110"/>
      <c r="NLX1371" s="110"/>
      <c r="NLY1371" s="110"/>
      <c r="NLZ1371" s="110"/>
      <c r="NMA1371" s="110"/>
      <c r="NMB1371" s="110"/>
      <c r="NMC1371" s="110"/>
      <c r="NMD1371" s="110"/>
      <c r="NME1371" s="110"/>
      <c r="NMF1371" s="110"/>
      <c r="NMG1371" s="110"/>
      <c r="NMH1371" s="110"/>
      <c r="NMI1371" s="110"/>
      <c r="NMJ1371" s="110"/>
      <c r="NMK1371" s="110"/>
      <c r="NML1371" s="110"/>
      <c r="NMM1371" s="110"/>
      <c r="NMN1371" s="110"/>
      <c r="NMO1371" s="110"/>
      <c r="NMP1371" s="110"/>
      <c r="NMQ1371" s="110"/>
      <c r="NMR1371" s="110"/>
      <c r="NMS1371" s="110"/>
      <c r="NMT1371" s="110"/>
      <c r="NMU1371" s="110"/>
      <c r="NMV1371" s="110"/>
      <c r="NMW1371" s="110"/>
      <c r="NMX1371" s="110"/>
      <c r="NMY1371" s="110"/>
      <c r="NMZ1371" s="110"/>
      <c r="NNA1371" s="110"/>
      <c r="NNB1371" s="110"/>
      <c r="NNC1371" s="110"/>
      <c r="NND1371" s="110"/>
      <c r="NNE1371" s="110"/>
      <c r="NNF1371" s="110"/>
      <c r="NNG1371" s="110"/>
      <c r="NNH1371" s="110"/>
      <c r="NNI1371" s="110"/>
      <c r="NNJ1371" s="110"/>
      <c r="NNK1371" s="110"/>
      <c r="NNL1371" s="110"/>
      <c r="NNM1371" s="110"/>
      <c r="NNN1371" s="110"/>
      <c r="NNO1371" s="110"/>
      <c r="NNP1371" s="110"/>
      <c r="NNQ1371" s="110"/>
      <c r="NNR1371" s="110"/>
      <c r="NNS1371" s="110"/>
      <c r="NNT1371" s="110"/>
      <c r="NNU1371" s="110"/>
      <c r="NNV1371" s="110"/>
      <c r="NNW1371" s="110"/>
      <c r="NNX1371" s="110"/>
      <c r="NNY1371" s="110"/>
      <c r="NNZ1371" s="110"/>
      <c r="NOA1371" s="110"/>
      <c r="NOB1371" s="110"/>
      <c r="NOC1371" s="110"/>
      <c r="NOD1371" s="110"/>
      <c r="NOE1371" s="110"/>
      <c r="NOF1371" s="110"/>
      <c r="NOG1371" s="110"/>
      <c r="NOH1371" s="110"/>
      <c r="NOI1371" s="110"/>
      <c r="NOJ1371" s="110"/>
      <c r="NOK1371" s="110"/>
      <c r="NOL1371" s="110"/>
      <c r="NOM1371" s="110"/>
      <c r="NON1371" s="110"/>
      <c r="NOO1371" s="110"/>
      <c r="NOP1371" s="110"/>
      <c r="NOQ1371" s="110"/>
      <c r="NOR1371" s="110"/>
      <c r="NOS1371" s="110"/>
      <c r="NOT1371" s="110"/>
      <c r="NOU1371" s="110"/>
      <c r="NOV1371" s="110"/>
      <c r="NOW1371" s="110"/>
      <c r="NOX1371" s="110"/>
      <c r="NOY1371" s="110"/>
      <c r="NOZ1371" s="110"/>
      <c r="NPA1371" s="110"/>
      <c r="NPB1371" s="110"/>
      <c r="NPC1371" s="110"/>
      <c r="NPD1371" s="110"/>
      <c r="NPE1371" s="110"/>
      <c r="NPF1371" s="110"/>
      <c r="NPG1371" s="110"/>
      <c r="NPH1371" s="110"/>
      <c r="NPI1371" s="110"/>
      <c r="NPJ1371" s="110"/>
      <c r="NPK1371" s="110"/>
      <c r="NPL1371" s="110"/>
      <c r="NPM1371" s="110"/>
      <c r="NPN1371" s="110"/>
      <c r="NPO1371" s="110"/>
      <c r="NPP1371" s="110"/>
      <c r="NPQ1371" s="110"/>
      <c r="NPR1371" s="110"/>
      <c r="NPS1371" s="110"/>
      <c r="NPT1371" s="110"/>
      <c r="NPU1371" s="110"/>
      <c r="NPV1371" s="110"/>
      <c r="NPW1371" s="110"/>
      <c r="NPX1371" s="110"/>
      <c r="NPY1371" s="110"/>
      <c r="NPZ1371" s="110"/>
      <c r="NQA1371" s="110"/>
      <c r="NQB1371" s="110"/>
      <c r="NQC1371" s="110"/>
      <c r="NQD1371" s="110"/>
      <c r="NQE1371" s="110"/>
      <c r="NQF1371" s="110"/>
      <c r="NQG1371" s="110"/>
      <c r="NQH1371" s="110"/>
      <c r="NQI1371" s="110"/>
      <c r="NQJ1371" s="110"/>
      <c r="NQK1371" s="110"/>
      <c r="NQL1371" s="110"/>
      <c r="NQM1371" s="110"/>
      <c r="NQN1371" s="110"/>
      <c r="NQO1371" s="110"/>
      <c r="NQP1371" s="110"/>
      <c r="NQQ1371" s="110"/>
      <c r="NQR1371" s="110"/>
      <c r="NQS1371" s="110"/>
      <c r="NQT1371" s="110"/>
      <c r="NQU1371" s="110"/>
      <c r="NQV1371" s="110"/>
      <c r="NQW1371" s="110"/>
      <c r="NQX1371" s="110"/>
      <c r="NQY1371" s="110"/>
      <c r="NQZ1371" s="110"/>
      <c r="NRA1371" s="110"/>
      <c r="NRB1371" s="110"/>
      <c r="NRC1371" s="110"/>
      <c r="NRD1371" s="110"/>
      <c r="NRE1371" s="110"/>
      <c r="NRF1371" s="110"/>
      <c r="NRG1371" s="110"/>
      <c r="NRH1371" s="110"/>
      <c r="NRI1371" s="110"/>
      <c r="NRJ1371" s="110"/>
      <c r="NRK1371" s="110"/>
      <c r="NRL1371" s="110"/>
      <c r="NRM1371" s="110"/>
      <c r="NRN1371" s="110"/>
      <c r="NRO1371" s="110"/>
      <c r="NRP1371" s="110"/>
      <c r="NRQ1371" s="110"/>
      <c r="NRR1371" s="110"/>
      <c r="NRS1371" s="110"/>
      <c r="NRT1371" s="110"/>
      <c r="NRU1371" s="110"/>
      <c r="NRV1371" s="110"/>
      <c r="NRW1371" s="110"/>
      <c r="NRX1371" s="110"/>
      <c r="NRY1371" s="110"/>
      <c r="NRZ1371" s="110"/>
      <c r="NSA1371" s="110"/>
      <c r="NSB1371" s="110"/>
      <c r="NSC1371" s="110"/>
      <c r="NSD1371" s="110"/>
      <c r="NSE1371" s="110"/>
      <c r="NSF1371" s="110"/>
      <c r="NSG1371" s="110"/>
      <c r="NSH1371" s="110"/>
      <c r="NSI1371" s="110"/>
      <c r="NSJ1371" s="110"/>
      <c r="NSK1371" s="110"/>
      <c r="NSL1371" s="110"/>
      <c r="NSM1371" s="110"/>
      <c r="NSN1371" s="110"/>
      <c r="NSO1371" s="110"/>
      <c r="NSP1371" s="110"/>
      <c r="NSQ1371" s="110"/>
      <c r="NSR1371" s="110"/>
      <c r="NSS1371" s="110"/>
      <c r="NST1371" s="110"/>
      <c r="NSU1371" s="110"/>
      <c r="NSV1371" s="110"/>
      <c r="NSW1371" s="110"/>
      <c r="NSX1371" s="110"/>
      <c r="NSY1371" s="110"/>
      <c r="NSZ1371" s="110"/>
      <c r="NTA1371" s="110"/>
      <c r="NTB1371" s="110"/>
      <c r="NTC1371" s="110"/>
      <c r="NTD1371" s="110"/>
      <c r="NTE1371" s="110"/>
      <c r="NTF1371" s="110"/>
      <c r="NTG1371" s="110"/>
      <c r="NTH1371" s="110"/>
      <c r="NTI1371" s="110"/>
      <c r="NTJ1371" s="110"/>
      <c r="NTK1371" s="110"/>
      <c r="NTL1371" s="110"/>
      <c r="NTM1371" s="110"/>
      <c r="NTN1371" s="110"/>
      <c r="NTO1371" s="110"/>
      <c r="NTP1371" s="110"/>
      <c r="NTQ1371" s="110"/>
      <c r="NTR1371" s="110"/>
      <c r="NTS1371" s="110"/>
      <c r="NTT1371" s="110"/>
      <c r="NTU1371" s="110"/>
      <c r="NTV1371" s="110"/>
      <c r="NTW1371" s="110"/>
      <c r="NTX1371" s="110"/>
      <c r="NTY1371" s="110"/>
      <c r="NTZ1371" s="110"/>
      <c r="NUA1371" s="110"/>
      <c r="NUB1371" s="110"/>
      <c r="NUC1371" s="110"/>
      <c r="NUD1371" s="110"/>
      <c r="NUE1371" s="110"/>
      <c r="NUF1371" s="110"/>
      <c r="NUG1371" s="110"/>
      <c r="NUH1371" s="110"/>
      <c r="NUI1371" s="110"/>
      <c r="NUJ1371" s="110"/>
      <c r="NUK1371" s="110"/>
      <c r="NUL1371" s="110"/>
      <c r="NUM1371" s="110"/>
      <c r="NUN1371" s="110"/>
      <c r="NUO1371" s="110"/>
      <c r="NUP1371" s="110"/>
      <c r="NUQ1371" s="110"/>
      <c r="NUR1371" s="110"/>
      <c r="NUS1371" s="110"/>
      <c r="NUT1371" s="110"/>
      <c r="NUU1371" s="110"/>
      <c r="NUV1371" s="110"/>
      <c r="NUW1371" s="110"/>
      <c r="NUX1371" s="110"/>
      <c r="NUY1371" s="110"/>
      <c r="NUZ1371" s="110"/>
      <c r="NVA1371" s="110"/>
      <c r="NVB1371" s="110"/>
      <c r="NVC1371" s="110"/>
      <c r="NVD1371" s="110"/>
      <c r="NVE1371" s="110"/>
      <c r="NVF1371" s="110"/>
      <c r="NVG1371" s="110"/>
      <c r="NVH1371" s="110"/>
      <c r="NVI1371" s="110"/>
      <c r="NVJ1371" s="110"/>
      <c r="NVK1371" s="110"/>
      <c r="NVL1371" s="110"/>
      <c r="NVM1371" s="110"/>
      <c r="NVN1371" s="110"/>
      <c r="NVO1371" s="110"/>
      <c r="NVP1371" s="110"/>
      <c r="NVQ1371" s="110"/>
      <c r="NVR1371" s="110"/>
      <c r="NVS1371" s="110"/>
      <c r="NVT1371" s="110"/>
      <c r="NVU1371" s="110"/>
      <c r="NVV1371" s="110"/>
      <c r="NVW1371" s="110"/>
      <c r="NVX1371" s="110"/>
      <c r="NVY1371" s="110"/>
      <c r="NVZ1371" s="110"/>
      <c r="NWA1371" s="110"/>
      <c r="NWB1371" s="110"/>
      <c r="NWC1371" s="110"/>
      <c r="NWD1371" s="110"/>
      <c r="NWE1371" s="110"/>
      <c r="NWF1371" s="110"/>
      <c r="NWG1371" s="110"/>
      <c r="NWH1371" s="110"/>
      <c r="NWI1371" s="110"/>
      <c r="NWJ1371" s="110"/>
      <c r="NWK1371" s="110"/>
      <c r="NWL1371" s="110"/>
      <c r="NWM1371" s="110"/>
      <c r="NWN1371" s="110"/>
      <c r="NWO1371" s="110"/>
      <c r="NWP1371" s="110"/>
      <c r="NWQ1371" s="110"/>
      <c r="NWR1371" s="110"/>
      <c r="NWS1371" s="110"/>
      <c r="NWT1371" s="110"/>
      <c r="NWU1371" s="110"/>
      <c r="NWV1371" s="110"/>
      <c r="NWW1371" s="110"/>
      <c r="NWX1371" s="110"/>
      <c r="NWY1371" s="110"/>
      <c r="NWZ1371" s="110"/>
      <c r="NXA1371" s="110"/>
      <c r="NXB1371" s="110"/>
      <c r="NXC1371" s="110"/>
      <c r="NXD1371" s="110"/>
      <c r="NXE1371" s="110"/>
      <c r="NXF1371" s="110"/>
      <c r="NXG1371" s="110"/>
      <c r="NXH1371" s="110"/>
      <c r="NXI1371" s="110"/>
      <c r="NXJ1371" s="110"/>
      <c r="NXK1371" s="110"/>
      <c r="NXL1371" s="110"/>
      <c r="NXM1371" s="110"/>
      <c r="NXN1371" s="110"/>
      <c r="NXO1371" s="110"/>
      <c r="NXP1371" s="110"/>
      <c r="NXQ1371" s="110"/>
      <c r="NXR1371" s="110"/>
      <c r="NXS1371" s="110"/>
      <c r="NXT1371" s="110"/>
      <c r="NXU1371" s="110"/>
      <c r="NXV1371" s="110"/>
      <c r="NXW1371" s="110"/>
      <c r="NXX1371" s="110"/>
      <c r="NXY1371" s="110"/>
      <c r="NXZ1371" s="110"/>
      <c r="NYA1371" s="110"/>
      <c r="NYB1371" s="110"/>
      <c r="NYC1371" s="110"/>
      <c r="NYD1371" s="110"/>
      <c r="NYE1371" s="110"/>
      <c r="NYF1371" s="110"/>
      <c r="NYG1371" s="110"/>
      <c r="NYH1371" s="110"/>
      <c r="NYI1371" s="110"/>
      <c r="NYJ1371" s="110"/>
      <c r="NYK1371" s="110"/>
      <c r="NYL1371" s="110"/>
      <c r="NYM1371" s="110"/>
      <c r="NYN1371" s="110"/>
      <c r="NYO1371" s="110"/>
      <c r="NYP1371" s="110"/>
      <c r="NYQ1371" s="110"/>
      <c r="NYR1371" s="110"/>
      <c r="NYS1371" s="110"/>
      <c r="NYT1371" s="110"/>
      <c r="NYU1371" s="110"/>
      <c r="NYV1371" s="110"/>
      <c r="NYW1371" s="110"/>
      <c r="NYX1371" s="110"/>
      <c r="NYY1371" s="110"/>
      <c r="NYZ1371" s="110"/>
      <c r="NZA1371" s="110"/>
      <c r="NZB1371" s="110"/>
      <c r="NZC1371" s="110"/>
      <c r="NZD1371" s="110"/>
      <c r="NZE1371" s="110"/>
      <c r="NZF1371" s="110"/>
      <c r="NZG1371" s="110"/>
      <c r="NZH1371" s="110"/>
      <c r="NZI1371" s="110"/>
      <c r="NZJ1371" s="110"/>
      <c r="NZK1371" s="110"/>
      <c r="NZL1371" s="110"/>
      <c r="NZM1371" s="110"/>
      <c r="NZN1371" s="110"/>
      <c r="NZO1371" s="110"/>
      <c r="NZP1371" s="110"/>
      <c r="NZQ1371" s="110"/>
      <c r="NZR1371" s="110"/>
      <c r="NZS1371" s="110"/>
      <c r="NZT1371" s="110"/>
      <c r="NZU1371" s="110"/>
      <c r="NZV1371" s="110"/>
      <c r="NZW1371" s="110"/>
      <c r="NZX1371" s="110"/>
      <c r="NZY1371" s="110"/>
      <c r="NZZ1371" s="110"/>
      <c r="OAA1371" s="110"/>
      <c r="OAB1371" s="110"/>
      <c r="OAC1371" s="110"/>
      <c r="OAD1371" s="110"/>
      <c r="OAE1371" s="110"/>
      <c r="OAF1371" s="110"/>
      <c r="OAG1371" s="110"/>
      <c r="OAH1371" s="110"/>
      <c r="OAI1371" s="110"/>
      <c r="OAJ1371" s="110"/>
      <c r="OAK1371" s="110"/>
      <c r="OAL1371" s="110"/>
      <c r="OAM1371" s="110"/>
      <c r="OAN1371" s="110"/>
      <c r="OAO1371" s="110"/>
      <c r="OAP1371" s="110"/>
      <c r="OAQ1371" s="110"/>
      <c r="OAR1371" s="110"/>
      <c r="OAS1371" s="110"/>
      <c r="OAT1371" s="110"/>
      <c r="OAU1371" s="110"/>
      <c r="OAV1371" s="110"/>
      <c r="OAW1371" s="110"/>
      <c r="OAX1371" s="110"/>
      <c r="OAY1371" s="110"/>
      <c r="OAZ1371" s="110"/>
      <c r="OBA1371" s="110"/>
      <c r="OBB1371" s="110"/>
      <c r="OBC1371" s="110"/>
      <c r="OBD1371" s="110"/>
      <c r="OBE1371" s="110"/>
      <c r="OBF1371" s="110"/>
      <c r="OBG1371" s="110"/>
      <c r="OBH1371" s="110"/>
      <c r="OBI1371" s="110"/>
      <c r="OBJ1371" s="110"/>
      <c r="OBK1371" s="110"/>
      <c r="OBL1371" s="110"/>
      <c r="OBM1371" s="110"/>
      <c r="OBN1371" s="110"/>
      <c r="OBO1371" s="110"/>
      <c r="OBP1371" s="110"/>
      <c r="OBQ1371" s="110"/>
      <c r="OBR1371" s="110"/>
      <c r="OBS1371" s="110"/>
      <c r="OBT1371" s="110"/>
      <c r="OBU1371" s="110"/>
      <c r="OBV1371" s="110"/>
      <c r="OBW1371" s="110"/>
      <c r="OBX1371" s="110"/>
      <c r="OBY1371" s="110"/>
      <c r="OBZ1371" s="110"/>
      <c r="OCA1371" s="110"/>
      <c r="OCB1371" s="110"/>
      <c r="OCC1371" s="110"/>
      <c r="OCD1371" s="110"/>
      <c r="OCE1371" s="110"/>
      <c r="OCF1371" s="110"/>
      <c r="OCG1371" s="110"/>
      <c r="OCH1371" s="110"/>
      <c r="OCI1371" s="110"/>
      <c r="OCJ1371" s="110"/>
      <c r="OCK1371" s="110"/>
      <c r="OCL1371" s="110"/>
      <c r="OCM1371" s="110"/>
      <c r="OCN1371" s="110"/>
      <c r="OCO1371" s="110"/>
      <c r="OCP1371" s="110"/>
      <c r="OCQ1371" s="110"/>
      <c r="OCR1371" s="110"/>
      <c r="OCS1371" s="110"/>
      <c r="OCT1371" s="110"/>
      <c r="OCU1371" s="110"/>
      <c r="OCV1371" s="110"/>
      <c r="OCW1371" s="110"/>
      <c r="OCX1371" s="110"/>
      <c r="OCY1371" s="110"/>
      <c r="OCZ1371" s="110"/>
      <c r="ODA1371" s="110"/>
      <c r="ODB1371" s="110"/>
      <c r="ODC1371" s="110"/>
      <c r="ODD1371" s="110"/>
      <c r="ODE1371" s="110"/>
      <c r="ODF1371" s="110"/>
      <c r="ODG1371" s="110"/>
      <c r="ODH1371" s="110"/>
      <c r="ODI1371" s="110"/>
      <c r="ODJ1371" s="110"/>
      <c r="ODK1371" s="110"/>
      <c r="ODL1371" s="110"/>
      <c r="ODM1371" s="110"/>
      <c r="ODN1371" s="110"/>
      <c r="ODO1371" s="110"/>
      <c r="ODP1371" s="110"/>
      <c r="ODQ1371" s="110"/>
      <c r="ODR1371" s="110"/>
      <c r="ODS1371" s="110"/>
      <c r="ODT1371" s="110"/>
      <c r="ODU1371" s="110"/>
      <c r="ODV1371" s="110"/>
      <c r="ODW1371" s="110"/>
      <c r="ODX1371" s="110"/>
      <c r="ODY1371" s="110"/>
      <c r="ODZ1371" s="110"/>
      <c r="OEA1371" s="110"/>
      <c r="OEB1371" s="110"/>
      <c r="OEC1371" s="110"/>
      <c r="OED1371" s="110"/>
      <c r="OEE1371" s="110"/>
      <c r="OEF1371" s="110"/>
      <c r="OEG1371" s="110"/>
      <c r="OEH1371" s="110"/>
      <c r="OEI1371" s="110"/>
      <c r="OEJ1371" s="110"/>
      <c r="OEK1371" s="110"/>
      <c r="OEL1371" s="110"/>
      <c r="OEM1371" s="110"/>
      <c r="OEN1371" s="110"/>
      <c r="OEO1371" s="110"/>
      <c r="OEP1371" s="110"/>
      <c r="OEQ1371" s="110"/>
      <c r="OER1371" s="110"/>
      <c r="OES1371" s="110"/>
      <c r="OET1371" s="110"/>
      <c r="OEU1371" s="110"/>
      <c r="OEV1371" s="110"/>
      <c r="OEW1371" s="110"/>
      <c r="OEX1371" s="110"/>
      <c r="OEY1371" s="110"/>
      <c r="OEZ1371" s="110"/>
      <c r="OFA1371" s="110"/>
      <c r="OFB1371" s="110"/>
      <c r="OFC1371" s="110"/>
      <c r="OFD1371" s="110"/>
      <c r="OFE1371" s="110"/>
      <c r="OFF1371" s="110"/>
      <c r="OFG1371" s="110"/>
      <c r="OFH1371" s="110"/>
      <c r="OFI1371" s="110"/>
      <c r="OFJ1371" s="110"/>
      <c r="OFK1371" s="110"/>
      <c r="OFL1371" s="110"/>
      <c r="OFM1371" s="110"/>
      <c r="OFN1371" s="110"/>
      <c r="OFO1371" s="110"/>
      <c r="OFP1371" s="110"/>
      <c r="OFQ1371" s="110"/>
      <c r="OFR1371" s="110"/>
      <c r="OFS1371" s="110"/>
      <c r="OFT1371" s="110"/>
      <c r="OFU1371" s="110"/>
      <c r="OFV1371" s="110"/>
      <c r="OFW1371" s="110"/>
      <c r="OFX1371" s="110"/>
      <c r="OFY1371" s="110"/>
      <c r="OFZ1371" s="110"/>
      <c r="OGA1371" s="110"/>
      <c r="OGB1371" s="110"/>
      <c r="OGC1371" s="110"/>
      <c r="OGD1371" s="110"/>
      <c r="OGE1371" s="110"/>
      <c r="OGF1371" s="110"/>
      <c r="OGG1371" s="110"/>
      <c r="OGH1371" s="110"/>
      <c r="OGI1371" s="110"/>
      <c r="OGJ1371" s="110"/>
      <c r="OGK1371" s="110"/>
      <c r="OGL1371" s="110"/>
      <c r="OGM1371" s="110"/>
      <c r="OGN1371" s="110"/>
      <c r="OGO1371" s="110"/>
      <c r="OGP1371" s="110"/>
      <c r="OGQ1371" s="110"/>
      <c r="OGR1371" s="110"/>
      <c r="OGS1371" s="110"/>
      <c r="OGT1371" s="110"/>
      <c r="OGU1371" s="110"/>
      <c r="OGV1371" s="110"/>
      <c r="OGW1371" s="110"/>
      <c r="OGX1371" s="110"/>
      <c r="OGY1371" s="110"/>
      <c r="OGZ1371" s="110"/>
      <c r="OHA1371" s="110"/>
      <c r="OHB1371" s="110"/>
      <c r="OHC1371" s="110"/>
      <c r="OHD1371" s="110"/>
      <c r="OHE1371" s="110"/>
      <c r="OHF1371" s="110"/>
      <c r="OHG1371" s="110"/>
      <c r="OHH1371" s="110"/>
      <c r="OHI1371" s="110"/>
      <c r="OHJ1371" s="110"/>
      <c r="OHK1371" s="110"/>
      <c r="OHL1371" s="110"/>
      <c r="OHM1371" s="110"/>
      <c r="OHN1371" s="110"/>
      <c r="OHO1371" s="110"/>
      <c r="OHP1371" s="110"/>
      <c r="OHQ1371" s="110"/>
      <c r="OHR1371" s="110"/>
      <c r="OHS1371" s="110"/>
      <c r="OHT1371" s="110"/>
      <c r="OHU1371" s="110"/>
      <c r="OHV1371" s="110"/>
      <c r="OHW1371" s="110"/>
      <c r="OHX1371" s="110"/>
      <c r="OHY1371" s="110"/>
      <c r="OHZ1371" s="110"/>
      <c r="OIA1371" s="110"/>
      <c r="OIB1371" s="110"/>
      <c r="OIC1371" s="110"/>
      <c r="OID1371" s="110"/>
      <c r="OIE1371" s="110"/>
      <c r="OIF1371" s="110"/>
      <c r="OIG1371" s="110"/>
      <c r="OIH1371" s="110"/>
      <c r="OII1371" s="110"/>
      <c r="OIJ1371" s="110"/>
      <c r="OIK1371" s="110"/>
      <c r="OIL1371" s="110"/>
      <c r="OIM1371" s="110"/>
      <c r="OIN1371" s="110"/>
      <c r="OIO1371" s="110"/>
      <c r="OIP1371" s="110"/>
      <c r="OIQ1371" s="110"/>
      <c r="OIR1371" s="110"/>
      <c r="OIS1371" s="110"/>
      <c r="OIT1371" s="110"/>
      <c r="OIU1371" s="110"/>
      <c r="OIV1371" s="110"/>
      <c r="OIW1371" s="110"/>
      <c r="OIX1371" s="110"/>
      <c r="OIY1371" s="110"/>
      <c r="OIZ1371" s="110"/>
      <c r="OJA1371" s="110"/>
      <c r="OJB1371" s="110"/>
      <c r="OJC1371" s="110"/>
      <c r="OJD1371" s="110"/>
      <c r="OJE1371" s="110"/>
      <c r="OJF1371" s="110"/>
      <c r="OJG1371" s="110"/>
      <c r="OJH1371" s="110"/>
      <c r="OJI1371" s="110"/>
      <c r="OJJ1371" s="110"/>
      <c r="OJK1371" s="110"/>
      <c r="OJL1371" s="110"/>
      <c r="OJM1371" s="110"/>
      <c r="OJN1371" s="110"/>
      <c r="OJO1371" s="110"/>
      <c r="OJP1371" s="110"/>
      <c r="OJQ1371" s="110"/>
      <c r="OJR1371" s="110"/>
      <c r="OJS1371" s="110"/>
      <c r="OJT1371" s="110"/>
      <c r="OJU1371" s="110"/>
      <c r="OJV1371" s="110"/>
      <c r="OJW1371" s="110"/>
      <c r="OJX1371" s="110"/>
      <c r="OJY1371" s="110"/>
      <c r="OJZ1371" s="110"/>
      <c r="OKA1371" s="110"/>
      <c r="OKB1371" s="110"/>
      <c r="OKC1371" s="110"/>
      <c r="OKD1371" s="110"/>
      <c r="OKE1371" s="110"/>
      <c r="OKF1371" s="110"/>
      <c r="OKG1371" s="110"/>
      <c r="OKH1371" s="110"/>
      <c r="OKI1371" s="110"/>
      <c r="OKJ1371" s="110"/>
      <c r="OKK1371" s="110"/>
      <c r="OKL1371" s="110"/>
      <c r="OKM1371" s="110"/>
      <c r="OKN1371" s="110"/>
      <c r="OKO1371" s="110"/>
      <c r="OKP1371" s="110"/>
      <c r="OKQ1371" s="110"/>
      <c r="OKR1371" s="110"/>
      <c r="OKS1371" s="110"/>
      <c r="OKT1371" s="110"/>
      <c r="OKU1371" s="110"/>
      <c r="OKV1371" s="110"/>
      <c r="OKW1371" s="110"/>
      <c r="OKX1371" s="110"/>
      <c r="OKY1371" s="110"/>
      <c r="OKZ1371" s="110"/>
      <c r="OLA1371" s="110"/>
      <c r="OLB1371" s="110"/>
      <c r="OLC1371" s="110"/>
      <c r="OLD1371" s="110"/>
      <c r="OLE1371" s="110"/>
      <c r="OLF1371" s="110"/>
      <c r="OLG1371" s="110"/>
      <c r="OLH1371" s="110"/>
      <c r="OLI1371" s="110"/>
      <c r="OLJ1371" s="110"/>
      <c r="OLK1371" s="110"/>
      <c r="OLL1371" s="110"/>
      <c r="OLM1371" s="110"/>
      <c r="OLN1371" s="110"/>
      <c r="OLO1371" s="110"/>
      <c r="OLP1371" s="110"/>
      <c r="OLQ1371" s="110"/>
      <c r="OLR1371" s="110"/>
      <c r="OLS1371" s="110"/>
      <c r="OLT1371" s="110"/>
      <c r="OLU1371" s="110"/>
      <c r="OLV1371" s="110"/>
      <c r="OLW1371" s="110"/>
      <c r="OLX1371" s="110"/>
      <c r="OLY1371" s="110"/>
      <c r="OLZ1371" s="110"/>
      <c r="OMA1371" s="110"/>
      <c r="OMB1371" s="110"/>
      <c r="OMC1371" s="110"/>
      <c r="OMD1371" s="110"/>
      <c r="OME1371" s="110"/>
      <c r="OMF1371" s="110"/>
      <c r="OMG1371" s="110"/>
      <c r="OMH1371" s="110"/>
      <c r="OMI1371" s="110"/>
      <c r="OMJ1371" s="110"/>
      <c r="OMK1371" s="110"/>
      <c r="OML1371" s="110"/>
      <c r="OMM1371" s="110"/>
      <c r="OMN1371" s="110"/>
      <c r="OMO1371" s="110"/>
      <c r="OMP1371" s="110"/>
      <c r="OMQ1371" s="110"/>
      <c r="OMR1371" s="110"/>
      <c r="OMS1371" s="110"/>
      <c r="OMT1371" s="110"/>
      <c r="OMU1371" s="110"/>
      <c r="OMV1371" s="110"/>
      <c r="OMW1371" s="110"/>
      <c r="OMX1371" s="110"/>
      <c r="OMY1371" s="110"/>
      <c r="OMZ1371" s="110"/>
      <c r="ONA1371" s="110"/>
      <c r="ONB1371" s="110"/>
      <c r="ONC1371" s="110"/>
      <c r="OND1371" s="110"/>
      <c r="ONE1371" s="110"/>
      <c r="ONF1371" s="110"/>
      <c r="ONG1371" s="110"/>
      <c r="ONH1371" s="110"/>
      <c r="ONI1371" s="110"/>
      <c r="ONJ1371" s="110"/>
      <c r="ONK1371" s="110"/>
      <c r="ONL1371" s="110"/>
      <c r="ONM1371" s="110"/>
      <c r="ONN1371" s="110"/>
      <c r="ONO1371" s="110"/>
      <c r="ONP1371" s="110"/>
      <c r="ONQ1371" s="110"/>
      <c r="ONR1371" s="110"/>
      <c r="ONS1371" s="110"/>
      <c r="ONT1371" s="110"/>
      <c r="ONU1371" s="110"/>
      <c r="ONV1371" s="110"/>
      <c r="ONW1371" s="110"/>
      <c r="ONX1371" s="110"/>
      <c r="ONY1371" s="110"/>
      <c r="ONZ1371" s="110"/>
      <c r="OOA1371" s="110"/>
      <c r="OOB1371" s="110"/>
      <c r="OOC1371" s="110"/>
      <c r="OOD1371" s="110"/>
      <c r="OOE1371" s="110"/>
      <c r="OOF1371" s="110"/>
      <c r="OOG1371" s="110"/>
      <c r="OOH1371" s="110"/>
      <c r="OOI1371" s="110"/>
      <c r="OOJ1371" s="110"/>
      <c r="OOK1371" s="110"/>
      <c r="OOL1371" s="110"/>
      <c r="OOM1371" s="110"/>
      <c r="OON1371" s="110"/>
      <c r="OOO1371" s="110"/>
      <c r="OOP1371" s="110"/>
      <c r="OOQ1371" s="110"/>
      <c r="OOR1371" s="110"/>
      <c r="OOS1371" s="110"/>
      <c r="OOT1371" s="110"/>
      <c r="OOU1371" s="110"/>
      <c r="OOV1371" s="110"/>
      <c r="OOW1371" s="110"/>
      <c r="OOX1371" s="110"/>
      <c r="OOY1371" s="110"/>
      <c r="OOZ1371" s="110"/>
      <c r="OPA1371" s="110"/>
      <c r="OPB1371" s="110"/>
      <c r="OPC1371" s="110"/>
      <c r="OPD1371" s="110"/>
      <c r="OPE1371" s="110"/>
      <c r="OPF1371" s="110"/>
      <c r="OPG1371" s="110"/>
      <c r="OPH1371" s="110"/>
      <c r="OPI1371" s="110"/>
      <c r="OPJ1371" s="110"/>
      <c r="OPK1371" s="110"/>
      <c r="OPL1371" s="110"/>
      <c r="OPM1371" s="110"/>
      <c r="OPN1371" s="110"/>
      <c r="OPO1371" s="110"/>
      <c r="OPP1371" s="110"/>
      <c r="OPQ1371" s="110"/>
      <c r="OPR1371" s="110"/>
      <c r="OPS1371" s="110"/>
      <c r="OPT1371" s="110"/>
      <c r="OPU1371" s="110"/>
      <c r="OPV1371" s="110"/>
      <c r="OPW1371" s="110"/>
      <c r="OPX1371" s="110"/>
      <c r="OPY1371" s="110"/>
      <c r="OPZ1371" s="110"/>
      <c r="OQA1371" s="110"/>
      <c r="OQB1371" s="110"/>
      <c r="OQC1371" s="110"/>
      <c r="OQD1371" s="110"/>
      <c r="OQE1371" s="110"/>
      <c r="OQF1371" s="110"/>
      <c r="OQG1371" s="110"/>
      <c r="OQH1371" s="110"/>
      <c r="OQI1371" s="110"/>
      <c r="OQJ1371" s="110"/>
      <c r="OQK1371" s="110"/>
      <c r="OQL1371" s="110"/>
      <c r="OQM1371" s="110"/>
      <c r="OQN1371" s="110"/>
      <c r="OQO1371" s="110"/>
      <c r="OQP1371" s="110"/>
      <c r="OQQ1371" s="110"/>
      <c r="OQR1371" s="110"/>
      <c r="OQS1371" s="110"/>
      <c r="OQT1371" s="110"/>
      <c r="OQU1371" s="110"/>
      <c r="OQV1371" s="110"/>
      <c r="OQW1371" s="110"/>
      <c r="OQX1371" s="110"/>
      <c r="OQY1371" s="110"/>
      <c r="OQZ1371" s="110"/>
      <c r="ORA1371" s="110"/>
      <c r="ORB1371" s="110"/>
      <c r="ORC1371" s="110"/>
      <c r="ORD1371" s="110"/>
      <c r="ORE1371" s="110"/>
      <c r="ORF1371" s="110"/>
      <c r="ORG1371" s="110"/>
      <c r="ORH1371" s="110"/>
      <c r="ORI1371" s="110"/>
      <c r="ORJ1371" s="110"/>
      <c r="ORK1371" s="110"/>
      <c r="ORL1371" s="110"/>
      <c r="ORM1371" s="110"/>
      <c r="ORN1371" s="110"/>
      <c r="ORO1371" s="110"/>
      <c r="ORP1371" s="110"/>
      <c r="ORQ1371" s="110"/>
      <c r="ORR1371" s="110"/>
      <c r="ORS1371" s="110"/>
      <c r="ORT1371" s="110"/>
      <c r="ORU1371" s="110"/>
      <c r="ORV1371" s="110"/>
      <c r="ORW1371" s="110"/>
      <c r="ORX1371" s="110"/>
      <c r="ORY1371" s="110"/>
      <c r="ORZ1371" s="110"/>
      <c r="OSA1371" s="110"/>
      <c r="OSB1371" s="110"/>
      <c r="OSC1371" s="110"/>
      <c r="OSD1371" s="110"/>
      <c r="OSE1371" s="110"/>
      <c r="OSF1371" s="110"/>
      <c r="OSG1371" s="110"/>
      <c r="OSH1371" s="110"/>
      <c r="OSI1371" s="110"/>
      <c r="OSJ1371" s="110"/>
      <c r="OSK1371" s="110"/>
      <c r="OSL1371" s="110"/>
      <c r="OSM1371" s="110"/>
      <c r="OSN1371" s="110"/>
      <c r="OSO1371" s="110"/>
      <c r="OSP1371" s="110"/>
      <c r="OSQ1371" s="110"/>
      <c r="OSR1371" s="110"/>
      <c r="OSS1371" s="110"/>
      <c r="OST1371" s="110"/>
      <c r="OSU1371" s="110"/>
      <c r="OSV1371" s="110"/>
      <c r="OSW1371" s="110"/>
      <c r="OSX1371" s="110"/>
      <c r="OSY1371" s="110"/>
      <c r="OSZ1371" s="110"/>
      <c r="OTA1371" s="110"/>
      <c r="OTB1371" s="110"/>
      <c r="OTC1371" s="110"/>
      <c r="OTD1371" s="110"/>
      <c r="OTE1371" s="110"/>
      <c r="OTF1371" s="110"/>
      <c r="OTG1371" s="110"/>
      <c r="OTH1371" s="110"/>
      <c r="OTI1371" s="110"/>
      <c r="OTJ1371" s="110"/>
      <c r="OTK1371" s="110"/>
      <c r="OTL1371" s="110"/>
      <c r="OTM1371" s="110"/>
      <c r="OTN1371" s="110"/>
      <c r="OTO1371" s="110"/>
      <c r="OTP1371" s="110"/>
      <c r="OTQ1371" s="110"/>
      <c r="OTR1371" s="110"/>
      <c r="OTS1371" s="110"/>
      <c r="OTT1371" s="110"/>
      <c r="OTU1371" s="110"/>
      <c r="OTV1371" s="110"/>
      <c r="OTW1371" s="110"/>
      <c r="OTX1371" s="110"/>
      <c r="OTY1371" s="110"/>
      <c r="OTZ1371" s="110"/>
      <c r="OUA1371" s="110"/>
      <c r="OUB1371" s="110"/>
      <c r="OUC1371" s="110"/>
      <c r="OUD1371" s="110"/>
      <c r="OUE1371" s="110"/>
      <c r="OUF1371" s="110"/>
      <c r="OUG1371" s="110"/>
      <c r="OUH1371" s="110"/>
      <c r="OUI1371" s="110"/>
      <c r="OUJ1371" s="110"/>
      <c r="OUK1371" s="110"/>
      <c r="OUL1371" s="110"/>
      <c r="OUM1371" s="110"/>
      <c r="OUN1371" s="110"/>
      <c r="OUO1371" s="110"/>
      <c r="OUP1371" s="110"/>
      <c r="OUQ1371" s="110"/>
      <c r="OUR1371" s="110"/>
      <c r="OUS1371" s="110"/>
      <c r="OUT1371" s="110"/>
      <c r="OUU1371" s="110"/>
      <c r="OUV1371" s="110"/>
      <c r="OUW1371" s="110"/>
      <c r="OUX1371" s="110"/>
      <c r="OUY1371" s="110"/>
      <c r="OUZ1371" s="110"/>
      <c r="OVA1371" s="110"/>
      <c r="OVB1371" s="110"/>
      <c r="OVC1371" s="110"/>
      <c r="OVD1371" s="110"/>
      <c r="OVE1371" s="110"/>
      <c r="OVF1371" s="110"/>
      <c r="OVG1371" s="110"/>
      <c r="OVH1371" s="110"/>
      <c r="OVI1371" s="110"/>
      <c r="OVJ1371" s="110"/>
      <c r="OVK1371" s="110"/>
      <c r="OVL1371" s="110"/>
      <c r="OVM1371" s="110"/>
      <c r="OVN1371" s="110"/>
      <c r="OVO1371" s="110"/>
      <c r="OVP1371" s="110"/>
      <c r="OVQ1371" s="110"/>
      <c r="OVR1371" s="110"/>
      <c r="OVS1371" s="110"/>
      <c r="OVT1371" s="110"/>
      <c r="OVU1371" s="110"/>
      <c r="OVV1371" s="110"/>
      <c r="OVW1371" s="110"/>
      <c r="OVX1371" s="110"/>
      <c r="OVY1371" s="110"/>
      <c r="OVZ1371" s="110"/>
      <c r="OWA1371" s="110"/>
      <c r="OWB1371" s="110"/>
      <c r="OWC1371" s="110"/>
      <c r="OWD1371" s="110"/>
      <c r="OWE1371" s="110"/>
      <c r="OWF1371" s="110"/>
      <c r="OWG1371" s="110"/>
      <c r="OWH1371" s="110"/>
      <c r="OWI1371" s="110"/>
      <c r="OWJ1371" s="110"/>
      <c r="OWK1371" s="110"/>
      <c r="OWL1371" s="110"/>
      <c r="OWM1371" s="110"/>
      <c r="OWN1371" s="110"/>
      <c r="OWO1371" s="110"/>
      <c r="OWP1371" s="110"/>
      <c r="OWQ1371" s="110"/>
      <c r="OWR1371" s="110"/>
      <c r="OWS1371" s="110"/>
      <c r="OWT1371" s="110"/>
      <c r="OWU1371" s="110"/>
      <c r="OWV1371" s="110"/>
      <c r="OWW1371" s="110"/>
      <c r="OWX1371" s="110"/>
      <c r="OWY1371" s="110"/>
      <c r="OWZ1371" s="110"/>
      <c r="OXA1371" s="110"/>
      <c r="OXB1371" s="110"/>
      <c r="OXC1371" s="110"/>
      <c r="OXD1371" s="110"/>
      <c r="OXE1371" s="110"/>
      <c r="OXF1371" s="110"/>
      <c r="OXG1371" s="110"/>
      <c r="OXH1371" s="110"/>
      <c r="OXI1371" s="110"/>
      <c r="OXJ1371" s="110"/>
      <c r="OXK1371" s="110"/>
      <c r="OXL1371" s="110"/>
      <c r="OXM1371" s="110"/>
      <c r="OXN1371" s="110"/>
      <c r="OXO1371" s="110"/>
      <c r="OXP1371" s="110"/>
      <c r="OXQ1371" s="110"/>
      <c r="OXR1371" s="110"/>
      <c r="OXS1371" s="110"/>
      <c r="OXT1371" s="110"/>
      <c r="OXU1371" s="110"/>
      <c r="OXV1371" s="110"/>
      <c r="OXW1371" s="110"/>
      <c r="OXX1371" s="110"/>
      <c r="OXY1371" s="110"/>
      <c r="OXZ1371" s="110"/>
      <c r="OYA1371" s="110"/>
      <c r="OYB1371" s="110"/>
      <c r="OYC1371" s="110"/>
      <c r="OYD1371" s="110"/>
      <c r="OYE1371" s="110"/>
      <c r="OYF1371" s="110"/>
      <c r="OYG1371" s="110"/>
      <c r="OYH1371" s="110"/>
      <c r="OYI1371" s="110"/>
      <c r="OYJ1371" s="110"/>
      <c r="OYK1371" s="110"/>
      <c r="OYL1371" s="110"/>
      <c r="OYM1371" s="110"/>
      <c r="OYN1371" s="110"/>
      <c r="OYO1371" s="110"/>
      <c r="OYP1371" s="110"/>
      <c r="OYQ1371" s="110"/>
      <c r="OYR1371" s="110"/>
      <c r="OYS1371" s="110"/>
      <c r="OYT1371" s="110"/>
      <c r="OYU1371" s="110"/>
      <c r="OYV1371" s="110"/>
      <c r="OYW1371" s="110"/>
      <c r="OYX1371" s="110"/>
      <c r="OYY1371" s="110"/>
      <c r="OYZ1371" s="110"/>
      <c r="OZA1371" s="110"/>
      <c r="OZB1371" s="110"/>
      <c r="OZC1371" s="110"/>
      <c r="OZD1371" s="110"/>
      <c r="OZE1371" s="110"/>
      <c r="OZF1371" s="110"/>
      <c r="OZG1371" s="110"/>
      <c r="OZH1371" s="110"/>
      <c r="OZI1371" s="110"/>
      <c r="OZJ1371" s="110"/>
      <c r="OZK1371" s="110"/>
      <c r="OZL1371" s="110"/>
      <c r="OZM1371" s="110"/>
      <c r="OZN1371" s="110"/>
      <c r="OZO1371" s="110"/>
      <c r="OZP1371" s="110"/>
      <c r="OZQ1371" s="110"/>
      <c r="OZR1371" s="110"/>
      <c r="OZS1371" s="110"/>
      <c r="OZT1371" s="110"/>
      <c r="OZU1371" s="110"/>
      <c r="OZV1371" s="110"/>
      <c r="OZW1371" s="110"/>
      <c r="OZX1371" s="110"/>
      <c r="OZY1371" s="110"/>
      <c r="OZZ1371" s="110"/>
      <c r="PAA1371" s="110"/>
      <c r="PAB1371" s="110"/>
      <c r="PAC1371" s="110"/>
      <c r="PAD1371" s="110"/>
      <c r="PAE1371" s="110"/>
      <c r="PAF1371" s="110"/>
      <c r="PAG1371" s="110"/>
      <c r="PAH1371" s="110"/>
      <c r="PAI1371" s="110"/>
      <c r="PAJ1371" s="110"/>
      <c r="PAK1371" s="110"/>
      <c r="PAL1371" s="110"/>
      <c r="PAM1371" s="110"/>
      <c r="PAN1371" s="110"/>
      <c r="PAO1371" s="110"/>
      <c r="PAP1371" s="110"/>
      <c r="PAQ1371" s="110"/>
      <c r="PAR1371" s="110"/>
      <c r="PAS1371" s="110"/>
      <c r="PAT1371" s="110"/>
      <c r="PAU1371" s="110"/>
      <c r="PAV1371" s="110"/>
      <c r="PAW1371" s="110"/>
      <c r="PAX1371" s="110"/>
      <c r="PAY1371" s="110"/>
      <c r="PAZ1371" s="110"/>
      <c r="PBA1371" s="110"/>
      <c r="PBB1371" s="110"/>
      <c r="PBC1371" s="110"/>
      <c r="PBD1371" s="110"/>
      <c r="PBE1371" s="110"/>
      <c r="PBF1371" s="110"/>
      <c r="PBG1371" s="110"/>
      <c r="PBH1371" s="110"/>
      <c r="PBI1371" s="110"/>
      <c r="PBJ1371" s="110"/>
      <c r="PBK1371" s="110"/>
      <c r="PBL1371" s="110"/>
      <c r="PBM1371" s="110"/>
      <c r="PBN1371" s="110"/>
      <c r="PBO1371" s="110"/>
      <c r="PBP1371" s="110"/>
      <c r="PBQ1371" s="110"/>
      <c r="PBR1371" s="110"/>
      <c r="PBS1371" s="110"/>
      <c r="PBT1371" s="110"/>
      <c r="PBU1371" s="110"/>
      <c r="PBV1371" s="110"/>
      <c r="PBW1371" s="110"/>
      <c r="PBX1371" s="110"/>
      <c r="PBY1371" s="110"/>
      <c r="PBZ1371" s="110"/>
      <c r="PCA1371" s="110"/>
      <c r="PCB1371" s="110"/>
      <c r="PCC1371" s="110"/>
      <c r="PCD1371" s="110"/>
      <c r="PCE1371" s="110"/>
      <c r="PCF1371" s="110"/>
      <c r="PCG1371" s="110"/>
      <c r="PCH1371" s="110"/>
      <c r="PCI1371" s="110"/>
      <c r="PCJ1371" s="110"/>
      <c r="PCK1371" s="110"/>
      <c r="PCL1371" s="110"/>
      <c r="PCM1371" s="110"/>
      <c r="PCN1371" s="110"/>
      <c r="PCO1371" s="110"/>
      <c r="PCP1371" s="110"/>
      <c r="PCQ1371" s="110"/>
      <c r="PCR1371" s="110"/>
      <c r="PCS1371" s="110"/>
      <c r="PCT1371" s="110"/>
      <c r="PCU1371" s="110"/>
      <c r="PCV1371" s="110"/>
      <c r="PCW1371" s="110"/>
      <c r="PCX1371" s="110"/>
      <c r="PCY1371" s="110"/>
      <c r="PCZ1371" s="110"/>
      <c r="PDA1371" s="110"/>
      <c r="PDB1371" s="110"/>
      <c r="PDC1371" s="110"/>
      <c r="PDD1371" s="110"/>
      <c r="PDE1371" s="110"/>
      <c r="PDF1371" s="110"/>
      <c r="PDG1371" s="110"/>
      <c r="PDH1371" s="110"/>
      <c r="PDI1371" s="110"/>
      <c r="PDJ1371" s="110"/>
      <c r="PDK1371" s="110"/>
      <c r="PDL1371" s="110"/>
      <c r="PDM1371" s="110"/>
      <c r="PDN1371" s="110"/>
      <c r="PDO1371" s="110"/>
      <c r="PDP1371" s="110"/>
      <c r="PDQ1371" s="110"/>
      <c r="PDR1371" s="110"/>
      <c r="PDS1371" s="110"/>
      <c r="PDT1371" s="110"/>
      <c r="PDU1371" s="110"/>
      <c r="PDV1371" s="110"/>
      <c r="PDW1371" s="110"/>
      <c r="PDX1371" s="110"/>
      <c r="PDY1371" s="110"/>
      <c r="PDZ1371" s="110"/>
      <c r="PEA1371" s="110"/>
      <c r="PEB1371" s="110"/>
      <c r="PEC1371" s="110"/>
      <c r="PED1371" s="110"/>
      <c r="PEE1371" s="110"/>
      <c r="PEF1371" s="110"/>
      <c r="PEG1371" s="110"/>
      <c r="PEH1371" s="110"/>
      <c r="PEI1371" s="110"/>
      <c r="PEJ1371" s="110"/>
      <c r="PEK1371" s="110"/>
      <c r="PEL1371" s="110"/>
      <c r="PEM1371" s="110"/>
      <c r="PEN1371" s="110"/>
      <c r="PEO1371" s="110"/>
      <c r="PEP1371" s="110"/>
      <c r="PEQ1371" s="110"/>
      <c r="PER1371" s="110"/>
      <c r="PES1371" s="110"/>
      <c r="PET1371" s="110"/>
      <c r="PEU1371" s="110"/>
      <c r="PEV1371" s="110"/>
      <c r="PEW1371" s="110"/>
      <c r="PEX1371" s="110"/>
      <c r="PEY1371" s="110"/>
      <c r="PEZ1371" s="110"/>
      <c r="PFA1371" s="110"/>
      <c r="PFB1371" s="110"/>
      <c r="PFC1371" s="110"/>
      <c r="PFD1371" s="110"/>
      <c r="PFE1371" s="110"/>
      <c r="PFF1371" s="110"/>
      <c r="PFG1371" s="110"/>
      <c r="PFH1371" s="110"/>
      <c r="PFI1371" s="110"/>
      <c r="PFJ1371" s="110"/>
      <c r="PFK1371" s="110"/>
      <c r="PFL1371" s="110"/>
      <c r="PFM1371" s="110"/>
      <c r="PFN1371" s="110"/>
      <c r="PFO1371" s="110"/>
      <c r="PFP1371" s="110"/>
      <c r="PFQ1371" s="110"/>
      <c r="PFR1371" s="110"/>
      <c r="PFS1371" s="110"/>
      <c r="PFT1371" s="110"/>
      <c r="PFU1371" s="110"/>
      <c r="PFV1371" s="110"/>
      <c r="PFW1371" s="110"/>
      <c r="PFX1371" s="110"/>
      <c r="PFY1371" s="110"/>
      <c r="PFZ1371" s="110"/>
      <c r="PGA1371" s="110"/>
      <c r="PGB1371" s="110"/>
      <c r="PGC1371" s="110"/>
      <c r="PGD1371" s="110"/>
      <c r="PGE1371" s="110"/>
      <c r="PGF1371" s="110"/>
      <c r="PGG1371" s="110"/>
      <c r="PGH1371" s="110"/>
      <c r="PGI1371" s="110"/>
      <c r="PGJ1371" s="110"/>
      <c r="PGK1371" s="110"/>
      <c r="PGL1371" s="110"/>
      <c r="PGM1371" s="110"/>
      <c r="PGN1371" s="110"/>
      <c r="PGO1371" s="110"/>
      <c r="PGP1371" s="110"/>
      <c r="PGQ1371" s="110"/>
      <c r="PGR1371" s="110"/>
      <c r="PGS1371" s="110"/>
      <c r="PGT1371" s="110"/>
      <c r="PGU1371" s="110"/>
      <c r="PGV1371" s="110"/>
      <c r="PGW1371" s="110"/>
      <c r="PGX1371" s="110"/>
      <c r="PGY1371" s="110"/>
      <c r="PGZ1371" s="110"/>
      <c r="PHA1371" s="110"/>
      <c r="PHB1371" s="110"/>
      <c r="PHC1371" s="110"/>
      <c r="PHD1371" s="110"/>
      <c r="PHE1371" s="110"/>
      <c r="PHF1371" s="110"/>
      <c r="PHG1371" s="110"/>
      <c r="PHH1371" s="110"/>
      <c r="PHI1371" s="110"/>
      <c r="PHJ1371" s="110"/>
      <c r="PHK1371" s="110"/>
      <c r="PHL1371" s="110"/>
      <c r="PHM1371" s="110"/>
      <c r="PHN1371" s="110"/>
      <c r="PHO1371" s="110"/>
      <c r="PHP1371" s="110"/>
      <c r="PHQ1371" s="110"/>
      <c r="PHR1371" s="110"/>
      <c r="PHS1371" s="110"/>
      <c r="PHT1371" s="110"/>
      <c r="PHU1371" s="110"/>
      <c r="PHV1371" s="110"/>
      <c r="PHW1371" s="110"/>
      <c r="PHX1371" s="110"/>
      <c r="PHY1371" s="110"/>
      <c r="PHZ1371" s="110"/>
      <c r="PIA1371" s="110"/>
      <c r="PIB1371" s="110"/>
      <c r="PIC1371" s="110"/>
      <c r="PID1371" s="110"/>
      <c r="PIE1371" s="110"/>
      <c r="PIF1371" s="110"/>
      <c r="PIG1371" s="110"/>
      <c r="PIH1371" s="110"/>
      <c r="PII1371" s="110"/>
      <c r="PIJ1371" s="110"/>
      <c r="PIK1371" s="110"/>
      <c r="PIL1371" s="110"/>
      <c r="PIM1371" s="110"/>
      <c r="PIN1371" s="110"/>
      <c r="PIO1371" s="110"/>
      <c r="PIP1371" s="110"/>
      <c r="PIQ1371" s="110"/>
      <c r="PIR1371" s="110"/>
      <c r="PIS1371" s="110"/>
      <c r="PIT1371" s="110"/>
      <c r="PIU1371" s="110"/>
      <c r="PIV1371" s="110"/>
      <c r="PIW1371" s="110"/>
      <c r="PIX1371" s="110"/>
      <c r="PIY1371" s="110"/>
      <c r="PIZ1371" s="110"/>
      <c r="PJA1371" s="110"/>
      <c r="PJB1371" s="110"/>
      <c r="PJC1371" s="110"/>
      <c r="PJD1371" s="110"/>
      <c r="PJE1371" s="110"/>
      <c r="PJF1371" s="110"/>
      <c r="PJG1371" s="110"/>
      <c r="PJH1371" s="110"/>
      <c r="PJI1371" s="110"/>
      <c r="PJJ1371" s="110"/>
      <c r="PJK1371" s="110"/>
      <c r="PJL1371" s="110"/>
      <c r="PJM1371" s="110"/>
      <c r="PJN1371" s="110"/>
      <c r="PJO1371" s="110"/>
      <c r="PJP1371" s="110"/>
      <c r="PJQ1371" s="110"/>
      <c r="PJR1371" s="110"/>
      <c r="PJS1371" s="110"/>
      <c r="PJT1371" s="110"/>
      <c r="PJU1371" s="110"/>
      <c r="PJV1371" s="110"/>
      <c r="PJW1371" s="110"/>
      <c r="PJX1371" s="110"/>
      <c r="PJY1371" s="110"/>
      <c r="PJZ1371" s="110"/>
      <c r="PKA1371" s="110"/>
      <c r="PKB1371" s="110"/>
      <c r="PKC1371" s="110"/>
      <c r="PKD1371" s="110"/>
      <c r="PKE1371" s="110"/>
      <c r="PKF1371" s="110"/>
      <c r="PKG1371" s="110"/>
      <c r="PKH1371" s="110"/>
      <c r="PKI1371" s="110"/>
      <c r="PKJ1371" s="110"/>
      <c r="PKK1371" s="110"/>
      <c r="PKL1371" s="110"/>
      <c r="PKM1371" s="110"/>
      <c r="PKN1371" s="110"/>
      <c r="PKO1371" s="110"/>
      <c r="PKP1371" s="110"/>
      <c r="PKQ1371" s="110"/>
      <c r="PKR1371" s="110"/>
      <c r="PKS1371" s="110"/>
      <c r="PKT1371" s="110"/>
      <c r="PKU1371" s="110"/>
      <c r="PKV1371" s="110"/>
      <c r="PKW1371" s="110"/>
      <c r="PKX1371" s="110"/>
      <c r="PKY1371" s="110"/>
      <c r="PKZ1371" s="110"/>
      <c r="PLA1371" s="110"/>
      <c r="PLB1371" s="110"/>
      <c r="PLC1371" s="110"/>
      <c r="PLD1371" s="110"/>
      <c r="PLE1371" s="110"/>
      <c r="PLF1371" s="110"/>
      <c r="PLG1371" s="110"/>
      <c r="PLH1371" s="110"/>
      <c r="PLI1371" s="110"/>
      <c r="PLJ1371" s="110"/>
      <c r="PLK1371" s="110"/>
      <c r="PLL1371" s="110"/>
      <c r="PLM1371" s="110"/>
      <c r="PLN1371" s="110"/>
      <c r="PLO1371" s="110"/>
      <c r="PLP1371" s="110"/>
      <c r="PLQ1371" s="110"/>
      <c r="PLR1371" s="110"/>
      <c r="PLS1371" s="110"/>
      <c r="PLT1371" s="110"/>
      <c r="PLU1371" s="110"/>
      <c r="PLV1371" s="110"/>
      <c r="PLW1371" s="110"/>
      <c r="PLX1371" s="110"/>
      <c r="PLY1371" s="110"/>
      <c r="PLZ1371" s="110"/>
      <c r="PMA1371" s="110"/>
      <c r="PMB1371" s="110"/>
      <c r="PMC1371" s="110"/>
      <c r="PMD1371" s="110"/>
      <c r="PME1371" s="110"/>
      <c r="PMF1371" s="110"/>
      <c r="PMG1371" s="110"/>
      <c r="PMH1371" s="110"/>
      <c r="PMI1371" s="110"/>
      <c r="PMJ1371" s="110"/>
      <c r="PMK1371" s="110"/>
      <c r="PML1371" s="110"/>
      <c r="PMM1371" s="110"/>
      <c r="PMN1371" s="110"/>
      <c r="PMO1371" s="110"/>
      <c r="PMP1371" s="110"/>
      <c r="PMQ1371" s="110"/>
      <c r="PMR1371" s="110"/>
      <c r="PMS1371" s="110"/>
      <c r="PMT1371" s="110"/>
      <c r="PMU1371" s="110"/>
      <c r="PMV1371" s="110"/>
      <c r="PMW1371" s="110"/>
      <c r="PMX1371" s="110"/>
      <c r="PMY1371" s="110"/>
      <c r="PMZ1371" s="110"/>
      <c r="PNA1371" s="110"/>
      <c r="PNB1371" s="110"/>
      <c r="PNC1371" s="110"/>
      <c r="PND1371" s="110"/>
      <c r="PNE1371" s="110"/>
      <c r="PNF1371" s="110"/>
      <c r="PNG1371" s="110"/>
      <c r="PNH1371" s="110"/>
      <c r="PNI1371" s="110"/>
      <c r="PNJ1371" s="110"/>
      <c r="PNK1371" s="110"/>
      <c r="PNL1371" s="110"/>
      <c r="PNM1371" s="110"/>
      <c r="PNN1371" s="110"/>
      <c r="PNO1371" s="110"/>
      <c r="PNP1371" s="110"/>
      <c r="PNQ1371" s="110"/>
      <c r="PNR1371" s="110"/>
      <c r="PNS1371" s="110"/>
      <c r="PNT1371" s="110"/>
      <c r="PNU1371" s="110"/>
      <c r="PNV1371" s="110"/>
      <c r="PNW1371" s="110"/>
      <c r="PNX1371" s="110"/>
      <c r="PNY1371" s="110"/>
      <c r="PNZ1371" s="110"/>
      <c r="POA1371" s="110"/>
      <c r="POB1371" s="110"/>
      <c r="POC1371" s="110"/>
      <c r="POD1371" s="110"/>
      <c r="POE1371" s="110"/>
      <c r="POF1371" s="110"/>
      <c r="POG1371" s="110"/>
      <c r="POH1371" s="110"/>
      <c r="POI1371" s="110"/>
      <c r="POJ1371" s="110"/>
      <c r="POK1371" s="110"/>
      <c r="POL1371" s="110"/>
      <c r="POM1371" s="110"/>
      <c r="PON1371" s="110"/>
      <c r="POO1371" s="110"/>
      <c r="POP1371" s="110"/>
      <c r="POQ1371" s="110"/>
      <c r="POR1371" s="110"/>
      <c r="POS1371" s="110"/>
      <c r="POT1371" s="110"/>
      <c r="POU1371" s="110"/>
      <c r="POV1371" s="110"/>
      <c r="POW1371" s="110"/>
      <c r="POX1371" s="110"/>
      <c r="POY1371" s="110"/>
      <c r="POZ1371" s="110"/>
      <c r="PPA1371" s="110"/>
      <c r="PPB1371" s="110"/>
      <c r="PPC1371" s="110"/>
      <c r="PPD1371" s="110"/>
      <c r="PPE1371" s="110"/>
      <c r="PPF1371" s="110"/>
      <c r="PPG1371" s="110"/>
      <c r="PPH1371" s="110"/>
      <c r="PPI1371" s="110"/>
      <c r="PPJ1371" s="110"/>
      <c r="PPK1371" s="110"/>
      <c r="PPL1371" s="110"/>
      <c r="PPM1371" s="110"/>
      <c r="PPN1371" s="110"/>
      <c r="PPO1371" s="110"/>
      <c r="PPP1371" s="110"/>
      <c r="PPQ1371" s="110"/>
      <c r="PPR1371" s="110"/>
      <c r="PPS1371" s="110"/>
      <c r="PPT1371" s="110"/>
      <c r="PPU1371" s="110"/>
      <c r="PPV1371" s="110"/>
      <c r="PPW1371" s="110"/>
      <c r="PPX1371" s="110"/>
      <c r="PPY1371" s="110"/>
      <c r="PPZ1371" s="110"/>
      <c r="PQA1371" s="110"/>
      <c r="PQB1371" s="110"/>
      <c r="PQC1371" s="110"/>
      <c r="PQD1371" s="110"/>
      <c r="PQE1371" s="110"/>
      <c r="PQF1371" s="110"/>
      <c r="PQG1371" s="110"/>
      <c r="PQH1371" s="110"/>
      <c r="PQI1371" s="110"/>
      <c r="PQJ1371" s="110"/>
      <c r="PQK1371" s="110"/>
      <c r="PQL1371" s="110"/>
      <c r="PQM1371" s="110"/>
      <c r="PQN1371" s="110"/>
      <c r="PQO1371" s="110"/>
      <c r="PQP1371" s="110"/>
      <c r="PQQ1371" s="110"/>
      <c r="PQR1371" s="110"/>
      <c r="PQS1371" s="110"/>
      <c r="PQT1371" s="110"/>
      <c r="PQU1371" s="110"/>
      <c r="PQV1371" s="110"/>
      <c r="PQW1371" s="110"/>
      <c r="PQX1371" s="110"/>
      <c r="PQY1371" s="110"/>
      <c r="PQZ1371" s="110"/>
      <c r="PRA1371" s="110"/>
      <c r="PRB1371" s="110"/>
      <c r="PRC1371" s="110"/>
      <c r="PRD1371" s="110"/>
      <c r="PRE1371" s="110"/>
      <c r="PRF1371" s="110"/>
      <c r="PRG1371" s="110"/>
      <c r="PRH1371" s="110"/>
      <c r="PRI1371" s="110"/>
      <c r="PRJ1371" s="110"/>
      <c r="PRK1371" s="110"/>
      <c r="PRL1371" s="110"/>
      <c r="PRM1371" s="110"/>
      <c r="PRN1371" s="110"/>
      <c r="PRO1371" s="110"/>
      <c r="PRP1371" s="110"/>
      <c r="PRQ1371" s="110"/>
      <c r="PRR1371" s="110"/>
      <c r="PRS1371" s="110"/>
      <c r="PRT1371" s="110"/>
      <c r="PRU1371" s="110"/>
      <c r="PRV1371" s="110"/>
      <c r="PRW1371" s="110"/>
      <c r="PRX1371" s="110"/>
      <c r="PRY1371" s="110"/>
      <c r="PRZ1371" s="110"/>
      <c r="PSA1371" s="110"/>
      <c r="PSB1371" s="110"/>
      <c r="PSC1371" s="110"/>
      <c r="PSD1371" s="110"/>
      <c r="PSE1371" s="110"/>
      <c r="PSF1371" s="110"/>
      <c r="PSG1371" s="110"/>
      <c r="PSH1371" s="110"/>
      <c r="PSI1371" s="110"/>
      <c r="PSJ1371" s="110"/>
      <c r="PSK1371" s="110"/>
      <c r="PSL1371" s="110"/>
      <c r="PSM1371" s="110"/>
      <c r="PSN1371" s="110"/>
      <c r="PSO1371" s="110"/>
      <c r="PSP1371" s="110"/>
      <c r="PSQ1371" s="110"/>
      <c r="PSR1371" s="110"/>
      <c r="PSS1371" s="110"/>
      <c r="PST1371" s="110"/>
      <c r="PSU1371" s="110"/>
      <c r="PSV1371" s="110"/>
      <c r="PSW1371" s="110"/>
      <c r="PSX1371" s="110"/>
      <c r="PSY1371" s="110"/>
      <c r="PSZ1371" s="110"/>
      <c r="PTA1371" s="110"/>
      <c r="PTB1371" s="110"/>
      <c r="PTC1371" s="110"/>
      <c r="PTD1371" s="110"/>
      <c r="PTE1371" s="110"/>
      <c r="PTF1371" s="110"/>
      <c r="PTG1371" s="110"/>
      <c r="PTH1371" s="110"/>
      <c r="PTI1371" s="110"/>
      <c r="PTJ1371" s="110"/>
      <c r="PTK1371" s="110"/>
      <c r="PTL1371" s="110"/>
      <c r="PTM1371" s="110"/>
      <c r="PTN1371" s="110"/>
      <c r="PTO1371" s="110"/>
      <c r="PTP1371" s="110"/>
      <c r="PTQ1371" s="110"/>
      <c r="PTR1371" s="110"/>
      <c r="PTS1371" s="110"/>
      <c r="PTT1371" s="110"/>
      <c r="PTU1371" s="110"/>
      <c r="PTV1371" s="110"/>
      <c r="PTW1371" s="110"/>
      <c r="PTX1371" s="110"/>
      <c r="PTY1371" s="110"/>
      <c r="PTZ1371" s="110"/>
      <c r="PUA1371" s="110"/>
      <c r="PUB1371" s="110"/>
      <c r="PUC1371" s="110"/>
      <c r="PUD1371" s="110"/>
      <c r="PUE1371" s="110"/>
      <c r="PUF1371" s="110"/>
      <c r="PUG1371" s="110"/>
      <c r="PUH1371" s="110"/>
      <c r="PUI1371" s="110"/>
      <c r="PUJ1371" s="110"/>
      <c r="PUK1371" s="110"/>
      <c r="PUL1371" s="110"/>
      <c r="PUM1371" s="110"/>
      <c r="PUN1371" s="110"/>
      <c r="PUO1371" s="110"/>
      <c r="PUP1371" s="110"/>
      <c r="PUQ1371" s="110"/>
      <c r="PUR1371" s="110"/>
      <c r="PUS1371" s="110"/>
      <c r="PUT1371" s="110"/>
      <c r="PUU1371" s="110"/>
      <c r="PUV1371" s="110"/>
      <c r="PUW1371" s="110"/>
      <c r="PUX1371" s="110"/>
      <c r="PUY1371" s="110"/>
      <c r="PUZ1371" s="110"/>
      <c r="PVA1371" s="110"/>
      <c r="PVB1371" s="110"/>
      <c r="PVC1371" s="110"/>
      <c r="PVD1371" s="110"/>
      <c r="PVE1371" s="110"/>
      <c r="PVF1371" s="110"/>
      <c r="PVG1371" s="110"/>
      <c r="PVH1371" s="110"/>
      <c r="PVI1371" s="110"/>
      <c r="PVJ1371" s="110"/>
      <c r="PVK1371" s="110"/>
      <c r="PVL1371" s="110"/>
      <c r="PVM1371" s="110"/>
      <c r="PVN1371" s="110"/>
      <c r="PVO1371" s="110"/>
      <c r="PVP1371" s="110"/>
      <c r="PVQ1371" s="110"/>
      <c r="PVR1371" s="110"/>
      <c r="PVS1371" s="110"/>
      <c r="PVT1371" s="110"/>
      <c r="PVU1371" s="110"/>
      <c r="PVV1371" s="110"/>
      <c r="PVW1371" s="110"/>
      <c r="PVX1371" s="110"/>
      <c r="PVY1371" s="110"/>
      <c r="PVZ1371" s="110"/>
      <c r="PWA1371" s="110"/>
      <c r="PWB1371" s="110"/>
      <c r="PWC1371" s="110"/>
      <c r="PWD1371" s="110"/>
      <c r="PWE1371" s="110"/>
      <c r="PWF1371" s="110"/>
      <c r="PWG1371" s="110"/>
      <c r="PWH1371" s="110"/>
      <c r="PWI1371" s="110"/>
      <c r="PWJ1371" s="110"/>
      <c r="PWK1371" s="110"/>
      <c r="PWL1371" s="110"/>
      <c r="PWM1371" s="110"/>
      <c r="PWN1371" s="110"/>
      <c r="PWO1371" s="110"/>
      <c r="PWP1371" s="110"/>
      <c r="PWQ1371" s="110"/>
      <c r="PWR1371" s="110"/>
      <c r="PWS1371" s="110"/>
      <c r="PWT1371" s="110"/>
      <c r="PWU1371" s="110"/>
      <c r="PWV1371" s="110"/>
      <c r="PWW1371" s="110"/>
      <c r="PWX1371" s="110"/>
      <c r="PWY1371" s="110"/>
      <c r="PWZ1371" s="110"/>
      <c r="PXA1371" s="110"/>
      <c r="PXB1371" s="110"/>
      <c r="PXC1371" s="110"/>
      <c r="PXD1371" s="110"/>
      <c r="PXE1371" s="110"/>
      <c r="PXF1371" s="110"/>
      <c r="PXG1371" s="110"/>
      <c r="PXH1371" s="110"/>
      <c r="PXI1371" s="110"/>
      <c r="PXJ1371" s="110"/>
      <c r="PXK1371" s="110"/>
      <c r="PXL1371" s="110"/>
      <c r="PXM1371" s="110"/>
      <c r="PXN1371" s="110"/>
      <c r="PXO1371" s="110"/>
      <c r="PXP1371" s="110"/>
      <c r="PXQ1371" s="110"/>
      <c r="PXR1371" s="110"/>
      <c r="PXS1371" s="110"/>
      <c r="PXT1371" s="110"/>
      <c r="PXU1371" s="110"/>
      <c r="PXV1371" s="110"/>
      <c r="PXW1371" s="110"/>
      <c r="PXX1371" s="110"/>
      <c r="PXY1371" s="110"/>
      <c r="PXZ1371" s="110"/>
      <c r="PYA1371" s="110"/>
      <c r="PYB1371" s="110"/>
      <c r="PYC1371" s="110"/>
      <c r="PYD1371" s="110"/>
      <c r="PYE1371" s="110"/>
      <c r="PYF1371" s="110"/>
      <c r="PYG1371" s="110"/>
      <c r="PYH1371" s="110"/>
      <c r="PYI1371" s="110"/>
      <c r="PYJ1371" s="110"/>
      <c r="PYK1371" s="110"/>
      <c r="PYL1371" s="110"/>
      <c r="PYM1371" s="110"/>
      <c r="PYN1371" s="110"/>
      <c r="PYO1371" s="110"/>
      <c r="PYP1371" s="110"/>
      <c r="PYQ1371" s="110"/>
      <c r="PYR1371" s="110"/>
      <c r="PYS1371" s="110"/>
      <c r="PYT1371" s="110"/>
      <c r="PYU1371" s="110"/>
      <c r="PYV1371" s="110"/>
      <c r="PYW1371" s="110"/>
      <c r="PYX1371" s="110"/>
      <c r="PYY1371" s="110"/>
      <c r="PYZ1371" s="110"/>
      <c r="PZA1371" s="110"/>
      <c r="PZB1371" s="110"/>
      <c r="PZC1371" s="110"/>
      <c r="PZD1371" s="110"/>
      <c r="PZE1371" s="110"/>
      <c r="PZF1371" s="110"/>
      <c r="PZG1371" s="110"/>
      <c r="PZH1371" s="110"/>
      <c r="PZI1371" s="110"/>
      <c r="PZJ1371" s="110"/>
      <c r="PZK1371" s="110"/>
      <c r="PZL1371" s="110"/>
      <c r="PZM1371" s="110"/>
      <c r="PZN1371" s="110"/>
      <c r="PZO1371" s="110"/>
      <c r="PZP1371" s="110"/>
      <c r="PZQ1371" s="110"/>
      <c r="PZR1371" s="110"/>
      <c r="PZS1371" s="110"/>
      <c r="PZT1371" s="110"/>
      <c r="PZU1371" s="110"/>
      <c r="PZV1371" s="110"/>
      <c r="PZW1371" s="110"/>
      <c r="PZX1371" s="110"/>
      <c r="PZY1371" s="110"/>
      <c r="PZZ1371" s="110"/>
      <c r="QAA1371" s="110"/>
      <c r="QAB1371" s="110"/>
      <c r="QAC1371" s="110"/>
      <c r="QAD1371" s="110"/>
      <c r="QAE1371" s="110"/>
      <c r="QAF1371" s="110"/>
      <c r="QAG1371" s="110"/>
      <c r="QAH1371" s="110"/>
      <c r="QAI1371" s="110"/>
      <c r="QAJ1371" s="110"/>
      <c r="QAK1371" s="110"/>
      <c r="QAL1371" s="110"/>
      <c r="QAM1371" s="110"/>
      <c r="QAN1371" s="110"/>
      <c r="QAO1371" s="110"/>
      <c r="QAP1371" s="110"/>
      <c r="QAQ1371" s="110"/>
      <c r="QAR1371" s="110"/>
      <c r="QAS1371" s="110"/>
      <c r="QAT1371" s="110"/>
      <c r="QAU1371" s="110"/>
      <c r="QAV1371" s="110"/>
      <c r="QAW1371" s="110"/>
      <c r="QAX1371" s="110"/>
      <c r="QAY1371" s="110"/>
      <c r="QAZ1371" s="110"/>
      <c r="QBA1371" s="110"/>
      <c r="QBB1371" s="110"/>
      <c r="QBC1371" s="110"/>
      <c r="QBD1371" s="110"/>
      <c r="QBE1371" s="110"/>
      <c r="QBF1371" s="110"/>
      <c r="QBG1371" s="110"/>
      <c r="QBH1371" s="110"/>
      <c r="QBI1371" s="110"/>
      <c r="QBJ1371" s="110"/>
      <c r="QBK1371" s="110"/>
      <c r="QBL1371" s="110"/>
      <c r="QBM1371" s="110"/>
      <c r="QBN1371" s="110"/>
      <c r="QBO1371" s="110"/>
      <c r="QBP1371" s="110"/>
      <c r="QBQ1371" s="110"/>
      <c r="QBR1371" s="110"/>
      <c r="QBS1371" s="110"/>
      <c r="QBT1371" s="110"/>
      <c r="QBU1371" s="110"/>
      <c r="QBV1371" s="110"/>
      <c r="QBW1371" s="110"/>
      <c r="QBX1371" s="110"/>
      <c r="QBY1371" s="110"/>
      <c r="QBZ1371" s="110"/>
      <c r="QCA1371" s="110"/>
      <c r="QCB1371" s="110"/>
      <c r="QCC1371" s="110"/>
      <c r="QCD1371" s="110"/>
      <c r="QCE1371" s="110"/>
      <c r="QCF1371" s="110"/>
      <c r="QCG1371" s="110"/>
      <c r="QCH1371" s="110"/>
      <c r="QCI1371" s="110"/>
      <c r="QCJ1371" s="110"/>
      <c r="QCK1371" s="110"/>
      <c r="QCL1371" s="110"/>
      <c r="QCM1371" s="110"/>
      <c r="QCN1371" s="110"/>
      <c r="QCO1371" s="110"/>
      <c r="QCP1371" s="110"/>
      <c r="QCQ1371" s="110"/>
      <c r="QCR1371" s="110"/>
      <c r="QCS1371" s="110"/>
      <c r="QCT1371" s="110"/>
      <c r="QCU1371" s="110"/>
      <c r="QCV1371" s="110"/>
      <c r="QCW1371" s="110"/>
      <c r="QCX1371" s="110"/>
      <c r="QCY1371" s="110"/>
      <c r="QCZ1371" s="110"/>
      <c r="QDA1371" s="110"/>
      <c r="QDB1371" s="110"/>
      <c r="QDC1371" s="110"/>
      <c r="QDD1371" s="110"/>
      <c r="QDE1371" s="110"/>
      <c r="QDF1371" s="110"/>
      <c r="QDG1371" s="110"/>
      <c r="QDH1371" s="110"/>
      <c r="QDI1371" s="110"/>
      <c r="QDJ1371" s="110"/>
      <c r="QDK1371" s="110"/>
      <c r="QDL1371" s="110"/>
      <c r="QDM1371" s="110"/>
      <c r="QDN1371" s="110"/>
      <c r="QDO1371" s="110"/>
      <c r="QDP1371" s="110"/>
      <c r="QDQ1371" s="110"/>
      <c r="QDR1371" s="110"/>
      <c r="QDS1371" s="110"/>
      <c r="QDT1371" s="110"/>
      <c r="QDU1371" s="110"/>
      <c r="QDV1371" s="110"/>
      <c r="QDW1371" s="110"/>
      <c r="QDX1371" s="110"/>
      <c r="QDY1371" s="110"/>
      <c r="QDZ1371" s="110"/>
      <c r="QEA1371" s="110"/>
      <c r="QEB1371" s="110"/>
      <c r="QEC1371" s="110"/>
      <c r="QED1371" s="110"/>
      <c r="QEE1371" s="110"/>
      <c r="QEF1371" s="110"/>
      <c r="QEG1371" s="110"/>
      <c r="QEH1371" s="110"/>
      <c r="QEI1371" s="110"/>
      <c r="QEJ1371" s="110"/>
      <c r="QEK1371" s="110"/>
      <c r="QEL1371" s="110"/>
      <c r="QEM1371" s="110"/>
      <c r="QEN1371" s="110"/>
      <c r="QEO1371" s="110"/>
      <c r="QEP1371" s="110"/>
      <c r="QEQ1371" s="110"/>
      <c r="QER1371" s="110"/>
      <c r="QES1371" s="110"/>
      <c r="QET1371" s="110"/>
      <c r="QEU1371" s="110"/>
      <c r="QEV1371" s="110"/>
      <c r="QEW1371" s="110"/>
      <c r="QEX1371" s="110"/>
      <c r="QEY1371" s="110"/>
      <c r="QEZ1371" s="110"/>
      <c r="QFA1371" s="110"/>
      <c r="QFB1371" s="110"/>
      <c r="QFC1371" s="110"/>
      <c r="QFD1371" s="110"/>
      <c r="QFE1371" s="110"/>
      <c r="QFF1371" s="110"/>
      <c r="QFG1371" s="110"/>
      <c r="QFH1371" s="110"/>
      <c r="QFI1371" s="110"/>
      <c r="QFJ1371" s="110"/>
      <c r="QFK1371" s="110"/>
      <c r="QFL1371" s="110"/>
      <c r="QFM1371" s="110"/>
      <c r="QFN1371" s="110"/>
      <c r="QFO1371" s="110"/>
      <c r="QFP1371" s="110"/>
      <c r="QFQ1371" s="110"/>
      <c r="QFR1371" s="110"/>
      <c r="QFS1371" s="110"/>
      <c r="QFT1371" s="110"/>
      <c r="QFU1371" s="110"/>
      <c r="QFV1371" s="110"/>
      <c r="QFW1371" s="110"/>
      <c r="QFX1371" s="110"/>
      <c r="QFY1371" s="110"/>
      <c r="QFZ1371" s="110"/>
      <c r="QGA1371" s="110"/>
      <c r="QGB1371" s="110"/>
      <c r="QGC1371" s="110"/>
      <c r="QGD1371" s="110"/>
      <c r="QGE1371" s="110"/>
      <c r="QGF1371" s="110"/>
      <c r="QGG1371" s="110"/>
      <c r="QGH1371" s="110"/>
      <c r="QGI1371" s="110"/>
      <c r="QGJ1371" s="110"/>
      <c r="QGK1371" s="110"/>
      <c r="QGL1371" s="110"/>
      <c r="QGM1371" s="110"/>
      <c r="QGN1371" s="110"/>
      <c r="QGO1371" s="110"/>
      <c r="QGP1371" s="110"/>
      <c r="QGQ1371" s="110"/>
      <c r="QGR1371" s="110"/>
      <c r="QGS1371" s="110"/>
      <c r="QGT1371" s="110"/>
      <c r="QGU1371" s="110"/>
      <c r="QGV1371" s="110"/>
      <c r="QGW1371" s="110"/>
      <c r="QGX1371" s="110"/>
      <c r="QGY1371" s="110"/>
      <c r="QGZ1371" s="110"/>
      <c r="QHA1371" s="110"/>
      <c r="QHB1371" s="110"/>
      <c r="QHC1371" s="110"/>
      <c r="QHD1371" s="110"/>
      <c r="QHE1371" s="110"/>
      <c r="QHF1371" s="110"/>
      <c r="QHG1371" s="110"/>
      <c r="QHH1371" s="110"/>
      <c r="QHI1371" s="110"/>
      <c r="QHJ1371" s="110"/>
      <c r="QHK1371" s="110"/>
      <c r="QHL1371" s="110"/>
      <c r="QHM1371" s="110"/>
      <c r="QHN1371" s="110"/>
      <c r="QHO1371" s="110"/>
      <c r="QHP1371" s="110"/>
      <c r="QHQ1371" s="110"/>
      <c r="QHR1371" s="110"/>
      <c r="QHS1371" s="110"/>
      <c r="QHT1371" s="110"/>
      <c r="QHU1371" s="110"/>
      <c r="QHV1371" s="110"/>
      <c r="QHW1371" s="110"/>
      <c r="QHX1371" s="110"/>
      <c r="QHY1371" s="110"/>
      <c r="QHZ1371" s="110"/>
      <c r="QIA1371" s="110"/>
      <c r="QIB1371" s="110"/>
      <c r="QIC1371" s="110"/>
      <c r="QID1371" s="110"/>
      <c r="QIE1371" s="110"/>
      <c r="QIF1371" s="110"/>
      <c r="QIG1371" s="110"/>
      <c r="QIH1371" s="110"/>
      <c r="QII1371" s="110"/>
      <c r="QIJ1371" s="110"/>
      <c r="QIK1371" s="110"/>
      <c r="QIL1371" s="110"/>
      <c r="QIM1371" s="110"/>
      <c r="QIN1371" s="110"/>
      <c r="QIO1371" s="110"/>
      <c r="QIP1371" s="110"/>
      <c r="QIQ1371" s="110"/>
      <c r="QIR1371" s="110"/>
      <c r="QIS1371" s="110"/>
      <c r="QIT1371" s="110"/>
      <c r="QIU1371" s="110"/>
      <c r="QIV1371" s="110"/>
      <c r="QIW1371" s="110"/>
      <c r="QIX1371" s="110"/>
      <c r="QIY1371" s="110"/>
      <c r="QIZ1371" s="110"/>
      <c r="QJA1371" s="110"/>
      <c r="QJB1371" s="110"/>
      <c r="QJC1371" s="110"/>
      <c r="QJD1371" s="110"/>
      <c r="QJE1371" s="110"/>
      <c r="QJF1371" s="110"/>
      <c r="QJG1371" s="110"/>
      <c r="QJH1371" s="110"/>
      <c r="QJI1371" s="110"/>
      <c r="QJJ1371" s="110"/>
      <c r="QJK1371" s="110"/>
      <c r="QJL1371" s="110"/>
      <c r="QJM1371" s="110"/>
      <c r="QJN1371" s="110"/>
      <c r="QJO1371" s="110"/>
      <c r="QJP1371" s="110"/>
      <c r="QJQ1371" s="110"/>
      <c r="QJR1371" s="110"/>
      <c r="QJS1371" s="110"/>
      <c r="QJT1371" s="110"/>
      <c r="QJU1371" s="110"/>
      <c r="QJV1371" s="110"/>
      <c r="QJW1371" s="110"/>
      <c r="QJX1371" s="110"/>
      <c r="QJY1371" s="110"/>
      <c r="QJZ1371" s="110"/>
      <c r="QKA1371" s="110"/>
      <c r="QKB1371" s="110"/>
      <c r="QKC1371" s="110"/>
      <c r="QKD1371" s="110"/>
      <c r="QKE1371" s="110"/>
      <c r="QKF1371" s="110"/>
      <c r="QKG1371" s="110"/>
      <c r="QKH1371" s="110"/>
      <c r="QKI1371" s="110"/>
      <c r="QKJ1371" s="110"/>
      <c r="QKK1371" s="110"/>
      <c r="QKL1371" s="110"/>
      <c r="QKM1371" s="110"/>
      <c r="QKN1371" s="110"/>
      <c r="QKO1371" s="110"/>
      <c r="QKP1371" s="110"/>
      <c r="QKQ1371" s="110"/>
      <c r="QKR1371" s="110"/>
      <c r="QKS1371" s="110"/>
      <c r="QKT1371" s="110"/>
      <c r="QKU1371" s="110"/>
      <c r="QKV1371" s="110"/>
      <c r="QKW1371" s="110"/>
      <c r="QKX1371" s="110"/>
      <c r="QKY1371" s="110"/>
      <c r="QKZ1371" s="110"/>
      <c r="QLA1371" s="110"/>
      <c r="QLB1371" s="110"/>
      <c r="QLC1371" s="110"/>
      <c r="QLD1371" s="110"/>
      <c r="QLE1371" s="110"/>
      <c r="QLF1371" s="110"/>
      <c r="QLG1371" s="110"/>
      <c r="QLH1371" s="110"/>
      <c r="QLI1371" s="110"/>
      <c r="QLJ1371" s="110"/>
      <c r="QLK1371" s="110"/>
      <c r="QLL1371" s="110"/>
      <c r="QLM1371" s="110"/>
      <c r="QLN1371" s="110"/>
      <c r="QLO1371" s="110"/>
      <c r="QLP1371" s="110"/>
      <c r="QLQ1371" s="110"/>
      <c r="QLR1371" s="110"/>
      <c r="QLS1371" s="110"/>
      <c r="QLT1371" s="110"/>
      <c r="QLU1371" s="110"/>
      <c r="QLV1371" s="110"/>
      <c r="QLW1371" s="110"/>
      <c r="QLX1371" s="110"/>
      <c r="QLY1371" s="110"/>
      <c r="QLZ1371" s="110"/>
      <c r="QMA1371" s="110"/>
      <c r="QMB1371" s="110"/>
      <c r="QMC1371" s="110"/>
      <c r="QMD1371" s="110"/>
      <c r="QME1371" s="110"/>
      <c r="QMF1371" s="110"/>
      <c r="QMG1371" s="110"/>
      <c r="QMH1371" s="110"/>
      <c r="QMI1371" s="110"/>
      <c r="QMJ1371" s="110"/>
      <c r="QMK1371" s="110"/>
      <c r="QML1371" s="110"/>
      <c r="QMM1371" s="110"/>
      <c r="QMN1371" s="110"/>
      <c r="QMO1371" s="110"/>
      <c r="QMP1371" s="110"/>
      <c r="QMQ1371" s="110"/>
      <c r="QMR1371" s="110"/>
      <c r="QMS1371" s="110"/>
      <c r="QMT1371" s="110"/>
      <c r="QMU1371" s="110"/>
      <c r="QMV1371" s="110"/>
      <c r="QMW1371" s="110"/>
      <c r="QMX1371" s="110"/>
      <c r="QMY1371" s="110"/>
      <c r="QMZ1371" s="110"/>
      <c r="QNA1371" s="110"/>
      <c r="QNB1371" s="110"/>
      <c r="QNC1371" s="110"/>
      <c r="QND1371" s="110"/>
      <c r="QNE1371" s="110"/>
      <c r="QNF1371" s="110"/>
      <c r="QNG1371" s="110"/>
      <c r="QNH1371" s="110"/>
      <c r="QNI1371" s="110"/>
      <c r="QNJ1371" s="110"/>
      <c r="QNK1371" s="110"/>
      <c r="QNL1371" s="110"/>
      <c r="QNM1371" s="110"/>
      <c r="QNN1371" s="110"/>
      <c r="QNO1371" s="110"/>
      <c r="QNP1371" s="110"/>
      <c r="QNQ1371" s="110"/>
      <c r="QNR1371" s="110"/>
      <c r="QNS1371" s="110"/>
      <c r="QNT1371" s="110"/>
      <c r="QNU1371" s="110"/>
      <c r="QNV1371" s="110"/>
      <c r="QNW1371" s="110"/>
      <c r="QNX1371" s="110"/>
      <c r="QNY1371" s="110"/>
      <c r="QNZ1371" s="110"/>
      <c r="QOA1371" s="110"/>
      <c r="QOB1371" s="110"/>
      <c r="QOC1371" s="110"/>
      <c r="QOD1371" s="110"/>
      <c r="QOE1371" s="110"/>
      <c r="QOF1371" s="110"/>
      <c r="QOG1371" s="110"/>
      <c r="QOH1371" s="110"/>
      <c r="QOI1371" s="110"/>
      <c r="QOJ1371" s="110"/>
      <c r="QOK1371" s="110"/>
      <c r="QOL1371" s="110"/>
      <c r="QOM1371" s="110"/>
      <c r="QON1371" s="110"/>
      <c r="QOO1371" s="110"/>
      <c r="QOP1371" s="110"/>
      <c r="QOQ1371" s="110"/>
      <c r="QOR1371" s="110"/>
      <c r="QOS1371" s="110"/>
      <c r="QOT1371" s="110"/>
      <c r="QOU1371" s="110"/>
      <c r="QOV1371" s="110"/>
      <c r="QOW1371" s="110"/>
      <c r="QOX1371" s="110"/>
      <c r="QOY1371" s="110"/>
      <c r="QOZ1371" s="110"/>
      <c r="QPA1371" s="110"/>
      <c r="QPB1371" s="110"/>
      <c r="QPC1371" s="110"/>
      <c r="QPD1371" s="110"/>
      <c r="QPE1371" s="110"/>
      <c r="QPF1371" s="110"/>
      <c r="QPG1371" s="110"/>
      <c r="QPH1371" s="110"/>
      <c r="QPI1371" s="110"/>
      <c r="QPJ1371" s="110"/>
      <c r="QPK1371" s="110"/>
      <c r="QPL1371" s="110"/>
      <c r="QPM1371" s="110"/>
      <c r="QPN1371" s="110"/>
      <c r="QPO1371" s="110"/>
      <c r="QPP1371" s="110"/>
      <c r="QPQ1371" s="110"/>
      <c r="QPR1371" s="110"/>
      <c r="QPS1371" s="110"/>
      <c r="QPT1371" s="110"/>
      <c r="QPU1371" s="110"/>
      <c r="QPV1371" s="110"/>
      <c r="QPW1371" s="110"/>
      <c r="QPX1371" s="110"/>
      <c r="QPY1371" s="110"/>
      <c r="QPZ1371" s="110"/>
      <c r="QQA1371" s="110"/>
      <c r="QQB1371" s="110"/>
      <c r="QQC1371" s="110"/>
      <c r="QQD1371" s="110"/>
      <c r="QQE1371" s="110"/>
      <c r="QQF1371" s="110"/>
      <c r="QQG1371" s="110"/>
      <c r="QQH1371" s="110"/>
      <c r="QQI1371" s="110"/>
      <c r="QQJ1371" s="110"/>
      <c r="QQK1371" s="110"/>
      <c r="QQL1371" s="110"/>
      <c r="QQM1371" s="110"/>
      <c r="QQN1371" s="110"/>
      <c r="QQO1371" s="110"/>
      <c r="QQP1371" s="110"/>
      <c r="QQQ1371" s="110"/>
      <c r="QQR1371" s="110"/>
      <c r="QQS1371" s="110"/>
      <c r="QQT1371" s="110"/>
      <c r="QQU1371" s="110"/>
      <c r="QQV1371" s="110"/>
      <c r="QQW1371" s="110"/>
      <c r="QQX1371" s="110"/>
      <c r="QQY1371" s="110"/>
      <c r="QQZ1371" s="110"/>
      <c r="QRA1371" s="110"/>
      <c r="QRB1371" s="110"/>
      <c r="QRC1371" s="110"/>
      <c r="QRD1371" s="110"/>
      <c r="QRE1371" s="110"/>
      <c r="QRF1371" s="110"/>
      <c r="QRG1371" s="110"/>
      <c r="QRH1371" s="110"/>
      <c r="QRI1371" s="110"/>
      <c r="QRJ1371" s="110"/>
      <c r="QRK1371" s="110"/>
      <c r="QRL1371" s="110"/>
      <c r="QRM1371" s="110"/>
      <c r="QRN1371" s="110"/>
      <c r="QRO1371" s="110"/>
      <c r="QRP1371" s="110"/>
      <c r="QRQ1371" s="110"/>
      <c r="QRR1371" s="110"/>
      <c r="QRS1371" s="110"/>
      <c r="QRT1371" s="110"/>
      <c r="QRU1371" s="110"/>
      <c r="QRV1371" s="110"/>
      <c r="QRW1371" s="110"/>
      <c r="QRX1371" s="110"/>
      <c r="QRY1371" s="110"/>
      <c r="QRZ1371" s="110"/>
      <c r="QSA1371" s="110"/>
      <c r="QSB1371" s="110"/>
      <c r="QSC1371" s="110"/>
      <c r="QSD1371" s="110"/>
      <c r="QSE1371" s="110"/>
      <c r="QSF1371" s="110"/>
      <c r="QSG1371" s="110"/>
      <c r="QSH1371" s="110"/>
      <c r="QSI1371" s="110"/>
      <c r="QSJ1371" s="110"/>
      <c r="QSK1371" s="110"/>
      <c r="QSL1371" s="110"/>
      <c r="QSM1371" s="110"/>
      <c r="QSN1371" s="110"/>
      <c r="QSO1371" s="110"/>
      <c r="QSP1371" s="110"/>
      <c r="QSQ1371" s="110"/>
      <c r="QSR1371" s="110"/>
      <c r="QSS1371" s="110"/>
      <c r="QST1371" s="110"/>
      <c r="QSU1371" s="110"/>
      <c r="QSV1371" s="110"/>
      <c r="QSW1371" s="110"/>
      <c r="QSX1371" s="110"/>
      <c r="QSY1371" s="110"/>
      <c r="QSZ1371" s="110"/>
      <c r="QTA1371" s="110"/>
      <c r="QTB1371" s="110"/>
      <c r="QTC1371" s="110"/>
      <c r="QTD1371" s="110"/>
      <c r="QTE1371" s="110"/>
      <c r="QTF1371" s="110"/>
      <c r="QTG1371" s="110"/>
      <c r="QTH1371" s="110"/>
      <c r="QTI1371" s="110"/>
      <c r="QTJ1371" s="110"/>
      <c r="QTK1371" s="110"/>
      <c r="QTL1371" s="110"/>
      <c r="QTM1371" s="110"/>
      <c r="QTN1371" s="110"/>
      <c r="QTO1371" s="110"/>
      <c r="QTP1371" s="110"/>
      <c r="QTQ1371" s="110"/>
      <c r="QTR1371" s="110"/>
      <c r="QTS1371" s="110"/>
      <c r="QTT1371" s="110"/>
      <c r="QTU1371" s="110"/>
      <c r="QTV1371" s="110"/>
      <c r="QTW1371" s="110"/>
      <c r="QTX1371" s="110"/>
      <c r="QTY1371" s="110"/>
      <c r="QTZ1371" s="110"/>
      <c r="QUA1371" s="110"/>
      <c r="QUB1371" s="110"/>
      <c r="QUC1371" s="110"/>
      <c r="QUD1371" s="110"/>
      <c r="QUE1371" s="110"/>
      <c r="QUF1371" s="110"/>
      <c r="QUG1371" s="110"/>
      <c r="QUH1371" s="110"/>
      <c r="QUI1371" s="110"/>
      <c r="QUJ1371" s="110"/>
      <c r="QUK1371" s="110"/>
      <c r="QUL1371" s="110"/>
      <c r="QUM1371" s="110"/>
      <c r="QUN1371" s="110"/>
      <c r="QUO1371" s="110"/>
      <c r="QUP1371" s="110"/>
      <c r="QUQ1371" s="110"/>
      <c r="QUR1371" s="110"/>
      <c r="QUS1371" s="110"/>
      <c r="QUT1371" s="110"/>
      <c r="QUU1371" s="110"/>
      <c r="QUV1371" s="110"/>
      <c r="QUW1371" s="110"/>
      <c r="QUX1371" s="110"/>
      <c r="QUY1371" s="110"/>
      <c r="QUZ1371" s="110"/>
      <c r="QVA1371" s="110"/>
      <c r="QVB1371" s="110"/>
      <c r="QVC1371" s="110"/>
      <c r="QVD1371" s="110"/>
      <c r="QVE1371" s="110"/>
      <c r="QVF1371" s="110"/>
      <c r="QVG1371" s="110"/>
      <c r="QVH1371" s="110"/>
      <c r="QVI1371" s="110"/>
      <c r="QVJ1371" s="110"/>
      <c r="QVK1371" s="110"/>
      <c r="QVL1371" s="110"/>
      <c r="QVM1371" s="110"/>
      <c r="QVN1371" s="110"/>
      <c r="QVO1371" s="110"/>
      <c r="QVP1371" s="110"/>
      <c r="QVQ1371" s="110"/>
      <c r="QVR1371" s="110"/>
      <c r="QVS1371" s="110"/>
      <c r="QVT1371" s="110"/>
      <c r="QVU1371" s="110"/>
      <c r="QVV1371" s="110"/>
      <c r="QVW1371" s="110"/>
      <c r="QVX1371" s="110"/>
      <c r="QVY1371" s="110"/>
      <c r="QVZ1371" s="110"/>
      <c r="QWA1371" s="110"/>
      <c r="QWB1371" s="110"/>
      <c r="QWC1371" s="110"/>
      <c r="QWD1371" s="110"/>
      <c r="QWE1371" s="110"/>
      <c r="QWF1371" s="110"/>
      <c r="QWG1371" s="110"/>
      <c r="QWH1371" s="110"/>
      <c r="QWI1371" s="110"/>
      <c r="QWJ1371" s="110"/>
      <c r="QWK1371" s="110"/>
      <c r="QWL1371" s="110"/>
      <c r="QWM1371" s="110"/>
      <c r="QWN1371" s="110"/>
      <c r="QWO1371" s="110"/>
      <c r="QWP1371" s="110"/>
      <c r="QWQ1371" s="110"/>
      <c r="QWR1371" s="110"/>
      <c r="QWS1371" s="110"/>
      <c r="QWT1371" s="110"/>
      <c r="QWU1371" s="110"/>
      <c r="QWV1371" s="110"/>
      <c r="QWW1371" s="110"/>
      <c r="QWX1371" s="110"/>
      <c r="QWY1371" s="110"/>
      <c r="QWZ1371" s="110"/>
      <c r="QXA1371" s="110"/>
      <c r="QXB1371" s="110"/>
      <c r="QXC1371" s="110"/>
      <c r="QXD1371" s="110"/>
      <c r="QXE1371" s="110"/>
      <c r="QXF1371" s="110"/>
      <c r="QXG1371" s="110"/>
      <c r="QXH1371" s="110"/>
      <c r="QXI1371" s="110"/>
      <c r="QXJ1371" s="110"/>
      <c r="QXK1371" s="110"/>
      <c r="QXL1371" s="110"/>
      <c r="QXM1371" s="110"/>
      <c r="QXN1371" s="110"/>
      <c r="QXO1371" s="110"/>
      <c r="QXP1371" s="110"/>
      <c r="QXQ1371" s="110"/>
      <c r="QXR1371" s="110"/>
      <c r="QXS1371" s="110"/>
      <c r="QXT1371" s="110"/>
      <c r="QXU1371" s="110"/>
      <c r="QXV1371" s="110"/>
      <c r="QXW1371" s="110"/>
      <c r="QXX1371" s="110"/>
      <c r="QXY1371" s="110"/>
      <c r="QXZ1371" s="110"/>
      <c r="QYA1371" s="110"/>
      <c r="QYB1371" s="110"/>
      <c r="QYC1371" s="110"/>
      <c r="QYD1371" s="110"/>
      <c r="QYE1371" s="110"/>
      <c r="QYF1371" s="110"/>
      <c r="QYG1371" s="110"/>
      <c r="QYH1371" s="110"/>
      <c r="QYI1371" s="110"/>
      <c r="QYJ1371" s="110"/>
      <c r="QYK1371" s="110"/>
      <c r="QYL1371" s="110"/>
      <c r="QYM1371" s="110"/>
      <c r="QYN1371" s="110"/>
      <c r="QYO1371" s="110"/>
      <c r="QYP1371" s="110"/>
      <c r="QYQ1371" s="110"/>
      <c r="QYR1371" s="110"/>
      <c r="QYS1371" s="110"/>
      <c r="QYT1371" s="110"/>
      <c r="QYU1371" s="110"/>
      <c r="QYV1371" s="110"/>
      <c r="QYW1371" s="110"/>
      <c r="QYX1371" s="110"/>
      <c r="QYY1371" s="110"/>
      <c r="QYZ1371" s="110"/>
      <c r="QZA1371" s="110"/>
      <c r="QZB1371" s="110"/>
      <c r="QZC1371" s="110"/>
      <c r="QZD1371" s="110"/>
      <c r="QZE1371" s="110"/>
      <c r="QZF1371" s="110"/>
      <c r="QZG1371" s="110"/>
      <c r="QZH1371" s="110"/>
      <c r="QZI1371" s="110"/>
      <c r="QZJ1371" s="110"/>
      <c r="QZK1371" s="110"/>
      <c r="QZL1371" s="110"/>
      <c r="QZM1371" s="110"/>
      <c r="QZN1371" s="110"/>
      <c r="QZO1371" s="110"/>
      <c r="QZP1371" s="110"/>
      <c r="QZQ1371" s="110"/>
      <c r="QZR1371" s="110"/>
      <c r="QZS1371" s="110"/>
      <c r="QZT1371" s="110"/>
      <c r="QZU1371" s="110"/>
      <c r="QZV1371" s="110"/>
      <c r="QZW1371" s="110"/>
      <c r="QZX1371" s="110"/>
      <c r="QZY1371" s="110"/>
      <c r="QZZ1371" s="110"/>
      <c r="RAA1371" s="110"/>
      <c r="RAB1371" s="110"/>
      <c r="RAC1371" s="110"/>
      <c r="RAD1371" s="110"/>
      <c r="RAE1371" s="110"/>
      <c r="RAF1371" s="110"/>
      <c r="RAG1371" s="110"/>
      <c r="RAH1371" s="110"/>
      <c r="RAI1371" s="110"/>
      <c r="RAJ1371" s="110"/>
      <c r="RAK1371" s="110"/>
      <c r="RAL1371" s="110"/>
      <c r="RAM1371" s="110"/>
      <c r="RAN1371" s="110"/>
      <c r="RAO1371" s="110"/>
      <c r="RAP1371" s="110"/>
      <c r="RAQ1371" s="110"/>
      <c r="RAR1371" s="110"/>
      <c r="RAS1371" s="110"/>
      <c r="RAT1371" s="110"/>
      <c r="RAU1371" s="110"/>
      <c r="RAV1371" s="110"/>
      <c r="RAW1371" s="110"/>
      <c r="RAX1371" s="110"/>
      <c r="RAY1371" s="110"/>
      <c r="RAZ1371" s="110"/>
      <c r="RBA1371" s="110"/>
      <c r="RBB1371" s="110"/>
      <c r="RBC1371" s="110"/>
      <c r="RBD1371" s="110"/>
      <c r="RBE1371" s="110"/>
      <c r="RBF1371" s="110"/>
      <c r="RBG1371" s="110"/>
      <c r="RBH1371" s="110"/>
      <c r="RBI1371" s="110"/>
      <c r="RBJ1371" s="110"/>
      <c r="RBK1371" s="110"/>
      <c r="RBL1371" s="110"/>
      <c r="RBM1371" s="110"/>
      <c r="RBN1371" s="110"/>
      <c r="RBO1371" s="110"/>
      <c r="RBP1371" s="110"/>
      <c r="RBQ1371" s="110"/>
      <c r="RBR1371" s="110"/>
      <c r="RBS1371" s="110"/>
      <c r="RBT1371" s="110"/>
      <c r="RBU1371" s="110"/>
      <c r="RBV1371" s="110"/>
      <c r="RBW1371" s="110"/>
      <c r="RBX1371" s="110"/>
      <c r="RBY1371" s="110"/>
      <c r="RBZ1371" s="110"/>
      <c r="RCA1371" s="110"/>
      <c r="RCB1371" s="110"/>
      <c r="RCC1371" s="110"/>
      <c r="RCD1371" s="110"/>
      <c r="RCE1371" s="110"/>
      <c r="RCF1371" s="110"/>
      <c r="RCG1371" s="110"/>
      <c r="RCH1371" s="110"/>
      <c r="RCI1371" s="110"/>
      <c r="RCJ1371" s="110"/>
      <c r="RCK1371" s="110"/>
      <c r="RCL1371" s="110"/>
      <c r="RCM1371" s="110"/>
      <c r="RCN1371" s="110"/>
      <c r="RCO1371" s="110"/>
      <c r="RCP1371" s="110"/>
      <c r="RCQ1371" s="110"/>
      <c r="RCR1371" s="110"/>
      <c r="RCS1371" s="110"/>
      <c r="RCT1371" s="110"/>
      <c r="RCU1371" s="110"/>
      <c r="RCV1371" s="110"/>
      <c r="RCW1371" s="110"/>
      <c r="RCX1371" s="110"/>
      <c r="RCY1371" s="110"/>
      <c r="RCZ1371" s="110"/>
      <c r="RDA1371" s="110"/>
      <c r="RDB1371" s="110"/>
      <c r="RDC1371" s="110"/>
      <c r="RDD1371" s="110"/>
      <c r="RDE1371" s="110"/>
      <c r="RDF1371" s="110"/>
      <c r="RDG1371" s="110"/>
      <c r="RDH1371" s="110"/>
      <c r="RDI1371" s="110"/>
      <c r="RDJ1371" s="110"/>
      <c r="RDK1371" s="110"/>
      <c r="RDL1371" s="110"/>
      <c r="RDM1371" s="110"/>
      <c r="RDN1371" s="110"/>
      <c r="RDO1371" s="110"/>
      <c r="RDP1371" s="110"/>
      <c r="RDQ1371" s="110"/>
      <c r="RDR1371" s="110"/>
      <c r="RDS1371" s="110"/>
      <c r="RDT1371" s="110"/>
      <c r="RDU1371" s="110"/>
      <c r="RDV1371" s="110"/>
      <c r="RDW1371" s="110"/>
      <c r="RDX1371" s="110"/>
      <c r="RDY1371" s="110"/>
      <c r="RDZ1371" s="110"/>
      <c r="REA1371" s="110"/>
      <c r="REB1371" s="110"/>
      <c r="REC1371" s="110"/>
      <c r="RED1371" s="110"/>
      <c r="REE1371" s="110"/>
      <c r="REF1371" s="110"/>
      <c r="REG1371" s="110"/>
      <c r="REH1371" s="110"/>
      <c r="REI1371" s="110"/>
      <c r="REJ1371" s="110"/>
      <c r="REK1371" s="110"/>
      <c r="REL1371" s="110"/>
      <c r="REM1371" s="110"/>
      <c r="REN1371" s="110"/>
      <c r="REO1371" s="110"/>
      <c r="REP1371" s="110"/>
      <c r="REQ1371" s="110"/>
      <c r="RER1371" s="110"/>
      <c r="RES1371" s="110"/>
      <c r="RET1371" s="110"/>
      <c r="REU1371" s="110"/>
      <c r="REV1371" s="110"/>
      <c r="REW1371" s="110"/>
      <c r="REX1371" s="110"/>
      <c r="REY1371" s="110"/>
      <c r="REZ1371" s="110"/>
      <c r="RFA1371" s="110"/>
      <c r="RFB1371" s="110"/>
      <c r="RFC1371" s="110"/>
      <c r="RFD1371" s="110"/>
      <c r="RFE1371" s="110"/>
      <c r="RFF1371" s="110"/>
      <c r="RFG1371" s="110"/>
      <c r="RFH1371" s="110"/>
      <c r="RFI1371" s="110"/>
      <c r="RFJ1371" s="110"/>
      <c r="RFK1371" s="110"/>
      <c r="RFL1371" s="110"/>
      <c r="RFM1371" s="110"/>
      <c r="RFN1371" s="110"/>
      <c r="RFO1371" s="110"/>
      <c r="RFP1371" s="110"/>
      <c r="RFQ1371" s="110"/>
      <c r="RFR1371" s="110"/>
      <c r="RFS1371" s="110"/>
      <c r="RFT1371" s="110"/>
      <c r="RFU1371" s="110"/>
      <c r="RFV1371" s="110"/>
      <c r="RFW1371" s="110"/>
      <c r="RFX1371" s="110"/>
      <c r="RFY1371" s="110"/>
      <c r="RFZ1371" s="110"/>
      <c r="RGA1371" s="110"/>
      <c r="RGB1371" s="110"/>
      <c r="RGC1371" s="110"/>
      <c r="RGD1371" s="110"/>
      <c r="RGE1371" s="110"/>
      <c r="RGF1371" s="110"/>
      <c r="RGG1371" s="110"/>
      <c r="RGH1371" s="110"/>
      <c r="RGI1371" s="110"/>
      <c r="RGJ1371" s="110"/>
      <c r="RGK1371" s="110"/>
      <c r="RGL1371" s="110"/>
      <c r="RGM1371" s="110"/>
      <c r="RGN1371" s="110"/>
      <c r="RGO1371" s="110"/>
      <c r="RGP1371" s="110"/>
      <c r="RGQ1371" s="110"/>
      <c r="RGR1371" s="110"/>
      <c r="RGS1371" s="110"/>
      <c r="RGT1371" s="110"/>
      <c r="RGU1371" s="110"/>
      <c r="RGV1371" s="110"/>
      <c r="RGW1371" s="110"/>
      <c r="RGX1371" s="110"/>
      <c r="RGY1371" s="110"/>
      <c r="RGZ1371" s="110"/>
      <c r="RHA1371" s="110"/>
      <c r="RHB1371" s="110"/>
      <c r="RHC1371" s="110"/>
      <c r="RHD1371" s="110"/>
      <c r="RHE1371" s="110"/>
      <c r="RHF1371" s="110"/>
      <c r="RHG1371" s="110"/>
      <c r="RHH1371" s="110"/>
      <c r="RHI1371" s="110"/>
      <c r="RHJ1371" s="110"/>
      <c r="RHK1371" s="110"/>
      <c r="RHL1371" s="110"/>
      <c r="RHM1371" s="110"/>
      <c r="RHN1371" s="110"/>
      <c r="RHO1371" s="110"/>
      <c r="RHP1371" s="110"/>
      <c r="RHQ1371" s="110"/>
      <c r="RHR1371" s="110"/>
      <c r="RHS1371" s="110"/>
      <c r="RHT1371" s="110"/>
      <c r="RHU1371" s="110"/>
      <c r="RHV1371" s="110"/>
      <c r="RHW1371" s="110"/>
      <c r="RHX1371" s="110"/>
      <c r="RHY1371" s="110"/>
      <c r="RHZ1371" s="110"/>
      <c r="RIA1371" s="110"/>
      <c r="RIB1371" s="110"/>
      <c r="RIC1371" s="110"/>
      <c r="RID1371" s="110"/>
      <c r="RIE1371" s="110"/>
      <c r="RIF1371" s="110"/>
      <c r="RIG1371" s="110"/>
      <c r="RIH1371" s="110"/>
      <c r="RII1371" s="110"/>
      <c r="RIJ1371" s="110"/>
      <c r="RIK1371" s="110"/>
      <c r="RIL1371" s="110"/>
      <c r="RIM1371" s="110"/>
      <c r="RIN1371" s="110"/>
      <c r="RIO1371" s="110"/>
      <c r="RIP1371" s="110"/>
      <c r="RIQ1371" s="110"/>
      <c r="RIR1371" s="110"/>
      <c r="RIS1371" s="110"/>
      <c r="RIT1371" s="110"/>
      <c r="RIU1371" s="110"/>
      <c r="RIV1371" s="110"/>
      <c r="RIW1371" s="110"/>
      <c r="RIX1371" s="110"/>
      <c r="RIY1371" s="110"/>
      <c r="RIZ1371" s="110"/>
      <c r="RJA1371" s="110"/>
      <c r="RJB1371" s="110"/>
      <c r="RJC1371" s="110"/>
      <c r="RJD1371" s="110"/>
      <c r="RJE1371" s="110"/>
      <c r="RJF1371" s="110"/>
      <c r="RJG1371" s="110"/>
      <c r="RJH1371" s="110"/>
      <c r="RJI1371" s="110"/>
      <c r="RJJ1371" s="110"/>
      <c r="RJK1371" s="110"/>
      <c r="RJL1371" s="110"/>
      <c r="RJM1371" s="110"/>
      <c r="RJN1371" s="110"/>
      <c r="RJO1371" s="110"/>
      <c r="RJP1371" s="110"/>
      <c r="RJQ1371" s="110"/>
      <c r="RJR1371" s="110"/>
      <c r="RJS1371" s="110"/>
      <c r="RJT1371" s="110"/>
      <c r="RJU1371" s="110"/>
      <c r="RJV1371" s="110"/>
      <c r="RJW1371" s="110"/>
      <c r="RJX1371" s="110"/>
      <c r="RJY1371" s="110"/>
      <c r="RJZ1371" s="110"/>
      <c r="RKA1371" s="110"/>
      <c r="RKB1371" s="110"/>
      <c r="RKC1371" s="110"/>
      <c r="RKD1371" s="110"/>
      <c r="RKE1371" s="110"/>
      <c r="RKF1371" s="110"/>
      <c r="RKG1371" s="110"/>
      <c r="RKH1371" s="110"/>
      <c r="RKI1371" s="110"/>
      <c r="RKJ1371" s="110"/>
      <c r="RKK1371" s="110"/>
      <c r="RKL1371" s="110"/>
      <c r="RKM1371" s="110"/>
      <c r="RKN1371" s="110"/>
      <c r="RKO1371" s="110"/>
      <c r="RKP1371" s="110"/>
      <c r="RKQ1371" s="110"/>
      <c r="RKR1371" s="110"/>
      <c r="RKS1371" s="110"/>
      <c r="RKT1371" s="110"/>
      <c r="RKU1371" s="110"/>
      <c r="RKV1371" s="110"/>
      <c r="RKW1371" s="110"/>
      <c r="RKX1371" s="110"/>
      <c r="RKY1371" s="110"/>
      <c r="RKZ1371" s="110"/>
      <c r="RLA1371" s="110"/>
      <c r="RLB1371" s="110"/>
      <c r="RLC1371" s="110"/>
      <c r="RLD1371" s="110"/>
      <c r="RLE1371" s="110"/>
      <c r="RLF1371" s="110"/>
      <c r="RLG1371" s="110"/>
      <c r="RLH1371" s="110"/>
      <c r="RLI1371" s="110"/>
      <c r="RLJ1371" s="110"/>
      <c r="RLK1371" s="110"/>
      <c r="RLL1371" s="110"/>
      <c r="RLM1371" s="110"/>
      <c r="RLN1371" s="110"/>
      <c r="RLO1371" s="110"/>
      <c r="RLP1371" s="110"/>
      <c r="RLQ1371" s="110"/>
      <c r="RLR1371" s="110"/>
      <c r="RLS1371" s="110"/>
      <c r="RLT1371" s="110"/>
      <c r="RLU1371" s="110"/>
      <c r="RLV1371" s="110"/>
      <c r="RLW1371" s="110"/>
      <c r="RLX1371" s="110"/>
      <c r="RLY1371" s="110"/>
      <c r="RLZ1371" s="110"/>
      <c r="RMA1371" s="110"/>
      <c r="RMB1371" s="110"/>
      <c r="RMC1371" s="110"/>
      <c r="RMD1371" s="110"/>
      <c r="RME1371" s="110"/>
      <c r="RMF1371" s="110"/>
      <c r="RMG1371" s="110"/>
      <c r="RMH1371" s="110"/>
      <c r="RMI1371" s="110"/>
      <c r="RMJ1371" s="110"/>
      <c r="RMK1371" s="110"/>
      <c r="RML1371" s="110"/>
      <c r="RMM1371" s="110"/>
      <c r="RMN1371" s="110"/>
      <c r="RMO1371" s="110"/>
      <c r="RMP1371" s="110"/>
      <c r="RMQ1371" s="110"/>
      <c r="RMR1371" s="110"/>
      <c r="RMS1371" s="110"/>
      <c r="RMT1371" s="110"/>
      <c r="RMU1371" s="110"/>
      <c r="RMV1371" s="110"/>
      <c r="RMW1371" s="110"/>
      <c r="RMX1371" s="110"/>
      <c r="RMY1371" s="110"/>
      <c r="RMZ1371" s="110"/>
      <c r="RNA1371" s="110"/>
      <c r="RNB1371" s="110"/>
      <c r="RNC1371" s="110"/>
      <c r="RND1371" s="110"/>
      <c r="RNE1371" s="110"/>
      <c r="RNF1371" s="110"/>
      <c r="RNG1371" s="110"/>
      <c r="RNH1371" s="110"/>
      <c r="RNI1371" s="110"/>
      <c r="RNJ1371" s="110"/>
      <c r="RNK1371" s="110"/>
      <c r="RNL1371" s="110"/>
      <c r="RNM1371" s="110"/>
      <c r="RNN1371" s="110"/>
      <c r="RNO1371" s="110"/>
      <c r="RNP1371" s="110"/>
      <c r="RNQ1371" s="110"/>
      <c r="RNR1371" s="110"/>
      <c r="RNS1371" s="110"/>
      <c r="RNT1371" s="110"/>
      <c r="RNU1371" s="110"/>
      <c r="RNV1371" s="110"/>
      <c r="RNW1371" s="110"/>
      <c r="RNX1371" s="110"/>
      <c r="RNY1371" s="110"/>
      <c r="RNZ1371" s="110"/>
      <c r="ROA1371" s="110"/>
      <c r="ROB1371" s="110"/>
      <c r="ROC1371" s="110"/>
      <c r="ROD1371" s="110"/>
      <c r="ROE1371" s="110"/>
      <c r="ROF1371" s="110"/>
      <c r="ROG1371" s="110"/>
      <c r="ROH1371" s="110"/>
      <c r="ROI1371" s="110"/>
      <c r="ROJ1371" s="110"/>
      <c r="ROK1371" s="110"/>
      <c r="ROL1371" s="110"/>
      <c r="ROM1371" s="110"/>
      <c r="RON1371" s="110"/>
      <c r="ROO1371" s="110"/>
      <c r="ROP1371" s="110"/>
      <c r="ROQ1371" s="110"/>
      <c r="ROR1371" s="110"/>
      <c r="ROS1371" s="110"/>
      <c r="ROT1371" s="110"/>
      <c r="ROU1371" s="110"/>
      <c r="ROV1371" s="110"/>
      <c r="ROW1371" s="110"/>
      <c r="ROX1371" s="110"/>
      <c r="ROY1371" s="110"/>
      <c r="ROZ1371" s="110"/>
      <c r="RPA1371" s="110"/>
      <c r="RPB1371" s="110"/>
      <c r="RPC1371" s="110"/>
      <c r="RPD1371" s="110"/>
      <c r="RPE1371" s="110"/>
      <c r="RPF1371" s="110"/>
      <c r="RPG1371" s="110"/>
      <c r="RPH1371" s="110"/>
      <c r="RPI1371" s="110"/>
      <c r="RPJ1371" s="110"/>
      <c r="RPK1371" s="110"/>
      <c r="RPL1371" s="110"/>
      <c r="RPM1371" s="110"/>
      <c r="RPN1371" s="110"/>
      <c r="RPO1371" s="110"/>
      <c r="RPP1371" s="110"/>
      <c r="RPQ1371" s="110"/>
      <c r="RPR1371" s="110"/>
      <c r="RPS1371" s="110"/>
      <c r="RPT1371" s="110"/>
      <c r="RPU1371" s="110"/>
      <c r="RPV1371" s="110"/>
      <c r="RPW1371" s="110"/>
      <c r="RPX1371" s="110"/>
      <c r="RPY1371" s="110"/>
      <c r="RPZ1371" s="110"/>
      <c r="RQA1371" s="110"/>
      <c r="RQB1371" s="110"/>
      <c r="RQC1371" s="110"/>
      <c r="RQD1371" s="110"/>
      <c r="RQE1371" s="110"/>
      <c r="RQF1371" s="110"/>
      <c r="RQG1371" s="110"/>
      <c r="RQH1371" s="110"/>
      <c r="RQI1371" s="110"/>
      <c r="RQJ1371" s="110"/>
      <c r="RQK1371" s="110"/>
      <c r="RQL1371" s="110"/>
      <c r="RQM1371" s="110"/>
      <c r="RQN1371" s="110"/>
      <c r="RQO1371" s="110"/>
      <c r="RQP1371" s="110"/>
      <c r="RQQ1371" s="110"/>
      <c r="RQR1371" s="110"/>
      <c r="RQS1371" s="110"/>
      <c r="RQT1371" s="110"/>
      <c r="RQU1371" s="110"/>
      <c r="RQV1371" s="110"/>
      <c r="RQW1371" s="110"/>
      <c r="RQX1371" s="110"/>
      <c r="RQY1371" s="110"/>
      <c r="RQZ1371" s="110"/>
      <c r="RRA1371" s="110"/>
      <c r="RRB1371" s="110"/>
      <c r="RRC1371" s="110"/>
      <c r="RRD1371" s="110"/>
      <c r="RRE1371" s="110"/>
      <c r="RRF1371" s="110"/>
      <c r="RRG1371" s="110"/>
      <c r="RRH1371" s="110"/>
      <c r="RRI1371" s="110"/>
      <c r="RRJ1371" s="110"/>
      <c r="RRK1371" s="110"/>
      <c r="RRL1371" s="110"/>
      <c r="RRM1371" s="110"/>
      <c r="RRN1371" s="110"/>
      <c r="RRO1371" s="110"/>
      <c r="RRP1371" s="110"/>
      <c r="RRQ1371" s="110"/>
      <c r="RRR1371" s="110"/>
      <c r="RRS1371" s="110"/>
      <c r="RRT1371" s="110"/>
      <c r="RRU1371" s="110"/>
      <c r="RRV1371" s="110"/>
      <c r="RRW1371" s="110"/>
      <c r="RRX1371" s="110"/>
      <c r="RRY1371" s="110"/>
      <c r="RRZ1371" s="110"/>
      <c r="RSA1371" s="110"/>
      <c r="RSB1371" s="110"/>
      <c r="RSC1371" s="110"/>
      <c r="RSD1371" s="110"/>
      <c r="RSE1371" s="110"/>
      <c r="RSF1371" s="110"/>
      <c r="RSG1371" s="110"/>
      <c r="RSH1371" s="110"/>
      <c r="RSI1371" s="110"/>
      <c r="RSJ1371" s="110"/>
      <c r="RSK1371" s="110"/>
      <c r="RSL1371" s="110"/>
      <c r="RSM1371" s="110"/>
      <c r="RSN1371" s="110"/>
      <c r="RSO1371" s="110"/>
      <c r="RSP1371" s="110"/>
      <c r="RSQ1371" s="110"/>
      <c r="RSR1371" s="110"/>
      <c r="RSS1371" s="110"/>
      <c r="RST1371" s="110"/>
      <c r="RSU1371" s="110"/>
      <c r="RSV1371" s="110"/>
      <c r="RSW1371" s="110"/>
      <c r="RSX1371" s="110"/>
      <c r="RSY1371" s="110"/>
      <c r="RSZ1371" s="110"/>
      <c r="RTA1371" s="110"/>
      <c r="RTB1371" s="110"/>
      <c r="RTC1371" s="110"/>
      <c r="RTD1371" s="110"/>
      <c r="RTE1371" s="110"/>
      <c r="RTF1371" s="110"/>
      <c r="RTG1371" s="110"/>
      <c r="RTH1371" s="110"/>
      <c r="RTI1371" s="110"/>
      <c r="RTJ1371" s="110"/>
      <c r="RTK1371" s="110"/>
      <c r="RTL1371" s="110"/>
      <c r="RTM1371" s="110"/>
      <c r="RTN1371" s="110"/>
      <c r="RTO1371" s="110"/>
      <c r="RTP1371" s="110"/>
      <c r="RTQ1371" s="110"/>
      <c r="RTR1371" s="110"/>
      <c r="RTS1371" s="110"/>
      <c r="RTT1371" s="110"/>
      <c r="RTU1371" s="110"/>
      <c r="RTV1371" s="110"/>
      <c r="RTW1371" s="110"/>
      <c r="RTX1371" s="110"/>
      <c r="RTY1371" s="110"/>
      <c r="RTZ1371" s="110"/>
      <c r="RUA1371" s="110"/>
      <c r="RUB1371" s="110"/>
      <c r="RUC1371" s="110"/>
      <c r="RUD1371" s="110"/>
      <c r="RUE1371" s="110"/>
      <c r="RUF1371" s="110"/>
      <c r="RUG1371" s="110"/>
      <c r="RUH1371" s="110"/>
      <c r="RUI1371" s="110"/>
      <c r="RUJ1371" s="110"/>
      <c r="RUK1371" s="110"/>
      <c r="RUL1371" s="110"/>
      <c r="RUM1371" s="110"/>
      <c r="RUN1371" s="110"/>
      <c r="RUO1371" s="110"/>
      <c r="RUP1371" s="110"/>
      <c r="RUQ1371" s="110"/>
      <c r="RUR1371" s="110"/>
      <c r="RUS1371" s="110"/>
      <c r="RUT1371" s="110"/>
      <c r="RUU1371" s="110"/>
      <c r="RUV1371" s="110"/>
      <c r="RUW1371" s="110"/>
      <c r="RUX1371" s="110"/>
      <c r="RUY1371" s="110"/>
      <c r="RUZ1371" s="110"/>
      <c r="RVA1371" s="110"/>
      <c r="RVB1371" s="110"/>
      <c r="RVC1371" s="110"/>
      <c r="RVD1371" s="110"/>
      <c r="RVE1371" s="110"/>
      <c r="RVF1371" s="110"/>
      <c r="RVG1371" s="110"/>
      <c r="RVH1371" s="110"/>
      <c r="RVI1371" s="110"/>
      <c r="RVJ1371" s="110"/>
      <c r="RVK1371" s="110"/>
      <c r="RVL1371" s="110"/>
      <c r="RVM1371" s="110"/>
      <c r="RVN1371" s="110"/>
      <c r="RVO1371" s="110"/>
      <c r="RVP1371" s="110"/>
      <c r="RVQ1371" s="110"/>
      <c r="RVR1371" s="110"/>
      <c r="RVS1371" s="110"/>
      <c r="RVT1371" s="110"/>
      <c r="RVU1371" s="110"/>
      <c r="RVV1371" s="110"/>
      <c r="RVW1371" s="110"/>
      <c r="RVX1371" s="110"/>
      <c r="RVY1371" s="110"/>
      <c r="RVZ1371" s="110"/>
      <c r="RWA1371" s="110"/>
      <c r="RWB1371" s="110"/>
      <c r="RWC1371" s="110"/>
      <c r="RWD1371" s="110"/>
      <c r="RWE1371" s="110"/>
      <c r="RWF1371" s="110"/>
      <c r="RWG1371" s="110"/>
      <c r="RWH1371" s="110"/>
      <c r="RWI1371" s="110"/>
      <c r="RWJ1371" s="110"/>
      <c r="RWK1371" s="110"/>
      <c r="RWL1371" s="110"/>
      <c r="RWM1371" s="110"/>
      <c r="RWN1371" s="110"/>
      <c r="RWO1371" s="110"/>
      <c r="RWP1371" s="110"/>
      <c r="RWQ1371" s="110"/>
      <c r="RWR1371" s="110"/>
      <c r="RWS1371" s="110"/>
      <c r="RWT1371" s="110"/>
      <c r="RWU1371" s="110"/>
      <c r="RWV1371" s="110"/>
      <c r="RWW1371" s="110"/>
      <c r="RWX1371" s="110"/>
      <c r="RWY1371" s="110"/>
      <c r="RWZ1371" s="110"/>
      <c r="RXA1371" s="110"/>
      <c r="RXB1371" s="110"/>
      <c r="RXC1371" s="110"/>
      <c r="RXD1371" s="110"/>
      <c r="RXE1371" s="110"/>
      <c r="RXF1371" s="110"/>
      <c r="RXG1371" s="110"/>
      <c r="RXH1371" s="110"/>
      <c r="RXI1371" s="110"/>
      <c r="RXJ1371" s="110"/>
      <c r="RXK1371" s="110"/>
      <c r="RXL1371" s="110"/>
      <c r="RXM1371" s="110"/>
      <c r="RXN1371" s="110"/>
      <c r="RXO1371" s="110"/>
      <c r="RXP1371" s="110"/>
      <c r="RXQ1371" s="110"/>
      <c r="RXR1371" s="110"/>
      <c r="RXS1371" s="110"/>
      <c r="RXT1371" s="110"/>
      <c r="RXU1371" s="110"/>
      <c r="RXV1371" s="110"/>
      <c r="RXW1371" s="110"/>
      <c r="RXX1371" s="110"/>
      <c r="RXY1371" s="110"/>
      <c r="RXZ1371" s="110"/>
      <c r="RYA1371" s="110"/>
      <c r="RYB1371" s="110"/>
      <c r="RYC1371" s="110"/>
      <c r="RYD1371" s="110"/>
      <c r="RYE1371" s="110"/>
      <c r="RYF1371" s="110"/>
      <c r="RYG1371" s="110"/>
      <c r="RYH1371" s="110"/>
      <c r="RYI1371" s="110"/>
      <c r="RYJ1371" s="110"/>
      <c r="RYK1371" s="110"/>
      <c r="RYL1371" s="110"/>
      <c r="RYM1371" s="110"/>
      <c r="RYN1371" s="110"/>
      <c r="RYO1371" s="110"/>
      <c r="RYP1371" s="110"/>
      <c r="RYQ1371" s="110"/>
      <c r="RYR1371" s="110"/>
      <c r="RYS1371" s="110"/>
      <c r="RYT1371" s="110"/>
      <c r="RYU1371" s="110"/>
      <c r="RYV1371" s="110"/>
      <c r="RYW1371" s="110"/>
      <c r="RYX1371" s="110"/>
      <c r="RYY1371" s="110"/>
      <c r="RYZ1371" s="110"/>
      <c r="RZA1371" s="110"/>
      <c r="RZB1371" s="110"/>
      <c r="RZC1371" s="110"/>
      <c r="RZD1371" s="110"/>
      <c r="RZE1371" s="110"/>
      <c r="RZF1371" s="110"/>
      <c r="RZG1371" s="110"/>
      <c r="RZH1371" s="110"/>
      <c r="RZI1371" s="110"/>
      <c r="RZJ1371" s="110"/>
      <c r="RZK1371" s="110"/>
      <c r="RZL1371" s="110"/>
      <c r="RZM1371" s="110"/>
      <c r="RZN1371" s="110"/>
      <c r="RZO1371" s="110"/>
      <c r="RZP1371" s="110"/>
      <c r="RZQ1371" s="110"/>
      <c r="RZR1371" s="110"/>
      <c r="RZS1371" s="110"/>
      <c r="RZT1371" s="110"/>
      <c r="RZU1371" s="110"/>
      <c r="RZV1371" s="110"/>
      <c r="RZW1371" s="110"/>
      <c r="RZX1371" s="110"/>
      <c r="RZY1371" s="110"/>
      <c r="RZZ1371" s="110"/>
      <c r="SAA1371" s="110"/>
      <c r="SAB1371" s="110"/>
      <c r="SAC1371" s="110"/>
      <c r="SAD1371" s="110"/>
      <c r="SAE1371" s="110"/>
      <c r="SAF1371" s="110"/>
      <c r="SAG1371" s="110"/>
      <c r="SAH1371" s="110"/>
      <c r="SAI1371" s="110"/>
      <c r="SAJ1371" s="110"/>
      <c r="SAK1371" s="110"/>
      <c r="SAL1371" s="110"/>
      <c r="SAM1371" s="110"/>
      <c r="SAN1371" s="110"/>
      <c r="SAO1371" s="110"/>
      <c r="SAP1371" s="110"/>
      <c r="SAQ1371" s="110"/>
      <c r="SAR1371" s="110"/>
      <c r="SAS1371" s="110"/>
      <c r="SAT1371" s="110"/>
      <c r="SAU1371" s="110"/>
      <c r="SAV1371" s="110"/>
      <c r="SAW1371" s="110"/>
      <c r="SAX1371" s="110"/>
      <c r="SAY1371" s="110"/>
      <c r="SAZ1371" s="110"/>
      <c r="SBA1371" s="110"/>
      <c r="SBB1371" s="110"/>
      <c r="SBC1371" s="110"/>
      <c r="SBD1371" s="110"/>
      <c r="SBE1371" s="110"/>
      <c r="SBF1371" s="110"/>
      <c r="SBG1371" s="110"/>
      <c r="SBH1371" s="110"/>
      <c r="SBI1371" s="110"/>
      <c r="SBJ1371" s="110"/>
      <c r="SBK1371" s="110"/>
      <c r="SBL1371" s="110"/>
      <c r="SBM1371" s="110"/>
      <c r="SBN1371" s="110"/>
      <c r="SBO1371" s="110"/>
      <c r="SBP1371" s="110"/>
      <c r="SBQ1371" s="110"/>
      <c r="SBR1371" s="110"/>
      <c r="SBS1371" s="110"/>
      <c r="SBT1371" s="110"/>
      <c r="SBU1371" s="110"/>
      <c r="SBV1371" s="110"/>
      <c r="SBW1371" s="110"/>
      <c r="SBX1371" s="110"/>
      <c r="SBY1371" s="110"/>
      <c r="SBZ1371" s="110"/>
      <c r="SCA1371" s="110"/>
      <c r="SCB1371" s="110"/>
      <c r="SCC1371" s="110"/>
      <c r="SCD1371" s="110"/>
      <c r="SCE1371" s="110"/>
      <c r="SCF1371" s="110"/>
      <c r="SCG1371" s="110"/>
      <c r="SCH1371" s="110"/>
      <c r="SCI1371" s="110"/>
      <c r="SCJ1371" s="110"/>
      <c r="SCK1371" s="110"/>
      <c r="SCL1371" s="110"/>
      <c r="SCM1371" s="110"/>
      <c r="SCN1371" s="110"/>
      <c r="SCO1371" s="110"/>
      <c r="SCP1371" s="110"/>
      <c r="SCQ1371" s="110"/>
      <c r="SCR1371" s="110"/>
      <c r="SCS1371" s="110"/>
      <c r="SCT1371" s="110"/>
      <c r="SCU1371" s="110"/>
      <c r="SCV1371" s="110"/>
      <c r="SCW1371" s="110"/>
      <c r="SCX1371" s="110"/>
      <c r="SCY1371" s="110"/>
      <c r="SCZ1371" s="110"/>
      <c r="SDA1371" s="110"/>
      <c r="SDB1371" s="110"/>
      <c r="SDC1371" s="110"/>
      <c r="SDD1371" s="110"/>
      <c r="SDE1371" s="110"/>
      <c r="SDF1371" s="110"/>
      <c r="SDG1371" s="110"/>
      <c r="SDH1371" s="110"/>
      <c r="SDI1371" s="110"/>
      <c r="SDJ1371" s="110"/>
      <c r="SDK1371" s="110"/>
      <c r="SDL1371" s="110"/>
      <c r="SDM1371" s="110"/>
      <c r="SDN1371" s="110"/>
      <c r="SDO1371" s="110"/>
      <c r="SDP1371" s="110"/>
      <c r="SDQ1371" s="110"/>
      <c r="SDR1371" s="110"/>
      <c r="SDS1371" s="110"/>
      <c r="SDT1371" s="110"/>
      <c r="SDU1371" s="110"/>
      <c r="SDV1371" s="110"/>
      <c r="SDW1371" s="110"/>
      <c r="SDX1371" s="110"/>
      <c r="SDY1371" s="110"/>
      <c r="SDZ1371" s="110"/>
      <c r="SEA1371" s="110"/>
      <c r="SEB1371" s="110"/>
      <c r="SEC1371" s="110"/>
      <c r="SED1371" s="110"/>
      <c r="SEE1371" s="110"/>
      <c r="SEF1371" s="110"/>
      <c r="SEG1371" s="110"/>
      <c r="SEH1371" s="110"/>
      <c r="SEI1371" s="110"/>
      <c r="SEJ1371" s="110"/>
      <c r="SEK1371" s="110"/>
      <c r="SEL1371" s="110"/>
      <c r="SEM1371" s="110"/>
      <c r="SEN1371" s="110"/>
      <c r="SEO1371" s="110"/>
      <c r="SEP1371" s="110"/>
      <c r="SEQ1371" s="110"/>
      <c r="SER1371" s="110"/>
      <c r="SES1371" s="110"/>
      <c r="SET1371" s="110"/>
      <c r="SEU1371" s="110"/>
      <c r="SEV1371" s="110"/>
      <c r="SEW1371" s="110"/>
      <c r="SEX1371" s="110"/>
      <c r="SEY1371" s="110"/>
      <c r="SEZ1371" s="110"/>
      <c r="SFA1371" s="110"/>
      <c r="SFB1371" s="110"/>
      <c r="SFC1371" s="110"/>
      <c r="SFD1371" s="110"/>
      <c r="SFE1371" s="110"/>
      <c r="SFF1371" s="110"/>
      <c r="SFG1371" s="110"/>
      <c r="SFH1371" s="110"/>
      <c r="SFI1371" s="110"/>
      <c r="SFJ1371" s="110"/>
      <c r="SFK1371" s="110"/>
      <c r="SFL1371" s="110"/>
      <c r="SFM1371" s="110"/>
      <c r="SFN1371" s="110"/>
      <c r="SFO1371" s="110"/>
      <c r="SFP1371" s="110"/>
      <c r="SFQ1371" s="110"/>
      <c r="SFR1371" s="110"/>
      <c r="SFS1371" s="110"/>
      <c r="SFT1371" s="110"/>
      <c r="SFU1371" s="110"/>
      <c r="SFV1371" s="110"/>
      <c r="SFW1371" s="110"/>
      <c r="SFX1371" s="110"/>
      <c r="SFY1371" s="110"/>
      <c r="SFZ1371" s="110"/>
      <c r="SGA1371" s="110"/>
      <c r="SGB1371" s="110"/>
      <c r="SGC1371" s="110"/>
      <c r="SGD1371" s="110"/>
      <c r="SGE1371" s="110"/>
      <c r="SGF1371" s="110"/>
      <c r="SGG1371" s="110"/>
      <c r="SGH1371" s="110"/>
      <c r="SGI1371" s="110"/>
      <c r="SGJ1371" s="110"/>
      <c r="SGK1371" s="110"/>
      <c r="SGL1371" s="110"/>
      <c r="SGM1371" s="110"/>
      <c r="SGN1371" s="110"/>
      <c r="SGO1371" s="110"/>
      <c r="SGP1371" s="110"/>
      <c r="SGQ1371" s="110"/>
      <c r="SGR1371" s="110"/>
      <c r="SGS1371" s="110"/>
      <c r="SGT1371" s="110"/>
      <c r="SGU1371" s="110"/>
      <c r="SGV1371" s="110"/>
      <c r="SGW1371" s="110"/>
      <c r="SGX1371" s="110"/>
      <c r="SGY1371" s="110"/>
      <c r="SGZ1371" s="110"/>
      <c r="SHA1371" s="110"/>
      <c r="SHB1371" s="110"/>
      <c r="SHC1371" s="110"/>
      <c r="SHD1371" s="110"/>
      <c r="SHE1371" s="110"/>
      <c r="SHF1371" s="110"/>
      <c r="SHG1371" s="110"/>
      <c r="SHH1371" s="110"/>
      <c r="SHI1371" s="110"/>
      <c r="SHJ1371" s="110"/>
      <c r="SHK1371" s="110"/>
      <c r="SHL1371" s="110"/>
      <c r="SHM1371" s="110"/>
      <c r="SHN1371" s="110"/>
      <c r="SHO1371" s="110"/>
      <c r="SHP1371" s="110"/>
      <c r="SHQ1371" s="110"/>
      <c r="SHR1371" s="110"/>
      <c r="SHS1371" s="110"/>
      <c r="SHT1371" s="110"/>
      <c r="SHU1371" s="110"/>
      <c r="SHV1371" s="110"/>
      <c r="SHW1371" s="110"/>
      <c r="SHX1371" s="110"/>
      <c r="SHY1371" s="110"/>
      <c r="SHZ1371" s="110"/>
      <c r="SIA1371" s="110"/>
      <c r="SIB1371" s="110"/>
      <c r="SIC1371" s="110"/>
      <c r="SID1371" s="110"/>
      <c r="SIE1371" s="110"/>
      <c r="SIF1371" s="110"/>
      <c r="SIG1371" s="110"/>
      <c r="SIH1371" s="110"/>
      <c r="SII1371" s="110"/>
      <c r="SIJ1371" s="110"/>
      <c r="SIK1371" s="110"/>
      <c r="SIL1371" s="110"/>
      <c r="SIM1371" s="110"/>
      <c r="SIN1371" s="110"/>
      <c r="SIO1371" s="110"/>
      <c r="SIP1371" s="110"/>
      <c r="SIQ1371" s="110"/>
      <c r="SIR1371" s="110"/>
      <c r="SIS1371" s="110"/>
      <c r="SIT1371" s="110"/>
      <c r="SIU1371" s="110"/>
      <c r="SIV1371" s="110"/>
      <c r="SIW1371" s="110"/>
      <c r="SIX1371" s="110"/>
      <c r="SIY1371" s="110"/>
      <c r="SIZ1371" s="110"/>
      <c r="SJA1371" s="110"/>
      <c r="SJB1371" s="110"/>
      <c r="SJC1371" s="110"/>
      <c r="SJD1371" s="110"/>
      <c r="SJE1371" s="110"/>
      <c r="SJF1371" s="110"/>
      <c r="SJG1371" s="110"/>
      <c r="SJH1371" s="110"/>
      <c r="SJI1371" s="110"/>
      <c r="SJJ1371" s="110"/>
      <c r="SJK1371" s="110"/>
      <c r="SJL1371" s="110"/>
      <c r="SJM1371" s="110"/>
      <c r="SJN1371" s="110"/>
      <c r="SJO1371" s="110"/>
      <c r="SJP1371" s="110"/>
      <c r="SJQ1371" s="110"/>
      <c r="SJR1371" s="110"/>
      <c r="SJS1371" s="110"/>
      <c r="SJT1371" s="110"/>
      <c r="SJU1371" s="110"/>
      <c r="SJV1371" s="110"/>
      <c r="SJW1371" s="110"/>
      <c r="SJX1371" s="110"/>
      <c r="SJY1371" s="110"/>
      <c r="SJZ1371" s="110"/>
      <c r="SKA1371" s="110"/>
      <c r="SKB1371" s="110"/>
      <c r="SKC1371" s="110"/>
      <c r="SKD1371" s="110"/>
      <c r="SKE1371" s="110"/>
      <c r="SKF1371" s="110"/>
      <c r="SKG1371" s="110"/>
      <c r="SKH1371" s="110"/>
      <c r="SKI1371" s="110"/>
      <c r="SKJ1371" s="110"/>
      <c r="SKK1371" s="110"/>
      <c r="SKL1371" s="110"/>
      <c r="SKM1371" s="110"/>
      <c r="SKN1371" s="110"/>
      <c r="SKO1371" s="110"/>
      <c r="SKP1371" s="110"/>
      <c r="SKQ1371" s="110"/>
      <c r="SKR1371" s="110"/>
      <c r="SKS1371" s="110"/>
      <c r="SKT1371" s="110"/>
      <c r="SKU1371" s="110"/>
      <c r="SKV1371" s="110"/>
      <c r="SKW1371" s="110"/>
      <c r="SKX1371" s="110"/>
      <c r="SKY1371" s="110"/>
      <c r="SKZ1371" s="110"/>
      <c r="SLA1371" s="110"/>
      <c r="SLB1371" s="110"/>
      <c r="SLC1371" s="110"/>
      <c r="SLD1371" s="110"/>
      <c r="SLE1371" s="110"/>
      <c r="SLF1371" s="110"/>
      <c r="SLG1371" s="110"/>
      <c r="SLH1371" s="110"/>
      <c r="SLI1371" s="110"/>
      <c r="SLJ1371" s="110"/>
      <c r="SLK1371" s="110"/>
      <c r="SLL1371" s="110"/>
      <c r="SLM1371" s="110"/>
      <c r="SLN1371" s="110"/>
      <c r="SLO1371" s="110"/>
      <c r="SLP1371" s="110"/>
      <c r="SLQ1371" s="110"/>
      <c r="SLR1371" s="110"/>
      <c r="SLS1371" s="110"/>
      <c r="SLT1371" s="110"/>
      <c r="SLU1371" s="110"/>
      <c r="SLV1371" s="110"/>
      <c r="SLW1371" s="110"/>
      <c r="SLX1371" s="110"/>
      <c r="SLY1371" s="110"/>
      <c r="SLZ1371" s="110"/>
      <c r="SMA1371" s="110"/>
      <c r="SMB1371" s="110"/>
      <c r="SMC1371" s="110"/>
      <c r="SMD1371" s="110"/>
      <c r="SME1371" s="110"/>
      <c r="SMF1371" s="110"/>
      <c r="SMG1371" s="110"/>
      <c r="SMH1371" s="110"/>
      <c r="SMI1371" s="110"/>
      <c r="SMJ1371" s="110"/>
      <c r="SMK1371" s="110"/>
      <c r="SML1371" s="110"/>
      <c r="SMM1371" s="110"/>
      <c r="SMN1371" s="110"/>
      <c r="SMO1371" s="110"/>
      <c r="SMP1371" s="110"/>
      <c r="SMQ1371" s="110"/>
      <c r="SMR1371" s="110"/>
      <c r="SMS1371" s="110"/>
      <c r="SMT1371" s="110"/>
      <c r="SMU1371" s="110"/>
      <c r="SMV1371" s="110"/>
      <c r="SMW1371" s="110"/>
      <c r="SMX1371" s="110"/>
      <c r="SMY1371" s="110"/>
      <c r="SMZ1371" s="110"/>
      <c r="SNA1371" s="110"/>
      <c r="SNB1371" s="110"/>
      <c r="SNC1371" s="110"/>
      <c r="SND1371" s="110"/>
      <c r="SNE1371" s="110"/>
      <c r="SNF1371" s="110"/>
      <c r="SNG1371" s="110"/>
      <c r="SNH1371" s="110"/>
      <c r="SNI1371" s="110"/>
      <c r="SNJ1371" s="110"/>
      <c r="SNK1371" s="110"/>
      <c r="SNL1371" s="110"/>
      <c r="SNM1371" s="110"/>
      <c r="SNN1371" s="110"/>
      <c r="SNO1371" s="110"/>
      <c r="SNP1371" s="110"/>
      <c r="SNQ1371" s="110"/>
      <c r="SNR1371" s="110"/>
      <c r="SNS1371" s="110"/>
      <c r="SNT1371" s="110"/>
      <c r="SNU1371" s="110"/>
      <c r="SNV1371" s="110"/>
      <c r="SNW1371" s="110"/>
      <c r="SNX1371" s="110"/>
      <c r="SNY1371" s="110"/>
      <c r="SNZ1371" s="110"/>
      <c r="SOA1371" s="110"/>
      <c r="SOB1371" s="110"/>
      <c r="SOC1371" s="110"/>
      <c r="SOD1371" s="110"/>
      <c r="SOE1371" s="110"/>
      <c r="SOF1371" s="110"/>
      <c r="SOG1371" s="110"/>
      <c r="SOH1371" s="110"/>
      <c r="SOI1371" s="110"/>
      <c r="SOJ1371" s="110"/>
      <c r="SOK1371" s="110"/>
      <c r="SOL1371" s="110"/>
      <c r="SOM1371" s="110"/>
      <c r="SON1371" s="110"/>
      <c r="SOO1371" s="110"/>
      <c r="SOP1371" s="110"/>
      <c r="SOQ1371" s="110"/>
      <c r="SOR1371" s="110"/>
      <c r="SOS1371" s="110"/>
      <c r="SOT1371" s="110"/>
      <c r="SOU1371" s="110"/>
      <c r="SOV1371" s="110"/>
      <c r="SOW1371" s="110"/>
      <c r="SOX1371" s="110"/>
      <c r="SOY1371" s="110"/>
      <c r="SOZ1371" s="110"/>
      <c r="SPA1371" s="110"/>
      <c r="SPB1371" s="110"/>
      <c r="SPC1371" s="110"/>
      <c r="SPD1371" s="110"/>
      <c r="SPE1371" s="110"/>
      <c r="SPF1371" s="110"/>
      <c r="SPG1371" s="110"/>
      <c r="SPH1371" s="110"/>
      <c r="SPI1371" s="110"/>
      <c r="SPJ1371" s="110"/>
      <c r="SPK1371" s="110"/>
      <c r="SPL1371" s="110"/>
      <c r="SPM1371" s="110"/>
      <c r="SPN1371" s="110"/>
      <c r="SPO1371" s="110"/>
      <c r="SPP1371" s="110"/>
      <c r="SPQ1371" s="110"/>
      <c r="SPR1371" s="110"/>
      <c r="SPS1371" s="110"/>
      <c r="SPT1371" s="110"/>
      <c r="SPU1371" s="110"/>
      <c r="SPV1371" s="110"/>
      <c r="SPW1371" s="110"/>
      <c r="SPX1371" s="110"/>
      <c r="SPY1371" s="110"/>
      <c r="SPZ1371" s="110"/>
      <c r="SQA1371" s="110"/>
      <c r="SQB1371" s="110"/>
      <c r="SQC1371" s="110"/>
      <c r="SQD1371" s="110"/>
      <c r="SQE1371" s="110"/>
      <c r="SQF1371" s="110"/>
      <c r="SQG1371" s="110"/>
      <c r="SQH1371" s="110"/>
      <c r="SQI1371" s="110"/>
      <c r="SQJ1371" s="110"/>
      <c r="SQK1371" s="110"/>
      <c r="SQL1371" s="110"/>
      <c r="SQM1371" s="110"/>
      <c r="SQN1371" s="110"/>
      <c r="SQO1371" s="110"/>
      <c r="SQP1371" s="110"/>
      <c r="SQQ1371" s="110"/>
      <c r="SQR1371" s="110"/>
      <c r="SQS1371" s="110"/>
      <c r="SQT1371" s="110"/>
      <c r="SQU1371" s="110"/>
      <c r="SQV1371" s="110"/>
      <c r="SQW1371" s="110"/>
      <c r="SQX1371" s="110"/>
      <c r="SQY1371" s="110"/>
      <c r="SQZ1371" s="110"/>
      <c r="SRA1371" s="110"/>
      <c r="SRB1371" s="110"/>
      <c r="SRC1371" s="110"/>
      <c r="SRD1371" s="110"/>
      <c r="SRE1371" s="110"/>
      <c r="SRF1371" s="110"/>
      <c r="SRG1371" s="110"/>
      <c r="SRH1371" s="110"/>
      <c r="SRI1371" s="110"/>
      <c r="SRJ1371" s="110"/>
      <c r="SRK1371" s="110"/>
      <c r="SRL1371" s="110"/>
      <c r="SRM1371" s="110"/>
      <c r="SRN1371" s="110"/>
      <c r="SRO1371" s="110"/>
      <c r="SRP1371" s="110"/>
      <c r="SRQ1371" s="110"/>
      <c r="SRR1371" s="110"/>
      <c r="SRS1371" s="110"/>
      <c r="SRT1371" s="110"/>
      <c r="SRU1371" s="110"/>
      <c r="SRV1371" s="110"/>
      <c r="SRW1371" s="110"/>
      <c r="SRX1371" s="110"/>
      <c r="SRY1371" s="110"/>
      <c r="SRZ1371" s="110"/>
      <c r="SSA1371" s="110"/>
      <c r="SSB1371" s="110"/>
      <c r="SSC1371" s="110"/>
      <c r="SSD1371" s="110"/>
      <c r="SSE1371" s="110"/>
      <c r="SSF1371" s="110"/>
      <c r="SSG1371" s="110"/>
      <c r="SSH1371" s="110"/>
      <c r="SSI1371" s="110"/>
      <c r="SSJ1371" s="110"/>
      <c r="SSK1371" s="110"/>
      <c r="SSL1371" s="110"/>
      <c r="SSM1371" s="110"/>
      <c r="SSN1371" s="110"/>
      <c r="SSO1371" s="110"/>
      <c r="SSP1371" s="110"/>
      <c r="SSQ1371" s="110"/>
      <c r="SSR1371" s="110"/>
      <c r="SSS1371" s="110"/>
      <c r="SST1371" s="110"/>
      <c r="SSU1371" s="110"/>
      <c r="SSV1371" s="110"/>
      <c r="SSW1371" s="110"/>
      <c r="SSX1371" s="110"/>
      <c r="SSY1371" s="110"/>
      <c r="SSZ1371" s="110"/>
      <c r="STA1371" s="110"/>
      <c r="STB1371" s="110"/>
      <c r="STC1371" s="110"/>
      <c r="STD1371" s="110"/>
      <c r="STE1371" s="110"/>
      <c r="STF1371" s="110"/>
      <c r="STG1371" s="110"/>
      <c r="STH1371" s="110"/>
      <c r="STI1371" s="110"/>
      <c r="STJ1371" s="110"/>
      <c r="STK1371" s="110"/>
      <c r="STL1371" s="110"/>
      <c r="STM1371" s="110"/>
      <c r="STN1371" s="110"/>
      <c r="STO1371" s="110"/>
      <c r="STP1371" s="110"/>
      <c r="STQ1371" s="110"/>
      <c r="STR1371" s="110"/>
      <c r="STS1371" s="110"/>
      <c r="STT1371" s="110"/>
      <c r="STU1371" s="110"/>
      <c r="STV1371" s="110"/>
      <c r="STW1371" s="110"/>
      <c r="STX1371" s="110"/>
      <c r="STY1371" s="110"/>
      <c r="STZ1371" s="110"/>
      <c r="SUA1371" s="110"/>
      <c r="SUB1371" s="110"/>
      <c r="SUC1371" s="110"/>
      <c r="SUD1371" s="110"/>
      <c r="SUE1371" s="110"/>
      <c r="SUF1371" s="110"/>
      <c r="SUG1371" s="110"/>
      <c r="SUH1371" s="110"/>
      <c r="SUI1371" s="110"/>
      <c r="SUJ1371" s="110"/>
      <c r="SUK1371" s="110"/>
      <c r="SUL1371" s="110"/>
      <c r="SUM1371" s="110"/>
      <c r="SUN1371" s="110"/>
      <c r="SUO1371" s="110"/>
      <c r="SUP1371" s="110"/>
      <c r="SUQ1371" s="110"/>
      <c r="SUR1371" s="110"/>
      <c r="SUS1371" s="110"/>
      <c r="SUT1371" s="110"/>
      <c r="SUU1371" s="110"/>
      <c r="SUV1371" s="110"/>
      <c r="SUW1371" s="110"/>
      <c r="SUX1371" s="110"/>
      <c r="SUY1371" s="110"/>
      <c r="SUZ1371" s="110"/>
      <c r="SVA1371" s="110"/>
      <c r="SVB1371" s="110"/>
      <c r="SVC1371" s="110"/>
      <c r="SVD1371" s="110"/>
      <c r="SVE1371" s="110"/>
      <c r="SVF1371" s="110"/>
      <c r="SVG1371" s="110"/>
      <c r="SVH1371" s="110"/>
      <c r="SVI1371" s="110"/>
      <c r="SVJ1371" s="110"/>
      <c r="SVK1371" s="110"/>
      <c r="SVL1371" s="110"/>
      <c r="SVM1371" s="110"/>
      <c r="SVN1371" s="110"/>
      <c r="SVO1371" s="110"/>
      <c r="SVP1371" s="110"/>
      <c r="SVQ1371" s="110"/>
      <c r="SVR1371" s="110"/>
      <c r="SVS1371" s="110"/>
      <c r="SVT1371" s="110"/>
      <c r="SVU1371" s="110"/>
      <c r="SVV1371" s="110"/>
      <c r="SVW1371" s="110"/>
      <c r="SVX1371" s="110"/>
      <c r="SVY1371" s="110"/>
      <c r="SVZ1371" s="110"/>
      <c r="SWA1371" s="110"/>
      <c r="SWB1371" s="110"/>
      <c r="SWC1371" s="110"/>
      <c r="SWD1371" s="110"/>
      <c r="SWE1371" s="110"/>
      <c r="SWF1371" s="110"/>
      <c r="SWG1371" s="110"/>
      <c r="SWH1371" s="110"/>
      <c r="SWI1371" s="110"/>
      <c r="SWJ1371" s="110"/>
      <c r="SWK1371" s="110"/>
      <c r="SWL1371" s="110"/>
      <c r="SWM1371" s="110"/>
      <c r="SWN1371" s="110"/>
      <c r="SWO1371" s="110"/>
      <c r="SWP1371" s="110"/>
      <c r="SWQ1371" s="110"/>
      <c r="SWR1371" s="110"/>
      <c r="SWS1371" s="110"/>
      <c r="SWT1371" s="110"/>
      <c r="SWU1371" s="110"/>
      <c r="SWV1371" s="110"/>
      <c r="SWW1371" s="110"/>
      <c r="SWX1371" s="110"/>
      <c r="SWY1371" s="110"/>
      <c r="SWZ1371" s="110"/>
      <c r="SXA1371" s="110"/>
      <c r="SXB1371" s="110"/>
      <c r="SXC1371" s="110"/>
      <c r="SXD1371" s="110"/>
      <c r="SXE1371" s="110"/>
      <c r="SXF1371" s="110"/>
      <c r="SXG1371" s="110"/>
      <c r="SXH1371" s="110"/>
      <c r="SXI1371" s="110"/>
      <c r="SXJ1371" s="110"/>
      <c r="SXK1371" s="110"/>
      <c r="SXL1371" s="110"/>
      <c r="SXM1371" s="110"/>
      <c r="SXN1371" s="110"/>
      <c r="SXO1371" s="110"/>
      <c r="SXP1371" s="110"/>
      <c r="SXQ1371" s="110"/>
      <c r="SXR1371" s="110"/>
      <c r="SXS1371" s="110"/>
      <c r="SXT1371" s="110"/>
      <c r="SXU1371" s="110"/>
      <c r="SXV1371" s="110"/>
      <c r="SXW1371" s="110"/>
      <c r="SXX1371" s="110"/>
      <c r="SXY1371" s="110"/>
      <c r="SXZ1371" s="110"/>
      <c r="SYA1371" s="110"/>
      <c r="SYB1371" s="110"/>
      <c r="SYC1371" s="110"/>
      <c r="SYD1371" s="110"/>
      <c r="SYE1371" s="110"/>
      <c r="SYF1371" s="110"/>
      <c r="SYG1371" s="110"/>
      <c r="SYH1371" s="110"/>
      <c r="SYI1371" s="110"/>
      <c r="SYJ1371" s="110"/>
      <c r="SYK1371" s="110"/>
      <c r="SYL1371" s="110"/>
      <c r="SYM1371" s="110"/>
      <c r="SYN1371" s="110"/>
      <c r="SYO1371" s="110"/>
      <c r="SYP1371" s="110"/>
      <c r="SYQ1371" s="110"/>
      <c r="SYR1371" s="110"/>
      <c r="SYS1371" s="110"/>
      <c r="SYT1371" s="110"/>
      <c r="SYU1371" s="110"/>
      <c r="SYV1371" s="110"/>
      <c r="SYW1371" s="110"/>
      <c r="SYX1371" s="110"/>
      <c r="SYY1371" s="110"/>
      <c r="SYZ1371" s="110"/>
      <c r="SZA1371" s="110"/>
      <c r="SZB1371" s="110"/>
      <c r="SZC1371" s="110"/>
      <c r="SZD1371" s="110"/>
      <c r="SZE1371" s="110"/>
      <c r="SZF1371" s="110"/>
      <c r="SZG1371" s="110"/>
      <c r="SZH1371" s="110"/>
      <c r="SZI1371" s="110"/>
      <c r="SZJ1371" s="110"/>
      <c r="SZK1371" s="110"/>
      <c r="SZL1371" s="110"/>
      <c r="SZM1371" s="110"/>
      <c r="SZN1371" s="110"/>
      <c r="SZO1371" s="110"/>
      <c r="SZP1371" s="110"/>
      <c r="SZQ1371" s="110"/>
      <c r="SZR1371" s="110"/>
      <c r="SZS1371" s="110"/>
      <c r="SZT1371" s="110"/>
      <c r="SZU1371" s="110"/>
      <c r="SZV1371" s="110"/>
      <c r="SZW1371" s="110"/>
      <c r="SZX1371" s="110"/>
      <c r="SZY1371" s="110"/>
      <c r="SZZ1371" s="110"/>
      <c r="TAA1371" s="110"/>
      <c r="TAB1371" s="110"/>
      <c r="TAC1371" s="110"/>
      <c r="TAD1371" s="110"/>
      <c r="TAE1371" s="110"/>
      <c r="TAF1371" s="110"/>
      <c r="TAG1371" s="110"/>
      <c r="TAH1371" s="110"/>
      <c r="TAI1371" s="110"/>
      <c r="TAJ1371" s="110"/>
      <c r="TAK1371" s="110"/>
      <c r="TAL1371" s="110"/>
      <c r="TAM1371" s="110"/>
      <c r="TAN1371" s="110"/>
      <c r="TAO1371" s="110"/>
      <c r="TAP1371" s="110"/>
      <c r="TAQ1371" s="110"/>
      <c r="TAR1371" s="110"/>
      <c r="TAS1371" s="110"/>
      <c r="TAT1371" s="110"/>
      <c r="TAU1371" s="110"/>
      <c r="TAV1371" s="110"/>
      <c r="TAW1371" s="110"/>
      <c r="TAX1371" s="110"/>
      <c r="TAY1371" s="110"/>
      <c r="TAZ1371" s="110"/>
      <c r="TBA1371" s="110"/>
      <c r="TBB1371" s="110"/>
      <c r="TBC1371" s="110"/>
      <c r="TBD1371" s="110"/>
      <c r="TBE1371" s="110"/>
      <c r="TBF1371" s="110"/>
      <c r="TBG1371" s="110"/>
      <c r="TBH1371" s="110"/>
      <c r="TBI1371" s="110"/>
      <c r="TBJ1371" s="110"/>
      <c r="TBK1371" s="110"/>
      <c r="TBL1371" s="110"/>
      <c r="TBM1371" s="110"/>
      <c r="TBN1371" s="110"/>
      <c r="TBO1371" s="110"/>
      <c r="TBP1371" s="110"/>
      <c r="TBQ1371" s="110"/>
      <c r="TBR1371" s="110"/>
      <c r="TBS1371" s="110"/>
      <c r="TBT1371" s="110"/>
      <c r="TBU1371" s="110"/>
      <c r="TBV1371" s="110"/>
      <c r="TBW1371" s="110"/>
      <c r="TBX1371" s="110"/>
      <c r="TBY1371" s="110"/>
      <c r="TBZ1371" s="110"/>
      <c r="TCA1371" s="110"/>
      <c r="TCB1371" s="110"/>
      <c r="TCC1371" s="110"/>
      <c r="TCD1371" s="110"/>
      <c r="TCE1371" s="110"/>
      <c r="TCF1371" s="110"/>
      <c r="TCG1371" s="110"/>
      <c r="TCH1371" s="110"/>
      <c r="TCI1371" s="110"/>
      <c r="TCJ1371" s="110"/>
      <c r="TCK1371" s="110"/>
      <c r="TCL1371" s="110"/>
      <c r="TCM1371" s="110"/>
      <c r="TCN1371" s="110"/>
      <c r="TCO1371" s="110"/>
      <c r="TCP1371" s="110"/>
      <c r="TCQ1371" s="110"/>
      <c r="TCR1371" s="110"/>
      <c r="TCS1371" s="110"/>
      <c r="TCT1371" s="110"/>
      <c r="TCU1371" s="110"/>
      <c r="TCV1371" s="110"/>
      <c r="TCW1371" s="110"/>
      <c r="TCX1371" s="110"/>
      <c r="TCY1371" s="110"/>
      <c r="TCZ1371" s="110"/>
      <c r="TDA1371" s="110"/>
      <c r="TDB1371" s="110"/>
      <c r="TDC1371" s="110"/>
      <c r="TDD1371" s="110"/>
      <c r="TDE1371" s="110"/>
      <c r="TDF1371" s="110"/>
      <c r="TDG1371" s="110"/>
      <c r="TDH1371" s="110"/>
      <c r="TDI1371" s="110"/>
      <c r="TDJ1371" s="110"/>
      <c r="TDK1371" s="110"/>
      <c r="TDL1371" s="110"/>
      <c r="TDM1371" s="110"/>
      <c r="TDN1371" s="110"/>
      <c r="TDO1371" s="110"/>
      <c r="TDP1371" s="110"/>
      <c r="TDQ1371" s="110"/>
      <c r="TDR1371" s="110"/>
      <c r="TDS1371" s="110"/>
      <c r="TDT1371" s="110"/>
      <c r="TDU1371" s="110"/>
      <c r="TDV1371" s="110"/>
      <c r="TDW1371" s="110"/>
      <c r="TDX1371" s="110"/>
      <c r="TDY1371" s="110"/>
      <c r="TDZ1371" s="110"/>
      <c r="TEA1371" s="110"/>
      <c r="TEB1371" s="110"/>
      <c r="TEC1371" s="110"/>
      <c r="TED1371" s="110"/>
      <c r="TEE1371" s="110"/>
      <c r="TEF1371" s="110"/>
      <c r="TEG1371" s="110"/>
      <c r="TEH1371" s="110"/>
      <c r="TEI1371" s="110"/>
      <c r="TEJ1371" s="110"/>
      <c r="TEK1371" s="110"/>
      <c r="TEL1371" s="110"/>
      <c r="TEM1371" s="110"/>
      <c r="TEN1371" s="110"/>
      <c r="TEO1371" s="110"/>
      <c r="TEP1371" s="110"/>
      <c r="TEQ1371" s="110"/>
      <c r="TER1371" s="110"/>
      <c r="TES1371" s="110"/>
      <c r="TET1371" s="110"/>
      <c r="TEU1371" s="110"/>
      <c r="TEV1371" s="110"/>
      <c r="TEW1371" s="110"/>
      <c r="TEX1371" s="110"/>
      <c r="TEY1371" s="110"/>
      <c r="TEZ1371" s="110"/>
      <c r="TFA1371" s="110"/>
      <c r="TFB1371" s="110"/>
      <c r="TFC1371" s="110"/>
      <c r="TFD1371" s="110"/>
      <c r="TFE1371" s="110"/>
      <c r="TFF1371" s="110"/>
      <c r="TFG1371" s="110"/>
      <c r="TFH1371" s="110"/>
      <c r="TFI1371" s="110"/>
      <c r="TFJ1371" s="110"/>
      <c r="TFK1371" s="110"/>
      <c r="TFL1371" s="110"/>
      <c r="TFM1371" s="110"/>
      <c r="TFN1371" s="110"/>
      <c r="TFO1371" s="110"/>
      <c r="TFP1371" s="110"/>
      <c r="TFQ1371" s="110"/>
      <c r="TFR1371" s="110"/>
      <c r="TFS1371" s="110"/>
      <c r="TFT1371" s="110"/>
      <c r="TFU1371" s="110"/>
      <c r="TFV1371" s="110"/>
      <c r="TFW1371" s="110"/>
      <c r="TFX1371" s="110"/>
      <c r="TFY1371" s="110"/>
      <c r="TFZ1371" s="110"/>
      <c r="TGA1371" s="110"/>
      <c r="TGB1371" s="110"/>
      <c r="TGC1371" s="110"/>
      <c r="TGD1371" s="110"/>
      <c r="TGE1371" s="110"/>
      <c r="TGF1371" s="110"/>
      <c r="TGG1371" s="110"/>
      <c r="TGH1371" s="110"/>
      <c r="TGI1371" s="110"/>
      <c r="TGJ1371" s="110"/>
      <c r="TGK1371" s="110"/>
      <c r="TGL1371" s="110"/>
      <c r="TGM1371" s="110"/>
      <c r="TGN1371" s="110"/>
      <c r="TGO1371" s="110"/>
      <c r="TGP1371" s="110"/>
      <c r="TGQ1371" s="110"/>
      <c r="TGR1371" s="110"/>
      <c r="TGS1371" s="110"/>
      <c r="TGT1371" s="110"/>
      <c r="TGU1371" s="110"/>
      <c r="TGV1371" s="110"/>
      <c r="TGW1371" s="110"/>
      <c r="TGX1371" s="110"/>
      <c r="TGY1371" s="110"/>
      <c r="TGZ1371" s="110"/>
      <c r="THA1371" s="110"/>
      <c r="THB1371" s="110"/>
      <c r="THC1371" s="110"/>
      <c r="THD1371" s="110"/>
      <c r="THE1371" s="110"/>
      <c r="THF1371" s="110"/>
      <c r="THG1371" s="110"/>
      <c r="THH1371" s="110"/>
      <c r="THI1371" s="110"/>
      <c r="THJ1371" s="110"/>
      <c r="THK1371" s="110"/>
      <c r="THL1371" s="110"/>
      <c r="THM1371" s="110"/>
      <c r="THN1371" s="110"/>
      <c r="THO1371" s="110"/>
      <c r="THP1371" s="110"/>
      <c r="THQ1371" s="110"/>
      <c r="THR1371" s="110"/>
      <c r="THS1371" s="110"/>
      <c r="THT1371" s="110"/>
      <c r="THU1371" s="110"/>
      <c r="THV1371" s="110"/>
      <c r="THW1371" s="110"/>
      <c r="THX1371" s="110"/>
      <c r="THY1371" s="110"/>
      <c r="THZ1371" s="110"/>
      <c r="TIA1371" s="110"/>
      <c r="TIB1371" s="110"/>
      <c r="TIC1371" s="110"/>
      <c r="TID1371" s="110"/>
      <c r="TIE1371" s="110"/>
      <c r="TIF1371" s="110"/>
      <c r="TIG1371" s="110"/>
      <c r="TIH1371" s="110"/>
      <c r="TII1371" s="110"/>
      <c r="TIJ1371" s="110"/>
      <c r="TIK1371" s="110"/>
      <c r="TIL1371" s="110"/>
      <c r="TIM1371" s="110"/>
      <c r="TIN1371" s="110"/>
      <c r="TIO1371" s="110"/>
      <c r="TIP1371" s="110"/>
      <c r="TIQ1371" s="110"/>
      <c r="TIR1371" s="110"/>
      <c r="TIS1371" s="110"/>
      <c r="TIT1371" s="110"/>
      <c r="TIU1371" s="110"/>
      <c r="TIV1371" s="110"/>
      <c r="TIW1371" s="110"/>
      <c r="TIX1371" s="110"/>
      <c r="TIY1371" s="110"/>
      <c r="TIZ1371" s="110"/>
      <c r="TJA1371" s="110"/>
      <c r="TJB1371" s="110"/>
      <c r="TJC1371" s="110"/>
      <c r="TJD1371" s="110"/>
      <c r="TJE1371" s="110"/>
      <c r="TJF1371" s="110"/>
      <c r="TJG1371" s="110"/>
      <c r="TJH1371" s="110"/>
      <c r="TJI1371" s="110"/>
      <c r="TJJ1371" s="110"/>
      <c r="TJK1371" s="110"/>
      <c r="TJL1371" s="110"/>
      <c r="TJM1371" s="110"/>
      <c r="TJN1371" s="110"/>
      <c r="TJO1371" s="110"/>
      <c r="TJP1371" s="110"/>
      <c r="TJQ1371" s="110"/>
      <c r="TJR1371" s="110"/>
      <c r="TJS1371" s="110"/>
      <c r="TJT1371" s="110"/>
      <c r="TJU1371" s="110"/>
      <c r="TJV1371" s="110"/>
      <c r="TJW1371" s="110"/>
      <c r="TJX1371" s="110"/>
      <c r="TJY1371" s="110"/>
      <c r="TJZ1371" s="110"/>
      <c r="TKA1371" s="110"/>
      <c r="TKB1371" s="110"/>
      <c r="TKC1371" s="110"/>
      <c r="TKD1371" s="110"/>
      <c r="TKE1371" s="110"/>
      <c r="TKF1371" s="110"/>
      <c r="TKG1371" s="110"/>
      <c r="TKH1371" s="110"/>
      <c r="TKI1371" s="110"/>
      <c r="TKJ1371" s="110"/>
      <c r="TKK1371" s="110"/>
      <c r="TKL1371" s="110"/>
      <c r="TKM1371" s="110"/>
      <c r="TKN1371" s="110"/>
      <c r="TKO1371" s="110"/>
      <c r="TKP1371" s="110"/>
      <c r="TKQ1371" s="110"/>
      <c r="TKR1371" s="110"/>
      <c r="TKS1371" s="110"/>
      <c r="TKT1371" s="110"/>
      <c r="TKU1371" s="110"/>
      <c r="TKV1371" s="110"/>
      <c r="TKW1371" s="110"/>
      <c r="TKX1371" s="110"/>
      <c r="TKY1371" s="110"/>
      <c r="TKZ1371" s="110"/>
      <c r="TLA1371" s="110"/>
      <c r="TLB1371" s="110"/>
      <c r="TLC1371" s="110"/>
      <c r="TLD1371" s="110"/>
      <c r="TLE1371" s="110"/>
      <c r="TLF1371" s="110"/>
      <c r="TLG1371" s="110"/>
      <c r="TLH1371" s="110"/>
      <c r="TLI1371" s="110"/>
      <c r="TLJ1371" s="110"/>
      <c r="TLK1371" s="110"/>
      <c r="TLL1371" s="110"/>
      <c r="TLM1371" s="110"/>
      <c r="TLN1371" s="110"/>
      <c r="TLO1371" s="110"/>
      <c r="TLP1371" s="110"/>
      <c r="TLQ1371" s="110"/>
      <c r="TLR1371" s="110"/>
      <c r="TLS1371" s="110"/>
      <c r="TLT1371" s="110"/>
      <c r="TLU1371" s="110"/>
      <c r="TLV1371" s="110"/>
      <c r="TLW1371" s="110"/>
      <c r="TLX1371" s="110"/>
      <c r="TLY1371" s="110"/>
      <c r="TLZ1371" s="110"/>
      <c r="TMA1371" s="110"/>
      <c r="TMB1371" s="110"/>
      <c r="TMC1371" s="110"/>
      <c r="TMD1371" s="110"/>
      <c r="TME1371" s="110"/>
      <c r="TMF1371" s="110"/>
      <c r="TMG1371" s="110"/>
      <c r="TMH1371" s="110"/>
      <c r="TMI1371" s="110"/>
      <c r="TMJ1371" s="110"/>
      <c r="TMK1371" s="110"/>
      <c r="TML1371" s="110"/>
      <c r="TMM1371" s="110"/>
      <c r="TMN1371" s="110"/>
      <c r="TMO1371" s="110"/>
      <c r="TMP1371" s="110"/>
      <c r="TMQ1371" s="110"/>
      <c r="TMR1371" s="110"/>
      <c r="TMS1371" s="110"/>
      <c r="TMT1371" s="110"/>
      <c r="TMU1371" s="110"/>
      <c r="TMV1371" s="110"/>
      <c r="TMW1371" s="110"/>
      <c r="TMX1371" s="110"/>
      <c r="TMY1371" s="110"/>
      <c r="TMZ1371" s="110"/>
      <c r="TNA1371" s="110"/>
      <c r="TNB1371" s="110"/>
      <c r="TNC1371" s="110"/>
      <c r="TND1371" s="110"/>
      <c r="TNE1371" s="110"/>
      <c r="TNF1371" s="110"/>
      <c r="TNG1371" s="110"/>
      <c r="TNH1371" s="110"/>
      <c r="TNI1371" s="110"/>
      <c r="TNJ1371" s="110"/>
      <c r="TNK1371" s="110"/>
      <c r="TNL1371" s="110"/>
      <c r="TNM1371" s="110"/>
      <c r="TNN1371" s="110"/>
      <c r="TNO1371" s="110"/>
      <c r="TNP1371" s="110"/>
      <c r="TNQ1371" s="110"/>
      <c r="TNR1371" s="110"/>
      <c r="TNS1371" s="110"/>
      <c r="TNT1371" s="110"/>
      <c r="TNU1371" s="110"/>
      <c r="TNV1371" s="110"/>
      <c r="TNW1371" s="110"/>
      <c r="TNX1371" s="110"/>
      <c r="TNY1371" s="110"/>
      <c r="TNZ1371" s="110"/>
      <c r="TOA1371" s="110"/>
      <c r="TOB1371" s="110"/>
      <c r="TOC1371" s="110"/>
      <c r="TOD1371" s="110"/>
      <c r="TOE1371" s="110"/>
      <c r="TOF1371" s="110"/>
      <c r="TOG1371" s="110"/>
      <c r="TOH1371" s="110"/>
      <c r="TOI1371" s="110"/>
      <c r="TOJ1371" s="110"/>
      <c r="TOK1371" s="110"/>
      <c r="TOL1371" s="110"/>
      <c r="TOM1371" s="110"/>
      <c r="TON1371" s="110"/>
      <c r="TOO1371" s="110"/>
      <c r="TOP1371" s="110"/>
      <c r="TOQ1371" s="110"/>
      <c r="TOR1371" s="110"/>
      <c r="TOS1371" s="110"/>
      <c r="TOT1371" s="110"/>
      <c r="TOU1371" s="110"/>
      <c r="TOV1371" s="110"/>
      <c r="TOW1371" s="110"/>
      <c r="TOX1371" s="110"/>
      <c r="TOY1371" s="110"/>
      <c r="TOZ1371" s="110"/>
      <c r="TPA1371" s="110"/>
      <c r="TPB1371" s="110"/>
      <c r="TPC1371" s="110"/>
      <c r="TPD1371" s="110"/>
      <c r="TPE1371" s="110"/>
      <c r="TPF1371" s="110"/>
      <c r="TPG1371" s="110"/>
      <c r="TPH1371" s="110"/>
      <c r="TPI1371" s="110"/>
      <c r="TPJ1371" s="110"/>
      <c r="TPK1371" s="110"/>
      <c r="TPL1371" s="110"/>
      <c r="TPM1371" s="110"/>
      <c r="TPN1371" s="110"/>
      <c r="TPO1371" s="110"/>
      <c r="TPP1371" s="110"/>
      <c r="TPQ1371" s="110"/>
      <c r="TPR1371" s="110"/>
      <c r="TPS1371" s="110"/>
      <c r="TPT1371" s="110"/>
      <c r="TPU1371" s="110"/>
      <c r="TPV1371" s="110"/>
      <c r="TPW1371" s="110"/>
      <c r="TPX1371" s="110"/>
      <c r="TPY1371" s="110"/>
      <c r="TPZ1371" s="110"/>
      <c r="TQA1371" s="110"/>
      <c r="TQB1371" s="110"/>
      <c r="TQC1371" s="110"/>
      <c r="TQD1371" s="110"/>
      <c r="TQE1371" s="110"/>
      <c r="TQF1371" s="110"/>
      <c r="TQG1371" s="110"/>
      <c r="TQH1371" s="110"/>
      <c r="TQI1371" s="110"/>
      <c r="TQJ1371" s="110"/>
      <c r="TQK1371" s="110"/>
      <c r="TQL1371" s="110"/>
      <c r="TQM1371" s="110"/>
      <c r="TQN1371" s="110"/>
      <c r="TQO1371" s="110"/>
      <c r="TQP1371" s="110"/>
      <c r="TQQ1371" s="110"/>
      <c r="TQR1371" s="110"/>
      <c r="TQS1371" s="110"/>
      <c r="TQT1371" s="110"/>
      <c r="TQU1371" s="110"/>
      <c r="TQV1371" s="110"/>
      <c r="TQW1371" s="110"/>
      <c r="TQX1371" s="110"/>
      <c r="TQY1371" s="110"/>
      <c r="TQZ1371" s="110"/>
      <c r="TRA1371" s="110"/>
      <c r="TRB1371" s="110"/>
      <c r="TRC1371" s="110"/>
      <c r="TRD1371" s="110"/>
      <c r="TRE1371" s="110"/>
      <c r="TRF1371" s="110"/>
      <c r="TRG1371" s="110"/>
      <c r="TRH1371" s="110"/>
      <c r="TRI1371" s="110"/>
      <c r="TRJ1371" s="110"/>
      <c r="TRK1371" s="110"/>
      <c r="TRL1371" s="110"/>
      <c r="TRM1371" s="110"/>
      <c r="TRN1371" s="110"/>
      <c r="TRO1371" s="110"/>
      <c r="TRP1371" s="110"/>
      <c r="TRQ1371" s="110"/>
      <c r="TRR1371" s="110"/>
      <c r="TRS1371" s="110"/>
      <c r="TRT1371" s="110"/>
      <c r="TRU1371" s="110"/>
      <c r="TRV1371" s="110"/>
      <c r="TRW1371" s="110"/>
      <c r="TRX1371" s="110"/>
      <c r="TRY1371" s="110"/>
      <c r="TRZ1371" s="110"/>
      <c r="TSA1371" s="110"/>
      <c r="TSB1371" s="110"/>
      <c r="TSC1371" s="110"/>
      <c r="TSD1371" s="110"/>
      <c r="TSE1371" s="110"/>
      <c r="TSF1371" s="110"/>
      <c r="TSG1371" s="110"/>
      <c r="TSH1371" s="110"/>
      <c r="TSI1371" s="110"/>
      <c r="TSJ1371" s="110"/>
      <c r="TSK1371" s="110"/>
      <c r="TSL1371" s="110"/>
      <c r="TSM1371" s="110"/>
      <c r="TSN1371" s="110"/>
      <c r="TSO1371" s="110"/>
      <c r="TSP1371" s="110"/>
      <c r="TSQ1371" s="110"/>
      <c r="TSR1371" s="110"/>
      <c r="TSS1371" s="110"/>
      <c r="TST1371" s="110"/>
      <c r="TSU1371" s="110"/>
      <c r="TSV1371" s="110"/>
      <c r="TSW1371" s="110"/>
      <c r="TSX1371" s="110"/>
      <c r="TSY1371" s="110"/>
      <c r="TSZ1371" s="110"/>
      <c r="TTA1371" s="110"/>
      <c r="TTB1371" s="110"/>
      <c r="TTC1371" s="110"/>
      <c r="TTD1371" s="110"/>
      <c r="TTE1371" s="110"/>
      <c r="TTF1371" s="110"/>
      <c r="TTG1371" s="110"/>
      <c r="TTH1371" s="110"/>
      <c r="TTI1371" s="110"/>
      <c r="TTJ1371" s="110"/>
      <c r="TTK1371" s="110"/>
      <c r="TTL1371" s="110"/>
      <c r="TTM1371" s="110"/>
      <c r="TTN1371" s="110"/>
      <c r="TTO1371" s="110"/>
      <c r="TTP1371" s="110"/>
      <c r="TTQ1371" s="110"/>
      <c r="TTR1371" s="110"/>
      <c r="TTS1371" s="110"/>
      <c r="TTT1371" s="110"/>
      <c r="TTU1371" s="110"/>
      <c r="TTV1371" s="110"/>
      <c r="TTW1371" s="110"/>
      <c r="TTX1371" s="110"/>
      <c r="TTY1371" s="110"/>
      <c r="TTZ1371" s="110"/>
      <c r="TUA1371" s="110"/>
      <c r="TUB1371" s="110"/>
      <c r="TUC1371" s="110"/>
      <c r="TUD1371" s="110"/>
      <c r="TUE1371" s="110"/>
      <c r="TUF1371" s="110"/>
      <c r="TUG1371" s="110"/>
      <c r="TUH1371" s="110"/>
      <c r="TUI1371" s="110"/>
      <c r="TUJ1371" s="110"/>
      <c r="TUK1371" s="110"/>
      <c r="TUL1371" s="110"/>
      <c r="TUM1371" s="110"/>
      <c r="TUN1371" s="110"/>
      <c r="TUO1371" s="110"/>
      <c r="TUP1371" s="110"/>
      <c r="TUQ1371" s="110"/>
      <c r="TUR1371" s="110"/>
      <c r="TUS1371" s="110"/>
      <c r="TUT1371" s="110"/>
      <c r="TUU1371" s="110"/>
      <c r="TUV1371" s="110"/>
      <c r="TUW1371" s="110"/>
      <c r="TUX1371" s="110"/>
      <c r="TUY1371" s="110"/>
      <c r="TUZ1371" s="110"/>
      <c r="TVA1371" s="110"/>
      <c r="TVB1371" s="110"/>
      <c r="TVC1371" s="110"/>
      <c r="TVD1371" s="110"/>
      <c r="TVE1371" s="110"/>
      <c r="TVF1371" s="110"/>
      <c r="TVG1371" s="110"/>
      <c r="TVH1371" s="110"/>
      <c r="TVI1371" s="110"/>
      <c r="TVJ1371" s="110"/>
      <c r="TVK1371" s="110"/>
      <c r="TVL1371" s="110"/>
      <c r="TVM1371" s="110"/>
      <c r="TVN1371" s="110"/>
      <c r="TVO1371" s="110"/>
      <c r="TVP1371" s="110"/>
      <c r="TVQ1371" s="110"/>
      <c r="TVR1371" s="110"/>
      <c r="TVS1371" s="110"/>
      <c r="TVT1371" s="110"/>
      <c r="TVU1371" s="110"/>
      <c r="TVV1371" s="110"/>
      <c r="TVW1371" s="110"/>
      <c r="TVX1371" s="110"/>
      <c r="TVY1371" s="110"/>
      <c r="TVZ1371" s="110"/>
      <c r="TWA1371" s="110"/>
      <c r="TWB1371" s="110"/>
      <c r="TWC1371" s="110"/>
      <c r="TWD1371" s="110"/>
      <c r="TWE1371" s="110"/>
      <c r="TWF1371" s="110"/>
      <c r="TWG1371" s="110"/>
      <c r="TWH1371" s="110"/>
      <c r="TWI1371" s="110"/>
      <c r="TWJ1371" s="110"/>
      <c r="TWK1371" s="110"/>
      <c r="TWL1371" s="110"/>
      <c r="TWM1371" s="110"/>
      <c r="TWN1371" s="110"/>
      <c r="TWO1371" s="110"/>
      <c r="TWP1371" s="110"/>
      <c r="TWQ1371" s="110"/>
      <c r="TWR1371" s="110"/>
      <c r="TWS1371" s="110"/>
      <c r="TWT1371" s="110"/>
      <c r="TWU1371" s="110"/>
      <c r="TWV1371" s="110"/>
      <c r="TWW1371" s="110"/>
      <c r="TWX1371" s="110"/>
      <c r="TWY1371" s="110"/>
      <c r="TWZ1371" s="110"/>
      <c r="TXA1371" s="110"/>
      <c r="TXB1371" s="110"/>
      <c r="TXC1371" s="110"/>
      <c r="TXD1371" s="110"/>
      <c r="TXE1371" s="110"/>
      <c r="TXF1371" s="110"/>
      <c r="TXG1371" s="110"/>
      <c r="TXH1371" s="110"/>
      <c r="TXI1371" s="110"/>
      <c r="TXJ1371" s="110"/>
      <c r="TXK1371" s="110"/>
      <c r="TXL1371" s="110"/>
      <c r="TXM1371" s="110"/>
      <c r="TXN1371" s="110"/>
      <c r="TXO1371" s="110"/>
      <c r="TXP1371" s="110"/>
      <c r="TXQ1371" s="110"/>
      <c r="TXR1371" s="110"/>
      <c r="TXS1371" s="110"/>
      <c r="TXT1371" s="110"/>
      <c r="TXU1371" s="110"/>
      <c r="TXV1371" s="110"/>
      <c r="TXW1371" s="110"/>
      <c r="TXX1371" s="110"/>
      <c r="TXY1371" s="110"/>
      <c r="TXZ1371" s="110"/>
      <c r="TYA1371" s="110"/>
      <c r="TYB1371" s="110"/>
      <c r="TYC1371" s="110"/>
      <c r="TYD1371" s="110"/>
      <c r="TYE1371" s="110"/>
      <c r="TYF1371" s="110"/>
      <c r="TYG1371" s="110"/>
      <c r="TYH1371" s="110"/>
      <c r="TYI1371" s="110"/>
      <c r="TYJ1371" s="110"/>
      <c r="TYK1371" s="110"/>
      <c r="TYL1371" s="110"/>
      <c r="TYM1371" s="110"/>
      <c r="TYN1371" s="110"/>
      <c r="TYO1371" s="110"/>
      <c r="TYP1371" s="110"/>
      <c r="TYQ1371" s="110"/>
      <c r="TYR1371" s="110"/>
      <c r="TYS1371" s="110"/>
      <c r="TYT1371" s="110"/>
      <c r="TYU1371" s="110"/>
      <c r="TYV1371" s="110"/>
      <c r="TYW1371" s="110"/>
      <c r="TYX1371" s="110"/>
      <c r="TYY1371" s="110"/>
      <c r="TYZ1371" s="110"/>
      <c r="TZA1371" s="110"/>
      <c r="TZB1371" s="110"/>
      <c r="TZC1371" s="110"/>
      <c r="TZD1371" s="110"/>
      <c r="TZE1371" s="110"/>
      <c r="TZF1371" s="110"/>
      <c r="TZG1371" s="110"/>
      <c r="TZH1371" s="110"/>
      <c r="TZI1371" s="110"/>
      <c r="TZJ1371" s="110"/>
      <c r="TZK1371" s="110"/>
      <c r="TZL1371" s="110"/>
      <c r="TZM1371" s="110"/>
      <c r="TZN1371" s="110"/>
      <c r="TZO1371" s="110"/>
      <c r="TZP1371" s="110"/>
      <c r="TZQ1371" s="110"/>
      <c r="TZR1371" s="110"/>
      <c r="TZS1371" s="110"/>
      <c r="TZT1371" s="110"/>
      <c r="TZU1371" s="110"/>
      <c r="TZV1371" s="110"/>
      <c r="TZW1371" s="110"/>
      <c r="TZX1371" s="110"/>
      <c r="TZY1371" s="110"/>
      <c r="TZZ1371" s="110"/>
      <c r="UAA1371" s="110"/>
      <c r="UAB1371" s="110"/>
      <c r="UAC1371" s="110"/>
      <c r="UAD1371" s="110"/>
      <c r="UAE1371" s="110"/>
      <c r="UAF1371" s="110"/>
      <c r="UAG1371" s="110"/>
      <c r="UAH1371" s="110"/>
      <c r="UAI1371" s="110"/>
      <c r="UAJ1371" s="110"/>
      <c r="UAK1371" s="110"/>
      <c r="UAL1371" s="110"/>
      <c r="UAM1371" s="110"/>
      <c r="UAN1371" s="110"/>
      <c r="UAO1371" s="110"/>
      <c r="UAP1371" s="110"/>
      <c r="UAQ1371" s="110"/>
      <c r="UAR1371" s="110"/>
      <c r="UAS1371" s="110"/>
      <c r="UAT1371" s="110"/>
      <c r="UAU1371" s="110"/>
      <c r="UAV1371" s="110"/>
      <c r="UAW1371" s="110"/>
      <c r="UAX1371" s="110"/>
      <c r="UAY1371" s="110"/>
      <c r="UAZ1371" s="110"/>
      <c r="UBA1371" s="110"/>
      <c r="UBB1371" s="110"/>
      <c r="UBC1371" s="110"/>
      <c r="UBD1371" s="110"/>
      <c r="UBE1371" s="110"/>
      <c r="UBF1371" s="110"/>
      <c r="UBG1371" s="110"/>
      <c r="UBH1371" s="110"/>
      <c r="UBI1371" s="110"/>
      <c r="UBJ1371" s="110"/>
      <c r="UBK1371" s="110"/>
      <c r="UBL1371" s="110"/>
      <c r="UBM1371" s="110"/>
      <c r="UBN1371" s="110"/>
      <c r="UBO1371" s="110"/>
      <c r="UBP1371" s="110"/>
      <c r="UBQ1371" s="110"/>
      <c r="UBR1371" s="110"/>
      <c r="UBS1371" s="110"/>
      <c r="UBT1371" s="110"/>
      <c r="UBU1371" s="110"/>
      <c r="UBV1371" s="110"/>
      <c r="UBW1371" s="110"/>
      <c r="UBX1371" s="110"/>
      <c r="UBY1371" s="110"/>
      <c r="UBZ1371" s="110"/>
      <c r="UCA1371" s="110"/>
      <c r="UCB1371" s="110"/>
      <c r="UCC1371" s="110"/>
      <c r="UCD1371" s="110"/>
      <c r="UCE1371" s="110"/>
      <c r="UCF1371" s="110"/>
      <c r="UCG1371" s="110"/>
      <c r="UCH1371" s="110"/>
      <c r="UCI1371" s="110"/>
      <c r="UCJ1371" s="110"/>
      <c r="UCK1371" s="110"/>
      <c r="UCL1371" s="110"/>
      <c r="UCM1371" s="110"/>
      <c r="UCN1371" s="110"/>
      <c r="UCO1371" s="110"/>
      <c r="UCP1371" s="110"/>
      <c r="UCQ1371" s="110"/>
      <c r="UCR1371" s="110"/>
      <c r="UCS1371" s="110"/>
      <c r="UCT1371" s="110"/>
      <c r="UCU1371" s="110"/>
      <c r="UCV1371" s="110"/>
      <c r="UCW1371" s="110"/>
      <c r="UCX1371" s="110"/>
      <c r="UCY1371" s="110"/>
      <c r="UCZ1371" s="110"/>
      <c r="UDA1371" s="110"/>
      <c r="UDB1371" s="110"/>
      <c r="UDC1371" s="110"/>
      <c r="UDD1371" s="110"/>
      <c r="UDE1371" s="110"/>
      <c r="UDF1371" s="110"/>
      <c r="UDG1371" s="110"/>
      <c r="UDH1371" s="110"/>
      <c r="UDI1371" s="110"/>
      <c r="UDJ1371" s="110"/>
      <c r="UDK1371" s="110"/>
      <c r="UDL1371" s="110"/>
      <c r="UDM1371" s="110"/>
      <c r="UDN1371" s="110"/>
      <c r="UDO1371" s="110"/>
      <c r="UDP1371" s="110"/>
      <c r="UDQ1371" s="110"/>
      <c r="UDR1371" s="110"/>
      <c r="UDS1371" s="110"/>
      <c r="UDT1371" s="110"/>
      <c r="UDU1371" s="110"/>
      <c r="UDV1371" s="110"/>
      <c r="UDW1371" s="110"/>
      <c r="UDX1371" s="110"/>
      <c r="UDY1371" s="110"/>
      <c r="UDZ1371" s="110"/>
      <c r="UEA1371" s="110"/>
      <c r="UEB1371" s="110"/>
      <c r="UEC1371" s="110"/>
      <c r="UED1371" s="110"/>
      <c r="UEE1371" s="110"/>
      <c r="UEF1371" s="110"/>
      <c r="UEG1371" s="110"/>
      <c r="UEH1371" s="110"/>
      <c r="UEI1371" s="110"/>
      <c r="UEJ1371" s="110"/>
      <c r="UEK1371" s="110"/>
      <c r="UEL1371" s="110"/>
      <c r="UEM1371" s="110"/>
      <c r="UEN1371" s="110"/>
      <c r="UEO1371" s="110"/>
      <c r="UEP1371" s="110"/>
      <c r="UEQ1371" s="110"/>
      <c r="UER1371" s="110"/>
      <c r="UES1371" s="110"/>
      <c r="UET1371" s="110"/>
      <c r="UEU1371" s="110"/>
      <c r="UEV1371" s="110"/>
      <c r="UEW1371" s="110"/>
      <c r="UEX1371" s="110"/>
      <c r="UEY1371" s="110"/>
      <c r="UEZ1371" s="110"/>
      <c r="UFA1371" s="110"/>
      <c r="UFB1371" s="110"/>
      <c r="UFC1371" s="110"/>
      <c r="UFD1371" s="110"/>
      <c r="UFE1371" s="110"/>
      <c r="UFF1371" s="110"/>
      <c r="UFG1371" s="110"/>
      <c r="UFH1371" s="110"/>
      <c r="UFI1371" s="110"/>
      <c r="UFJ1371" s="110"/>
      <c r="UFK1371" s="110"/>
      <c r="UFL1371" s="110"/>
      <c r="UFM1371" s="110"/>
      <c r="UFN1371" s="110"/>
      <c r="UFO1371" s="110"/>
      <c r="UFP1371" s="110"/>
      <c r="UFQ1371" s="110"/>
      <c r="UFR1371" s="110"/>
      <c r="UFS1371" s="110"/>
      <c r="UFT1371" s="110"/>
      <c r="UFU1371" s="110"/>
      <c r="UFV1371" s="110"/>
      <c r="UFW1371" s="110"/>
      <c r="UFX1371" s="110"/>
      <c r="UFY1371" s="110"/>
      <c r="UFZ1371" s="110"/>
      <c r="UGA1371" s="110"/>
      <c r="UGB1371" s="110"/>
      <c r="UGC1371" s="110"/>
      <c r="UGD1371" s="110"/>
      <c r="UGE1371" s="110"/>
      <c r="UGF1371" s="110"/>
      <c r="UGG1371" s="110"/>
      <c r="UGH1371" s="110"/>
      <c r="UGI1371" s="110"/>
      <c r="UGJ1371" s="110"/>
      <c r="UGK1371" s="110"/>
      <c r="UGL1371" s="110"/>
      <c r="UGM1371" s="110"/>
      <c r="UGN1371" s="110"/>
      <c r="UGO1371" s="110"/>
      <c r="UGP1371" s="110"/>
      <c r="UGQ1371" s="110"/>
      <c r="UGR1371" s="110"/>
      <c r="UGS1371" s="110"/>
      <c r="UGT1371" s="110"/>
      <c r="UGU1371" s="110"/>
      <c r="UGV1371" s="110"/>
      <c r="UGW1371" s="110"/>
      <c r="UGX1371" s="110"/>
      <c r="UGY1371" s="110"/>
      <c r="UGZ1371" s="110"/>
      <c r="UHA1371" s="110"/>
      <c r="UHB1371" s="110"/>
      <c r="UHC1371" s="110"/>
      <c r="UHD1371" s="110"/>
      <c r="UHE1371" s="110"/>
      <c r="UHF1371" s="110"/>
      <c r="UHG1371" s="110"/>
      <c r="UHH1371" s="110"/>
      <c r="UHI1371" s="110"/>
      <c r="UHJ1371" s="110"/>
      <c r="UHK1371" s="110"/>
      <c r="UHL1371" s="110"/>
      <c r="UHM1371" s="110"/>
      <c r="UHN1371" s="110"/>
      <c r="UHO1371" s="110"/>
      <c r="UHP1371" s="110"/>
      <c r="UHQ1371" s="110"/>
      <c r="UHR1371" s="110"/>
      <c r="UHS1371" s="110"/>
      <c r="UHT1371" s="110"/>
      <c r="UHU1371" s="110"/>
      <c r="UHV1371" s="110"/>
      <c r="UHW1371" s="110"/>
      <c r="UHX1371" s="110"/>
      <c r="UHY1371" s="110"/>
      <c r="UHZ1371" s="110"/>
      <c r="UIA1371" s="110"/>
      <c r="UIB1371" s="110"/>
      <c r="UIC1371" s="110"/>
      <c r="UID1371" s="110"/>
      <c r="UIE1371" s="110"/>
      <c r="UIF1371" s="110"/>
      <c r="UIG1371" s="110"/>
      <c r="UIH1371" s="110"/>
      <c r="UII1371" s="110"/>
      <c r="UIJ1371" s="110"/>
      <c r="UIK1371" s="110"/>
      <c r="UIL1371" s="110"/>
      <c r="UIM1371" s="110"/>
      <c r="UIN1371" s="110"/>
      <c r="UIO1371" s="110"/>
      <c r="UIP1371" s="110"/>
      <c r="UIQ1371" s="110"/>
      <c r="UIR1371" s="110"/>
      <c r="UIS1371" s="110"/>
      <c r="UIT1371" s="110"/>
      <c r="UIU1371" s="110"/>
      <c r="UIV1371" s="110"/>
      <c r="UIW1371" s="110"/>
      <c r="UIX1371" s="110"/>
      <c r="UIY1371" s="110"/>
      <c r="UIZ1371" s="110"/>
      <c r="UJA1371" s="110"/>
      <c r="UJB1371" s="110"/>
      <c r="UJC1371" s="110"/>
      <c r="UJD1371" s="110"/>
      <c r="UJE1371" s="110"/>
      <c r="UJF1371" s="110"/>
      <c r="UJG1371" s="110"/>
      <c r="UJH1371" s="110"/>
      <c r="UJI1371" s="110"/>
      <c r="UJJ1371" s="110"/>
      <c r="UJK1371" s="110"/>
      <c r="UJL1371" s="110"/>
      <c r="UJM1371" s="110"/>
      <c r="UJN1371" s="110"/>
      <c r="UJO1371" s="110"/>
      <c r="UJP1371" s="110"/>
      <c r="UJQ1371" s="110"/>
      <c r="UJR1371" s="110"/>
      <c r="UJS1371" s="110"/>
      <c r="UJT1371" s="110"/>
      <c r="UJU1371" s="110"/>
      <c r="UJV1371" s="110"/>
      <c r="UJW1371" s="110"/>
      <c r="UJX1371" s="110"/>
      <c r="UJY1371" s="110"/>
      <c r="UJZ1371" s="110"/>
      <c r="UKA1371" s="110"/>
      <c r="UKB1371" s="110"/>
      <c r="UKC1371" s="110"/>
      <c r="UKD1371" s="110"/>
      <c r="UKE1371" s="110"/>
      <c r="UKF1371" s="110"/>
      <c r="UKG1371" s="110"/>
      <c r="UKH1371" s="110"/>
      <c r="UKI1371" s="110"/>
      <c r="UKJ1371" s="110"/>
      <c r="UKK1371" s="110"/>
      <c r="UKL1371" s="110"/>
      <c r="UKM1371" s="110"/>
      <c r="UKN1371" s="110"/>
      <c r="UKO1371" s="110"/>
      <c r="UKP1371" s="110"/>
      <c r="UKQ1371" s="110"/>
      <c r="UKR1371" s="110"/>
      <c r="UKS1371" s="110"/>
      <c r="UKT1371" s="110"/>
      <c r="UKU1371" s="110"/>
      <c r="UKV1371" s="110"/>
      <c r="UKW1371" s="110"/>
      <c r="UKX1371" s="110"/>
      <c r="UKY1371" s="110"/>
      <c r="UKZ1371" s="110"/>
      <c r="ULA1371" s="110"/>
      <c r="ULB1371" s="110"/>
      <c r="ULC1371" s="110"/>
      <c r="ULD1371" s="110"/>
      <c r="ULE1371" s="110"/>
      <c r="ULF1371" s="110"/>
      <c r="ULG1371" s="110"/>
      <c r="ULH1371" s="110"/>
      <c r="ULI1371" s="110"/>
      <c r="ULJ1371" s="110"/>
      <c r="ULK1371" s="110"/>
      <c r="ULL1371" s="110"/>
      <c r="ULM1371" s="110"/>
      <c r="ULN1371" s="110"/>
      <c r="ULO1371" s="110"/>
      <c r="ULP1371" s="110"/>
      <c r="ULQ1371" s="110"/>
      <c r="ULR1371" s="110"/>
      <c r="ULS1371" s="110"/>
      <c r="ULT1371" s="110"/>
      <c r="ULU1371" s="110"/>
      <c r="ULV1371" s="110"/>
      <c r="ULW1371" s="110"/>
      <c r="ULX1371" s="110"/>
      <c r="ULY1371" s="110"/>
      <c r="ULZ1371" s="110"/>
      <c r="UMA1371" s="110"/>
      <c r="UMB1371" s="110"/>
      <c r="UMC1371" s="110"/>
      <c r="UMD1371" s="110"/>
      <c r="UME1371" s="110"/>
      <c r="UMF1371" s="110"/>
      <c r="UMG1371" s="110"/>
      <c r="UMH1371" s="110"/>
      <c r="UMI1371" s="110"/>
      <c r="UMJ1371" s="110"/>
      <c r="UMK1371" s="110"/>
      <c r="UML1371" s="110"/>
      <c r="UMM1371" s="110"/>
      <c r="UMN1371" s="110"/>
      <c r="UMO1371" s="110"/>
      <c r="UMP1371" s="110"/>
      <c r="UMQ1371" s="110"/>
      <c r="UMR1371" s="110"/>
      <c r="UMS1371" s="110"/>
      <c r="UMT1371" s="110"/>
      <c r="UMU1371" s="110"/>
      <c r="UMV1371" s="110"/>
      <c r="UMW1371" s="110"/>
      <c r="UMX1371" s="110"/>
      <c r="UMY1371" s="110"/>
      <c r="UMZ1371" s="110"/>
      <c r="UNA1371" s="110"/>
      <c r="UNB1371" s="110"/>
      <c r="UNC1371" s="110"/>
      <c r="UND1371" s="110"/>
      <c r="UNE1371" s="110"/>
      <c r="UNF1371" s="110"/>
      <c r="UNG1371" s="110"/>
      <c r="UNH1371" s="110"/>
      <c r="UNI1371" s="110"/>
      <c r="UNJ1371" s="110"/>
      <c r="UNK1371" s="110"/>
      <c r="UNL1371" s="110"/>
      <c r="UNM1371" s="110"/>
      <c r="UNN1371" s="110"/>
      <c r="UNO1371" s="110"/>
      <c r="UNP1371" s="110"/>
      <c r="UNQ1371" s="110"/>
      <c r="UNR1371" s="110"/>
      <c r="UNS1371" s="110"/>
      <c r="UNT1371" s="110"/>
      <c r="UNU1371" s="110"/>
      <c r="UNV1371" s="110"/>
      <c r="UNW1371" s="110"/>
      <c r="UNX1371" s="110"/>
      <c r="UNY1371" s="110"/>
      <c r="UNZ1371" s="110"/>
      <c r="UOA1371" s="110"/>
      <c r="UOB1371" s="110"/>
      <c r="UOC1371" s="110"/>
      <c r="UOD1371" s="110"/>
      <c r="UOE1371" s="110"/>
      <c r="UOF1371" s="110"/>
      <c r="UOG1371" s="110"/>
      <c r="UOH1371" s="110"/>
      <c r="UOI1371" s="110"/>
      <c r="UOJ1371" s="110"/>
      <c r="UOK1371" s="110"/>
      <c r="UOL1371" s="110"/>
      <c r="UOM1371" s="110"/>
      <c r="UON1371" s="110"/>
      <c r="UOO1371" s="110"/>
      <c r="UOP1371" s="110"/>
      <c r="UOQ1371" s="110"/>
      <c r="UOR1371" s="110"/>
      <c r="UOS1371" s="110"/>
      <c r="UOT1371" s="110"/>
      <c r="UOU1371" s="110"/>
      <c r="UOV1371" s="110"/>
      <c r="UOW1371" s="110"/>
      <c r="UOX1371" s="110"/>
      <c r="UOY1371" s="110"/>
      <c r="UOZ1371" s="110"/>
      <c r="UPA1371" s="110"/>
      <c r="UPB1371" s="110"/>
      <c r="UPC1371" s="110"/>
      <c r="UPD1371" s="110"/>
      <c r="UPE1371" s="110"/>
      <c r="UPF1371" s="110"/>
      <c r="UPG1371" s="110"/>
      <c r="UPH1371" s="110"/>
      <c r="UPI1371" s="110"/>
      <c r="UPJ1371" s="110"/>
      <c r="UPK1371" s="110"/>
      <c r="UPL1371" s="110"/>
      <c r="UPM1371" s="110"/>
      <c r="UPN1371" s="110"/>
      <c r="UPO1371" s="110"/>
      <c r="UPP1371" s="110"/>
      <c r="UPQ1371" s="110"/>
      <c r="UPR1371" s="110"/>
      <c r="UPS1371" s="110"/>
      <c r="UPT1371" s="110"/>
      <c r="UPU1371" s="110"/>
      <c r="UPV1371" s="110"/>
      <c r="UPW1371" s="110"/>
      <c r="UPX1371" s="110"/>
      <c r="UPY1371" s="110"/>
      <c r="UPZ1371" s="110"/>
      <c r="UQA1371" s="110"/>
      <c r="UQB1371" s="110"/>
      <c r="UQC1371" s="110"/>
      <c r="UQD1371" s="110"/>
      <c r="UQE1371" s="110"/>
      <c r="UQF1371" s="110"/>
      <c r="UQG1371" s="110"/>
      <c r="UQH1371" s="110"/>
      <c r="UQI1371" s="110"/>
      <c r="UQJ1371" s="110"/>
      <c r="UQK1371" s="110"/>
      <c r="UQL1371" s="110"/>
      <c r="UQM1371" s="110"/>
      <c r="UQN1371" s="110"/>
      <c r="UQO1371" s="110"/>
      <c r="UQP1371" s="110"/>
      <c r="UQQ1371" s="110"/>
      <c r="UQR1371" s="110"/>
      <c r="UQS1371" s="110"/>
      <c r="UQT1371" s="110"/>
      <c r="UQU1371" s="110"/>
      <c r="UQV1371" s="110"/>
      <c r="UQW1371" s="110"/>
      <c r="UQX1371" s="110"/>
      <c r="UQY1371" s="110"/>
      <c r="UQZ1371" s="110"/>
      <c r="URA1371" s="110"/>
      <c r="URB1371" s="110"/>
      <c r="URC1371" s="110"/>
      <c r="URD1371" s="110"/>
      <c r="URE1371" s="110"/>
      <c r="URF1371" s="110"/>
      <c r="URG1371" s="110"/>
      <c r="URH1371" s="110"/>
      <c r="URI1371" s="110"/>
      <c r="URJ1371" s="110"/>
      <c r="URK1371" s="110"/>
      <c r="URL1371" s="110"/>
      <c r="URM1371" s="110"/>
      <c r="URN1371" s="110"/>
      <c r="URO1371" s="110"/>
      <c r="URP1371" s="110"/>
      <c r="URQ1371" s="110"/>
      <c r="URR1371" s="110"/>
      <c r="URS1371" s="110"/>
      <c r="URT1371" s="110"/>
      <c r="URU1371" s="110"/>
      <c r="URV1371" s="110"/>
      <c r="URW1371" s="110"/>
      <c r="URX1371" s="110"/>
      <c r="URY1371" s="110"/>
      <c r="URZ1371" s="110"/>
      <c r="USA1371" s="110"/>
      <c r="USB1371" s="110"/>
      <c r="USC1371" s="110"/>
      <c r="USD1371" s="110"/>
      <c r="USE1371" s="110"/>
      <c r="USF1371" s="110"/>
      <c r="USG1371" s="110"/>
      <c r="USH1371" s="110"/>
      <c r="USI1371" s="110"/>
      <c r="USJ1371" s="110"/>
      <c r="USK1371" s="110"/>
      <c r="USL1371" s="110"/>
      <c r="USM1371" s="110"/>
      <c r="USN1371" s="110"/>
      <c r="USO1371" s="110"/>
      <c r="USP1371" s="110"/>
      <c r="USQ1371" s="110"/>
      <c r="USR1371" s="110"/>
      <c r="USS1371" s="110"/>
      <c r="UST1371" s="110"/>
      <c r="USU1371" s="110"/>
      <c r="USV1371" s="110"/>
      <c r="USW1371" s="110"/>
      <c r="USX1371" s="110"/>
      <c r="USY1371" s="110"/>
      <c r="USZ1371" s="110"/>
      <c r="UTA1371" s="110"/>
      <c r="UTB1371" s="110"/>
      <c r="UTC1371" s="110"/>
      <c r="UTD1371" s="110"/>
      <c r="UTE1371" s="110"/>
      <c r="UTF1371" s="110"/>
      <c r="UTG1371" s="110"/>
      <c r="UTH1371" s="110"/>
      <c r="UTI1371" s="110"/>
      <c r="UTJ1371" s="110"/>
      <c r="UTK1371" s="110"/>
      <c r="UTL1371" s="110"/>
      <c r="UTM1371" s="110"/>
      <c r="UTN1371" s="110"/>
      <c r="UTO1371" s="110"/>
      <c r="UTP1371" s="110"/>
      <c r="UTQ1371" s="110"/>
      <c r="UTR1371" s="110"/>
      <c r="UTS1371" s="110"/>
      <c r="UTT1371" s="110"/>
      <c r="UTU1371" s="110"/>
      <c r="UTV1371" s="110"/>
      <c r="UTW1371" s="110"/>
      <c r="UTX1371" s="110"/>
      <c r="UTY1371" s="110"/>
      <c r="UTZ1371" s="110"/>
      <c r="UUA1371" s="110"/>
      <c r="UUB1371" s="110"/>
      <c r="UUC1371" s="110"/>
      <c r="UUD1371" s="110"/>
      <c r="UUE1371" s="110"/>
      <c r="UUF1371" s="110"/>
      <c r="UUG1371" s="110"/>
      <c r="UUH1371" s="110"/>
      <c r="UUI1371" s="110"/>
      <c r="UUJ1371" s="110"/>
      <c r="UUK1371" s="110"/>
      <c r="UUL1371" s="110"/>
      <c r="UUM1371" s="110"/>
      <c r="UUN1371" s="110"/>
      <c r="UUO1371" s="110"/>
      <c r="UUP1371" s="110"/>
      <c r="UUQ1371" s="110"/>
      <c r="UUR1371" s="110"/>
      <c r="UUS1371" s="110"/>
      <c r="UUT1371" s="110"/>
      <c r="UUU1371" s="110"/>
      <c r="UUV1371" s="110"/>
      <c r="UUW1371" s="110"/>
      <c r="UUX1371" s="110"/>
      <c r="UUY1371" s="110"/>
      <c r="UUZ1371" s="110"/>
      <c r="UVA1371" s="110"/>
      <c r="UVB1371" s="110"/>
      <c r="UVC1371" s="110"/>
      <c r="UVD1371" s="110"/>
      <c r="UVE1371" s="110"/>
      <c r="UVF1371" s="110"/>
      <c r="UVG1371" s="110"/>
      <c r="UVH1371" s="110"/>
      <c r="UVI1371" s="110"/>
      <c r="UVJ1371" s="110"/>
      <c r="UVK1371" s="110"/>
      <c r="UVL1371" s="110"/>
      <c r="UVM1371" s="110"/>
      <c r="UVN1371" s="110"/>
      <c r="UVO1371" s="110"/>
      <c r="UVP1371" s="110"/>
      <c r="UVQ1371" s="110"/>
      <c r="UVR1371" s="110"/>
      <c r="UVS1371" s="110"/>
      <c r="UVT1371" s="110"/>
      <c r="UVU1371" s="110"/>
      <c r="UVV1371" s="110"/>
      <c r="UVW1371" s="110"/>
      <c r="UVX1371" s="110"/>
      <c r="UVY1371" s="110"/>
      <c r="UVZ1371" s="110"/>
      <c r="UWA1371" s="110"/>
      <c r="UWB1371" s="110"/>
      <c r="UWC1371" s="110"/>
      <c r="UWD1371" s="110"/>
      <c r="UWE1371" s="110"/>
      <c r="UWF1371" s="110"/>
      <c r="UWG1371" s="110"/>
      <c r="UWH1371" s="110"/>
      <c r="UWI1371" s="110"/>
      <c r="UWJ1371" s="110"/>
      <c r="UWK1371" s="110"/>
      <c r="UWL1371" s="110"/>
      <c r="UWM1371" s="110"/>
      <c r="UWN1371" s="110"/>
      <c r="UWO1371" s="110"/>
      <c r="UWP1371" s="110"/>
      <c r="UWQ1371" s="110"/>
      <c r="UWR1371" s="110"/>
      <c r="UWS1371" s="110"/>
      <c r="UWT1371" s="110"/>
      <c r="UWU1371" s="110"/>
      <c r="UWV1371" s="110"/>
      <c r="UWW1371" s="110"/>
      <c r="UWX1371" s="110"/>
      <c r="UWY1371" s="110"/>
      <c r="UWZ1371" s="110"/>
      <c r="UXA1371" s="110"/>
      <c r="UXB1371" s="110"/>
      <c r="UXC1371" s="110"/>
      <c r="UXD1371" s="110"/>
      <c r="UXE1371" s="110"/>
      <c r="UXF1371" s="110"/>
      <c r="UXG1371" s="110"/>
      <c r="UXH1371" s="110"/>
      <c r="UXI1371" s="110"/>
      <c r="UXJ1371" s="110"/>
      <c r="UXK1371" s="110"/>
      <c r="UXL1371" s="110"/>
      <c r="UXM1371" s="110"/>
      <c r="UXN1371" s="110"/>
      <c r="UXO1371" s="110"/>
      <c r="UXP1371" s="110"/>
      <c r="UXQ1371" s="110"/>
      <c r="UXR1371" s="110"/>
      <c r="UXS1371" s="110"/>
      <c r="UXT1371" s="110"/>
      <c r="UXU1371" s="110"/>
      <c r="UXV1371" s="110"/>
      <c r="UXW1371" s="110"/>
      <c r="UXX1371" s="110"/>
      <c r="UXY1371" s="110"/>
      <c r="UXZ1371" s="110"/>
      <c r="UYA1371" s="110"/>
      <c r="UYB1371" s="110"/>
      <c r="UYC1371" s="110"/>
      <c r="UYD1371" s="110"/>
      <c r="UYE1371" s="110"/>
      <c r="UYF1371" s="110"/>
      <c r="UYG1371" s="110"/>
      <c r="UYH1371" s="110"/>
      <c r="UYI1371" s="110"/>
      <c r="UYJ1371" s="110"/>
      <c r="UYK1371" s="110"/>
      <c r="UYL1371" s="110"/>
      <c r="UYM1371" s="110"/>
      <c r="UYN1371" s="110"/>
      <c r="UYO1371" s="110"/>
      <c r="UYP1371" s="110"/>
      <c r="UYQ1371" s="110"/>
      <c r="UYR1371" s="110"/>
      <c r="UYS1371" s="110"/>
      <c r="UYT1371" s="110"/>
      <c r="UYU1371" s="110"/>
      <c r="UYV1371" s="110"/>
      <c r="UYW1371" s="110"/>
      <c r="UYX1371" s="110"/>
      <c r="UYY1371" s="110"/>
      <c r="UYZ1371" s="110"/>
      <c r="UZA1371" s="110"/>
      <c r="UZB1371" s="110"/>
      <c r="UZC1371" s="110"/>
      <c r="UZD1371" s="110"/>
      <c r="UZE1371" s="110"/>
      <c r="UZF1371" s="110"/>
      <c r="UZG1371" s="110"/>
      <c r="UZH1371" s="110"/>
      <c r="UZI1371" s="110"/>
      <c r="UZJ1371" s="110"/>
      <c r="UZK1371" s="110"/>
      <c r="UZL1371" s="110"/>
      <c r="UZM1371" s="110"/>
      <c r="UZN1371" s="110"/>
      <c r="UZO1371" s="110"/>
      <c r="UZP1371" s="110"/>
      <c r="UZQ1371" s="110"/>
      <c r="UZR1371" s="110"/>
      <c r="UZS1371" s="110"/>
      <c r="UZT1371" s="110"/>
      <c r="UZU1371" s="110"/>
      <c r="UZV1371" s="110"/>
      <c r="UZW1371" s="110"/>
      <c r="UZX1371" s="110"/>
      <c r="UZY1371" s="110"/>
      <c r="UZZ1371" s="110"/>
      <c r="VAA1371" s="110"/>
      <c r="VAB1371" s="110"/>
      <c r="VAC1371" s="110"/>
      <c r="VAD1371" s="110"/>
      <c r="VAE1371" s="110"/>
      <c r="VAF1371" s="110"/>
      <c r="VAG1371" s="110"/>
      <c r="VAH1371" s="110"/>
      <c r="VAI1371" s="110"/>
      <c r="VAJ1371" s="110"/>
      <c r="VAK1371" s="110"/>
      <c r="VAL1371" s="110"/>
      <c r="VAM1371" s="110"/>
      <c r="VAN1371" s="110"/>
      <c r="VAO1371" s="110"/>
      <c r="VAP1371" s="110"/>
      <c r="VAQ1371" s="110"/>
      <c r="VAR1371" s="110"/>
      <c r="VAS1371" s="110"/>
      <c r="VAT1371" s="110"/>
      <c r="VAU1371" s="110"/>
      <c r="VAV1371" s="110"/>
      <c r="VAW1371" s="110"/>
      <c r="VAX1371" s="110"/>
      <c r="VAY1371" s="110"/>
      <c r="VAZ1371" s="110"/>
      <c r="VBA1371" s="110"/>
      <c r="VBB1371" s="110"/>
      <c r="VBC1371" s="110"/>
      <c r="VBD1371" s="110"/>
      <c r="VBE1371" s="110"/>
      <c r="VBF1371" s="110"/>
      <c r="VBG1371" s="110"/>
      <c r="VBH1371" s="110"/>
      <c r="VBI1371" s="110"/>
      <c r="VBJ1371" s="110"/>
      <c r="VBK1371" s="110"/>
      <c r="VBL1371" s="110"/>
      <c r="VBM1371" s="110"/>
      <c r="VBN1371" s="110"/>
      <c r="VBO1371" s="110"/>
      <c r="VBP1371" s="110"/>
      <c r="VBQ1371" s="110"/>
      <c r="VBR1371" s="110"/>
      <c r="VBS1371" s="110"/>
      <c r="VBT1371" s="110"/>
      <c r="VBU1371" s="110"/>
      <c r="VBV1371" s="110"/>
      <c r="VBW1371" s="110"/>
      <c r="VBX1371" s="110"/>
      <c r="VBY1371" s="110"/>
      <c r="VBZ1371" s="110"/>
      <c r="VCA1371" s="110"/>
      <c r="VCB1371" s="110"/>
      <c r="VCC1371" s="110"/>
      <c r="VCD1371" s="110"/>
      <c r="VCE1371" s="110"/>
      <c r="VCF1371" s="110"/>
      <c r="VCG1371" s="110"/>
      <c r="VCH1371" s="110"/>
      <c r="VCI1371" s="110"/>
      <c r="VCJ1371" s="110"/>
      <c r="VCK1371" s="110"/>
      <c r="VCL1371" s="110"/>
      <c r="VCM1371" s="110"/>
      <c r="VCN1371" s="110"/>
      <c r="VCO1371" s="110"/>
      <c r="VCP1371" s="110"/>
      <c r="VCQ1371" s="110"/>
      <c r="VCR1371" s="110"/>
      <c r="VCS1371" s="110"/>
      <c r="VCT1371" s="110"/>
      <c r="VCU1371" s="110"/>
      <c r="VCV1371" s="110"/>
      <c r="VCW1371" s="110"/>
      <c r="VCX1371" s="110"/>
      <c r="VCY1371" s="110"/>
      <c r="VCZ1371" s="110"/>
      <c r="VDA1371" s="110"/>
      <c r="VDB1371" s="110"/>
      <c r="VDC1371" s="110"/>
      <c r="VDD1371" s="110"/>
      <c r="VDE1371" s="110"/>
      <c r="VDF1371" s="110"/>
      <c r="VDG1371" s="110"/>
      <c r="VDH1371" s="110"/>
      <c r="VDI1371" s="110"/>
      <c r="VDJ1371" s="110"/>
      <c r="VDK1371" s="110"/>
      <c r="VDL1371" s="110"/>
      <c r="VDM1371" s="110"/>
      <c r="VDN1371" s="110"/>
      <c r="VDO1371" s="110"/>
      <c r="VDP1371" s="110"/>
      <c r="VDQ1371" s="110"/>
      <c r="VDR1371" s="110"/>
      <c r="VDS1371" s="110"/>
      <c r="VDT1371" s="110"/>
      <c r="VDU1371" s="110"/>
      <c r="VDV1371" s="110"/>
      <c r="VDW1371" s="110"/>
      <c r="VDX1371" s="110"/>
      <c r="VDY1371" s="110"/>
      <c r="VDZ1371" s="110"/>
      <c r="VEA1371" s="110"/>
      <c r="VEB1371" s="110"/>
      <c r="VEC1371" s="110"/>
      <c r="VED1371" s="110"/>
      <c r="VEE1371" s="110"/>
      <c r="VEF1371" s="110"/>
      <c r="VEG1371" s="110"/>
      <c r="VEH1371" s="110"/>
      <c r="VEI1371" s="110"/>
      <c r="VEJ1371" s="110"/>
      <c r="VEK1371" s="110"/>
      <c r="VEL1371" s="110"/>
      <c r="VEM1371" s="110"/>
      <c r="VEN1371" s="110"/>
      <c r="VEO1371" s="110"/>
      <c r="VEP1371" s="110"/>
      <c r="VEQ1371" s="110"/>
      <c r="VER1371" s="110"/>
      <c r="VES1371" s="110"/>
      <c r="VET1371" s="110"/>
      <c r="VEU1371" s="110"/>
      <c r="VEV1371" s="110"/>
      <c r="VEW1371" s="110"/>
      <c r="VEX1371" s="110"/>
      <c r="VEY1371" s="110"/>
      <c r="VEZ1371" s="110"/>
      <c r="VFA1371" s="110"/>
      <c r="VFB1371" s="110"/>
      <c r="VFC1371" s="110"/>
      <c r="VFD1371" s="110"/>
      <c r="VFE1371" s="110"/>
      <c r="VFF1371" s="110"/>
      <c r="VFG1371" s="110"/>
      <c r="VFH1371" s="110"/>
      <c r="VFI1371" s="110"/>
      <c r="VFJ1371" s="110"/>
      <c r="VFK1371" s="110"/>
      <c r="VFL1371" s="110"/>
      <c r="VFM1371" s="110"/>
      <c r="VFN1371" s="110"/>
      <c r="VFO1371" s="110"/>
      <c r="VFP1371" s="110"/>
      <c r="VFQ1371" s="110"/>
      <c r="VFR1371" s="110"/>
      <c r="VFS1371" s="110"/>
      <c r="VFT1371" s="110"/>
      <c r="VFU1371" s="110"/>
      <c r="VFV1371" s="110"/>
      <c r="VFW1371" s="110"/>
      <c r="VFX1371" s="110"/>
      <c r="VFY1371" s="110"/>
      <c r="VFZ1371" s="110"/>
      <c r="VGA1371" s="110"/>
      <c r="VGB1371" s="110"/>
      <c r="VGC1371" s="110"/>
      <c r="VGD1371" s="110"/>
      <c r="VGE1371" s="110"/>
      <c r="VGF1371" s="110"/>
      <c r="VGG1371" s="110"/>
      <c r="VGH1371" s="110"/>
      <c r="VGI1371" s="110"/>
      <c r="VGJ1371" s="110"/>
      <c r="VGK1371" s="110"/>
      <c r="VGL1371" s="110"/>
      <c r="VGM1371" s="110"/>
      <c r="VGN1371" s="110"/>
      <c r="VGO1371" s="110"/>
      <c r="VGP1371" s="110"/>
      <c r="VGQ1371" s="110"/>
      <c r="VGR1371" s="110"/>
      <c r="VGS1371" s="110"/>
      <c r="VGT1371" s="110"/>
      <c r="VGU1371" s="110"/>
      <c r="VGV1371" s="110"/>
      <c r="VGW1371" s="110"/>
      <c r="VGX1371" s="110"/>
      <c r="VGY1371" s="110"/>
      <c r="VGZ1371" s="110"/>
      <c r="VHA1371" s="110"/>
      <c r="VHB1371" s="110"/>
      <c r="VHC1371" s="110"/>
      <c r="VHD1371" s="110"/>
      <c r="VHE1371" s="110"/>
      <c r="VHF1371" s="110"/>
      <c r="VHG1371" s="110"/>
      <c r="VHH1371" s="110"/>
      <c r="VHI1371" s="110"/>
      <c r="VHJ1371" s="110"/>
      <c r="VHK1371" s="110"/>
      <c r="VHL1371" s="110"/>
      <c r="VHM1371" s="110"/>
      <c r="VHN1371" s="110"/>
      <c r="VHO1371" s="110"/>
      <c r="VHP1371" s="110"/>
      <c r="VHQ1371" s="110"/>
      <c r="VHR1371" s="110"/>
      <c r="VHS1371" s="110"/>
      <c r="VHT1371" s="110"/>
      <c r="VHU1371" s="110"/>
      <c r="VHV1371" s="110"/>
      <c r="VHW1371" s="110"/>
      <c r="VHX1371" s="110"/>
      <c r="VHY1371" s="110"/>
      <c r="VHZ1371" s="110"/>
      <c r="VIA1371" s="110"/>
      <c r="VIB1371" s="110"/>
      <c r="VIC1371" s="110"/>
      <c r="VID1371" s="110"/>
      <c r="VIE1371" s="110"/>
      <c r="VIF1371" s="110"/>
      <c r="VIG1371" s="110"/>
      <c r="VIH1371" s="110"/>
      <c r="VII1371" s="110"/>
      <c r="VIJ1371" s="110"/>
      <c r="VIK1371" s="110"/>
      <c r="VIL1371" s="110"/>
      <c r="VIM1371" s="110"/>
      <c r="VIN1371" s="110"/>
      <c r="VIO1371" s="110"/>
      <c r="VIP1371" s="110"/>
      <c r="VIQ1371" s="110"/>
      <c r="VIR1371" s="110"/>
      <c r="VIS1371" s="110"/>
      <c r="VIT1371" s="110"/>
      <c r="VIU1371" s="110"/>
      <c r="VIV1371" s="110"/>
      <c r="VIW1371" s="110"/>
      <c r="VIX1371" s="110"/>
      <c r="VIY1371" s="110"/>
      <c r="VIZ1371" s="110"/>
      <c r="VJA1371" s="110"/>
      <c r="VJB1371" s="110"/>
      <c r="VJC1371" s="110"/>
      <c r="VJD1371" s="110"/>
      <c r="VJE1371" s="110"/>
      <c r="VJF1371" s="110"/>
      <c r="VJG1371" s="110"/>
      <c r="VJH1371" s="110"/>
      <c r="VJI1371" s="110"/>
      <c r="VJJ1371" s="110"/>
      <c r="VJK1371" s="110"/>
      <c r="VJL1371" s="110"/>
      <c r="VJM1371" s="110"/>
      <c r="VJN1371" s="110"/>
      <c r="VJO1371" s="110"/>
      <c r="VJP1371" s="110"/>
      <c r="VJQ1371" s="110"/>
      <c r="VJR1371" s="110"/>
      <c r="VJS1371" s="110"/>
      <c r="VJT1371" s="110"/>
      <c r="VJU1371" s="110"/>
      <c r="VJV1371" s="110"/>
      <c r="VJW1371" s="110"/>
      <c r="VJX1371" s="110"/>
      <c r="VJY1371" s="110"/>
      <c r="VJZ1371" s="110"/>
      <c r="VKA1371" s="110"/>
      <c r="VKB1371" s="110"/>
      <c r="VKC1371" s="110"/>
      <c r="VKD1371" s="110"/>
      <c r="VKE1371" s="110"/>
      <c r="VKF1371" s="110"/>
      <c r="VKG1371" s="110"/>
      <c r="VKH1371" s="110"/>
      <c r="VKI1371" s="110"/>
      <c r="VKJ1371" s="110"/>
      <c r="VKK1371" s="110"/>
      <c r="VKL1371" s="110"/>
      <c r="VKM1371" s="110"/>
      <c r="VKN1371" s="110"/>
      <c r="VKO1371" s="110"/>
      <c r="VKP1371" s="110"/>
      <c r="VKQ1371" s="110"/>
      <c r="VKR1371" s="110"/>
      <c r="VKS1371" s="110"/>
      <c r="VKT1371" s="110"/>
      <c r="VKU1371" s="110"/>
      <c r="VKV1371" s="110"/>
      <c r="VKW1371" s="110"/>
      <c r="VKX1371" s="110"/>
      <c r="VKY1371" s="110"/>
      <c r="VKZ1371" s="110"/>
      <c r="VLA1371" s="110"/>
      <c r="VLB1371" s="110"/>
      <c r="VLC1371" s="110"/>
      <c r="VLD1371" s="110"/>
      <c r="VLE1371" s="110"/>
      <c r="VLF1371" s="110"/>
      <c r="VLG1371" s="110"/>
      <c r="VLH1371" s="110"/>
      <c r="VLI1371" s="110"/>
      <c r="VLJ1371" s="110"/>
      <c r="VLK1371" s="110"/>
      <c r="VLL1371" s="110"/>
      <c r="VLM1371" s="110"/>
      <c r="VLN1371" s="110"/>
      <c r="VLO1371" s="110"/>
      <c r="VLP1371" s="110"/>
      <c r="VLQ1371" s="110"/>
      <c r="VLR1371" s="110"/>
      <c r="VLS1371" s="110"/>
      <c r="VLT1371" s="110"/>
      <c r="VLU1371" s="110"/>
      <c r="VLV1371" s="110"/>
      <c r="VLW1371" s="110"/>
      <c r="VLX1371" s="110"/>
      <c r="VLY1371" s="110"/>
      <c r="VLZ1371" s="110"/>
      <c r="VMA1371" s="110"/>
      <c r="VMB1371" s="110"/>
      <c r="VMC1371" s="110"/>
      <c r="VMD1371" s="110"/>
      <c r="VME1371" s="110"/>
      <c r="VMF1371" s="110"/>
      <c r="VMG1371" s="110"/>
      <c r="VMH1371" s="110"/>
      <c r="VMI1371" s="110"/>
      <c r="VMJ1371" s="110"/>
      <c r="VMK1371" s="110"/>
      <c r="VML1371" s="110"/>
      <c r="VMM1371" s="110"/>
      <c r="VMN1371" s="110"/>
      <c r="VMO1371" s="110"/>
      <c r="VMP1371" s="110"/>
      <c r="VMQ1371" s="110"/>
      <c r="VMR1371" s="110"/>
      <c r="VMS1371" s="110"/>
      <c r="VMT1371" s="110"/>
      <c r="VMU1371" s="110"/>
      <c r="VMV1371" s="110"/>
      <c r="VMW1371" s="110"/>
      <c r="VMX1371" s="110"/>
      <c r="VMY1371" s="110"/>
      <c r="VMZ1371" s="110"/>
      <c r="VNA1371" s="110"/>
      <c r="VNB1371" s="110"/>
      <c r="VNC1371" s="110"/>
      <c r="VND1371" s="110"/>
      <c r="VNE1371" s="110"/>
      <c r="VNF1371" s="110"/>
      <c r="VNG1371" s="110"/>
      <c r="VNH1371" s="110"/>
      <c r="VNI1371" s="110"/>
      <c r="VNJ1371" s="110"/>
      <c r="VNK1371" s="110"/>
      <c r="VNL1371" s="110"/>
      <c r="VNM1371" s="110"/>
      <c r="VNN1371" s="110"/>
      <c r="VNO1371" s="110"/>
      <c r="VNP1371" s="110"/>
      <c r="VNQ1371" s="110"/>
      <c r="VNR1371" s="110"/>
      <c r="VNS1371" s="110"/>
      <c r="VNT1371" s="110"/>
      <c r="VNU1371" s="110"/>
      <c r="VNV1371" s="110"/>
      <c r="VNW1371" s="110"/>
      <c r="VNX1371" s="110"/>
      <c r="VNY1371" s="110"/>
      <c r="VNZ1371" s="110"/>
      <c r="VOA1371" s="110"/>
      <c r="VOB1371" s="110"/>
      <c r="VOC1371" s="110"/>
      <c r="VOD1371" s="110"/>
      <c r="VOE1371" s="110"/>
      <c r="VOF1371" s="110"/>
      <c r="VOG1371" s="110"/>
      <c r="VOH1371" s="110"/>
      <c r="VOI1371" s="110"/>
      <c r="VOJ1371" s="110"/>
      <c r="VOK1371" s="110"/>
      <c r="VOL1371" s="110"/>
      <c r="VOM1371" s="110"/>
      <c r="VON1371" s="110"/>
      <c r="VOO1371" s="110"/>
      <c r="VOP1371" s="110"/>
      <c r="VOQ1371" s="110"/>
      <c r="VOR1371" s="110"/>
      <c r="VOS1371" s="110"/>
      <c r="VOT1371" s="110"/>
      <c r="VOU1371" s="110"/>
      <c r="VOV1371" s="110"/>
      <c r="VOW1371" s="110"/>
      <c r="VOX1371" s="110"/>
      <c r="VOY1371" s="110"/>
      <c r="VOZ1371" s="110"/>
      <c r="VPA1371" s="110"/>
      <c r="VPB1371" s="110"/>
      <c r="VPC1371" s="110"/>
      <c r="VPD1371" s="110"/>
      <c r="VPE1371" s="110"/>
      <c r="VPF1371" s="110"/>
      <c r="VPG1371" s="110"/>
      <c r="VPH1371" s="110"/>
      <c r="VPI1371" s="110"/>
      <c r="VPJ1371" s="110"/>
      <c r="VPK1371" s="110"/>
      <c r="VPL1371" s="110"/>
      <c r="VPM1371" s="110"/>
      <c r="VPN1371" s="110"/>
      <c r="VPO1371" s="110"/>
      <c r="VPP1371" s="110"/>
      <c r="VPQ1371" s="110"/>
      <c r="VPR1371" s="110"/>
      <c r="VPS1371" s="110"/>
      <c r="VPT1371" s="110"/>
      <c r="VPU1371" s="110"/>
      <c r="VPV1371" s="110"/>
      <c r="VPW1371" s="110"/>
      <c r="VPX1371" s="110"/>
      <c r="VPY1371" s="110"/>
      <c r="VPZ1371" s="110"/>
      <c r="VQA1371" s="110"/>
      <c r="VQB1371" s="110"/>
      <c r="VQC1371" s="110"/>
      <c r="VQD1371" s="110"/>
      <c r="VQE1371" s="110"/>
      <c r="VQF1371" s="110"/>
      <c r="VQG1371" s="110"/>
      <c r="VQH1371" s="110"/>
      <c r="VQI1371" s="110"/>
      <c r="VQJ1371" s="110"/>
      <c r="VQK1371" s="110"/>
      <c r="VQL1371" s="110"/>
      <c r="VQM1371" s="110"/>
      <c r="VQN1371" s="110"/>
      <c r="VQO1371" s="110"/>
      <c r="VQP1371" s="110"/>
      <c r="VQQ1371" s="110"/>
      <c r="VQR1371" s="110"/>
      <c r="VQS1371" s="110"/>
      <c r="VQT1371" s="110"/>
      <c r="VQU1371" s="110"/>
      <c r="VQV1371" s="110"/>
      <c r="VQW1371" s="110"/>
      <c r="VQX1371" s="110"/>
      <c r="VQY1371" s="110"/>
      <c r="VQZ1371" s="110"/>
      <c r="VRA1371" s="110"/>
      <c r="VRB1371" s="110"/>
      <c r="VRC1371" s="110"/>
      <c r="VRD1371" s="110"/>
      <c r="VRE1371" s="110"/>
      <c r="VRF1371" s="110"/>
      <c r="VRG1371" s="110"/>
      <c r="VRH1371" s="110"/>
      <c r="VRI1371" s="110"/>
      <c r="VRJ1371" s="110"/>
      <c r="VRK1371" s="110"/>
      <c r="VRL1371" s="110"/>
      <c r="VRM1371" s="110"/>
      <c r="VRN1371" s="110"/>
      <c r="VRO1371" s="110"/>
      <c r="VRP1371" s="110"/>
      <c r="VRQ1371" s="110"/>
      <c r="VRR1371" s="110"/>
      <c r="VRS1371" s="110"/>
      <c r="VRT1371" s="110"/>
      <c r="VRU1371" s="110"/>
      <c r="VRV1371" s="110"/>
      <c r="VRW1371" s="110"/>
      <c r="VRX1371" s="110"/>
      <c r="VRY1371" s="110"/>
      <c r="VRZ1371" s="110"/>
      <c r="VSA1371" s="110"/>
      <c r="VSB1371" s="110"/>
      <c r="VSC1371" s="110"/>
      <c r="VSD1371" s="110"/>
      <c r="VSE1371" s="110"/>
      <c r="VSF1371" s="110"/>
      <c r="VSG1371" s="110"/>
      <c r="VSH1371" s="110"/>
      <c r="VSI1371" s="110"/>
      <c r="VSJ1371" s="110"/>
      <c r="VSK1371" s="110"/>
      <c r="VSL1371" s="110"/>
      <c r="VSM1371" s="110"/>
      <c r="VSN1371" s="110"/>
      <c r="VSO1371" s="110"/>
      <c r="VSP1371" s="110"/>
      <c r="VSQ1371" s="110"/>
      <c r="VSR1371" s="110"/>
      <c r="VSS1371" s="110"/>
      <c r="VST1371" s="110"/>
      <c r="VSU1371" s="110"/>
      <c r="VSV1371" s="110"/>
      <c r="VSW1371" s="110"/>
      <c r="VSX1371" s="110"/>
      <c r="VSY1371" s="110"/>
      <c r="VSZ1371" s="110"/>
      <c r="VTA1371" s="110"/>
      <c r="VTB1371" s="110"/>
      <c r="VTC1371" s="110"/>
      <c r="VTD1371" s="110"/>
      <c r="VTE1371" s="110"/>
      <c r="VTF1371" s="110"/>
      <c r="VTG1371" s="110"/>
      <c r="VTH1371" s="110"/>
      <c r="VTI1371" s="110"/>
      <c r="VTJ1371" s="110"/>
      <c r="VTK1371" s="110"/>
      <c r="VTL1371" s="110"/>
      <c r="VTM1371" s="110"/>
      <c r="VTN1371" s="110"/>
      <c r="VTO1371" s="110"/>
      <c r="VTP1371" s="110"/>
      <c r="VTQ1371" s="110"/>
      <c r="VTR1371" s="110"/>
      <c r="VTS1371" s="110"/>
      <c r="VTT1371" s="110"/>
      <c r="VTU1371" s="110"/>
      <c r="VTV1371" s="110"/>
      <c r="VTW1371" s="110"/>
      <c r="VTX1371" s="110"/>
      <c r="VTY1371" s="110"/>
      <c r="VTZ1371" s="110"/>
      <c r="VUA1371" s="110"/>
      <c r="VUB1371" s="110"/>
      <c r="VUC1371" s="110"/>
      <c r="VUD1371" s="110"/>
      <c r="VUE1371" s="110"/>
      <c r="VUF1371" s="110"/>
      <c r="VUG1371" s="110"/>
      <c r="VUH1371" s="110"/>
      <c r="VUI1371" s="110"/>
      <c r="VUJ1371" s="110"/>
      <c r="VUK1371" s="110"/>
      <c r="VUL1371" s="110"/>
      <c r="VUM1371" s="110"/>
      <c r="VUN1371" s="110"/>
      <c r="VUO1371" s="110"/>
      <c r="VUP1371" s="110"/>
      <c r="VUQ1371" s="110"/>
      <c r="VUR1371" s="110"/>
      <c r="VUS1371" s="110"/>
      <c r="VUT1371" s="110"/>
      <c r="VUU1371" s="110"/>
      <c r="VUV1371" s="110"/>
      <c r="VUW1371" s="110"/>
      <c r="VUX1371" s="110"/>
      <c r="VUY1371" s="110"/>
      <c r="VUZ1371" s="110"/>
      <c r="VVA1371" s="110"/>
      <c r="VVB1371" s="110"/>
      <c r="VVC1371" s="110"/>
      <c r="VVD1371" s="110"/>
      <c r="VVE1371" s="110"/>
      <c r="VVF1371" s="110"/>
      <c r="VVG1371" s="110"/>
      <c r="VVH1371" s="110"/>
      <c r="VVI1371" s="110"/>
      <c r="VVJ1371" s="110"/>
      <c r="VVK1371" s="110"/>
      <c r="VVL1371" s="110"/>
      <c r="VVM1371" s="110"/>
      <c r="VVN1371" s="110"/>
      <c r="VVO1371" s="110"/>
      <c r="VVP1371" s="110"/>
      <c r="VVQ1371" s="110"/>
      <c r="VVR1371" s="110"/>
      <c r="VVS1371" s="110"/>
      <c r="VVT1371" s="110"/>
      <c r="VVU1371" s="110"/>
      <c r="VVV1371" s="110"/>
      <c r="VVW1371" s="110"/>
      <c r="VVX1371" s="110"/>
      <c r="VVY1371" s="110"/>
      <c r="VVZ1371" s="110"/>
      <c r="VWA1371" s="110"/>
      <c r="VWB1371" s="110"/>
      <c r="VWC1371" s="110"/>
      <c r="VWD1371" s="110"/>
      <c r="VWE1371" s="110"/>
      <c r="VWF1371" s="110"/>
      <c r="VWG1371" s="110"/>
      <c r="VWH1371" s="110"/>
      <c r="VWI1371" s="110"/>
      <c r="VWJ1371" s="110"/>
      <c r="VWK1371" s="110"/>
      <c r="VWL1371" s="110"/>
      <c r="VWM1371" s="110"/>
      <c r="VWN1371" s="110"/>
      <c r="VWO1371" s="110"/>
      <c r="VWP1371" s="110"/>
      <c r="VWQ1371" s="110"/>
      <c r="VWR1371" s="110"/>
      <c r="VWS1371" s="110"/>
      <c r="VWT1371" s="110"/>
      <c r="VWU1371" s="110"/>
      <c r="VWV1371" s="110"/>
      <c r="VWW1371" s="110"/>
      <c r="VWX1371" s="110"/>
      <c r="VWY1371" s="110"/>
      <c r="VWZ1371" s="110"/>
      <c r="VXA1371" s="110"/>
      <c r="VXB1371" s="110"/>
      <c r="VXC1371" s="110"/>
      <c r="VXD1371" s="110"/>
      <c r="VXE1371" s="110"/>
      <c r="VXF1371" s="110"/>
      <c r="VXG1371" s="110"/>
      <c r="VXH1371" s="110"/>
      <c r="VXI1371" s="110"/>
      <c r="VXJ1371" s="110"/>
      <c r="VXK1371" s="110"/>
      <c r="VXL1371" s="110"/>
      <c r="VXM1371" s="110"/>
      <c r="VXN1371" s="110"/>
      <c r="VXO1371" s="110"/>
      <c r="VXP1371" s="110"/>
      <c r="VXQ1371" s="110"/>
      <c r="VXR1371" s="110"/>
      <c r="VXS1371" s="110"/>
      <c r="VXT1371" s="110"/>
      <c r="VXU1371" s="110"/>
      <c r="VXV1371" s="110"/>
      <c r="VXW1371" s="110"/>
      <c r="VXX1371" s="110"/>
      <c r="VXY1371" s="110"/>
      <c r="VXZ1371" s="110"/>
      <c r="VYA1371" s="110"/>
      <c r="VYB1371" s="110"/>
      <c r="VYC1371" s="110"/>
      <c r="VYD1371" s="110"/>
      <c r="VYE1371" s="110"/>
      <c r="VYF1371" s="110"/>
      <c r="VYG1371" s="110"/>
      <c r="VYH1371" s="110"/>
      <c r="VYI1371" s="110"/>
      <c r="VYJ1371" s="110"/>
      <c r="VYK1371" s="110"/>
      <c r="VYL1371" s="110"/>
      <c r="VYM1371" s="110"/>
      <c r="VYN1371" s="110"/>
      <c r="VYO1371" s="110"/>
      <c r="VYP1371" s="110"/>
      <c r="VYQ1371" s="110"/>
      <c r="VYR1371" s="110"/>
      <c r="VYS1371" s="110"/>
      <c r="VYT1371" s="110"/>
      <c r="VYU1371" s="110"/>
      <c r="VYV1371" s="110"/>
      <c r="VYW1371" s="110"/>
      <c r="VYX1371" s="110"/>
      <c r="VYY1371" s="110"/>
      <c r="VYZ1371" s="110"/>
      <c r="VZA1371" s="110"/>
      <c r="VZB1371" s="110"/>
      <c r="VZC1371" s="110"/>
      <c r="VZD1371" s="110"/>
      <c r="VZE1371" s="110"/>
      <c r="VZF1371" s="110"/>
      <c r="VZG1371" s="110"/>
      <c r="VZH1371" s="110"/>
      <c r="VZI1371" s="110"/>
      <c r="VZJ1371" s="110"/>
      <c r="VZK1371" s="110"/>
      <c r="VZL1371" s="110"/>
      <c r="VZM1371" s="110"/>
      <c r="VZN1371" s="110"/>
      <c r="VZO1371" s="110"/>
      <c r="VZP1371" s="110"/>
      <c r="VZQ1371" s="110"/>
      <c r="VZR1371" s="110"/>
      <c r="VZS1371" s="110"/>
      <c r="VZT1371" s="110"/>
      <c r="VZU1371" s="110"/>
      <c r="VZV1371" s="110"/>
      <c r="VZW1371" s="110"/>
      <c r="VZX1371" s="110"/>
      <c r="VZY1371" s="110"/>
      <c r="VZZ1371" s="110"/>
      <c r="WAA1371" s="110"/>
      <c r="WAB1371" s="110"/>
      <c r="WAC1371" s="110"/>
      <c r="WAD1371" s="110"/>
      <c r="WAE1371" s="110"/>
      <c r="WAF1371" s="110"/>
      <c r="WAG1371" s="110"/>
      <c r="WAH1371" s="110"/>
      <c r="WAI1371" s="110"/>
      <c r="WAJ1371" s="110"/>
      <c r="WAK1371" s="110"/>
      <c r="WAL1371" s="110"/>
      <c r="WAM1371" s="110"/>
      <c r="WAN1371" s="110"/>
      <c r="WAO1371" s="110"/>
      <c r="WAP1371" s="110"/>
      <c r="WAQ1371" s="110"/>
      <c r="WAR1371" s="110"/>
      <c r="WAS1371" s="110"/>
      <c r="WAT1371" s="110"/>
      <c r="WAU1371" s="110"/>
      <c r="WAV1371" s="110"/>
      <c r="WAW1371" s="110"/>
      <c r="WAX1371" s="110"/>
      <c r="WAY1371" s="110"/>
      <c r="WAZ1371" s="110"/>
      <c r="WBA1371" s="110"/>
      <c r="WBB1371" s="110"/>
      <c r="WBC1371" s="110"/>
      <c r="WBD1371" s="110"/>
      <c r="WBE1371" s="110"/>
      <c r="WBF1371" s="110"/>
      <c r="WBG1371" s="110"/>
      <c r="WBH1371" s="110"/>
      <c r="WBI1371" s="110"/>
      <c r="WBJ1371" s="110"/>
      <c r="WBK1371" s="110"/>
      <c r="WBL1371" s="110"/>
      <c r="WBM1371" s="110"/>
      <c r="WBN1371" s="110"/>
      <c r="WBO1371" s="110"/>
      <c r="WBP1371" s="110"/>
      <c r="WBQ1371" s="110"/>
      <c r="WBR1371" s="110"/>
      <c r="WBS1371" s="110"/>
      <c r="WBT1371" s="110"/>
      <c r="WBU1371" s="110"/>
      <c r="WBV1371" s="110"/>
      <c r="WBW1371" s="110"/>
      <c r="WBX1371" s="110"/>
      <c r="WBY1371" s="110"/>
      <c r="WBZ1371" s="110"/>
      <c r="WCA1371" s="110"/>
      <c r="WCB1371" s="110"/>
      <c r="WCC1371" s="110"/>
      <c r="WCD1371" s="110"/>
      <c r="WCE1371" s="110"/>
      <c r="WCF1371" s="110"/>
      <c r="WCG1371" s="110"/>
      <c r="WCH1371" s="110"/>
      <c r="WCI1371" s="110"/>
      <c r="WCJ1371" s="110"/>
      <c r="WCK1371" s="110"/>
      <c r="WCL1371" s="110"/>
      <c r="WCM1371" s="110"/>
      <c r="WCN1371" s="110"/>
      <c r="WCO1371" s="110"/>
      <c r="WCP1371" s="110"/>
      <c r="WCQ1371" s="110"/>
      <c r="WCR1371" s="110"/>
      <c r="WCS1371" s="110"/>
      <c r="WCT1371" s="110"/>
      <c r="WCU1371" s="110"/>
      <c r="WCV1371" s="110"/>
      <c r="WCW1371" s="110"/>
      <c r="WCX1371" s="110"/>
      <c r="WCY1371" s="110"/>
      <c r="WCZ1371" s="110"/>
      <c r="WDA1371" s="110"/>
      <c r="WDB1371" s="110"/>
      <c r="WDC1371" s="110"/>
      <c r="WDD1371" s="110"/>
      <c r="WDE1371" s="110"/>
      <c r="WDF1371" s="110"/>
      <c r="WDG1371" s="110"/>
      <c r="WDH1371" s="110"/>
      <c r="WDI1371" s="110"/>
      <c r="WDJ1371" s="110"/>
      <c r="WDK1371" s="110"/>
      <c r="WDL1371" s="110"/>
      <c r="WDM1371" s="110"/>
      <c r="WDN1371" s="110"/>
      <c r="WDO1371" s="110"/>
      <c r="WDP1371" s="110"/>
      <c r="WDQ1371" s="110"/>
      <c r="WDR1371" s="110"/>
      <c r="WDS1371" s="110"/>
      <c r="WDT1371" s="110"/>
      <c r="WDU1371" s="110"/>
      <c r="WDV1371" s="110"/>
      <c r="WDW1371" s="110"/>
      <c r="WDX1371" s="110"/>
      <c r="WDY1371" s="110"/>
      <c r="WDZ1371" s="110"/>
      <c r="WEA1371" s="110"/>
      <c r="WEB1371" s="110"/>
      <c r="WEC1371" s="110"/>
      <c r="WED1371" s="110"/>
      <c r="WEE1371" s="110"/>
      <c r="WEF1371" s="110"/>
      <c r="WEG1371" s="110"/>
      <c r="WEH1371" s="110"/>
      <c r="WEI1371" s="110"/>
      <c r="WEJ1371" s="110"/>
      <c r="WEK1371" s="110"/>
      <c r="WEL1371" s="110"/>
      <c r="WEM1371" s="110"/>
      <c r="WEN1371" s="110"/>
      <c r="WEO1371" s="110"/>
      <c r="WEP1371" s="110"/>
      <c r="WEQ1371" s="110"/>
      <c r="WER1371" s="110"/>
      <c r="WES1371" s="110"/>
      <c r="WET1371" s="110"/>
      <c r="WEU1371" s="110"/>
      <c r="WEV1371" s="110"/>
      <c r="WEW1371" s="110"/>
      <c r="WEX1371" s="110"/>
      <c r="WEY1371" s="110"/>
      <c r="WEZ1371" s="110"/>
      <c r="WFA1371" s="110"/>
      <c r="WFB1371" s="110"/>
      <c r="WFC1371" s="110"/>
      <c r="WFD1371" s="110"/>
      <c r="WFE1371" s="110"/>
      <c r="WFF1371" s="110"/>
      <c r="WFG1371" s="110"/>
      <c r="WFH1371" s="110"/>
      <c r="WFI1371" s="110"/>
      <c r="WFJ1371" s="110"/>
      <c r="WFK1371" s="110"/>
      <c r="WFL1371" s="110"/>
      <c r="WFM1371" s="110"/>
      <c r="WFN1371" s="110"/>
      <c r="WFO1371" s="110"/>
      <c r="WFP1371" s="110"/>
      <c r="WFQ1371" s="110"/>
      <c r="WFR1371" s="110"/>
      <c r="WFS1371" s="110"/>
      <c r="WFT1371" s="110"/>
      <c r="WFU1371" s="110"/>
      <c r="WFV1371" s="110"/>
      <c r="WFW1371" s="110"/>
      <c r="WFX1371" s="110"/>
      <c r="WFY1371" s="110"/>
      <c r="WFZ1371" s="110"/>
      <c r="WGA1371" s="110"/>
      <c r="WGB1371" s="110"/>
      <c r="WGC1371" s="110"/>
      <c r="WGD1371" s="110"/>
      <c r="WGE1371" s="110"/>
      <c r="WGF1371" s="110"/>
      <c r="WGG1371" s="110"/>
      <c r="WGH1371" s="110"/>
      <c r="WGI1371" s="110"/>
      <c r="WGJ1371" s="110"/>
      <c r="WGK1371" s="110"/>
      <c r="WGL1371" s="110"/>
      <c r="WGM1371" s="110"/>
      <c r="WGN1371" s="110"/>
      <c r="WGO1371" s="110"/>
      <c r="WGP1371" s="110"/>
      <c r="WGQ1371" s="110"/>
      <c r="WGR1371" s="110"/>
      <c r="WGS1371" s="110"/>
      <c r="WGT1371" s="110"/>
      <c r="WGU1371" s="110"/>
      <c r="WGV1371" s="110"/>
      <c r="WGW1371" s="110"/>
      <c r="WGX1371" s="110"/>
      <c r="WGY1371" s="110"/>
      <c r="WGZ1371" s="110"/>
      <c r="WHA1371" s="110"/>
      <c r="WHB1371" s="110"/>
      <c r="WHC1371" s="110"/>
      <c r="WHD1371" s="110"/>
      <c r="WHE1371" s="110"/>
      <c r="WHF1371" s="110"/>
      <c r="WHG1371" s="110"/>
      <c r="WHH1371" s="110"/>
      <c r="WHI1371" s="110"/>
      <c r="WHJ1371" s="110"/>
      <c r="WHK1371" s="110"/>
      <c r="WHL1371" s="110"/>
      <c r="WHM1371" s="110"/>
      <c r="WHN1371" s="110"/>
      <c r="WHO1371" s="110"/>
      <c r="WHP1371" s="110"/>
      <c r="WHQ1371" s="110"/>
      <c r="WHR1371" s="110"/>
      <c r="WHS1371" s="110"/>
      <c r="WHT1371" s="110"/>
      <c r="WHU1371" s="110"/>
      <c r="WHV1371" s="110"/>
      <c r="WHW1371" s="110"/>
      <c r="WHX1371" s="110"/>
      <c r="WHY1371" s="110"/>
      <c r="WHZ1371" s="110"/>
      <c r="WIA1371" s="110"/>
      <c r="WIB1371" s="110"/>
      <c r="WIC1371" s="110"/>
      <c r="WID1371" s="110"/>
      <c r="WIE1371" s="110"/>
      <c r="WIF1371" s="110"/>
      <c r="WIG1371" s="110"/>
      <c r="WIH1371" s="110"/>
      <c r="WII1371" s="110"/>
      <c r="WIJ1371" s="110"/>
      <c r="WIK1371" s="110"/>
      <c r="WIL1371" s="110"/>
      <c r="WIM1371" s="110"/>
      <c r="WIN1371" s="110"/>
      <c r="WIO1371" s="110"/>
      <c r="WIP1371" s="110"/>
      <c r="WIQ1371" s="110"/>
      <c r="WIR1371" s="110"/>
      <c r="WIS1371" s="110"/>
      <c r="WIT1371" s="110"/>
      <c r="WIU1371" s="110"/>
      <c r="WIV1371" s="110"/>
      <c r="WIW1371" s="110"/>
      <c r="WIX1371" s="110"/>
      <c r="WIY1371" s="110"/>
      <c r="WIZ1371" s="110"/>
      <c r="WJA1371" s="110"/>
      <c r="WJB1371" s="110"/>
      <c r="WJC1371" s="110"/>
      <c r="WJD1371" s="110"/>
      <c r="WJE1371" s="110"/>
      <c r="WJF1371" s="110"/>
      <c r="WJG1371" s="110"/>
      <c r="WJH1371" s="110"/>
      <c r="WJI1371" s="110"/>
      <c r="WJJ1371" s="110"/>
      <c r="WJK1371" s="110"/>
      <c r="WJL1371" s="110"/>
      <c r="WJM1371" s="110"/>
      <c r="WJN1371" s="110"/>
      <c r="WJO1371" s="110"/>
      <c r="WJP1371" s="110"/>
      <c r="WJQ1371" s="110"/>
      <c r="WJR1371" s="110"/>
      <c r="WJS1371" s="110"/>
      <c r="WJT1371" s="110"/>
      <c r="WJU1371" s="110"/>
      <c r="WJV1371" s="110"/>
      <c r="WJW1371" s="110"/>
      <c r="WJX1371" s="110"/>
      <c r="WJY1371" s="110"/>
      <c r="WJZ1371" s="110"/>
      <c r="WKA1371" s="110"/>
      <c r="WKB1371" s="110"/>
      <c r="WKC1371" s="110"/>
      <c r="WKD1371" s="110"/>
      <c r="WKE1371" s="110"/>
      <c r="WKF1371" s="110"/>
      <c r="WKG1371" s="110"/>
      <c r="WKH1371" s="110"/>
      <c r="WKI1371" s="110"/>
      <c r="WKJ1371" s="110"/>
      <c r="WKK1371" s="110"/>
      <c r="WKL1371" s="110"/>
      <c r="WKM1371" s="110"/>
      <c r="WKN1371" s="110"/>
      <c r="WKO1371" s="110"/>
      <c r="WKP1371" s="110"/>
      <c r="WKQ1371" s="110"/>
      <c r="WKR1371" s="110"/>
      <c r="WKS1371" s="110"/>
      <c r="WKT1371" s="110"/>
      <c r="WKU1371" s="110"/>
      <c r="WKV1371" s="110"/>
      <c r="WKW1371" s="110"/>
      <c r="WKX1371" s="110"/>
      <c r="WKY1371" s="110"/>
      <c r="WKZ1371" s="110"/>
      <c r="WLA1371" s="110"/>
      <c r="WLB1371" s="110"/>
      <c r="WLC1371" s="110"/>
      <c r="WLD1371" s="110"/>
      <c r="WLE1371" s="110"/>
      <c r="WLF1371" s="110"/>
      <c r="WLG1371" s="110"/>
      <c r="WLH1371" s="110"/>
      <c r="WLI1371" s="110"/>
      <c r="WLJ1371" s="110"/>
      <c r="WLK1371" s="110"/>
      <c r="WLL1371" s="110"/>
      <c r="WLM1371" s="110"/>
      <c r="WLN1371" s="110"/>
      <c r="WLO1371" s="110"/>
      <c r="WLP1371" s="110"/>
      <c r="WLQ1371" s="110"/>
      <c r="WLR1371" s="110"/>
      <c r="WLS1371" s="110"/>
      <c r="WLT1371" s="110"/>
      <c r="WLU1371" s="110"/>
      <c r="WLV1371" s="110"/>
      <c r="WLW1371" s="110"/>
      <c r="WLX1371" s="110"/>
      <c r="WLY1371" s="110"/>
      <c r="WLZ1371" s="110"/>
      <c r="WMA1371" s="110"/>
      <c r="WMB1371" s="110"/>
      <c r="WMC1371" s="110"/>
      <c r="WMD1371" s="110"/>
      <c r="WME1371" s="110"/>
      <c r="WMF1371" s="110"/>
      <c r="WMG1371" s="110"/>
      <c r="WMH1371" s="110"/>
      <c r="WMI1371" s="110"/>
      <c r="WMJ1371" s="110"/>
      <c r="WMK1371" s="110"/>
      <c r="WML1371" s="110"/>
      <c r="WMM1371" s="110"/>
      <c r="WMN1371" s="110"/>
      <c r="WMO1371" s="110"/>
      <c r="WMP1371" s="110"/>
      <c r="WMQ1371" s="110"/>
      <c r="WMR1371" s="110"/>
      <c r="WMS1371" s="110"/>
      <c r="WMT1371" s="110"/>
      <c r="WMU1371" s="110"/>
      <c r="WMV1371" s="110"/>
      <c r="WMW1371" s="110"/>
      <c r="WMX1371" s="110"/>
      <c r="WMY1371" s="110"/>
      <c r="WMZ1371" s="110"/>
      <c r="WNA1371" s="110"/>
      <c r="WNB1371" s="110"/>
      <c r="WNC1371" s="110"/>
      <c r="WND1371" s="110"/>
      <c r="WNE1371" s="110"/>
      <c r="WNF1371" s="110"/>
      <c r="WNG1371" s="110"/>
      <c r="WNH1371" s="110"/>
      <c r="WNI1371" s="110"/>
      <c r="WNJ1371" s="110"/>
      <c r="WNK1371" s="110"/>
      <c r="WNL1371" s="110"/>
      <c r="WNM1371" s="110"/>
      <c r="WNN1371" s="110"/>
      <c r="WNO1371" s="110"/>
      <c r="WNP1371" s="110"/>
      <c r="WNQ1371" s="110"/>
      <c r="WNR1371" s="110"/>
      <c r="WNS1371" s="110"/>
      <c r="WNT1371" s="110"/>
      <c r="WNU1371" s="110"/>
      <c r="WNV1371" s="110"/>
      <c r="WNW1371" s="110"/>
      <c r="WNX1371" s="110"/>
      <c r="WNY1371" s="110"/>
      <c r="WNZ1371" s="110"/>
      <c r="WOA1371" s="110"/>
      <c r="WOB1371" s="110"/>
      <c r="WOC1371" s="110"/>
      <c r="WOD1371" s="110"/>
      <c r="WOE1371" s="110"/>
      <c r="WOF1371" s="110"/>
      <c r="WOG1371" s="110"/>
      <c r="WOH1371" s="110"/>
      <c r="WOI1371" s="110"/>
      <c r="WOJ1371" s="110"/>
      <c r="WOK1371" s="110"/>
      <c r="WOL1371" s="110"/>
      <c r="WOM1371" s="110"/>
      <c r="WON1371" s="110"/>
      <c r="WOO1371" s="110"/>
      <c r="WOP1371" s="110"/>
      <c r="WOQ1371" s="110"/>
      <c r="WOR1371" s="110"/>
      <c r="WOS1371" s="110"/>
      <c r="WOT1371" s="110"/>
      <c r="WOU1371" s="110"/>
      <c r="WOV1371" s="110"/>
      <c r="WOW1371" s="110"/>
      <c r="WOX1371" s="110"/>
      <c r="WOY1371" s="110"/>
      <c r="WOZ1371" s="110"/>
      <c r="WPA1371" s="110"/>
      <c r="WPB1371" s="110"/>
      <c r="WPC1371" s="110"/>
      <c r="WPD1371" s="110"/>
      <c r="WPE1371" s="110"/>
      <c r="WPF1371" s="110"/>
      <c r="WPG1371" s="110"/>
      <c r="WPH1371" s="110"/>
      <c r="WPI1371" s="110"/>
      <c r="WPJ1371" s="110"/>
      <c r="WPK1371" s="110"/>
      <c r="WPL1371" s="110"/>
      <c r="WPM1371" s="110"/>
      <c r="WPN1371" s="110"/>
      <c r="WPO1371" s="110"/>
      <c r="WPP1371" s="110"/>
      <c r="WPQ1371" s="110"/>
      <c r="WPR1371" s="110"/>
      <c r="WPS1371" s="110"/>
      <c r="WPT1371" s="110"/>
      <c r="WPU1371" s="110"/>
      <c r="WPV1371" s="110"/>
      <c r="WPW1371" s="110"/>
      <c r="WPX1371" s="110"/>
      <c r="WPY1371" s="110"/>
      <c r="WPZ1371" s="110"/>
      <c r="WQA1371" s="110"/>
      <c r="WQB1371" s="110"/>
      <c r="WQC1371" s="110"/>
      <c r="WQD1371" s="110"/>
      <c r="WQE1371" s="110"/>
      <c r="WQF1371" s="110"/>
      <c r="WQG1371" s="110"/>
      <c r="WQH1371" s="110"/>
      <c r="WQI1371" s="110"/>
      <c r="WQJ1371" s="110"/>
      <c r="WQK1371" s="110"/>
      <c r="WQL1371" s="110"/>
      <c r="WQM1371" s="110"/>
      <c r="WQN1371" s="110"/>
      <c r="WQO1371" s="110"/>
      <c r="WQP1371" s="110"/>
      <c r="WQQ1371" s="110"/>
      <c r="WQR1371" s="110"/>
      <c r="WQS1371" s="110"/>
      <c r="WQT1371" s="110"/>
      <c r="WQU1371" s="110"/>
      <c r="WQV1371" s="110"/>
      <c r="WQW1371" s="110"/>
      <c r="WQX1371" s="110"/>
      <c r="WQY1371" s="110"/>
      <c r="WQZ1371" s="110"/>
      <c r="WRA1371" s="110"/>
      <c r="WRB1371" s="110"/>
      <c r="WRC1371" s="110"/>
      <c r="WRD1371" s="110"/>
      <c r="WRE1371" s="110"/>
      <c r="WRF1371" s="110"/>
      <c r="WRG1371" s="110"/>
      <c r="WRH1371" s="110"/>
      <c r="WRI1371" s="110"/>
      <c r="WRJ1371" s="110"/>
      <c r="WRK1371" s="110"/>
      <c r="WRL1371" s="110"/>
      <c r="WRM1371" s="110"/>
      <c r="WRN1371" s="110"/>
      <c r="WRO1371" s="110"/>
      <c r="WRP1371" s="110"/>
      <c r="WRQ1371" s="110"/>
      <c r="WRR1371" s="110"/>
      <c r="WRS1371" s="110"/>
      <c r="WRT1371" s="110"/>
      <c r="WRU1371" s="110"/>
      <c r="WRV1371" s="110"/>
      <c r="WRW1371" s="110"/>
      <c r="WRX1371" s="110"/>
      <c r="WRY1371" s="110"/>
      <c r="WRZ1371" s="110"/>
      <c r="WSA1371" s="110"/>
      <c r="WSB1371" s="110"/>
      <c r="WSC1371" s="110"/>
      <c r="WSD1371" s="110"/>
      <c r="WSE1371" s="110"/>
      <c r="WSF1371" s="110"/>
      <c r="WSG1371" s="110"/>
      <c r="WSH1371" s="110"/>
      <c r="WSI1371" s="110"/>
      <c r="WSJ1371" s="110"/>
      <c r="WSK1371" s="110"/>
      <c r="WSL1371" s="110"/>
      <c r="WSM1371" s="110"/>
      <c r="WSN1371" s="110"/>
      <c r="WSO1371" s="110"/>
      <c r="WSP1371" s="110"/>
      <c r="WSQ1371" s="110"/>
      <c r="WSR1371" s="110"/>
      <c r="WSS1371" s="110"/>
      <c r="WST1371" s="110"/>
      <c r="WSU1371" s="110"/>
      <c r="WSV1371" s="110"/>
      <c r="WSW1371" s="110"/>
      <c r="WSX1371" s="110"/>
      <c r="WSY1371" s="110"/>
      <c r="WSZ1371" s="110"/>
      <c r="WTA1371" s="110"/>
      <c r="WTB1371" s="110"/>
      <c r="WTC1371" s="110"/>
      <c r="WTD1371" s="110"/>
      <c r="WTE1371" s="110"/>
      <c r="WTF1371" s="110"/>
      <c r="WTG1371" s="110"/>
      <c r="WTH1371" s="110"/>
      <c r="WTI1371" s="110"/>
      <c r="WTJ1371" s="110"/>
      <c r="WTK1371" s="110"/>
      <c r="WTL1371" s="110"/>
      <c r="WTM1371" s="110"/>
      <c r="WTN1371" s="110"/>
      <c r="WTO1371" s="110"/>
      <c r="WTP1371" s="110"/>
      <c r="WTQ1371" s="110"/>
      <c r="WTR1371" s="110"/>
      <c r="WTS1371" s="110"/>
      <c r="WTT1371" s="110"/>
      <c r="WTU1371" s="110"/>
      <c r="WTV1371" s="110"/>
      <c r="WTW1371" s="110"/>
      <c r="WTX1371" s="110"/>
      <c r="WTY1371" s="110"/>
      <c r="WTZ1371" s="110"/>
      <c r="WUA1371" s="110"/>
      <c r="WUB1371" s="110"/>
      <c r="WUC1371" s="110"/>
      <c r="WUD1371" s="110"/>
      <c r="WUE1371" s="110"/>
      <c r="WUF1371" s="110"/>
      <c r="WUG1371" s="110"/>
      <c r="WUH1371" s="110"/>
      <c r="WUI1371" s="110"/>
      <c r="WUJ1371" s="110"/>
      <c r="WUK1371" s="110"/>
      <c r="WUL1371" s="110"/>
      <c r="WUM1371" s="110"/>
      <c r="WUN1371" s="110"/>
      <c r="WUO1371" s="110"/>
      <c r="WUP1371" s="110"/>
      <c r="WUQ1371" s="110"/>
      <c r="WUR1371" s="110"/>
      <c r="WUS1371" s="110"/>
      <c r="WUT1371" s="110"/>
      <c r="WUU1371" s="110"/>
      <c r="WUV1371" s="110"/>
      <c r="WUW1371" s="110"/>
      <c r="WUX1371" s="110"/>
      <c r="WUY1371" s="110"/>
      <c r="WUZ1371" s="110"/>
      <c r="WVA1371" s="110"/>
      <c r="WVB1371" s="110"/>
      <c r="WVC1371" s="110"/>
      <c r="WVD1371" s="110"/>
      <c r="WVE1371" s="110"/>
      <c r="WVF1371" s="110"/>
      <c r="WVG1371" s="110"/>
      <c r="WVH1371" s="110"/>
      <c r="WVI1371" s="110"/>
      <c r="WVJ1371" s="110"/>
      <c r="WVK1371" s="110"/>
      <c r="WVL1371" s="110"/>
      <c r="WVM1371" s="110"/>
      <c r="WVN1371" s="110"/>
      <c r="WVO1371" s="110"/>
      <c r="WVP1371" s="110"/>
      <c r="WVQ1371" s="110"/>
      <c r="WVR1371" s="110"/>
      <c r="WVS1371" s="110"/>
      <c r="WVT1371" s="110"/>
      <c r="WVU1371" s="110"/>
      <c r="WVV1371" s="110"/>
      <c r="WVW1371" s="110"/>
      <c r="WVX1371" s="110"/>
      <c r="WVY1371" s="110"/>
      <c r="WVZ1371" s="110"/>
      <c r="WWA1371" s="110"/>
      <c r="WWB1371" s="110"/>
      <c r="WWC1371" s="110"/>
      <c r="WWD1371" s="110"/>
      <c r="WWE1371" s="110"/>
      <c r="WWF1371" s="110"/>
      <c r="WWG1371" s="110"/>
      <c r="WWH1371" s="110"/>
      <c r="WWI1371" s="110"/>
      <c r="WWJ1371" s="110"/>
      <c r="WWK1371" s="110"/>
      <c r="WWL1371" s="110"/>
      <c r="WWM1371" s="110"/>
      <c r="WWN1371" s="110"/>
      <c r="WWO1371" s="110"/>
      <c r="WWP1371" s="110"/>
      <c r="WWQ1371" s="110"/>
      <c r="WWR1371" s="110"/>
      <c r="WWS1371" s="110"/>
      <c r="WWT1371" s="110"/>
      <c r="WWU1371" s="110"/>
      <c r="WWV1371" s="110"/>
      <c r="WWW1371" s="110"/>
      <c r="WWX1371" s="110"/>
      <c r="WWY1371" s="110"/>
      <c r="WWZ1371" s="110"/>
      <c r="WXA1371" s="110"/>
      <c r="WXB1371" s="110"/>
      <c r="WXC1371" s="110"/>
      <c r="WXD1371" s="110"/>
      <c r="WXE1371" s="110"/>
      <c r="WXF1371" s="110"/>
      <c r="WXG1371" s="110"/>
      <c r="WXH1371" s="110"/>
      <c r="WXI1371" s="110"/>
      <c r="WXJ1371" s="110"/>
      <c r="WXK1371" s="110"/>
      <c r="WXL1371" s="110"/>
      <c r="WXM1371" s="110"/>
      <c r="WXN1371" s="110"/>
      <c r="WXO1371" s="110"/>
      <c r="WXP1371" s="110"/>
      <c r="WXQ1371" s="110"/>
      <c r="WXR1371" s="110"/>
      <c r="WXS1371" s="110"/>
      <c r="WXT1371" s="110"/>
      <c r="WXU1371" s="110"/>
      <c r="WXV1371" s="110"/>
      <c r="WXW1371" s="110"/>
      <c r="WXX1371" s="110"/>
      <c r="WXY1371" s="110"/>
      <c r="WXZ1371" s="110"/>
      <c r="WYA1371" s="110"/>
      <c r="WYB1371" s="110"/>
      <c r="WYC1371" s="110"/>
      <c r="WYD1371" s="110"/>
      <c r="WYE1371" s="110"/>
      <c r="WYF1371" s="110"/>
      <c r="WYG1371" s="110"/>
      <c r="WYH1371" s="110"/>
      <c r="WYI1371" s="110"/>
      <c r="WYJ1371" s="110"/>
      <c r="WYK1371" s="110"/>
      <c r="WYL1371" s="110"/>
      <c r="WYM1371" s="110"/>
      <c r="WYN1371" s="110"/>
      <c r="WYO1371" s="110"/>
      <c r="WYP1371" s="110"/>
      <c r="WYQ1371" s="110"/>
      <c r="WYR1371" s="110"/>
      <c r="WYS1371" s="110"/>
      <c r="WYT1371" s="110"/>
      <c r="WYU1371" s="110"/>
      <c r="WYV1371" s="110"/>
      <c r="WYW1371" s="110"/>
      <c r="WYX1371" s="110"/>
      <c r="WYY1371" s="110"/>
      <c r="WYZ1371" s="110"/>
      <c r="WZA1371" s="110"/>
      <c r="WZB1371" s="110"/>
      <c r="WZC1371" s="110"/>
      <c r="WZD1371" s="110"/>
      <c r="WZE1371" s="110"/>
      <c r="WZF1371" s="110"/>
      <c r="WZG1371" s="110"/>
      <c r="WZH1371" s="110"/>
      <c r="WZI1371" s="110"/>
      <c r="WZJ1371" s="110"/>
      <c r="WZK1371" s="110"/>
      <c r="WZL1371" s="110"/>
      <c r="WZM1371" s="110"/>
      <c r="WZN1371" s="110"/>
      <c r="WZO1371" s="110"/>
      <c r="WZP1371" s="110"/>
      <c r="WZQ1371" s="110"/>
      <c r="WZR1371" s="110"/>
      <c r="WZS1371" s="110"/>
      <c r="WZT1371" s="110"/>
      <c r="WZU1371" s="110"/>
      <c r="WZV1371" s="110"/>
      <c r="WZW1371" s="110"/>
      <c r="WZX1371" s="110"/>
      <c r="WZY1371" s="110"/>
      <c r="WZZ1371" s="110"/>
      <c r="XAA1371" s="110"/>
      <c r="XAB1371" s="110"/>
      <c r="XAC1371" s="110"/>
      <c r="XAD1371" s="110"/>
      <c r="XAE1371" s="110"/>
      <c r="XAF1371" s="110"/>
      <c r="XAG1371" s="110"/>
      <c r="XAH1371" s="110"/>
      <c r="XAI1371" s="110"/>
      <c r="XAJ1371" s="110"/>
      <c r="XAK1371" s="110"/>
      <c r="XAL1371" s="110"/>
      <c r="XAM1371" s="110"/>
      <c r="XAN1371" s="110"/>
      <c r="XAO1371" s="110"/>
      <c r="XAP1371" s="110"/>
      <c r="XAQ1371" s="110"/>
      <c r="XAR1371" s="110"/>
      <c r="XAS1371" s="110"/>
      <c r="XAT1371" s="110"/>
      <c r="XAU1371" s="110"/>
      <c r="XAV1371" s="110"/>
      <c r="XAW1371" s="110"/>
      <c r="XAX1371" s="110"/>
      <c r="XAY1371" s="110"/>
      <c r="XAZ1371" s="110"/>
      <c r="XBA1371" s="110"/>
      <c r="XBB1371" s="110"/>
      <c r="XBC1371" s="110"/>
      <c r="XBD1371" s="110"/>
      <c r="XBE1371" s="110"/>
      <c r="XBF1371" s="110"/>
      <c r="XBG1371" s="110"/>
      <c r="XBH1371" s="110"/>
      <c r="XBI1371" s="110"/>
      <c r="XBJ1371" s="110"/>
      <c r="XBK1371" s="110"/>
      <c r="XBL1371" s="110"/>
      <c r="XBM1371" s="110"/>
      <c r="XBN1371" s="110"/>
      <c r="XBO1371" s="110"/>
      <c r="XBP1371" s="110"/>
      <c r="XBQ1371" s="110"/>
      <c r="XBR1371" s="110"/>
      <c r="XBS1371" s="110"/>
      <c r="XBT1371" s="110"/>
      <c r="XBU1371" s="110"/>
      <c r="XBV1371" s="110"/>
      <c r="XBW1371" s="110"/>
      <c r="XBX1371" s="110"/>
      <c r="XBY1371" s="110"/>
      <c r="XBZ1371" s="110"/>
      <c r="XCA1371" s="110"/>
      <c r="XCB1371" s="110"/>
      <c r="XCC1371" s="110"/>
      <c r="XCD1371" s="110"/>
      <c r="XCE1371" s="110"/>
      <c r="XCF1371" s="110"/>
      <c r="XCG1371" s="110"/>
      <c r="XCH1371" s="110"/>
      <c r="XCI1371" s="110"/>
      <c r="XCJ1371" s="110"/>
      <c r="XCK1371" s="110"/>
      <c r="XCL1371" s="110"/>
      <c r="XCM1371" s="110"/>
      <c r="XCN1371" s="110"/>
      <c r="XCO1371" s="110"/>
      <c r="XCP1371" s="110"/>
      <c r="XCQ1371" s="110"/>
      <c r="XCR1371" s="110"/>
      <c r="XCS1371" s="110"/>
      <c r="XCT1371" s="110"/>
      <c r="XCU1371" s="110"/>
      <c r="XCV1371" s="110"/>
      <c r="XCW1371" s="110"/>
      <c r="XCX1371" s="110"/>
      <c r="XCY1371" s="110"/>
      <c r="XCZ1371" s="110"/>
      <c r="XDA1371" s="110"/>
      <c r="XDB1371" s="110"/>
      <c r="XDC1371" s="110"/>
      <c r="XDD1371" s="110"/>
      <c r="XDE1371" s="110"/>
      <c r="XDF1371" s="110"/>
      <c r="XDG1371" s="110"/>
      <c r="XDH1371" s="110"/>
      <c r="XDI1371" s="110"/>
      <c r="XDJ1371" s="110"/>
      <c r="XDK1371" s="110"/>
      <c r="XDL1371" s="110"/>
      <c r="XDM1371" s="110"/>
      <c r="XDN1371" s="110"/>
      <c r="XDO1371" s="110"/>
      <c r="XDP1371" s="110"/>
      <c r="XDQ1371" s="110"/>
      <c r="XDR1371" s="110"/>
      <c r="XDS1371" s="110"/>
      <c r="XDT1371" s="110"/>
      <c r="XDU1371" s="110"/>
      <c r="XDV1371" s="110"/>
      <c r="XDW1371" s="110"/>
      <c r="XDX1371" s="110"/>
      <c r="XDY1371" s="110"/>
      <c r="XDZ1371" s="110"/>
      <c r="XEA1371" s="110"/>
      <c r="XEB1371" s="110"/>
      <c r="XEC1371" s="110"/>
      <c r="XED1371" s="110"/>
      <c r="XEE1371" s="110"/>
      <c r="XEF1371" s="110"/>
      <c r="XEG1371" s="110"/>
      <c r="XEH1371" s="110"/>
      <c r="XEI1371" s="110"/>
      <c r="XEJ1371" s="110"/>
      <c r="XEK1371" s="110"/>
      <c r="XEL1371" s="110"/>
      <c r="XEM1371" s="110"/>
      <c r="XEN1371" s="110"/>
      <c r="XEO1371" s="110"/>
      <c r="XEP1371" s="110"/>
      <c r="XEQ1371" s="110"/>
      <c r="XER1371" s="110"/>
      <c r="XES1371" s="110"/>
      <c r="XET1371" s="110"/>
      <c r="XEU1371" s="110"/>
      <c r="XEV1371" s="110"/>
      <c r="XEW1371" s="110"/>
      <c r="XEX1371" s="110"/>
      <c r="XEY1371" s="110"/>
      <c r="XEZ1371" s="110"/>
      <c r="XFA1371" s="110"/>
      <c r="XFB1371" s="110"/>
    </row>
    <row r="1372" spans="1:16382" ht="11.25" customHeight="1" x14ac:dyDescent="0.15">
      <c r="A1372" s="110" t="s">
        <v>699</v>
      </c>
      <c r="B1372" s="110"/>
      <c r="C1372" s="111" t="s">
        <v>58</v>
      </c>
      <c r="D1372" s="213">
        <v>2025</v>
      </c>
      <c r="E1372" s="281">
        <v>45716</v>
      </c>
      <c r="F1372" s="111"/>
      <c r="G1372" s="111">
        <v>71142012</v>
      </c>
      <c r="H1372" s="111"/>
      <c r="I1372" s="111"/>
      <c r="J1372" s="111"/>
      <c r="K1372" s="112" t="s">
        <v>712</v>
      </c>
      <c r="L1372" s="120">
        <v>28144</v>
      </c>
      <c r="M1372" s="120">
        <v>7888</v>
      </c>
      <c r="N1372" s="120">
        <f t="shared" ref="N1372:N1374" si="960">L1372-M1372</f>
        <v>20256</v>
      </c>
      <c r="O1372" s="119">
        <f t="shared" si="942"/>
        <v>0.71972711768050024</v>
      </c>
      <c r="P1372" s="120">
        <f t="shared" si="955"/>
        <v>28144</v>
      </c>
      <c r="Q1372" s="111">
        <v>2902</v>
      </c>
      <c r="R1372" s="117"/>
      <c r="S1372" s="117"/>
      <c r="T1372" s="117"/>
      <c r="U1372" s="117">
        <v>2765.51</v>
      </c>
      <c r="V1372" s="117"/>
      <c r="W1372" s="26">
        <f t="shared" si="934"/>
        <v>2765.51</v>
      </c>
      <c r="X1372" s="118" t="str">
        <f t="shared" si="943"/>
        <v/>
      </c>
      <c r="Y1372" s="119"/>
      <c r="Z1372" s="117">
        <f t="shared" ref="Z1372:Z1374" si="961">P1372-W1372</f>
        <v>25378.489999999998</v>
      </c>
      <c r="AA1372" s="119">
        <f t="shared" ref="AA1372:AA1374" si="962">Z1372/P1372</f>
        <v>0.90173713757816931</v>
      </c>
      <c r="AB1372" s="120">
        <f t="shared" ref="AB1372:AB1374" si="963">M1372-W1372</f>
        <v>5122.49</v>
      </c>
      <c r="AC1372" s="119">
        <f t="shared" ref="AC1372:AC1374" si="964">IFERROR(AA1372-O1372,"")</f>
        <v>0.18201001989766907</v>
      </c>
      <c r="AD1372" s="110"/>
      <c r="AE1372" s="110"/>
      <c r="AF1372" s="110"/>
      <c r="AG1372" s="121"/>
      <c r="AH1372" s="110"/>
      <c r="AI1372" s="110"/>
      <c r="AJ1372" s="110"/>
      <c r="AK1372" s="110"/>
      <c r="AL1372" s="110"/>
      <c r="AM1372" s="110"/>
      <c r="AN1372" s="110"/>
      <c r="AO1372" s="110"/>
      <c r="AP1372" s="110"/>
      <c r="AQ1372" s="110"/>
      <c r="AR1372" s="110"/>
      <c r="AS1372" s="110"/>
      <c r="AT1372" s="110"/>
      <c r="AU1372" s="110"/>
      <c r="AV1372" s="110"/>
      <c r="AW1372" s="110"/>
      <c r="AX1372" s="110"/>
      <c r="AY1372" s="110"/>
      <c r="AZ1372" s="110"/>
      <c r="BA1372" s="110"/>
      <c r="BB1372" s="110"/>
      <c r="BC1372" s="110"/>
      <c r="BD1372" s="110"/>
      <c r="BE1372" s="110"/>
      <c r="BF1372" s="110"/>
      <c r="BG1372" s="110"/>
      <c r="BH1372" s="110"/>
      <c r="BI1372" s="110"/>
      <c r="BJ1372" s="110"/>
      <c r="BK1372" s="110"/>
      <c r="BL1372" s="110"/>
      <c r="BM1372" s="110"/>
      <c r="BN1372" s="110"/>
      <c r="BO1372" s="110"/>
      <c r="BP1372" s="110"/>
      <c r="BQ1372" s="110"/>
      <c r="BR1372" s="110"/>
      <c r="BS1372" s="110"/>
      <c r="BT1372" s="110"/>
      <c r="BU1372" s="110"/>
      <c r="BV1372" s="110"/>
      <c r="BW1372" s="110"/>
      <c r="BX1372" s="110"/>
      <c r="BY1372" s="110"/>
      <c r="BZ1372" s="110"/>
      <c r="CA1372" s="110"/>
      <c r="CB1372" s="110"/>
      <c r="CC1372" s="110"/>
      <c r="CD1372" s="110"/>
      <c r="CE1372" s="110"/>
      <c r="CF1372" s="110"/>
      <c r="CG1372" s="110"/>
      <c r="CH1372" s="110"/>
      <c r="CI1372" s="110"/>
      <c r="CJ1372" s="110"/>
      <c r="CK1372" s="110"/>
      <c r="CL1372" s="110"/>
      <c r="CM1372" s="110"/>
      <c r="CN1372" s="110"/>
      <c r="CO1372" s="110"/>
      <c r="CP1372" s="110"/>
      <c r="CQ1372" s="110"/>
      <c r="CR1372" s="110"/>
      <c r="CS1372" s="110"/>
      <c r="CT1372" s="110"/>
      <c r="CU1372" s="110"/>
      <c r="CV1372" s="110"/>
      <c r="CW1372" s="110"/>
      <c r="CX1372" s="110"/>
      <c r="CY1372" s="110"/>
      <c r="CZ1372" s="110"/>
      <c r="DA1372" s="110"/>
      <c r="DB1372" s="110"/>
      <c r="DC1372" s="110"/>
      <c r="DD1372" s="110"/>
      <c r="DE1372" s="110"/>
      <c r="DF1372" s="110"/>
      <c r="DG1372" s="110"/>
      <c r="DH1372" s="110"/>
      <c r="DI1372" s="110"/>
      <c r="DJ1372" s="110"/>
      <c r="DK1372" s="110"/>
      <c r="DL1372" s="110"/>
      <c r="DM1372" s="110"/>
      <c r="DN1372" s="110"/>
      <c r="DO1372" s="110"/>
      <c r="DP1372" s="110"/>
      <c r="DQ1372" s="110"/>
      <c r="DR1372" s="110"/>
      <c r="DS1372" s="110"/>
      <c r="DT1372" s="110"/>
      <c r="DU1372" s="110"/>
      <c r="DV1372" s="110"/>
      <c r="DW1372" s="110"/>
      <c r="DX1372" s="110"/>
      <c r="DY1372" s="110"/>
      <c r="DZ1372" s="110"/>
      <c r="EA1372" s="110"/>
      <c r="EB1372" s="110"/>
      <c r="EC1372" s="110"/>
      <c r="ED1372" s="110"/>
      <c r="EE1372" s="110"/>
      <c r="EF1372" s="110"/>
      <c r="EG1372" s="110"/>
      <c r="EH1372" s="110"/>
      <c r="EI1372" s="110"/>
      <c r="EJ1372" s="110"/>
      <c r="EK1372" s="110"/>
      <c r="EL1372" s="110"/>
      <c r="EM1372" s="110"/>
      <c r="EN1372" s="110"/>
      <c r="EO1372" s="110"/>
      <c r="EP1372" s="110"/>
      <c r="EQ1372" s="110"/>
      <c r="ER1372" s="110"/>
      <c r="ES1372" s="110"/>
      <c r="ET1372" s="110"/>
      <c r="EU1372" s="110"/>
      <c r="EV1372" s="110"/>
      <c r="EW1372" s="110"/>
      <c r="EX1372" s="110"/>
      <c r="EY1372" s="110"/>
      <c r="EZ1372" s="110"/>
      <c r="FA1372" s="110"/>
      <c r="FB1372" s="110"/>
      <c r="FC1372" s="110"/>
      <c r="FD1372" s="110"/>
      <c r="FE1372" s="110"/>
      <c r="FF1372" s="110"/>
      <c r="FG1372" s="110"/>
      <c r="FH1372" s="110"/>
      <c r="FI1372" s="110"/>
      <c r="FJ1372" s="110"/>
      <c r="FK1372" s="110"/>
      <c r="FL1372" s="110"/>
      <c r="FM1372" s="110"/>
      <c r="FN1372" s="110"/>
      <c r="FO1372" s="110"/>
      <c r="FP1372" s="110"/>
      <c r="FQ1372" s="110"/>
      <c r="FR1372" s="110"/>
      <c r="FS1372" s="110"/>
      <c r="FT1372" s="110"/>
      <c r="FU1372" s="110"/>
      <c r="FV1372" s="110"/>
      <c r="FW1372" s="110"/>
      <c r="FX1372" s="110"/>
      <c r="FY1372" s="110"/>
      <c r="FZ1372" s="110"/>
      <c r="GA1372" s="110"/>
      <c r="GB1372" s="110"/>
      <c r="GC1372" s="110"/>
      <c r="GD1372" s="110"/>
      <c r="GE1372" s="110"/>
      <c r="GF1372" s="110"/>
      <c r="GG1372" s="110"/>
      <c r="GH1372" s="110"/>
      <c r="GI1372" s="110"/>
      <c r="GJ1372" s="110"/>
      <c r="GK1372" s="110"/>
      <c r="GL1372" s="110"/>
      <c r="GM1372" s="110"/>
      <c r="GN1372" s="110"/>
      <c r="GO1372" s="110"/>
      <c r="GP1372" s="110"/>
      <c r="GQ1372" s="110"/>
      <c r="GR1372" s="110"/>
      <c r="GS1372" s="110"/>
      <c r="GT1372" s="110"/>
      <c r="GU1372" s="110"/>
      <c r="GV1372" s="110"/>
      <c r="GW1372" s="110"/>
      <c r="GX1372" s="110"/>
      <c r="GY1372" s="110"/>
      <c r="GZ1372" s="110"/>
      <c r="HA1372" s="110"/>
      <c r="HB1372" s="110"/>
      <c r="HC1372" s="110"/>
      <c r="HD1372" s="110"/>
      <c r="HE1372" s="110"/>
      <c r="HF1372" s="110"/>
      <c r="HG1372" s="110"/>
      <c r="HH1372" s="110"/>
      <c r="HI1372" s="110"/>
      <c r="HJ1372" s="110"/>
      <c r="HK1372" s="110"/>
      <c r="HL1372" s="110"/>
      <c r="HM1372" s="110"/>
      <c r="HN1372" s="110"/>
      <c r="HO1372" s="110"/>
      <c r="HP1372" s="110"/>
      <c r="HQ1372" s="110"/>
      <c r="HR1372" s="110"/>
      <c r="HS1372" s="110"/>
      <c r="HT1372" s="110"/>
      <c r="HU1372" s="110"/>
      <c r="HV1372" s="110"/>
      <c r="HW1372" s="110"/>
      <c r="HX1372" s="110"/>
      <c r="HY1372" s="110"/>
      <c r="HZ1372" s="110"/>
      <c r="IA1372" s="110"/>
      <c r="IB1372" s="110"/>
      <c r="IC1372" s="110"/>
      <c r="ID1372" s="110"/>
      <c r="IE1372" s="110"/>
      <c r="IF1372" s="110"/>
      <c r="IG1372" s="110"/>
      <c r="IH1372" s="110"/>
      <c r="II1372" s="110"/>
      <c r="IJ1372" s="110"/>
      <c r="IK1372" s="110"/>
      <c r="IL1372" s="110"/>
      <c r="IM1372" s="110"/>
      <c r="IN1372" s="110"/>
      <c r="IO1372" s="110"/>
      <c r="IP1372" s="110"/>
      <c r="IQ1372" s="110"/>
      <c r="IR1372" s="110"/>
      <c r="IS1372" s="110"/>
      <c r="IT1372" s="110"/>
      <c r="IU1372" s="110"/>
      <c r="IV1372" s="110"/>
      <c r="IW1372" s="110"/>
      <c r="IX1372" s="110"/>
      <c r="IY1372" s="110"/>
      <c r="IZ1372" s="110"/>
      <c r="JA1372" s="110"/>
      <c r="JB1372" s="110"/>
      <c r="JC1372" s="110"/>
      <c r="JD1372" s="110"/>
      <c r="JE1372" s="110"/>
      <c r="JF1372" s="110"/>
      <c r="JG1372" s="110"/>
      <c r="JH1372" s="110"/>
      <c r="JI1372" s="110"/>
      <c r="JJ1372" s="110"/>
      <c r="JK1372" s="110"/>
      <c r="JL1372" s="110"/>
      <c r="JM1372" s="110"/>
      <c r="JN1372" s="110"/>
      <c r="JO1372" s="110"/>
      <c r="JP1372" s="110"/>
      <c r="JQ1372" s="110"/>
      <c r="JR1372" s="110"/>
      <c r="JS1372" s="110"/>
      <c r="JT1372" s="110"/>
      <c r="JU1372" s="110"/>
      <c r="JV1372" s="110"/>
      <c r="JW1372" s="110"/>
      <c r="JX1372" s="110"/>
      <c r="JY1372" s="110"/>
      <c r="JZ1372" s="110"/>
      <c r="KA1372" s="110"/>
      <c r="KB1372" s="110"/>
      <c r="KC1372" s="110"/>
      <c r="KD1372" s="110"/>
      <c r="KE1372" s="110"/>
      <c r="KF1372" s="110"/>
      <c r="KG1372" s="110"/>
      <c r="KH1372" s="110"/>
      <c r="KI1372" s="110"/>
      <c r="KJ1372" s="110"/>
      <c r="KK1372" s="110"/>
      <c r="KL1372" s="110"/>
      <c r="KM1372" s="110"/>
      <c r="KN1372" s="110"/>
      <c r="KO1372" s="110"/>
      <c r="KP1372" s="110"/>
      <c r="KQ1372" s="110"/>
      <c r="KR1372" s="110"/>
      <c r="KS1372" s="110"/>
      <c r="KT1372" s="110"/>
      <c r="KU1372" s="110"/>
      <c r="KV1372" s="110"/>
      <c r="KW1372" s="110"/>
      <c r="KX1372" s="110"/>
      <c r="KY1372" s="110"/>
      <c r="KZ1372" s="110"/>
      <c r="LA1372" s="110"/>
      <c r="LB1372" s="110"/>
      <c r="LC1372" s="110"/>
      <c r="LD1372" s="110"/>
      <c r="LE1372" s="110"/>
      <c r="LF1372" s="110"/>
      <c r="LG1372" s="110"/>
      <c r="LH1372" s="110"/>
      <c r="LI1372" s="110"/>
      <c r="LJ1372" s="110"/>
      <c r="LK1372" s="110"/>
      <c r="LL1372" s="110"/>
      <c r="LM1372" s="110"/>
      <c r="LN1372" s="110"/>
      <c r="LO1372" s="110"/>
      <c r="LP1372" s="110"/>
      <c r="LQ1372" s="110"/>
      <c r="LR1372" s="110"/>
      <c r="LS1372" s="110"/>
      <c r="LT1372" s="110"/>
      <c r="LU1372" s="110"/>
      <c r="LV1372" s="110"/>
      <c r="LW1372" s="110"/>
      <c r="LX1372" s="110"/>
      <c r="LY1372" s="110"/>
      <c r="LZ1372" s="110"/>
      <c r="MA1372" s="110"/>
      <c r="MB1372" s="110"/>
      <c r="MC1372" s="110"/>
      <c r="MD1372" s="110"/>
      <c r="ME1372" s="110"/>
      <c r="MF1372" s="110"/>
      <c r="MG1372" s="110"/>
      <c r="MH1372" s="110"/>
      <c r="MI1372" s="110"/>
      <c r="MJ1372" s="110"/>
      <c r="MK1372" s="110"/>
      <c r="ML1372" s="110"/>
      <c r="MM1372" s="110"/>
      <c r="MN1372" s="110"/>
      <c r="MO1372" s="110"/>
      <c r="MP1372" s="110"/>
      <c r="MQ1372" s="110"/>
      <c r="MR1372" s="110"/>
      <c r="MS1372" s="110"/>
      <c r="MT1372" s="110"/>
      <c r="MU1372" s="110"/>
      <c r="MV1372" s="110"/>
      <c r="MW1372" s="110"/>
      <c r="MX1372" s="110"/>
      <c r="MY1372" s="110"/>
      <c r="MZ1372" s="110"/>
      <c r="NA1372" s="110"/>
      <c r="NB1372" s="110"/>
      <c r="NC1372" s="110"/>
      <c r="ND1372" s="110"/>
      <c r="NE1372" s="110"/>
      <c r="NF1372" s="110"/>
      <c r="NG1372" s="110"/>
      <c r="NH1372" s="110"/>
      <c r="NI1372" s="110"/>
      <c r="NJ1372" s="110"/>
      <c r="NK1372" s="110"/>
      <c r="NL1372" s="110"/>
      <c r="NM1372" s="110"/>
      <c r="NN1372" s="110"/>
      <c r="NO1372" s="110"/>
      <c r="NP1372" s="110"/>
      <c r="NQ1372" s="110"/>
      <c r="NR1372" s="110"/>
      <c r="NS1372" s="110"/>
      <c r="NT1372" s="110"/>
      <c r="NU1372" s="110"/>
      <c r="NV1372" s="110"/>
      <c r="NW1372" s="110"/>
      <c r="NX1372" s="110"/>
      <c r="NY1372" s="110"/>
      <c r="NZ1372" s="110"/>
      <c r="OA1372" s="110"/>
      <c r="OB1372" s="110"/>
      <c r="OC1372" s="110"/>
      <c r="OD1372" s="110"/>
      <c r="OE1372" s="110"/>
      <c r="OF1372" s="110"/>
      <c r="OG1372" s="110"/>
      <c r="OH1372" s="110"/>
      <c r="OI1372" s="110"/>
      <c r="OJ1372" s="110"/>
      <c r="OK1372" s="110"/>
      <c r="OL1372" s="110"/>
      <c r="OM1372" s="110"/>
      <c r="ON1372" s="110"/>
      <c r="OO1372" s="110"/>
      <c r="OP1372" s="110"/>
      <c r="OQ1372" s="110"/>
      <c r="OR1372" s="110"/>
      <c r="OS1372" s="110"/>
      <c r="OT1372" s="110"/>
      <c r="OU1372" s="110"/>
      <c r="OV1372" s="110"/>
      <c r="OW1372" s="110"/>
      <c r="OX1372" s="110"/>
      <c r="OY1372" s="110"/>
      <c r="OZ1372" s="110"/>
      <c r="PA1372" s="110"/>
      <c r="PB1372" s="110"/>
      <c r="PC1372" s="110"/>
      <c r="PD1372" s="110"/>
      <c r="PE1372" s="110"/>
      <c r="PF1372" s="110"/>
      <c r="PG1372" s="110"/>
      <c r="PH1372" s="110"/>
      <c r="PI1372" s="110"/>
      <c r="PJ1372" s="110"/>
      <c r="PK1372" s="110"/>
      <c r="PL1372" s="110"/>
      <c r="PM1372" s="110"/>
      <c r="PN1372" s="110"/>
      <c r="PO1372" s="110"/>
      <c r="PP1372" s="110"/>
      <c r="PQ1372" s="110"/>
      <c r="PR1372" s="110"/>
      <c r="PS1372" s="110"/>
      <c r="PT1372" s="110"/>
      <c r="PU1372" s="110"/>
      <c r="PV1372" s="110"/>
      <c r="PW1372" s="110"/>
      <c r="PX1372" s="110"/>
      <c r="PY1372" s="110"/>
      <c r="PZ1372" s="110"/>
      <c r="QA1372" s="110"/>
      <c r="QB1372" s="110"/>
      <c r="QC1372" s="110"/>
      <c r="QD1372" s="110"/>
      <c r="QE1372" s="110"/>
      <c r="QF1372" s="110"/>
      <c r="QG1372" s="110"/>
      <c r="QH1372" s="110"/>
      <c r="QI1372" s="110"/>
      <c r="QJ1372" s="110"/>
      <c r="QK1372" s="110"/>
      <c r="QL1372" s="110"/>
      <c r="QM1372" s="110"/>
      <c r="QN1372" s="110"/>
      <c r="QO1372" s="110"/>
      <c r="QP1372" s="110"/>
      <c r="QQ1372" s="110"/>
      <c r="QR1372" s="110"/>
      <c r="QS1372" s="110"/>
      <c r="QT1372" s="110"/>
      <c r="QU1372" s="110"/>
      <c r="QV1372" s="110"/>
      <c r="QW1372" s="110"/>
      <c r="QX1372" s="110"/>
      <c r="QY1372" s="110"/>
      <c r="QZ1372" s="110"/>
      <c r="RA1372" s="110"/>
      <c r="RB1372" s="110"/>
      <c r="RC1372" s="110"/>
      <c r="RD1372" s="110"/>
      <c r="RE1372" s="110"/>
      <c r="RF1372" s="110"/>
      <c r="RG1372" s="110"/>
      <c r="RH1372" s="110"/>
      <c r="RI1372" s="110"/>
      <c r="RJ1372" s="110"/>
      <c r="RK1372" s="110"/>
      <c r="RL1372" s="110"/>
      <c r="RM1372" s="110"/>
      <c r="RN1372" s="110"/>
      <c r="RO1372" s="110"/>
      <c r="RP1372" s="110"/>
      <c r="RQ1372" s="110"/>
      <c r="RR1372" s="110"/>
      <c r="RS1372" s="110"/>
      <c r="RT1372" s="110"/>
      <c r="RU1372" s="110"/>
      <c r="RV1372" s="110"/>
      <c r="RW1372" s="110"/>
      <c r="RX1372" s="110"/>
      <c r="RY1372" s="110"/>
      <c r="RZ1372" s="110"/>
      <c r="SA1372" s="110"/>
      <c r="SB1372" s="110"/>
      <c r="SC1372" s="110"/>
      <c r="SD1372" s="110"/>
      <c r="SE1372" s="110"/>
      <c r="SF1372" s="110"/>
      <c r="SG1372" s="110"/>
      <c r="SH1372" s="110"/>
      <c r="SI1372" s="110"/>
      <c r="SJ1372" s="110"/>
      <c r="SK1372" s="110"/>
      <c r="SL1372" s="110"/>
      <c r="SM1372" s="110"/>
      <c r="SN1372" s="110"/>
      <c r="SO1372" s="110"/>
      <c r="SP1372" s="110"/>
      <c r="SQ1372" s="110"/>
      <c r="SR1372" s="110"/>
      <c r="SS1372" s="110"/>
      <c r="ST1372" s="110"/>
      <c r="SU1372" s="110"/>
      <c r="SV1372" s="110"/>
      <c r="SW1372" s="110"/>
      <c r="SX1372" s="110"/>
      <c r="SY1372" s="110"/>
      <c r="SZ1372" s="110"/>
      <c r="TA1372" s="110"/>
      <c r="TB1372" s="110"/>
      <c r="TC1372" s="110"/>
      <c r="TD1372" s="110"/>
      <c r="TE1372" s="110"/>
      <c r="TF1372" s="110"/>
      <c r="TG1372" s="110"/>
      <c r="TH1372" s="110"/>
      <c r="TI1372" s="110"/>
      <c r="TJ1372" s="110"/>
      <c r="TK1372" s="110"/>
      <c r="TL1372" s="110"/>
      <c r="TM1372" s="110"/>
      <c r="TN1372" s="110"/>
      <c r="TO1372" s="110"/>
      <c r="TP1372" s="110"/>
      <c r="TQ1372" s="110"/>
      <c r="TR1372" s="110"/>
      <c r="TS1372" s="110"/>
      <c r="TT1372" s="110"/>
      <c r="TU1372" s="110"/>
      <c r="TV1372" s="110"/>
      <c r="TW1372" s="110"/>
      <c r="TX1372" s="110"/>
      <c r="TY1372" s="110"/>
      <c r="TZ1372" s="110"/>
      <c r="UA1372" s="110"/>
      <c r="UB1372" s="110"/>
      <c r="UC1372" s="110"/>
      <c r="UD1372" s="110"/>
      <c r="UE1372" s="110"/>
      <c r="UF1372" s="110"/>
      <c r="UG1372" s="110"/>
      <c r="UH1372" s="110"/>
      <c r="UI1372" s="110"/>
      <c r="UJ1372" s="110"/>
      <c r="UK1372" s="110"/>
      <c r="UL1372" s="110"/>
      <c r="UM1372" s="110"/>
      <c r="UN1372" s="110"/>
      <c r="UO1372" s="110"/>
      <c r="UP1372" s="110"/>
      <c r="UQ1372" s="110"/>
      <c r="UR1372" s="110"/>
      <c r="US1372" s="110"/>
      <c r="UT1372" s="110"/>
      <c r="UU1372" s="110"/>
      <c r="UV1372" s="110"/>
      <c r="UW1372" s="110"/>
      <c r="UX1372" s="110"/>
      <c r="UY1372" s="110"/>
      <c r="UZ1372" s="110"/>
      <c r="VA1372" s="110"/>
      <c r="VB1372" s="110"/>
      <c r="VC1372" s="110"/>
      <c r="VD1372" s="110"/>
      <c r="VE1372" s="110"/>
      <c r="VF1372" s="110"/>
      <c r="VG1372" s="110"/>
      <c r="VH1372" s="110"/>
      <c r="VI1372" s="110"/>
      <c r="VJ1372" s="110"/>
      <c r="VK1372" s="110"/>
      <c r="VL1372" s="110"/>
      <c r="VM1372" s="110"/>
      <c r="VN1372" s="110"/>
      <c r="VO1372" s="110"/>
      <c r="VP1372" s="110"/>
      <c r="VQ1372" s="110"/>
      <c r="VR1372" s="110"/>
      <c r="VS1372" s="110"/>
      <c r="VT1372" s="110"/>
      <c r="VU1372" s="110"/>
      <c r="VV1372" s="110"/>
      <c r="VW1372" s="110"/>
      <c r="VX1372" s="110"/>
      <c r="VY1372" s="110"/>
      <c r="VZ1372" s="110"/>
      <c r="WA1372" s="110"/>
      <c r="WB1372" s="110"/>
      <c r="WC1372" s="110"/>
      <c r="WD1372" s="110"/>
      <c r="WE1372" s="110"/>
      <c r="WF1372" s="110"/>
      <c r="WG1372" s="110"/>
      <c r="WH1372" s="110"/>
      <c r="WI1372" s="110"/>
      <c r="WJ1372" s="110"/>
      <c r="WK1372" s="110"/>
      <c r="WL1372" s="110"/>
      <c r="WM1372" s="110"/>
      <c r="WN1372" s="110"/>
      <c r="WO1372" s="110"/>
      <c r="WP1372" s="110"/>
      <c r="WQ1372" s="110"/>
      <c r="WR1372" s="110"/>
      <c r="WS1372" s="110"/>
      <c r="WT1372" s="110"/>
      <c r="WU1372" s="110"/>
      <c r="WV1372" s="110"/>
      <c r="WW1372" s="110"/>
      <c r="WX1372" s="110"/>
      <c r="WY1372" s="110"/>
      <c r="WZ1372" s="110"/>
      <c r="XA1372" s="110"/>
      <c r="XB1372" s="110"/>
      <c r="XC1372" s="110"/>
      <c r="XD1372" s="110"/>
      <c r="XE1372" s="110"/>
      <c r="XF1372" s="110"/>
      <c r="XG1372" s="110"/>
      <c r="XH1372" s="110"/>
      <c r="XI1372" s="110"/>
      <c r="XJ1372" s="110"/>
      <c r="XK1372" s="110"/>
      <c r="XL1372" s="110"/>
      <c r="XM1372" s="110"/>
      <c r="XN1372" s="110"/>
      <c r="XO1372" s="110"/>
      <c r="XP1372" s="110"/>
      <c r="XQ1372" s="110"/>
      <c r="XR1372" s="110"/>
      <c r="XS1372" s="110"/>
      <c r="XT1372" s="110"/>
      <c r="XU1372" s="110"/>
      <c r="XV1372" s="110"/>
      <c r="XW1372" s="110"/>
      <c r="XX1372" s="110"/>
      <c r="XY1372" s="110"/>
      <c r="XZ1372" s="110"/>
      <c r="YA1372" s="110"/>
      <c r="YB1372" s="110"/>
      <c r="YC1372" s="110"/>
      <c r="YD1372" s="110"/>
      <c r="YE1372" s="110"/>
      <c r="YF1372" s="110"/>
      <c r="YG1372" s="110"/>
      <c r="YH1372" s="110"/>
      <c r="YI1372" s="110"/>
      <c r="YJ1372" s="110"/>
      <c r="YK1372" s="110"/>
      <c r="YL1372" s="110"/>
      <c r="YM1372" s="110"/>
      <c r="YN1372" s="110"/>
      <c r="YO1372" s="110"/>
      <c r="YP1372" s="110"/>
      <c r="YQ1372" s="110"/>
      <c r="YR1372" s="110"/>
      <c r="YS1372" s="110"/>
      <c r="YT1372" s="110"/>
      <c r="YU1372" s="110"/>
      <c r="YV1372" s="110"/>
      <c r="YW1372" s="110"/>
      <c r="YX1372" s="110"/>
      <c r="YY1372" s="110"/>
      <c r="YZ1372" s="110"/>
      <c r="ZA1372" s="110"/>
      <c r="ZB1372" s="110"/>
      <c r="ZC1372" s="110"/>
      <c r="ZD1372" s="110"/>
      <c r="ZE1372" s="110"/>
      <c r="ZF1372" s="110"/>
      <c r="ZG1372" s="110"/>
      <c r="ZH1372" s="110"/>
      <c r="ZI1372" s="110"/>
      <c r="ZJ1372" s="110"/>
      <c r="ZK1372" s="110"/>
      <c r="ZL1372" s="110"/>
      <c r="ZM1372" s="110"/>
      <c r="ZN1372" s="110"/>
      <c r="ZO1372" s="110"/>
      <c r="ZP1372" s="110"/>
      <c r="ZQ1372" s="110"/>
      <c r="ZR1372" s="110"/>
      <c r="ZS1372" s="110"/>
      <c r="ZT1372" s="110"/>
      <c r="ZU1372" s="110"/>
      <c r="ZV1372" s="110"/>
      <c r="ZW1372" s="110"/>
      <c r="ZX1372" s="110"/>
      <c r="ZY1372" s="110"/>
      <c r="ZZ1372" s="110"/>
      <c r="AAA1372" s="110"/>
      <c r="AAB1372" s="110"/>
      <c r="AAC1372" s="110"/>
      <c r="AAD1372" s="110"/>
      <c r="AAE1372" s="110"/>
      <c r="AAF1372" s="110"/>
      <c r="AAG1372" s="110"/>
      <c r="AAH1372" s="110"/>
      <c r="AAI1372" s="110"/>
      <c r="AAJ1372" s="110"/>
      <c r="AAK1372" s="110"/>
      <c r="AAL1372" s="110"/>
      <c r="AAM1372" s="110"/>
      <c r="AAN1372" s="110"/>
      <c r="AAO1372" s="110"/>
      <c r="AAP1372" s="110"/>
      <c r="AAQ1372" s="110"/>
      <c r="AAR1372" s="110"/>
      <c r="AAS1372" s="110"/>
      <c r="AAT1372" s="110"/>
      <c r="AAU1372" s="110"/>
      <c r="AAV1372" s="110"/>
      <c r="AAW1372" s="110"/>
      <c r="AAX1372" s="110"/>
      <c r="AAY1372" s="110"/>
      <c r="AAZ1372" s="110"/>
      <c r="ABA1372" s="110"/>
      <c r="ABB1372" s="110"/>
      <c r="ABC1372" s="110"/>
      <c r="ABD1372" s="110"/>
      <c r="ABE1372" s="110"/>
      <c r="ABF1372" s="110"/>
      <c r="ABG1372" s="110"/>
      <c r="ABH1372" s="110"/>
      <c r="ABI1372" s="110"/>
      <c r="ABJ1372" s="110"/>
      <c r="ABK1372" s="110"/>
      <c r="ABL1372" s="110"/>
      <c r="ABM1372" s="110"/>
      <c r="ABN1372" s="110"/>
      <c r="ABO1372" s="110"/>
      <c r="ABP1372" s="110"/>
      <c r="ABQ1372" s="110"/>
      <c r="ABR1372" s="110"/>
      <c r="ABS1372" s="110"/>
      <c r="ABT1372" s="110"/>
      <c r="ABU1372" s="110"/>
      <c r="ABV1372" s="110"/>
      <c r="ABW1372" s="110"/>
      <c r="ABX1372" s="110"/>
      <c r="ABY1372" s="110"/>
      <c r="ABZ1372" s="110"/>
      <c r="ACA1372" s="110"/>
      <c r="ACB1372" s="110"/>
      <c r="ACC1372" s="110"/>
      <c r="ACD1372" s="110"/>
      <c r="ACE1372" s="110"/>
      <c r="ACF1372" s="110"/>
      <c r="ACG1372" s="110"/>
      <c r="ACH1372" s="110"/>
      <c r="ACI1372" s="110"/>
      <c r="ACJ1372" s="110"/>
      <c r="ACK1372" s="110"/>
      <c r="ACL1372" s="110"/>
      <c r="ACM1372" s="110"/>
      <c r="ACN1372" s="110"/>
      <c r="ACO1372" s="110"/>
      <c r="ACP1372" s="110"/>
      <c r="ACQ1372" s="110"/>
      <c r="ACR1372" s="110"/>
      <c r="ACS1372" s="110"/>
      <c r="ACT1372" s="110"/>
      <c r="ACU1372" s="110"/>
      <c r="ACV1372" s="110"/>
      <c r="ACW1372" s="110"/>
      <c r="ACX1372" s="110"/>
      <c r="ACY1372" s="110"/>
      <c r="ACZ1372" s="110"/>
      <c r="ADA1372" s="110"/>
      <c r="ADB1372" s="110"/>
      <c r="ADC1372" s="110"/>
      <c r="ADD1372" s="110"/>
      <c r="ADE1372" s="110"/>
      <c r="ADF1372" s="110"/>
      <c r="ADG1372" s="110"/>
      <c r="ADH1372" s="110"/>
      <c r="ADI1372" s="110"/>
      <c r="ADJ1372" s="110"/>
      <c r="ADK1372" s="110"/>
      <c r="ADL1372" s="110"/>
      <c r="ADM1372" s="110"/>
      <c r="ADN1372" s="110"/>
      <c r="ADO1372" s="110"/>
      <c r="ADP1372" s="110"/>
      <c r="ADQ1372" s="110"/>
      <c r="ADR1372" s="110"/>
      <c r="ADS1372" s="110"/>
      <c r="ADT1372" s="110"/>
      <c r="ADU1372" s="110"/>
      <c r="ADV1372" s="110"/>
      <c r="ADW1372" s="110"/>
      <c r="ADX1372" s="110"/>
      <c r="ADY1372" s="110"/>
      <c r="ADZ1372" s="110"/>
      <c r="AEA1372" s="110"/>
      <c r="AEB1372" s="110"/>
      <c r="AEC1372" s="110"/>
      <c r="AED1372" s="110"/>
      <c r="AEE1372" s="110"/>
      <c r="AEF1372" s="110"/>
      <c r="AEG1372" s="110"/>
      <c r="AEH1372" s="110"/>
      <c r="AEI1372" s="110"/>
      <c r="AEJ1372" s="110"/>
      <c r="AEK1372" s="110"/>
      <c r="AEL1372" s="110"/>
      <c r="AEM1372" s="110"/>
      <c r="AEN1372" s="110"/>
      <c r="AEO1372" s="110"/>
      <c r="AEP1372" s="110"/>
      <c r="AEQ1372" s="110"/>
      <c r="AER1372" s="110"/>
      <c r="AES1372" s="110"/>
      <c r="AET1372" s="110"/>
      <c r="AEU1372" s="110"/>
      <c r="AEV1372" s="110"/>
      <c r="AEW1372" s="110"/>
      <c r="AEX1372" s="110"/>
      <c r="AEY1372" s="110"/>
      <c r="AEZ1372" s="110"/>
      <c r="AFA1372" s="110"/>
      <c r="AFB1372" s="110"/>
      <c r="AFC1372" s="110"/>
      <c r="AFD1372" s="110"/>
      <c r="AFE1372" s="110"/>
      <c r="AFF1372" s="110"/>
      <c r="AFG1372" s="110"/>
      <c r="AFH1372" s="110"/>
      <c r="AFI1372" s="110"/>
      <c r="AFJ1372" s="110"/>
      <c r="AFK1372" s="110"/>
      <c r="AFL1372" s="110"/>
      <c r="AFM1372" s="110"/>
      <c r="AFN1372" s="110"/>
      <c r="AFO1372" s="110"/>
      <c r="AFP1372" s="110"/>
      <c r="AFQ1372" s="110"/>
      <c r="AFR1372" s="110"/>
      <c r="AFS1372" s="110"/>
      <c r="AFT1372" s="110"/>
      <c r="AFU1372" s="110"/>
      <c r="AFV1372" s="110"/>
      <c r="AFW1372" s="110"/>
      <c r="AFX1372" s="110"/>
      <c r="AFY1372" s="110"/>
      <c r="AFZ1372" s="110"/>
      <c r="AGA1372" s="110"/>
      <c r="AGB1372" s="110"/>
      <c r="AGC1372" s="110"/>
      <c r="AGD1372" s="110"/>
      <c r="AGE1372" s="110"/>
      <c r="AGF1372" s="110"/>
      <c r="AGG1372" s="110"/>
      <c r="AGH1372" s="110"/>
      <c r="AGI1372" s="110"/>
      <c r="AGJ1372" s="110"/>
      <c r="AGK1372" s="110"/>
      <c r="AGL1372" s="110"/>
      <c r="AGM1372" s="110"/>
      <c r="AGN1372" s="110"/>
      <c r="AGO1372" s="110"/>
      <c r="AGP1372" s="110"/>
      <c r="AGQ1372" s="110"/>
      <c r="AGR1372" s="110"/>
      <c r="AGS1372" s="110"/>
      <c r="AGT1372" s="110"/>
      <c r="AGU1372" s="110"/>
      <c r="AGV1372" s="110"/>
      <c r="AGW1372" s="110"/>
      <c r="AGX1372" s="110"/>
      <c r="AGY1372" s="110"/>
      <c r="AGZ1372" s="110"/>
      <c r="AHA1372" s="110"/>
      <c r="AHB1372" s="110"/>
      <c r="AHC1372" s="110"/>
      <c r="AHD1372" s="110"/>
      <c r="AHE1372" s="110"/>
      <c r="AHF1372" s="110"/>
      <c r="AHG1372" s="110"/>
      <c r="AHH1372" s="110"/>
      <c r="AHI1372" s="110"/>
      <c r="AHJ1372" s="110"/>
      <c r="AHK1372" s="110"/>
      <c r="AHL1372" s="110"/>
      <c r="AHM1372" s="110"/>
      <c r="AHN1372" s="110"/>
      <c r="AHO1372" s="110"/>
      <c r="AHP1372" s="110"/>
      <c r="AHQ1372" s="110"/>
      <c r="AHR1372" s="110"/>
      <c r="AHS1372" s="110"/>
      <c r="AHT1372" s="110"/>
      <c r="AHU1372" s="110"/>
      <c r="AHV1372" s="110"/>
      <c r="AHW1372" s="110"/>
      <c r="AHX1372" s="110"/>
      <c r="AHY1372" s="110"/>
      <c r="AHZ1372" s="110"/>
      <c r="AIA1372" s="110"/>
      <c r="AIB1372" s="110"/>
      <c r="AIC1372" s="110"/>
      <c r="AID1372" s="110"/>
      <c r="AIE1372" s="110"/>
      <c r="AIF1372" s="110"/>
      <c r="AIG1372" s="110"/>
      <c r="AIH1372" s="110"/>
      <c r="AII1372" s="110"/>
      <c r="AIJ1372" s="110"/>
      <c r="AIK1372" s="110"/>
      <c r="AIL1372" s="110"/>
      <c r="AIM1372" s="110"/>
      <c r="AIN1372" s="110"/>
      <c r="AIO1372" s="110"/>
      <c r="AIP1372" s="110"/>
      <c r="AIQ1372" s="110"/>
      <c r="AIR1372" s="110"/>
      <c r="AIS1372" s="110"/>
      <c r="AIT1372" s="110"/>
      <c r="AIU1372" s="110"/>
      <c r="AIV1372" s="110"/>
      <c r="AIW1372" s="110"/>
      <c r="AIX1372" s="110"/>
      <c r="AIY1372" s="110"/>
      <c r="AIZ1372" s="110"/>
      <c r="AJA1372" s="110"/>
      <c r="AJB1372" s="110"/>
      <c r="AJC1372" s="110"/>
      <c r="AJD1372" s="110"/>
      <c r="AJE1372" s="110"/>
      <c r="AJF1372" s="110"/>
      <c r="AJG1372" s="110"/>
      <c r="AJH1372" s="110"/>
      <c r="AJI1372" s="110"/>
      <c r="AJJ1372" s="110"/>
      <c r="AJK1372" s="110"/>
      <c r="AJL1372" s="110"/>
      <c r="AJM1372" s="110"/>
      <c r="AJN1372" s="110"/>
      <c r="AJO1372" s="110"/>
      <c r="AJP1372" s="110"/>
      <c r="AJQ1372" s="110"/>
      <c r="AJR1372" s="110"/>
      <c r="AJS1372" s="110"/>
      <c r="AJT1372" s="110"/>
      <c r="AJU1372" s="110"/>
      <c r="AJV1372" s="110"/>
      <c r="AJW1372" s="110"/>
      <c r="AJX1372" s="110"/>
      <c r="AJY1372" s="110"/>
      <c r="AJZ1372" s="110"/>
      <c r="AKA1372" s="110"/>
      <c r="AKB1372" s="110"/>
      <c r="AKC1372" s="110"/>
      <c r="AKD1372" s="110"/>
      <c r="AKE1372" s="110"/>
      <c r="AKF1372" s="110"/>
      <c r="AKG1372" s="110"/>
      <c r="AKH1372" s="110"/>
      <c r="AKI1372" s="110"/>
      <c r="AKJ1372" s="110"/>
      <c r="AKK1372" s="110"/>
      <c r="AKL1372" s="110"/>
      <c r="AKM1372" s="110"/>
      <c r="AKN1372" s="110"/>
      <c r="AKO1372" s="110"/>
      <c r="AKP1372" s="110"/>
      <c r="AKQ1372" s="110"/>
      <c r="AKR1372" s="110"/>
      <c r="AKS1372" s="110"/>
      <c r="AKT1372" s="110"/>
      <c r="AKU1372" s="110"/>
      <c r="AKV1372" s="110"/>
      <c r="AKW1372" s="110"/>
      <c r="AKX1372" s="110"/>
      <c r="AKY1372" s="110"/>
      <c r="AKZ1372" s="110"/>
      <c r="ALA1372" s="110"/>
      <c r="ALB1372" s="110"/>
      <c r="ALC1372" s="110"/>
      <c r="ALD1372" s="110"/>
      <c r="ALE1372" s="110"/>
      <c r="ALF1372" s="110"/>
      <c r="ALG1372" s="110"/>
      <c r="ALH1372" s="110"/>
      <c r="ALI1372" s="110"/>
      <c r="ALJ1372" s="110"/>
      <c r="ALK1372" s="110"/>
      <c r="ALL1372" s="110"/>
      <c r="ALM1372" s="110"/>
      <c r="ALN1372" s="110"/>
      <c r="ALO1372" s="110"/>
      <c r="ALP1372" s="110"/>
      <c r="ALQ1372" s="110"/>
      <c r="ALR1372" s="110"/>
      <c r="ALS1372" s="110"/>
      <c r="ALT1372" s="110"/>
      <c r="ALU1372" s="110"/>
      <c r="ALV1372" s="110"/>
      <c r="ALW1372" s="110"/>
      <c r="ALX1372" s="110"/>
      <c r="ALY1372" s="110"/>
      <c r="ALZ1372" s="110"/>
      <c r="AMA1372" s="110"/>
      <c r="AMB1372" s="110"/>
      <c r="AMC1372" s="110"/>
      <c r="AMD1372" s="110"/>
      <c r="AME1372" s="110"/>
      <c r="AMF1372" s="110"/>
      <c r="AMG1372" s="110"/>
      <c r="AMH1372" s="110"/>
      <c r="AMI1372" s="110"/>
      <c r="AMJ1372" s="110"/>
      <c r="AMK1372" s="110"/>
      <c r="AML1372" s="110"/>
      <c r="AMM1372" s="110"/>
      <c r="AMN1372" s="110"/>
      <c r="AMO1372" s="110"/>
      <c r="AMP1372" s="110"/>
      <c r="AMQ1372" s="110"/>
      <c r="AMR1372" s="110"/>
      <c r="AMS1372" s="110"/>
      <c r="AMT1372" s="110"/>
      <c r="AMU1372" s="110"/>
      <c r="AMV1372" s="110"/>
      <c r="AMW1372" s="110"/>
      <c r="AMX1372" s="110"/>
      <c r="AMY1372" s="110"/>
      <c r="AMZ1372" s="110"/>
      <c r="ANA1372" s="110"/>
      <c r="ANB1372" s="110"/>
      <c r="ANC1372" s="110"/>
      <c r="AND1372" s="110"/>
      <c r="ANE1372" s="110"/>
      <c r="ANF1372" s="110"/>
      <c r="ANG1372" s="110"/>
      <c r="ANH1372" s="110"/>
      <c r="ANI1372" s="110"/>
      <c r="ANJ1372" s="110"/>
      <c r="ANK1372" s="110"/>
      <c r="ANL1372" s="110"/>
      <c r="ANM1372" s="110"/>
      <c r="ANN1372" s="110"/>
      <c r="ANO1372" s="110"/>
      <c r="ANP1372" s="110"/>
      <c r="ANQ1372" s="110"/>
      <c r="ANR1372" s="110"/>
      <c r="ANS1372" s="110"/>
      <c r="ANT1372" s="110"/>
      <c r="ANU1372" s="110"/>
      <c r="ANV1372" s="110"/>
      <c r="ANW1372" s="110"/>
      <c r="ANX1372" s="110"/>
      <c r="ANY1372" s="110"/>
      <c r="ANZ1372" s="110"/>
      <c r="AOA1372" s="110"/>
      <c r="AOB1372" s="110"/>
      <c r="AOC1372" s="110"/>
      <c r="AOD1372" s="110"/>
      <c r="AOE1372" s="110"/>
      <c r="AOF1372" s="110"/>
      <c r="AOG1372" s="110"/>
      <c r="AOH1372" s="110"/>
      <c r="AOI1372" s="110"/>
      <c r="AOJ1372" s="110"/>
      <c r="AOK1372" s="110"/>
      <c r="AOL1372" s="110"/>
      <c r="AOM1372" s="110"/>
      <c r="AON1372" s="110"/>
      <c r="AOO1372" s="110"/>
      <c r="AOP1372" s="110"/>
      <c r="AOQ1372" s="110"/>
      <c r="AOR1372" s="110"/>
      <c r="AOS1372" s="110"/>
      <c r="AOT1372" s="110"/>
      <c r="AOU1372" s="110"/>
      <c r="AOV1372" s="110"/>
      <c r="AOW1372" s="110"/>
      <c r="AOX1372" s="110"/>
      <c r="AOY1372" s="110"/>
      <c r="AOZ1372" s="110"/>
      <c r="APA1372" s="110"/>
      <c r="APB1372" s="110"/>
      <c r="APC1372" s="110"/>
      <c r="APD1372" s="110"/>
      <c r="APE1372" s="110"/>
      <c r="APF1372" s="110"/>
      <c r="APG1372" s="110"/>
      <c r="APH1372" s="110"/>
      <c r="API1372" s="110"/>
      <c r="APJ1372" s="110"/>
      <c r="APK1372" s="110"/>
      <c r="APL1372" s="110"/>
      <c r="APM1372" s="110"/>
      <c r="APN1372" s="110"/>
      <c r="APO1372" s="110"/>
      <c r="APP1372" s="110"/>
      <c r="APQ1372" s="110"/>
      <c r="APR1372" s="110"/>
      <c r="APS1372" s="110"/>
      <c r="APT1372" s="110"/>
      <c r="APU1372" s="110"/>
      <c r="APV1372" s="110"/>
      <c r="APW1372" s="110"/>
      <c r="APX1372" s="110"/>
      <c r="APY1372" s="110"/>
      <c r="APZ1372" s="110"/>
      <c r="AQA1372" s="110"/>
      <c r="AQB1372" s="110"/>
      <c r="AQC1372" s="110"/>
      <c r="AQD1372" s="110"/>
      <c r="AQE1372" s="110"/>
      <c r="AQF1372" s="110"/>
      <c r="AQG1372" s="110"/>
      <c r="AQH1372" s="110"/>
      <c r="AQI1372" s="110"/>
      <c r="AQJ1372" s="110"/>
      <c r="AQK1372" s="110"/>
      <c r="AQL1372" s="110"/>
      <c r="AQM1372" s="110"/>
      <c r="AQN1372" s="110"/>
      <c r="AQO1372" s="110"/>
      <c r="AQP1372" s="110"/>
      <c r="AQQ1372" s="110"/>
      <c r="AQR1372" s="110"/>
      <c r="AQS1372" s="110"/>
      <c r="AQT1372" s="110"/>
      <c r="AQU1372" s="110"/>
      <c r="AQV1372" s="110"/>
      <c r="AQW1372" s="110"/>
      <c r="AQX1372" s="110"/>
      <c r="AQY1372" s="110"/>
      <c r="AQZ1372" s="110"/>
      <c r="ARA1372" s="110"/>
      <c r="ARB1372" s="110"/>
      <c r="ARC1372" s="110"/>
      <c r="ARD1372" s="110"/>
      <c r="ARE1372" s="110"/>
      <c r="ARF1372" s="110"/>
      <c r="ARG1372" s="110"/>
      <c r="ARH1372" s="110"/>
      <c r="ARI1372" s="110"/>
      <c r="ARJ1372" s="110"/>
      <c r="ARK1372" s="110"/>
      <c r="ARL1372" s="110"/>
      <c r="ARM1372" s="110"/>
      <c r="ARN1372" s="110"/>
      <c r="ARO1372" s="110"/>
      <c r="ARP1372" s="110"/>
      <c r="ARQ1372" s="110"/>
      <c r="ARR1372" s="110"/>
      <c r="ARS1372" s="110"/>
      <c r="ART1372" s="110"/>
      <c r="ARU1372" s="110"/>
      <c r="ARV1372" s="110"/>
      <c r="ARW1372" s="110"/>
      <c r="ARX1372" s="110"/>
      <c r="ARY1372" s="110"/>
      <c r="ARZ1372" s="110"/>
      <c r="ASA1372" s="110"/>
      <c r="ASB1372" s="110"/>
      <c r="ASC1372" s="110"/>
      <c r="ASD1372" s="110"/>
      <c r="ASE1372" s="110"/>
      <c r="ASF1372" s="110"/>
      <c r="ASG1372" s="110"/>
      <c r="ASH1372" s="110"/>
      <c r="ASI1372" s="110"/>
      <c r="ASJ1372" s="110"/>
      <c r="ASK1372" s="110"/>
      <c r="ASL1372" s="110"/>
      <c r="ASM1372" s="110"/>
      <c r="ASN1372" s="110"/>
      <c r="ASO1372" s="110"/>
      <c r="ASP1372" s="110"/>
      <c r="ASQ1372" s="110"/>
      <c r="ASR1372" s="110"/>
      <c r="ASS1372" s="110"/>
      <c r="AST1372" s="110"/>
      <c r="ASU1372" s="110"/>
      <c r="ASV1372" s="110"/>
      <c r="ASW1372" s="110"/>
      <c r="ASX1372" s="110"/>
      <c r="ASY1372" s="110"/>
      <c r="ASZ1372" s="110"/>
      <c r="ATA1372" s="110"/>
      <c r="ATB1372" s="110"/>
      <c r="ATC1372" s="110"/>
      <c r="ATD1372" s="110"/>
      <c r="ATE1372" s="110"/>
      <c r="ATF1372" s="110"/>
      <c r="ATG1372" s="110"/>
      <c r="ATH1372" s="110"/>
      <c r="ATI1372" s="110"/>
      <c r="ATJ1372" s="110"/>
      <c r="ATK1372" s="110"/>
      <c r="ATL1372" s="110"/>
      <c r="ATM1372" s="110"/>
      <c r="ATN1372" s="110"/>
      <c r="ATO1372" s="110"/>
      <c r="ATP1372" s="110"/>
      <c r="ATQ1372" s="110"/>
      <c r="ATR1372" s="110"/>
      <c r="ATS1372" s="110"/>
      <c r="ATT1372" s="110"/>
      <c r="ATU1372" s="110"/>
      <c r="ATV1372" s="110"/>
      <c r="ATW1372" s="110"/>
      <c r="ATX1372" s="110"/>
      <c r="ATY1372" s="110"/>
      <c r="ATZ1372" s="110"/>
      <c r="AUA1372" s="110"/>
      <c r="AUB1372" s="110"/>
      <c r="AUC1372" s="110"/>
      <c r="AUD1372" s="110"/>
      <c r="AUE1372" s="110"/>
      <c r="AUF1372" s="110"/>
      <c r="AUG1372" s="110"/>
      <c r="AUH1372" s="110"/>
      <c r="AUI1372" s="110"/>
      <c r="AUJ1372" s="110"/>
      <c r="AUK1372" s="110"/>
      <c r="AUL1372" s="110"/>
      <c r="AUM1372" s="110"/>
      <c r="AUN1372" s="110"/>
      <c r="AUO1372" s="110"/>
      <c r="AUP1372" s="110"/>
      <c r="AUQ1372" s="110"/>
      <c r="AUR1372" s="110"/>
      <c r="AUS1372" s="110"/>
      <c r="AUT1372" s="110"/>
      <c r="AUU1372" s="110"/>
      <c r="AUV1372" s="110"/>
      <c r="AUW1372" s="110"/>
      <c r="AUX1372" s="110"/>
      <c r="AUY1372" s="110"/>
      <c r="AUZ1372" s="110"/>
      <c r="AVA1372" s="110"/>
      <c r="AVB1372" s="110"/>
      <c r="AVC1372" s="110"/>
      <c r="AVD1372" s="110"/>
      <c r="AVE1372" s="110"/>
      <c r="AVF1372" s="110"/>
      <c r="AVG1372" s="110"/>
      <c r="AVH1372" s="110"/>
      <c r="AVI1372" s="110"/>
      <c r="AVJ1372" s="110"/>
      <c r="AVK1372" s="110"/>
      <c r="AVL1372" s="110"/>
      <c r="AVM1372" s="110"/>
      <c r="AVN1372" s="110"/>
      <c r="AVO1372" s="110"/>
      <c r="AVP1372" s="110"/>
      <c r="AVQ1372" s="110"/>
      <c r="AVR1372" s="110"/>
      <c r="AVS1372" s="110"/>
      <c r="AVT1372" s="110"/>
      <c r="AVU1372" s="110"/>
      <c r="AVV1372" s="110"/>
      <c r="AVW1372" s="110"/>
      <c r="AVX1372" s="110"/>
      <c r="AVY1372" s="110"/>
      <c r="AVZ1372" s="110"/>
      <c r="AWA1372" s="110"/>
      <c r="AWB1372" s="110"/>
      <c r="AWC1372" s="110"/>
      <c r="AWD1372" s="110"/>
      <c r="AWE1372" s="110"/>
      <c r="AWF1372" s="110"/>
      <c r="AWG1372" s="110"/>
      <c r="AWH1372" s="110"/>
      <c r="AWI1372" s="110"/>
      <c r="AWJ1372" s="110"/>
      <c r="AWK1372" s="110"/>
      <c r="AWL1372" s="110"/>
      <c r="AWM1372" s="110"/>
      <c r="AWN1372" s="110"/>
      <c r="AWO1372" s="110"/>
      <c r="AWP1372" s="110"/>
      <c r="AWQ1372" s="110"/>
      <c r="AWR1372" s="110"/>
      <c r="AWS1372" s="110"/>
      <c r="AWT1372" s="110"/>
      <c r="AWU1372" s="110"/>
      <c r="AWV1372" s="110"/>
      <c r="AWW1372" s="110"/>
      <c r="AWX1372" s="110"/>
      <c r="AWY1372" s="110"/>
      <c r="AWZ1372" s="110"/>
      <c r="AXA1372" s="110"/>
      <c r="AXB1372" s="110"/>
      <c r="AXC1372" s="110"/>
      <c r="AXD1372" s="110"/>
      <c r="AXE1372" s="110"/>
      <c r="AXF1372" s="110"/>
      <c r="AXG1372" s="110"/>
      <c r="AXH1372" s="110"/>
      <c r="AXI1372" s="110"/>
      <c r="AXJ1372" s="110"/>
      <c r="AXK1372" s="110"/>
      <c r="AXL1372" s="110"/>
      <c r="AXM1372" s="110"/>
      <c r="AXN1372" s="110"/>
      <c r="AXO1372" s="110"/>
      <c r="AXP1372" s="110"/>
      <c r="AXQ1372" s="110"/>
      <c r="AXR1372" s="110"/>
      <c r="AXS1372" s="110"/>
      <c r="AXT1372" s="110"/>
      <c r="AXU1372" s="110"/>
      <c r="AXV1372" s="110"/>
      <c r="AXW1372" s="110"/>
      <c r="AXX1372" s="110"/>
      <c r="AXY1372" s="110"/>
      <c r="AXZ1372" s="110"/>
      <c r="AYA1372" s="110"/>
      <c r="AYB1372" s="110"/>
      <c r="AYC1372" s="110"/>
      <c r="AYD1372" s="110"/>
      <c r="AYE1372" s="110"/>
      <c r="AYF1372" s="110"/>
      <c r="AYG1372" s="110"/>
      <c r="AYH1372" s="110"/>
      <c r="AYI1372" s="110"/>
      <c r="AYJ1372" s="110"/>
      <c r="AYK1372" s="110"/>
      <c r="AYL1372" s="110"/>
      <c r="AYM1372" s="110"/>
      <c r="AYN1372" s="110"/>
      <c r="AYO1372" s="110"/>
      <c r="AYP1372" s="110"/>
      <c r="AYQ1372" s="110"/>
      <c r="AYR1372" s="110"/>
      <c r="AYS1372" s="110"/>
      <c r="AYT1372" s="110"/>
      <c r="AYU1372" s="110"/>
      <c r="AYV1372" s="110"/>
      <c r="AYW1372" s="110"/>
      <c r="AYX1372" s="110"/>
      <c r="AYY1372" s="110"/>
      <c r="AYZ1372" s="110"/>
      <c r="AZA1372" s="110"/>
      <c r="AZB1372" s="110"/>
      <c r="AZC1372" s="110"/>
      <c r="AZD1372" s="110"/>
      <c r="AZE1372" s="110"/>
      <c r="AZF1372" s="110"/>
      <c r="AZG1372" s="110"/>
      <c r="AZH1372" s="110"/>
      <c r="AZI1372" s="110"/>
      <c r="AZJ1372" s="110"/>
      <c r="AZK1372" s="110"/>
      <c r="AZL1372" s="110"/>
      <c r="AZM1372" s="110"/>
      <c r="AZN1372" s="110"/>
      <c r="AZO1372" s="110"/>
      <c r="AZP1372" s="110"/>
      <c r="AZQ1372" s="110"/>
      <c r="AZR1372" s="110"/>
      <c r="AZS1372" s="110"/>
      <c r="AZT1372" s="110"/>
      <c r="AZU1372" s="110"/>
      <c r="AZV1372" s="110"/>
      <c r="AZW1372" s="110"/>
      <c r="AZX1372" s="110"/>
      <c r="AZY1372" s="110"/>
      <c r="AZZ1372" s="110"/>
      <c r="BAA1372" s="110"/>
      <c r="BAB1372" s="110"/>
      <c r="BAC1372" s="110"/>
      <c r="BAD1372" s="110"/>
      <c r="BAE1372" s="110"/>
      <c r="BAF1372" s="110"/>
      <c r="BAG1372" s="110"/>
      <c r="BAH1372" s="110"/>
      <c r="BAI1372" s="110"/>
      <c r="BAJ1372" s="110"/>
      <c r="BAK1372" s="110"/>
      <c r="BAL1372" s="110"/>
      <c r="BAM1372" s="110"/>
      <c r="BAN1372" s="110"/>
      <c r="BAO1372" s="110"/>
      <c r="BAP1372" s="110"/>
      <c r="BAQ1372" s="110"/>
      <c r="BAR1372" s="110"/>
      <c r="BAS1372" s="110"/>
      <c r="BAT1372" s="110"/>
      <c r="BAU1372" s="110"/>
      <c r="BAV1372" s="110"/>
      <c r="BAW1372" s="110"/>
      <c r="BAX1372" s="110"/>
      <c r="BAY1372" s="110"/>
      <c r="BAZ1372" s="110"/>
      <c r="BBA1372" s="110"/>
      <c r="BBB1372" s="110"/>
      <c r="BBC1372" s="110"/>
      <c r="BBD1372" s="110"/>
      <c r="BBE1372" s="110"/>
      <c r="BBF1372" s="110"/>
      <c r="BBG1372" s="110"/>
      <c r="BBH1372" s="110"/>
      <c r="BBI1372" s="110"/>
      <c r="BBJ1372" s="110"/>
      <c r="BBK1372" s="110"/>
      <c r="BBL1372" s="110"/>
      <c r="BBM1372" s="110"/>
      <c r="BBN1372" s="110"/>
      <c r="BBO1372" s="110"/>
      <c r="BBP1372" s="110"/>
      <c r="BBQ1372" s="110"/>
      <c r="BBR1372" s="110"/>
      <c r="BBS1372" s="110"/>
      <c r="BBT1372" s="110"/>
      <c r="BBU1372" s="110"/>
      <c r="BBV1372" s="110"/>
      <c r="BBW1372" s="110"/>
      <c r="BBX1372" s="110"/>
      <c r="BBY1372" s="110"/>
      <c r="BBZ1372" s="110"/>
      <c r="BCA1372" s="110"/>
      <c r="BCB1372" s="110"/>
      <c r="BCC1372" s="110"/>
      <c r="BCD1372" s="110"/>
      <c r="BCE1372" s="110"/>
      <c r="BCF1372" s="110"/>
      <c r="BCG1372" s="110"/>
      <c r="BCH1372" s="110"/>
      <c r="BCI1372" s="110"/>
      <c r="BCJ1372" s="110"/>
      <c r="BCK1372" s="110"/>
      <c r="BCL1372" s="110"/>
      <c r="BCM1372" s="110"/>
      <c r="BCN1372" s="110"/>
      <c r="BCO1372" s="110"/>
      <c r="BCP1372" s="110"/>
      <c r="BCQ1372" s="110"/>
      <c r="BCR1372" s="110"/>
      <c r="BCS1372" s="110"/>
      <c r="BCT1372" s="110"/>
      <c r="BCU1372" s="110"/>
      <c r="BCV1372" s="110"/>
      <c r="BCW1372" s="110"/>
      <c r="BCX1372" s="110"/>
      <c r="BCY1372" s="110"/>
      <c r="BCZ1372" s="110"/>
      <c r="BDA1372" s="110"/>
      <c r="BDB1372" s="110"/>
      <c r="BDC1372" s="110"/>
      <c r="BDD1372" s="110"/>
      <c r="BDE1372" s="110"/>
      <c r="BDF1372" s="110"/>
      <c r="BDG1372" s="110"/>
      <c r="BDH1372" s="110"/>
      <c r="BDI1372" s="110"/>
      <c r="BDJ1372" s="110"/>
      <c r="BDK1372" s="110"/>
      <c r="BDL1372" s="110"/>
      <c r="BDM1372" s="110"/>
      <c r="BDN1372" s="110"/>
      <c r="BDO1372" s="110"/>
      <c r="BDP1372" s="110"/>
      <c r="BDQ1372" s="110"/>
      <c r="BDR1372" s="110"/>
      <c r="BDS1372" s="110"/>
      <c r="BDT1372" s="110"/>
      <c r="BDU1372" s="110"/>
      <c r="BDV1372" s="110"/>
      <c r="BDW1372" s="110"/>
      <c r="BDX1372" s="110"/>
      <c r="BDY1372" s="110"/>
      <c r="BDZ1372" s="110"/>
      <c r="BEA1372" s="110"/>
      <c r="BEB1372" s="110"/>
      <c r="BEC1372" s="110"/>
      <c r="BED1372" s="110"/>
      <c r="BEE1372" s="110"/>
      <c r="BEF1372" s="110"/>
      <c r="BEG1372" s="110"/>
      <c r="BEH1372" s="110"/>
      <c r="BEI1372" s="110"/>
      <c r="BEJ1372" s="110"/>
      <c r="BEK1372" s="110"/>
      <c r="BEL1372" s="110"/>
      <c r="BEM1372" s="110"/>
      <c r="BEN1372" s="110"/>
      <c r="BEO1372" s="110"/>
      <c r="BEP1372" s="110"/>
      <c r="BEQ1372" s="110"/>
      <c r="BER1372" s="110"/>
      <c r="BES1372" s="110"/>
      <c r="BET1372" s="110"/>
      <c r="BEU1372" s="110"/>
      <c r="BEV1372" s="110"/>
      <c r="BEW1372" s="110"/>
      <c r="BEX1372" s="110"/>
      <c r="BEY1372" s="110"/>
      <c r="BEZ1372" s="110"/>
      <c r="BFA1372" s="110"/>
      <c r="BFB1372" s="110"/>
      <c r="BFC1372" s="110"/>
      <c r="BFD1372" s="110"/>
      <c r="BFE1372" s="110"/>
      <c r="BFF1372" s="110"/>
      <c r="BFG1372" s="110"/>
      <c r="BFH1372" s="110"/>
      <c r="BFI1372" s="110"/>
      <c r="BFJ1372" s="110"/>
      <c r="BFK1372" s="110"/>
      <c r="BFL1372" s="110"/>
      <c r="BFM1372" s="110"/>
      <c r="BFN1372" s="110"/>
      <c r="BFO1372" s="110"/>
      <c r="BFP1372" s="110"/>
      <c r="BFQ1372" s="110"/>
      <c r="BFR1372" s="110"/>
      <c r="BFS1372" s="110"/>
      <c r="BFT1372" s="110"/>
      <c r="BFU1372" s="110"/>
      <c r="BFV1372" s="110"/>
      <c r="BFW1372" s="110"/>
      <c r="BFX1372" s="110"/>
      <c r="BFY1372" s="110"/>
      <c r="BFZ1372" s="110"/>
      <c r="BGA1372" s="110"/>
      <c r="BGB1372" s="110"/>
      <c r="BGC1372" s="110"/>
      <c r="BGD1372" s="110"/>
      <c r="BGE1372" s="110"/>
      <c r="BGF1372" s="110"/>
      <c r="BGG1372" s="110"/>
      <c r="BGH1372" s="110"/>
      <c r="BGI1372" s="110"/>
      <c r="BGJ1372" s="110"/>
      <c r="BGK1372" s="110"/>
      <c r="BGL1372" s="110"/>
      <c r="BGM1372" s="110"/>
      <c r="BGN1372" s="110"/>
      <c r="BGO1372" s="110"/>
      <c r="BGP1372" s="110"/>
      <c r="BGQ1372" s="110"/>
      <c r="BGR1372" s="110"/>
      <c r="BGS1372" s="110"/>
      <c r="BGT1372" s="110"/>
      <c r="BGU1372" s="110"/>
      <c r="BGV1372" s="110"/>
      <c r="BGW1372" s="110"/>
      <c r="BGX1372" s="110"/>
      <c r="BGY1372" s="110"/>
      <c r="BGZ1372" s="110"/>
      <c r="BHA1372" s="110"/>
      <c r="BHB1372" s="110"/>
      <c r="BHC1372" s="110"/>
      <c r="BHD1372" s="110"/>
      <c r="BHE1372" s="110"/>
      <c r="BHF1372" s="110"/>
      <c r="BHG1372" s="110"/>
      <c r="BHH1372" s="110"/>
      <c r="BHI1372" s="110"/>
      <c r="BHJ1372" s="110"/>
      <c r="BHK1372" s="110"/>
      <c r="BHL1372" s="110"/>
      <c r="BHM1372" s="110"/>
      <c r="BHN1372" s="110"/>
      <c r="BHO1372" s="110"/>
      <c r="BHP1372" s="110"/>
      <c r="BHQ1372" s="110"/>
      <c r="BHR1372" s="110"/>
      <c r="BHS1372" s="110"/>
      <c r="BHT1372" s="110"/>
      <c r="BHU1372" s="110"/>
      <c r="BHV1372" s="110"/>
      <c r="BHW1372" s="110"/>
      <c r="BHX1372" s="110"/>
      <c r="BHY1372" s="110"/>
      <c r="BHZ1372" s="110"/>
      <c r="BIA1372" s="110"/>
      <c r="BIB1372" s="110"/>
      <c r="BIC1372" s="110"/>
      <c r="BID1372" s="110"/>
      <c r="BIE1372" s="110"/>
      <c r="BIF1372" s="110"/>
      <c r="BIG1372" s="110"/>
      <c r="BIH1372" s="110"/>
      <c r="BII1372" s="110"/>
      <c r="BIJ1372" s="110"/>
      <c r="BIK1372" s="110"/>
      <c r="BIL1372" s="110"/>
      <c r="BIM1372" s="110"/>
      <c r="BIN1372" s="110"/>
      <c r="BIO1372" s="110"/>
      <c r="BIP1372" s="110"/>
      <c r="BIQ1372" s="110"/>
      <c r="BIR1372" s="110"/>
      <c r="BIS1372" s="110"/>
      <c r="BIT1372" s="110"/>
      <c r="BIU1372" s="110"/>
      <c r="BIV1372" s="110"/>
      <c r="BIW1372" s="110"/>
      <c r="BIX1372" s="110"/>
      <c r="BIY1372" s="110"/>
      <c r="BIZ1372" s="110"/>
      <c r="BJA1372" s="110"/>
      <c r="BJB1372" s="110"/>
      <c r="BJC1372" s="110"/>
      <c r="BJD1372" s="110"/>
      <c r="BJE1372" s="110"/>
      <c r="BJF1372" s="110"/>
      <c r="BJG1372" s="110"/>
      <c r="BJH1372" s="110"/>
      <c r="BJI1372" s="110"/>
      <c r="BJJ1372" s="110"/>
      <c r="BJK1372" s="110"/>
      <c r="BJL1372" s="110"/>
      <c r="BJM1372" s="110"/>
      <c r="BJN1372" s="110"/>
      <c r="BJO1372" s="110"/>
      <c r="BJP1372" s="110"/>
      <c r="BJQ1372" s="110"/>
      <c r="BJR1372" s="110"/>
      <c r="BJS1372" s="110"/>
      <c r="BJT1372" s="110"/>
      <c r="BJU1372" s="110"/>
      <c r="BJV1372" s="110"/>
      <c r="BJW1372" s="110"/>
      <c r="BJX1372" s="110"/>
      <c r="BJY1372" s="110"/>
      <c r="BJZ1372" s="110"/>
      <c r="BKA1372" s="110"/>
      <c r="BKB1372" s="110"/>
      <c r="BKC1372" s="110"/>
      <c r="BKD1372" s="110"/>
      <c r="BKE1372" s="110"/>
      <c r="BKF1372" s="110"/>
      <c r="BKG1372" s="110"/>
      <c r="BKH1372" s="110"/>
      <c r="BKI1372" s="110"/>
      <c r="BKJ1372" s="110"/>
      <c r="BKK1372" s="110"/>
      <c r="BKL1372" s="110"/>
      <c r="BKM1372" s="110"/>
      <c r="BKN1372" s="110"/>
      <c r="BKO1372" s="110"/>
      <c r="BKP1372" s="110"/>
      <c r="BKQ1372" s="110"/>
      <c r="BKR1372" s="110"/>
      <c r="BKS1372" s="110"/>
      <c r="BKT1372" s="110"/>
      <c r="BKU1372" s="110"/>
      <c r="BKV1372" s="110"/>
      <c r="BKW1372" s="110"/>
      <c r="BKX1372" s="110"/>
      <c r="BKY1372" s="110"/>
      <c r="BKZ1372" s="110"/>
      <c r="BLA1372" s="110"/>
      <c r="BLB1372" s="110"/>
      <c r="BLC1372" s="110"/>
      <c r="BLD1372" s="110"/>
      <c r="BLE1372" s="110"/>
      <c r="BLF1372" s="110"/>
      <c r="BLG1372" s="110"/>
      <c r="BLH1372" s="110"/>
      <c r="BLI1372" s="110"/>
      <c r="BLJ1372" s="110"/>
      <c r="BLK1372" s="110"/>
      <c r="BLL1372" s="110"/>
      <c r="BLM1372" s="110"/>
      <c r="BLN1372" s="110"/>
      <c r="BLO1372" s="110"/>
      <c r="BLP1372" s="110"/>
      <c r="BLQ1372" s="110"/>
      <c r="BLR1372" s="110"/>
      <c r="BLS1372" s="110"/>
      <c r="BLT1372" s="110"/>
      <c r="BLU1372" s="110"/>
      <c r="BLV1372" s="110"/>
      <c r="BLW1372" s="110"/>
      <c r="BLX1372" s="110"/>
      <c r="BLY1372" s="110"/>
      <c r="BLZ1372" s="110"/>
      <c r="BMA1372" s="110"/>
      <c r="BMB1372" s="110"/>
      <c r="BMC1372" s="110"/>
      <c r="BMD1372" s="110"/>
      <c r="BME1372" s="110"/>
      <c r="BMF1372" s="110"/>
      <c r="BMG1372" s="110"/>
      <c r="BMH1372" s="110"/>
      <c r="BMI1372" s="110"/>
      <c r="BMJ1372" s="110"/>
      <c r="BMK1372" s="110"/>
      <c r="BML1372" s="110"/>
      <c r="BMM1372" s="110"/>
      <c r="BMN1372" s="110"/>
      <c r="BMO1372" s="110"/>
      <c r="BMP1372" s="110"/>
      <c r="BMQ1372" s="110"/>
      <c r="BMR1372" s="110"/>
      <c r="BMS1372" s="110"/>
      <c r="BMT1372" s="110"/>
      <c r="BMU1372" s="110"/>
      <c r="BMV1372" s="110"/>
      <c r="BMW1372" s="110"/>
      <c r="BMX1372" s="110"/>
      <c r="BMY1372" s="110"/>
      <c r="BMZ1372" s="110"/>
      <c r="BNA1372" s="110"/>
      <c r="BNB1372" s="110"/>
      <c r="BNC1372" s="110"/>
      <c r="BND1372" s="110"/>
      <c r="BNE1372" s="110"/>
      <c r="BNF1372" s="110"/>
      <c r="BNG1372" s="110"/>
      <c r="BNH1372" s="110"/>
      <c r="BNI1372" s="110"/>
      <c r="BNJ1372" s="110"/>
      <c r="BNK1372" s="110"/>
      <c r="BNL1372" s="110"/>
      <c r="BNM1372" s="110"/>
      <c r="BNN1372" s="110"/>
      <c r="BNO1372" s="110"/>
      <c r="BNP1372" s="110"/>
      <c r="BNQ1372" s="110"/>
      <c r="BNR1372" s="110"/>
      <c r="BNS1372" s="110"/>
      <c r="BNT1372" s="110"/>
      <c r="BNU1372" s="110"/>
      <c r="BNV1372" s="110"/>
      <c r="BNW1372" s="110"/>
      <c r="BNX1372" s="110"/>
      <c r="BNY1372" s="110"/>
      <c r="BNZ1372" s="110"/>
      <c r="BOA1372" s="110"/>
      <c r="BOB1372" s="110"/>
      <c r="BOC1372" s="110"/>
      <c r="BOD1372" s="110"/>
      <c r="BOE1372" s="110"/>
      <c r="BOF1372" s="110"/>
      <c r="BOG1372" s="110"/>
      <c r="BOH1372" s="110"/>
      <c r="BOI1372" s="110"/>
      <c r="BOJ1372" s="110"/>
      <c r="BOK1372" s="110"/>
      <c r="BOL1372" s="110"/>
      <c r="BOM1372" s="110"/>
      <c r="BON1372" s="110"/>
      <c r="BOO1372" s="110"/>
      <c r="BOP1372" s="110"/>
      <c r="BOQ1372" s="110"/>
      <c r="BOR1372" s="110"/>
      <c r="BOS1372" s="110"/>
      <c r="BOT1372" s="110"/>
      <c r="BOU1372" s="110"/>
      <c r="BOV1372" s="110"/>
      <c r="BOW1372" s="110"/>
      <c r="BOX1372" s="110"/>
      <c r="BOY1372" s="110"/>
      <c r="BOZ1372" s="110"/>
      <c r="BPA1372" s="110"/>
      <c r="BPB1372" s="110"/>
      <c r="BPC1372" s="110"/>
      <c r="BPD1372" s="110"/>
      <c r="BPE1372" s="110"/>
      <c r="BPF1372" s="110"/>
      <c r="BPG1372" s="110"/>
      <c r="BPH1372" s="110"/>
      <c r="BPI1372" s="110"/>
      <c r="BPJ1372" s="110"/>
      <c r="BPK1372" s="110"/>
      <c r="BPL1372" s="110"/>
      <c r="BPM1372" s="110"/>
      <c r="BPN1372" s="110"/>
      <c r="BPO1372" s="110"/>
      <c r="BPP1372" s="110"/>
      <c r="BPQ1372" s="110"/>
      <c r="BPR1372" s="110"/>
      <c r="BPS1372" s="110"/>
      <c r="BPT1372" s="110"/>
      <c r="BPU1372" s="110"/>
      <c r="BPV1372" s="110"/>
      <c r="BPW1372" s="110"/>
      <c r="BPX1372" s="110"/>
      <c r="BPY1372" s="110"/>
      <c r="BPZ1372" s="110"/>
      <c r="BQA1372" s="110"/>
      <c r="BQB1372" s="110"/>
      <c r="BQC1372" s="110"/>
      <c r="BQD1372" s="110"/>
      <c r="BQE1372" s="110"/>
      <c r="BQF1372" s="110"/>
      <c r="BQG1372" s="110"/>
      <c r="BQH1372" s="110"/>
      <c r="BQI1372" s="110"/>
      <c r="BQJ1372" s="110"/>
      <c r="BQK1372" s="110"/>
      <c r="BQL1372" s="110"/>
      <c r="BQM1372" s="110"/>
      <c r="BQN1372" s="110"/>
      <c r="BQO1372" s="110"/>
      <c r="BQP1372" s="110"/>
      <c r="BQQ1372" s="110"/>
      <c r="BQR1372" s="110"/>
      <c r="BQS1372" s="110"/>
      <c r="BQT1372" s="110"/>
      <c r="BQU1372" s="110"/>
      <c r="BQV1372" s="110"/>
      <c r="BQW1372" s="110"/>
      <c r="BQX1372" s="110"/>
      <c r="BQY1372" s="110"/>
      <c r="BQZ1372" s="110"/>
      <c r="BRA1372" s="110"/>
      <c r="BRB1372" s="110"/>
      <c r="BRC1372" s="110"/>
      <c r="BRD1372" s="110"/>
      <c r="BRE1372" s="110"/>
      <c r="BRF1372" s="110"/>
      <c r="BRG1372" s="110"/>
      <c r="BRH1372" s="110"/>
      <c r="BRI1372" s="110"/>
      <c r="BRJ1372" s="110"/>
      <c r="BRK1372" s="110"/>
      <c r="BRL1372" s="110"/>
      <c r="BRM1372" s="110"/>
      <c r="BRN1372" s="110"/>
      <c r="BRO1372" s="110"/>
      <c r="BRP1372" s="110"/>
      <c r="BRQ1372" s="110"/>
      <c r="BRR1372" s="110"/>
      <c r="BRS1372" s="110"/>
      <c r="BRT1372" s="110"/>
      <c r="BRU1372" s="110"/>
      <c r="BRV1372" s="110"/>
      <c r="BRW1372" s="110"/>
      <c r="BRX1372" s="110"/>
      <c r="BRY1372" s="110"/>
      <c r="BRZ1372" s="110"/>
      <c r="BSA1372" s="110"/>
      <c r="BSB1372" s="110"/>
      <c r="BSC1372" s="110"/>
      <c r="BSD1372" s="110"/>
      <c r="BSE1372" s="110"/>
      <c r="BSF1372" s="110"/>
      <c r="BSG1372" s="110"/>
      <c r="BSH1372" s="110"/>
      <c r="BSI1372" s="110"/>
      <c r="BSJ1372" s="110"/>
      <c r="BSK1372" s="110"/>
      <c r="BSL1372" s="110"/>
      <c r="BSM1372" s="110"/>
      <c r="BSN1372" s="110"/>
      <c r="BSO1372" s="110"/>
      <c r="BSP1372" s="110"/>
      <c r="BSQ1372" s="110"/>
      <c r="BSR1372" s="110"/>
      <c r="BSS1372" s="110"/>
      <c r="BST1372" s="110"/>
      <c r="BSU1372" s="110"/>
      <c r="BSV1372" s="110"/>
      <c r="BSW1372" s="110"/>
      <c r="BSX1372" s="110"/>
      <c r="BSY1372" s="110"/>
      <c r="BSZ1372" s="110"/>
      <c r="BTA1372" s="110"/>
      <c r="BTB1372" s="110"/>
      <c r="BTC1372" s="110"/>
      <c r="BTD1372" s="110"/>
      <c r="BTE1372" s="110"/>
      <c r="BTF1372" s="110"/>
      <c r="BTG1372" s="110"/>
      <c r="BTH1372" s="110"/>
      <c r="BTI1372" s="110"/>
      <c r="BTJ1372" s="110"/>
      <c r="BTK1372" s="110"/>
      <c r="BTL1372" s="110"/>
      <c r="BTM1372" s="110"/>
      <c r="BTN1372" s="110"/>
      <c r="BTO1372" s="110"/>
      <c r="BTP1372" s="110"/>
      <c r="BTQ1372" s="110"/>
      <c r="BTR1372" s="110"/>
      <c r="BTS1372" s="110"/>
      <c r="BTT1372" s="110"/>
      <c r="BTU1372" s="110"/>
      <c r="BTV1372" s="110"/>
      <c r="BTW1372" s="110"/>
      <c r="BTX1372" s="110"/>
      <c r="BTY1372" s="110"/>
      <c r="BTZ1372" s="110"/>
      <c r="BUA1372" s="110"/>
      <c r="BUB1372" s="110"/>
      <c r="BUC1372" s="110"/>
      <c r="BUD1372" s="110"/>
      <c r="BUE1372" s="110"/>
      <c r="BUF1372" s="110"/>
      <c r="BUG1372" s="110"/>
      <c r="BUH1372" s="110"/>
      <c r="BUI1372" s="110"/>
      <c r="BUJ1372" s="110"/>
      <c r="BUK1372" s="110"/>
      <c r="BUL1372" s="110"/>
      <c r="BUM1372" s="110"/>
      <c r="BUN1372" s="110"/>
      <c r="BUO1372" s="110"/>
      <c r="BUP1372" s="110"/>
      <c r="BUQ1372" s="110"/>
      <c r="BUR1372" s="110"/>
      <c r="BUS1372" s="110"/>
      <c r="BUT1372" s="110"/>
      <c r="BUU1372" s="110"/>
      <c r="BUV1372" s="110"/>
      <c r="BUW1372" s="110"/>
      <c r="BUX1372" s="110"/>
      <c r="BUY1372" s="110"/>
      <c r="BUZ1372" s="110"/>
      <c r="BVA1372" s="110"/>
      <c r="BVB1372" s="110"/>
      <c r="BVC1372" s="110"/>
      <c r="BVD1372" s="110"/>
      <c r="BVE1372" s="110"/>
      <c r="BVF1372" s="110"/>
      <c r="BVG1372" s="110"/>
      <c r="BVH1372" s="110"/>
      <c r="BVI1372" s="110"/>
      <c r="BVJ1372" s="110"/>
      <c r="BVK1372" s="110"/>
      <c r="BVL1372" s="110"/>
      <c r="BVM1372" s="110"/>
      <c r="BVN1372" s="110"/>
      <c r="BVO1372" s="110"/>
      <c r="BVP1372" s="110"/>
      <c r="BVQ1372" s="110"/>
      <c r="BVR1372" s="110"/>
      <c r="BVS1372" s="110"/>
      <c r="BVT1372" s="110"/>
      <c r="BVU1372" s="110"/>
      <c r="BVV1372" s="110"/>
      <c r="BVW1372" s="110"/>
      <c r="BVX1372" s="110"/>
      <c r="BVY1372" s="110"/>
      <c r="BVZ1372" s="110"/>
      <c r="BWA1372" s="110"/>
      <c r="BWB1372" s="110"/>
      <c r="BWC1372" s="110"/>
      <c r="BWD1372" s="110"/>
      <c r="BWE1372" s="110"/>
      <c r="BWF1372" s="110"/>
      <c r="BWG1372" s="110"/>
      <c r="BWH1372" s="110"/>
      <c r="BWI1372" s="110"/>
      <c r="BWJ1372" s="110"/>
      <c r="BWK1372" s="110"/>
      <c r="BWL1372" s="110"/>
      <c r="BWM1372" s="110"/>
      <c r="BWN1372" s="110"/>
      <c r="BWO1372" s="110"/>
      <c r="BWP1372" s="110"/>
      <c r="BWQ1372" s="110"/>
      <c r="BWR1372" s="110"/>
      <c r="BWS1372" s="110"/>
      <c r="BWT1372" s="110"/>
      <c r="BWU1372" s="110"/>
      <c r="BWV1372" s="110"/>
      <c r="BWW1372" s="110"/>
      <c r="BWX1372" s="110"/>
      <c r="BWY1372" s="110"/>
      <c r="BWZ1372" s="110"/>
      <c r="BXA1372" s="110"/>
      <c r="BXB1372" s="110"/>
      <c r="BXC1372" s="110"/>
      <c r="BXD1372" s="110"/>
      <c r="BXE1372" s="110"/>
      <c r="BXF1372" s="110"/>
      <c r="BXG1372" s="110"/>
      <c r="BXH1372" s="110"/>
      <c r="BXI1372" s="110"/>
      <c r="BXJ1372" s="110"/>
      <c r="BXK1372" s="110"/>
      <c r="BXL1372" s="110"/>
      <c r="BXM1372" s="110"/>
      <c r="BXN1372" s="110"/>
      <c r="BXO1372" s="110"/>
      <c r="BXP1372" s="110"/>
      <c r="BXQ1372" s="110"/>
      <c r="BXR1372" s="110"/>
      <c r="BXS1372" s="110"/>
      <c r="BXT1372" s="110"/>
      <c r="BXU1372" s="110"/>
      <c r="BXV1372" s="110"/>
      <c r="BXW1372" s="110"/>
      <c r="BXX1372" s="110"/>
      <c r="BXY1372" s="110"/>
      <c r="BXZ1372" s="110"/>
      <c r="BYA1372" s="110"/>
      <c r="BYB1372" s="110"/>
      <c r="BYC1372" s="110"/>
      <c r="BYD1372" s="110"/>
      <c r="BYE1372" s="110"/>
      <c r="BYF1372" s="110"/>
      <c r="BYG1372" s="110"/>
      <c r="BYH1372" s="110"/>
      <c r="BYI1372" s="110"/>
      <c r="BYJ1372" s="110"/>
      <c r="BYK1372" s="110"/>
      <c r="BYL1372" s="110"/>
      <c r="BYM1372" s="110"/>
      <c r="BYN1372" s="110"/>
      <c r="BYO1372" s="110"/>
      <c r="BYP1372" s="110"/>
      <c r="BYQ1372" s="110"/>
      <c r="BYR1372" s="110"/>
      <c r="BYS1372" s="110"/>
      <c r="BYT1372" s="110"/>
      <c r="BYU1372" s="110"/>
      <c r="BYV1372" s="110"/>
      <c r="BYW1372" s="110"/>
      <c r="BYX1372" s="110"/>
      <c r="BYY1372" s="110"/>
      <c r="BYZ1372" s="110"/>
      <c r="BZA1372" s="110"/>
      <c r="BZB1372" s="110"/>
      <c r="BZC1372" s="110"/>
      <c r="BZD1372" s="110"/>
      <c r="BZE1372" s="110"/>
      <c r="BZF1372" s="110"/>
      <c r="BZG1372" s="110"/>
      <c r="BZH1372" s="110"/>
      <c r="BZI1372" s="110"/>
      <c r="BZJ1372" s="110"/>
      <c r="BZK1372" s="110"/>
      <c r="BZL1372" s="110"/>
      <c r="BZM1372" s="110"/>
      <c r="BZN1372" s="110"/>
      <c r="BZO1372" s="110"/>
      <c r="BZP1372" s="110"/>
      <c r="BZQ1372" s="110"/>
      <c r="BZR1372" s="110"/>
      <c r="BZS1372" s="110"/>
      <c r="BZT1372" s="110"/>
      <c r="BZU1372" s="110"/>
      <c r="BZV1372" s="110"/>
      <c r="BZW1372" s="110"/>
      <c r="BZX1372" s="110"/>
      <c r="BZY1372" s="110"/>
      <c r="BZZ1372" s="110"/>
      <c r="CAA1372" s="110"/>
      <c r="CAB1372" s="110"/>
      <c r="CAC1372" s="110"/>
      <c r="CAD1372" s="110"/>
      <c r="CAE1372" s="110"/>
      <c r="CAF1372" s="110"/>
      <c r="CAG1372" s="110"/>
      <c r="CAH1372" s="110"/>
      <c r="CAI1372" s="110"/>
      <c r="CAJ1372" s="110"/>
      <c r="CAK1372" s="110"/>
      <c r="CAL1372" s="110"/>
      <c r="CAM1372" s="110"/>
      <c r="CAN1372" s="110"/>
      <c r="CAO1372" s="110"/>
      <c r="CAP1372" s="110"/>
      <c r="CAQ1372" s="110"/>
      <c r="CAR1372" s="110"/>
      <c r="CAS1372" s="110"/>
      <c r="CAT1372" s="110"/>
      <c r="CAU1372" s="110"/>
      <c r="CAV1372" s="110"/>
      <c r="CAW1372" s="110"/>
      <c r="CAX1372" s="110"/>
      <c r="CAY1372" s="110"/>
      <c r="CAZ1372" s="110"/>
      <c r="CBA1372" s="110"/>
      <c r="CBB1372" s="110"/>
      <c r="CBC1372" s="110"/>
      <c r="CBD1372" s="110"/>
      <c r="CBE1372" s="110"/>
      <c r="CBF1372" s="110"/>
      <c r="CBG1372" s="110"/>
      <c r="CBH1372" s="110"/>
      <c r="CBI1372" s="110"/>
      <c r="CBJ1372" s="110"/>
      <c r="CBK1372" s="110"/>
      <c r="CBL1372" s="110"/>
      <c r="CBM1372" s="110"/>
      <c r="CBN1372" s="110"/>
      <c r="CBO1372" s="110"/>
      <c r="CBP1372" s="110"/>
      <c r="CBQ1372" s="110"/>
      <c r="CBR1372" s="110"/>
      <c r="CBS1372" s="110"/>
      <c r="CBT1372" s="110"/>
      <c r="CBU1372" s="110"/>
      <c r="CBV1372" s="110"/>
      <c r="CBW1372" s="110"/>
      <c r="CBX1372" s="110"/>
      <c r="CBY1372" s="110"/>
      <c r="CBZ1372" s="110"/>
      <c r="CCA1372" s="110"/>
      <c r="CCB1372" s="110"/>
      <c r="CCC1372" s="110"/>
      <c r="CCD1372" s="110"/>
      <c r="CCE1372" s="110"/>
      <c r="CCF1372" s="110"/>
      <c r="CCG1372" s="110"/>
      <c r="CCH1372" s="110"/>
      <c r="CCI1372" s="110"/>
      <c r="CCJ1372" s="110"/>
      <c r="CCK1372" s="110"/>
      <c r="CCL1372" s="110"/>
      <c r="CCM1372" s="110"/>
      <c r="CCN1372" s="110"/>
      <c r="CCO1372" s="110"/>
      <c r="CCP1372" s="110"/>
      <c r="CCQ1372" s="110"/>
      <c r="CCR1372" s="110"/>
      <c r="CCS1372" s="110"/>
      <c r="CCT1372" s="110"/>
      <c r="CCU1372" s="110"/>
      <c r="CCV1372" s="110"/>
      <c r="CCW1372" s="110"/>
      <c r="CCX1372" s="110"/>
      <c r="CCY1372" s="110"/>
      <c r="CCZ1372" s="110"/>
      <c r="CDA1372" s="110"/>
      <c r="CDB1372" s="110"/>
      <c r="CDC1372" s="110"/>
      <c r="CDD1372" s="110"/>
      <c r="CDE1372" s="110"/>
      <c r="CDF1372" s="110"/>
      <c r="CDG1372" s="110"/>
      <c r="CDH1372" s="110"/>
      <c r="CDI1372" s="110"/>
      <c r="CDJ1372" s="110"/>
      <c r="CDK1372" s="110"/>
      <c r="CDL1372" s="110"/>
      <c r="CDM1372" s="110"/>
      <c r="CDN1372" s="110"/>
      <c r="CDO1372" s="110"/>
      <c r="CDP1372" s="110"/>
      <c r="CDQ1372" s="110"/>
      <c r="CDR1372" s="110"/>
      <c r="CDS1372" s="110"/>
      <c r="CDT1372" s="110"/>
      <c r="CDU1372" s="110"/>
      <c r="CDV1372" s="110"/>
      <c r="CDW1372" s="110"/>
      <c r="CDX1372" s="110"/>
      <c r="CDY1372" s="110"/>
      <c r="CDZ1372" s="110"/>
      <c r="CEA1372" s="110"/>
      <c r="CEB1372" s="110"/>
      <c r="CEC1372" s="110"/>
      <c r="CED1372" s="110"/>
      <c r="CEE1372" s="110"/>
      <c r="CEF1372" s="110"/>
      <c r="CEG1372" s="110"/>
      <c r="CEH1372" s="110"/>
      <c r="CEI1372" s="110"/>
      <c r="CEJ1372" s="110"/>
      <c r="CEK1372" s="110"/>
      <c r="CEL1372" s="110"/>
      <c r="CEM1372" s="110"/>
      <c r="CEN1372" s="110"/>
      <c r="CEO1372" s="110"/>
      <c r="CEP1372" s="110"/>
      <c r="CEQ1372" s="110"/>
      <c r="CER1372" s="110"/>
      <c r="CES1372" s="110"/>
      <c r="CET1372" s="110"/>
      <c r="CEU1372" s="110"/>
      <c r="CEV1372" s="110"/>
      <c r="CEW1372" s="110"/>
      <c r="CEX1372" s="110"/>
      <c r="CEY1372" s="110"/>
      <c r="CEZ1372" s="110"/>
      <c r="CFA1372" s="110"/>
      <c r="CFB1372" s="110"/>
      <c r="CFC1372" s="110"/>
      <c r="CFD1372" s="110"/>
      <c r="CFE1372" s="110"/>
      <c r="CFF1372" s="110"/>
      <c r="CFG1372" s="110"/>
      <c r="CFH1372" s="110"/>
      <c r="CFI1372" s="110"/>
      <c r="CFJ1372" s="110"/>
      <c r="CFK1372" s="110"/>
      <c r="CFL1372" s="110"/>
      <c r="CFM1372" s="110"/>
      <c r="CFN1372" s="110"/>
      <c r="CFO1372" s="110"/>
      <c r="CFP1372" s="110"/>
      <c r="CFQ1372" s="110"/>
      <c r="CFR1372" s="110"/>
      <c r="CFS1372" s="110"/>
      <c r="CFT1372" s="110"/>
      <c r="CFU1372" s="110"/>
      <c r="CFV1372" s="110"/>
      <c r="CFW1372" s="110"/>
      <c r="CFX1372" s="110"/>
      <c r="CFY1372" s="110"/>
      <c r="CFZ1372" s="110"/>
      <c r="CGA1372" s="110"/>
      <c r="CGB1372" s="110"/>
      <c r="CGC1372" s="110"/>
      <c r="CGD1372" s="110"/>
      <c r="CGE1372" s="110"/>
      <c r="CGF1372" s="110"/>
      <c r="CGG1372" s="110"/>
      <c r="CGH1372" s="110"/>
      <c r="CGI1372" s="110"/>
      <c r="CGJ1372" s="110"/>
      <c r="CGK1372" s="110"/>
      <c r="CGL1372" s="110"/>
      <c r="CGM1372" s="110"/>
      <c r="CGN1372" s="110"/>
      <c r="CGO1372" s="110"/>
      <c r="CGP1372" s="110"/>
      <c r="CGQ1372" s="110"/>
      <c r="CGR1372" s="110"/>
      <c r="CGS1372" s="110"/>
      <c r="CGT1372" s="110"/>
      <c r="CGU1372" s="110"/>
      <c r="CGV1372" s="110"/>
      <c r="CGW1372" s="110"/>
      <c r="CGX1372" s="110"/>
      <c r="CGY1372" s="110"/>
      <c r="CGZ1372" s="110"/>
      <c r="CHA1372" s="110"/>
      <c r="CHB1372" s="110"/>
      <c r="CHC1372" s="110"/>
      <c r="CHD1372" s="110"/>
      <c r="CHE1372" s="110"/>
      <c r="CHF1372" s="110"/>
      <c r="CHG1372" s="110"/>
      <c r="CHH1372" s="110"/>
      <c r="CHI1372" s="110"/>
      <c r="CHJ1372" s="110"/>
      <c r="CHK1372" s="110"/>
      <c r="CHL1372" s="110"/>
      <c r="CHM1372" s="110"/>
      <c r="CHN1372" s="110"/>
      <c r="CHO1372" s="110"/>
      <c r="CHP1372" s="110"/>
      <c r="CHQ1372" s="110"/>
      <c r="CHR1372" s="110"/>
      <c r="CHS1372" s="110"/>
      <c r="CHT1372" s="110"/>
      <c r="CHU1372" s="110"/>
      <c r="CHV1372" s="110"/>
      <c r="CHW1372" s="110"/>
      <c r="CHX1372" s="110"/>
      <c r="CHY1372" s="110"/>
      <c r="CHZ1372" s="110"/>
      <c r="CIA1372" s="110"/>
      <c r="CIB1372" s="110"/>
      <c r="CIC1372" s="110"/>
      <c r="CID1372" s="110"/>
      <c r="CIE1372" s="110"/>
      <c r="CIF1372" s="110"/>
      <c r="CIG1372" s="110"/>
      <c r="CIH1372" s="110"/>
      <c r="CII1372" s="110"/>
      <c r="CIJ1372" s="110"/>
      <c r="CIK1372" s="110"/>
      <c r="CIL1372" s="110"/>
      <c r="CIM1372" s="110"/>
      <c r="CIN1372" s="110"/>
      <c r="CIO1372" s="110"/>
      <c r="CIP1372" s="110"/>
      <c r="CIQ1372" s="110"/>
      <c r="CIR1372" s="110"/>
      <c r="CIS1372" s="110"/>
      <c r="CIT1372" s="110"/>
      <c r="CIU1372" s="110"/>
      <c r="CIV1372" s="110"/>
      <c r="CIW1372" s="110"/>
      <c r="CIX1372" s="110"/>
      <c r="CIY1372" s="110"/>
      <c r="CIZ1372" s="110"/>
      <c r="CJA1372" s="110"/>
      <c r="CJB1372" s="110"/>
      <c r="CJC1372" s="110"/>
      <c r="CJD1372" s="110"/>
      <c r="CJE1372" s="110"/>
      <c r="CJF1372" s="110"/>
      <c r="CJG1372" s="110"/>
      <c r="CJH1372" s="110"/>
      <c r="CJI1372" s="110"/>
      <c r="CJJ1372" s="110"/>
      <c r="CJK1372" s="110"/>
      <c r="CJL1372" s="110"/>
      <c r="CJM1372" s="110"/>
      <c r="CJN1372" s="110"/>
      <c r="CJO1372" s="110"/>
      <c r="CJP1372" s="110"/>
      <c r="CJQ1372" s="110"/>
      <c r="CJR1372" s="110"/>
      <c r="CJS1372" s="110"/>
      <c r="CJT1372" s="110"/>
      <c r="CJU1372" s="110"/>
      <c r="CJV1372" s="110"/>
      <c r="CJW1372" s="110"/>
      <c r="CJX1372" s="110"/>
      <c r="CJY1372" s="110"/>
      <c r="CJZ1372" s="110"/>
      <c r="CKA1372" s="110"/>
      <c r="CKB1372" s="110"/>
      <c r="CKC1372" s="110"/>
      <c r="CKD1372" s="110"/>
      <c r="CKE1372" s="110"/>
      <c r="CKF1372" s="110"/>
      <c r="CKG1372" s="110"/>
      <c r="CKH1372" s="110"/>
      <c r="CKI1372" s="110"/>
      <c r="CKJ1372" s="110"/>
      <c r="CKK1372" s="110"/>
      <c r="CKL1372" s="110"/>
      <c r="CKM1372" s="110"/>
      <c r="CKN1372" s="110"/>
      <c r="CKO1372" s="110"/>
      <c r="CKP1372" s="110"/>
      <c r="CKQ1372" s="110"/>
      <c r="CKR1372" s="110"/>
      <c r="CKS1372" s="110"/>
      <c r="CKT1372" s="110"/>
      <c r="CKU1372" s="110"/>
      <c r="CKV1372" s="110"/>
      <c r="CKW1372" s="110"/>
      <c r="CKX1372" s="110"/>
      <c r="CKY1372" s="110"/>
      <c r="CKZ1372" s="110"/>
      <c r="CLA1372" s="110"/>
      <c r="CLB1372" s="110"/>
      <c r="CLC1372" s="110"/>
      <c r="CLD1372" s="110"/>
      <c r="CLE1372" s="110"/>
      <c r="CLF1372" s="110"/>
      <c r="CLG1372" s="110"/>
      <c r="CLH1372" s="110"/>
      <c r="CLI1372" s="110"/>
      <c r="CLJ1372" s="110"/>
      <c r="CLK1372" s="110"/>
      <c r="CLL1372" s="110"/>
      <c r="CLM1372" s="110"/>
      <c r="CLN1372" s="110"/>
      <c r="CLO1372" s="110"/>
      <c r="CLP1372" s="110"/>
      <c r="CLQ1372" s="110"/>
      <c r="CLR1372" s="110"/>
      <c r="CLS1372" s="110"/>
      <c r="CLT1372" s="110"/>
      <c r="CLU1372" s="110"/>
      <c r="CLV1372" s="110"/>
      <c r="CLW1372" s="110"/>
      <c r="CLX1372" s="110"/>
      <c r="CLY1372" s="110"/>
      <c r="CLZ1372" s="110"/>
      <c r="CMA1372" s="110"/>
      <c r="CMB1372" s="110"/>
      <c r="CMC1372" s="110"/>
      <c r="CMD1372" s="110"/>
      <c r="CME1372" s="110"/>
      <c r="CMF1372" s="110"/>
      <c r="CMG1372" s="110"/>
      <c r="CMH1372" s="110"/>
      <c r="CMI1372" s="110"/>
      <c r="CMJ1372" s="110"/>
      <c r="CMK1372" s="110"/>
      <c r="CML1372" s="110"/>
      <c r="CMM1372" s="110"/>
      <c r="CMN1372" s="110"/>
      <c r="CMO1372" s="110"/>
      <c r="CMP1372" s="110"/>
      <c r="CMQ1372" s="110"/>
      <c r="CMR1372" s="110"/>
      <c r="CMS1372" s="110"/>
      <c r="CMT1372" s="110"/>
      <c r="CMU1372" s="110"/>
      <c r="CMV1372" s="110"/>
      <c r="CMW1372" s="110"/>
      <c r="CMX1372" s="110"/>
      <c r="CMY1372" s="110"/>
      <c r="CMZ1372" s="110"/>
      <c r="CNA1372" s="110"/>
      <c r="CNB1372" s="110"/>
      <c r="CNC1372" s="110"/>
      <c r="CND1372" s="110"/>
      <c r="CNE1372" s="110"/>
      <c r="CNF1372" s="110"/>
      <c r="CNG1372" s="110"/>
      <c r="CNH1372" s="110"/>
      <c r="CNI1372" s="110"/>
      <c r="CNJ1372" s="110"/>
      <c r="CNK1372" s="110"/>
      <c r="CNL1372" s="110"/>
      <c r="CNM1372" s="110"/>
      <c r="CNN1372" s="110"/>
      <c r="CNO1372" s="110"/>
      <c r="CNP1372" s="110"/>
      <c r="CNQ1372" s="110"/>
      <c r="CNR1372" s="110"/>
      <c r="CNS1372" s="110"/>
      <c r="CNT1372" s="110"/>
      <c r="CNU1372" s="110"/>
      <c r="CNV1372" s="110"/>
      <c r="CNW1372" s="110"/>
      <c r="CNX1372" s="110"/>
      <c r="CNY1372" s="110"/>
      <c r="CNZ1372" s="110"/>
      <c r="COA1372" s="110"/>
      <c r="COB1372" s="110"/>
      <c r="COC1372" s="110"/>
      <c r="COD1372" s="110"/>
      <c r="COE1372" s="110"/>
      <c r="COF1372" s="110"/>
      <c r="COG1372" s="110"/>
      <c r="COH1372" s="110"/>
      <c r="COI1372" s="110"/>
      <c r="COJ1372" s="110"/>
      <c r="COK1372" s="110"/>
      <c r="COL1372" s="110"/>
      <c r="COM1372" s="110"/>
      <c r="CON1372" s="110"/>
      <c r="COO1372" s="110"/>
      <c r="COP1372" s="110"/>
      <c r="COQ1372" s="110"/>
      <c r="COR1372" s="110"/>
      <c r="COS1372" s="110"/>
      <c r="COT1372" s="110"/>
      <c r="COU1372" s="110"/>
      <c r="COV1372" s="110"/>
      <c r="COW1372" s="110"/>
      <c r="COX1372" s="110"/>
      <c r="COY1372" s="110"/>
      <c r="COZ1372" s="110"/>
      <c r="CPA1372" s="110"/>
      <c r="CPB1372" s="110"/>
      <c r="CPC1372" s="110"/>
      <c r="CPD1372" s="110"/>
      <c r="CPE1372" s="110"/>
      <c r="CPF1372" s="110"/>
      <c r="CPG1372" s="110"/>
      <c r="CPH1372" s="110"/>
      <c r="CPI1372" s="110"/>
      <c r="CPJ1372" s="110"/>
      <c r="CPK1372" s="110"/>
      <c r="CPL1372" s="110"/>
      <c r="CPM1372" s="110"/>
      <c r="CPN1372" s="110"/>
      <c r="CPO1372" s="110"/>
      <c r="CPP1372" s="110"/>
      <c r="CPQ1372" s="110"/>
      <c r="CPR1372" s="110"/>
      <c r="CPS1372" s="110"/>
      <c r="CPT1372" s="110"/>
      <c r="CPU1372" s="110"/>
      <c r="CPV1372" s="110"/>
      <c r="CPW1372" s="110"/>
      <c r="CPX1372" s="110"/>
      <c r="CPY1372" s="110"/>
      <c r="CPZ1372" s="110"/>
      <c r="CQA1372" s="110"/>
      <c r="CQB1372" s="110"/>
      <c r="CQC1372" s="110"/>
      <c r="CQD1372" s="110"/>
      <c r="CQE1372" s="110"/>
      <c r="CQF1372" s="110"/>
      <c r="CQG1372" s="110"/>
      <c r="CQH1372" s="110"/>
      <c r="CQI1372" s="110"/>
      <c r="CQJ1372" s="110"/>
      <c r="CQK1372" s="110"/>
      <c r="CQL1372" s="110"/>
      <c r="CQM1372" s="110"/>
      <c r="CQN1372" s="110"/>
      <c r="CQO1372" s="110"/>
      <c r="CQP1372" s="110"/>
      <c r="CQQ1372" s="110"/>
      <c r="CQR1372" s="110"/>
      <c r="CQS1372" s="110"/>
      <c r="CQT1372" s="110"/>
      <c r="CQU1372" s="110"/>
      <c r="CQV1372" s="110"/>
      <c r="CQW1372" s="110"/>
      <c r="CQX1372" s="110"/>
      <c r="CQY1372" s="110"/>
      <c r="CQZ1372" s="110"/>
      <c r="CRA1372" s="110"/>
      <c r="CRB1372" s="110"/>
      <c r="CRC1372" s="110"/>
      <c r="CRD1372" s="110"/>
      <c r="CRE1372" s="110"/>
      <c r="CRF1372" s="110"/>
      <c r="CRG1372" s="110"/>
      <c r="CRH1372" s="110"/>
      <c r="CRI1372" s="110"/>
      <c r="CRJ1372" s="110"/>
      <c r="CRK1372" s="110"/>
      <c r="CRL1372" s="110"/>
      <c r="CRM1372" s="110"/>
      <c r="CRN1372" s="110"/>
      <c r="CRO1372" s="110"/>
      <c r="CRP1372" s="110"/>
      <c r="CRQ1372" s="110"/>
      <c r="CRR1372" s="110"/>
      <c r="CRS1372" s="110"/>
      <c r="CRT1372" s="110"/>
      <c r="CRU1372" s="110"/>
      <c r="CRV1372" s="110"/>
      <c r="CRW1372" s="110"/>
      <c r="CRX1372" s="110"/>
      <c r="CRY1372" s="110"/>
      <c r="CRZ1372" s="110"/>
      <c r="CSA1372" s="110"/>
      <c r="CSB1372" s="110"/>
      <c r="CSC1372" s="110"/>
      <c r="CSD1372" s="110"/>
      <c r="CSE1372" s="110"/>
      <c r="CSF1372" s="110"/>
      <c r="CSG1372" s="110"/>
      <c r="CSH1372" s="110"/>
      <c r="CSI1372" s="110"/>
      <c r="CSJ1372" s="110"/>
      <c r="CSK1372" s="110"/>
      <c r="CSL1372" s="110"/>
      <c r="CSM1372" s="110"/>
      <c r="CSN1372" s="110"/>
      <c r="CSO1372" s="110"/>
      <c r="CSP1372" s="110"/>
      <c r="CSQ1372" s="110"/>
      <c r="CSR1372" s="110"/>
      <c r="CSS1372" s="110"/>
      <c r="CST1372" s="110"/>
      <c r="CSU1372" s="110"/>
      <c r="CSV1372" s="110"/>
      <c r="CSW1372" s="110"/>
      <c r="CSX1372" s="110"/>
      <c r="CSY1372" s="110"/>
      <c r="CSZ1372" s="110"/>
      <c r="CTA1372" s="110"/>
      <c r="CTB1372" s="110"/>
      <c r="CTC1372" s="110"/>
      <c r="CTD1372" s="110"/>
      <c r="CTE1372" s="110"/>
      <c r="CTF1372" s="110"/>
      <c r="CTG1372" s="110"/>
      <c r="CTH1372" s="110"/>
      <c r="CTI1372" s="110"/>
      <c r="CTJ1372" s="110"/>
      <c r="CTK1372" s="110"/>
      <c r="CTL1372" s="110"/>
      <c r="CTM1372" s="110"/>
      <c r="CTN1372" s="110"/>
      <c r="CTO1372" s="110"/>
      <c r="CTP1372" s="110"/>
      <c r="CTQ1372" s="110"/>
      <c r="CTR1372" s="110"/>
      <c r="CTS1372" s="110"/>
      <c r="CTT1372" s="110"/>
      <c r="CTU1372" s="110"/>
      <c r="CTV1372" s="110"/>
      <c r="CTW1372" s="110"/>
      <c r="CTX1372" s="110"/>
      <c r="CTY1372" s="110"/>
      <c r="CTZ1372" s="110"/>
      <c r="CUA1372" s="110"/>
      <c r="CUB1372" s="110"/>
      <c r="CUC1372" s="110"/>
      <c r="CUD1372" s="110"/>
      <c r="CUE1372" s="110"/>
      <c r="CUF1372" s="110"/>
      <c r="CUG1372" s="110"/>
      <c r="CUH1372" s="110"/>
      <c r="CUI1372" s="110"/>
      <c r="CUJ1372" s="110"/>
      <c r="CUK1372" s="110"/>
      <c r="CUL1372" s="110"/>
      <c r="CUM1372" s="110"/>
      <c r="CUN1372" s="110"/>
      <c r="CUO1372" s="110"/>
      <c r="CUP1372" s="110"/>
      <c r="CUQ1372" s="110"/>
      <c r="CUR1372" s="110"/>
      <c r="CUS1372" s="110"/>
      <c r="CUT1372" s="110"/>
      <c r="CUU1372" s="110"/>
      <c r="CUV1372" s="110"/>
      <c r="CUW1372" s="110"/>
      <c r="CUX1372" s="110"/>
      <c r="CUY1372" s="110"/>
      <c r="CUZ1372" s="110"/>
      <c r="CVA1372" s="110"/>
      <c r="CVB1372" s="110"/>
      <c r="CVC1372" s="110"/>
      <c r="CVD1372" s="110"/>
      <c r="CVE1372" s="110"/>
      <c r="CVF1372" s="110"/>
      <c r="CVG1372" s="110"/>
      <c r="CVH1372" s="110"/>
      <c r="CVI1372" s="110"/>
      <c r="CVJ1372" s="110"/>
      <c r="CVK1372" s="110"/>
      <c r="CVL1372" s="110"/>
      <c r="CVM1372" s="110"/>
      <c r="CVN1372" s="110"/>
      <c r="CVO1372" s="110"/>
      <c r="CVP1372" s="110"/>
      <c r="CVQ1372" s="110"/>
      <c r="CVR1372" s="110"/>
      <c r="CVS1372" s="110"/>
      <c r="CVT1372" s="110"/>
      <c r="CVU1372" s="110"/>
      <c r="CVV1372" s="110"/>
      <c r="CVW1372" s="110"/>
      <c r="CVX1372" s="110"/>
      <c r="CVY1372" s="110"/>
      <c r="CVZ1372" s="110"/>
      <c r="CWA1372" s="110"/>
      <c r="CWB1372" s="110"/>
      <c r="CWC1372" s="110"/>
      <c r="CWD1372" s="110"/>
      <c r="CWE1372" s="110"/>
      <c r="CWF1372" s="110"/>
      <c r="CWG1372" s="110"/>
      <c r="CWH1372" s="110"/>
      <c r="CWI1372" s="110"/>
      <c r="CWJ1372" s="110"/>
      <c r="CWK1372" s="110"/>
      <c r="CWL1372" s="110"/>
      <c r="CWM1372" s="110"/>
      <c r="CWN1372" s="110"/>
      <c r="CWO1372" s="110"/>
      <c r="CWP1372" s="110"/>
      <c r="CWQ1372" s="110"/>
      <c r="CWR1372" s="110"/>
      <c r="CWS1372" s="110"/>
      <c r="CWT1372" s="110"/>
      <c r="CWU1372" s="110"/>
      <c r="CWV1372" s="110"/>
      <c r="CWW1372" s="110"/>
      <c r="CWX1372" s="110"/>
      <c r="CWY1372" s="110"/>
      <c r="CWZ1372" s="110"/>
      <c r="CXA1372" s="110"/>
      <c r="CXB1372" s="110"/>
      <c r="CXC1372" s="110"/>
      <c r="CXD1372" s="110"/>
      <c r="CXE1372" s="110"/>
      <c r="CXF1372" s="110"/>
      <c r="CXG1372" s="110"/>
      <c r="CXH1372" s="110"/>
      <c r="CXI1372" s="110"/>
      <c r="CXJ1372" s="110"/>
      <c r="CXK1372" s="110"/>
      <c r="CXL1372" s="110"/>
      <c r="CXM1372" s="110"/>
      <c r="CXN1372" s="110"/>
      <c r="CXO1372" s="110"/>
      <c r="CXP1372" s="110"/>
      <c r="CXQ1372" s="110"/>
      <c r="CXR1372" s="110"/>
      <c r="CXS1372" s="110"/>
      <c r="CXT1372" s="110"/>
      <c r="CXU1372" s="110"/>
      <c r="CXV1372" s="110"/>
      <c r="CXW1372" s="110"/>
      <c r="CXX1372" s="110"/>
      <c r="CXY1372" s="110"/>
      <c r="CXZ1372" s="110"/>
      <c r="CYA1372" s="110"/>
      <c r="CYB1372" s="110"/>
      <c r="CYC1372" s="110"/>
      <c r="CYD1372" s="110"/>
      <c r="CYE1372" s="110"/>
      <c r="CYF1372" s="110"/>
      <c r="CYG1372" s="110"/>
      <c r="CYH1372" s="110"/>
      <c r="CYI1372" s="110"/>
      <c r="CYJ1372" s="110"/>
      <c r="CYK1372" s="110"/>
      <c r="CYL1372" s="110"/>
      <c r="CYM1372" s="110"/>
      <c r="CYN1372" s="110"/>
      <c r="CYO1372" s="110"/>
      <c r="CYP1372" s="110"/>
      <c r="CYQ1372" s="110"/>
      <c r="CYR1372" s="110"/>
      <c r="CYS1372" s="110"/>
      <c r="CYT1372" s="110"/>
      <c r="CYU1372" s="110"/>
      <c r="CYV1372" s="110"/>
      <c r="CYW1372" s="110"/>
      <c r="CYX1372" s="110"/>
      <c r="CYY1372" s="110"/>
      <c r="CYZ1372" s="110"/>
      <c r="CZA1372" s="110"/>
      <c r="CZB1372" s="110"/>
      <c r="CZC1372" s="110"/>
      <c r="CZD1372" s="110"/>
      <c r="CZE1372" s="110"/>
      <c r="CZF1372" s="110"/>
      <c r="CZG1372" s="110"/>
      <c r="CZH1372" s="110"/>
      <c r="CZI1372" s="110"/>
      <c r="CZJ1372" s="110"/>
      <c r="CZK1372" s="110"/>
      <c r="CZL1372" s="110"/>
      <c r="CZM1372" s="110"/>
      <c r="CZN1372" s="110"/>
      <c r="CZO1372" s="110"/>
      <c r="CZP1372" s="110"/>
      <c r="CZQ1372" s="110"/>
      <c r="CZR1372" s="110"/>
      <c r="CZS1372" s="110"/>
      <c r="CZT1372" s="110"/>
      <c r="CZU1372" s="110"/>
      <c r="CZV1372" s="110"/>
      <c r="CZW1372" s="110"/>
      <c r="CZX1372" s="110"/>
      <c r="CZY1372" s="110"/>
      <c r="CZZ1372" s="110"/>
      <c r="DAA1372" s="110"/>
      <c r="DAB1372" s="110"/>
      <c r="DAC1372" s="110"/>
      <c r="DAD1372" s="110"/>
      <c r="DAE1372" s="110"/>
      <c r="DAF1372" s="110"/>
      <c r="DAG1372" s="110"/>
      <c r="DAH1372" s="110"/>
      <c r="DAI1372" s="110"/>
      <c r="DAJ1372" s="110"/>
      <c r="DAK1372" s="110"/>
      <c r="DAL1372" s="110"/>
      <c r="DAM1372" s="110"/>
      <c r="DAN1372" s="110"/>
      <c r="DAO1372" s="110"/>
      <c r="DAP1372" s="110"/>
      <c r="DAQ1372" s="110"/>
      <c r="DAR1372" s="110"/>
      <c r="DAS1372" s="110"/>
      <c r="DAT1372" s="110"/>
      <c r="DAU1372" s="110"/>
      <c r="DAV1372" s="110"/>
      <c r="DAW1372" s="110"/>
      <c r="DAX1372" s="110"/>
      <c r="DAY1372" s="110"/>
      <c r="DAZ1372" s="110"/>
      <c r="DBA1372" s="110"/>
      <c r="DBB1372" s="110"/>
      <c r="DBC1372" s="110"/>
      <c r="DBD1372" s="110"/>
      <c r="DBE1372" s="110"/>
      <c r="DBF1372" s="110"/>
      <c r="DBG1372" s="110"/>
      <c r="DBH1372" s="110"/>
      <c r="DBI1372" s="110"/>
      <c r="DBJ1372" s="110"/>
      <c r="DBK1372" s="110"/>
      <c r="DBL1372" s="110"/>
      <c r="DBM1372" s="110"/>
      <c r="DBN1372" s="110"/>
      <c r="DBO1372" s="110"/>
      <c r="DBP1372" s="110"/>
      <c r="DBQ1372" s="110"/>
      <c r="DBR1372" s="110"/>
      <c r="DBS1372" s="110"/>
      <c r="DBT1372" s="110"/>
      <c r="DBU1372" s="110"/>
      <c r="DBV1372" s="110"/>
      <c r="DBW1372" s="110"/>
      <c r="DBX1372" s="110"/>
      <c r="DBY1372" s="110"/>
      <c r="DBZ1372" s="110"/>
      <c r="DCA1372" s="110"/>
      <c r="DCB1372" s="110"/>
      <c r="DCC1372" s="110"/>
      <c r="DCD1372" s="110"/>
      <c r="DCE1372" s="110"/>
      <c r="DCF1372" s="110"/>
      <c r="DCG1372" s="110"/>
      <c r="DCH1372" s="110"/>
      <c r="DCI1372" s="110"/>
      <c r="DCJ1372" s="110"/>
      <c r="DCK1372" s="110"/>
      <c r="DCL1372" s="110"/>
      <c r="DCM1372" s="110"/>
      <c r="DCN1372" s="110"/>
      <c r="DCO1372" s="110"/>
      <c r="DCP1372" s="110"/>
      <c r="DCQ1372" s="110"/>
      <c r="DCR1372" s="110"/>
      <c r="DCS1372" s="110"/>
      <c r="DCT1372" s="110"/>
      <c r="DCU1372" s="110"/>
      <c r="DCV1372" s="110"/>
      <c r="DCW1372" s="110"/>
      <c r="DCX1372" s="110"/>
      <c r="DCY1372" s="110"/>
      <c r="DCZ1372" s="110"/>
      <c r="DDA1372" s="110"/>
      <c r="DDB1372" s="110"/>
      <c r="DDC1372" s="110"/>
      <c r="DDD1372" s="110"/>
      <c r="DDE1372" s="110"/>
      <c r="DDF1372" s="110"/>
      <c r="DDG1372" s="110"/>
      <c r="DDH1372" s="110"/>
      <c r="DDI1372" s="110"/>
      <c r="DDJ1372" s="110"/>
      <c r="DDK1372" s="110"/>
      <c r="DDL1372" s="110"/>
      <c r="DDM1372" s="110"/>
      <c r="DDN1372" s="110"/>
      <c r="DDO1372" s="110"/>
      <c r="DDP1372" s="110"/>
      <c r="DDQ1372" s="110"/>
      <c r="DDR1372" s="110"/>
      <c r="DDS1372" s="110"/>
      <c r="DDT1372" s="110"/>
      <c r="DDU1372" s="110"/>
      <c r="DDV1372" s="110"/>
      <c r="DDW1372" s="110"/>
      <c r="DDX1372" s="110"/>
      <c r="DDY1372" s="110"/>
      <c r="DDZ1372" s="110"/>
      <c r="DEA1372" s="110"/>
      <c r="DEB1372" s="110"/>
      <c r="DEC1372" s="110"/>
      <c r="DED1372" s="110"/>
      <c r="DEE1372" s="110"/>
      <c r="DEF1372" s="110"/>
      <c r="DEG1372" s="110"/>
      <c r="DEH1372" s="110"/>
      <c r="DEI1372" s="110"/>
      <c r="DEJ1372" s="110"/>
      <c r="DEK1372" s="110"/>
      <c r="DEL1372" s="110"/>
      <c r="DEM1372" s="110"/>
      <c r="DEN1372" s="110"/>
      <c r="DEO1372" s="110"/>
      <c r="DEP1372" s="110"/>
      <c r="DEQ1372" s="110"/>
      <c r="DER1372" s="110"/>
      <c r="DES1372" s="110"/>
      <c r="DET1372" s="110"/>
      <c r="DEU1372" s="110"/>
      <c r="DEV1372" s="110"/>
      <c r="DEW1372" s="110"/>
      <c r="DEX1372" s="110"/>
      <c r="DEY1372" s="110"/>
      <c r="DEZ1372" s="110"/>
      <c r="DFA1372" s="110"/>
      <c r="DFB1372" s="110"/>
      <c r="DFC1372" s="110"/>
      <c r="DFD1372" s="110"/>
      <c r="DFE1372" s="110"/>
      <c r="DFF1372" s="110"/>
      <c r="DFG1372" s="110"/>
      <c r="DFH1372" s="110"/>
      <c r="DFI1372" s="110"/>
      <c r="DFJ1372" s="110"/>
      <c r="DFK1372" s="110"/>
      <c r="DFL1372" s="110"/>
      <c r="DFM1372" s="110"/>
      <c r="DFN1372" s="110"/>
      <c r="DFO1372" s="110"/>
      <c r="DFP1372" s="110"/>
      <c r="DFQ1372" s="110"/>
      <c r="DFR1372" s="110"/>
      <c r="DFS1372" s="110"/>
      <c r="DFT1372" s="110"/>
      <c r="DFU1372" s="110"/>
      <c r="DFV1372" s="110"/>
      <c r="DFW1372" s="110"/>
      <c r="DFX1372" s="110"/>
      <c r="DFY1372" s="110"/>
      <c r="DFZ1372" s="110"/>
      <c r="DGA1372" s="110"/>
      <c r="DGB1372" s="110"/>
      <c r="DGC1372" s="110"/>
      <c r="DGD1372" s="110"/>
      <c r="DGE1372" s="110"/>
      <c r="DGF1372" s="110"/>
      <c r="DGG1372" s="110"/>
      <c r="DGH1372" s="110"/>
      <c r="DGI1372" s="110"/>
      <c r="DGJ1372" s="110"/>
      <c r="DGK1372" s="110"/>
      <c r="DGL1372" s="110"/>
      <c r="DGM1372" s="110"/>
      <c r="DGN1372" s="110"/>
      <c r="DGO1372" s="110"/>
      <c r="DGP1372" s="110"/>
      <c r="DGQ1372" s="110"/>
      <c r="DGR1372" s="110"/>
      <c r="DGS1372" s="110"/>
      <c r="DGT1372" s="110"/>
      <c r="DGU1372" s="110"/>
      <c r="DGV1372" s="110"/>
      <c r="DGW1372" s="110"/>
      <c r="DGX1372" s="110"/>
      <c r="DGY1372" s="110"/>
      <c r="DGZ1372" s="110"/>
      <c r="DHA1372" s="110"/>
      <c r="DHB1372" s="110"/>
      <c r="DHC1372" s="110"/>
      <c r="DHD1372" s="110"/>
      <c r="DHE1372" s="110"/>
      <c r="DHF1372" s="110"/>
      <c r="DHG1372" s="110"/>
      <c r="DHH1372" s="110"/>
      <c r="DHI1372" s="110"/>
      <c r="DHJ1372" s="110"/>
      <c r="DHK1372" s="110"/>
      <c r="DHL1372" s="110"/>
      <c r="DHM1372" s="110"/>
      <c r="DHN1372" s="110"/>
      <c r="DHO1372" s="110"/>
      <c r="DHP1372" s="110"/>
      <c r="DHQ1372" s="110"/>
      <c r="DHR1372" s="110"/>
      <c r="DHS1372" s="110"/>
      <c r="DHT1372" s="110"/>
      <c r="DHU1372" s="110"/>
      <c r="DHV1372" s="110"/>
      <c r="DHW1372" s="110"/>
      <c r="DHX1372" s="110"/>
      <c r="DHY1372" s="110"/>
      <c r="DHZ1372" s="110"/>
      <c r="DIA1372" s="110"/>
      <c r="DIB1372" s="110"/>
      <c r="DIC1372" s="110"/>
      <c r="DID1372" s="110"/>
      <c r="DIE1372" s="110"/>
      <c r="DIF1372" s="110"/>
      <c r="DIG1372" s="110"/>
      <c r="DIH1372" s="110"/>
      <c r="DII1372" s="110"/>
      <c r="DIJ1372" s="110"/>
      <c r="DIK1372" s="110"/>
      <c r="DIL1372" s="110"/>
      <c r="DIM1372" s="110"/>
      <c r="DIN1372" s="110"/>
      <c r="DIO1372" s="110"/>
      <c r="DIP1372" s="110"/>
      <c r="DIQ1372" s="110"/>
      <c r="DIR1372" s="110"/>
      <c r="DIS1372" s="110"/>
      <c r="DIT1372" s="110"/>
      <c r="DIU1372" s="110"/>
      <c r="DIV1372" s="110"/>
      <c r="DIW1372" s="110"/>
      <c r="DIX1372" s="110"/>
      <c r="DIY1372" s="110"/>
      <c r="DIZ1372" s="110"/>
      <c r="DJA1372" s="110"/>
      <c r="DJB1372" s="110"/>
      <c r="DJC1372" s="110"/>
      <c r="DJD1372" s="110"/>
      <c r="DJE1372" s="110"/>
      <c r="DJF1372" s="110"/>
      <c r="DJG1372" s="110"/>
      <c r="DJH1372" s="110"/>
      <c r="DJI1372" s="110"/>
      <c r="DJJ1372" s="110"/>
      <c r="DJK1372" s="110"/>
      <c r="DJL1372" s="110"/>
      <c r="DJM1372" s="110"/>
      <c r="DJN1372" s="110"/>
      <c r="DJO1372" s="110"/>
      <c r="DJP1372" s="110"/>
      <c r="DJQ1372" s="110"/>
      <c r="DJR1372" s="110"/>
      <c r="DJS1372" s="110"/>
      <c r="DJT1372" s="110"/>
      <c r="DJU1372" s="110"/>
      <c r="DJV1372" s="110"/>
      <c r="DJW1372" s="110"/>
      <c r="DJX1372" s="110"/>
      <c r="DJY1372" s="110"/>
      <c r="DJZ1372" s="110"/>
      <c r="DKA1372" s="110"/>
      <c r="DKB1372" s="110"/>
      <c r="DKC1372" s="110"/>
      <c r="DKD1372" s="110"/>
      <c r="DKE1372" s="110"/>
      <c r="DKF1372" s="110"/>
      <c r="DKG1372" s="110"/>
      <c r="DKH1372" s="110"/>
      <c r="DKI1372" s="110"/>
      <c r="DKJ1372" s="110"/>
      <c r="DKK1372" s="110"/>
      <c r="DKL1372" s="110"/>
      <c r="DKM1372" s="110"/>
      <c r="DKN1372" s="110"/>
      <c r="DKO1372" s="110"/>
      <c r="DKP1372" s="110"/>
      <c r="DKQ1372" s="110"/>
      <c r="DKR1372" s="110"/>
      <c r="DKS1372" s="110"/>
      <c r="DKT1372" s="110"/>
      <c r="DKU1372" s="110"/>
      <c r="DKV1372" s="110"/>
      <c r="DKW1372" s="110"/>
      <c r="DKX1372" s="110"/>
      <c r="DKY1372" s="110"/>
      <c r="DKZ1372" s="110"/>
      <c r="DLA1372" s="110"/>
      <c r="DLB1372" s="110"/>
      <c r="DLC1372" s="110"/>
      <c r="DLD1372" s="110"/>
      <c r="DLE1372" s="110"/>
      <c r="DLF1372" s="110"/>
      <c r="DLG1372" s="110"/>
      <c r="DLH1372" s="110"/>
      <c r="DLI1372" s="110"/>
      <c r="DLJ1372" s="110"/>
      <c r="DLK1372" s="110"/>
      <c r="DLL1372" s="110"/>
      <c r="DLM1372" s="110"/>
      <c r="DLN1372" s="110"/>
      <c r="DLO1372" s="110"/>
      <c r="DLP1372" s="110"/>
      <c r="DLQ1372" s="110"/>
      <c r="DLR1372" s="110"/>
      <c r="DLS1372" s="110"/>
      <c r="DLT1372" s="110"/>
      <c r="DLU1372" s="110"/>
      <c r="DLV1372" s="110"/>
      <c r="DLW1372" s="110"/>
      <c r="DLX1372" s="110"/>
      <c r="DLY1372" s="110"/>
      <c r="DLZ1372" s="110"/>
      <c r="DMA1372" s="110"/>
      <c r="DMB1372" s="110"/>
      <c r="DMC1372" s="110"/>
      <c r="DMD1372" s="110"/>
      <c r="DME1372" s="110"/>
      <c r="DMF1372" s="110"/>
      <c r="DMG1372" s="110"/>
      <c r="DMH1372" s="110"/>
      <c r="DMI1372" s="110"/>
      <c r="DMJ1372" s="110"/>
      <c r="DMK1372" s="110"/>
      <c r="DML1372" s="110"/>
      <c r="DMM1372" s="110"/>
      <c r="DMN1372" s="110"/>
      <c r="DMO1372" s="110"/>
      <c r="DMP1372" s="110"/>
      <c r="DMQ1372" s="110"/>
      <c r="DMR1372" s="110"/>
      <c r="DMS1372" s="110"/>
      <c r="DMT1372" s="110"/>
      <c r="DMU1372" s="110"/>
      <c r="DMV1372" s="110"/>
      <c r="DMW1372" s="110"/>
      <c r="DMX1372" s="110"/>
      <c r="DMY1372" s="110"/>
      <c r="DMZ1372" s="110"/>
      <c r="DNA1372" s="110"/>
      <c r="DNB1372" s="110"/>
      <c r="DNC1372" s="110"/>
      <c r="DND1372" s="110"/>
      <c r="DNE1372" s="110"/>
      <c r="DNF1372" s="110"/>
      <c r="DNG1372" s="110"/>
      <c r="DNH1372" s="110"/>
      <c r="DNI1372" s="110"/>
      <c r="DNJ1372" s="110"/>
      <c r="DNK1372" s="110"/>
      <c r="DNL1372" s="110"/>
      <c r="DNM1372" s="110"/>
      <c r="DNN1372" s="110"/>
      <c r="DNO1372" s="110"/>
      <c r="DNP1372" s="110"/>
      <c r="DNQ1372" s="110"/>
      <c r="DNR1372" s="110"/>
      <c r="DNS1372" s="110"/>
      <c r="DNT1372" s="110"/>
      <c r="DNU1372" s="110"/>
      <c r="DNV1372" s="110"/>
      <c r="DNW1372" s="110"/>
      <c r="DNX1372" s="110"/>
      <c r="DNY1372" s="110"/>
      <c r="DNZ1372" s="110"/>
      <c r="DOA1372" s="110"/>
      <c r="DOB1372" s="110"/>
      <c r="DOC1372" s="110"/>
      <c r="DOD1372" s="110"/>
      <c r="DOE1372" s="110"/>
      <c r="DOF1372" s="110"/>
      <c r="DOG1372" s="110"/>
      <c r="DOH1372" s="110"/>
      <c r="DOI1372" s="110"/>
      <c r="DOJ1372" s="110"/>
      <c r="DOK1372" s="110"/>
      <c r="DOL1372" s="110"/>
      <c r="DOM1372" s="110"/>
      <c r="DON1372" s="110"/>
      <c r="DOO1372" s="110"/>
      <c r="DOP1372" s="110"/>
      <c r="DOQ1372" s="110"/>
      <c r="DOR1372" s="110"/>
      <c r="DOS1372" s="110"/>
      <c r="DOT1372" s="110"/>
      <c r="DOU1372" s="110"/>
      <c r="DOV1372" s="110"/>
      <c r="DOW1372" s="110"/>
      <c r="DOX1372" s="110"/>
      <c r="DOY1372" s="110"/>
      <c r="DOZ1372" s="110"/>
      <c r="DPA1372" s="110"/>
      <c r="DPB1372" s="110"/>
      <c r="DPC1372" s="110"/>
      <c r="DPD1372" s="110"/>
      <c r="DPE1372" s="110"/>
      <c r="DPF1372" s="110"/>
      <c r="DPG1372" s="110"/>
      <c r="DPH1372" s="110"/>
      <c r="DPI1372" s="110"/>
      <c r="DPJ1372" s="110"/>
      <c r="DPK1372" s="110"/>
      <c r="DPL1372" s="110"/>
      <c r="DPM1372" s="110"/>
      <c r="DPN1372" s="110"/>
      <c r="DPO1372" s="110"/>
      <c r="DPP1372" s="110"/>
      <c r="DPQ1372" s="110"/>
      <c r="DPR1372" s="110"/>
      <c r="DPS1372" s="110"/>
      <c r="DPT1372" s="110"/>
      <c r="DPU1372" s="110"/>
      <c r="DPV1372" s="110"/>
      <c r="DPW1372" s="110"/>
      <c r="DPX1372" s="110"/>
      <c r="DPY1372" s="110"/>
      <c r="DPZ1372" s="110"/>
      <c r="DQA1372" s="110"/>
      <c r="DQB1372" s="110"/>
      <c r="DQC1372" s="110"/>
      <c r="DQD1372" s="110"/>
      <c r="DQE1372" s="110"/>
      <c r="DQF1372" s="110"/>
      <c r="DQG1372" s="110"/>
      <c r="DQH1372" s="110"/>
      <c r="DQI1372" s="110"/>
      <c r="DQJ1372" s="110"/>
      <c r="DQK1372" s="110"/>
      <c r="DQL1372" s="110"/>
      <c r="DQM1372" s="110"/>
      <c r="DQN1372" s="110"/>
      <c r="DQO1372" s="110"/>
      <c r="DQP1372" s="110"/>
      <c r="DQQ1372" s="110"/>
      <c r="DQR1372" s="110"/>
      <c r="DQS1372" s="110"/>
      <c r="DQT1372" s="110"/>
      <c r="DQU1372" s="110"/>
      <c r="DQV1372" s="110"/>
      <c r="DQW1372" s="110"/>
      <c r="DQX1372" s="110"/>
      <c r="DQY1372" s="110"/>
      <c r="DQZ1372" s="110"/>
      <c r="DRA1372" s="110"/>
      <c r="DRB1372" s="110"/>
      <c r="DRC1372" s="110"/>
      <c r="DRD1372" s="110"/>
      <c r="DRE1372" s="110"/>
      <c r="DRF1372" s="110"/>
      <c r="DRG1372" s="110"/>
      <c r="DRH1372" s="110"/>
      <c r="DRI1372" s="110"/>
      <c r="DRJ1372" s="110"/>
      <c r="DRK1372" s="110"/>
      <c r="DRL1372" s="110"/>
      <c r="DRM1372" s="110"/>
      <c r="DRN1372" s="110"/>
      <c r="DRO1372" s="110"/>
      <c r="DRP1372" s="110"/>
      <c r="DRQ1372" s="110"/>
      <c r="DRR1372" s="110"/>
      <c r="DRS1372" s="110"/>
      <c r="DRT1372" s="110"/>
      <c r="DRU1372" s="110"/>
      <c r="DRV1372" s="110"/>
      <c r="DRW1372" s="110"/>
      <c r="DRX1372" s="110"/>
      <c r="DRY1372" s="110"/>
      <c r="DRZ1372" s="110"/>
      <c r="DSA1372" s="110"/>
      <c r="DSB1372" s="110"/>
      <c r="DSC1372" s="110"/>
      <c r="DSD1372" s="110"/>
      <c r="DSE1372" s="110"/>
      <c r="DSF1372" s="110"/>
      <c r="DSG1372" s="110"/>
      <c r="DSH1372" s="110"/>
      <c r="DSI1372" s="110"/>
      <c r="DSJ1372" s="110"/>
      <c r="DSK1372" s="110"/>
      <c r="DSL1372" s="110"/>
      <c r="DSM1372" s="110"/>
      <c r="DSN1372" s="110"/>
      <c r="DSO1372" s="110"/>
      <c r="DSP1372" s="110"/>
      <c r="DSQ1372" s="110"/>
      <c r="DSR1372" s="110"/>
      <c r="DSS1372" s="110"/>
      <c r="DST1372" s="110"/>
      <c r="DSU1372" s="110"/>
      <c r="DSV1372" s="110"/>
      <c r="DSW1372" s="110"/>
      <c r="DSX1372" s="110"/>
      <c r="DSY1372" s="110"/>
      <c r="DSZ1372" s="110"/>
      <c r="DTA1372" s="110"/>
      <c r="DTB1372" s="110"/>
      <c r="DTC1372" s="110"/>
      <c r="DTD1372" s="110"/>
      <c r="DTE1372" s="110"/>
      <c r="DTF1372" s="110"/>
      <c r="DTG1372" s="110"/>
      <c r="DTH1372" s="110"/>
      <c r="DTI1372" s="110"/>
      <c r="DTJ1372" s="110"/>
      <c r="DTK1372" s="110"/>
      <c r="DTL1372" s="110"/>
      <c r="DTM1372" s="110"/>
      <c r="DTN1372" s="110"/>
      <c r="DTO1372" s="110"/>
      <c r="DTP1372" s="110"/>
      <c r="DTQ1372" s="110"/>
      <c r="DTR1372" s="110"/>
      <c r="DTS1372" s="110"/>
      <c r="DTT1372" s="110"/>
      <c r="DTU1372" s="110"/>
      <c r="DTV1372" s="110"/>
      <c r="DTW1372" s="110"/>
      <c r="DTX1372" s="110"/>
      <c r="DTY1372" s="110"/>
      <c r="DTZ1372" s="110"/>
      <c r="DUA1372" s="110"/>
      <c r="DUB1372" s="110"/>
      <c r="DUC1372" s="110"/>
      <c r="DUD1372" s="110"/>
      <c r="DUE1372" s="110"/>
      <c r="DUF1372" s="110"/>
      <c r="DUG1372" s="110"/>
      <c r="DUH1372" s="110"/>
      <c r="DUI1372" s="110"/>
      <c r="DUJ1372" s="110"/>
      <c r="DUK1372" s="110"/>
      <c r="DUL1372" s="110"/>
      <c r="DUM1372" s="110"/>
      <c r="DUN1372" s="110"/>
      <c r="DUO1372" s="110"/>
      <c r="DUP1372" s="110"/>
      <c r="DUQ1372" s="110"/>
      <c r="DUR1372" s="110"/>
      <c r="DUS1372" s="110"/>
      <c r="DUT1372" s="110"/>
      <c r="DUU1372" s="110"/>
      <c r="DUV1372" s="110"/>
      <c r="DUW1372" s="110"/>
      <c r="DUX1372" s="110"/>
      <c r="DUY1372" s="110"/>
      <c r="DUZ1372" s="110"/>
      <c r="DVA1372" s="110"/>
      <c r="DVB1372" s="110"/>
      <c r="DVC1372" s="110"/>
      <c r="DVD1372" s="110"/>
      <c r="DVE1372" s="110"/>
      <c r="DVF1372" s="110"/>
      <c r="DVG1372" s="110"/>
      <c r="DVH1372" s="110"/>
      <c r="DVI1372" s="110"/>
      <c r="DVJ1372" s="110"/>
      <c r="DVK1372" s="110"/>
      <c r="DVL1372" s="110"/>
      <c r="DVM1372" s="110"/>
      <c r="DVN1372" s="110"/>
      <c r="DVO1372" s="110"/>
      <c r="DVP1372" s="110"/>
      <c r="DVQ1372" s="110"/>
      <c r="DVR1372" s="110"/>
      <c r="DVS1372" s="110"/>
      <c r="DVT1372" s="110"/>
      <c r="DVU1372" s="110"/>
      <c r="DVV1372" s="110"/>
      <c r="DVW1372" s="110"/>
      <c r="DVX1372" s="110"/>
      <c r="DVY1372" s="110"/>
      <c r="DVZ1372" s="110"/>
      <c r="DWA1372" s="110"/>
      <c r="DWB1372" s="110"/>
      <c r="DWC1372" s="110"/>
      <c r="DWD1372" s="110"/>
      <c r="DWE1372" s="110"/>
      <c r="DWF1372" s="110"/>
      <c r="DWG1372" s="110"/>
      <c r="DWH1372" s="110"/>
      <c r="DWI1372" s="110"/>
      <c r="DWJ1372" s="110"/>
      <c r="DWK1372" s="110"/>
      <c r="DWL1372" s="110"/>
      <c r="DWM1372" s="110"/>
      <c r="DWN1372" s="110"/>
      <c r="DWO1372" s="110"/>
      <c r="DWP1372" s="110"/>
      <c r="DWQ1372" s="110"/>
      <c r="DWR1372" s="110"/>
      <c r="DWS1372" s="110"/>
      <c r="DWT1372" s="110"/>
      <c r="DWU1372" s="110"/>
      <c r="DWV1372" s="110"/>
      <c r="DWW1372" s="110"/>
      <c r="DWX1372" s="110"/>
      <c r="DWY1372" s="110"/>
      <c r="DWZ1372" s="110"/>
      <c r="DXA1372" s="110"/>
      <c r="DXB1372" s="110"/>
      <c r="DXC1372" s="110"/>
      <c r="DXD1372" s="110"/>
      <c r="DXE1372" s="110"/>
      <c r="DXF1372" s="110"/>
      <c r="DXG1372" s="110"/>
      <c r="DXH1372" s="110"/>
      <c r="DXI1372" s="110"/>
      <c r="DXJ1372" s="110"/>
      <c r="DXK1372" s="110"/>
      <c r="DXL1372" s="110"/>
      <c r="DXM1372" s="110"/>
      <c r="DXN1372" s="110"/>
      <c r="DXO1372" s="110"/>
      <c r="DXP1372" s="110"/>
      <c r="DXQ1372" s="110"/>
      <c r="DXR1372" s="110"/>
      <c r="DXS1372" s="110"/>
      <c r="DXT1372" s="110"/>
      <c r="DXU1372" s="110"/>
      <c r="DXV1372" s="110"/>
      <c r="DXW1372" s="110"/>
      <c r="DXX1372" s="110"/>
      <c r="DXY1372" s="110"/>
      <c r="DXZ1372" s="110"/>
      <c r="DYA1372" s="110"/>
      <c r="DYB1372" s="110"/>
      <c r="DYC1372" s="110"/>
      <c r="DYD1372" s="110"/>
      <c r="DYE1372" s="110"/>
      <c r="DYF1372" s="110"/>
      <c r="DYG1372" s="110"/>
      <c r="DYH1372" s="110"/>
      <c r="DYI1372" s="110"/>
      <c r="DYJ1372" s="110"/>
      <c r="DYK1372" s="110"/>
      <c r="DYL1372" s="110"/>
      <c r="DYM1372" s="110"/>
      <c r="DYN1372" s="110"/>
      <c r="DYO1372" s="110"/>
      <c r="DYP1372" s="110"/>
      <c r="DYQ1372" s="110"/>
      <c r="DYR1372" s="110"/>
      <c r="DYS1372" s="110"/>
      <c r="DYT1372" s="110"/>
      <c r="DYU1372" s="110"/>
      <c r="DYV1372" s="110"/>
      <c r="DYW1372" s="110"/>
      <c r="DYX1372" s="110"/>
      <c r="DYY1372" s="110"/>
      <c r="DYZ1372" s="110"/>
      <c r="DZA1372" s="110"/>
      <c r="DZB1372" s="110"/>
      <c r="DZC1372" s="110"/>
      <c r="DZD1372" s="110"/>
      <c r="DZE1372" s="110"/>
      <c r="DZF1372" s="110"/>
      <c r="DZG1372" s="110"/>
      <c r="DZH1372" s="110"/>
      <c r="DZI1372" s="110"/>
      <c r="DZJ1372" s="110"/>
      <c r="DZK1372" s="110"/>
      <c r="DZL1372" s="110"/>
      <c r="DZM1372" s="110"/>
      <c r="DZN1372" s="110"/>
      <c r="DZO1372" s="110"/>
      <c r="DZP1372" s="110"/>
      <c r="DZQ1372" s="110"/>
      <c r="DZR1372" s="110"/>
      <c r="DZS1372" s="110"/>
      <c r="DZT1372" s="110"/>
      <c r="DZU1372" s="110"/>
      <c r="DZV1372" s="110"/>
      <c r="DZW1372" s="110"/>
      <c r="DZX1372" s="110"/>
      <c r="DZY1372" s="110"/>
      <c r="DZZ1372" s="110"/>
      <c r="EAA1372" s="110"/>
      <c r="EAB1372" s="110"/>
      <c r="EAC1372" s="110"/>
      <c r="EAD1372" s="110"/>
      <c r="EAE1372" s="110"/>
      <c r="EAF1372" s="110"/>
      <c r="EAG1372" s="110"/>
      <c r="EAH1372" s="110"/>
      <c r="EAI1372" s="110"/>
      <c r="EAJ1372" s="110"/>
      <c r="EAK1372" s="110"/>
      <c r="EAL1372" s="110"/>
      <c r="EAM1372" s="110"/>
      <c r="EAN1372" s="110"/>
      <c r="EAO1372" s="110"/>
      <c r="EAP1372" s="110"/>
      <c r="EAQ1372" s="110"/>
      <c r="EAR1372" s="110"/>
      <c r="EAS1372" s="110"/>
      <c r="EAT1372" s="110"/>
      <c r="EAU1372" s="110"/>
      <c r="EAV1372" s="110"/>
      <c r="EAW1372" s="110"/>
      <c r="EAX1372" s="110"/>
      <c r="EAY1372" s="110"/>
      <c r="EAZ1372" s="110"/>
      <c r="EBA1372" s="110"/>
      <c r="EBB1372" s="110"/>
      <c r="EBC1372" s="110"/>
      <c r="EBD1372" s="110"/>
      <c r="EBE1372" s="110"/>
      <c r="EBF1372" s="110"/>
      <c r="EBG1372" s="110"/>
      <c r="EBH1372" s="110"/>
      <c r="EBI1372" s="110"/>
      <c r="EBJ1372" s="110"/>
      <c r="EBK1372" s="110"/>
      <c r="EBL1372" s="110"/>
      <c r="EBM1372" s="110"/>
      <c r="EBN1372" s="110"/>
      <c r="EBO1372" s="110"/>
      <c r="EBP1372" s="110"/>
      <c r="EBQ1372" s="110"/>
      <c r="EBR1372" s="110"/>
      <c r="EBS1372" s="110"/>
      <c r="EBT1372" s="110"/>
      <c r="EBU1372" s="110"/>
      <c r="EBV1372" s="110"/>
      <c r="EBW1372" s="110"/>
      <c r="EBX1372" s="110"/>
      <c r="EBY1372" s="110"/>
      <c r="EBZ1372" s="110"/>
      <c r="ECA1372" s="110"/>
      <c r="ECB1372" s="110"/>
      <c r="ECC1372" s="110"/>
      <c r="ECD1372" s="110"/>
      <c r="ECE1372" s="110"/>
      <c r="ECF1372" s="110"/>
      <c r="ECG1372" s="110"/>
      <c r="ECH1372" s="110"/>
      <c r="ECI1372" s="110"/>
      <c r="ECJ1372" s="110"/>
      <c r="ECK1372" s="110"/>
      <c r="ECL1372" s="110"/>
      <c r="ECM1372" s="110"/>
      <c r="ECN1372" s="110"/>
      <c r="ECO1372" s="110"/>
      <c r="ECP1372" s="110"/>
      <c r="ECQ1372" s="110"/>
      <c r="ECR1372" s="110"/>
      <c r="ECS1372" s="110"/>
      <c r="ECT1372" s="110"/>
      <c r="ECU1372" s="110"/>
      <c r="ECV1372" s="110"/>
      <c r="ECW1372" s="110"/>
      <c r="ECX1372" s="110"/>
      <c r="ECY1372" s="110"/>
      <c r="ECZ1372" s="110"/>
      <c r="EDA1372" s="110"/>
      <c r="EDB1372" s="110"/>
      <c r="EDC1372" s="110"/>
      <c r="EDD1372" s="110"/>
      <c r="EDE1372" s="110"/>
      <c r="EDF1372" s="110"/>
      <c r="EDG1372" s="110"/>
      <c r="EDH1372" s="110"/>
      <c r="EDI1372" s="110"/>
      <c r="EDJ1372" s="110"/>
      <c r="EDK1372" s="110"/>
      <c r="EDL1372" s="110"/>
      <c r="EDM1372" s="110"/>
      <c r="EDN1372" s="110"/>
      <c r="EDO1372" s="110"/>
      <c r="EDP1372" s="110"/>
      <c r="EDQ1372" s="110"/>
      <c r="EDR1372" s="110"/>
      <c r="EDS1372" s="110"/>
      <c r="EDT1372" s="110"/>
      <c r="EDU1372" s="110"/>
      <c r="EDV1372" s="110"/>
      <c r="EDW1372" s="110"/>
      <c r="EDX1372" s="110"/>
      <c r="EDY1372" s="110"/>
      <c r="EDZ1372" s="110"/>
      <c r="EEA1372" s="110"/>
      <c r="EEB1372" s="110"/>
      <c r="EEC1372" s="110"/>
      <c r="EED1372" s="110"/>
      <c r="EEE1372" s="110"/>
      <c r="EEF1372" s="110"/>
      <c r="EEG1372" s="110"/>
      <c r="EEH1372" s="110"/>
      <c r="EEI1372" s="110"/>
      <c r="EEJ1372" s="110"/>
      <c r="EEK1372" s="110"/>
      <c r="EEL1372" s="110"/>
      <c r="EEM1372" s="110"/>
      <c r="EEN1372" s="110"/>
      <c r="EEO1372" s="110"/>
      <c r="EEP1372" s="110"/>
      <c r="EEQ1372" s="110"/>
      <c r="EER1372" s="110"/>
      <c r="EES1372" s="110"/>
      <c r="EET1372" s="110"/>
      <c r="EEU1372" s="110"/>
      <c r="EEV1372" s="110"/>
      <c r="EEW1372" s="110"/>
      <c r="EEX1372" s="110"/>
      <c r="EEY1372" s="110"/>
      <c r="EEZ1372" s="110"/>
      <c r="EFA1372" s="110"/>
      <c r="EFB1372" s="110"/>
      <c r="EFC1372" s="110"/>
      <c r="EFD1372" s="110"/>
      <c r="EFE1372" s="110"/>
      <c r="EFF1372" s="110"/>
      <c r="EFG1372" s="110"/>
      <c r="EFH1372" s="110"/>
      <c r="EFI1372" s="110"/>
      <c r="EFJ1372" s="110"/>
      <c r="EFK1372" s="110"/>
      <c r="EFL1372" s="110"/>
      <c r="EFM1372" s="110"/>
      <c r="EFN1372" s="110"/>
      <c r="EFO1372" s="110"/>
      <c r="EFP1372" s="110"/>
      <c r="EFQ1372" s="110"/>
      <c r="EFR1372" s="110"/>
      <c r="EFS1372" s="110"/>
      <c r="EFT1372" s="110"/>
      <c r="EFU1372" s="110"/>
      <c r="EFV1372" s="110"/>
      <c r="EFW1372" s="110"/>
      <c r="EFX1372" s="110"/>
      <c r="EFY1372" s="110"/>
      <c r="EFZ1372" s="110"/>
      <c r="EGA1372" s="110"/>
      <c r="EGB1372" s="110"/>
      <c r="EGC1372" s="110"/>
      <c r="EGD1372" s="110"/>
      <c r="EGE1372" s="110"/>
      <c r="EGF1372" s="110"/>
      <c r="EGG1372" s="110"/>
      <c r="EGH1372" s="110"/>
      <c r="EGI1372" s="110"/>
      <c r="EGJ1372" s="110"/>
      <c r="EGK1372" s="110"/>
      <c r="EGL1372" s="110"/>
      <c r="EGM1372" s="110"/>
      <c r="EGN1372" s="110"/>
      <c r="EGO1372" s="110"/>
      <c r="EGP1372" s="110"/>
      <c r="EGQ1372" s="110"/>
      <c r="EGR1372" s="110"/>
      <c r="EGS1372" s="110"/>
      <c r="EGT1372" s="110"/>
      <c r="EGU1372" s="110"/>
      <c r="EGV1372" s="110"/>
      <c r="EGW1372" s="110"/>
      <c r="EGX1372" s="110"/>
      <c r="EGY1372" s="110"/>
      <c r="EGZ1372" s="110"/>
      <c r="EHA1372" s="110"/>
      <c r="EHB1372" s="110"/>
      <c r="EHC1372" s="110"/>
      <c r="EHD1372" s="110"/>
      <c r="EHE1372" s="110"/>
      <c r="EHF1372" s="110"/>
      <c r="EHG1372" s="110"/>
      <c r="EHH1372" s="110"/>
      <c r="EHI1372" s="110"/>
      <c r="EHJ1372" s="110"/>
      <c r="EHK1372" s="110"/>
      <c r="EHL1372" s="110"/>
      <c r="EHM1372" s="110"/>
      <c r="EHN1372" s="110"/>
      <c r="EHO1372" s="110"/>
      <c r="EHP1372" s="110"/>
      <c r="EHQ1372" s="110"/>
      <c r="EHR1372" s="110"/>
      <c r="EHS1372" s="110"/>
      <c r="EHT1372" s="110"/>
      <c r="EHU1372" s="110"/>
      <c r="EHV1372" s="110"/>
      <c r="EHW1372" s="110"/>
      <c r="EHX1372" s="110"/>
      <c r="EHY1372" s="110"/>
      <c r="EHZ1372" s="110"/>
      <c r="EIA1372" s="110"/>
      <c r="EIB1372" s="110"/>
      <c r="EIC1372" s="110"/>
      <c r="EID1372" s="110"/>
      <c r="EIE1372" s="110"/>
      <c r="EIF1372" s="110"/>
      <c r="EIG1372" s="110"/>
      <c r="EIH1372" s="110"/>
      <c r="EII1372" s="110"/>
      <c r="EIJ1372" s="110"/>
      <c r="EIK1372" s="110"/>
      <c r="EIL1372" s="110"/>
      <c r="EIM1372" s="110"/>
      <c r="EIN1372" s="110"/>
      <c r="EIO1372" s="110"/>
      <c r="EIP1372" s="110"/>
      <c r="EIQ1372" s="110"/>
      <c r="EIR1372" s="110"/>
      <c r="EIS1372" s="110"/>
      <c r="EIT1372" s="110"/>
      <c r="EIU1372" s="110"/>
      <c r="EIV1372" s="110"/>
      <c r="EIW1372" s="110"/>
      <c r="EIX1372" s="110"/>
      <c r="EIY1372" s="110"/>
      <c r="EIZ1372" s="110"/>
      <c r="EJA1372" s="110"/>
      <c r="EJB1372" s="110"/>
      <c r="EJC1372" s="110"/>
      <c r="EJD1372" s="110"/>
      <c r="EJE1372" s="110"/>
      <c r="EJF1372" s="110"/>
      <c r="EJG1372" s="110"/>
      <c r="EJH1372" s="110"/>
      <c r="EJI1372" s="110"/>
      <c r="EJJ1372" s="110"/>
      <c r="EJK1372" s="110"/>
      <c r="EJL1372" s="110"/>
      <c r="EJM1372" s="110"/>
      <c r="EJN1372" s="110"/>
      <c r="EJO1372" s="110"/>
      <c r="EJP1372" s="110"/>
      <c r="EJQ1372" s="110"/>
      <c r="EJR1372" s="110"/>
      <c r="EJS1372" s="110"/>
      <c r="EJT1372" s="110"/>
      <c r="EJU1372" s="110"/>
      <c r="EJV1372" s="110"/>
      <c r="EJW1372" s="110"/>
      <c r="EJX1372" s="110"/>
      <c r="EJY1372" s="110"/>
      <c r="EJZ1372" s="110"/>
      <c r="EKA1372" s="110"/>
      <c r="EKB1372" s="110"/>
      <c r="EKC1372" s="110"/>
      <c r="EKD1372" s="110"/>
      <c r="EKE1372" s="110"/>
      <c r="EKF1372" s="110"/>
      <c r="EKG1372" s="110"/>
      <c r="EKH1372" s="110"/>
      <c r="EKI1372" s="110"/>
      <c r="EKJ1372" s="110"/>
      <c r="EKK1372" s="110"/>
      <c r="EKL1372" s="110"/>
      <c r="EKM1372" s="110"/>
      <c r="EKN1372" s="110"/>
      <c r="EKO1372" s="110"/>
      <c r="EKP1372" s="110"/>
      <c r="EKQ1372" s="110"/>
      <c r="EKR1372" s="110"/>
      <c r="EKS1372" s="110"/>
      <c r="EKT1372" s="110"/>
      <c r="EKU1372" s="110"/>
      <c r="EKV1372" s="110"/>
      <c r="EKW1372" s="110"/>
      <c r="EKX1372" s="110"/>
      <c r="EKY1372" s="110"/>
      <c r="EKZ1372" s="110"/>
      <c r="ELA1372" s="110"/>
      <c r="ELB1372" s="110"/>
      <c r="ELC1372" s="110"/>
      <c r="ELD1372" s="110"/>
      <c r="ELE1372" s="110"/>
      <c r="ELF1372" s="110"/>
      <c r="ELG1372" s="110"/>
      <c r="ELH1372" s="110"/>
      <c r="ELI1372" s="110"/>
      <c r="ELJ1372" s="110"/>
      <c r="ELK1372" s="110"/>
      <c r="ELL1372" s="110"/>
      <c r="ELM1372" s="110"/>
      <c r="ELN1372" s="110"/>
      <c r="ELO1372" s="110"/>
      <c r="ELP1372" s="110"/>
      <c r="ELQ1372" s="110"/>
      <c r="ELR1372" s="110"/>
      <c r="ELS1372" s="110"/>
      <c r="ELT1372" s="110"/>
      <c r="ELU1372" s="110"/>
      <c r="ELV1372" s="110"/>
      <c r="ELW1372" s="110"/>
      <c r="ELX1372" s="110"/>
      <c r="ELY1372" s="110"/>
      <c r="ELZ1372" s="110"/>
      <c r="EMA1372" s="110"/>
      <c r="EMB1372" s="110"/>
      <c r="EMC1372" s="110"/>
      <c r="EMD1372" s="110"/>
      <c r="EME1372" s="110"/>
      <c r="EMF1372" s="110"/>
      <c r="EMG1372" s="110"/>
      <c r="EMH1372" s="110"/>
      <c r="EMI1372" s="110"/>
      <c r="EMJ1372" s="110"/>
      <c r="EMK1372" s="110"/>
      <c r="EML1372" s="110"/>
      <c r="EMM1372" s="110"/>
      <c r="EMN1372" s="110"/>
      <c r="EMO1372" s="110"/>
      <c r="EMP1372" s="110"/>
      <c r="EMQ1372" s="110"/>
      <c r="EMR1372" s="110"/>
      <c r="EMS1372" s="110"/>
      <c r="EMT1372" s="110"/>
      <c r="EMU1372" s="110"/>
      <c r="EMV1372" s="110"/>
      <c r="EMW1372" s="110"/>
      <c r="EMX1372" s="110"/>
      <c r="EMY1372" s="110"/>
      <c r="EMZ1372" s="110"/>
      <c r="ENA1372" s="110"/>
      <c r="ENB1372" s="110"/>
      <c r="ENC1372" s="110"/>
      <c r="END1372" s="110"/>
      <c r="ENE1372" s="110"/>
      <c r="ENF1372" s="110"/>
      <c r="ENG1372" s="110"/>
      <c r="ENH1372" s="110"/>
      <c r="ENI1372" s="110"/>
      <c r="ENJ1372" s="110"/>
      <c r="ENK1372" s="110"/>
      <c r="ENL1372" s="110"/>
      <c r="ENM1372" s="110"/>
      <c r="ENN1372" s="110"/>
      <c r="ENO1372" s="110"/>
      <c r="ENP1372" s="110"/>
      <c r="ENQ1372" s="110"/>
      <c r="ENR1372" s="110"/>
      <c r="ENS1372" s="110"/>
      <c r="ENT1372" s="110"/>
      <c r="ENU1372" s="110"/>
      <c r="ENV1372" s="110"/>
      <c r="ENW1372" s="110"/>
      <c r="ENX1372" s="110"/>
      <c r="ENY1372" s="110"/>
      <c r="ENZ1372" s="110"/>
      <c r="EOA1372" s="110"/>
      <c r="EOB1372" s="110"/>
      <c r="EOC1372" s="110"/>
      <c r="EOD1372" s="110"/>
      <c r="EOE1372" s="110"/>
      <c r="EOF1372" s="110"/>
      <c r="EOG1372" s="110"/>
      <c r="EOH1372" s="110"/>
      <c r="EOI1372" s="110"/>
      <c r="EOJ1372" s="110"/>
      <c r="EOK1372" s="110"/>
      <c r="EOL1372" s="110"/>
      <c r="EOM1372" s="110"/>
      <c r="EON1372" s="110"/>
      <c r="EOO1372" s="110"/>
      <c r="EOP1372" s="110"/>
      <c r="EOQ1372" s="110"/>
      <c r="EOR1372" s="110"/>
      <c r="EOS1372" s="110"/>
      <c r="EOT1372" s="110"/>
      <c r="EOU1372" s="110"/>
      <c r="EOV1372" s="110"/>
      <c r="EOW1372" s="110"/>
      <c r="EOX1372" s="110"/>
      <c r="EOY1372" s="110"/>
      <c r="EOZ1372" s="110"/>
      <c r="EPA1372" s="110"/>
      <c r="EPB1372" s="110"/>
      <c r="EPC1372" s="110"/>
      <c r="EPD1372" s="110"/>
      <c r="EPE1372" s="110"/>
      <c r="EPF1372" s="110"/>
      <c r="EPG1372" s="110"/>
      <c r="EPH1372" s="110"/>
      <c r="EPI1372" s="110"/>
      <c r="EPJ1372" s="110"/>
      <c r="EPK1372" s="110"/>
      <c r="EPL1372" s="110"/>
      <c r="EPM1372" s="110"/>
      <c r="EPN1372" s="110"/>
      <c r="EPO1372" s="110"/>
      <c r="EPP1372" s="110"/>
      <c r="EPQ1372" s="110"/>
      <c r="EPR1372" s="110"/>
      <c r="EPS1372" s="110"/>
      <c r="EPT1372" s="110"/>
      <c r="EPU1372" s="110"/>
      <c r="EPV1372" s="110"/>
      <c r="EPW1372" s="110"/>
      <c r="EPX1372" s="110"/>
      <c r="EPY1372" s="110"/>
      <c r="EPZ1372" s="110"/>
      <c r="EQA1372" s="110"/>
      <c r="EQB1372" s="110"/>
      <c r="EQC1372" s="110"/>
      <c r="EQD1372" s="110"/>
      <c r="EQE1372" s="110"/>
      <c r="EQF1372" s="110"/>
      <c r="EQG1372" s="110"/>
      <c r="EQH1372" s="110"/>
      <c r="EQI1372" s="110"/>
      <c r="EQJ1372" s="110"/>
      <c r="EQK1372" s="110"/>
      <c r="EQL1372" s="110"/>
      <c r="EQM1372" s="110"/>
      <c r="EQN1372" s="110"/>
      <c r="EQO1372" s="110"/>
      <c r="EQP1372" s="110"/>
      <c r="EQQ1372" s="110"/>
      <c r="EQR1372" s="110"/>
      <c r="EQS1372" s="110"/>
      <c r="EQT1372" s="110"/>
      <c r="EQU1372" s="110"/>
      <c r="EQV1372" s="110"/>
      <c r="EQW1372" s="110"/>
      <c r="EQX1372" s="110"/>
      <c r="EQY1372" s="110"/>
      <c r="EQZ1372" s="110"/>
      <c r="ERA1372" s="110"/>
      <c r="ERB1372" s="110"/>
      <c r="ERC1372" s="110"/>
      <c r="ERD1372" s="110"/>
      <c r="ERE1372" s="110"/>
      <c r="ERF1372" s="110"/>
      <c r="ERG1372" s="110"/>
      <c r="ERH1372" s="110"/>
      <c r="ERI1372" s="110"/>
      <c r="ERJ1372" s="110"/>
      <c r="ERK1372" s="110"/>
      <c r="ERL1372" s="110"/>
      <c r="ERM1372" s="110"/>
      <c r="ERN1372" s="110"/>
      <c r="ERO1372" s="110"/>
      <c r="ERP1372" s="110"/>
      <c r="ERQ1372" s="110"/>
      <c r="ERR1372" s="110"/>
      <c r="ERS1372" s="110"/>
      <c r="ERT1372" s="110"/>
      <c r="ERU1372" s="110"/>
      <c r="ERV1372" s="110"/>
      <c r="ERW1372" s="110"/>
      <c r="ERX1372" s="110"/>
      <c r="ERY1372" s="110"/>
      <c r="ERZ1372" s="110"/>
      <c r="ESA1372" s="110"/>
      <c r="ESB1372" s="110"/>
      <c r="ESC1372" s="110"/>
      <c r="ESD1372" s="110"/>
      <c r="ESE1372" s="110"/>
      <c r="ESF1372" s="110"/>
      <c r="ESG1372" s="110"/>
      <c r="ESH1372" s="110"/>
      <c r="ESI1372" s="110"/>
      <c r="ESJ1372" s="110"/>
      <c r="ESK1372" s="110"/>
      <c r="ESL1372" s="110"/>
      <c r="ESM1372" s="110"/>
      <c r="ESN1372" s="110"/>
      <c r="ESO1372" s="110"/>
      <c r="ESP1372" s="110"/>
      <c r="ESQ1372" s="110"/>
      <c r="ESR1372" s="110"/>
      <c r="ESS1372" s="110"/>
      <c r="EST1372" s="110"/>
      <c r="ESU1372" s="110"/>
      <c r="ESV1372" s="110"/>
      <c r="ESW1372" s="110"/>
      <c r="ESX1372" s="110"/>
      <c r="ESY1372" s="110"/>
      <c r="ESZ1372" s="110"/>
      <c r="ETA1372" s="110"/>
      <c r="ETB1372" s="110"/>
      <c r="ETC1372" s="110"/>
      <c r="ETD1372" s="110"/>
      <c r="ETE1372" s="110"/>
      <c r="ETF1372" s="110"/>
      <c r="ETG1372" s="110"/>
      <c r="ETH1372" s="110"/>
      <c r="ETI1372" s="110"/>
      <c r="ETJ1372" s="110"/>
      <c r="ETK1372" s="110"/>
      <c r="ETL1372" s="110"/>
      <c r="ETM1372" s="110"/>
      <c r="ETN1372" s="110"/>
      <c r="ETO1372" s="110"/>
      <c r="ETP1372" s="110"/>
      <c r="ETQ1372" s="110"/>
      <c r="ETR1372" s="110"/>
      <c r="ETS1372" s="110"/>
      <c r="ETT1372" s="110"/>
      <c r="ETU1372" s="110"/>
      <c r="ETV1372" s="110"/>
      <c r="ETW1372" s="110"/>
      <c r="ETX1372" s="110"/>
      <c r="ETY1372" s="110"/>
      <c r="ETZ1372" s="110"/>
      <c r="EUA1372" s="110"/>
      <c r="EUB1372" s="110"/>
      <c r="EUC1372" s="110"/>
      <c r="EUD1372" s="110"/>
      <c r="EUE1372" s="110"/>
      <c r="EUF1372" s="110"/>
      <c r="EUG1372" s="110"/>
      <c r="EUH1372" s="110"/>
      <c r="EUI1372" s="110"/>
      <c r="EUJ1372" s="110"/>
      <c r="EUK1372" s="110"/>
      <c r="EUL1372" s="110"/>
      <c r="EUM1372" s="110"/>
      <c r="EUN1372" s="110"/>
      <c r="EUO1372" s="110"/>
      <c r="EUP1372" s="110"/>
      <c r="EUQ1372" s="110"/>
      <c r="EUR1372" s="110"/>
      <c r="EUS1372" s="110"/>
      <c r="EUT1372" s="110"/>
      <c r="EUU1372" s="110"/>
      <c r="EUV1372" s="110"/>
      <c r="EUW1372" s="110"/>
      <c r="EUX1372" s="110"/>
      <c r="EUY1372" s="110"/>
      <c r="EUZ1372" s="110"/>
      <c r="EVA1372" s="110"/>
      <c r="EVB1372" s="110"/>
      <c r="EVC1372" s="110"/>
      <c r="EVD1372" s="110"/>
      <c r="EVE1372" s="110"/>
      <c r="EVF1372" s="110"/>
      <c r="EVG1372" s="110"/>
      <c r="EVH1372" s="110"/>
      <c r="EVI1372" s="110"/>
      <c r="EVJ1372" s="110"/>
      <c r="EVK1372" s="110"/>
      <c r="EVL1372" s="110"/>
      <c r="EVM1372" s="110"/>
      <c r="EVN1372" s="110"/>
      <c r="EVO1372" s="110"/>
      <c r="EVP1372" s="110"/>
      <c r="EVQ1372" s="110"/>
      <c r="EVR1372" s="110"/>
      <c r="EVS1372" s="110"/>
      <c r="EVT1372" s="110"/>
      <c r="EVU1372" s="110"/>
      <c r="EVV1372" s="110"/>
      <c r="EVW1372" s="110"/>
      <c r="EVX1372" s="110"/>
      <c r="EVY1372" s="110"/>
      <c r="EVZ1372" s="110"/>
      <c r="EWA1372" s="110"/>
      <c r="EWB1372" s="110"/>
      <c r="EWC1372" s="110"/>
      <c r="EWD1372" s="110"/>
      <c r="EWE1372" s="110"/>
      <c r="EWF1372" s="110"/>
      <c r="EWG1372" s="110"/>
      <c r="EWH1372" s="110"/>
      <c r="EWI1372" s="110"/>
      <c r="EWJ1372" s="110"/>
      <c r="EWK1372" s="110"/>
      <c r="EWL1372" s="110"/>
      <c r="EWM1372" s="110"/>
      <c r="EWN1372" s="110"/>
      <c r="EWO1372" s="110"/>
      <c r="EWP1372" s="110"/>
      <c r="EWQ1372" s="110"/>
      <c r="EWR1372" s="110"/>
      <c r="EWS1372" s="110"/>
      <c r="EWT1372" s="110"/>
      <c r="EWU1372" s="110"/>
      <c r="EWV1372" s="110"/>
      <c r="EWW1372" s="110"/>
      <c r="EWX1372" s="110"/>
      <c r="EWY1372" s="110"/>
      <c r="EWZ1372" s="110"/>
      <c r="EXA1372" s="110"/>
      <c r="EXB1372" s="110"/>
      <c r="EXC1372" s="110"/>
      <c r="EXD1372" s="110"/>
      <c r="EXE1372" s="110"/>
      <c r="EXF1372" s="110"/>
      <c r="EXG1372" s="110"/>
      <c r="EXH1372" s="110"/>
      <c r="EXI1372" s="110"/>
      <c r="EXJ1372" s="110"/>
      <c r="EXK1372" s="110"/>
      <c r="EXL1372" s="110"/>
      <c r="EXM1372" s="110"/>
      <c r="EXN1372" s="110"/>
      <c r="EXO1372" s="110"/>
      <c r="EXP1372" s="110"/>
      <c r="EXQ1372" s="110"/>
      <c r="EXR1372" s="110"/>
      <c r="EXS1372" s="110"/>
      <c r="EXT1372" s="110"/>
      <c r="EXU1372" s="110"/>
      <c r="EXV1372" s="110"/>
      <c r="EXW1372" s="110"/>
      <c r="EXX1372" s="110"/>
      <c r="EXY1372" s="110"/>
      <c r="EXZ1372" s="110"/>
      <c r="EYA1372" s="110"/>
      <c r="EYB1372" s="110"/>
      <c r="EYC1372" s="110"/>
      <c r="EYD1372" s="110"/>
      <c r="EYE1372" s="110"/>
      <c r="EYF1372" s="110"/>
      <c r="EYG1372" s="110"/>
      <c r="EYH1372" s="110"/>
      <c r="EYI1372" s="110"/>
      <c r="EYJ1372" s="110"/>
      <c r="EYK1372" s="110"/>
      <c r="EYL1372" s="110"/>
      <c r="EYM1372" s="110"/>
      <c r="EYN1372" s="110"/>
      <c r="EYO1372" s="110"/>
      <c r="EYP1372" s="110"/>
      <c r="EYQ1372" s="110"/>
      <c r="EYR1372" s="110"/>
      <c r="EYS1372" s="110"/>
      <c r="EYT1372" s="110"/>
      <c r="EYU1372" s="110"/>
      <c r="EYV1372" s="110"/>
      <c r="EYW1372" s="110"/>
      <c r="EYX1372" s="110"/>
      <c r="EYY1372" s="110"/>
      <c r="EYZ1372" s="110"/>
      <c r="EZA1372" s="110"/>
      <c r="EZB1372" s="110"/>
      <c r="EZC1372" s="110"/>
      <c r="EZD1372" s="110"/>
      <c r="EZE1372" s="110"/>
      <c r="EZF1372" s="110"/>
      <c r="EZG1372" s="110"/>
      <c r="EZH1372" s="110"/>
      <c r="EZI1372" s="110"/>
      <c r="EZJ1372" s="110"/>
      <c r="EZK1372" s="110"/>
      <c r="EZL1372" s="110"/>
      <c r="EZM1372" s="110"/>
      <c r="EZN1372" s="110"/>
      <c r="EZO1372" s="110"/>
      <c r="EZP1372" s="110"/>
      <c r="EZQ1372" s="110"/>
      <c r="EZR1372" s="110"/>
      <c r="EZS1372" s="110"/>
      <c r="EZT1372" s="110"/>
      <c r="EZU1372" s="110"/>
      <c r="EZV1372" s="110"/>
      <c r="EZW1372" s="110"/>
      <c r="EZX1372" s="110"/>
      <c r="EZY1372" s="110"/>
      <c r="EZZ1372" s="110"/>
      <c r="FAA1372" s="110"/>
      <c r="FAB1372" s="110"/>
      <c r="FAC1372" s="110"/>
      <c r="FAD1372" s="110"/>
      <c r="FAE1372" s="110"/>
      <c r="FAF1372" s="110"/>
      <c r="FAG1372" s="110"/>
      <c r="FAH1372" s="110"/>
      <c r="FAI1372" s="110"/>
      <c r="FAJ1372" s="110"/>
      <c r="FAK1372" s="110"/>
      <c r="FAL1372" s="110"/>
      <c r="FAM1372" s="110"/>
      <c r="FAN1372" s="110"/>
      <c r="FAO1372" s="110"/>
      <c r="FAP1372" s="110"/>
      <c r="FAQ1372" s="110"/>
      <c r="FAR1372" s="110"/>
      <c r="FAS1372" s="110"/>
      <c r="FAT1372" s="110"/>
      <c r="FAU1372" s="110"/>
      <c r="FAV1372" s="110"/>
      <c r="FAW1372" s="110"/>
      <c r="FAX1372" s="110"/>
      <c r="FAY1372" s="110"/>
      <c r="FAZ1372" s="110"/>
      <c r="FBA1372" s="110"/>
      <c r="FBB1372" s="110"/>
      <c r="FBC1372" s="110"/>
      <c r="FBD1372" s="110"/>
      <c r="FBE1372" s="110"/>
      <c r="FBF1372" s="110"/>
      <c r="FBG1372" s="110"/>
      <c r="FBH1372" s="110"/>
      <c r="FBI1372" s="110"/>
      <c r="FBJ1372" s="110"/>
      <c r="FBK1372" s="110"/>
      <c r="FBL1372" s="110"/>
      <c r="FBM1372" s="110"/>
      <c r="FBN1372" s="110"/>
      <c r="FBO1372" s="110"/>
      <c r="FBP1372" s="110"/>
      <c r="FBQ1372" s="110"/>
      <c r="FBR1372" s="110"/>
      <c r="FBS1372" s="110"/>
      <c r="FBT1372" s="110"/>
      <c r="FBU1372" s="110"/>
      <c r="FBV1372" s="110"/>
      <c r="FBW1372" s="110"/>
      <c r="FBX1372" s="110"/>
      <c r="FBY1372" s="110"/>
      <c r="FBZ1372" s="110"/>
      <c r="FCA1372" s="110"/>
      <c r="FCB1372" s="110"/>
      <c r="FCC1372" s="110"/>
      <c r="FCD1372" s="110"/>
      <c r="FCE1372" s="110"/>
      <c r="FCF1372" s="110"/>
      <c r="FCG1372" s="110"/>
      <c r="FCH1372" s="110"/>
      <c r="FCI1372" s="110"/>
      <c r="FCJ1372" s="110"/>
      <c r="FCK1372" s="110"/>
      <c r="FCL1372" s="110"/>
      <c r="FCM1372" s="110"/>
      <c r="FCN1372" s="110"/>
      <c r="FCO1372" s="110"/>
      <c r="FCP1372" s="110"/>
      <c r="FCQ1372" s="110"/>
      <c r="FCR1372" s="110"/>
      <c r="FCS1372" s="110"/>
      <c r="FCT1372" s="110"/>
      <c r="FCU1372" s="110"/>
      <c r="FCV1372" s="110"/>
      <c r="FCW1372" s="110"/>
      <c r="FCX1372" s="110"/>
      <c r="FCY1372" s="110"/>
      <c r="FCZ1372" s="110"/>
      <c r="FDA1372" s="110"/>
      <c r="FDB1372" s="110"/>
      <c r="FDC1372" s="110"/>
      <c r="FDD1372" s="110"/>
      <c r="FDE1372" s="110"/>
      <c r="FDF1372" s="110"/>
      <c r="FDG1372" s="110"/>
      <c r="FDH1372" s="110"/>
      <c r="FDI1372" s="110"/>
      <c r="FDJ1372" s="110"/>
      <c r="FDK1372" s="110"/>
      <c r="FDL1372" s="110"/>
      <c r="FDM1372" s="110"/>
      <c r="FDN1372" s="110"/>
      <c r="FDO1372" s="110"/>
      <c r="FDP1372" s="110"/>
      <c r="FDQ1372" s="110"/>
      <c r="FDR1372" s="110"/>
      <c r="FDS1372" s="110"/>
      <c r="FDT1372" s="110"/>
      <c r="FDU1372" s="110"/>
      <c r="FDV1372" s="110"/>
      <c r="FDW1372" s="110"/>
      <c r="FDX1372" s="110"/>
      <c r="FDY1372" s="110"/>
      <c r="FDZ1372" s="110"/>
      <c r="FEA1372" s="110"/>
      <c r="FEB1372" s="110"/>
      <c r="FEC1372" s="110"/>
      <c r="FED1372" s="110"/>
      <c r="FEE1372" s="110"/>
      <c r="FEF1372" s="110"/>
      <c r="FEG1372" s="110"/>
      <c r="FEH1372" s="110"/>
      <c r="FEI1372" s="110"/>
      <c r="FEJ1372" s="110"/>
      <c r="FEK1372" s="110"/>
      <c r="FEL1372" s="110"/>
      <c r="FEM1372" s="110"/>
      <c r="FEN1372" s="110"/>
      <c r="FEO1372" s="110"/>
      <c r="FEP1372" s="110"/>
      <c r="FEQ1372" s="110"/>
      <c r="FER1372" s="110"/>
      <c r="FES1372" s="110"/>
      <c r="FET1372" s="110"/>
      <c r="FEU1372" s="110"/>
      <c r="FEV1372" s="110"/>
      <c r="FEW1372" s="110"/>
      <c r="FEX1372" s="110"/>
      <c r="FEY1372" s="110"/>
      <c r="FEZ1372" s="110"/>
      <c r="FFA1372" s="110"/>
      <c r="FFB1372" s="110"/>
      <c r="FFC1372" s="110"/>
      <c r="FFD1372" s="110"/>
      <c r="FFE1372" s="110"/>
      <c r="FFF1372" s="110"/>
      <c r="FFG1372" s="110"/>
      <c r="FFH1372" s="110"/>
      <c r="FFI1372" s="110"/>
      <c r="FFJ1372" s="110"/>
      <c r="FFK1372" s="110"/>
      <c r="FFL1372" s="110"/>
      <c r="FFM1372" s="110"/>
      <c r="FFN1372" s="110"/>
      <c r="FFO1372" s="110"/>
      <c r="FFP1372" s="110"/>
      <c r="FFQ1372" s="110"/>
      <c r="FFR1372" s="110"/>
      <c r="FFS1372" s="110"/>
      <c r="FFT1372" s="110"/>
      <c r="FFU1372" s="110"/>
      <c r="FFV1372" s="110"/>
      <c r="FFW1372" s="110"/>
      <c r="FFX1372" s="110"/>
      <c r="FFY1372" s="110"/>
      <c r="FFZ1372" s="110"/>
      <c r="FGA1372" s="110"/>
      <c r="FGB1372" s="110"/>
      <c r="FGC1372" s="110"/>
      <c r="FGD1372" s="110"/>
      <c r="FGE1372" s="110"/>
      <c r="FGF1372" s="110"/>
      <c r="FGG1372" s="110"/>
      <c r="FGH1372" s="110"/>
      <c r="FGI1372" s="110"/>
      <c r="FGJ1372" s="110"/>
      <c r="FGK1372" s="110"/>
      <c r="FGL1372" s="110"/>
      <c r="FGM1372" s="110"/>
      <c r="FGN1372" s="110"/>
      <c r="FGO1372" s="110"/>
      <c r="FGP1372" s="110"/>
      <c r="FGQ1372" s="110"/>
      <c r="FGR1372" s="110"/>
      <c r="FGS1372" s="110"/>
      <c r="FGT1372" s="110"/>
      <c r="FGU1372" s="110"/>
      <c r="FGV1372" s="110"/>
      <c r="FGW1372" s="110"/>
      <c r="FGX1372" s="110"/>
      <c r="FGY1372" s="110"/>
      <c r="FGZ1372" s="110"/>
      <c r="FHA1372" s="110"/>
      <c r="FHB1372" s="110"/>
      <c r="FHC1372" s="110"/>
      <c r="FHD1372" s="110"/>
      <c r="FHE1372" s="110"/>
      <c r="FHF1372" s="110"/>
      <c r="FHG1372" s="110"/>
      <c r="FHH1372" s="110"/>
      <c r="FHI1372" s="110"/>
      <c r="FHJ1372" s="110"/>
      <c r="FHK1372" s="110"/>
      <c r="FHL1372" s="110"/>
      <c r="FHM1372" s="110"/>
      <c r="FHN1372" s="110"/>
      <c r="FHO1372" s="110"/>
      <c r="FHP1372" s="110"/>
      <c r="FHQ1372" s="110"/>
      <c r="FHR1372" s="110"/>
      <c r="FHS1372" s="110"/>
      <c r="FHT1372" s="110"/>
      <c r="FHU1372" s="110"/>
      <c r="FHV1372" s="110"/>
      <c r="FHW1372" s="110"/>
      <c r="FHX1372" s="110"/>
      <c r="FHY1372" s="110"/>
      <c r="FHZ1372" s="110"/>
      <c r="FIA1372" s="110"/>
      <c r="FIB1372" s="110"/>
      <c r="FIC1372" s="110"/>
      <c r="FID1372" s="110"/>
      <c r="FIE1372" s="110"/>
      <c r="FIF1372" s="110"/>
      <c r="FIG1372" s="110"/>
      <c r="FIH1372" s="110"/>
      <c r="FII1372" s="110"/>
      <c r="FIJ1372" s="110"/>
      <c r="FIK1372" s="110"/>
      <c r="FIL1372" s="110"/>
      <c r="FIM1372" s="110"/>
      <c r="FIN1372" s="110"/>
      <c r="FIO1372" s="110"/>
      <c r="FIP1372" s="110"/>
      <c r="FIQ1372" s="110"/>
      <c r="FIR1372" s="110"/>
      <c r="FIS1372" s="110"/>
      <c r="FIT1372" s="110"/>
      <c r="FIU1372" s="110"/>
      <c r="FIV1372" s="110"/>
      <c r="FIW1372" s="110"/>
      <c r="FIX1372" s="110"/>
      <c r="FIY1372" s="110"/>
      <c r="FIZ1372" s="110"/>
      <c r="FJA1372" s="110"/>
      <c r="FJB1372" s="110"/>
      <c r="FJC1372" s="110"/>
      <c r="FJD1372" s="110"/>
      <c r="FJE1372" s="110"/>
      <c r="FJF1372" s="110"/>
      <c r="FJG1372" s="110"/>
      <c r="FJH1372" s="110"/>
      <c r="FJI1372" s="110"/>
      <c r="FJJ1372" s="110"/>
      <c r="FJK1372" s="110"/>
      <c r="FJL1372" s="110"/>
      <c r="FJM1372" s="110"/>
      <c r="FJN1372" s="110"/>
      <c r="FJO1372" s="110"/>
      <c r="FJP1372" s="110"/>
      <c r="FJQ1372" s="110"/>
      <c r="FJR1372" s="110"/>
      <c r="FJS1372" s="110"/>
      <c r="FJT1372" s="110"/>
      <c r="FJU1372" s="110"/>
      <c r="FJV1372" s="110"/>
      <c r="FJW1372" s="110"/>
      <c r="FJX1372" s="110"/>
      <c r="FJY1372" s="110"/>
      <c r="FJZ1372" s="110"/>
      <c r="FKA1372" s="110"/>
      <c r="FKB1372" s="110"/>
      <c r="FKC1372" s="110"/>
      <c r="FKD1372" s="110"/>
      <c r="FKE1372" s="110"/>
      <c r="FKF1372" s="110"/>
      <c r="FKG1372" s="110"/>
      <c r="FKH1372" s="110"/>
      <c r="FKI1372" s="110"/>
      <c r="FKJ1372" s="110"/>
      <c r="FKK1372" s="110"/>
      <c r="FKL1372" s="110"/>
      <c r="FKM1372" s="110"/>
      <c r="FKN1372" s="110"/>
      <c r="FKO1372" s="110"/>
      <c r="FKP1372" s="110"/>
      <c r="FKQ1372" s="110"/>
      <c r="FKR1372" s="110"/>
      <c r="FKS1372" s="110"/>
      <c r="FKT1372" s="110"/>
      <c r="FKU1372" s="110"/>
      <c r="FKV1372" s="110"/>
      <c r="FKW1372" s="110"/>
      <c r="FKX1372" s="110"/>
      <c r="FKY1372" s="110"/>
      <c r="FKZ1372" s="110"/>
      <c r="FLA1372" s="110"/>
      <c r="FLB1372" s="110"/>
      <c r="FLC1372" s="110"/>
      <c r="FLD1372" s="110"/>
      <c r="FLE1372" s="110"/>
      <c r="FLF1372" s="110"/>
      <c r="FLG1372" s="110"/>
      <c r="FLH1372" s="110"/>
      <c r="FLI1372" s="110"/>
      <c r="FLJ1372" s="110"/>
      <c r="FLK1372" s="110"/>
      <c r="FLL1372" s="110"/>
      <c r="FLM1372" s="110"/>
      <c r="FLN1372" s="110"/>
      <c r="FLO1372" s="110"/>
      <c r="FLP1372" s="110"/>
      <c r="FLQ1372" s="110"/>
      <c r="FLR1372" s="110"/>
      <c r="FLS1372" s="110"/>
      <c r="FLT1372" s="110"/>
      <c r="FLU1372" s="110"/>
      <c r="FLV1372" s="110"/>
      <c r="FLW1372" s="110"/>
      <c r="FLX1372" s="110"/>
      <c r="FLY1372" s="110"/>
      <c r="FLZ1372" s="110"/>
      <c r="FMA1372" s="110"/>
      <c r="FMB1372" s="110"/>
      <c r="FMC1372" s="110"/>
      <c r="FMD1372" s="110"/>
      <c r="FME1372" s="110"/>
      <c r="FMF1372" s="110"/>
      <c r="FMG1372" s="110"/>
      <c r="FMH1372" s="110"/>
      <c r="FMI1372" s="110"/>
      <c r="FMJ1372" s="110"/>
      <c r="FMK1372" s="110"/>
      <c r="FML1372" s="110"/>
      <c r="FMM1372" s="110"/>
      <c r="FMN1372" s="110"/>
      <c r="FMO1372" s="110"/>
      <c r="FMP1372" s="110"/>
      <c r="FMQ1372" s="110"/>
      <c r="FMR1372" s="110"/>
      <c r="FMS1372" s="110"/>
      <c r="FMT1372" s="110"/>
      <c r="FMU1372" s="110"/>
      <c r="FMV1372" s="110"/>
      <c r="FMW1372" s="110"/>
      <c r="FMX1372" s="110"/>
      <c r="FMY1372" s="110"/>
      <c r="FMZ1372" s="110"/>
      <c r="FNA1372" s="110"/>
      <c r="FNB1372" s="110"/>
      <c r="FNC1372" s="110"/>
      <c r="FND1372" s="110"/>
      <c r="FNE1372" s="110"/>
      <c r="FNF1372" s="110"/>
      <c r="FNG1372" s="110"/>
      <c r="FNH1372" s="110"/>
      <c r="FNI1372" s="110"/>
      <c r="FNJ1372" s="110"/>
      <c r="FNK1372" s="110"/>
      <c r="FNL1372" s="110"/>
      <c r="FNM1372" s="110"/>
      <c r="FNN1372" s="110"/>
      <c r="FNO1372" s="110"/>
      <c r="FNP1372" s="110"/>
      <c r="FNQ1372" s="110"/>
      <c r="FNR1372" s="110"/>
      <c r="FNS1372" s="110"/>
      <c r="FNT1372" s="110"/>
      <c r="FNU1372" s="110"/>
      <c r="FNV1372" s="110"/>
      <c r="FNW1372" s="110"/>
      <c r="FNX1372" s="110"/>
      <c r="FNY1372" s="110"/>
      <c r="FNZ1372" s="110"/>
      <c r="FOA1372" s="110"/>
      <c r="FOB1372" s="110"/>
      <c r="FOC1372" s="110"/>
      <c r="FOD1372" s="110"/>
      <c r="FOE1372" s="110"/>
      <c r="FOF1372" s="110"/>
      <c r="FOG1372" s="110"/>
      <c r="FOH1372" s="110"/>
      <c r="FOI1372" s="110"/>
      <c r="FOJ1372" s="110"/>
      <c r="FOK1372" s="110"/>
      <c r="FOL1372" s="110"/>
      <c r="FOM1372" s="110"/>
      <c r="FON1372" s="110"/>
      <c r="FOO1372" s="110"/>
      <c r="FOP1372" s="110"/>
      <c r="FOQ1372" s="110"/>
      <c r="FOR1372" s="110"/>
      <c r="FOS1372" s="110"/>
      <c r="FOT1372" s="110"/>
      <c r="FOU1372" s="110"/>
      <c r="FOV1372" s="110"/>
      <c r="FOW1372" s="110"/>
      <c r="FOX1372" s="110"/>
      <c r="FOY1372" s="110"/>
      <c r="FOZ1372" s="110"/>
      <c r="FPA1372" s="110"/>
      <c r="FPB1372" s="110"/>
      <c r="FPC1372" s="110"/>
      <c r="FPD1372" s="110"/>
      <c r="FPE1372" s="110"/>
      <c r="FPF1372" s="110"/>
      <c r="FPG1372" s="110"/>
      <c r="FPH1372" s="110"/>
      <c r="FPI1372" s="110"/>
      <c r="FPJ1372" s="110"/>
      <c r="FPK1372" s="110"/>
      <c r="FPL1372" s="110"/>
      <c r="FPM1372" s="110"/>
      <c r="FPN1372" s="110"/>
      <c r="FPO1372" s="110"/>
      <c r="FPP1372" s="110"/>
      <c r="FPQ1372" s="110"/>
      <c r="FPR1372" s="110"/>
      <c r="FPS1372" s="110"/>
      <c r="FPT1372" s="110"/>
      <c r="FPU1372" s="110"/>
      <c r="FPV1372" s="110"/>
      <c r="FPW1372" s="110"/>
      <c r="FPX1372" s="110"/>
      <c r="FPY1372" s="110"/>
      <c r="FPZ1372" s="110"/>
      <c r="FQA1372" s="110"/>
      <c r="FQB1372" s="110"/>
      <c r="FQC1372" s="110"/>
      <c r="FQD1372" s="110"/>
      <c r="FQE1372" s="110"/>
      <c r="FQF1372" s="110"/>
      <c r="FQG1372" s="110"/>
      <c r="FQH1372" s="110"/>
      <c r="FQI1372" s="110"/>
      <c r="FQJ1372" s="110"/>
      <c r="FQK1372" s="110"/>
      <c r="FQL1372" s="110"/>
      <c r="FQM1372" s="110"/>
      <c r="FQN1372" s="110"/>
      <c r="FQO1372" s="110"/>
      <c r="FQP1372" s="110"/>
      <c r="FQQ1372" s="110"/>
      <c r="FQR1372" s="110"/>
      <c r="FQS1372" s="110"/>
      <c r="FQT1372" s="110"/>
      <c r="FQU1372" s="110"/>
      <c r="FQV1372" s="110"/>
      <c r="FQW1372" s="110"/>
      <c r="FQX1372" s="110"/>
      <c r="FQY1372" s="110"/>
      <c r="FQZ1372" s="110"/>
      <c r="FRA1372" s="110"/>
      <c r="FRB1372" s="110"/>
      <c r="FRC1372" s="110"/>
      <c r="FRD1372" s="110"/>
      <c r="FRE1372" s="110"/>
      <c r="FRF1372" s="110"/>
      <c r="FRG1372" s="110"/>
      <c r="FRH1372" s="110"/>
      <c r="FRI1372" s="110"/>
      <c r="FRJ1372" s="110"/>
      <c r="FRK1372" s="110"/>
      <c r="FRL1372" s="110"/>
      <c r="FRM1372" s="110"/>
      <c r="FRN1372" s="110"/>
      <c r="FRO1372" s="110"/>
      <c r="FRP1372" s="110"/>
      <c r="FRQ1372" s="110"/>
      <c r="FRR1372" s="110"/>
      <c r="FRS1372" s="110"/>
      <c r="FRT1372" s="110"/>
      <c r="FRU1372" s="110"/>
      <c r="FRV1372" s="110"/>
      <c r="FRW1372" s="110"/>
      <c r="FRX1372" s="110"/>
      <c r="FRY1372" s="110"/>
      <c r="FRZ1372" s="110"/>
      <c r="FSA1372" s="110"/>
      <c r="FSB1372" s="110"/>
      <c r="FSC1372" s="110"/>
      <c r="FSD1372" s="110"/>
      <c r="FSE1372" s="110"/>
      <c r="FSF1372" s="110"/>
      <c r="FSG1372" s="110"/>
      <c r="FSH1372" s="110"/>
      <c r="FSI1372" s="110"/>
      <c r="FSJ1372" s="110"/>
      <c r="FSK1372" s="110"/>
      <c r="FSL1372" s="110"/>
      <c r="FSM1372" s="110"/>
      <c r="FSN1372" s="110"/>
      <c r="FSO1372" s="110"/>
      <c r="FSP1372" s="110"/>
      <c r="FSQ1372" s="110"/>
      <c r="FSR1372" s="110"/>
      <c r="FSS1372" s="110"/>
      <c r="FST1372" s="110"/>
      <c r="FSU1372" s="110"/>
      <c r="FSV1372" s="110"/>
      <c r="FSW1372" s="110"/>
      <c r="FSX1372" s="110"/>
      <c r="FSY1372" s="110"/>
      <c r="FSZ1372" s="110"/>
      <c r="FTA1372" s="110"/>
      <c r="FTB1372" s="110"/>
      <c r="FTC1372" s="110"/>
      <c r="FTD1372" s="110"/>
      <c r="FTE1372" s="110"/>
      <c r="FTF1372" s="110"/>
      <c r="FTG1372" s="110"/>
      <c r="FTH1372" s="110"/>
      <c r="FTI1372" s="110"/>
      <c r="FTJ1372" s="110"/>
      <c r="FTK1372" s="110"/>
      <c r="FTL1372" s="110"/>
      <c r="FTM1372" s="110"/>
      <c r="FTN1372" s="110"/>
      <c r="FTO1372" s="110"/>
      <c r="FTP1372" s="110"/>
      <c r="FTQ1372" s="110"/>
      <c r="FTR1372" s="110"/>
      <c r="FTS1372" s="110"/>
      <c r="FTT1372" s="110"/>
      <c r="FTU1372" s="110"/>
      <c r="FTV1372" s="110"/>
      <c r="FTW1372" s="110"/>
      <c r="FTX1372" s="110"/>
      <c r="FTY1372" s="110"/>
      <c r="FTZ1372" s="110"/>
      <c r="FUA1372" s="110"/>
      <c r="FUB1372" s="110"/>
      <c r="FUC1372" s="110"/>
      <c r="FUD1372" s="110"/>
      <c r="FUE1372" s="110"/>
      <c r="FUF1372" s="110"/>
      <c r="FUG1372" s="110"/>
      <c r="FUH1372" s="110"/>
      <c r="FUI1372" s="110"/>
      <c r="FUJ1372" s="110"/>
      <c r="FUK1372" s="110"/>
      <c r="FUL1372" s="110"/>
      <c r="FUM1372" s="110"/>
      <c r="FUN1372" s="110"/>
      <c r="FUO1372" s="110"/>
      <c r="FUP1372" s="110"/>
      <c r="FUQ1372" s="110"/>
      <c r="FUR1372" s="110"/>
      <c r="FUS1372" s="110"/>
      <c r="FUT1372" s="110"/>
      <c r="FUU1372" s="110"/>
      <c r="FUV1372" s="110"/>
      <c r="FUW1372" s="110"/>
      <c r="FUX1372" s="110"/>
      <c r="FUY1372" s="110"/>
      <c r="FUZ1372" s="110"/>
      <c r="FVA1372" s="110"/>
      <c r="FVB1372" s="110"/>
      <c r="FVC1372" s="110"/>
      <c r="FVD1372" s="110"/>
      <c r="FVE1372" s="110"/>
      <c r="FVF1372" s="110"/>
      <c r="FVG1372" s="110"/>
      <c r="FVH1372" s="110"/>
      <c r="FVI1372" s="110"/>
      <c r="FVJ1372" s="110"/>
      <c r="FVK1372" s="110"/>
      <c r="FVL1372" s="110"/>
      <c r="FVM1372" s="110"/>
      <c r="FVN1372" s="110"/>
      <c r="FVO1372" s="110"/>
      <c r="FVP1372" s="110"/>
      <c r="FVQ1372" s="110"/>
      <c r="FVR1372" s="110"/>
      <c r="FVS1372" s="110"/>
      <c r="FVT1372" s="110"/>
      <c r="FVU1372" s="110"/>
      <c r="FVV1372" s="110"/>
      <c r="FVW1372" s="110"/>
      <c r="FVX1372" s="110"/>
      <c r="FVY1372" s="110"/>
      <c r="FVZ1372" s="110"/>
      <c r="FWA1372" s="110"/>
      <c r="FWB1372" s="110"/>
      <c r="FWC1372" s="110"/>
      <c r="FWD1372" s="110"/>
      <c r="FWE1372" s="110"/>
      <c r="FWF1372" s="110"/>
      <c r="FWG1372" s="110"/>
      <c r="FWH1372" s="110"/>
      <c r="FWI1372" s="110"/>
      <c r="FWJ1372" s="110"/>
      <c r="FWK1372" s="110"/>
      <c r="FWL1372" s="110"/>
      <c r="FWM1372" s="110"/>
      <c r="FWN1372" s="110"/>
      <c r="FWO1372" s="110"/>
      <c r="FWP1372" s="110"/>
      <c r="FWQ1372" s="110"/>
      <c r="FWR1372" s="110"/>
      <c r="FWS1372" s="110"/>
      <c r="FWT1372" s="110"/>
      <c r="FWU1372" s="110"/>
      <c r="FWV1372" s="110"/>
      <c r="FWW1372" s="110"/>
      <c r="FWX1372" s="110"/>
      <c r="FWY1372" s="110"/>
      <c r="FWZ1372" s="110"/>
      <c r="FXA1372" s="110"/>
      <c r="FXB1372" s="110"/>
      <c r="FXC1372" s="110"/>
      <c r="FXD1372" s="110"/>
      <c r="FXE1372" s="110"/>
      <c r="FXF1372" s="110"/>
      <c r="FXG1372" s="110"/>
      <c r="FXH1372" s="110"/>
      <c r="FXI1372" s="110"/>
      <c r="FXJ1372" s="110"/>
      <c r="FXK1372" s="110"/>
      <c r="FXL1372" s="110"/>
      <c r="FXM1372" s="110"/>
      <c r="FXN1372" s="110"/>
      <c r="FXO1372" s="110"/>
      <c r="FXP1372" s="110"/>
      <c r="FXQ1372" s="110"/>
      <c r="FXR1372" s="110"/>
      <c r="FXS1372" s="110"/>
      <c r="FXT1372" s="110"/>
      <c r="FXU1372" s="110"/>
      <c r="FXV1372" s="110"/>
      <c r="FXW1372" s="110"/>
      <c r="FXX1372" s="110"/>
      <c r="FXY1372" s="110"/>
      <c r="FXZ1372" s="110"/>
      <c r="FYA1372" s="110"/>
      <c r="FYB1372" s="110"/>
      <c r="FYC1372" s="110"/>
      <c r="FYD1372" s="110"/>
      <c r="FYE1372" s="110"/>
      <c r="FYF1372" s="110"/>
      <c r="FYG1372" s="110"/>
      <c r="FYH1372" s="110"/>
      <c r="FYI1372" s="110"/>
      <c r="FYJ1372" s="110"/>
      <c r="FYK1372" s="110"/>
      <c r="FYL1372" s="110"/>
      <c r="FYM1372" s="110"/>
      <c r="FYN1372" s="110"/>
      <c r="FYO1372" s="110"/>
      <c r="FYP1372" s="110"/>
      <c r="FYQ1372" s="110"/>
      <c r="FYR1372" s="110"/>
      <c r="FYS1372" s="110"/>
      <c r="FYT1372" s="110"/>
      <c r="FYU1372" s="110"/>
      <c r="FYV1372" s="110"/>
      <c r="FYW1372" s="110"/>
      <c r="FYX1372" s="110"/>
      <c r="FYY1372" s="110"/>
      <c r="FYZ1372" s="110"/>
      <c r="FZA1372" s="110"/>
      <c r="FZB1372" s="110"/>
      <c r="FZC1372" s="110"/>
      <c r="FZD1372" s="110"/>
      <c r="FZE1372" s="110"/>
      <c r="FZF1372" s="110"/>
      <c r="FZG1372" s="110"/>
      <c r="FZH1372" s="110"/>
      <c r="FZI1372" s="110"/>
      <c r="FZJ1372" s="110"/>
      <c r="FZK1372" s="110"/>
      <c r="FZL1372" s="110"/>
      <c r="FZM1372" s="110"/>
      <c r="FZN1372" s="110"/>
      <c r="FZO1372" s="110"/>
      <c r="FZP1372" s="110"/>
      <c r="FZQ1372" s="110"/>
      <c r="FZR1372" s="110"/>
      <c r="FZS1372" s="110"/>
      <c r="FZT1372" s="110"/>
      <c r="FZU1372" s="110"/>
      <c r="FZV1372" s="110"/>
      <c r="FZW1372" s="110"/>
      <c r="FZX1372" s="110"/>
      <c r="FZY1372" s="110"/>
      <c r="FZZ1372" s="110"/>
      <c r="GAA1372" s="110"/>
      <c r="GAB1372" s="110"/>
      <c r="GAC1372" s="110"/>
      <c r="GAD1372" s="110"/>
      <c r="GAE1372" s="110"/>
      <c r="GAF1372" s="110"/>
      <c r="GAG1372" s="110"/>
      <c r="GAH1372" s="110"/>
      <c r="GAI1372" s="110"/>
      <c r="GAJ1372" s="110"/>
      <c r="GAK1372" s="110"/>
      <c r="GAL1372" s="110"/>
      <c r="GAM1372" s="110"/>
      <c r="GAN1372" s="110"/>
      <c r="GAO1372" s="110"/>
      <c r="GAP1372" s="110"/>
      <c r="GAQ1372" s="110"/>
      <c r="GAR1372" s="110"/>
      <c r="GAS1372" s="110"/>
      <c r="GAT1372" s="110"/>
      <c r="GAU1372" s="110"/>
      <c r="GAV1372" s="110"/>
      <c r="GAW1372" s="110"/>
      <c r="GAX1372" s="110"/>
      <c r="GAY1372" s="110"/>
      <c r="GAZ1372" s="110"/>
      <c r="GBA1372" s="110"/>
      <c r="GBB1372" s="110"/>
      <c r="GBC1372" s="110"/>
      <c r="GBD1372" s="110"/>
      <c r="GBE1372" s="110"/>
      <c r="GBF1372" s="110"/>
      <c r="GBG1372" s="110"/>
      <c r="GBH1372" s="110"/>
      <c r="GBI1372" s="110"/>
      <c r="GBJ1372" s="110"/>
      <c r="GBK1372" s="110"/>
      <c r="GBL1372" s="110"/>
      <c r="GBM1372" s="110"/>
      <c r="GBN1372" s="110"/>
      <c r="GBO1372" s="110"/>
      <c r="GBP1372" s="110"/>
      <c r="GBQ1372" s="110"/>
      <c r="GBR1372" s="110"/>
      <c r="GBS1372" s="110"/>
      <c r="GBT1372" s="110"/>
      <c r="GBU1372" s="110"/>
      <c r="GBV1372" s="110"/>
      <c r="GBW1372" s="110"/>
      <c r="GBX1372" s="110"/>
      <c r="GBY1372" s="110"/>
      <c r="GBZ1372" s="110"/>
      <c r="GCA1372" s="110"/>
      <c r="GCB1372" s="110"/>
      <c r="GCC1372" s="110"/>
      <c r="GCD1372" s="110"/>
      <c r="GCE1372" s="110"/>
      <c r="GCF1372" s="110"/>
      <c r="GCG1372" s="110"/>
      <c r="GCH1372" s="110"/>
      <c r="GCI1372" s="110"/>
      <c r="GCJ1372" s="110"/>
      <c r="GCK1372" s="110"/>
      <c r="GCL1372" s="110"/>
      <c r="GCM1372" s="110"/>
      <c r="GCN1372" s="110"/>
      <c r="GCO1372" s="110"/>
      <c r="GCP1372" s="110"/>
      <c r="GCQ1372" s="110"/>
      <c r="GCR1372" s="110"/>
      <c r="GCS1372" s="110"/>
      <c r="GCT1372" s="110"/>
      <c r="GCU1372" s="110"/>
      <c r="GCV1372" s="110"/>
      <c r="GCW1372" s="110"/>
      <c r="GCX1372" s="110"/>
      <c r="GCY1372" s="110"/>
      <c r="GCZ1372" s="110"/>
      <c r="GDA1372" s="110"/>
      <c r="GDB1372" s="110"/>
      <c r="GDC1372" s="110"/>
      <c r="GDD1372" s="110"/>
      <c r="GDE1372" s="110"/>
      <c r="GDF1372" s="110"/>
      <c r="GDG1372" s="110"/>
      <c r="GDH1372" s="110"/>
      <c r="GDI1372" s="110"/>
      <c r="GDJ1372" s="110"/>
      <c r="GDK1372" s="110"/>
      <c r="GDL1372" s="110"/>
      <c r="GDM1372" s="110"/>
      <c r="GDN1372" s="110"/>
      <c r="GDO1372" s="110"/>
      <c r="GDP1372" s="110"/>
      <c r="GDQ1372" s="110"/>
      <c r="GDR1372" s="110"/>
      <c r="GDS1372" s="110"/>
      <c r="GDT1372" s="110"/>
      <c r="GDU1372" s="110"/>
      <c r="GDV1372" s="110"/>
      <c r="GDW1372" s="110"/>
      <c r="GDX1372" s="110"/>
      <c r="GDY1372" s="110"/>
      <c r="GDZ1372" s="110"/>
      <c r="GEA1372" s="110"/>
      <c r="GEB1372" s="110"/>
      <c r="GEC1372" s="110"/>
      <c r="GED1372" s="110"/>
      <c r="GEE1372" s="110"/>
      <c r="GEF1372" s="110"/>
      <c r="GEG1372" s="110"/>
      <c r="GEH1372" s="110"/>
      <c r="GEI1372" s="110"/>
      <c r="GEJ1372" s="110"/>
      <c r="GEK1372" s="110"/>
      <c r="GEL1372" s="110"/>
      <c r="GEM1372" s="110"/>
      <c r="GEN1372" s="110"/>
      <c r="GEO1372" s="110"/>
      <c r="GEP1372" s="110"/>
      <c r="GEQ1372" s="110"/>
      <c r="GER1372" s="110"/>
      <c r="GES1372" s="110"/>
      <c r="GET1372" s="110"/>
      <c r="GEU1372" s="110"/>
      <c r="GEV1372" s="110"/>
      <c r="GEW1372" s="110"/>
      <c r="GEX1372" s="110"/>
      <c r="GEY1372" s="110"/>
      <c r="GEZ1372" s="110"/>
      <c r="GFA1372" s="110"/>
      <c r="GFB1372" s="110"/>
      <c r="GFC1372" s="110"/>
      <c r="GFD1372" s="110"/>
      <c r="GFE1372" s="110"/>
      <c r="GFF1372" s="110"/>
      <c r="GFG1372" s="110"/>
      <c r="GFH1372" s="110"/>
      <c r="GFI1372" s="110"/>
      <c r="GFJ1372" s="110"/>
      <c r="GFK1372" s="110"/>
      <c r="GFL1372" s="110"/>
      <c r="GFM1372" s="110"/>
      <c r="GFN1372" s="110"/>
      <c r="GFO1372" s="110"/>
      <c r="GFP1372" s="110"/>
      <c r="GFQ1372" s="110"/>
      <c r="GFR1372" s="110"/>
      <c r="GFS1372" s="110"/>
      <c r="GFT1372" s="110"/>
      <c r="GFU1372" s="110"/>
      <c r="GFV1372" s="110"/>
      <c r="GFW1372" s="110"/>
      <c r="GFX1372" s="110"/>
      <c r="GFY1372" s="110"/>
      <c r="GFZ1372" s="110"/>
      <c r="GGA1372" s="110"/>
      <c r="GGB1372" s="110"/>
      <c r="GGC1372" s="110"/>
      <c r="GGD1372" s="110"/>
      <c r="GGE1372" s="110"/>
      <c r="GGF1372" s="110"/>
      <c r="GGG1372" s="110"/>
      <c r="GGH1372" s="110"/>
      <c r="GGI1372" s="110"/>
      <c r="GGJ1372" s="110"/>
      <c r="GGK1372" s="110"/>
      <c r="GGL1372" s="110"/>
      <c r="GGM1372" s="110"/>
      <c r="GGN1372" s="110"/>
      <c r="GGO1372" s="110"/>
      <c r="GGP1372" s="110"/>
      <c r="GGQ1372" s="110"/>
      <c r="GGR1372" s="110"/>
      <c r="GGS1372" s="110"/>
      <c r="GGT1372" s="110"/>
      <c r="GGU1372" s="110"/>
      <c r="GGV1372" s="110"/>
      <c r="GGW1372" s="110"/>
      <c r="GGX1372" s="110"/>
      <c r="GGY1372" s="110"/>
      <c r="GGZ1372" s="110"/>
      <c r="GHA1372" s="110"/>
      <c r="GHB1372" s="110"/>
      <c r="GHC1372" s="110"/>
      <c r="GHD1372" s="110"/>
      <c r="GHE1372" s="110"/>
      <c r="GHF1372" s="110"/>
      <c r="GHG1372" s="110"/>
      <c r="GHH1372" s="110"/>
      <c r="GHI1372" s="110"/>
      <c r="GHJ1372" s="110"/>
      <c r="GHK1372" s="110"/>
      <c r="GHL1372" s="110"/>
      <c r="GHM1372" s="110"/>
      <c r="GHN1372" s="110"/>
      <c r="GHO1372" s="110"/>
      <c r="GHP1372" s="110"/>
      <c r="GHQ1372" s="110"/>
      <c r="GHR1372" s="110"/>
      <c r="GHS1372" s="110"/>
      <c r="GHT1372" s="110"/>
      <c r="GHU1372" s="110"/>
      <c r="GHV1372" s="110"/>
      <c r="GHW1372" s="110"/>
      <c r="GHX1372" s="110"/>
      <c r="GHY1372" s="110"/>
      <c r="GHZ1372" s="110"/>
      <c r="GIA1372" s="110"/>
      <c r="GIB1372" s="110"/>
      <c r="GIC1372" s="110"/>
      <c r="GID1372" s="110"/>
      <c r="GIE1372" s="110"/>
      <c r="GIF1372" s="110"/>
      <c r="GIG1372" s="110"/>
      <c r="GIH1372" s="110"/>
      <c r="GII1372" s="110"/>
      <c r="GIJ1372" s="110"/>
      <c r="GIK1372" s="110"/>
      <c r="GIL1372" s="110"/>
      <c r="GIM1372" s="110"/>
      <c r="GIN1372" s="110"/>
      <c r="GIO1372" s="110"/>
      <c r="GIP1372" s="110"/>
      <c r="GIQ1372" s="110"/>
      <c r="GIR1372" s="110"/>
      <c r="GIS1372" s="110"/>
      <c r="GIT1372" s="110"/>
      <c r="GIU1372" s="110"/>
      <c r="GIV1372" s="110"/>
      <c r="GIW1372" s="110"/>
      <c r="GIX1372" s="110"/>
      <c r="GIY1372" s="110"/>
      <c r="GIZ1372" s="110"/>
      <c r="GJA1372" s="110"/>
      <c r="GJB1372" s="110"/>
      <c r="GJC1372" s="110"/>
      <c r="GJD1372" s="110"/>
      <c r="GJE1372" s="110"/>
      <c r="GJF1372" s="110"/>
      <c r="GJG1372" s="110"/>
      <c r="GJH1372" s="110"/>
      <c r="GJI1372" s="110"/>
      <c r="GJJ1372" s="110"/>
      <c r="GJK1372" s="110"/>
      <c r="GJL1372" s="110"/>
      <c r="GJM1372" s="110"/>
      <c r="GJN1372" s="110"/>
      <c r="GJO1372" s="110"/>
      <c r="GJP1372" s="110"/>
      <c r="GJQ1372" s="110"/>
      <c r="GJR1372" s="110"/>
      <c r="GJS1372" s="110"/>
      <c r="GJT1372" s="110"/>
      <c r="GJU1372" s="110"/>
      <c r="GJV1372" s="110"/>
      <c r="GJW1372" s="110"/>
      <c r="GJX1372" s="110"/>
      <c r="GJY1372" s="110"/>
      <c r="GJZ1372" s="110"/>
      <c r="GKA1372" s="110"/>
      <c r="GKB1372" s="110"/>
      <c r="GKC1372" s="110"/>
      <c r="GKD1372" s="110"/>
      <c r="GKE1372" s="110"/>
      <c r="GKF1372" s="110"/>
      <c r="GKG1372" s="110"/>
      <c r="GKH1372" s="110"/>
      <c r="GKI1372" s="110"/>
      <c r="GKJ1372" s="110"/>
      <c r="GKK1372" s="110"/>
      <c r="GKL1372" s="110"/>
      <c r="GKM1372" s="110"/>
      <c r="GKN1372" s="110"/>
      <c r="GKO1372" s="110"/>
      <c r="GKP1372" s="110"/>
      <c r="GKQ1372" s="110"/>
      <c r="GKR1372" s="110"/>
      <c r="GKS1372" s="110"/>
      <c r="GKT1372" s="110"/>
      <c r="GKU1372" s="110"/>
      <c r="GKV1372" s="110"/>
      <c r="GKW1372" s="110"/>
      <c r="GKX1372" s="110"/>
      <c r="GKY1372" s="110"/>
      <c r="GKZ1372" s="110"/>
      <c r="GLA1372" s="110"/>
      <c r="GLB1372" s="110"/>
      <c r="GLC1372" s="110"/>
      <c r="GLD1372" s="110"/>
      <c r="GLE1372" s="110"/>
      <c r="GLF1372" s="110"/>
      <c r="GLG1372" s="110"/>
      <c r="GLH1372" s="110"/>
      <c r="GLI1372" s="110"/>
      <c r="GLJ1372" s="110"/>
      <c r="GLK1372" s="110"/>
      <c r="GLL1372" s="110"/>
      <c r="GLM1372" s="110"/>
      <c r="GLN1372" s="110"/>
      <c r="GLO1372" s="110"/>
      <c r="GLP1372" s="110"/>
      <c r="GLQ1372" s="110"/>
      <c r="GLR1372" s="110"/>
      <c r="GLS1372" s="110"/>
      <c r="GLT1372" s="110"/>
      <c r="GLU1372" s="110"/>
      <c r="GLV1372" s="110"/>
      <c r="GLW1372" s="110"/>
      <c r="GLX1372" s="110"/>
      <c r="GLY1372" s="110"/>
      <c r="GLZ1372" s="110"/>
      <c r="GMA1372" s="110"/>
      <c r="GMB1372" s="110"/>
      <c r="GMC1372" s="110"/>
      <c r="GMD1372" s="110"/>
      <c r="GME1372" s="110"/>
      <c r="GMF1372" s="110"/>
      <c r="GMG1372" s="110"/>
      <c r="GMH1372" s="110"/>
      <c r="GMI1372" s="110"/>
      <c r="GMJ1372" s="110"/>
      <c r="GMK1372" s="110"/>
      <c r="GML1372" s="110"/>
      <c r="GMM1372" s="110"/>
      <c r="GMN1372" s="110"/>
      <c r="GMO1372" s="110"/>
      <c r="GMP1372" s="110"/>
      <c r="GMQ1372" s="110"/>
      <c r="GMR1372" s="110"/>
      <c r="GMS1372" s="110"/>
      <c r="GMT1372" s="110"/>
      <c r="GMU1372" s="110"/>
      <c r="GMV1372" s="110"/>
      <c r="GMW1372" s="110"/>
      <c r="GMX1372" s="110"/>
      <c r="GMY1372" s="110"/>
      <c r="GMZ1372" s="110"/>
      <c r="GNA1372" s="110"/>
      <c r="GNB1372" s="110"/>
      <c r="GNC1372" s="110"/>
      <c r="GND1372" s="110"/>
      <c r="GNE1372" s="110"/>
      <c r="GNF1372" s="110"/>
      <c r="GNG1372" s="110"/>
      <c r="GNH1372" s="110"/>
      <c r="GNI1372" s="110"/>
      <c r="GNJ1372" s="110"/>
      <c r="GNK1372" s="110"/>
      <c r="GNL1372" s="110"/>
      <c r="GNM1372" s="110"/>
      <c r="GNN1372" s="110"/>
      <c r="GNO1372" s="110"/>
      <c r="GNP1372" s="110"/>
      <c r="GNQ1372" s="110"/>
      <c r="GNR1372" s="110"/>
      <c r="GNS1372" s="110"/>
      <c r="GNT1372" s="110"/>
      <c r="GNU1372" s="110"/>
      <c r="GNV1372" s="110"/>
      <c r="GNW1372" s="110"/>
      <c r="GNX1372" s="110"/>
      <c r="GNY1372" s="110"/>
      <c r="GNZ1372" s="110"/>
      <c r="GOA1372" s="110"/>
      <c r="GOB1372" s="110"/>
      <c r="GOC1372" s="110"/>
      <c r="GOD1372" s="110"/>
      <c r="GOE1372" s="110"/>
      <c r="GOF1372" s="110"/>
      <c r="GOG1372" s="110"/>
      <c r="GOH1372" s="110"/>
      <c r="GOI1372" s="110"/>
      <c r="GOJ1372" s="110"/>
      <c r="GOK1372" s="110"/>
      <c r="GOL1372" s="110"/>
      <c r="GOM1372" s="110"/>
      <c r="GON1372" s="110"/>
      <c r="GOO1372" s="110"/>
      <c r="GOP1372" s="110"/>
      <c r="GOQ1372" s="110"/>
      <c r="GOR1372" s="110"/>
      <c r="GOS1372" s="110"/>
      <c r="GOT1372" s="110"/>
      <c r="GOU1372" s="110"/>
      <c r="GOV1372" s="110"/>
      <c r="GOW1372" s="110"/>
      <c r="GOX1372" s="110"/>
      <c r="GOY1372" s="110"/>
      <c r="GOZ1372" s="110"/>
      <c r="GPA1372" s="110"/>
      <c r="GPB1372" s="110"/>
      <c r="GPC1372" s="110"/>
      <c r="GPD1372" s="110"/>
      <c r="GPE1372" s="110"/>
      <c r="GPF1372" s="110"/>
      <c r="GPG1372" s="110"/>
      <c r="GPH1372" s="110"/>
      <c r="GPI1372" s="110"/>
      <c r="GPJ1372" s="110"/>
      <c r="GPK1372" s="110"/>
      <c r="GPL1372" s="110"/>
      <c r="GPM1372" s="110"/>
      <c r="GPN1372" s="110"/>
      <c r="GPO1372" s="110"/>
      <c r="GPP1372" s="110"/>
      <c r="GPQ1372" s="110"/>
      <c r="GPR1372" s="110"/>
      <c r="GPS1372" s="110"/>
      <c r="GPT1372" s="110"/>
      <c r="GPU1372" s="110"/>
      <c r="GPV1372" s="110"/>
      <c r="GPW1372" s="110"/>
      <c r="GPX1372" s="110"/>
      <c r="GPY1372" s="110"/>
      <c r="GPZ1372" s="110"/>
      <c r="GQA1372" s="110"/>
      <c r="GQB1372" s="110"/>
      <c r="GQC1372" s="110"/>
      <c r="GQD1372" s="110"/>
      <c r="GQE1372" s="110"/>
      <c r="GQF1372" s="110"/>
      <c r="GQG1372" s="110"/>
      <c r="GQH1372" s="110"/>
      <c r="GQI1372" s="110"/>
      <c r="GQJ1372" s="110"/>
      <c r="GQK1372" s="110"/>
      <c r="GQL1372" s="110"/>
      <c r="GQM1372" s="110"/>
      <c r="GQN1372" s="110"/>
      <c r="GQO1372" s="110"/>
      <c r="GQP1372" s="110"/>
      <c r="GQQ1372" s="110"/>
      <c r="GQR1372" s="110"/>
      <c r="GQS1372" s="110"/>
      <c r="GQT1372" s="110"/>
      <c r="GQU1372" s="110"/>
      <c r="GQV1372" s="110"/>
      <c r="GQW1372" s="110"/>
      <c r="GQX1372" s="110"/>
      <c r="GQY1372" s="110"/>
      <c r="GQZ1372" s="110"/>
      <c r="GRA1372" s="110"/>
      <c r="GRB1372" s="110"/>
      <c r="GRC1372" s="110"/>
      <c r="GRD1372" s="110"/>
      <c r="GRE1372" s="110"/>
      <c r="GRF1372" s="110"/>
      <c r="GRG1372" s="110"/>
      <c r="GRH1372" s="110"/>
      <c r="GRI1372" s="110"/>
      <c r="GRJ1372" s="110"/>
      <c r="GRK1372" s="110"/>
      <c r="GRL1372" s="110"/>
      <c r="GRM1372" s="110"/>
      <c r="GRN1372" s="110"/>
      <c r="GRO1372" s="110"/>
      <c r="GRP1372" s="110"/>
      <c r="GRQ1372" s="110"/>
      <c r="GRR1372" s="110"/>
      <c r="GRS1372" s="110"/>
      <c r="GRT1372" s="110"/>
      <c r="GRU1372" s="110"/>
      <c r="GRV1372" s="110"/>
      <c r="GRW1372" s="110"/>
      <c r="GRX1372" s="110"/>
      <c r="GRY1372" s="110"/>
      <c r="GRZ1372" s="110"/>
      <c r="GSA1372" s="110"/>
      <c r="GSB1372" s="110"/>
      <c r="GSC1372" s="110"/>
      <c r="GSD1372" s="110"/>
      <c r="GSE1372" s="110"/>
      <c r="GSF1372" s="110"/>
      <c r="GSG1372" s="110"/>
      <c r="GSH1372" s="110"/>
      <c r="GSI1372" s="110"/>
      <c r="GSJ1372" s="110"/>
      <c r="GSK1372" s="110"/>
      <c r="GSL1372" s="110"/>
      <c r="GSM1372" s="110"/>
      <c r="GSN1372" s="110"/>
      <c r="GSO1372" s="110"/>
      <c r="GSP1372" s="110"/>
      <c r="GSQ1372" s="110"/>
      <c r="GSR1372" s="110"/>
      <c r="GSS1372" s="110"/>
      <c r="GST1372" s="110"/>
      <c r="GSU1372" s="110"/>
      <c r="GSV1372" s="110"/>
      <c r="GSW1372" s="110"/>
      <c r="GSX1372" s="110"/>
      <c r="GSY1372" s="110"/>
      <c r="GSZ1372" s="110"/>
      <c r="GTA1372" s="110"/>
      <c r="GTB1372" s="110"/>
      <c r="GTC1372" s="110"/>
      <c r="GTD1372" s="110"/>
      <c r="GTE1372" s="110"/>
      <c r="GTF1372" s="110"/>
      <c r="GTG1372" s="110"/>
      <c r="GTH1372" s="110"/>
      <c r="GTI1372" s="110"/>
      <c r="GTJ1372" s="110"/>
      <c r="GTK1372" s="110"/>
      <c r="GTL1372" s="110"/>
      <c r="GTM1372" s="110"/>
      <c r="GTN1372" s="110"/>
      <c r="GTO1372" s="110"/>
      <c r="GTP1372" s="110"/>
      <c r="GTQ1372" s="110"/>
      <c r="GTR1372" s="110"/>
      <c r="GTS1372" s="110"/>
      <c r="GTT1372" s="110"/>
      <c r="GTU1372" s="110"/>
      <c r="GTV1372" s="110"/>
      <c r="GTW1372" s="110"/>
      <c r="GTX1372" s="110"/>
      <c r="GTY1372" s="110"/>
      <c r="GTZ1372" s="110"/>
      <c r="GUA1372" s="110"/>
      <c r="GUB1372" s="110"/>
      <c r="GUC1372" s="110"/>
      <c r="GUD1372" s="110"/>
      <c r="GUE1372" s="110"/>
      <c r="GUF1372" s="110"/>
      <c r="GUG1372" s="110"/>
      <c r="GUH1372" s="110"/>
      <c r="GUI1372" s="110"/>
      <c r="GUJ1372" s="110"/>
      <c r="GUK1372" s="110"/>
      <c r="GUL1372" s="110"/>
      <c r="GUM1372" s="110"/>
      <c r="GUN1372" s="110"/>
      <c r="GUO1372" s="110"/>
      <c r="GUP1372" s="110"/>
      <c r="GUQ1372" s="110"/>
      <c r="GUR1372" s="110"/>
      <c r="GUS1372" s="110"/>
      <c r="GUT1372" s="110"/>
      <c r="GUU1372" s="110"/>
      <c r="GUV1372" s="110"/>
      <c r="GUW1372" s="110"/>
      <c r="GUX1372" s="110"/>
      <c r="GUY1372" s="110"/>
      <c r="GUZ1372" s="110"/>
      <c r="GVA1372" s="110"/>
      <c r="GVB1372" s="110"/>
      <c r="GVC1372" s="110"/>
      <c r="GVD1372" s="110"/>
      <c r="GVE1372" s="110"/>
      <c r="GVF1372" s="110"/>
      <c r="GVG1372" s="110"/>
      <c r="GVH1372" s="110"/>
      <c r="GVI1372" s="110"/>
      <c r="GVJ1372" s="110"/>
      <c r="GVK1372" s="110"/>
      <c r="GVL1372" s="110"/>
      <c r="GVM1372" s="110"/>
      <c r="GVN1372" s="110"/>
      <c r="GVO1372" s="110"/>
      <c r="GVP1372" s="110"/>
      <c r="GVQ1372" s="110"/>
      <c r="GVR1372" s="110"/>
      <c r="GVS1372" s="110"/>
      <c r="GVT1372" s="110"/>
      <c r="GVU1372" s="110"/>
      <c r="GVV1372" s="110"/>
      <c r="GVW1372" s="110"/>
      <c r="GVX1372" s="110"/>
      <c r="GVY1372" s="110"/>
      <c r="GVZ1372" s="110"/>
      <c r="GWA1372" s="110"/>
      <c r="GWB1372" s="110"/>
      <c r="GWC1372" s="110"/>
      <c r="GWD1372" s="110"/>
      <c r="GWE1372" s="110"/>
      <c r="GWF1372" s="110"/>
      <c r="GWG1372" s="110"/>
      <c r="GWH1372" s="110"/>
      <c r="GWI1372" s="110"/>
      <c r="GWJ1372" s="110"/>
      <c r="GWK1372" s="110"/>
      <c r="GWL1372" s="110"/>
      <c r="GWM1372" s="110"/>
      <c r="GWN1372" s="110"/>
      <c r="GWO1372" s="110"/>
      <c r="GWP1372" s="110"/>
      <c r="GWQ1372" s="110"/>
      <c r="GWR1372" s="110"/>
      <c r="GWS1372" s="110"/>
      <c r="GWT1372" s="110"/>
      <c r="GWU1372" s="110"/>
      <c r="GWV1372" s="110"/>
      <c r="GWW1372" s="110"/>
      <c r="GWX1372" s="110"/>
      <c r="GWY1372" s="110"/>
      <c r="GWZ1372" s="110"/>
      <c r="GXA1372" s="110"/>
      <c r="GXB1372" s="110"/>
      <c r="GXC1372" s="110"/>
      <c r="GXD1372" s="110"/>
      <c r="GXE1372" s="110"/>
      <c r="GXF1372" s="110"/>
      <c r="GXG1372" s="110"/>
      <c r="GXH1372" s="110"/>
      <c r="GXI1372" s="110"/>
      <c r="GXJ1372" s="110"/>
      <c r="GXK1372" s="110"/>
      <c r="GXL1372" s="110"/>
      <c r="GXM1372" s="110"/>
      <c r="GXN1372" s="110"/>
      <c r="GXO1372" s="110"/>
      <c r="GXP1372" s="110"/>
      <c r="GXQ1372" s="110"/>
      <c r="GXR1372" s="110"/>
      <c r="GXS1372" s="110"/>
      <c r="GXT1372" s="110"/>
      <c r="GXU1372" s="110"/>
      <c r="GXV1372" s="110"/>
      <c r="GXW1372" s="110"/>
      <c r="GXX1372" s="110"/>
      <c r="GXY1372" s="110"/>
      <c r="GXZ1372" s="110"/>
      <c r="GYA1372" s="110"/>
      <c r="GYB1372" s="110"/>
      <c r="GYC1372" s="110"/>
      <c r="GYD1372" s="110"/>
      <c r="GYE1372" s="110"/>
      <c r="GYF1372" s="110"/>
      <c r="GYG1372" s="110"/>
      <c r="GYH1372" s="110"/>
      <c r="GYI1372" s="110"/>
      <c r="GYJ1372" s="110"/>
      <c r="GYK1372" s="110"/>
      <c r="GYL1372" s="110"/>
      <c r="GYM1372" s="110"/>
      <c r="GYN1372" s="110"/>
      <c r="GYO1372" s="110"/>
      <c r="GYP1372" s="110"/>
      <c r="GYQ1372" s="110"/>
      <c r="GYR1372" s="110"/>
      <c r="GYS1372" s="110"/>
      <c r="GYT1372" s="110"/>
      <c r="GYU1372" s="110"/>
      <c r="GYV1372" s="110"/>
      <c r="GYW1372" s="110"/>
      <c r="GYX1372" s="110"/>
      <c r="GYY1372" s="110"/>
      <c r="GYZ1372" s="110"/>
      <c r="GZA1372" s="110"/>
      <c r="GZB1372" s="110"/>
      <c r="GZC1372" s="110"/>
      <c r="GZD1372" s="110"/>
      <c r="GZE1372" s="110"/>
      <c r="GZF1372" s="110"/>
      <c r="GZG1372" s="110"/>
      <c r="GZH1372" s="110"/>
      <c r="GZI1372" s="110"/>
      <c r="GZJ1372" s="110"/>
      <c r="GZK1372" s="110"/>
      <c r="GZL1372" s="110"/>
      <c r="GZM1372" s="110"/>
      <c r="GZN1372" s="110"/>
      <c r="GZO1372" s="110"/>
      <c r="GZP1372" s="110"/>
      <c r="GZQ1372" s="110"/>
      <c r="GZR1372" s="110"/>
      <c r="GZS1372" s="110"/>
      <c r="GZT1372" s="110"/>
      <c r="GZU1372" s="110"/>
      <c r="GZV1372" s="110"/>
      <c r="GZW1372" s="110"/>
      <c r="GZX1372" s="110"/>
      <c r="GZY1372" s="110"/>
      <c r="GZZ1372" s="110"/>
      <c r="HAA1372" s="110"/>
      <c r="HAB1372" s="110"/>
      <c r="HAC1372" s="110"/>
      <c r="HAD1372" s="110"/>
      <c r="HAE1372" s="110"/>
      <c r="HAF1372" s="110"/>
      <c r="HAG1372" s="110"/>
      <c r="HAH1372" s="110"/>
      <c r="HAI1372" s="110"/>
      <c r="HAJ1372" s="110"/>
      <c r="HAK1372" s="110"/>
      <c r="HAL1372" s="110"/>
      <c r="HAM1372" s="110"/>
      <c r="HAN1372" s="110"/>
      <c r="HAO1372" s="110"/>
      <c r="HAP1372" s="110"/>
      <c r="HAQ1372" s="110"/>
      <c r="HAR1372" s="110"/>
      <c r="HAS1372" s="110"/>
      <c r="HAT1372" s="110"/>
      <c r="HAU1372" s="110"/>
      <c r="HAV1372" s="110"/>
      <c r="HAW1372" s="110"/>
      <c r="HAX1372" s="110"/>
      <c r="HAY1372" s="110"/>
      <c r="HAZ1372" s="110"/>
      <c r="HBA1372" s="110"/>
      <c r="HBB1372" s="110"/>
      <c r="HBC1372" s="110"/>
      <c r="HBD1372" s="110"/>
      <c r="HBE1372" s="110"/>
      <c r="HBF1372" s="110"/>
      <c r="HBG1372" s="110"/>
      <c r="HBH1372" s="110"/>
      <c r="HBI1372" s="110"/>
      <c r="HBJ1372" s="110"/>
      <c r="HBK1372" s="110"/>
      <c r="HBL1372" s="110"/>
      <c r="HBM1372" s="110"/>
      <c r="HBN1372" s="110"/>
      <c r="HBO1372" s="110"/>
      <c r="HBP1372" s="110"/>
      <c r="HBQ1372" s="110"/>
      <c r="HBR1372" s="110"/>
      <c r="HBS1372" s="110"/>
      <c r="HBT1372" s="110"/>
      <c r="HBU1372" s="110"/>
      <c r="HBV1372" s="110"/>
      <c r="HBW1372" s="110"/>
      <c r="HBX1372" s="110"/>
      <c r="HBY1372" s="110"/>
      <c r="HBZ1372" s="110"/>
      <c r="HCA1372" s="110"/>
      <c r="HCB1372" s="110"/>
      <c r="HCC1372" s="110"/>
      <c r="HCD1372" s="110"/>
      <c r="HCE1372" s="110"/>
      <c r="HCF1372" s="110"/>
      <c r="HCG1372" s="110"/>
      <c r="HCH1372" s="110"/>
      <c r="HCI1372" s="110"/>
      <c r="HCJ1372" s="110"/>
      <c r="HCK1372" s="110"/>
      <c r="HCL1372" s="110"/>
      <c r="HCM1372" s="110"/>
      <c r="HCN1372" s="110"/>
      <c r="HCO1372" s="110"/>
      <c r="HCP1372" s="110"/>
      <c r="HCQ1372" s="110"/>
      <c r="HCR1372" s="110"/>
      <c r="HCS1372" s="110"/>
      <c r="HCT1372" s="110"/>
      <c r="HCU1372" s="110"/>
      <c r="HCV1372" s="110"/>
      <c r="HCW1372" s="110"/>
      <c r="HCX1372" s="110"/>
      <c r="HCY1372" s="110"/>
      <c r="HCZ1372" s="110"/>
      <c r="HDA1372" s="110"/>
      <c r="HDB1372" s="110"/>
      <c r="HDC1372" s="110"/>
      <c r="HDD1372" s="110"/>
      <c r="HDE1372" s="110"/>
      <c r="HDF1372" s="110"/>
      <c r="HDG1372" s="110"/>
      <c r="HDH1372" s="110"/>
      <c r="HDI1372" s="110"/>
      <c r="HDJ1372" s="110"/>
      <c r="HDK1372" s="110"/>
      <c r="HDL1372" s="110"/>
      <c r="HDM1372" s="110"/>
      <c r="HDN1372" s="110"/>
      <c r="HDO1372" s="110"/>
      <c r="HDP1372" s="110"/>
      <c r="HDQ1372" s="110"/>
      <c r="HDR1372" s="110"/>
      <c r="HDS1372" s="110"/>
      <c r="HDT1372" s="110"/>
      <c r="HDU1372" s="110"/>
      <c r="HDV1372" s="110"/>
      <c r="HDW1372" s="110"/>
      <c r="HDX1372" s="110"/>
      <c r="HDY1372" s="110"/>
      <c r="HDZ1372" s="110"/>
      <c r="HEA1372" s="110"/>
      <c r="HEB1372" s="110"/>
      <c r="HEC1372" s="110"/>
      <c r="HED1372" s="110"/>
      <c r="HEE1372" s="110"/>
      <c r="HEF1372" s="110"/>
      <c r="HEG1372" s="110"/>
      <c r="HEH1372" s="110"/>
      <c r="HEI1372" s="110"/>
      <c r="HEJ1372" s="110"/>
      <c r="HEK1372" s="110"/>
      <c r="HEL1372" s="110"/>
      <c r="HEM1372" s="110"/>
      <c r="HEN1372" s="110"/>
      <c r="HEO1372" s="110"/>
      <c r="HEP1372" s="110"/>
      <c r="HEQ1372" s="110"/>
      <c r="HER1372" s="110"/>
      <c r="HES1372" s="110"/>
      <c r="HET1372" s="110"/>
      <c r="HEU1372" s="110"/>
      <c r="HEV1372" s="110"/>
      <c r="HEW1372" s="110"/>
      <c r="HEX1372" s="110"/>
      <c r="HEY1372" s="110"/>
      <c r="HEZ1372" s="110"/>
      <c r="HFA1372" s="110"/>
      <c r="HFB1372" s="110"/>
      <c r="HFC1372" s="110"/>
      <c r="HFD1372" s="110"/>
      <c r="HFE1372" s="110"/>
      <c r="HFF1372" s="110"/>
      <c r="HFG1372" s="110"/>
      <c r="HFH1372" s="110"/>
      <c r="HFI1372" s="110"/>
      <c r="HFJ1372" s="110"/>
      <c r="HFK1372" s="110"/>
      <c r="HFL1372" s="110"/>
      <c r="HFM1372" s="110"/>
      <c r="HFN1372" s="110"/>
      <c r="HFO1372" s="110"/>
      <c r="HFP1372" s="110"/>
      <c r="HFQ1372" s="110"/>
      <c r="HFR1372" s="110"/>
      <c r="HFS1372" s="110"/>
      <c r="HFT1372" s="110"/>
      <c r="HFU1372" s="110"/>
      <c r="HFV1372" s="110"/>
      <c r="HFW1372" s="110"/>
      <c r="HFX1372" s="110"/>
      <c r="HFY1372" s="110"/>
      <c r="HFZ1372" s="110"/>
      <c r="HGA1372" s="110"/>
      <c r="HGB1372" s="110"/>
      <c r="HGC1372" s="110"/>
      <c r="HGD1372" s="110"/>
      <c r="HGE1372" s="110"/>
      <c r="HGF1372" s="110"/>
      <c r="HGG1372" s="110"/>
      <c r="HGH1372" s="110"/>
      <c r="HGI1372" s="110"/>
      <c r="HGJ1372" s="110"/>
      <c r="HGK1372" s="110"/>
      <c r="HGL1372" s="110"/>
      <c r="HGM1372" s="110"/>
      <c r="HGN1372" s="110"/>
      <c r="HGO1372" s="110"/>
      <c r="HGP1372" s="110"/>
      <c r="HGQ1372" s="110"/>
      <c r="HGR1372" s="110"/>
      <c r="HGS1372" s="110"/>
      <c r="HGT1372" s="110"/>
      <c r="HGU1372" s="110"/>
      <c r="HGV1372" s="110"/>
      <c r="HGW1372" s="110"/>
      <c r="HGX1372" s="110"/>
      <c r="HGY1372" s="110"/>
      <c r="HGZ1372" s="110"/>
      <c r="HHA1372" s="110"/>
      <c r="HHB1372" s="110"/>
      <c r="HHC1372" s="110"/>
      <c r="HHD1372" s="110"/>
      <c r="HHE1372" s="110"/>
      <c r="HHF1372" s="110"/>
      <c r="HHG1372" s="110"/>
      <c r="HHH1372" s="110"/>
      <c r="HHI1372" s="110"/>
      <c r="HHJ1372" s="110"/>
      <c r="HHK1372" s="110"/>
      <c r="HHL1372" s="110"/>
      <c r="HHM1372" s="110"/>
      <c r="HHN1372" s="110"/>
      <c r="HHO1372" s="110"/>
      <c r="HHP1372" s="110"/>
      <c r="HHQ1372" s="110"/>
      <c r="HHR1372" s="110"/>
      <c r="HHS1372" s="110"/>
      <c r="HHT1372" s="110"/>
      <c r="HHU1372" s="110"/>
      <c r="HHV1372" s="110"/>
      <c r="HHW1372" s="110"/>
      <c r="HHX1372" s="110"/>
      <c r="HHY1372" s="110"/>
      <c r="HHZ1372" s="110"/>
      <c r="HIA1372" s="110"/>
      <c r="HIB1372" s="110"/>
      <c r="HIC1372" s="110"/>
      <c r="HID1372" s="110"/>
      <c r="HIE1372" s="110"/>
      <c r="HIF1372" s="110"/>
      <c r="HIG1372" s="110"/>
      <c r="HIH1372" s="110"/>
      <c r="HII1372" s="110"/>
      <c r="HIJ1372" s="110"/>
      <c r="HIK1372" s="110"/>
      <c r="HIL1372" s="110"/>
      <c r="HIM1372" s="110"/>
      <c r="HIN1372" s="110"/>
      <c r="HIO1372" s="110"/>
      <c r="HIP1372" s="110"/>
      <c r="HIQ1372" s="110"/>
      <c r="HIR1372" s="110"/>
      <c r="HIS1372" s="110"/>
      <c r="HIT1372" s="110"/>
      <c r="HIU1372" s="110"/>
      <c r="HIV1372" s="110"/>
      <c r="HIW1372" s="110"/>
      <c r="HIX1372" s="110"/>
      <c r="HIY1372" s="110"/>
      <c r="HIZ1372" s="110"/>
      <c r="HJA1372" s="110"/>
      <c r="HJB1372" s="110"/>
      <c r="HJC1372" s="110"/>
      <c r="HJD1372" s="110"/>
      <c r="HJE1372" s="110"/>
      <c r="HJF1372" s="110"/>
      <c r="HJG1372" s="110"/>
      <c r="HJH1372" s="110"/>
      <c r="HJI1372" s="110"/>
      <c r="HJJ1372" s="110"/>
      <c r="HJK1372" s="110"/>
      <c r="HJL1372" s="110"/>
      <c r="HJM1372" s="110"/>
      <c r="HJN1372" s="110"/>
      <c r="HJO1372" s="110"/>
      <c r="HJP1372" s="110"/>
      <c r="HJQ1372" s="110"/>
      <c r="HJR1372" s="110"/>
      <c r="HJS1372" s="110"/>
      <c r="HJT1372" s="110"/>
      <c r="HJU1372" s="110"/>
      <c r="HJV1372" s="110"/>
      <c r="HJW1372" s="110"/>
      <c r="HJX1372" s="110"/>
      <c r="HJY1372" s="110"/>
      <c r="HJZ1372" s="110"/>
      <c r="HKA1372" s="110"/>
      <c r="HKB1372" s="110"/>
      <c r="HKC1372" s="110"/>
      <c r="HKD1372" s="110"/>
      <c r="HKE1372" s="110"/>
      <c r="HKF1372" s="110"/>
      <c r="HKG1372" s="110"/>
      <c r="HKH1372" s="110"/>
      <c r="HKI1372" s="110"/>
      <c r="HKJ1372" s="110"/>
      <c r="HKK1372" s="110"/>
      <c r="HKL1372" s="110"/>
      <c r="HKM1372" s="110"/>
      <c r="HKN1372" s="110"/>
      <c r="HKO1372" s="110"/>
      <c r="HKP1372" s="110"/>
      <c r="HKQ1372" s="110"/>
      <c r="HKR1372" s="110"/>
      <c r="HKS1372" s="110"/>
      <c r="HKT1372" s="110"/>
      <c r="HKU1372" s="110"/>
      <c r="HKV1372" s="110"/>
      <c r="HKW1372" s="110"/>
      <c r="HKX1372" s="110"/>
      <c r="HKY1372" s="110"/>
      <c r="HKZ1372" s="110"/>
      <c r="HLA1372" s="110"/>
      <c r="HLB1372" s="110"/>
      <c r="HLC1372" s="110"/>
      <c r="HLD1372" s="110"/>
      <c r="HLE1372" s="110"/>
      <c r="HLF1372" s="110"/>
      <c r="HLG1372" s="110"/>
      <c r="HLH1372" s="110"/>
      <c r="HLI1372" s="110"/>
      <c r="HLJ1372" s="110"/>
      <c r="HLK1372" s="110"/>
      <c r="HLL1372" s="110"/>
      <c r="HLM1372" s="110"/>
      <c r="HLN1372" s="110"/>
      <c r="HLO1372" s="110"/>
      <c r="HLP1372" s="110"/>
      <c r="HLQ1372" s="110"/>
      <c r="HLR1372" s="110"/>
      <c r="HLS1372" s="110"/>
      <c r="HLT1372" s="110"/>
      <c r="HLU1372" s="110"/>
      <c r="HLV1372" s="110"/>
      <c r="HLW1372" s="110"/>
      <c r="HLX1372" s="110"/>
      <c r="HLY1372" s="110"/>
      <c r="HLZ1372" s="110"/>
      <c r="HMA1372" s="110"/>
      <c r="HMB1372" s="110"/>
      <c r="HMC1372" s="110"/>
      <c r="HMD1372" s="110"/>
      <c r="HME1372" s="110"/>
      <c r="HMF1372" s="110"/>
      <c r="HMG1372" s="110"/>
      <c r="HMH1372" s="110"/>
      <c r="HMI1372" s="110"/>
      <c r="HMJ1372" s="110"/>
      <c r="HMK1372" s="110"/>
      <c r="HML1372" s="110"/>
      <c r="HMM1372" s="110"/>
      <c r="HMN1372" s="110"/>
      <c r="HMO1372" s="110"/>
      <c r="HMP1372" s="110"/>
      <c r="HMQ1372" s="110"/>
      <c r="HMR1372" s="110"/>
      <c r="HMS1372" s="110"/>
      <c r="HMT1372" s="110"/>
      <c r="HMU1372" s="110"/>
      <c r="HMV1372" s="110"/>
      <c r="HMW1372" s="110"/>
      <c r="HMX1372" s="110"/>
      <c r="HMY1372" s="110"/>
      <c r="HMZ1372" s="110"/>
      <c r="HNA1372" s="110"/>
      <c r="HNB1372" s="110"/>
      <c r="HNC1372" s="110"/>
      <c r="HND1372" s="110"/>
      <c r="HNE1372" s="110"/>
      <c r="HNF1372" s="110"/>
      <c r="HNG1372" s="110"/>
      <c r="HNH1372" s="110"/>
      <c r="HNI1372" s="110"/>
      <c r="HNJ1372" s="110"/>
      <c r="HNK1372" s="110"/>
      <c r="HNL1372" s="110"/>
      <c r="HNM1372" s="110"/>
      <c r="HNN1372" s="110"/>
      <c r="HNO1372" s="110"/>
      <c r="HNP1372" s="110"/>
      <c r="HNQ1372" s="110"/>
      <c r="HNR1372" s="110"/>
      <c r="HNS1372" s="110"/>
      <c r="HNT1372" s="110"/>
      <c r="HNU1372" s="110"/>
      <c r="HNV1372" s="110"/>
      <c r="HNW1372" s="110"/>
      <c r="HNX1372" s="110"/>
      <c r="HNY1372" s="110"/>
      <c r="HNZ1372" s="110"/>
      <c r="HOA1372" s="110"/>
      <c r="HOB1372" s="110"/>
      <c r="HOC1372" s="110"/>
      <c r="HOD1372" s="110"/>
      <c r="HOE1372" s="110"/>
      <c r="HOF1372" s="110"/>
      <c r="HOG1372" s="110"/>
      <c r="HOH1372" s="110"/>
      <c r="HOI1372" s="110"/>
      <c r="HOJ1372" s="110"/>
      <c r="HOK1372" s="110"/>
      <c r="HOL1372" s="110"/>
      <c r="HOM1372" s="110"/>
      <c r="HON1372" s="110"/>
      <c r="HOO1372" s="110"/>
      <c r="HOP1372" s="110"/>
      <c r="HOQ1372" s="110"/>
      <c r="HOR1372" s="110"/>
      <c r="HOS1372" s="110"/>
      <c r="HOT1372" s="110"/>
      <c r="HOU1372" s="110"/>
      <c r="HOV1372" s="110"/>
      <c r="HOW1372" s="110"/>
      <c r="HOX1372" s="110"/>
      <c r="HOY1372" s="110"/>
      <c r="HOZ1372" s="110"/>
      <c r="HPA1372" s="110"/>
      <c r="HPB1372" s="110"/>
      <c r="HPC1372" s="110"/>
      <c r="HPD1372" s="110"/>
      <c r="HPE1372" s="110"/>
      <c r="HPF1372" s="110"/>
      <c r="HPG1372" s="110"/>
      <c r="HPH1372" s="110"/>
      <c r="HPI1372" s="110"/>
      <c r="HPJ1372" s="110"/>
      <c r="HPK1372" s="110"/>
      <c r="HPL1372" s="110"/>
      <c r="HPM1372" s="110"/>
      <c r="HPN1372" s="110"/>
      <c r="HPO1372" s="110"/>
      <c r="HPP1372" s="110"/>
      <c r="HPQ1372" s="110"/>
      <c r="HPR1372" s="110"/>
      <c r="HPS1372" s="110"/>
      <c r="HPT1372" s="110"/>
      <c r="HPU1372" s="110"/>
      <c r="HPV1372" s="110"/>
      <c r="HPW1372" s="110"/>
      <c r="HPX1372" s="110"/>
      <c r="HPY1372" s="110"/>
      <c r="HPZ1372" s="110"/>
      <c r="HQA1372" s="110"/>
      <c r="HQB1372" s="110"/>
      <c r="HQC1372" s="110"/>
      <c r="HQD1372" s="110"/>
      <c r="HQE1372" s="110"/>
      <c r="HQF1372" s="110"/>
      <c r="HQG1372" s="110"/>
      <c r="HQH1372" s="110"/>
      <c r="HQI1372" s="110"/>
      <c r="HQJ1372" s="110"/>
      <c r="HQK1372" s="110"/>
      <c r="HQL1372" s="110"/>
      <c r="HQM1372" s="110"/>
      <c r="HQN1372" s="110"/>
      <c r="HQO1372" s="110"/>
      <c r="HQP1372" s="110"/>
      <c r="HQQ1372" s="110"/>
      <c r="HQR1372" s="110"/>
      <c r="HQS1372" s="110"/>
      <c r="HQT1372" s="110"/>
      <c r="HQU1372" s="110"/>
      <c r="HQV1372" s="110"/>
      <c r="HQW1372" s="110"/>
      <c r="HQX1372" s="110"/>
      <c r="HQY1372" s="110"/>
      <c r="HQZ1372" s="110"/>
      <c r="HRA1372" s="110"/>
      <c r="HRB1372" s="110"/>
      <c r="HRC1372" s="110"/>
      <c r="HRD1372" s="110"/>
      <c r="HRE1372" s="110"/>
      <c r="HRF1372" s="110"/>
      <c r="HRG1372" s="110"/>
      <c r="HRH1372" s="110"/>
      <c r="HRI1372" s="110"/>
      <c r="HRJ1372" s="110"/>
      <c r="HRK1372" s="110"/>
      <c r="HRL1372" s="110"/>
      <c r="HRM1372" s="110"/>
      <c r="HRN1372" s="110"/>
      <c r="HRO1372" s="110"/>
      <c r="HRP1372" s="110"/>
      <c r="HRQ1372" s="110"/>
      <c r="HRR1372" s="110"/>
      <c r="HRS1372" s="110"/>
      <c r="HRT1372" s="110"/>
      <c r="HRU1372" s="110"/>
      <c r="HRV1372" s="110"/>
      <c r="HRW1372" s="110"/>
      <c r="HRX1372" s="110"/>
      <c r="HRY1372" s="110"/>
      <c r="HRZ1372" s="110"/>
      <c r="HSA1372" s="110"/>
      <c r="HSB1372" s="110"/>
      <c r="HSC1372" s="110"/>
      <c r="HSD1372" s="110"/>
      <c r="HSE1372" s="110"/>
      <c r="HSF1372" s="110"/>
      <c r="HSG1372" s="110"/>
      <c r="HSH1372" s="110"/>
      <c r="HSI1372" s="110"/>
      <c r="HSJ1372" s="110"/>
      <c r="HSK1372" s="110"/>
      <c r="HSL1372" s="110"/>
      <c r="HSM1372" s="110"/>
      <c r="HSN1372" s="110"/>
      <c r="HSO1372" s="110"/>
      <c r="HSP1372" s="110"/>
      <c r="HSQ1372" s="110"/>
      <c r="HSR1372" s="110"/>
      <c r="HSS1372" s="110"/>
      <c r="HST1372" s="110"/>
      <c r="HSU1372" s="110"/>
      <c r="HSV1372" s="110"/>
      <c r="HSW1372" s="110"/>
      <c r="HSX1372" s="110"/>
      <c r="HSY1372" s="110"/>
      <c r="HSZ1372" s="110"/>
      <c r="HTA1372" s="110"/>
      <c r="HTB1372" s="110"/>
      <c r="HTC1372" s="110"/>
      <c r="HTD1372" s="110"/>
      <c r="HTE1372" s="110"/>
      <c r="HTF1372" s="110"/>
      <c r="HTG1372" s="110"/>
      <c r="HTH1372" s="110"/>
      <c r="HTI1372" s="110"/>
      <c r="HTJ1372" s="110"/>
      <c r="HTK1372" s="110"/>
      <c r="HTL1372" s="110"/>
      <c r="HTM1372" s="110"/>
      <c r="HTN1372" s="110"/>
      <c r="HTO1372" s="110"/>
      <c r="HTP1372" s="110"/>
      <c r="HTQ1372" s="110"/>
      <c r="HTR1372" s="110"/>
      <c r="HTS1372" s="110"/>
      <c r="HTT1372" s="110"/>
      <c r="HTU1372" s="110"/>
      <c r="HTV1372" s="110"/>
      <c r="HTW1372" s="110"/>
      <c r="HTX1372" s="110"/>
      <c r="HTY1372" s="110"/>
      <c r="HTZ1372" s="110"/>
      <c r="HUA1372" s="110"/>
      <c r="HUB1372" s="110"/>
      <c r="HUC1372" s="110"/>
      <c r="HUD1372" s="110"/>
      <c r="HUE1372" s="110"/>
      <c r="HUF1372" s="110"/>
      <c r="HUG1372" s="110"/>
      <c r="HUH1372" s="110"/>
      <c r="HUI1372" s="110"/>
      <c r="HUJ1372" s="110"/>
      <c r="HUK1372" s="110"/>
      <c r="HUL1372" s="110"/>
      <c r="HUM1372" s="110"/>
      <c r="HUN1372" s="110"/>
      <c r="HUO1372" s="110"/>
      <c r="HUP1372" s="110"/>
      <c r="HUQ1372" s="110"/>
      <c r="HUR1372" s="110"/>
      <c r="HUS1372" s="110"/>
      <c r="HUT1372" s="110"/>
      <c r="HUU1372" s="110"/>
      <c r="HUV1372" s="110"/>
      <c r="HUW1372" s="110"/>
      <c r="HUX1372" s="110"/>
      <c r="HUY1372" s="110"/>
      <c r="HUZ1372" s="110"/>
      <c r="HVA1372" s="110"/>
      <c r="HVB1372" s="110"/>
      <c r="HVC1372" s="110"/>
      <c r="HVD1372" s="110"/>
      <c r="HVE1372" s="110"/>
      <c r="HVF1372" s="110"/>
      <c r="HVG1372" s="110"/>
      <c r="HVH1372" s="110"/>
      <c r="HVI1372" s="110"/>
      <c r="HVJ1372" s="110"/>
      <c r="HVK1372" s="110"/>
      <c r="HVL1372" s="110"/>
      <c r="HVM1372" s="110"/>
      <c r="HVN1372" s="110"/>
      <c r="HVO1372" s="110"/>
      <c r="HVP1372" s="110"/>
      <c r="HVQ1372" s="110"/>
      <c r="HVR1372" s="110"/>
      <c r="HVS1372" s="110"/>
      <c r="HVT1372" s="110"/>
      <c r="HVU1372" s="110"/>
      <c r="HVV1372" s="110"/>
      <c r="HVW1372" s="110"/>
      <c r="HVX1372" s="110"/>
      <c r="HVY1372" s="110"/>
      <c r="HVZ1372" s="110"/>
      <c r="HWA1372" s="110"/>
      <c r="HWB1372" s="110"/>
      <c r="HWC1372" s="110"/>
      <c r="HWD1372" s="110"/>
      <c r="HWE1372" s="110"/>
      <c r="HWF1372" s="110"/>
      <c r="HWG1372" s="110"/>
      <c r="HWH1372" s="110"/>
      <c r="HWI1372" s="110"/>
      <c r="HWJ1372" s="110"/>
      <c r="HWK1372" s="110"/>
      <c r="HWL1372" s="110"/>
      <c r="HWM1372" s="110"/>
      <c r="HWN1372" s="110"/>
      <c r="HWO1372" s="110"/>
      <c r="HWP1372" s="110"/>
      <c r="HWQ1372" s="110"/>
      <c r="HWR1372" s="110"/>
      <c r="HWS1372" s="110"/>
      <c r="HWT1372" s="110"/>
      <c r="HWU1372" s="110"/>
      <c r="HWV1372" s="110"/>
      <c r="HWW1372" s="110"/>
      <c r="HWX1372" s="110"/>
      <c r="HWY1372" s="110"/>
      <c r="HWZ1372" s="110"/>
      <c r="HXA1372" s="110"/>
      <c r="HXB1372" s="110"/>
      <c r="HXC1372" s="110"/>
      <c r="HXD1372" s="110"/>
      <c r="HXE1372" s="110"/>
      <c r="HXF1372" s="110"/>
      <c r="HXG1372" s="110"/>
      <c r="HXH1372" s="110"/>
      <c r="HXI1372" s="110"/>
      <c r="HXJ1372" s="110"/>
      <c r="HXK1372" s="110"/>
      <c r="HXL1372" s="110"/>
      <c r="HXM1372" s="110"/>
      <c r="HXN1372" s="110"/>
      <c r="HXO1372" s="110"/>
      <c r="HXP1372" s="110"/>
      <c r="HXQ1372" s="110"/>
      <c r="HXR1372" s="110"/>
      <c r="HXS1372" s="110"/>
      <c r="HXT1372" s="110"/>
      <c r="HXU1372" s="110"/>
      <c r="HXV1372" s="110"/>
      <c r="HXW1372" s="110"/>
      <c r="HXX1372" s="110"/>
      <c r="HXY1372" s="110"/>
      <c r="HXZ1372" s="110"/>
      <c r="HYA1372" s="110"/>
      <c r="HYB1372" s="110"/>
      <c r="HYC1372" s="110"/>
      <c r="HYD1372" s="110"/>
      <c r="HYE1372" s="110"/>
      <c r="HYF1372" s="110"/>
      <c r="HYG1372" s="110"/>
      <c r="HYH1372" s="110"/>
      <c r="HYI1372" s="110"/>
      <c r="HYJ1372" s="110"/>
      <c r="HYK1372" s="110"/>
      <c r="HYL1372" s="110"/>
      <c r="HYM1372" s="110"/>
      <c r="HYN1372" s="110"/>
      <c r="HYO1372" s="110"/>
      <c r="HYP1372" s="110"/>
      <c r="HYQ1372" s="110"/>
      <c r="HYR1372" s="110"/>
      <c r="HYS1372" s="110"/>
      <c r="HYT1372" s="110"/>
      <c r="HYU1372" s="110"/>
      <c r="HYV1372" s="110"/>
      <c r="HYW1372" s="110"/>
      <c r="HYX1372" s="110"/>
      <c r="HYY1372" s="110"/>
      <c r="HYZ1372" s="110"/>
      <c r="HZA1372" s="110"/>
      <c r="HZB1372" s="110"/>
      <c r="HZC1372" s="110"/>
      <c r="HZD1372" s="110"/>
      <c r="HZE1372" s="110"/>
      <c r="HZF1372" s="110"/>
      <c r="HZG1372" s="110"/>
      <c r="HZH1372" s="110"/>
      <c r="HZI1372" s="110"/>
      <c r="HZJ1372" s="110"/>
      <c r="HZK1372" s="110"/>
      <c r="HZL1372" s="110"/>
      <c r="HZM1372" s="110"/>
      <c r="HZN1372" s="110"/>
      <c r="HZO1372" s="110"/>
      <c r="HZP1372" s="110"/>
      <c r="HZQ1372" s="110"/>
      <c r="HZR1372" s="110"/>
      <c r="HZS1372" s="110"/>
      <c r="HZT1372" s="110"/>
      <c r="HZU1372" s="110"/>
      <c r="HZV1372" s="110"/>
      <c r="HZW1372" s="110"/>
      <c r="HZX1372" s="110"/>
      <c r="HZY1372" s="110"/>
      <c r="HZZ1372" s="110"/>
      <c r="IAA1372" s="110"/>
      <c r="IAB1372" s="110"/>
      <c r="IAC1372" s="110"/>
      <c r="IAD1372" s="110"/>
      <c r="IAE1372" s="110"/>
      <c r="IAF1372" s="110"/>
      <c r="IAG1372" s="110"/>
      <c r="IAH1372" s="110"/>
      <c r="IAI1372" s="110"/>
      <c r="IAJ1372" s="110"/>
      <c r="IAK1372" s="110"/>
      <c r="IAL1372" s="110"/>
      <c r="IAM1372" s="110"/>
      <c r="IAN1372" s="110"/>
      <c r="IAO1372" s="110"/>
      <c r="IAP1372" s="110"/>
      <c r="IAQ1372" s="110"/>
      <c r="IAR1372" s="110"/>
      <c r="IAS1372" s="110"/>
      <c r="IAT1372" s="110"/>
      <c r="IAU1372" s="110"/>
      <c r="IAV1372" s="110"/>
      <c r="IAW1372" s="110"/>
      <c r="IAX1372" s="110"/>
      <c r="IAY1372" s="110"/>
      <c r="IAZ1372" s="110"/>
      <c r="IBA1372" s="110"/>
      <c r="IBB1372" s="110"/>
      <c r="IBC1372" s="110"/>
      <c r="IBD1372" s="110"/>
      <c r="IBE1372" s="110"/>
      <c r="IBF1372" s="110"/>
      <c r="IBG1372" s="110"/>
      <c r="IBH1372" s="110"/>
      <c r="IBI1372" s="110"/>
      <c r="IBJ1372" s="110"/>
      <c r="IBK1372" s="110"/>
      <c r="IBL1372" s="110"/>
      <c r="IBM1372" s="110"/>
      <c r="IBN1372" s="110"/>
      <c r="IBO1372" s="110"/>
      <c r="IBP1372" s="110"/>
      <c r="IBQ1372" s="110"/>
      <c r="IBR1372" s="110"/>
      <c r="IBS1372" s="110"/>
      <c r="IBT1372" s="110"/>
      <c r="IBU1372" s="110"/>
      <c r="IBV1372" s="110"/>
      <c r="IBW1372" s="110"/>
      <c r="IBX1372" s="110"/>
      <c r="IBY1372" s="110"/>
      <c r="IBZ1372" s="110"/>
      <c r="ICA1372" s="110"/>
      <c r="ICB1372" s="110"/>
      <c r="ICC1372" s="110"/>
      <c r="ICD1372" s="110"/>
      <c r="ICE1372" s="110"/>
      <c r="ICF1372" s="110"/>
      <c r="ICG1372" s="110"/>
      <c r="ICH1372" s="110"/>
      <c r="ICI1372" s="110"/>
      <c r="ICJ1372" s="110"/>
      <c r="ICK1372" s="110"/>
      <c r="ICL1372" s="110"/>
      <c r="ICM1372" s="110"/>
      <c r="ICN1372" s="110"/>
      <c r="ICO1372" s="110"/>
      <c r="ICP1372" s="110"/>
      <c r="ICQ1372" s="110"/>
      <c r="ICR1372" s="110"/>
      <c r="ICS1372" s="110"/>
      <c r="ICT1372" s="110"/>
      <c r="ICU1372" s="110"/>
      <c r="ICV1372" s="110"/>
      <c r="ICW1372" s="110"/>
      <c r="ICX1372" s="110"/>
      <c r="ICY1372" s="110"/>
      <c r="ICZ1372" s="110"/>
      <c r="IDA1372" s="110"/>
      <c r="IDB1372" s="110"/>
      <c r="IDC1372" s="110"/>
      <c r="IDD1372" s="110"/>
      <c r="IDE1372" s="110"/>
      <c r="IDF1372" s="110"/>
      <c r="IDG1372" s="110"/>
      <c r="IDH1372" s="110"/>
      <c r="IDI1372" s="110"/>
      <c r="IDJ1372" s="110"/>
      <c r="IDK1372" s="110"/>
      <c r="IDL1372" s="110"/>
      <c r="IDM1372" s="110"/>
      <c r="IDN1372" s="110"/>
      <c r="IDO1372" s="110"/>
      <c r="IDP1372" s="110"/>
      <c r="IDQ1372" s="110"/>
      <c r="IDR1372" s="110"/>
      <c r="IDS1372" s="110"/>
      <c r="IDT1372" s="110"/>
      <c r="IDU1372" s="110"/>
      <c r="IDV1372" s="110"/>
      <c r="IDW1372" s="110"/>
      <c r="IDX1372" s="110"/>
      <c r="IDY1372" s="110"/>
      <c r="IDZ1372" s="110"/>
      <c r="IEA1372" s="110"/>
      <c r="IEB1372" s="110"/>
      <c r="IEC1372" s="110"/>
      <c r="IED1372" s="110"/>
      <c r="IEE1372" s="110"/>
      <c r="IEF1372" s="110"/>
      <c r="IEG1372" s="110"/>
      <c r="IEH1372" s="110"/>
      <c r="IEI1372" s="110"/>
      <c r="IEJ1372" s="110"/>
      <c r="IEK1372" s="110"/>
      <c r="IEL1372" s="110"/>
      <c r="IEM1372" s="110"/>
      <c r="IEN1372" s="110"/>
      <c r="IEO1372" s="110"/>
      <c r="IEP1372" s="110"/>
      <c r="IEQ1372" s="110"/>
      <c r="IER1372" s="110"/>
      <c r="IES1372" s="110"/>
      <c r="IET1372" s="110"/>
      <c r="IEU1372" s="110"/>
      <c r="IEV1372" s="110"/>
      <c r="IEW1372" s="110"/>
      <c r="IEX1372" s="110"/>
      <c r="IEY1372" s="110"/>
      <c r="IEZ1372" s="110"/>
      <c r="IFA1372" s="110"/>
      <c r="IFB1372" s="110"/>
      <c r="IFC1372" s="110"/>
      <c r="IFD1372" s="110"/>
      <c r="IFE1372" s="110"/>
      <c r="IFF1372" s="110"/>
      <c r="IFG1372" s="110"/>
      <c r="IFH1372" s="110"/>
      <c r="IFI1372" s="110"/>
      <c r="IFJ1372" s="110"/>
      <c r="IFK1372" s="110"/>
      <c r="IFL1372" s="110"/>
      <c r="IFM1372" s="110"/>
      <c r="IFN1372" s="110"/>
      <c r="IFO1372" s="110"/>
      <c r="IFP1372" s="110"/>
      <c r="IFQ1372" s="110"/>
      <c r="IFR1372" s="110"/>
      <c r="IFS1372" s="110"/>
      <c r="IFT1372" s="110"/>
      <c r="IFU1372" s="110"/>
      <c r="IFV1372" s="110"/>
      <c r="IFW1372" s="110"/>
      <c r="IFX1372" s="110"/>
      <c r="IFY1372" s="110"/>
      <c r="IFZ1372" s="110"/>
      <c r="IGA1372" s="110"/>
      <c r="IGB1372" s="110"/>
      <c r="IGC1372" s="110"/>
      <c r="IGD1372" s="110"/>
      <c r="IGE1372" s="110"/>
      <c r="IGF1372" s="110"/>
      <c r="IGG1372" s="110"/>
      <c r="IGH1372" s="110"/>
      <c r="IGI1372" s="110"/>
      <c r="IGJ1372" s="110"/>
      <c r="IGK1372" s="110"/>
      <c r="IGL1372" s="110"/>
      <c r="IGM1372" s="110"/>
      <c r="IGN1372" s="110"/>
      <c r="IGO1372" s="110"/>
      <c r="IGP1372" s="110"/>
      <c r="IGQ1372" s="110"/>
      <c r="IGR1372" s="110"/>
      <c r="IGS1372" s="110"/>
      <c r="IGT1372" s="110"/>
      <c r="IGU1372" s="110"/>
      <c r="IGV1372" s="110"/>
      <c r="IGW1372" s="110"/>
      <c r="IGX1372" s="110"/>
      <c r="IGY1372" s="110"/>
      <c r="IGZ1372" s="110"/>
      <c r="IHA1372" s="110"/>
      <c r="IHB1372" s="110"/>
      <c r="IHC1372" s="110"/>
      <c r="IHD1372" s="110"/>
      <c r="IHE1372" s="110"/>
      <c r="IHF1372" s="110"/>
      <c r="IHG1372" s="110"/>
      <c r="IHH1372" s="110"/>
      <c r="IHI1372" s="110"/>
      <c r="IHJ1372" s="110"/>
      <c r="IHK1372" s="110"/>
      <c r="IHL1372" s="110"/>
      <c r="IHM1372" s="110"/>
      <c r="IHN1372" s="110"/>
      <c r="IHO1372" s="110"/>
      <c r="IHP1372" s="110"/>
      <c r="IHQ1372" s="110"/>
      <c r="IHR1372" s="110"/>
      <c r="IHS1372" s="110"/>
      <c r="IHT1372" s="110"/>
      <c r="IHU1372" s="110"/>
      <c r="IHV1372" s="110"/>
      <c r="IHW1372" s="110"/>
      <c r="IHX1372" s="110"/>
      <c r="IHY1372" s="110"/>
      <c r="IHZ1372" s="110"/>
      <c r="IIA1372" s="110"/>
      <c r="IIB1372" s="110"/>
      <c r="IIC1372" s="110"/>
      <c r="IID1372" s="110"/>
      <c r="IIE1372" s="110"/>
      <c r="IIF1372" s="110"/>
      <c r="IIG1372" s="110"/>
      <c r="IIH1372" s="110"/>
      <c r="III1372" s="110"/>
      <c r="IIJ1372" s="110"/>
      <c r="IIK1372" s="110"/>
      <c r="IIL1372" s="110"/>
      <c r="IIM1372" s="110"/>
      <c r="IIN1372" s="110"/>
      <c r="IIO1372" s="110"/>
      <c r="IIP1372" s="110"/>
      <c r="IIQ1372" s="110"/>
      <c r="IIR1372" s="110"/>
      <c r="IIS1372" s="110"/>
      <c r="IIT1372" s="110"/>
      <c r="IIU1372" s="110"/>
      <c r="IIV1372" s="110"/>
      <c r="IIW1372" s="110"/>
      <c r="IIX1372" s="110"/>
      <c r="IIY1372" s="110"/>
      <c r="IIZ1372" s="110"/>
      <c r="IJA1372" s="110"/>
      <c r="IJB1372" s="110"/>
      <c r="IJC1372" s="110"/>
      <c r="IJD1372" s="110"/>
      <c r="IJE1372" s="110"/>
      <c r="IJF1372" s="110"/>
      <c r="IJG1372" s="110"/>
      <c r="IJH1372" s="110"/>
      <c r="IJI1372" s="110"/>
      <c r="IJJ1372" s="110"/>
      <c r="IJK1372" s="110"/>
      <c r="IJL1372" s="110"/>
      <c r="IJM1372" s="110"/>
      <c r="IJN1372" s="110"/>
      <c r="IJO1372" s="110"/>
      <c r="IJP1372" s="110"/>
      <c r="IJQ1372" s="110"/>
      <c r="IJR1372" s="110"/>
      <c r="IJS1372" s="110"/>
      <c r="IJT1372" s="110"/>
      <c r="IJU1372" s="110"/>
      <c r="IJV1372" s="110"/>
      <c r="IJW1372" s="110"/>
      <c r="IJX1372" s="110"/>
      <c r="IJY1372" s="110"/>
      <c r="IJZ1372" s="110"/>
      <c r="IKA1372" s="110"/>
      <c r="IKB1372" s="110"/>
      <c r="IKC1372" s="110"/>
      <c r="IKD1372" s="110"/>
      <c r="IKE1372" s="110"/>
      <c r="IKF1372" s="110"/>
      <c r="IKG1372" s="110"/>
      <c r="IKH1372" s="110"/>
      <c r="IKI1372" s="110"/>
      <c r="IKJ1372" s="110"/>
      <c r="IKK1372" s="110"/>
      <c r="IKL1372" s="110"/>
      <c r="IKM1372" s="110"/>
      <c r="IKN1372" s="110"/>
      <c r="IKO1372" s="110"/>
      <c r="IKP1372" s="110"/>
      <c r="IKQ1372" s="110"/>
      <c r="IKR1372" s="110"/>
      <c r="IKS1372" s="110"/>
      <c r="IKT1372" s="110"/>
      <c r="IKU1372" s="110"/>
      <c r="IKV1372" s="110"/>
      <c r="IKW1372" s="110"/>
      <c r="IKX1372" s="110"/>
      <c r="IKY1372" s="110"/>
      <c r="IKZ1372" s="110"/>
      <c r="ILA1372" s="110"/>
      <c r="ILB1372" s="110"/>
      <c r="ILC1372" s="110"/>
      <c r="ILD1372" s="110"/>
      <c r="ILE1372" s="110"/>
      <c r="ILF1372" s="110"/>
      <c r="ILG1372" s="110"/>
      <c r="ILH1372" s="110"/>
      <c r="ILI1372" s="110"/>
      <c r="ILJ1372" s="110"/>
      <c r="ILK1372" s="110"/>
      <c r="ILL1372" s="110"/>
      <c r="ILM1372" s="110"/>
      <c r="ILN1372" s="110"/>
      <c r="ILO1372" s="110"/>
      <c r="ILP1372" s="110"/>
      <c r="ILQ1372" s="110"/>
      <c r="ILR1372" s="110"/>
      <c r="ILS1372" s="110"/>
      <c r="ILT1372" s="110"/>
      <c r="ILU1372" s="110"/>
      <c r="ILV1372" s="110"/>
      <c r="ILW1372" s="110"/>
      <c r="ILX1372" s="110"/>
      <c r="ILY1372" s="110"/>
      <c r="ILZ1372" s="110"/>
      <c r="IMA1372" s="110"/>
      <c r="IMB1372" s="110"/>
      <c r="IMC1372" s="110"/>
      <c r="IMD1372" s="110"/>
      <c r="IME1372" s="110"/>
      <c r="IMF1372" s="110"/>
      <c r="IMG1372" s="110"/>
      <c r="IMH1372" s="110"/>
      <c r="IMI1372" s="110"/>
      <c r="IMJ1372" s="110"/>
      <c r="IMK1372" s="110"/>
      <c r="IML1372" s="110"/>
      <c r="IMM1372" s="110"/>
      <c r="IMN1372" s="110"/>
      <c r="IMO1372" s="110"/>
      <c r="IMP1372" s="110"/>
      <c r="IMQ1372" s="110"/>
      <c r="IMR1372" s="110"/>
      <c r="IMS1372" s="110"/>
      <c r="IMT1372" s="110"/>
      <c r="IMU1372" s="110"/>
      <c r="IMV1372" s="110"/>
      <c r="IMW1372" s="110"/>
      <c r="IMX1372" s="110"/>
      <c r="IMY1372" s="110"/>
      <c r="IMZ1372" s="110"/>
      <c r="INA1372" s="110"/>
      <c r="INB1372" s="110"/>
      <c r="INC1372" s="110"/>
      <c r="IND1372" s="110"/>
      <c r="INE1372" s="110"/>
      <c r="INF1372" s="110"/>
      <c r="ING1372" s="110"/>
      <c r="INH1372" s="110"/>
      <c r="INI1372" s="110"/>
      <c r="INJ1372" s="110"/>
      <c r="INK1372" s="110"/>
      <c r="INL1372" s="110"/>
      <c r="INM1372" s="110"/>
      <c r="INN1372" s="110"/>
      <c r="INO1372" s="110"/>
      <c r="INP1372" s="110"/>
      <c r="INQ1372" s="110"/>
      <c r="INR1372" s="110"/>
      <c r="INS1372" s="110"/>
      <c r="INT1372" s="110"/>
      <c r="INU1372" s="110"/>
      <c r="INV1372" s="110"/>
      <c r="INW1372" s="110"/>
      <c r="INX1372" s="110"/>
      <c r="INY1372" s="110"/>
      <c r="INZ1372" s="110"/>
      <c r="IOA1372" s="110"/>
      <c r="IOB1372" s="110"/>
      <c r="IOC1372" s="110"/>
      <c r="IOD1372" s="110"/>
      <c r="IOE1372" s="110"/>
      <c r="IOF1372" s="110"/>
      <c r="IOG1372" s="110"/>
      <c r="IOH1372" s="110"/>
      <c r="IOI1372" s="110"/>
      <c r="IOJ1372" s="110"/>
      <c r="IOK1372" s="110"/>
      <c r="IOL1372" s="110"/>
      <c r="IOM1372" s="110"/>
      <c r="ION1372" s="110"/>
      <c r="IOO1372" s="110"/>
      <c r="IOP1372" s="110"/>
      <c r="IOQ1372" s="110"/>
      <c r="IOR1372" s="110"/>
      <c r="IOS1372" s="110"/>
      <c r="IOT1372" s="110"/>
      <c r="IOU1372" s="110"/>
      <c r="IOV1372" s="110"/>
      <c r="IOW1372" s="110"/>
      <c r="IOX1372" s="110"/>
      <c r="IOY1372" s="110"/>
      <c r="IOZ1372" s="110"/>
      <c r="IPA1372" s="110"/>
      <c r="IPB1372" s="110"/>
      <c r="IPC1372" s="110"/>
      <c r="IPD1372" s="110"/>
      <c r="IPE1372" s="110"/>
      <c r="IPF1372" s="110"/>
      <c r="IPG1372" s="110"/>
      <c r="IPH1372" s="110"/>
      <c r="IPI1372" s="110"/>
      <c r="IPJ1372" s="110"/>
      <c r="IPK1372" s="110"/>
      <c r="IPL1372" s="110"/>
      <c r="IPM1372" s="110"/>
      <c r="IPN1372" s="110"/>
      <c r="IPO1372" s="110"/>
      <c r="IPP1372" s="110"/>
      <c r="IPQ1372" s="110"/>
      <c r="IPR1372" s="110"/>
      <c r="IPS1372" s="110"/>
      <c r="IPT1372" s="110"/>
      <c r="IPU1372" s="110"/>
      <c r="IPV1372" s="110"/>
      <c r="IPW1372" s="110"/>
      <c r="IPX1372" s="110"/>
      <c r="IPY1372" s="110"/>
      <c r="IPZ1372" s="110"/>
      <c r="IQA1372" s="110"/>
      <c r="IQB1372" s="110"/>
      <c r="IQC1372" s="110"/>
      <c r="IQD1372" s="110"/>
      <c r="IQE1372" s="110"/>
      <c r="IQF1372" s="110"/>
      <c r="IQG1372" s="110"/>
      <c r="IQH1372" s="110"/>
      <c r="IQI1372" s="110"/>
      <c r="IQJ1372" s="110"/>
      <c r="IQK1372" s="110"/>
      <c r="IQL1372" s="110"/>
      <c r="IQM1372" s="110"/>
      <c r="IQN1372" s="110"/>
      <c r="IQO1372" s="110"/>
      <c r="IQP1372" s="110"/>
      <c r="IQQ1372" s="110"/>
      <c r="IQR1372" s="110"/>
      <c r="IQS1372" s="110"/>
      <c r="IQT1372" s="110"/>
      <c r="IQU1372" s="110"/>
      <c r="IQV1372" s="110"/>
      <c r="IQW1372" s="110"/>
      <c r="IQX1372" s="110"/>
      <c r="IQY1372" s="110"/>
      <c r="IQZ1372" s="110"/>
      <c r="IRA1372" s="110"/>
      <c r="IRB1372" s="110"/>
      <c r="IRC1372" s="110"/>
      <c r="IRD1372" s="110"/>
      <c r="IRE1372" s="110"/>
      <c r="IRF1372" s="110"/>
      <c r="IRG1372" s="110"/>
      <c r="IRH1372" s="110"/>
      <c r="IRI1372" s="110"/>
      <c r="IRJ1372" s="110"/>
      <c r="IRK1372" s="110"/>
      <c r="IRL1372" s="110"/>
      <c r="IRM1372" s="110"/>
      <c r="IRN1372" s="110"/>
      <c r="IRO1372" s="110"/>
      <c r="IRP1372" s="110"/>
      <c r="IRQ1372" s="110"/>
      <c r="IRR1372" s="110"/>
      <c r="IRS1372" s="110"/>
      <c r="IRT1372" s="110"/>
      <c r="IRU1372" s="110"/>
      <c r="IRV1372" s="110"/>
      <c r="IRW1372" s="110"/>
      <c r="IRX1372" s="110"/>
      <c r="IRY1372" s="110"/>
      <c r="IRZ1372" s="110"/>
      <c r="ISA1372" s="110"/>
      <c r="ISB1372" s="110"/>
      <c r="ISC1372" s="110"/>
      <c r="ISD1372" s="110"/>
      <c r="ISE1372" s="110"/>
      <c r="ISF1372" s="110"/>
      <c r="ISG1372" s="110"/>
      <c r="ISH1372" s="110"/>
      <c r="ISI1372" s="110"/>
      <c r="ISJ1372" s="110"/>
      <c r="ISK1372" s="110"/>
      <c r="ISL1372" s="110"/>
      <c r="ISM1372" s="110"/>
      <c r="ISN1372" s="110"/>
      <c r="ISO1372" s="110"/>
      <c r="ISP1372" s="110"/>
      <c r="ISQ1372" s="110"/>
      <c r="ISR1372" s="110"/>
      <c r="ISS1372" s="110"/>
      <c r="IST1372" s="110"/>
      <c r="ISU1372" s="110"/>
      <c r="ISV1372" s="110"/>
      <c r="ISW1372" s="110"/>
      <c r="ISX1372" s="110"/>
      <c r="ISY1372" s="110"/>
      <c r="ISZ1372" s="110"/>
      <c r="ITA1372" s="110"/>
      <c r="ITB1372" s="110"/>
      <c r="ITC1372" s="110"/>
      <c r="ITD1372" s="110"/>
      <c r="ITE1372" s="110"/>
      <c r="ITF1372" s="110"/>
      <c r="ITG1372" s="110"/>
      <c r="ITH1372" s="110"/>
      <c r="ITI1372" s="110"/>
      <c r="ITJ1372" s="110"/>
      <c r="ITK1372" s="110"/>
      <c r="ITL1372" s="110"/>
      <c r="ITM1372" s="110"/>
      <c r="ITN1372" s="110"/>
      <c r="ITO1372" s="110"/>
      <c r="ITP1372" s="110"/>
      <c r="ITQ1372" s="110"/>
      <c r="ITR1372" s="110"/>
      <c r="ITS1372" s="110"/>
      <c r="ITT1372" s="110"/>
      <c r="ITU1372" s="110"/>
      <c r="ITV1372" s="110"/>
      <c r="ITW1372" s="110"/>
      <c r="ITX1372" s="110"/>
      <c r="ITY1372" s="110"/>
      <c r="ITZ1372" s="110"/>
      <c r="IUA1372" s="110"/>
      <c r="IUB1372" s="110"/>
      <c r="IUC1372" s="110"/>
      <c r="IUD1372" s="110"/>
      <c r="IUE1372" s="110"/>
      <c r="IUF1372" s="110"/>
      <c r="IUG1372" s="110"/>
      <c r="IUH1372" s="110"/>
      <c r="IUI1372" s="110"/>
      <c r="IUJ1372" s="110"/>
      <c r="IUK1372" s="110"/>
      <c r="IUL1372" s="110"/>
      <c r="IUM1372" s="110"/>
      <c r="IUN1372" s="110"/>
      <c r="IUO1372" s="110"/>
      <c r="IUP1372" s="110"/>
      <c r="IUQ1372" s="110"/>
      <c r="IUR1372" s="110"/>
      <c r="IUS1372" s="110"/>
      <c r="IUT1372" s="110"/>
      <c r="IUU1372" s="110"/>
      <c r="IUV1372" s="110"/>
      <c r="IUW1372" s="110"/>
      <c r="IUX1372" s="110"/>
      <c r="IUY1372" s="110"/>
      <c r="IUZ1372" s="110"/>
      <c r="IVA1372" s="110"/>
      <c r="IVB1372" s="110"/>
      <c r="IVC1372" s="110"/>
      <c r="IVD1372" s="110"/>
      <c r="IVE1372" s="110"/>
      <c r="IVF1372" s="110"/>
      <c r="IVG1372" s="110"/>
      <c r="IVH1372" s="110"/>
      <c r="IVI1372" s="110"/>
      <c r="IVJ1372" s="110"/>
      <c r="IVK1372" s="110"/>
      <c r="IVL1372" s="110"/>
      <c r="IVM1372" s="110"/>
      <c r="IVN1372" s="110"/>
      <c r="IVO1372" s="110"/>
      <c r="IVP1372" s="110"/>
      <c r="IVQ1372" s="110"/>
      <c r="IVR1372" s="110"/>
      <c r="IVS1372" s="110"/>
      <c r="IVT1372" s="110"/>
      <c r="IVU1372" s="110"/>
      <c r="IVV1372" s="110"/>
      <c r="IVW1372" s="110"/>
      <c r="IVX1372" s="110"/>
      <c r="IVY1372" s="110"/>
      <c r="IVZ1372" s="110"/>
      <c r="IWA1372" s="110"/>
      <c r="IWB1372" s="110"/>
      <c r="IWC1372" s="110"/>
      <c r="IWD1372" s="110"/>
      <c r="IWE1372" s="110"/>
      <c r="IWF1372" s="110"/>
      <c r="IWG1372" s="110"/>
      <c r="IWH1372" s="110"/>
      <c r="IWI1372" s="110"/>
      <c r="IWJ1372" s="110"/>
      <c r="IWK1372" s="110"/>
      <c r="IWL1372" s="110"/>
      <c r="IWM1372" s="110"/>
      <c r="IWN1372" s="110"/>
      <c r="IWO1372" s="110"/>
      <c r="IWP1372" s="110"/>
      <c r="IWQ1372" s="110"/>
      <c r="IWR1372" s="110"/>
      <c r="IWS1372" s="110"/>
      <c r="IWT1372" s="110"/>
      <c r="IWU1372" s="110"/>
      <c r="IWV1372" s="110"/>
      <c r="IWW1372" s="110"/>
      <c r="IWX1372" s="110"/>
      <c r="IWY1372" s="110"/>
      <c r="IWZ1372" s="110"/>
      <c r="IXA1372" s="110"/>
      <c r="IXB1372" s="110"/>
      <c r="IXC1372" s="110"/>
      <c r="IXD1372" s="110"/>
      <c r="IXE1372" s="110"/>
      <c r="IXF1372" s="110"/>
      <c r="IXG1372" s="110"/>
      <c r="IXH1372" s="110"/>
      <c r="IXI1372" s="110"/>
      <c r="IXJ1372" s="110"/>
      <c r="IXK1372" s="110"/>
      <c r="IXL1372" s="110"/>
      <c r="IXM1372" s="110"/>
      <c r="IXN1372" s="110"/>
      <c r="IXO1372" s="110"/>
      <c r="IXP1372" s="110"/>
      <c r="IXQ1372" s="110"/>
      <c r="IXR1372" s="110"/>
      <c r="IXS1372" s="110"/>
      <c r="IXT1372" s="110"/>
      <c r="IXU1372" s="110"/>
      <c r="IXV1372" s="110"/>
      <c r="IXW1372" s="110"/>
      <c r="IXX1372" s="110"/>
      <c r="IXY1372" s="110"/>
      <c r="IXZ1372" s="110"/>
      <c r="IYA1372" s="110"/>
      <c r="IYB1372" s="110"/>
      <c r="IYC1372" s="110"/>
      <c r="IYD1372" s="110"/>
      <c r="IYE1372" s="110"/>
      <c r="IYF1372" s="110"/>
      <c r="IYG1372" s="110"/>
      <c r="IYH1372" s="110"/>
      <c r="IYI1372" s="110"/>
      <c r="IYJ1372" s="110"/>
      <c r="IYK1372" s="110"/>
      <c r="IYL1372" s="110"/>
      <c r="IYM1372" s="110"/>
      <c r="IYN1372" s="110"/>
      <c r="IYO1372" s="110"/>
      <c r="IYP1372" s="110"/>
      <c r="IYQ1372" s="110"/>
      <c r="IYR1372" s="110"/>
      <c r="IYS1372" s="110"/>
      <c r="IYT1372" s="110"/>
      <c r="IYU1372" s="110"/>
      <c r="IYV1372" s="110"/>
      <c r="IYW1372" s="110"/>
      <c r="IYX1372" s="110"/>
      <c r="IYY1372" s="110"/>
      <c r="IYZ1372" s="110"/>
      <c r="IZA1372" s="110"/>
      <c r="IZB1372" s="110"/>
      <c r="IZC1372" s="110"/>
      <c r="IZD1372" s="110"/>
      <c r="IZE1372" s="110"/>
      <c r="IZF1372" s="110"/>
      <c r="IZG1372" s="110"/>
      <c r="IZH1372" s="110"/>
      <c r="IZI1372" s="110"/>
      <c r="IZJ1372" s="110"/>
      <c r="IZK1372" s="110"/>
      <c r="IZL1372" s="110"/>
      <c r="IZM1372" s="110"/>
      <c r="IZN1372" s="110"/>
      <c r="IZO1372" s="110"/>
      <c r="IZP1372" s="110"/>
      <c r="IZQ1372" s="110"/>
      <c r="IZR1372" s="110"/>
      <c r="IZS1372" s="110"/>
      <c r="IZT1372" s="110"/>
      <c r="IZU1372" s="110"/>
      <c r="IZV1372" s="110"/>
      <c r="IZW1372" s="110"/>
      <c r="IZX1372" s="110"/>
      <c r="IZY1372" s="110"/>
      <c r="IZZ1372" s="110"/>
      <c r="JAA1372" s="110"/>
      <c r="JAB1372" s="110"/>
      <c r="JAC1372" s="110"/>
      <c r="JAD1372" s="110"/>
      <c r="JAE1372" s="110"/>
      <c r="JAF1372" s="110"/>
      <c r="JAG1372" s="110"/>
      <c r="JAH1372" s="110"/>
      <c r="JAI1372" s="110"/>
      <c r="JAJ1372" s="110"/>
      <c r="JAK1372" s="110"/>
      <c r="JAL1372" s="110"/>
      <c r="JAM1372" s="110"/>
      <c r="JAN1372" s="110"/>
      <c r="JAO1372" s="110"/>
      <c r="JAP1372" s="110"/>
      <c r="JAQ1372" s="110"/>
      <c r="JAR1372" s="110"/>
      <c r="JAS1372" s="110"/>
      <c r="JAT1372" s="110"/>
      <c r="JAU1372" s="110"/>
      <c r="JAV1372" s="110"/>
      <c r="JAW1372" s="110"/>
      <c r="JAX1372" s="110"/>
      <c r="JAY1372" s="110"/>
      <c r="JAZ1372" s="110"/>
      <c r="JBA1372" s="110"/>
      <c r="JBB1372" s="110"/>
      <c r="JBC1372" s="110"/>
      <c r="JBD1372" s="110"/>
      <c r="JBE1372" s="110"/>
      <c r="JBF1372" s="110"/>
      <c r="JBG1372" s="110"/>
      <c r="JBH1372" s="110"/>
      <c r="JBI1372" s="110"/>
      <c r="JBJ1372" s="110"/>
      <c r="JBK1372" s="110"/>
      <c r="JBL1372" s="110"/>
      <c r="JBM1372" s="110"/>
      <c r="JBN1372" s="110"/>
      <c r="JBO1372" s="110"/>
      <c r="JBP1372" s="110"/>
      <c r="JBQ1372" s="110"/>
      <c r="JBR1372" s="110"/>
      <c r="JBS1372" s="110"/>
      <c r="JBT1372" s="110"/>
      <c r="JBU1372" s="110"/>
      <c r="JBV1372" s="110"/>
      <c r="JBW1372" s="110"/>
      <c r="JBX1372" s="110"/>
      <c r="JBY1372" s="110"/>
      <c r="JBZ1372" s="110"/>
      <c r="JCA1372" s="110"/>
      <c r="JCB1372" s="110"/>
      <c r="JCC1372" s="110"/>
      <c r="JCD1372" s="110"/>
      <c r="JCE1372" s="110"/>
      <c r="JCF1372" s="110"/>
      <c r="JCG1372" s="110"/>
      <c r="JCH1372" s="110"/>
      <c r="JCI1372" s="110"/>
      <c r="JCJ1372" s="110"/>
      <c r="JCK1372" s="110"/>
      <c r="JCL1372" s="110"/>
      <c r="JCM1372" s="110"/>
      <c r="JCN1372" s="110"/>
      <c r="JCO1372" s="110"/>
      <c r="JCP1372" s="110"/>
      <c r="JCQ1372" s="110"/>
      <c r="JCR1372" s="110"/>
      <c r="JCS1372" s="110"/>
      <c r="JCT1372" s="110"/>
      <c r="JCU1372" s="110"/>
      <c r="JCV1372" s="110"/>
      <c r="JCW1372" s="110"/>
      <c r="JCX1372" s="110"/>
      <c r="JCY1372" s="110"/>
      <c r="JCZ1372" s="110"/>
      <c r="JDA1372" s="110"/>
      <c r="JDB1372" s="110"/>
      <c r="JDC1372" s="110"/>
      <c r="JDD1372" s="110"/>
      <c r="JDE1372" s="110"/>
      <c r="JDF1372" s="110"/>
      <c r="JDG1372" s="110"/>
      <c r="JDH1372" s="110"/>
      <c r="JDI1372" s="110"/>
      <c r="JDJ1372" s="110"/>
      <c r="JDK1372" s="110"/>
      <c r="JDL1372" s="110"/>
      <c r="JDM1372" s="110"/>
      <c r="JDN1372" s="110"/>
      <c r="JDO1372" s="110"/>
      <c r="JDP1372" s="110"/>
      <c r="JDQ1372" s="110"/>
      <c r="JDR1372" s="110"/>
      <c r="JDS1372" s="110"/>
      <c r="JDT1372" s="110"/>
      <c r="JDU1372" s="110"/>
      <c r="JDV1372" s="110"/>
      <c r="JDW1372" s="110"/>
      <c r="JDX1372" s="110"/>
      <c r="JDY1372" s="110"/>
      <c r="JDZ1372" s="110"/>
      <c r="JEA1372" s="110"/>
      <c r="JEB1372" s="110"/>
      <c r="JEC1372" s="110"/>
      <c r="JED1372" s="110"/>
      <c r="JEE1372" s="110"/>
      <c r="JEF1372" s="110"/>
      <c r="JEG1372" s="110"/>
      <c r="JEH1372" s="110"/>
      <c r="JEI1372" s="110"/>
      <c r="JEJ1372" s="110"/>
      <c r="JEK1372" s="110"/>
      <c r="JEL1372" s="110"/>
      <c r="JEM1372" s="110"/>
      <c r="JEN1372" s="110"/>
      <c r="JEO1372" s="110"/>
      <c r="JEP1372" s="110"/>
      <c r="JEQ1372" s="110"/>
      <c r="JER1372" s="110"/>
      <c r="JES1372" s="110"/>
      <c r="JET1372" s="110"/>
      <c r="JEU1372" s="110"/>
      <c r="JEV1372" s="110"/>
      <c r="JEW1372" s="110"/>
      <c r="JEX1372" s="110"/>
      <c r="JEY1372" s="110"/>
      <c r="JEZ1372" s="110"/>
      <c r="JFA1372" s="110"/>
      <c r="JFB1372" s="110"/>
      <c r="JFC1372" s="110"/>
      <c r="JFD1372" s="110"/>
      <c r="JFE1372" s="110"/>
      <c r="JFF1372" s="110"/>
      <c r="JFG1372" s="110"/>
      <c r="JFH1372" s="110"/>
      <c r="JFI1372" s="110"/>
      <c r="JFJ1372" s="110"/>
      <c r="JFK1372" s="110"/>
      <c r="JFL1372" s="110"/>
      <c r="JFM1372" s="110"/>
      <c r="JFN1372" s="110"/>
      <c r="JFO1372" s="110"/>
      <c r="JFP1372" s="110"/>
      <c r="JFQ1372" s="110"/>
      <c r="JFR1372" s="110"/>
      <c r="JFS1372" s="110"/>
      <c r="JFT1372" s="110"/>
      <c r="JFU1372" s="110"/>
      <c r="JFV1372" s="110"/>
      <c r="JFW1372" s="110"/>
      <c r="JFX1372" s="110"/>
      <c r="JFY1372" s="110"/>
      <c r="JFZ1372" s="110"/>
      <c r="JGA1372" s="110"/>
      <c r="JGB1372" s="110"/>
      <c r="JGC1372" s="110"/>
      <c r="JGD1372" s="110"/>
      <c r="JGE1372" s="110"/>
      <c r="JGF1372" s="110"/>
      <c r="JGG1372" s="110"/>
      <c r="JGH1372" s="110"/>
      <c r="JGI1372" s="110"/>
      <c r="JGJ1372" s="110"/>
      <c r="JGK1372" s="110"/>
      <c r="JGL1372" s="110"/>
      <c r="JGM1372" s="110"/>
      <c r="JGN1372" s="110"/>
      <c r="JGO1372" s="110"/>
      <c r="JGP1372" s="110"/>
      <c r="JGQ1372" s="110"/>
      <c r="JGR1372" s="110"/>
      <c r="JGS1372" s="110"/>
      <c r="JGT1372" s="110"/>
      <c r="JGU1372" s="110"/>
      <c r="JGV1372" s="110"/>
      <c r="JGW1372" s="110"/>
      <c r="JGX1372" s="110"/>
      <c r="JGY1372" s="110"/>
      <c r="JGZ1372" s="110"/>
      <c r="JHA1372" s="110"/>
      <c r="JHB1372" s="110"/>
      <c r="JHC1372" s="110"/>
      <c r="JHD1372" s="110"/>
      <c r="JHE1372" s="110"/>
      <c r="JHF1372" s="110"/>
      <c r="JHG1372" s="110"/>
      <c r="JHH1372" s="110"/>
      <c r="JHI1372" s="110"/>
      <c r="JHJ1372" s="110"/>
      <c r="JHK1372" s="110"/>
      <c r="JHL1372" s="110"/>
      <c r="JHM1372" s="110"/>
      <c r="JHN1372" s="110"/>
      <c r="JHO1372" s="110"/>
      <c r="JHP1372" s="110"/>
      <c r="JHQ1372" s="110"/>
      <c r="JHR1372" s="110"/>
      <c r="JHS1372" s="110"/>
      <c r="JHT1372" s="110"/>
      <c r="JHU1372" s="110"/>
      <c r="JHV1372" s="110"/>
      <c r="JHW1372" s="110"/>
      <c r="JHX1372" s="110"/>
      <c r="JHY1372" s="110"/>
      <c r="JHZ1372" s="110"/>
      <c r="JIA1372" s="110"/>
      <c r="JIB1372" s="110"/>
      <c r="JIC1372" s="110"/>
      <c r="JID1372" s="110"/>
      <c r="JIE1372" s="110"/>
      <c r="JIF1372" s="110"/>
      <c r="JIG1372" s="110"/>
      <c r="JIH1372" s="110"/>
      <c r="JII1372" s="110"/>
      <c r="JIJ1372" s="110"/>
      <c r="JIK1372" s="110"/>
      <c r="JIL1372" s="110"/>
      <c r="JIM1372" s="110"/>
      <c r="JIN1372" s="110"/>
      <c r="JIO1372" s="110"/>
      <c r="JIP1372" s="110"/>
      <c r="JIQ1372" s="110"/>
      <c r="JIR1372" s="110"/>
      <c r="JIS1372" s="110"/>
      <c r="JIT1372" s="110"/>
      <c r="JIU1372" s="110"/>
      <c r="JIV1372" s="110"/>
      <c r="JIW1372" s="110"/>
      <c r="JIX1372" s="110"/>
      <c r="JIY1372" s="110"/>
      <c r="JIZ1372" s="110"/>
      <c r="JJA1372" s="110"/>
      <c r="JJB1372" s="110"/>
      <c r="JJC1372" s="110"/>
      <c r="JJD1372" s="110"/>
      <c r="JJE1372" s="110"/>
      <c r="JJF1372" s="110"/>
      <c r="JJG1372" s="110"/>
      <c r="JJH1372" s="110"/>
      <c r="JJI1372" s="110"/>
      <c r="JJJ1372" s="110"/>
      <c r="JJK1372" s="110"/>
      <c r="JJL1372" s="110"/>
      <c r="JJM1372" s="110"/>
      <c r="JJN1372" s="110"/>
      <c r="JJO1372" s="110"/>
      <c r="JJP1372" s="110"/>
      <c r="JJQ1372" s="110"/>
      <c r="JJR1372" s="110"/>
      <c r="JJS1372" s="110"/>
      <c r="JJT1372" s="110"/>
      <c r="JJU1372" s="110"/>
      <c r="JJV1372" s="110"/>
      <c r="JJW1372" s="110"/>
      <c r="JJX1372" s="110"/>
      <c r="JJY1372" s="110"/>
      <c r="JJZ1372" s="110"/>
      <c r="JKA1372" s="110"/>
      <c r="JKB1372" s="110"/>
      <c r="JKC1372" s="110"/>
      <c r="JKD1372" s="110"/>
      <c r="JKE1372" s="110"/>
      <c r="JKF1372" s="110"/>
      <c r="JKG1372" s="110"/>
      <c r="JKH1372" s="110"/>
      <c r="JKI1372" s="110"/>
      <c r="JKJ1372" s="110"/>
      <c r="JKK1372" s="110"/>
      <c r="JKL1372" s="110"/>
      <c r="JKM1372" s="110"/>
      <c r="JKN1372" s="110"/>
      <c r="JKO1372" s="110"/>
      <c r="JKP1372" s="110"/>
      <c r="JKQ1372" s="110"/>
      <c r="JKR1372" s="110"/>
      <c r="JKS1372" s="110"/>
      <c r="JKT1372" s="110"/>
      <c r="JKU1372" s="110"/>
      <c r="JKV1372" s="110"/>
      <c r="JKW1372" s="110"/>
      <c r="JKX1372" s="110"/>
      <c r="JKY1372" s="110"/>
      <c r="JKZ1372" s="110"/>
      <c r="JLA1372" s="110"/>
      <c r="JLB1372" s="110"/>
      <c r="JLC1372" s="110"/>
      <c r="JLD1372" s="110"/>
      <c r="JLE1372" s="110"/>
      <c r="JLF1372" s="110"/>
      <c r="JLG1372" s="110"/>
      <c r="JLH1372" s="110"/>
      <c r="JLI1372" s="110"/>
      <c r="JLJ1372" s="110"/>
      <c r="JLK1372" s="110"/>
      <c r="JLL1372" s="110"/>
      <c r="JLM1372" s="110"/>
      <c r="JLN1372" s="110"/>
      <c r="JLO1372" s="110"/>
      <c r="JLP1372" s="110"/>
      <c r="JLQ1372" s="110"/>
      <c r="JLR1372" s="110"/>
      <c r="JLS1372" s="110"/>
      <c r="JLT1372" s="110"/>
      <c r="JLU1372" s="110"/>
      <c r="JLV1372" s="110"/>
      <c r="JLW1372" s="110"/>
      <c r="JLX1372" s="110"/>
      <c r="JLY1372" s="110"/>
      <c r="JLZ1372" s="110"/>
      <c r="JMA1372" s="110"/>
      <c r="JMB1372" s="110"/>
      <c r="JMC1372" s="110"/>
      <c r="JMD1372" s="110"/>
      <c r="JME1372" s="110"/>
      <c r="JMF1372" s="110"/>
      <c r="JMG1372" s="110"/>
      <c r="JMH1372" s="110"/>
      <c r="JMI1372" s="110"/>
      <c r="JMJ1372" s="110"/>
      <c r="JMK1372" s="110"/>
      <c r="JML1372" s="110"/>
      <c r="JMM1372" s="110"/>
      <c r="JMN1372" s="110"/>
      <c r="JMO1372" s="110"/>
      <c r="JMP1372" s="110"/>
      <c r="JMQ1372" s="110"/>
      <c r="JMR1372" s="110"/>
      <c r="JMS1372" s="110"/>
      <c r="JMT1372" s="110"/>
      <c r="JMU1372" s="110"/>
      <c r="JMV1372" s="110"/>
      <c r="JMW1372" s="110"/>
      <c r="JMX1372" s="110"/>
      <c r="JMY1372" s="110"/>
      <c r="JMZ1372" s="110"/>
      <c r="JNA1372" s="110"/>
      <c r="JNB1372" s="110"/>
      <c r="JNC1372" s="110"/>
      <c r="JND1372" s="110"/>
      <c r="JNE1372" s="110"/>
      <c r="JNF1372" s="110"/>
      <c r="JNG1372" s="110"/>
      <c r="JNH1372" s="110"/>
      <c r="JNI1372" s="110"/>
      <c r="JNJ1372" s="110"/>
      <c r="JNK1372" s="110"/>
      <c r="JNL1372" s="110"/>
      <c r="JNM1372" s="110"/>
      <c r="JNN1372" s="110"/>
      <c r="JNO1372" s="110"/>
      <c r="JNP1372" s="110"/>
      <c r="JNQ1372" s="110"/>
      <c r="JNR1372" s="110"/>
      <c r="JNS1372" s="110"/>
      <c r="JNT1372" s="110"/>
      <c r="JNU1372" s="110"/>
      <c r="JNV1372" s="110"/>
      <c r="JNW1372" s="110"/>
      <c r="JNX1372" s="110"/>
      <c r="JNY1372" s="110"/>
      <c r="JNZ1372" s="110"/>
      <c r="JOA1372" s="110"/>
      <c r="JOB1372" s="110"/>
      <c r="JOC1372" s="110"/>
      <c r="JOD1372" s="110"/>
      <c r="JOE1372" s="110"/>
      <c r="JOF1372" s="110"/>
      <c r="JOG1372" s="110"/>
      <c r="JOH1372" s="110"/>
      <c r="JOI1372" s="110"/>
      <c r="JOJ1372" s="110"/>
      <c r="JOK1372" s="110"/>
      <c r="JOL1372" s="110"/>
      <c r="JOM1372" s="110"/>
      <c r="JON1372" s="110"/>
      <c r="JOO1372" s="110"/>
      <c r="JOP1372" s="110"/>
      <c r="JOQ1372" s="110"/>
      <c r="JOR1372" s="110"/>
      <c r="JOS1372" s="110"/>
      <c r="JOT1372" s="110"/>
      <c r="JOU1372" s="110"/>
      <c r="JOV1372" s="110"/>
      <c r="JOW1372" s="110"/>
      <c r="JOX1372" s="110"/>
      <c r="JOY1372" s="110"/>
      <c r="JOZ1372" s="110"/>
      <c r="JPA1372" s="110"/>
      <c r="JPB1372" s="110"/>
      <c r="JPC1372" s="110"/>
      <c r="JPD1372" s="110"/>
      <c r="JPE1372" s="110"/>
      <c r="JPF1372" s="110"/>
      <c r="JPG1372" s="110"/>
      <c r="JPH1372" s="110"/>
      <c r="JPI1372" s="110"/>
      <c r="JPJ1372" s="110"/>
      <c r="JPK1372" s="110"/>
      <c r="JPL1372" s="110"/>
      <c r="JPM1372" s="110"/>
      <c r="JPN1372" s="110"/>
      <c r="JPO1372" s="110"/>
      <c r="JPP1372" s="110"/>
      <c r="JPQ1372" s="110"/>
      <c r="JPR1372" s="110"/>
      <c r="JPS1372" s="110"/>
      <c r="JPT1372" s="110"/>
      <c r="JPU1372" s="110"/>
      <c r="JPV1372" s="110"/>
      <c r="JPW1372" s="110"/>
      <c r="JPX1372" s="110"/>
      <c r="JPY1372" s="110"/>
      <c r="JPZ1372" s="110"/>
      <c r="JQA1372" s="110"/>
      <c r="JQB1372" s="110"/>
      <c r="JQC1372" s="110"/>
      <c r="JQD1372" s="110"/>
      <c r="JQE1372" s="110"/>
      <c r="JQF1372" s="110"/>
      <c r="JQG1372" s="110"/>
      <c r="JQH1372" s="110"/>
      <c r="JQI1372" s="110"/>
      <c r="JQJ1372" s="110"/>
      <c r="JQK1372" s="110"/>
      <c r="JQL1372" s="110"/>
      <c r="JQM1372" s="110"/>
      <c r="JQN1372" s="110"/>
      <c r="JQO1372" s="110"/>
      <c r="JQP1372" s="110"/>
      <c r="JQQ1372" s="110"/>
      <c r="JQR1372" s="110"/>
      <c r="JQS1372" s="110"/>
      <c r="JQT1372" s="110"/>
      <c r="JQU1372" s="110"/>
      <c r="JQV1372" s="110"/>
      <c r="JQW1372" s="110"/>
      <c r="JQX1372" s="110"/>
      <c r="JQY1372" s="110"/>
      <c r="JQZ1372" s="110"/>
      <c r="JRA1372" s="110"/>
      <c r="JRB1372" s="110"/>
      <c r="JRC1372" s="110"/>
      <c r="JRD1372" s="110"/>
      <c r="JRE1372" s="110"/>
      <c r="JRF1372" s="110"/>
      <c r="JRG1372" s="110"/>
      <c r="JRH1372" s="110"/>
      <c r="JRI1372" s="110"/>
      <c r="JRJ1372" s="110"/>
      <c r="JRK1372" s="110"/>
      <c r="JRL1372" s="110"/>
      <c r="JRM1372" s="110"/>
      <c r="JRN1372" s="110"/>
      <c r="JRO1372" s="110"/>
      <c r="JRP1372" s="110"/>
      <c r="JRQ1372" s="110"/>
      <c r="JRR1372" s="110"/>
      <c r="JRS1372" s="110"/>
      <c r="JRT1372" s="110"/>
      <c r="JRU1372" s="110"/>
      <c r="JRV1372" s="110"/>
      <c r="JRW1372" s="110"/>
      <c r="JRX1372" s="110"/>
      <c r="JRY1372" s="110"/>
      <c r="JRZ1372" s="110"/>
      <c r="JSA1372" s="110"/>
      <c r="JSB1372" s="110"/>
      <c r="JSC1372" s="110"/>
      <c r="JSD1372" s="110"/>
      <c r="JSE1372" s="110"/>
      <c r="JSF1372" s="110"/>
      <c r="JSG1372" s="110"/>
      <c r="JSH1372" s="110"/>
      <c r="JSI1372" s="110"/>
      <c r="JSJ1372" s="110"/>
      <c r="JSK1372" s="110"/>
      <c r="JSL1372" s="110"/>
      <c r="JSM1372" s="110"/>
      <c r="JSN1372" s="110"/>
      <c r="JSO1372" s="110"/>
      <c r="JSP1372" s="110"/>
      <c r="JSQ1372" s="110"/>
      <c r="JSR1372" s="110"/>
      <c r="JSS1372" s="110"/>
      <c r="JST1372" s="110"/>
      <c r="JSU1372" s="110"/>
      <c r="JSV1372" s="110"/>
      <c r="JSW1372" s="110"/>
      <c r="JSX1372" s="110"/>
      <c r="JSY1372" s="110"/>
      <c r="JSZ1372" s="110"/>
      <c r="JTA1372" s="110"/>
      <c r="JTB1372" s="110"/>
      <c r="JTC1372" s="110"/>
      <c r="JTD1372" s="110"/>
      <c r="JTE1372" s="110"/>
      <c r="JTF1372" s="110"/>
      <c r="JTG1372" s="110"/>
      <c r="JTH1372" s="110"/>
      <c r="JTI1372" s="110"/>
      <c r="JTJ1372" s="110"/>
      <c r="JTK1372" s="110"/>
      <c r="JTL1372" s="110"/>
      <c r="JTM1372" s="110"/>
      <c r="JTN1372" s="110"/>
      <c r="JTO1372" s="110"/>
      <c r="JTP1372" s="110"/>
      <c r="JTQ1372" s="110"/>
      <c r="JTR1372" s="110"/>
      <c r="JTS1372" s="110"/>
      <c r="JTT1372" s="110"/>
      <c r="JTU1372" s="110"/>
      <c r="JTV1372" s="110"/>
      <c r="JTW1372" s="110"/>
      <c r="JTX1372" s="110"/>
      <c r="JTY1372" s="110"/>
      <c r="JTZ1372" s="110"/>
      <c r="JUA1372" s="110"/>
      <c r="JUB1372" s="110"/>
      <c r="JUC1372" s="110"/>
      <c r="JUD1372" s="110"/>
      <c r="JUE1372" s="110"/>
      <c r="JUF1372" s="110"/>
      <c r="JUG1372" s="110"/>
      <c r="JUH1372" s="110"/>
      <c r="JUI1372" s="110"/>
      <c r="JUJ1372" s="110"/>
      <c r="JUK1372" s="110"/>
      <c r="JUL1372" s="110"/>
      <c r="JUM1372" s="110"/>
      <c r="JUN1372" s="110"/>
      <c r="JUO1372" s="110"/>
      <c r="JUP1372" s="110"/>
      <c r="JUQ1372" s="110"/>
      <c r="JUR1372" s="110"/>
      <c r="JUS1372" s="110"/>
      <c r="JUT1372" s="110"/>
      <c r="JUU1372" s="110"/>
      <c r="JUV1372" s="110"/>
      <c r="JUW1372" s="110"/>
      <c r="JUX1372" s="110"/>
      <c r="JUY1372" s="110"/>
      <c r="JUZ1372" s="110"/>
      <c r="JVA1372" s="110"/>
      <c r="JVB1372" s="110"/>
      <c r="JVC1372" s="110"/>
      <c r="JVD1372" s="110"/>
      <c r="JVE1372" s="110"/>
      <c r="JVF1372" s="110"/>
      <c r="JVG1372" s="110"/>
      <c r="JVH1372" s="110"/>
      <c r="JVI1372" s="110"/>
      <c r="JVJ1372" s="110"/>
      <c r="JVK1372" s="110"/>
      <c r="JVL1372" s="110"/>
      <c r="JVM1372" s="110"/>
      <c r="JVN1372" s="110"/>
      <c r="JVO1372" s="110"/>
      <c r="JVP1372" s="110"/>
      <c r="JVQ1372" s="110"/>
      <c r="JVR1372" s="110"/>
      <c r="JVS1372" s="110"/>
      <c r="JVT1372" s="110"/>
      <c r="JVU1372" s="110"/>
      <c r="JVV1372" s="110"/>
      <c r="JVW1372" s="110"/>
      <c r="JVX1372" s="110"/>
      <c r="JVY1372" s="110"/>
      <c r="JVZ1372" s="110"/>
      <c r="JWA1372" s="110"/>
      <c r="JWB1372" s="110"/>
      <c r="JWC1372" s="110"/>
      <c r="JWD1372" s="110"/>
      <c r="JWE1372" s="110"/>
      <c r="JWF1372" s="110"/>
      <c r="JWG1372" s="110"/>
      <c r="JWH1372" s="110"/>
      <c r="JWI1372" s="110"/>
      <c r="JWJ1372" s="110"/>
      <c r="JWK1372" s="110"/>
      <c r="JWL1372" s="110"/>
      <c r="JWM1372" s="110"/>
      <c r="JWN1372" s="110"/>
      <c r="JWO1372" s="110"/>
      <c r="JWP1372" s="110"/>
      <c r="JWQ1372" s="110"/>
      <c r="JWR1372" s="110"/>
      <c r="JWS1372" s="110"/>
      <c r="JWT1372" s="110"/>
      <c r="JWU1372" s="110"/>
      <c r="JWV1372" s="110"/>
      <c r="JWW1372" s="110"/>
      <c r="JWX1372" s="110"/>
      <c r="JWY1372" s="110"/>
      <c r="JWZ1372" s="110"/>
      <c r="JXA1372" s="110"/>
      <c r="JXB1372" s="110"/>
      <c r="JXC1372" s="110"/>
      <c r="JXD1372" s="110"/>
      <c r="JXE1372" s="110"/>
      <c r="JXF1372" s="110"/>
      <c r="JXG1372" s="110"/>
      <c r="JXH1372" s="110"/>
      <c r="JXI1372" s="110"/>
      <c r="JXJ1372" s="110"/>
      <c r="JXK1372" s="110"/>
      <c r="JXL1372" s="110"/>
      <c r="JXM1372" s="110"/>
      <c r="JXN1372" s="110"/>
      <c r="JXO1372" s="110"/>
      <c r="JXP1372" s="110"/>
      <c r="JXQ1372" s="110"/>
      <c r="JXR1372" s="110"/>
      <c r="JXS1372" s="110"/>
      <c r="JXT1372" s="110"/>
      <c r="JXU1372" s="110"/>
      <c r="JXV1372" s="110"/>
      <c r="JXW1372" s="110"/>
      <c r="JXX1372" s="110"/>
      <c r="JXY1372" s="110"/>
      <c r="JXZ1372" s="110"/>
      <c r="JYA1372" s="110"/>
      <c r="JYB1372" s="110"/>
      <c r="JYC1372" s="110"/>
      <c r="JYD1372" s="110"/>
      <c r="JYE1372" s="110"/>
      <c r="JYF1372" s="110"/>
      <c r="JYG1372" s="110"/>
      <c r="JYH1372" s="110"/>
      <c r="JYI1372" s="110"/>
      <c r="JYJ1372" s="110"/>
      <c r="JYK1372" s="110"/>
      <c r="JYL1372" s="110"/>
      <c r="JYM1372" s="110"/>
      <c r="JYN1372" s="110"/>
      <c r="JYO1372" s="110"/>
      <c r="JYP1372" s="110"/>
      <c r="JYQ1372" s="110"/>
      <c r="JYR1372" s="110"/>
      <c r="JYS1372" s="110"/>
      <c r="JYT1372" s="110"/>
      <c r="JYU1372" s="110"/>
      <c r="JYV1372" s="110"/>
      <c r="JYW1372" s="110"/>
      <c r="JYX1372" s="110"/>
      <c r="JYY1372" s="110"/>
      <c r="JYZ1372" s="110"/>
      <c r="JZA1372" s="110"/>
      <c r="JZB1372" s="110"/>
      <c r="JZC1372" s="110"/>
      <c r="JZD1372" s="110"/>
      <c r="JZE1372" s="110"/>
      <c r="JZF1372" s="110"/>
      <c r="JZG1372" s="110"/>
      <c r="JZH1372" s="110"/>
      <c r="JZI1372" s="110"/>
      <c r="JZJ1372" s="110"/>
      <c r="JZK1372" s="110"/>
      <c r="JZL1372" s="110"/>
      <c r="JZM1372" s="110"/>
      <c r="JZN1372" s="110"/>
      <c r="JZO1372" s="110"/>
      <c r="JZP1372" s="110"/>
      <c r="JZQ1372" s="110"/>
      <c r="JZR1372" s="110"/>
      <c r="JZS1372" s="110"/>
      <c r="JZT1372" s="110"/>
      <c r="JZU1372" s="110"/>
      <c r="JZV1372" s="110"/>
      <c r="JZW1372" s="110"/>
      <c r="JZX1372" s="110"/>
      <c r="JZY1372" s="110"/>
      <c r="JZZ1372" s="110"/>
      <c r="KAA1372" s="110"/>
      <c r="KAB1372" s="110"/>
      <c r="KAC1372" s="110"/>
      <c r="KAD1372" s="110"/>
      <c r="KAE1372" s="110"/>
      <c r="KAF1372" s="110"/>
      <c r="KAG1372" s="110"/>
      <c r="KAH1372" s="110"/>
      <c r="KAI1372" s="110"/>
      <c r="KAJ1372" s="110"/>
      <c r="KAK1372" s="110"/>
      <c r="KAL1372" s="110"/>
      <c r="KAM1372" s="110"/>
      <c r="KAN1372" s="110"/>
      <c r="KAO1372" s="110"/>
      <c r="KAP1372" s="110"/>
      <c r="KAQ1372" s="110"/>
      <c r="KAR1372" s="110"/>
      <c r="KAS1372" s="110"/>
      <c r="KAT1372" s="110"/>
      <c r="KAU1372" s="110"/>
      <c r="KAV1372" s="110"/>
      <c r="KAW1372" s="110"/>
      <c r="KAX1372" s="110"/>
      <c r="KAY1372" s="110"/>
      <c r="KAZ1372" s="110"/>
      <c r="KBA1372" s="110"/>
      <c r="KBB1372" s="110"/>
      <c r="KBC1372" s="110"/>
      <c r="KBD1372" s="110"/>
      <c r="KBE1372" s="110"/>
      <c r="KBF1372" s="110"/>
      <c r="KBG1372" s="110"/>
      <c r="KBH1372" s="110"/>
      <c r="KBI1372" s="110"/>
      <c r="KBJ1372" s="110"/>
      <c r="KBK1372" s="110"/>
      <c r="KBL1372" s="110"/>
      <c r="KBM1372" s="110"/>
      <c r="KBN1372" s="110"/>
      <c r="KBO1372" s="110"/>
      <c r="KBP1372" s="110"/>
      <c r="KBQ1372" s="110"/>
      <c r="KBR1372" s="110"/>
      <c r="KBS1372" s="110"/>
      <c r="KBT1372" s="110"/>
      <c r="KBU1372" s="110"/>
      <c r="KBV1372" s="110"/>
      <c r="KBW1372" s="110"/>
      <c r="KBX1372" s="110"/>
      <c r="KBY1372" s="110"/>
      <c r="KBZ1372" s="110"/>
      <c r="KCA1372" s="110"/>
      <c r="KCB1372" s="110"/>
      <c r="KCC1372" s="110"/>
      <c r="KCD1372" s="110"/>
      <c r="KCE1372" s="110"/>
      <c r="KCF1372" s="110"/>
      <c r="KCG1372" s="110"/>
      <c r="KCH1372" s="110"/>
      <c r="KCI1372" s="110"/>
      <c r="KCJ1372" s="110"/>
      <c r="KCK1372" s="110"/>
      <c r="KCL1372" s="110"/>
      <c r="KCM1372" s="110"/>
      <c r="KCN1372" s="110"/>
      <c r="KCO1372" s="110"/>
      <c r="KCP1372" s="110"/>
      <c r="KCQ1372" s="110"/>
      <c r="KCR1372" s="110"/>
      <c r="KCS1372" s="110"/>
      <c r="KCT1372" s="110"/>
      <c r="KCU1372" s="110"/>
      <c r="KCV1372" s="110"/>
      <c r="KCW1372" s="110"/>
      <c r="KCX1372" s="110"/>
      <c r="KCY1372" s="110"/>
      <c r="KCZ1372" s="110"/>
      <c r="KDA1372" s="110"/>
      <c r="KDB1372" s="110"/>
      <c r="KDC1372" s="110"/>
      <c r="KDD1372" s="110"/>
      <c r="KDE1372" s="110"/>
      <c r="KDF1372" s="110"/>
      <c r="KDG1372" s="110"/>
      <c r="KDH1372" s="110"/>
      <c r="KDI1372" s="110"/>
      <c r="KDJ1372" s="110"/>
      <c r="KDK1372" s="110"/>
      <c r="KDL1372" s="110"/>
      <c r="KDM1372" s="110"/>
      <c r="KDN1372" s="110"/>
      <c r="KDO1372" s="110"/>
      <c r="KDP1372" s="110"/>
      <c r="KDQ1372" s="110"/>
      <c r="KDR1372" s="110"/>
      <c r="KDS1372" s="110"/>
      <c r="KDT1372" s="110"/>
      <c r="KDU1372" s="110"/>
      <c r="KDV1372" s="110"/>
      <c r="KDW1372" s="110"/>
      <c r="KDX1372" s="110"/>
      <c r="KDY1372" s="110"/>
      <c r="KDZ1372" s="110"/>
      <c r="KEA1372" s="110"/>
      <c r="KEB1372" s="110"/>
      <c r="KEC1372" s="110"/>
      <c r="KED1372" s="110"/>
      <c r="KEE1372" s="110"/>
      <c r="KEF1372" s="110"/>
      <c r="KEG1372" s="110"/>
      <c r="KEH1372" s="110"/>
      <c r="KEI1372" s="110"/>
      <c r="KEJ1372" s="110"/>
      <c r="KEK1372" s="110"/>
      <c r="KEL1372" s="110"/>
      <c r="KEM1372" s="110"/>
      <c r="KEN1372" s="110"/>
      <c r="KEO1372" s="110"/>
      <c r="KEP1372" s="110"/>
      <c r="KEQ1372" s="110"/>
      <c r="KER1372" s="110"/>
      <c r="KES1372" s="110"/>
      <c r="KET1372" s="110"/>
      <c r="KEU1372" s="110"/>
      <c r="KEV1372" s="110"/>
      <c r="KEW1372" s="110"/>
      <c r="KEX1372" s="110"/>
      <c r="KEY1372" s="110"/>
      <c r="KEZ1372" s="110"/>
      <c r="KFA1372" s="110"/>
      <c r="KFB1372" s="110"/>
      <c r="KFC1372" s="110"/>
      <c r="KFD1372" s="110"/>
      <c r="KFE1372" s="110"/>
      <c r="KFF1372" s="110"/>
      <c r="KFG1372" s="110"/>
      <c r="KFH1372" s="110"/>
      <c r="KFI1372" s="110"/>
      <c r="KFJ1372" s="110"/>
      <c r="KFK1372" s="110"/>
      <c r="KFL1372" s="110"/>
      <c r="KFM1372" s="110"/>
      <c r="KFN1372" s="110"/>
      <c r="KFO1372" s="110"/>
      <c r="KFP1372" s="110"/>
      <c r="KFQ1372" s="110"/>
      <c r="KFR1372" s="110"/>
      <c r="KFS1372" s="110"/>
      <c r="KFT1372" s="110"/>
      <c r="KFU1372" s="110"/>
      <c r="KFV1372" s="110"/>
      <c r="KFW1372" s="110"/>
      <c r="KFX1372" s="110"/>
      <c r="KFY1372" s="110"/>
      <c r="KFZ1372" s="110"/>
      <c r="KGA1372" s="110"/>
      <c r="KGB1372" s="110"/>
      <c r="KGC1372" s="110"/>
      <c r="KGD1372" s="110"/>
      <c r="KGE1372" s="110"/>
      <c r="KGF1372" s="110"/>
      <c r="KGG1372" s="110"/>
      <c r="KGH1372" s="110"/>
      <c r="KGI1372" s="110"/>
      <c r="KGJ1372" s="110"/>
      <c r="KGK1372" s="110"/>
      <c r="KGL1372" s="110"/>
      <c r="KGM1372" s="110"/>
      <c r="KGN1372" s="110"/>
      <c r="KGO1372" s="110"/>
      <c r="KGP1372" s="110"/>
      <c r="KGQ1372" s="110"/>
      <c r="KGR1372" s="110"/>
      <c r="KGS1372" s="110"/>
      <c r="KGT1372" s="110"/>
      <c r="KGU1372" s="110"/>
      <c r="KGV1372" s="110"/>
      <c r="KGW1372" s="110"/>
      <c r="KGX1372" s="110"/>
      <c r="KGY1372" s="110"/>
      <c r="KGZ1372" s="110"/>
      <c r="KHA1372" s="110"/>
      <c r="KHB1372" s="110"/>
      <c r="KHC1372" s="110"/>
      <c r="KHD1372" s="110"/>
      <c r="KHE1372" s="110"/>
      <c r="KHF1372" s="110"/>
      <c r="KHG1372" s="110"/>
      <c r="KHH1372" s="110"/>
      <c r="KHI1372" s="110"/>
      <c r="KHJ1372" s="110"/>
      <c r="KHK1372" s="110"/>
      <c r="KHL1372" s="110"/>
      <c r="KHM1372" s="110"/>
      <c r="KHN1372" s="110"/>
      <c r="KHO1372" s="110"/>
      <c r="KHP1372" s="110"/>
      <c r="KHQ1372" s="110"/>
      <c r="KHR1372" s="110"/>
      <c r="KHS1372" s="110"/>
      <c r="KHT1372" s="110"/>
      <c r="KHU1372" s="110"/>
      <c r="KHV1372" s="110"/>
      <c r="KHW1372" s="110"/>
      <c r="KHX1372" s="110"/>
      <c r="KHY1372" s="110"/>
      <c r="KHZ1372" s="110"/>
      <c r="KIA1372" s="110"/>
      <c r="KIB1372" s="110"/>
      <c r="KIC1372" s="110"/>
      <c r="KID1372" s="110"/>
      <c r="KIE1372" s="110"/>
      <c r="KIF1372" s="110"/>
      <c r="KIG1372" s="110"/>
      <c r="KIH1372" s="110"/>
      <c r="KII1372" s="110"/>
      <c r="KIJ1372" s="110"/>
      <c r="KIK1372" s="110"/>
      <c r="KIL1372" s="110"/>
      <c r="KIM1372" s="110"/>
      <c r="KIN1372" s="110"/>
      <c r="KIO1372" s="110"/>
      <c r="KIP1372" s="110"/>
      <c r="KIQ1372" s="110"/>
      <c r="KIR1372" s="110"/>
      <c r="KIS1372" s="110"/>
      <c r="KIT1372" s="110"/>
      <c r="KIU1372" s="110"/>
      <c r="KIV1372" s="110"/>
      <c r="KIW1372" s="110"/>
      <c r="KIX1372" s="110"/>
      <c r="KIY1372" s="110"/>
      <c r="KIZ1372" s="110"/>
      <c r="KJA1372" s="110"/>
      <c r="KJB1372" s="110"/>
      <c r="KJC1372" s="110"/>
      <c r="KJD1372" s="110"/>
      <c r="KJE1372" s="110"/>
      <c r="KJF1372" s="110"/>
      <c r="KJG1372" s="110"/>
      <c r="KJH1372" s="110"/>
      <c r="KJI1372" s="110"/>
      <c r="KJJ1372" s="110"/>
      <c r="KJK1372" s="110"/>
      <c r="KJL1372" s="110"/>
      <c r="KJM1372" s="110"/>
      <c r="KJN1372" s="110"/>
      <c r="KJO1372" s="110"/>
      <c r="KJP1372" s="110"/>
      <c r="KJQ1372" s="110"/>
      <c r="KJR1372" s="110"/>
      <c r="KJS1372" s="110"/>
      <c r="KJT1372" s="110"/>
      <c r="KJU1372" s="110"/>
      <c r="KJV1372" s="110"/>
      <c r="KJW1372" s="110"/>
      <c r="KJX1372" s="110"/>
      <c r="KJY1372" s="110"/>
      <c r="KJZ1372" s="110"/>
      <c r="KKA1372" s="110"/>
      <c r="KKB1372" s="110"/>
      <c r="KKC1372" s="110"/>
      <c r="KKD1372" s="110"/>
      <c r="KKE1372" s="110"/>
      <c r="KKF1372" s="110"/>
      <c r="KKG1372" s="110"/>
      <c r="KKH1372" s="110"/>
      <c r="KKI1372" s="110"/>
      <c r="KKJ1372" s="110"/>
      <c r="KKK1372" s="110"/>
      <c r="KKL1372" s="110"/>
      <c r="KKM1372" s="110"/>
      <c r="KKN1372" s="110"/>
      <c r="KKO1372" s="110"/>
      <c r="KKP1372" s="110"/>
      <c r="KKQ1372" s="110"/>
      <c r="KKR1372" s="110"/>
      <c r="KKS1372" s="110"/>
      <c r="KKT1372" s="110"/>
      <c r="KKU1372" s="110"/>
      <c r="KKV1372" s="110"/>
      <c r="KKW1372" s="110"/>
      <c r="KKX1372" s="110"/>
      <c r="KKY1372" s="110"/>
      <c r="KKZ1372" s="110"/>
      <c r="KLA1372" s="110"/>
      <c r="KLB1372" s="110"/>
      <c r="KLC1372" s="110"/>
      <c r="KLD1372" s="110"/>
      <c r="KLE1372" s="110"/>
      <c r="KLF1372" s="110"/>
      <c r="KLG1372" s="110"/>
      <c r="KLH1372" s="110"/>
      <c r="KLI1372" s="110"/>
      <c r="KLJ1372" s="110"/>
      <c r="KLK1372" s="110"/>
      <c r="KLL1372" s="110"/>
      <c r="KLM1372" s="110"/>
      <c r="KLN1372" s="110"/>
      <c r="KLO1372" s="110"/>
      <c r="KLP1372" s="110"/>
      <c r="KLQ1372" s="110"/>
      <c r="KLR1372" s="110"/>
      <c r="KLS1372" s="110"/>
      <c r="KLT1372" s="110"/>
      <c r="KLU1372" s="110"/>
      <c r="KLV1372" s="110"/>
      <c r="KLW1372" s="110"/>
      <c r="KLX1372" s="110"/>
      <c r="KLY1372" s="110"/>
      <c r="KLZ1372" s="110"/>
      <c r="KMA1372" s="110"/>
      <c r="KMB1372" s="110"/>
      <c r="KMC1372" s="110"/>
      <c r="KMD1372" s="110"/>
      <c r="KME1372" s="110"/>
      <c r="KMF1372" s="110"/>
      <c r="KMG1372" s="110"/>
      <c r="KMH1372" s="110"/>
      <c r="KMI1372" s="110"/>
      <c r="KMJ1372" s="110"/>
      <c r="KMK1372" s="110"/>
      <c r="KML1372" s="110"/>
      <c r="KMM1372" s="110"/>
      <c r="KMN1372" s="110"/>
      <c r="KMO1372" s="110"/>
      <c r="KMP1372" s="110"/>
      <c r="KMQ1372" s="110"/>
      <c r="KMR1372" s="110"/>
      <c r="KMS1372" s="110"/>
      <c r="KMT1372" s="110"/>
      <c r="KMU1372" s="110"/>
      <c r="KMV1372" s="110"/>
      <c r="KMW1372" s="110"/>
      <c r="KMX1372" s="110"/>
      <c r="KMY1372" s="110"/>
      <c r="KMZ1372" s="110"/>
      <c r="KNA1372" s="110"/>
      <c r="KNB1372" s="110"/>
      <c r="KNC1372" s="110"/>
      <c r="KND1372" s="110"/>
      <c r="KNE1372" s="110"/>
      <c r="KNF1372" s="110"/>
      <c r="KNG1372" s="110"/>
      <c r="KNH1372" s="110"/>
      <c r="KNI1372" s="110"/>
      <c r="KNJ1372" s="110"/>
      <c r="KNK1372" s="110"/>
      <c r="KNL1372" s="110"/>
      <c r="KNM1372" s="110"/>
      <c r="KNN1372" s="110"/>
      <c r="KNO1372" s="110"/>
      <c r="KNP1372" s="110"/>
      <c r="KNQ1372" s="110"/>
      <c r="KNR1372" s="110"/>
      <c r="KNS1372" s="110"/>
      <c r="KNT1372" s="110"/>
      <c r="KNU1372" s="110"/>
      <c r="KNV1372" s="110"/>
      <c r="KNW1372" s="110"/>
      <c r="KNX1372" s="110"/>
      <c r="KNY1372" s="110"/>
      <c r="KNZ1372" s="110"/>
      <c r="KOA1372" s="110"/>
      <c r="KOB1372" s="110"/>
      <c r="KOC1372" s="110"/>
      <c r="KOD1372" s="110"/>
      <c r="KOE1372" s="110"/>
      <c r="KOF1372" s="110"/>
      <c r="KOG1372" s="110"/>
      <c r="KOH1372" s="110"/>
      <c r="KOI1372" s="110"/>
      <c r="KOJ1372" s="110"/>
      <c r="KOK1372" s="110"/>
      <c r="KOL1372" s="110"/>
      <c r="KOM1372" s="110"/>
      <c r="KON1372" s="110"/>
      <c r="KOO1372" s="110"/>
      <c r="KOP1372" s="110"/>
      <c r="KOQ1372" s="110"/>
      <c r="KOR1372" s="110"/>
      <c r="KOS1372" s="110"/>
      <c r="KOT1372" s="110"/>
      <c r="KOU1372" s="110"/>
      <c r="KOV1372" s="110"/>
      <c r="KOW1372" s="110"/>
      <c r="KOX1372" s="110"/>
      <c r="KOY1372" s="110"/>
      <c r="KOZ1372" s="110"/>
      <c r="KPA1372" s="110"/>
      <c r="KPB1372" s="110"/>
      <c r="KPC1372" s="110"/>
      <c r="KPD1372" s="110"/>
      <c r="KPE1372" s="110"/>
      <c r="KPF1372" s="110"/>
      <c r="KPG1372" s="110"/>
      <c r="KPH1372" s="110"/>
      <c r="KPI1372" s="110"/>
      <c r="KPJ1372" s="110"/>
      <c r="KPK1372" s="110"/>
      <c r="KPL1372" s="110"/>
      <c r="KPM1372" s="110"/>
      <c r="KPN1372" s="110"/>
      <c r="KPO1372" s="110"/>
      <c r="KPP1372" s="110"/>
      <c r="KPQ1372" s="110"/>
      <c r="KPR1372" s="110"/>
      <c r="KPS1372" s="110"/>
      <c r="KPT1372" s="110"/>
      <c r="KPU1372" s="110"/>
      <c r="KPV1372" s="110"/>
      <c r="KPW1372" s="110"/>
      <c r="KPX1372" s="110"/>
      <c r="KPY1372" s="110"/>
      <c r="KPZ1372" s="110"/>
      <c r="KQA1372" s="110"/>
      <c r="KQB1372" s="110"/>
      <c r="KQC1372" s="110"/>
      <c r="KQD1372" s="110"/>
      <c r="KQE1372" s="110"/>
      <c r="KQF1372" s="110"/>
      <c r="KQG1372" s="110"/>
      <c r="KQH1372" s="110"/>
      <c r="KQI1372" s="110"/>
      <c r="KQJ1372" s="110"/>
      <c r="KQK1372" s="110"/>
      <c r="KQL1372" s="110"/>
      <c r="KQM1372" s="110"/>
      <c r="KQN1372" s="110"/>
      <c r="KQO1372" s="110"/>
      <c r="KQP1372" s="110"/>
      <c r="KQQ1372" s="110"/>
      <c r="KQR1372" s="110"/>
      <c r="KQS1372" s="110"/>
      <c r="KQT1372" s="110"/>
      <c r="KQU1372" s="110"/>
      <c r="KQV1372" s="110"/>
      <c r="KQW1372" s="110"/>
      <c r="KQX1372" s="110"/>
      <c r="KQY1372" s="110"/>
      <c r="KQZ1372" s="110"/>
      <c r="KRA1372" s="110"/>
      <c r="KRB1372" s="110"/>
      <c r="KRC1372" s="110"/>
      <c r="KRD1372" s="110"/>
      <c r="KRE1372" s="110"/>
      <c r="KRF1372" s="110"/>
      <c r="KRG1372" s="110"/>
      <c r="KRH1372" s="110"/>
      <c r="KRI1372" s="110"/>
      <c r="KRJ1372" s="110"/>
      <c r="KRK1372" s="110"/>
      <c r="KRL1372" s="110"/>
      <c r="KRM1372" s="110"/>
      <c r="KRN1372" s="110"/>
      <c r="KRO1372" s="110"/>
      <c r="KRP1372" s="110"/>
      <c r="KRQ1372" s="110"/>
      <c r="KRR1372" s="110"/>
      <c r="KRS1372" s="110"/>
      <c r="KRT1372" s="110"/>
      <c r="KRU1372" s="110"/>
      <c r="KRV1372" s="110"/>
      <c r="KRW1372" s="110"/>
      <c r="KRX1372" s="110"/>
      <c r="KRY1372" s="110"/>
      <c r="KRZ1372" s="110"/>
      <c r="KSA1372" s="110"/>
      <c r="KSB1372" s="110"/>
      <c r="KSC1372" s="110"/>
      <c r="KSD1372" s="110"/>
      <c r="KSE1372" s="110"/>
      <c r="KSF1372" s="110"/>
      <c r="KSG1372" s="110"/>
      <c r="KSH1372" s="110"/>
      <c r="KSI1372" s="110"/>
      <c r="KSJ1372" s="110"/>
      <c r="KSK1372" s="110"/>
      <c r="KSL1372" s="110"/>
      <c r="KSM1372" s="110"/>
      <c r="KSN1372" s="110"/>
      <c r="KSO1372" s="110"/>
      <c r="KSP1372" s="110"/>
      <c r="KSQ1372" s="110"/>
      <c r="KSR1372" s="110"/>
      <c r="KSS1372" s="110"/>
      <c r="KST1372" s="110"/>
      <c r="KSU1372" s="110"/>
      <c r="KSV1372" s="110"/>
      <c r="KSW1372" s="110"/>
      <c r="KSX1372" s="110"/>
      <c r="KSY1372" s="110"/>
      <c r="KSZ1372" s="110"/>
      <c r="KTA1372" s="110"/>
      <c r="KTB1372" s="110"/>
      <c r="KTC1372" s="110"/>
      <c r="KTD1372" s="110"/>
      <c r="KTE1372" s="110"/>
      <c r="KTF1372" s="110"/>
      <c r="KTG1372" s="110"/>
      <c r="KTH1372" s="110"/>
      <c r="KTI1372" s="110"/>
      <c r="KTJ1372" s="110"/>
      <c r="KTK1372" s="110"/>
      <c r="KTL1372" s="110"/>
      <c r="KTM1372" s="110"/>
      <c r="KTN1372" s="110"/>
      <c r="KTO1372" s="110"/>
      <c r="KTP1372" s="110"/>
      <c r="KTQ1372" s="110"/>
      <c r="KTR1372" s="110"/>
      <c r="KTS1372" s="110"/>
      <c r="KTT1372" s="110"/>
      <c r="KTU1372" s="110"/>
      <c r="KTV1372" s="110"/>
      <c r="KTW1372" s="110"/>
      <c r="KTX1372" s="110"/>
      <c r="KTY1372" s="110"/>
      <c r="KTZ1372" s="110"/>
      <c r="KUA1372" s="110"/>
      <c r="KUB1372" s="110"/>
      <c r="KUC1372" s="110"/>
      <c r="KUD1372" s="110"/>
      <c r="KUE1372" s="110"/>
      <c r="KUF1372" s="110"/>
      <c r="KUG1372" s="110"/>
      <c r="KUH1372" s="110"/>
      <c r="KUI1372" s="110"/>
      <c r="KUJ1372" s="110"/>
      <c r="KUK1372" s="110"/>
      <c r="KUL1372" s="110"/>
      <c r="KUM1372" s="110"/>
      <c r="KUN1372" s="110"/>
      <c r="KUO1372" s="110"/>
      <c r="KUP1372" s="110"/>
      <c r="KUQ1372" s="110"/>
      <c r="KUR1372" s="110"/>
      <c r="KUS1372" s="110"/>
      <c r="KUT1372" s="110"/>
      <c r="KUU1372" s="110"/>
      <c r="KUV1372" s="110"/>
      <c r="KUW1372" s="110"/>
      <c r="KUX1372" s="110"/>
      <c r="KUY1372" s="110"/>
      <c r="KUZ1372" s="110"/>
      <c r="KVA1372" s="110"/>
      <c r="KVB1372" s="110"/>
      <c r="KVC1372" s="110"/>
      <c r="KVD1372" s="110"/>
      <c r="KVE1372" s="110"/>
      <c r="KVF1372" s="110"/>
      <c r="KVG1372" s="110"/>
      <c r="KVH1372" s="110"/>
      <c r="KVI1372" s="110"/>
      <c r="KVJ1372" s="110"/>
      <c r="KVK1372" s="110"/>
      <c r="KVL1372" s="110"/>
      <c r="KVM1372" s="110"/>
      <c r="KVN1372" s="110"/>
      <c r="KVO1372" s="110"/>
      <c r="KVP1372" s="110"/>
      <c r="KVQ1372" s="110"/>
      <c r="KVR1372" s="110"/>
      <c r="KVS1372" s="110"/>
      <c r="KVT1372" s="110"/>
      <c r="KVU1372" s="110"/>
      <c r="KVV1372" s="110"/>
      <c r="KVW1372" s="110"/>
      <c r="KVX1372" s="110"/>
      <c r="KVY1372" s="110"/>
      <c r="KVZ1372" s="110"/>
      <c r="KWA1372" s="110"/>
      <c r="KWB1372" s="110"/>
      <c r="KWC1372" s="110"/>
      <c r="KWD1372" s="110"/>
      <c r="KWE1372" s="110"/>
      <c r="KWF1372" s="110"/>
      <c r="KWG1372" s="110"/>
      <c r="KWH1372" s="110"/>
      <c r="KWI1372" s="110"/>
      <c r="KWJ1372" s="110"/>
      <c r="KWK1372" s="110"/>
      <c r="KWL1372" s="110"/>
      <c r="KWM1372" s="110"/>
      <c r="KWN1372" s="110"/>
      <c r="KWO1372" s="110"/>
      <c r="KWP1372" s="110"/>
      <c r="KWQ1372" s="110"/>
      <c r="KWR1372" s="110"/>
      <c r="KWS1372" s="110"/>
      <c r="KWT1372" s="110"/>
      <c r="KWU1372" s="110"/>
      <c r="KWV1372" s="110"/>
      <c r="KWW1372" s="110"/>
      <c r="KWX1372" s="110"/>
      <c r="KWY1372" s="110"/>
      <c r="KWZ1372" s="110"/>
      <c r="KXA1372" s="110"/>
      <c r="KXB1372" s="110"/>
      <c r="KXC1372" s="110"/>
      <c r="KXD1372" s="110"/>
      <c r="KXE1372" s="110"/>
      <c r="KXF1372" s="110"/>
      <c r="KXG1372" s="110"/>
      <c r="KXH1372" s="110"/>
      <c r="KXI1372" s="110"/>
      <c r="KXJ1372" s="110"/>
      <c r="KXK1372" s="110"/>
      <c r="KXL1372" s="110"/>
      <c r="KXM1372" s="110"/>
      <c r="KXN1372" s="110"/>
      <c r="KXO1372" s="110"/>
      <c r="KXP1372" s="110"/>
      <c r="KXQ1372" s="110"/>
      <c r="KXR1372" s="110"/>
      <c r="KXS1372" s="110"/>
      <c r="KXT1372" s="110"/>
      <c r="KXU1372" s="110"/>
      <c r="KXV1372" s="110"/>
      <c r="KXW1372" s="110"/>
      <c r="KXX1372" s="110"/>
      <c r="KXY1372" s="110"/>
      <c r="KXZ1372" s="110"/>
      <c r="KYA1372" s="110"/>
      <c r="KYB1372" s="110"/>
      <c r="KYC1372" s="110"/>
      <c r="KYD1372" s="110"/>
      <c r="KYE1372" s="110"/>
      <c r="KYF1372" s="110"/>
      <c r="KYG1372" s="110"/>
      <c r="KYH1372" s="110"/>
      <c r="KYI1372" s="110"/>
      <c r="KYJ1372" s="110"/>
      <c r="KYK1372" s="110"/>
      <c r="KYL1372" s="110"/>
      <c r="KYM1372" s="110"/>
      <c r="KYN1372" s="110"/>
      <c r="KYO1372" s="110"/>
      <c r="KYP1372" s="110"/>
      <c r="KYQ1372" s="110"/>
      <c r="KYR1372" s="110"/>
      <c r="KYS1372" s="110"/>
      <c r="KYT1372" s="110"/>
      <c r="KYU1372" s="110"/>
      <c r="KYV1372" s="110"/>
      <c r="KYW1372" s="110"/>
      <c r="KYX1372" s="110"/>
      <c r="KYY1372" s="110"/>
      <c r="KYZ1372" s="110"/>
      <c r="KZA1372" s="110"/>
      <c r="KZB1372" s="110"/>
      <c r="KZC1372" s="110"/>
      <c r="KZD1372" s="110"/>
      <c r="KZE1372" s="110"/>
      <c r="KZF1372" s="110"/>
      <c r="KZG1372" s="110"/>
      <c r="KZH1372" s="110"/>
      <c r="KZI1372" s="110"/>
      <c r="KZJ1372" s="110"/>
      <c r="KZK1372" s="110"/>
      <c r="KZL1372" s="110"/>
      <c r="KZM1372" s="110"/>
      <c r="KZN1372" s="110"/>
      <c r="KZO1372" s="110"/>
      <c r="KZP1372" s="110"/>
      <c r="KZQ1372" s="110"/>
      <c r="KZR1372" s="110"/>
      <c r="KZS1372" s="110"/>
      <c r="KZT1372" s="110"/>
      <c r="KZU1372" s="110"/>
      <c r="KZV1372" s="110"/>
      <c r="KZW1372" s="110"/>
      <c r="KZX1372" s="110"/>
      <c r="KZY1372" s="110"/>
      <c r="KZZ1372" s="110"/>
      <c r="LAA1372" s="110"/>
      <c r="LAB1372" s="110"/>
      <c r="LAC1372" s="110"/>
      <c r="LAD1372" s="110"/>
      <c r="LAE1372" s="110"/>
      <c r="LAF1372" s="110"/>
      <c r="LAG1372" s="110"/>
      <c r="LAH1372" s="110"/>
      <c r="LAI1372" s="110"/>
      <c r="LAJ1372" s="110"/>
      <c r="LAK1372" s="110"/>
      <c r="LAL1372" s="110"/>
      <c r="LAM1372" s="110"/>
      <c r="LAN1372" s="110"/>
      <c r="LAO1372" s="110"/>
      <c r="LAP1372" s="110"/>
      <c r="LAQ1372" s="110"/>
      <c r="LAR1372" s="110"/>
      <c r="LAS1372" s="110"/>
      <c r="LAT1372" s="110"/>
      <c r="LAU1372" s="110"/>
      <c r="LAV1372" s="110"/>
      <c r="LAW1372" s="110"/>
      <c r="LAX1372" s="110"/>
      <c r="LAY1372" s="110"/>
      <c r="LAZ1372" s="110"/>
      <c r="LBA1372" s="110"/>
      <c r="LBB1372" s="110"/>
      <c r="LBC1372" s="110"/>
      <c r="LBD1372" s="110"/>
      <c r="LBE1372" s="110"/>
      <c r="LBF1372" s="110"/>
      <c r="LBG1372" s="110"/>
      <c r="LBH1372" s="110"/>
      <c r="LBI1372" s="110"/>
      <c r="LBJ1372" s="110"/>
      <c r="LBK1372" s="110"/>
      <c r="LBL1372" s="110"/>
      <c r="LBM1372" s="110"/>
      <c r="LBN1372" s="110"/>
      <c r="LBO1372" s="110"/>
      <c r="LBP1372" s="110"/>
      <c r="LBQ1372" s="110"/>
      <c r="LBR1372" s="110"/>
      <c r="LBS1372" s="110"/>
      <c r="LBT1372" s="110"/>
      <c r="LBU1372" s="110"/>
      <c r="LBV1372" s="110"/>
      <c r="LBW1372" s="110"/>
      <c r="LBX1372" s="110"/>
      <c r="LBY1372" s="110"/>
      <c r="LBZ1372" s="110"/>
      <c r="LCA1372" s="110"/>
      <c r="LCB1372" s="110"/>
      <c r="LCC1372" s="110"/>
      <c r="LCD1372" s="110"/>
      <c r="LCE1372" s="110"/>
      <c r="LCF1372" s="110"/>
      <c r="LCG1372" s="110"/>
      <c r="LCH1372" s="110"/>
      <c r="LCI1372" s="110"/>
      <c r="LCJ1372" s="110"/>
      <c r="LCK1372" s="110"/>
      <c r="LCL1372" s="110"/>
      <c r="LCM1372" s="110"/>
      <c r="LCN1372" s="110"/>
      <c r="LCO1372" s="110"/>
      <c r="LCP1372" s="110"/>
      <c r="LCQ1372" s="110"/>
      <c r="LCR1372" s="110"/>
      <c r="LCS1372" s="110"/>
      <c r="LCT1372" s="110"/>
      <c r="LCU1372" s="110"/>
      <c r="LCV1372" s="110"/>
      <c r="LCW1372" s="110"/>
      <c r="LCX1372" s="110"/>
      <c r="LCY1372" s="110"/>
      <c r="LCZ1372" s="110"/>
      <c r="LDA1372" s="110"/>
      <c r="LDB1372" s="110"/>
      <c r="LDC1372" s="110"/>
      <c r="LDD1372" s="110"/>
      <c r="LDE1372" s="110"/>
      <c r="LDF1372" s="110"/>
      <c r="LDG1372" s="110"/>
      <c r="LDH1372" s="110"/>
      <c r="LDI1372" s="110"/>
      <c r="LDJ1372" s="110"/>
      <c r="LDK1372" s="110"/>
      <c r="LDL1372" s="110"/>
      <c r="LDM1372" s="110"/>
      <c r="LDN1372" s="110"/>
      <c r="LDO1372" s="110"/>
      <c r="LDP1372" s="110"/>
      <c r="LDQ1372" s="110"/>
      <c r="LDR1372" s="110"/>
      <c r="LDS1372" s="110"/>
      <c r="LDT1372" s="110"/>
      <c r="LDU1372" s="110"/>
      <c r="LDV1372" s="110"/>
      <c r="LDW1372" s="110"/>
      <c r="LDX1372" s="110"/>
      <c r="LDY1372" s="110"/>
      <c r="LDZ1372" s="110"/>
      <c r="LEA1372" s="110"/>
      <c r="LEB1372" s="110"/>
      <c r="LEC1372" s="110"/>
      <c r="LED1372" s="110"/>
      <c r="LEE1372" s="110"/>
      <c r="LEF1372" s="110"/>
      <c r="LEG1372" s="110"/>
      <c r="LEH1372" s="110"/>
      <c r="LEI1372" s="110"/>
      <c r="LEJ1372" s="110"/>
      <c r="LEK1372" s="110"/>
      <c r="LEL1372" s="110"/>
      <c r="LEM1372" s="110"/>
      <c r="LEN1372" s="110"/>
      <c r="LEO1372" s="110"/>
      <c r="LEP1372" s="110"/>
      <c r="LEQ1372" s="110"/>
      <c r="LER1372" s="110"/>
      <c r="LES1372" s="110"/>
      <c r="LET1372" s="110"/>
      <c r="LEU1372" s="110"/>
      <c r="LEV1372" s="110"/>
      <c r="LEW1372" s="110"/>
      <c r="LEX1372" s="110"/>
      <c r="LEY1372" s="110"/>
      <c r="LEZ1372" s="110"/>
      <c r="LFA1372" s="110"/>
      <c r="LFB1372" s="110"/>
      <c r="LFC1372" s="110"/>
      <c r="LFD1372" s="110"/>
      <c r="LFE1372" s="110"/>
      <c r="LFF1372" s="110"/>
      <c r="LFG1372" s="110"/>
      <c r="LFH1372" s="110"/>
      <c r="LFI1372" s="110"/>
      <c r="LFJ1372" s="110"/>
      <c r="LFK1372" s="110"/>
      <c r="LFL1372" s="110"/>
      <c r="LFM1372" s="110"/>
      <c r="LFN1372" s="110"/>
      <c r="LFO1372" s="110"/>
      <c r="LFP1372" s="110"/>
      <c r="LFQ1372" s="110"/>
      <c r="LFR1372" s="110"/>
      <c r="LFS1372" s="110"/>
      <c r="LFT1372" s="110"/>
      <c r="LFU1372" s="110"/>
      <c r="LFV1372" s="110"/>
      <c r="LFW1372" s="110"/>
      <c r="LFX1372" s="110"/>
      <c r="LFY1372" s="110"/>
      <c r="LFZ1372" s="110"/>
      <c r="LGA1372" s="110"/>
      <c r="LGB1372" s="110"/>
      <c r="LGC1372" s="110"/>
      <c r="LGD1372" s="110"/>
      <c r="LGE1372" s="110"/>
      <c r="LGF1372" s="110"/>
      <c r="LGG1372" s="110"/>
      <c r="LGH1372" s="110"/>
      <c r="LGI1372" s="110"/>
      <c r="LGJ1372" s="110"/>
      <c r="LGK1372" s="110"/>
      <c r="LGL1372" s="110"/>
      <c r="LGM1372" s="110"/>
      <c r="LGN1372" s="110"/>
      <c r="LGO1372" s="110"/>
      <c r="LGP1372" s="110"/>
      <c r="LGQ1372" s="110"/>
      <c r="LGR1372" s="110"/>
      <c r="LGS1372" s="110"/>
      <c r="LGT1372" s="110"/>
      <c r="LGU1372" s="110"/>
      <c r="LGV1372" s="110"/>
      <c r="LGW1372" s="110"/>
      <c r="LGX1372" s="110"/>
      <c r="LGY1372" s="110"/>
      <c r="LGZ1372" s="110"/>
      <c r="LHA1372" s="110"/>
      <c r="LHB1372" s="110"/>
      <c r="LHC1372" s="110"/>
      <c r="LHD1372" s="110"/>
      <c r="LHE1372" s="110"/>
      <c r="LHF1372" s="110"/>
      <c r="LHG1372" s="110"/>
      <c r="LHH1372" s="110"/>
      <c r="LHI1372" s="110"/>
      <c r="LHJ1372" s="110"/>
      <c r="LHK1372" s="110"/>
      <c r="LHL1372" s="110"/>
      <c r="LHM1372" s="110"/>
      <c r="LHN1372" s="110"/>
      <c r="LHO1372" s="110"/>
      <c r="LHP1372" s="110"/>
      <c r="LHQ1372" s="110"/>
      <c r="LHR1372" s="110"/>
      <c r="LHS1372" s="110"/>
      <c r="LHT1372" s="110"/>
      <c r="LHU1372" s="110"/>
      <c r="LHV1372" s="110"/>
      <c r="LHW1372" s="110"/>
      <c r="LHX1372" s="110"/>
      <c r="LHY1372" s="110"/>
      <c r="LHZ1372" s="110"/>
      <c r="LIA1372" s="110"/>
      <c r="LIB1372" s="110"/>
      <c r="LIC1372" s="110"/>
      <c r="LID1372" s="110"/>
      <c r="LIE1372" s="110"/>
      <c r="LIF1372" s="110"/>
      <c r="LIG1372" s="110"/>
      <c r="LIH1372" s="110"/>
      <c r="LII1372" s="110"/>
      <c r="LIJ1372" s="110"/>
      <c r="LIK1372" s="110"/>
      <c r="LIL1372" s="110"/>
      <c r="LIM1372" s="110"/>
      <c r="LIN1372" s="110"/>
      <c r="LIO1372" s="110"/>
      <c r="LIP1372" s="110"/>
      <c r="LIQ1372" s="110"/>
      <c r="LIR1372" s="110"/>
      <c r="LIS1372" s="110"/>
      <c r="LIT1372" s="110"/>
      <c r="LIU1372" s="110"/>
      <c r="LIV1372" s="110"/>
      <c r="LIW1372" s="110"/>
      <c r="LIX1372" s="110"/>
      <c r="LIY1372" s="110"/>
      <c r="LIZ1372" s="110"/>
      <c r="LJA1372" s="110"/>
      <c r="LJB1372" s="110"/>
      <c r="LJC1372" s="110"/>
      <c r="LJD1372" s="110"/>
      <c r="LJE1372" s="110"/>
      <c r="LJF1372" s="110"/>
      <c r="LJG1372" s="110"/>
      <c r="LJH1372" s="110"/>
      <c r="LJI1372" s="110"/>
      <c r="LJJ1372" s="110"/>
      <c r="LJK1372" s="110"/>
      <c r="LJL1372" s="110"/>
      <c r="LJM1372" s="110"/>
      <c r="LJN1372" s="110"/>
      <c r="LJO1372" s="110"/>
      <c r="LJP1372" s="110"/>
      <c r="LJQ1372" s="110"/>
      <c r="LJR1372" s="110"/>
      <c r="LJS1372" s="110"/>
      <c r="LJT1372" s="110"/>
      <c r="LJU1372" s="110"/>
      <c r="LJV1372" s="110"/>
      <c r="LJW1372" s="110"/>
      <c r="LJX1372" s="110"/>
      <c r="LJY1372" s="110"/>
      <c r="LJZ1372" s="110"/>
      <c r="LKA1372" s="110"/>
      <c r="LKB1372" s="110"/>
      <c r="LKC1372" s="110"/>
      <c r="LKD1372" s="110"/>
      <c r="LKE1372" s="110"/>
      <c r="LKF1372" s="110"/>
      <c r="LKG1372" s="110"/>
      <c r="LKH1372" s="110"/>
      <c r="LKI1372" s="110"/>
      <c r="LKJ1372" s="110"/>
      <c r="LKK1372" s="110"/>
      <c r="LKL1372" s="110"/>
      <c r="LKM1372" s="110"/>
      <c r="LKN1372" s="110"/>
      <c r="LKO1372" s="110"/>
      <c r="LKP1372" s="110"/>
      <c r="LKQ1372" s="110"/>
      <c r="LKR1372" s="110"/>
      <c r="LKS1372" s="110"/>
      <c r="LKT1372" s="110"/>
      <c r="LKU1372" s="110"/>
      <c r="LKV1372" s="110"/>
      <c r="LKW1372" s="110"/>
      <c r="LKX1372" s="110"/>
      <c r="LKY1372" s="110"/>
      <c r="LKZ1372" s="110"/>
      <c r="LLA1372" s="110"/>
      <c r="LLB1372" s="110"/>
      <c r="LLC1372" s="110"/>
      <c r="LLD1372" s="110"/>
      <c r="LLE1372" s="110"/>
      <c r="LLF1372" s="110"/>
      <c r="LLG1372" s="110"/>
      <c r="LLH1372" s="110"/>
      <c r="LLI1372" s="110"/>
      <c r="LLJ1372" s="110"/>
      <c r="LLK1372" s="110"/>
      <c r="LLL1372" s="110"/>
      <c r="LLM1372" s="110"/>
      <c r="LLN1372" s="110"/>
      <c r="LLO1372" s="110"/>
      <c r="LLP1372" s="110"/>
      <c r="LLQ1372" s="110"/>
      <c r="LLR1372" s="110"/>
      <c r="LLS1372" s="110"/>
      <c r="LLT1372" s="110"/>
      <c r="LLU1372" s="110"/>
      <c r="LLV1372" s="110"/>
      <c r="LLW1372" s="110"/>
      <c r="LLX1372" s="110"/>
      <c r="LLY1372" s="110"/>
      <c r="LLZ1372" s="110"/>
      <c r="LMA1372" s="110"/>
      <c r="LMB1372" s="110"/>
      <c r="LMC1372" s="110"/>
      <c r="LMD1372" s="110"/>
      <c r="LME1372" s="110"/>
      <c r="LMF1372" s="110"/>
      <c r="LMG1372" s="110"/>
      <c r="LMH1372" s="110"/>
      <c r="LMI1372" s="110"/>
      <c r="LMJ1372" s="110"/>
      <c r="LMK1372" s="110"/>
      <c r="LML1372" s="110"/>
      <c r="LMM1372" s="110"/>
      <c r="LMN1372" s="110"/>
      <c r="LMO1372" s="110"/>
      <c r="LMP1372" s="110"/>
      <c r="LMQ1372" s="110"/>
      <c r="LMR1372" s="110"/>
      <c r="LMS1372" s="110"/>
      <c r="LMT1372" s="110"/>
      <c r="LMU1372" s="110"/>
      <c r="LMV1372" s="110"/>
      <c r="LMW1372" s="110"/>
      <c r="LMX1372" s="110"/>
      <c r="LMY1372" s="110"/>
      <c r="LMZ1372" s="110"/>
      <c r="LNA1372" s="110"/>
      <c r="LNB1372" s="110"/>
      <c r="LNC1372" s="110"/>
      <c r="LND1372" s="110"/>
      <c r="LNE1372" s="110"/>
      <c r="LNF1372" s="110"/>
      <c r="LNG1372" s="110"/>
      <c r="LNH1372" s="110"/>
      <c r="LNI1372" s="110"/>
      <c r="LNJ1372" s="110"/>
      <c r="LNK1372" s="110"/>
      <c r="LNL1372" s="110"/>
      <c r="LNM1372" s="110"/>
      <c r="LNN1372" s="110"/>
      <c r="LNO1372" s="110"/>
      <c r="LNP1372" s="110"/>
      <c r="LNQ1372" s="110"/>
      <c r="LNR1372" s="110"/>
      <c r="LNS1372" s="110"/>
      <c r="LNT1372" s="110"/>
      <c r="LNU1372" s="110"/>
      <c r="LNV1372" s="110"/>
      <c r="LNW1372" s="110"/>
      <c r="LNX1372" s="110"/>
      <c r="LNY1372" s="110"/>
      <c r="LNZ1372" s="110"/>
      <c r="LOA1372" s="110"/>
      <c r="LOB1372" s="110"/>
      <c r="LOC1372" s="110"/>
      <c r="LOD1372" s="110"/>
      <c r="LOE1372" s="110"/>
      <c r="LOF1372" s="110"/>
      <c r="LOG1372" s="110"/>
      <c r="LOH1372" s="110"/>
      <c r="LOI1372" s="110"/>
      <c r="LOJ1372" s="110"/>
      <c r="LOK1372" s="110"/>
      <c r="LOL1372" s="110"/>
      <c r="LOM1372" s="110"/>
      <c r="LON1372" s="110"/>
      <c r="LOO1372" s="110"/>
      <c r="LOP1372" s="110"/>
      <c r="LOQ1372" s="110"/>
      <c r="LOR1372" s="110"/>
      <c r="LOS1372" s="110"/>
      <c r="LOT1372" s="110"/>
      <c r="LOU1372" s="110"/>
      <c r="LOV1372" s="110"/>
      <c r="LOW1372" s="110"/>
      <c r="LOX1372" s="110"/>
      <c r="LOY1372" s="110"/>
      <c r="LOZ1372" s="110"/>
      <c r="LPA1372" s="110"/>
      <c r="LPB1372" s="110"/>
      <c r="LPC1372" s="110"/>
      <c r="LPD1372" s="110"/>
      <c r="LPE1372" s="110"/>
      <c r="LPF1372" s="110"/>
      <c r="LPG1372" s="110"/>
      <c r="LPH1372" s="110"/>
      <c r="LPI1372" s="110"/>
      <c r="LPJ1372" s="110"/>
      <c r="LPK1372" s="110"/>
      <c r="LPL1372" s="110"/>
      <c r="LPM1372" s="110"/>
      <c r="LPN1372" s="110"/>
      <c r="LPO1372" s="110"/>
      <c r="LPP1372" s="110"/>
      <c r="LPQ1372" s="110"/>
      <c r="LPR1372" s="110"/>
      <c r="LPS1372" s="110"/>
      <c r="LPT1372" s="110"/>
      <c r="LPU1372" s="110"/>
      <c r="LPV1372" s="110"/>
      <c r="LPW1372" s="110"/>
      <c r="LPX1372" s="110"/>
      <c r="LPY1372" s="110"/>
      <c r="LPZ1372" s="110"/>
      <c r="LQA1372" s="110"/>
      <c r="LQB1372" s="110"/>
      <c r="LQC1372" s="110"/>
      <c r="LQD1372" s="110"/>
      <c r="LQE1372" s="110"/>
      <c r="LQF1372" s="110"/>
      <c r="LQG1372" s="110"/>
      <c r="LQH1372" s="110"/>
      <c r="LQI1372" s="110"/>
      <c r="LQJ1372" s="110"/>
      <c r="LQK1372" s="110"/>
      <c r="LQL1372" s="110"/>
      <c r="LQM1372" s="110"/>
      <c r="LQN1372" s="110"/>
      <c r="LQO1372" s="110"/>
      <c r="LQP1372" s="110"/>
      <c r="LQQ1372" s="110"/>
      <c r="LQR1372" s="110"/>
      <c r="LQS1372" s="110"/>
      <c r="LQT1372" s="110"/>
      <c r="LQU1372" s="110"/>
      <c r="LQV1372" s="110"/>
      <c r="LQW1372" s="110"/>
      <c r="LQX1372" s="110"/>
      <c r="LQY1372" s="110"/>
      <c r="LQZ1372" s="110"/>
      <c r="LRA1372" s="110"/>
      <c r="LRB1372" s="110"/>
      <c r="LRC1372" s="110"/>
      <c r="LRD1372" s="110"/>
      <c r="LRE1372" s="110"/>
      <c r="LRF1372" s="110"/>
      <c r="LRG1372" s="110"/>
      <c r="LRH1372" s="110"/>
      <c r="LRI1372" s="110"/>
      <c r="LRJ1372" s="110"/>
      <c r="LRK1372" s="110"/>
      <c r="LRL1372" s="110"/>
      <c r="LRM1372" s="110"/>
      <c r="LRN1372" s="110"/>
      <c r="LRO1372" s="110"/>
      <c r="LRP1372" s="110"/>
      <c r="LRQ1372" s="110"/>
      <c r="LRR1372" s="110"/>
      <c r="LRS1372" s="110"/>
      <c r="LRT1372" s="110"/>
      <c r="LRU1372" s="110"/>
      <c r="LRV1372" s="110"/>
      <c r="LRW1372" s="110"/>
      <c r="LRX1372" s="110"/>
      <c r="LRY1372" s="110"/>
      <c r="LRZ1372" s="110"/>
      <c r="LSA1372" s="110"/>
      <c r="LSB1372" s="110"/>
      <c r="LSC1372" s="110"/>
      <c r="LSD1372" s="110"/>
      <c r="LSE1372" s="110"/>
      <c r="LSF1372" s="110"/>
      <c r="LSG1372" s="110"/>
      <c r="LSH1372" s="110"/>
      <c r="LSI1372" s="110"/>
      <c r="LSJ1372" s="110"/>
      <c r="LSK1372" s="110"/>
      <c r="LSL1372" s="110"/>
      <c r="LSM1372" s="110"/>
      <c r="LSN1372" s="110"/>
      <c r="LSO1372" s="110"/>
      <c r="LSP1372" s="110"/>
      <c r="LSQ1372" s="110"/>
      <c r="LSR1372" s="110"/>
      <c r="LSS1372" s="110"/>
      <c r="LST1372" s="110"/>
      <c r="LSU1372" s="110"/>
      <c r="LSV1372" s="110"/>
      <c r="LSW1372" s="110"/>
      <c r="LSX1372" s="110"/>
      <c r="LSY1372" s="110"/>
      <c r="LSZ1372" s="110"/>
      <c r="LTA1372" s="110"/>
      <c r="LTB1372" s="110"/>
      <c r="LTC1372" s="110"/>
      <c r="LTD1372" s="110"/>
      <c r="LTE1372" s="110"/>
      <c r="LTF1372" s="110"/>
      <c r="LTG1372" s="110"/>
      <c r="LTH1372" s="110"/>
      <c r="LTI1372" s="110"/>
      <c r="LTJ1372" s="110"/>
      <c r="LTK1372" s="110"/>
      <c r="LTL1372" s="110"/>
      <c r="LTM1372" s="110"/>
      <c r="LTN1372" s="110"/>
      <c r="LTO1372" s="110"/>
      <c r="LTP1372" s="110"/>
      <c r="LTQ1372" s="110"/>
      <c r="LTR1372" s="110"/>
      <c r="LTS1372" s="110"/>
      <c r="LTT1372" s="110"/>
      <c r="LTU1372" s="110"/>
      <c r="LTV1372" s="110"/>
      <c r="LTW1372" s="110"/>
      <c r="LTX1372" s="110"/>
      <c r="LTY1372" s="110"/>
      <c r="LTZ1372" s="110"/>
      <c r="LUA1372" s="110"/>
      <c r="LUB1372" s="110"/>
      <c r="LUC1372" s="110"/>
      <c r="LUD1372" s="110"/>
      <c r="LUE1372" s="110"/>
      <c r="LUF1372" s="110"/>
      <c r="LUG1372" s="110"/>
      <c r="LUH1372" s="110"/>
      <c r="LUI1372" s="110"/>
      <c r="LUJ1372" s="110"/>
      <c r="LUK1372" s="110"/>
      <c r="LUL1372" s="110"/>
      <c r="LUM1372" s="110"/>
      <c r="LUN1372" s="110"/>
      <c r="LUO1372" s="110"/>
      <c r="LUP1372" s="110"/>
      <c r="LUQ1372" s="110"/>
      <c r="LUR1372" s="110"/>
      <c r="LUS1372" s="110"/>
      <c r="LUT1372" s="110"/>
      <c r="LUU1372" s="110"/>
      <c r="LUV1372" s="110"/>
      <c r="LUW1372" s="110"/>
      <c r="LUX1372" s="110"/>
      <c r="LUY1372" s="110"/>
      <c r="LUZ1372" s="110"/>
      <c r="LVA1372" s="110"/>
      <c r="LVB1372" s="110"/>
      <c r="LVC1372" s="110"/>
      <c r="LVD1372" s="110"/>
      <c r="LVE1372" s="110"/>
      <c r="LVF1372" s="110"/>
      <c r="LVG1372" s="110"/>
      <c r="LVH1372" s="110"/>
      <c r="LVI1372" s="110"/>
      <c r="LVJ1372" s="110"/>
      <c r="LVK1372" s="110"/>
      <c r="LVL1372" s="110"/>
      <c r="LVM1372" s="110"/>
      <c r="LVN1372" s="110"/>
      <c r="LVO1372" s="110"/>
      <c r="LVP1372" s="110"/>
      <c r="LVQ1372" s="110"/>
      <c r="LVR1372" s="110"/>
      <c r="LVS1372" s="110"/>
      <c r="LVT1372" s="110"/>
      <c r="LVU1372" s="110"/>
      <c r="LVV1372" s="110"/>
      <c r="LVW1372" s="110"/>
      <c r="LVX1372" s="110"/>
      <c r="LVY1372" s="110"/>
      <c r="LVZ1372" s="110"/>
      <c r="LWA1372" s="110"/>
      <c r="LWB1372" s="110"/>
      <c r="LWC1372" s="110"/>
      <c r="LWD1372" s="110"/>
      <c r="LWE1372" s="110"/>
      <c r="LWF1372" s="110"/>
      <c r="LWG1372" s="110"/>
      <c r="LWH1372" s="110"/>
      <c r="LWI1372" s="110"/>
      <c r="LWJ1372" s="110"/>
      <c r="LWK1372" s="110"/>
      <c r="LWL1372" s="110"/>
      <c r="LWM1372" s="110"/>
      <c r="LWN1372" s="110"/>
      <c r="LWO1372" s="110"/>
      <c r="LWP1372" s="110"/>
      <c r="LWQ1372" s="110"/>
      <c r="LWR1372" s="110"/>
      <c r="LWS1372" s="110"/>
      <c r="LWT1372" s="110"/>
      <c r="LWU1372" s="110"/>
      <c r="LWV1372" s="110"/>
      <c r="LWW1372" s="110"/>
      <c r="LWX1372" s="110"/>
      <c r="LWY1372" s="110"/>
      <c r="LWZ1372" s="110"/>
      <c r="LXA1372" s="110"/>
      <c r="LXB1372" s="110"/>
      <c r="LXC1372" s="110"/>
      <c r="LXD1372" s="110"/>
      <c r="LXE1372" s="110"/>
      <c r="LXF1372" s="110"/>
      <c r="LXG1372" s="110"/>
      <c r="LXH1372" s="110"/>
      <c r="LXI1372" s="110"/>
      <c r="LXJ1372" s="110"/>
      <c r="LXK1372" s="110"/>
      <c r="LXL1372" s="110"/>
      <c r="LXM1372" s="110"/>
      <c r="LXN1372" s="110"/>
      <c r="LXO1372" s="110"/>
      <c r="LXP1372" s="110"/>
      <c r="LXQ1372" s="110"/>
      <c r="LXR1372" s="110"/>
      <c r="LXS1372" s="110"/>
      <c r="LXT1372" s="110"/>
      <c r="LXU1372" s="110"/>
      <c r="LXV1372" s="110"/>
      <c r="LXW1372" s="110"/>
      <c r="LXX1372" s="110"/>
      <c r="LXY1372" s="110"/>
      <c r="LXZ1372" s="110"/>
      <c r="LYA1372" s="110"/>
      <c r="LYB1372" s="110"/>
      <c r="LYC1372" s="110"/>
      <c r="LYD1372" s="110"/>
      <c r="LYE1372" s="110"/>
      <c r="LYF1372" s="110"/>
      <c r="LYG1372" s="110"/>
      <c r="LYH1372" s="110"/>
      <c r="LYI1372" s="110"/>
      <c r="LYJ1372" s="110"/>
      <c r="LYK1372" s="110"/>
      <c r="LYL1372" s="110"/>
      <c r="LYM1372" s="110"/>
      <c r="LYN1372" s="110"/>
      <c r="LYO1372" s="110"/>
      <c r="LYP1372" s="110"/>
      <c r="LYQ1372" s="110"/>
      <c r="LYR1372" s="110"/>
      <c r="LYS1372" s="110"/>
      <c r="LYT1372" s="110"/>
      <c r="LYU1372" s="110"/>
      <c r="LYV1372" s="110"/>
      <c r="LYW1372" s="110"/>
      <c r="LYX1372" s="110"/>
      <c r="LYY1372" s="110"/>
      <c r="LYZ1372" s="110"/>
      <c r="LZA1372" s="110"/>
      <c r="LZB1372" s="110"/>
      <c r="LZC1372" s="110"/>
      <c r="LZD1372" s="110"/>
      <c r="LZE1372" s="110"/>
      <c r="LZF1372" s="110"/>
      <c r="LZG1372" s="110"/>
      <c r="LZH1372" s="110"/>
      <c r="LZI1372" s="110"/>
      <c r="LZJ1372" s="110"/>
      <c r="LZK1372" s="110"/>
      <c r="LZL1372" s="110"/>
      <c r="LZM1372" s="110"/>
      <c r="LZN1372" s="110"/>
      <c r="LZO1372" s="110"/>
      <c r="LZP1372" s="110"/>
      <c r="LZQ1372" s="110"/>
      <c r="LZR1372" s="110"/>
      <c r="LZS1372" s="110"/>
      <c r="LZT1372" s="110"/>
      <c r="LZU1372" s="110"/>
      <c r="LZV1372" s="110"/>
      <c r="LZW1372" s="110"/>
      <c r="LZX1372" s="110"/>
      <c r="LZY1372" s="110"/>
      <c r="LZZ1372" s="110"/>
      <c r="MAA1372" s="110"/>
      <c r="MAB1372" s="110"/>
      <c r="MAC1372" s="110"/>
      <c r="MAD1372" s="110"/>
      <c r="MAE1372" s="110"/>
      <c r="MAF1372" s="110"/>
      <c r="MAG1372" s="110"/>
      <c r="MAH1372" s="110"/>
      <c r="MAI1372" s="110"/>
      <c r="MAJ1372" s="110"/>
      <c r="MAK1372" s="110"/>
      <c r="MAL1372" s="110"/>
      <c r="MAM1372" s="110"/>
      <c r="MAN1372" s="110"/>
      <c r="MAO1372" s="110"/>
      <c r="MAP1372" s="110"/>
      <c r="MAQ1372" s="110"/>
      <c r="MAR1372" s="110"/>
      <c r="MAS1372" s="110"/>
      <c r="MAT1372" s="110"/>
      <c r="MAU1372" s="110"/>
      <c r="MAV1372" s="110"/>
      <c r="MAW1372" s="110"/>
      <c r="MAX1372" s="110"/>
      <c r="MAY1372" s="110"/>
      <c r="MAZ1372" s="110"/>
      <c r="MBA1372" s="110"/>
      <c r="MBB1372" s="110"/>
      <c r="MBC1372" s="110"/>
      <c r="MBD1372" s="110"/>
      <c r="MBE1372" s="110"/>
      <c r="MBF1372" s="110"/>
      <c r="MBG1372" s="110"/>
      <c r="MBH1372" s="110"/>
      <c r="MBI1372" s="110"/>
      <c r="MBJ1372" s="110"/>
      <c r="MBK1372" s="110"/>
      <c r="MBL1372" s="110"/>
      <c r="MBM1372" s="110"/>
      <c r="MBN1372" s="110"/>
      <c r="MBO1372" s="110"/>
      <c r="MBP1372" s="110"/>
      <c r="MBQ1372" s="110"/>
      <c r="MBR1372" s="110"/>
      <c r="MBS1372" s="110"/>
      <c r="MBT1372" s="110"/>
      <c r="MBU1372" s="110"/>
      <c r="MBV1372" s="110"/>
      <c r="MBW1372" s="110"/>
      <c r="MBX1372" s="110"/>
      <c r="MBY1372" s="110"/>
      <c r="MBZ1372" s="110"/>
      <c r="MCA1372" s="110"/>
      <c r="MCB1372" s="110"/>
      <c r="MCC1372" s="110"/>
      <c r="MCD1372" s="110"/>
      <c r="MCE1372" s="110"/>
      <c r="MCF1372" s="110"/>
      <c r="MCG1372" s="110"/>
      <c r="MCH1372" s="110"/>
      <c r="MCI1372" s="110"/>
      <c r="MCJ1372" s="110"/>
      <c r="MCK1372" s="110"/>
      <c r="MCL1372" s="110"/>
      <c r="MCM1372" s="110"/>
      <c r="MCN1372" s="110"/>
      <c r="MCO1372" s="110"/>
      <c r="MCP1372" s="110"/>
      <c r="MCQ1372" s="110"/>
      <c r="MCR1372" s="110"/>
      <c r="MCS1372" s="110"/>
      <c r="MCT1372" s="110"/>
      <c r="MCU1372" s="110"/>
      <c r="MCV1372" s="110"/>
      <c r="MCW1372" s="110"/>
      <c r="MCX1372" s="110"/>
      <c r="MCY1372" s="110"/>
      <c r="MCZ1372" s="110"/>
      <c r="MDA1372" s="110"/>
      <c r="MDB1372" s="110"/>
      <c r="MDC1372" s="110"/>
      <c r="MDD1372" s="110"/>
      <c r="MDE1372" s="110"/>
      <c r="MDF1372" s="110"/>
      <c r="MDG1372" s="110"/>
      <c r="MDH1372" s="110"/>
      <c r="MDI1372" s="110"/>
      <c r="MDJ1372" s="110"/>
      <c r="MDK1372" s="110"/>
      <c r="MDL1372" s="110"/>
      <c r="MDM1372" s="110"/>
      <c r="MDN1372" s="110"/>
      <c r="MDO1372" s="110"/>
      <c r="MDP1372" s="110"/>
      <c r="MDQ1372" s="110"/>
      <c r="MDR1372" s="110"/>
      <c r="MDS1372" s="110"/>
      <c r="MDT1372" s="110"/>
      <c r="MDU1372" s="110"/>
      <c r="MDV1372" s="110"/>
      <c r="MDW1372" s="110"/>
      <c r="MDX1372" s="110"/>
      <c r="MDY1372" s="110"/>
      <c r="MDZ1372" s="110"/>
      <c r="MEA1372" s="110"/>
      <c r="MEB1372" s="110"/>
      <c r="MEC1372" s="110"/>
      <c r="MED1372" s="110"/>
      <c r="MEE1372" s="110"/>
      <c r="MEF1372" s="110"/>
      <c r="MEG1372" s="110"/>
      <c r="MEH1372" s="110"/>
      <c r="MEI1372" s="110"/>
      <c r="MEJ1372" s="110"/>
      <c r="MEK1372" s="110"/>
      <c r="MEL1372" s="110"/>
      <c r="MEM1372" s="110"/>
      <c r="MEN1372" s="110"/>
      <c r="MEO1372" s="110"/>
      <c r="MEP1372" s="110"/>
      <c r="MEQ1372" s="110"/>
      <c r="MER1372" s="110"/>
      <c r="MES1372" s="110"/>
      <c r="MET1372" s="110"/>
      <c r="MEU1372" s="110"/>
      <c r="MEV1372" s="110"/>
      <c r="MEW1372" s="110"/>
      <c r="MEX1372" s="110"/>
      <c r="MEY1372" s="110"/>
      <c r="MEZ1372" s="110"/>
      <c r="MFA1372" s="110"/>
      <c r="MFB1372" s="110"/>
      <c r="MFC1372" s="110"/>
      <c r="MFD1372" s="110"/>
      <c r="MFE1372" s="110"/>
      <c r="MFF1372" s="110"/>
      <c r="MFG1372" s="110"/>
      <c r="MFH1372" s="110"/>
      <c r="MFI1372" s="110"/>
      <c r="MFJ1372" s="110"/>
      <c r="MFK1372" s="110"/>
      <c r="MFL1372" s="110"/>
      <c r="MFM1372" s="110"/>
      <c r="MFN1372" s="110"/>
      <c r="MFO1372" s="110"/>
      <c r="MFP1372" s="110"/>
      <c r="MFQ1372" s="110"/>
      <c r="MFR1372" s="110"/>
      <c r="MFS1372" s="110"/>
      <c r="MFT1372" s="110"/>
      <c r="MFU1372" s="110"/>
      <c r="MFV1372" s="110"/>
      <c r="MFW1372" s="110"/>
      <c r="MFX1372" s="110"/>
      <c r="MFY1372" s="110"/>
      <c r="MFZ1372" s="110"/>
      <c r="MGA1372" s="110"/>
      <c r="MGB1372" s="110"/>
      <c r="MGC1372" s="110"/>
      <c r="MGD1372" s="110"/>
      <c r="MGE1372" s="110"/>
      <c r="MGF1372" s="110"/>
      <c r="MGG1372" s="110"/>
      <c r="MGH1372" s="110"/>
      <c r="MGI1372" s="110"/>
      <c r="MGJ1372" s="110"/>
      <c r="MGK1372" s="110"/>
      <c r="MGL1372" s="110"/>
      <c r="MGM1372" s="110"/>
      <c r="MGN1372" s="110"/>
      <c r="MGO1372" s="110"/>
      <c r="MGP1372" s="110"/>
      <c r="MGQ1372" s="110"/>
      <c r="MGR1372" s="110"/>
      <c r="MGS1372" s="110"/>
      <c r="MGT1372" s="110"/>
      <c r="MGU1372" s="110"/>
      <c r="MGV1372" s="110"/>
      <c r="MGW1372" s="110"/>
      <c r="MGX1372" s="110"/>
      <c r="MGY1372" s="110"/>
      <c r="MGZ1372" s="110"/>
      <c r="MHA1372" s="110"/>
      <c r="MHB1372" s="110"/>
      <c r="MHC1372" s="110"/>
      <c r="MHD1372" s="110"/>
      <c r="MHE1372" s="110"/>
      <c r="MHF1372" s="110"/>
      <c r="MHG1372" s="110"/>
      <c r="MHH1372" s="110"/>
      <c r="MHI1372" s="110"/>
      <c r="MHJ1372" s="110"/>
      <c r="MHK1372" s="110"/>
      <c r="MHL1372" s="110"/>
      <c r="MHM1372" s="110"/>
      <c r="MHN1372" s="110"/>
      <c r="MHO1372" s="110"/>
      <c r="MHP1372" s="110"/>
      <c r="MHQ1372" s="110"/>
      <c r="MHR1372" s="110"/>
      <c r="MHS1372" s="110"/>
      <c r="MHT1372" s="110"/>
      <c r="MHU1372" s="110"/>
      <c r="MHV1372" s="110"/>
      <c r="MHW1372" s="110"/>
      <c r="MHX1372" s="110"/>
      <c r="MHY1372" s="110"/>
      <c r="MHZ1372" s="110"/>
      <c r="MIA1372" s="110"/>
      <c r="MIB1372" s="110"/>
      <c r="MIC1372" s="110"/>
      <c r="MID1372" s="110"/>
      <c r="MIE1372" s="110"/>
      <c r="MIF1372" s="110"/>
      <c r="MIG1372" s="110"/>
      <c r="MIH1372" s="110"/>
      <c r="MII1372" s="110"/>
      <c r="MIJ1372" s="110"/>
      <c r="MIK1372" s="110"/>
      <c r="MIL1372" s="110"/>
      <c r="MIM1372" s="110"/>
      <c r="MIN1372" s="110"/>
      <c r="MIO1372" s="110"/>
      <c r="MIP1372" s="110"/>
      <c r="MIQ1372" s="110"/>
      <c r="MIR1372" s="110"/>
      <c r="MIS1372" s="110"/>
      <c r="MIT1372" s="110"/>
      <c r="MIU1372" s="110"/>
      <c r="MIV1372" s="110"/>
      <c r="MIW1372" s="110"/>
      <c r="MIX1372" s="110"/>
      <c r="MIY1372" s="110"/>
      <c r="MIZ1372" s="110"/>
      <c r="MJA1372" s="110"/>
      <c r="MJB1372" s="110"/>
      <c r="MJC1372" s="110"/>
      <c r="MJD1372" s="110"/>
      <c r="MJE1372" s="110"/>
      <c r="MJF1372" s="110"/>
      <c r="MJG1372" s="110"/>
      <c r="MJH1372" s="110"/>
      <c r="MJI1372" s="110"/>
      <c r="MJJ1372" s="110"/>
      <c r="MJK1372" s="110"/>
      <c r="MJL1372" s="110"/>
      <c r="MJM1372" s="110"/>
      <c r="MJN1372" s="110"/>
      <c r="MJO1372" s="110"/>
      <c r="MJP1372" s="110"/>
      <c r="MJQ1372" s="110"/>
      <c r="MJR1372" s="110"/>
      <c r="MJS1372" s="110"/>
      <c r="MJT1372" s="110"/>
      <c r="MJU1372" s="110"/>
      <c r="MJV1372" s="110"/>
      <c r="MJW1372" s="110"/>
      <c r="MJX1372" s="110"/>
      <c r="MJY1372" s="110"/>
      <c r="MJZ1372" s="110"/>
      <c r="MKA1372" s="110"/>
      <c r="MKB1372" s="110"/>
      <c r="MKC1372" s="110"/>
      <c r="MKD1372" s="110"/>
      <c r="MKE1372" s="110"/>
      <c r="MKF1372" s="110"/>
      <c r="MKG1372" s="110"/>
      <c r="MKH1372" s="110"/>
      <c r="MKI1372" s="110"/>
      <c r="MKJ1372" s="110"/>
      <c r="MKK1372" s="110"/>
      <c r="MKL1372" s="110"/>
      <c r="MKM1372" s="110"/>
      <c r="MKN1372" s="110"/>
      <c r="MKO1372" s="110"/>
      <c r="MKP1372" s="110"/>
      <c r="MKQ1372" s="110"/>
      <c r="MKR1372" s="110"/>
      <c r="MKS1372" s="110"/>
      <c r="MKT1372" s="110"/>
      <c r="MKU1372" s="110"/>
      <c r="MKV1372" s="110"/>
      <c r="MKW1372" s="110"/>
      <c r="MKX1372" s="110"/>
      <c r="MKY1372" s="110"/>
      <c r="MKZ1372" s="110"/>
      <c r="MLA1372" s="110"/>
      <c r="MLB1372" s="110"/>
      <c r="MLC1372" s="110"/>
      <c r="MLD1372" s="110"/>
      <c r="MLE1372" s="110"/>
      <c r="MLF1372" s="110"/>
      <c r="MLG1372" s="110"/>
      <c r="MLH1372" s="110"/>
      <c r="MLI1372" s="110"/>
      <c r="MLJ1372" s="110"/>
      <c r="MLK1372" s="110"/>
      <c r="MLL1372" s="110"/>
      <c r="MLM1372" s="110"/>
      <c r="MLN1372" s="110"/>
      <c r="MLO1372" s="110"/>
      <c r="MLP1372" s="110"/>
      <c r="MLQ1372" s="110"/>
      <c r="MLR1372" s="110"/>
      <c r="MLS1372" s="110"/>
      <c r="MLT1372" s="110"/>
      <c r="MLU1372" s="110"/>
      <c r="MLV1372" s="110"/>
      <c r="MLW1372" s="110"/>
      <c r="MLX1372" s="110"/>
      <c r="MLY1372" s="110"/>
      <c r="MLZ1372" s="110"/>
      <c r="MMA1372" s="110"/>
      <c r="MMB1372" s="110"/>
      <c r="MMC1372" s="110"/>
      <c r="MMD1372" s="110"/>
      <c r="MME1372" s="110"/>
      <c r="MMF1372" s="110"/>
      <c r="MMG1372" s="110"/>
      <c r="MMH1372" s="110"/>
      <c r="MMI1372" s="110"/>
      <c r="MMJ1372" s="110"/>
      <c r="MMK1372" s="110"/>
      <c r="MML1372" s="110"/>
      <c r="MMM1372" s="110"/>
      <c r="MMN1372" s="110"/>
      <c r="MMO1372" s="110"/>
      <c r="MMP1372" s="110"/>
      <c r="MMQ1372" s="110"/>
      <c r="MMR1372" s="110"/>
      <c r="MMS1372" s="110"/>
      <c r="MMT1372" s="110"/>
      <c r="MMU1372" s="110"/>
      <c r="MMV1372" s="110"/>
      <c r="MMW1372" s="110"/>
      <c r="MMX1372" s="110"/>
      <c r="MMY1372" s="110"/>
      <c r="MMZ1372" s="110"/>
      <c r="MNA1372" s="110"/>
      <c r="MNB1372" s="110"/>
      <c r="MNC1372" s="110"/>
      <c r="MND1372" s="110"/>
      <c r="MNE1372" s="110"/>
      <c r="MNF1372" s="110"/>
      <c r="MNG1372" s="110"/>
      <c r="MNH1372" s="110"/>
      <c r="MNI1372" s="110"/>
      <c r="MNJ1372" s="110"/>
      <c r="MNK1372" s="110"/>
      <c r="MNL1372" s="110"/>
      <c r="MNM1372" s="110"/>
      <c r="MNN1372" s="110"/>
      <c r="MNO1372" s="110"/>
      <c r="MNP1372" s="110"/>
      <c r="MNQ1372" s="110"/>
      <c r="MNR1372" s="110"/>
      <c r="MNS1372" s="110"/>
      <c r="MNT1372" s="110"/>
      <c r="MNU1372" s="110"/>
      <c r="MNV1372" s="110"/>
      <c r="MNW1372" s="110"/>
      <c r="MNX1372" s="110"/>
      <c r="MNY1372" s="110"/>
      <c r="MNZ1372" s="110"/>
      <c r="MOA1372" s="110"/>
      <c r="MOB1372" s="110"/>
      <c r="MOC1372" s="110"/>
      <c r="MOD1372" s="110"/>
      <c r="MOE1372" s="110"/>
      <c r="MOF1372" s="110"/>
      <c r="MOG1372" s="110"/>
      <c r="MOH1372" s="110"/>
      <c r="MOI1372" s="110"/>
      <c r="MOJ1372" s="110"/>
      <c r="MOK1372" s="110"/>
      <c r="MOL1372" s="110"/>
      <c r="MOM1372" s="110"/>
      <c r="MON1372" s="110"/>
      <c r="MOO1372" s="110"/>
      <c r="MOP1372" s="110"/>
      <c r="MOQ1372" s="110"/>
      <c r="MOR1372" s="110"/>
      <c r="MOS1372" s="110"/>
      <c r="MOT1372" s="110"/>
      <c r="MOU1372" s="110"/>
      <c r="MOV1372" s="110"/>
      <c r="MOW1372" s="110"/>
      <c r="MOX1372" s="110"/>
      <c r="MOY1372" s="110"/>
      <c r="MOZ1372" s="110"/>
      <c r="MPA1372" s="110"/>
      <c r="MPB1372" s="110"/>
      <c r="MPC1372" s="110"/>
      <c r="MPD1372" s="110"/>
      <c r="MPE1372" s="110"/>
      <c r="MPF1372" s="110"/>
      <c r="MPG1372" s="110"/>
      <c r="MPH1372" s="110"/>
      <c r="MPI1372" s="110"/>
      <c r="MPJ1372" s="110"/>
      <c r="MPK1372" s="110"/>
      <c r="MPL1372" s="110"/>
      <c r="MPM1372" s="110"/>
      <c r="MPN1372" s="110"/>
      <c r="MPO1372" s="110"/>
      <c r="MPP1372" s="110"/>
      <c r="MPQ1372" s="110"/>
      <c r="MPR1372" s="110"/>
      <c r="MPS1372" s="110"/>
      <c r="MPT1372" s="110"/>
      <c r="MPU1372" s="110"/>
      <c r="MPV1372" s="110"/>
      <c r="MPW1372" s="110"/>
      <c r="MPX1372" s="110"/>
      <c r="MPY1372" s="110"/>
      <c r="MPZ1372" s="110"/>
      <c r="MQA1372" s="110"/>
      <c r="MQB1372" s="110"/>
      <c r="MQC1372" s="110"/>
      <c r="MQD1372" s="110"/>
      <c r="MQE1372" s="110"/>
      <c r="MQF1372" s="110"/>
      <c r="MQG1372" s="110"/>
      <c r="MQH1372" s="110"/>
      <c r="MQI1372" s="110"/>
      <c r="MQJ1372" s="110"/>
      <c r="MQK1372" s="110"/>
      <c r="MQL1372" s="110"/>
      <c r="MQM1372" s="110"/>
      <c r="MQN1372" s="110"/>
      <c r="MQO1372" s="110"/>
      <c r="MQP1372" s="110"/>
      <c r="MQQ1372" s="110"/>
      <c r="MQR1372" s="110"/>
      <c r="MQS1372" s="110"/>
      <c r="MQT1372" s="110"/>
      <c r="MQU1372" s="110"/>
      <c r="MQV1372" s="110"/>
      <c r="MQW1372" s="110"/>
      <c r="MQX1372" s="110"/>
      <c r="MQY1372" s="110"/>
      <c r="MQZ1372" s="110"/>
      <c r="MRA1372" s="110"/>
      <c r="MRB1372" s="110"/>
      <c r="MRC1372" s="110"/>
      <c r="MRD1372" s="110"/>
      <c r="MRE1372" s="110"/>
      <c r="MRF1372" s="110"/>
      <c r="MRG1372" s="110"/>
      <c r="MRH1372" s="110"/>
      <c r="MRI1372" s="110"/>
      <c r="MRJ1372" s="110"/>
      <c r="MRK1372" s="110"/>
      <c r="MRL1372" s="110"/>
      <c r="MRM1372" s="110"/>
      <c r="MRN1372" s="110"/>
      <c r="MRO1372" s="110"/>
      <c r="MRP1372" s="110"/>
      <c r="MRQ1372" s="110"/>
      <c r="MRR1372" s="110"/>
      <c r="MRS1372" s="110"/>
      <c r="MRT1372" s="110"/>
      <c r="MRU1372" s="110"/>
      <c r="MRV1372" s="110"/>
      <c r="MRW1372" s="110"/>
      <c r="MRX1372" s="110"/>
      <c r="MRY1372" s="110"/>
      <c r="MRZ1372" s="110"/>
      <c r="MSA1372" s="110"/>
      <c r="MSB1372" s="110"/>
      <c r="MSC1372" s="110"/>
      <c r="MSD1372" s="110"/>
      <c r="MSE1372" s="110"/>
      <c r="MSF1372" s="110"/>
      <c r="MSG1372" s="110"/>
      <c r="MSH1372" s="110"/>
      <c r="MSI1372" s="110"/>
      <c r="MSJ1372" s="110"/>
      <c r="MSK1372" s="110"/>
      <c r="MSL1372" s="110"/>
      <c r="MSM1372" s="110"/>
      <c r="MSN1372" s="110"/>
      <c r="MSO1372" s="110"/>
      <c r="MSP1372" s="110"/>
      <c r="MSQ1372" s="110"/>
      <c r="MSR1372" s="110"/>
      <c r="MSS1372" s="110"/>
      <c r="MST1372" s="110"/>
      <c r="MSU1372" s="110"/>
      <c r="MSV1372" s="110"/>
      <c r="MSW1372" s="110"/>
      <c r="MSX1372" s="110"/>
      <c r="MSY1372" s="110"/>
      <c r="MSZ1372" s="110"/>
      <c r="MTA1372" s="110"/>
      <c r="MTB1372" s="110"/>
      <c r="MTC1372" s="110"/>
      <c r="MTD1372" s="110"/>
      <c r="MTE1372" s="110"/>
      <c r="MTF1372" s="110"/>
      <c r="MTG1372" s="110"/>
      <c r="MTH1372" s="110"/>
      <c r="MTI1372" s="110"/>
      <c r="MTJ1372" s="110"/>
      <c r="MTK1372" s="110"/>
      <c r="MTL1372" s="110"/>
      <c r="MTM1372" s="110"/>
      <c r="MTN1372" s="110"/>
      <c r="MTO1372" s="110"/>
      <c r="MTP1372" s="110"/>
      <c r="MTQ1372" s="110"/>
      <c r="MTR1372" s="110"/>
      <c r="MTS1372" s="110"/>
      <c r="MTT1372" s="110"/>
      <c r="MTU1372" s="110"/>
      <c r="MTV1372" s="110"/>
      <c r="MTW1372" s="110"/>
      <c r="MTX1372" s="110"/>
      <c r="MTY1372" s="110"/>
      <c r="MTZ1372" s="110"/>
      <c r="MUA1372" s="110"/>
      <c r="MUB1372" s="110"/>
      <c r="MUC1372" s="110"/>
      <c r="MUD1372" s="110"/>
      <c r="MUE1372" s="110"/>
      <c r="MUF1372" s="110"/>
      <c r="MUG1372" s="110"/>
      <c r="MUH1372" s="110"/>
      <c r="MUI1372" s="110"/>
      <c r="MUJ1372" s="110"/>
      <c r="MUK1372" s="110"/>
      <c r="MUL1372" s="110"/>
      <c r="MUM1372" s="110"/>
      <c r="MUN1372" s="110"/>
      <c r="MUO1372" s="110"/>
      <c r="MUP1372" s="110"/>
      <c r="MUQ1372" s="110"/>
      <c r="MUR1372" s="110"/>
      <c r="MUS1372" s="110"/>
      <c r="MUT1372" s="110"/>
      <c r="MUU1372" s="110"/>
      <c r="MUV1372" s="110"/>
      <c r="MUW1372" s="110"/>
      <c r="MUX1372" s="110"/>
      <c r="MUY1372" s="110"/>
      <c r="MUZ1372" s="110"/>
      <c r="MVA1372" s="110"/>
      <c r="MVB1372" s="110"/>
      <c r="MVC1372" s="110"/>
      <c r="MVD1372" s="110"/>
      <c r="MVE1372" s="110"/>
      <c r="MVF1372" s="110"/>
      <c r="MVG1372" s="110"/>
      <c r="MVH1372" s="110"/>
      <c r="MVI1372" s="110"/>
      <c r="MVJ1372" s="110"/>
      <c r="MVK1372" s="110"/>
      <c r="MVL1372" s="110"/>
      <c r="MVM1372" s="110"/>
      <c r="MVN1372" s="110"/>
      <c r="MVO1372" s="110"/>
      <c r="MVP1372" s="110"/>
      <c r="MVQ1372" s="110"/>
      <c r="MVR1372" s="110"/>
      <c r="MVS1372" s="110"/>
      <c r="MVT1372" s="110"/>
      <c r="MVU1372" s="110"/>
      <c r="MVV1372" s="110"/>
      <c r="MVW1372" s="110"/>
      <c r="MVX1372" s="110"/>
      <c r="MVY1372" s="110"/>
      <c r="MVZ1372" s="110"/>
      <c r="MWA1372" s="110"/>
      <c r="MWB1372" s="110"/>
      <c r="MWC1372" s="110"/>
      <c r="MWD1372" s="110"/>
      <c r="MWE1372" s="110"/>
      <c r="MWF1372" s="110"/>
      <c r="MWG1372" s="110"/>
      <c r="MWH1372" s="110"/>
      <c r="MWI1372" s="110"/>
      <c r="MWJ1372" s="110"/>
      <c r="MWK1372" s="110"/>
      <c r="MWL1372" s="110"/>
      <c r="MWM1372" s="110"/>
      <c r="MWN1372" s="110"/>
      <c r="MWO1372" s="110"/>
      <c r="MWP1372" s="110"/>
      <c r="MWQ1372" s="110"/>
      <c r="MWR1372" s="110"/>
      <c r="MWS1372" s="110"/>
      <c r="MWT1372" s="110"/>
      <c r="MWU1372" s="110"/>
      <c r="MWV1372" s="110"/>
      <c r="MWW1372" s="110"/>
      <c r="MWX1372" s="110"/>
      <c r="MWY1372" s="110"/>
      <c r="MWZ1372" s="110"/>
      <c r="MXA1372" s="110"/>
      <c r="MXB1372" s="110"/>
      <c r="MXC1372" s="110"/>
      <c r="MXD1372" s="110"/>
      <c r="MXE1372" s="110"/>
      <c r="MXF1372" s="110"/>
      <c r="MXG1372" s="110"/>
      <c r="MXH1372" s="110"/>
      <c r="MXI1372" s="110"/>
      <c r="MXJ1372" s="110"/>
      <c r="MXK1372" s="110"/>
      <c r="MXL1372" s="110"/>
      <c r="MXM1372" s="110"/>
      <c r="MXN1372" s="110"/>
      <c r="MXO1372" s="110"/>
      <c r="MXP1372" s="110"/>
      <c r="MXQ1372" s="110"/>
      <c r="MXR1372" s="110"/>
      <c r="MXS1372" s="110"/>
      <c r="MXT1372" s="110"/>
      <c r="MXU1372" s="110"/>
      <c r="MXV1372" s="110"/>
      <c r="MXW1372" s="110"/>
      <c r="MXX1372" s="110"/>
      <c r="MXY1372" s="110"/>
      <c r="MXZ1372" s="110"/>
      <c r="MYA1372" s="110"/>
      <c r="MYB1372" s="110"/>
      <c r="MYC1372" s="110"/>
      <c r="MYD1372" s="110"/>
      <c r="MYE1372" s="110"/>
      <c r="MYF1372" s="110"/>
      <c r="MYG1372" s="110"/>
      <c r="MYH1372" s="110"/>
      <c r="MYI1372" s="110"/>
      <c r="MYJ1372" s="110"/>
      <c r="MYK1372" s="110"/>
      <c r="MYL1372" s="110"/>
      <c r="MYM1372" s="110"/>
      <c r="MYN1372" s="110"/>
      <c r="MYO1372" s="110"/>
      <c r="MYP1372" s="110"/>
      <c r="MYQ1372" s="110"/>
      <c r="MYR1372" s="110"/>
      <c r="MYS1372" s="110"/>
      <c r="MYT1372" s="110"/>
      <c r="MYU1372" s="110"/>
      <c r="MYV1372" s="110"/>
      <c r="MYW1372" s="110"/>
      <c r="MYX1372" s="110"/>
      <c r="MYY1372" s="110"/>
      <c r="MYZ1372" s="110"/>
      <c r="MZA1372" s="110"/>
      <c r="MZB1372" s="110"/>
      <c r="MZC1372" s="110"/>
      <c r="MZD1372" s="110"/>
      <c r="MZE1372" s="110"/>
      <c r="MZF1372" s="110"/>
      <c r="MZG1372" s="110"/>
      <c r="MZH1372" s="110"/>
      <c r="MZI1372" s="110"/>
      <c r="MZJ1372" s="110"/>
      <c r="MZK1372" s="110"/>
      <c r="MZL1372" s="110"/>
      <c r="MZM1372" s="110"/>
      <c r="MZN1372" s="110"/>
      <c r="MZO1372" s="110"/>
      <c r="MZP1372" s="110"/>
      <c r="MZQ1372" s="110"/>
      <c r="MZR1372" s="110"/>
      <c r="MZS1372" s="110"/>
      <c r="MZT1372" s="110"/>
      <c r="MZU1372" s="110"/>
      <c r="MZV1372" s="110"/>
      <c r="MZW1372" s="110"/>
      <c r="MZX1372" s="110"/>
      <c r="MZY1372" s="110"/>
      <c r="MZZ1372" s="110"/>
      <c r="NAA1372" s="110"/>
      <c r="NAB1372" s="110"/>
      <c r="NAC1372" s="110"/>
      <c r="NAD1372" s="110"/>
      <c r="NAE1372" s="110"/>
      <c r="NAF1372" s="110"/>
      <c r="NAG1372" s="110"/>
      <c r="NAH1372" s="110"/>
      <c r="NAI1372" s="110"/>
      <c r="NAJ1372" s="110"/>
      <c r="NAK1372" s="110"/>
      <c r="NAL1372" s="110"/>
      <c r="NAM1372" s="110"/>
      <c r="NAN1372" s="110"/>
      <c r="NAO1372" s="110"/>
      <c r="NAP1372" s="110"/>
      <c r="NAQ1372" s="110"/>
      <c r="NAR1372" s="110"/>
      <c r="NAS1372" s="110"/>
      <c r="NAT1372" s="110"/>
      <c r="NAU1372" s="110"/>
      <c r="NAV1372" s="110"/>
      <c r="NAW1372" s="110"/>
      <c r="NAX1372" s="110"/>
      <c r="NAY1372" s="110"/>
      <c r="NAZ1372" s="110"/>
      <c r="NBA1372" s="110"/>
      <c r="NBB1372" s="110"/>
      <c r="NBC1372" s="110"/>
      <c r="NBD1372" s="110"/>
      <c r="NBE1372" s="110"/>
      <c r="NBF1372" s="110"/>
      <c r="NBG1372" s="110"/>
      <c r="NBH1372" s="110"/>
      <c r="NBI1372" s="110"/>
      <c r="NBJ1372" s="110"/>
      <c r="NBK1372" s="110"/>
      <c r="NBL1372" s="110"/>
      <c r="NBM1372" s="110"/>
      <c r="NBN1372" s="110"/>
      <c r="NBO1372" s="110"/>
      <c r="NBP1372" s="110"/>
      <c r="NBQ1372" s="110"/>
      <c r="NBR1372" s="110"/>
      <c r="NBS1372" s="110"/>
      <c r="NBT1372" s="110"/>
      <c r="NBU1372" s="110"/>
      <c r="NBV1372" s="110"/>
      <c r="NBW1372" s="110"/>
      <c r="NBX1372" s="110"/>
      <c r="NBY1372" s="110"/>
      <c r="NBZ1372" s="110"/>
      <c r="NCA1372" s="110"/>
      <c r="NCB1372" s="110"/>
      <c r="NCC1372" s="110"/>
      <c r="NCD1372" s="110"/>
      <c r="NCE1372" s="110"/>
      <c r="NCF1372" s="110"/>
      <c r="NCG1372" s="110"/>
      <c r="NCH1372" s="110"/>
      <c r="NCI1372" s="110"/>
      <c r="NCJ1372" s="110"/>
      <c r="NCK1372" s="110"/>
      <c r="NCL1372" s="110"/>
      <c r="NCM1372" s="110"/>
      <c r="NCN1372" s="110"/>
      <c r="NCO1372" s="110"/>
      <c r="NCP1372" s="110"/>
      <c r="NCQ1372" s="110"/>
      <c r="NCR1372" s="110"/>
      <c r="NCS1372" s="110"/>
      <c r="NCT1372" s="110"/>
      <c r="NCU1372" s="110"/>
      <c r="NCV1372" s="110"/>
      <c r="NCW1372" s="110"/>
      <c r="NCX1372" s="110"/>
      <c r="NCY1372" s="110"/>
      <c r="NCZ1372" s="110"/>
      <c r="NDA1372" s="110"/>
      <c r="NDB1372" s="110"/>
      <c r="NDC1372" s="110"/>
      <c r="NDD1372" s="110"/>
      <c r="NDE1372" s="110"/>
      <c r="NDF1372" s="110"/>
      <c r="NDG1372" s="110"/>
      <c r="NDH1372" s="110"/>
      <c r="NDI1372" s="110"/>
      <c r="NDJ1372" s="110"/>
      <c r="NDK1372" s="110"/>
      <c r="NDL1372" s="110"/>
      <c r="NDM1372" s="110"/>
      <c r="NDN1372" s="110"/>
      <c r="NDO1372" s="110"/>
      <c r="NDP1372" s="110"/>
      <c r="NDQ1372" s="110"/>
      <c r="NDR1372" s="110"/>
      <c r="NDS1372" s="110"/>
      <c r="NDT1372" s="110"/>
      <c r="NDU1372" s="110"/>
      <c r="NDV1372" s="110"/>
      <c r="NDW1372" s="110"/>
      <c r="NDX1372" s="110"/>
      <c r="NDY1372" s="110"/>
      <c r="NDZ1372" s="110"/>
      <c r="NEA1372" s="110"/>
      <c r="NEB1372" s="110"/>
      <c r="NEC1372" s="110"/>
      <c r="NED1372" s="110"/>
      <c r="NEE1372" s="110"/>
      <c r="NEF1372" s="110"/>
      <c r="NEG1372" s="110"/>
      <c r="NEH1372" s="110"/>
      <c r="NEI1372" s="110"/>
      <c r="NEJ1372" s="110"/>
      <c r="NEK1372" s="110"/>
      <c r="NEL1372" s="110"/>
      <c r="NEM1372" s="110"/>
      <c r="NEN1372" s="110"/>
      <c r="NEO1372" s="110"/>
      <c r="NEP1372" s="110"/>
      <c r="NEQ1372" s="110"/>
      <c r="NER1372" s="110"/>
      <c r="NES1372" s="110"/>
      <c r="NET1372" s="110"/>
      <c r="NEU1372" s="110"/>
      <c r="NEV1372" s="110"/>
      <c r="NEW1372" s="110"/>
      <c r="NEX1372" s="110"/>
      <c r="NEY1372" s="110"/>
      <c r="NEZ1372" s="110"/>
      <c r="NFA1372" s="110"/>
      <c r="NFB1372" s="110"/>
      <c r="NFC1372" s="110"/>
      <c r="NFD1372" s="110"/>
      <c r="NFE1372" s="110"/>
      <c r="NFF1372" s="110"/>
      <c r="NFG1372" s="110"/>
      <c r="NFH1372" s="110"/>
      <c r="NFI1372" s="110"/>
      <c r="NFJ1372" s="110"/>
      <c r="NFK1372" s="110"/>
      <c r="NFL1372" s="110"/>
      <c r="NFM1372" s="110"/>
      <c r="NFN1372" s="110"/>
      <c r="NFO1372" s="110"/>
      <c r="NFP1372" s="110"/>
      <c r="NFQ1372" s="110"/>
      <c r="NFR1372" s="110"/>
      <c r="NFS1372" s="110"/>
      <c r="NFT1372" s="110"/>
      <c r="NFU1372" s="110"/>
      <c r="NFV1372" s="110"/>
      <c r="NFW1372" s="110"/>
      <c r="NFX1372" s="110"/>
      <c r="NFY1372" s="110"/>
      <c r="NFZ1372" s="110"/>
      <c r="NGA1372" s="110"/>
      <c r="NGB1372" s="110"/>
      <c r="NGC1372" s="110"/>
      <c r="NGD1372" s="110"/>
      <c r="NGE1372" s="110"/>
      <c r="NGF1372" s="110"/>
      <c r="NGG1372" s="110"/>
      <c r="NGH1372" s="110"/>
      <c r="NGI1372" s="110"/>
      <c r="NGJ1372" s="110"/>
      <c r="NGK1372" s="110"/>
      <c r="NGL1372" s="110"/>
      <c r="NGM1372" s="110"/>
      <c r="NGN1372" s="110"/>
      <c r="NGO1372" s="110"/>
      <c r="NGP1372" s="110"/>
      <c r="NGQ1372" s="110"/>
      <c r="NGR1372" s="110"/>
      <c r="NGS1372" s="110"/>
      <c r="NGT1372" s="110"/>
      <c r="NGU1372" s="110"/>
      <c r="NGV1372" s="110"/>
      <c r="NGW1372" s="110"/>
      <c r="NGX1372" s="110"/>
      <c r="NGY1372" s="110"/>
      <c r="NGZ1372" s="110"/>
      <c r="NHA1372" s="110"/>
      <c r="NHB1372" s="110"/>
      <c r="NHC1372" s="110"/>
      <c r="NHD1372" s="110"/>
      <c r="NHE1372" s="110"/>
      <c r="NHF1372" s="110"/>
      <c r="NHG1372" s="110"/>
      <c r="NHH1372" s="110"/>
      <c r="NHI1372" s="110"/>
      <c r="NHJ1372" s="110"/>
      <c r="NHK1372" s="110"/>
      <c r="NHL1372" s="110"/>
      <c r="NHM1372" s="110"/>
      <c r="NHN1372" s="110"/>
      <c r="NHO1372" s="110"/>
      <c r="NHP1372" s="110"/>
      <c r="NHQ1372" s="110"/>
      <c r="NHR1372" s="110"/>
      <c r="NHS1372" s="110"/>
      <c r="NHT1372" s="110"/>
      <c r="NHU1372" s="110"/>
      <c r="NHV1372" s="110"/>
      <c r="NHW1372" s="110"/>
      <c r="NHX1372" s="110"/>
      <c r="NHY1372" s="110"/>
      <c r="NHZ1372" s="110"/>
      <c r="NIA1372" s="110"/>
      <c r="NIB1372" s="110"/>
      <c r="NIC1372" s="110"/>
      <c r="NID1372" s="110"/>
      <c r="NIE1372" s="110"/>
      <c r="NIF1372" s="110"/>
      <c r="NIG1372" s="110"/>
      <c r="NIH1372" s="110"/>
      <c r="NII1372" s="110"/>
      <c r="NIJ1372" s="110"/>
      <c r="NIK1372" s="110"/>
      <c r="NIL1372" s="110"/>
      <c r="NIM1372" s="110"/>
      <c r="NIN1372" s="110"/>
      <c r="NIO1372" s="110"/>
      <c r="NIP1372" s="110"/>
      <c r="NIQ1372" s="110"/>
      <c r="NIR1372" s="110"/>
      <c r="NIS1372" s="110"/>
      <c r="NIT1372" s="110"/>
      <c r="NIU1372" s="110"/>
      <c r="NIV1372" s="110"/>
      <c r="NIW1372" s="110"/>
      <c r="NIX1372" s="110"/>
      <c r="NIY1372" s="110"/>
      <c r="NIZ1372" s="110"/>
      <c r="NJA1372" s="110"/>
      <c r="NJB1372" s="110"/>
      <c r="NJC1372" s="110"/>
      <c r="NJD1372" s="110"/>
      <c r="NJE1372" s="110"/>
      <c r="NJF1372" s="110"/>
      <c r="NJG1372" s="110"/>
      <c r="NJH1372" s="110"/>
      <c r="NJI1372" s="110"/>
      <c r="NJJ1372" s="110"/>
      <c r="NJK1372" s="110"/>
      <c r="NJL1372" s="110"/>
      <c r="NJM1372" s="110"/>
      <c r="NJN1372" s="110"/>
      <c r="NJO1372" s="110"/>
      <c r="NJP1372" s="110"/>
      <c r="NJQ1372" s="110"/>
      <c r="NJR1372" s="110"/>
      <c r="NJS1372" s="110"/>
      <c r="NJT1372" s="110"/>
      <c r="NJU1372" s="110"/>
      <c r="NJV1372" s="110"/>
      <c r="NJW1372" s="110"/>
      <c r="NJX1372" s="110"/>
      <c r="NJY1372" s="110"/>
      <c r="NJZ1372" s="110"/>
      <c r="NKA1372" s="110"/>
      <c r="NKB1372" s="110"/>
      <c r="NKC1372" s="110"/>
      <c r="NKD1372" s="110"/>
      <c r="NKE1372" s="110"/>
      <c r="NKF1372" s="110"/>
      <c r="NKG1372" s="110"/>
      <c r="NKH1372" s="110"/>
      <c r="NKI1372" s="110"/>
      <c r="NKJ1372" s="110"/>
      <c r="NKK1372" s="110"/>
      <c r="NKL1372" s="110"/>
      <c r="NKM1372" s="110"/>
      <c r="NKN1372" s="110"/>
      <c r="NKO1372" s="110"/>
      <c r="NKP1372" s="110"/>
      <c r="NKQ1372" s="110"/>
      <c r="NKR1372" s="110"/>
      <c r="NKS1372" s="110"/>
      <c r="NKT1372" s="110"/>
      <c r="NKU1372" s="110"/>
      <c r="NKV1372" s="110"/>
      <c r="NKW1372" s="110"/>
      <c r="NKX1372" s="110"/>
      <c r="NKY1372" s="110"/>
      <c r="NKZ1372" s="110"/>
      <c r="NLA1372" s="110"/>
      <c r="NLB1372" s="110"/>
      <c r="NLC1372" s="110"/>
      <c r="NLD1372" s="110"/>
      <c r="NLE1372" s="110"/>
      <c r="NLF1372" s="110"/>
      <c r="NLG1372" s="110"/>
      <c r="NLH1372" s="110"/>
      <c r="NLI1372" s="110"/>
      <c r="NLJ1372" s="110"/>
      <c r="NLK1372" s="110"/>
      <c r="NLL1372" s="110"/>
      <c r="NLM1372" s="110"/>
      <c r="NLN1372" s="110"/>
      <c r="NLO1372" s="110"/>
      <c r="NLP1372" s="110"/>
      <c r="NLQ1372" s="110"/>
      <c r="NLR1372" s="110"/>
      <c r="NLS1372" s="110"/>
      <c r="NLT1372" s="110"/>
      <c r="NLU1372" s="110"/>
      <c r="NLV1372" s="110"/>
      <c r="NLW1372" s="110"/>
      <c r="NLX1372" s="110"/>
      <c r="NLY1372" s="110"/>
      <c r="NLZ1372" s="110"/>
      <c r="NMA1372" s="110"/>
      <c r="NMB1372" s="110"/>
      <c r="NMC1372" s="110"/>
      <c r="NMD1372" s="110"/>
      <c r="NME1372" s="110"/>
      <c r="NMF1372" s="110"/>
      <c r="NMG1372" s="110"/>
      <c r="NMH1372" s="110"/>
      <c r="NMI1372" s="110"/>
      <c r="NMJ1372" s="110"/>
      <c r="NMK1372" s="110"/>
      <c r="NML1372" s="110"/>
      <c r="NMM1372" s="110"/>
      <c r="NMN1372" s="110"/>
      <c r="NMO1372" s="110"/>
      <c r="NMP1372" s="110"/>
      <c r="NMQ1372" s="110"/>
      <c r="NMR1372" s="110"/>
      <c r="NMS1372" s="110"/>
      <c r="NMT1372" s="110"/>
      <c r="NMU1372" s="110"/>
      <c r="NMV1372" s="110"/>
      <c r="NMW1372" s="110"/>
      <c r="NMX1372" s="110"/>
      <c r="NMY1372" s="110"/>
      <c r="NMZ1372" s="110"/>
      <c r="NNA1372" s="110"/>
      <c r="NNB1372" s="110"/>
      <c r="NNC1372" s="110"/>
      <c r="NND1372" s="110"/>
      <c r="NNE1372" s="110"/>
      <c r="NNF1372" s="110"/>
      <c r="NNG1372" s="110"/>
      <c r="NNH1372" s="110"/>
      <c r="NNI1372" s="110"/>
      <c r="NNJ1372" s="110"/>
      <c r="NNK1372" s="110"/>
      <c r="NNL1372" s="110"/>
      <c r="NNM1372" s="110"/>
      <c r="NNN1372" s="110"/>
      <c r="NNO1372" s="110"/>
      <c r="NNP1372" s="110"/>
      <c r="NNQ1372" s="110"/>
      <c r="NNR1372" s="110"/>
      <c r="NNS1372" s="110"/>
      <c r="NNT1372" s="110"/>
      <c r="NNU1372" s="110"/>
      <c r="NNV1372" s="110"/>
      <c r="NNW1372" s="110"/>
      <c r="NNX1372" s="110"/>
      <c r="NNY1372" s="110"/>
      <c r="NNZ1372" s="110"/>
      <c r="NOA1372" s="110"/>
      <c r="NOB1372" s="110"/>
      <c r="NOC1372" s="110"/>
      <c r="NOD1372" s="110"/>
      <c r="NOE1372" s="110"/>
      <c r="NOF1372" s="110"/>
      <c r="NOG1372" s="110"/>
      <c r="NOH1372" s="110"/>
      <c r="NOI1372" s="110"/>
      <c r="NOJ1372" s="110"/>
      <c r="NOK1372" s="110"/>
      <c r="NOL1372" s="110"/>
      <c r="NOM1372" s="110"/>
      <c r="NON1372" s="110"/>
      <c r="NOO1372" s="110"/>
      <c r="NOP1372" s="110"/>
      <c r="NOQ1372" s="110"/>
      <c r="NOR1372" s="110"/>
      <c r="NOS1372" s="110"/>
      <c r="NOT1372" s="110"/>
      <c r="NOU1372" s="110"/>
      <c r="NOV1372" s="110"/>
      <c r="NOW1372" s="110"/>
      <c r="NOX1372" s="110"/>
      <c r="NOY1372" s="110"/>
      <c r="NOZ1372" s="110"/>
      <c r="NPA1372" s="110"/>
      <c r="NPB1372" s="110"/>
      <c r="NPC1372" s="110"/>
      <c r="NPD1372" s="110"/>
      <c r="NPE1372" s="110"/>
      <c r="NPF1372" s="110"/>
      <c r="NPG1372" s="110"/>
      <c r="NPH1372" s="110"/>
      <c r="NPI1372" s="110"/>
      <c r="NPJ1372" s="110"/>
      <c r="NPK1372" s="110"/>
      <c r="NPL1372" s="110"/>
      <c r="NPM1372" s="110"/>
      <c r="NPN1372" s="110"/>
      <c r="NPO1372" s="110"/>
      <c r="NPP1372" s="110"/>
      <c r="NPQ1372" s="110"/>
      <c r="NPR1372" s="110"/>
      <c r="NPS1372" s="110"/>
      <c r="NPT1372" s="110"/>
      <c r="NPU1372" s="110"/>
      <c r="NPV1372" s="110"/>
      <c r="NPW1372" s="110"/>
      <c r="NPX1372" s="110"/>
      <c r="NPY1372" s="110"/>
      <c r="NPZ1372" s="110"/>
      <c r="NQA1372" s="110"/>
      <c r="NQB1372" s="110"/>
      <c r="NQC1372" s="110"/>
      <c r="NQD1372" s="110"/>
      <c r="NQE1372" s="110"/>
      <c r="NQF1372" s="110"/>
      <c r="NQG1372" s="110"/>
      <c r="NQH1372" s="110"/>
      <c r="NQI1372" s="110"/>
      <c r="NQJ1372" s="110"/>
      <c r="NQK1372" s="110"/>
      <c r="NQL1372" s="110"/>
      <c r="NQM1372" s="110"/>
      <c r="NQN1372" s="110"/>
      <c r="NQO1372" s="110"/>
      <c r="NQP1372" s="110"/>
      <c r="NQQ1372" s="110"/>
      <c r="NQR1372" s="110"/>
      <c r="NQS1372" s="110"/>
      <c r="NQT1372" s="110"/>
      <c r="NQU1372" s="110"/>
      <c r="NQV1372" s="110"/>
      <c r="NQW1372" s="110"/>
      <c r="NQX1372" s="110"/>
      <c r="NQY1372" s="110"/>
      <c r="NQZ1372" s="110"/>
      <c r="NRA1372" s="110"/>
      <c r="NRB1372" s="110"/>
      <c r="NRC1372" s="110"/>
      <c r="NRD1372" s="110"/>
      <c r="NRE1372" s="110"/>
      <c r="NRF1372" s="110"/>
      <c r="NRG1372" s="110"/>
      <c r="NRH1372" s="110"/>
      <c r="NRI1372" s="110"/>
      <c r="NRJ1372" s="110"/>
      <c r="NRK1372" s="110"/>
      <c r="NRL1372" s="110"/>
      <c r="NRM1372" s="110"/>
      <c r="NRN1372" s="110"/>
      <c r="NRO1372" s="110"/>
      <c r="NRP1372" s="110"/>
      <c r="NRQ1372" s="110"/>
      <c r="NRR1372" s="110"/>
      <c r="NRS1372" s="110"/>
      <c r="NRT1372" s="110"/>
      <c r="NRU1372" s="110"/>
      <c r="NRV1372" s="110"/>
      <c r="NRW1372" s="110"/>
      <c r="NRX1372" s="110"/>
      <c r="NRY1372" s="110"/>
      <c r="NRZ1372" s="110"/>
      <c r="NSA1372" s="110"/>
      <c r="NSB1372" s="110"/>
      <c r="NSC1372" s="110"/>
      <c r="NSD1372" s="110"/>
      <c r="NSE1372" s="110"/>
      <c r="NSF1372" s="110"/>
      <c r="NSG1372" s="110"/>
      <c r="NSH1372" s="110"/>
      <c r="NSI1372" s="110"/>
      <c r="NSJ1372" s="110"/>
      <c r="NSK1372" s="110"/>
      <c r="NSL1372" s="110"/>
      <c r="NSM1372" s="110"/>
      <c r="NSN1372" s="110"/>
      <c r="NSO1372" s="110"/>
      <c r="NSP1372" s="110"/>
      <c r="NSQ1372" s="110"/>
      <c r="NSR1372" s="110"/>
      <c r="NSS1372" s="110"/>
      <c r="NST1372" s="110"/>
      <c r="NSU1372" s="110"/>
      <c r="NSV1372" s="110"/>
      <c r="NSW1372" s="110"/>
      <c r="NSX1372" s="110"/>
      <c r="NSY1372" s="110"/>
      <c r="NSZ1372" s="110"/>
      <c r="NTA1372" s="110"/>
      <c r="NTB1372" s="110"/>
      <c r="NTC1372" s="110"/>
      <c r="NTD1372" s="110"/>
      <c r="NTE1372" s="110"/>
      <c r="NTF1372" s="110"/>
      <c r="NTG1372" s="110"/>
      <c r="NTH1372" s="110"/>
      <c r="NTI1372" s="110"/>
      <c r="NTJ1372" s="110"/>
      <c r="NTK1372" s="110"/>
      <c r="NTL1372" s="110"/>
      <c r="NTM1372" s="110"/>
      <c r="NTN1372" s="110"/>
      <c r="NTO1372" s="110"/>
      <c r="NTP1372" s="110"/>
      <c r="NTQ1372" s="110"/>
      <c r="NTR1372" s="110"/>
      <c r="NTS1372" s="110"/>
      <c r="NTT1372" s="110"/>
      <c r="NTU1372" s="110"/>
      <c r="NTV1372" s="110"/>
      <c r="NTW1372" s="110"/>
      <c r="NTX1372" s="110"/>
      <c r="NTY1372" s="110"/>
      <c r="NTZ1372" s="110"/>
      <c r="NUA1372" s="110"/>
      <c r="NUB1372" s="110"/>
      <c r="NUC1372" s="110"/>
      <c r="NUD1372" s="110"/>
      <c r="NUE1372" s="110"/>
      <c r="NUF1372" s="110"/>
      <c r="NUG1372" s="110"/>
      <c r="NUH1372" s="110"/>
      <c r="NUI1372" s="110"/>
      <c r="NUJ1372" s="110"/>
      <c r="NUK1372" s="110"/>
      <c r="NUL1372" s="110"/>
      <c r="NUM1372" s="110"/>
      <c r="NUN1372" s="110"/>
      <c r="NUO1372" s="110"/>
      <c r="NUP1372" s="110"/>
      <c r="NUQ1372" s="110"/>
      <c r="NUR1372" s="110"/>
      <c r="NUS1372" s="110"/>
      <c r="NUT1372" s="110"/>
      <c r="NUU1372" s="110"/>
      <c r="NUV1372" s="110"/>
      <c r="NUW1372" s="110"/>
      <c r="NUX1372" s="110"/>
      <c r="NUY1372" s="110"/>
      <c r="NUZ1372" s="110"/>
      <c r="NVA1372" s="110"/>
      <c r="NVB1372" s="110"/>
      <c r="NVC1372" s="110"/>
      <c r="NVD1372" s="110"/>
      <c r="NVE1372" s="110"/>
      <c r="NVF1372" s="110"/>
      <c r="NVG1372" s="110"/>
      <c r="NVH1372" s="110"/>
      <c r="NVI1372" s="110"/>
      <c r="NVJ1372" s="110"/>
      <c r="NVK1372" s="110"/>
      <c r="NVL1372" s="110"/>
      <c r="NVM1372" s="110"/>
      <c r="NVN1372" s="110"/>
      <c r="NVO1372" s="110"/>
      <c r="NVP1372" s="110"/>
      <c r="NVQ1372" s="110"/>
      <c r="NVR1372" s="110"/>
      <c r="NVS1372" s="110"/>
      <c r="NVT1372" s="110"/>
      <c r="NVU1372" s="110"/>
      <c r="NVV1372" s="110"/>
      <c r="NVW1372" s="110"/>
      <c r="NVX1372" s="110"/>
      <c r="NVY1372" s="110"/>
      <c r="NVZ1372" s="110"/>
      <c r="NWA1372" s="110"/>
      <c r="NWB1372" s="110"/>
      <c r="NWC1372" s="110"/>
      <c r="NWD1372" s="110"/>
      <c r="NWE1372" s="110"/>
      <c r="NWF1372" s="110"/>
      <c r="NWG1372" s="110"/>
      <c r="NWH1372" s="110"/>
      <c r="NWI1372" s="110"/>
      <c r="NWJ1372" s="110"/>
      <c r="NWK1372" s="110"/>
      <c r="NWL1372" s="110"/>
      <c r="NWM1372" s="110"/>
      <c r="NWN1372" s="110"/>
      <c r="NWO1372" s="110"/>
      <c r="NWP1372" s="110"/>
      <c r="NWQ1372" s="110"/>
      <c r="NWR1372" s="110"/>
      <c r="NWS1372" s="110"/>
      <c r="NWT1372" s="110"/>
      <c r="NWU1372" s="110"/>
      <c r="NWV1372" s="110"/>
      <c r="NWW1372" s="110"/>
      <c r="NWX1372" s="110"/>
      <c r="NWY1372" s="110"/>
      <c r="NWZ1372" s="110"/>
      <c r="NXA1372" s="110"/>
      <c r="NXB1372" s="110"/>
      <c r="NXC1372" s="110"/>
      <c r="NXD1372" s="110"/>
      <c r="NXE1372" s="110"/>
      <c r="NXF1372" s="110"/>
      <c r="NXG1372" s="110"/>
      <c r="NXH1372" s="110"/>
      <c r="NXI1372" s="110"/>
      <c r="NXJ1372" s="110"/>
      <c r="NXK1372" s="110"/>
      <c r="NXL1372" s="110"/>
      <c r="NXM1372" s="110"/>
      <c r="NXN1372" s="110"/>
      <c r="NXO1372" s="110"/>
      <c r="NXP1372" s="110"/>
      <c r="NXQ1372" s="110"/>
      <c r="NXR1372" s="110"/>
      <c r="NXS1372" s="110"/>
      <c r="NXT1372" s="110"/>
      <c r="NXU1372" s="110"/>
      <c r="NXV1372" s="110"/>
      <c r="NXW1372" s="110"/>
      <c r="NXX1372" s="110"/>
      <c r="NXY1372" s="110"/>
      <c r="NXZ1372" s="110"/>
      <c r="NYA1372" s="110"/>
      <c r="NYB1372" s="110"/>
      <c r="NYC1372" s="110"/>
      <c r="NYD1372" s="110"/>
      <c r="NYE1372" s="110"/>
      <c r="NYF1372" s="110"/>
      <c r="NYG1372" s="110"/>
      <c r="NYH1372" s="110"/>
      <c r="NYI1372" s="110"/>
      <c r="NYJ1372" s="110"/>
      <c r="NYK1372" s="110"/>
      <c r="NYL1372" s="110"/>
      <c r="NYM1372" s="110"/>
      <c r="NYN1372" s="110"/>
      <c r="NYO1372" s="110"/>
      <c r="NYP1372" s="110"/>
      <c r="NYQ1372" s="110"/>
      <c r="NYR1372" s="110"/>
      <c r="NYS1372" s="110"/>
      <c r="NYT1372" s="110"/>
      <c r="NYU1372" s="110"/>
      <c r="NYV1372" s="110"/>
      <c r="NYW1372" s="110"/>
      <c r="NYX1372" s="110"/>
      <c r="NYY1372" s="110"/>
      <c r="NYZ1372" s="110"/>
      <c r="NZA1372" s="110"/>
      <c r="NZB1372" s="110"/>
      <c r="NZC1372" s="110"/>
      <c r="NZD1372" s="110"/>
      <c r="NZE1372" s="110"/>
      <c r="NZF1372" s="110"/>
      <c r="NZG1372" s="110"/>
      <c r="NZH1372" s="110"/>
      <c r="NZI1372" s="110"/>
      <c r="NZJ1372" s="110"/>
      <c r="NZK1372" s="110"/>
      <c r="NZL1372" s="110"/>
      <c r="NZM1372" s="110"/>
      <c r="NZN1372" s="110"/>
      <c r="NZO1372" s="110"/>
      <c r="NZP1372" s="110"/>
      <c r="NZQ1372" s="110"/>
      <c r="NZR1372" s="110"/>
      <c r="NZS1372" s="110"/>
      <c r="NZT1372" s="110"/>
      <c r="NZU1372" s="110"/>
      <c r="NZV1372" s="110"/>
      <c r="NZW1372" s="110"/>
      <c r="NZX1372" s="110"/>
      <c r="NZY1372" s="110"/>
      <c r="NZZ1372" s="110"/>
      <c r="OAA1372" s="110"/>
      <c r="OAB1372" s="110"/>
      <c r="OAC1372" s="110"/>
      <c r="OAD1372" s="110"/>
      <c r="OAE1372" s="110"/>
      <c r="OAF1372" s="110"/>
      <c r="OAG1372" s="110"/>
      <c r="OAH1372" s="110"/>
      <c r="OAI1372" s="110"/>
      <c r="OAJ1372" s="110"/>
      <c r="OAK1372" s="110"/>
      <c r="OAL1372" s="110"/>
      <c r="OAM1372" s="110"/>
      <c r="OAN1372" s="110"/>
      <c r="OAO1372" s="110"/>
      <c r="OAP1372" s="110"/>
      <c r="OAQ1372" s="110"/>
      <c r="OAR1372" s="110"/>
      <c r="OAS1372" s="110"/>
      <c r="OAT1372" s="110"/>
      <c r="OAU1372" s="110"/>
      <c r="OAV1372" s="110"/>
      <c r="OAW1372" s="110"/>
      <c r="OAX1372" s="110"/>
      <c r="OAY1372" s="110"/>
      <c r="OAZ1372" s="110"/>
      <c r="OBA1372" s="110"/>
      <c r="OBB1372" s="110"/>
      <c r="OBC1372" s="110"/>
      <c r="OBD1372" s="110"/>
      <c r="OBE1372" s="110"/>
      <c r="OBF1372" s="110"/>
      <c r="OBG1372" s="110"/>
      <c r="OBH1372" s="110"/>
      <c r="OBI1372" s="110"/>
      <c r="OBJ1372" s="110"/>
      <c r="OBK1372" s="110"/>
      <c r="OBL1372" s="110"/>
      <c r="OBM1372" s="110"/>
      <c r="OBN1372" s="110"/>
      <c r="OBO1372" s="110"/>
      <c r="OBP1372" s="110"/>
      <c r="OBQ1372" s="110"/>
      <c r="OBR1372" s="110"/>
      <c r="OBS1372" s="110"/>
      <c r="OBT1372" s="110"/>
      <c r="OBU1372" s="110"/>
      <c r="OBV1372" s="110"/>
      <c r="OBW1372" s="110"/>
      <c r="OBX1372" s="110"/>
      <c r="OBY1372" s="110"/>
      <c r="OBZ1372" s="110"/>
      <c r="OCA1372" s="110"/>
      <c r="OCB1372" s="110"/>
      <c r="OCC1372" s="110"/>
      <c r="OCD1372" s="110"/>
      <c r="OCE1372" s="110"/>
      <c r="OCF1372" s="110"/>
      <c r="OCG1372" s="110"/>
      <c r="OCH1372" s="110"/>
      <c r="OCI1372" s="110"/>
      <c r="OCJ1372" s="110"/>
      <c r="OCK1372" s="110"/>
      <c r="OCL1372" s="110"/>
      <c r="OCM1372" s="110"/>
      <c r="OCN1372" s="110"/>
      <c r="OCO1372" s="110"/>
      <c r="OCP1372" s="110"/>
      <c r="OCQ1372" s="110"/>
      <c r="OCR1372" s="110"/>
      <c r="OCS1372" s="110"/>
      <c r="OCT1372" s="110"/>
      <c r="OCU1372" s="110"/>
      <c r="OCV1372" s="110"/>
      <c r="OCW1372" s="110"/>
      <c r="OCX1372" s="110"/>
      <c r="OCY1372" s="110"/>
      <c r="OCZ1372" s="110"/>
      <c r="ODA1372" s="110"/>
      <c r="ODB1372" s="110"/>
      <c r="ODC1372" s="110"/>
      <c r="ODD1372" s="110"/>
      <c r="ODE1372" s="110"/>
      <c r="ODF1372" s="110"/>
      <c r="ODG1372" s="110"/>
      <c r="ODH1372" s="110"/>
      <c r="ODI1372" s="110"/>
      <c r="ODJ1372" s="110"/>
      <c r="ODK1372" s="110"/>
      <c r="ODL1372" s="110"/>
      <c r="ODM1372" s="110"/>
      <c r="ODN1372" s="110"/>
      <c r="ODO1372" s="110"/>
      <c r="ODP1372" s="110"/>
      <c r="ODQ1372" s="110"/>
      <c r="ODR1372" s="110"/>
      <c r="ODS1372" s="110"/>
      <c r="ODT1372" s="110"/>
      <c r="ODU1372" s="110"/>
      <c r="ODV1372" s="110"/>
      <c r="ODW1372" s="110"/>
      <c r="ODX1372" s="110"/>
      <c r="ODY1372" s="110"/>
      <c r="ODZ1372" s="110"/>
      <c r="OEA1372" s="110"/>
      <c r="OEB1372" s="110"/>
      <c r="OEC1372" s="110"/>
      <c r="OED1372" s="110"/>
      <c r="OEE1372" s="110"/>
      <c r="OEF1372" s="110"/>
      <c r="OEG1372" s="110"/>
      <c r="OEH1372" s="110"/>
      <c r="OEI1372" s="110"/>
      <c r="OEJ1372" s="110"/>
      <c r="OEK1372" s="110"/>
      <c r="OEL1372" s="110"/>
      <c r="OEM1372" s="110"/>
      <c r="OEN1372" s="110"/>
      <c r="OEO1372" s="110"/>
      <c r="OEP1372" s="110"/>
      <c r="OEQ1372" s="110"/>
      <c r="OER1372" s="110"/>
      <c r="OES1372" s="110"/>
      <c r="OET1372" s="110"/>
      <c r="OEU1372" s="110"/>
      <c r="OEV1372" s="110"/>
      <c r="OEW1372" s="110"/>
      <c r="OEX1372" s="110"/>
      <c r="OEY1372" s="110"/>
      <c r="OEZ1372" s="110"/>
      <c r="OFA1372" s="110"/>
      <c r="OFB1372" s="110"/>
      <c r="OFC1372" s="110"/>
      <c r="OFD1372" s="110"/>
      <c r="OFE1372" s="110"/>
      <c r="OFF1372" s="110"/>
      <c r="OFG1372" s="110"/>
      <c r="OFH1372" s="110"/>
      <c r="OFI1372" s="110"/>
      <c r="OFJ1372" s="110"/>
      <c r="OFK1372" s="110"/>
      <c r="OFL1372" s="110"/>
      <c r="OFM1372" s="110"/>
      <c r="OFN1372" s="110"/>
      <c r="OFO1372" s="110"/>
      <c r="OFP1372" s="110"/>
      <c r="OFQ1372" s="110"/>
      <c r="OFR1372" s="110"/>
      <c r="OFS1372" s="110"/>
      <c r="OFT1372" s="110"/>
      <c r="OFU1372" s="110"/>
      <c r="OFV1372" s="110"/>
      <c r="OFW1372" s="110"/>
      <c r="OFX1372" s="110"/>
      <c r="OFY1372" s="110"/>
      <c r="OFZ1372" s="110"/>
      <c r="OGA1372" s="110"/>
      <c r="OGB1372" s="110"/>
      <c r="OGC1372" s="110"/>
      <c r="OGD1372" s="110"/>
      <c r="OGE1372" s="110"/>
      <c r="OGF1372" s="110"/>
      <c r="OGG1372" s="110"/>
      <c r="OGH1372" s="110"/>
      <c r="OGI1372" s="110"/>
      <c r="OGJ1372" s="110"/>
      <c r="OGK1372" s="110"/>
      <c r="OGL1372" s="110"/>
      <c r="OGM1372" s="110"/>
      <c r="OGN1372" s="110"/>
      <c r="OGO1372" s="110"/>
      <c r="OGP1372" s="110"/>
      <c r="OGQ1372" s="110"/>
      <c r="OGR1372" s="110"/>
      <c r="OGS1372" s="110"/>
      <c r="OGT1372" s="110"/>
      <c r="OGU1372" s="110"/>
      <c r="OGV1372" s="110"/>
      <c r="OGW1372" s="110"/>
      <c r="OGX1372" s="110"/>
      <c r="OGY1372" s="110"/>
      <c r="OGZ1372" s="110"/>
      <c r="OHA1372" s="110"/>
      <c r="OHB1372" s="110"/>
      <c r="OHC1372" s="110"/>
      <c r="OHD1372" s="110"/>
      <c r="OHE1372" s="110"/>
      <c r="OHF1372" s="110"/>
      <c r="OHG1372" s="110"/>
      <c r="OHH1372" s="110"/>
      <c r="OHI1372" s="110"/>
      <c r="OHJ1372" s="110"/>
      <c r="OHK1372" s="110"/>
      <c r="OHL1372" s="110"/>
      <c r="OHM1372" s="110"/>
      <c r="OHN1372" s="110"/>
      <c r="OHO1372" s="110"/>
      <c r="OHP1372" s="110"/>
      <c r="OHQ1372" s="110"/>
      <c r="OHR1372" s="110"/>
      <c r="OHS1372" s="110"/>
      <c r="OHT1372" s="110"/>
      <c r="OHU1372" s="110"/>
      <c r="OHV1372" s="110"/>
      <c r="OHW1372" s="110"/>
      <c r="OHX1372" s="110"/>
      <c r="OHY1372" s="110"/>
      <c r="OHZ1372" s="110"/>
      <c r="OIA1372" s="110"/>
      <c r="OIB1372" s="110"/>
      <c r="OIC1372" s="110"/>
      <c r="OID1372" s="110"/>
      <c r="OIE1372" s="110"/>
      <c r="OIF1372" s="110"/>
      <c r="OIG1372" s="110"/>
      <c r="OIH1372" s="110"/>
      <c r="OII1372" s="110"/>
      <c r="OIJ1372" s="110"/>
      <c r="OIK1372" s="110"/>
      <c r="OIL1372" s="110"/>
      <c r="OIM1372" s="110"/>
      <c r="OIN1372" s="110"/>
      <c r="OIO1372" s="110"/>
      <c r="OIP1372" s="110"/>
      <c r="OIQ1372" s="110"/>
      <c r="OIR1372" s="110"/>
      <c r="OIS1372" s="110"/>
      <c r="OIT1372" s="110"/>
      <c r="OIU1372" s="110"/>
      <c r="OIV1372" s="110"/>
      <c r="OIW1372" s="110"/>
      <c r="OIX1372" s="110"/>
      <c r="OIY1372" s="110"/>
      <c r="OIZ1372" s="110"/>
      <c r="OJA1372" s="110"/>
      <c r="OJB1372" s="110"/>
      <c r="OJC1372" s="110"/>
      <c r="OJD1372" s="110"/>
      <c r="OJE1372" s="110"/>
      <c r="OJF1372" s="110"/>
      <c r="OJG1372" s="110"/>
      <c r="OJH1372" s="110"/>
      <c r="OJI1372" s="110"/>
      <c r="OJJ1372" s="110"/>
      <c r="OJK1372" s="110"/>
      <c r="OJL1372" s="110"/>
      <c r="OJM1372" s="110"/>
      <c r="OJN1372" s="110"/>
      <c r="OJO1372" s="110"/>
      <c r="OJP1372" s="110"/>
      <c r="OJQ1372" s="110"/>
      <c r="OJR1372" s="110"/>
      <c r="OJS1372" s="110"/>
      <c r="OJT1372" s="110"/>
      <c r="OJU1372" s="110"/>
      <c r="OJV1372" s="110"/>
      <c r="OJW1372" s="110"/>
      <c r="OJX1372" s="110"/>
      <c r="OJY1372" s="110"/>
      <c r="OJZ1372" s="110"/>
      <c r="OKA1372" s="110"/>
      <c r="OKB1372" s="110"/>
      <c r="OKC1372" s="110"/>
      <c r="OKD1372" s="110"/>
      <c r="OKE1372" s="110"/>
      <c r="OKF1372" s="110"/>
      <c r="OKG1372" s="110"/>
      <c r="OKH1372" s="110"/>
      <c r="OKI1372" s="110"/>
      <c r="OKJ1372" s="110"/>
      <c r="OKK1372" s="110"/>
      <c r="OKL1372" s="110"/>
      <c r="OKM1372" s="110"/>
      <c r="OKN1372" s="110"/>
      <c r="OKO1372" s="110"/>
      <c r="OKP1372" s="110"/>
      <c r="OKQ1372" s="110"/>
      <c r="OKR1372" s="110"/>
      <c r="OKS1372" s="110"/>
      <c r="OKT1372" s="110"/>
      <c r="OKU1372" s="110"/>
      <c r="OKV1372" s="110"/>
      <c r="OKW1372" s="110"/>
      <c r="OKX1372" s="110"/>
      <c r="OKY1372" s="110"/>
      <c r="OKZ1372" s="110"/>
      <c r="OLA1372" s="110"/>
      <c r="OLB1372" s="110"/>
      <c r="OLC1372" s="110"/>
      <c r="OLD1372" s="110"/>
      <c r="OLE1372" s="110"/>
      <c r="OLF1372" s="110"/>
      <c r="OLG1372" s="110"/>
      <c r="OLH1372" s="110"/>
      <c r="OLI1372" s="110"/>
      <c r="OLJ1372" s="110"/>
      <c r="OLK1372" s="110"/>
      <c r="OLL1372" s="110"/>
      <c r="OLM1372" s="110"/>
      <c r="OLN1372" s="110"/>
      <c r="OLO1372" s="110"/>
      <c r="OLP1372" s="110"/>
      <c r="OLQ1372" s="110"/>
      <c r="OLR1372" s="110"/>
      <c r="OLS1372" s="110"/>
      <c r="OLT1372" s="110"/>
      <c r="OLU1372" s="110"/>
      <c r="OLV1372" s="110"/>
      <c r="OLW1372" s="110"/>
      <c r="OLX1372" s="110"/>
      <c r="OLY1372" s="110"/>
      <c r="OLZ1372" s="110"/>
      <c r="OMA1372" s="110"/>
      <c r="OMB1372" s="110"/>
      <c r="OMC1372" s="110"/>
      <c r="OMD1372" s="110"/>
      <c r="OME1372" s="110"/>
      <c r="OMF1372" s="110"/>
      <c r="OMG1372" s="110"/>
      <c r="OMH1372" s="110"/>
      <c r="OMI1372" s="110"/>
      <c r="OMJ1372" s="110"/>
      <c r="OMK1372" s="110"/>
      <c r="OML1372" s="110"/>
      <c r="OMM1372" s="110"/>
      <c r="OMN1372" s="110"/>
      <c r="OMO1372" s="110"/>
      <c r="OMP1372" s="110"/>
      <c r="OMQ1372" s="110"/>
      <c r="OMR1372" s="110"/>
      <c r="OMS1372" s="110"/>
      <c r="OMT1372" s="110"/>
      <c r="OMU1372" s="110"/>
      <c r="OMV1372" s="110"/>
      <c r="OMW1372" s="110"/>
      <c r="OMX1372" s="110"/>
      <c r="OMY1372" s="110"/>
      <c r="OMZ1372" s="110"/>
      <c r="ONA1372" s="110"/>
      <c r="ONB1372" s="110"/>
      <c r="ONC1372" s="110"/>
      <c r="OND1372" s="110"/>
      <c r="ONE1372" s="110"/>
      <c r="ONF1372" s="110"/>
      <c r="ONG1372" s="110"/>
      <c r="ONH1372" s="110"/>
      <c r="ONI1372" s="110"/>
      <c r="ONJ1372" s="110"/>
      <c r="ONK1372" s="110"/>
      <c r="ONL1372" s="110"/>
      <c r="ONM1372" s="110"/>
      <c r="ONN1372" s="110"/>
      <c r="ONO1372" s="110"/>
      <c r="ONP1372" s="110"/>
      <c r="ONQ1372" s="110"/>
      <c r="ONR1372" s="110"/>
      <c r="ONS1372" s="110"/>
      <c r="ONT1372" s="110"/>
      <c r="ONU1372" s="110"/>
      <c r="ONV1372" s="110"/>
      <c r="ONW1372" s="110"/>
      <c r="ONX1372" s="110"/>
      <c r="ONY1372" s="110"/>
      <c r="ONZ1372" s="110"/>
      <c r="OOA1372" s="110"/>
      <c r="OOB1372" s="110"/>
      <c r="OOC1372" s="110"/>
      <c r="OOD1372" s="110"/>
      <c r="OOE1372" s="110"/>
      <c r="OOF1372" s="110"/>
      <c r="OOG1372" s="110"/>
      <c r="OOH1372" s="110"/>
      <c r="OOI1372" s="110"/>
      <c r="OOJ1372" s="110"/>
      <c r="OOK1372" s="110"/>
      <c r="OOL1372" s="110"/>
      <c r="OOM1372" s="110"/>
      <c r="OON1372" s="110"/>
      <c r="OOO1372" s="110"/>
      <c r="OOP1372" s="110"/>
      <c r="OOQ1372" s="110"/>
      <c r="OOR1372" s="110"/>
      <c r="OOS1372" s="110"/>
      <c r="OOT1372" s="110"/>
      <c r="OOU1372" s="110"/>
      <c r="OOV1372" s="110"/>
      <c r="OOW1372" s="110"/>
      <c r="OOX1372" s="110"/>
      <c r="OOY1372" s="110"/>
      <c r="OOZ1372" s="110"/>
      <c r="OPA1372" s="110"/>
      <c r="OPB1372" s="110"/>
      <c r="OPC1372" s="110"/>
      <c r="OPD1372" s="110"/>
      <c r="OPE1372" s="110"/>
      <c r="OPF1372" s="110"/>
      <c r="OPG1372" s="110"/>
      <c r="OPH1372" s="110"/>
      <c r="OPI1372" s="110"/>
      <c r="OPJ1372" s="110"/>
      <c r="OPK1372" s="110"/>
      <c r="OPL1372" s="110"/>
      <c r="OPM1372" s="110"/>
      <c r="OPN1372" s="110"/>
      <c r="OPO1372" s="110"/>
      <c r="OPP1372" s="110"/>
      <c r="OPQ1372" s="110"/>
      <c r="OPR1372" s="110"/>
      <c r="OPS1372" s="110"/>
      <c r="OPT1372" s="110"/>
      <c r="OPU1372" s="110"/>
      <c r="OPV1372" s="110"/>
      <c r="OPW1372" s="110"/>
      <c r="OPX1372" s="110"/>
      <c r="OPY1372" s="110"/>
      <c r="OPZ1372" s="110"/>
      <c r="OQA1372" s="110"/>
      <c r="OQB1372" s="110"/>
      <c r="OQC1372" s="110"/>
      <c r="OQD1372" s="110"/>
      <c r="OQE1372" s="110"/>
      <c r="OQF1372" s="110"/>
      <c r="OQG1372" s="110"/>
      <c r="OQH1372" s="110"/>
      <c r="OQI1372" s="110"/>
      <c r="OQJ1372" s="110"/>
      <c r="OQK1372" s="110"/>
      <c r="OQL1372" s="110"/>
      <c r="OQM1372" s="110"/>
      <c r="OQN1372" s="110"/>
      <c r="OQO1372" s="110"/>
      <c r="OQP1372" s="110"/>
      <c r="OQQ1372" s="110"/>
      <c r="OQR1372" s="110"/>
      <c r="OQS1372" s="110"/>
      <c r="OQT1372" s="110"/>
      <c r="OQU1372" s="110"/>
      <c r="OQV1372" s="110"/>
      <c r="OQW1372" s="110"/>
      <c r="OQX1372" s="110"/>
      <c r="OQY1372" s="110"/>
      <c r="OQZ1372" s="110"/>
      <c r="ORA1372" s="110"/>
      <c r="ORB1372" s="110"/>
      <c r="ORC1372" s="110"/>
      <c r="ORD1372" s="110"/>
      <c r="ORE1372" s="110"/>
      <c r="ORF1372" s="110"/>
      <c r="ORG1372" s="110"/>
      <c r="ORH1372" s="110"/>
      <c r="ORI1372" s="110"/>
      <c r="ORJ1372" s="110"/>
      <c r="ORK1372" s="110"/>
      <c r="ORL1372" s="110"/>
      <c r="ORM1372" s="110"/>
      <c r="ORN1372" s="110"/>
      <c r="ORO1372" s="110"/>
      <c r="ORP1372" s="110"/>
      <c r="ORQ1372" s="110"/>
      <c r="ORR1372" s="110"/>
      <c r="ORS1372" s="110"/>
      <c r="ORT1372" s="110"/>
      <c r="ORU1372" s="110"/>
      <c r="ORV1372" s="110"/>
      <c r="ORW1372" s="110"/>
      <c r="ORX1372" s="110"/>
      <c r="ORY1372" s="110"/>
      <c r="ORZ1372" s="110"/>
      <c r="OSA1372" s="110"/>
      <c r="OSB1372" s="110"/>
      <c r="OSC1372" s="110"/>
      <c r="OSD1372" s="110"/>
      <c r="OSE1372" s="110"/>
      <c r="OSF1372" s="110"/>
      <c r="OSG1372" s="110"/>
      <c r="OSH1372" s="110"/>
      <c r="OSI1372" s="110"/>
      <c r="OSJ1372" s="110"/>
      <c r="OSK1372" s="110"/>
      <c r="OSL1372" s="110"/>
      <c r="OSM1372" s="110"/>
      <c r="OSN1372" s="110"/>
      <c r="OSO1372" s="110"/>
      <c r="OSP1372" s="110"/>
      <c r="OSQ1372" s="110"/>
      <c r="OSR1372" s="110"/>
      <c r="OSS1372" s="110"/>
      <c r="OST1372" s="110"/>
      <c r="OSU1372" s="110"/>
      <c r="OSV1372" s="110"/>
      <c r="OSW1372" s="110"/>
      <c r="OSX1372" s="110"/>
      <c r="OSY1372" s="110"/>
      <c r="OSZ1372" s="110"/>
      <c r="OTA1372" s="110"/>
      <c r="OTB1372" s="110"/>
      <c r="OTC1372" s="110"/>
      <c r="OTD1372" s="110"/>
      <c r="OTE1372" s="110"/>
      <c r="OTF1372" s="110"/>
      <c r="OTG1372" s="110"/>
      <c r="OTH1372" s="110"/>
      <c r="OTI1372" s="110"/>
      <c r="OTJ1372" s="110"/>
      <c r="OTK1372" s="110"/>
      <c r="OTL1372" s="110"/>
      <c r="OTM1372" s="110"/>
      <c r="OTN1372" s="110"/>
      <c r="OTO1372" s="110"/>
      <c r="OTP1372" s="110"/>
      <c r="OTQ1372" s="110"/>
      <c r="OTR1372" s="110"/>
      <c r="OTS1372" s="110"/>
      <c r="OTT1372" s="110"/>
      <c r="OTU1372" s="110"/>
      <c r="OTV1372" s="110"/>
      <c r="OTW1372" s="110"/>
      <c r="OTX1372" s="110"/>
      <c r="OTY1372" s="110"/>
      <c r="OTZ1372" s="110"/>
      <c r="OUA1372" s="110"/>
      <c r="OUB1372" s="110"/>
      <c r="OUC1372" s="110"/>
      <c r="OUD1372" s="110"/>
      <c r="OUE1372" s="110"/>
      <c r="OUF1372" s="110"/>
      <c r="OUG1372" s="110"/>
      <c r="OUH1372" s="110"/>
      <c r="OUI1372" s="110"/>
      <c r="OUJ1372" s="110"/>
      <c r="OUK1372" s="110"/>
      <c r="OUL1372" s="110"/>
      <c r="OUM1372" s="110"/>
      <c r="OUN1372" s="110"/>
      <c r="OUO1372" s="110"/>
      <c r="OUP1372" s="110"/>
      <c r="OUQ1372" s="110"/>
      <c r="OUR1372" s="110"/>
      <c r="OUS1372" s="110"/>
      <c r="OUT1372" s="110"/>
      <c r="OUU1372" s="110"/>
      <c r="OUV1372" s="110"/>
      <c r="OUW1372" s="110"/>
      <c r="OUX1372" s="110"/>
      <c r="OUY1372" s="110"/>
      <c r="OUZ1372" s="110"/>
      <c r="OVA1372" s="110"/>
      <c r="OVB1372" s="110"/>
      <c r="OVC1372" s="110"/>
      <c r="OVD1372" s="110"/>
      <c r="OVE1372" s="110"/>
      <c r="OVF1372" s="110"/>
      <c r="OVG1372" s="110"/>
      <c r="OVH1372" s="110"/>
      <c r="OVI1372" s="110"/>
      <c r="OVJ1372" s="110"/>
      <c r="OVK1372" s="110"/>
      <c r="OVL1372" s="110"/>
      <c r="OVM1372" s="110"/>
      <c r="OVN1372" s="110"/>
      <c r="OVO1372" s="110"/>
      <c r="OVP1372" s="110"/>
      <c r="OVQ1372" s="110"/>
      <c r="OVR1372" s="110"/>
      <c r="OVS1372" s="110"/>
      <c r="OVT1372" s="110"/>
      <c r="OVU1372" s="110"/>
      <c r="OVV1372" s="110"/>
      <c r="OVW1372" s="110"/>
      <c r="OVX1372" s="110"/>
      <c r="OVY1372" s="110"/>
      <c r="OVZ1372" s="110"/>
      <c r="OWA1372" s="110"/>
      <c r="OWB1372" s="110"/>
      <c r="OWC1372" s="110"/>
      <c r="OWD1372" s="110"/>
      <c r="OWE1372" s="110"/>
      <c r="OWF1372" s="110"/>
      <c r="OWG1372" s="110"/>
      <c r="OWH1372" s="110"/>
      <c r="OWI1372" s="110"/>
      <c r="OWJ1372" s="110"/>
      <c r="OWK1372" s="110"/>
      <c r="OWL1372" s="110"/>
      <c r="OWM1372" s="110"/>
      <c r="OWN1372" s="110"/>
      <c r="OWO1372" s="110"/>
      <c r="OWP1372" s="110"/>
      <c r="OWQ1372" s="110"/>
      <c r="OWR1372" s="110"/>
      <c r="OWS1372" s="110"/>
      <c r="OWT1372" s="110"/>
      <c r="OWU1372" s="110"/>
      <c r="OWV1372" s="110"/>
      <c r="OWW1372" s="110"/>
      <c r="OWX1372" s="110"/>
      <c r="OWY1372" s="110"/>
      <c r="OWZ1372" s="110"/>
      <c r="OXA1372" s="110"/>
      <c r="OXB1372" s="110"/>
      <c r="OXC1372" s="110"/>
      <c r="OXD1372" s="110"/>
      <c r="OXE1372" s="110"/>
      <c r="OXF1372" s="110"/>
      <c r="OXG1372" s="110"/>
      <c r="OXH1372" s="110"/>
      <c r="OXI1372" s="110"/>
      <c r="OXJ1372" s="110"/>
      <c r="OXK1372" s="110"/>
      <c r="OXL1372" s="110"/>
      <c r="OXM1372" s="110"/>
      <c r="OXN1372" s="110"/>
      <c r="OXO1372" s="110"/>
      <c r="OXP1372" s="110"/>
      <c r="OXQ1372" s="110"/>
      <c r="OXR1372" s="110"/>
      <c r="OXS1372" s="110"/>
      <c r="OXT1372" s="110"/>
      <c r="OXU1372" s="110"/>
      <c r="OXV1372" s="110"/>
      <c r="OXW1372" s="110"/>
      <c r="OXX1372" s="110"/>
      <c r="OXY1372" s="110"/>
      <c r="OXZ1372" s="110"/>
      <c r="OYA1372" s="110"/>
      <c r="OYB1372" s="110"/>
      <c r="OYC1372" s="110"/>
      <c r="OYD1372" s="110"/>
      <c r="OYE1372" s="110"/>
      <c r="OYF1372" s="110"/>
      <c r="OYG1372" s="110"/>
      <c r="OYH1372" s="110"/>
      <c r="OYI1372" s="110"/>
      <c r="OYJ1372" s="110"/>
      <c r="OYK1372" s="110"/>
      <c r="OYL1372" s="110"/>
      <c r="OYM1372" s="110"/>
      <c r="OYN1372" s="110"/>
      <c r="OYO1372" s="110"/>
      <c r="OYP1372" s="110"/>
      <c r="OYQ1372" s="110"/>
      <c r="OYR1372" s="110"/>
      <c r="OYS1372" s="110"/>
      <c r="OYT1372" s="110"/>
      <c r="OYU1372" s="110"/>
      <c r="OYV1372" s="110"/>
      <c r="OYW1372" s="110"/>
      <c r="OYX1372" s="110"/>
      <c r="OYY1372" s="110"/>
      <c r="OYZ1372" s="110"/>
      <c r="OZA1372" s="110"/>
      <c r="OZB1372" s="110"/>
      <c r="OZC1372" s="110"/>
      <c r="OZD1372" s="110"/>
      <c r="OZE1372" s="110"/>
      <c r="OZF1372" s="110"/>
      <c r="OZG1372" s="110"/>
      <c r="OZH1372" s="110"/>
      <c r="OZI1372" s="110"/>
      <c r="OZJ1372" s="110"/>
      <c r="OZK1372" s="110"/>
      <c r="OZL1372" s="110"/>
      <c r="OZM1372" s="110"/>
      <c r="OZN1372" s="110"/>
      <c r="OZO1372" s="110"/>
      <c r="OZP1372" s="110"/>
      <c r="OZQ1372" s="110"/>
      <c r="OZR1372" s="110"/>
      <c r="OZS1372" s="110"/>
      <c r="OZT1372" s="110"/>
      <c r="OZU1372" s="110"/>
      <c r="OZV1372" s="110"/>
      <c r="OZW1372" s="110"/>
      <c r="OZX1372" s="110"/>
      <c r="OZY1372" s="110"/>
      <c r="OZZ1372" s="110"/>
      <c r="PAA1372" s="110"/>
      <c r="PAB1372" s="110"/>
      <c r="PAC1372" s="110"/>
      <c r="PAD1372" s="110"/>
      <c r="PAE1372" s="110"/>
      <c r="PAF1372" s="110"/>
      <c r="PAG1372" s="110"/>
      <c r="PAH1372" s="110"/>
      <c r="PAI1372" s="110"/>
      <c r="PAJ1372" s="110"/>
      <c r="PAK1372" s="110"/>
      <c r="PAL1372" s="110"/>
      <c r="PAM1372" s="110"/>
      <c r="PAN1372" s="110"/>
      <c r="PAO1372" s="110"/>
      <c r="PAP1372" s="110"/>
      <c r="PAQ1372" s="110"/>
      <c r="PAR1372" s="110"/>
      <c r="PAS1372" s="110"/>
      <c r="PAT1372" s="110"/>
      <c r="PAU1372" s="110"/>
      <c r="PAV1372" s="110"/>
      <c r="PAW1372" s="110"/>
      <c r="PAX1372" s="110"/>
      <c r="PAY1372" s="110"/>
      <c r="PAZ1372" s="110"/>
      <c r="PBA1372" s="110"/>
      <c r="PBB1372" s="110"/>
      <c r="PBC1372" s="110"/>
      <c r="PBD1372" s="110"/>
      <c r="PBE1372" s="110"/>
      <c r="PBF1372" s="110"/>
      <c r="PBG1372" s="110"/>
      <c r="PBH1372" s="110"/>
      <c r="PBI1372" s="110"/>
      <c r="PBJ1372" s="110"/>
      <c r="PBK1372" s="110"/>
      <c r="PBL1372" s="110"/>
      <c r="PBM1372" s="110"/>
      <c r="PBN1372" s="110"/>
      <c r="PBO1372" s="110"/>
      <c r="PBP1372" s="110"/>
      <c r="PBQ1372" s="110"/>
      <c r="PBR1372" s="110"/>
      <c r="PBS1372" s="110"/>
      <c r="PBT1372" s="110"/>
      <c r="PBU1372" s="110"/>
      <c r="PBV1372" s="110"/>
      <c r="PBW1372" s="110"/>
      <c r="PBX1372" s="110"/>
      <c r="PBY1372" s="110"/>
      <c r="PBZ1372" s="110"/>
      <c r="PCA1372" s="110"/>
      <c r="PCB1372" s="110"/>
      <c r="PCC1372" s="110"/>
      <c r="PCD1372" s="110"/>
      <c r="PCE1372" s="110"/>
      <c r="PCF1372" s="110"/>
      <c r="PCG1372" s="110"/>
      <c r="PCH1372" s="110"/>
      <c r="PCI1372" s="110"/>
      <c r="PCJ1372" s="110"/>
      <c r="PCK1372" s="110"/>
      <c r="PCL1372" s="110"/>
      <c r="PCM1372" s="110"/>
      <c r="PCN1372" s="110"/>
      <c r="PCO1372" s="110"/>
      <c r="PCP1372" s="110"/>
      <c r="PCQ1372" s="110"/>
      <c r="PCR1372" s="110"/>
      <c r="PCS1372" s="110"/>
      <c r="PCT1372" s="110"/>
      <c r="PCU1372" s="110"/>
      <c r="PCV1372" s="110"/>
      <c r="PCW1372" s="110"/>
      <c r="PCX1372" s="110"/>
      <c r="PCY1372" s="110"/>
      <c r="PCZ1372" s="110"/>
      <c r="PDA1372" s="110"/>
      <c r="PDB1372" s="110"/>
      <c r="PDC1372" s="110"/>
      <c r="PDD1372" s="110"/>
      <c r="PDE1372" s="110"/>
      <c r="PDF1372" s="110"/>
      <c r="PDG1372" s="110"/>
      <c r="PDH1372" s="110"/>
      <c r="PDI1372" s="110"/>
      <c r="PDJ1372" s="110"/>
      <c r="PDK1372" s="110"/>
      <c r="PDL1372" s="110"/>
      <c r="PDM1372" s="110"/>
      <c r="PDN1372" s="110"/>
      <c r="PDO1372" s="110"/>
      <c r="PDP1372" s="110"/>
      <c r="PDQ1372" s="110"/>
      <c r="PDR1372" s="110"/>
      <c r="PDS1372" s="110"/>
      <c r="PDT1372" s="110"/>
      <c r="PDU1372" s="110"/>
      <c r="PDV1372" s="110"/>
      <c r="PDW1372" s="110"/>
      <c r="PDX1372" s="110"/>
      <c r="PDY1372" s="110"/>
      <c r="PDZ1372" s="110"/>
      <c r="PEA1372" s="110"/>
      <c r="PEB1372" s="110"/>
      <c r="PEC1372" s="110"/>
      <c r="PED1372" s="110"/>
      <c r="PEE1372" s="110"/>
      <c r="PEF1372" s="110"/>
      <c r="PEG1372" s="110"/>
      <c r="PEH1372" s="110"/>
      <c r="PEI1372" s="110"/>
      <c r="PEJ1372" s="110"/>
      <c r="PEK1372" s="110"/>
      <c r="PEL1372" s="110"/>
      <c r="PEM1372" s="110"/>
      <c r="PEN1372" s="110"/>
      <c r="PEO1372" s="110"/>
      <c r="PEP1372" s="110"/>
      <c r="PEQ1372" s="110"/>
      <c r="PER1372" s="110"/>
      <c r="PES1372" s="110"/>
      <c r="PET1372" s="110"/>
      <c r="PEU1372" s="110"/>
      <c r="PEV1372" s="110"/>
      <c r="PEW1372" s="110"/>
      <c r="PEX1372" s="110"/>
      <c r="PEY1372" s="110"/>
      <c r="PEZ1372" s="110"/>
      <c r="PFA1372" s="110"/>
      <c r="PFB1372" s="110"/>
      <c r="PFC1372" s="110"/>
      <c r="PFD1372" s="110"/>
      <c r="PFE1372" s="110"/>
      <c r="PFF1372" s="110"/>
      <c r="PFG1372" s="110"/>
      <c r="PFH1372" s="110"/>
      <c r="PFI1372" s="110"/>
      <c r="PFJ1372" s="110"/>
      <c r="PFK1372" s="110"/>
      <c r="PFL1372" s="110"/>
      <c r="PFM1372" s="110"/>
      <c r="PFN1372" s="110"/>
      <c r="PFO1372" s="110"/>
      <c r="PFP1372" s="110"/>
      <c r="PFQ1372" s="110"/>
      <c r="PFR1372" s="110"/>
      <c r="PFS1372" s="110"/>
      <c r="PFT1372" s="110"/>
      <c r="PFU1372" s="110"/>
      <c r="PFV1372" s="110"/>
      <c r="PFW1372" s="110"/>
      <c r="PFX1372" s="110"/>
      <c r="PFY1372" s="110"/>
      <c r="PFZ1372" s="110"/>
      <c r="PGA1372" s="110"/>
      <c r="PGB1372" s="110"/>
      <c r="PGC1372" s="110"/>
      <c r="PGD1372" s="110"/>
      <c r="PGE1372" s="110"/>
      <c r="PGF1372" s="110"/>
      <c r="PGG1372" s="110"/>
      <c r="PGH1372" s="110"/>
      <c r="PGI1372" s="110"/>
      <c r="PGJ1372" s="110"/>
      <c r="PGK1372" s="110"/>
      <c r="PGL1372" s="110"/>
      <c r="PGM1372" s="110"/>
      <c r="PGN1372" s="110"/>
      <c r="PGO1372" s="110"/>
      <c r="PGP1372" s="110"/>
      <c r="PGQ1372" s="110"/>
      <c r="PGR1372" s="110"/>
      <c r="PGS1372" s="110"/>
      <c r="PGT1372" s="110"/>
      <c r="PGU1372" s="110"/>
      <c r="PGV1372" s="110"/>
      <c r="PGW1372" s="110"/>
      <c r="PGX1372" s="110"/>
      <c r="PGY1372" s="110"/>
      <c r="PGZ1372" s="110"/>
      <c r="PHA1372" s="110"/>
      <c r="PHB1372" s="110"/>
      <c r="PHC1372" s="110"/>
      <c r="PHD1372" s="110"/>
      <c r="PHE1372" s="110"/>
      <c r="PHF1372" s="110"/>
      <c r="PHG1372" s="110"/>
      <c r="PHH1372" s="110"/>
      <c r="PHI1372" s="110"/>
      <c r="PHJ1372" s="110"/>
      <c r="PHK1372" s="110"/>
      <c r="PHL1372" s="110"/>
      <c r="PHM1372" s="110"/>
      <c r="PHN1372" s="110"/>
      <c r="PHO1372" s="110"/>
      <c r="PHP1372" s="110"/>
      <c r="PHQ1372" s="110"/>
      <c r="PHR1372" s="110"/>
      <c r="PHS1372" s="110"/>
      <c r="PHT1372" s="110"/>
      <c r="PHU1372" s="110"/>
      <c r="PHV1372" s="110"/>
      <c r="PHW1372" s="110"/>
      <c r="PHX1372" s="110"/>
      <c r="PHY1372" s="110"/>
      <c r="PHZ1372" s="110"/>
      <c r="PIA1372" s="110"/>
      <c r="PIB1372" s="110"/>
      <c r="PIC1372" s="110"/>
      <c r="PID1372" s="110"/>
      <c r="PIE1372" s="110"/>
      <c r="PIF1372" s="110"/>
      <c r="PIG1372" s="110"/>
      <c r="PIH1372" s="110"/>
      <c r="PII1372" s="110"/>
      <c r="PIJ1372" s="110"/>
      <c r="PIK1372" s="110"/>
      <c r="PIL1372" s="110"/>
      <c r="PIM1372" s="110"/>
      <c r="PIN1372" s="110"/>
      <c r="PIO1372" s="110"/>
      <c r="PIP1372" s="110"/>
      <c r="PIQ1372" s="110"/>
      <c r="PIR1372" s="110"/>
      <c r="PIS1372" s="110"/>
      <c r="PIT1372" s="110"/>
      <c r="PIU1372" s="110"/>
      <c r="PIV1372" s="110"/>
      <c r="PIW1372" s="110"/>
      <c r="PIX1372" s="110"/>
      <c r="PIY1372" s="110"/>
      <c r="PIZ1372" s="110"/>
      <c r="PJA1372" s="110"/>
      <c r="PJB1372" s="110"/>
      <c r="PJC1372" s="110"/>
      <c r="PJD1372" s="110"/>
      <c r="PJE1372" s="110"/>
      <c r="PJF1372" s="110"/>
      <c r="PJG1372" s="110"/>
      <c r="PJH1372" s="110"/>
      <c r="PJI1372" s="110"/>
      <c r="PJJ1372" s="110"/>
      <c r="PJK1372" s="110"/>
      <c r="PJL1372" s="110"/>
      <c r="PJM1372" s="110"/>
      <c r="PJN1372" s="110"/>
      <c r="PJO1372" s="110"/>
      <c r="PJP1372" s="110"/>
      <c r="PJQ1372" s="110"/>
      <c r="PJR1372" s="110"/>
      <c r="PJS1372" s="110"/>
      <c r="PJT1372" s="110"/>
      <c r="PJU1372" s="110"/>
      <c r="PJV1372" s="110"/>
      <c r="PJW1372" s="110"/>
      <c r="PJX1372" s="110"/>
      <c r="PJY1372" s="110"/>
      <c r="PJZ1372" s="110"/>
      <c r="PKA1372" s="110"/>
      <c r="PKB1372" s="110"/>
      <c r="PKC1372" s="110"/>
      <c r="PKD1372" s="110"/>
      <c r="PKE1372" s="110"/>
      <c r="PKF1372" s="110"/>
      <c r="PKG1372" s="110"/>
      <c r="PKH1372" s="110"/>
      <c r="PKI1372" s="110"/>
      <c r="PKJ1372" s="110"/>
      <c r="PKK1372" s="110"/>
      <c r="PKL1372" s="110"/>
      <c r="PKM1372" s="110"/>
      <c r="PKN1372" s="110"/>
      <c r="PKO1372" s="110"/>
      <c r="PKP1372" s="110"/>
      <c r="PKQ1372" s="110"/>
      <c r="PKR1372" s="110"/>
      <c r="PKS1372" s="110"/>
      <c r="PKT1372" s="110"/>
      <c r="PKU1372" s="110"/>
      <c r="PKV1372" s="110"/>
      <c r="PKW1372" s="110"/>
      <c r="PKX1372" s="110"/>
      <c r="PKY1372" s="110"/>
      <c r="PKZ1372" s="110"/>
      <c r="PLA1372" s="110"/>
      <c r="PLB1372" s="110"/>
      <c r="PLC1372" s="110"/>
      <c r="PLD1372" s="110"/>
      <c r="PLE1372" s="110"/>
      <c r="PLF1372" s="110"/>
      <c r="PLG1372" s="110"/>
      <c r="PLH1372" s="110"/>
      <c r="PLI1372" s="110"/>
      <c r="PLJ1372" s="110"/>
      <c r="PLK1372" s="110"/>
      <c r="PLL1372" s="110"/>
      <c r="PLM1372" s="110"/>
      <c r="PLN1372" s="110"/>
      <c r="PLO1372" s="110"/>
      <c r="PLP1372" s="110"/>
      <c r="PLQ1372" s="110"/>
      <c r="PLR1372" s="110"/>
      <c r="PLS1372" s="110"/>
      <c r="PLT1372" s="110"/>
      <c r="PLU1372" s="110"/>
      <c r="PLV1372" s="110"/>
      <c r="PLW1372" s="110"/>
      <c r="PLX1372" s="110"/>
      <c r="PLY1372" s="110"/>
      <c r="PLZ1372" s="110"/>
      <c r="PMA1372" s="110"/>
      <c r="PMB1372" s="110"/>
      <c r="PMC1372" s="110"/>
      <c r="PMD1372" s="110"/>
      <c r="PME1372" s="110"/>
      <c r="PMF1372" s="110"/>
      <c r="PMG1372" s="110"/>
      <c r="PMH1372" s="110"/>
      <c r="PMI1372" s="110"/>
      <c r="PMJ1372" s="110"/>
      <c r="PMK1372" s="110"/>
      <c r="PML1372" s="110"/>
      <c r="PMM1372" s="110"/>
      <c r="PMN1372" s="110"/>
      <c r="PMO1372" s="110"/>
      <c r="PMP1372" s="110"/>
      <c r="PMQ1372" s="110"/>
      <c r="PMR1372" s="110"/>
      <c r="PMS1372" s="110"/>
      <c r="PMT1372" s="110"/>
      <c r="PMU1372" s="110"/>
      <c r="PMV1372" s="110"/>
      <c r="PMW1372" s="110"/>
      <c r="PMX1372" s="110"/>
      <c r="PMY1372" s="110"/>
      <c r="PMZ1372" s="110"/>
      <c r="PNA1372" s="110"/>
      <c r="PNB1372" s="110"/>
      <c r="PNC1372" s="110"/>
      <c r="PND1372" s="110"/>
      <c r="PNE1372" s="110"/>
      <c r="PNF1372" s="110"/>
      <c r="PNG1372" s="110"/>
      <c r="PNH1372" s="110"/>
      <c r="PNI1372" s="110"/>
      <c r="PNJ1372" s="110"/>
      <c r="PNK1372" s="110"/>
      <c r="PNL1372" s="110"/>
      <c r="PNM1372" s="110"/>
      <c r="PNN1372" s="110"/>
      <c r="PNO1372" s="110"/>
      <c r="PNP1372" s="110"/>
      <c r="PNQ1372" s="110"/>
      <c r="PNR1372" s="110"/>
      <c r="PNS1372" s="110"/>
      <c r="PNT1372" s="110"/>
      <c r="PNU1372" s="110"/>
      <c r="PNV1372" s="110"/>
      <c r="PNW1372" s="110"/>
      <c r="PNX1372" s="110"/>
      <c r="PNY1372" s="110"/>
      <c r="PNZ1372" s="110"/>
      <c r="POA1372" s="110"/>
      <c r="POB1372" s="110"/>
      <c r="POC1372" s="110"/>
      <c r="POD1372" s="110"/>
      <c r="POE1372" s="110"/>
      <c r="POF1372" s="110"/>
      <c r="POG1372" s="110"/>
      <c r="POH1372" s="110"/>
      <c r="POI1372" s="110"/>
      <c r="POJ1372" s="110"/>
      <c r="POK1372" s="110"/>
      <c r="POL1372" s="110"/>
      <c r="POM1372" s="110"/>
      <c r="PON1372" s="110"/>
      <c r="POO1372" s="110"/>
      <c r="POP1372" s="110"/>
      <c r="POQ1372" s="110"/>
      <c r="POR1372" s="110"/>
      <c r="POS1372" s="110"/>
      <c r="POT1372" s="110"/>
      <c r="POU1372" s="110"/>
      <c r="POV1372" s="110"/>
      <c r="POW1372" s="110"/>
      <c r="POX1372" s="110"/>
      <c r="POY1372" s="110"/>
      <c r="POZ1372" s="110"/>
      <c r="PPA1372" s="110"/>
      <c r="PPB1372" s="110"/>
      <c r="PPC1372" s="110"/>
      <c r="PPD1372" s="110"/>
      <c r="PPE1372" s="110"/>
      <c r="PPF1372" s="110"/>
      <c r="PPG1372" s="110"/>
      <c r="PPH1372" s="110"/>
      <c r="PPI1372" s="110"/>
      <c r="PPJ1372" s="110"/>
      <c r="PPK1372" s="110"/>
      <c r="PPL1372" s="110"/>
      <c r="PPM1372" s="110"/>
      <c r="PPN1372" s="110"/>
      <c r="PPO1372" s="110"/>
      <c r="PPP1372" s="110"/>
      <c r="PPQ1372" s="110"/>
      <c r="PPR1372" s="110"/>
      <c r="PPS1372" s="110"/>
      <c r="PPT1372" s="110"/>
      <c r="PPU1372" s="110"/>
      <c r="PPV1372" s="110"/>
      <c r="PPW1372" s="110"/>
      <c r="PPX1372" s="110"/>
      <c r="PPY1372" s="110"/>
      <c r="PPZ1372" s="110"/>
      <c r="PQA1372" s="110"/>
      <c r="PQB1372" s="110"/>
      <c r="PQC1372" s="110"/>
      <c r="PQD1372" s="110"/>
      <c r="PQE1372" s="110"/>
      <c r="PQF1372" s="110"/>
      <c r="PQG1372" s="110"/>
      <c r="PQH1372" s="110"/>
      <c r="PQI1372" s="110"/>
      <c r="PQJ1372" s="110"/>
      <c r="PQK1372" s="110"/>
      <c r="PQL1372" s="110"/>
      <c r="PQM1372" s="110"/>
      <c r="PQN1372" s="110"/>
      <c r="PQO1372" s="110"/>
      <c r="PQP1372" s="110"/>
      <c r="PQQ1372" s="110"/>
      <c r="PQR1372" s="110"/>
      <c r="PQS1372" s="110"/>
      <c r="PQT1372" s="110"/>
      <c r="PQU1372" s="110"/>
      <c r="PQV1372" s="110"/>
      <c r="PQW1372" s="110"/>
      <c r="PQX1372" s="110"/>
      <c r="PQY1372" s="110"/>
      <c r="PQZ1372" s="110"/>
      <c r="PRA1372" s="110"/>
      <c r="PRB1372" s="110"/>
      <c r="PRC1372" s="110"/>
      <c r="PRD1372" s="110"/>
      <c r="PRE1372" s="110"/>
      <c r="PRF1372" s="110"/>
      <c r="PRG1372" s="110"/>
      <c r="PRH1372" s="110"/>
      <c r="PRI1372" s="110"/>
      <c r="PRJ1372" s="110"/>
      <c r="PRK1372" s="110"/>
      <c r="PRL1372" s="110"/>
      <c r="PRM1372" s="110"/>
      <c r="PRN1372" s="110"/>
      <c r="PRO1372" s="110"/>
      <c r="PRP1372" s="110"/>
      <c r="PRQ1372" s="110"/>
      <c r="PRR1372" s="110"/>
      <c r="PRS1372" s="110"/>
      <c r="PRT1372" s="110"/>
      <c r="PRU1372" s="110"/>
      <c r="PRV1372" s="110"/>
      <c r="PRW1372" s="110"/>
      <c r="PRX1372" s="110"/>
      <c r="PRY1372" s="110"/>
      <c r="PRZ1372" s="110"/>
      <c r="PSA1372" s="110"/>
      <c r="PSB1372" s="110"/>
      <c r="PSC1372" s="110"/>
      <c r="PSD1372" s="110"/>
      <c r="PSE1372" s="110"/>
      <c r="PSF1372" s="110"/>
      <c r="PSG1372" s="110"/>
      <c r="PSH1372" s="110"/>
      <c r="PSI1372" s="110"/>
      <c r="PSJ1372" s="110"/>
      <c r="PSK1372" s="110"/>
      <c r="PSL1372" s="110"/>
      <c r="PSM1372" s="110"/>
      <c r="PSN1372" s="110"/>
      <c r="PSO1372" s="110"/>
      <c r="PSP1372" s="110"/>
      <c r="PSQ1372" s="110"/>
      <c r="PSR1372" s="110"/>
      <c r="PSS1372" s="110"/>
      <c r="PST1372" s="110"/>
      <c r="PSU1372" s="110"/>
      <c r="PSV1372" s="110"/>
      <c r="PSW1372" s="110"/>
      <c r="PSX1372" s="110"/>
      <c r="PSY1372" s="110"/>
      <c r="PSZ1372" s="110"/>
      <c r="PTA1372" s="110"/>
      <c r="PTB1372" s="110"/>
      <c r="PTC1372" s="110"/>
      <c r="PTD1372" s="110"/>
      <c r="PTE1372" s="110"/>
      <c r="PTF1372" s="110"/>
      <c r="PTG1372" s="110"/>
      <c r="PTH1372" s="110"/>
      <c r="PTI1372" s="110"/>
      <c r="PTJ1372" s="110"/>
      <c r="PTK1372" s="110"/>
      <c r="PTL1372" s="110"/>
      <c r="PTM1372" s="110"/>
      <c r="PTN1372" s="110"/>
      <c r="PTO1372" s="110"/>
      <c r="PTP1372" s="110"/>
      <c r="PTQ1372" s="110"/>
      <c r="PTR1372" s="110"/>
      <c r="PTS1372" s="110"/>
      <c r="PTT1372" s="110"/>
      <c r="PTU1372" s="110"/>
      <c r="PTV1372" s="110"/>
      <c r="PTW1372" s="110"/>
      <c r="PTX1372" s="110"/>
      <c r="PTY1372" s="110"/>
      <c r="PTZ1372" s="110"/>
      <c r="PUA1372" s="110"/>
      <c r="PUB1372" s="110"/>
      <c r="PUC1372" s="110"/>
      <c r="PUD1372" s="110"/>
      <c r="PUE1372" s="110"/>
      <c r="PUF1372" s="110"/>
      <c r="PUG1372" s="110"/>
      <c r="PUH1372" s="110"/>
      <c r="PUI1372" s="110"/>
      <c r="PUJ1372" s="110"/>
      <c r="PUK1372" s="110"/>
      <c r="PUL1372" s="110"/>
      <c r="PUM1372" s="110"/>
      <c r="PUN1372" s="110"/>
      <c r="PUO1372" s="110"/>
      <c r="PUP1372" s="110"/>
      <c r="PUQ1372" s="110"/>
      <c r="PUR1372" s="110"/>
      <c r="PUS1372" s="110"/>
      <c r="PUT1372" s="110"/>
      <c r="PUU1372" s="110"/>
      <c r="PUV1372" s="110"/>
      <c r="PUW1372" s="110"/>
      <c r="PUX1372" s="110"/>
      <c r="PUY1372" s="110"/>
      <c r="PUZ1372" s="110"/>
      <c r="PVA1372" s="110"/>
      <c r="PVB1372" s="110"/>
      <c r="PVC1372" s="110"/>
      <c r="PVD1372" s="110"/>
      <c r="PVE1372" s="110"/>
      <c r="PVF1372" s="110"/>
      <c r="PVG1372" s="110"/>
      <c r="PVH1372" s="110"/>
      <c r="PVI1372" s="110"/>
      <c r="PVJ1372" s="110"/>
      <c r="PVK1372" s="110"/>
      <c r="PVL1372" s="110"/>
      <c r="PVM1372" s="110"/>
      <c r="PVN1372" s="110"/>
      <c r="PVO1372" s="110"/>
      <c r="PVP1372" s="110"/>
      <c r="PVQ1372" s="110"/>
      <c r="PVR1372" s="110"/>
      <c r="PVS1372" s="110"/>
      <c r="PVT1372" s="110"/>
      <c r="PVU1372" s="110"/>
      <c r="PVV1372" s="110"/>
      <c r="PVW1372" s="110"/>
      <c r="PVX1372" s="110"/>
      <c r="PVY1372" s="110"/>
      <c r="PVZ1372" s="110"/>
      <c r="PWA1372" s="110"/>
      <c r="PWB1372" s="110"/>
      <c r="PWC1372" s="110"/>
      <c r="PWD1372" s="110"/>
      <c r="PWE1372" s="110"/>
      <c r="PWF1372" s="110"/>
      <c r="PWG1372" s="110"/>
      <c r="PWH1372" s="110"/>
      <c r="PWI1372" s="110"/>
      <c r="PWJ1372" s="110"/>
      <c r="PWK1372" s="110"/>
      <c r="PWL1372" s="110"/>
      <c r="PWM1372" s="110"/>
      <c r="PWN1372" s="110"/>
      <c r="PWO1372" s="110"/>
      <c r="PWP1372" s="110"/>
      <c r="PWQ1372" s="110"/>
      <c r="PWR1372" s="110"/>
      <c r="PWS1372" s="110"/>
      <c r="PWT1372" s="110"/>
      <c r="PWU1372" s="110"/>
      <c r="PWV1372" s="110"/>
      <c r="PWW1372" s="110"/>
      <c r="PWX1372" s="110"/>
      <c r="PWY1372" s="110"/>
      <c r="PWZ1372" s="110"/>
      <c r="PXA1372" s="110"/>
      <c r="PXB1372" s="110"/>
      <c r="PXC1372" s="110"/>
      <c r="PXD1372" s="110"/>
      <c r="PXE1372" s="110"/>
      <c r="PXF1372" s="110"/>
      <c r="PXG1372" s="110"/>
      <c r="PXH1372" s="110"/>
      <c r="PXI1372" s="110"/>
      <c r="PXJ1372" s="110"/>
      <c r="PXK1372" s="110"/>
      <c r="PXL1372" s="110"/>
      <c r="PXM1372" s="110"/>
      <c r="PXN1372" s="110"/>
      <c r="PXO1372" s="110"/>
      <c r="PXP1372" s="110"/>
      <c r="PXQ1372" s="110"/>
      <c r="PXR1372" s="110"/>
      <c r="PXS1372" s="110"/>
      <c r="PXT1372" s="110"/>
      <c r="PXU1372" s="110"/>
      <c r="PXV1372" s="110"/>
      <c r="PXW1372" s="110"/>
      <c r="PXX1372" s="110"/>
      <c r="PXY1372" s="110"/>
      <c r="PXZ1372" s="110"/>
      <c r="PYA1372" s="110"/>
      <c r="PYB1372" s="110"/>
      <c r="PYC1372" s="110"/>
      <c r="PYD1372" s="110"/>
      <c r="PYE1372" s="110"/>
      <c r="PYF1372" s="110"/>
      <c r="PYG1372" s="110"/>
      <c r="PYH1372" s="110"/>
      <c r="PYI1372" s="110"/>
      <c r="PYJ1372" s="110"/>
      <c r="PYK1372" s="110"/>
      <c r="PYL1372" s="110"/>
      <c r="PYM1372" s="110"/>
      <c r="PYN1372" s="110"/>
      <c r="PYO1372" s="110"/>
      <c r="PYP1372" s="110"/>
      <c r="PYQ1372" s="110"/>
      <c r="PYR1372" s="110"/>
      <c r="PYS1372" s="110"/>
      <c r="PYT1372" s="110"/>
      <c r="PYU1372" s="110"/>
      <c r="PYV1372" s="110"/>
      <c r="PYW1372" s="110"/>
      <c r="PYX1372" s="110"/>
      <c r="PYY1372" s="110"/>
      <c r="PYZ1372" s="110"/>
      <c r="PZA1372" s="110"/>
      <c r="PZB1372" s="110"/>
      <c r="PZC1372" s="110"/>
      <c r="PZD1372" s="110"/>
      <c r="PZE1372" s="110"/>
      <c r="PZF1372" s="110"/>
      <c r="PZG1372" s="110"/>
      <c r="PZH1372" s="110"/>
      <c r="PZI1372" s="110"/>
      <c r="PZJ1372" s="110"/>
      <c r="PZK1372" s="110"/>
      <c r="PZL1372" s="110"/>
      <c r="PZM1372" s="110"/>
      <c r="PZN1372" s="110"/>
      <c r="PZO1372" s="110"/>
      <c r="PZP1372" s="110"/>
      <c r="PZQ1372" s="110"/>
      <c r="PZR1372" s="110"/>
      <c r="PZS1372" s="110"/>
      <c r="PZT1372" s="110"/>
      <c r="PZU1372" s="110"/>
      <c r="PZV1372" s="110"/>
      <c r="PZW1372" s="110"/>
      <c r="PZX1372" s="110"/>
      <c r="PZY1372" s="110"/>
      <c r="PZZ1372" s="110"/>
      <c r="QAA1372" s="110"/>
      <c r="QAB1372" s="110"/>
      <c r="QAC1372" s="110"/>
      <c r="QAD1372" s="110"/>
      <c r="QAE1372" s="110"/>
      <c r="QAF1372" s="110"/>
      <c r="QAG1372" s="110"/>
      <c r="QAH1372" s="110"/>
      <c r="QAI1372" s="110"/>
      <c r="QAJ1372" s="110"/>
      <c r="QAK1372" s="110"/>
      <c r="QAL1372" s="110"/>
      <c r="QAM1372" s="110"/>
      <c r="QAN1372" s="110"/>
      <c r="QAO1372" s="110"/>
      <c r="QAP1372" s="110"/>
      <c r="QAQ1372" s="110"/>
      <c r="QAR1372" s="110"/>
      <c r="QAS1372" s="110"/>
      <c r="QAT1372" s="110"/>
      <c r="QAU1372" s="110"/>
      <c r="QAV1372" s="110"/>
      <c r="QAW1372" s="110"/>
      <c r="QAX1372" s="110"/>
      <c r="QAY1372" s="110"/>
      <c r="QAZ1372" s="110"/>
      <c r="QBA1372" s="110"/>
      <c r="QBB1372" s="110"/>
      <c r="QBC1372" s="110"/>
      <c r="QBD1372" s="110"/>
      <c r="QBE1372" s="110"/>
      <c r="QBF1372" s="110"/>
      <c r="QBG1372" s="110"/>
      <c r="QBH1372" s="110"/>
      <c r="QBI1372" s="110"/>
      <c r="QBJ1372" s="110"/>
      <c r="QBK1372" s="110"/>
      <c r="QBL1372" s="110"/>
      <c r="QBM1372" s="110"/>
      <c r="QBN1372" s="110"/>
      <c r="QBO1372" s="110"/>
      <c r="QBP1372" s="110"/>
      <c r="QBQ1372" s="110"/>
      <c r="QBR1372" s="110"/>
      <c r="QBS1372" s="110"/>
      <c r="QBT1372" s="110"/>
      <c r="QBU1372" s="110"/>
      <c r="QBV1372" s="110"/>
      <c r="QBW1372" s="110"/>
      <c r="QBX1372" s="110"/>
      <c r="QBY1372" s="110"/>
      <c r="QBZ1372" s="110"/>
      <c r="QCA1372" s="110"/>
      <c r="QCB1372" s="110"/>
      <c r="QCC1372" s="110"/>
      <c r="QCD1372" s="110"/>
      <c r="QCE1372" s="110"/>
      <c r="QCF1372" s="110"/>
      <c r="QCG1372" s="110"/>
      <c r="QCH1372" s="110"/>
      <c r="QCI1372" s="110"/>
      <c r="QCJ1372" s="110"/>
      <c r="QCK1372" s="110"/>
      <c r="QCL1372" s="110"/>
      <c r="QCM1372" s="110"/>
      <c r="QCN1372" s="110"/>
      <c r="QCO1372" s="110"/>
      <c r="QCP1372" s="110"/>
      <c r="QCQ1372" s="110"/>
      <c r="QCR1372" s="110"/>
      <c r="QCS1372" s="110"/>
      <c r="QCT1372" s="110"/>
      <c r="QCU1372" s="110"/>
      <c r="QCV1372" s="110"/>
      <c r="QCW1372" s="110"/>
      <c r="QCX1372" s="110"/>
      <c r="QCY1372" s="110"/>
      <c r="QCZ1372" s="110"/>
      <c r="QDA1372" s="110"/>
      <c r="QDB1372" s="110"/>
      <c r="QDC1372" s="110"/>
      <c r="QDD1372" s="110"/>
      <c r="QDE1372" s="110"/>
      <c r="QDF1372" s="110"/>
      <c r="QDG1372" s="110"/>
      <c r="QDH1372" s="110"/>
      <c r="QDI1372" s="110"/>
      <c r="QDJ1372" s="110"/>
      <c r="QDK1372" s="110"/>
      <c r="QDL1372" s="110"/>
      <c r="QDM1372" s="110"/>
      <c r="QDN1372" s="110"/>
      <c r="QDO1372" s="110"/>
      <c r="QDP1372" s="110"/>
      <c r="QDQ1372" s="110"/>
      <c r="QDR1372" s="110"/>
      <c r="QDS1372" s="110"/>
      <c r="QDT1372" s="110"/>
      <c r="QDU1372" s="110"/>
      <c r="QDV1372" s="110"/>
      <c r="QDW1372" s="110"/>
      <c r="QDX1372" s="110"/>
      <c r="QDY1372" s="110"/>
      <c r="QDZ1372" s="110"/>
      <c r="QEA1372" s="110"/>
      <c r="QEB1372" s="110"/>
      <c r="QEC1372" s="110"/>
      <c r="QED1372" s="110"/>
      <c r="QEE1372" s="110"/>
      <c r="QEF1372" s="110"/>
      <c r="QEG1372" s="110"/>
      <c r="QEH1372" s="110"/>
      <c r="QEI1372" s="110"/>
      <c r="QEJ1372" s="110"/>
      <c r="QEK1372" s="110"/>
      <c r="QEL1372" s="110"/>
      <c r="QEM1372" s="110"/>
      <c r="QEN1372" s="110"/>
      <c r="QEO1372" s="110"/>
      <c r="QEP1372" s="110"/>
      <c r="QEQ1372" s="110"/>
      <c r="QER1372" s="110"/>
      <c r="QES1372" s="110"/>
      <c r="QET1372" s="110"/>
      <c r="QEU1372" s="110"/>
      <c r="QEV1372" s="110"/>
      <c r="QEW1372" s="110"/>
      <c r="QEX1372" s="110"/>
      <c r="QEY1372" s="110"/>
      <c r="QEZ1372" s="110"/>
      <c r="QFA1372" s="110"/>
      <c r="QFB1372" s="110"/>
      <c r="QFC1372" s="110"/>
      <c r="QFD1372" s="110"/>
      <c r="QFE1372" s="110"/>
      <c r="QFF1372" s="110"/>
      <c r="QFG1372" s="110"/>
      <c r="QFH1372" s="110"/>
      <c r="QFI1372" s="110"/>
      <c r="QFJ1372" s="110"/>
      <c r="QFK1372" s="110"/>
      <c r="QFL1372" s="110"/>
      <c r="QFM1372" s="110"/>
      <c r="QFN1372" s="110"/>
      <c r="QFO1372" s="110"/>
      <c r="QFP1372" s="110"/>
      <c r="QFQ1372" s="110"/>
      <c r="QFR1372" s="110"/>
      <c r="QFS1372" s="110"/>
      <c r="QFT1372" s="110"/>
      <c r="QFU1372" s="110"/>
      <c r="QFV1372" s="110"/>
      <c r="QFW1372" s="110"/>
      <c r="QFX1372" s="110"/>
      <c r="QFY1372" s="110"/>
      <c r="QFZ1372" s="110"/>
      <c r="QGA1372" s="110"/>
      <c r="QGB1372" s="110"/>
      <c r="QGC1372" s="110"/>
      <c r="QGD1372" s="110"/>
      <c r="QGE1372" s="110"/>
      <c r="QGF1372" s="110"/>
      <c r="QGG1372" s="110"/>
      <c r="QGH1372" s="110"/>
      <c r="QGI1372" s="110"/>
      <c r="QGJ1372" s="110"/>
      <c r="QGK1372" s="110"/>
      <c r="QGL1372" s="110"/>
      <c r="QGM1372" s="110"/>
      <c r="QGN1372" s="110"/>
      <c r="QGO1372" s="110"/>
      <c r="QGP1372" s="110"/>
      <c r="QGQ1372" s="110"/>
      <c r="QGR1372" s="110"/>
      <c r="QGS1372" s="110"/>
      <c r="QGT1372" s="110"/>
      <c r="QGU1372" s="110"/>
      <c r="QGV1372" s="110"/>
      <c r="QGW1372" s="110"/>
      <c r="QGX1372" s="110"/>
      <c r="QGY1372" s="110"/>
      <c r="QGZ1372" s="110"/>
      <c r="QHA1372" s="110"/>
      <c r="QHB1372" s="110"/>
      <c r="QHC1372" s="110"/>
      <c r="QHD1372" s="110"/>
      <c r="QHE1372" s="110"/>
      <c r="QHF1372" s="110"/>
      <c r="QHG1372" s="110"/>
      <c r="QHH1372" s="110"/>
      <c r="QHI1372" s="110"/>
      <c r="QHJ1372" s="110"/>
      <c r="QHK1372" s="110"/>
      <c r="QHL1372" s="110"/>
      <c r="QHM1372" s="110"/>
      <c r="QHN1372" s="110"/>
      <c r="QHO1372" s="110"/>
      <c r="QHP1372" s="110"/>
      <c r="QHQ1372" s="110"/>
      <c r="QHR1372" s="110"/>
      <c r="QHS1372" s="110"/>
      <c r="QHT1372" s="110"/>
      <c r="QHU1372" s="110"/>
      <c r="QHV1372" s="110"/>
      <c r="QHW1372" s="110"/>
      <c r="QHX1372" s="110"/>
      <c r="QHY1372" s="110"/>
      <c r="QHZ1372" s="110"/>
      <c r="QIA1372" s="110"/>
      <c r="QIB1372" s="110"/>
      <c r="QIC1372" s="110"/>
      <c r="QID1372" s="110"/>
      <c r="QIE1372" s="110"/>
      <c r="QIF1372" s="110"/>
      <c r="QIG1372" s="110"/>
      <c r="QIH1372" s="110"/>
      <c r="QII1372" s="110"/>
      <c r="QIJ1372" s="110"/>
      <c r="QIK1372" s="110"/>
      <c r="QIL1372" s="110"/>
      <c r="QIM1372" s="110"/>
      <c r="QIN1372" s="110"/>
      <c r="QIO1372" s="110"/>
      <c r="QIP1372" s="110"/>
      <c r="QIQ1372" s="110"/>
      <c r="QIR1372" s="110"/>
      <c r="QIS1372" s="110"/>
      <c r="QIT1372" s="110"/>
      <c r="QIU1372" s="110"/>
      <c r="QIV1372" s="110"/>
      <c r="QIW1372" s="110"/>
      <c r="QIX1372" s="110"/>
      <c r="QIY1372" s="110"/>
      <c r="QIZ1372" s="110"/>
      <c r="QJA1372" s="110"/>
      <c r="QJB1372" s="110"/>
      <c r="QJC1372" s="110"/>
      <c r="QJD1372" s="110"/>
      <c r="QJE1372" s="110"/>
      <c r="QJF1372" s="110"/>
      <c r="QJG1372" s="110"/>
      <c r="QJH1372" s="110"/>
      <c r="QJI1372" s="110"/>
      <c r="QJJ1372" s="110"/>
      <c r="QJK1372" s="110"/>
      <c r="QJL1372" s="110"/>
      <c r="QJM1372" s="110"/>
      <c r="QJN1372" s="110"/>
      <c r="QJO1372" s="110"/>
      <c r="QJP1372" s="110"/>
      <c r="QJQ1372" s="110"/>
      <c r="QJR1372" s="110"/>
      <c r="QJS1372" s="110"/>
      <c r="QJT1372" s="110"/>
      <c r="QJU1372" s="110"/>
      <c r="QJV1372" s="110"/>
      <c r="QJW1372" s="110"/>
      <c r="QJX1372" s="110"/>
      <c r="QJY1372" s="110"/>
      <c r="QJZ1372" s="110"/>
      <c r="QKA1372" s="110"/>
      <c r="QKB1372" s="110"/>
      <c r="QKC1372" s="110"/>
      <c r="QKD1372" s="110"/>
      <c r="QKE1372" s="110"/>
      <c r="QKF1372" s="110"/>
      <c r="QKG1372" s="110"/>
      <c r="QKH1372" s="110"/>
      <c r="QKI1372" s="110"/>
      <c r="QKJ1372" s="110"/>
      <c r="QKK1372" s="110"/>
      <c r="QKL1372" s="110"/>
      <c r="QKM1372" s="110"/>
      <c r="QKN1372" s="110"/>
      <c r="QKO1372" s="110"/>
      <c r="QKP1372" s="110"/>
      <c r="QKQ1372" s="110"/>
      <c r="QKR1372" s="110"/>
      <c r="QKS1372" s="110"/>
      <c r="QKT1372" s="110"/>
      <c r="QKU1372" s="110"/>
      <c r="QKV1372" s="110"/>
      <c r="QKW1372" s="110"/>
      <c r="QKX1372" s="110"/>
      <c r="QKY1372" s="110"/>
      <c r="QKZ1372" s="110"/>
      <c r="QLA1372" s="110"/>
      <c r="QLB1372" s="110"/>
      <c r="QLC1372" s="110"/>
      <c r="QLD1372" s="110"/>
      <c r="QLE1372" s="110"/>
      <c r="QLF1372" s="110"/>
      <c r="QLG1372" s="110"/>
      <c r="QLH1372" s="110"/>
      <c r="QLI1372" s="110"/>
      <c r="QLJ1372" s="110"/>
      <c r="QLK1372" s="110"/>
      <c r="QLL1372" s="110"/>
      <c r="QLM1372" s="110"/>
      <c r="QLN1372" s="110"/>
      <c r="QLO1372" s="110"/>
      <c r="QLP1372" s="110"/>
      <c r="QLQ1372" s="110"/>
      <c r="QLR1372" s="110"/>
      <c r="QLS1372" s="110"/>
      <c r="QLT1372" s="110"/>
      <c r="QLU1372" s="110"/>
      <c r="QLV1372" s="110"/>
      <c r="QLW1372" s="110"/>
      <c r="QLX1372" s="110"/>
      <c r="QLY1372" s="110"/>
      <c r="QLZ1372" s="110"/>
      <c r="QMA1372" s="110"/>
      <c r="QMB1372" s="110"/>
      <c r="QMC1372" s="110"/>
      <c r="QMD1372" s="110"/>
      <c r="QME1372" s="110"/>
      <c r="QMF1372" s="110"/>
      <c r="QMG1372" s="110"/>
      <c r="QMH1372" s="110"/>
      <c r="QMI1372" s="110"/>
      <c r="QMJ1372" s="110"/>
      <c r="QMK1372" s="110"/>
      <c r="QML1372" s="110"/>
      <c r="QMM1372" s="110"/>
      <c r="QMN1372" s="110"/>
      <c r="QMO1372" s="110"/>
      <c r="QMP1372" s="110"/>
      <c r="QMQ1372" s="110"/>
      <c r="QMR1372" s="110"/>
      <c r="QMS1372" s="110"/>
      <c r="QMT1372" s="110"/>
      <c r="QMU1372" s="110"/>
      <c r="QMV1372" s="110"/>
      <c r="QMW1372" s="110"/>
      <c r="QMX1372" s="110"/>
      <c r="QMY1372" s="110"/>
      <c r="QMZ1372" s="110"/>
      <c r="QNA1372" s="110"/>
      <c r="QNB1372" s="110"/>
      <c r="QNC1372" s="110"/>
      <c r="QND1372" s="110"/>
      <c r="QNE1372" s="110"/>
      <c r="QNF1372" s="110"/>
      <c r="QNG1372" s="110"/>
      <c r="QNH1372" s="110"/>
      <c r="QNI1372" s="110"/>
      <c r="QNJ1372" s="110"/>
      <c r="QNK1372" s="110"/>
      <c r="QNL1372" s="110"/>
      <c r="QNM1372" s="110"/>
      <c r="QNN1372" s="110"/>
      <c r="QNO1372" s="110"/>
      <c r="QNP1372" s="110"/>
      <c r="QNQ1372" s="110"/>
      <c r="QNR1372" s="110"/>
      <c r="QNS1372" s="110"/>
      <c r="QNT1372" s="110"/>
      <c r="QNU1372" s="110"/>
      <c r="QNV1372" s="110"/>
      <c r="QNW1372" s="110"/>
      <c r="QNX1372" s="110"/>
      <c r="QNY1372" s="110"/>
      <c r="QNZ1372" s="110"/>
      <c r="QOA1372" s="110"/>
      <c r="QOB1372" s="110"/>
      <c r="QOC1372" s="110"/>
      <c r="QOD1372" s="110"/>
      <c r="QOE1372" s="110"/>
      <c r="QOF1372" s="110"/>
      <c r="QOG1372" s="110"/>
      <c r="QOH1372" s="110"/>
      <c r="QOI1372" s="110"/>
      <c r="QOJ1372" s="110"/>
      <c r="QOK1372" s="110"/>
      <c r="QOL1372" s="110"/>
      <c r="QOM1372" s="110"/>
      <c r="QON1372" s="110"/>
      <c r="QOO1372" s="110"/>
      <c r="QOP1372" s="110"/>
      <c r="QOQ1372" s="110"/>
      <c r="QOR1372" s="110"/>
      <c r="QOS1372" s="110"/>
      <c r="QOT1372" s="110"/>
      <c r="QOU1372" s="110"/>
      <c r="QOV1372" s="110"/>
      <c r="QOW1372" s="110"/>
      <c r="QOX1372" s="110"/>
      <c r="QOY1372" s="110"/>
      <c r="QOZ1372" s="110"/>
      <c r="QPA1372" s="110"/>
      <c r="QPB1372" s="110"/>
      <c r="QPC1372" s="110"/>
      <c r="QPD1372" s="110"/>
      <c r="QPE1372" s="110"/>
      <c r="QPF1372" s="110"/>
      <c r="QPG1372" s="110"/>
      <c r="QPH1372" s="110"/>
      <c r="QPI1372" s="110"/>
      <c r="QPJ1372" s="110"/>
      <c r="QPK1372" s="110"/>
      <c r="QPL1372" s="110"/>
      <c r="QPM1372" s="110"/>
      <c r="QPN1372" s="110"/>
      <c r="QPO1372" s="110"/>
      <c r="QPP1372" s="110"/>
      <c r="QPQ1372" s="110"/>
      <c r="QPR1372" s="110"/>
      <c r="QPS1372" s="110"/>
      <c r="QPT1372" s="110"/>
      <c r="QPU1372" s="110"/>
      <c r="QPV1372" s="110"/>
      <c r="QPW1372" s="110"/>
      <c r="QPX1372" s="110"/>
      <c r="QPY1372" s="110"/>
      <c r="QPZ1372" s="110"/>
      <c r="QQA1372" s="110"/>
      <c r="QQB1372" s="110"/>
      <c r="QQC1372" s="110"/>
      <c r="QQD1372" s="110"/>
      <c r="QQE1372" s="110"/>
      <c r="QQF1372" s="110"/>
      <c r="QQG1372" s="110"/>
      <c r="QQH1372" s="110"/>
      <c r="QQI1372" s="110"/>
      <c r="QQJ1372" s="110"/>
      <c r="QQK1372" s="110"/>
      <c r="QQL1372" s="110"/>
      <c r="QQM1372" s="110"/>
      <c r="QQN1372" s="110"/>
      <c r="QQO1372" s="110"/>
      <c r="QQP1372" s="110"/>
      <c r="QQQ1372" s="110"/>
      <c r="QQR1372" s="110"/>
      <c r="QQS1372" s="110"/>
      <c r="QQT1372" s="110"/>
      <c r="QQU1372" s="110"/>
      <c r="QQV1372" s="110"/>
      <c r="QQW1372" s="110"/>
      <c r="QQX1372" s="110"/>
      <c r="QQY1372" s="110"/>
      <c r="QQZ1372" s="110"/>
      <c r="QRA1372" s="110"/>
      <c r="QRB1372" s="110"/>
      <c r="QRC1372" s="110"/>
      <c r="QRD1372" s="110"/>
      <c r="QRE1372" s="110"/>
      <c r="QRF1372" s="110"/>
      <c r="QRG1372" s="110"/>
      <c r="QRH1372" s="110"/>
      <c r="QRI1372" s="110"/>
      <c r="QRJ1372" s="110"/>
      <c r="QRK1372" s="110"/>
      <c r="QRL1372" s="110"/>
      <c r="QRM1372" s="110"/>
      <c r="QRN1372" s="110"/>
      <c r="QRO1372" s="110"/>
      <c r="QRP1372" s="110"/>
      <c r="QRQ1372" s="110"/>
      <c r="QRR1372" s="110"/>
      <c r="QRS1372" s="110"/>
      <c r="QRT1372" s="110"/>
      <c r="QRU1372" s="110"/>
      <c r="QRV1372" s="110"/>
      <c r="QRW1372" s="110"/>
      <c r="QRX1372" s="110"/>
      <c r="QRY1372" s="110"/>
      <c r="QRZ1372" s="110"/>
      <c r="QSA1372" s="110"/>
      <c r="QSB1372" s="110"/>
      <c r="QSC1372" s="110"/>
      <c r="QSD1372" s="110"/>
      <c r="QSE1372" s="110"/>
      <c r="QSF1372" s="110"/>
      <c r="QSG1372" s="110"/>
      <c r="QSH1372" s="110"/>
      <c r="QSI1372" s="110"/>
      <c r="QSJ1372" s="110"/>
      <c r="QSK1372" s="110"/>
      <c r="QSL1372" s="110"/>
      <c r="QSM1372" s="110"/>
      <c r="QSN1372" s="110"/>
      <c r="QSO1372" s="110"/>
      <c r="QSP1372" s="110"/>
      <c r="QSQ1372" s="110"/>
      <c r="QSR1372" s="110"/>
      <c r="QSS1372" s="110"/>
      <c r="QST1372" s="110"/>
      <c r="QSU1372" s="110"/>
      <c r="QSV1372" s="110"/>
      <c r="QSW1372" s="110"/>
      <c r="QSX1372" s="110"/>
      <c r="QSY1372" s="110"/>
      <c r="QSZ1372" s="110"/>
      <c r="QTA1372" s="110"/>
      <c r="QTB1372" s="110"/>
      <c r="QTC1372" s="110"/>
      <c r="QTD1372" s="110"/>
      <c r="QTE1372" s="110"/>
      <c r="QTF1372" s="110"/>
      <c r="QTG1372" s="110"/>
      <c r="QTH1372" s="110"/>
      <c r="QTI1372" s="110"/>
      <c r="QTJ1372" s="110"/>
      <c r="QTK1372" s="110"/>
      <c r="QTL1372" s="110"/>
      <c r="QTM1372" s="110"/>
      <c r="QTN1372" s="110"/>
      <c r="QTO1372" s="110"/>
      <c r="QTP1372" s="110"/>
      <c r="QTQ1372" s="110"/>
      <c r="QTR1372" s="110"/>
      <c r="QTS1372" s="110"/>
      <c r="QTT1372" s="110"/>
      <c r="QTU1372" s="110"/>
      <c r="QTV1372" s="110"/>
      <c r="QTW1372" s="110"/>
      <c r="QTX1372" s="110"/>
      <c r="QTY1372" s="110"/>
      <c r="QTZ1372" s="110"/>
      <c r="QUA1372" s="110"/>
      <c r="QUB1372" s="110"/>
      <c r="QUC1372" s="110"/>
      <c r="QUD1372" s="110"/>
      <c r="QUE1372" s="110"/>
      <c r="QUF1372" s="110"/>
      <c r="QUG1372" s="110"/>
      <c r="QUH1372" s="110"/>
      <c r="QUI1372" s="110"/>
      <c r="QUJ1372" s="110"/>
      <c r="QUK1372" s="110"/>
      <c r="QUL1372" s="110"/>
      <c r="QUM1372" s="110"/>
      <c r="QUN1372" s="110"/>
      <c r="QUO1372" s="110"/>
      <c r="QUP1372" s="110"/>
      <c r="QUQ1372" s="110"/>
      <c r="QUR1372" s="110"/>
      <c r="QUS1372" s="110"/>
      <c r="QUT1372" s="110"/>
      <c r="QUU1372" s="110"/>
      <c r="QUV1372" s="110"/>
      <c r="QUW1372" s="110"/>
      <c r="QUX1372" s="110"/>
      <c r="QUY1372" s="110"/>
      <c r="QUZ1372" s="110"/>
      <c r="QVA1372" s="110"/>
      <c r="QVB1372" s="110"/>
      <c r="QVC1372" s="110"/>
      <c r="QVD1372" s="110"/>
      <c r="QVE1372" s="110"/>
      <c r="QVF1372" s="110"/>
      <c r="QVG1372" s="110"/>
      <c r="QVH1372" s="110"/>
      <c r="QVI1372" s="110"/>
      <c r="QVJ1372" s="110"/>
      <c r="QVK1372" s="110"/>
      <c r="QVL1372" s="110"/>
      <c r="QVM1372" s="110"/>
      <c r="QVN1372" s="110"/>
      <c r="QVO1372" s="110"/>
      <c r="QVP1372" s="110"/>
      <c r="QVQ1372" s="110"/>
      <c r="QVR1372" s="110"/>
      <c r="QVS1372" s="110"/>
      <c r="QVT1372" s="110"/>
      <c r="QVU1372" s="110"/>
      <c r="QVV1372" s="110"/>
      <c r="QVW1372" s="110"/>
      <c r="QVX1372" s="110"/>
      <c r="QVY1372" s="110"/>
      <c r="QVZ1372" s="110"/>
      <c r="QWA1372" s="110"/>
      <c r="QWB1372" s="110"/>
      <c r="QWC1372" s="110"/>
      <c r="QWD1372" s="110"/>
      <c r="QWE1372" s="110"/>
      <c r="QWF1372" s="110"/>
      <c r="QWG1372" s="110"/>
      <c r="QWH1372" s="110"/>
      <c r="QWI1372" s="110"/>
      <c r="QWJ1372" s="110"/>
      <c r="QWK1372" s="110"/>
      <c r="QWL1372" s="110"/>
      <c r="QWM1372" s="110"/>
      <c r="QWN1372" s="110"/>
      <c r="QWO1372" s="110"/>
      <c r="QWP1372" s="110"/>
      <c r="QWQ1372" s="110"/>
      <c r="QWR1372" s="110"/>
      <c r="QWS1372" s="110"/>
      <c r="QWT1372" s="110"/>
      <c r="QWU1372" s="110"/>
      <c r="QWV1372" s="110"/>
      <c r="QWW1372" s="110"/>
      <c r="QWX1372" s="110"/>
      <c r="QWY1372" s="110"/>
      <c r="QWZ1372" s="110"/>
      <c r="QXA1372" s="110"/>
      <c r="QXB1372" s="110"/>
      <c r="QXC1372" s="110"/>
      <c r="QXD1372" s="110"/>
      <c r="QXE1372" s="110"/>
      <c r="QXF1372" s="110"/>
      <c r="QXG1372" s="110"/>
      <c r="QXH1372" s="110"/>
      <c r="QXI1372" s="110"/>
      <c r="QXJ1372" s="110"/>
      <c r="QXK1372" s="110"/>
      <c r="QXL1372" s="110"/>
      <c r="QXM1372" s="110"/>
      <c r="QXN1372" s="110"/>
      <c r="QXO1372" s="110"/>
      <c r="QXP1372" s="110"/>
      <c r="QXQ1372" s="110"/>
      <c r="QXR1372" s="110"/>
      <c r="QXS1372" s="110"/>
      <c r="QXT1372" s="110"/>
      <c r="QXU1372" s="110"/>
      <c r="QXV1372" s="110"/>
      <c r="QXW1372" s="110"/>
      <c r="QXX1372" s="110"/>
      <c r="QXY1372" s="110"/>
      <c r="QXZ1372" s="110"/>
      <c r="QYA1372" s="110"/>
      <c r="QYB1372" s="110"/>
      <c r="QYC1372" s="110"/>
      <c r="QYD1372" s="110"/>
      <c r="QYE1372" s="110"/>
      <c r="QYF1372" s="110"/>
      <c r="QYG1372" s="110"/>
      <c r="QYH1372" s="110"/>
      <c r="QYI1372" s="110"/>
      <c r="QYJ1372" s="110"/>
      <c r="QYK1372" s="110"/>
      <c r="QYL1372" s="110"/>
      <c r="QYM1372" s="110"/>
      <c r="QYN1372" s="110"/>
      <c r="QYO1372" s="110"/>
      <c r="QYP1372" s="110"/>
      <c r="QYQ1372" s="110"/>
      <c r="QYR1372" s="110"/>
      <c r="QYS1372" s="110"/>
      <c r="QYT1372" s="110"/>
      <c r="QYU1372" s="110"/>
      <c r="QYV1372" s="110"/>
      <c r="QYW1372" s="110"/>
      <c r="QYX1372" s="110"/>
      <c r="QYY1372" s="110"/>
      <c r="QYZ1372" s="110"/>
      <c r="QZA1372" s="110"/>
      <c r="QZB1372" s="110"/>
      <c r="QZC1372" s="110"/>
      <c r="QZD1372" s="110"/>
      <c r="QZE1372" s="110"/>
      <c r="QZF1372" s="110"/>
      <c r="QZG1372" s="110"/>
      <c r="QZH1372" s="110"/>
      <c r="QZI1372" s="110"/>
      <c r="QZJ1372" s="110"/>
      <c r="QZK1372" s="110"/>
      <c r="QZL1372" s="110"/>
      <c r="QZM1372" s="110"/>
      <c r="QZN1372" s="110"/>
      <c r="QZO1372" s="110"/>
      <c r="QZP1372" s="110"/>
      <c r="QZQ1372" s="110"/>
      <c r="QZR1372" s="110"/>
      <c r="QZS1372" s="110"/>
      <c r="QZT1372" s="110"/>
      <c r="QZU1372" s="110"/>
      <c r="QZV1372" s="110"/>
      <c r="QZW1372" s="110"/>
      <c r="QZX1372" s="110"/>
      <c r="QZY1372" s="110"/>
      <c r="QZZ1372" s="110"/>
      <c r="RAA1372" s="110"/>
      <c r="RAB1372" s="110"/>
      <c r="RAC1372" s="110"/>
      <c r="RAD1372" s="110"/>
      <c r="RAE1372" s="110"/>
      <c r="RAF1372" s="110"/>
      <c r="RAG1372" s="110"/>
      <c r="RAH1372" s="110"/>
      <c r="RAI1372" s="110"/>
      <c r="RAJ1372" s="110"/>
      <c r="RAK1372" s="110"/>
      <c r="RAL1372" s="110"/>
      <c r="RAM1372" s="110"/>
      <c r="RAN1372" s="110"/>
      <c r="RAO1372" s="110"/>
      <c r="RAP1372" s="110"/>
      <c r="RAQ1372" s="110"/>
      <c r="RAR1372" s="110"/>
      <c r="RAS1372" s="110"/>
      <c r="RAT1372" s="110"/>
      <c r="RAU1372" s="110"/>
      <c r="RAV1372" s="110"/>
      <c r="RAW1372" s="110"/>
      <c r="RAX1372" s="110"/>
      <c r="RAY1372" s="110"/>
      <c r="RAZ1372" s="110"/>
      <c r="RBA1372" s="110"/>
      <c r="RBB1372" s="110"/>
      <c r="RBC1372" s="110"/>
      <c r="RBD1372" s="110"/>
      <c r="RBE1372" s="110"/>
      <c r="RBF1372" s="110"/>
      <c r="RBG1372" s="110"/>
      <c r="RBH1372" s="110"/>
      <c r="RBI1372" s="110"/>
      <c r="RBJ1372" s="110"/>
      <c r="RBK1372" s="110"/>
      <c r="RBL1372" s="110"/>
      <c r="RBM1372" s="110"/>
      <c r="RBN1372" s="110"/>
      <c r="RBO1372" s="110"/>
      <c r="RBP1372" s="110"/>
      <c r="RBQ1372" s="110"/>
      <c r="RBR1372" s="110"/>
      <c r="RBS1372" s="110"/>
      <c r="RBT1372" s="110"/>
      <c r="RBU1372" s="110"/>
      <c r="RBV1372" s="110"/>
      <c r="RBW1372" s="110"/>
      <c r="RBX1372" s="110"/>
      <c r="RBY1372" s="110"/>
      <c r="RBZ1372" s="110"/>
      <c r="RCA1372" s="110"/>
      <c r="RCB1372" s="110"/>
      <c r="RCC1372" s="110"/>
      <c r="RCD1372" s="110"/>
      <c r="RCE1372" s="110"/>
      <c r="RCF1372" s="110"/>
      <c r="RCG1372" s="110"/>
      <c r="RCH1372" s="110"/>
      <c r="RCI1372" s="110"/>
      <c r="RCJ1372" s="110"/>
      <c r="RCK1372" s="110"/>
      <c r="RCL1372" s="110"/>
      <c r="RCM1372" s="110"/>
      <c r="RCN1372" s="110"/>
      <c r="RCO1372" s="110"/>
      <c r="RCP1372" s="110"/>
      <c r="RCQ1372" s="110"/>
      <c r="RCR1372" s="110"/>
      <c r="RCS1372" s="110"/>
      <c r="RCT1372" s="110"/>
      <c r="RCU1372" s="110"/>
      <c r="RCV1372" s="110"/>
      <c r="RCW1372" s="110"/>
      <c r="RCX1372" s="110"/>
      <c r="RCY1372" s="110"/>
      <c r="RCZ1372" s="110"/>
      <c r="RDA1372" s="110"/>
      <c r="RDB1372" s="110"/>
      <c r="RDC1372" s="110"/>
      <c r="RDD1372" s="110"/>
      <c r="RDE1372" s="110"/>
      <c r="RDF1372" s="110"/>
      <c r="RDG1372" s="110"/>
      <c r="RDH1372" s="110"/>
      <c r="RDI1372" s="110"/>
      <c r="RDJ1372" s="110"/>
      <c r="RDK1372" s="110"/>
      <c r="RDL1372" s="110"/>
      <c r="RDM1372" s="110"/>
      <c r="RDN1372" s="110"/>
      <c r="RDO1372" s="110"/>
      <c r="RDP1372" s="110"/>
      <c r="RDQ1372" s="110"/>
      <c r="RDR1372" s="110"/>
      <c r="RDS1372" s="110"/>
      <c r="RDT1372" s="110"/>
      <c r="RDU1372" s="110"/>
      <c r="RDV1372" s="110"/>
      <c r="RDW1372" s="110"/>
      <c r="RDX1372" s="110"/>
      <c r="RDY1372" s="110"/>
      <c r="RDZ1372" s="110"/>
      <c r="REA1372" s="110"/>
      <c r="REB1372" s="110"/>
      <c r="REC1372" s="110"/>
      <c r="RED1372" s="110"/>
      <c r="REE1372" s="110"/>
      <c r="REF1372" s="110"/>
      <c r="REG1372" s="110"/>
      <c r="REH1372" s="110"/>
      <c r="REI1372" s="110"/>
      <c r="REJ1372" s="110"/>
      <c r="REK1372" s="110"/>
      <c r="REL1372" s="110"/>
      <c r="REM1372" s="110"/>
      <c r="REN1372" s="110"/>
      <c r="REO1372" s="110"/>
      <c r="REP1372" s="110"/>
      <c r="REQ1372" s="110"/>
      <c r="RER1372" s="110"/>
      <c r="RES1372" s="110"/>
      <c r="RET1372" s="110"/>
      <c r="REU1372" s="110"/>
      <c r="REV1372" s="110"/>
      <c r="REW1372" s="110"/>
      <c r="REX1372" s="110"/>
      <c r="REY1372" s="110"/>
      <c r="REZ1372" s="110"/>
      <c r="RFA1372" s="110"/>
      <c r="RFB1372" s="110"/>
      <c r="RFC1372" s="110"/>
      <c r="RFD1372" s="110"/>
      <c r="RFE1372" s="110"/>
      <c r="RFF1372" s="110"/>
      <c r="RFG1372" s="110"/>
      <c r="RFH1372" s="110"/>
      <c r="RFI1372" s="110"/>
      <c r="RFJ1372" s="110"/>
      <c r="RFK1372" s="110"/>
      <c r="RFL1372" s="110"/>
      <c r="RFM1372" s="110"/>
      <c r="RFN1372" s="110"/>
      <c r="RFO1372" s="110"/>
      <c r="RFP1372" s="110"/>
      <c r="RFQ1372" s="110"/>
      <c r="RFR1372" s="110"/>
      <c r="RFS1372" s="110"/>
      <c r="RFT1372" s="110"/>
      <c r="RFU1372" s="110"/>
      <c r="RFV1372" s="110"/>
      <c r="RFW1372" s="110"/>
      <c r="RFX1372" s="110"/>
      <c r="RFY1372" s="110"/>
      <c r="RFZ1372" s="110"/>
      <c r="RGA1372" s="110"/>
      <c r="RGB1372" s="110"/>
      <c r="RGC1372" s="110"/>
      <c r="RGD1372" s="110"/>
      <c r="RGE1372" s="110"/>
      <c r="RGF1372" s="110"/>
      <c r="RGG1372" s="110"/>
      <c r="RGH1372" s="110"/>
      <c r="RGI1372" s="110"/>
      <c r="RGJ1372" s="110"/>
      <c r="RGK1372" s="110"/>
      <c r="RGL1372" s="110"/>
      <c r="RGM1372" s="110"/>
      <c r="RGN1372" s="110"/>
      <c r="RGO1372" s="110"/>
      <c r="RGP1372" s="110"/>
      <c r="RGQ1372" s="110"/>
      <c r="RGR1372" s="110"/>
      <c r="RGS1372" s="110"/>
      <c r="RGT1372" s="110"/>
      <c r="RGU1372" s="110"/>
      <c r="RGV1372" s="110"/>
      <c r="RGW1372" s="110"/>
      <c r="RGX1372" s="110"/>
      <c r="RGY1372" s="110"/>
      <c r="RGZ1372" s="110"/>
      <c r="RHA1372" s="110"/>
      <c r="RHB1372" s="110"/>
      <c r="RHC1372" s="110"/>
      <c r="RHD1372" s="110"/>
      <c r="RHE1372" s="110"/>
      <c r="RHF1372" s="110"/>
      <c r="RHG1372" s="110"/>
      <c r="RHH1372" s="110"/>
      <c r="RHI1372" s="110"/>
      <c r="RHJ1372" s="110"/>
      <c r="RHK1372" s="110"/>
      <c r="RHL1372" s="110"/>
      <c r="RHM1372" s="110"/>
      <c r="RHN1372" s="110"/>
      <c r="RHO1372" s="110"/>
      <c r="RHP1372" s="110"/>
      <c r="RHQ1372" s="110"/>
      <c r="RHR1372" s="110"/>
      <c r="RHS1372" s="110"/>
      <c r="RHT1372" s="110"/>
      <c r="RHU1372" s="110"/>
      <c r="RHV1372" s="110"/>
      <c r="RHW1372" s="110"/>
      <c r="RHX1372" s="110"/>
      <c r="RHY1372" s="110"/>
      <c r="RHZ1372" s="110"/>
      <c r="RIA1372" s="110"/>
      <c r="RIB1372" s="110"/>
      <c r="RIC1372" s="110"/>
      <c r="RID1372" s="110"/>
      <c r="RIE1372" s="110"/>
      <c r="RIF1372" s="110"/>
      <c r="RIG1372" s="110"/>
      <c r="RIH1372" s="110"/>
      <c r="RII1372" s="110"/>
      <c r="RIJ1372" s="110"/>
      <c r="RIK1372" s="110"/>
      <c r="RIL1372" s="110"/>
      <c r="RIM1372" s="110"/>
      <c r="RIN1372" s="110"/>
      <c r="RIO1372" s="110"/>
      <c r="RIP1372" s="110"/>
      <c r="RIQ1372" s="110"/>
      <c r="RIR1372" s="110"/>
      <c r="RIS1372" s="110"/>
      <c r="RIT1372" s="110"/>
      <c r="RIU1372" s="110"/>
      <c r="RIV1372" s="110"/>
      <c r="RIW1372" s="110"/>
      <c r="RIX1372" s="110"/>
      <c r="RIY1372" s="110"/>
      <c r="RIZ1372" s="110"/>
      <c r="RJA1372" s="110"/>
      <c r="RJB1372" s="110"/>
      <c r="RJC1372" s="110"/>
      <c r="RJD1372" s="110"/>
      <c r="RJE1372" s="110"/>
      <c r="RJF1372" s="110"/>
      <c r="RJG1372" s="110"/>
      <c r="RJH1372" s="110"/>
      <c r="RJI1372" s="110"/>
      <c r="RJJ1372" s="110"/>
      <c r="RJK1372" s="110"/>
      <c r="RJL1372" s="110"/>
      <c r="RJM1372" s="110"/>
      <c r="RJN1372" s="110"/>
      <c r="RJO1372" s="110"/>
      <c r="RJP1372" s="110"/>
      <c r="RJQ1372" s="110"/>
      <c r="RJR1372" s="110"/>
      <c r="RJS1372" s="110"/>
      <c r="RJT1372" s="110"/>
      <c r="RJU1372" s="110"/>
      <c r="RJV1372" s="110"/>
      <c r="RJW1372" s="110"/>
      <c r="RJX1372" s="110"/>
      <c r="RJY1372" s="110"/>
      <c r="RJZ1372" s="110"/>
      <c r="RKA1372" s="110"/>
      <c r="RKB1372" s="110"/>
      <c r="RKC1372" s="110"/>
      <c r="RKD1372" s="110"/>
      <c r="RKE1372" s="110"/>
      <c r="RKF1372" s="110"/>
      <c r="RKG1372" s="110"/>
      <c r="RKH1372" s="110"/>
      <c r="RKI1372" s="110"/>
      <c r="RKJ1372" s="110"/>
      <c r="RKK1372" s="110"/>
      <c r="RKL1372" s="110"/>
      <c r="RKM1372" s="110"/>
      <c r="RKN1372" s="110"/>
      <c r="RKO1372" s="110"/>
      <c r="RKP1372" s="110"/>
      <c r="RKQ1372" s="110"/>
      <c r="RKR1372" s="110"/>
      <c r="RKS1372" s="110"/>
      <c r="RKT1372" s="110"/>
      <c r="RKU1372" s="110"/>
      <c r="RKV1372" s="110"/>
      <c r="RKW1372" s="110"/>
      <c r="RKX1372" s="110"/>
      <c r="RKY1372" s="110"/>
      <c r="RKZ1372" s="110"/>
      <c r="RLA1372" s="110"/>
      <c r="RLB1372" s="110"/>
      <c r="RLC1372" s="110"/>
      <c r="RLD1372" s="110"/>
      <c r="RLE1372" s="110"/>
      <c r="RLF1372" s="110"/>
      <c r="RLG1372" s="110"/>
      <c r="RLH1372" s="110"/>
      <c r="RLI1372" s="110"/>
      <c r="RLJ1372" s="110"/>
      <c r="RLK1372" s="110"/>
      <c r="RLL1372" s="110"/>
      <c r="RLM1372" s="110"/>
      <c r="RLN1372" s="110"/>
      <c r="RLO1372" s="110"/>
      <c r="RLP1372" s="110"/>
      <c r="RLQ1372" s="110"/>
      <c r="RLR1372" s="110"/>
      <c r="RLS1372" s="110"/>
      <c r="RLT1372" s="110"/>
      <c r="RLU1372" s="110"/>
      <c r="RLV1372" s="110"/>
      <c r="RLW1372" s="110"/>
      <c r="RLX1372" s="110"/>
      <c r="RLY1372" s="110"/>
      <c r="RLZ1372" s="110"/>
      <c r="RMA1372" s="110"/>
      <c r="RMB1372" s="110"/>
      <c r="RMC1372" s="110"/>
      <c r="RMD1372" s="110"/>
      <c r="RME1372" s="110"/>
      <c r="RMF1372" s="110"/>
      <c r="RMG1372" s="110"/>
      <c r="RMH1372" s="110"/>
      <c r="RMI1372" s="110"/>
      <c r="RMJ1372" s="110"/>
      <c r="RMK1372" s="110"/>
      <c r="RML1372" s="110"/>
      <c r="RMM1372" s="110"/>
      <c r="RMN1372" s="110"/>
      <c r="RMO1372" s="110"/>
      <c r="RMP1372" s="110"/>
      <c r="RMQ1372" s="110"/>
      <c r="RMR1372" s="110"/>
      <c r="RMS1372" s="110"/>
      <c r="RMT1372" s="110"/>
      <c r="RMU1372" s="110"/>
      <c r="RMV1372" s="110"/>
      <c r="RMW1372" s="110"/>
      <c r="RMX1372" s="110"/>
      <c r="RMY1372" s="110"/>
      <c r="RMZ1372" s="110"/>
      <c r="RNA1372" s="110"/>
      <c r="RNB1372" s="110"/>
      <c r="RNC1372" s="110"/>
      <c r="RND1372" s="110"/>
      <c r="RNE1372" s="110"/>
      <c r="RNF1372" s="110"/>
      <c r="RNG1372" s="110"/>
      <c r="RNH1372" s="110"/>
      <c r="RNI1372" s="110"/>
      <c r="RNJ1372" s="110"/>
      <c r="RNK1372" s="110"/>
      <c r="RNL1372" s="110"/>
      <c r="RNM1372" s="110"/>
      <c r="RNN1372" s="110"/>
      <c r="RNO1372" s="110"/>
      <c r="RNP1372" s="110"/>
      <c r="RNQ1372" s="110"/>
      <c r="RNR1372" s="110"/>
      <c r="RNS1372" s="110"/>
      <c r="RNT1372" s="110"/>
      <c r="RNU1372" s="110"/>
      <c r="RNV1372" s="110"/>
      <c r="RNW1372" s="110"/>
      <c r="RNX1372" s="110"/>
      <c r="RNY1372" s="110"/>
      <c r="RNZ1372" s="110"/>
      <c r="ROA1372" s="110"/>
      <c r="ROB1372" s="110"/>
      <c r="ROC1372" s="110"/>
      <c r="ROD1372" s="110"/>
      <c r="ROE1372" s="110"/>
      <c r="ROF1372" s="110"/>
      <c r="ROG1372" s="110"/>
      <c r="ROH1372" s="110"/>
      <c r="ROI1372" s="110"/>
      <c r="ROJ1372" s="110"/>
      <c r="ROK1372" s="110"/>
      <c r="ROL1372" s="110"/>
      <c r="ROM1372" s="110"/>
      <c r="RON1372" s="110"/>
      <c r="ROO1372" s="110"/>
      <c r="ROP1372" s="110"/>
      <c r="ROQ1372" s="110"/>
      <c r="ROR1372" s="110"/>
      <c r="ROS1372" s="110"/>
      <c r="ROT1372" s="110"/>
      <c r="ROU1372" s="110"/>
      <c r="ROV1372" s="110"/>
      <c r="ROW1372" s="110"/>
      <c r="ROX1372" s="110"/>
      <c r="ROY1372" s="110"/>
      <c r="ROZ1372" s="110"/>
      <c r="RPA1372" s="110"/>
      <c r="RPB1372" s="110"/>
      <c r="RPC1372" s="110"/>
      <c r="RPD1372" s="110"/>
      <c r="RPE1372" s="110"/>
      <c r="RPF1372" s="110"/>
      <c r="RPG1372" s="110"/>
      <c r="RPH1372" s="110"/>
      <c r="RPI1372" s="110"/>
      <c r="RPJ1372" s="110"/>
      <c r="RPK1372" s="110"/>
      <c r="RPL1372" s="110"/>
      <c r="RPM1372" s="110"/>
      <c r="RPN1372" s="110"/>
      <c r="RPO1372" s="110"/>
      <c r="RPP1372" s="110"/>
      <c r="RPQ1372" s="110"/>
      <c r="RPR1372" s="110"/>
      <c r="RPS1372" s="110"/>
      <c r="RPT1372" s="110"/>
      <c r="RPU1372" s="110"/>
      <c r="RPV1372" s="110"/>
      <c r="RPW1372" s="110"/>
      <c r="RPX1372" s="110"/>
      <c r="RPY1372" s="110"/>
      <c r="RPZ1372" s="110"/>
      <c r="RQA1372" s="110"/>
      <c r="RQB1372" s="110"/>
      <c r="RQC1372" s="110"/>
      <c r="RQD1372" s="110"/>
      <c r="RQE1372" s="110"/>
      <c r="RQF1372" s="110"/>
      <c r="RQG1372" s="110"/>
      <c r="RQH1372" s="110"/>
      <c r="RQI1372" s="110"/>
      <c r="RQJ1372" s="110"/>
      <c r="RQK1372" s="110"/>
      <c r="RQL1372" s="110"/>
      <c r="RQM1372" s="110"/>
      <c r="RQN1372" s="110"/>
      <c r="RQO1372" s="110"/>
      <c r="RQP1372" s="110"/>
      <c r="RQQ1372" s="110"/>
      <c r="RQR1372" s="110"/>
      <c r="RQS1372" s="110"/>
      <c r="RQT1372" s="110"/>
      <c r="RQU1372" s="110"/>
      <c r="RQV1372" s="110"/>
      <c r="RQW1372" s="110"/>
      <c r="RQX1372" s="110"/>
      <c r="RQY1372" s="110"/>
      <c r="RQZ1372" s="110"/>
      <c r="RRA1372" s="110"/>
      <c r="RRB1372" s="110"/>
      <c r="RRC1372" s="110"/>
      <c r="RRD1372" s="110"/>
      <c r="RRE1372" s="110"/>
      <c r="RRF1372" s="110"/>
      <c r="RRG1372" s="110"/>
      <c r="RRH1372" s="110"/>
      <c r="RRI1372" s="110"/>
      <c r="RRJ1372" s="110"/>
      <c r="RRK1372" s="110"/>
      <c r="RRL1372" s="110"/>
      <c r="RRM1372" s="110"/>
      <c r="RRN1372" s="110"/>
      <c r="RRO1372" s="110"/>
      <c r="RRP1372" s="110"/>
      <c r="RRQ1372" s="110"/>
      <c r="RRR1372" s="110"/>
      <c r="RRS1372" s="110"/>
      <c r="RRT1372" s="110"/>
      <c r="RRU1372" s="110"/>
      <c r="RRV1372" s="110"/>
      <c r="RRW1372" s="110"/>
      <c r="RRX1372" s="110"/>
      <c r="RRY1372" s="110"/>
      <c r="RRZ1372" s="110"/>
      <c r="RSA1372" s="110"/>
      <c r="RSB1372" s="110"/>
      <c r="RSC1372" s="110"/>
      <c r="RSD1372" s="110"/>
      <c r="RSE1372" s="110"/>
      <c r="RSF1372" s="110"/>
      <c r="RSG1372" s="110"/>
      <c r="RSH1372" s="110"/>
      <c r="RSI1372" s="110"/>
      <c r="RSJ1372" s="110"/>
      <c r="RSK1372" s="110"/>
      <c r="RSL1372" s="110"/>
      <c r="RSM1372" s="110"/>
      <c r="RSN1372" s="110"/>
      <c r="RSO1372" s="110"/>
      <c r="RSP1372" s="110"/>
      <c r="RSQ1372" s="110"/>
      <c r="RSR1372" s="110"/>
      <c r="RSS1372" s="110"/>
      <c r="RST1372" s="110"/>
      <c r="RSU1372" s="110"/>
      <c r="RSV1372" s="110"/>
      <c r="RSW1372" s="110"/>
      <c r="RSX1372" s="110"/>
      <c r="RSY1372" s="110"/>
      <c r="RSZ1372" s="110"/>
      <c r="RTA1372" s="110"/>
      <c r="RTB1372" s="110"/>
      <c r="RTC1372" s="110"/>
      <c r="RTD1372" s="110"/>
      <c r="RTE1372" s="110"/>
      <c r="RTF1372" s="110"/>
      <c r="RTG1372" s="110"/>
      <c r="RTH1372" s="110"/>
      <c r="RTI1372" s="110"/>
      <c r="RTJ1372" s="110"/>
      <c r="RTK1372" s="110"/>
      <c r="RTL1372" s="110"/>
      <c r="RTM1372" s="110"/>
      <c r="RTN1372" s="110"/>
      <c r="RTO1372" s="110"/>
      <c r="RTP1372" s="110"/>
      <c r="RTQ1372" s="110"/>
      <c r="RTR1372" s="110"/>
      <c r="RTS1372" s="110"/>
      <c r="RTT1372" s="110"/>
      <c r="RTU1372" s="110"/>
      <c r="RTV1372" s="110"/>
      <c r="RTW1372" s="110"/>
      <c r="RTX1372" s="110"/>
      <c r="RTY1372" s="110"/>
      <c r="RTZ1372" s="110"/>
      <c r="RUA1372" s="110"/>
      <c r="RUB1372" s="110"/>
      <c r="RUC1372" s="110"/>
      <c r="RUD1372" s="110"/>
      <c r="RUE1372" s="110"/>
      <c r="RUF1372" s="110"/>
      <c r="RUG1372" s="110"/>
      <c r="RUH1372" s="110"/>
      <c r="RUI1372" s="110"/>
      <c r="RUJ1372" s="110"/>
      <c r="RUK1372" s="110"/>
      <c r="RUL1372" s="110"/>
      <c r="RUM1372" s="110"/>
      <c r="RUN1372" s="110"/>
      <c r="RUO1372" s="110"/>
      <c r="RUP1372" s="110"/>
      <c r="RUQ1372" s="110"/>
      <c r="RUR1372" s="110"/>
      <c r="RUS1372" s="110"/>
      <c r="RUT1372" s="110"/>
      <c r="RUU1372" s="110"/>
      <c r="RUV1372" s="110"/>
      <c r="RUW1372" s="110"/>
      <c r="RUX1372" s="110"/>
      <c r="RUY1372" s="110"/>
      <c r="RUZ1372" s="110"/>
      <c r="RVA1372" s="110"/>
      <c r="RVB1372" s="110"/>
      <c r="RVC1372" s="110"/>
      <c r="RVD1372" s="110"/>
      <c r="RVE1372" s="110"/>
      <c r="RVF1372" s="110"/>
      <c r="RVG1372" s="110"/>
      <c r="RVH1372" s="110"/>
      <c r="RVI1372" s="110"/>
      <c r="RVJ1372" s="110"/>
      <c r="RVK1372" s="110"/>
      <c r="RVL1372" s="110"/>
      <c r="RVM1372" s="110"/>
      <c r="RVN1372" s="110"/>
      <c r="RVO1372" s="110"/>
      <c r="RVP1372" s="110"/>
      <c r="RVQ1372" s="110"/>
      <c r="RVR1372" s="110"/>
      <c r="RVS1372" s="110"/>
      <c r="RVT1372" s="110"/>
      <c r="RVU1372" s="110"/>
      <c r="RVV1372" s="110"/>
      <c r="RVW1372" s="110"/>
      <c r="RVX1372" s="110"/>
      <c r="RVY1372" s="110"/>
      <c r="RVZ1372" s="110"/>
      <c r="RWA1372" s="110"/>
      <c r="RWB1372" s="110"/>
      <c r="RWC1372" s="110"/>
      <c r="RWD1372" s="110"/>
      <c r="RWE1372" s="110"/>
      <c r="RWF1372" s="110"/>
      <c r="RWG1372" s="110"/>
      <c r="RWH1372" s="110"/>
      <c r="RWI1372" s="110"/>
      <c r="RWJ1372" s="110"/>
      <c r="RWK1372" s="110"/>
      <c r="RWL1372" s="110"/>
      <c r="RWM1372" s="110"/>
      <c r="RWN1372" s="110"/>
      <c r="RWO1372" s="110"/>
      <c r="RWP1372" s="110"/>
      <c r="RWQ1372" s="110"/>
      <c r="RWR1372" s="110"/>
      <c r="RWS1372" s="110"/>
      <c r="RWT1372" s="110"/>
      <c r="RWU1372" s="110"/>
      <c r="RWV1372" s="110"/>
      <c r="RWW1372" s="110"/>
      <c r="RWX1372" s="110"/>
      <c r="RWY1372" s="110"/>
      <c r="RWZ1372" s="110"/>
      <c r="RXA1372" s="110"/>
      <c r="RXB1372" s="110"/>
      <c r="RXC1372" s="110"/>
      <c r="RXD1372" s="110"/>
      <c r="RXE1372" s="110"/>
      <c r="RXF1372" s="110"/>
      <c r="RXG1372" s="110"/>
      <c r="RXH1372" s="110"/>
      <c r="RXI1372" s="110"/>
      <c r="RXJ1372" s="110"/>
      <c r="RXK1372" s="110"/>
      <c r="RXL1372" s="110"/>
      <c r="RXM1372" s="110"/>
      <c r="RXN1372" s="110"/>
      <c r="RXO1372" s="110"/>
      <c r="RXP1372" s="110"/>
      <c r="RXQ1372" s="110"/>
      <c r="RXR1372" s="110"/>
      <c r="RXS1372" s="110"/>
      <c r="RXT1372" s="110"/>
      <c r="RXU1372" s="110"/>
      <c r="RXV1372" s="110"/>
      <c r="RXW1372" s="110"/>
      <c r="RXX1372" s="110"/>
      <c r="RXY1372" s="110"/>
      <c r="RXZ1372" s="110"/>
      <c r="RYA1372" s="110"/>
      <c r="RYB1372" s="110"/>
      <c r="RYC1372" s="110"/>
      <c r="RYD1372" s="110"/>
      <c r="RYE1372" s="110"/>
      <c r="RYF1372" s="110"/>
      <c r="RYG1372" s="110"/>
      <c r="RYH1372" s="110"/>
      <c r="RYI1372" s="110"/>
      <c r="RYJ1372" s="110"/>
      <c r="RYK1372" s="110"/>
      <c r="RYL1372" s="110"/>
      <c r="RYM1372" s="110"/>
      <c r="RYN1372" s="110"/>
      <c r="RYO1372" s="110"/>
      <c r="RYP1372" s="110"/>
      <c r="RYQ1372" s="110"/>
      <c r="RYR1372" s="110"/>
      <c r="RYS1372" s="110"/>
      <c r="RYT1372" s="110"/>
      <c r="RYU1372" s="110"/>
      <c r="RYV1372" s="110"/>
      <c r="RYW1372" s="110"/>
      <c r="RYX1372" s="110"/>
      <c r="RYY1372" s="110"/>
      <c r="RYZ1372" s="110"/>
      <c r="RZA1372" s="110"/>
      <c r="RZB1372" s="110"/>
      <c r="RZC1372" s="110"/>
      <c r="RZD1372" s="110"/>
      <c r="RZE1372" s="110"/>
      <c r="RZF1372" s="110"/>
      <c r="RZG1372" s="110"/>
      <c r="RZH1372" s="110"/>
      <c r="RZI1372" s="110"/>
      <c r="RZJ1372" s="110"/>
      <c r="RZK1372" s="110"/>
      <c r="RZL1372" s="110"/>
      <c r="RZM1372" s="110"/>
      <c r="RZN1372" s="110"/>
      <c r="RZO1372" s="110"/>
      <c r="RZP1372" s="110"/>
      <c r="RZQ1372" s="110"/>
      <c r="RZR1372" s="110"/>
      <c r="RZS1372" s="110"/>
      <c r="RZT1372" s="110"/>
      <c r="RZU1372" s="110"/>
      <c r="RZV1372" s="110"/>
      <c r="RZW1372" s="110"/>
      <c r="RZX1372" s="110"/>
      <c r="RZY1372" s="110"/>
      <c r="RZZ1372" s="110"/>
      <c r="SAA1372" s="110"/>
      <c r="SAB1372" s="110"/>
      <c r="SAC1372" s="110"/>
      <c r="SAD1372" s="110"/>
      <c r="SAE1372" s="110"/>
      <c r="SAF1372" s="110"/>
      <c r="SAG1372" s="110"/>
      <c r="SAH1372" s="110"/>
      <c r="SAI1372" s="110"/>
      <c r="SAJ1372" s="110"/>
      <c r="SAK1372" s="110"/>
      <c r="SAL1372" s="110"/>
      <c r="SAM1372" s="110"/>
      <c r="SAN1372" s="110"/>
      <c r="SAO1372" s="110"/>
      <c r="SAP1372" s="110"/>
      <c r="SAQ1372" s="110"/>
      <c r="SAR1372" s="110"/>
      <c r="SAS1372" s="110"/>
      <c r="SAT1372" s="110"/>
      <c r="SAU1372" s="110"/>
      <c r="SAV1372" s="110"/>
      <c r="SAW1372" s="110"/>
      <c r="SAX1372" s="110"/>
      <c r="SAY1372" s="110"/>
      <c r="SAZ1372" s="110"/>
      <c r="SBA1372" s="110"/>
      <c r="SBB1372" s="110"/>
      <c r="SBC1372" s="110"/>
      <c r="SBD1372" s="110"/>
      <c r="SBE1372" s="110"/>
      <c r="SBF1372" s="110"/>
      <c r="SBG1372" s="110"/>
      <c r="SBH1372" s="110"/>
      <c r="SBI1372" s="110"/>
      <c r="SBJ1372" s="110"/>
      <c r="SBK1372" s="110"/>
      <c r="SBL1372" s="110"/>
      <c r="SBM1372" s="110"/>
      <c r="SBN1372" s="110"/>
      <c r="SBO1372" s="110"/>
      <c r="SBP1372" s="110"/>
      <c r="SBQ1372" s="110"/>
      <c r="SBR1372" s="110"/>
      <c r="SBS1372" s="110"/>
      <c r="SBT1372" s="110"/>
      <c r="SBU1372" s="110"/>
      <c r="SBV1372" s="110"/>
      <c r="SBW1372" s="110"/>
      <c r="SBX1372" s="110"/>
      <c r="SBY1372" s="110"/>
      <c r="SBZ1372" s="110"/>
      <c r="SCA1372" s="110"/>
      <c r="SCB1372" s="110"/>
      <c r="SCC1372" s="110"/>
      <c r="SCD1372" s="110"/>
      <c r="SCE1372" s="110"/>
      <c r="SCF1372" s="110"/>
      <c r="SCG1372" s="110"/>
      <c r="SCH1372" s="110"/>
      <c r="SCI1372" s="110"/>
      <c r="SCJ1372" s="110"/>
      <c r="SCK1372" s="110"/>
      <c r="SCL1372" s="110"/>
      <c r="SCM1372" s="110"/>
      <c r="SCN1372" s="110"/>
      <c r="SCO1372" s="110"/>
      <c r="SCP1372" s="110"/>
      <c r="SCQ1372" s="110"/>
      <c r="SCR1372" s="110"/>
      <c r="SCS1372" s="110"/>
      <c r="SCT1372" s="110"/>
      <c r="SCU1372" s="110"/>
      <c r="SCV1372" s="110"/>
      <c r="SCW1372" s="110"/>
      <c r="SCX1372" s="110"/>
      <c r="SCY1372" s="110"/>
      <c r="SCZ1372" s="110"/>
      <c r="SDA1372" s="110"/>
      <c r="SDB1372" s="110"/>
      <c r="SDC1372" s="110"/>
      <c r="SDD1372" s="110"/>
      <c r="SDE1372" s="110"/>
      <c r="SDF1372" s="110"/>
      <c r="SDG1372" s="110"/>
      <c r="SDH1372" s="110"/>
      <c r="SDI1372" s="110"/>
      <c r="SDJ1372" s="110"/>
      <c r="SDK1372" s="110"/>
      <c r="SDL1372" s="110"/>
      <c r="SDM1372" s="110"/>
      <c r="SDN1372" s="110"/>
      <c r="SDO1372" s="110"/>
      <c r="SDP1372" s="110"/>
      <c r="SDQ1372" s="110"/>
      <c r="SDR1372" s="110"/>
      <c r="SDS1372" s="110"/>
      <c r="SDT1372" s="110"/>
      <c r="SDU1372" s="110"/>
      <c r="SDV1372" s="110"/>
      <c r="SDW1372" s="110"/>
      <c r="SDX1372" s="110"/>
      <c r="SDY1372" s="110"/>
      <c r="SDZ1372" s="110"/>
      <c r="SEA1372" s="110"/>
      <c r="SEB1372" s="110"/>
      <c r="SEC1372" s="110"/>
      <c r="SED1372" s="110"/>
      <c r="SEE1372" s="110"/>
      <c r="SEF1372" s="110"/>
      <c r="SEG1372" s="110"/>
      <c r="SEH1372" s="110"/>
      <c r="SEI1372" s="110"/>
      <c r="SEJ1372" s="110"/>
      <c r="SEK1372" s="110"/>
      <c r="SEL1372" s="110"/>
      <c r="SEM1372" s="110"/>
      <c r="SEN1372" s="110"/>
      <c r="SEO1372" s="110"/>
      <c r="SEP1372" s="110"/>
      <c r="SEQ1372" s="110"/>
      <c r="SER1372" s="110"/>
      <c r="SES1372" s="110"/>
      <c r="SET1372" s="110"/>
      <c r="SEU1372" s="110"/>
      <c r="SEV1372" s="110"/>
      <c r="SEW1372" s="110"/>
      <c r="SEX1372" s="110"/>
      <c r="SEY1372" s="110"/>
      <c r="SEZ1372" s="110"/>
      <c r="SFA1372" s="110"/>
      <c r="SFB1372" s="110"/>
      <c r="SFC1372" s="110"/>
      <c r="SFD1372" s="110"/>
      <c r="SFE1372" s="110"/>
      <c r="SFF1372" s="110"/>
      <c r="SFG1372" s="110"/>
      <c r="SFH1372" s="110"/>
      <c r="SFI1372" s="110"/>
      <c r="SFJ1372" s="110"/>
      <c r="SFK1372" s="110"/>
      <c r="SFL1372" s="110"/>
      <c r="SFM1372" s="110"/>
      <c r="SFN1372" s="110"/>
      <c r="SFO1372" s="110"/>
      <c r="SFP1372" s="110"/>
      <c r="SFQ1372" s="110"/>
      <c r="SFR1372" s="110"/>
      <c r="SFS1372" s="110"/>
      <c r="SFT1372" s="110"/>
      <c r="SFU1372" s="110"/>
      <c r="SFV1372" s="110"/>
      <c r="SFW1372" s="110"/>
      <c r="SFX1372" s="110"/>
      <c r="SFY1372" s="110"/>
      <c r="SFZ1372" s="110"/>
      <c r="SGA1372" s="110"/>
      <c r="SGB1372" s="110"/>
      <c r="SGC1372" s="110"/>
      <c r="SGD1372" s="110"/>
      <c r="SGE1372" s="110"/>
      <c r="SGF1372" s="110"/>
      <c r="SGG1372" s="110"/>
      <c r="SGH1372" s="110"/>
      <c r="SGI1372" s="110"/>
      <c r="SGJ1372" s="110"/>
      <c r="SGK1372" s="110"/>
      <c r="SGL1372" s="110"/>
      <c r="SGM1372" s="110"/>
      <c r="SGN1372" s="110"/>
      <c r="SGO1372" s="110"/>
      <c r="SGP1372" s="110"/>
      <c r="SGQ1372" s="110"/>
      <c r="SGR1372" s="110"/>
      <c r="SGS1372" s="110"/>
      <c r="SGT1372" s="110"/>
      <c r="SGU1372" s="110"/>
      <c r="SGV1372" s="110"/>
      <c r="SGW1372" s="110"/>
      <c r="SGX1372" s="110"/>
      <c r="SGY1372" s="110"/>
      <c r="SGZ1372" s="110"/>
      <c r="SHA1372" s="110"/>
      <c r="SHB1372" s="110"/>
      <c r="SHC1372" s="110"/>
      <c r="SHD1372" s="110"/>
      <c r="SHE1372" s="110"/>
      <c r="SHF1372" s="110"/>
      <c r="SHG1372" s="110"/>
      <c r="SHH1372" s="110"/>
      <c r="SHI1372" s="110"/>
      <c r="SHJ1372" s="110"/>
      <c r="SHK1372" s="110"/>
      <c r="SHL1372" s="110"/>
      <c r="SHM1372" s="110"/>
      <c r="SHN1372" s="110"/>
      <c r="SHO1372" s="110"/>
      <c r="SHP1372" s="110"/>
      <c r="SHQ1372" s="110"/>
      <c r="SHR1372" s="110"/>
      <c r="SHS1372" s="110"/>
      <c r="SHT1372" s="110"/>
      <c r="SHU1372" s="110"/>
      <c r="SHV1372" s="110"/>
      <c r="SHW1372" s="110"/>
      <c r="SHX1372" s="110"/>
      <c r="SHY1372" s="110"/>
      <c r="SHZ1372" s="110"/>
      <c r="SIA1372" s="110"/>
      <c r="SIB1372" s="110"/>
      <c r="SIC1372" s="110"/>
      <c r="SID1372" s="110"/>
      <c r="SIE1372" s="110"/>
      <c r="SIF1372" s="110"/>
      <c r="SIG1372" s="110"/>
      <c r="SIH1372" s="110"/>
      <c r="SII1372" s="110"/>
      <c r="SIJ1372" s="110"/>
      <c r="SIK1372" s="110"/>
      <c r="SIL1372" s="110"/>
      <c r="SIM1372" s="110"/>
      <c r="SIN1372" s="110"/>
      <c r="SIO1372" s="110"/>
      <c r="SIP1372" s="110"/>
      <c r="SIQ1372" s="110"/>
      <c r="SIR1372" s="110"/>
      <c r="SIS1372" s="110"/>
      <c r="SIT1372" s="110"/>
      <c r="SIU1372" s="110"/>
      <c r="SIV1372" s="110"/>
      <c r="SIW1372" s="110"/>
      <c r="SIX1372" s="110"/>
      <c r="SIY1372" s="110"/>
      <c r="SIZ1372" s="110"/>
      <c r="SJA1372" s="110"/>
      <c r="SJB1372" s="110"/>
      <c r="SJC1372" s="110"/>
      <c r="SJD1372" s="110"/>
      <c r="SJE1372" s="110"/>
      <c r="SJF1372" s="110"/>
      <c r="SJG1372" s="110"/>
      <c r="SJH1372" s="110"/>
      <c r="SJI1372" s="110"/>
      <c r="SJJ1372" s="110"/>
      <c r="SJK1372" s="110"/>
      <c r="SJL1372" s="110"/>
      <c r="SJM1372" s="110"/>
      <c r="SJN1372" s="110"/>
      <c r="SJO1372" s="110"/>
      <c r="SJP1372" s="110"/>
      <c r="SJQ1372" s="110"/>
      <c r="SJR1372" s="110"/>
      <c r="SJS1372" s="110"/>
      <c r="SJT1372" s="110"/>
      <c r="SJU1372" s="110"/>
      <c r="SJV1372" s="110"/>
      <c r="SJW1372" s="110"/>
      <c r="SJX1372" s="110"/>
      <c r="SJY1372" s="110"/>
      <c r="SJZ1372" s="110"/>
      <c r="SKA1372" s="110"/>
      <c r="SKB1372" s="110"/>
      <c r="SKC1372" s="110"/>
      <c r="SKD1372" s="110"/>
      <c r="SKE1372" s="110"/>
      <c r="SKF1372" s="110"/>
      <c r="SKG1372" s="110"/>
      <c r="SKH1372" s="110"/>
      <c r="SKI1372" s="110"/>
      <c r="SKJ1372" s="110"/>
      <c r="SKK1372" s="110"/>
      <c r="SKL1372" s="110"/>
      <c r="SKM1372" s="110"/>
      <c r="SKN1372" s="110"/>
      <c r="SKO1372" s="110"/>
      <c r="SKP1372" s="110"/>
      <c r="SKQ1372" s="110"/>
      <c r="SKR1372" s="110"/>
      <c r="SKS1372" s="110"/>
      <c r="SKT1372" s="110"/>
      <c r="SKU1372" s="110"/>
      <c r="SKV1372" s="110"/>
      <c r="SKW1372" s="110"/>
      <c r="SKX1372" s="110"/>
      <c r="SKY1372" s="110"/>
      <c r="SKZ1372" s="110"/>
      <c r="SLA1372" s="110"/>
      <c r="SLB1372" s="110"/>
      <c r="SLC1372" s="110"/>
      <c r="SLD1372" s="110"/>
      <c r="SLE1372" s="110"/>
      <c r="SLF1372" s="110"/>
      <c r="SLG1372" s="110"/>
      <c r="SLH1372" s="110"/>
      <c r="SLI1372" s="110"/>
      <c r="SLJ1372" s="110"/>
      <c r="SLK1372" s="110"/>
      <c r="SLL1372" s="110"/>
      <c r="SLM1372" s="110"/>
      <c r="SLN1372" s="110"/>
      <c r="SLO1372" s="110"/>
      <c r="SLP1372" s="110"/>
      <c r="SLQ1372" s="110"/>
      <c r="SLR1372" s="110"/>
      <c r="SLS1372" s="110"/>
      <c r="SLT1372" s="110"/>
      <c r="SLU1372" s="110"/>
      <c r="SLV1372" s="110"/>
      <c r="SLW1372" s="110"/>
      <c r="SLX1372" s="110"/>
      <c r="SLY1372" s="110"/>
      <c r="SLZ1372" s="110"/>
      <c r="SMA1372" s="110"/>
      <c r="SMB1372" s="110"/>
      <c r="SMC1372" s="110"/>
      <c r="SMD1372" s="110"/>
      <c r="SME1372" s="110"/>
      <c r="SMF1372" s="110"/>
      <c r="SMG1372" s="110"/>
      <c r="SMH1372" s="110"/>
      <c r="SMI1372" s="110"/>
      <c r="SMJ1372" s="110"/>
      <c r="SMK1372" s="110"/>
      <c r="SML1372" s="110"/>
      <c r="SMM1372" s="110"/>
      <c r="SMN1372" s="110"/>
      <c r="SMO1372" s="110"/>
      <c r="SMP1372" s="110"/>
      <c r="SMQ1372" s="110"/>
      <c r="SMR1372" s="110"/>
      <c r="SMS1372" s="110"/>
      <c r="SMT1372" s="110"/>
      <c r="SMU1372" s="110"/>
      <c r="SMV1372" s="110"/>
      <c r="SMW1372" s="110"/>
      <c r="SMX1372" s="110"/>
      <c r="SMY1372" s="110"/>
      <c r="SMZ1372" s="110"/>
      <c r="SNA1372" s="110"/>
      <c r="SNB1372" s="110"/>
      <c r="SNC1372" s="110"/>
      <c r="SND1372" s="110"/>
      <c r="SNE1372" s="110"/>
      <c r="SNF1372" s="110"/>
      <c r="SNG1372" s="110"/>
      <c r="SNH1372" s="110"/>
      <c r="SNI1372" s="110"/>
      <c r="SNJ1372" s="110"/>
      <c r="SNK1372" s="110"/>
      <c r="SNL1372" s="110"/>
      <c r="SNM1372" s="110"/>
      <c r="SNN1372" s="110"/>
      <c r="SNO1372" s="110"/>
      <c r="SNP1372" s="110"/>
      <c r="SNQ1372" s="110"/>
      <c r="SNR1372" s="110"/>
      <c r="SNS1372" s="110"/>
      <c r="SNT1372" s="110"/>
      <c r="SNU1372" s="110"/>
      <c r="SNV1372" s="110"/>
      <c r="SNW1372" s="110"/>
      <c r="SNX1372" s="110"/>
      <c r="SNY1372" s="110"/>
      <c r="SNZ1372" s="110"/>
      <c r="SOA1372" s="110"/>
      <c r="SOB1372" s="110"/>
      <c r="SOC1372" s="110"/>
      <c r="SOD1372" s="110"/>
      <c r="SOE1372" s="110"/>
      <c r="SOF1372" s="110"/>
      <c r="SOG1372" s="110"/>
      <c r="SOH1372" s="110"/>
      <c r="SOI1372" s="110"/>
      <c r="SOJ1372" s="110"/>
      <c r="SOK1372" s="110"/>
      <c r="SOL1372" s="110"/>
      <c r="SOM1372" s="110"/>
      <c r="SON1372" s="110"/>
      <c r="SOO1372" s="110"/>
      <c r="SOP1372" s="110"/>
      <c r="SOQ1372" s="110"/>
      <c r="SOR1372" s="110"/>
      <c r="SOS1372" s="110"/>
      <c r="SOT1372" s="110"/>
      <c r="SOU1372" s="110"/>
      <c r="SOV1372" s="110"/>
      <c r="SOW1372" s="110"/>
      <c r="SOX1372" s="110"/>
      <c r="SOY1372" s="110"/>
      <c r="SOZ1372" s="110"/>
      <c r="SPA1372" s="110"/>
      <c r="SPB1372" s="110"/>
      <c r="SPC1372" s="110"/>
      <c r="SPD1372" s="110"/>
      <c r="SPE1372" s="110"/>
      <c r="SPF1372" s="110"/>
      <c r="SPG1372" s="110"/>
      <c r="SPH1372" s="110"/>
      <c r="SPI1372" s="110"/>
      <c r="SPJ1372" s="110"/>
      <c r="SPK1372" s="110"/>
      <c r="SPL1372" s="110"/>
      <c r="SPM1372" s="110"/>
      <c r="SPN1372" s="110"/>
      <c r="SPO1372" s="110"/>
      <c r="SPP1372" s="110"/>
      <c r="SPQ1372" s="110"/>
      <c r="SPR1372" s="110"/>
      <c r="SPS1372" s="110"/>
      <c r="SPT1372" s="110"/>
      <c r="SPU1372" s="110"/>
      <c r="SPV1372" s="110"/>
      <c r="SPW1372" s="110"/>
      <c r="SPX1372" s="110"/>
      <c r="SPY1372" s="110"/>
      <c r="SPZ1372" s="110"/>
      <c r="SQA1372" s="110"/>
      <c r="SQB1372" s="110"/>
      <c r="SQC1372" s="110"/>
      <c r="SQD1372" s="110"/>
      <c r="SQE1372" s="110"/>
      <c r="SQF1372" s="110"/>
      <c r="SQG1372" s="110"/>
      <c r="SQH1372" s="110"/>
      <c r="SQI1372" s="110"/>
      <c r="SQJ1372" s="110"/>
      <c r="SQK1372" s="110"/>
      <c r="SQL1372" s="110"/>
      <c r="SQM1372" s="110"/>
      <c r="SQN1372" s="110"/>
      <c r="SQO1372" s="110"/>
      <c r="SQP1372" s="110"/>
      <c r="SQQ1372" s="110"/>
      <c r="SQR1372" s="110"/>
      <c r="SQS1372" s="110"/>
      <c r="SQT1372" s="110"/>
      <c r="SQU1372" s="110"/>
      <c r="SQV1372" s="110"/>
      <c r="SQW1372" s="110"/>
      <c r="SQX1372" s="110"/>
      <c r="SQY1372" s="110"/>
      <c r="SQZ1372" s="110"/>
      <c r="SRA1372" s="110"/>
      <c r="SRB1372" s="110"/>
      <c r="SRC1372" s="110"/>
      <c r="SRD1372" s="110"/>
      <c r="SRE1372" s="110"/>
      <c r="SRF1372" s="110"/>
      <c r="SRG1372" s="110"/>
      <c r="SRH1372" s="110"/>
      <c r="SRI1372" s="110"/>
      <c r="SRJ1372" s="110"/>
      <c r="SRK1372" s="110"/>
      <c r="SRL1372" s="110"/>
      <c r="SRM1372" s="110"/>
      <c r="SRN1372" s="110"/>
      <c r="SRO1372" s="110"/>
      <c r="SRP1372" s="110"/>
      <c r="SRQ1372" s="110"/>
      <c r="SRR1372" s="110"/>
      <c r="SRS1372" s="110"/>
      <c r="SRT1372" s="110"/>
      <c r="SRU1372" s="110"/>
      <c r="SRV1372" s="110"/>
      <c r="SRW1372" s="110"/>
      <c r="SRX1372" s="110"/>
      <c r="SRY1372" s="110"/>
      <c r="SRZ1372" s="110"/>
      <c r="SSA1372" s="110"/>
      <c r="SSB1372" s="110"/>
      <c r="SSC1372" s="110"/>
      <c r="SSD1372" s="110"/>
      <c r="SSE1372" s="110"/>
      <c r="SSF1372" s="110"/>
      <c r="SSG1372" s="110"/>
      <c r="SSH1372" s="110"/>
      <c r="SSI1372" s="110"/>
      <c r="SSJ1372" s="110"/>
      <c r="SSK1372" s="110"/>
      <c r="SSL1372" s="110"/>
      <c r="SSM1372" s="110"/>
      <c r="SSN1372" s="110"/>
      <c r="SSO1372" s="110"/>
      <c r="SSP1372" s="110"/>
      <c r="SSQ1372" s="110"/>
      <c r="SSR1372" s="110"/>
      <c r="SSS1372" s="110"/>
      <c r="SST1372" s="110"/>
      <c r="SSU1372" s="110"/>
      <c r="SSV1372" s="110"/>
      <c r="SSW1372" s="110"/>
      <c r="SSX1372" s="110"/>
      <c r="SSY1372" s="110"/>
      <c r="SSZ1372" s="110"/>
      <c r="STA1372" s="110"/>
      <c r="STB1372" s="110"/>
      <c r="STC1372" s="110"/>
      <c r="STD1372" s="110"/>
      <c r="STE1372" s="110"/>
      <c r="STF1372" s="110"/>
      <c r="STG1372" s="110"/>
      <c r="STH1372" s="110"/>
      <c r="STI1372" s="110"/>
      <c r="STJ1372" s="110"/>
      <c r="STK1372" s="110"/>
      <c r="STL1372" s="110"/>
      <c r="STM1372" s="110"/>
      <c r="STN1372" s="110"/>
      <c r="STO1372" s="110"/>
      <c r="STP1372" s="110"/>
      <c r="STQ1372" s="110"/>
      <c r="STR1372" s="110"/>
      <c r="STS1372" s="110"/>
      <c r="STT1372" s="110"/>
      <c r="STU1372" s="110"/>
      <c r="STV1372" s="110"/>
      <c r="STW1372" s="110"/>
      <c r="STX1372" s="110"/>
      <c r="STY1372" s="110"/>
      <c r="STZ1372" s="110"/>
      <c r="SUA1372" s="110"/>
      <c r="SUB1372" s="110"/>
      <c r="SUC1372" s="110"/>
      <c r="SUD1372" s="110"/>
      <c r="SUE1372" s="110"/>
      <c r="SUF1372" s="110"/>
      <c r="SUG1372" s="110"/>
      <c r="SUH1372" s="110"/>
      <c r="SUI1372" s="110"/>
      <c r="SUJ1372" s="110"/>
      <c r="SUK1372" s="110"/>
      <c r="SUL1372" s="110"/>
      <c r="SUM1372" s="110"/>
      <c r="SUN1372" s="110"/>
      <c r="SUO1372" s="110"/>
      <c r="SUP1372" s="110"/>
      <c r="SUQ1372" s="110"/>
      <c r="SUR1372" s="110"/>
      <c r="SUS1372" s="110"/>
      <c r="SUT1372" s="110"/>
      <c r="SUU1372" s="110"/>
      <c r="SUV1372" s="110"/>
      <c r="SUW1372" s="110"/>
      <c r="SUX1372" s="110"/>
      <c r="SUY1372" s="110"/>
      <c r="SUZ1372" s="110"/>
      <c r="SVA1372" s="110"/>
      <c r="SVB1372" s="110"/>
      <c r="SVC1372" s="110"/>
      <c r="SVD1372" s="110"/>
      <c r="SVE1372" s="110"/>
      <c r="SVF1372" s="110"/>
      <c r="SVG1372" s="110"/>
      <c r="SVH1372" s="110"/>
      <c r="SVI1372" s="110"/>
      <c r="SVJ1372" s="110"/>
      <c r="SVK1372" s="110"/>
      <c r="SVL1372" s="110"/>
      <c r="SVM1372" s="110"/>
      <c r="SVN1372" s="110"/>
      <c r="SVO1372" s="110"/>
      <c r="SVP1372" s="110"/>
      <c r="SVQ1372" s="110"/>
      <c r="SVR1372" s="110"/>
      <c r="SVS1372" s="110"/>
      <c r="SVT1372" s="110"/>
      <c r="SVU1372" s="110"/>
      <c r="SVV1372" s="110"/>
      <c r="SVW1372" s="110"/>
      <c r="SVX1372" s="110"/>
      <c r="SVY1372" s="110"/>
      <c r="SVZ1372" s="110"/>
      <c r="SWA1372" s="110"/>
      <c r="SWB1372" s="110"/>
      <c r="SWC1372" s="110"/>
      <c r="SWD1372" s="110"/>
      <c r="SWE1372" s="110"/>
      <c r="SWF1372" s="110"/>
      <c r="SWG1372" s="110"/>
      <c r="SWH1372" s="110"/>
      <c r="SWI1372" s="110"/>
      <c r="SWJ1372" s="110"/>
      <c r="SWK1372" s="110"/>
      <c r="SWL1372" s="110"/>
      <c r="SWM1372" s="110"/>
      <c r="SWN1372" s="110"/>
      <c r="SWO1372" s="110"/>
      <c r="SWP1372" s="110"/>
      <c r="SWQ1372" s="110"/>
      <c r="SWR1372" s="110"/>
      <c r="SWS1372" s="110"/>
      <c r="SWT1372" s="110"/>
      <c r="SWU1372" s="110"/>
      <c r="SWV1372" s="110"/>
      <c r="SWW1372" s="110"/>
      <c r="SWX1372" s="110"/>
      <c r="SWY1372" s="110"/>
      <c r="SWZ1372" s="110"/>
      <c r="SXA1372" s="110"/>
      <c r="SXB1372" s="110"/>
      <c r="SXC1372" s="110"/>
      <c r="SXD1372" s="110"/>
      <c r="SXE1372" s="110"/>
      <c r="SXF1372" s="110"/>
      <c r="SXG1372" s="110"/>
      <c r="SXH1372" s="110"/>
      <c r="SXI1372" s="110"/>
      <c r="SXJ1372" s="110"/>
      <c r="SXK1372" s="110"/>
      <c r="SXL1372" s="110"/>
      <c r="SXM1372" s="110"/>
      <c r="SXN1372" s="110"/>
      <c r="SXO1372" s="110"/>
      <c r="SXP1372" s="110"/>
      <c r="SXQ1372" s="110"/>
      <c r="SXR1372" s="110"/>
      <c r="SXS1372" s="110"/>
      <c r="SXT1372" s="110"/>
      <c r="SXU1372" s="110"/>
      <c r="SXV1372" s="110"/>
      <c r="SXW1372" s="110"/>
      <c r="SXX1372" s="110"/>
      <c r="SXY1372" s="110"/>
      <c r="SXZ1372" s="110"/>
      <c r="SYA1372" s="110"/>
      <c r="SYB1372" s="110"/>
      <c r="SYC1372" s="110"/>
      <c r="SYD1372" s="110"/>
      <c r="SYE1372" s="110"/>
      <c r="SYF1372" s="110"/>
      <c r="SYG1372" s="110"/>
      <c r="SYH1372" s="110"/>
      <c r="SYI1372" s="110"/>
      <c r="SYJ1372" s="110"/>
      <c r="SYK1372" s="110"/>
      <c r="SYL1372" s="110"/>
      <c r="SYM1372" s="110"/>
      <c r="SYN1372" s="110"/>
      <c r="SYO1372" s="110"/>
      <c r="SYP1372" s="110"/>
      <c r="SYQ1372" s="110"/>
      <c r="SYR1372" s="110"/>
      <c r="SYS1372" s="110"/>
      <c r="SYT1372" s="110"/>
      <c r="SYU1372" s="110"/>
      <c r="SYV1372" s="110"/>
      <c r="SYW1372" s="110"/>
      <c r="SYX1372" s="110"/>
      <c r="SYY1372" s="110"/>
      <c r="SYZ1372" s="110"/>
      <c r="SZA1372" s="110"/>
      <c r="SZB1372" s="110"/>
      <c r="SZC1372" s="110"/>
      <c r="SZD1372" s="110"/>
      <c r="SZE1372" s="110"/>
      <c r="SZF1372" s="110"/>
      <c r="SZG1372" s="110"/>
      <c r="SZH1372" s="110"/>
      <c r="SZI1372" s="110"/>
      <c r="SZJ1372" s="110"/>
      <c r="SZK1372" s="110"/>
      <c r="SZL1372" s="110"/>
      <c r="SZM1372" s="110"/>
      <c r="SZN1372" s="110"/>
      <c r="SZO1372" s="110"/>
      <c r="SZP1372" s="110"/>
      <c r="SZQ1372" s="110"/>
      <c r="SZR1372" s="110"/>
      <c r="SZS1372" s="110"/>
      <c r="SZT1372" s="110"/>
      <c r="SZU1372" s="110"/>
      <c r="SZV1372" s="110"/>
      <c r="SZW1372" s="110"/>
      <c r="SZX1372" s="110"/>
      <c r="SZY1372" s="110"/>
      <c r="SZZ1372" s="110"/>
      <c r="TAA1372" s="110"/>
      <c r="TAB1372" s="110"/>
      <c r="TAC1372" s="110"/>
      <c r="TAD1372" s="110"/>
      <c r="TAE1372" s="110"/>
      <c r="TAF1372" s="110"/>
      <c r="TAG1372" s="110"/>
      <c r="TAH1372" s="110"/>
      <c r="TAI1372" s="110"/>
      <c r="TAJ1372" s="110"/>
      <c r="TAK1372" s="110"/>
      <c r="TAL1372" s="110"/>
      <c r="TAM1372" s="110"/>
      <c r="TAN1372" s="110"/>
      <c r="TAO1372" s="110"/>
      <c r="TAP1372" s="110"/>
      <c r="TAQ1372" s="110"/>
      <c r="TAR1372" s="110"/>
      <c r="TAS1372" s="110"/>
      <c r="TAT1372" s="110"/>
      <c r="TAU1372" s="110"/>
      <c r="TAV1372" s="110"/>
      <c r="TAW1372" s="110"/>
      <c r="TAX1372" s="110"/>
      <c r="TAY1372" s="110"/>
      <c r="TAZ1372" s="110"/>
      <c r="TBA1372" s="110"/>
      <c r="TBB1372" s="110"/>
      <c r="TBC1372" s="110"/>
      <c r="TBD1372" s="110"/>
      <c r="TBE1372" s="110"/>
      <c r="TBF1372" s="110"/>
      <c r="TBG1372" s="110"/>
      <c r="TBH1372" s="110"/>
      <c r="TBI1372" s="110"/>
      <c r="TBJ1372" s="110"/>
      <c r="TBK1372" s="110"/>
      <c r="TBL1372" s="110"/>
      <c r="TBM1372" s="110"/>
      <c r="TBN1372" s="110"/>
      <c r="TBO1372" s="110"/>
      <c r="TBP1372" s="110"/>
      <c r="TBQ1372" s="110"/>
      <c r="TBR1372" s="110"/>
      <c r="TBS1372" s="110"/>
      <c r="TBT1372" s="110"/>
      <c r="TBU1372" s="110"/>
      <c r="TBV1372" s="110"/>
      <c r="TBW1372" s="110"/>
      <c r="TBX1372" s="110"/>
      <c r="TBY1372" s="110"/>
      <c r="TBZ1372" s="110"/>
      <c r="TCA1372" s="110"/>
      <c r="TCB1372" s="110"/>
      <c r="TCC1372" s="110"/>
      <c r="TCD1372" s="110"/>
      <c r="TCE1372" s="110"/>
      <c r="TCF1372" s="110"/>
      <c r="TCG1372" s="110"/>
      <c r="TCH1372" s="110"/>
      <c r="TCI1372" s="110"/>
      <c r="TCJ1372" s="110"/>
      <c r="TCK1372" s="110"/>
      <c r="TCL1372" s="110"/>
      <c r="TCM1372" s="110"/>
      <c r="TCN1372" s="110"/>
      <c r="TCO1372" s="110"/>
      <c r="TCP1372" s="110"/>
      <c r="TCQ1372" s="110"/>
      <c r="TCR1372" s="110"/>
      <c r="TCS1372" s="110"/>
      <c r="TCT1372" s="110"/>
      <c r="TCU1372" s="110"/>
      <c r="TCV1372" s="110"/>
      <c r="TCW1372" s="110"/>
      <c r="TCX1372" s="110"/>
      <c r="TCY1372" s="110"/>
      <c r="TCZ1372" s="110"/>
      <c r="TDA1372" s="110"/>
      <c r="TDB1372" s="110"/>
      <c r="TDC1372" s="110"/>
      <c r="TDD1372" s="110"/>
      <c r="TDE1372" s="110"/>
      <c r="TDF1372" s="110"/>
      <c r="TDG1372" s="110"/>
      <c r="TDH1372" s="110"/>
      <c r="TDI1372" s="110"/>
      <c r="TDJ1372" s="110"/>
      <c r="TDK1372" s="110"/>
      <c r="TDL1372" s="110"/>
      <c r="TDM1372" s="110"/>
      <c r="TDN1372" s="110"/>
      <c r="TDO1372" s="110"/>
      <c r="TDP1372" s="110"/>
      <c r="TDQ1372" s="110"/>
      <c r="TDR1372" s="110"/>
      <c r="TDS1372" s="110"/>
      <c r="TDT1372" s="110"/>
      <c r="TDU1372" s="110"/>
      <c r="TDV1372" s="110"/>
      <c r="TDW1372" s="110"/>
      <c r="TDX1372" s="110"/>
      <c r="TDY1372" s="110"/>
      <c r="TDZ1372" s="110"/>
      <c r="TEA1372" s="110"/>
      <c r="TEB1372" s="110"/>
      <c r="TEC1372" s="110"/>
      <c r="TED1372" s="110"/>
      <c r="TEE1372" s="110"/>
      <c r="TEF1372" s="110"/>
      <c r="TEG1372" s="110"/>
      <c r="TEH1372" s="110"/>
      <c r="TEI1372" s="110"/>
      <c r="TEJ1372" s="110"/>
      <c r="TEK1372" s="110"/>
      <c r="TEL1372" s="110"/>
      <c r="TEM1372" s="110"/>
      <c r="TEN1372" s="110"/>
      <c r="TEO1372" s="110"/>
      <c r="TEP1372" s="110"/>
      <c r="TEQ1372" s="110"/>
      <c r="TER1372" s="110"/>
      <c r="TES1372" s="110"/>
      <c r="TET1372" s="110"/>
      <c r="TEU1372" s="110"/>
      <c r="TEV1372" s="110"/>
      <c r="TEW1372" s="110"/>
      <c r="TEX1372" s="110"/>
      <c r="TEY1372" s="110"/>
      <c r="TEZ1372" s="110"/>
      <c r="TFA1372" s="110"/>
      <c r="TFB1372" s="110"/>
      <c r="TFC1372" s="110"/>
      <c r="TFD1372" s="110"/>
      <c r="TFE1372" s="110"/>
      <c r="TFF1372" s="110"/>
      <c r="TFG1372" s="110"/>
      <c r="TFH1372" s="110"/>
      <c r="TFI1372" s="110"/>
      <c r="TFJ1372" s="110"/>
      <c r="TFK1372" s="110"/>
      <c r="TFL1372" s="110"/>
      <c r="TFM1372" s="110"/>
      <c r="TFN1372" s="110"/>
      <c r="TFO1372" s="110"/>
      <c r="TFP1372" s="110"/>
      <c r="TFQ1372" s="110"/>
      <c r="TFR1372" s="110"/>
      <c r="TFS1372" s="110"/>
      <c r="TFT1372" s="110"/>
      <c r="TFU1372" s="110"/>
      <c r="TFV1372" s="110"/>
      <c r="TFW1372" s="110"/>
      <c r="TFX1372" s="110"/>
      <c r="TFY1372" s="110"/>
      <c r="TFZ1372" s="110"/>
      <c r="TGA1372" s="110"/>
      <c r="TGB1372" s="110"/>
      <c r="TGC1372" s="110"/>
      <c r="TGD1372" s="110"/>
      <c r="TGE1372" s="110"/>
      <c r="TGF1372" s="110"/>
      <c r="TGG1372" s="110"/>
      <c r="TGH1372" s="110"/>
      <c r="TGI1372" s="110"/>
      <c r="TGJ1372" s="110"/>
      <c r="TGK1372" s="110"/>
      <c r="TGL1372" s="110"/>
      <c r="TGM1372" s="110"/>
      <c r="TGN1372" s="110"/>
      <c r="TGO1372" s="110"/>
      <c r="TGP1372" s="110"/>
      <c r="TGQ1372" s="110"/>
      <c r="TGR1372" s="110"/>
      <c r="TGS1372" s="110"/>
      <c r="TGT1372" s="110"/>
      <c r="TGU1372" s="110"/>
      <c r="TGV1372" s="110"/>
      <c r="TGW1372" s="110"/>
      <c r="TGX1372" s="110"/>
      <c r="TGY1372" s="110"/>
      <c r="TGZ1372" s="110"/>
      <c r="THA1372" s="110"/>
      <c r="THB1372" s="110"/>
      <c r="THC1372" s="110"/>
      <c r="THD1372" s="110"/>
      <c r="THE1372" s="110"/>
      <c r="THF1372" s="110"/>
      <c r="THG1372" s="110"/>
      <c r="THH1372" s="110"/>
      <c r="THI1372" s="110"/>
      <c r="THJ1372" s="110"/>
      <c r="THK1372" s="110"/>
      <c r="THL1372" s="110"/>
      <c r="THM1372" s="110"/>
      <c r="THN1372" s="110"/>
      <c r="THO1372" s="110"/>
      <c r="THP1372" s="110"/>
      <c r="THQ1372" s="110"/>
      <c r="THR1372" s="110"/>
      <c r="THS1372" s="110"/>
      <c r="THT1372" s="110"/>
      <c r="THU1372" s="110"/>
      <c r="THV1372" s="110"/>
      <c r="THW1372" s="110"/>
      <c r="THX1372" s="110"/>
      <c r="THY1372" s="110"/>
      <c r="THZ1372" s="110"/>
      <c r="TIA1372" s="110"/>
      <c r="TIB1372" s="110"/>
      <c r="TIC1372" s="110"/>
      <c r="TID1372" s="110"/>
      <c r="TIE1372" s="110"/>
      <c r="TIF1372" s="110"/>
      <c r="TIG1372" s="110"/>
      <c r="TIH1372" s="110"/>
      <c r="TII1372" s="110"/>
      <c r="TIJ1372" s="110"/>
      <c r="TIK1372" s="110"/>
      <c r="TIL1372" s="110"/>
      <c r="TIM1372" s="110"/>
      <c r="TIN1372" s="110"/>
      <c r="TIO1372" s="110"/>
      <c r="TIP1372" s="110"/>
      <c r="TIQ1372" s="110"/>
      <c r="TIR1372" s="110"/>
      <c r="TIS1372" s="110"/>
      <c r="TIT1372" s="110"/>
      <c r="TIU1372" s="110"/>
      <c r="TIV1372" s="110"/>
      <c r="TIW1372" s="110"/>
      <c r="TIX1372" s="110"/>
      <c r="TIY1372" s="110"/>
      <c r="TIZ1372" s="110"/>
      <c r="TJA1372" s="110"/>
      <c r="TJB1372" s="110"/>
      <c r="TJC1372" s="110"/>
      <c r="TJD1372" s="110"/>
      <c r="TJE1372" s="110"/>
      <c r="TJF1372" s="110"/>
      <c r="TJG1372" s="110"/>
      <c r="TJH1372" s="110"/>
      <c r="TJI1372" s="110"/>
      <c r="TJJ1372" s="110"/>
      <c r="TJK1372" s="110"/>
      <c r="TJL1372" s="110"/>
      <c r="TJM1372" s="110"/>
      <c r="TJN1372" s="110"/>
      <c r="TJO1372" s="110"/>
      <c r="TJP1372" s="110"/>
      <c r="TJQ1372" s="110"/>
      <c r="TJR1372" s="110"/>
      <c r="TJS1372" s="110"/>
      <c r="TJT1372" s="110"/>
      <c r="TJU1372" s="110"/>
      <c r="TJV1372" s="110"/>
      <c r="TJW1372" s="110"/>
      <c r="TJX1372" s="110"/>
      <c r="TJY1372" s="110"/>
      <c r="TJZ1372" s="110"/>
      <c r="TKA1372" s="110"/>
      <c r="TKB1372" s="110"/>
      <c r="TKC1372" s="110"/>
      <c r="TKD1372" s="110"/>
      <c r="TKE1372" s="110"/>
      <c r="TKF1372" s="110"/>
      <c r="TKG1372" s="110"/>
      <c r="TKH1372" s="110"/>
      <c r="TKI1372" s="110"/>
      <c r="TKJ1372" s="110"/>
      <c r="TKK1372" s="110"/>
      <c r="TKL1372" s="110"/>
      <c r="TKM1372" s="110"/>
      <c r="TKN1372" s="110"/>
      <c r="TKO1372" s="110"/>
      <c r="TKP1372" s="110"/>
      <c r="TKQ1372" s="110"/>
      <c r="TKR1372" s="110"/>
      <c r="TKS1372" s="110"/>
      <c r="TKT1372" s="110"/>
      <c r="TKU1372" s="110"/>
      <c r="TKV1372" s="110"/>
      <c r="TKW1372" s="110"/>
      <c r="TKX1372" s="110"/>
      <c r="TKY1372" s="110"/>
      <c r="TKZ1372" s="110"/>
      <c r="TLA1372" s="110"/>
      <c r="TLB1372" s="110"/>
      <c r="TLC1372" s="110"/>
      <c r="TLD1372" s="110"/>
      <c r="TLE1372" s="110"/>
      <c r="TLF1372" s="110"/>
      <c r="TLG1372" s="110"/>
      <c r="TLH1372" s="110"/>
      <c r="TLI1372" s="110"/>
      <c r="TLJ1372" s="110"/>
      <c r="TLK1372" s="110"/>
      <c r="TLL1372" s="110"/>
      <c r="TLM1372" s="110"/>
      <c r="TLN1372" s="110"/>
      <c r="TLO1372" s="110"/>
      <c r="TLP1372" s="110"/>
      <c r="TLQ1372" s="110"/>
      <c r="TLR1372" s="110"/>
      <c r="TLS1372" s="110"/>
      <c r="TLT1372" s="110"/>
      <c r="TLU1372" s="110"/>
      <c r="TLV1372" s="110"/>
      <c r="TLW1372" s="110"/>
      <c r="TLX1372" s="110"/>
      <c r="TLY1372" s="110"/>
      <c r="TLZ1372" s="110"/>
      <c r="TMA1372" s="110"/>
      <c r="TMB1372" s="110"/>
      <c r="TMC1372" s="110"/>
      <c r="TMD1372" s="110"/>
      <c r="TME1372" s="110"/>
      <c r="TMF1372" s="110"/>
      <c r="TMG1372" s="110"/>
      <c r="TMH1372" s="110"/>
      <c r="TMI1372" s="110"/>
      <c r="TMJ1372" s="110"/>
      <c r="TMK1372" s="110"/>
      <c r="TML1372" s="110"/>
      <c r="TMM1372" s="110"/>
      <c r="TMN1372" s="110"/>
      <c r="TMO1372" s="110"/>
      <c r="TMP1372" s="110"/>
      <c r="TMQ1372" s="110"/>
      <c r="TMR1372" s="110"/>
      <c r="TMS1372" s="110"/>
      <c r="TMT1372" s="110"/>
      <c r="TMU1372" s="110"/>
      <c r="TMV1372" s="110"/>
      <c r="TMW1372" s="110"/>
      <c r="TMX1372" s="110"/>
      <c r="TMY1372" s="110"/>
      <c r="TMZ1372" s="110"/>
      <c r="TNA1372" s="110"/>
      <c r="TNB1372" s="110"/>
      <c r="TNC1372" s="110"/>
      <c r="TND1372" s="110"/>
      <c r="TNE1372" s="110"/>
      <c r="TNF1372" s="110"/>
      <c r="TNG1372" s="110"/>
      <c r="TNH1372" s="110"/>
      <c r="TNI1372" s="110"/>
      <c r="TNJ1372" s="110"/>
      <c r="TNK1372" s="110"/>
      <c r="TNL1372" s="110"/>
      <c r="TNM1372" s="110"/>
      <c r="TNN1372" s="110"/>
      <c r="TNO1372" s="110"/>
      <c r="TNP1372" s="110"/>
      <c r="TNQ1372" s="110"/>
      <c r="TNR1372" s="110"/>
      <c r="TNS1372" s="110"/>
      <c r="TNT1372" s="110"/>
      <c r="TNU1372" s="110"/>
      <c r="TNV1372" s="110"/>
      <c r="TNW1372" s="110"/>
      <c r="TNX1372" s="110"/>
      <c r="TNY1372" s="110"/>
      <c r="TNZ1372" s="110"/>
      <c r="TOA1372" s="110"/>
      <c r="TOB1372" s="110"/>
      <c r="TOC1372" s="110"/>
      <c r="TOD1372" s="110"/>
      <c r="TOE1372" s="110"/>
      <c r="TOF1372" s="110"/>
      <c r="TOG1372" s="110"/>
      <c r="TOH1372" s="110"/>
      <c r="TOI1372" s="110"/>
      <c r="TOJ1372" s="110"/>
      <c r="TOK1372" s="110"/>
      <c r="TOL1372" s="110"/>
      <c r="TOM1372" s="110"/>
      <c r="TON1372" s="110"/>
      <c r="TOO1372" s="110"/>
      <c r="TOP1372" s="110"/>
      <c r="TOQ1372" s="110"/>
      <c r="TOR1372" s="110"/>
      <c r="TOS1372" s="110"/>
      <c r="TOT1372" s="110"/>
      <c r="TOU1372" s="110"/>
      <c r="TOV1372" s="110"/>
      <c r="TOW1372" s="110"/>
      <c r="TOX1372" s="110"/>
      <c r="TOY1372" s="110"/>
      <c r="TOZ1372" s="110"/>
      <c r="TPA1372" s="110"/>
      <c r="TPB1372" s="110"/>
      <c r="TPC1372" s="110"/>
      <c r="TPD1372" s="110"/>
      <c r="TPE1372" s="110"/>
      <c r="TPF1372" s="110"/>
      <c r="TPG1372" s="110"/>
      <c r="TPH1372" s="110"/>
      <c r="TPI1372" s="110"/>
      <c r="TPJ1372" s="110"/>
      <c r="TPK1372" s="110"/>
      <c r="TPL1372" s="110"/>
      <c r="TPM1372" s="110"/>
      <c r="TPN1372" s="110"/>
      <c r="TPO1372" s="110"/>
      <c r="TPP1372" s="110"/>
      <c r="TPQ1372" s="110"/>
      <c r="TPR1372" s="110"/>
      <c r="TPS1372" s="110"/>
      <c r="TPT1372" s="110"/>
      <c r="TPU1372" s="110"/>
      <c r="TPV1372" s="110"/>
      <c r="TPW1372" s="110"/>
      <c r="TPX1372" s="110"/>
      <c r="TPY1372" s="110"/>
      <c r="TPZ1372" s="110"/>
      <c r="TQA1372" s="110"/>
      <c r="TQB1372" s="110"/>
      <c r="TQC1372" s="110"/>
      <c r="TQD1372" s="110"/>
      <c r="TQE1372" s="110"/>
      <c r="TQF1372" s="110"/>
      <c r="TQG1372" s="110"/>
      <c r="TQH1372" s="110"/>
      <c r="TQI1372" s="110"/>
      <c r="TQJ1372" s="110"/>
      <c r="TQK1372" s="110"/>
      <c r="TQL1372" s="110"/>
      <c r="TQM1372" s="110"/>
      <c r="TQN1372" s="110"/>
      <c r="TQO1372" s="110"/>
      <c r="TQP1372" s="110"/>
      <c r="TQQ1372" s="110"/>
      <c r="TQR1372" s="110"/>
      <c r="TQS1372" s="110"/>
      <c r="TQT1372" s="110"/>
      <c r="TQU1372" s="110"/>
      <c r="TQV1372" s="110"/>
      <c r="TQW1372" s="110"/>
      <c r="TQX1372" s="110"/>
      <c r="TQY1372" s="110"/>
      <c r="TQZ1372" s="110"/>
      <c r="TRA1372" s="110"/>
      <c r="TRB1372" s="110"/>
      <c r="TRC1372" s="110"/>
      <c r="TRD1372" s="110"/>
      <c r="TRE1372" s="110"/>
      <c r="TRF1372" s="110"/>
      <c r="TRG1372" s="110"/>
      <c r="TRH1372" s="110"/>
      <c r="TRI1372" s="110"/>
      <c r="TRJ1372" s="110"/>
      <c r="TRK1372" s="110"/>
      <c r="TRL1372" s="110"/>
      <c r="TRM1372" s="110"/>
      <c r="TRN1372" s="110"/>
      <c r="TRO1372" s="110"/>
      <c r="TRP1372" s="110"/>
      <c r="TRQ1372" s="110"/>
      <c r="TRR1372" s="110"/>
      <c r="TRS1372" s="110"/>
      <c r="TRT1372" s="110"/>
      <c r="TRU1372" s="110"/>
      <c r="TRV1372" s="110"/>
      <c r="TRW1372" s="110"/>
      <c r="TRX1372" s="110"/>
      <c r="TRY1372" s="110"/>
      <c r="TRZ1372" s="110"/>
      <c r="TSA1372" s="110"/>
      <c r="TSB1372" s="110"/>
      <c r="TSC1372" s="110"/>
      <c r="TSD1372" s="110"/>
      <c r="TSE1372" s="110"/>
      <c r="TSF1372" s="110"/>
      <c r="TSG1372" s="110"/>
      <c r="TSH1372" s="110"/>
      <c r="TSI1372" s="110"/>
      <c r="TSJ1372" s="110"/>
      <c r="TSK1372" s="110"/>
      <c r="TSL1372" s="110"/>
      <c r="TSM1372" s="110"/>
      <c r="TSN1372" s="110"/>
      <c r="TSO1372" s="110"/>
      <c r="TSP1372" s="110"/>
      <c r="TSQ1372" s="110"/>
      <c r="TSR1372" s="110"/>
      <c r="TSS1372" s="110"/>
      <c r="TST1372" s="110"/>
      <c r="TSU1372" s="110"/>
      <c r="TSV1372" s="110"/>
      <c r="TSW1372" s="110"/>
      <c r="TSX1372" s="110"/>
      <c r="TSY1372" s="110"/>
      <c r="TSZ1372" s="110"/>
      <c r="TTA1372" s="110"/>
      <c r="TTB1372" s="110"/>
      <c r="TTC1372" s="110"/>
      <c r="TTD1372" s="110"/>
      <c r="TTE1372" s="110"/>
      <c r="TTF1372" s="110"/>
      <c r="TTG1372" s="110"/>
      <c r="TTH1372" s="110"/>
      <c r="TTI1372" s="110"/>
      <c r="TTJ1372" s="110"/>
      <c r="TTK1372" s="110"/>
      <c r="TTL1372" s="110"/>
      <c r="TTM1372" s="110"/>
      <c r="TTN1372" s="110"/>
      <c r="TTO1372" s="110"/>
      <c r="TTP1372" s="110"/>
      <c r="TTQ1372" s="110"/>
      <c r="TTR1372" s="110"/>
      <c r="TTS1372" s="110"/>
      <c r="TTT1372" s="110"/>
      <c r="TTU1372" s="110"/>
      <c r="TTV1372" s="110"/>
      <c r="TTW1372" s="110"/>
      <c r="TTX1372" s="110"/>
      <c r="TTY1372" s="110"/>
      <c r="TTZ1372" s="110"/>
      <c r="TUA1372" s="110"/>
      <c r="TUB1372" s="110"/>
      <c r="TUC1372" s="110"/>
      <c r="TUD1372" s="110"/>
      <c r="TUE1372" s="110"/>
      <c r="TUF1372" s="110"/>
      <c r="TUG1372" s="110"/>
      <c r="TUH1372" s="110"/>
      <c r="TUI1372" s="110"/>
      <c r="TUJ1372" s="110"/>
      <c r="TUK1372" s="110"/>
      <c r="TUL1372" s="110"/>
      <c r="TUM1372" s="110"/>
      <c r="TUN1372" s="110"/>
      <c r="TUO1372" s="110"/>
      <c r="TUP1372" s="110"/>
      <c r="TUQ1372" s="110"/>
      <c r="TUR1372" s="110"/>
      <c r="TUS1372" s="110"/>
      <c r="TUT1372" s="110"/>
      <c r="TUU1372" s="110"/>
      <c r="TUV1372" s="110"/>
      <c r="TUW1372" s="110"/>
      <c r="TUX1372" s="110"/>
      <c r="TUY1372" s="110"/>
      <c r="TUZ1372" s="110"/>
      <c r="TVA1372" s="110"/>
      <c r="TVB1372" s="110"/>
      <c r="TVC1372" s="110"/>
      <c r="TVD1372" s="110"/>
      <c r="TVE1372" s="110"/>
      <c r="TVF1372" s="110"/>
      <c r="TVG1372" s="110"/>
      <c r="TVH1372" s="110"/>
      <c r="TVI1372" s="110"/>
      <c r="TVJ1372" s="110"/>
      <c r="TVK1372" s="110"/>
      <c r="TVL1372" s="110"/>
      <c r="TVM1372" s="110"/>
      <c r="TVN1372" s="110"/>
      <c r="TVO1372" s="110"/>
      <c r="TVP1372" s="110"/>
      <c r="TVQ1372" s="110"/>
      <c r="TVR1372" s="110"/>
      <c r="TVS1372" s="110"/>
      <c r="TVT1372" s="110"/>
      <c r="TVU1372" s="110"/>
      <c r="TVV1372" s="110"/>
      <c r="TVW1372" s="110"/>
      <c r="TVX1372" s="110"/>
      <c r="TVY1372" s="110"/>
      <c r="TVZ1372" s="110"/>
      <c r="TWA1372" s="110"/>
      <c r="TWB1372" s="110"/>
      <c r="TWC1372" s="110"/>
      <c r="TWD1372" s="110"/>
      <c r="TWE1372" s="110"/>
      <c r="TWF1372" s="110"/>
      <c r="TWG1372" s="110"/>
      <c r="TWH1372" s="110"/>
      <c r="TWI1372" s="110"/>
      <c r="TWJ1372" s="110"/>
      <c r="TWK1372" s="110"/>
      <c r="TWL1372" s="110"/>
      <c r="TWM1372" s="110"/>
      <c r="TWN1372" s="110"/>
      <c r="TWO1372" s="110"/>
      <c r="TWP1372" s="110"/>
      <c r="TWQ1372" s="110"/>
      <c r="TWR1372" s="110"/>
      <c r="TWS1372" s="110"/>
      <c r="TWT1372" s="110"/>
      <c r="TWU1372" s="110"/>
      <c r="TWV1372" s="110"/>
      <c r="TWW1372" s="110"/>
      <c r="TWX1372" s="110"/>
      <c r="TWY1372" s="110"/>
      <c r="TWZ1372" s="110"/>
      <c r="TXA1372" s="110"/>
      <c r="TXB1372" s="110"/>
      <c r="TXC1372" s="110"/>
      <c r="TXD1372" s="110"/>
      <c r="TXE1372" s="110"/>
      <c r="TXF1372" s="110"/>
      <c r="TXG1372" s="110"/>
      <c r="TXH1372" s="110"/>
      <c r="TXI1372" s="110"/>
      <c r="TXJ1372" s="110"/>
      <c r="TXK1372" s="110"/>
      <c r="TXL1372" s="110"/>
      <c r="TXM1372" s="110"/>
      <c r="TXN1372" s="110"/>
      <c r="TXO1372" s="110"/>
      <c r="TXP1372" s="110"/>
      <c r="TXQ1372" s="110"/>
      <c r="TXR1372" s="110"/>
      <c r="TXS1372" s="110"/>
      <c r="TXT1372" s="110"/>
      <c r="TXU1372" s="110"/>
      <c r="TXV1372" s="110"/>
      <c r="TXW1372" s="110"/>
      <c r="TXX1372" s="110"/>
      <c r="TXY1372" s="110"/>
      <c r="TXZ1372" s="110"/>
      <c r="TYA1372" s="110"/>
      <c r="TYB1372" s="110"/>
      <c r="TYC1372" s="110"/>
      <c r="TYD1372" s="110"/>
      <c r="TYE1372" s="110"/>
      <c r="TYF1372" s="110"/>
      <c r="TYG1372" s="110"/>
      <c r="TYH1372" s="110"/>
      <c r="TYI1372" s="110"/>
      <c r="TYJ1372" s="110"/>
      <c r="TYK1372" s="110"/>
      <c r="TYL1372" s="110"/>
      <c r="TYM1372" s="110"/>
      <c r="TYN1372" s="110"/>
      <c r="TYO1372" s="110"/>
      <c r="TYP1372" s="110"/>
      <c r="TYQ1372" s="110"/>
      <c r="TYR1372" s="110"/>
      <c r="TYS1372" s="110"/>
      <c r="TYT1372" s="110"/>
      <c r="TYU1372" s="110"/>
      <c r="TYV1372" s="110"/>
      <c r="TYW1372" s="110"/>
      <c r="TYX1372" s="110"/>
      <c r="TYY1372" s="110"/>
      <c r="TYZ1372" s="110"/>
      <c r="TZA1372" s="110"/>
      <c r="TZB1372" s="110"/>
      <c r="TZC1372" s="110"/>
      <c r="TZD1372" s="110"/>
      <c r="TZE1372" s="110"/>
      <c r="TZF1372" s="110"/>
      <c r="TZG1372" s="110"/>
      <c r="TZH1372" s="110"/>
      <c r="TZI1372" s="110"/>
      <c r="TZJ1372" s="110"/>
      <c r="TZK1372" s="110"/>
      <c r="TZL1372" s="110"/>
      <c r="TZM1372" s="110"/>
      <c r="TZN1372" s="110"/>
      <c r="TZO1372" s="110"/>
      <c r="TZP1372" s="110"/>
      <c r="TZQ1372" s="110"/>
      <c r="TZR1372" s="110"/>
      <c r="TZS1372" s="110"/>
      <c r="TZT1372" s="110"/>
      <c r="TZU1372" s="110"/>
      <c r="TZV1372" s="110"/>
      <c r="TZW1372" s="110"/>
      <c r="TZX1372" s="110"/>
      <c r="TZY1372" s="110"/>
      <c r="TZZ1372" s="110"/>
      <c r="UAA1372" s="110"/>
      <c r="UAB1372" s="110"/>
      <c r="UAC1372" s="110"/>
      <c r="UAD1372" s="110"/>
      <c r="UAE1372" s="110"/>
      <c r="UAF1372" s="110"/>
      <c r="UAG1372" s="110"/>
      <c r="UAH1372" s="110"/>
      <c r="UAI1372" s="110"/>
      <c r="UAJ1372" s="110"/>
      <c r="UAK1372" s="110"/>
      <c r="UAL1372" s="110"/>
      <c r="UAM1372" s="110"/>
      <c r="UAN1372" s="110"/>
      <c r="UAO1372" s="110"/>
      <c r="UAP1372" s="110"/>
      <c r="UAQ1372" s="110"/>
      <c r="UAR1372" s="110"/>
      <c r="UAS1372" s="110"/>
      <c r="UAT1372" s="110"/>
      <c r="UAU1372" s="110"/>
      <c r="UAV1372" s="110"/>
      <c r="UAW1372" s="110"/>
      <c r="UAX1372" s="110"/>
      <c r="UAY1372" s="110"/>
      <c r="UAZ1372" s="110"/>
      <c r="UBA1372" s="110"/>
      <c r="UBB1372" s="110"/>
      <c r="UBC1372" s="110"/>
      <c r="UBD1372" s="110"/>
      <c r="UBE1372" s="110"/>
      <c r="UBF1372" s="110"/>
      <c r="UBG1372" s="110"/>
      <c r="UBH1372" s="110"/>
      <c r="UBI1372" s="110"/>
      <c r="UBJ1372" s="110"/>
      <c r="UBK1372" s="110"/>
      <c r="UBL1372" s="110"/>
      <c r="UBM1372" s="110"/>
      <c r="UBN1372" s="110"/>
      <c r="UBO1372" s="110"/>
      <c r="UBP1372" s="110"/>
      <c r="UBQ1372" s="110"/>
      <c r="UBR1372" s="110"/>
      <c r="UBS1372" s="110"/>
      <c r="UBT1372" s="110"/>
      <c r="UBU1372" s="110"/>
      <c r="UBV1372" s="110"/>
      <c r="UBW1372" s="110"/>
      <c r="UBX1372" s="110"/>
      <c r="UBY1372" s="110"/>
      <c r="UBZ1372" s="110"/>
      <c r="UCA1372" s="110"/>
      <c r="UCB1372" s="110"/>
      <c r="UCC1372" s="110"/>
      <c r="UCD1372" s="110"/>
      <c r="UCE1372" s="110"/>
      <c r="UCF1372" s="110"/>
      <c r="UCG1372" s="110"/>
      <c r="UCH1372" s="110"/>
      <c r="UCI1372" s="110"/>
      <c r="UCJ1372" s="110"/>
      <c r="UCK1372" s="110"/>
      <c r="UCL1372" s="110"/>
      <c r="UCM1372" s="110"/>
      <c r="UCN1372" s="110"/>
      <c r="UCO1372" s="110"/>
      <c r="UCP1372" s="110"/>
      <c r="UCQ1372" s="110"/>
      <c r="UCR1372" s="110"/>
      <c r="UCS1372" s="110"/>
      <c r="UCT1372" s="110"/>
      <c r="UCU1372" s="110"/>
      <c r="UCV1372" s="110"/>
      <c r="UCW1372" s="110"/>
      <c r="UCX1372" s="110"/>
      <c r="UCY1372" s="110"/>
      <c r="UCZ1372" s="110"/>
      <c r="UDA1372" s="110"/>
      <c r="UDB1372" s="110"/>
      <c r="UDC1372" s="110"/>
      <c r="UDD1372" s="110"/>
      <c r="UDE1372" s="110"/>
      <c r="UDF1372" s="110"/>
      <c r="UDG1372" s="110"/>
      <c r="UDH1372" s="110"/>
      <c r="UDI1372" s="110"/>
      <c r="UDJ1372" s="110"/>
      <c r="UDK1372" s="110"/>
      <c r="UDL1372" s="110"/>
      <c r="UDM1372" s="110"/>
      <c r="UDN1372" s="110"/>
      <c r="UDO1372" s="110"/>
      <c r="UDP1372" s="110"/>
      <c r="UDQ1372" s="110"/>
      <c r="UDR1372" s="110"/>
      <c r="UDS1372" s="110"/>
      <c r="UDT1372" s="110"/>
      <c r="UDU1372" s="110"/>
      <c r="UDV1372" s="110"/>
      <c r="UDW1372" s="110"/>
      <c r="UDX1372" s="110"/>
      <c r="UDY1372" s="110"/>
      <c r="UDZ1372" s="110"/>
      <c r="UEA1372" s="110"/>
      <c r="UEB1372" s="110"/>
      <c r="UEC1372" s="110"/>
      <c r="UED1372" s="110"/>
      <c r="UEE1372" s="110"/>
      <c r="UEF1372" s="110"/>
      <c r="UEG1372" s="110"/>
      <c r="UEH1372" s="110"/>
      <c r="UEI1372" s="110"/>
      <c r="UEJ1372" s="110"/>
      <c r="UEK1372" s="110"/>
      <c r="UEL1372" s="110"/>
      <c r="UEM1372" s="110"/>
      <c r="UEN1372" s="110"/>
      <c r="UEO1372" s="110"/>
      <c r="UEP1372" s="110"/>
      <c r="UEQ1372" s="110"/>
      <c r="UER1372" s="110"/>
      <c r="UES1372" s="110"/>
      <c r="UET1372" s="110"/>
      <c r="UEU1372" s="110"/>
      <c r="UEV1372" s="110"/>
      <c r="UEW1372" s="110"/>
      <c r="UEX1372" s="110"/>
      <c r="UEY1372" s="110"/>
      <c r="UEZ1372" s="110"/>
      <c r="UFA1372" s="110"/>
      <c r="UFB1372" s="110"/>
      <c r="UFC1372" s="110"/>
      <c r="UFD1372" s="110"/>
      <c r="UFE1372" s="110"/>
      <c r="UFF1372" s="110"/>
      <c r="UFG1372" s="110"/>
      <c r="UFH1372" s="110"/>
      <c r="UFI1372" s="110"/>
      <c r="UFJ1372" s="110"/>
      <c r="UFK1372" s="110"/>
      <c r="UFL1372" s="110"/>
      <c r="UFM1372" s="110"/>
      <c r="UFN1372" s="110"/>
      <c r="UFO1372" s="110"/>
      <c r="UFP1372" s="110"/>
      <c r="UFQ1372" s="110"/>
      <c r="UFR1372" s="110"/>
      <c r="UFS1372" s="110"/>
      <c r="UFT1372" s="110"/>
      <c r="UFU1372" s="110"/>
      <c r="UFV1372" s="110"/>
      <c r="UFW1372" s="110"/>
      <c r="UFX1372" s="110"/>
      <c r="UFY1372" s="110"/>
      <c r="UFZ1372" s="110"/>
      <c r="UGA1372" s="110"/>
      <c r="UGB1372" s="110"/>
      <c r="UGC1372" s="110"/>
      <c r="UGD1372" s="110"/>
      <c r="UGE1372" s="110"/>
      <c r="UGF1372" s="110"/>
      <c r="UGG1372" s="110"/>
      <c r="UGH1372" s="110"/>
      <c r="UGI1372" s="110"/>
      <c r="UGJ1372" s="110"/>
      <c r="UGK1372" s="110"/>
      <c r="UGL1372" s="110"/>
      <c r="UGM1372" s="110"/>
      <c r="UGN1372" s="110"/>
      <c r="UGO1372" s="110"/>
      <c r="UGP1372" s="110"/>
      <c r="UGQ1372" s="110"/>
      <c r="UGR1372" s="110"/>
      <c r="UGS1372" s="110"/>
      <c r="UGT1372" s="110"/>
      <c r="UGU1372" s="110"/>
      <c r="UGV1372" s="110"/>
      <c r="UGW1372" s="110"/>
      <c r="UGX1372" s="110"/>
      <c r="UGY1372" s="110"/>
      <c r="UGZ1372" s="110"/>
      <c r="UHA1372" s="110"/>
      <c r="UHB1372" s="110"/>
      <c r="UHC1372" s="110"/>
      <c r="UHD1372" s="110"/>
      <c r="UHE1372" s="110"/>
      <c r="UHF1372" s="110"/>
      <c r="UHG1372" s="110"/>
      <c r="UHH1372" s="110"/>
      <c r="UHI1372" s="110"/>
      <c r="UHJ1372" s="110"/>
      <c r="UHK1372" s="110"/>
      <c r="UHL1372" s="110"/>
      <c r="UHM1372" s="110"/>
      <c r="UHN1372" s="110"/>
      <c r="UHO1372" s="110"/>
      <c r="UHP1372" s="110"/>
      <c r="UHQ1372" s="110"/>
      <c r="UHR1372" s="110"/>
      <c r="UHS1372" s="110"/>
      <c r="UHT1372" s="110"/>
      <c r="UHU1372" s="110"/>
      <c r="UHV1372" s="110"/>
      <c r="UHW1372" s="110"/>
      <c r="UHX1372" s="110"/>
      <c r="UHY1372" s="110"/>
      <c r="UHZ1372" s="110"/>
      <c r="UIA1372" s="110"/>
      <c r="UIB1372" s="110"/>
      <c r="UIC1372" s="110"/>
      <c r="UID1372" s="110"/>
      <c r="UIE1372" s="110"/>
      <c r="UIF1372" s="110"/>
      <c r="UIG1372" s="110"/>
      <c r="UIH1372" s="110"/>
      <c r="UII1372" s="110"/>
      <c r="UIJ1372" s="110"/>
      <c r="UIK1372" s="110"/>
      <c r="UIL1372" s="110"/>
      <c r="UIM1372" s="110"/>
      <c r="UIN1372" s="110"/>
      <c r="UIO1372" s="110"/>
      <c r="UIP1372" s="110"/>
      <c r="UIQ1372" s="110"/>
      <c r="UIR1372" s="110"/>
      <c r="UIS1372" s="110"/>
      <c r="UIT1372" s="110"/>
      <c r="UIU1372" s="110"/>
      <c r="UIV1372" s="110"/>
      <c r="UIW1372" s="110"/>
      <c r="UIX1372" s="110"/>
      <c r="UIY1372" s="110"/>
      <c r="UIZ1372" s="110"/>
      <c r="UJA1372" s="110"/>
      <c r="UJB1372" s="110"/>
      <c r="UJC1372" s="110"/>
      <c r="UJD1372" s="110"/>
      <c r="UJE1372" s="110"/>
      <c r="UJF1372" s="110"/>
      <c r="UJG1372" s="110"/>
      <c r="UJH1372" s="110"/>
      <c r="UJI1372" s="110"/>
      <c r="UJJ1372" s="110"/>
      <c r="UJK1372" s="110"/>
      <c r="UJL1372" s="110"/>
      <c r="UJM1372" s="110"/>
      <c r="UJN1372" s="110"/>
      <c r="UJO1372" s="110"/>
      <c r="UJP1372" s="110"/>
      <c r="UJQ1372" s="110"/>
      <c r="UJR1372" s="110"/>
      <c r="UJS1372" s="110"/>
      <c r="UJT1372" s="110"/>
      <c r="UJU1372" s="110"/>
      <c r="UJV1372" s="110"/>
      <c r="UJW1372" s="110"/>
      <c r="UJX1372" s="110"/>
      <c r="UJY1372" s="110"/>
      <c r="UJZ1372" s="110"/>
      <c r="UKA1372" s="110"/>
      <c r="UKB1372" s="110"/>
      <c r="UKC1372" s="110"/>
      <c r="UKD1372" s="110"/>
      <c r="UKE1372" s="110"/>
      <c r="UKF1372" s="110"/>
      <c r="UKG1372" s="110"/>
      <c r="UKH1372" s="110"/>
      <c r="UKI1372" s="110"/>
      <c r="UKJ1372" s="110"/>
      <c r="UKK1372" s="110"/>
      <c r="UKL1372" s="110"/>
      <c r="UKM1372" s="110"/>
      <c r="UKN1372" s="110"/>
      <c r="UKO1372" s="110"/>
      <c r="UKP1372" s="110"/>
      <c r="UKQ1372" s="110"/>
      <c r="UKR1372" s="110"/>
      <c r="UKS1372" s="110"/>
      <c r="UKT1372" s="110"/>
      <c r="UKU1372" s="110"/>
      <c r="UKV1372" s="110"/>
      <c r="UKW1372" s="110"/>
      <c r="UKX1372" s="110"/>
      <c r="UKY1372" s="110"/>
      <c r="UKZ1372" s="110"/>
      <c r="ULA1372" s="110"/>
      <c r="ULB1372" s="110"/>
      <c r="ULC1372" s="110"/>
      <c r="ULD1372" s="110"/>
      <c r="ULE1372" s="110"/>
      <c r="ULF1372" s="110"/>
      <c r="ULG1372" s="110"/>
      <c r="ULH1372" s="110"/>
      <c r="ULI1372" s="110"/>
      <c r="ULJ1372" s="110"/>
      <c r="ULK1372" s="110"/>
      <c r="ULL1372" s="110"/>
      <c r="ULM1372" s="110"/>
      <c r="ULN1372" s="110"/>
      <c r="ULO1372" s="110"/>
      <c r="ULP1372" s="110"/>
      <c r="ULQ1372" s="110"/>
      <c r="ULR1372" s="110"/>
      <c r="ULS1372" s="110"/>
      <c r="ULT1372" s="110"/>
      <c r="ULU1372" s="110"/>
      <c r="ULV1372" s="110"/>
      <c r="ULW1372" s="110"/>
      <c r="ULX1372" s="110"/>
      <c r="ULY1372" s="110"/>
      <c r="ULZ1372" s="110"/>
      <c r="UMA1372" s="110"/>
      <c r="UMB1372" s="110"/>
      <c r="UMC1372" s="110"/>
      <c r="UMD1372" s="110"/>
      <c r="UME1372" s="110"/>
      <c r="UMF1372" s="110"/>
      <c r="UMG1372" s="110"/>
      <c r="UMH1372" s="110"/>
      <c r="UMI1372" s="110"/>
      <c r="UMJ1372" s="110"/>
      <c r="UMK1372" s="110"/>
      <c r="UML1372" s="110"/>
      <c r="UMM1372" s="110"/>
      <c r="UMN1372" s="110"/>
      <c r="UMO1372" s="110"/>
      <c r="UMP1372" s="110"/>
      <c r="UMQ1372" s="110"/>
      <c r="UMR1372" s="110"/>
      <c r="UMS1372" s="110"/>
      <c r="UMT1372" s="110"/>
      <c r="UMU1372" s="110"/>
      <c r="UMV1372" s="110"/>
      <c r="UMW1372" s="110"/>
      <c r="UMX1372" s="110"/>
      <c r="UMY1372" s="110"/>
      <c r="UMZ1372" s="110"/>
      <c r="UNA1372" s="110"/>
      <c r="UNB1372" s="110"/>
      <c r="UNC1372" s="110"/>
      <c r="UND1372" s="110"/>
      <c r="UNE1372" s="110"/>
      <c r="UNF1372" s="110"/>
      <c r="UNG1372" s="110"/>
      <c r="UNH1372" s="110"/>
      <c r="UNI1372" s="110"/>
      <c r="UNJ1372" s="110"/>
      <c r="UNK1372" s="110"/>
      <c r="UNL1372" s="110"/>
      <c r="UNM1372" s="110"/>
      <c r="UNN1372" s="110"/>
      <c r="UNO1372" s="110"/>
      <c r="UNP1372" s="110"/>
      <c r="UNQ1372" s="110"/>
      <c r="UNR1372" s="110"/>
      <c r="UNS1372" s="110"/>
      <c r="UNT1372" s="110"/>
      <c r="UNU1372" s="110"/>
      <c r="UNV1372" s="110"/>
      <c r="UNW1372" s="110"/>
      <c r="UNX1372" s="110"/>
      <c r="UNY1372" s="110"/>
      <c r="UNZ1372" s="110"/>
      <c r="UOA1372" s="110"/>
      <c r="UOB1372" s="110"/>
      <c r="UOC1372" s="110"/>
      <c r="UOD1372" s="110"/>
      <c r="UOE1372" s="110"/>
      <c r="UOF1372" s="110"/>
      <c r="UOG1372" s="110"/>
      <c r="UOH1372" s="110"/>
      <c r="UOI1372" s="110"/>
      <c r="UOJ1372" s="110"/>
      <c r="UOK1372" s="110"/>
      <c r="UOL1372" s="110"/>
      <c r="UOM1372" s="110"/>
      <c r="UON1372" s="110"/>
      <c r="UOO1372" s="110"/>
      <c r="UOP1372" s="110"/>
      <c r="UOQ1372" s="110"/>
      <c r="UOR1372" s="110"/>
      <c r="UOS1372" s="110"/>
      <c r="UOT1372" s="110"/>
      <c r="UOU1372" s="110"/>
      <c r="UOV1372" s="110"/>
      <c r="UOW1372" s="110"/>
      <c r="UOX1372" s="110"/>
      <c r="UOY1372" s="110"/>
      <c r="UOZ1372" s="110"/>
      <c r="UPA1372" s="110"/>
      <c r="UPB1372" s="110"/>
      <c r="UPC1372" s="110"/>
      <c r="UPD1372" s="110"/>
      <c r="UPE1372" s="110"/>
      <c r="UPF1372" s="110"/>
      <c r="UPG1372" s="110"/>
      <c r="UPH1372" s="110"/>
      <c r="UPI1372" s="110"/>
      <c r="UPJ1372" s="110"/>
      <c r="UPK1372" s="110"/>
      <c r="UPL1372" s="110"/>
      <c r="UPM1372" s="110"/>
      <c r="UPN1372" s="110"/>
      <c r="UPO1372" s="110"/>
      <c r="UPP1372" s="110"/>
      <c r="UPQ1372" s="110"/>
      <c r="UPR1372" s="110"/>
      <c r="UPS1372" s="110"/>
      <c r="UPT1372" s="110"/>
      <c r="UPU1372" s="110"/>
      <c r="UPV1372" s="110"/>
      <c r="UPW1372" s="110"/>
      <c r="UPX1372" s="110"/>
      <c r="UPY1372" s="110"/>
      <c r="UPZ1372" s="110"/>
      <c r="UQA1372" s="110"/>
      <c r="UQB1372" s="110"/>
      <c r="UQC1372" s="110"/>
      <c r="UQD1372" s="110"/>
      <c r="UQE1372" s="110"/>
      <c r="UQF1372" s="110"/>
      <c r="UQG1372" s="110"/>
      <c r="UQH1372" s="110"/>
      <c r="UQI1372" s="110"/>
      <c r="UQJ1372" s="110"/>
      <c r="UQK1372" s="110"/>
      <c r="UQL1372" s="110"/>
      <c r="UQM1372" s="110"/>
      <c r="UQN1372" s="110"/>
      <c r="UQO1372" s="110"/>
      <c r="UQP1372" s="110"/>
      <c r="UQQ1372" s="110"/>
      <c r="UQR1372" s="110"/>
      <c r="UQS1372" s="110"/>
      <c r="UQT1372" s="110"/>
      <c r="UQU1372" s="110"/>
      <c r="UQV1372" s="110"/>
      <c r="UQW1372" s="110"/>
      <c r="UQX1372" s="110"/>
      <c r="UQY1372" s="110"/>
      <c r="UQZ1372" s="110"/>
      <c r="URA1372" s="110"/>
      <c r="URB1372" s="110"/>
      <c r="URC1372" s="110"/>
      <c r="URD1372" s="110"/>
      <c r="URE1372" s="110"/>
      <c r="URF1372" s="110"/>
      <c r="URG1372" s="110"/>
      <c r="URH1372" s="110"/>
      <c r="URI1372" s="110"/>
      <c r="URJ1372" s="110"/>
      <c r="URK1372" s="110"/>
      <c r="URL1372" s="110"/>
      <c r="URM1372" s="110"/>
      <c r="URN1372" s="110"/>
      <c r="URO1372" s="110"/>
      <c r="URP1372" s="110"/>
      <c r="URQ1372" s="110"/>
      <c r="URR1372" s="110"/>
      <c r="URS1372" s="110"/>
      <c r="URT1372" s="110"/>
      <c r="URU1372" s="110"/>
      <c r="URV1372" s="110"/>
      <c r="URW1372" s="110"/>
      <c r="URX1372" s="110"/>
      <c r="URY1372" s="110"/>
      <c r="URZ1372" s="110"/>
      <c r="USA1372" s="110"/>
      <c r="USB1372" s="110"/>
      <c r="USC1372" s="110"/>
      <c r="USD1372" s="110"/>
      <c r="USE1372" s="110"/>
      <c r="USF1372" s="110"/>
      <c r="USG1372" s="110"/>
      <c r="USH1372" s="110"/>
      <c r="USI1372" s="110"/>
      <c r="USJ1372" s="110"/>
      <c r="USK1372" s="110"/>
      <c r="USL1372" s="110"/>
      <c r="USM1372" s="110"/>
      <c r="USN1372" s="110"/>
      <c r="USO1372" s="110"/>
      <c r="USP1372" s="110"/>
      <c r="USQ1372" s="110"/>
      <c r="USR1372" s="110"/>
      <c r="USS1372" s="110"/>
      <c r="UST1372" s="110"/>
      <c r="USU1372" s="110"/>
      <c r="USV1372" s="110"/>
      <c r="USW1372" s="110"/>
      <c r="USX1372" s="110"/>
      <c r="USY1372" s="110"/>
      <c r="USZ1372" s="110"/>
      <c r="UTA1372" s="110"/>
      <c r="UTB1372" s="110"/>
      <c r="UTC1372" s="110"/>
      <c r="UTD1372" s="110"/>
      <c r="UTE1372" s="110"/>
      <c r="UTF1372" s="110"/>
      <c r="UTG1372" s="110"/>
      <c r="UTH1372" s="110"/>
      <c r="UTI1372" s="110"/>
      <c r="UTJ1372" s="110"/>
      <c r="UTK1372" s="110"/>
      <c r="UTL1372" s="110"/>
      <c r="UTM1372" s="110"/>
      <c r="UTN1372" s="110"/>
      <c r="UTO1372" s="110"/>
      <c r="UTP1372" s="110"/>
      <c r="UTQ1372" s="110"/>
      <c r="UTR1372" s="110"/>
      <c r="UTS1372" s="110"/>
      <c r="UTT1372" s="110"/>
      <c r="UTU1372" s="110"/>
      <c r="UTV1372" s="110"/>
      <c r="UTW1372" s="110"/>
      <c r="UTX1372" s="110"/>
      <c r="UTY1372" s="110"/>
      <c r="UTZ1372" s="110"/>
      <c r="UUA1372" s="110"/>
      <c r="UUB1372" s="110"/>
      <c r="UUC1372" s="110"/>
      <c r="UUD1372" s="110"/>
      <c r="UUE1372" s="110"/>
      <c r="UUF1372" s="110"/>
      <c r="UUG1372" s="110"/>
      <c r="UUH1372" s="110"/>
      <c r="UUI1372" s="110"/>
      <c r="UUJ1372" s="110"/>
      <c r="UUK1372" s="110"/>
      <c r="UUL1372" s="110"/>
      <c r="UUM1372" s="110"/>
      <c r="UUN1372" s="110"/>
      <c r="UUO1372" s="110"/>
      <c r="UUP1372" s="110"/>
      <c r="UUQ1372" s="110"/>
      <c r="UUR1372" s="110"/>
      <c r="UUS1372" s="110"/>
      <c r="UUT1372" s="110"/>
      <c r="UUU1372" s="110"/>
      <c r="UUV1372" s="110"/>
      <c r="UUW1372" s="110"/>
      <c r="UUX1372" s="110"/>
      <c r="UUY1372" s="110"/>
      <c r="UUZ1372" s="110"/>
      <c r="UVA1372" s="110"/>
      <c r="UVB1372" s="110"/>
      <c r="UVC1372" s="110"/>
      <c r="UVD1372" s="110"/>
      <c r="UVE1372" s="110"/>
      <c r="UVF1372" s="110"/>
      <c r="UVG1372" s="110"/>
      <c r="UVH1372" s="110"/>
      <c r="UVI1372" s="110"/>
      <c r="UVJ1372" s="110"/>
      <c r="UVK1372" s="110"/>
      <c r="UVL1372" s="110"/>
      <c r="UVM1372" s="110"/>
      <c r="UVN1372" s="110"/>
      <c r="UVO1372" s="110"/>
      <c r="UVP1372" s="110"/>
      <c r="UVQ1372" s="110"/>
      <c r="UVR1372" s="110"/>
      <c r="UVS1372" s="110"/>
      <c r="UVT1372" s="110"/>
      <c r="UVU1372" s="110"/>
      <c r="UVV1372" s="110"/>
      <c r="UVW1372" s="110"/>
      <c r="UVX1372" s="110"/>
      <c r="UVY1372" s="110"/>
      <c r="UVZ1372" s="110"/>
      <c r="UWA1372" s="110"/>
      <c r="UWB1372" s="110"/>
      <c r="UWC1372" s="110"/>
      <c r="UWD1372" s="110"/>
      <c r="UWE1372" s="110"/>
      <c r="UWF1372" s="110"/>
      <c r="UWG1372" s="110"/>
      <c r="UWH1372" s="110"/>
      <c r="UWI1372" s="110"/>
      <c r="UWJ1372" s="110"/>
      <c r="UWK1372" s="110"/>
      <c r="UWL1372" s="110"/>
      <c r="UWM1372" s="110"/>
      <c r="UWN1372" s="110"/>
      <c r="UWO1372" s="110"/>
      <c r="UWP1372" s="110"/>
      <c r="UWQ1372" s="110"/>
      <c r="UWR1372" s="110"/>
      <c r="UWS1372" s="110"/>
      <c r="UWT1372" s="110"/>
      <c r="UWU1372" s="110"/>
      <c r="UWV1372" s="110"/>
      <c r="UWW1372" s="110"/>
      <c r="UWX1372" s="110"/>
      <c r="UWY1372" s="110"/>
      <c r="UWZ1372" s="110"/>
      <c r="UXA1372" s="110"/>
      <c r="UXB1372" s="110"/>
      <c r="UXC1372" s="110"/>
      <c r="UXD1372" s="110"/>
      <c r="UXE1372" s="110"/>
      <c r="UXF1372" s="110"/>
      <c r="UXG1372" s="110"/>
      <c r="UXH1372" s="110"/>
      <c r="UXI1372" s="110"/>
      <c r="UXJ1372" s="110"/>
      <c r="UXK1372" s="110"/>
      <c r="UXL1372" s="110"/>
      <c r="UXM1372" s="110"/>
      <c r="UXN1372" s="110"/>
      <c r="UXO1372" s="110"/>
      <c r="UXP1372" s="110"/>
      <c r="UXQ1372" s="110"/>
      <c r="UXR1372" s="110"/>
      <c r="UXS1372" s="110"/>
      <c r="UXT1372" s="110"/>
      <c r="UXU1372" s="110"/>
      <c r="UXV1372" s="110"/>
      <c r="UXW1372" s="110"/>
      <c r="UXX1372" s="110"/>
      <c r="UXY1372" s="110"/>
      <c r="UXZ1372" s="110"/>
      <c r="UYA1372" s="110"/>
      <c r="UYB1372" s="110"/>
      <c r="UYC1372" s="110"/>
      <c r="UYD1372" s="110"/>
      <c r="UYE1372" s="110"/>
      <c r="UYF1372" s="110"/>
      <c r="UYG1372" s="110"/>
      <c r="UYH1372" s="110"/>
      <c r="UYI1372" s="110"/>
      <c r="UYJ1372" s="110"/>
      <c r="UYK1372" s="110"/>
      <c r="UYL1372" s="110"/>
      <c r="UYM1372" s="110"/>
      <c r="UYN1372" s="110"/>
      <c r="UYO1372" s="110"/>
      <c r="UYP1372" s="110"/>
      <c r="UYQ1372" s="110"/>
      <c r="UYR1372" s="110"/>
      <c r="UYS1372" s="110"/>
      <c r="UYT1372" s="110"/>
      <c r="UYU1372" s="110"/>
      <c r="UYV1372" s="110"/>
      <c r="UYW1372" s="110"/>
      <c r="UYX1372" s="110"/>
      <c r="UYY1372" s="110"/>
      <c r="UYZ1372" s="110"/>
      <c r="UZA1372" s="110"/>
      <c r="UZB1372" s="110"/>
      <c r="UZC1372" s="110"/>
      <c r="UZD1372" s="110"/>
      <c r="UZE1372" s="110"/>
      <c r="UZF1372" s="110"/>
      <c r="UZG1372" s="110"/>
      <c r="UZH1372" s="110"/>
      <c r="UZI1372" s="110"/>
      <c r="UZJ1372" s="110"/>
      <c r="UZK1372" s="110"/>
      <c r="UZL1372" s="110"/>
      <c r="UZM1372" s="110"/>
      <c r="UZN1372" s="110"/>
      <c r="UZO1372" s="110"/>
      <c r="UZP1372" s="110"/>
      <c r="UZQ1372" s="110"/>
      <c r="UZR1372" s="110"/>
      <c r="UZS1372" s="110"/>
      <c r="UZT1372" s="110"/>
      <c r="UZU1372" s="110"/>
      <c r="UZV1372" s="110"/>
      <c r="UZW1372" s="110"/>
      <c r="UZX1372" s="110"/>
      <c r="UZY1372" s="110"/>
      <c r="UZZ1372" s="110"/>
      <c r="VAA1372" s="110"/>
      <c r="VAB1372" s="110"/>
      <c r="VAC1372" s="110"/>
      <c r="VAD1372" s="110"/>
      <c r="VAE1372" s="110"/>
      <c r="VAF1372" s="110"/>
      <c r="VAG1372" s="110"/>
      <c r="VAH1372" s="110"/>
      <c r="VAI1372" s="110"/>
      <c r="VAJ1372" s="110"/>
      <c r="VAK1372" s="110"/>
      <c r="VAL1372" s="110"/>
      <c r="VAM1372" s="110"/>
      <c r="VAN1372" s="110"/>
      <c r="VAO1372" s="110"/>
      <c r="VAP1372" s="110"/>
      <c r="VAQ1372" s="110"/>
      <c r="VAR1372" s="110"/>
      <c r="VAS1372" s="110"/>
      <c r="VAT1372" s="110"/>
      <c r="VAU1372" s="110"/>
      <c r="VAV1372" s="110"/>
      <c r="VAW1372" s="110"/>
      <c r="VAX1372" s="110"/>
      <c r="VAY1372" s="110"/>
      <c r="VAZ1372" s="110"/>
      <c r="VBA1372" s="110"/>
      <c r="VBB1372" s="110"/>
      <c r="VBC1372" s="110"/>
      <c r="VBD1372" s="110"/>
      <c r="VBE1372" s="110"/>
      <c r="VBF1372" s="110"/>
      <c r="VBG1372" s="110"/>
      <c r="VBH1372" s="110"/>
      <c r="VBI1372" s="110"/>
      <c r="VBJ1372" s="110"/>
      <c r="VBK1372" s="110"/>
      <c r="VBL1372" s="110"/>
      <c r="VBM1372" s="110"/>
      <c r="VBN1372" s="110"/>
      <c r="VBO1372" s="110"/>
      <c r="VBP1372" s="110"/>
      <c r="VBQ1372" s="110"/>
      <c r="VBR1372" s="110"/>
      <c r="VBS1372" s="110"/>
      <c r="VBT1372" s="110"/>
      <c r="VBU1372" s="110"/>
      <c r="VBV1372" s="110"/>
      <c r="VBW1372" s="110"/>
      <c r="VBX1372" s="110"/>
      <c r="VBY1372" s="110"/>
      <c r="VBZ1372" s="110"/>
      <c r="VCA1372" s="110"/>
      <c r="VCB1372" s="110"/>
      <c r="VCC1372" s="110"/>
      <c r="VCD1372" s="110"/>
      <c r="VCE1372" s="110"/>
      <c r="VCF1372" s="110"/>
      <c r="VCG1372" s="110"/>
      <c r="VCH1372" s="110"/>
      <c r="VCI1372" s="110"/>
      <c r="VCJ1372" s="110"/>
      <c r="VCK1372" s="110"/>
      <c r="VCL1372" s="110"/>
      <c r="VCM1372" s="110"/>
      <c r="VCN1372" s="110"/>
      <c r="VCO1372" s="110"/>
      <c r="VCP1372" s="110"/>
      <c r="VCQ1372" s="110"/>
      <c r="VCR1372" s="110"/>
      <c r="VCS1372" s="110"/>
      <c r="VCT1372" s="110"/>
      <c r="VCU1372" s="110"/>
      <c r="VCV1372" s="110"/>
      <c r="VCW1372" s="110"/>
      <c r="VCX1372" s="110"/>
      <c r="VCY1372" s="110"/>
      <c r="VCZ1372" s="110"/>
      <c r="VDA1372" s="110"/>
      <c r="VDB1372" s="110"/>
      <c r="VDC1372" s="110"/>
      <c r="VDD1372" s="110"/>
      <c r="VDE1372" s="110"/>
      <c r="VDF1372" s="110"/>
      <c r="VDG1372" s="110"/>
      <c r="VDH1372" s="110"/>
      <c r="VDI1372" s="110"/>
      <c r="VDJ1372" s="110"/>
      <c r="VDK1372" s="110"/>
      <c r="VDL1372" s="110"/>
      <c r="VDM1372" s="110"/>
      <c r="VDN1372" s="110"/>
      <c r="VDO1372" s="110"/>
      <c r="VDP1372" s="110"/>
      <c r="VDQ1372" s="110"/>
      <c r="VDR1372" s="110"/>
      <c r="VDS1372" s="110"/>
      <c r="VDT1372" s="110"/>
      <c r="VDU1372" s="110"/>
      <c r="VDV1372" s="110"/>
      <c r="VDW1372" s="110"/>
      <c r="VDX1372" s="110"/>
      <c r="VDY1372" s="110"/>
      <c r="VDZ1372" s="110"/>
      <c r="VEA1372" s="110"/>
      <c r="VEB1372" s="110"/>
      <c r="VEC1372" s="110"/>
      <c r="VED1372" s="110"/>
      <c r="VEE1372" s="110"/>
      <c r="VEF1372" s="110"/>
      <c r="VEG1372" s="110"/>
      <c r="VEH1372" s="110"/>
      <c r="VEI1372" s="110"/>
      <c r="VEJ1372" s="110"/>
      <c r="VEK1372" s="110"/>
      <c r="VEL1372" s="110"/>
      <c r="VEM1372" s="110"/>
      <c r="VEN1372" s="110"/>
      <c r="VEO1372" s="110"/>
      <c r="VEP1372" s="110"/>
      <c r="VEQ1372" s="110"/>
      <c r="VER1372" s="110"/>
      <c r="VES1372" s="110"/>
      <c r="VET1372" s="110"/>
      <c r="VEU1372" s="110"/>
      <c r="VEV1372" s="110"/>
      <c r="VEW1372" s="110"/>
      <c r="VEX1372" s="110"/>
      <c r="VEY1372" s="110"/>
      <c r="VEZ1372" s="110"/>
      <c r="VFA1372" s="110"/>
      <c r="VFB1372" s="110"/>
      <c r="VFC1372" s="110"/>
      <c r="VFD1372" s="110"/>
      <c r="VFE1372" s="110"/>
      <c r="VFF1372" s="110"/>
      <c r="VFG1372" s="110"/>
      <c r="VFH1372" s="110"/>
      <c r="VFI1372" s="110"/>
      <c r="VFJ1372" s="110"/>
      <c r="VFK1372" s="110"/>
      <c r="VFL1372" s="110"/>
      <c r="VFM1372" s="110"/>
      <c r="VFN1372" s="110"/>
      <c r="VFO1372" s="110"/>
      <c r="VFP1372" s="110"/>
      <c r="VFQ1372" s="110"/>
      <c r="VFR1372" s="110"/>
      <c r="VFS1372" s="110"/>
      <c r="VFT1372" s="110"/>
      <c r="VFU1372" s="110"/>
      <c r="VFV1372" s="110"/>
      <c r="VFW1372" s="110"/>
      <c r="VFX1372" s="110"/>
      <c r="VFY1372" s="110"/>
      <c r="VFZ1372" s="110"/>
      <c r="VGA1372" s="110"/>
      <c r="VGB1372" s="110"/>
      <c r="VGC1372" s="110"/>
      <c r="VGD1372" s="110"/>
      <c r="VGE1372" s="110"/>
      <c r="VGF1372" s="110"/>
      <c r="VGG1372" s="110"/>
      <c r="VGH1372" s="110"/>
      <c r="VGI1372" s="110"/>
      <c r="VGJ1372" s="110"/>
      <c r="VGK1372" s="110"/>
      <c r="VGL1372" s="110"/>
      <c r="VGM1372" s="110"/>
      <c r="VGN1372" s="110"/>
      <c r="VGO1372" s="110"/>
      <c r="VGP1372" s="110"/>
      <c r="VGQ1372" s="110"/>
      <c r="VGR1372" s="110"/>
      <c r="VGS1372" s="110"/>
      <c r="VGT1372" s="110"/>
      <c r="VGU1372" s="110"/>
      <c r="VGV1372" s="110"/>
      <c r="VGW1372" s="110"/>
      <c r="VGX1372" s="110"/>
      <c r="VGY1372" s="110"/>
      <c r="VGZ1372" s="110"/>
      <c r="VHA1372" s="110"/>
      <c r="VHB1372" s="110"/>
      <c r="VHC1372" s="110"/>
      <c r="VHD1372" s="110"/>
      <c r="VHE1372" s="110"/>
      <c r="VHF1372" s="110"/>
      <c r="VHG1372" s="110"/>
      <c r="VHH1372" s="110"/>
      <c r="VHI1372" s="110"/>
      <c r="VHJ1372" s="110"/>
      <c r="VHK1372" s="110"/>
      <c r="VHL1372" s="110"/>
      <c r="VHM1372" s="110"/>
      <c r="VHN1372" s="110"/>
      <c r="VHO1372" s="110"/>
      <c r="VHP1372" s="110"/>
      <c r="VHQ1372" s="110"/>
      <c r="VHR1372" s="110"/>
      <c r="VHS1372" s="110"/>
      <c r="VHT1372" s="110"/>
      <c r="VHU1372" s="110"/>
      <c r="VHV1372" s="110"/>
      <c r="VHW1372" s="110"/>
      <c r="VHX1372" s="110"/>
      <c r="VHY1372" s="110"/>
      <c r="VHZ1372" s="110"/>
      <c r="VIA1372" s="110"/>
      <c r="VIB1372" s="110"/>
      <c r="VIC1372" s="110"/>
      <c r="VID1372" s="110"/>
      <c r="VIE1372" s="110"/>
      <c r="VIF1372" s="110"/>
      <c r="VIG1372" s="110"/>
      <c r="VIH1372" s="110"/>
      <c r="VII1372" s="110"/>
      <c r="VIJ1372" s="110"/>
      <c r="VIK1372" s="110"/>
      <c r="VIL1372" s="110"/>
      <c r="VIM1372" s="110"/>
      <c r="VIN1372" s="110"/>
      <c r="VIO1372" s="110"/>
      <c r="VIP1372" s="110"/>
      <c r="VIQ1372" s="110"/>
      <c r="VIR1372" s="110"/>
      <c r="VIS1372" s="110"/>
      <c r="VIT1372" s="110"/>
      <c r="VIU1372" s="110"/>
      <c r="VIV1372" s="110"/>
      <c r="VIW1372" s="110"/>
      <c r="VIX1372" s="110"/>
      <c r="VIY1372" s="110"/>
      <c r="VIZ1372" s="110"/>
      <c r="VJA1372" s="110"/>
      <c r="VJB1372" s="110"/>
      <c r="VJC1372" s="110"/>
      <c r="VJD1372" s="110"/>
      <c r="VJE1372" s="110"/>
      <c r="VJF1372" s="110"/>
      <c r="VJG1372" s="110"/>
      <c r="VJH1372" s="110"/>
      <c r="VJI1372" s="110"/>
      <c r="VJJ1372" s="110"/>
      <c r="VJK1372" s="110"/>
      <c r="VJL1372" s="110"/>
      <c r="VJM1372" s="110"/>
      <c r="VJN1372" s="110"/>
      <c r="VJO1372" s="110"/>
      <c r="VJP1372" s="110"/>
      <c r="VJQ1372" s="110"/>
      <c r="VJR1372" s="110"/>
      <c r="VJS1372" s="110"/>
      <c r="VJT1372" s="110"/>
      <c r="VJU1372" s="110"/>
      <c r="VJV1372" s="110"/>
      <c r="VJW1372" s="110"/>
      <c r="VJX1372" s="110"/>
      <c r="VJY1372" s="110"/>
      <c r="VJZ1372" s="110"/>
      <c r="VKA1372" s="110"/>
      <c r="VKB1372" s="110"/>
      <c r="VKC1372" s="110"/>
      <c r="VKD1372" s="110"/>
      <c r="VKE1372" s="110"/>
      <c r="VKF1372" s="110"/>
      <c r="VKG1372" s="110"/>
      <c r="VKH1372" s="110"/>
      <c r="VKI1372" s="110"/>
      <c r="VKJ1372" s="110"/>
      <c r="VKK1372" s="110"/>
      <c r="VKL1372" s="110"/>
      <c r="VKM1372" s="110"/>
      <c r="VKN1372" s="110"/>
      <c r="VKO1372" s="110"/>
      <c r="VKP1372" s="110"/>
      <c r="VKQ1372" s="110"/>
      <c r="VKR1372" s="110"/>
      <c r="VKS1372" s="110"/>
      <c r="VKT1372" s="110"/>
      <c r="VKU1372" s="110"/>
      <c r="VKV1372" s="110"/>
      <c r="VKW1372" s="110"/>
      <c r="VKX1372" s="110"/>
      <c r="VKY1372" s="110"/>
      <c r="VKZ1372" s="110"/>
      <c r="VLA1372" s="110"/>
      <c r="VLB1372" s="110"/>
      <c r="VLC1372" s="110"/>
      <c r="VLD1372" s="110"/>
      <c r="VLE1372" s="110"/>
      <c r="VLF1372" s="110"/>
      <c r="VLG1372" s="110"/>
      <c r="VLH1372" s="110"/>
      <c r="VLI1372" s="110"/>
      <c r="VLJ1372" s="110"/>
      <c r="VLK1372" s="110"/>
      <c r="VLL1372" s="110"/>
      <c r="VLM1372" s="110"/>
      <c r="VLN1372" s="110"/>
      <c r="VLO1372" s="110"/>
      <c r="VLP1372" s="110"/>
      <c r="VLQ1372" s="110"/>
      <c r="VLR1372" s="110"/>
      <c r="VLS1372" s="110"/>
      <c r="VLT1372" s="110"/>
      <c r="VLU1372" s="110"/>
      <c r="VLV1372" s="110"/>
      <c r="VLW1372" s="110"/>
      <c r="VLX1372" s="110"/>
      <c r="VLY1372" s="110"/>
      <c r="VLZ1372" s="110"/>
      <c r="VMA1372" s="110"/>
      <c r="VMB1372" s="110"/>
      <c r="VMC1372" s="110"/>
      <c r="VMD1372" s="110"/>
      <c r="VME1372" s="110"/>
      <c r="VMF1372" s="110"/>
      <c r="VMG1372" s="110"/>
      <c r="VMH1372" s="110"/>
      <c r="VMI1372" s="110"/>
      <c r="VMJ1372" s="110"/>
      <c r="VMK1372" s="110"/>
      <c r="VML1372" s="110"/>
      <c r="VMM1372" s="110"/>
      <c r="VMN1372" s="110"/>
      <c r="VMO1372" s="110"/>
      <c r="VMP1372" s="110"/>
      <c r="VMQ1372" s="110"/>
      <c r="VMR1372" s="110"/>
      <c r="VMS1372" s="110"/>
      <c r="VMT1372" s="110"/>
      <c r="VMU1372" s="110"/>
      <c r="VMV1372" s="110"/>
      <c r="VMW1372" s="110"/>
      <c r="VMX1372" s="110"/>
      <c r="VMY1372" s="110"/>
      <c r="VMZ1372" s="110"/>
      <c r="VNA1372" s="110"/>
      <c r="VNB1372" s="110"/>
      <c r="VNC1372" s="110"/>
      <c r="VND1372" s="110"/>
      <c r="VNE1372" s="110"/>
      <c r="VNF1372" s="110"/>
      <c r="VNG1372" s="110"/>
      <c r="VNH1372" s="110"/>
      <c r="VNI1372" s="110"/>
      <c r="VNJ1372" s="110"/>
      <c r="VNK1372" s="110"/>
      <c r="VNL1372" s="110"/>
      <c r="VNM1372" s="110"/>
      <c r="VNN1372" s="110"/>
      <c r="VNO1372" s="110"/>
      <c r="VNP1372" s="110"/>
      <c r="VNQ1372" s="110"/>
      <c r="VNR1372" s="110"/>
      <c r="VNS1372" s="110"/>
      <c r="VNT1372" s="110"/>
      <c r="VNU1372" s="110"/>
      <c r="VNV1372" s="110"/>
      <c r="VNW1372" s="110"/>
      <c r="VNX1372" s="110"/>
      <c r="VNY1372" s="110"/>
      <c r="VNZ1372" s="110"/>
      <c r="VOA1372" s="110"/>
      <c r="VOB1372" s="110"/>
      <c r="VOC1372" s="110"/>
      <c r="VOD1372" s="110"/>
      <c r="VOE1372" s="110"/>
      <c r="VOF1372" s="110"/>
      <c r="VOG1372" s="110"/>
      <c r="VOH1372" s="110"/>
      <c r="VOI1372" s="110"/>
      <c r="VOJ1372" s="110"/>
      <c r="VOK1372" s="110"/>
      <c r="VOL1372" s="110"/>
      <c r="VOM1372" s="110"/>
      <c r="VON1372" s="110"/>
      <c r="VOO1372" s="110"/>
      <c r="VOP1372" s="110"/>
      <c r="VOQ1372" s="110"/>
      <c r="VOR1372" s="110"/>
      <c r="VOS1372" s="110"/>
      <c r="VOT1372" s="110"/>
      <c r="VOU1372" s="110"/>
      <c r="VOV1372" s="110"/>
      <c r="VOW1372" s="110"/>
      <c r="VOX1372" s="110"/>
      <c r="VOY1372" s="110"/>
      <c r="VOZ1372" s="110"/>
      <c r="VPA1372" s="110"/>
      <c r="VPB1372" s="110"/>
      <c r="VPC1372" s="110"/>
      <c r="VPD1372" s="110"/>
      <c r="VPE1372" s="110"/>
      <c r="VPF1372" s="110"/>
      <c r="VPG1372" s="110"/>
      <c r="VPH1372" s="110"/>
      <c r="VPI1372" s="110"/>
      <c r="VPJ1372" s="110"/>
      <c r="VPK1372" s="110"/>
      <c r="VPL1372" s="110"/>
      <c r="VPM1372" s="110"/>
      <c r="VPN1372" s="110"/>
      <c r="VPO1372" s="110"/>
      <c r="VPP1372" s="110"/>
      <c r="VPQ1372" s="110"/>
      <c r="VPR1372" s="110"/>
      <c r="VPS1372" s="110"/>
      <c r="VPT1372" s="110"/>
      <c r="VPU1372" s="110"/>
      <c r="VPV1372" s="110"/>
      <c r="VPW1372" s="110"/>
      <c r="VPX1372" s="110"/>
      <c r="VPY1372" s="110"/>
      <c r="VPZ1372" s="110"/>
      <c r="VQA1372" s="110"/>
      <c r="VQB1372" s="110"/>
      <c r="VQC1372" s="110"/>
      <c r="VQD1372" s="110"/>
      <c r="VQE1372" s="110"/>
      <c r="VQF1372" s="110"/>
      <c r="VQG1372" s="110"/>
      <c r="VQH1372" s="110"/>
      <c r="VQI1372" s="110"/>
      <c r="VQJ1372" s="110"/>
      <c r="VQK1372" s="110"/>
      <c r="VQL1372" s="110"/>
      <c r="VQM1372" s="110"/>
      <c r="VQN1372" s="110"/>
      <c r="VQO1372" s="110"/>
      <c r="VQP1372" s="110"/>
      <c r="VQQ1372" s="110"/>
      <c r="VQR1372" s="110"/>
      <c r="VQS1372" s="110"/>
      <c r="VQT1372" s="110"/>
      <c r="VQU1372" s="110"/>
      <c r="VQV1372" s="110"/>
      <c r="VQW1372" s="110"/>
      <c r="VQX1372" s="110"/>
      <c r="VQY1372" s="110"/>
      <c r="VQZ1372" s="110"/>
      <c r="VRA1372" s="110"/>
      <c r="VRB1372" s="110"/>
      <c r="VRC1372" s="110"/>
      <c r="VRD1372" s="110"/>
      <c r="VRE1372" s="110"/>
      <c r="VRF1372" s="110"/>
      <c r="VRG1372" s="110"/>
      <c r="VRH1372" s="110"/>
      <c r="VRI1372" s="110"/>
      <c r="VRJ1372" s="110"/>
      <c r="VRK1372" s="110"/>
      <c r="VRL1372" s="110"/>
      <c r="VRM1372" s="110"/>
      <c r="VRN1372" s="110"/>
      <c r="VRO1372" s="110"/>
      <c r="VRP1372" s="110"/>
      <c r="VRQ1372" s="110"/>
      <c r="VRR1372" s="110"/>
      <c r="VRS1372" s="110"/>
      <c r="VRT1372" s="110"/>
      <c r="VRU1372" s="110"/>
      <c r="VRV1372" s="110"/>
      <c r="VRW1372" s="110"/>
      <c r="VRX1372" s="110"/>
      <c r="VRY1372" s="110"/>
      <c r="VRZ1372" s="110"/>
      <c r="VSA1372" s="110"/>
      <c r="VSB1372" s="110"/>
      <c r="VSC1372" s="110"/>
      <c r="VSD1372" s="110"/>
      <c r="VSE1372" s="110"/>
      <c r="VSF1372" s="110"/>
      <c r="VSG1372" s="110"/>
      <c r="VSH1372" s="110"/>
      <c r="VSI1372" s="110"/>
      <c r="VSJ1372" s="110"/>
      <c r="VSK1372" s="110"/>
      <c r="VSL1372" s="110"/>
      <c r="VSM1372" s="110"/>
      <c r="VSN1372" s="110"/>
      <c r="VSO1372" s="110"/>
      <c r="VSP1372" s="110"/>
      <c r="VSQ1372" s="110"/>
      <c r="VSR1372" s="110"/>
      <c r="VSS1372" s="110"/>
      <c r="VST1372" s="110"/>
      <c r="VSU1372" s="110"/>
      <c r="VSV1372" s="110"/>
      <c r="VSW1372" s="110"/>
      <c r="VSX1372" s="110"/>
      <c r="VSY1372" s="110"/>
      <c r="VSZ1372" s="110"/>
      <c r="VTA1372" s="110"/>
      <c r="VTB1372" s="110"/>
      <c r="VTC1372" s="110"/>
      <c r="VTD1372" s="110"/>
      <c r="VTE1372" s="110"/>
      <c r="VTF1372" s="110"/>
      <c r="VTG1372" s="110"/>
      <c r="VTH1372" s="110"/>
      <c r="VTI1372" s="110"/>
      <c r="VTJ1372" s="110"/>
      <c r="VTK1372" s="110"/>
      <c r="VTL1372" s="110"/>
      <c r="VTM1372" s="110"/>
      <c r="VTN1372" s="110"/>
      <c r="VTO1372" s="110"/>
      <c r="VTP1372" s="110"/>
      <c r="VTQ1372" s="110"/>
      <c r="VTR1372" s="110"/>
      <c r="VTS1372" s="110"/>
      <c r="VTT1372" s="110"/>
      <c r="VTU1372" s="110"/>
      <c r="VTV1372" s="110"/>
      <c r="VTW1372" s="110"/>
      <c r="VTX1372" s="110"/>
      <c r="VTY1372" s="110"/>
      <c r="VTZ1372" s="110"/>
      <c r="VUA1372" s="110"/>
      <c r="VUB1372" s="110"/>
      <c r="VUC1372" s="110"/>
      <c r="VUD1372" s="110"/>
      <c r="VUE1372" s="110"/>
      <c r="VUF1372" s="110"/>
      <c r="VUG1372" s="110"/>
      <c r="VUH1372" s="110"/>
      <c r="VUI1372" s="110"/>
      <c r="VUJ1372" s="110"/>
      <c r="VUK1372" s="110"/>
      <c r="VUL1372" s="110"/>
      <c r="VUM1372" s="110"/>
      <c r="VUN1372" s="110"/>
      <c r="VUO1372" s="110"/>
      <c r="VUP1372" s="110"/>
      <c r="VUQ1372" s="110"/>
      <c r="VUR1372" s="110"/>
      <c r="VUS1372" s="110"/>
      <c r="VUT1372" s="110"/>
      <c r="VUU1372" s="110"/>
      <c r="VUV1372" s="110"/>
      <c r="VUW1372" s="110"/>
      <c r="VUX1372" s="110"/>
      <c r="VUY1372" s="110"/>
      <c r="VUZ1372" s="110"/>
      <c r="VVA1372" s="110"/>
      <c r="VVB1372" s="110"/>
      <c r="VVC1372" s="110"/>
      <c r="VVD1372" s="110"/>
      <c r="VVE1372" s="110"/>
      <c r="VVF1372" s="110"/>
      <c r="VVG1372" s="110"/>
      <c r="VVH1372" s="110"/>
      <c r="VVI1372" s="110"/>
      <c r="VVJ1372" s="110"/>
      <c r="VVK1372" s="110"/>
      <c r="VVL1372" s="110"/>
      <c r="VVM1372" s="110"/>
      <c r="VVN1372" s="110"/>
      <c r="VVO1372" s="110"/>
      <c r="VVP1372" s="110"/>
      <c r="VVQ1372" s="110"/>
      <c r="VVR1372" s="110"/>
      <c r="VVS1372" s="110"/>
      <c r="VVT1372" s="110"/>
      <c r="VVU1372" s="110"/>
      <c r="VVV1372" s="110"/>
      <c r="VVW1372" s="110"/>
      <c r="VVX1372" s="110"/>
      <c r="VVY1372" s="110"/>
      <c r="VVZ1372" s="110"/>
      <c r="VWA1372" s="110"/>
      <c r="VWB1372" s="110"/>
      <c r="VWC1372" s="110"/>
      <c r="VWD1372" s="110"/>
      <c r="VWE1372" s="110"/>
      <c r="VWF1372" s="110"/>
      <c r="VWG1372" s="110"/>
      <c r="VWH1372" s="110"/>
      <c r="VWI1372" s="110"/>
      <c r="VWJ1372" s="110"/>
      <c r="VWK1372" s="110"/>
      <c r="VWL1372" s="110"/>
      <c r="VWM1372" s="110"/>
      <c r="VWN1372" s="110"/>
      <c r="VWO1372" s="110"/>
      <c r="VWP1372" s="110"/>
      <c r="VWQ1372" s="110"/>
      <c r="VWR1372" s="110"/>
      <c r="VWS1372" s="110"/>
      <c r="VWT1372" s="110"/>
      <c r="VWU1372" s="110"/>
      <c r="VWV1372" s="110"/>
      <c r="VWW1372" s="110"/>
      <c r="VWX1372" s="110"/>
      <c r="VWY1372" s="110"/>
      <c r="VWZ1372" s="110"/>
      <c r="VXA1372" s="110"/>
      <c r="VXB1372" s="110"/>
      <c r="VXC1372" s="110"/>
      <c r="VXD1372" s="110"/>
      <c r="VXE1372" s="110"/>
      <c r="VXF1372" s="110"/>
      <c r="VXG1372" s="110"/>
      <c r="VXH1372" s="110"/>
      <c r="VXI1372" s="110"/>
      <c r="VXJ1372" s="110"/>
      <c r="VXK1372" s="110"/>
      <c r="VXL1372" s="110"/>
      <c r="VXM1372" s="110"/>
      <c r="VXN1372" s="110"/>
      <c r="VXO1372" s="110"/>
      <c r="VXP1372" s="110"/>
      <c r="VXQ1372" s="110"/>
      <c r="VXR1372" s="110"/>
      <c r="VXS1372" s="110"/>
      <c r="VXT1372" s="110"/>
      <c r="VXU1372" s="110"/>
      <c r="VXV1372" s="110"/>
      <c r="VXW1372" s="110"/>
      <c r="VXX1372" s="110"/>
      <c r="VXY1372" s="110"/>
      <c r="VXZ1372" s="110"/>
      <c r="VYA1372" s="110"/>
      <c r="VYB1372" s="110"/>
      <c r="VYC1372" s="110"/>
      <c r="VYD1372" s="110"/>
      <c r="VYE1372" s="110"/>
      <c r="VYF1372" s="110"/>
      <c r="VYG1372" s="110"/>
      <c r="VYH1372" s="110"/>
      <c r="VYI1372" s="110"/>
      <c r="VYJ1372" s="110"/>
      <c r="VYK1372" s="110"/>
      <c r="VYL1372" s="110"/>
      <c r="VYM1372" s="110"/>
      <c r="VYN1372" s="110"/>
      <c r="VYO1372" s="110"/>
      <c r="VYP1372" s="110"/>
      <c r="VYQ1372" s="110"/>
      <c r="VYR1372" s="110"/>
      <c r="VYS1372" s="110"/>
      <c r="VYT1372" s="110"/>
      <c r="VYU1372" s="110"/>
      <c r="VYV1372" s="110"/>
      <c r="VYW1372" s="110"/>
      <c r="VYX1372" s="110"/>
      <c r="VYY1372" s="110"/>
      <c r="VYZ1372" s="110"/>
      <c r="VZA1372" s="110"/>
      <c r="VZB1372" s="110"/>
      <c r="VZC1372" s="110"/>
      <c r="VZD1372" s="110"/>
      <c r="VZE1372" s="110"/>
      <c r="VZF1372" s="110"/>
      <c r="VZG1372" s="110"/>
      <c r="VZH1372" s="110"/>
      <c r="VZI1372" s="110"/>
      <c r="VZJ1372" s="110"/>
      <c r="VZK1372" s="110"/>
      <c r="VZL1372" s="110"/>
      <c r="VZM1372" s="110"/>
      <c r="VZN1372" s="110"/>
      <c r="VZO1372" s="110"/>
      <c r="VZP1372" s="110"/>
      <c r="VZQ1372" s="110"/>
      <c r="VZR1372" s="110"/>
      <c r="VZS1372" s="110"/>
      <c r="VZT1372" s="110"/>
      <c r="VZU1372" s="110"/>
      <c r="VZV1372" s="110"/>
      <c r="VZW1372" s="110"/>
      <c r="VZX1372" s="110"/>
      <c r="VZY1372" s="110"/>
      <c r="VZZ1372" s="110"/>
      <c r="WAA1372" s="110"/>
      <c r="WAB1372" s="110"/>
      <c r="WAC1372" s="110"/>
      <c r="WAD1372" s="110"/>
      <c r="WAE1372" s="110"/>
      <c r="WAF1372" s="110"/>
      <c r="WAG1372" s="110"/>
      <c r="WAH1372" s="110"/>
      <c r="WAI1372" s="110"/>
      <c r="WAJ1372" s="110"/>
      <c r="WAK1372" s="110"/>
      <c r="WAL1372" s="110"/>
      <c r="WAM1372" s="110"/>
      <c r="WAN1372" s="110"/>
      <c r="WAO1372" s="110"/>
      <c r="WAP1372" s="110"/>
      <c r="WAQ1372" s="110"/>
      <c r="WAR1372" s="110"/>
      <c r="WAS1372" s="110"/>
      <c r="WAT1372" s="110"/>
      <c r="WAU1372" s="110"/>
      <c r="WAV1372" s="110"/>
      <c r="WAW1372" s="110"/>
      <c r="WAX1372" s="110"/>
      <c r="WAY1372" s="110"/>
      <c r="WAZ1372" s="110"/>
      <c r="WBA1372" s="110"/>
      <c r="WBB1372" s="110"/>
      <c r="WBC1372" s="110"/>
      <c r="WBD1372" s="110"/>
      <c r="WBE1372" s="110"/>
      <c r="WBF1372" s="110"/>
      <c r="WBG1372" s="110"/>
      <c r="WBH1372" s="110"/>
      <c r="WBI1372" s="110"/>
      <c r="WBJ1372" s="110"/>
      <c r="WBK1372" s="110"/>
      <c r="WBL1372" s="110"/>
      <c r="WBM1372" s="110"/>
      <c r="WBN1372" s="110"/>
      <c r="WBO1372" s="110"/>
      <c r="WBP1372" s="110"/>
      <c r="WBQ1372" s="110"/>
      <c r="WBR1372" s="110"/>
      <c r="WBS1372" s="110"/>
      <c r="WBT1372" s="110"/>
      <c r="WBU1372" s="110"/>
      <c r="WBV1372" s="110"/>
      <c r="WBW1372" s="110"/>
      <c r="WBX1372" s="110"/>
      <c r="WBY1372" s="110"/>
      <c r="WBZ1372" s="110"/>
      <c r="WCA1372" s="110"/>
      <c r="WCB1372" s="110"/>
      <c r="WCC1372" s="110"/>
      <c r="WCD1372" s="110"/>
      <c r="WCE1372" s="110"/>
      <c r="WCF1372" s="110"/>
      <c r="WCG1372" s="110"/>
      <c r="WCH1372" s="110"/>
      <c r="WCI1372" s="110"/>
      <c r="WCJ1372" s="110"/>
      <c r="WCK1372" s="110"/>
      <c r="WCL1372" s="110"/>
      <c r="WCM1372" s="110"/>
      <c r="WCN1372" s="110"/>
      <c r="WCO1372" s="110"/>
      <c r="WCP1372" s="110"/>
      <c r="WCQ1372" s="110"/>
      <c r="WCR1372" s="110"/>
      <c r="WCS1372" s="110"/>
      <c r="WCT1372" s="110"/>
      <c r="WCU1372" s="110"/>
      <c r="WCV1372" s="110"/>
      <c r="WCW1372" s="110"/>
      <c r="WCX1372" s="110"/>
      <c r="WCY1372" s="110"/>
      <c r="WCZ1372" s="110"/>
      <c r="WDA1372" s="110"/>
      <c r="WDB1372" s="110"/>
      <c r="WDC1372" s="110"/>
      <c r="WDD1372" s="110"/>
      <c r="WDE1372" s="110"/>
      <c r="WDF1372" s="110"/>
      <c r="WDG1372" s="110"/>
      <c r="WDH1372" s="110"/>
      <c r="WDI1372" s="110"/>
      <c r="WDJ1372" s="110"/>
      <c r="WDK1372" s="110"/>
      <c r="WDL1372" s="110"/>
      <c r="WDM1372" s="110"/>
      <c r="WDN1372" s="110"/>
      <c r="WDO1372" s="110"/>
      <c r="WDP1372" s="110"/>
      <c r="WDQ1372" s="110"/>
      <c r="WDR1372" s="110"/>
      <c r="WDS1372" s="110"/>
      <c r="WDT1372" s="110"/>
      <c r="WDU1372" s="110"/>
      <c r="WDV1372" s="110"/>
      <c r="WDW1372" s="110"/>
      <c r="WDX1372" s="110"/>
      <c r="WDY1372" s="110"/>
      <c r="WDZ1372" s="110"/>
      <c r="WEA1372" s="110"/>
      <c r="WEB1372" s="110"/>
      <c r="WEC1372" s="110"/>
      <c r="WED1372" s="110"/>
      <c r="WEE1372" s="110"/>
      <c r="WEF1372" s="110"/>
      <c r="WEG1372" s="110"/>
      <c r="WEH1372" s="110"/>
      <c r="WEI1372" s="110"/>
      <c r="WEJ1372" s="110"/>
      <c r="WEK1372" s="110"/>
      <c r="WEL1372" s="110"/>
      <c r="WEM1372" s="110"/>
      <c r="WEN1372" s="110"/>
      <c r="WEO1372" s="110"/>
      <c r="WEP1372" s="110"/>
      <c r="WEQ1372" s="110"/>
      <c r="WER1372" s="110"/>
      <c r="WES1372" s="110"/>
      <c r="WET1372" s="110"/>
      <c r="WEU1372" s="110"/>
      <c r="WEV1372" s="110"/>
      <c r="WEW1372" s="110"/>
      <c r="WEX1372" s="110"/>
      <c r="WEY1372" s="110"/>
      <c r="WEZ1372" s="110"/>
      <c r="WFA1372" s="110"/>
      <c r="WFB1372" s="110"/>
      <c r="WFC1372" s="110"/>
      <c r="WFD1372" s="110"/>
      <c r="WFE1372" s="110"/>
      <c r="WFF1372" s="110"/>
      <c r="WFG1372" s="110"/>
      <c r="WFH1372" s="110"/>
      <c r="WFI1372" s="110"/>
      <c r="WFJ1372" s="110"/>
      <c r="WFK1372" s="110"/>
      <c r="WFL1372" s="110"/>
      <c r="WFM1372" s="110"/>
      <c r="WFN1372" s="110"/>
      <c r="WFO1372" s="110"/>
      <c r="WFP1372" s="110"/>
      <c r="WFQ1372" s="110"/>
      <c r="WFR1372" s="110"/>
      <c r="WFS1372" s="110"/>
      <c r="WFT1372" s="110"/>
      <c r="WFU1372" s="110"/>
      <c r="WFV1372" s="110"/>
      <c r="WFW1372" s="110"/>
      <c r="WFX1372" s="110"/>
      <c r="WFY1372" s="110"/>
      <c r="WFZ1372" s="110"/>
      <c r="WGA1372" s="110"/>
      <c r="WGB1372" s="110"/>
      <c r="WGC1372" s="110"/>
      <c r="WGD1372" s="110"/>
      <c r="WGE1372" s="110"/>
      <c r="WGF1372" s="110"/>
      <c r="WGG1372" s="110"/>
      <c r="WGH1372" s="110"/>
      <c r="WGI1372" s="110"/>
      <c r="WGJ1372" s="110"/>
      <c r="WGK1372" s="110"/>
      <c r="WGL1372" s="110"/>
      <c r="WGM1372" s="110"/>
      <c r="WGN1372" s="110"/>
      <c r="WGO1372" s="110"/>
      <c r="WGP1372" s="110"/>
      <c r="WGQ1372" s="110"/>
      <c r="WGR1372" s="110"/>
      <c r="WGS1372" s="110"/>
      <c r="WGT1372" s="110"/>
      <c r="WGU1372" s="110"/>
      <c r="WGV1372" s="110"/>
      <c r="WGW1372" s="110"/>
      <c r="WGX1372" s="110"/>
      <c r="WGY1372" s="110"/>
      <c r="WGZ1372" s="110"/>
      <c r="WHA1372" s="110"/>
      <c r="WHB1372" s="110"/>
      <c r="WHC1372" s="110"/>
      <c r="WHD1372" s="110"/>
      <c r="WHE1372" s="110"/>
      <c r="WHF1372" s="110"/>
      <c r="WHG1372" s="110"/>
      <c r="WHH1372" s="110"/>
      <c r="WHI1372" s="110"/>
      <c r="WHJ1372" s="110"/>
      <c r="WHK1372" s="110"/>
      <c r="WHL1372" s="110"/>
      <c r="WHM1372" s="110"/>
      <c r="WHN1372" s="110"/>
      <c r="WHO1372" s="110"/>
      <c r="WHP1372" s="110"/>
      <c r="WHQ1372" s="110"/>
      <c r="WHR1372" s="110"/>
      <c r="WHS1372" s="110"/>
      <c r="WHT1372" s="110"/>
      <c r="WHU1372" s="110"/>
      <c r="WHV1372" s="110"/>
      <c r="WHW1372" s="110"/>
      <c r="WHX1372" s="110"/>
      <c r="WHY1372" s="110"/>
      <c r="WHZ1372" s="110"/>
      <c r="WIA1372" s="110"/>
      <c r="WIB1372" s="110"/>
      <c r="WIC1372" s="110"/>
      <c r="WID1372" s="110"/>
      <c r="WIE1372" s="110"/>
      <c r="WIF1372" s="110"/>
      <c r="WIG1372" s="110"/>
      <c r="WIH1372" s="110"/>
      <c r="WII1372" s="110"/>
      <c r="WIJ1372" s="110"/>
      <c r="WIK1372" s="110"/>
      <c r="WIL1372" s="110"/>
      <c r="WIM1372" s="110"/>
      <c r="WIN1372" s="110"/>
      <c r="WIO1372" s="110"/>
      <c r="WIP1372" s="110"/>
      <c r="WIQ1372" s="110"/>
      <c r="WIR1372" s="110"/>
      <c r="WIS1372" s="110"/>
      <c r="WIT1372" s="110"/>
      <c r="WIU1372" s="110"/>
      <c r="WIV1372" s="110"/>
      <c r="WIW1372" s="110"/>
      <c r="WIX1372" s="110"/>
      <c r="WIY1372" s="110"/>
      <c r="WIZ1372" s="110"/>
      <c r="WJA1372" s="110"/>
      <c r="WJB1372" s="110"/>
      <c r="WJC1372" s="110"/>
      <c r="WJD1372" s="110"/>
      <c r="WJE1372" s="110"/>
      <c r="WJF1372" s="110"/>
      <c r="WJG1372" s="110"/>
      <c r="WJH1372" s="110"/>
      <c r="WJI1372" s="110"/>
      <c r="WJJ1372" s="110"/>
      <c r="WJK1372" s="110"/>
      <c r="WJL1372" s="110"/>
      <c r="WJM1372" s="110"/>
      <c r="WJN1372" s="110"/>
      <c r="WJO1372" s="110"/>
      <c r="WJP1372" s="110"/>
      <c r="WJQ1372" s="110"/>
      <c r="WJR1372" s="110"/>
      <c r="WJS1372" s="110"/>
      <c r="WJT1372" s="110"/>
      <c r="WJU1372" s="110"/>
      <c r="WJV1372" s="110"/>
      <c r="WJW1372" s="110"/>
      <c r="WJX1372" s="110"/>
      <c r="WJY1372" s="110"/>
      <c r="WJZ1372" s="110"/>
      <c r="WKA1372" s="110"/>
      <c r="WKB1372" s="110"/>
      <c r="WKC1372" s="110"/>
      <c r="WKD1372" s="110"/>
      <c r="WKE1372" s="110"/>
      <c r="WKF1372" s="110"/>
      <c r="WKG1372" s="110"/>
      <c r="WKH1372" s="110"/>
      <c r="WKI1372" s="110"/>
      <c r="WKJ1372" s="110"/>
      <c r="WKK1372" s="110"/>
      <c r="WKL1372" s="110"/>
      <c r="WKM1372" s="110"/>
      <c r="WKN1372" s="110"/>
      <c r="WKO1372" s="110"/>
      <c r="WKP1372" s="110"/>
      <c r="WKQ1372" s="110"/>
      <c r="WKR1372" s="110"/>
      <c r="WKS1372" s="110"/>
      <c r="WKT1372" s="110"/>
      <c r="WKU1372" s="110"/>
      <c r="WKV1372" s="110"/>
      <c r="WKW1372" s="110"/>
      <c r="WKX1372" s="110"/>
      <c r="WKY1372" s="110"/>
      <c r="WKZ1372" s="110"/>
      <c r="WLA1372" s="110"/>
      <c r="WLB1372" s="110"/>
      <c r="WLC1372" s="110"/>
      <c r="WLD1372" s="110"/>
      <c r="WLE1372" s="110"/>
      <c r="WLF1372" s="110"/>
      <c r="WLG1372" s="110"/>
      <c r="WLH1372" s="110"/>
      <c r="WLI1372" s="110"/>
      <c r="WLJ1372" s="110"/>
      <c r="WLK1372" s="110"/>
      <c r="WLL1372" s="110"/>
      <c r="WLM1372" s="110"/>
      <c r="WLN1372" s="110"/>
      <c r="WLO1372" s="110"/>
      <c r="WLP1372" s="110"/>
      <c r="WLQ1372" s="110"/>
      <c r="WLR1372" s="110"/>
      <c r="WLS1372" s="110"/>
      <c r="WLT1372" s="110"/>
      <c r="WLU1372" s="110"/>
      <c r="WLV1372" s="110"/>
      <c r="WLW1372" s="110"/>
      <c r="WLX1372" s="110"/>
      <c r="WLY1372" s="110"/>
      <c r="WLZ1372" s="110"/>
      <c r="WMA1372" s="110"/>
      <c r="WMB1372" s="110"/>
      <c r="WMC1372" s="110"/>
      <c r="WMD1372" s="110"/>
      <c r="WME1372" s="110"/>
      <c r="WMF1372" s="110"/>
      <c r="WMG1372" s="110"/>
      <c r="WMH1372" s="110"/>
      <c r="WMI1372" s="110"/>
      <c r="WMJ1372" s="110"/>
      <c r="WMK1372" s="110"/>
      <c r="WML1372" s="110"/>
      <c r="WMM1372" s="110"/>
      <c r="WMN1372" s="110"/>
      <c r="WMO1372" s="110"/>
      <c r="WMP1372" s="110"/>
      <c r="WMQ1372" s="110"/>
      <c r="WMR1372" s="110"/>
      <c r="WMS1372" s="110"/>
      <c r="WMT1372" s="110"/>
      <c r="WMU1372" s="110"/>
      <c r="WMV1372" s="110"/>
      <c r="WMW1372" s="110"/>
      <c r="WMX1372" s="110"/>
      <c r="WMY1372" s="110"/>
      <c r="WMZ1372" s="110"/>
      <c r="WNA1372" s="110"/>
      <c r="WNB1372" s="110"/>
      <c r="WNC1372" s="110"/>
      <c r="WND1372" s="110"/>
      <c r="WNE1372" s="110"/>
      <c r="WNF1372" s="110"/>
      <c r="WNG1372" s="110"/>
      <c r="WNH1372" s="110"/>
      <c r="WNI1372" s="110"/>
      <c r="WNJ1372" s="110"/>
      <c r="WNK1372" s="110"/>
      <c r="WNL1372" s="110"/>
      <c r="WNM1372" s="110"/>
      <c r="WNN1372" s="110"/>
      <c r="WNO1372" s="110"/>
      <c r="WNP1372" s="110"/>
      <c r="WNQ1372" s="110"/>
      <c r="WNR1372" s="110"/>
      <c r="WNS1372" s="110"/>
      <c r="WNT1372" s="110"/>
      <c r="WNU1372" s="110"/>
      <c r="WNV1372" s="110"/>
      <c r="WNW1372" s="110"/>
      <c r="WNX1372" s="110"/>
      <c r="WNY1372" s="110"/>
      <c r="WNZ1372" s="110"/>
      <c r="WOA1372" s="110"/>
      <c r="WOB1372" s="110"/>
      <c r="WOC1372" s="110"/>
      <c r="WOD1372" s="110"/>
      <c r="WOE1372" s="110"/>
      <c r="WOF1372" s="110"/>
      <c r="WOG1372" s="110"/>
      <c r="WOH1372" s="110"/>
      <c r="WOI1372" s="110"/>
      <c r="WOJ1372" s="110"/>
      <c r="WOK1372" s="110"/>
      <c r="WOL1372" s="110"/>
      <c r="WOM1372" s="110"/>
      <c r="WON1372" s="110"/>
      <c r="WOO1372" s="110"/>
      <c r="WOP1372" s="110"/>
      <c r="WOQ1372" s="110"/>
      <c r="WOR1372" s="110"/>
      <c r="WOS1372" s="110"/>
      <c r="WOT1372" s="110"/>
      <c r="WOU1372" s="110"/>
      <c r="WOV1372" s="110"/>
      <c r="WOW1372" s="110"/>
      <c r="WOX1372" s="110"/>
      <c r="WOY1372" s="110"/>
      <c r="WOZ1372" s="110"/>
      <c r="WPA1372" s="110"/>
      <c r="WPB1372" s="110"/>
      <c r="WPC1372" s="110"/>
      <c r="WPD1372" s="110"/>
      <c r="WPE1372" s="110"/>
      <c r="WPF1372" s="110"/>
      <c r="WPG1372" s="110"/>
      <c r="WPH1372" s="110"/>
      <c r="WPI1372" s="110"/>
      <c r="WPJ1372" s="110"/>
      <c r="WPK1372" s="110"/>
      <c r="WPL1372" s="110"/>
      <c r="WPM1372" s="110"/>
      <c r="WPN1372" s="110"/>
      <c r="WPO1372" s="110"/>
      <c r="WPP1372" s="110"/>
      <c r="WPQ1372" s="110"/>
      <c r="WPR1372" s="110"/>
      <c r="WPS1372" s="110"/>
      <c r="WPT1372" s="110"/>
      <c r="WPU1372" s="110"/>
      <c r="WPV1372" s="110"/>
      <c r="WPW1372" s="110"/>
      <c r="WPX1372" s="110"/>
      <c r="WPY1372" s="110"/>
      <c r="WPZ1372" s="110"/>
      <c r="WQA1372" s="110"/>
      <c r="WQB1372" s="110"/>
      <c r="WQC1372" s="110"/>
      <c r="WQD1372" s="110"/>
      <c r="WQE1372" s="110"/>
      <c r="WQF1372" s="110"/>
      <c r="WQG1372" s="110"/>
      <c r="WQH1372" s="110"/>
      <c r="WQI1372" s="110"/>
      <c r="WQJ1372" s="110"/>
      <c r="WQK1372" s="110"/>
      <c r="WQL1372" s="110"/>
      <c r="WQM1372" s="110"/>
      <c r="WQN1372" s="110"/>
      <c r="WQO1372" s="110"/>
      <c r="WQP1372" s="110"/>
      <c r="WQQ1372" s="110"/>
      <c r="WQR1372" s="110"/>
      <c r="WQS1372" s="110"/>
      <c r="WQT1372" s="110"/>
      <c r="WQU1372" s="110"/>
      <c r="WQV1372" s="110"/>
      <c r="WQW1372" s="110"/>
      <c r="WQX1372" s="110"/>
      <c r="WQY1372" s="110"/>
      <c r="WQZ1372" s="110"/>
      <c r="WRA1372" s="110"/>
      <c r="WRB1372" s="110"/>
      <c r="WRC1372" s="110"/>
      <c r="WRD1372" s="110"/>
      <c r="WRE1372" s="110"/>
      <c r="WRF1372" s="110"/>
      <c r="WRG1372" s="110"/>
      <c r="WRH1372" s="110"/>
      <c r="WRI1372" s="110"/>
      <c r="WRJ1372" s="110"/>
      <c r="WRK1372" s="110"/>
      <c r="WRL1372" s="110"/>
      <c r="WRM1372" s="110"/>
      <c r="WRN1372" s="110"/>
      <c r="WRO1372" s="110"/>
      <c r="WRP1372" s="110"/>
      <c r="WRQ1372" s="110"/>
      <c r="WRR1372" s="110"/>
      <c r="WRS1372" s="110"/>
      <c r="WRT1372" s="110"/>
      <c r="WRU1372" s="110"/>
      <c r="WRV1372" s="110"/>
      <c r="WRW1372" s="110"/>
      <c r="WRX1372" s="110"/>
      <c r="WRY1372" s="110"/>
      <c r="WRZ1372" s="110"/>
      <c r="WSA1372" s="110"/>
      <c r="WSB1372" s="110"/>
      <c r="WSC1372" s="110"/>
      <c r="WSD1372" s="110"/>
      <c r="WSE1372" s="110"/>
      <c r="WSF1372" s="110"/>
      <c r="WSG1372" s="110"/>
      <c r="WSH1372" s="110"/>
      <c r="WSI1372" s="110"/>
      <c r="WSJ1372" s="110"/>
      <c r="WSK1372" s="110"/>
      <c r="WSL1372" s="110"/>
      <c r="WSM1372" s="110"/>
      <c r="WSN1372" s="110"/>
      <c r="WSO1372" s="110"/>
      <c r="WSP1372" s="110"/>
      <c r="WSQ1372" s="110"/>
      <c r="WSR1372" s="110"/>
      <c r="WSS1372" s="110"/>
      <c r="WST1372" s="110"/>
      <c r="WSU1372" s="110"/>
      <c r="WSV1372" s="110"/>
      <c r="WSW1372" s="110"/>
      <c r="WSX1372" s="110"/>
      <c r="WSY1372" s="110"/>
      <c r="WSZ1372" s="110"/>
      <c r="WTA1372" s="110"/>
      <c r="WTB1372" s="110"/>
      <c r="WTC1372" s="110"/>
      <c r="WTD1372" s="110"/>
      <c r="WTE1372" s="110"/>
      <c r="WTF1372" s="110"/>
      <c r="WTG1372" s="110"/>
      <c r="WTH1372" s="110"/>
      <c r="WTI1372" s="110"/>
      <c r="WTJ1372" s="110"/>
      <c r="WTK1372" s="110"/>
      <c r="WTL1372" s="110"/>
      <c r="WTM1372" s="110"/>
      <c r="WTN1372" s="110"/>
      <c r="WTO1372" s="110"/>
      <c r="WTP1372" s="110"/>
      <c r="WTQ1372" s="110"/>
      <c r="WTR1372" s="110"/>
      <c r="WTS1372" s="110"/>
      <c r="WTT1372" s="110"/>
      <c r="WTU1372" s="110"/>
      <c r="WTV1372" s="110"/>
      <c r="WTW1372" s="110"/>
      <c r="WTX1372" s="110"/>
      <c r="WTY1372" s="110"/>
      <c r="WTZ1372" s="110"/>
      <c r="WUA1372" s="110"/>
      <c r="WUB1372" s="110"/>
      <c r="WUC1372" s="110"/>
      <c r="WUD1372" s="110"/>
      <c r="WUE1372" s="110"/>
      <c r="WUF1372" s="110"/>
      <c r="WUG1372" s="110"/>
      <c r="WUH1372" s="110"/>
      <c r="WUI1372" s="110"/>
      <c r="WUJ1372" s="110"/>
      <c r="WUK1372" s="110"/>
      <c r="WUL1372" s="110"/>
      <c r="WUM1372" s="110"/>
      <c r="WUN1372" s="110"/>
      <c r="WUO1372" s="110"/>
      <c r="WUP1372" s="110"/>
      <c r="WUQ1372" s="110"/>
      <c r="WUR1372" s="110"/>
      <c r="WUS1372" s="110"/>
      <c r="WUT1372" s="110"/>
      <c r="WUU1372" s="110"/>
      <c r="WUV1372" s="110"/>
      <c r="WUW1372" s="110"/>
      <c r="WUX1372" s="110"/>
      <c r="WUY1372" s="110"/>
      <c r="WUZ1372" s="110"/>
      <c r="WVA1372" s="110"/>
      <c r="WVB1372" s="110"/>
      <c r="WVC1372" s="110"/>
      <c r="WVD1372" s="110"/>
      <c r="WVE1372" s="110"/>
      <c r="WVF1372" s="110"/>
      <c r="WVG1372" s="110"/>
      <c r="WVH1372" s="110"/>
      <c r="WVI1372" s="110"/>
      <c r="WVJ1372" s="110"/>
      <c r="WVK1372" s="110"/>
      <c r="WVL1372" s="110"/>
      <c r="WVM1372" s="110"/>
      <c r="WVN1372" s="110"/>
      <c r="WVO1372" s="110"/>
      <c r="WVP1372" s="110"/>
      <c r="WVQ1372" s="110"/>
      <c r="WVR1372" s="110"/>
      <c r="WVS1372" s="110"/>
      <c r="WVT1372" s="110"/>
      <c r="WVU1372" s="110"/>
      <c r="WVV1372" s="110"/>
      <c r="WVW1372" s="110"/>
      <c r="WVX1372" s="110"/>
      <c r="WVY1372" s="110"/>
      <c r="WVZ1372" s="110"/>
      <c r="WWA1372" s="110"/>
      <c r="WWB1372" s="110"/>
      <c r="WWC1372" s="110"/>
      <c r="WWD1372" s="110"/>
      <c r="WWE1372" s="110"/>
      <c r="WWF1372" s="110"/>
      <c r="WWG1372" s="110"/>
      <c r="WWH1372" s="110"/>
      <c r="WWI1372" s="110"/>
      <c r="WWJ1372" s="110"/>
      <c r="WWK1372" s="110"/>
      <c r="WWL1372" s="110"/>
      <c r="WWM1372" s="110"/>
      <c r="WWN1372" s="110"/>
      <c r="WWO1372" s="110"/>
      <c r="WWP1372" s="110"/>
      <c r="WWQ1372" s="110"/>
      <c r="WWR1372" s="110"/>
      <c r="WWS1372" s="110"/>
      <c r="WWT1372" s="110"/>
      <c r="WWU1372" s="110"/>
      <c r="WWV1372" s="110"/>
      <c r="WWW1372" s="110"/>
      <c r="WWX1372" s="110"/>
      <c r="WWY1372" s="110"/>
      <c r="WWZ1372" s="110"/>
      <c r="WXA1372" s="110"/>
      <c r="WXB1372" s="110"/>
      <c r="WXC1372" s="110"/>
      <c r="WXD1372" s="110"/>
      <c r="WXE1372" s="110"/>
      <c r="WXF1372" s="110"/>
      <c r="WXG1372" s="110"/>
      <c r="WXH1372" s="110"/>
      <c r="WXI1372" s="110"/>
      <c r="WXJ1372" s="110"/>
      <c r="WXK1372" s="110"/>
      <c r="WXL1372" s="110"/>
      <c r="WXM1372" s="110"/>
      <c r="WXN1372" s="110"/>
      <c r="WXO1372" s="110"/>
      <c r="WXP1372" s="110"/>
      <c r="WXQ1372" s="110"/>
      <c r="WXR1372" s="110"/>
      <c r="WXS1372" s="110"/>
      <c r="WXT1372" s="110"/>
      <c r="WXU1372" s="110"/>
      <c r="WXV1372" s="110"/>
      <c r="WXW1372" s="110"/>
      <c r="WXX1372" s="110"/>
      <c r="WXY1372" s="110"/>
      <c r="WXZ1372" s="110"/>
      <c r="WYA1372" s="110"/>
      <c r="WYB1372" s="110"/>
      <c r="WYC1372" s="110"/>
      <c r="WYD1372" s="110"/>
      <c r="WYE1372" s="110"/>
      <c r="WYF1372" s="110"/>
      <c r="WYG1372" s="110"/>
      <c r="WYH1372" s="110"/>
      <c r="WYI1372" s="110"/>
      <c r="WYJ1372" s="110"/>
      <c r="WYK1372" s="110"/>
      <c r="WYL1372" s="110"/>
      <c r="WYM1372" s="110"/>
      <c r="WYN1372" s="110"/>
      <c r="WYO1372" s="110"/>
      <c r="WYP1372" s="110"/>
      <c r="WYQ1372" s="110"/>
      <c r="WYR1372" s="110"/>
      <c r="WYS1372" s="110"/>
      <c r="WYT1372" s="110"/>
      <c r="WYU1372" s="110"/>
      <c r="WYV1372" s="110"/>
      <c r="WYW1372" s="110"/>
      <c r="WYX1372" s="110"/>
      <c r="WYY1372" s="110"/>
      <c r="WYZ1372" s="110"/>
      <c r="WZA1372" s="110"/>
      <c r="WZB1372" s="110"/>
      <c r="WZC1372" s="110"/>
      <c r="WZD1372" s="110"/>
      <c r="WZE1372" s="110"/>
      <c r="WZF1372" s="110"/>
      <c r="WZG1372" s="110"/>
      <c r="WZH1372" s="110"/>
      <c r="WZI1372" s="110"/>
      <c r="WZJ1372" s="110"/>
      <c r="WZK1372" s="110"/>
      <c r="WZL1372" s="110"/>
      <c r="WZM1372" s="110"/>
      <c r="WZN1372" s="110"/>
      <c r="WZO1372" s="110"/>
      <c r="WZP1372" s="110"/>
      <c r="WZQ1372" s="110"/>
      <c r="WZR1372" s="110"/>
      <c r="WZS1372" s="110"/>
      <c r="WZT1372" s="110"/>
      <c r="WZU1372" s="110"/>
      <c r="WZV1372" s="110"/>
      <c r="WZW1372" s="110"/>
      <c r="WZX1372" s="110"/>
      <c r="WZY1372" s="110"/>
      <c r="WZZ1372" s="110"/>
      <c r="XAA1372" s="110"/>
      <c r="XAB1372" s="110"/>
      <c r="XAC1372" s="110"/>
      <c r="XAD1372" s="110"/>
      <c r="XAE1372" s="110"/>
      <c r="XAF1372" s="110"/>
      <c r="XAG1372" s="110"/>
      <c r="XAH1372" s="110"/>
      <c r="XAI1372" s="110"/>
      <c r="XAJ1372" s="110"/>
      <c r="XAK1372" s="110"/>
      <c r="XAL1372" s="110"/>
      <c r="XAM1372" s="110"/>
      <c r="XAN1372" s="110"/>
      <c r="XAO1372" s="110"/>
      <c r="XAP1372" s="110"/>
      <c r="XAQ1372" s="110"/>
      <c r="XAR1372" s="110"/>
      <c r="XAS1372" s="110"/>
      <c r="XAT1372" s="110"/>
      <c r="XAU1372" s="110"/>
      <c r="XAV1372" s="110"/>
      <c r="XAW1372" s="110"/>
      <c r="XAX1372" s="110"/>
      <c r="XAY1372" s="110"/>
      <c r="XAZ1372" s="110"/>
      <c r="XBA1372" s="110"/>
      <c r="XBB1372" s="110"/>
      <c r="XBC1372" s="110"/>
      <c r="XBD1372" s="110"/>
      <c r="XBE1372" s="110"/>
      <c r="XBF1372" s="110"/>
      <c r="XBG1372" s="110"/>
      <c r="XBH1372" s="110"/>
      <c r="XBI1372" s="110"/>
      <c r="XBJ1372" s="110"/>
      <c r="XBK1372" s="110"/>
      <c r="XBL1372" s="110"/>
      <c r="XBM1372" s="110"/>
      <c r="XBN1372" s="110"/>
      <c r="XBO1372" s="110"/>
      <c r="XBP1372" s="110"/>
      <c r="XBQ1372" s="110"/>
      <c r="XBR1372" s="110"/>
      <c r="XBS1372" s="110"/>
      <c r="XBT1372" s="110"/>
      <c r="XBU1372" s="110"/>
      <c r="XBV1372" s="110"/>
      <c r="XBW1372" s="110"/>
      <c r="XBX1372" s="110"/>
      <c r="XBY1372" s="110"/>
      <c r="XBZ1372" s="110"/>
      <c r="XCA1372" s="110"/>
      <c r="XCB1372" s="110"/>
      <c r="XCC1372" s="110"/>
      <c r="XCD1372" s="110"/>
      <c r="XCE1372" s="110"/>
      <c r="XCF1372" s="110"/>
      <c r="XCG1372" s="110"/>
      <c r="XCH1372" s="110"/>
      <c r="XCI1372" s="110"/>
      <c r="XCJ1372" s="110"/>
      <c r="XCK1372" s="110"/>
      <c r="XCL1372" s="110"/>
      <c r="XCM1372" s="110"/>
      <c r="XCN1372" s="110"/>
      <c r="XCO1372" s="110"/>
      <c r="XCP1372" s="110"/>
      <c r="XCQ1372" s="110"/>
      <c r="XCR1372" s="110"/>
      <c r="XCS1372" s="110"/>
      <c r="XCT1372" s="110"/>
      <c r="XCU1372" s="110"/>
      <c r="XCV1372" s="110"/>
      <c r="XCW1372" s="110"/>
      <c r="XCX1372" s="110"/>
      <c r="XCY1372" s="110"/>
      <c r="XCZ1372" s="110"/>
      <c r="XDA1372" s="110"/>
      <c r="XDB1372" s="110"/>
      <c r="XDC1372" s="110"/>
      <c r="XDD1372" s="110"/>
      <c r="XDE1372" s="110"/>
      <c r="XDF1372" s="110"/>
      <c r="XDG1372" s="110"/>
      <c r="XDH1372" s="110"/>
      <c r="XDI1372" s="110"/>
      <c r="XDJ1372" s="110"/>
      <c r="XDK1372" s="110"/>
      <c r="XDL1372" s="110"/>
      <c r="XDM1372" s="110"/>
      <c r="XDN1372" s="110"/>
      <c r="XDO1372" s="110"/>
      <c r="XDP1372" s="110"/>
      <c r="XDQ1372" s="110"/>
      <c r="XDR1372" s="110"/>
      <c r="XDS1372" s="110"/>
      <c r="XDT1372" s="110"/>
      <c r="XDU1372" s="110"/>
      <c r="XDV1372" s="110"/>
      <c r="XDW1372" s="110"/>
      <c r="XDX1372" s="110"/>
      <c r="XDY1372" s="110"/>
      <c r="XDZ1372" s="110"/>
      <c r="XEA1372" s="110"/>
      <c r="XEB1372" s="110"/>
      <c r="XEC1372" s="110"/>
      <c r="XED1372" s="110"/>
      <c r="XEE1372" s="110"/>
      <c r="XEF1372" s="110"/>
      <c r="XEG1372" s="110"/>
      <c r="XEH1372" s="110"/>
      <c r="XEI1372" s="110"/>
      <c r="XEJ1372" s="110"/>
      <c r="XEK1372" s="110"/>
      <c r="XEL1372" s="110"/>
      <c r="XEM1372" s="110"/>
      <c r="XEN1372" s="110"/>
      <c r="XEO1372" s="110"/>
      <c r="XEP1372" s="110"/>
      <c r="XEQ1372" s="110"/>
      <c r="XER1372" s="110"/>
      <c r="XES1372" s="110"/>
      <c r="XET1372" s="110"/>
      <c r="XEU1372" s="110"/>
      <c r="XEV1372" s="110"/>
      <c r="XEW1372" s="110"/>
      <c r="XEX1372" s="110"/>
      <c r="XEY1372" s="110"/>
      <c r="XEZ1372" s="110"/>
      <c r="XFA1372" s="110"/>
      <c r="XFB1372" s="110"/>
    </row>
    <row r="1373" spans="1:16382" ht="11.25" customHeight="1" x14ac:dyDescent="0.15">
      <c r="A1373" s="110" t="s">
        <v>699</v>
      </c>
      <c r="B1373" s="110"/>
      <c r="C1373" s="111" t="s">
        <v>58</v>
      </c>
      <c r="D1373" s="213">
        <v>2025</v>
      </c>
      <c r="E1373" s="281">
        <v>45716</v>
      </c>
      <c r="F1373" s="111"/>
      <c r="G1373" s="111">
        <v>74142012</v>
      </c>
      <c r="H1373" s="111"/>
      <c r="I1373" s="111"/>
      <c r="J1373" s="111"/>
      <c r="K1373" s="112" t="s">
        <v>712</v>
      </c>
      <c r="L1373" s="120">
        <v>79324</v>
      </c>
      <c r="M1373" s="120">
        <v>7888</v>
      </c>
      <c r="N1373" s="120">
        <f t="shared" si="960"/>
        <v>71436</v>
      </c>
      <c r="O1373" s="119">
        <f t="shared" si="942"/>
        <v>0.9005597297161011</v>
      </c>
      <c r="P1373" s="120">
        <f t="shared" si="955"/>
        <v>79324</v>
      </c>
      <c r="Q1373" s="111">
        <v>2903</v>
      </c>
      <c r="R1373" s="117"/>
      <c r="S1373" s="117"/>
      <c r="T1373" s="117"/>
      <c r="U1373" s="117">
        <v>1292.1400000000001</v>
      </c>
      <c r="V1373" s="117"/>
      <c r="W1373" s="26">
        <f t="shared" si="934"/>
        <v>1292.1400000000001</v>
      </c>
      <c r="X1373" s="118" t="str">
        <f t="shared" si="943"/>
        <v/>
      </c>
      <c r="Y1373" s="119"/>
      <c r="Z1373" s="117">
        <f t="shared" si="961"/>
        <v>78031.86</v>
      </c>
      <c r="AA1373" s="119">
        <f t="shared" si="962"/>
        <v>0.98371060460894555</v>
      </c>
      <c r="AB1373" s="120">
        <f t="shared" si="963"/>
        <v>6595.86</v>
      </c>
      <c r="AC1373" s="119">
        <f t="shared" si="964"/>
        <v>8.3150874892844451E-2</v>
      </c>
      <c r="AD1373" s="110"/>
      <c r="AE1373" s="110"/>
      <c r="AF1373" s="110"/>
      <c r="AG1373" s="121"/>
      <c r="AH1373" s="110"/>
      <c r="AI1373" s="110"/>
      <c r="AJ1373" s="110"/>
      <c r="AK1373" s="110"/>
      <c r="AL1373" s="110"/>
      <c r="AM1373" s="110"/>
      <c r="AN1373" s="110"/>
      <c r="AO1373" s="110"/>
      <c r="AP1373" s="110"/>
      <c r="AQ1373" s="110"/>
      <c r="AR1373" s="110"/>
      <c r="AS1373" s="110"/>
      <c r="AT1373" s="110"/>
      <c r="AU1373" s="110"/>
      <c r="AV1373" s="110"/>
      <c r="AW1373" s="110"/>
      <c r="AX1373" s="110"/>
      <c r="AY1373" s="110"/>
      <c r="AZ1373" s="110"/>
      <c r="BA1373" s="110"/>
      <c r="BB1373" s="110"/>
      <c r="BC1373" s="110"/>
      <c r="BD1373" s="110"/>
      <c r="BE1373" s="110"/>
      <c r="BF1373" s="110"/>
      <c r="BG1373" s="110"/>
      <c r="BH1373" s="110"/>
      <c r="BI1373" s="110"/>
      <c r="BJ1373" s="110"/>
      <c r="BK1373" s="110"/>
      <c r="BL1373" s="110"/>
      <c r="BM1373" s="110"/>
      <c r="BN1373" s="110"/>
      <c r="BO1373" s="110"/>
      <c r="BP1373" s="110"/>
      <c r="BQ1373" s="110"/>
      <c r="BR1373" s="110"/>
      <c r="BS1373" s="110"/>
      <c r="BT1373" s="110"/>
      <c r="BU1373" s="110"/>
      <c r="BV1373" s="110"/>
      <c r="BW1373" s="110"/>
      <c r="BX1373" s="110"/>
      <c r="BY1373" s="110"/>
      <c r="BZ1373" s="110"/>
      <c r="CA1373" s="110"/>
      <c r="CB1373" s="110"/>
      <c r="CC1373" s="110"/>
      <c r="CD1373" s="110"/>
      <c r="CE1373" s="110"/>
      <c r="CF1373" s="110"/>
      <c r="CG1373" s="110"/>
      <c r="CH1373" s="110"/>
      <c r="CI1373" s="110"/>
      <c r="CJ1373" s="110"/>
      <c r="CK1373" s="110"/>
      <c r="CL1373" s="110"/>
      <c r="CM1373" s="110"/>
      <c r="CN1373" s="110"/>
      <c r="CO1373" s="110"/>
      <c r="CP1373" s="110"/>
      <c r="CQ1373" s="110"/>
      <c r="CR1373" s="110"/>
      <c r="CS1373" s="110"/>
      <c r="CT1373" s="110"/>
      <c r="CU1373" s="110"/>
      <c r="CV1373" s="110"/>
      <c r="CW1373" s="110"/>
      <c r="CX1373" s="110"/>
      <c r="CY1373" s="110"/>
      <c r="CZ1373" s="110"/>
      <c r="DA1373" s="110"/>
      <c r="DB1373" s="110"/>
      <c r="DC1373" s="110"/>
      <c r="DD1373" s="110"/>
      <c r="DE1373" s="110"/>
      <c r="DF1373" s="110"/>
      <c r="DG1373" s="110"/>
      <c r="DH1373" s="110"/>
      <c r="DI1373" s="110"/>
      <c r="DJ1373" s="110"/>
      <c r="DK1373" s="110"/>
      <c r="DL1373" s="110"/>
      <c r="DM1373" s="110"/>
      <c r="DN1373" s="110"/>
      <c r="DO1373" s="110"/>
      <c r="DP1373" s="110"/>
      <c r="DQ1373" s="110"/>
      <c r="DR1373" s="110"/>
      <c r="DS1373" s="110"/>
      <c r="DT1373" s="110"/>
      <c r="DU1373" s="110"/>
      <c r="DV1373" s="110"/>
      <c r="DW1373" s="110"/>
      <c r="DX1373" s="110"/>
      <c r="DY1373" s="110"/>
      <c r="DZ1373" s="110"/>
      <c r="EA1373" s="110"/>
      <c r="EB1373" s="110"/>
      <c r="EC1373" s="110"/>
      <c r="ED1373" s="110"/>
      <c r="EE1373" s="110"/>
      <c r="EF1373" s="110"/>
      <c r="EG1373" s="110"/>
      <c r="EH1373" s="110"/>
      <c r="EI1373" s="110"/>
      <c r="EJ1373" s="110"/>
      <c r="EK1373" s="110"/>
      <c r="EL1373" s="110"/>
      <c r="EM1373" s="110"/>
      <c r="EN1373" s="110"/>
      <c r="EO1373" s="110"/>
      <c r="EP1373" s="110"/>
      <c r="EQ1373" s="110"/>
      <c r="ER1373" s="110"/>
      <c r="ES1373" s="110"/>
      <c r="ET1373" s="110"/>
      <c r="EU1373" s="110"/>
      <c r="EV1373" s="110"/>
      <c r="EW1373" s="110"/>
      <c r="EX1373" s="110"/>
      <c r="EY1373" s="110"/>
      <c r="EZ1373" s="110"/>
      <c r="FA1373" s="110"/>
      <c r="FB1373" s="110"/>
      <c r="FC1373" s="110"/>
      <c r="FD1373" s="110"/>
      <c r="FE1373" s="110"/>
      <c r="FF1373" s="110"/>
      <c r="FG1373" s="110"/>
      <c r="FH1373" s="110"/>
      <c r="FI1373" s="110"/>
      <c r="FJ1373" s="110"/>
      <c r="FK1373" s="110"/>
      <c r="FL1373" s="110"/>
      <c r="FM1373" s="110"/>
      <c r="FN1373" s="110"/>
      <c r="FO1373" s="110"/>
      <c r="FP1373" s="110"/>
      <c r="FQ1373" s="110"/>
      <c r="FR1373" s="110"/>
      <c r="FS1373" s="110"/>
      <c r="FT1373" s="110"/>
      <c r="FU1373" s="110"/>
      <c r="FV1373" s="110"/>
      <c r="FW1373" s="110"/>
      <c r="FX1373" s="110"/>
      <c r="FY1373" s="110"/>
      <c r="FZ1373" s="110"/>
      <c r="GA1373" s="110"/>
      <c r="GB1373" s="110"/>
      <c r="GC1373" s="110"/>
      <c r="GD1373" s="110"/>
      <c r="GE1373" s="110"/>
      <c r="GF1373" s="110"/>
      <c r="GG1373" s="110"/>
      <c r="GH1373" s="110"/>
      <c r="GI1373" s="110"/>
      <c r="GJ1373" s="110"/>
      <c r="GK1373" s="110"/>
      <c r="GL1373" s="110"/>
      <c r="GM1373" s="110"/>
      <c r="GN1373" s="110"/>
      <c r="GO1373" s="110"/>
      <c r="GP1373" s="110"/>
      <c r="GQ1373" s="110"/>
      <c r="GR1373" s="110"/>
      <c r="GS1373" s="110"/>
      <c r="GT1373" s="110"/>
      <c r="GU1373" s="110"/>
      <c r="GV1373" s="110"/>
      <c r="GW1373" s="110"/>
      <c r="GX1373" s="110"/>
      <c r="GY1373" s="110"/>
      <c r="GZ1373" s="110"/>
      <c r="HA1373" s="110"/>
      <c r="HB1373" s="110"/>
      <c r="HC1373" s="110"/>
      <c r="HD1373" s="110"/>
      <c r="HE1373" s="110"/>
      <c r="HF1373" s="110"/>
      <c r="HG1373" s="110"/>
      <c r="HH1373" s="110"/>
      <c r="HI1373" s="110"/>
      <c r="HJ1373" s="110"/>
      <c r="HK1373" s="110"/>
      <c r="HL1373" s="110"/>
      <c r="HM1373" s="110"/>
      <c r="HN1373" s="110"/>
      <c r="HO1373" s="110"/>
      <c r="HP1373" s="110"/>
      <c r="HQ1373" s="110"/>
      <c r="HR1373" s="110"/>
      <c r="HS1373" s="110"/>
      <c r="HT1373" s="110"/>
      <c r="HU1373" s="110"/>
      <c r="HV1373" s="110"/>
      <c r="HW1373" s="110"/>
      <c r="HX1373" s="110"/>
      <c r="HY1373" s="110"/>
      <c r="HZ1373" s="110"/>
      <c r="IA1373" s="110"/>
      <c r="IB1373" s="110"/>
      <c r="IC1373" s="110"/>
      <c r="ID1373" s="110"/>
      <c r="IE1373" s="110"/>
      <c r="IF1373" s="110"/>
      <c r="IG1373" s="110"/>
      <c r="IH1373" s="110"/>
      <c r="II1373" s="110"/>
      <c r="IJ1373" s="110"/>
      <c r="IK1373" s="110"/>
      <c r="IL1373" s="110"/>
      <c r="IM1373" s="110"/>
      <c r="IN1373" s="110"/>
      <c r="IO1373" s="110"/>
      <c r="IP1373" s="110"/>
      <c r="IQ1373" s="110"/>
      <c r="IR1373" s="110"/>
      <c r="IS1373" s="110"/>
      <c r="IT1373" s="110"/>
      <c r="IU1373" s="110"/>
      <c r="IV1373" s="110"/>
      <c r="IW1373" s="110"/>
      <c r="IX1373" s="110"/>
      <c r="IY1373" s="110"/>
      <c r="IZ1373" s="110"/>
      <c r="JA1373" s="110"/>
      <c r="JB1373" s="110"/>
      <c r="JC1373" s="110"/>
      <c r="JD1373" s="110"/>
      <c r="JE1373" s="110"/>
      <c r="JF1373" s="110"/>
      <c r="JG1373" s="110"/>
      <c r="JH1373" s="110"/>
      <c r="JI1373" s="110"/>
      <c r="JJ1373" s="110"/>
      <c r="JK1373" s="110"/>
      <c r="JL1373" s="110"/>
      <c r="JM1373" s="110"/>
      <c r="JN1373" s="110"/>
      <c r="JO1373" s="110"/>
      <c r="JP1373" s="110"/>
      <c r="JQ1373" s="110"/>
      <c r="JR1373" s="110"/>
      <c r="JS1373" s="110"/>
      <c r="JT1373" s="110"/>
      <c r="JU1373" s="110"/>
      <c r="JV1373" s="110"/>
      <c r="JW1373" s="110"/>
      <c r="JX1373" s="110"/>
      <c r="JY1373" s="110"/>
      <c r="JZ1373" s="110"/>
      <c r="KA1373" s="110"/>
      <c r="KB1373" s="110"/>
      <c r="KC1373" s="110"/>
      <c r="KD1373" s="110"/>
      <c r="KE1373" s="110"/>
      <c r="KF1373" s="110"/>
      <c r="KG1373" s="110"/>
      <c r="KH1373" s="110"/>
      <c r="KI1373" s="110"/>
      <c r="KJ1373" s="110"/>
      <c r="KK1373" s="110"/>
      <c r="KL1373" s="110"/>
      <c r="KM1373" s="110"/>
      <c r="KN1373" s="110"/>
      <c r="KO1373" s="110"/>
      <c r="KP1373" s="110"/>
      <c r="KQ1373" s="110"/>
      <c r="KR1373" s="110"/>
      <c r="KS1373" s="110"/>
      <c r="KT1373" s="110"/>
      <c r="KU1373" s="110"/>
      <c r="KV1373" s="110"/>
      <c r="KW1373" s="110"/>
      <c r="KX1373" s="110"/>
      <c r="KY1373" s="110"/>
      <c r="KZ1373" s="110"/>
      <c r="LA1373" s="110"/>
      <c r="LB1373" s="110"/>
      <c r="LC1373" s="110"/>
      <c r="LD1373" s="110"/>
      <c r="LE1373" s="110"/>
      <c r="LF1373" s="110"/>
      <c r="LG1373" s="110"/>
      <c r="LH1373" s="110"/>
      <c r="LI1373" s="110"/>
      <c r="LJ1373" s="110"/>
      <c r="LK1373" s="110"/>
      <c r="LL1373" s="110"/>
      <c r="LM1373" s="110"/>
      <c r="LN1373" s="110"/>
      <c r="LO1373" s="110"/>
      <c r="LP1373" s="110"/>
      <c r="LQ1373" s="110"/>
      <c r="LR1373" s="110"/>
      <c r="LS1373" s="110"/>
      <c r="LT1373" s="110"/>
      <c r="LU1373" s="110"/>
      <c r="LV1373" s="110"/>
      <c r="LW1373" s="110"/>
      <c r="LX1373" s="110"/>
      <c r="LY1373" s="110"/>
      <c r="LZ1373" s="110"/>
      <c r="MA1373" s="110"/>
      <c r="MB1373" s="110"/>
      <c r="MC1373" s="110"/>
      <c r="MD1373" s="110"/>
      <c r="ME1373" s="110"/>
      <c r="MF1373" s="110"/>
      <c r="MG1373" s="110"/>
      <c r="MH1373" s="110"/>
      <c r="MI1373" s="110"/>
      <c r="MJ1373" s="110"/>
      <c r="MK1373" s="110"/>
      <c r="ML1373" s="110"/>
      <c r="MM1373" s="110"/>
      <c r="MN1373" s="110"/>
      <c r="MO1373" s="110"/>
      <c r="MP1373" s="110"/>
      <c r="MQ1373" s="110"/>
      <c r="MR1373" s="110"/>
      <c r="MS1373" s="110"/>
      <c r="MT1373" s="110"/>
      <c r="MU1373" s="110"/>
      <c r="MV1373" s="110"/>
      <c r="MW1373" s="110"/>
      <c r="MX1373" s="110"/>
      <c r="MY1373" s="110"/>
      <c r="MZ1373" s="110"/>
      <c r="NA1373" s="110"/>
      <c r="NB1373" s="110"/>
      <c r="NC1373" s="110"/>
      <c r="ND1373" s="110"/>
      <c r="NE1373" s="110"/>
      <c r="NF1373" s="110"/>
      <c r="NG1373" s="110"/>
      <c r="NH1373" s="110"/>
      <c r="NI1373" s="110"/>
      <c r="NJ1373" s="110"/>
      <c r="NK1373" s="110"/>
      <c r="NL1373" s="110"/>
      <c r="NM1373" s="110"/>
      <c r="NN1373" s="110"/>
      <c r="NO1373" s="110"/>
      <c r="NP1373" s="110"/>
      <c r="NQ1373" s="110"/>
      <c r="NR1373" s="110"/>
      <c r="NS1373" s="110"/>
      <c r="NT1373" s="110"/>
      <c r="NU1373" s="110"/>
      <c r="NV1373" s="110"/>
      <c r="NW1373" s="110"/>
      <c r="NX1373" s="110"/>
      <c r="NY1373" s="110"/>
      <c r="NZ1373" s="110"/>
      <c r="OA1373" s="110"/>
      <c r="OB1373" s="110"/>
      <c r="OC1373" s="110"/>
      <c r="OD1373" s="110"/>
      <c r="OE1373" s="110"/>
      <c r="OF1373" s="110"/>
      <c r="OG1373" s="110"/>
      <c r="OH1373" s="110"/>
      <c r="OI1373" s="110"/>
      <c r="OJ1373" s="110"/>
      <c r="OK1373" s="110"/>
      <c r="OL1373" s="110"/>
      <c r="OM1373" s="110"/>
      <c r="ON1373" s="110"/>
      <c r="OO1373" s="110"/>
      <c r="OP1373" s="110"/>
      <c r="OQ1373" s="110"/>
      <c r="OR1373" s="110"/>
      <c r="OS1373" s="110"/>
      <c r="OT1373" s="110"/>
      <c r="OU1373" s="110"/>
      <c r="OV1373" s="110"/>
      <c r="OW1373" s="110"/>
      <c r="OX1373" s="110"/>
      <c r="OY1373" s="110"/>
      <c r="OZ1373" s="110"/>
      <c r="PA1373" s="110"/>
      <c r="PB1373" s="110"/>
      <c r="PC1373" s="110"/>
      <c r="PD1373" s="110"/>
      <c r="PE1373" s="110"/>
      <c r="PF1373" s="110"/>
      <c r="PG1373" s="110"/>
      <c r="PH1373" s="110"/>
      <c r="PI1373" s="110"/>
      <c r="PJ1373" s="110"/>
      <c r="PK1373" s="110"/>
      <c r="PL1373" s="110"/>
      <c r="PM1373" s="110"/>
      <c r="PN1373" s="110"/>
      <c r="PO1373" s="110"/>
      <c r="PP1373" s="110"/>
      <c r="PQ1373" s="110"/>
      <c r="PR1373" s="110"/>
      <c r="PS1373" s="110"/>
      <c r="PT1373" s="110"/>
      <c r="PU1373" s="110"/>
      <c r="PV1373" s="110"/>
      <c r="PW1373" s="110"/>
      <c r="PX1373" s="110"/>
      <c r="PY1373" s="110"/>
      <c r="PZ1373" s="110"/>
      <c r="QA1373" s="110"/>
      <c r="QB1373" s="110"/>
      <c r="QC1373" s="110"/>
      <c r="QD1373" s="110"/>
      <c r="QE1373" s="110"/>
      <c r="QF1373" s="110"/>
      <c r="QG1373" s="110"/>
      <c r="QH1373" s="110"/>
      <c r="QI1373" s="110"/>
      <c r="QJ1373" s="110"/>
      <c r="QK1373" s="110"/>
      <c r="QL1373" s="110"/>
      <c r="QM1373" s="110"/>
      <c r="QN1373" s="110"/>
      <c r="QO1373" s="110"/>
      <c r="QP1373" s="110"/>
      <c r="QQ1373" s="110"/>
      <c r="QR1373" s="110"/>
      <c r="QS1373" s="110"/>
      <c r="QT1373" s="110"/>
      <c r="QU1373" s="110"/>
      <c r="QV1373" s="110"/>
      <c r="QW1373" s="110"/>
      <c r="QX1373" s="110"/>
      <c r="QY1373" s="110"/>
      <c r="QZ1373" s="110"/>
      <c r="RA1373" s="110"/>
      <c r="RB1373" s="110"/>
      <c r="RC1373" s="110"/>
      <c r="RD1373" s="110"/>
      <c r="RE1373" s="110"/>
      <c r="RF1373" s="110"/>
      <c r="RG1373" s="110"/>
      <c r="RH1373" s="110"/>
      <c r="RI1373" s="110"/>
      <c r="RJ1373" s="110"/>
      <c r="RK1373" s="110"/>
      <c r="RL1373" s="110"/>
      <c r="RM1373" s="110"/>
      <c r="RN1373" s="110"/>
      <c r="RO1373" s="110"/>
      <c r="RP1373" s="110"/>
      <c r="RQ1373" s="110"/>
      <c r="RR1373" s="110"/>
      <c r="RS1373" s="110"/>
      <c r="RT1373" s="110"/>
      <c r="RU1373" s="110"/>
      <c r="RV1373" s="110"/>
      <c r="RW1373" s="110"/>
      <c r="RX1373" s="110"/>
      <c r="RY1373" s="110"/>
      <c r="RZ1373" s="110"/>
      <c r="SA1373" s="110"/>
      <c r="SB1373" s="110"/>
      <c r="SC1373" s="110"/>
      <c r="SD1373" s="110"/>
      <c r="SE1373" s="110"/>
      <c r="SF1373" s="110"/>
      <c r="SG1373" s="110"/>
      <c r="SH1373" s="110"/>
      <c r="SI1373" s="110"/>
      <c r="SJ1373" s="110"/>
      <c r="SK1373" s="110"/>
      <c r="SL1373" s="110"/>
      <c r="SM1373" s="110"/>
      <c r="SN1373" s="110"/>
      <c r="SO1373" s="110"/>
      <c r="SP1373" s="110"/>
      <c r="SQ1373" s="110"/>
      <c r="SR1373" s="110"/>
      <c r="SS1373" s="110"/>
      <c r="ST1373" s="110"/>
      <c r="SU1373" s="110"/>
      <c r="SV1373" s="110"/>
      <c r="SW1373" s="110"/>
      <c r="SX1373" s="110"/>
      <c r="SY1373" s="110"/>
      <c r="SZ1373" s="110"/>
      <c r="TA1373" s="110"/>
      <c r="TB1373" s="110"/>
      <c r="TC1373" s="110"/>
      <c r="TD1373" s="110"/>
      <c r="TE1373" s="110"/>
      <c r="TF1373" s="110"/>
      <c r="TG1373" s="110"/>
      <c r="TH1373" s="110"/>
      <c r="TI1373" s="110"/>
      <c r="TJ1373" s="110"/>
      <c r="TK1373" s="110"/>
      <c r="TL1373" s="110"/>
      <c r="TM1373" s="110"/>
      <c r="TN1373" s="110"/>
      <c r="TO1373" s="110"/>
      <c r="TP1373" s="110"/>
      <c r="TQ1373" s="110"/>
      <c r="TR1373" s="110"/>
      <c r="TS1373" s="110"/>
      <c r="TT1373" s="110"/>
      <c r="TU1373" s="110"/>
      <c r="TV1373" s="110"/>
      <c r="TW1373" s="110"/>
      <c r="TX1373" s="110"/>
      <c r="TY1373" s="110"/>
      <c r="TZ1373" s="110"/>
      <c r="UA1373" s="110"/>
      <c r="UB1373" s="110"/>
      <c r="UC1373" s="110"/>
      <c r="UD1373" s="110"/>
      <c r="UE1373" s="110"/>
      <c r="UF1373" s="110"/>
      <c r="UG1373" s="110"/>
      <c r="UH1373" s="110"/>
      <c r="UI1373" s="110"/>
      <c r="UJ1373" s="110"/>
      <c r="UK1373" s="110"/>
      <c r="UL1373" s="110"/>
      <c r="UM1373" s="110"/>
      <c r="UN1373" s="110"/>
      <c r="UO1373" s="110"/>
      <c r="UP1373" s="110"/>
      <c r="UQ1373" s="110"/>
      <c r="UR1373" s="110"/>
      <c r="US1373" s="110"/>
      <c r="UT1373" s="110"/>
      <c r="UU1373" s="110"/>
      <c r="UV1373" s="110"/>
      <c r="UW1373" s="110"/>
      <c r="UX1373" s="110"/>
      <c r="UY1373" s="110"/>
      <c r="UZ1373" s="110"/>
      <c r="VA1373" s="110"/>
      <c r="VB1373" s="110"/>
      <c r="VC1373" s="110"/>
      <c r="VD1373" s="110"/>
      <c r="VE1373" s="110"/>
      <c r="VF1373" s="110"/>
      <c r="VG1373" s="110"/>
      <c r="VH1373" s="110"/>
      <c r="VI1373" s="110"/>
      <c r="VJ1373" s="110"/>
      <c r="VK1373" s="110"/>
      <c r="VL1373" s="110"/>
      <c r="VM1373" s="110"/>
      <c r="VN1373" s="110"/>
      <c r="VO1373" s="110"/>
      <c r="VP1373" s="110"/>
      <c r="VQ1373" s="110"/>
      <c r="VR1373" s="110"/>
      <c r="VS1373" s="110"/>
      <c r="VT1373" s="110"/>
      <c r="VU1373" s="110"/>
      <c r="VV1373" s="110"/>
      <c r="VW1373" s="110"/>
      <c r="VX1373" s="110"/>
      <c r="VY1373" s="110"/>
      <c r="VZ1373" s="110"/>
      <c r="WA1373" s="110"/>
      <c r="WB1373" s="110"/>
      <c r="WC1373" s="110"/>
      <c r="WD1373" s="110"/>
      <c r="WE1373" s="110"/>
      <c r="WF1373" s="110"/>
      <c r="WG1373" s="110"/>
      <c r="WH1373" s="110"/>
      <c r="WI1373" s="110"/>
      <c r="WJ1373" s="110"/>
      <c r="WK1373" s="110"/>
      <c r="WL1373" s="110"/>
      <c r="WM1373" s="110"/>
      <c r="WN1373" s="110"/>
      <c r="WO1373" s="110"/>
      <c r="WP1373" s="110"/>
      <c r="WQ1373" s="110"/>
      <c r="WR1373" s="110"/>
      <c r="WS1373" s="110"/>
      <c r="WT1373" s="110"/>
      <c r="WU1373" s="110"/>
      <c r="WV1373" s="110"/>
      <c r="WW1373" s="110"/>
      <c r="WX1373" s="110"/>
      <c r="WY1373" s="110"/>
      <c r="WZ1373" s="110"/>
      <c r="XA1373" s="110"/>
      <c r="XB1373" s="110"/>
      <c r="XC1373" s="110"/>
      <c r="XD1373" s="110"/>
      <c r="XE1373" s="110"/>
      <c r="XF1373" s="110"/>
      <c r="XG1373" s="110"/>
      <c r="XH1373" s="110"/>
      <c r="XI1373" s="110"/>
      <c r="XJ1373" s="110"/>
      <c r="XK1373" s="110"/>
      <c r="XL1373" s="110"/>
      <c r="XM1373" s="110"/>
      <c r="XN1373" s="110"/>
      <c r="XO1373" s="110"/>
      <c r="XP1373" s="110"/>
      <c r="XQ1373" s="110"/>
      <c r="XR1373" s="110"/>
      <c r="XS1373" s="110"/>
      <c r="XT1373" s="110"/>
      <c r="XU1373" s="110"/>
      <c r="XV1373" s="110"/>
      <c r="XW1373" s="110"/>
      <c r="XX1373" s="110"/>
      <c r="XY1373" s="110"/>
      <c r="XZ1373" s="110"/>
      <c r="YA1373" s="110"/>
      <c r="YB1373" s="110"/>
      <c r="YC1373" s="110"/>
      <c r="YD1373" s="110"/>
      <c r="YE1373" s="110"/>
      <c r="YF1373" s="110"/>
      <c r="YG1373" s="110"/>
      <c r="YH1373" s="110"/>
      <c r="YI1373" s="110"/>
      <c r="YJ1373" s="110"/>
      <c r="YK1373" s="110"/>
      <c r="YL1373" s="110"/>
      <c r="YM1373" s="110"/>
      <c r="YN1373" s="110"/>
      <c r="YO1373" s="110"/>
      <c r="YP1373" s="110"/>
      <c r="YQ1373" s="110"/>
      <c r="YR1373" s="110"/>
      <c r="YS1373" s="110"/>
      <c r="YT1373" s="110"/>
      <c r="YU1373" s="110"/>
      <c r="YV1373" s="110"/>
      <c r="YW1373" s="110"/>
      <c r="YX1373" s="110"/>
      <c r="YY1373" s="110"/>
      <c r="YZ1373" s="110"/>
      <c r="ZA1373" s="110"/>
      <c r="ZB1373" s="110"/>
      <c r="ZC1373" s="110"/>
      <c r="ZD1373" s="110"/>
      <c r="ZE1373" s="110"/>
      <c r="ZF1373" s="110"/>
      <c r="ZG1373" s="110"/>
      <c r="ZH1373" s="110"/>
      <c r="ZI1373" s="110"/>
      <c r="ZJ1373" s="110"/>
      <c r="ZK1373" s="110"/>
      <c r="ZL1373" s="110"/>
      <c r="ZM1373" s="110"/>
      <c r="ZN1373" s="110"/>
      <c r="ZO1373" s="110"/>
      <c r="ZP1373" s="110"/>
      <c r="ZQ1373" s="110"/>
      <c r="ZR1373" s="110"/>
      <c r="ZS1373" s="110"/>
      <c r="ZT1373" s="110"/>
      <c r="ZU1373" s="110"/>
      <c r="ZV1373" s="110"/>
      <c r="ZW1373" s="110"/>
      <c r="ZX1373" s="110"/>
      <c r="ZY1373" s="110"/>
      <c r="ZZ1373" s="110"/>
      <c r="AAA1373" s="110"/>
      <c r="AAB1373" s="110"/>
      <c r="AAC1373" s="110"/>
      <c r="AAD1373" s="110"/>
      <c r="AAE1373" s="110"/>
      <c r="AAF1373" s="110"/>
      <c r="AAG1373" s="110"/>
      <c r="AAH1373" s="110"/>
      <c r="AAI1373" s="110"/>
      <c r="AAJ1373" s="110"/>
      <c r="AAK1373" s="110"/>
      <c r="AAL1373" s="110"/>
      <c r="AAM1373" s="110"/>
      <c r="AAN1373" s="110"/>
      <c r="AAO1373" s="110"/>
      <c r="AAP1373" s="110"/>
      <c r="AAQ1373" s="110"/>
      <c r="AAR1373" s="110"/>
      <c r="AAS1373" s="110"/>
      <c r="AAT1373" s="110"/>
      <c r="AAU1373" s="110"/>
      <c r="AAV1373" s="110"/>
      <c r="AAW1373" s="110"/>
      <c r="AAX1373" s="110"/>
      <c r="AAY1373" s="110"/>
      <c r="AAZ1373" s="110"/>
      <c r="ABA1373" s="110"/>
      <c r="ABB1373" s="110"/>
      <c r="ABC1373" s="110"/>
      <c r="ABD1373" s="110"/>
      <c r="ABE1373" s="110"/>
      <c r="ABF1373" s="110"/>
      <c r="ABG1373" s="110"/>
      <c r="ABH1373" s="110"/>
      <c r="ABI1373" s="110"/>
      <c r="ABJ1373" s="110"/>
      <c r="ABK1373" s="110"/>
      <c r="ABL1373" s="110"/>
      <c r="ABM1373" s="110"/>
      <c r="ABN1373" s="110"/>
      <c r="ABO1373" s="110"/>
      <c r="ABP1373" s="110"/>
      <c r="ABQ1373" s="110"/>
      <c r="ABR1373" s="110"/>
      <c r="ABS1373" s="110"/>
      <c r="ABT1373" s="110"/>
      <c r="ABU1373" s="110"/>
      <c r="ABV1373" s="110"/>
      <c r="ABW1373" s="110"/>
      <c r="ABX1373" s="110"/>
      <c r="ABY1373" s="110"/>
      <c r="ABZ1373" s="110"/>
      <c r="ACA1373" s="110"/>
      <c r="ACB1373" s="110"/>
      <c r="ACC1373" s="110"/>
      <c r="ACD1373" s="110"/>
      <c r="ACE1373" s="110"/>
      <c r="ACF1373" s="110"/>
      <c r="ACG1373" s="110"/>
      <c r="ACH1373" s="110"/>
      <c r="ACI1373" s="110"/>
      <c r="ACJ1373" s="110"/>
      <c r="ACK1373" s="110"/>
      <c r="ACL1373" s="110"/>
      <c r="ACM1373" s="110"/>
      <c r="ACN1373" s="110"/>
      <c r="ACO1373" s="110"/>
      <c r="ACP1373" s="110"/>
      <c r="ACQ1373" s="110"/>
      <c r="ACR1373" s="110"/>
      <c r="ACS1373" s="110"/>
      <c r="ACT1373" s="110"/>
      <c r="ACU1373" s="110"/>
      <c r="ACV1373" s="110"/>
      <c r="ACW1373" s="110"/>
      <c r="ACX1373" s="110"/>
      <c r="ACY1373" s="110"/>
      <c r="ACZ1373" s="110"/>
      <c r="ADA1373" s="110"/>
      <c r="ADB1373" s="110"/>
      <c r="ADC1373" s="110"/>
      <c r="ADD1373" s="110"/>
      <c r="ADE1373" s="110"/>
      <c r="ADF1373" s="110"/>
      <c r="ADG1373" s="110"/>
      <c r="ADH1373" s="110"/>
      <c r="ADI1373" s="110"/>
      <c r="ADJ1373" s="110"/>
      <c r="ADK1373" s="110"/>
      <c r="ADL1373" s="110"/>
      <c r="ADM1373" s="110"/>
      <c r="ADN1373" s="110"/>
      <c r="ADO1373" s="110"/>
      <c r="ADP1373" s="110"/>
      <c r="ADQ1373" s="110"/>
      <c r="ADR1373" s="110"/>
      <c r="ADS1373" s="110"/>
      <c r="ADT1373" s="110"/>
      <c r="ADU1373" s="110"/>
      <c r="ADV1373" s="110"/>
      <c r="ADW1373" s="110"/>
      <c r="ADX1373" s="110"/>
      <c r="ADY1373" s="110"/>
      <c r="ADZ1373" s="110"/>
      <c r="AEA1373" s="110"/>
      <c r="AEB1373" s="110"/>
      <c r="AEC1373" s="110"/>
      <c r="AED1373" s="110"/>
      <c r="AEE1373" s="110"/>
      <c r="AEF1373" s="110"/>
      <c r="AEG1373" s="110"/>
      <c r="AEH1373" s="110"/>
      <c r="AEI1373" s="110"/>
      <c r="AEJ1373" s="110"/>
      <c r="AEK1373" s="110"/>
      <c r="AEL1373" s="110"/>
      <c r="AEM1373" s="110"/>
      <c r="AEN1373" s="110"/>
      <c r="AEO1373" s="110"/>
      <c r="AEP1373" s="110"/>
      <c r="AEQ1373" s="110"/>
      <c r="AER1373" s="110"/>
      <c r="AES1373" s="110"/>
      <c r="AET1373" s="110"/>
      <c r="AEU1373" s="110"/>
      <c r="AEV1373" s="110"/>
      <c r="AEW1373" s="110"/>
      <c r="AEX1373" s="110"/>
      <c r="AEY1373" s="110"/>
      <c r="AEZ1373" s="110"/>
      <c r="AFA1373" s="110"/>
      <c r="AFB1373" s="110"/>
      <c r="AFC1373" s="110"/>
      <c r="AFD1373" s="110"/>
      <c r="AFE1373" s="110"/>
      <c r="AFF1373" s="110"/>
      <c r="AFG1373" s="110"/>
      <c r="AFH1373" s="110"/>
      <c r="AFI1373" s="110"/>
      <c r="AFJ1373" s="110"/>
      <c r="AFK1373" s="110"/>
      <c r="AFL1373" s="110"/>
      <c r="AFM1373" s="110"/>
      <c r="AFN1373" s="110"/>
      <c r="AFO1373" s="110"/>
      <c r="AFP1373" s="110"/>
      <c r="AFQ1373" s="110"/>
      <c r="AFR1373" s="110"/>
      <c r="AFS1373" s="110"/>
      <c r="AFT1373" s="110"/>
      <c r="AFU1373" s="110"/>
      <c r="AFV1373" s="110"/>
      <c r="AFW1373" s="110"/>
      <c r="AFX1373" s="110"/>
      <c r="AFY1373" s="110"/>
      <c r="AFZ1373" s="110"/>
      <c r="AGA1373" s="110"/>
      <c r="AGB1373" s="110"/>
      <c r="AGC1373" s="110"/>
      <c r="AGD1373" s="110"/>
      <c r="AGE1373" s="110"/>
      <c r="AGF1373" s="110"/>
      <c r="AGG1373" s="110"/>
      <c r="AGH1373" s="110"/>
      <c r="AGI1373" s="110"/>
      <c r="AGJ1373" s="110"/>
      <c r="AGK1373" s="110"/>
      <c r="AGL1373" s="110"/>
      <c r="AGM1373" s="110"/>
      <c r="AGN1373" s="110"/>
      <c r="AGO1373" s="110"/>
      <c r="AGP1373" s="110"/>
      <c r="AGQ1373" s="110"/>
      <c r="AGR1373" s="110"/>
      <c r="AGS1373" s="110"/>
      <c r="AGT1373" s="110"/>
      <c r="AGU1373" s="110"/>
      <c r="AGV1373" s="110"/>
      <c r="AGW1373" s="110"/>
      <c r="AGX1373" s="110"/>
      <c r="AGY1373" s="110"/>
      <c r="AGZ1373" s="110"/>
      <c r="AHA1373" s="110"/>
      <c r="AHB1373" s="110"/>
      <c r="AHC1373" s="110"/>
      <c r="AHD1373" s="110"/>
      <c r="AHE1373" s="110"/>
      <c r="AHF1373" s="110"/>
      <c r="AHG1373" s="110"/>
      <c r="AHH1373" s="110"/>
      <c r="AHI1373" s="110"/>
      <c r="AHJ1373" s="110"/>
      <c r="AHK1373" s="110"/>
      <c r="AHL1373" s="110"/>
      <c r="AHM1373" s="110"/>
      <c r="AHN1373" s="110"/>
      <c r="AHO1373" s="110"/>
      <c r="AHP1373" s="110"/>
      <c r="AHQ1373" s="110"/>
      <c r="AHR1373" s="110"/>
      <c r="AHS1373" s="110"/>
      <c r="AHT1373" s="110"/>
      <c r="AHU1373" s="110"/>
      <c r="AHV1373" s="110"/>
      <c r="AHW1373" s="110"/>
      <c r="AHX1373" s="110"/>
      <c r="AHY1373" s="110"/>
      <c r="AHZ1373" s="110"/>
      <c r="AIA1373" s="110"/>
      <c r="AIB1373" s="110"/>
      <c r="AIC1373" s="110"/>
      <c r="AID1373" s="110"/>
      <c r="AIE1373" s="110"/>
      <c r="AIF1373" s="110"/>
      <c r="AIG1373" s="110"/>
      <c r="AIH1373" s="110"/>
      <c r="AII1373" s="110"/>
      <c r="AIJ1373" s="110"/>
      <c r="AIK1373" s="110"/>
      <c r="AIL1373" s="110"/>
      <c r="AIM1373" s="110"/>
      <c r="AIN1373" s="110"/>
      <c r="AIO1373" s="110"/>
      <c r="AIP1373" s="110"/>
      <c r="AIQ1373" s="110"/>
      <c r="AIR1373" s="110"/>
      <c r="AIS1373" s="110"/>
      <c r="AIT1373" s="110"/>
      <c r="AIU1373" s="110"/>
      <c r="AIV1373" s="110"/>
      <c r="AIW1373" s="110"/>
      <c r="AIX1373" s="110"/>
      <c r="AIY1373" s="110"/>
      <c r="AIZ1373" s="110"/>
      <c r="AJA1373" s="110"/>
      <c r="AJB1373" s="110"/>
      <c r="AJC1373" s="110"/>
      <c r="AJD1373" s="110"/>
      <c r="AJE1373" s="110"/>
      <c r="AJF1373" s="110"/>
      <c r="AJG1373" s="110"/>
      <c r="AJH1373" s="110"/>
      <c r="AJI1373" s="110"/>
      <c r="AJJ1373" s="110"/>
      <c r="AJK1373" s="110"/>
      <c r="AJL1373" s="110"/>
      <c r="AJM1373" s="110"/>
      <c r="AJN1373" s="110"/>
      <c r="AJO1373" s="110"/>
      <c r="AJP1373" s="110"/>
      <c r="AJQ1373" s="110"/>
      <c r="AJR1373" s="110"/>
      <c r="AJS1373" s="110"/>
      <c r="AJT1373" s="110"/>
      <c r="AJU1373" s="110"/>
      <c r="AJV1373" s="110"/>
      <c r="AJW1373" s="110"/>
      <c r="AJX1373" s="110"/>
      <c r="AJY1373" s="110"/>
      <c r="AJZ1373" s="110"/>
      <c r="AKA1373" s="110"/>
      <c r="AKB1373" s="110"/>
      <c r="AKC1373" s="110"/>
      <c r="AKD1373" s="110"/>
      <c r="AKE1373" s="110"/>
      <c r="AKF1373" s="110"/>
      <c r="AKG1373" s="110"/>
      <c r="AKH1373" s="110"/>
      <c r="AKI1373" s="110"/>
      <c r="AKJ1373" s="110"/>
      <c r="AKK1373" s="110"/>
      <c r="AKL1373" s="110"/>
      <c r="AKM1373" s="110"/>
      <c r="AKN1373" s="110"/>
      <c r="AKO1373" s="110"/>
      <c r="AKP1373" s="110"/>
      <c r="AKQ1373" s="110"/>
      <c r="AKR1373" s="110"/>
      <c r="AKS1373" s="110"/>
      <c r="AKT1373" s="110"/>
      <c r="AKU1373" s="110"/>
      <c r="AKV1373" s="110"/>
      <c r="AKW1373" s="110"/>
      <c r="AKX1373" s="110"/>
      <c r="AKY1373" s="110"/>
      <c r="AKZ1373" s="110"/>
      <c r="ALA1373" s="110"/>
      <c r="ALB1373" s="110"/>
      <c r="ALC1373" s="110"/>
      <c r="ALD1373" s="110"/>
      <c r="ALE1373" s="110"/>
      <c r="ALF1373" s="110"/>
      <c r="ALG1373" s="110"/>
      <c r="ALH1373" s="110"/>
      <c r="ALI1373" s="110"/>
      <c r="ALJ1373" s="110"/>
      <c r="ALK1373" s="110"/>
      <c r="ALL1373" s="110"/>
      <c r="ALM1373" s="110"/>
      <c r="ALN1373" s="110"/>
      <c r="ALO1373" s="110"/>
      <c r="ALP1373" s="110"/>
      <c r="ALQ1373" s="110"/>
      <c r="ALR1373" s="110"/>
      <c r="ALS1373" s="110"/>
      <c r="ALT1373" s="110"/>
      <c r="ALU1373" s="110"/>
      <c r="ALV1373" s="110"/>
      <c r="ALW1373" s="110"/>
      <c r="ALX1373" s="110"/>
      <c r="ALY1373" s="110"/>
      <c r="ALZ1373" s="110"/>
      <c r="AMA1373" s="110"/>
      <c r="AMB1373" s="110"/>
      <c r="AMC1373" s="110"/>
      <c r="AMD1373" s="110"/>
      <c r="AME1373" s="110"/>
      <c r="AMF1373" s="110"/>
      <c r="AMG1373" s="110"/>
      <c r="AMH1373" s="110"/>
      <c r="AMI1373" s="110"/>
      <c r="AMJ1373" s="110"/>
      <c r="AMK1373" s="110"/>
      <c r="AML1373" s="110"/>
      <c r="AMM1373" s="110"/>
      <c r="AMN1373" s="110"/>
      <c r="AMO1373" s="110"/>
      <c r="AMP1373" s="110"/>
      <c r="AMQ1373" s="110"/>
      <c r="AMR1373" s="110"/>
      <c r="AMS1373" s="110"/>
      <c r="AMT1373" s="110"/>
      <c r="AMU1373" s="110"/>
      <c r="AMV1373" s="110"/>
      <c r="AMW1373" s="110"/>
      <c r="AMX1373" s="110"/>
      <c r="AMY1373" s="110"/>
      <c r="AMZ1373" s="110"/>
      <c r="ANA1373" s="110"/>
      <c r="ANB1373" s="110"/>
      <c r="ANC1373" s="110"/>
      <c r="AND1373" s="110"/>
      <c r="ANE1373" s="110"/>
      <c r="ANF1373" s="110"/>
      <c r="ANG1373" s="110"/>
      <c r="ANH1373" s="110"/>
      <c r="ANI1373" s="110"/>
      <c r="ANJ1373" s="110"/>
      <c r="ANK1373" s="110"/>
      <c r="ANL1373" s="110"/>
      <c r="ANM1373" s="110"/>
      <c r="ANN1373" s="110"/>
      <c r="ANO1373" s="110"/>
      <c r="ANP1373" s="110"/>
      <c r="ANQ1373" s="110"/>
      <c r="ANR1373" s="110"/>
      <c r="ANS1373" s="110"/>
      <c r="ANT1373" s="110"/>
      <c r="ANU1373" s="110"/>
      <c r="ANV1373" s="110"/>
      <c r="ANW1373" s="110"/>
      <c r="ANX1373" s="110"/>
      <c r="ANY1373" s="110"/>
      <c r="ANZ1373" s="110"/>
      <c r="AOA1373" s="110"/>
      <c r="AOB1373" s="110"/>
      <c r="AOC1373" s="110"/>
      <c r="AOD1373" s="110"/>
      <c r="AOE1373" s="110"/>
      <c r="AOF1373" s="110"/>
      <c r="AOG1373" s="110"/>
      <c r="AOH1373" s="110"/>
      <c r="AOI1373" s="110"/>
      <c r="AOJ1373" s="110"/>
      <c r="AOK1373" s="110"/>
      <c r="AOL1373" s="110"/>
      <c r="AOM1373" s="110"/>
      <c r="AON1373" s="110"/>
      <c r="AOO1373" s="110"/>
      <c r="AOP1373" s="110"/>
      <c r="AOQ1373" s="110"/>
      <c r="AOR1373" s="110"/>
      <c r="AOS1373" s="110"/>
      <c r="AOT1373" s="110"/>
      <c r="AOU1373" s="110"/>
      <c r="AOV1373" s="110"/>
      <c r="AOW1373" s="110"/>
      <c r="AOX1373" s="110"/>
      <c r="AOY1373" s="110"/>
      <c r="AOZ1373" s="110"/>
      <c r="APA1373" s="110"/>
      <c r="APB1373" s="110"/>
      <c r="APC1373" s="110"/>
      <c r="APD1373" s="110"/>
      <c r="APE1373" s="110"/>
      <c r="APF1373" s="110"/>
      <c r="APG1373" s="110"/>
      <c r="APH1373" s="110"/>
      <c r="API1373" s="110"/>
      <c r="APJ1373" s="110"/>
      <c r="APK1373" s="110"/>
      <c r="APL1373" s="110"/>
      <c r="APM1373" s="110"/>
      <c r="APN1373" s="110"/>
      <c r="APO1373" s="110"/>
      <c r="APP1373" s="110"/>
      <c r="APQ1373" s="110"/>
      <c r="APR1373" s="110"/>
      <c r="APS1373" s="110"/>
      <c r="APT1373" s="110"/>
      <c r="APU1373" s="110"/>
      <c r="APV1373" s="110"/>
      <c r="APW1373" s="110"/>
      <c r="APX1373" s="110"/>
      <c r="APY1373" s="110"/>
      <c r="APZ1373" s="110"/>
      <c r="AQA1373" s="110"/>
      <c r="AQB1373" s="110"/>
      <c r="AQC1373" s="110"/>
      <c r="AQD1373" s="110"/>
      <c r="AQE1373" s="110"/>
      <c r="AQF1373" s="110"/>
      <c r="AQG1373" s="110"/>
      <c r="AQH1373" s="110"/>
      <c r="AQI1373" s="110"/>
      <c r="AQJ1373" s="110"/>
      <c r="AQK1373" s="110"/>
      <c r="AQL1373" s="110"/>
      <c r="AQM1373" s="110"/>
      <c r="AQN1373" s="110"/>
      <c r="AQO1373" s="110"/>
      <c r="AQP1373" s="110"/>
      <c r="AQQ1373" s="110"/>
      <c r="AQR1373" s="110"/>
      <c r="AQS1373" s="110"/>
      <c r="AQT1373" s="110"/>
      <c r="AQU1373" s="110"/>
      <c r="AQV1373" s="110"/>
      <c r="AQW1373" s="110"/>
      <c r="AQX1373" s="110"/>
      <c r="AQY1373" s="110"/>
      <c r="AQZ1373" s="110"/>
      <c r="ARA1373" s="110"/>
      <c r="ARB1373" s="110"/>
      <c r="ARC1373" s="110"/>
      <c r="ARD1373" s="110"/>
      <c r="ARE1373" s="110"/>
      <c r="ARF1373" s="110"/>
      <c r="ARG1373" s="110"/>
      <c r="ARH1373" s="110"/>
      <c r="ARI1373" s="110"/>
      <c r="ARJ1373" s="110"/>
      <c r="ARK1373" s="110"/>
      <c r="ARL1373" s="110"/>
      <c r="ARM1373" s="110"/>
      <c r="ARN1373" s="110"/>
      <c r="ARO1373" s="110"/>
      <c r="ARP1373" s="110"/>
      <c r="ARQ1373" s="110"/>
      <c r="ARR1373" s="110"/>
      <c r="ARS1373" s="110"/>
      <c r="ART1373" s="110"/>
      <c r="ARU1373" s="110"/>
      <c r="ARV1373" s="110"/>
      <c r="ARW1373" s="110"/>
      <c r="ARX1373" s="110"/>
      <c r="ARY1373" s="110"/>
      <c r="ARZ1373" s="110"/>
      <c r="ASA1373" s="110"/>
      <c r="ASB1373" s="110"/>
      <c r="ASC1373" s="110"/>
      <c r="ASD1373" s="110"/>
      <c r="ASE1373" s="110"/>
      <c r="ASF1373" s="110"/>
      <c r="ASG1373" s="110"/>
      <c r="ASH1373" s="110"/>
      <c r="ASI1373" s="110"/>
      <c r="ASJ1373" s="110"/>
      <c r="ASK1373" s="110"/>
      <c r="ASL1373" s="110"/>
      <c r="ASM1373" s="110"/>
      <c r="ASN1373" s="110"/>
      <c r="ASO1373" s="110"/>
      <c r="ASP1373" s="110"/>
      <c r="ASQ1373" s="110"/>
      <c r="ASR1373" s="110"/>
      <c r="ASS1373" s="110"/>
      <c r="AST1373" s="110"/>
      <c r="ASU1373" s="110"/>
      <c r="ASV1373" s="110"/>
      <c r="ASW1373" s="110"/>
      <c r="ASX1373" s="110"/>
      <c r="ASY1373" s="110"/>
      <c r="ASZ1373" s="110"/>
      <c r="ATA1373" s="110"/>
      <c r="ATB1373" s="110"/>
      <c r="ATC1373" s="110"/>
      <c r="ATD1373" s="110"/>
      <c r="ATE1373" s="110"/>
      <c r="ATF1373" s="110"/>
      <c r="ATG1373" s="110"/>
      <c r="ATH1373" s="110"/>
      <c r="ATI1373" s="110"/>
      <c r="ATJ1373" s="110"/>
      <c r="ATK1373" s="110"/>
      <c r="ATL1373" s="110"/>
      <c r="ATM1373" s="110"/>
      <c r="ATN1373" s="110"/>
      <c r="ATO1373" s="110"/>
      <c r="ATP1373" s="110"/>
      <c r="ATQ1373" s="110"/>
      <c r="ATR1373" s="110"/>
      <c r="ATS1373" s="110"/>
      <c r="ATT1373" s="110"/>
      <c r="ATU1373" s="110"/>
      <c r="ATV1373" s="110"/>
      <c r="ATW1373" s="110"/>
      <c r="ATX1373" s="110"/>
      <c r="ATY1373" s="110"/>
      <c r="ATZ1373" s="110"/>
      <c r="AUA1373" s="110"/>
      <c r="AUB1373" s="110"/>
      <c r="AUC1373" s="110"/>
      <c r="AUD1373" s="110"/>
      <c r="AUE1373" s="110"/>
      <c r="AUF1373" s="110"/>
      <c r="AUG1373" s="110"/>
      <c r="AUH1373" s="110"/>
      <c r="AUI1373" s="110"/>
      <c r="AUJ1373" s="110"/>
      <c r="AUK1373" s="110"/>
      <c r="AUL1373" s="110"/>
      <c r="AUM1373" s="110"/>
      <c r="AUN1373" s="110"/>
      <c r="AUO1373" s="110"/>
      <c r="AUP1373" s="110"/>
      <c r="AUQ1373" s="110"/>
      <c r="AUR1373" s="110"/>
      <c r="AUS1373" s="110"/>
      <c r="AUT1373" s="110"/>
      <c r="AUU1373" s="110"/>
      <c r="AUV1373" s="110"/>
      <c r="AUW1373" s="110"/>
      <c r="AUX1373" s="110"/>
      <c r="AUY1373" s="110"/>
      <c r="AUZ1373" s="110"/>
      <c r="AVA1373" s="110"/>
      <c r="AVB1373" s="110"/>
      <c r="AVC1373" s="110"/>
      <c r="AVD1373" s="110"/>
      <c r="AVE1373" s="110"/>
      <c r="AVF1373" s="110"/>
      <c r="AVG1373" s="110"/>
      <c r="AVH1373" s="110"/>
      <c r="AVI1373" s="110"/>
      <c r="AVJ1373" s="110"/>
      <c r="AVK1373" s="110"/>
      <c r="AVL1373" s="110"/>
      <c r="AVM1373" s="110"/>
      <c r="AVN1373" s="110"/>
      <c r="AVO1373" s="110"/>
      <c r="AVP1373" s="110"/>
      <c r="AVQ1373" s="110"/>
      <c r="AVR1373" s="110"/>
      <c r="AVS1373" s="110"/>
      <c r="AVT1373" s="110"/>
      <c r="AVU1373" s="110"/>
      <c r="AVV1373" s="110"/>
      <c r="AVW1373" s="110"/>
      <c r="AVX1373" s="110"/>
      <c r="AVY1373" s="110"/>
      <c r="AVZ1373" s="110"/>
      <c r="AWA1373" s="110"/>
      <c r="AWB1373" s="110"/>
      <c r="AWC1373" s="110"/>
      <c r="AWD1373" s="110"/>
      <c r="AWE1373" s="110"/>
      <c r="AWF1373" s="110"/>
      <c r="AWG1373" s="110"/>
      <c r="AWH1373" s="110"/>
      <c r="AWI1373" s="110"/>
      <c r="AWJ1373" s="110"/>
      <c r="AWK1373" s="110"/>
      <c r="AWL1373" s="110"/>
      <c r="AWM1373" s="110"/>
      <c r="AWN1373" s="110"/>
      <c r="AWO1373" s="110"/>
      <c r="AWP1373" s="110"/>
      <c r="AWQ1373" s="110"/>
      <c r="AWR1373" s="110"/>
      <c r="AWS1373" s="110"/>
      <c r="AWT1373" s="110"/>
      <c r="AWU1373" s="110"/>
      <c r="AWV1373" s="110"/>
      <c r="AWW1373" s="110"/>
      <c r="AWX1373" s="110"/>
      <c r="AWY1373" s="110"/>
      <c r="AWZ1373" s="110"/>
      <c r="AXA1373" s="110"/>
      <c r="AXB1373" s="110"/>
      <c r="AXC1373" s="110"/>
      <c r="AXD1373" s="110"/>
      <c r="AXE1373" s="110"/>
      <c r="AXF1373" s="110"/>
      <c r="AXG1373" s="110"/>
      <c r="AXH1373" s="110"/>
      <c r="AXI1373" s="110"/>
      <c r="AXJ1373" s="110"/>
      <c r="AXK1373" s="110"/>
      <c r="AXL1373" s="110"/>
      <c r="AXM1373" s="110"/>
      <c r="AXN1373" s="110"/>
      <c r="AXO1373" s="110"/>
      <c r="AXP1373" s="110"/>
      <c r="AXQ1373" s="110"/>
      <c r="AXR1373" s="110"/>
      <c r="AXS1373" s="110"/>
      <c r="AXT1373" s="110"/>
      <c r="AXU1373" s="110"/>
      <c r="AXV1373" s="110"/>
      <c r="AXW1373" s="110"/>
      <c r="AXX1373" s="110"/>
      <c r="AXY1373" s="110"/>
      <c r="AXZ1373" s="110"/>
      <c r="AYA1373" s="110"/>
      <c r="AYB1373" s="110"/>
      <c r="AYC1373" s="110"/>
      <c r="AYD1373" s="110"/>
      <c r="AYE1373" s="110"/>
      <c r="AYF1373" s="110"/>
      <c r="AYG1373" s="110"/>
      <c r="AYH1373" s="110"/>
      <c r="AYI1373" s="110"/>
      <c r="AYJ1373" s="110"/>
      <c r="AYK1373" s="110"/>
      <c r="AYL1373" s="110"/>
      <c r="AYM1373" s="110"/>
      <c r="AYN1373" s="110"/>
      <c r="AYO1373" s="110"/>
      <c r="AYP1373" s="110"/>
      <c r="AYQ1373" s="110"/>
      <c r="AYR1373" s="110"/>
      <c r="AYS1373" s="110"/>
      <c r="AYT1373" s="110"/>
      <c r="AYU1373" s="110"/>
      <c r="AYV1373" s="110"/>
      <c r="AYW1373" s="110"/>
      <c r="AYX1373" s="110"/>
      <c r="AYY1373" s="110"/>
      <c r="AYZ1373" s="110"/>
      <c r="AZA1373" s="110"/>
      <c r="AZB1373" s="110"/>
      <c r="AZC1373" s="110"/>
      <c r="AZD1373" s="110"/>
      <c r="AZE1373" s="110"/>
      <c r="AZF1373" s="110"/>
      <c r="AZG1373" s="110"/>
      <c r="AZH1373" s="110"/>
      <c r="AZI1373" s="110"/>
      <c r="AZJ1373" s="110"/>
      <c r="AZK1373" s="110"/>
      <c r="AZL1373" s="110"/>
      <c r="AZM1373" s="110"/>
      <c r="AZN1373" s="110"/>
      <c r="AZO1373" s="110"/>
      <c r="AZP1373" s="110"/>
      <c r="AZQ1373" s="110"/>
      <c r="AZR1373" s="110"/>
      <c r="AZS1373" s="110"/>
      <c r="AZT1373" s="110"/>
      <c r="AZU1373" s="110"/>
      <c r="AZV1373" s="110"/>
      <c r="AZW1373" s="110"/>
      <c r="AZX1373" s="110"/>
      <c r="AZY1373" s="110"/>
      <c r="AZZ1373" s="110"/>
      <c r="BAA1373" s="110"/>
      <c r="BAB1373" s="110"/>
      <c r="BAC1373" s="110"/>
      <c r="BAD1373" s="110"/>
      <c r="BAE1373" s="110"/>
      <c r="BAF1373" s="110"/>
      <c r="BAG1373" s="110"/>
      <c r="BAH1373" s="110"/>
      <c r="BAI1373" s="110"/>
      <c r="BAJ1373" s="110"/>
      <c r="BAK1373" s="110"/>
      <c r="BAL1373" s="110"/>
      <c r="BAM1373" s="110"/>
      <c r="BAN1373" s="110"/>
      <c r="BAO1373" s="110"/>
      <c r="BAP1373" s="110"/>
      <c r="BAQ1373" s="110"/>
      <c r="BAR1373" s="110"/>
      <c r="BAS1373" s="110"/>
      <c r="BAT1373" s="110"/>
      <c r="BAU1373" s="110"/>
      <c r="BAV1373" s="110"/>
      <c r="BAW1373" s="110"/>
      <c r="BAX1373" s="110"/>
      <c r="BAY1373" s="110"/>
      <c r="BAZ1373" s="110"/>
      <c r="BBA1373" s="110"/>
      <c r="BBB1373" s="110"/>
      <c r="BBC1373" s="110"/>
      <c r="BBD1373" s="110"/>
      <c r="BBE1373" s="110"/>
      <c r="BBF1373" s="110"/>
      <c r="BBG1373" s="110"/>
      <c r="BBH1373" s="110"/>
      <c r="BBI1373" s="110"/>
      <c r="BBJ1373" s="110"/>
      <c r="BBK1373" s="110"/>
      <c r="BBL1373" s="110"/>
      <c r="BBM1373" s="110"/>
      <c r="BBN1373" s="110"/>
      <c r="BBO1373" s="110"/>
      <c r="BBP1373" s="110"/>
      <c r="BBQ1373" s="110"/>
      <c r="BBR1373" s="110"/>
      <c r="BBS1373" s="110"/>
      <c r="BBT1373" s="110"/>
      <c r="BBU1373" s="110"/>
      <c r="BBV1373" s="110"/>
      <c r="BBW1373" s="110"/>
      <c r="BBX1373" s="110"/>
      <c r="BBY1373" s="110"/>
      <c r="BBZ1373" s="110"/>
      <c r="BCA1373" s="110"/>
      <c r="BCB1373" s="110"/>
      <c r="BCC1373" s="110"/>
      <c r="BCD1373" s="110"/>
      <c r="BCE1373" s="110"/>
      <c r="BCF1373" s="110"/>
      <c r="BCG1373" s="110"/>
      <c r="BCH1373" s="110"/>
      <c r="BCI1373" s="110"/>
      <c r="BCJ1373" s="110"/>
      <c r="BCK1373" s="110"/>
      <c r="BCL1373" s="110"/>
      <c r="BCM1373" s="110"/>
      <c r="BCN1373" s="110"/>
      <c r="BCO1373" s="110"/>
      <c r="BCP1373" s="110"/>
      <c r="BCQ1373" s="110"/>
      <c r="BCR1373" s="110"/>
      <c r="BCS1373" s="110"/>
      <c r="BCT1373" s="110"/>
      <c r="BCU1373" s="110"/>
      <c r="BCV1373" s="110"/>
      <c r="BCW1373" s="110"/>
      <c r="BCX1373" s="110"/>
      <c r="BCY1373" s="110"/>
      <c r="BCZ1373" s="110"/>
      <c r="BDA1373" s="110"/>
      <c r="BDB1373" s="110"/>
      <c r="BDC1373" s="110"/>
      <c r="BDD1373" s="110"/>
      <c r="BDE1373" s="110"/>
      <c r="BDF1373" s="110"/>
      <c r="BDG1373" s="110"/>
      <c r="BDH1373" s="110"/>
      <c r="BDI1373" s="110"/>
      <c r="BDJ1373" s="110"/>
      <c r="BDK1373" s="110"/>
      <c r="BDL1373" s="110"/>
      <c r="BDM1373" s="110"/>
      <c r="BDN1373" s="110"/>
      <c r="BDO1373" s="110"/>
      <c r="BDP1373" s="110"/>
      <c r="BDQ1373" s="110"/>
      <c r="BDR1373" s="110"/>
      <c r="BDS1373" s="110"/>
      <c r="BDT1373" s="110"/>
      <c r="BDU1373" s="110"/>
      <c r="BDV1373" s="110"/>
      <c r="BDW1373" s="110"/>
      <c r="BDX1373" s="110"/>
      <c r="BDY1373" s="110"/>
      <c r="BDZ1373" s="110"/>
      <c r="BEA1373" s="110"/>
      <c r="BEB1373" s="110"/>
      <c r="BEC1373" s="110"/>
      <c r="BED1373" s="110"/>
      <c r="BEE1373" s="110"/>
      <c r="BEF1373" s="110"/>
      <c r="BEG1373" s="110"/>
      <c r="BEH1373" s="110"/>
      <c r="BEI1373" s="110"/>
      <c r="BEJ1373" s="110"/>
      <c r="BEK1373" s="110"/>
      <c r="BEL1373" s="110"/>
      <c r="BEM1373" s="110"/>
      <c r="BEN1373" s="110"/>
      <c r="BEO1373" s="110"/>
      <c r="BEP1373" s="110"/>
      <c r="BEQ1373" s="110"/>
      <c r="BER1373" s="110"/>
      <c r="BES1373" s="110"/>
      <c r="BET1373" s="110"/>
      <c r="BEU1373" s="110"/>
      <c r="BEV1373" s="110"/>
      <c r="BEW1373" s="110"/>
      <c r="BEX1373" s="110"/>
      <c r="BEY1373" s="110"/>
      <c r="BEZ1373" s="110"/>
      <c r="BFA1373" s="110"/>
      <c r="BFB1373" s="110"/>
      <c r="BFC1373" s="110"/>
      <c r="BFD1373" s="110"/>
      <c r="BFE1373" s="110"/>
      <c r="BFF1373" s="110"/>
      <c r="BFG1373" s="110"/>
      <c r="BFH1373" s="110"/>
      <c r="BFI1373" s="110"/>
      <c r="BFJ1373" s="110"/>
      <c r="BFK1373" s="110"/>
      <c r="BFL1373" s="110"/>
      <c r="BFM1373" s="110"/>
      <c r="BFN1373" s="110"/>
      <c r="BFO1373" s="110"/>
      <c r="BFP1373" s="110"/>
      <c r="BFQ1373" s="110"/>
      <c r="BFR1373" s="110"/>
      <c r="BFS1373" s="110"/>
      <c r="BFT1373" s="110"/>
      <c r="BFU1373" s="110"/>
      <c r="BFV1373" s="110"/>
      <c r="BFW1373" s="110"/>
      <c r="BFX1373" s="110"/>
      <c r="BFY1373" s="110"/>
      <c r="BFZ1373" s="110"/>
      <c r="BGA1373" s="110"/>
      <c r="BGB1373" s="110"/>
      <c r="BGC1373" s="110"/>
      <c r="BGD1373" s="110"/>
      <c r="BGE1373" s="110"/>
      <c r="BGF1373" s="110"/>
      <c r="BGG1373" s="110"/>
      <c r="BGH1373" s="110"/>
      <c r="BGI1373" s="110"/>
      <c r="BGJ1373" s="110"/>
      <c r="BGK1373" s="110"/>
      <c r="BGL1373" s="110"/>
      <c r="BGM1373" s="110"/>
      <c r="BGN1373" s="110"/>
      <c r="BGO1373" s="110"/>
      <c r="BGP1373" s="110"/>
      <c r="BGQ1373" s="110"/>
      <c r="BGR1373" s="110"/>
      <c r="BGS1373" s="110"/>
      <c r="BGT1373" s="110"/>
      <c r="BGU1373" s="110"/>
      <c r="BGV1373" s="110"/>
      <c r="BGW1373" s="110"/>
      <c r="BGX1373" s="110"/>
      <c r="BGY1373" s="110"/>
      <c r="BGZ1373" s="110"/>
      <c r="BHA1373" s="110"/>
      <c r="BHB1373" s="110"/>
      <c r="BHC1373" s="110"/>
      <c r="BHD1373" s="110"/>
      <c r="BHE1373" s="110"/>
      <c r="BHF1373" s="110"/>
      <c r="BHG1373" s="110"/>
      <c r="BHH1373" s="110"/>
      <c r="BHI1373" s="110"/>
      <c r="BHJ1373" s="110"/>
      <c r="BHK1373" s="110"/>
      <c r="BHL1373" s="110"/>
      <c r="BHM1373" s="110"/>
      <c r="BHN1373" s="110"/>
      <c r="BHO1373" s="110"/>
      <c r="BHP1373" s="110"/>
      <c r="BHQ1373" s="110"/>
      <c r="BHR1373" s="110"/>
      <c r="BHS1373" s="110"/>
      <c r="BHT1373" s="110"/>
      <c r="BHU1373" s="110"/>
      <c r="BHV1373" s="110"/>
      <c r="BHW1373" s="110"/>
      <c r="BHX1373" s="110"/>
      <c r="BHY1373" s="110"/>
      <c r="BHZ1373" s="110"/>
      <c r="BIA1373" s="110"/>
      <c r="BIB1373" s="110"/>
      <c r="BIC1373" s="110"/>
      <c r="BID1373" s="110"/>
      <c r="BIE1373" s="110"/>
      <c r="BIF1373" s="110"/>
      <c r="BIG1373" s="110"/>
      <c r="BIH1373" s="110"/>
      <c r="BII1373" s="110"/>
      <c r="BIJ1373" s="110"/>
      <c r="BIK1373" s="110"/>
      <c r="BIL1373" s="110"/>
      <c r="BIM1373" s="110"/>
      <c r="BIN1373" s="110"/>
      <c r="BIO1373" s="110"/>
      <c r="BIP1373" s="110"/>
      <c r="BIQ1373" s="110"/>
      <c r="BIR1373" s="110"/>
      <c r="BIS1373" s="110"/>
      <c r="BIT1373" s="110"/>
      <c r="BIU1373" s="110"/>
      <c r="BIV1373" s="110"/>
      <c r="BIW1373" s="110"/>
      <c r="BIX1373" s="110"/>
      <c r="BIY1373" s="110"/>
      <c r="BIZ1373" s="110"/>
      <c r="BJA1373" s="110"/>
      <c r="BJB1373" s="110"/>
      <c r="BJC1373" s="110"/>
      <c r="BJD1373" s="110"/>
      <c r="BJE1373" s="110"/>
      <c r="BJF1373" s="110"/>
      <c r="BJG1373" s="110"/>
      <c r="BJH1373" s="110"/>
      <c r="BJI1373" s="110"/>
      <c r="BJJ1373" s="110"/>
      <c r="BJK1373" s="110"/>
      <c r="BJL1373" s="110"/>
      <c r="BJM1373" s="110"/>
      <c r="BJN1373" s="110"/>
      <c r="BJO1373" s="110"/>
      <c r="BJP1373" s="110"/>
      <c r="BJQ1373" s="110"/>
      <c r="BJR1373" s="110"/>
      <c r="BJS1373" s="110"/>
      <c r="BJT1373" s="110"/>
      <c r="BJU1373" s="110"/>
      <c r="BJV1373" s="110"/>
      <c r="BJW1373" s="110"/>
      <c r="BJX1373" s="110"/>
      <c r="BJY1373" s="110"/>
      <c r="BJZ1373" s="110"/>
      <c r="BKA1373" s="110"/>
      <c r="BKB1373" s="110"/>
      <c r="BKC1373" s="110"/>
      <c r="BKD1373" s="110"/>
      <c r="BKE1373" s="110"/>
      <c r="BKF1373" s="110"/>
      <c r="BKG1373" s="110"/>
      <c r="BKH1373" s="110"/>
      <c r="BKI1373" s="110"/>
      <c r="BKJ1373" s="110"/>
      <c r="BKK1373" s="110"/>
      <c r="BKL1373" s="110"/>
      <c r="BKM1373" s="110"/>
      <c r="BKN1373" s="110"/>
      <c r="BKO1373" s="110"/>
      <c r="BKP1373" s="110"/>
      <c r="BKQ1373" s="110"/>
      <c r="BKR1373" s="110"/>
      <c r="BKS1373" s="110"/>
      <c r="BKT1373" s="110"/>
      <c r="BKU1373" s="110"/>
      <c r="BKV1373" s="110"/>
      <c r="BKW1373" s="110"/>
      <c r="BKX1373" s="110"/>
      <c r="BKY1373" s="110"/>
      <c r="BKZ1373" s="110"/>
      <c r="BLA1373" s="110"/>
      <c r="BLB1373" s="110"/>
      <c r="BLC1373" s="110"/>
      <c r="BLD1373" s="110"/>
      <c r="BLE1373" s="110"/>
      <c r="BLF1373" s="110"/>
      <c r="BLG1373" s="110"/>
      <c r="BLH1373" s="110"/>
      <c r="BLI1373" s="110"/>
      <c r="BLJ1373" s="110"/>
      <c r="BLK1373" s="110"/>
      <c r="BLL1373" s="110"/>
      <c r="BLM1373" s="110"/>
      <c r="BLN1373" s="110"/>
      <c r="BLO1373" s="110"/>
      <c r="BLP1373" s="110"/>
      <c r="BLQ1373" s="110"/>
      <c r="BLR1373" s="110"/>
      <c r="BLS1373" s="110"/>
      <c r="BLT1373" s="110"/>
      <c r="BLU1373" s="110"/>
      <c r="BLV1373" s="110"/>
      <c r="BLW1373" s="110"/>
      <c r="BLX1373" s="110"/>
      <c r="BLY1373" s="110"/>
      <c r="BLZ1373" s="110"/>
      <c r="BMA1373" s="110"/>
      <c r="BMB1373" s="110"/>
      <c r="BMC1373" s="110"/>
      <c r="BMD1373" s="110"/>
      <c r="BME1373" s="110"/>
      <c r="BMF1373" s="110"/>
      <c r="BMG1373" s="110"/>
      <c r="BMH1373" s="110"/>
      <c r="BMI1373" s="110"/>
      <c r="BMJ1373" s="110"/>
      <c r="BMK1373" s="110"/>
      <c r="BML1373" s="110"/>
      <c r="BMM1373" s="110"/>
      <c r="BMN1373" s="110"/>
      <c r="BMO1373" s="110"/>
      <c r="BMP1373" s="110"/>
      <c r="BMQ1373" s="110"/>
      <c r="BMR1373" s="110"/>
      <c r="BMS1373" s="110"/>
      <c r="BMT1373" s="110"/>
      <c r="BMU1373" s="110"/>
      <c r="BMV1373" s="110"/>
      <c r="BMW1373" s="110"/>
      <c r="BMX1373" s="110"/>
      <c r="BMY1373" s="110"/>
      <c r="BMZ1373" s="110"/>
      <c r="BNA1373" s="110"/>
      <c r="BNB1373" s="110"/>
      <c r="BNC1373" s="110"/>
      <c r="BND1373" s="110"/>
      <c r="BNE1373" s="110"/>
      <c r="BNF1373" s="110"/>
      <c r="BNG1373" s="110"/>
      <c r="BNH1373" s="110"/>
      <c r="BNI1373" s="110"/>
      <c r="BNJ1373" s="110"/>
      <c r="BNK1373" s="110"/>
      <c r="BNL1373" s="110"/>
      <c r="BNM1373" s="110"/>
      <c r="BNN1373" s="110"/>
      <c r="BNO1373" s="110"/>
      <c r="BNP1373" s="110"/>
      <c r="BNQ1373" s="110"/>
      <c r="BNR1373" s="110"/>
      <c r="BNS1373" s="110"/>
      <c r="BNT1373" s="110"/>
      <c r="BNU1373" s="110"/>
      <c r="BNV1373" s="110"/>
      <c r="BNW1373" s="110"/>
      <c r="BNX1373" s="110"/>
      <c r="BNY1373" s="110"/>
      <c r="BNZ1373" s="110"/>
      <c r="BOA1373" s="110"/>
      <c r="BOB1373" s="110"/>
      <c r="BOC1373" s="110"/>
      <c r="BOD1373" s="110"/>
      <c r="BOE1373" s="110"/>
      <c r="BOF1373" s="110"/>
      <c r="BOG1373" s="110"/>
      <c r="BOH1373" s="110"/>
      <c r="BOI1373" s="110"/>
      <c r="BOJ1373" s="110"/>
      <c r="BOK1373" s="110"/>
      <c r="BOL1373" s="110"/>
      <c r="BOM1373" s="110"/>
      <c r="BON1373" s="110"/>
      <c r="BOO1373" s="110"/>
      <c r="BOP1373" s="110"/>
      <c r="BOQ1373" s="110"/>
      <c r="BOR1373" s="110"/>
      <c r="BOS1373" s="110"/>
      <c r="BOT1373" s="110"/>
      <c r="BOU1373" s="110"/>
      <c r="BOV1373" s="110"/>
      <c r="BOW1373" s="110"/>
      <c r="BOX1373" s="110"/>
      <c r="BOY1373" s="110"/>
      <c r="BOZ1373" s="110"/>
      <c r="BPA1373" s="110"/>
      <c r="BPB1373" s="110"/>
      <c r="BPC1373" s="110"/>
      <c r="BPD1373" s="110"/>
      <c r="BPE1373" s="110"/>
      <c r="BPF1373" s="110"/>
      <c r="BPG1373" s="110"/>
      <c r="BPH1373" s="110"/>
      <c r="BPI1373" s="110"/>
      <c r="BPJ1373" s="110"/>
      <c r="BPK1373" s="110"/>
      <c r="BPL1373" s="110"/>
      <c r="BPM1373" s="110"/>
      <c r="BPN1373" s="110"/>
      <c r="BPO1373" s="110"/>
      <c r="BPP1373" s="110"/>
      <c r="BPQ1373" s="110"/>
      <c r="BPR1373" s="110"/>
      <c r="BPS1373" s="110"/>
      <c r="BPT1373" s="110"/>
      <c r="BPU1373" s="110"/>
      <c r="BPV1373" s="110"/>
      <c r="BPW1373" s="110"/>
      <c r="BPX1373" s="110"/>
      <c r="BPY1373" s="110"/>
      <c r="BPZ1373" s="110"/>
      <c r="BQA1373" s="110"/>
      <c r="BQB1373" s="110"/>
      <c r="BQC1373" s="110"/>
      <c r="BQD1373" s="110"/>
      <c r="BQE1373" s="110"/>
      <c r="BQF1373" s="110"/>
      <c r="BQG1373" s="110"/>
      <c r="BQH1373" s="110"/>
      <c r="BQI1373" s="110"/>
      <c r="BQJ1373" s="110"/>
      <c r="BQK1373" s="110"/>
      <c r="BQL1373" s="110"/>
      <c r="BQM1373" s="110"/>
      <c r="BQN1373" s="110"/>
      <c r="BQO1373" s="110"/>
      <c r="BQP1373" s="110"/>
      <c r="BQQ1373" s="110"/>
      <c r="BQR1373" s="110"/>
      <c r="BQS1373" s="110"/>
      <c r="BQT1373" s="110"/>
      <c r="BQU1373" s="110"/>
      <c r="BQV1373" s="110"/>
      <c r="BQW1373" s="110"/>
      <c r="BQX1373" s="110"/>
      <c r="BQY1373" s="110"/>
      <c r="BQZ1373" s="110"/>
      <c r="BRA1373" s="110"/>
      <c r="BRB1373" s="110"/>
      <c r="BRC1373" s="110"/>
      <c r="BRD1373" s="110"/>
      <c r="BRE1373" s="110"/>
      <c r="BRF1373" s="110"/>
      <c r="BRG1373" s="110"/>
      <c r="BRH1373" s="110"/>
      <c r="BRI1373" s="110"/>
      <c r="BRJ1373" s="110"/>
      <c r="BRK1373" s="110"/>
      <c r="BRL1373" s="110"/>
      <c r="BRM1373" s="110"/>
      <c r="BRN1373" s="110"/>
      <c r="BRO1373" s="110"/>
      <c r="BRP1373" s="110"/>
      <c r="BRQ1373" s="110"/>
      <c r="BRR1373" s="110"/>
      <c r="BRS1373" s="110"/>
      <c r="BRT1373" s="110"/>
      <c r="BRU1373" s="110"/>
      <c r="BRV1373" s="110"/>
      <c r="BRW1373" s="110"/>
      <c r="BRX1373" s="110"/>
      <c r="BRY1373" s="110"/>
      <c r="BRZ1373" s="110"/>
      <c r="BSA1373" s="110"/>
      <c r="BSB1373" s="110"/>
      <c r="BSC1373" s="110"/>
      <c r="BSD1373" s="110"/>
      <c r="BSE1373" s="110"/>
      <c r="BSF1373" s="110"/>
      <c r="BSG1373" s="110"/>
      <c r="BSH1373" s="110"/>
      <c r="BSI1373" s="110"/>
      <c r="BSJ1373" s="110"/>
      <c r="BSK1373" s="110"/>
      <c r="BSL1373" s="110"/>
      <c r="BSM1373" s="110"/>
      <c r="BSN1373" s="110"/>
      <c r="BSO1373" s="110"/>
      <c r="BSP1373" s="110"/>
      <c r="BSQ1373" s="110"/>
      <c r="BSR1373" s="110"/>
      <c r="BSS1373" s="110"/>
      <c r="BST1373" s="110"/>
      <c r="BSU1373" s="110"/>
      <c r="BSV1373" s="110"/>
      <c r="BSW1373" s="110"/>
      <c r="BSX1373" s="110"/>
      <c r="BSY1373" s="110"/>
      <c r="BSZ1373" s="110"/>
      <c r="BTA1373" s="110"/>
      <c r="BTB1373" s="110"/>
      <c r="BTC1373" s="110"/>
      <c r="BTD1373" s="110"/>
      <c r="BTE1373" s="110"/>
      <c r="BTF1373" s="110"/>
      <c r="BTG1373" s="110"/>
      <c r="BTH1373" s="110"/>
      <c r="BTI1373" s="110"/>
      <c r="BTJ1373" s="110"/>
      <c r="BTK1373" s="110"/>
      <c r="BTL1373" s="110"/>
      <c r="BTM1373" s="110"/>
      <c r="BTN1373" s="110"/>
      <c r="BTO1373" s="110"/>
      <c r="BTP1373" s="110"/>
      <c r="BTQ1373" s="110"/>
      <c r="BTR1373" s="110"/>
      <c r="BTS1373" s="110"/>
      <c r="BTT1373" s="110"/>
      <c r="BTU1373" s="110"/>
      <c r="BTV1373" s="110"/>
      <c r="BTW1373" s="110"/>
      <c r="BTX1373" s="110"/>
      <c r="BTY1373" s="110"/>
      <c r="BTZ1373" s="110"/>
      <c r="BUA1373" s="110"/>
      <c r="BUB1373" s="110"/>
      <c r="BUC1373" s="110"/>
      <c r="BUD1373" s="110"/>
      <c r="BUE1373" s="110"/>
      <c r="BUF1373" s="110"/>
      <c r="BUG1373" s="110"/>
      <c r="BUH1373" s="110"/>
      <c r="BUI1373" s="110"/>
      <c r="BUJ1373" s="110"/>
      <c r="BUK1373" s="110"/>
      <c r="BUL1373" s="110"/>
      <c r="BUM1373" s="110"/>
      <c r="BUN1373" s="110"/>
      <c r="BUO1373" s="110"/>
      <c r="BUP1373" s="110"/>
      <c r="BUQ1373" s="110"/>
      <c r="BUR1373" s="110"/>
      <c r="BUS1373" s="110"/>
      <c r="BUT1373" s="110"/>
      <c r="BUU1373" s="110"/>
      <c r="BUV1373" s="110"/>
      <c r="BUW1373" s="110"/>
      <c r="BUX1373" s="110"/>
      <c r="BUY1373" s="110"/>
      <c r="BUZ1373" s="110"/>
      <c r="BVA1373" s="110"/>
      <c r="BVB1373" s="110"/>
      <c r="BVC1373" s="110"/>
      <c r="BVD1373" s="110"/>
      <c r="BVE1373" s="110"/>
      <c r="BVF1373" s="110"/>
      <c r="BVG1373" s="110"/>
      <c r="BVH1373" s="110"/>
      <c r="BVI1373" s="110"/>
      <c r="BVJ1373" s="110"/>
      <c r="BVK1373" s="110"/>
      <c r="BVL1373" s="110"/>
      <c r="BVM1373" s="110"/>
      <c r="BVN1373" s="110"/>
      <c r="BVO1373" s="110"/>
      <c r="BVP1373" s="110"/>
      <c r="BVQ1373" s="110"/>
      <c r="BVR1373" s="110"/>
      <c r="BVS1373" s="110"/>
      <c r="BVT1373" s="110"/>
      <c r="BVU1373" s="110"/>
      <c r="BVV1373" s="110"/>
      <c r="BVW1373" s="110"/>
      <c r="BVX1373" s="110"/>
      <c r="BVY1373" s="110"/>
      <c r="BVZ1373" s="110"/>
      <c r="BWA1373" s="110"/>
      <c r="BWB1373" s="110"/>
      <c r="BWC1373" s="110"/>
      <c r="BWD1373" s="110"/>
      <c r="BWE1373" s="110"/>
      <c r="BWF1373" s="110"/>
      <c r="BWG1373" s="110"/>
      <c r="BWH1373" s="110"/>
      <c r="BWI1373" s="110"/>
      <c r="BWJ1373" s="110"/>
      <c r="BWK1373" s="110"/>
      <c r="BWL1373" s="110"/>
      <c r="BWM1373" s="110"/>
      <c r="BWN1373" s="110"/>
      <c r="BWO1373" s="110"/>
      <c r="BWP1373" s="110"/>
      <c r="BWQ1373" s="110"/>
      <c r="BWR1373" s="110"/>
      <c r="BWS1373" s="110"/>
      <c r="BWT1373" s="110"/>
      <c r="BWU1373" s="110"/>
      <c r="BWV1373" s="110"/>
      <c r="BWW1373" s="110"/>
      <c r="BWX1373" s="110"/>
      <c r="BWY1373" s="110"/>
      <c r="BWZ1373" s="110"/>
      <c r="BXA1373" s="110"/>
      <c r="BXB1373" s="110"/>
      <c r="BXC1373" s="110"/>
      <c r="BXD1373" s="110"/>
      <c r="BXE1373" s="110"/>
      <c r="BXF1373" s="110"/>
      <c r="BXG1373" s="110"/>
      <c r="BXH1373" s="110"/>
      <c r="BXI1373" s="110"/>
      <c r="BXJ1373" s="110"/>
      <c r="BXK1373" s="110"/>
      <c r="BXL1373" s="110"/>
      <c r="BXM1373" s="110"/>
      <c r="BXN1373" s="110"/>
      <c r="BXO1373" s="110"/>
      <c r="BXP1373" s="110"/>
      <c r="BXQ1373" s="110"/>
      <c r="BXR1373" s="110"/>
      <c r="BXS1373" s="110"/>
      <c r="BXT1373" s="110"/>
      <c r="BXU1373" s="110"/>
      <c r="BXV1373" s="110"/>
      <c r="BXW1373" s="110"/>
      <c r="BXX1373" s="110"/>
      <c r="BXY1373" s="110"/>
      <c r="BXZ1373" s="110"/>
      <c r="BYA1373" s="110"/>
      <c r="BYB1373" s="110"/>
      <c r="BYC1373" s="110"/>
      <c r="BYD1373" s="110"/>
      <c r="BYE1373" s="110"/>
      <c r="BYF1373" s="110"/>
      <c r="BYG1373" s="110"/>
      <c r="BYH1373" s="110"/>
      <c r="BYI1373" s="110"/>
      <c r="BYJ1373" s="110"/>
      <c r="BYK1373" s="110"/>
      <c r="BYL1373" s="110"/>
      <c r="BYM1373" s="110"/>
      <c r="BYN1373" s="110"/>
      <c r="BYO1373" s="110"/>
      <c r="BYP1373" s="110"/>
      <c r="BYQ1373" s="110"/>
      <c r="BYR1373" s="110"/>
      <c r="BYS1373" s="110"/>
      <c r="BYT1373" s="110"/>
      <c r="BYU1373" s="110"/>
      <c r="BYV1373" s="110"/>
      <c r="BYW1373" s="110"/>
      <c r="BYX1373" s="110"/>
      <c r="BYY1373" s="110"/>
      <c r="BYZ1373" s="110"/>
      <c r="BZA1373" s="110"/>
      <c r="BZB1373" s="110"/>
      <c r="BZC1373" s="110"/>
      <c r="BZD1373" s="110"/>
      <c r="BZE1373" s="110"/>
      <c r="BZF1373" s="110"/>
      <c r="BZG1373" s="110"/>
      <c r="BZH1373" s="110"/>
      <c r="BZI1373" s="110"/>
      <c r="BZJ1373" s="110"/>
      <c r="BZK1373" s="110"/>
      <c r="BZL1373" s="110"/>
      <c r="BZM1373" s="110"/>
      <c r="BZN1373" s="110"/>
      <c r="BZO1373" s="110"/>
      <c r="BZP1373" s="110"/>
      <c r="BZQ1373" s="110"/>
      <c r="BZR1373" s="110"/>
      <c r="BZS1373" s="110"/>
      <c r="BZT1373" s="110"/>
      <c r="BZU1373" s="110"/>
      <c r="BZV1373" s="110"/>
      <c r="BZW1373" s="110"/>
      <c r="BZX1373" s="110"/>
      <c r="BZY1373" s="110"/>
      <c r="BZZ1373" s="110"/>
      <c r="CAA1373" s="110"/>
      <c r="CAB1373" s="110"/>
      <c r="CAC1373" s="110"/>
      <c r="CAD1373" s="110"/>
      <c r="CAE1373" s="110"/>
      <c r="CAF1373" s="110"/>
      <c r="CAG1373" s="110"/>
      <c r="CAH1373" s="110"/>
      <c r="CAI1373" s="110"/>
      <c r="CAJ1373" s="110"/>
      <c r="CAK1373" s="110"/>
      <c r="CAL1373" s="110"/>
      <c r="CAM1373" s="110"/>
      <c r="CAN1373" s="110"/>
      <c r="CAO1373" s="110"/>
      <c r="CAP1373" s="110"/>
      <c r="CAQ1373" s="110"/>
      <c r="CAR1373" s="110"/>
      <c r="CAS1373" s="110"/>
      <c r="CAT1373" s="110"/>
      <c r="CAU1373" s="110"/>
      <c r="CAV1373" s="110"/>
      <c r="CAW1373" s="110"/>
      <c r="CAX1373" s="110"/>
      <c r="CAY1373" s="110"/>
      <c r="CAZ1373" s="110"/>
      <c r="CBA1373" s="110"/>
      <c r="CBB1373" s="110"/>
      <c r="CBC1373" s="110"/>
      <c r="CBD1373" s="110"/>
      <c r="CBE1373" s="110"/>
      <c r="CBF1373" s="110"/>
      <c r="CBG1373" s="110"/>
      <c r="CBH1373" s="110"/>
      <c r="CBI1373" s="110"/>
      <c r="CBJ1373" s="110"/>
      <c r="CBK1373" s="110"/>
      <c r="CBL1373" s="110"/>
      <c r="CBM1373" s="110"/>
      <c r="CBN1373" s="110"/>
      <c r="CBO1373" s="110"/>
      <c r="CBP1373" s="110"/>
      <c r="CBQ1373" s="110"/>
      <c r="CBR1373" s="110"/>
      <c r="CBS1373" s="110"/>
      <c r="CBT1373" s="110"/>
      <c r="CBU1373" s="110"/>
      <c r="CBV1373" s="110"/>
      <c r="CBW1373" s="110"/>
      <c r="CBX1373" s="110"/>
      <c r="CBY1373" s="110"/>
      <c r="CBZ1373" s="110"/>
      <c r="CCA1373" s="110"/>
      <c r="CCB1373" s="110"/>
      <c r="CCC1373" s="110"/>
      <c r="CCD1373" s="110"/>
      <c r="CCE1373" s="110"/>
      <c r="CCF1373" s="110"/>
      <c r="CCG1373" s="110"/>
      <c r="CCH1373" s="110"/>
      <c r="CCI1373" s="110"/>
      <c r="CCJ1373" s="110"/>
      <c r="CCK1373" s="110"/>
      <c r="CCL1373" s="110"/>
      <c r="CCM1373" s="110"/>
      <c r="CCN1373" s="110"/>
      <c r="CCO1373" s="110"/>
      <c r="CCP1373" s="110"/>
      <c r="CCQ1373" s="110"/>
      <c r="CCR1373" s="110"/>
      <c r="CCS1373" s="110"/>
      <c r="CCT1373" s="110"/>
      <c r="CCU1373" s="110"/>
      <c r="CCV1373" s="110"/>
      <c r="CCW1373" s="110"/>
      <c r="CCX1373" s="110"/>
      <c r="CCY1373" s="110"/>
      <c r="CCZ1373" s="110"/>
      <c r="CDA1373" s="110"/>
      <c r="CDB1373" s="110"/>
      <c r="CDC1373" s="110"/>
      <c r="CDD1373" s="110"/>
      <c r="CDE1373" s="110"/>
      <c r="CDF1373" s="110"/>
      <c r="CDG1373" s="110"/>
      <c r="CDH1373" s="110"/>
      <c r="CDI1373" s="110"/>
      <c r="CDJ1373" s="110"/>
      <c r="CDK1373" s="110"/>
      <c r="CDL1373" s="110"/>
      <c r="CDM1373" s="110"/>
      <c r="CDN1373" s="110"/>
      <c r="CDO1373" s="110"/>
      <c r="CDP1373" s="110"/>
      <c r="CDQ1373" s="110"/>
      <c r="CDR1373" s="110"/>
      <c r="CDS1373" s="110"/>
      <c r="CDT1373" s="110"/>
      <c r="CDU1373" s="110"/>
      <c r="CDV1373" s="110"/>
      <c r="CDW1373" s="110"/>
      <c r="CDX1373" s="110"/>
      <c r="CDY1373" s="110"/>
      <c r="CDZ1373" s="110"/>
      <c r="CEA1373" s="110"/>
      <c r="CEB1373" s="110"/>
      <c r="CEC1373" s="110"/>
      <c r="CED1373" s="110"/>
      <c r="CEE1373" s="110"/>
      <c r="CEF1373" s="110"/>
      <c r="CEG1373" s="110"/>
      <c r="CEH1373" s="110"/>
      <c r="CEI1373" s="110"/>
      <c r="CEJ1373" s="110"/>
      <c r="CEK1373" s="110"/>
      <c r="CEL1373" s="110"/>
      <c r="CEM1373" s="110"/>
      <c r="CEN1373" s="110"/>
      <c r="CEO1373" s="110"/>
      <c r="CEP1373" s="110"/>
      <c r="CEQ1373" s="110"/>
      <c r="CER1373" s="110"/>
      <c r="CES1373" s="110"/>
      <c r="CET1373" s="110"/>
      <c r="CEU1373" s="110"/>
      <c r="CEV1373" s="110"/>
      <c r="CEW1373" s="110"/>
      <c r="CEX1373" s="110"/>
      <c r="CEY1373" s="110"/>
      <c r="CEZ1373" s="110"/>
      <c r="CFA1373" s="110"/>
      <c r="CFB1373" s="110"/>
      <c r="CFC1373" s="110"/>
      <c r="CFD1373" s="110"/>
      <c r="CFE1373" s="110"/>
      <c r="CFF1373" s="110"/>
      <c r="CFG1373" s="110"/>
      <c r="CFH1373" s="110"/>
      <c r="CFI1373" s="110"/>
      <c r="CFJ1373" s="110"/>
      <c r="CFK1373" s="110"/>
      <c r="CFL1373" s="110"/>
      <c r="CFM1373" s="110"/>
      <c r="CFN1373" s="110"/>
      <c r="CFO1373" s="110"/>
      <c r="CFP1373" s="110"/>
      <c r="CFQ1373" s="110"/>
      <c r="CFR1373" s="110"/>
      <c r="CFS1373" s="110"/>
      <c r="CFT1373" s="110"/>
      <c r="CFU1373" s="110"/>
      <c r="CFV1373" s="110"/>
      <c r="CFW1373" s="110"/>
      <c r="CFX1373" s="110"/>
      <c r="CFY1373" s="110"/>
      <c r="CFZ1373" s="110"/>
      <c r="CGA1373" s="110"/>
      <c r="CGB1373" s="110"/>
      <c r="CGC1373" s="110"/>
      <c r="CGD1373" s="110"/>
      <c r="CGE1373" s="110"/>
      <c r="CGF1373" s="110"/>
      <c r="CGG1373" s="110"/>
      <c r="CGH1373" s="110"/>
      <c r="CGI1373" s="110"/>
      <c r="CGJ1373" s="110"/>
      <c r="CGK1373" s="110"/>
      <c r="CGL1373" s="110"/>
      <c r="CGM1373" s="110"/>
      <c r="CGN1373" s="110"/>
      <c r="CGO1373" s="110"/>
      <c r="CGP1373" s="110"/>
      <c r="CGQ1373" s="110"/>
      <c r="CGR1373" s="110"/>
      <c r="CGS1373" s="110"/>
      <c r="CGT1373" s="110"/>
      <c r="CGU1373" s="110"/>
      <c r="CGV1373" s="110"/>
      <c r="CGW1373" s="110"/>
      <c r="CGX1373" s="110"/>
      <c r="CGY1373" s="110"/>
      <c r="CGZ1373" s="110"/>
      <c r="CHA1373" s="110"/>
      <c r="CHB1373" s="110"/>
      <c r="CHC1373" s="110"/>
      <c r="CHD1373" s="110"/>
      <c r="CHE1373" s="110"/>
      <c r="CHF1373" s="110"/>
      <c r="CHG1373" s="110"/>
      <c r="CHH1373" s="110"/>
      <c r="CHI1373" s="110"/>
      <c r="CHJ1373" s="110"/>
      <c r="CHK1373" s="110"/>
      <c r="CHL1373" s="110"/>
      <c r="CHM1373" s="110"/>
      <c r="CHN1373" s="110"/>
      <c r="CHO1373" s="110"/>
      <c r="CHP1373" s="110"/>
      <c r="CHQ1373" s="110"/>
      <c r="CHR1373" s="110"/>
      <c r="CHS1373" s="110"/>
      <c r="CHT1373" s="110"/>
      <c r="CHU1373" s="110"/>
      <c r="CHV1373" s="110"/>
      <c r="CHW1373" s="110"/>
      <c r="CHX1373" s="110"/>
      <c r="CHY1373" s="110"/>
      <c r="CHZ1373" s="110"/>
      <c r="CIA1373" s="110"/>
      <c r="CIB1373" s="110"/>
      <c r="CIC1373" s="110"/>
      <c r="CID1373" s="110"/>
      <c r="CIE1373" s="110"/>
      <c r="CIF1373" s="110"/>
      <c r="CIG1373" s="110"/>
      <c r="CIH1373" s="110"/>
      <c r="CII1373" s="110"/>
      <c r="CIJ1373" s="110"/>
      <c r="CIK1373" s="110"/>
      <c r="CIL1373" s="110"/>
      <c r="CIM1373" s="110"/>
      <c r="CIN1373" s="110"/>
      <c r="CIO1373" s="110"/>
      <c r="CIP1373" s="110"/>
      <c r="CIQ1373" s="110"/>
      <c r="CIR1373" s="110"/>
      <c r="CIS1373" s="110"/>
      <c r="CIT1373" s="110"/>
      <c r="CIU1373" s="110"/>
      <c r="CIV1373" s="110"/>
      <c r="CIW1373" s="110"/>
      <c r="CIX1373" s="110"/>
      <c r="CIY1373" s="110"/>
      <c r="CIZ1373" s="110"/>
      <c r="CJA1373" s="110"/>
      <c r="CJB1373" s="110"/>
      <c r="CJC1373" s="110"/>
      <c r="CJD1373" s="110"/>
      <c r="CJE1373" s="110"/>
      <c r="CJF1373" s="110"/>
      <c r="CJG1373" s="110"/>
      <c r="CJH1373" s="110"/>
      <c r="CJI1373" s="110"/>
      <c r="CJJ1373" s="110"/>
      <c r="CJK1373" s="110"/>
      <c r="CJL1373" s="110"/>
      <c r="CJM1373" s="110"/>
      <c r="CJN1373" s="110"/>
      <c r="CJO1373" s="110"/>
      <c r="CJP1373" s="110"/>
      <c r="CJQ1373" s="110"/>
      <c r="CJR1373" s="110"/>
      <c r="CJS1373" s="110"/>
      <c r="CJT1373" s="110"/>
      <c r="CJU1373" s="110"/>
      <c r="CJV1373" s="110"/>
      <c r="CJW1373" s="110"/>
      <c r="CJX1373" s="110"/>
      <c r="CJY1373" s="110"/>
      <c r="CJZ1373" s="110"/>
      <c r="CKA1373" s="110"/>
      <c r="CKB1373" s="110"/>
      <c r="CKC1373" s="110"/>
      <c r="CKD1373" s="110"/>
      <c r="CKE1373" s="110"/>
      <c r="CKF1373" s="110"/>
      <c r="CKG1373" s="110"/>
      <c r="CKH1373" s="110"/>
      <c r="CKI1373" s="110"/>
      <c r="CKJ1373" s="110"/>
      <c r="CKK1373" s="110"/>
      <c r="CKL1373" s="110"/>
      <c r="CKM1373" s="110"/>
      <c r="CKN1373" s="110"/>
      <c r="CKO1373" s="110"/>
      <c r="CKP1373" s="110"/>
      <c r="CKQ1373" s="110"/>
      <c r="CKR1373" s="110"/>
      <c r="CKS1373" s="110"/>
      <c r="CKT1373" s="110"/>
      <c r="CKU1373" s="110"/>
      <c r="CKV1373" s="110"/>
      <c r="CKW1373" s="110"/>
      <c r="CKX1373" s="110"/>
      <c r="CKY1373" s="110"/>
      <c r="CKZ1373" s="110"/>
      <c r="CLA1373" s="110"/>
      <c r="CLB1373" s="110"/>
      <c r="CLC1373" s="110"/>
      <c r="CLD1373" s="110"/>
      <c r="CLE1373" s="110"/>
      <c r="CLF1373" s="110"/>
      <c r="CLG1373" s="110"/>
      <c r="CLH1373" s="110"/>
      <c r="CLI1373" s="110"/>
      <c r="CLJ1373" s="110"/>
      <c r="CLK1373" s="110"/>
      <c r="CLL1373" s="110"/>
      <c r="CLM1373" s="110"/>
      <c r="CLN1373" s="110"/>
      <c r="CLO1373" s="110"/>
      <c r="CLP1373" s="110"/>
      <c r="CLQ1373" s="110"/>
      <c r="CLR1373" s="110"/>
      <c r="CLS1373" s="110"/>
      <c r="CLT1373" s="110"/>
      <c r="CLU1373" s="110"/>
      <c r="CLV1373" s="110"/>
      <c r="CLW1373" s="110"/>
      <c r="CLX1373" s="110"/>
      <c r="CLY1373" s="110"/>
      <c r="CLZ1373" s="110"/>
      <c r="CMA1373" s="110"/>
      <c r="CMB1373" s="110"/>
      <c r="CMC1373" s="110"/>
      <c r="CMD1373" s="110"/>
      <c r="CME1373" s="110"/>
      <c r="CMF1373" s="110"/>
      <c r="CMG1373" s="110"/>
      <c r="CMH1373" s="110"/>
      <c r="CMI1373" s="110"/>
      <c r="CMJ1373" s="110"/>
      <c r="CMK1373" s="110"/>
      <c r="CML1373" s="110"/>
      <c r="CMM1373" s="110"/>
      <c r="CMN1373" s="110"/>
      <c r="CMO1373" s="110"/>
      <c r="CMP1373" s="110"/>
      <c r="CMQ1373" s="110"/>
      <c r="CMR1373" s="110"/>
      <c r="CMS1373" s="110"/>
      <c r="CMT1373" s="110"/>
      <c r="CMU1373" s="110"/>
      <c r="CMV1373" s="110"/>
      <c r="CMW1373" s="110"/>
      <c r="CMX1373" s="110"/>
      <c r="CMY1373" s="110"/>
      <c r="CMZ1373" s="110"/>
      <c r="CNA1373" s="110"/>
      <c r="CNB1373" s="110"/>
      <c r="CNC1373" s="110"/>
      <c r="CND1373" s="110"/>
      <c r="CNE1373" s="110"/>
      <c r="CNF1373" s="110"/>
      <c r="CNG1373" s="110"/>
      <c r="CNH1373" s="110"/>
      <c r="CNI1373" s="110"/>
      <c r="CNJ1373" s="110"/>
      <c r="CNK1373" s="110"/>
      <c r="CNL1373" s="110"/>
      <c r="CNM1373" s="110"/>
      <c r="CNN1373" s="110"/>
      <c r="CNO1373" s="110"/>
      <c r="CNP1373" s="110"/>
      <c r="CNQ1373" s="110"/>
      <c r="CNR1373" s="110"/>
      <c r="CNS1373" s="110"/>
      <c r="CNT1373" s="110"/>
      <c r="CNU1373" s="110"/>
      <c r="CNV1373" s="110"/>
      <c r="CNW1373" s="110"/>
      <c r="CNX1373" s="110"/>
      <c r="CNY1373" s="110"/>
      <c r="CNZ1373" s="110"/>
      <c r="COA1373" s="110"/>
      <c r="COB1373" s="110"/>
      <c r="COC1373" s="110"/>
      <c r="COD1373" s="110"/>
      <c r="COE1373" s="110"/>
      <c r="COF1373" s="110"/>
      <c r="COG1373" s="110"/>
      <c r="COH1373" s="110"/>
      <c r="COI1373" s="110"/>
      <c r="COJ1373" s="110"/>
      <c r="COK1373" s="110"/>
      <c r="COL1373" s="110"/>
      <c r="COM1373" s="110"/>
      <c r="CON1373" s="110"/>
      <c r="COO1373" s="110"/>
      <c r="COP1373" s="110"/>
      <c r="COQ1373" s="110"/>
      <c r="COR1373" s="110"/>
      <c r="COS1373" s="110"/>
      <c r="COT1373" s="110"/>
      <c r="COU1373" s="110"/>
      <c r="COV1373" s="110"/>
      <c r="COW1373" s="110"/>
      <c r="COX1373" s="110"/>
      <c r="COY1373" s="110"/>
      <c r="COZ1373" s="110"/>
      <c r="CPA1373" s="110"/>
      <c r="CPB1373" s="110"/>
      <c r="CPC1373" s="110"/>
      <c r="CPD1373" s="110"/>
      <c r="CPE1373" s="110"/>
      <c r="CPF1373" s="110"/>
      <c r="CPG1373" s="110"/>
      <c r="CPH1373" s="110"/>
      <c r="CPI1373" s="110"/>
      <c r="CPJ1373" s="110"/>
      <c r="CPK1373" s="110"/>
      <c r="CPL1373" s="110"/>
      <c r="CPM1373" s="110"/>
      <c r="CPN1373" s="110"/>
      <c r="CPO1373" s="110"/>
      <c r="CPP1373" s="110"/>
      <c r="CPQ1373" s="110"/>
      <c r="CPR1373" s="110"/>
      <c r="CPS1373" s="110"/>
      <c r="CPT1373" s="110"/>
      <c r="CPU1373" s="110"/>
      <c r="CPV1373" s="110"/>
      <c r="CPW1373" s="110"/>
      <c r="CPX1373" s="110"/>
      <c r="CPY1373" s="110"/>
      <c r="CPZ1373" s="110"/>
      <c r="CQA1373" s="110"/>
      <c r="CQB1373" s="110"/>
      <c r="CQC1373" s="110"/>
      <c r="CQD1373" s="110"/>
      <c r="CQE1373" s="110"/>
      <c r="CQF1373" s="110"/>
      <c r="CQG1373" s="110"/>
      <c r="CQH1373" s="110"/>
      <c r="CQI1373" s="110"/>
      <c r="CQJ1373" s="110"/>
      <c r="CQK1373" s="110"/>
      <c r="CQL1373" s="110"/>
      <c r="CQM1373" s="110"/>
      <c r="CQN1373" s="110"/>
      <c r="CQO1373" s="110"/>
      <c r="CQP1373" s="110"/>
      <c r="CQQ1373" s="110"/>
      <c r="CQR1373" s="110"/>
      <c r="CQS1373" s="110"/>
      <c r="CQT1373" s="110"/>
      <c r="CQU1373" s="110"/>
      <c r="CQV1373" s="110"/>
      <c r="CQW1373" s="110"/>
      <c r="CQX1373" s="110"/>
      <c r="CQY1373" s="110"/>
      <c r="CQZ1373" s="110"/>
      <c r="CRA1373" s="110"/>
      <c r="CRB1373" s="110"/>
      <c r="CRC1373" s="110"/>
      <c r="CRD1373" s="110"/>
      <c r="CRE1373" s="110"/>
      <c r="CRF1373" s="110"/>
      <c r="CRG1373" s="110"/>
      <c r="CRH1373" s="110"/>
      <c r="CRI1373" s="110"/>
      <c r="CRJ1373" s="110"/>
      <c r="CRK1373" s="110"/>
      <c r="CRL1373" s="110"/>
      <c r="CRM1373" s="110"/>
      <c r="CRN1373" s="110"/>
      <c r="CRO1373" s="110"/>
      <c r="CRP1373" s="110"/>
      <c r="CRQ1373" s="110"/>
      <c r="CRR1373" s="110"/>
      <c r="CRS1373" s="110"/>
      <c r="CRT1373" s="110"/>
      <c r="CRU1373" s="110"/>
      <c r="CRV1373" s="110"/>
      <c r="CRW1373" s="110"/>
      <c r="CRX1373" s="110"/>
      <c r="CRY1373" s="110"/>
      <c r="CRZ1373" s="110"/>
      <c r="CSA1373" s="110"/>
      <c r="CSB1373" s="110"/>
      <c r="CSC1373" s="110"/>
      <c r="CSD1373" s="110"/>
      <c r="CSE1373" s="110"/>
      <c r="CSF1373" s="110"/>
      <c r="CSG1373" s="110"/>
      <c r="CSH1373" s="110"/>
      <c r="CSI1373" s="110"/>
      <c r="CSJ1373" s="110"/>
      <c r="CSK1373" s="110"/>
      <c r="CSL1373" s="110"/>
      <c r="CSM1373" s="110"/>
      <c r="CSN1373" s="110"/>
      <c r="CSO1373" s="110"/>
      <c r="CSP1373" s="110"/>
      <c r="CSQ1373" s="110"/>
      <c r="CSR1373" s="110"/>
      <c r="CSS1373" s="110"/>
      <c r="CST1373" s="110"/>
      <c r="CSU1373" s="110"/>
      <c r="CSV1373" s="110"/>
      <c r="CSW1373" s="110"/>
      <c r="CSX1373" s="110"/>
      <c r="CSY1373" s="110"/>
      <c r="CSZ1373" s="110"/>
      <c r="CTA1373" s="110"/>
      <c r="CTB1373" s="110"/>
      <c r="CTC1373" s="110"/>
      <c r="CTD1373" s="110"/>
      <c r="CTE1373" s="110"/>
      <c r="CTF1373" s="110"/>
      <c r="CTG1373" s="110"/>
      <c r="CTH1373" s="110"/>
      <c r="CTI1373" s="110"/>
      <c r="CTJ1373" s="110"/>
      <c r="CTK1373" s="110"/>
      <c r="CTL1373" s="110"/>
      <c r="CTM1373" s="110"/>
      <c r="CTN1373" s="110"/>
      <c r="CTO1373" s="110"/>
      <c r="CTP1373" s="110"/>
      <c r="CTQ1373" s="110"/>
      <c r="CTR1373" s="110"/>
      <c r="CTS1373" s="110"/>
      <c r="CTT1373" s="110"/>
      <c r="CTU1373" s="110"/>
      <c r="CTV1373" s="110"/>
      <c r="CTW1373" s="110"/>
      <c r="CTX1373" s="110"/>
      <c r="CTY1373" s="110"/>
      <c r="CTZ1373" s="110"/>
      <c r="CUA1373" s="110"/>
      <c r="CUB1373" s="110"/>
      <c r="CUC1373" s="110"/>
      <c r="CUD1373" s="110"/>
      <c r="CUE1373" s="110"/>
      <c r="CUF1373" s="110"/>
      <c r="CUG1373" s="110"/>
      <c r="CUH1373" s="110"/>
      <c r="CUI1373" s="110"/>
      <c r="CUJ1373" s="110"/>
      <c r="CUK1373" s="110"/>
      <c r="CUL1373" s="110"/>
      <c r="CUM1373" s="110"/>
      <c r="CUN1373" s="110"/>
      <c r="CUO1373" s="110"/>
      <c r="CUP1373" s="110"/>
      <c r="CUQ1373" s="110"/>
      <c r="CUR1373" s="110"/>
      <c r="CUS1373" s="110"/>
      <c r="CUT1373" s="110"/>
      <c r="CUU1373" s="110"/>
      <c r="CUV1373" s="110"/>
      <c r="CUW1373" s="110"/>
      <c r="CUX1373" s="110"/>
      <c r="CUY1373" s="110"/>
      <c r="CUZ1373" s="110"/>
      <c r="CVA1373" s="110"/>
      <c r="CVB1373" s="110"/>
      <c r="CVC1373" s="110"/>
      <c r="CVD1373" s="110"/>
      <c r="CVE1373" s="110"/>
      <c r="CVF1373" s="110"/>
      <c r="CVG1373" s="110"/>
      <c r="CVH1373" s="110"/>
      <c r="CVI1373" s="110"/>
      <c r="CVJ1373" s="110"/>
      <c r="CVK1373" s="110"/>
      <c r="CVL1373" s="110"/>
      <c r="CVM1373" s="110"/>
      <c r="CVN1373" s="110"/>
      <c r="CVO1373" s="110"/>
      <c r="CVP1373" s="110"/>
      <c r="CVQ1373" s="110"/>
      <c r="CVR1373" s="110"/>
      <c r="CVS1373" s="110"/>
      <c r="CVT1373" s="110"/>
      <c r="CVU1373" s="110"/>
      <c r="CVV1373" s="110"/>
      <c r="CVW1373" s="110"/>
      <c r="CVX1373" s="110"/>
      <c r="CVY1373" s="110"/>
      <c r="CVZ1373" s="110"/>
      <c r="CWA1373" s="110"/>
      <c r="CWB1373" s="110"/>
      <c r="CWC1373" s="110"/>
      <c r="CWD1373" s="110"/>
      <c r="CWE1373" s="110"/>
      <c r="CWF1373" s="110"/>
      <c r="CWG1373" s="110"/>
      <c r="CWH1373" s="110"/>
      <c r="CWI1373" s="110"/>
      <c r="CWJ1373" s="110"/>
      <c r="CWK1373" s="110"/>
      <c r="CWL1373" s="110"/>
      <c r="CWM1373" s="110"/>
      <c r="CWN1373" s="110"/>
      <c r="CWO1373" s="110"/>
      <c r="CWP1373" s="110"/>
      <c r="CWQ1373" s="110"/>
      <c r="CWR1373" s="110"/>
      <c r="CWS1373" s="110"/>
      <c r="CWT1373" s="110"/>
      <c r="CWU1373" s="110"/>
      <c r="CWV1373" s="110"/>
      <c r="CWW1373" s="110"/>
      <c r="CWX1373" s="110"/>
      <c r="CWY1373" s="110"/>
      <c r="CWZ1373" s="110"/>
      <c r="CXA1373" s="110"/>
      <c r="CXB1373" s="110"/>
      <c r="CXC1373" s="110"/>
      <c r="CXD1373" s="110"/>
      <c r="CXE1373" s="110"/>
      <c r="CXF1373" s="110"/>
      <c r="CXG1373" s="110"/>
      <c r="CXH1373" s="110"/>
      <c r="CXI1373" s="110"/>
      <c r="CXJ1373" s="110"/>
      <c r="CXK1373" s="110"/>
      <c r="CXL1373" s="110"/>
      <c r="CXM1373" s="110"/>
      <c r="CXN1373" s="110"/>
      <c r="CXO1373" s="110"/>
      <c r="CXP1373" s="110"/>
      <c r="CXQ1373" s="110"/>
      <c r="CXR1373" s="110"/>
      <c r="CXS1373" s="110"/>
      <c r="CXT1373" s="110"/>
      <c r="CXU1373" s="110"/>
      <c r="CXV1373" s="110"/>
      <c r="CXW1373" s="110"/>
      <c r="CXX1373" s="110"/>
      <c r="CXY1373" s="110"/>
      <c r="CXZ1373" s="110"/>
      <c r="CYA1373" s="110"/>
      <c r="CYB1373" s="110"/>
      <c r="CYC1373" s="110"/>
      <c r="CYD1373" s="110"/>
      <c r="CYE1373" s="110"/>
      <c r="CYF1373" s="110"/>
      <c r="CYG1373" s="110"/>
      <c r="CYH1373" s="110"/>
      <c r="CYI1373" s="110"/>
      <c r="CYJ1373" s="110"/>
      <c r="CYK1373" s="110"/>
      <c r="CYL1373" s="110"/>
      <c r="CYM1373" s="110"/>
      <c r="CYN1373" s="110"/>
      <c r="CYO1373" s="110"/>
      <c r="CYP1373" s="110"/>
      <c r="CYQ1373" s="110"/>
      <c r="CYR1373" s="110"/>
      <c r="CYS1373" s="110"/>
      <c r="CYT1373" s="110"/>
      <c r="CYU1373" s="110"/>
      <c r="CYV1373" s="110"/>
      <c r="CYW1373" s="110"/>
      <c r="CYX1373" s="110"/>
      <c r="CYY1373" s="110"/>
      <c r="CYZ1373" s="110"/>
      <c r="CZA1373" s="110"/>
      <c r="CZB1373" s="110"/>
      <c r="CZC1373" s="110"/>
      <c r="CZD1373" s="110"/>
      <c r="CZE1373" s="110"/>
      <c r="CZF1373" s="110"/>
      <c r="CZG1373" s="110"/>
      <c r="CZH1373" s="110"/>
      <c r="CZI1373" s="110"/>
      <c r="CZJ1373" s="110"/>
      <c r="CZK1373" s="110"/>
      <c r="CZL1373" s="110"/>
      <c r="CZM1373" s="110"/>
      <c r="CZN1373" s="110"/>
      <c r="CZO1373" s="110"/>
      <c r="CZP1373" s="110"/>
      <c r="CZQ1373" s="110"/>
      <c r="CZR1373" s="110"/>
      <c r="CZS1373" s="110"/>
      <c r="CZT1373" s="110"/>
      <c r="CZU1373" s="110"/>
      <c r="CZV1373" s="110"/>
      <c r="CZW1373" s="110"/>
      <c r="CZX1373" s="110"/>
      <c r="CZY1373" s="110"/>
      <c r="CZZ1373" s="110"/>
      <c r="DAA1373" s="110"/>
      <c r="DAB1373" s="110"/>
      <c r="DAC1373" s="110"/>
      <c r="DAD1373" s="110"/>
      <c r="DAE1373" s="110"/>
      <c r="DAF1373" s="110"/>
      <c r="DAG1373" s="110"/>
      <c r="DAH1373" s="110"/>
      <c r="DAI1373" s="110"/>
      <c r="DAJ1373" s="110"/>
      <c r="DAK1373" s="110"/>
      <c r="DAL1373" s="110"/>
      <c r="DAM1373" s="110"/>
      <c r="DAN1373" s="110"/>
      <c r="DAO1373" s="110"/>
      <c r="DAP1373" s="110"/>
      <c r="DAQ1373" s="110"/>
      <c r="DAR1373" s="110"/>
      <c r="DAS1373" s="110"/>
      <c r="DAT1373" s="110"/>
      <c r="DAU1373" s="110"/>
      <c r="DAV1373" s="110"/>
      <c r="DAW1373" s="110"/>
      <c r="DAX1373" s="110"/>
      <c r="DAY1373" s="110"/>
      <c r="DAZ1373" s="110"/>
      <c r="DBA1373" s="110"/>
      <c r="DBB1373" s="110"/>
      <c r="DBC1373" s="110"/>
      <c r="DBD1373" s="110"/>
      <c r="DBE1373" s="110"/>
      <c r="DBF1373" s="110"/>
      <c r="DBG1373" s="110"/>
      <c r="DBH1373" s="110"/>
      <c r="DBI1373" s="110"/>
      <c r="DBJ1373" s="110"/>
      <c r="DBK1373" s="110"/>
      <c r="DBL1373" s="110"/>
      <c r="DBM1373" s="110"/>
      <c r="DBN1373" s="110"/>
      <c r="DBO1373" s="110"/>
      <c r="DBP1373" s="110"/>
      <c r="DBQ1373" s="110"/>
      <c r="DBR1373" s="110"/>
      <c r="DBS1373" s="110"/>
      <c r="DBT1373" s="110"/>
      <c r="DBU1373" s="110"/>
      <c r="DBV1373" s="110"/>
      <c r="DBW1373" s="110"/>
      <c r="DBX1373" s="110"/>
      <c r="DBY1373" s="110"/>
      <c r="DBZ1373" s="110"/>
      <c r="DCA1373" s="110"/>
      <c r="DCB1373" s="110"/>
      <c r="DCC1373" s="110"/>
      <c r="DCD1373" s="110"/>
      <c r="DCE1373" s="110"/>
      <c r="DCF1373" s="110"/>
      <c r="DCG1373" s="110"/>
      <c r="DCH1373" s="110"/>
      <c r="DCI1373" s="110"/>
      <c r="DCJ1373" s="110"/>
      <c r="DCK1373" s="110"/>
      <c r="DCL1373" s="110"/>
      <c r="DCM1373" s="110"/>
      <c r="DCN1373" s="110"/>
      <c r="DCO1373" s="110"/>
      <c r="DCP1373" s="110"/>
      <c r="DCQ1373" s="110"/>
      <c r="DCR1373" s="110"/>
      <c r="DCS1373" s="110"/>
      <c r="DCT1373" s="110"/>
      <c r="DCU1373" s="110"/>
      <c r="DCV1373" s="110"/>
      <c r="DCW1373" s="110"/>
      <c r="DCX1373" s="110"/>
      <c r="DCY1373" s="110"/>
      <c r="DCZ1373" s="110"/>
      <c r="DDA1373" s="110"/>
      <c r="DDB1373" s="110"/>
      <c r="DDC1373" s="110"/>
      <c r="DDD1373" s="110"/>
      <c r="DDE1373" s="110"/>
      <c r="DDF1373" s="110"/>
      <c r="DDG1373" s="110"/>
      <c r="DDH1373" s="110"/>
      <c r="DDI1373" s="110"/>
      <c r="DDJ1373" s="110"/>
      <c r="DDK1373" s="110"/>
      <c r="DDL1373" s="110"/>
      <c r="DDM1373" s="110"/>
      <c r="DDN1373" s="110"/>
      <c r="DDO1373" s="110"/>
      <c r="DDP1373" s="110"/>
      <c r="DDQ1373" s="110"/>
      <c r="DDR1373" s="110"/>
      <c r="DDS1373" s="110"/>
      <c r="DDT1373" s="110"/>
      <c r="DDU1373" s="110"/>
      <c r="DDV1373" s="110"/>
      <c r="DDW1373" s="110"/>
      <c r="DDX1373" s="110"/>
      <c r="DDY1373" s="110"/>
      <c r="DDZ1373" s="110"/>
      <c r="DEA1373" s="110"/>
      <c r="DEB1373" s="110"/>
      <c r="DEC1373" s="110"/>
      <c r="DED1373" s="110"/>
      <c r="DEE1373" s="110"/>
      <c r="DEF1373" s="110"/>
      <c r="DEG1373" s="110"/>
      <c r="DEH1373" s="110"/>
      <c r="DEI1373" s="110"/>
      <c r="DEJ1373" s="110"/>
      <c r="DEK1373" s="110"/>
      <c r="DEL1373" s="110"/>
      <c r="DEM1373" s="110"/>
      <c r="DEN1373" s="110"/>
      <c r="DEO1373" s="110"/>
      <c r="DEP1373" s="110"/>
      <c r="DEQ1373" s="110"/>
      <c r="DER1373" s="110"/>
      <c r="DES1373" s="110"/>
      <c r="DET1373" s="110"/>
      <c r="DEU1373" s="110"/>
      <c r="DEV1373" s="110"/>
      <c r="DEW1373" s="110"/>
      <c r="DEX1373" s="110"/>
      <c r="DEY1373" s="110"/>
      <c r="DEZ1373" s="110"/>
      <c r="DFA1373" s="110"/>
      <c r="DFB1373" s="110"/>
      <c r="DFC1373" s="110"/>
      <c r="DFD1373" s="110"/>
      <c r="DFE1373" s="110"/>
      <c r="DFF1373" s="110"/>
      <c r="DFG1373" s="110"/>
      <c r="DFH1373" s="110"/>
      <c r="DFI1373" s="110"/>
      <c r="DFJ1373" s="110"/>
      <c r="DFK1373" s="110"/>
      <c r="DFL1373" s="110"/>
      <c r="DFM1373" s="110"/>
      <c r="DFN1373" s="110"/>
      <c r="DFO1373" s="110"/>
      <c r="DFP1373" s="110"/>
      <c r="DFQ1373" s="110"/>
      <c r="DFR1373" s="110"/>
      <c r="DFS1373" s="110"/>
      <c r="DFT1373" s="110"/>
      <c r="DFU1373" s="110"/>
      <c r="DFV1373" s="110"/>
      <c r="DFW1373" s="110"/>
      <c r="DFX1373" s="110"/>
      <c r="DFY1373" s="110"/>
      <c r="DFZ1373" s="110"/>
      <c r="DGA1373" s="110"/>
      <c r="DGB1373" s="110"/>
      <c r="DGC1373" s="110"/>
      <c r="DGD1373" s="110"/>
      <c r="DGE1373" s="110"/>
      <c r="DGF1373" s="110"/>
      <c r="DGG1373" s="110"/>
      <c r="DGH1373" s="110"/>
      <c r="DGI1373" s="110"/>
      <c r="DGJ1373" s="110"/>
      <c r="DGK1373" s="110"/>
      <c r="DGL1373" s="110"/>
      <c r="DGM1373" s="110"/>
      <c r="DGN1373" s="110"/>
      <c r="DGO1373" s="110"/>
      <c r="DGP1373" s="110"/>
      <c r="DGQ1373" s="110"/>
      <c r="DGR1373" s="110"/>
      <c r="DGS1373" s="110"/>
      <c r="DGT1373" s="110"/>
      <c r="DGU1373" s="110"/>
      <c r="DGV1373" s="110"/>
      <c r="DGW1373" s="110"/>
      <c r="DGX1373" s="110"/>
      <c r="DGY1373" s="110"/>
      <c r="DGZ1373" s="110"/>
      <c r="DHA1373" s="110"/>
      <c r="DHB1373" s="110"/>
      <c r="DHC1373" s="110"/>
      <c r="DHD1373" s="110"/>
      <c r="DHE1373" s="110"/>
      <c r="DHF1373" s="110"/>
      <c r="DHG1373" s="110"/>
      <c r="DHH1373" s="110"/>
      <c r="DHI1373" s="110"/>
      <c r="DHJ1373" s="110"/>
      <c r="DHK1373" s="110"/>
      <c r="DHL1373" s="110"/>
      <c r="DHM1373" s="110"/>
      <c r="DHN1373" s="110"/>
      <c r="DHO1373" s="110"/>
      <c r="DHP1373" s="110"/>
      <c r="DHQ1373" s="110"/>
      <c r="DHR1373" s="110"/>
      <c r="DHS1373" s="110"/>
      <c r="DHT1373" s="110"/>
      <c r="DHU1373" s="110"/>
      <c r="DHV1373" s="110"/>
      <c r="DHW1373" s="110"/>
      <c r="DHX1373" s="110"/>
      <c r="DHY1373" s="110"/>
      <c r="DHZ1373" s="110"/>
      <c r="DIA1373" s="110"/>
      <c r="DIB1373" s="110"/>
      <c r="DIC1373" s="110"/>
      <c r="DID1373" s="110"/>
      <c r="DIE1373" s="110"/>
      <c r="DIF1373" s="110"/>
      <c r="DIG1373" s="110"/>
      <c r="DIH1373" s="110"/>
      <c r="DII1373" s="110"/>
      <c r="DIJ1373" s="110"/>
      <c r="DIK1373" s="110"/>
      <c r="DIL1373" s="110"/>
      <c r="DIM1373" s="110"/>
      <c r="DIN1373" s="110"/>
      <c r="DIO1373" s="110"/>
      <c r="DIP1373" s="110"/>
      <c r="DIQ1373" s="110"/>
      <c r="DIR1373" s="110"/>
      <c r="DIS1373" s="110"/>
      <c r="DIT1373" s="110"/>
      <c r="DIU1373" s="110"/>
      <c r="DIV1373" s="110"/>
      <c r="DIW1373" s="110"/>
      <c r="DIX1373" s="110"/>
      <c r="DIY1373" s="110"/>
      <c r="DIZ1373" s="110"/>
      <c r="DJA1373" s="110"/>
      <c r="DJB1373" s="110"/>
      <c r="DJC1373" s="110"/>
      <c r="DJD1373" s="110"/>
      <c r="DJE1373" s="110"/>
      <c r="DJF1373" s="110"/>
      <c r="DJG1373" s="110"/>
      <c r="DJH1373" s="110"/>
      <c r="DJI1373" s="110"/>
      <c r="DJJ1373" s="110"/>
      <c r="DJK1373" s="110"/>
      <c r="DJL1373" s="110"/>
      <c r="DJM1373" s="110"/>
      <c r="DJN1373" s="110"/>
      <c r="DJO1373" s="110"/>
      <c r="DJP1373" s="110"/>
      <c r="DJQ1373" s="110"/>
      <c r="DJR1373" s="110"/>
      <c r="DJS1373" s="110"/>
      <c r="DJT1373" s="110"/>
      <c r="DJU1373" s="110"/>
      <c r="DJV1373" s="110"/>
      <c r="DJW1373" s="110"/>
      <c r="DJX1373" s="110"/>
      <c r="DJY1373" s="110"/>
      <c r="DJZ1373" s="110"/>
      <c r="DKA1373" s="110"/>
      <c r="DKB1373" s="110"/>
      <c r="DKC1373" s="110"/>
      <c r="DKD1373" s="110"/>
      <c r="DKE1373" s="110"/>
      <c r="DKF1373" s="110"/>
      <c r="DKG1373" s="110"/>
      <c r="DKH1373" s="110"/>
      <c r="DKI1373" s="110"/>
      <c r="DKJ1373" s="110"/>
      <c r="DKK1373" s="110"/>
      <c r="DKL1373" s="110"/>
      <c r="DKM1373" s="110"/>
      <c r="DKN1373" s="110"/>
      <c r="DKO1373" s="110"/>
      <c r="DKP1373" s="110"/>
      <c r="DKQ1373" s="110"/>
      <c r="DKR1373" s="110"/>
      <c r="DKS1373" s="110"/>
      <c r="DKT1373" s="110"/>
      <c r="DKU1373" s="110"/>
      <c r="DKV1373" s="110"/>
      <c r="DKW1373" s="110"/>
      <c r="DKX1373" s="110"/>
      <c r="DKY1373" s="110"/>
      <c r="DKZ1373" s="110"/>
      <c r="DLA1373" s="110"/>
      <c r="DLB1373" s="110"/>
      <c r="DLC1373" s="110"/>
      <c r="DLD1373" s="110"/>
      <c r="DLE1373" s="110"/>
      <c r="DLF1373" s="110"/>
      <c r="DLG1373" s="110"/>
      <c r="DLH1373" s="110"/>
      <c r="DLI1373" s="110"/>
      <c r="DLJ1373" s="110"/>
      <c r="DLK1373" s="110"/>
      <c r="DLL1373" s="110"/>
      <c r="DLM1373" s="110"/>
      <c r="DLN1373" s="110"/>
      <c r="DLO1373" s="110"/>
      <c r="DLP1373" s="110"/>
      <c r="DLQ1373" s="110"/>
      <c r="DLR1373" s="110"/>
      <c r="DLS1373" s="110"/>
      <c r="DLT1373" s="110"/>
      <c r="DLU1373" s="110"/>
      <c r="DLV1373" s="110"/>
      <c r="DLW1373" s="110"/>
      <c r="DLX1373" s="110"/>
      <c r="DLY1373" s="110"/>
      <c r="DLZ1373" s="110"/>
      <c r="DMA1373" s="110"/>
      <c r="DMB1373" s="110"/>
      <c r="DMC1373" s="110"/>
      <c r="DMD1373" s="110"/>
      <c r="DME1373" s="110"/>
      <c r="DMF1373" s="110"/>
      <c r="DMG1373" s="110"/>
      <c r="DMH1373" s="110"/>
      <c r="DMI1373" s="110"/>
      <c r="DMJ1373" s="110"/>
      <c r="DMK1373" s="110"/>
      <c r="DML1373" s="110"/>
      <c r="DMM1373" s="110"/>
      <c r="DMN1373" s="110"/>
      <c r="DMO1373" s="110"/>
      <c r="DMP1373" s="110"/>
      <c r="DMQ1373" s="110"/>
      <c r="DMR1373" s="110"/>
      <c r="DMS1373" s="110"/>
      <c r="DMT1373" s="110"/>
      <c r="DMU1373" s="110"/>
      <c r="DMV1373" s="110"/>
      <c r="DMW1373" s="110"/>
      <c r="DMX1373" s="110"/>
      <c r="DMY1373" s="110"/>
      <c r="DMZ1373" s="110"/>
      <c r="DNA1373" s="110"/>
      <c r="DNB1373" s="110"/>
      <c r="DNC1373" s="110"/>
      <c r="DND1373" s="110"/>
      <c r="DNE1373" s="110"/>
      <c r="DNF1373" s="110"/>
      <c r="DNG1373" s="110"/>
      <c r="DNH1373" s="110"/>
      <c r="DNI1373" s="110"/>
      <c r="DNJ1373" s="110"/>
      <c r="DNK1373" s="110"/>
      <c r="DNL1373" s="110"/>
      <c r="DNM1373" s="110"/>
      <c r="DNN1373" s="110"/>
      <c r="DNO1373" s="110"/>
      <c r="DNP1373" s="110"/>
      <c r="DNQ1373" s="110"/>
      <c r="DNR1373" s="110"/>
      <c r="DNS1373" s="110"/>
      <c r="DNT1373" s="110"/>
      <c r="DNU1373" s="110"/>
      <c r="DNV1373" s="110"/>
      <c r="DNW1373" s="110"/>
      <c r="DNX1373" s="110"/>
      <c r="DNY1373" s="110"/>
      <c r="DNZ1373" s="110"/>
      <c r="DOA1373" s="110"/>
      <c r="DOB1373" s="110"/>
      <c r="DOC1373" s="110"/>
      <c r="DOD1373" s="110"/>
      <c r="DOE1373" s="110"/>
      <c r="DOF1373" s="110"/>
      <c r="DOG1373" s="110"/>
      <c r="DOH1373" s="110"/>
      <c r="DOI1373" s="110"/>
      <c r="DOJ1373" s="110"/>
      <c r="DOK1373" s="110"/>
      <c r="DOL1373" s="110"/>
      <c r="DOM1373" s="110"/>
      <c r="DON1373" s="110"/>
      <c r="DOO1373" s="110"/>
      <c r="DOP1373" s="110"/>
      <c r="DOQ1373" s="110"/>
      <c r="DOR1373" s="110"/>
      <c r="DOS1373" s="110"/>
      <c r="DOT1373" s="110"/>
      <c r="DOU1373" s="110"/>
      <c r="DOV1373" s="110"/>
      <c r="DOW1373" s="110"/>
      <c r="DOX1373" s="110"/>
      <c r="DOY1373" s="110"/>
      <c r="DOZ1373" s="110"/>
      <c r="DPA1373" s="110"/>
      <c r="DPB1373" s="110"/>
      <c r="DPC1373" s="110"/>
      <c r="DPD1373" s="110"/>
      <c r="DPE1373" s="110"/>
      <c r="DPF1373" s="110"/>
      <c r="DPG1373" s="110"/>
      <c r="DPH1373" s="110"/>
      <c r="DPI1373" s="110"/>
      <c r="DPJ1373" s="110"/>
      <c r="DPK1373" s="110"/>
      <c r="DPL1373" s="110"/>
      <c r="DPM1373" s="110"/>
      <c r="DPN1373" s="110"/>
      <c r="DPO1373" s="110"/>
      <c r="DPP1373" s="110"/>
      <c r="DPQ1373" s="110"/>
      <c r="DPR1373" s="110"/>
      <c r="DPS1373" s="110"/>
      <c r="DPT1373" s="110"/>
      <c r="DPU1373" s="110"/>
      <c r="DPV1373" s="110"/>
      <c r="DPW1373" s="110"/>
      <c r="DPX1373" s="110"/>
      <c r="DPY1373" s="110"/>
      <c r="DPZ1373" s="110"/>
      <c r="DQA1373" s="110"/>
      <c r="DQB1373" s="110"/>
      <c r="DQC1373" s="110"/>
      <c r="DQD1373" s="110"/>
      <c r="DQE1373" s="110"/>
      <c r="DQF1373" s="110"/>
      <c r="DQG1373" s="110"/>
      <c r="DQH1373" s="110"/>
      <c r="DQI1373" s="110"/>
      <c r="DQJ1373" s="110"/>
      <c r="DQK1373" s="110"/>
      <c r="DQL1373" s="110"/>
      <c r="DQM1373" s="110"/>
      <c r="DQN1373" s="110"/>
      <c r="DQO1373" s="110"/>
      <c r="DQP1373" s="110"/>
      <c r="DQQ1373" s="110"/>
      <c r="DQR1373" s="110"/>
      <c r="DQS1373" s="110"/>
      <c r="DQT1373" s="110"/>
      <c r="DQU1373" s="110"/>
      <c r="DQV1373" s="110"/>
      <c r="DQW1373" s="110"/>
      <c r="DQX1373" s="110"/>
      <c r="DQY1373" s="110"/>
      <c r="DQZ1373" s="110"/>
      <c r="DRA1373" s="110"/>
      <c r="DRB1373" s="110"/>
      <c r="DRC1373" s="110"/>
      <c r="DRD1373" s="110"/>
      <c r="DRE1373" s="110"/>
      <c r="DRF1373" s="110"/>
      <c r="DRG1373" s="110"/>
      <c r="DRH1373" s="110"/>
      <c r="DRI1373" s="110"/>
      <c r="DRJ1373" s="110"/>
      <c r="DRK1373" s="110"/>
      <c r="DRL1373" s="110"/>
      <c r="DRM1373" s="110"/>
      <c r="DRN1373" s="110"/>
      <c r="DRO1373" s="110"/>
      <c r="DRP1373" s="110"/>
      <c r="DRQ1373" s="110"/>
      <c r="DRR1373" s="110"/>
      <c r="DRS1373" s="110"/>
      <c r="DRT1373" s="110"/>
      <c r="DRU1373" s="110"/>
      <c r="DRV1373" s="110"/>
      <c r="DRW1373" s="110"/>
      <c r="DRX1373" s="110"/>
      <c r="DRY1373" s="110"/>
      <c r="DRZ1373" s="110"/>
      <c r="DSA1373" s="110"/>
      <c r="DSB1373" s="110"/>
      <c r="DSC1373" s="110"/>
      <c r="DSD1373" s="110"/>
      <c r="DSE1373" s="110"/>
      <c r="DSF1373" s="110"/>
      <c r="DSG1373" s="110"/>
      <c r="DSH1373" s="110"/>
      <c r="DSI1373" s="110"/>
      <c r="DSJ1373" s="110"/>
      <c r="DSK1373" s="110"/>
      <c r="DSL1373" s="110"/>
      <c r="DSM1373" s="110"/>
      <c r="DSN1373" s="110"/>
      <c r="DSO1373" s="110"/>
      <c r="DSP1373" s="110"/>
      <c r="DSQ1373" s="110"/>
      <c r="DSR1373" s="110"/>
      <c r="DSS1373" s="110"/>
      <c r="DST1373" s="110"/>
      <c r="DSU1373" s="110"/>
      <c r="DSV1373" s="110"/>
      <c r="DSW1373" s="110"/>
      <c r="DSX1373" s="110"/>
      <c r="DSY1373" s="110"/>
      <c r="DSZ1373" s="110"/>
      <c r="DTA1373" s="110"/>
      <c r="DTB1373" s="110"/>
      <c r="DTC1373" s="110"/>
      <c r="DTD1373" s="110"/>
      <c r="DTE1373" s="110"/>
      <c r="DTF1373" s="110"/>
      <c r="DTG1373" s="110"/>
      <c r="DTH1373" s="110"/>
      <c r="DTI1373" s="110"/>
      <c r="DTJ1373" s="110"/>
      <c r="DTK1373" s="110"/>
      <c r="DTL1373" s="110"/>
      <c r="DTM1373" s="110"/>
      <c r="DTN1373" s="110"/>
      <c r="DTO1373" s="110"/>
      <c r="DTP1373" s="110"/>
      <c r="DTQ1373" s="110"/>
      <c r="DTR1373" s="110"/>
      <c r="DTS1373" s="110"/>
      <c r="DTT1373" s="110"/>
      <c r="DTU1373" s="110"/>
      <c r="DTV1373" s="110"/>
      <c r="DTW1373" s="110"/>
      <c r="DTX1373" s="110"/>
      <c r="DTY1373" s="110"/>
      <c r="DTZ1373" s="110"/>
      <c r="DUA1373" s="110"/>
      <c r="DUB1373" s="110"/>
      <c r="DUC1373" s="110"/>
      <c r="DUD1373" s="110"/>
      <c r="DUE1373" s="110"/>
      <c r="DUF1373" s="110"/>
      <c r="DUG1373" s="110"/>
      <c r="DUH1373" s="110"/>
      <c r="DUI1373" s="110"/>
      <c r="DUJ1373" s="110"/>
      <c r="DUK1373" s="110"/>
      <c r="DUL1373" s="110"/>
      <c r="DUM1373" s="110"/>
      <c r="DUN1373" s="110"/>
      <c r="DUO1373" s="110"/>
      <c r="DUP1373" s="110"/>
      <c r="DUQ1373" s="110"/>
      <c r="DUR1373" s="110"/>
      <c r="DUS1373" s="110"/>
      <c r="DUT1373" s="110"/>
      <c r="DUU1373" s="110"/>
      <c r="DUV1373" s="110"/>
      <c r="DUW1373" s="110"/>
      <c r="DUX1373" s="110"/>
      <c r="DUY1373" s="110"/>
      <c r="DUZ1373" s="110"/>
      <c r="DVA1373" s="110"/>
      <c r="DVB1373" s="110"/>
      <c r="DVC1373" s="110"/>
      <c r="DVD1373" s="110"/>
      <c r="DVE1373" s="110"/>
      <c r="DVF1373" s="110"/>
      <c r="DVG1373" s="110"/>
      <c r="DVH1373" s="110"/>
      <c r="DVI1373" s="110"/>
      <c r="DVJ1373" s="110"/>
      <c r="DVK1373" s="110"/>
      <c r="DVL1373" s="110"/>
      <c r="DVM1373" s="110"/>
      <c r="DVN1373" s="110"/>
      <c r="DVO1373" s="110"/>
      <c r="DVP1373" s="110"/>
      <c r="DVQ1373" s="110"/>
      <c r="DVR1373" s="110"/>
      <c r="DVS1373" s="110"/>
      <c r="DVT1373" s="110"/>
      <c r="DVU1373" s="110"/>
      <c r="DVV1373" s="110"/>
      <c r="DVW1373" s="110"/>
      <c r="DVX1373" s="110"/>
      <c r="DVY1373" s="110"/>
      <c r="DVZ1373" s="110"/>
      <c r="DWA1373" s="110"/>
      <c r="DWB1373" s="110"/>
      <c r="DWC1373" s="110"/>
      <c r="DWD1373" s="110"/>
      <c r="DWE1373" s="110"/>
      <c r="DWF1373" s="110"/>
      <c r="DWG1373" s="110"/>
      <c r="DWH1373" s="110"/>
      <c r="DWI1373" s="110"/>
      <c r="DWJ1373" s="110"/>
      <c r="DWK1373" s="110"/>
      <c r="DWL1373" s="110"/>
      <c r="DWM1373" s="110"/>
      <c r="DWN1373" s="110"/>
      <c r="DWO1373" s="110"/>
      <c r="DWP1373" s="110"/>
      <c r="DWQ1373" s="110"/>
      <c r="DWR1373" s="110"/>
      <c r="DWS1373" s="110"/>
      <c r="DWT1373" s="110"/>
      <c r="DWU1373" s="110"/>
      <c r="DWV1373" s="110"/>
      <c r="DWW1373" s="110"/>
      <c r="DWX1373" s="110"/>
      <c r="DWY1373" s="110"/>
      <c r="DWZ1373" s="110"/>
      <c r="DXA1373" s="110"/>
      <c r="DXB1373" s="110"/>
      <c r="DXC1373" s="110"/>
      <c r="DXD1373" s="110"/>
      <c r="DXE1373" s="110"/>
      <c r="DXF1373" s="110"/>
      <c r="DXG1373" s="110"/>
      <c r="DXH1373" s="110"/>
      <c r="DXI1373" s="110"/>
      <c r="DXJ1373" s="110"/>
      <c r="DXK1373" s="110"/>
      <c r="DXL1373" s="110"/>
      <c r="DXM1373" s="110"/>
      <c r="DXN1373" s="110"/>
      <c r="DXO1373" s="110"/>
      <c r="DXP1373" s="110"/>
      <c r="DXQ1373" s="110"/>
      <c r="DXR1373" s="110"/>
      <c r="DXS1373" s="110"/>
      <c r="DXT1373" s="110"/>
      <c r="DXU1373" s="110"/>
      <c r="DXV1373" s="110"/>
      <c r="DXW1373" s="110"/>
      <c r="DXX1373" s="110"/>
      <c r="DXY1373" s="110"/>
      <c r="DXZ1373" s="110"/>
      <c r="DYA1373" s="110"/>
      <c r="DYB1373" s="110"/>
      <c r="DYC1373" s="110"/>
      <c r="DYD1373" s="110"/>
      <c r="DYE1373" s="110"/>
      <c r="DYF1373" s="110"/>
      <c r="DYG1373" s="110"/>
      <c r="DYH1373" s="110"/>
      <c r="DYI1373" s="110"/>
      <c r="DYJ1373" s="110"/>
      <c r="DYK1373" s="110"/>
      <c r="DYL1373" s="110"/>
      <c r="DYM1373" s="110"/>
      <c r="DYN1373" s="110"/>
      <c r="DYO1373" s="110"/>
      <c r="DYP1373" s="110"/>
      <c r="DYQ1373" s="110"/>
      <c r="DYR1373" s="110"/>
      <c r="DYS1373" s="110"/>
      <c r="DYT1373" s="110"/>
      <c r="DYU1373" s="110"/>
      <c r="DYV1373" s="110"/>
      <c r="DYW1373" s="110"/>
      <c r="DYX1373" s="110"/>
      <c r="DYY1373" s="110"/>
      <c r="DYZ1373" s="110"/>
      <c r="DZA1373" s="110"/>
      <c r="DZB1373" s="110"/>
      <c r="DZC1373" s="110"/>
      <c r="DZD1373" s="110"/>
      <c r="DZE1373" s="110"/>
      <c r="DZF1373" s="110"/>
      <c r="DZG1373" s="110"/>
      <c r="DZH1373" s="110"/>
      <c r="DZI1373" s="110"/>
      <c r="DZJ1373" s="110"/>
      <c r="DZK1373" s="110"/>
      <c r="DZL1373" s="110"/>
      <c r="DZM1373" s="110"/>
      <c r="DZN1373" s="110"/>
      <c r="DZO1373" s="110"/>
      <c r="DZP1373" s="110"/>
      <c r="DZQ1373" s="110"/>
      <c r="DZR1373" s="110"/>
      <c r="DZS1373" s="110"/>
      <c r="DZT1373" s="110"/>
      <c r="DZU1373" s="110"/>
      <c r="DZV1373" s="110"/>
      <c r="DZW1373" s="110"/>
      <c r="DZX1373" s="110"/>
      <c r="DZY1373" s="110"/>
      <c r="DZZ1373" s="110"/>
      <c r="EAA1373" s="110"/>
      <c r="EAB1373" s="110"/>
      <c r="EAC1373" s="110"/>
      <c r="EAD1373" s="110"/>
      <c r="EAE1373" s="110"/>
      <c r="EAF1373" s="110"/>
      <c r="EAG1373" s="110"/>
      <c r="EAH1373" s="110"/>
      <c r="EAI1373" s="110"/>
      <c r="EAJ1373" s="110"/>
      <c r="EAK1373" s="110"/>
      <c r="EAL1373" s="110"/>
      <c r="EAM1373" s="110"/>
      <c r="EAN1373" s="110"/>
      <c r="EAO1373" s="110"/>
      <c r="EAP1373" s="110"/>
      <c r="EAQ1373" s="110"/>
      <c r="EAR1373" s="110"/>
      <c r="EAS1373" s="110"/>
      <c r="EAT1373" s="110"/>
      <c r="EAU1373" s="110"/>
      <c r="EAV1373" s="110"/>
      <c r="EAW1373" s="110"/>
      <c r="EAX1373" s="110"/>
      <c r="EAY1373" s="110"/>
      <c r="EAZ1373" s="110"/>
      <c r="EBA1373" s="110"/>
      <c r="EBB1373" s="110"/>
      <c r="EBC1373" s="110"/>
      <c r="EBD1373" s="110"/>
      <c r="EBE1373" s="110"/>
      <c r="EBF1373" s="110"/>
      <c r="EBG1373" s="110"/>
      <c r="EBH1373" s="110"/>
      <c r="EBI1373" s="110"/>
      <c r="EBJ1373" s="110"/>
      <c r="EBK1373" s="110"/>
      <c r="EBL1373" s="110"/>
      <c r="EBM1373" s="110"/>
      <c r="EBN1373" s="110"/>
      <c r="EBO1373" s="110"/>
      <c r="EBP1373" s="110"/>
      <c r="EBQ1373" s="110"/>
      <c r="EBR1373" s="110"/>
      <c r="EBS1373" s="110"/>
      <c r="EBT1373" s="110"/>
      <c r="EBU1373" s="110"/>
      <c r="EBV1373" s="110"/>
      <c r="EBW1373" s="110"/>
      <c r="EBX1373" s="110"/>
      <c r="EBY1373" s="110"/>
      <c r="EBZ1373" s="110"/>
      <c r="ECA1373" s="110"/>
      <c r="ECB1373" s="110"/>
      <c r="ECC1373" s="110"/>
      <c r="ECD1373" s="110"/>
      <c r="ECE1373" s="110"/>
      <c r="ECF1373" s="110"/>
      <c r="ECG1373" s="110"/>
      <c r="ECH1373" s="110"/>
      <c r="ECI1373" s="110"/>
      <c r="ECJ1373" s="110"/>
      <c r="ECK1373" s="110"/>
      <c r="ECL1373" s="110"/>
      <c r="ECM1373" s="110"/>
      <c r="ECN1373" s="110"/>
      <c r="ECO1373" s="110"/>
      <c r="ECP1373" s="110"/>
      <c r="ECQ1373" s="110"/>
      <c r="ECR1373" s="110"/>
      <c r="ECS1373" s="110"/>
      <c r="ECT1373" s="110"/>
      <c r="ECU1373" s="110"/>
      <c r="ECV1373" s="110"/>
      <c r="ECW1373" s="110"/>
      <c r="ECX1373" s="110"/>
      <c r="ECY1373" s="110"/>
      <c r="ECZ1373" s="110"/>
      <c r="EDA1373" s="110"/>
      <c r="EDB1373" s="110"/>
      <c r="EDC1373" s="110"/>
      <c r="EDD1373" s="110"/>
      <c r="EDE1373" s="110"/>
      <c r="EDF1373" s="110"/>
      <c r="EDG1373" s="110"/>
      <c r="EDH1373" s="110"/>
      <c r="EDI1373" s="110"/>
      <c r="EDJ1373" s="110"/>
      <c r="EDK1373" s="110"/>
      <c r="EDL1373" s="110"/>
      <c r="EDM1373" s="110"/>
      <c r="EDN1373" s="110"/>
      <c r="EDO1373" s="110"/>
      <c r="EDP1373" s="110"/>
      <c r="EDQ1373" s="110"/>
      <c r="EDR1373" s="110"/>
      <c r="EDS1373" s="110"/>
      <c r="EDT1373" s="110"/>
      <c r="EDU1373" s="110"/>
      <c r="EDV1373" s="110"/>
      <c r="EDW1373" s="110"/>
      <c r="EDX1373" s="110"/>
      <c r="EDY1373" s="110"/>
      <c r="EDZ1373" s="110"/>
      <c r="EEA1373" s="110"/>
      <c r="EEB1373" s="110"/>
      <c r="EEC1373" s="110"/>
      <c r="EED1373" s="110"/>
      <c r="EEE1373" s="110"/>
      <c r="EEF1373" s="110"/>
      <c r="EEG1373" s="110"/>
      <c r="EEH1373" s="110"/>
      <c r="EEI1373" s="110"/>
      <c r="EEJ1373" s="110"/>
      <c r="EEK1373" s="110"/>
      <c r="EEL1373" s="110"/>
      <c r="EEM1373" s="110"/>
      <c r="EEN1373" s="110"/>
      <c r="EEO1373" s="110"/>
      <c r="EEP1373" s="110"/>
      <c r="EEQ1373" s="110"/>
      <c r="EER1373" s="110"/>
      <c r="EES1373" s="110"/>
      <c r="EET1373" s="110"/>
      <c r="EEU1373" s="110"/>
      <c r="EEV1373" s="110"/>
      <c r="EEW1373" s="110"/>
      <c r="EEX1373" s="110"/>
      <c r="EEY1373" s="110"/>
      <c r="EEZ1373" s="110"/>
      <c r="EFA1373" s="110"/>
      <c r="EFB1373" s="110"/>
      <c r="EFC1373" s="110"/>
      <c r="EFD1373" s="110"/>
      <c r="EFE1373" s="110"/>
      <c r="EFF1373" s="110"/>
      <c r="EFG1373" s="110"/>
      <c r="EFH1373" s="110"/>
      <c r="EFI1373" s="110"/>
      <c r="EFJ1373" s="110"/>
      <c r="EFK1373" s="110"/>
      <c r="EFL1373" s="110"/>
      <c r="EFM1373" s="110"/>
      <c r="EFN1373" s="110"/>
      <c r="EFO1373" s="110"/>
      <c r="EFP1373" s="110"/>
      <c r="EFQ1373" s="110"/>
      <c r="EFR1373" s="110"/>
      <c r="EFS1373" s="110"/>
      <c r="EFT1373" s="110"/>
      <c r="EFU1373" s="110"/>
      <c r="EFV1373" s="110"/>
      <c r="EFW1373" s="110"/>
      <c r="EFX1373" s="110"/>
      <c r="EFY1373" s="110"/>
      <c r="EFZ1373" s="110"/>
      <c r="EGA1373" s="110"/>
      <c r="EGB1373" s="110"/>
      <c r="EGC1373" s="110"/>
      <c r="EGD1373" s="110"/>
      <c r="EGE1373" s="110"/>
      <c r="EGF1373" s="110"/>
      <c r="EGG1373" s="110"/>
      <c r="EGH1373" s="110"/>
      <c r="EGI1373" s="110"/>
      <c r="EGJ1373" s="110"/>
      <c r="EGK1373" s="110"/>
      <c r="EGL1373" s="110"/>
      <c r="EGM1373" s="110"/>
      <c r="EGN1373" s="110"/>
      <c r="EGO1373" s="110"/>
      <c r="EGP1373" s="110"/>
      <c r="EGQ1373" s="110"/>
      <c r="EGR1373" s="110"/>
      <c r="EGS1373" s="110"/>
      <c r="EGT1373" s="110"/>
      <c r="EGU1373" s="110"/>
      <c r="EGV1373" s="110"/>
      <c r="EGW1373" s="110"/>
      <c r="EGX1373" s="110"/>
      <c r="EGY1373" s="110"/>
      <c r="EGZ1373" s="110"/>
      <c r="EHA1373" s="110"/>
      <c r="EHB1373" s="110"/>
      <c r="EHC1373" s="110"/>
      <c r="EHD1373" s="110"/>
      <c r="EHE1373" s="110"/>
      <c r="EHF1373" s="110"/>
      <c r="EHG1373" s="110"/>
      <c r="EHH1373" s="110"/>
      <c r="EHI1373" s="110"/>
      <c r="EHJ1373" s="110"/>
      <c r="EHK1373" s="110"/>
      <c r="EHL1373" s="110"/>
      <c r="EHM1373" s="110"/>
      <c r="EHN1373" s="110"/>
      <c r="EHO1373" s="110"/>
      <c r="EHP1373" s="110"/>
      <c r="EHQ1373" s="110"/>
      <c r="EHR1373" s="110"/>
      <c r="EHS1373" s="110"/>
      <c r="EHT1373" s="110"/>
      <c r="EHU1373" s="110"/>
      <c r="EHV1373" s="110"/>
      <c r="EHW1373" s="110"/>
      <c r="EHX1373" s="110"/>
      <c r="EHY1373" s="110"/>
      <c r="EHZ1373" s="110"/>
      <c r="EIA1373" s="110"/>
      <c r="EIB1373" s="110"/>
      <c r="EIC1373" s="110"/>
      <c r="EID1373" s="110"/>
      <c r="EIE1373" s="110"/>
      <c r="EIF1373" s="110"/>
      <c r="EIG1373" s="110"/>
      <c r="EIH1373" s="110"/>
      <c r="EII1373" s="110"/>
      <c r="EIJ1373" s="110"/>
      <c r="EIK1373" s="110"/>
      <c r="EIL1373" s="110"/>
      <c r="EIM1373" s="110"/>
      <c r="EIN1373" s="110"/>
      <c r="EIO1373" s="110"/>
      <c r="EIP1373" s="110"/>
      <c r="EIQ1373" s="110"/>
      <c r="EIR1373" s="110"/>
      <c r="EIS1373" s="110"/>
      <c r="EIT1373" s="110"/>
      <c r="EIU1373" s="110"/>
      <c r="EIV1373" s="110"/>
      <c r="EIW1373" s="110"/>
      <c r="EIX1373" s="110"/>
      <c r="EIY1373" s="110"/>
      <c r="EIZ1373" s="110"/>
      <c r="EJA1373" s="110"/>
      <c r="EJB1373" s="110"/>
      <c r="EJC1373" s="110"/>
      <c r="EJD1373" s="110"/>
      <c r="EJE1373" s="110"/>
      <c r="EJF1373" s="110"/>
      <c r="EJG1373" s="110"/>
      <c r="EJH1373" s="110"/>
      <c r="EJI1373" s="110"/>
      <c r="EJJ1373" s="110"/>
      <c r="EJK1373" s="110"/>
      <c r="EJL1373" s="110"/>
      <c r="EJM1373" s="110"/>
      <c r="EJN1373" s="110"/>
      <c r="EJO1373" s="110"/>
      <c r="EJP1373" s="110"/>
      <c r="EJQ1373" s="110"/>
      <c r="EJR1373" s="110"/>
      <c r="EJS1373" s="110"/>
      <c r="EJT1373" s="110"/>
      <c r="EJU1373" s="110"/>
      <c r="EJV1373" s="110"/>
      <c r="EJW1373" s="110"/>
      <c r="EJX1373" s="110"/>
      <c r="EJY1373" s="110"/>
      <c r="EJZ1373" s="110"/>
      <c r="EKA1373" s="110"/>
      <c r="EKB1373" s="110"/>
      <c r="EKC1373" s="110"/>
      <c r="EKD1373" s="110"/>
      <c r="EKE1373" s="110"/>
      <c r="EKF1373" s="110"/>
      <c r="EKG1373" s="110"/>
      <c r="EKH1373" s="110"/>
      <c r="EKI1373" s="110"/>
      <c r="EKJ1373" s="110"/>
      <c r="EKK1373" s="110"/>
      <c r="EKL1373" s="110"/>
      <c r="EKM1373" s="110"/>
      <c r="EKN1373" s="110"/>
      <c r="EKO1373" s="110"/>
      <c r="EKP1373" s="110"/>
      <c r="EKQ1373" s="110"/>
      <c r="EKR1373" s="110"/>
      <c r="EKS1373" s="110"/>
      <c r="EKT1373" s="110"/>
      <c r="EKU1373" s="110"/>
      <c r="EKV1373" s="110"/>
      <c r="EKW1373" s="110"/>
      <c r="EKX1373" s="110"/>
      <c r="EKY1373" s="110"/>
      <c r="EKZ1373" s="110"/>
      <c r="ELA1373" s="110"/>
      <c r="ELB1373" s="110"/>
      <c r="ELC1373" s="110"/>
      <c r="ELD1373" s="110"/>
      <c r="ELE1373" s="110"/>
      <c r="ELF1373" s="110"/>
      <c r="ELG1373" s="110"/>
      <c r="ELH1373" s="110"/>
      <c r="ELI1373" s="110"/>
      <c r="ELJ1373" s="110"/>
      <c r="ELK1373" s="110"/>
      <c r="ELL1373" s="110"/>
      <c r="ELM1373" s="110"/>
      <c r="ELN1373" s="110"/>
      <c r="ELO1373" s="110"/>
      <c r="ELP1373" s="110"/>
      <c r="ELQ1373" s="110"/>
      <c r="ELR1373" s="110"/>
      <c r="ELS1373" s="110"/>
      <c r="ELT1373" s="110"/>
      <c r="ELU1373" s="110"/>
      <c r="ELV1373" s="110"/>
      <c r="ELW1373" s="110"/>
      <c r="ELX1373" s="110"/>
      <c r="ELY1373" s="110"/>
      <c r="ELZ1373" s="110"/>
      <c r="EMA1373" s="110"/>
      <c r="EMB1373" s="110"/>
      <c r="EMC1373" s="110"/>
      <c r="EMD1373" s="110"/>
      <c r="EME1373" s="110"/>
      <c r="EMF1373" s="110"/>
      <c r="EMG1373" s="110"/>
      <c r="EMH1373" s="110"/>
      <c r="EMI1373" s="110"/>
      <c r="EMJ1373" s="110"/>
      <c r="EMK1373" s="110"/>
      <c r="EML1373" s="110"/>
      <c r="EMM1373" s="110"/>
      <c r="EMN1373" s="110"/>
      <c r="EMO1373" s="110"/>
      <c r="EMP1373" s="110"/>
      <c r="EMQ1373" s="110"/>
      <c r="EMR1373" s="110"/>
      <c r="EMS1373" s="110"/>
      <c r="EMT1373" s="110"/>
      <c r="EMU1373" s="110"/>
      <c r="EMV1373" s="110"/>
      <c r="EMW1373" s="110"/>
      <c r="EMX1373" s="110"/>
      <c r="EMY1373" s="110"/>
      <c r="EMZ1373" s="110"/>
      <c r="ENA1373" s="110"/>
      <c r="ENB1373" s="110"/>
      <c r="ENC1373" s="110"/>
      <c r="END1373" s="110"/>
      <c r="ENE1373" s="110"/>
      <c r="ENF1373" s="110"/>
      <c r="ENG1373" s="110"/>
      <c r="ENH1373" s="110"/>
      <c r="ENI1373" s="110"/>
      <c r="ENJ1373" s="110"/>
      <c r="ENK1373" s="110"/>
      <c r="ENL1373" s="110"/>
      <c r="ENM1373" s="110"/>
      <c r="ENN1373" s="110"/>
      <c r="ENO1373" s="110"/>
      <c r="ENP1373" s="110"/>
      <c r="ENQ1373" s="110"/>
      <c r="ENR1373" s="110"/>
      <c r="ENS1373" s="110"/>
      <c r="ENT1373" s="110"/>
      <c r="ENU1373" s="110"/>
      <c r="ENV1373" s="110"/>
      <c r="ENW1373" s="110"/>
      <c r="ENX1373" s="110"/>
      <c r="ENY1373" s="110"/>
      <c r="ENZ1373" s="110"/>
      <c r="EOA1373" s="110"/>
      <c r="EOB1373" s="110"/>
      <c r="EOC1373" s="110"/>
      <c r="EOD1373" s="110"/>
      <c r="EOE1373" s="110"/>
      <c r="EOF1373" s="110"/>
      <c r="EOG1373" s="110"/>
      <c r="EOH1373" s="110"/>
      <c r="EOI1373" s="110"/>
      <c r="EOJ1373" s="110"/>
      <c r="EOK1373" s="110"/>
      <c r="EOL1373" s="110"/>
      <c r="EOM1373" s="110"/>
      <c r="EON1373" s="110"/>
      <c r="EOO1373" s="110"/>
      <c r="EOP1373" s="110"/>
      <c r="EOQ1373" s="110"/>
      <c r="EOR1373" s="110"/>
      <c r="EOS1373" s="110"/>
      <c r="EOT1373" s="110"/>
      <c r="EOU1373" s="110"/>
      <c r="EOV1373" s="110"/>
      <c r="EOW1373" s="110"/>
      <c r="EOX1373" s="110"/>
      <c r="EOY1373" s="110"/>
      <c r="EOZ1373" s="110"/>
      <c r="EPA1373" s="110"/>
      <c r="EPB1373" s="110"/>
      <c r="EPC1373" s="110"/>
      <c r="EPD1373" s="110"/>
      <c r="EPE1373" s="110"/>
      <c r="EPF1373" s="110"/>
      <c r="EPG1373" s="110"/>
      <c r="EPH1373" s="110"/>
      <c r="EPI1373" s="110"/>
      <c r="EPJ1373" s="110"/>
      <c r="EPK1373" s="110"/>
      <c r="EPL1373" s="110"/>
      <c r="EPM1373" s="110"/>
      <c r="EPN1373" s="110"/>
      <c r="EPO1373" s="110"/>
      <c r="EPP1373" s="110"/>
      <c r="EPQ1373" s="110"/>
      <c r="EPR1373" s="110"/>
      <c r="EPS1373" s="110"/>
      <c r="EPT1373" s="110"/>
      <c r="EPU1373" s="110"/>
      <c r="EPV1373" s="110"/>
      <c r="EPW1373" s="110"/>
      <c r="EPX1373" s="110"/>
      <c r="EPY1373" s="110"/>
      <c r="EPZ1373" s="110"/>
      <c r="EQA1373" s="110"/>
      <c r="EQB1373" s="110"/>
      <c r="EQC1373" s="110"/>
      <c r="EQD1373" s="110"/>
      <c r="EQE1373" s="110"/>
      <c r="EQF1373" s="110"/>
      <c r="EQG1373" s="110"/>
      <c r="EQH1373" s="110"/>
      <c r="EQI1373" s="110"/>
      <c r="EQJ1373" s="110"/>
      <c r="EQK1373" s="110"/>
      <c r="EQL1373" s="110"/>
      <c r="EQM1373" s="110"/>
      <c r="EQN1373" s="110"/>
      <c r="EQO1373" s="110"/>
      <c r="EQP1373" s="110"/>
      <c r="EQQ1373" s="110"/>
      <c r="EQR1373" s="110"/>
      <c r="EQS1373" s="110"/>
      <c r="EQT1373" s="110"/>
      <c r="EQU1373" s="110"/>
      <c r="EQV1373" s="110"/>
      <c r="EQW1373" s="110"/>
      <c r="EQX1373" s="110"/>
      <c r="EQY1373" s="110"/>
      <c r="EQZ1373" s="110"/>
      <c r="ERA1373" s="110"/>
      <c r="ERB1373" s="110"/>
      <c r="ERC1373" s="110"/>
      <c r="ERD1373" s="110"/>
      <c r="ERE1373" s="110"/>
      <c r="ERF1373" s="110"/>
      <c r="ERG1373" s="110"/>
      <c r="ERH1373" s="110"/>
      <c r="ERI1373" s="110"/>
      <c r="ERJ1373" s="110"/>
      <c r="ERK1373" s="110"/>
      <c r="ERL1373" s="110"/>
      <c r="ERM1373" s="110"/>
      <c r="ERN1373" s="110"/>
      <c r="ERO1373" s="110"/>
      <c r="ERP1373" s="110"/>
      <c r="ERQ1373" s="110"/>
      <c r="ERR1373" s="110"/>
      <c r="ERS1373" s="110"/>
      <c r="ERT1373" s="110"/>
      <c r="ERU1373" s="110"/>
      <c r="ERV1373" s="110"/>
      <c r="ERW1373" s="110"/>
      <c r="ERX1373" s="110"/>
      <c r="ERY1373" s="110"/>
      <c r="ERZ1373" s="110"/>
      <c r="ESA1373" s="110"/>
      <c r="ESB1373" s="110"/>
      <c r="ESC1373" s="110"/>
      <c r="ESD1373" s="110"/>
      <c r="ESE1373" s="110"/>
      <c r="ESF1373" s="110"/>
      <c r="ESG1373" s="110"/>
      <c r="ESH1373" s="110"/>
      <c r="ESI1373" s="110"/>
      <c r="ESJ1373" s="110"/>
      <c r="ESK1373" s="110"/>
      <c r="ESL1373" s="110"/>
      <c r="ESM1373" s="110"/>
      <c r="ESN1373" s="110"/>
      <c r="ESO1373" s="110"/>
      <c r="ESP1373" s="110"/>
      <c r="ESQ1373" s="110"/>
      <c r="ESR1373" s="110"/>
      <c r="ESS1373" s="110"/>
      <c r="EST1373" s="110"/>
      <c r="ESU1373" s="110"/>
      <c r="ESV1373" s="110"/>
      <c r="ESW1373" s="110"/>
      <c r="ESX1373" s="110"/>
      <c r="ESY1373" s="110"/>
      <c r="ESZ1373" s="110"/>
      <c r="ETA1373" s="110"/>
      <c r="ETB1373" s="110"/>
      <c r="ETC1373" s="110"/>
      <c r="ETD1373" s="110"/>
      <c r="ETE1373" s="110"/>
      <c r="ETF1373" s="110"/>
      <c r="ETG1373" s="110"/>
      <c r="ETH1373" s="110"/>
      <c r="ETI1373" s="110"/>
      <c r="ETJ1373" s="110"/>
      <c r="ETK1373" s="110"/>
      <c r="ETL1373" s="110"/>
      <c r="ETM1373" s="110"/>
      <c r="ETN1373" s="110"/>
      <c r="ETO1373" s="110"/>
      <c r="ETP1373" s="110"/>
      <c r="ETQ1373" s="110"/>
      <c r="ETR1373" s="110"/>
      <c r="ETS1373" s="110"/>
      <c r="ETT1373" s="110"/>
      <c r="ETU1373" s="110"/>
      <c r="ETV1373" s="110"/>
      <c r="ETW1373" s="110"/>
      <c r="ETX1373" s="110"/>
      <c r="ETY1373" s="110"/>
      <c r="ETZ1373" s="110"/>
      <c r="EUA1373" s="110"/>
      <c r="EUB1373" s="110"/>
      <c r="EUC1373" s="110"/>
      <c r="EUD1373" s="110"/>
      <c r="EUE1373" s="110"/>
      <c r="EUF1373" s="110"/>
      <c r="EUG1373" s="110"/>
      <c r="EUH1373" s="110"/>
      <c r="EUI1373" s="110"/>
      <c r="EUJ1373" s="110"/>
      <c r="EUK1373" s="110"/>
      <c r="EUL1373" s="110"/>
      <c r="EUM1373" s="110"/>
      <c r="EUN1373" s="110"/>
      <c r="EUO1373" s="110"/>
      <c r="EUP1373" s="110"/>
      <c r="EUQ1373" s="110"/>
      <c r="EUR1373" s="110"/>
      <c r="EUS1373" s="110"/>
      <c r="EUT1373" s="110"/>
      <c r="EUU1373" s="110"/>
      <c r="EUV1373" s="110"/>
      <c r="EUW1373" s="110"/>
      <c r="EUX1373" s="110"/>
      <c r="EUY1373" s="110"/>
      <c r="EUZ1373" s="110"/>
      <c r="EVA1373" s="110"/>
      <c r="EVB1373" s="110"/>
      <c r="EVC1373" s="110"/>
      <c r="EVD1373" s="110"/>
      <c r="EVE1373" s="110"/>
      <c r="EVF1373" s="110"/>
      <c r="EVG1373" s="110"/>
      <c r="EVH1373" s="110"/>
      <c r="EVI1373" s="110"/>
      <c r="EVJ1373" s="110"/>
      <c r="EVK1373" s="110"/>
      <c r="EVL1373" s="110"/>
      <c r="EVM1373" s="110"/>
      <c r="EVN1373" s="110"/>
      <c r="EVO1373" s="110"/>
      <c r="EVP1373" s="110"/>
      <c r="EVQ1373" s="110"/>
      <c r="EVR1373" s="110"/>
      <c r="EVS1373" s="110"/>
      <c r="EVT1373" s="110"/>
      <c r="EVU1373" s="110"/>
      <c r="EVV1373" s="110"/>
      <c r="EVW1373" s="110"/>
      <c r="EVX1373" s="110"/>
      <c r="EVY1373" s="110"/>
      <c r="EVZ1373" s="110"/>
      <c r="EWA1373" s="110"/>
      <c r="EWB1373" s="110"/>
      <c r="EWC1373" s="110"/>
      <c r="EWD1373" s="110"/>
      <c r="EWE1373" s="110"/>
      <c r="EWF1373" s="110"/>
      <c r="EWG1373" s="110"/>
      <c r="EWH1373" s="110"/>
      <c r="EWI1373" s="110"/>
      <c r="EWJ1373" s="110"/>
      <c r="EWK1373" s="110"/>
      <c r="EWL1373" s="110"/>
      <c r="EWM1373" s="110"/>
      <c r="EWN1373" s="110"/>
      <c r="EWO1373" s="110"/>
      <c r="EWP1373" s="110"/>
      <c r="EWQ1373" s="110"/>
      <c r="EWR1373" s="110"/>
      <c r="EWS1373" s="110"/>
      <c r="EWT1373" s="110"/>
      <c r="EWU1373" s="110"/>
      <c r="EWV1373" s="110"/>
      <c r="EWW1373" s="110"/>
      <c r="EWX1373" s="110"/>
      <c r="EWY1373" s="110"/>
      <c r="EWZ1373" s="110"/>
      <c r="EXA1373" s="110"/>
      <c r="EXB1373" s="110"/>
      <c r="EXC1373" s="110"/>
      <c r="EXD1373" s="110"/>
      <c r="EXE1373" s="110"/>
      <c r="EXF1373" s="110"/>
      <c r="EXG1373" s="110"/>
      <c r="EXH1373" s="110"/>
      <c r="EXI1373" s="110"/>
      <c r="EXJ1373" s="110"/>
      <c r="EXK1373" s="110"/>
      <c r="EXL1373" s="110"/>
      <c r="EXM1373" s="110"/>
      <c r="EXN1373" s="110"/>
      <c r="EXO1373" s="110"/>
      <c r="EXP1373" s="110"/>
      <c r="EXQ1373" s="110"/>
      <c r="EXR1373" s="110"/>
      <c r="EXS1373" s="110"/>
      <c r="EXT1373" s="110"/>
      <c r="EXU1373" s="110"/>
      <c r="EXV1373" s="110"/>
      <c r="EXW1373" s="110"/>
      <c r="EXX1373" s="110"/>
      <c r="EXY1373" s="110"/>
      <c r="EXZ1373" s="110"/>
      <c r="EYA1373" s="110"/>
      <c r="EYB1373" s="110"/>
      <c r="EYC1373" s="110"/>
      <c r="EYD1373" s="110"/>
      <c r="EYE1373" s="110"/>
      <c r="EYF1373" s="110"/>
      <c r="EYG1373" s="110"/>
      <c r="EYH1373" s="110"/>
      <c r="EYI1373" s="110"/>
      <c r="EYJ1373" s="110"/>
      <c r="EYK1373" s="110"/>
      <c r="EYL1373" s="110"/>
      <c r="EYM1373" s="110"/>
      <c r="EYN1373" s="110"/>
      <c r="EYO1373" s="110"/>
      <c r="EYP1373" s="110"/>
      <c r="EYQ1373" s="110"/>
      <c r="EYR1373" s="110"/>
      <c r="EYS1373" s="110"/>
      <c r="EYT1373" s="110"/>
      <c r="EYU1373" s="110"/>
      <c r="EYV1373" s="110"/>
      <c r="EYW1373" s="110"/>
      <c r="EYX1373" s="110"/>
      <c r="EYY1373" s="110"/>
      <c r="EYZ1373" s="110"/>
      <c r="EZA1373" s="110"/>
      <c r="EZB1373" s="110"/>
      <c r="EZC1373" s="110"/>
      <c r="EZD1373" s="110"/>
      <c r="EZE1373" s="110"/>
      <c r="EZF1373" s="110"/>
      <c r="EZG1373" s="110"/>
      <c r="EZH1373" s="110"/>
      <c r="EZI1373" s="110"/>
      <c r="EZJ1373" s="110"/>
      <c r="EZK1373" s="110"/>
      <c r="EZL1373" s="110"/>
      <c r="EZM1373" s="110"/>
      <c r="EZN1373" s="110"/>
      <c r="EZO1373" s="110"/>
      <c r="EZP1373" s="110"/>
      <c r="EZQ1373" s="110"/>
      <c r="EZR1373" s="110"/>
      <c r="EZS1373" s="110"/>
      <c r="EZT1373" s="110"/>
      <c r="EZU1373" s="110"/>
      <c r="EZV1373" s="110"/>
      <c r="EZW1373" s="110"/>
      <c r="EZX1373" s="110"/>
      <c r="EZY1373" s="110"/>
      <c r="EZZ1373" s="110"/>
      <c r="FAA1373" s="110"/>
      <c r="FAB1373" s="110"/>
      <c r="FAC1373" s="110"/>
      <c r="FAD1373" s="110"/>
      <c r="FAE1373" s="110"/>
      <c r="FAF1373" s="110"/>
      <c r="FAG1373" s="110"/>
      <c r="FAH1373" s="110"/>
      <c r="FAI1373" s="110"/>
      <c r="FAJ1373" s="110"/>
      <c r="FAK1373" s="110"/>
      <c r="FAL1373" s="110"/>
      <c r="FAM1373" s="110"/>
      <c r="FAN1373" s="110"/>
      <c r="FAO1373" s="110"/>
      <c r="FAP1373" s="110"/>
      <c r="FAQ1373" s="110"/>
      <c r="FAR1373" s="110"/>
      <c r="FAS1373" s="110"/>
      <c r="FAT1373" s="110"/>
      <c r="FAU1373" s="110"/>
      <c r="FAV1373" s="110"/>
      <c r="FAW1373" s="110"/>
      <c r="FAX1373" s="110"/>
      <c r="FAY1373" s="110"/>
      <c r="FAZ1373" s="110"/>
      <c r="FBA1373" s="110"/>
      <c r="FBB1373" s="110"/>
      <c r="FBC1373" s="110"/>
      <c r="FBD1373" s="110"/>
      <c r="FBE1373" s="110"/>
      <c r="FBF1373" s="110"/>
      <c r="FBG1373" s="110"/>
      <c r="FBH1373" s="110"/>
      <c r="FBI1373" s="110"/>
      <c r="FBJ1373" s="110"/>
      <c r="FBK1373" s="110"/>
      <c r="FBL1373" s="110"/>
      <c r="FBM1373" s="110"/>
      <c r="FBN1373" s="110"/>
      <c r="FBO1373" s="110"/>
      <c r="FBP1373" s="110"/>
      <c r="FBQ1373" s="110"/>
      <c r="FBR1373" s="110"/>
      <c r="FBS1373" s="110"/>
      <c r="FBT1373" s="110"/>
      <c r="FBU1373" s="110"/>
      <c r="FBV1373" s="110"/>
      <c r="FBW1373" s="110"/>
      <c r="FBX1373" s="110"/>
      <c r="FBY1373" s="110"/>
      <c r="FBZ1373" s="110"/>
      <c r="FCA1373" s="110"/>
      <c r="FCB1373" s="110"/>
      <c r="FCC1373" s="110"/>
      <c r="FCD1373" s="110"/>
      <c r="FCE1373" s="110"/>
      <c r="FCF1373" s="110"/>
      <c r="FCG1373" s="110"/>
      <c r="FCH1373" s="110"/>
      <c r="FCI1373" s="110"/>
      <c r="FCJ1373" s="110"/>
      <c r="FCK1373" s="110"/>
      <c r="FCL1373" s="110"/>
      <c r="FCM1373" s="110"/>
      <c r="FCN1373" s="110"/>
      <c r="FCO1373" s="110"/>
      <c r="FCP1373" s="110"/>
      <c r="FCQ1373" s="110"/>
      <c r="FCR1373" s="110"/>
      <c r="FCS1373" s="110"/>
      <c r="FCT1373" s="110"/>
      <c r="FCU1373" s="110"/>
      <c r="FCV1373" s="110"/>
      <c r="FCW1373" s="110"/>
      <c r="FCX1373" s="110"/>
      <c r="FCY1373" s="110"/>
      <c r="FCZ1373" s="110"/>
      <c r="FDA1373" s="110"/>
      <c r="FDB1373" s="110"/>
      <c r="FDC1373" s="110"/>
      <c r="FDD1373" s="110"/>
      <c r="FDE1373" s="110"/>
      <c r="FDF1373" s="110"/>
      <c r="FDG1373" s="110"/>
      <c r="FDH1373" s="110"/>
      <c r="FDI1373" s="110"/>
      <c r="FDJ1373" s="110"/>
      <c r="FDK1373" s="110"/>
      <c r="FDL1373" s="110"/>
      <c r="FDM1373" s="110"/>
      <c r="FDN1373" s="110"/>
      <c r="FDO1373" s="110"/>
      <c r="FDP1373" s="110"/>
      <c r="FDQ1373" s="110"/>
      <c r="FDR1373" s="110"/>
      <c r="FDS1373" s="110"/>
      <c r="FDT1373" s="110"/>
      <c r="FDU1373" s="110"/>
      <c r="FDV1373" s="110"/>
      <c r="FDW1373" s="110"/>
      <c r="FDX1373" s="110"/>
      <c r="FDY1373" s="110"/>
      <c r="FDZ1373" s="110"/>
      <c r="FEA1373" s="110"/>
      <c r="FEB1373" s="110"/>
      <c r="FEC1373" s="110"/>
      <c r="FED1373" s="110"/>
      <c r="FEE1373" s="110"/>
      <c r="FEF1373" s="110"/>
      <c r="FEG1373" s="110"/>
      <c r="FEH1373" s="110"/>
      <c r="FEI1373" s="110"/>
      <c r="FEJ1373" s="110"/>
      <c r="FEK1373" s="110"/>
      <c r="FEL1373" s="110"/>
      <c r="FEM1373" s="110"/>
      <c r="FEN1373" s="110"/>
      <c r="FEO1373" s="110"/>
      <c r="FEP1373" s="110"/>
      <c r="FEQ1373" s="110"/>
      <c r="FER1373" s="110"/>
      <c r="FES1373" s="110"/>
      <c r="FET1373" s="110"/>
      <c r="FEU1373" s="110"/>
      <c r="FEV1373" s="110"/>
      <c r="FEW1373" s="110"/>
      <c r="FEX1373" s="110"/>
      <c r="FEY1373" s="110"/>
      <c r="FEZ1373" s="110"/>
      <c r="FFA1373" s="110"/>
      <c r="FFB1373" s="110"/>
      <c r="FFC1373" s="110"/>
      <c r="FFD1373" s="110"/>
      <c r="FFE1373" s="110"/>
      <c r="FFF1373" s="110"/>
      <c r="FFG1373" s="110"/>
      <c r="FFH1373" s="110"/>
      <c r="FFI1373" s="110"/>
      <c r="FFJ1373" s="110"/>
      <c r="FFK1373" s="110"/>
      <c r="FFL1373" s="110"/>
      <c r="FFM1373" s="110"/>
      <c r="FFN1373" s="110"/>
      <c r="FFO1373" s="110"/>
      <c r="FFP1373" s="110"/>
      <c r="FFQ1373" s="110"/>
      <c r="FFR1373" s="110"/>
      <c r="FFS1373" s="110"/>
      <c r="FFT1373" s="110"/>
      <c r="FFU1373" s="110"/>
      <c r="FFV1373" s="110"/>
      <c r="FFW1373" s="110"/>
      <c r="FFX1373" s="110"/>
      <c r="FFY1373" s="110"/>
      <c r="FFZ1373" s="110"/>
      <c r="FGA1373" s="110"/>
      <c r="FGB1373" s="110"/>
      <c r="FGC1373" s="110"/>
      <c r="FGD1373" s="110"/>
      <c r="FGE1373" s="110"/>
      <c r="FGF1373" s="110"/>
      <c r="FGG1373" s="110"/>
      <c r="FGH1373" s="110"/>
      <c r="FGI1373" s="110"/>
      <c r="FGJ1373" s="110"/>
      <c r="FGK1373" s="110"/>
      <c r="FGL1373" s="110"/>
      <c r="FGM1373" s="110"/>
      <c r="FGN1373" s="110"/>
      <c r="FGO1373" s="110"/>
      <c r="FGP1373" s="110"/>
      <c r="FGQ1373" s="110"/>
      <c r="FGR1373" s="110"/>
      <c r="FGS1373" s="110"/>
      <c r="FGT1373" s="110"/>
      <c r="FGU1373" s="110"/>
      <c r="FGV1373" s="110"/>
      <c r="FGW1373" s="110"/>
      <c r="FGX1373" s="110"/>
      <c r="FGY1373" s="110"/>
      <c r="FGZ1373" s="110"/>
      <c r="FHA1373" s="110"/>
      <c r="FHB1373" s="110"/>
      <c r="FHC1373" s="110"/>
      <c r="FHD1373" s="110"/>
      <c r="FHE1373" s="110"/>
      <c r="FHF1373" s="110"/>
      <c r="FHG1373" s="110"/>
      <c r="FHH1373" s="110"/>
      <c r="FHI1373" s="110"/>
      <c r="FHJ1373" s="110"/>
      <c r="FHK1373" s="110"/>
      <c r="FHL1373" s="110"/>
      <c r="FHM1373" s="110"/>
      <c r="FHN1373" s="110"/>
      <c r="FHO1373" s="110"/>
      <c r="FHP1373" s="110"/>
      <c r="FHQ1373" s="110"/>
      <c r="FHR1373" s="110"/>
      <c r="FHS1373" s="110"/>
      <c r="FHT1373" s="110"/>
      <c r="FHU1373" s="110"/>
      <c r="FHV1373" s="110"/>
      <c r="FHW1373" s="110"/>
      <c r="FHX1373" s="110"/>
      <c r="FHY1373" s="110"/>
      <c r="FHZ1373" s="110"/>
      <c r="FIA1373" s="110"/>
      <c r="FIB1373" s="110"/>
      <c r="FIC1373" s="110"/>
      <c r="FID1373" s="110"/>
      <c r="FIE1373" s="110"/>
      <c r="FIF1373" s="110"/>
      <c r="FIG1373" s="110"/>
      <c r="FIH1373" s="110"/>
      <c r="FII1373" s="110"/>
      <c r="FIJ1373" s="110"/>
      <c r="FIK1373" s="110"/>
      <c r="FIL1373" s="110"/>
      <c r="FIM1373" s="110"/>
      <c r="FIN1373" s="110"/>
      <c r="FIO1373" s="110"/>
      <c r="FIP1373" s="110"/>
      <c r="FIQ1373" s="110"/>
      <c r="FIR1373" s="110"/>
      <c r="FIS1373" s="110"/>
      <c r="FIT1373" s="110"/>
      <c r="FIU1373" s="110"/>
      <c r="FIV1373" s="110"/>
      <c r="FIW1373" s="110"/>
      <c r="FIX1373" s="110"/>
      <c r="FIY1373" s="110"/>
      <c r="FIZ1373" s="110"/>
      <c r="FJA1373" s="110"/>
      <c r="FJB1373" s="110"/>
      <c r="FJC1373" s="110"/>
      <c r="FJD1373" s="110"/>
      <c r="FJE1373" s="110"/>
      <c r="FJF1373" s="110"/>
      <c r="FJG1373" s="110"/>
      <c r="FJH1373" s="110"/>
      <c r="FJI1373" s="110"/>
      <c r="FJJ1373" s="110"/>
      <c r="FJK1373" s="110"/>
      <c r="FJL1373" s="110"/>
      <c r="FJM1373" s="110"/>
      <c r="FJN1373" s="110"/>
      <c r="FJO1373" s="110"/>
      <c r="FJP1373" s="110"/>
      <c r="FJQ1373" s="110"/>
      <c r="FJR1373" s="110"/>
      <c r="FJS1373" s="110"/>
      <c r="FJT1373" s="110"/>
      <c r="FJU1373" s="110"/>
      <c r="FJV1373" s="110"/>
      <c r="FJW1373" s="110"/>
      <c r="FJX1373" s="110"/>
      <c r="FJY1373" s="110"/>
      <c r="FJZ1373" s="110"/>
      <c r="FKA1373" s="110"/>
      <c r="FKB1373" s="110"/>
      <c r="FKC1373" s="110"/>
      <c r="FKD1373" s="110"/>
      <c r="FKE1373" s="110"/>
      <c r="FKF1373" s="110"/>
      <c r="FKG1373" s="110"/>
      <c r="FKH1373" s="110"/>
      <c r="FKI1373" s="110"/>
      <c r="FKJ1373" s="110"/>
      <c r="FKK1373" s="110"/>
      <c r="FKL1373" s="110"/>
      <c r="FKM1373" s="110"/>
      <c r="FKN1373" s="110"/>
      <c r="FKO1373" s="110"/>
      <c r="FKP1373" s="110"/>
      <c r="FKQ1373" s="110"/>
      <c r="FKR1373" s="110"/>
      <c r="FKS1373" s="110"/>
      <c r="FKT1373" s="110"/>
      <c r="FKU1373" s="110"/>
      <c r="FKV1373" s="110"/>
      <c r="FKW1373" s="110"/>
      <c r="FKX1373" s="110"/>
      <c r="FKY1373" s="110"/>
      <c r="FKZ1373" s="110"/>
      <c r="FLA1373" s="110"/>
      <c r="FLB1373" s="110"/>
      <c r="FLC1373" s="110"/>
      <c r="FLD1373" s="110"/>
      <c r="FLE1373" s="110"/>
      <c r="FLF1373" s="110"/>
      <c r="FLG1373" s="110"/>
      <c r="FLH1373" s="110"/>
      <c r="FLI1373" s="110"/>
      <c r="FLJ1373" s="110"/>
      <c r="FLK1373" s="110"/>
      <c r="FLL1373" s="110"/>
      <c r="FLM1373" s="110"/>
      <c r="FLN1373" s="110"/>
      <c r="FLO1373" s="110"/>
      <c r="FLP1373" s="110"/>
      <c r="FLQ1373" s="110"/>
      <c r="FLR1373" s="110"/>
      <c r="FLS1373" s="110"/>
      <c r="FLT1373" s="110"/>
      <c r="FLU1373" s="110"/>
      <c r="FLV1373" s="110"/>
      <c r="FLW1373" s="110"/>
      <c r="FLX1373" s="110"/>
      <c r="FLY1373" s="110"/>
      <c r="FLZ1373" s="110"/>
      <c r="FMA1373" s="110"/>
      <c r="FMB1373" s="110"/>
      <c r="FMC1373" s="110"/>
      <c r="FMD1373" s="110"/>
      <c r="FME1373" s="110"/>
      <c r="FMF1373" s="110"/>
      <c r="FMG1373" s="110"/>
      <c r="FMH1373" s="110"/>
      <c r="FMI1373" s="110"/>
      <c r="FMJ1373" s="110"/>
      <c r="FMK1373" s="110"/>
      <c r="FML1373" s="110"/>
      <c r="FMM1373" s="110"/>
      <c r="FMN1373" s="110"/>
      <c r="FMO1373" s="110"/>
      <c r="FMP1373" s="110"/>
      <c r="FMQ1373" s="110"/>
      <c r="FMR1373" s="110"/>
      <c r="FMS1373" s="110"/>
      <c r="FMT1373" s="110"/>
      <c r="FMU1373" s="110"/>
      <c r="FMV1373" s="110"/>
      <c r="FMW1373" s="110"/>
      <c r="FMX1373" s="110"/>
      <c r="FMY1373" s="110"/>
      <c r="FMZ1373" s="110"/>
      <c r="FNA1373" s="110"/>
      <c r="FNB1373" s="110"/>
      <c r="FNC1373" s="110"/>
      <c r="FND1373" s="110"/>
      <c r="FNE1373" s="110"/>
      <c r="FNF1373" s="110"/>
      <c r="FNG1373" s="110"/>
      <c r="FNH1373" s="110"/>
      <c r="FNI1373" s="110"/>
      <c r="FNJ1373" s="110"/>
      <c r="FNK1373" s="110"/>
      <c r="FNL1373" s="110"/>
      <c r="FNM1373" s="110"/>
      <c r="FNN1373" s="110"/>
      <c r="FNO1373" s="110"/>
      <c r="FNP1373" s="110"/>
      <c r="FNQ1373" s="110"/>
      <c r="FNR1373" s="110"/>
      <c r="FNS1373" s="110"/>
      <c r="FNT1373" s="110"/>
      <c r="FNU1373" s="110"/>
      <c r="FNV1373" s="110"/>
      <c r="FNW1373" s="110"/>
      <c r="FNX1373" s="110"/>
      <c r="FNY1373" s="110"/>
      <c r="FNZ1373" s="110"/>
      <c r="FOA1373" s="110"/>
      <c r="FOB1373" s="110"/>
      <c r="FOC1373" s="110"/>
      <c r="FOD1373" s="110"/>
      <c r="FOE1373" s="110"/>
      <c r="FOF1373" s="110"/>
      <c r="FOG1373" s="110"/>
      <c r="FOH1373" s="110"/>
      <c r="FOI1373" s="110"/>
      <c r="FOJ1373" s="110"/>
      <c r="FOK1373" s="110"/>
      <c r="FOL1373" s="110"/>
      <c r="FOM1373" s="110"/>
      <c r="FON1373" s="110"/>
      <c r="FOO1373" s="110"/>
      <c r="FOP1373" s="110"/>
      <c r="FOQ1373" s="110"/>
      <c r="FOR1373" s="110"/>
      <c r="FOS1373" s="110"/>
      <c r="FOT1373" s="110"/>
      <c r="FOU1373" s="110"/>
      <c r="FOV1373" s="110"/>
      <c r="FOW1373" s="110"/>
      <c r="FOX1373" s="110"/>
      <c r="FOY1373" s="110"/>
      <c r="FOZ1373" s="110"/>
      <c r="FPA1373" s="110"/>
      <c r="FPB1373" s="110"/>
      <c r="FPC1373" s="110"/>
      <c r="FPD1373" s="110"/>
      <c r="FPE1373" s="110"/>
      <c r="FPF1373" s="110"/>
      <c r="FPG1373" s="110"/>
      <c r="FPH1373" s="110"/>
      <c r="FPI1373" s="110"/>
      <c r="FPJ1373" s="110"/>
      <c r="FPK1373" s="110"/>
      <c r="FPL1373" s="110"/>
      <c r="FPM1373" s="110"/>
      <c r="FPN1373" s="110"/>
      <c r="FPO1373" s="110"/>
      <c r="FPP1373" s="110"/>
      <c r="FPQ1373" s="110"/>
      <c r="FPR1373" s="110"/>
      <c r="FPS1373" s="110"/>
      <c r="FPT1373" s="110"/>
      <c r="FPU1373" s="110"/>
      <c r="FPV1373" s="110"/>
      <c r="FPW1373" s="110"/>
      <c r="FPX1373" s="110"/>
      <c r="FPY1373" s="110"/>
      <c r="FPZ1373" s="110"/>
      <c r="FQA1373" s="110"/>
      <c r="FQB1373" s="110"/>
      <c r="FQC1373" s="110"/>
      <c r="FQD1373" s="110"/>
      <c r="FQE1373" s="110"/>
      <c r="FQF1373" s="110"/>
      <c r="FQG1373" s="110"/>
      <c r="FQH1373" s="110"/>
      <c r="FQI1373" s="110"/>
      <c r="FQJ1373" s="110"/>
      <c r="FQK1373" s="110"/>
      <c r="FQL1373" s="110"/>
      <c r="FQM1373" s="110"/>
      <c r="FQN1373" s="110"/>
      <c r="FQO1373" s="110"/>
      <c r="FQP1373" s="110"/>
      <c r="FQQ1373" s="110"/>
      <c r="FQR1373" s="110"/>
      <c r="FQS1373" s="110"/>
      <c r="FQT1373" s="110"/>
      <c r="FQU1373" s="110"/>
      <c r="FQV1373" s="110"/>
      <c r="FQW1373" s="110"/>
      <c r="FQX1373" s="110"/>
      <c r="FQY1373" s="110"/>
      <c r="FQZ1373" s="110"/>
      <c r="FRA1373" s="110"/>
      <c r="FRB1373" s="110"/>
      <c r="FRC1373" s="110"/>
      <c r="FRD1373" s="110"/>
      <c r="FRE1373" s="110"/>
      <c r="FRF1373" s="110"/>
      <c r="FRG1373" s="110"/>
      <c r="FRH1373" s="110"/>
      <c r="FRI1373" s="110"/>
      <c r="FRJ1373" s="110"/>
      <c r="FRK1373" s="110"/>
      <c r="FRL1373" s="110"/>
      <c r="FRM1373" s="110"/>
      <c r="FRN1373" s="110"/>
      <c r="FRO1373" s="110"/>
      <c r="FRP1373" s="110"/>
      <c r="FRQ1373" s="110"/>
      <c r="FRR1373" s="110"/>
      <c r="FRS1373" s="110"/>
      <c r="FRT1373" s="110"/>
      <c r="FRU1373" s="110"/>
      <c r="FRV1373" s="110"/>
      <c r="FRW1373" s="110"/>
      <c r="FRX1373" s="110"/>
      <c r="FRY1373" s="110"/>
      <c r="FRZ1373" s="110"/>
      <c r="FSA1373" s="110"/>
      <c r="FSB1373" s="110"/>
      <c r="FSC1373" s="110"/>
      <c r="FSD1373" s="110"/>
      <c r="FSE1373" s="110"/>
      <c r="FSF1373" s="110"/>
      <c r="FSG1373" s="110"/>
      <c r="FSH1373" s="110"/>
      <c r="FSI1373" s="110"/>
      <c r="FSJ1373" s="110"/>
      <c r="FSK1373" s="110"/>
      <c r="FSL1373" s="110"/>
      <c r="FSM1373" s="110"/>
      <c r="FSN1373" s="110"/>
      <c r="FSO1373" s="110"/>
      <c r="FSP1373" s="110"/>
      <c r="FSQ1373" s="110"/>
      <c r="FSR1373" s="110"/>
      <c r="FSS1373" s="110"/>
      <c r="FST1373" s="110"/>
      <c r="FSU1373" s="110"/>
      <c r="FSV1373" s="110"/>
      <c r="FSW1373" s="110"/>
      <c r="FSX1373" s="110"/>
      <c r="FSY1373" s="110"/>
      <c r="FSZ1373" s="110"/>
      <c r="FTA1373" s="110"/>
      <c r="FTB1373" s="110"/>
      <c r="FTC1373" s="110"/>
      <c r="FTD1373" s="110"/>
      <c r="FTE1373" s="110"/>
      <c r="FTF1373" s="110"/>
      <c r="FTG1373" s="110"/>
      <c r="FTH1373" s="110"/>
      <c r="FTI1373" s="110"/>
      <c r="FTJ1373" s="110"/>
      <c r="FTK1373" s="110"/>
      <c r="FTL1373" s="110"/>
      <c r="FTM1373" s="110"/>
      <c r="FTN1373" s="110"/>
      <c r="FTO1373" s="110"/>
      <c r="FTP1373" s="110"/>
      <c r="FTQ1373" s="110"/>
      <c r="FTR1373" s="110"/>
      <c r="FTS1373" s="110"/>
      <c r="FTT1373" s="110"/>
      <c r="FTU1373" s="110"/>
      <c r="FTV1373" s="110"/>
      <c r="FTW1373" s="110"/>
      <c r="FTX1373" s="110"/>
      <c r="FTY1373" s="110"/>
      <c r="FTZ1373" s="110"/>
      <c r="FUA1373" s="110"/>
      <c r="FUB1373" s="110"/>
      <c r="FUC1373" s="110"/>
      <c r="FUD1373" s="110"/>
      <c r="FUE1373" s="110"/>
      <c r="FUF1373" s="110"/>
      <c r="FUG1373" s="110"/>
      <c r="FUH1373" s="110"/>
      <c r="FUI1373" s="110"/>
      <c r="FUJ1373" s="110"/>
      <c r="FUK1373" s="110"/>
      <c r="FUL1373" s="110"/>
      <c r="FUM1373" s="110"/>
      <c r="FUN1373" s="110"/>
      <c r="FUO1373" s="110"/>
      <c r="FUP1373" s="110"/>
      <c r="FUQ1373" s="110"/>
      <c r="FUR1373" s="110"/>
      <c r="FUS1373" s="110"/>
      <c r="FUT1373" s="110"/>
      <c r="FUU1373" s="110"/>
      <c r="FUV1373" s="110"/>
      <c r="FUW1373" s="110"/>
      <c r="FUX1373" s="110"/>
      <c r="FUY1373" s="110"/>
      <c r="FUZ1373" s="110"/>
      <c r="FVA1373" s="110"/>
      <c r="FVB1373" s="110"/>
      <c r="FVC1373" s="110"/>
      <c r="FVD1373" s="110"/>
      <c r="FVE1373" s="110"/>
      <c r="FVF1373" s="110"/>
      <c r="FVG1373" s="110"/>
      <c r="FVH1373" s="110"/>
      <c r="FVI1373" s="110"/>
      <c r="FVJ1373" s="110"/>
      <c r="FVK1373" s="110"/>
      <c r="FVL1373" s="110"/>
      <c r="FVM1373" s="110"/>
      <c r="FVN1373" s="110"/>
      <c r="FVO1373" s="110"/>
      <c r="FVP1373" s="110"/>
      <c r="FVQ1373" s="110"/>
      <c r="FVR1373" s="110"/>
      <c r="FVS1373" s="110"/>
      <c r="FVT1373" s="110"/>
      <c r="FVU1373" s="110"/>
      <c r="FVV1373" s="110"/>
      <c r="FVW1373" s="110"/>
      <c r="FVX1373" s="110"/>
      <c r="FVY1373" s="110"/>
      <c r="FVZ1373" s="110"/>
      <c r="FWA1373" s="110"/>
      <c r="FWB1373" s="110"/>
      <c r="FWC1373" s="110"/>
      <c r="FWD1373" s="110"/>
      <c r="FWE1373" s="110"/>
      <c r="FWF1373" s="110"/>
      <c r="FWG1373" s="110"/>
      <c r="FWH1373" s="110"/>
      <c r="FWI1373" s="110"/>
      <c r="FWJ1373" s="110"/>
      <c r="FWK1373" s="110"/>
      <c r="FWL1373" s="110"/>
      <c r="FWM1373" s="110"/>
      <c r="FWN1373" s="110"/>
      <c r="FWO1373" s="110"/>
      <c r="FWP1373" s="110"/>
      <c r="FWQ1373" s="110"/>
      <c r="FWR1373" s="110"/>
      <c r="FWS1373" s="110"/>
      <c r="FWT1373" s="110"/>
      <c r="FWU1373" s="110"/>
      <c r="FWV1373" s="110"/>
      <c r="FWW1373" s="110"/>
      <c r="FWX1373" s="110"/>
      <c r="FWY1373" s="110"/>
      <c r="FWZ1373" s="110"/>
      <c r="FXA1373" s="110"/>
      <c r="FXB1373" s="110"/>
      <c r="FXC1373" s="110"/>
      <c r="FXD1373" s="110"/>
      <c r="FXE1373" s="110"/>
      <c r="FXF1373" s="110"/>
      <c r="FXG1373" s="110"/>
      <c r="FXH1373" s="110"/>
      <c r="FXI1373" s="110"/>
      <c r="FXJ1373" s="110"/>
      <c r="FXK1373" s="110"/>
      <c r="FXL1373" s="110"/>
      <c r="FXM1373" s="110"/>
      <c r="FXN1373" s="110"/>
      <c r="FXO1373" s="110"/>
      <c r="FXP1373" s="110"/>
      <c r="FXQ1373" s="110"/>
      <c r="FXR1373" s="110"/>
      <c r="FXS1373" s="110"/>
      <c r="FXT1373" s="110"/>
      <c r="FXU1373" s="110"/>
      <c r="FXV1373" s="110"/>
      <c r="FXW1373" s="110"/>
      <c r="FXX1373" s="110"/>
      <c r="FXY1373" s="110"/>
      <c r="FXZ1373" s="110"/>
      <c r="FYA1373" s="110"/>
      <c r="FYB1373" s="110"/>
      <c r="FYC1373" s="110"/>
      <c r="FYD1373" s="110"/>
      <c r="FYE1373" s="110"/>
      <c r="FYF1373" s="110"/>
      <c r="FYG1373" s="110"/>
      <c r="FYH1373" s="110"/>
      <c r="FYI1373" s="110"/>
      <c r="FYJ1373" s="110"/>
      <c r="FYK1373" s="110"/>
      <c r="FYL1373" s="110"/>
      <c r="FYM1373" s="110"/>
      <c r="FYN1373" s="110"/>
      <c r="FYO1373" s="110"/>
      <c r="FYP1373" s="110"/>
      <c r="FYQ1373" s="110"/>
      <c r="FYR1373" s="110"/>
      <c r="FYS1373" s="110"/>
      <c r="FYT1373" s="110"/>
      <c r="FYU1373" s="110"/>
      <c r="FYV1373" s="110"/>
      <c r="FYW1373" s="110"/>
      <c r="FYX1373" s="110"/>
      <c r="FYY1373" s="110"/>
      <c r="FYZ1373" s="110"/>
      <c r="FZA1373" s="110"/>
      <c r="FZB1373" s="110"/>
      <c r="FZC1373" s="110"/>
      <c r="FZD1373" s="110"/>
      <c r="FZE1373" s="110"/>
      <c r="FZF1373" s="110"/>
      <c r="FZG1373" s="110"/>
      <c r="FZH1373" s="110"/>
      <c r="FZI1373" s="110"/>
      <c r="FZJ1373" s="110"/>
      <c r="FZK1373" s="110"/>
      <c r="FZL1373" s="110"/>
      <c r="FZM1373" s="110"/>
      <c r="FZN1373" s="110"/>
      <c r="FZO1373" s="110"/>
      <c r="FZP1373" s="110"/>
      <c r="FZQ1373" s="110"/>
      <c r="FZR1373" s="110"/>
      <c r="FZS1373" s="110"/>
      <c r="FZT1373" s="110"/>
      <c r="FZU1373" s="110"/>
      <c r="FZV1373" s="110"/>
      <c r="FZW1373" s="110"/>
      <c r="FZX1373" s="110"/>
      <c r="FZY1373" s="110"/>
      <c r="FZZ1373" s="110"/>
      <c r="GAA1373" s="110"/>
      <c r="GAB1373" s="110"/>
      <c r="GAC1373" s="110"/>
      <c r="GAD1373" s="110"/>
      <c r="GAE1373" s="110"/>
      <c r="GAF1373" s="110"/>
      <c r="GAG1373" s="110"/>
      <c r="GAH1373" s="110"/>
      <c r="GAI1373" s="110"/>
      <c r="GAJ1373" s="110"/>
      <c r="GAK1373" s="110"/>
      <c r="GAL1373" s="110"/>
      <c r="GAM1373" s="110"/>
      <c r="GAN1373" s="110"/>
      <c r="GAO1373" s="110"/>
      <c r="GAP1373" s="110"/>
      <c r="GAQ1373" s="110"/>
      <c r="GAR1373" s="110"/>
      <c r="GAS1373" s="110"/>
      <c r="GAT1373" s="110"/>
      <c r="GAU1373" s="110"/>
      <c r="GAV1373" s="110"/>
      <c r="GAW1373" s="110"/>
      <c r="GAX1373" s="110"/>
      <c r="GAY1373" s="110"/>
      <c r="GAZ1373" s="110"/>
      <c r="GBA1373" s="110"/>
      <c r="GBB1373" s="110"/>
      <c r="GBC1373" s="110"/>
      <c r="GBD1373" s="110"/>
      <c r="GBE1373" s="110"/>
      <c r="GBF1373" s="110"/>
      <c r="GBG1373" s="110"/>
      <c r="GBH1373" s="110"/>
      <c r="GBI1373" s="110"/>
      <c r="GBJ1373" s="110"/>
      <c r="GBK1373" s="110"/>
      <c r="GBL1373" s="110"/>
      <c r="GBM1373" s="110"/>
      <c r="GBN1373" s="110"/>
      <c r="GBO1373" s="110"/>
      <c r="GBP1373" s="110"/>
      <c r="GBQ1373" s="110"/>
      <c r="GBR1373" s="110"/>
      <c r="GBS1373" s="110"/>
      <c r="GBT1373" s="110"/>
      <c r="GBU1373" s="110"/>
      <c r="GBV1373" s="110"/>
      <c r="GBW1373" s="110"/>
      <c r="GBX1373" s="110"/>
      <c r="GBY1373" s="110"/>
      <c r="GBZ1373" s="110"/>
      <c r="GCA1373" s="110"/>
      <c r="GCB1373" s="110"/>
      <c r="GCC1373" s="110"/>
      <c r="GCD1373" s="110"/>
      <c r="GCE1373" s="110"/>
      <c r="GCF1373" s="110"/>
      <c r="GCG1373" s="110"/>
      <c r="GCH1373" s="110"/>
      <c r="GCI1373" s="110"/>
      <c r="GCJ1373" s="110"/>
      <c r="GCK1373" s="110"/>
      <c r="GCL1373" s="110"/>
      <c r="GCM1373" s="110"/>
      <c r="GCN1373" s="110"/>
      <c r="GCO1373" s="110"/>
      <c r="GCP1373" s="110"/>
      <c r="GCQ1373" s="110"/>
      <c r="GCR1373" s="110"/>
      <c r="GCS1373" s="110"/>
      <c r="GCT1373" s="110"/>
      <c r="GCU1373" s="110"/>
      <c r="GCV1373" s="110"/>
      <c r="GCW1373" s="110"/>
      <c r="GCX1373" s="110"/>
      <c r="GCY1373" s="110"/>
      <c r="GCZ1373" s="110"/>
      <c r="GDA1373" s="110"/>
      <c r="GDB1373" s="110"/>
      <c r="GDC1373" s="110"/>
      <c r="GDD1373" s="110"/>
      <c r="GDE1373" s="110"/>
      <c r="GDF1373" s="110"/>
      <c r="GDG1373" s="110"/>
      <c r="GDH1373" s="110"/>
      <c r="GDI1373" s="110"/>
      <c r="GDJ1373" s="110"/>
      <c r="GDK1373" s="110"/>
      <c r="GDL1373" s="110"/>
      <c r="GDM1373" s="110"/>
      <c r="GDN1373" s="110"/>
      <c r="GDO1373" s="110"/>
      <c r="GDP1373" s="110"/>
      <c r="GDQ1373" s="110"/>
      <c r="GDR1373" s="110"/>
      <c r="GDS1373" s="110"/>
      <c r="GDT1373" s="110"/>
      <c r="GDU1373" s="110"/>
      <c r="GDV1373" s="110"/>
      <c r="GDW1373" s="110"/>
      <c r="GDX1373" s="110"/>
      <c r="GDY1373" s="110"/>
      <c r="GDZ1373" s="110"/>
      <c r="GEA1373" s="110"/>
      <c r="GEB1373" s="110"/>
      <c r="GEC1373" s="110"/>
      <c r="GED1373" s="110"/>
      <c r="GEE1373" s="110"/>
      <c r="GEF1373" s="110"/>
      <c r="GEG1373" s="110"/>
      <c r="GEH1373" s="110"/>
      <c r="GEI1373" s="110"/>
      <c r="GEJ1373" s="110"/>
      <c r="GEK1373" s="110"/>
      <c r="GEL1373" s="110"/>
      <c r="GEM1373" s="110"/>
      <c r="GEN1373" s="110"/>
      <c r="GEO1373" s="110"/>
      <c r="GEP1373" s="110"/>
      <c r="GEQ1373" s="110"/>
      <c r="GER1373" s="110"/>
      <c r="GES1373" s="110"/>
      <c r="GET1373" s="110"/>
      <c r="GEU1373" s="110"/>
      <c r="GEV1373" s="110"/>
      <c r="GEW1373" s="110"/>
      <c r="GEX1373" s="110"/>
      <c r="GEY1373" s="110"/>
      <c r="GEZ1373" s="110"/>
      <c r="GFA1373" s="110"/>
      <c r="GFB1373" s="110"/>
      <c r="GFC1373" s="110"/>
      <c r="GFD1373" s="110"/>
      <c r="GFE1373" s="110"/>
      <c r="GFF1373" s="110"/>
      <c r="GFG1373" s="110"/>
      <c r="GFH1373" s="110"/>
      <c r="GFI1373" s="110"/>
      <c r="GFJ1373" s="110"/>
      <c r="GFK1373" s="110"/>
      <c r="GFL1373" s="110"/>
      <c r="GFM1373" s="110"/>
      <c r="GFN1373" s="110"/>
      <c r="GFO1373" s="110"/>
      <c r="GFP1373" s="110"/>
      <c r="GFQ1373" s="110"/>
      <c r="GFR1373" s="110"/>
      <c r="GFS1373" s="110"/>
      <c r="GFT1373" s="110"/>
      <c r="GFU1373" s="110"/>
      <c r="GFV1373" s="110"/>
      <c r="GFW1373" s="110"/>
      <c r="GFX1373" s="110"/>
      <c r="GFY1373" s="110"/>
      <c r="GFZ1373" s="110"/>
      <c r="GGA1373" s="110"/>
      <c r="GGB1373" s="110"/>
      <c r="GGC1373" s="110"/>
      <c r="GGD1373" s="110"/>
      <c r="GGE1373" s="110"/>
      <c r="GGF1373" s="110"/>
      <c r="GGG1373" s="110"/>
      <c r="GGH1373" s="110"/>
      <c r="GGI1373" s="110"/>
      <c r="GGJ1373" s="110"/>
      <c r="GGK1373" s="110"/>
      <c r="GGL1373" s="110"/>
      <c r="GGM1373" s="110"/>
      <c r="GGN1373" s="110"/>
      <c r="GGO1373" s="110"/>
      <c r="GGP1373" s="110"/>
      <c r="GGQ1373" s="110"/>
      <c r="GGR1373" s="110"/>
      <c r="GGS1373" s="110"/>
      <c r="GGT1373" s="110"/>
      <c r="GGU1373" s="110"/>
      <c r="GGV1373" s="110"/>
      <c r="GGW1373" s="110"/>
      <c r="GGX1373" s="110"/>
      <c r="GGY1373" s="110"/>
      <c r="GGZ1373" s="110"/>
      <c r="GHA1373" s="110"/>
      <c r="GHB1373" s="110"/>
      <c r="GHC1373" s="110"/>
      <c r="GHD1373" s="110"/>
      <c r="GHE1373" s="110"/>
      <c r="GHF1373" s="110"/>
      <c r="GHG1373" s="110"/>
      <c r="GHH1373" s="110"/>
      <c r="GHI1373" s="110"/>
      <c r="GHJ1373" s="110"/>
      <c r="GHK1373" s="110"/>
      <c r="GHL1373" s="110"/>
      <c r="GHM1373" s="110"/>
      <c r="GHN1373" s="110"/>
      <c r="GHO1373" s="110"/>
      <c r="GHP1373" s="110"/>
      <c r="GHQ1373" s="110"/>
      <c r="GHR1373" s="110"/>
      <c r="GHS1373" s="110"/>
      <c r="GHT1373" s="110"/>
      <c r="GHU1373" s="110"/>
      <c r="GHV1373" s="110"/>
      <c r="GHW1373" s="110"/>
      <c r="GHX1373" s="110"/>
      <c r="GHY1373" s="110"/>
      <c r="GHZ1373" s="110"/>
      <c r="GIA1373" s="110"/>
      <c r="GIB1373" s="110"/>
      <c r="GIC1373" s="110"/>
      <c r="GID1373" s="110"/>
      <c r="GIE1373" s="110"/>
      <c r="GIF1373" s="110"/>
      <c r="GIG1373" s="110"/>
      <c r="GIH1373" s="110"/>
      <c r="GII1373" s="110"/>
      <c r="GIJ1373" s="110"/>
      <c r="GIK1373" s="110"/>
      <c r="GIL1373" s="110"/>
      <c r="GIM1373" s="110"/>
      <c r="GIN1373" s="110"/>
      <c r="GIO1373" s="110"/>
      <c r="GIP1373" s="110"/>
      <c r="GIQ1373" s="110"/>
      <c r="GIR1373" s="110"/>
      <c r="GIS1373" s="110"/>
      <c r="GIT1373" s="110"/>
      <c r="GIU1373" s="110"/>
      <c r="GIV1373" s="110"/>
      <c r="GIW1373" s="110"/>
      <c r="GIX1373" s="110"/>
      <c r="GIY1373" s="110"/>
      <c r="GIZ1373" s="110"/>
      <c r="GJA1373" s="110"/>
      <c r="GJB1373" s="110"/>
      <c r="GJC1373" s="110"/>
      <c r="GJD1373" s="110"/>
      <c r="GJE1373" s="110"/>
      <c r="GJF1373" s="110"/>
      <c r="GJG1373" s="110"/>
      <c r="GJH1373" s="110"/>
      <c r="GJI1373" s="110"/>
      <c r="GJJ1373" s="110"/>
      <c r="GJK1373" s="110"/>
      <c r="GJL1373" s="110"/>
      <c r="GJM1373" s="110"/>
      <c r="GJN1373" s="110"/>
      <c r="GJO1373" s="110"/>
      <c r="GJP1373" s="110"/>
      <c r="GJQ1373" s="110"/>
      <c r="GJR1373" s="110"/>
      <c r="GJS1373" s="110"/>
      <c r="GJT1373" s="110"/>
      <c r="GJU1373" s="110"/>
      <c r="GJV1373" s="110"/>
      <c r="GJW1373" s="110"/>
      <c r="GJX1373" s="110"/>
      <c r="GJY1373" s="110"/>
      <c r="GJZ1373" s="110"/>
      <c r="GKA1373" s="110"/>
      <c r="GKB1373" s="110"/>
      <c r="GKC1373" s="110"/>
      <c r="GKD1373" s="110"/>
      <c r="GKE1373" s="110"/>
      <c r="GKF1373" s="110"/>
      <c r="GKG1373" s="110"/>
      <c r="GKH1373" s="110"/>
      <c r="GKI1373" s="110"/>
      <c r="GKJ1373" s="110"/>
      <c r="GKK1373" s="110"/>
      <c r="GKL1373" s="110"/>
      <c r="GKM1373" s="110"/>
      <c r="GKN1373" s="110"/>
      <c r="GKO1373" s="110"/>
      <c r="GKP1373" s="110"/>
      <c r="GKQ1373" s="110"/>
      <c r="GKR1373" s="110"/>
      <c r="GKS1373" s="110"/>
      <c r="GKT1373" s="110"/>
      <c r="GKU1373" s="110"/>
      <c r="GKV1373" s="110"/>
      <c r="GKW1373" s="110"/>
      <c r="GKX1373" s="110"/>
      <c r="GKY1373" s="110"/>
      <c r="GKZ1373" s="110"/>
      <c r="GLA1373" s="110"/>
      <c r="GLB1373" s="110"/>
      <c r="GLC1373" s="110"/>
      <c r="GLD1373" s="110"/>
      <c r="GLE1373" s="110"/>
      <c r="GLF1373" s="110"/>
      <c r="GLG1373" s="110"/>
      <c r="GLH1373" s="110"/>
      <c r="GLI1373" s="110"/>
      <c r="GLJ1373" s="110"/>
      <c r="GLK1373" s="110"/>
      <c r="GLL1373" s="110"/>
      <c r="GLM1373" s="110"/>
      <c r="GLN1373" s="110"/>
      <c r="GLO1373" s="110"/>
      <c r="GLP1373" s="110"/>
      <c r="GLQ1373" s="110"/>
      <c r="GLR1373" s="110"/>
      <c r="GLS1373" s="110"/>
      <c r="GLT1373" s="110"/>
      <c r="GLU1373" s="110"/>
      <c r="GLV1373" s="110"/>
      <c r="GLW1373" s="110"/>
      <c r="GLX1373" s="110"/>
      <c r="GLY1373" s="110"/>
      <c r="GLZ1373" s="110"/>
      <c r="GMA1373" s="110"/>
      <c r="GMB1373" s="110"/>
      <c r="GMC1373" s="110"/>
      <c r="GMD1373" s="110"/>
      <c r="GME1373" s="110"/>
      <c r="GMF1373" s="110"/>
      <c r="GMG1373" s="110"/>
      <c r="GMH1373" s="110"/>
      <c r="GMI1373" s="110"/>
      <c r="GMJ1373" s="110"/>
      <c r="GMK1373" s="110"/>
      <c r="GML1373" s="110"/>
      <c r="GMM1373" s="110"/>
      <c r="GMN1373" s="110"/>
      <c r="GMO1373" s="110"/>
      <c r="GMP1373" s="110"/>
      <c r="GMQ1373" s="110"/>
      <c r="GMR1373" s="110"/>
      <c r="GMS1373" s="110"/>
      <c r="GMT1373" s="110"/>
      <c r="GMU1373" s="110"/>
      <c r="GMV1373" s="110"/>
      <c r="GMW1373" s="110"/>
      <c r="GMX1373" s="110"/>
      <c r="GMY1373" s="110"/>
      <c r="GMZ1373" s="110"/>
      <c r="GNA1373" s="110"/>
      <c r="GNB1373" s="110"/>
      <c r="GNC1373" s="110"/>
      <c r="GND1373" s="110"/>
      <c r="GNE1373" s="110"/>
      <c r="GNF1373" s="110"/>
      <c r="GNG1373" s="110"/>
      <c r="GNH1373" s="110"/>
      <c r="GNI1373" s="110"/>
      <c r="GNJ1373" s="110"/>
      <c r="GNK1373" s="110"/>
      <c r="GNL1373" s="110"/>
      <c r="GNM1373" s="110"/>
      <c r="GNN1373" s="110"/>
      <c r="GNO1373" s="110"/>
      <c r="GNP1373" s="110"/>
      <c r="GNQ1373" s="110"/>
      <c r="GNR1373" s="110"/>
      <c r="GNS1373" s="110"/>
      <c r="GNT1373" s="110"/>
      <c r="GNU1373" s="110"/>
      <c r="GNV1373" s="110"/>
      <c r="GNW1373" s="110"/>
      <c r="GNX1373" s="110"/>
      <c r="GNY1373" s="110"/>
      <c r="GNZ1373" s="110"/>
      <c r="GOA1373" s="110"/>
      <c r="GOB1373" s="110"/>
      <c r="GOC1373" s="110"/>
      <c r="GOD1373" s="110"/>
      <c r="GOE1373" s="110"/>
      <c r="GOF1373" s="110"/>
      <c r="GOG1373" s="110"/>
      <c r="GOH1373" s="110"/>
      <c r="GOI1373" s="110"/>
      <c r="GOJ1373" s="110"/>
      <c r="GOK1373" s="110"/>
      <c r="GOL1373" s="110"/>
      <c r="GOM1373" s="110"/>
      <c r="GON1373" s="110"/>
      <c r="GOO1373" s="110"/>
      <c r="GOP1373" s="110"/>
      <c r="GOQ1373" s="110"/>
      <c r="GOR1373" s="110"/>
      <c r="GOS1373" s="110"/>
      <c r="GOT1373" s="110"/>
      <c r="GOU1373" s="110"/>
      <c r="GOV1373" s="110"/>
      <c r="GOW1373" s="110"/>
      <c r="GOX1373" s="110"/>
      <c r="GOY1373" s="110"/>
      <c r="GOZ1373" s="110"/>
      <c r="GPA1373" s="110"/>
      <c r="GPB1373" s="110"/>
      <c r="GPC1373" s="110"/>
      <c r="GPD1373" s="110"/>
      <c r="GPE1373" s="110"/>
      <c r="GPF1373" s="110"/>
      <c r="GPG1373" s="110"/>
      <c r="GPH1373" s="110"/>
      <c r="GPI1373" s="110"/>
      <c r="GPJ1373" s="110"/>
      <c r="GPK1373" s="110"/>
      <c r="GPL1373" s="110"/>
      <c r="GPM1373" s="110"/>
      <c r="GPN1373" s="110"/>
      <c r="GPO1373" s="110"/>
      <c r="GPP1373" s="110"/>
      <c r="GPQ1373" s="110"/>
      <c r="GPR1373" s="110"/>
      <c r="GPS1373" s="110"/>
      <c r="GPT1373" s="110"/>
      <c r="GPU1373" s="110"/>
      <c r="GPV1373" s="110"/>
      <c r="GPW1373" s="110"/>
      <c r="GPX1373" s="110"/>
      <c r="GPY1373" s="110"/>
      <c r="GPZ1373" s="110"/>
      <c r="GQA1373" s="110"/>
      <c r="GQB1373" s="110"/>
      <c r="GQC1373" s="110"/>
      <c r="GQD1373" s="110"/>
      <c r="GQE1373" s="110"/>
      <c r="GQF1373" s="110"/>
      <c r="GQG1373" s="110"/>
      <c r="GQH1373" s="110"/>
      <c r="GQI1373" s="110"/>
      <c r="GQJ1373" s="110"/>
      <c r="GQK1373" s="110"/>
      <c r="GQL1373" s="110"/>
      <c r="GQM1373" s="110"/>
      <c r="GQN1373" s="110"/>
      <c r="GQO1373" s="110"/>
      <c r="GQP1373" s="110"/>
      <c r="GQQ1373" s="110"/>
      <c r="GQR1373" s="110"/>
      <c r="GQS1373" s="110"/>
      <c r="GQT1373" s="110"/>
      <c r="GQU1373" s="110"/>
      <c r="GQV1373" s="110"/>
      <c r="GQW1373" s="110"/>
      <c r="GQX1373" s="110"/>
      <c r="GQY1373" s="110"/>
      <c r="GQZ1373" s="110"/>
      <c r="GRA1373" s="110"/>
      <c r="GRB1373" s="110"/>
      <c r="GRC1373" s="110"/>
      <c r="GRD1373" s="110"/>
      <c r="GRE1373" s="110"/>
      <c r="GRF1373" s="110"/>
      <c r="GRG1373" s="110"/>
      <c r="GRH1373" s="110"/>
      <c r="GRI1373" s="110"/>
      <c r="GRJ1373" s="110"/>
      <c r="GRK1373" s="110"/>
      <c r="GRL1373" s="110"/>
      <c r="GRM1373" s="110"/>
      <c r="GRN1373" s="110"/>
      <c r="GRO1373" s="110"/>
      <c r="GRP1373" s="110"/>
      <c r="GRQ1373" s="110"/>
      <c r="GRR1373" s="110"/>
      <c r="GRS1373" s="110"/>
      <c r="GRT1373" s="110"/>
      <c r="GRU1373" s="110"/>
      <c r="GRV1373" s="110"/>
      <c r="GRW1373" s="110"/>
      <c r="GRX1373" s="110"/>
      <c r="GRY1373" s="110"/>
      <c r="GRZ1373" s="110"/>
      <c r="GSA1373" s="110"/>
      <c r="GSB1373" s="110"/>
      <c r="GSC1373" s="110"/>
      <c r="GSD1373" s="110"/>
      <c r="GSE1373" s="110"/>
      <c r="GSF1373" s="110"/>
      <c r="GSG1373" s="110"/>
      <c r="GSH1373" s="110"/>
      <c r="GSI1373" s="110"/>
      <c r="GSJ1373" s="110"/>
      <c r="GSK1373" s="110"/>
      <c r="GSL1373" s="110"/>
      <c r="GSM1373" s="110"/>
      <c r="GSN1373" s="110"/>
      <c r="GSO1373" s="110"/>
      <c r="GSP1373" s="110"/>
      <c r="GSQ1373" s="110"/>
      <c r="GSR1373" s="110"/>
      <c r="GSS1373" s="110"/>
      <c r="GST1373" s="110"/>
      <c r="GSU1373" s="110"/>
      <c r="GSV1373" s="110"/>
      <c r="GSW1373" s="110"/>
      <c r="GSX1373" s="110"/>
      <c r="GSY1373" s="110"/>
      <c r="GSZ1373" s="110"/>
      <c r="GTA1373" s="110"/>
      <c r="GTB1373" s="110"/>
      <c r="GTC1373" s="110"/>
      <c r="GTD1373" s="110"/>
      <c r="GTE1373" s="110"/>
      <c r="GTF1373" s="110"/>
      <c r="GTG1373" s="110"/>
      <c r="GTH1373" s="110"/>
      <c r="GTI1373" s="110"/>
      <c r="GTJ1373" s="110"/>
      <c r="GTK1373" s="110"/>
      <c r="GTL1373" s="110"/>
      <c r="GTM1373" s="110"/>
      <c r="GTN1373" s="110"/>
      <c r="GTO1373" s="110"/>
      <c r="GTP1373" s="110"/>
      <c r="GTQ1373" s="110"/>
      <c r="GTR1373" s="110"/>
      <c r="GTS1373" s="110"/>
      <c r="GTT1373" s="110"/>
      <c r="GTU1373" s="110"/>
      <c r="GTV1373" s="110"/>
      <c r="GTW1373" s="110"/>
      <c r="GTX1373" s="110"/>
      <c r="GTY1373" s="110"/>
      <c r="GTZ1373" s="110"/>
      <c r="GUA1373" s="110"/>
      <c r="GUB1373" s="110"/>
      <c r="GUC1373" s="110"/>
      <c r="GUD1373" s="110"/>
      <c r="GUE1373" s="110"/>
      <c r="GUF1373" s="110"/>
      <c r="GUG1373" s="110"/>
      <c r="GUH1373" s="110"/>
      <c r="GUI1373" s="110"/>
      <c r="GUJ1373" s="110"/>
      <c r="GUK1373" s="110"/>
      <c r="GUL1373" s="110"/>
      <c r="GUM1373" s="110"/>
      <c r="GUN1373" s="110"/>
      <c r="GUO1373" s="110"/>
      <c r="GUP1373" s="110"/>
      <c r="GUQ1373" s="110"/>
      <c r="GUR1373" s="110"/>
      <c r="GUS1373" s="110"/>
      <c r="GUT1373" s="110"/>
      <c r="GUU1373" s="110"/>
      <c r="GUV1373" s="110"/>
      <c r="GUW1373" s="110"/>
      <c r="GUX1373" s="110"/>
      <c r="GUY1373" s="110"/>
      <c r="GUZ1373" s="110"/>
      <c r="GVA1373" s="110"/>
      <c r="GVB1373" s="110"/>
      <c r="GVC1373" s="110"/>
      <c r="GVD1373" s="110"/>
      <c r="GVE1373" s="110"/>
      <c r="GVF1373" s="110"/>
      <c r="GVG1373" s="110"/>
      <c r="GVH1373" s="110"/>
      <c r="GVI1373" s="110"/>
      <c r="GVJ1373" s="110"/>
      <c r="GVK1373" s="110"/>
      <c r="GVL1373" s="110"/>
      <c r="GVM1373" s="110"/>
      <c r="GVN1373" s="110"/>
      <c r="GVO1373" s="110"/>
      <c r="GVP1373" s="110"/>
      <c r="GVQ1373" s="110"/>
      <c r="GVR1373" s="110"/>
      <c r="GVS1373" s="110"/>
      <c r="GVT1373" s="110"/>
      <c r="GVU1373" s="110"/>
      <c r="GVV1373" s="110"/>
      <c r="GVW1373" s="110"/>
      <c r="GVX1373" s="110"/>
      <c r="GVY1373" s="110"/>
      <c r="GVZ1373" s="110"/>
      <c r="GWA1373" s="110"/>
      <c r="GWB1373" s="110"/>
      <c r="GWC1373" s="110"/>
      <c r="GWD1373" s="110"/>
      <c r="GWE1373" s="110"/>
      <c r="GWF1373" s="110"/>
      <c r="GWG1373" s="110"/>
      <c r="GWH1373" s="110"/>
      <c r="GWI1373" s="110"/>
      <c r="GWJ1373" s="110"/>
      <c r="GWK1373" s="110"/>
      <c r="GWL1373" s="110"/>
      <c r="GWM1373" s="110"/>
      <c r="GWN1373" s="110"/>
      <c r="GWO1373" s="110"/>
      <c r="GWP1373" s="110"/>
      <c r="GWQ1373" s="110"/>
      <c r="GWR1373" s="110"/>
      <c r="GWS1373" s="110"/>
      <c r="GWT1373" s="110"/>
      <c r="GWU1373" s="110"/>
      <c r="GWV1373" s="110"/>
      <c r="GWW1373" s="110"/>
      <c r="GWX1373" s="110"/>
      <c r="GWY1373" s="110"/>
      <c r="GWZ1373" s="110"/>
      <c r="GXA1373" s="110"/>
      <c r="GXB1373" s="110"/>
      <c r="GXC1373" s="110"/>
      <c r="GXD1373" s="110"/>
      <c r="GXE1373" s="110"/>
      <c r="GXF1373" s="110"/>
      <c r="GXG1373" s="110"/>
      <c r="GXH1373" s="110"/>
      <c r="GXI1373" s="110"/>
      <c r="GXJ1373" s="110"/>
      <c r="GXK1373" s="110"/>
      <c r="GXL1373" s="110"/>
      <c r="GXM1373" s="110"/>
      <c r="GXN1373" s="110"/>
      <c r="GXO1373" s="110"/>
      <c r="GXP1373" s="110"/>
      <c r="GXQ1373" s="110"/>
      <c r="GXR1373" s="110"/>
      <c r="GXS1373" s="110"/>
      <c r="GXT1373" s="110"/>
      <c r="GXU1373" s="110"/>
      <c r="GXV1373" s="110"/>
      <c r="GXW1373" s="110"/>
      <c r="GXX1373" s="110"/>
      <c r="GXY1373" s="110"/>
      <c r="GXZ1373" s="110"/>
      <c r="GYA1373" s="110"/>
      <c r="GYB1373" s="110"/>
      <c r="GYC1373" s="110"/>
      <c r="GYD1373" s="110"/>
      <c r="GYE1373" s="110"/>
      <c r="GYF1373" s="110"/>
      <c r="GYG1373" s="110"/>
      <c r="GYH1373" s="110"/>
      <c r="GYI1373" s="110"/>
      <c r="GYJ1373" s="110"/>
      <c r="GYK1373" s="110"/>
      <c r="GYL1373" s="110"/>
      <c r="GYM1373" s="110"/>
      <c r="GYN1373" s="110"/>
      <c r="GYO1373" s="110"/>
      <c r="GYP1373" s="110"/>
      <c r="GYQ1373" s="110"/>
      <c r="GYR1373" s="110"/>
      <c r="GYS1373" s="110"/>
      <c r="GYT1373" s="110"/>
      <c r="GYU1373" s="110"/>
      <c r="GYV1373" s="110"/>
      <c r="GYW1373" s="110"/>
      <c r="GYX1373" s="110"/>
      <c r="GYY1373" s="110"/>
      <c r="GYZ1373" s="110"/>
      <c r="GZA1373" s="110"/>
      <c r="GZB1373" s="110"/>
      <c r="GZC1373" s="110"/>
      <c r="GZD1373" s="110"/>
      <c r="GZE1373" s="110"/>
      <c r="GZF1373" s="110"/>
      <c r="GZG1373" s="110"/>
      <c r="GZH1373" s="110"/>
      <c r="GZI1373" s="110"/>
      <c r="GZJ1373" s="110"/>
      <c r="GZK1373" s="110"/>
      <c r="GZL1373" s="110"/>
      <c r="GZM1373" s="110"/>
      <c r="GZN1373" s="110"/>
      <c r="GZO1373" s="110"/>
      <c r="GZP1373" s="110"/>
      <c r="GZQ1373" s="110"/>
      <c r="GZR1373" s="110"/>
      <c r="GZS1373" s="110"/>
      <c r="GZT1373" s="110"/>
      <c r="GZU1373" s="110"/>
      <c r="GZV1373" s="110"/>
      <c r="GZW1373" s="110"/>
      <c r="GZX1373" s="110"/>
      <c r="GZY1373" s="110"/>
      <c r="GZZ1373" s="110"/>
      <c r="HAA1373" s="110"/>
      <c r="HAB1373" s="110"/>
      <c r="HAC1373" s="110"/>
      <c r="HAD1373" s="110"/>
      <c r="HAE1373" s="110"/>
      <c r="HAF1373" s="110"/>
      <c r="HAG1373" s="110"/>
      <c r="HAH1373" s="110"/>
      <c r="HAI1373" s="110"/>
      <c r="HAJ1373" s="110"/>
      <c r="HAK1373" s="110"/>
      <c r="HAL1373" s="110"/>
      <c r="HAM1373" s="110"/>
      <c r="HAN1373" s="110"/>
      <c r="HAO1373" s="110"/>
      <c r="HAP1373" s="110"/>
      <c r="HAQ1373" s="110"/>
      <c r="HAR1373" s="110"/>
      <c r="HAS1373" s="110"/>
      <c r="HAT1373" s="110"/>
      <c r="HAU1373" s="110"/>
      <c r="HAV1373" s="110"/>
      <c r="HAW1373" s="110"/>
      <c r="HAX1373" s="110"/>
      <c r="HAY1373" s="110"/>
      <c r="HAZ1373" s="110"/>
      <c r="HBA1373" s="110"/>
      <c r="HBB1373" s="110"/>
      <c r="HBC1373" s="110"/>
      <c r="HBD1373" s="110"/>
      <c r="HBE1373" s="110"/>
      <c r="HBF1373" s="110"/>
      <c r="HBG1373" s="110"/>
      <c r="HBH1373" s="110"/>
      <c r="HBI1373" s="110"/>
      <c r="HBJ1373" s="110"/>
      <c r="HBK1373" s="110"/>
      <c r="HBL1373" s="110"/>
      <c r="HBM1373" s="110"/>
      <c r="HBN1373" s="110"/>
      <c r="HBO1373" s="110"/>
      <c r="HBP1373" s="110"/>
      <c r="HBQ1373" s="110"/>
      <c r="HBR1373" s="110"/>
      <c r="HBS1373" s="110"/>
      <c r="HBT1373" s="110"/>
      <c r="HBU1373" s="110"/>
      <c r="HBV1373" s="110"/>
      <c r="HBW1373" s="110"/>
      <c r="HBX1373" s="110"/>
      <c r="HBY1373" s="110"/>
      <c r="HBZ1373" s="110"/>
      <c r="HCA1373" s="110"/>
      <c r="HCB1373" s="110"/>
      <c r="HCC1373" s="110"/>
      <c r="HCD1373" s="110"/>
      <c r="HCE1373" s="110"/>
      <c r="HCF1373" s="110"/>
      <c r="HCG1373" s="110"/>
      <c r="HCH1373" s="110"/>
      <c r="HCI1373" s="110"/>
      <c r="HCJ1373" s="110"/>
      <c r="HCK1373" s="110"/>
      <c r="HCL1373" s="110"/>
      <c r="HCM1373" s="110"/>
      <c r="HCN1373" s="110"/>
      <c r="HCO1373" s="110"/>
      <c r="HCP1373" s="110"/>
      <c r="HCQ1373" s="110"/>
      <c r="HCR1373" s="110"/>
      <c r="HCS1373" s="110"/>
      <c r="HCT1373" s="110"/>
      <c r="HCU1373" s="110"/>
      <c r="HCV1373" s="110"/>
      <c r="HCW1373" s="110"/>
      <c r="HCX1373" s="110"/>
      <c r="HCY1373" s="110"/>
      <c r="HCZ1373" s="110"/>
      <c r="HDA1373" s="110"/>
      <c r="HDB1373" s="110"/>
      <c r="HDC1373" s="110"/>
      <c r="HDD1373" s="110"/>
      <c r="HDE1373" s="110"/>
      <c r="HDF1373" s="110"/>
      <c r="HDG1373" s="110"/>
      <c r="HDH1373" s="110"/>
      <c r="HDI1373" s="110"/>
      <c r="HDJ1373" s="110"/>
      <c r="HDK1373" s="110"/>
      <c r="HDL1373" s="110"/>
      <c r="HDM1373" s="110"/>
      <c r="HDN1373" s="110"/>
      <c r="HDO1373" s="110"/>
      <c r="HDP1373" s="110"/>
      <c r="HDQ1373" s="110"/>
      <c r="HDR1373" s="110"/>
      <c r="HDS1373" s="110"/>
      <c r="HDT1373" s="110"/>
      <c r="HDU1373" s="110"/>
      <c r="HDV1373" s="110"/>
      <c r="HDW1373" s="110"/>
      <c r="HDX1373" s="110"/>
      <c r="HDY1373" s="110"/>
      <c r="HDZ1373" s="110"/>
      <c r="HEA1373" s="110"/>
      <c r="HEB1373" s="110"/>
      <c r="HEC1373" s="110"/>
      <c r="HED1373" s="110"/>
      <c r="HEE1373" s="110"/>
      <c r="HEF1373" s="110"/>
      <c r="HEG1373" s="110"/>
      <c r="HEH1373" s="110"/>
      <c r="HEI1373" s="110"/>
      <c r="HEJ1373" s="110"/>
      <c r="HEK1373" s="110"/>
      <c r="HEL1373" s="110"/>
      <c r="HEM1373" s="110"/>
      <c r="HEN1373" s="110"/>
      <c r="HEO1373" s="110"/>
      <c r="HEP1373" s="110"/>
      <c r="HEQ1373" s="110"/>
      <c r="HER1373" s="110"/>
      <c r="HES1373" s="110"/>
      <c r="HET1373" s="110"/>
      <c r="HEU1373" s="110"/>
      <c r="HEV1373" s="110"/>
      <c r="HEW1373" s="110"/>
      <c r="HEX1373" s="110"/>
      <c r="HEY1373" s="110"/>
      <c r="HEZ1373" s="110"/>
      <c r="HFA1373" s="110"/>
      <c r="HFB1373" s="110"/>
      <c r="HFC1373" s="110"/>
      <c r="HFD1373" s="110"/>
      <c r="HFE1373" s="110"/>
      <c r="HFF1373" s="110"/>
      <c r="HFG1373" s="110"/>
      <c r="HFH1373" s="110"/>
      <c r="HFI1373" s="110"/>
      <c r="HFJ1373" s="110"/>
      <c r="HFK1373" s="110"/>
      <c r="HFL1373" s="110"/>
      <c r="HFM1373" s="110"/>
      <c r="HFN1373" s="110"/>
      <c r="HFO1373" s="110"/>
      <c r="HFP1373" s="110"/>
      <c r="HFQ1373" s="110"/>
      <c r="HFR1373" s="110"/>
      <c r="HFS1373" s="110"/>
      <c r="HFT1373" s="110"/>
      <c r="HFU1373" s="110"/>
      <c r="HFV1373" s="110"/>
      <c r="HFW1373" s="110"/>
      <c r="HFX1373" s="110"/>
      <c r="HFY1373" s="110"/>
      <c r="HFZ1373" s="110"/>
      <c r="HGA1373" s="110"/>
      <c r="HGB1373" s="110"/>
      <c r="HGC1373" s="110"/>
      <c r="HGD1373" s="110"/>
      <c r="HGE1373" s="110"/>
      <c r="HGF1373" s="110"/>
      <c r="HGG1373" s="110"/>
      <c r="HGH1373" s="110"/>
      <c r="HGI1373" s="110"/>
      <c r="HGJ1373" s="110"/>
      <c r="HGK1373" s="110"/>
      <c r="HGL1373" s="110"/>
      <c r="HGM1373" s="110"/>
      <c r="HGN1373" s="110"/>
      <c r="HGO1373" s="110"/>
      <c r="HGP1373" s="110"/>
      <c r="HGQ1373" s="110"/>
      <c r="HGR1373" s="110"/>
      <c r="HGS1373" s="110"/>
      <c r="HGT1373" s="110"/>
      <c r="HGU1373" s="110"/>
      <c r="HGV1373" s="110"/>
      <c r="HGW1373" s="110"/>
      <c r="HGX1373" s="110"/>
      <c r="HGY1373" s="110"/>
      <c r="HGZ1373" s="110"/>
      <c r="HHA1373" s="110"/>
      <c r="HHB1373" s="110"/>
      <c r="HHC1373" s="110"/>
      <c r="HHD1373" s="110"/>
      <c r="HHE1373" s="110"/>
      <c r="HHF1373" s="110"/>
      <c r="HHG1373" s="110"/>
      <c r="HHH1373" s="110"/>
      <c r="HHI1373" s="110"/>
      <c r="HHJ1373" s="110"/>
      <c r="HHK1373" s="110"/>
      <c r="HHL1373" s="110"/>
      <c r="HHM1373" s="110"/>
      <c r="HHN1373" s="110"/>
      <c r="HHO1373" s="110"/>
      <c r="HHP1373" s="110"/>
      <c r="HHQ1373" s="110"/>
      <c r="HHR1373" s="110"/>
      <c r="HHS1373" s="110"/>
      <c r="HHT1373" s="110"/>
      <c r="HHU1373" s="110"/>
      <c r="HHV1373" s="110"/>
      <c r="HHW1373" s="110"/>
      <c r="HHX1373" s="110"/>
      <c r="HHY1373" s="110"/>
      <c r="HHZ1373" s="110"/>
      <c r="HIA1373" s="110"/>
      <c r="HIB1373" s="110"/>
      <c r="HIC1373" s="110"/>
      <c r="HID1373" s="110"/>
      <c r="HIE1373" s="110"/>
      <c r="HIF1373" s="110"/>
      <c r="HIG1373" s="110"/>
      <c r="HIH1373" s="110"/>
      <c r="HII1373" s="110"/>
      <c r="HIJ1373" s="110"/>
      <c r="HIK1373" s="110"/>
      <c r="HIL1373" s="110"/>
      <c r="HIM1373" s="110"/>
      <c r="HIN1373" s="110"/>
      <c r="HIO1373" s="110"/>
      <c r="HIP1373" s="110"/>
      <c r="HIQ1373" s="110"/>
      <c r="HIR1373" s="110"/>
      <c r="HIS1373" s="110"/>
      <c r="HIT1373" s="110"/>
      <c r="HIU1373" s="110"/>
      <c r="HIV1373" s="110"/>
      <c r="HIW1373" s="110"/>
      <c r="HIX1373" s="110"/>
      <c r="HIY1373" s="110"/>
      <c r="HIZ1373" s="110"/>
      <c r="HJA1373" s="110"/>
      <c r="HJB1373" s="110"/>
      <c r="HJC1373" s="110"/>
      <c r="HJD1373" s="110"/>
      <c r="HJE1373" s="110"/>
      <c r="HJF1373" s="110"/>
      <c r="HJG1373" s="110"/>
      <c r="HJH1373" s="110"/>
      <c r="HJI1373" s="110"/>
      <c r="HJJ1373" s="110"/>
      <c r="HJK1373" s="110"/>
      <c r="HJL1373" s="110"/>
      <c r="HJM1373" s="110"/>
      <c r="HJN1373" s="110"/>
      <c r="HJO1373" s="110"/>
      <c r="HJP1373" s="110"/>
      <c r="HJQ1373" s="110"/>
      <c r="HJR1373" s="110"/>
      <c r="HJS1373" s="110"/>
      <c r="HJT1373" s="110"/>
      <c r="HJU1373" s="110"/>
      <c r="HJV1373" s="110"/>
      <c r="HJW1373" s="110"/>
      <c r="HJX1373" s="110"/>
      <c r="HJY1373" s="110"/>
      <c r="HJZ1373" s="110"/>
      <c r="HKA1373" s="110"/>
      <c r="HKB1373" s="110"/>
      <c r="HKC1373" s="110"/>
      <c r="HKD1373" s="110"/>
      <c r="HKE1373" s="110"/>
      <c r="HKF1373" s="110"/>
      <c r="HKG1373" s="110"/>
      <c r="HKH1373" s="110"/>
      <c r="HKI1373" s="110"/>
      <c r="HKJ1373" s="110"/>
      <c r="HKK1373" s="110"/>
      <c r="HKL1373" s="110"/>
      <c r="HKM1373" s="110"/>
      <c r="HKN1373" s="110"/>
      <c r="HKO1373" s="110"/>
      <c r="HKP1373" s="110"/>
      <c r="HKQ1373" s="110"/>
      <c r="HKR1373" s="110"/>
      <c r="HKS1373" s="110"/>
      <c r="HKT1373" s="110"/>
      <c r="HKU1373" s="110"/>
      <c r="HKV1373" s="110"/>
      <c r="HKW1373" s="110"/>
      <c r="HKX1373" s="110"/>
      <c r="HKY1373" s="110"/>
      <c r="HKZ1373" s="110"/>
      <c r="HLA1373" s="110"/>
      <c r="HLB1373" s="110"/>
      <c r="HLC1373" s="110"/>
      <c r="HLD1373" s="110"/>
      <c r="HLE1373" s="110"/>
      <c r="HLF1373" s="110"/>
      <c r="HLG1373" s="110"/>
      <c r="HLH1373" s="110"/>
      <c r="HLI1373" s="110"/>
      <c r="HLJ1373" s="110"/>
      <c r="HLK1373" s="110"/>
      <c r="HLL1373" s="110"/>
      <c r="HLM1373" s="110"/>
      <c r="HLN1373" s="110"/>
      <c r="HLO1373" s="110"/>
      <c r="HLP1373" s="110"/>
      <c r="HLQ1373" s="110"/>
      <c r="HLR1373" s="110"/>
      <c r="HLS1373" s="110"/>
      <c r="HLT1373" s="110"/>
      <c r="HLU1373" s="110"/>
      <c r="HLV1373" s="110"/>
      <c r="HLW1373" s="110"/>
      <c r="HLX1373" s="110"/>
      <c r="HLY1373" s="110"/>
      <c r="HLZ1373" s="110"/>
      <c r="HMA1373" s="110"/>
      <c r="HMB1373" s="110"/>
      <c r="HMC1373" s="110"/>
      <c r="HMD1373" s="110"/>
      <c r="HME1373" s="110"/>
      <c r="HMF1373" s="110"/>
      <c r="HMG1373" s="110"/>
      <c r="HMH1373" s="110"/>
      <c r="HMI1373" s="110"/>
      <c r="HMJ1373" s="110"/>
      <c r="HMK1373" s="110"/>
      <c r="HML1373" s="110"/>
      <c r="HMM1373" s="110"/>
      <c r="HMN1373" s="110"/>
      <c r="HMO1373" s="110"/>
      <c r="HMP1373" s="110"/>
      <c r="HMQ1373" s="110"/>
      <c r="HMR1373" s="110"/>
      <c r="HMS1373" s="110"/>
      <c r="HMT1373" s="110"/>
      <c r="HMU1373" s="110"/>
      <c r="HMV1373" s="110"/>
      <c r="HMW1373" s="110"/>
      <c r="HMX1373" s="110"/>
      <c r="HMY1373" s="110"/>
      <c r="HMZ1373" s="110"/>
      <c r="HNA1373" s="110"/>
      <c r="HNB1373" s="110"/>
      <c r="HNC1373" s="110"/>
      <c r="HND1373" s="110"/>
      <c r="HNE1373" s="110"/>
      <c r="HNF1373" s="110"/>
      <c r="HNG1373" s="110"/>
      <c r="HNH1373" s="110"/>
      <c r="HNI1373" s="110"/>
      <c r="HNJ1373" s="110"/>
      <c r="HNK1373" s="110"/>
      <c r="HNL1373" s="110"/>
      <c r="HNM1373" s="110"/>
      <c r="HNN1373" s="110"/>
      <c r="HNO1373" s="110"/>
      <c r="HNP1373" s="110"/>
      <c r="HNQ1373" s="110"/>
      <c r="HNR1373" s="110"/>
      <c r="HNS1373" s="110"/>
      <c r="HNT1373" s="110"/>
      <c r="HNU1373" s="110"/>
      <c r="HNV1373" s="110"/>
      <c r="HNW1373" s="110"/>
      <c r="HNX1373" s="110"/>
      <c r="HNY1373" s="110"/>
      <c r="HNZ1373" s="110"/>
      <c r="HOA1373" s="110"/>
      <c r="HOB1373" s="110"/>
      <c r="HOC1373" s="110"/>
      <c r="HOD1373" s="110"/>
      <c r="HOE1373" s="110"/>
      <c r="HOF1373" s="110"/>
      <c r="HOG1373" s="110"/>
      <c r="HOH1373" s="110"/>
      <c r="HOI1373" s="110"/>
      <c r="HOJ1373" s="110"/>
      <c r="HOK1373" s="110"/>
      <c r="HOL1373" s="110"/>
      <c r="HOM1373" s="110"/>
      <c r="HON1373" s="110"/>
      <c r="HOO1373" s="110"/>
      <c r="HOP1373" s="110"/>
      <c r="HOQ1373" s="110"/>
      <c r="HOR1373" s="110"/>
      <c r="HOS1373" s="110"/>
      <c r="HOT1373" s="110"/>
      <c r="HOU1373" s="110"/>
      <c r="HOV1373" s="110"/>
      <c r="HOW1373" s="110"/>
      <c r="HOX1373" s="110"/>
      <c r="HOY1373" s="110"/>
      <c r="HOZ1373" s="110"/>
      <c r="HPA1373" s="110"/>
      <c r="HPB1373" s="110"/>
      <c r="HPC1373" s="110"/>
      <c r="HPD1373" s="110"/>
      <c r="HPE1373" s="110"/>
      <c r="HPF1373" s="110"/>
      <c r="HPG1373" s="110"/>
      <c r="HPH1373" s="110"/>
      <c r="HPI1373" s="110"/>
      <c r="HPJ1373" s="110"/>
      <c r="HPK1373" s="110"/>
      <c r="HPL1373" s="110"/>
      <c r="HPM1373" s="110"/>
      <c r="HPN1373" s="110"/>
      <c r="HPO1373" s="110"/>
      <c r="HPP1373" s="110"/>
      <c r="HPQ1373" s="110"/>
      <c r="HPR1373" s="110"/>
      <c r="HPS1373" s="110"/>
      <c r="HPT1373" s="110"/>
      <c r="HPU1373" s="110"/>
      <c r="HPV1373" s="110"/>
      <c r="HPW1373" s="110"/>
      <c r="HPX1373" s="110"/>
      <c r="HPY1373" s="110"/>
      <c r="HPZ1373" s="110"/>
      <c r="HQA1373" s="110"/>
      <c r="HQB1373" s="110"/>
      <c r="HQC1373" s="110"/>
      <c r="HQD1373" s="110"/>
      <c r="HQE1373" s="110"/>
      <c r="HQF1373" s="110"/>
      <c r="HQG1373" s="110"/>
      <c r="HQH1373" s="110"/>
      <c r="HQI1373" s="110"/>
      <c r="HQJ1373" s="110"/>
      <c r="HQK1373" s="110"/>
      <c r="HQL1373" s="110"/>
      <c r="HQM1373" s="110"/>
      <c r="HQN1373" s="110"/>
      <c r="HQO1373" s="110"/>
      <c r="HQP1373" s="110"/>
      <c r="HQQ1373" s="110"/>
      <c r="HQR1373" s="110"/>
      <c r="HQS1373" s="110"/>
      <c r="HQT1373" s="110"/>
      <c r="HQU1373" s="110"/>
      <c r="HQV1373" s="110"/>
      <c r="HQW1373" s="110"/>
      <c r="HQX1373" s="110"/>
      <c r="HQY1373" s="110"/>
      <c r="HQZ1373" s="110"/>
      <c r="HRA1373" s="110"/>
      <c r="HRB1373" s="110"/>
      <c r="HRC1373" s="110"/>
      <c r="HRD1373" s="110"/>
      <c r="HRE1373" s="110"/>
      <c r="HRF1373" s="110"/>
      <c r="HRG1373" s="110"/>
      <c r="HRH1373" s="110"/>
      <c r="HRI1373" s="110"/>
      <c r="HRJ1373" s="110"/>
      <c r="HRK1373" s="110"/>
      <c r="HRL1373" s="110"/>
      <c r="HRM1373" s="110"/>
      <c r="HRN1373" s="110"/>
      <c r="HRO1373" s="110"/>
      <c r="HRP1373" s="110"/>
      <c r="HRQ1373" s="110"/>
      <c r="HRR1373" s="110"/>
      <c r="HRS1373" s="110"/>
      <c r="HRT1373" s="110"/>
      <c r="HRU1373" s="110"/>
      <c r="HRV1373" s="110"/>
      <c r="HRW1373" s="110"/>
      <c r="HRX1373" s="110"/>
      <c r="HRY1373" s="110"/>
      <c r="HRZ1373" s="110"/>
      <c r="HSA1373" s="110"/>
      <c r="HSB1373" s="110"/>
      <c r="HSC1373" s="110"/>
      <c r="HSD1373" s="110"/>
      <c r="HSE1373" s="110"/>
      <c r="HSF1373" s="110"/>
      <c r="HSG1373" s="110"/>
      <c r="HSH1373" s="110"/>
      <c r="HSI1373" s="110"/>
      <c r="HSJ1373" s="110"/>
      <c r="HSK1373" s="110"/>
      <c r="HSL1373" s="110"/>
      <c r="HSM1373" s="110"/>
      <c r="HSN1373" s="110"/>
      <c r="HSO1373" s="110"/>
      <c r="HSP1373" s="110"/>
      <c r="HSQ1373" s="110"/>
      <c r="HSR1373" s="110"/>
      <c r="HSS1373" s="110"/>
      <c r="HST1373" s="110"/>
      <c r="HSU1373" s="110"/>
      <c r="HSV1373" s="110"/>
      <c r="HSW1373" s="110"/>
      <c r="HSX1373" s="110"/>
      <c r="HSY1373" s="110"/>
      <c r="HSZ1373" s="110"/>
      <c r="HTA1373" s="110"/>
      <c r="HTB1373" s="110"/>
      <c r="HTC1373" s="110"/>
      <c r="HTD1373" s="110"/>
      <c r="HTE1373" s="110"/>
      <c r="HTF1373" s="110"/>
      <c r="HTG1373" s="110"/>
      <c r="HTH1373" s="110"/>
      <c r="HTI1373" s="110"/>
      <c r="HTJ1373" s="110"/>
      <c r="HTK1373" s="110"/>
      <c r="HTL1373" s="110"/>
      <c r="HTM1373" s="110"/>
      <c r="HTN1373" s="110"/>
      <c r="HTO1373" s="110"/>
      <c r="HTP1373" s="110"/>
      <c r="HTQ1373" s="110"/>
      <c r="HTR1373" s="110"/>
      <c r="HTS1373" s="110"/>
      <c r="HTT1373" s="110"/>
      <c r="HTU1373" s="110"/>
      <c r="HTV1373" s="110"/>
      <c r="HTW1373" s="110"/>
      <c r="HTX1373" s="110"/>
      <c r="HTY1373" s="110"/>
      <c r="HTZ1373" s="110"/>
      <c r="HUA1373" s="110"/>
      <c r="HUB1373" s="110"/>
      <c r="HUC1373" s="110"/>
      <c r="HUD1373" s="110"/>
      <c r="HUE1373" s="110"/>
      <c r="HUF1373" s="110"/>
      <c r="HUG1373" s="110"/>
      <c r="HUH1373" s="110"/>
      <c r="HUI1373" s="110"/>
      <c r="HUJ1373" s="110"/>
      <c r="HUK1373" s="110"/>
      <c r="HUL1373" s="110"/>
      <c r="HUM1373" s="110"/>
      <c r="HUN1373" s="110"/>
      <c r="HUO1373" s="110"/>
      <c r="HUP1373" s="110"/>
      <c r="HUQ1373" s="110"/>
      <c r="HUR1373" s="110"/>
      <c r="HUS1373" s="110"/>
      <c r="HUT1373" s="110"/>
      <c r="HUU1373" s="110"/>
      <c r="HUV1373" s="110"/>
      <c r="HUW1373" s="110"/>
      <c r="HUX1373" s="110"/>
      <c r="HUY1373" s="110"/>
      <c r="HUZ1373" s="110"/>
      <c r="HVA1373" s="110"/>
      <c r="HVB1373" s="110"/>
      <c r="HVC1373" s="110"/>
      <c r="HVD1373" s="110"/>
      <c r="HVE1373" s="110"/>
      <c r="HVF1373" s="110"/>
      <c r="HVG1373" s="110"/>
      <c r="HVH1373" s="110"/>
      <c r="HVI1373" s="110"/>
      <c r="HVJ1373" s="110"/>
      <c r="HVK1373" s="110"/>
      <c r="HVL1373" s="110"/>
      <c r="HVM1373" s="110"/>
      <c r="HVN1373" s="110"/>
      <c r="HVO1373" s="110"/>
      <c r="HVP1373" s="110"/>
      <c r="HVQ1373" s="110"/>
      <c r="HVR1373" s="110"/>
      <c r="HVS1373" s="110"/>
      <c r="HVT1373" s="110"/>
      <c r="HVU1373" s="110"/>
      <c r="HVV1373" s="110"/>
      <c r="HVW1373" s="110"/>
      <c r="HVX1373" s="110"/>
      <c r="HVY1373" s="110"/>
      <c r="HVZ1373" s="110"/>
      <c r="HWA1373" s="110"/>
      <c r="HWB1373" s="110"/>
      <c r="HWC1373" s="110"/>
      <c r="HWD1373" s="110"/>
      <c r="HWE1373" s="110"/>
      <c r="HWF1373" s="110"/>
      <c r="HWG1373" s="110"/>
      <c r="HWH1373" s="110"/>
      <c r="HWI1373" s="110"/>
      <c r="HWJ1373" s="110"/>
      <c r="HWK1373" s="110"/>
      <c r="HWL1373" s="110"/>
      <c r="HWM1373" s="110"/>
      <c r="HWN1373" s="110"/>
      <c r="HWO1373" s="110"/>
      <c r="HWP1373" s="110"/>
      <c r="HWQ1373" s="110"/>
      <c r="HWR1373" s="110"/>
      <c r="HWS1373" s="110"/>
      <c r="HWT1373" s="110"/>
      <c r="HWU1373" s="110"/>
      <c r="HWV1373" s="110"/>
      <c r="HWW1373" s="110"/>
      <c r="HWX1373" s="110"/>
      <c r="HWY1373" s="110"/>
      <c r="HWZ1373" s="110"/>
      <c r="HXA1373" s="110"/>
      <c r="HXB1373" s="110"/>
      <c r="HXC1373" s="110"/>
      <c r="HXD1373" s="110"/>
      <c r="HXE1373" s="110"/>
      <c r="HXF1373" s="110"/>
      <c r="HXG1373" s="110"/>
      <c r="HXH1373" s="110"/>
      <c r="HXI1373" s="110"/>
      <c r="HXJ1373" s="110"/>
      <c r="HXK1373" s="110"/>
      <c r="HXL1373" s="110"/>
      <c r="HXM1373" s="110"/>
      <c r="HXN1373" s="110"/>
      <c r="HXO1373" s="110"/>
      <c r="HXP1373" s="110"/>
      <c r="HXQ1373" s="110"/>
      <c r="HXR1373" s="110"/>
      <c r="HXS1373" s="110"/>
      <c r="HXT1373" s="110"/>
      <c r="HXU1373" s="110"/>
      <c r="HXV1373" s="110"/>
      <c r="HXW1373" s="110"/>
      <c r="HXX1373" s="110"/>
      <c r="HXY1373" s="110"/>
      <c r="HXZ1373" s="110"/>
      <c r="HYA1373" s="110"/>
      <c r="HYB1373" s="110"/>
      <c r="HYC1373" s="110"/>
      <c r="HYD1373" s="110"/>
      <c r="HYE1373" s="110"/>
      <c r="HYF1373" s="110"/>
      <c r="HYG1373" s="110"/>
      <c r="HYH1373" s="110"/>
      <c r="HYI1373" s="110"/>
      <c r="HYJ1373" s="110"/>
      <c r="HYK1373" s="110"/>
      <c r="HYL1373" s="110"/>
      <c r="HYM1373" s="110"/>
      <c r="HYN1373" s="110"/>
      <c r="HYO1373" s="110"/>
      <c r="HYP1373" s="110"/>
      <c r="HYQ1373" s="110"/>
      <c r="HYR1373" s="110"/>
      <c r="HYS1373" s="110"/>
      <c r="HYT1373" s="110"/>
      <c r="HYU1373" s="110"/>
      <c r="HYV1373" s="110"/>
      <c r="HYW1373" s="110"/>
      <c r="HYX1373" s="110"/>
      <c r="HYY1373" s="110"/>
      <c r="HYZ1373" s="110"/>
      <c r="HZA1373" s="110"/>
      <c r="HZB1373" s="110"/>
      <c r="HZC1373" s="110"/>
      <c r="HZD1373" s="110"/>
      <c r="HZE1373" s="110"/>
      <c r="HZF1373" s="110"/>
      <c r="HZG1373" s="110"/>
      <c r="HZH1373" s="110"/>
      <c r="HZI1373" s="110"/>
      <c r="HZJ1373" s="110"/>
      <c r="HZK1373" s="110"/>
      <c r="HZL1373" s="110"/>
      <c r="HZM1373" s="110"/>
      <c r="HZN1373" s="110"/>
      <c r="HZO1373" s="110"/>
      <c r="HZP1373" s="110"/>
      <c r="HZQ1373" s="110"/>
      <c r="HZR1373" s="110"/>
      <c r="HZS1373" s="110"/>
      <c r="HZT1373" s="110"/>
      <c r="HZU1373" s="110"/>
      <c r="HZV1373" s="110"/>
      <c r="HZW1373" s="110"/>
      <c r="HZX1373" s="110"/>
      <c r="HZY1373" s="110"/>
      <c r="HZZ1373" s="110"/>
      <c r="IAA1373" s="110"/>
      <c r="IAB1373" s="110"/>
      <c r="IAC1373" s="110"/>
      <c r="IAD1373" s="110"/>
      <c r="IAE1373" s="110"/>
      <c r="IAF1373" s="110"/>
      <c r="IAG1373" s="110"/>
      <c r="IAH1373" s="110"/>
      <c r="IAI1373" s="110"/>
      <c r="IAJ1373" s="110"/>
      <c r="IAK1373" s="110"/>
      <c r="IAL1373" s="110"/>
      <c r="IAM1373" s="110"/>
      <c r="IAN1373" s="110"/>
      <c r="IAO1373" s="110"/>
      <c r="IAP1373" s="110"/>
      <c r="IAQ1373" s="110"/>
      <c r="IAR1373" s="110"/>
      <c r="IAS1373" s="110"/>
      <c r="IAT1373" s="110"/>
      <c r="IAU1373" s="110"/>
      <c r="IAV1373" s="110"/>
      <c r="IAW1373" s="110"/>
      <c r="IAX1373" s="110"/>
      <c r="IAY1373" s="110"/>
      <c r="IAZ1373" s="110"/>
      <c r="IBA1373" s="110"/>
      <c r="IBB1373" s="110"/>
      <c r="IBC1373" s="110"/>
      <c r="IBD1373" s="110"/>
      <c r="IBE1373" s="110"/>
      <c r="IBF1373" s="110"/>
      <c r="IBG1373" s="110"/>
      <c r="IBH1373" s="110"/>
      <c r="IBI1373" s="110"/>
      <c r="IBJ1373" s="110"/>
      <c r="IBK1373" s="110"/>
      <c r="IBL1373" s="110"/>
      <c r="IBM1373" s="110"/>
      <c r="IBN1373" s="110"/>
      <c r="IBO1373" s="110"/>
      <c r="IBP1373" s="110"/>
      <c r="IBQ1373" s="110"/>
      <c r="IBR1373" s="110"/>
      <c r="IBS1373" s="110"/>
      <c r="IBT1373" s="110"/>
      <c r="IBU1373" s="110"/>
      <c r="IBV1373" s="110"/>
      <c r="IBW1373" s="110"/>
      <c r="IBX1373" s="110"/>
      <c r="IBY1373" s="110"/>
      <c r="IBZ1373" s="110"/>
      <c r="ICA1373" s="110"/>
      <c r="ICB1373" s="110"/>
      <c r="ICC1373" s="110"/>
      <c r="ICD1373" s="110"/>
      <c r="ICE1373" s="110"/>
      <c r="ICF1373" s="110"/>
      <c r="ICG1373" s="110"/>
      <c r="ICH1373" s="110"/>
      <c r="ICI1373" s="110"/>
      <c r="ICJ1373" s="110"/>
      <c r="ICK1373" s="110"/>
      <c r="ICL1373" s="110"/>
      <c r="ICM1373" s="110"/>
      <c r="ICN1373" s="110"/>
      <c r="ICO1373" s="110"/>
      <c r="ICP1373" s="110"/>
      <c r="ICQ1373" s="110"/>
      <c r="ICR1373" s="110"/>
      <c r="ICS1373" s="110"/>
      <c r="ICT1373" s="110"/>
      <c r="ICU1373" s="110"/>
      <c r="ICV1373" s="110"/>
      <c r="ICW1373" s="110"/>
      <c r="ICX1373" s="110"/>
      <c r="ICY1373" s="110"/>
      <c r="ICZ1373" s="110"/>
      <c r="IDA1373" s="110"/>
      <c r="IDB1373" s="110"/>
      <c r="IDC1373" s="110"/>
      <c r="IDD1373" s="110"/>
      <c r="IDE1373" s="110"/>
      <c r="IDF1373" s="110"/>
      <c r="IDG1373" s="110"/>
      <c r="IDH1373" s="110"/>
      <c r="IDI1373" s="110"/>
      <c r="IDJ1373" s="110"/>
      <c r="IDK1373" s="110"/>
      <c r="IDL1373" s="110"/>
      <c r="IDM1373" s="110"/>
      <c r="IDN1373" s="110"/>
      <c r="IDO1373" s="110"/>
      <c r="IDP1373" s="110"/>
      <c r="IDQ1373" s="110"/>
      <c r="IDR1373" s="110"/>
      <c r="IDS1373" s="110"/>
      <c r="IDT1373" s="110"/>
      <c r="IDU1373" s="110"/>
      <c r="IDV1373" s="110"/>
      <c r="IDW1373" s="110"/>
      <c r="IDX1373" s="110"/>
      <c r="IDY1373" s="110"/>
      <c r="IDZ1373" s="110"/>
      <c r="IEA1373" s="110"/>
      <c r="IEB1373" s="110"/>
      <c r="IEC1373" s="110"/>
      <c r="IED1373" s="110"/>
      <c r="IEE1373" s="110"/>
      <c r="IEF1373" s="110"/>
      <c r="IEG1373" s="110"/>
      <c r="IEH1373" s="110"/>
      <c r="IEI1373" s="110"/>
      <c r="IEJ1373" s="110"/>
      <c r="IEK1373" s="110"/>
      <c r="IEL1373" s="110"/>
      <c r="IEM1373" s="110"/>
      <c r="IEN1373" s="110"/>
      <c r="IEO1373" s="110"/>
      <c r="IEP1373" s="110"/>
      <c r="IEQ1373" s="110"/>
      <c r="IER1373" s="110"/>
      <c r="IES1373" s="110"/>
      <c r="IET1373" s="110"/>
      <c r="IEU1373" s="110"/>
      <c r="IEV1373" s="110"/>
      <c r="IEW1373" s="110"/>
      <c r="IEX1373" s="110"/>
      <c r="IEY1373" s="110"/>
      <c r="IEZ1373" s="110"/>
      <c r="IFA1373" s="110"/>
      <c r="IFB1373" s="110"/>
      <c r="IFC1373" s="110"/>
      <c r="IFD1373" s="110"/>
      <c r="IFE1373" s="110"/>
      <c r="IFF1373" s="110"/>
      <c r="IFG1373" s="110"/>
      <c r="IFH1373" s="110"/>
      <c r="IFI1373" s="110"/>
      <c r="IFJ1373" s="110"/>
      <c r="IFK1373" s="110"/>
      <c r="IFL1373" s="110"/>
      <c r="IFM1373" s="110"/>
      <c r="IFN1373" s="110"/>
      <c r="IFO1373" s="110"/>
      <c r="IFP1373" s="110"/>
      <c r="IFQ1373" s="110"/>
      <c r="IFR1373" s="110"/>
      <c r="IFS1373" s="110"/>
      <c r="IFT1373" s="110"/>
      <c r="IFU1373" s="110"/>
      <c r="IFV1373" s="110"/>
      <c r="IFW1373" s="110"/>
      <c r="IFX1373" s="110"/>
      <c r="IFY1373" s="110"/>
      <c r="IFZ1373" s="110"/>
      <c r="IGA1373" s="110"/>
      <c r="IGB1373" s="110"/>
      <c r="IGC1373" s="110"/>
      <c r="IGD1373" s="110"/>
      <c r="IGE1373" s="110"/>
      <c r="IGF1373" s="110"/>
      <c r="IGG1373" s="110"/>
      <c r="IGH1373" s="110"/>
      <c r="IGI1373" s="110"/>
      <c r="IGJ1373" s="110"/>
      <c r="IGK1373" s="110"/>
      <c r="IGL1373" s="110"/>
      <c r="IGM1373" s="110"/>
      <c r="IGN1373" s="110"/>
      <c r="IGO1373" s="110"/>
      <c r="IGP1373" s="110"/>
      <c r="IGQ1373" s="110"/>
      <c r="IGR1373" s="110"/>
      <c r="IGS1373" s="110"/>
      <c r="IGT1373" s="110"/>
      <c r="IGU1373" s="110"/>
      <c r="IGV1373" s="110"/>
      <c r="IGW1373" s="110"/>
      <c r="IGX1373" s="110"/>
      <c r="IGY1373" s="110"/>
      <c r="IGZ1373" s="110"/>
      <c r="IHA1373" s="110"/>
      <c r="IHB1373" s="110"/>
      <c r="IHC1373" s="110"/>
      <c r="IHD1373" s="110"/>
      <c r="IHE1373" s="110"/>
      <c r="IHF1373" s="110"/>
      <c r="IHG1373" s="110"/>
      <c r="IHH1373" s="110"/>
      <c r="IHI1373" s="110"/>
      <c r="IHJ1373" s="110"/>
      <c r="IHK1373" s="110"/>
      <c r="IHL1373" s="110"/>
      <c r="IHM1373" s="110"/>
      <c r="IHN1373" s="110"/>
      <c r="IHO1373" s="110"/>
      <c r="IHP1373" s="110"/>
      <c r="IHQ1373" s="110"/>
      <c r="IHR1373" s="110"/>
      <c r="IHS1373" s="110"/>
      <c r="IHT1373" s="110"/>
      <c r="IHU1373" s="110"/>
      <c r="IHV1373" s="110"/>
      <c r="IHW1373" s="110"/>
      <c r="IHX1373" s="110"/>
      <c r="IHY1373" s="110"/>
      <c r="IHZ1373" s="110"/>
      <c r="IIA1373" s="110"/>
      <c r="IIB1373" s="110"/>
      <c r="IIC1373" s="110"/>
      <c r="IID1373" s="110"/>
      <c r="IIE1373" s="110"/>
      <c r="IIF1373" s="110"/>
      <c r="IIG1373" s="110"/>
      <c r="IIH1373" s="110"/>
      <c r="III1373" s="110"/>
      <c r="IIJ1373" s="110"/>
      <c r="IIK1373" s="110"/>
      <c r="IIL1373" s="110"/>
      <c r="IIM1373" s="110"/>
      <c r="IIN1373" s="110"/>
      <c r="IIO1373" s="110"/>
      <c r="IIP1373" s="110"/>
      <c r="IIQ1373" s="110"/>
      <c r="IIR1373" s="110"/>
      <c r="IIS1373" s="110"/>
      <c r="IIT1373" s="110"/>
      <c r="IIU1373" s="110"/>
      <c r="IIV1373" s="110"/>
      <c r="IIW1373" s="110"/>
      <c r="IIX1373" s="110"/>
      <c r="IIY1373" s="110"/>
      <c r="IIZ1373" s="110"/>
      <c r="IJA1373" s="110"/>
      <c r="IJB1373" s="110"/>
      <c r="IJC1373" s="110"/>
      <c r="IJD1373" s="110"/>
      <c r="IJE1373" s="110"/>
      <c r="IJF1373" s="110"/>
      <c r="IJG1373" s="110"/>
      <c r="IJH1373" s="110"/>
      <c r="IJI1373" s="110"/>
      <c r="IJJ1373" s="110"/>
      <c r="IJK1373" s="110"/>
      <c r="IJL1373" s="110"/>
      <c r="IJM1373" s="110"/>
      <c r="IJN1373" s="110"/>
      <c r="IJO1373" s="110"/>
      <c r="IJP1373" s="110"/>
      <c r="IJQ1373" s="110"/>
      <c r="IJR1373" s="110"/>
      <c r="IJS1373" s="110"/>
      <c r="IJT1373" s="110"/>
      <c r="IJU1373" s="110"/>
      <c r="IJV1373" s="110"/>
      <c r="IJW1373" s="110"/>
      <c r="IJX1373" s="110"/>
      <c r="IJY1373" s="110"/>
      <c r="IJZ1373" s="110"/>
      <c r="IKA1373" s="110"/>
      <c r="IKB1373" s="110"/>
      <c r="IKC1373" s="110"/>
      <c r="IKD1373" s="110"/>
      <c r="IKE1373" s="110"/>
      <c r="IKF1373" s="110"/>
      <c r="IKG1373" s="110"/>
      <c r="IKH1373" s="110"/>
      <c r="IKI1373" s="110"/>
      <c r="IKJ1373" s="110"/>
      <c r="IKK1373" s="110"/>
      <c r="IKL1373" s="110"/>
      <c r="IKM1373" s="110"/>
      <c r="IKN1373" s="110"/>
      <c r="IKO1373" s="110"/>
      <c r="IKP1373" s="110"/>
      <c r="IKQ1373" s="110"/>
      <c r="IKR1373" s="110"/>
      <c r="IKS1373" s="110"/>
      <c r="IKT1373" s="110"/>
      <c r="IKU1373" s="110"/>
      <c r="IKV1373" s="110"/>
      <c r="IKW1373" s="110"/>
      <c r="IKX1373" s="110"/>
      <c r="IKY1373" s="110"/>
      <c r="IKZ1373" s="110"/>
      <c r="ILA1373" s="110"/>
      <c r="ILB1373" s="110"/>
      <c r="ILC1373" s="110"/>
      <c r="ILD1373" s="110"/>
      <c r="ILE1373" s="110"/>
      <c r="ILF1373" s="110"/>
      <c r="ILG1373" s="110"/>
      <c r="ILH1373" s="110"/>
      <c r="ILI1373" s="110"/>
      <c r="ILJ1373" s="110"/>
      <c r="ILK1373" s="110"/>
      <c r="ILL1373" s="110"/>
      <c r="ILM1373" s="110"/>
      <c r="ILN1373" s="110"/>
      <c r="ILO1373" s="110"/>
      <c r="ILP1373" s="110"/>
      <c r="ILQ1373" s="110"/>
      <c r="ILR1373" s="110"/>
      <c r="ILS1373" s="110"/>
      <c r="ILT1373" s="110"/>
      <c r="ILU1373" s="110"/>
      <c r="ILV1373" s="110"/>
      <c r="ILW1373" s="110"/>
      <c r="ILX1373" s="110"/>
      <c r="ILY1373" s="110"/>
      <c r="ILZ1373" s="110"/>
      <c r="IMA1373" s="110"/>
      <c r="IMB1373" s="110"/>
      <c r="IMC1373" s="110"/>
      <c r="IMD1373" s="110"/>
      <c r="IME1373" s="110"/>
      <c r="IMF1373" s="110"/>
      <c r="IMG1373" s="110"/>
      <c r="IMH1373" s="110"/>
      <c r="IMI1373" s="110"/>
      <c r="IMJ1373" s="110"/>
      <c r="IMK1373" s="110"/>
      <c r="IML1373" s="110"/>
      <c r="IMM1373" s="110"/>
      <c r="IMN1373" s="110"/>
      <c r="IMO1373" s="110"/>
      <c r="IMP1373" s="110"/>
      <c r="IMQ1373" s="110"/>
      <c r="IMR1373" s="110"/>
      <c r="IMS1373" s="110"/>
      <c r="IMT1373" s="110"/>
      <c r="IMU1373" s="110"/>
      <c r="IMV1373" s="110"/>
      <c r="IMW1373" s="110"/>
      <c r="IMX1373" s="110"/>
      <c r="IMY1373" s="110"/>
      <c r="IMZ1373" s="110"/>
      <c r="INA1373" s="110"/>
      <c r="INB1373" s="110"/>
      <c r="INC1373" s="110"/>
      <c r="IND1373" s="110"/>
      <c r="INE1373" s="110"/>
      <c r="INF1373" s="110"/>
      <c r="ING1373" s="110"/>
      <c r="INH1373" s="110"/>
      <c r="INI1373" s="110"/>
      <c r="INJ1373" s="110"/>
      <c r="INK1373" s="110"/>
      <c r="INL1373" s="110"/>
      <c r="INM1373" s="110"/>
      <c r="INN1373" s="110"/>
      <c r="INO1373" s="110"/>
      <c r="INP1373" s="110"/>
      <c r="INQ1373" s="110"/>
      <c r="INR1373" s="110"/>
      <c r="INS1373" s="110"/>
      <c r="INT1373" s="110"/>
      <c r="INU1373" s="110"/>
      <c r="INV1373" s="110"/>
      <c r="INW1373" s="110"/>
      <c r="INX1373" s="110"/>
      <c r="INY1373" s="110"/>
      <c r="INZ1373" s="110"/>
      <c r="IOA1373" s="110"/>
      <c r="IOB1373" s="110"/>
      <c r="IOC1373" s="110"/>
      <c r="IOD1373" s="110"/>
      <c r="IOE1373" s="110"/>
      <c r="IOF1373" s="110"/>
      <c r="IOG1373" s="110"/>
      <c r="IOH1373" s="110"/>
      <c r="IOI1373" s="110"/>
      <c r="IOJ1373" s="110"/>
      <c r="IOK1373" s="110"/>
      <c r="IOL1373" s="110"/>
      <c r="IOM1373" s="110"/>
      <c r="ION1373" s="110"/>
      <c r="IOO1373" s="110"/>
      <c r="IOP1373" s="110"/>
      <c r="IOQ1373" s="110"/>
      <c r="IOR1373" s="110"/>
      <c r="IOS1373" s="110"/>
      <c r="IOT1373" s="110"/>
      <c r="IOU1373" s="110"/>
      <c r="IOV1373" s="110"/>
      <c r="IOW1373" s="110"/>
      <c r="IOX1373" s="110"/>
      <c r="IOY1373" s="110"/>
      <c r="IOZ1373" s="110"/>
      <c r="IPA1373" s="110"/>
      <c r="IPB1373" s="110"/>
      <c r="IPC1373" s="110"/>
      <c r="IPD1373" s="110"/>
      <c r="IPE1373" s="110"/>
      <c r="IPF1373" s="110"/>
      <c r="IPG1373" s="110"/>
      <c r="IPH1373" s="110"/>
      <c r="IPI1373" s="110"/>
      <c r="IPJ1373" s="110"/>
      <c r="IPK1373" s="110"/>
      <c r="IPL1373" s="110"/>
      <c r="IPM1373" s="110"/>
      <c r="IPN1373" s="110"/>
      <c r="IPO1373" s="110"/>
      <c r="IPP1373" s="110"/>
      <c r="IPQ1373" s="110"/>
      <c r="IPR1373" s="110"/>
      <c r="IPS1373" s="110"/>
      <c r="IPT1373" s="110"/>
      <c r="IPU1373" s="110"/>
      <c r="IPV1373" s="110"/>
      <c r="IPW1373" s="110"/>
      <c r="IPX1373" s="110"/>
      <c r="IPY1373" s="110"/>
      <c r="IPZ1373" s="110"/>
      <c r="IQA1373" s="110"/>
      <c r="IQB1373" s="110"/>
      <c r="IQC1373" s="110"/>
      <c r="IQD1373" s="110"/>
      <c r="IQE1373" s="110"/>
      <c r="IQF1373" s="110"/>
      <c r="IQG1373" s="110"/>
      <c r="IQH1373" s="110"/>
      <c r="IQI1373" s="110"/>
      <c r="IQJ1373" s="110"/>
      <c r="IQK1373" s="110"/>
      <c r="IQL1373" s="110"/>
      <c r="IQM1373" s="110"/>
      <c r="IQN1373" s="110"/>
      <c r="IQO1373" s="110"/>
      <c r="IQP1373" s="110"/>
      <c r="IQQ1373" s="110"/>
      <c r="IQR1373" s="110"/>
      <c r="IQS1373" s="110"/>
      <c r="IQT1373" s="110"/>
      <c r="IQU1373" s="110"/>
      <c r="IQV1373" s="110"/>
      <c r="IQW1373" s="110"/>
      <c r="IQX1373" s="110"/>
      <c r="IQY1373" s="110"/>
      <c r="IQZ1373" s="110"/>
      <c r="IRA1373" s="110"/>
      <c r="IRB1373" s="110"/>
      <c r="IRC1373" s="110"/>
      <c r="IRD1373" s="110"/>
      <c r="IRE1373" s="110"/>
      <c r="IRF1373" s="110"/>
      <c r="IRG1373" s="110"/>
      <c r="IRH1373" s="110"/>
      <c r="IRI1373" s="110"/>
      <c r="IRJ1373" s="110"/>
      <c r="IRK1373" s="110"/>
      <c r="IRL1373" s="110"/>
      <c r="IRM1373" s="110"/>
      <c r="IRN1373" s="110"/>
      <c r="IRO1373" s="110"/>
      <c r="IRP1373" s="110"/>
      <c r="IRQ1373" s="110"/>
      <c r="IRR1373" s="110"/>
      <c r="IRS1373" s="110"/>
      <c r="IRT1373" s="110"/>
      <c r="IRU1373" s="110"/>
      <c r="IRV1373" s="110"/>
      <c r="IRW1373" s="110"/>
      <c r="IRX1373" s="110"/>
      <c r="IRY1373" s="110"/>
      <c r="IRZ1373" s="110"/>
      <c r="ISA1373" s="110"/>
      <c r="ISB1373" s="110"/>
      <c r="ISC1373" s="110"/>
      <c r="ISD1373" s="110"/>
      <c r="ISE1373" s="110"/>
      <c r="ISF1373" s="110"/>
      <c r="ISG1373" s="110"/>
      <c r="ISH1373" s="110"/>
      <c r="ISI1373" s="110"/>
      <c r="ISJ1373" s="110"/>
      <c r="ISK1373" s="110"/>
      <c r="ISL1373" s="110"/>
      <c r="ISM1373" s="110"/>
      <c r="ISN1373" s="110"/>
      <c r="ISO1373" s="110"/>
      <c r="ISP1373" s="110"/>
      <c r="ISQ1373" s="110"/>
      <c r="ISR1373" s="110"/>
      <c r="ISS1373" s="110"/>
      <c r="IST1373" s="110"/>
      <c r="ISU1373" s="110"/>
      <c r="ISV1373" s="110"/>
      <c r="ISW1373" s="110"/>
      <c r="ISX1373" s="110"/>
      <c r="ISY1373" s="110"/>
      <c r="ISZ1373" s="110"/>
      <c r="ITA1373" s="110"/>
      <c r="ITB1373" s="110"/>
      <c r="ITC1373" s="110"/>
      <c r="ITD1373" s="110"/>
      <c r="ITE1373" s="110"/>
      <c r="ITF1373" s="110"/>
      <c r="ITG1373" s="110"/>
      <c r="ITH1373" s="110"/>
      <c r="ITI1373" s="110"/>
      <c r="ITJ1373" s="110"/>
      <c r="ITK1373" s="110"/>
      <c r="ITL1373" s="110"/>
      <c r="ITM1373" s="110"/>
      <c r="ITN1373" s="110"/>
      <c r="ITO1373" s="110"/>
      <c r="ITP1373" s="110"/>
      <c r="ITQ1373" s="110"/>
      <c r="ITR1373" s="110"/>
      <c r="ITS1373" s="110"/>
      <c r="ITT1373" s="110"/>
      <c r="ITU1373" s="110"/>
      <c r="ITV1373" s="110"/>
      <c r="ITW1373" s="110"/>
      <c r="ITX1373" s="110"/>
      <c r="ITY1373" s="110"/>
      <c r="ITZ1373" s="110"/>
      <c r="IUA1373" s="110"/>
      <c r="IUB1373" s="110"/>
      <c r="IUC1373" s="110"/>
      <c r="IUD1373" s="110"/>
      <c r="IUE1373" s="110"/>
      <c r="IUF1373" s="110"/>
      <c r="IUG1373" s="110"/>
      <c r="IUH1373" s="110"/>
      <c r="IUI1373" s="110"/>
      <c r="IUJ1373" s="110"/>
      <c r="IUK1373" s="110"/>
      <c r="IUL1373" s="110"/>
      <c r="IUM1373" s="110"/>
      <c r="IUN1373" s="110"/>
      <c r="IUO1373" s="110"/>
      <c r="IUP1373" s="110"/>
      <c r="IUQ1373" s="110"/>
      <c r="IUR1373" s="110"/>
      <c r="IUS1373" s="110"/>
      <c r="IUT1373" s="110"/>
      <c r="IUU1373" s="110"/>
      <c r="IUV1373" s="110"/>
      <c r="IUW1373" s="110"/>
      <c r="IUX1373" s="110"/>
      <c r="IUY1373" s="110"/>
      <c r="IUZ1373" s="110"/>
      <c r="IVA1373" s="110"/>
      <c r="IVB1373" s="110"/>
      <c r="IVC1373" s="110"/>
      <c r="IVD1373" s="110"/>
      <c r="IVE1373" s="110"/>
      <c r="IVF1373" s="110"/>
      <c r="IVG1373" s="110"/>
      <c r="IVH1373" s="110"/>
      <c r="IVI1373" s="110"/>
      <c r="IVJ1373" s="110"/>
      <c r="IVK1373" s="110"/>
      <c r="IVL1373" s="110"/>
      <c r="IVM1373" s="110"/>
      <c r="IVN1373" s="110"/>
      <c r="IVO1373" s="110"/>
      <c r="IVP1373" s="110"/>
      <c r="IVQ1373" s="110"/>
      <c r="IVR1373" s="110"/>
      <c r="IVS1373" s="110"/>
      <c r="IVT1373" s="110"/>
      <c r="IVU1373" s="110"/>
      <c r="IVV1373" s="110"/>
      <c r="IVW1373" s="110"/>
      <c r="IVX1373" s="110"/>
      <c r="IVY1373" s="110"/>
      <c r="IVZ1373" s="110"/>
      <c r="IWA1373" s="110"/>
      <c r="IWB1373" s="110"/>
      <c r="IWC1373" s="110"/>
      <c r="IWD1373" s="110"/>
      <c r="IWE1373" s="110"/>
      <c r="IWF1373" s="110"/>
      <c r="IWG1373" s="110"/>
      <c r="IWH1373" s="110"/>
      <c r="IWI1373" s="110"/>
      <c r="IWJ1373" s="110"/>
      <c r="IWK1373" s="110"/>
      <c r="IWL1373" s="110"/>
      <c r="IWM1373" s="110"/>
      <c r="IWN1373" s="110"/>
      <c r="IWO1373" s="110"/>
      <c r="IWP1373" s="110"/>
      <c r="IWQ1373" s="110"/>
      <c r="IWR1373" s="110"/>
      <c r="IWS1373" s="110"/>
      <c r="IWT1373" s="110"/>
      <c r="IWU1373" s="110"/>
      <c r="IWV1373" s="110"/>
      <c r="IWW1373" s="110"/>
      <c r="IWX1373" s="110"/>
      <c r="IWY1373" s="110"/>
      <c r="IWZ1373" s="110"/>
      <c r="IXA1373" s="110"/>
      <c r="IXB1373" s="110"/>
      <c r="IXC1373" s="110"/>
      <c r="IXD1373" s="110"/>
      <c r="IXE1373" s="110"/>
      <c r="IXF1373" s="110"/>
      <c r="IXG1373" s="110"/>
      <c r="IXH1373" s="110"/>
      <c r="IXI1373" s="110"/>
      <c r="IXJ1373" s="110"/>
      <c r="IXK1373" s="110"/>
      <c r="IXL1373" s="110"/>
      <c r="IXM1373" s="110"/>
      <c r="IXN1373" s="110"/>
      <c r="IXO1373" s="110"/>
      <c r="IXP1373" s="110"/>
      <c r="IXQ1373" s="110"/>
      <c r="IXR1373" s="110"/>
      <c r="IXS1373" s="110"/>
      <c r="IXT1373" s="110"/>
      <c r="IXU1373" s="110"/>
      <c r="IXV1373" s="110"/>
      <c r="IXW1373" s="110"/>
      <c r="IXX1373" s="110"/>
      <c r="IXY1373" s="110"/>
      <c r="IXZ1373" s="110"/>
      <c r="IYA1373" s="110"/>
      <c r="IYB1373" s="110"/>
      <c r="IYC1373" s="110"/>
      <c r="IYD1373" s="110"/>
      <c r="IYE1373" s="110"/>
      <c r="IYF1373" s="110"/>
      <c r="IYG1373" s="110"/>
      <c r="IYH1373" s="110"/>
      <c r="IYI1373" s="110"/>
      <c r="IYJ1373" s="110"/>
      <c r="IYK1373" s="110"/>
      <c r="IYL1373" s="110"/>
      <c r="IYM1373" s="110"/>
      <c r="IYN1373" s="110"/>
      <c r="IYO1373" s="110"/>
      <c r="IYP1373" s="110"/>
      <c r="IYQ1373" s="110"/>
      <c r="IYR1373" s="110"/>
      <c r="IYS1373" s="110"/>
      <c r="IYT1373" s="110"/>
      <c r="IYU1373" s="110"/>
      <c r="IYV1373" s="110"/>
      <c r="IYW1373" s="110"/>
      <c r="IYX1373" s="110"/>
      <c r="IYY1373" s="110"/>
      <c r="IYZ1373" s="110"/>
      <c r="IZA1373" s="110"/>
      <c r="IZB1373" s="110"/>
      <c r="IZC1373" s="110"/>
      <c r="IZD1373" s="110"/>
      <c r="IZE1373" s="110"/>
      <c r="IZF1373" s="110"/>
      <c r="IZG1373" s="110"/>
      <c r="IZH1373" s="110"/>
      <c r="IZI1373" s="110"/>
      <c r="IZJ1373" s="110"/>
      <c r="IZK1373" s="110"/>
      <c r="IZL1373" s="110"/>
      <c r="IZM1373" s="110"/>
      <c r="IZN1373" s="110"/>
      <c r="IZO1373" s="110"/>
      <c r="IZP1373" s="110"/>
      <c r="IZQ1373" s="110"/>
      <c r="IZR1373" s="110"/>
      <c r="IZS1373" s="110"/>
      <c r="IZT1373" s="110"/>
      <c r="IZU1373" s="110"/>
      <c r="IZV1373" s="110"/>
      <c r="IZW1373" s="110"/>
      <c r="IZX1373" s="110"/>
      <c r="IZY1373" s="110"/>
      <c r="IZZ1373" s="110"/>
      <c r="JAA1373" s="110"/>
      <c r="JAB1373" s="110"/>
      <c r="JAC1373" s="110"/>
      <c r="JAD1373" s="110"/>
      <c r="JAE1373" s="110"/>
      <c r="JAF1373" s="110"/>
      <c r="JAG1373" s="110"/>
      <c r="JAH1373" s="110"/>
      <c r="JAI1373" s="110"/>
      <c r="JAJ1373" s="110"/>
      <c r="JAK1373" s="110"/>
      <c r="JAL1373" s="110"/>
      <c r="JAM1373" s="110"/>
      <c r="JAN1373" s="110"/>
      <c r="JAO1373" s="110"/>
      <c r="JAP1373" s="110"/>
      <c r="JAQ1373" s="110"/>
      <c r="JAR1373" s="110"/>
      <c r="JAS1373" s="110"/>
      <c r="JAT1373" s="110"/>
      <c r="JAU1373" s="110"/>
      <c r="JAV1373" s="110"/>
      <c r="JAW1373" s="110"/>
      <c r="JAX1373" s="110"/>
      <c r="JAY1373" s="110"/>
      <c r="JAZ1373" s="110"/>
      <c r="JBA1373" s="110"/>
      <c r="JBB1373" s="110"/>
      <c r="JBC1373" s="110"/>
      <c r="JBD1373" s="110"/>
      <c r="JBE1373" s="110"/>
      <c r="JBF1373" s="110"/>
      <c r="JBG1373" s="110"/>
      <c r="JBH1373" s="110"/>
      <c r="JBI1373" s="110"/>
      <c r="JBJ1373" s="110"/>
      <c r="JBK1373" s="110"/>
      <c r="JBL1373" s="110"/>
      <c r="JBM1373" s="110"/>
      <c r="JBN1373" s="110"/>
      <c r="JBO1373" s="110"/>
      <c r="JBP1373" s="110"/>
      <c r="JBQ1373" s="110"/>
      <c r="JBR1373" s="110"/>
      <c r="JBS1373" s="110"/>
      <c r="JBT1373" s="110"/>
      <c r="JBU1373" s="110"/>
      <c r="JBV1373" s="110"/>
      <c r="JBW1373" s="110"/>
      <c r="JBX1373" s="110"/>
      <c r="JBY1373" s="110"/>
      <c r="JBZ1373" s="110"/>
      <c r="JCA1373" s="110"/>
      <c r="JCB1373" s="110"/>
      <c r="JCC1373" s="110"/>
      <c r="JCD1373" s="110"/>
      <c r="JCE1373" s="110"/>
      <c r="JCF1373" s="110"/>
      <c r="JCG1373" s="110"/>
      <c r="JCH1373" s="110"/>
      <c r="JCI1373" s="110"/>
      <c r="JCJ1373" s="110"/>
      <c r="JCK1373" s="110"/>
      <c r="JCL1373" s="110"/>
      <c r="JCM1373" s="110"/>
      <c r="JCN1373" s="110"/>
      <c r="JCO1373" s="110"/>
      <c r="JCP1373" s="110"/>
      <c r="JCQ1373" s="110"/>
      <c r="JCR1373" s="110"/>
      <c r="JCS1373" s="110"/>
      <c r="JCT1373" s="110"/>
      <c r="JCU1373" s="110"/>
      <c r="JCV1373" s="110"/>
      <c r="JCW1373" s="110"/>
      <c r="JCX1373" s="110"/>
      <c r="JCY1373" s="110"/>
      <c r="JCZ1373" s="110"/>
      <c r="JDA1373" s="110"/>
      <c r="JDB1373" s="110"/>
      <c r="JDC1373" s="110"/>
      <c r="JDD1373" s="110"/>
      <c r="JDE1373" s="110"/>
      <c r="JDF1373" s="110"/>
      <c r="JDG1373" s="110"/>
      <c r="JDH1373" s="110"/>
      <c r="JDI1373" s="110"/>
      <c r="JDJ1373" s="110"/>
      <c r="JDK1373" s="110"/>
      <c r="JDL1373" s="110"/>
      <c r="JDM1373" s="110"/>
      <c r="JDN1373" s="110"/>
      <c r="JDO1373" s="110"/>
      <c r="JDP1373" s="110"/>
      <c r="JDQ1373" s="110"/>
      <c r="JDR1373" s="110"/>
      <c r="JDS1373" s="110"/>
      <c r="JDT1373" s="110"/>
      <c r="JDU1373" s="110"/>
      <c r="JDV1373" s="110"/>
      <c r="JDW1373" s="110"/>
      <c r="JDX1373" s="110"/>
      <c r="JDY1373" s="110"/>
      <c r="JDZ1373" s="110"/>
      <c r="JEA1373" s="110"/>
      <c r="JEB1373" s="110"/>
      <c r="JEC1373" s="110"/>
      <c r="JED1373" s="110"/>
      <c r="JEE1373" s="110"/>
      <c r="JEF1373" s="110"/>
      <c r="JEG1373" s="110"/>
      <c r="JEH1373" s="110"/>
      <c r="JEI1373" s="110"/>
      <c r="JEJ1373" s="110"/>
      <c r="JEK1373" s="110"/>
      <c r="JEL1373" s="110"/>
      <c r="JEM1373" s="110"/>
      <c r="JEN1373" s="110"/>
      <c r="JEO1373" s="110"/>
      <c r="JEP1373" s="110"/>
      <c r="JEQ1373" s="110"/>
      <c r="JER1373" s="110"/>
      <c r="JES1373" s="110"/>
      <c r="JET1373" s="110"/>
      <c r="JEU1373" s="110"/>
      <c r="JEV1373" s="110"/>
      <c r="JEW1373" s="110"/>
      <c r="JEX1373" s="110"/>
      <c r="JEY1373" s="110"/>
      <c r="JEZ1373" s="110"/>
      <c r="JFA1373" s="110"/>
      <c r="JFB1373" s="110"/>
      <c r="JFC1373" s="110"/>
      <c r="JFD1373" s="110"/>
      <c r="JFE1373" s="110"/>
      <c r="JFF1373" s="110"/>
      <c r="JFG1373" s="110"/>
      <c r="JFH1373" s="110"/>
      <c r="JFI1373" s="110"/>
      <c r="JFJ1373" s="110"/>
      <c r="JFK1373" s="110"/>
      <c r="JFL1373" s="110"/>
      <c r="JFM1373" s="110"/>
      <c r="JFN1373" s="110"/>
      <c r="JFO1373" s="110"/>
      <c r="JFP1373" s="110"/>
      <c r="JFQ1373" s="110"/>
      <c r="JFR1373" s="110"/>
      <c r="JFS1373" s="110"/>
      <c r="JFT1373" s="110"/>
      <c r="JFU1373" s="110"/>
      <c r="JFV1373" s="110"/>
      <c r="JFW1373" s="110"/>
      <c r="JFX1373" s="110"/>
      <c r="JFY1373" s="110"/>
      <c r="JFZ1373" s="110"/>
      <c r="JGA1373" s="110"/>
      <c r="JGB1373" s="110"/>
      <c r="JGC1373" s="110"/>
      <c r="JGD1373" s="110"/>
      <c r="JGE1373" s="110"/>
      <c r="JGF1373" s="110"/>
      <c r="JGG1373" s="110"/>
      <c r="JGH1373" s="110"/>
      <c r="JGI1373" s="110"/>
      <c r="JGJ1373" s="110"/>
      <c r="JGK1373" s="110"/>
      <c r="JGL1373" s="110"/>
      <c r="JGM1373" s="110"/>
      <c r="JGN1373" s="110"/>
      <c r="JGO1373" s="110"/>
      <c r="JGP1373" s="110"/>
      <c r="JGQ1373" s="110"/>
      <c r="JGR1373" s="110"/>
      <c r="JGS1373" s="110"/>
      <c r="JGT1373" s="110"/>
      <c r="JGU1373" s="110"/>
      <c r="JGV1373" s="110"/>
      <c r="JGW1373" s="110"/>
      <c r="JGX1373" s="110"/>
      <c r="JGY1373" s="110"/>
      <c r="JGZ1373" s="110"/>
      <c r="JHA1373" s="110"/>
      <c r="JHB1373" s="110"/>
      <c r="JHC1373" s="110"/>
      <c r="JHD1373" s="110"/>
      <c r="JHE1373" s="110"/>
      <c r="JHF1373" s="110"/>
      <c r="JHG1373" s="110"/>
      <c r="JHH1373" s="110"/>
      <c r="JHI1373" s="110"/>
      <c r="JHJ1373" s="110"/>
      <c r="JHK1373" s="110"/>
      <c r="JHL1373" s="110"/>
      <c r="JHM1373" s="110"/>
      <c r="JHN1373" s="110"/>
      <c r="JHO1373" s="110"/>
      <c r="JHP1373" s="110"/>
      <c r="JHQ1373" s="110"/>
      <c r="JHR1373" s="110"/>
      <c r="JHS1373" s="110"/>
      <c r="JHT1373" s="110"/>
      <c r="JHU1373" s="110"/>
      <c r="JHV1373" s="110"/>
      <c r="JHW1373" s="110"/>
      <c r="JHX1373" s="110"/>
      <c r="JHY1373" s="110"/>
      <c r="JHZ1373" s="110"/>
      <c r="JIA1373" s="110"/>
      <c r="JIB1373" s="110"/>
      <c r="JIC1373" s="110"/>
      <c r="JID1373" s="110"/>
      <c r="JIE1373" s="110"/>
      <c r="JIF1373" s="110"/>
      <c r="JIG1373" s="110"/>
      <c r="JIH1373" s="110"/>
      <c r="JII1373" s="110"/>
      <c r="JIJ1373" s="110"/>
      <c r="JIK1373" s="110"/>
      <c r="JIL1373" s="110"/>
      <c r="JIM1373" s="110"/>
      <c r="JIN1373" s="110"/>
      <c r="JIO1373" s="110"/>
      <c r="JIP1373" s="110"/>
      <c r="JIQ1373" s="110"/>
      <c r="JIR1373" s="110"/>
      <c r="JIS1373" s="110"/>
      <c r="JIT1373" s="110"/>
      <c r="JIU1373" s="110"/>
      <c r="JIV1373" s="110"/>
      <c r="JIW1373" s="110"/>
      <c r="JIX1373" s="110"/>
      <c r="JIY1373" s="110"/>
      <c r="JIZ1373" s="110"/>
      <c r="JJA1373" s="110"/>
      <c r="JJB1373" s="110"/>
      <c r="JJC1373" s="110"/>
      <c r="JJD1373" s="110"/>
      <c r="JJE1373" s="110"/>
      <c r="JJF1373" s="110"/>
      <c r="JJG1373" s="110"/>
      <c r="JJH1373" s="110"/>
      <c r="JJI1373" s="110"/>
      <c r="JJJ1373" s="110"/>
      <c r="JJK1373" s="110"/>
      <c r="JJL1373" s="110"/>
      <c r="JJM1373" s="110"/>
      <c r="JJN1373" s="110"/>
      <c r="JJO1373" s="110"/>
      <c r="JJP1373" s="110"/>
      <c r="JJQ1373" s="110"/>
      <c r="JJR1373" s="110"/>
      <c r="JJS1373" s="110"/>
      <c r="JJT1373" s="110"/>
      <c r="JJU1373" s="110"/>
      <c r="JJV1373" s="110"/>
      <c r="JJW1373" s="110"/>
      <c r="JJX1373" s="110"/>
      <c r="JJY1373" s="110"/>
      <c r="JJZ1373" s="110"/>
      <c r="JKA1373" s="110"/>
      <c r="JKB1373" s="110"/>
      <c r="JKC1373" s="110"/>
      <c r="JKD1373" s="110"/>
      <c r="JKE1373" s="110"/>
      <c r="JKF1373" s="110"/>
      <c r="JKG1373" s="110"/>
      <c r="JKH1373" s="110"/>
      <c r="JKI1373" s="110"/>
      <c r="JKJ1373" s="110"/>
      <c r="JKK1373" s="110"/>
      <c r="JKL1373" s="110"/>
      <c r="JKM1373" s="110"/>
      <c r="JKN1373" s="110"/>
      <c r="JKO1373" s="110"/>
      <c r="JKP1373" s="110"/>
      <c r="JKQ1373" s="110"/>
      <c r="JKR1373" s="110"/>
      <c r="JKS1373" s="110"/>
      <c r="JKT1373" s="110"/>
      <c r="JKU1373" s="110"/>
      <c r="JKV1373" s="110"/>
      <c r="JKW1373" s="110"/>
      <c r="JKX1373" s="110"/>
      <c r="JKY1373" s="110"/>
      <c r="JKZ1373" s="110"/>
      <c r="JLA1373" s="110"/>
      <c r="JLB1373" s="110"/>
      <c r="JLC1373" s="110"/>
      <c r="JLD1373" s="110"/>
      <c r="JLE1373" s="110"/>
      <c r="JLF1373" s="110"/>
      <c r="JLG1373" s="110"/>
      <c r="JLH1373" s="110"/>
      <c r="JLI1373" s="110"/>
      <c r="JLJ1373" s="110"/>
      <c r="JLK1373" s="110"/>
      <c r="JLL1373" s="110"/>
      <c r="JLM1373" s="110"/>
      <c r="JLN1373" s="110"/>
      <c r="JLO1373" s="110"/>
      <c r="JLP1373" s="110"/>
      <c r="JLQ1373" s="110"/>
      <c r="JLR1373" s="110"/>
      <c r="JLS1373" s="110"/>
      <c r="JLT1373" s="110"/>
      <c r="JLU1373" s="110"/>
      <c r="JLV1373" s="110"/>
      <c r="JLW1373" s="110"/>
      <c r="JLX1373" s="110"/>
      <c r="JLY1373" s="110"/>
      <c r="JLZ1373" s="110"/>
      <c r="JMA1373" s="110"/>
      <c r="JMB1373" s="110"/>
      <c r="JMC1373" s="110"/>
      <c r="JMD1373" s="110"/>
      <c r="JME1373" s="110"/>
      <c r="JMF1373" s="110"/>
      <c r="JMG1373" s="110"/>
      <c r="JMH1373" s="110"/>
      <c r="JMI1373" s="110"/>
      <c r="JMJ1373" s="110"/>
      <c r="JMK1373" s="110"/>
      <c r="JML1373" s="110"/>
      <c r="JMM1373" s="110"/>
      <c r="JMN1373" s="110"/>
      <c r="JMO1373" s="110"/>
      <c r="JMP1373" s="110"/>
      <c r="JMQ1373" s="110"/>
      <c r="JMR1373" s="110"/>
      <c r="JMS1373" s="110"/>
      <c r="JMT1373" s="110"/>
      <c r="JMU1373" s="110"/>
      <c r="JMV1373" s="110"/>
      <c r="JMW1373" s="110"/>
      <c r="JMX1373" s="110"/>
      <c r="JMY1373" s="110"/>
      <c r="JMZ1373" s="110"/>
      <c r="JNA1373" s="110"/>
      <c r="JNB1373" s="110"/>
      <c r="JNC1373" s="110"/>
      <c r="JND1373" s="110"/>
      <c r="JNE1373" s="110"/>
      <c r="JNF1373" s="110"/>
      <c r="JNG1373" s="110"/>
      <c r="JNH1373" s="110"/>
      <c r="JNI1373" s="110"/>
      <c r="JNJ1373" s="110"/>
      <c r="JNK1373" s="110"/>
      <c r="JNL1373" s="110"/>
      <c r="JNM1373" s="110"/>
      <c r="JNN1373" s="110"/>
      <c r="JNO1373" s="110"/>
      <c r="JNP1373" s="110"/>
      <c r="JNQ1373" s="110"/>
      <c r="JNR1373" s="110"/>
      <c r="JNS1373" s="110"/>
      <c r="JNT1373" s="110"/>
      <c r="JNU1373" s="110"/>
      <c r="JNV1373" s="110"/>
      <c r="JNW1373" s="110"/>
      <c r="JNX1373" s="110"/>
      <c r="JNY1373" s="110"/>
      <c r="JNZ1373" s="110"/>
      <c r="JOA1373" s="110"/>
      <c r="JOB1373" s="110"/>
      <c r="JOC1373" s="110"/>
      <c r="JOD1373" s="110"/>
      <c r="JOE1373" s="110"/>
      <c r="JOF1373" s="110"/>
      <c r="JOG1373" s="110"/>
      <c r="JOH1373" s="110"/>
      <c r="JOI1373" s="110"/>
      <c r="JOJ1373" s="110"/>
      <c r="JOK1373" s="110"/>
      <c r="JOL1373" s="110"/>
      <c r="JOM1373" s="110"/>
      <c r="JON1373" s="110"/>
      <c r="JOO1373" s="110"/>
      <c r="JOP1373" s="110"/>
      <c r="JOQ1373" s="110"/>
      <c r="JOR1373" s="110"/>
      <c r="JOS1373" s="110"/>
      <c r="JOT1373" s="110"/>
      <c r="JOU1373" s="110"/>
      <c r="JOV1373" s="110"/>
      <c r="JOW1373" s="110"/>
      <c r="JOX1373" s="110"/>
      <c r="JOY1373" s="110"/>
      <c r="JOZ1373" s="110"/>
      <c r="JPA1373" s="110"/>
      <c r="JPB1373" s="110"/>
      <c r="JPC1373" s="110"/>
      <c r="JPD1373" s="110"/>
      <c r="JPE1373" s="110"/>
      <c r="JPF1373" s="110"/>
      <c r="JPG1373" s="110"/>
      <c r="JPH1373" s="110"/>
      <c r="JPI1373" s="110"/>
      <c r="JPJ1373" s="110"/>
      <c r="JPK1373" s="110"/>
      <c r="JPL1373" s="110"/>
      <c r="JPM1373" s="110"/>
      <c r="JPN1373" s="110"/>
      <c r="JPO1373" s="110"/>
      <c r="JPP1373" s="110"/>
      <c r="JPQ1373" s="110"/>
      <c r="JPR1373" s="110"/>
      <c r="JPS1373" s="110"/>
      <c r="JPT1373" s="110"/>
      <c r="JPU1373" s="110"/>
      <c r="JPV1373" s="110"/>
      <c r="JPW1373" s="110"/>
      <c r="JPX1373" s="110"/>
      <c r="JPY1373" s="110"/>
      <c r="JPZ1373" s="110"/>
      <c r="JQA1373" s="110"/>
      <c r="JQB1373" s="110"/>
      <c r="JQC1373" s="110"/>
      <c r="JQD1373" s="110"/>
      <c r="JQE1373" s="110"/>
      <c r="JQF1373" s="110"/>
      <c r="JQG1373" s="110"/>
      <c r="JQH1373" s="110"/>
      <c r="JQI1373" s="110"/>
      <c r="JQJ1373" s="110"/>
      <c r="JQK1373" s="110"/>
      <c r="JQL1373" s="110"/>
      <c r="JQM1373" s="110"/>
      <c r="JQN1373" s="110"/>
      <c r="JQO1373" s="110"/>
      <c r="JQP1373" s="110"/>
      <c r="JQQ1373" s="110"/>
      <c r="JQR1373" s="110"/>
      <c r="JQS1373" s="110"/>
      <c r="JQT1373" s="110"/>
      <c r="JQU1373" s="110"/>
      <c r="JQV1373" s="110"/>
      <c r="JQW1373" s="110"/>
      <c r="JQX1373" s="110"/>
      <c r="JQY1373" s="110"/>
      <c r="JQZ1373" s="110"/>
      <c r="JRA1373" s="110"/>
      <c r="JRB1373" s="110"/>
      <c r="JRC1373" s="110"/>
      <c r="JRD1373" s="110"/>
      <c r="JRE1373" s="110"/>
      <c r="JRF1373" s="110"/>
      <c r="JRG1373" s="110"/>
      <c r="JRH1373" s="110"/>
      <c r="JRI1373" s="110"/>
      <c r="JRJ1373" s="110"/>
      <c r="JRK1373" s="110"/>
      <c r="JRL1373" s="110"/>
      <c r="JRM1373" s="110"/>
      <c r="JRN1373" s="110"/>
      <c r="JRO1373" s="110"/>
      <c r="JRP1373" s="110"/>
      <c r="JRQ1373" s="110"/>
      <c r="JRR1373" s="110"/>
      <c r="JRS1373" s="110"/>
      <c r="JRT1373" s="110"/>
      <c r="JRU1373" s="110"/>
      <c r="JRV1373" s="110"/>
      <c r="JRW1373" s="110"/>
      <c r="JRX1373" s="110"/>
      <c r="JRY1373" s="110"/>
      <c r="JRZ1373" s="110"/>
      <c r="JSA1373" s="110"/>
      <c r="JSB1373" s="110"/>
      <c r="JSC1373" s="110"/>
      <c r="JSD1373" s="110"/>
      <c r="JSE1373" s="110"/>
      <c r="JSF1373" s="110"/>
      <c r="JSG1373" s="110"/>
      <c r="JSH1373" s="110"/>
      <c r="JSI1373" s="110"/>
      <c r="JSJ1373" s="110"/>
      <c r="JSK1373" s="110"/>
      <c r="JSL1373" s="110"/>
      <c r="JSM1373" s="110"/>
      <c r="JSN1373" s="110"/>
      <c r="JSO1373" s="110"/>
      <c r="JSP1373" s="110"/>
      <c r="JSQ1373" s="110"/>
      <c r="JSR1373" s="110"/>
      <c r="JSS1373" s="110"/>
      <c r="JST1373" s="110"/>
      <c r="JSU1373" s="110"/>
      <c r="JSV1373" s="110"/>
      <c r="JSW1373" s="110"/>
      <c r="JSX1373" s="110"/>
      <c r="JSY1373" s="110"/>
      <c r="JSZ1373" s="110"/>
      <c r="JTA1373" s="110"/>
      <c r="JTB1373" s="110"/>
      <c r="JTC1373" s="110"/>
      <c r="JTD1373" s="110"/>
      <c r="JTE1373" s="110"/>
      <c r="JTF1373" s="110"/>
      <c r="JTG1373" s="110"/>
      <c r="JTH1373" s="110"/>
      <c r="JTI1373" s="110"/>
      <c r="JTJ1373" s="110"/>
      <c r="JTK1373" s="110"/>
      <c r="JTL1373" s="110"/>
      <c r="JTM1373" s="110"/>
      <c r="JTN1373" s="110"/>
      <c r="JTO1373" s="110"/>
      <c r="JTP1373" s="110"/>
      <c r="JTQ1373" s="110"/>
      <c r="JTR1373" s="110"/>
      <c r="JTS1373" s="110"/>
      <c r="JTT1373" s="110"/>
      <c r="JTU1373" s="110"/>
      <c r="JTV1373" s="110"/>
      <c r="JTW1373" s="110"/>
      <c r="JTX1373" s="110"/>
      <c r="JTY1373" s="110"/>
      <c r="JTZ1373" s="110"/>
      <c r="JUA1373" s="110"/>
      <c r="JUB1373" s="110"/>
      <c r="JUC1373" s="110"/>
      <c r="JUD1373" s="110"/>
      <c r="JUE1373" s="110"/>
      <c r="JUF1373" s="110"/>
      <c r="JUG1373" s="110"/>
      <c r="JUH1373" s="110"/>
      <c r="JUI1373" s="110"/>
      <c r="JUJ1373" s="110"/>
      <c r="JUK1373" s="110"/>
      <c r="JUL1373" s="110"/>
      <c r="JUM1373" s="110"/>
      <c r="JUN1373" s="110"/>
      <c r="JUO1373" s="110"/>
      <c r="JUP1373" s="110"/>
      <c r="JUQ1373" s="110"/>
      <c r="JUR1373" s="110"/>
      <c r="JUS1373" s="110"/>
      <c r="JUT1373" s="110"/>
      <c r="JUU1373" s="110"/>
      <c r="JUV1373" s="110"/>
      <c r="JUW1373" s="110"/>
      <c r="JUX1373" s="110"/>
      <c r="JUY1373" s="110"/>
      <c r="JUZ1373" s="110"/>
      <c r="JVA1373" s="110"/>
      <c r="JVB1373" s="110"/>
      <c r="JVC1373" s="110"/>
      <c r="JVD1373" s="110"/>
      <c r="JVE1373" s="110"/>
      <c r="JVF1373" s="110"/>
      <c r="JVG1373" s="110"/>
      <c r="JVH1373" s="110"/>
      <c r="JVI1373" s="110"/>
      <c r="JVJ1373" s="110"/>
      <c r="JVK1373" s="110"/>
      <c r="JVL1373" s="110"/>
      <c r="JVM1373" s="110"/>
      <c r="JVN1373" s="110"/>
      <c r="JVO1373" s="110"/>
      <c r="JVP1373" s="110"/>
      <c r="JVQ1373" s="110"/>
      <c r="JVR1373" s="110"/>
      <c r="JVS1373" s="110"/>
      <c r="JVT1373" s="110"/>
      <c r="JVU1373" s="110"/>
      <c r="JVV1373" s="110"/>
      <c r="JVW1373" s="110"/>
      <c r="JVX1373" s="110"/>
      <c r="JVY1373" s="110"/>
      <c r="JVZ1373" s="110"/>
      <c r="JWA1373" s="110"/>
      <c r="JWB1373" s="110"/>
      <c r="JWC1373" s="110"/>
      <c r="JWD1373" s="110"/>
      <c r="JWE1373" s="110"/>
      <c r="JWF1373" s="110"/>
      <c r="JWG1373" s="110"/>
      <c r="JWH1373" s="110"/>
      <c r="JWI1373" s="110"/>
      <c r="JWJ1373" s="110"/>
      <c r="JWK1373" s="110"/>
      <c r="JWL1373" s="110"/>
      <c r="JWM1373" s="110"/>
      <c r="JWN1373" s="110"/>
      <c r="JWO1373" s="110"/>
      <c r="JWP1373" s="110"/>
      <c r="JWQ1373" s="110"/>
      <c r="JWR1373" s="110"/>
      <c r="JWS1373" s="110"/>
      <c r="JWT1373" s="110"/>
      <c r="JWU1373" s="110"/>
      <c r="JWV1373" s="110"/>
      <c r="JWW1373" s="110"/>
      <c r="JWX1373" s="110"/>
      <c r="JWY1373" s="110"/>
      <c r="JWZ1373" s="110"/>
      <c r="JXA1373" s="110"/>
      <c r="JXB1373" s="110"/>
      <c r="JXC1373" s="110"/>
      <c r="JXD1373" s="110"/>
      <c r="JXE1373" s="110"/>
      <c r="JXF1373" s="110"/>
      <c r="JXG1373" s="110"/>
      <c r="JXH1373" s="110"/>
      <c r="JXI1373" s="110"/>
      <c r="JXJ1373" s="110"/>
      <c r="JXK1373" s="110"/>
      <c r="JXL1373" s="110"/>
      <c r="JXM1373" s="110"/>
      <c r="JXN1373" s="110"/>
      <c r="JXO1373" s="110"/>
      <c r="JXP1373" s="110"/>
      <c r="JXQ1373" s="110"/>
      <c r="JXR1373" s="110"/>
      <c r="JXS1373" s="110"/>
      <c r="JXT1373" s="110"/>
      <c r="JXU1373" s="110"/>
      <c r="JXV1373" s="110"/>
      <c r="JXW1373" s="110"/>
      <c r="JXX1373" s="110"/>
      <c r="JXY1373" s="110"/>
      <c r="JXZ1373" s="110"/>
      <c r="JYA1373" s="110"/>
      <c r="JYB1373" s="110"/>
      <c r="JYC1373" s="110"/>
      <c r="JYD1373" s="110"/>
      <c r="JYE1373" s="110"/>
      <c r="JYF1373" s="110"/>
      <c r="JYG1373" s="110"/>
      <c r="JYH1373" s="110"/>
      <c r="JYI1373" s="110"/>
      <c r="JYJ1373" s="110"/>
      <c r="JYK1373" s="110"/>
      <c r="JYL1373" s="110"/>
      <c r="JYM1373" s="110"/>
      <c r="JYN1373" s="110"/>
      <c r="JYO1373" s="110"/>
      <c r="JYP1373" s="110"/>
      <c r="JYQ1373" s="110"/>
      <c r="JYR1373" s="110"/>
      <c r="JYS1373" s="110"/>
      <c r="JYT1373" s="110"/>
      <c r="JYU1373" s="110"/>
      <c r="JYV1373" s="110"/>
      <c r="JYW1373" s="110"/>
      <c r="JYX1373" s="110"/>
      <c r="JYY1373" s="110"/>
      <c r="JYZ1373" s="110"/>
      <c r="JZA1373" s="110"/>
      <c r="JZB1373" s="110"/>
      <c r="JZC1373" s="110"/>
      <c r="JZD1373" s="110"/>
      <c r="JZE1373" s="110"/>
      <c r="JZF1373" s="110"/>
      <c r="JZG1373" s="110"/>
      <c r="JZH1373" s="110"/>
      <c r="JZI1373" s="110"/>
      <c r="JZJ1373" s="110"/>
      <c r="JZK1373" s="110"/>
      <c r="JZL1373" s="110"/>
      <c r="JZM1373" s="110"/>
      <c r="JZN1373" s="110"/>
      <c r="JZO1373" s="110"/>
      <c r="JZP1373" s="110"/>
      <c r="JZQ1373" s="110"/>
      <c r="JZR1373" s="110"/>
      <c r="JZS1373" s="110"/>
      <c r="JZT1373" s="110"/>
      <c r="JZU1373" s="110"/>
      <c r="JZV1373" s="110"/>
      <c r="JZW1373" s="110"/>
      <c r="JZX1373" s="110"/>
      <c r="JZY1373" s="110"/>
      <c r="JZZ1373" s="110"/>
      <c r="KAA1373" s="110"/>
      <c r="KAB1373" s="110"/>
      <c r="KAC1373" s="110"/>
      <c r="KAD1373" s="110"/>
      <c r="KAE1373" s="110"/>
      <c r="KAF1373" s="110"/>
      <c r="KAG1373" s="110"/>
      <c r="KAH1373" s="110"/>
      <c r="KAI1373" s="110"/>
      <c r="KAJ1373" s="110"/>
      <c r="KAK1373" s="110"/>
      <c r="KAL1373" s="110"/>
      <c r="KAM1373" s="110"/>
      <c r="KAN1373" s="110"/>
      <c r="KAO1373" s="110"/>
      <c r="KAP1373" s="110"/>
      <c r="KAQ1373" s="110"/>
      <c r="KAR1373" s="110"/>
      <c r="KAS1373" s="110"/>
      <c r="KAT1373" s="110"/>
      <c r="KAU1373" s="110"/>
      <c r="KAV1373" s="110"/>
      <c r="KAW1373" s="110"/>
      <c r="KAX1373" s="110"/>
      <c r="KAY1373" s="110"/>
      <c r="KAZ1373" s="110"/>
      <c r="KBA1373" s="110"/>
      <c r="KBB1373" s="110"/>
      <c r="KBC1373" s="110"/>
      <c r="KBD1373" s="110"/>
      <c r="KBE1373" s="110"/>
      <c r="KBF1373" s="110"/>
      <c r="KBG1373" s="110"/>
      <c r="KBH1373" s="110"/>
      <c r="KBI1373" s="110"/>
      <c r="KBJ1373" s="110"/>
      <c r="KBK1373" s="110"/>
      <c r="KBL1373" s="110"/>
      <c r="KBM1373" s="110"/>
      <c r="KBN1373" s="110"/>
      <c r="KBO1373" s="110"/>
      <c r="KBP1373" s="110"/>
      <c r="KBQ1373" s="110"/>
      <c r="KBR1373" s="110"/>
      <c r="KBS1373" s="110"/>
      <c r="KBT1373" s="110"/>
      <c r="KBU1373" s="110"/>
      <c r="KBV1373" s="110"/>
      <c r="KBW1373" s="110"/>
      <c r="KBX1373" s="110"/>
      <c r="KBY1373" s="110"/>
      <c r="KBZ1373" s="110"/>
      <c r="KCA1373" s="110"/>
      <c r="KCB1373" s="110"/>
      <c r="KCC1373" s="110"/>
      <c r="KCD1373" s="110"/>
      <c r="KCE1373" s="110"/>
      <c r="KCF1373" s="110"/>
      <c r="KCG1373" s="110"/>
      <c r="KCH1373" s="110"/>
      <c r="KCI1373" s="110"/>
      <c r="KCJ1373" s="110"/>
      <c r="KCK1373" s="110"/>
      <c r="KCL1373" s="110"/>
      <c r="KCM1373" s="110"/>
      <c r="KCN1373" s="110"/>
      <c r="KCO1373" s="110"/>
      <c r="KCP1373" s="110"/>
      <c r="KCQ1373" s="110"/>
      <c r="KCR1373" s="110"/>
      <c r="KCS1373" s="110"/>
      <c r="KCT1373" s="110"/>
      <c r="KCU1373" s="110"/>
      <c r="KCV1373" s="110"/>
      <c r="KCW1373" s="110"/>
      <c r="KCX1373" s="110"/>
      <c r="KCY1373" s="110"/>
      <c r="KCZ1373" s="110"/>
      <c r="KDA1373" s="110"/>
      <c r="KDB1373" s="110"/>
      <c r="KDC1373" s="110"/>
      <c r="KDD1373" s="110"/>
      <c r="KDE1373" s="110"/>
      <c r="KDF1373" s="110"/>
      <c r="KDG1373" s="110"/>
      <c r="KDH1373" s="110"/>
      <c r="KDI1373" s="110"/>
      <c r="KDJ1373" s="110"/>
      <c r="KDK1373" s="110"/>
      <c r="KDL1373" s="110"/>
      <c r="KDM1373" s="110"/>
      <c r="KDN1373" s="110"/>
      <c r="KDO1373" s="110"/>
      <c r="KDP1373" s="110"/>
      <c r="KDQ1373" s="110"/>
      <c r="KDR1373" s="110"/>
      <c r="KDS1373" s="110"/>
      <c r="KDT1373" s="110"/>
      <c r="KDU1373" s="110"/>
      <c r="KDV1373" s="110"/>
      <c r="KDW1373" s="110"/>
      <c r="KDX1373" s="110"/>
      <c r="KDY1373" s="110"/>
      <c r="KDZ1373" s="110"/>
      <c r="KEA1373" s="110"/>
      <c r="KEB1373" s="110"/>
      <c r="KEC1373" s="110"/>
      <c r="KED1373" s="110"/>
      <c r="KEE1373" s="110"/>
      <c r="KEF1373" s="110"/>
      <c r="KEG1373" s="110"/>
      <c r="KEH1373" s="110"/>
      <c r="KEI1373" s="110"/>
      <c r="KEJ1373" s="110"/>
      <c r="KEK1373" s="110"/>
      <c r="KEL1373" s="110"/>
      <c r="KEM1373" s="110"/>
      <c r="KEN1373" s="110"/>
      <c r="KEO1373" s="110"/>
      <c r="KEP1373" s="110"/>
      <c r="KEQ1373" s="110"/>
      <c r="KER1373" s="110"/>
      <c r="KES1373" s="110"/>
      <c r="KET1373" s="110"/>
      <c r="KEU1373" s="110"/>
      <c r="KEV1373" s="110"/>
      <c r="KEW1373" s="110"/>
      <c r="KEX1373" s="110"/>
      <c r="KEY1373" s="110"/>
      <c r="KEZ1373" s="110"/>
      <c r="KFA1373" s="110"/>
      <c r="KFB1373" s="110"/>
      <c r="KFC1373" s="110"/>
      <c r="KFD1373" s="110"/>
      <c r="KFE1373" s="110"/>
      <c r="KFF1373" s="110"/>
      <c r="KFG1373" s="110"/>
      <c r="KFH1373" s="110"/>
      <c r="KFI1373" s="110"/>
      <c r="KFJ1373" s="110"/>
      <c r="KFK1373" s="110"/>
      <c r="KFL1373" s="110"/>
      <c r="KFM1373" s="110"/>
      <c r="KFN1373" s="110"/>
      <c r="KFO1373" s="110"/>
      <c r="KFP1373" s="110"/>
      <c r="KFQ1373" s="110"/>
      <c r="KFR1373" s="110"/>
      <c r="KFS1373" s="110"/>
      <c r="KFT1373" s="110"/>
      <c r="KFU1373" s="110"/>
      <c r="KFV1373" s="110"/>
      <c r="KFW1373" s="110"/>
      <c r="KFX1373" s="110"/>
      <c r="KFY1373" s="110"/>
      <c r="KFZ1373" s="110"/>
      <c r="KGA1373" s="110"/>
      <c r="KGB1373" s="110"/>
      <c r="KGC1373" s="110"/>
      <c r="KGD1373" s="110"/>
      <c r="KGE1373" s="110"/>
      <c r="KGF1373" s="110"/>
      <c r="KGG1373" s="110"/>
      <c r="KGH1373" s="110"/>
      <c r="KGI1373" s="110"/>
      <c r="KGJ1373" s="110"/>
      <c r="KGK1373" s="110"/>
      <c r="KGL1373" s="110"/>
      <c r="KGM1373" s="110"/>
      <c r="KGN1373" s="110"/>
      <c r="KGO1373" s="110"/>
      <c r="KGP1373" s="110"/>
      <c r="KGQ1373" s="110"/>
      <c r="KGR1373" s="110"/>
      <c r="KGS1373" s="110"/>
      <c r="KGT1373" s="110"/>
      <c r="KGU1373" s="110"/>
      <c r="KGV1373" s="110"/>
      <c r="KGW1373" s="110"/>
      <c r="KGX1373" s="110"/>
      <c r="KGY1373" s="110"/>
      <c r="KGZ1373" s="110"/>
      <c r="KHA1373" s="110"/>
      <c r="KHB1373" s="110"/>
      <c r="KHC1373" s="110"/>
      <c r="KHD1373" s="110"/>
      <c r="KHE1373" s="110"/>
      <c r="KHF1373" s="110"/>
      <c r="KHG1373" s="110"/>
      <c r="KHH1373" s="110"/>
      <c r="KHI1373" s="110"/>
      <c r="KHJ1373" s="110"/>
      <c r="KHK1373" s="110"/>
      <c r="KHL1373" s="110"/>
      <c r="KHM1373" s="110"/>
      <c r="KHN1373" s="110"/>
      <c r="KHO1373" s="110"/>
      <c r="KHP1373" s="110"/>
      <c r="KHQ1373" s="110"/>
      <c r="KHR1373" s="110"/>
      <c r="KHS1373" s="110"/>
      <c r="KHT1373" s="110"/>
      <c r="KHU1373" s="110"/>
      <c r="KHV1373" s="110"/>
      <c r="KHW1373" s="110"/>
      <c r="KHX1373" s="110"/>
      <c r="KHY1373" s="110"/>
      <c r="KHZ1373" s="110"/>
      <c r="KIA1373" s="110"/>
      <c r="KIB1373" s="110"/>
      <c r="KIC1373" s="110"/>
      <c r="KID1373" s="110"/>
      <c r="KIE1373" s="110"/>
      <c r="KIF1373" s="110"/>
      <c r="KIG1373" s="110"/>
      <c r="KIH1373" s="110"/>
      <c r="KII1373" s="110"/>
      <c r="KIJ1373" s="110"/>
      <c r="KIK1373" s="110"/>
      <c r="KIL1373" s="110"/>
      <c r="KIM1373" s="110"/>
      <c r="KIN1373" s="110"/>
      <c r="KIO1373" s="110"/>
      <c r="KIP1373" s="110"/>
      <c r="KIQ1373" s="110"/>
      <c r="KIR1373" s="110"/>
      <c r="KIS1373" s="110"/>
      <c r="KIT1373" s="110"/>
      <c r="KIU1373" s="110"/>
      <c r="KIV1373" s="110"/>
      <c r="KIW1373" s="110"/>
      <c r="KIX1373" s="110"/>
      <c r="KIY1373" s="110"/>
      <c r="KIZ1373" s="110"/>
      <c r="KJA1373" s="110"/>
      <c r="KJB1373" s="110"/>
      <c r="KJC1373" s="110"/>
      <c r="KJD1373" s="110"/>
      <c r="KJE1373" s="110"/>
      <c r="KJF1373" s="110"/>
      <c r="KJG1373" s="110"/>
      <c r="KJH1373" s="110"/>
      <c r="KJI1373" s="110"/>
      <c r="KJJ1373" s="110"/>
      <c r="KJK1373" s="110"/>
      <c r="KJL1373" s="110"/>
      <c r="KJM1373" s="110"/>
      <c r="KJN1373" s="110"/>
      <c r="KJO1373" s="110"/>
      <c r="KJP1373" s="110"/>
      <c r="KJQ1373" s="110"/>
      <c r="KJR1373" s="110"/>
      <c r="KJS1373" s="110"/>
      <c r="KJT1373" s="110"/>
      <c r="KJU1373" s="110"/>
      <c r="KJV1373" s="110"/>
      <c r="KJW1373" s="110"/>
      <c r="KJX1373" s="110"/>
      <c r="KJY1373" s="110"/>
      <c r="KJZ1373" s="110"/>
      <c r="KKA1373" s="110"/>
      <c r="KKB1373" s="110"/>
      <c r="KKC1373" s="110"/>
      <c r="KKD1373" s="110"/>
      <c r="KKE1373" s="110"/>
      <c r="KKF1373" s="110"/>
      <c r="KKG1373" s="110"/>
      <c r="KKH1373" s="110"/>
      <c r="KKI1373" s="110"/>
      <c r="KKJ1373" s="110"/>
      <c r="KKK1373" s="110"/>
      <c r="KKL1373" s="110"/>
      <c r="KKM1373" s="110"/>
      <c r="KKN1373" s="110"/>
      <c r="KKO1373" s="110"/>
      <c r="KKP1373" s="110"/>
      <c r="KKQ1373" s="110"/>
      <c r="KKR1373" s="110"/>
      <c r="KKS1373" s="110"/>
      <c r="KKT1373" s="110"/>
      <c r="KKU1373" s="110"/>
      <c r="KKV1373" s="110"/>
      <c r="KKW1373" s="110"/>
      <c r="KKX1373" s="110"/>
      <c r="KKY1373" s="110"/>
      <c r="KKZ1373" s="110"/>
      <c r="KLA1373" s="110"/>
      <c r="KLB1373" s="110"/>
      <c r="KLC1373" s="110"/>
      <c r="KLD1373" s="110"/>
      <c r="KLE1373" s="110"/>
      <c r="KLF1373" s="110"/>
      <c r="KLG1373" s="110"/>
      <c r="KLH1373" s="110"/>
      <c r="KLI1373" s="110"/>
      <c r="KLJ1373" s="110"/>
      <c r="KLK1373" s="110"/>
      <c r="KLL1373" s="110"/>
      <c r="KLM1373" s="110"/>
      <c r="KLN1373" s="110"/>
      <c r="KLO1373" s="110"/>
      <c r="KLP1373" s="110"/>
      <c r="KLQ1373" s="110"/>
      <c r="KLR1373" s="110"/>
      <c r="KLS1373" s="110"/>
      <c r="KLT1373" s="110"/>
      <c r="KLU1373" s="110"/>
      <c r="KLV1373" s="110"/>
      <c r="KLW1373" s="110"/>
      <c r="KLX1373" s="110"/>
      <c r="KLY1373" s="110"/>
      <c r="KLZ1373" s="110"/>
      <c r="KMA1373" s="110"/>
      <c r="KMB1373" s="110"/>
      <c r="KMC1373" s="110"/>
      <c r="KMD1373" s="110"/>
      <c r="KME1373" s="110"/>
      <c r="KMF1373" s="110"/>
      <c r="KMG1373" s="110"/>
      <c r="KMH1373" s="110"/>
      <c r="KMI1373" s="110"/>
      <c r="KMJ1373" s="110"/>
      <c r="KMK1373" s="110"/>
      <c r="KML1373" s="110"/>
      <c r="KMM1373" s="110"/>
      <c r="KMN1373" s="110"/>
      <c r="KMO1373" s="110"/>
      <c r="KMP1373" s="110"/>
      <c r="KMQ1373" s="110"/>
      <c r="KMR1373" s="110"/>
      <c r="KMS1373" s="110"/>
      <c r="KMT1373" s="110"/>
      <c r="KMU1373" s="110"/>
      <c r="KMV1373" s="110"/>
      <c r="KMW1373" s="110"/>
      <c r="KMX1373" s="110"/>
      <c r="KMY1373" s="110"/>
      <c r="KMZ1373" s="110"/>
      <c r="KNA1373" s="110"/>
      <c r="KNB1373" s="110"/>
      <c r="KNC1373" s="110"/>
      <c r="KND1373" s="110"/>
      <c r="KNE1373" s="110"/>
      <c r="KNF1373" s="110"/>
      <c r="KNG1373" s="110"/>
      <c r="KNH1373" s="110"/>
      <c r="KNI1373" s="110"/>
      <c r="KNJ1373" s="110"/>
      <c r="KNK1373" s="110"/>
      <c r="KNL1373" s="110"/>
      <c r="KNM1373" s="110"/>
      <c r="KNN1373" s="110"/>
      <c r="KNO1373" s="110"/>
      <c r="KNP1373" s="110"/>
      <c r="KNQ1373" s="110"/>
      <c r="KNR1373" s="110"/>
      <c r="KNS1373" s="110"/>
      <c r="KNT1373" s="110"/>
      <c r="KNU1373" s="110"/>
      <c r="KNV1373" s="110"/>
      <c r="KNW1373" s="110"/>
      <c r="KNX1373" s="110"/>
      <c r="KNY1373" s="110"/>
      <c r="KNZ1373" s="110"/>
      <c r="KOA1373" s="110"/>
      <c r="KOB1373" s="110"/>
      <c r="KOC1373" s="110"/>
      <c r="KOD1373" s="110"/>
      <c r="KOE1373" s="110"/>
      <c r="KOF1373" s="110"/>
      <c r="KOG1373" s="110"/>
      <c r="KOH1373" s="110"/>
      <c r="KOI1373" s="110"/>
      <c r="KOJ1373" s="110"/>
      <c r="KOK1373" s="110"/>
      <c r="KOL1373" s="110"/>
      <c r="KOM1373" s="110"/>
      <c r="KON1373" s="110"/>
      <c r="KOO1373" s="110"/>
      <c r="KOP1373" s="110"/>
      <c r="KOQ1373" s="110"/>
      <c r="KOR1373" s="110"/>
      <c r="KOS1373" s="110"/>
      <c r="KOT1373" s="110"/>
      <c r="KOU1373" s="110"/>
      <c r="KOV1373" s="110"/>
      <c r="KOW1373" s="110"/>
      <c r="KOX1373" s="110"/>
      <c r="KOY1373" s="110"/>
      <c r="KOZ1373" s="110"/>
      <c r="KPA1373" s="110"/>
      <c r="KPB1373" s="110"/>
      <c r="KPC1373" s="110"/>
      <c r="KPD1373" s="110"/>
      <c r="KPE1373" s="110"/>
      <c r="KPF1373" s="110"/>
      <c r="KPG1373" s="110"/>
      <c r="KPH1373" s="110"/>
      <c r="KPI1373" s="110"/>
      <c r="KPJ1373" s="110"/>
      <c r="KPK1373" s="110"/>
      <c r="KPL1373" s="110"/>
      <c r="KPM1373" s="110"/>
      <c r="KPN1373" s="110"/>
      <c r="KPO1373" s="110"/>
      <c r="KPP1373" s="110"/>
      <c r="KPQ1373" s="110"/>
      <c r="KPR1373" s="110"/>
      <c r="KPS1373" s="110"/>
      <c r="KPT1373" s="110"/>
      <c r="KPU1373" s="110"/>
      <c r="KPV1373" s="110"/>
      <c r="KPW1373" s="110"/>
      <c r="KPX1373" s="110"/>
      <c r="KPY1373" s="110"/>
      <c r="KPZ1373" s="110"/>
      <c r="KQA1373" s="110"/>
      <c r="KQB1373" s="110"/>
      <c r="KQC1373" s="110"/>
      <c r="KQD1373" s="110"/>
      <c r="KQE1373" s="110"/>
      <c r="KQF1373" s="110"/>
      <c r="KQG1373" s="110"/>
      <c r="KQH1373" s="110"/>
      <c r="KQI1373" s="110"/>
      <c r="KQJ1373" s="110"/>
      <c r="KQK1373" s="110"/>
      <c r="KQL1373" s="110"/>
      <c r="KQM1373" s="110"/>
      <c r="KQN1373" s="110"/>
      <c r="KQO1373" s="110"/>
      <c r="KQP1373" s="110"/>
      <c r="KQQ1373" s="110"/>
      <c r="KQR1373" s="110"/>
      <c r="KQS1373" s="110"/>
      <c r="KQT1373" s="110"/>
      <c r="KQU1373" s="110"/>
      <c r="KQV1373" s="110"/>
      <c r="KQW1373" s="110"/>
      <c r="KQX1373" s="110"/>
      <c r="KQY1373" s="110"/>
      <c r="KQZ1373" s="110"/>
      <c r="KRA1373" s="110"/>
      <c r="KRB1373" s="110"/>
      <c r="KRC1373" s="110"/>
      <c r="KRD1373" s="110"/>
      <c r="KRE1373" s="110"/>
      <c r="KRF1373" s="110"/>
      <c r="KRG1373" s="110"/>
      <c r="KRH1373" s="110"/>
      <c r="KRI1373" s="110"/>
      <c r="KRJ1373" s="110"/>
      <c r="KRK1373" s="110"/>
      <c r="KRL1373" s="110"/>
      <c r="KRM1373" s="110"/>
      <c r="KRN1373" s="110"/>
      <c r="KRO1373" s="110"/>
      <c r="KRP1373" s="110"/>
      <c r="KRQ1373" s="110"/>
      <c r="KRR1373" s="110"/>
      <c r="KRS1373" s="110"/>
      <c r="KRT1373" s="110"/>
      <c r="KRU1373" s="110"/>
      <c r="KRV1373" s="110"/>
      <c r="KRW1373" s="110"/>
      <c r="KRX1373" s="110"/>
      <c r="KRY1373" s="110"/>
      <c r="KRZ1373" s="110"/>
      <c r="KSA1373" s="110"/>
      <c r="KSB1373" s="110"/>
      <c r="KSC1373" s="110"/>
      <c r="KSD1373" s="110"/>
      <c r="KSE1373" s="110"/>
      <c r="KSF1373" s="110"/>
      <c r="KSG1373" s="110"/>
      <c r="KSH1373" s="110"/>
      <c r="KSI1373" s="110"/>
      <c r="KSJ1373" s="110"/>
      <c r="KSK1373" s="110"/>
      <c r="KSL1373" s="110"/>
      <c r="KSM1373" s="110"/>
      <c r="KSN1373" s="110"/>
      <c r="KSO1373" s="110"/>
      <c r="KSP1373" s="110"/>
      <c r="KSQ1373" s="110"/>
      <c r="KSR1373" s="110"/>
      <c r="KSS1373" s="110"/>
      <c r="KST1373" s="110"/>
      <c r="KSU1373" s="110"/>
      <c r="KSV1373" s="110"/>
      <c r="KSW1373" s="110"/>
      <c r="KSX1373" s="110"/>
      <c r="KSY1373" s="110"/>
      <c r="KSZ1373" s="110"/>
      <c r="KTA1373" s="110"/>
      <c r="KTB1373" s="110"/>
      <c r="KTC1373" s="110"/>
      <c r="KTD1373" s="110"/>
      <c r="KTE1373" s="110"/>
      <c r="KTF1373" s="110"/>
      <c r="KTG1373" s="110"/>
      <c r="KTH1373" s="110"/>
      <c r="KTI1373" s="110"/>
      <c r="KTJ1373" s="110"/>
      <c r="KTK1373" s="110"/>
      <c r="KTL1373" s="110"/>
      <c r="KTM1373" s="110"/>
      <c r="KTN1373" s="110"/>
      <c r="KTO1373" s="110"/>
      <c r="KTP1373" s="110"/>
      <c r="KTQ1373" s="110"/>
      <c r="KTR1373" s="110"/>
      <c r="KTS1373" s="110"/>
      <c r="KTT1373" s="110"/>
      <c r="KTU1373" s="110"/>
      <c r="KTV1373" s="110"/>
      <c r="KTW1373" s="110"/>
      <c r="KTX1373" s="110"/>
      <c r="KTY1373" s="110"/>
      <c r="KTZ1373" s="110"/>
      <c r="KUA1373" s="110"/>
      <c r="KUB1373" s="110"/>
      <c r="KUC1373" s="110"/>
      <c r="KUD1373" s="110"/>
      <c r="KUE1373" s="110"/>
      <c r="KUF1373" s="110"/>
      <c r="KUG1373" s="110"/>
      <c r="KUH1373" s="110"/>
      <c r="KUI1373" s="110"/>
      <c r="KUJ1373" s="110"/>
      <c r="KUK1373" s="110"/>
      <c r="KUL1373" s="110"/>
      <c r="KUM1373" s="110"/>
      <c r="KUN1373" s="110"/>
      <c r="KUO1373" s="110"/>
      <c r="KUP1373" s="110"/>
      <c r="KUQ1373" s="110"/>
      <c r="KUR1373" s="110"/>
      <c r="KUS1373" s="110"/>
      <c r="KUT1373" s="110"/>
      <c r="KUU1373" s="110"/>
      <c r="KUV1373" s="110"/>
      <c r="KUW1373" s="110"/>
      <c r="KUX1373" s="110"/>
      <c r="KUY1373" s="110"/>
      <c r="KUZ1373" s="110"/>
      <c r="KVA1373" s="110"/>
      <c r="KVB1373" s="110"/>
      <c r="KVC1373" s="110"/>
      <c r="KVD1373" s="110"/>
      <c r="KVE1373" s="110"/>
      <c r="KVF1373" s="110"/>
      <c r="KVG1373" s="110"/>
      <c r="KVH1373" s="110"/>
      <c r="KVI1373" s="110"/>
      <c r="KVJ1373" s="110"/>
      <c r="KVK1373" s="110"/>
      <c r="KVL1373" s="110"/>
      <c r="KVM1373" s="110"/>
      <c r="KVN1373" s="110"/>
      <c r="KVO1373" s="110"/>
      <c r="KVP1373" s="110"/>
      <c r="KVQ1373" s="110"/>
      <c r="KVR1373" s="110"/>
      <c r="KVS1373" s="110"/>
      <c r="KVT1373" s="110"/>
      <c r="KVU1373" s="110"/>
      <c r="KVV1373" s="110"/>
      <c r="KVW1373" s="110"/>
      <c r="KVX1373" s="110"/>
      <c r="KVY1373" s="110"/>
      <c r="KVZ1373" s="110"/>
      <c r="KWA1373" s="110"/>
      <c r="KWB1373" s="110"/>
      <c r="KWC1373" s="110"/>
      <c r="KWD1373" s="110"/>
      <c r="KWE1373" s="110"/>
      <c r="KWF1373" s="110"/>
      <c r="KWG1373" s="110"/>
      <c r="KWH1373" s="110"/>
      <c r="KWI1373" s="110"/>
      <c r="KWJ1373" s="110"/>
      <c r="KWK1373" s="110"/>
      <c r="KWL1373" s="110"/>
      <c r="KWM1373" s="110"/>
      <c r="KWN1373" s="110"/>
      <c r="KWO1373" s="110"/>
      <c r="KWP1373" s="110"/>
      <c r="KWQ1373" s="110"/>
      <c r="KWR1373" s="110"/>
      <c r="KWS1373" s="110"/>
      <c r="KWT1373" s="110"/>
      <c r="KWU1373" s="110"/>
      <c r="KWV1373" s="110"/>
      <c r="KWW1373" s="110"/>
      <c r="KWX1373" s="110"/>
      <c r="KWY1373" s="110"/>
      <c r="KWZ1373" s="110"/>
      <c r="KXA1373" s="110"/>
      <c r="KXB1373" s="110"/>
      <c r="KXC1373" s="110"/>
      <c r="KXD1373" s="110"/>
      <c r="KXE1373" s="110"/>
      <c r="KXF1373" s="110"/>
      <c r="KXG1373" s="110"/>
      <c r="KXH1373" s="110"/>
      <c r="KXI1373" s="110"/>
      <c r="KXJ1373" s="110"/>
      <c r="KXK1373" s="110"/>
      <c r="KXL1373" s="110"/>
      <c r="KXM1373" s="110"/>
      <c r="KXN1373" s="110"/>
      <c r="KXO1373" s="110"/>
      <c r="KXP1373" s="110"/>
      <c r="KXQ1373" s="110"/>
      <c r="KXR1373" s="110"/>
      <c r="KXS1373" s="110"/>
      <c r="KXT1373" s="110"/>
      <c r="KXU1373" s="110"/>
      <c r="KXV1373" s="110"/>
      <c r="KXW1373" s="110"/>
      <c r="KXX1373" s="110"/>
      <c r="KXY1373" s="110"/>
      <c r="KXZ1373" s="110"/>
      <c r="KYA1373" s="110"/>
      <c r="KYB1373" s="110"/>
      <c r="KYC1373" s="110"/>
      <c r="KYD1373" s="110"/>
      <c r="KYE1373" s="110"/>
      <c r="KYF1373" s="110"/>
      <c r="KYG1373" s="110"/>
      <c r="KYH1373" s="110"/>
      <c r="KYI1373" s="110"/>
      <c r="KYJ1373" s="110"/>
      <c r="KYK1373" s="110"/>
      <c r="KYL1373" s="110"/>
      <c r="KYM1373" s="110"/>
      <c r="KYN1373" s="110"/>
      <c r="KYO1373" s="110"/>
      <c r="KYP1373" s="110"/>
      <c r="KYQ1373" s="110"/>
      <c r="KYR1373" s="110"/>
      <c r="KYS1373" s="110"/>
      <c r="KYT1373" s="110"/>
      <c r="KYU1373" s="110"/>
      <c r="KYV1373" s="110"/>
      <c r="KYW1373" s="110"/>
      <c r="KYX1373" s="110"/>
      <c r="KYY1373" s="110"/>
      <c r="KYZ1373" s="110"/>
      <c r="KZA1373" s="110"/>
      <c r="KZB1373" s="110"/>
      <c r="KZC1373" s="110"/>
      <c r="KZD1373" s="110"/>
      <c r="KZE1373" s="110"/>
      <c r="KZF1373" s="110"/>
      <c r="KZG1373" s="110"/>
      <c r="KZH1373" s="110"/>
      <c r="KZI1373" s="110"/>
      <c r="KZJ1373" s="110"/>
      <c r="KZK1373" s="110"/>
      <c r="KZL1373" s="110"/>
      <c r="KZM1373" s="110"/>
      <c r="KZN1373" s="110"/>
      <c r="KZO1373" s="110"/>
      <c r="KZP1373" s="110"/>
      <c r="KZQ1373" s="110"/>
      <c r="KZR1373" s="110"/>
      <c r="KZS1373" s="110"/>
      <c r="KZT1373" s="110"/>
      <c r="KZU1373" s="110"/>
      <c r="KZV1373" s="110"/>
      <c r="KZW1373" s="110"/>
      <c r="KZX1373" s="110"/>
      <c r="KZY1373" s="110"/>
      <c r="KZZ1373" s="110"/>
      <c r="LAA1373" s="110"/>
      <c r="LAB1373" s="110"/>
      <c r="LAC1373" s="110"/>
      <c r="LAD1373" s="110"/>
      <c r="LAE1373" s="110"/>
      <c r="LAF1373" s="110"/>
      <c r="LAG1373" s="110"/>
      <c r="LAH1373" s="110"/>
      <c r="LAI1373" s="110"/>
      <c r="LAJ1373" s="110"/>
      <c r="LAK1373" s="110"/>
      <c r="LAL1373" s="110"/>
      <c r="LAM1373" s="110"/>
      <c r="LAN1373" s="110"/>
      <c r="LAO1373" s="110"/>
      <c r="LAP1373" s="110"/>
      <c r="LAQ1373" s="110"/>
      <c r="LAR1373" s="110"/>
      <c r="LAS1373" s="110"/>
      <c r="LAT1373" s="110"/>
      <c r="LAU1373" s="110"/>
      <c r="LAV1373" s="110"/>
      <c r="LAW1373" s="110"/>
      <c r="LAX1373" s="110"/>
      <c r="LAY1373" s="110"/>
      <c r="LAZ1373" s="110"/>
      <c r="LBA1373" s="110"/>
      <c r="LBB1373" s="110"/>
      <c r="LBC1373" s="110"/>
      <c r="LBD1373" s="110"/>
      <c r="LBE1373" s="110"/>
      <c r="LBF1373" s="110"/>
      <c r="LBG1373" s="110"/>
      <c r="LBH1373" s="110"/>
      <c r="LBI1373" s="110"/>
      <c r="LBJ1373" s="110"/>
      <c r="LBK1373" s="110"/>
      <c r="LBL1373" s="110"/>
      <c r="LBM1373" s="110"/>
      <c r="LBN1373" s="110"/>
      <c r="LBO1373" s="110"/>
      <c r="LBP1373" s="110"/>
      <c r="LBQ1373" s="110"/>
      <c r="LBR1373" s="110"/>
      <c r="LBS1373" s="110"/>
      <c r="LBT1373" s="110"/>
      <c r="LBU1373" s="110"/>
      <c r="LBV1373" s="110"/>
      <c r="LBW1373" s="110"/>
      <c r="LBX1373" s="110"/>
      <c r="LBY1373" s="110"/>
      <c r="LBZ1373" s="110"/>
      <c r="LCA1373" s="110"/>
      <c r="LCB1373" s="110"/>
      <c r="LCC1373" s="110"/>
      <c r="LCD1373" s="110"/>
      <c r="LCE1373" s="110"/>
      <c r="LCF1373" s="110"/>
      <c r="LCG1373" s="110"/>
      <c r="LCH1373" s="110"/>
      <c r="LCI1373" s="110"/>
      <c r="LCJ1373" s="110"/>
      <c r="LCK1373" s="110"/>
      <c r="LCL1373" s="110"/>
      <c r="LCM1373" s="110"/>
      <c r="LCN1373" s="110"/>
      <c r="LCO1373" s="110"/>
      <c r="LCP1373" s="110"/>
      <c r="LCQ1373" s="110"/>
      <c r="LCR1373" s="110"/>
      <c r="LCS1373" s="110"/>
      <c r="LCT1373" s="110"/>
      <c r="LCU1373" s="110"/>
      <c r="LCV1373" s="110"/>
      <c r="LCW1373" s="110"/>
      <c r="LCX1373" s="110"/>
      <c r="LCY1373" s="110"/>
      <c r="LCZ1373" s="110"/>
      <c r="LDA1373" s="110"/>
      <c r="LDB1373" s="110"/>
      <c r="LDC1373" s="110"/>
      <c r="LDD1373" s="110"/>
      <c r="LDE1373" s="110"/>
      <c r="LDF1373" s="110"/>
      <c r="LDG1373" s="110"/>
      <c r="LDH1373" s="110"/>
      <c r="LDI1373" s="110"/>
      <c r="LDJ1373" s="110"/>
      <c r="LDK1373" s="110"/>
      <c r="LDL1373" s="110"/>
      <c r="LDM1373" s="110"/>
      <c r="LDN1373" s="110"/>
      <c r="LDO1373" s="110"/>
      <c r="LDP1373" s="110"/>
      <c r="LDQ1373" s="110"/>
      <c r="LDR1373" s="110"/>
      <c r="LDS1373" s="110"/>
      <c r="LDT1373" s="110"/>
      <c r="LDU1373" s="110"/>
      <c r="LDV1373" s="110"/>
      <c r="LDW1373" s="110"/>
      <c r="LDX1373" s="110"/>
      <c r="LDY1373" s="110"/>
      <c r="LDZ1373" s="110"/>
      <c r="LEA1373" s="110"/>
      <c r="LEB1373" s="110"/>
      <c r="LEC1373" s="110"/>
      <c r="LED1373" s="110"/>
      <c r="LEE1373" s="110"/>
      <c r="LEF1373" s="110"/>
      <c r="LEG1373" s="110"/>
      <c r="LEH1373" s="110"/>
      <c r="LEI1373" s="110"/>
      <c r="LEJ1373" s="110"/>
      <c r="LEK1373" s="110"/>
      <c r="LEL1373" s="110"/>
      <c r="LEM1373" s="110"/>
      <c r="LEN1373" s="110"/>
      <c r="LEO1373" s="110"/>
      <c r="LEP1373" s="110"/>
      <c r="LEQ1373" s="110"/>
      <c r="LER1373" s="110"/>
      <c r="LES1373" s="110"/>
      <c r="LET1373" s="110"/>
      <c r="LEU1373" s="110"/>
      <c r="LEV1373" s="110"/>
      <c r="LEW1373" s="110"/>
      <c r="LEX1373" s="110"/>
      <c r="LEY1373" s="110"/>
      <c r="LEZ1373" s="110"/>
      <c r="LFA1373" s="110"/>
      <c r="LFB1373" s="110"/>
      <c r="LFC1373" s="110"/>
      <c r="LFD1373" s="110"/>
      <c r="LFE1373" s="110"/>
      <c r="LFF1373" s="110"/>
      <c r="LFG1373" s="110"/>
      <c r="LFH1373" s="110"/>
      <c r="LFI1373" s="110"/>
      <c r="LFJ1373" s="110"/>
      <c r="LFK1373" s="110"/>
      <c r="LFL1373" s="110"/>
      <c r="LFM1373" s="110"/>
      <c r="LFN1373" s="110"/>
      <c r="LFO1373" s="110"/>
      <c r="LFP1373" s="110"/>
      <c r="LFQ1373" s="110"/>
      <c r="LFR1373" s="110"/>
      <c r="LFS1373" s="110"/>
      <c r="LFT1373" s="110"/>
      <c r="LFU1373" s="110"/>
      <c r="LFV1373" s="110"/>
      <c r="LFW1373" s="110"/>
      <c r="LFX1373" s="110"/>
      <c r="LFY1373" s="110"/>
      <c r="LFZ1373" s="110"/>
      <c r="LGA1373" s="110"/>
      <c r="LGB1373" s="110"/>
      <c r="LGC1373" s="110"/>
      <c r="LGD1373" s="110"/>
      <c r="LGE1373" s="110"/>
      <c r="LGF1373" s="110"/>
      <c r="LGG1373" s="110"/>
      <c r="LGH1373" s="110"/>
      <c r="LGI1373" s="110"/>
      <c r="LGJ1373" s="110"/>
      <c r="LGK1373" s="110"/>
      <c r="LGL1373" s="110"/>
      <c r="LGM1373" s="110"/>
      <c r="LGN1373" s="110"/>
      <c r="LGO1373" s="110"/>
      <c r="LGP1373" s="110"/>
      <c r="LGQ1373" s="110"/>
      <c r="LGR1373" s="110"/>
      <c r="LGS1373" s="110"/>
      <c r="LGT1373" s="110"/>
      <c r="LGU1373" s="110"/>
      <c r="LGV1373" s="110"/>
      <c r="LGW1373" s="110"/>
      <c r="LGX1373" s="110"/>
      <c r="LGY1373" s="110"/>
      <c r="LGZ1373" s="110"/>
      <c r="LHA1373" s="110"/>
      <c r="LHB1373" s="110"/>
      <c r="LHC1373" s="110"/>
      <c r="LHD1373" s="110"/>
      <c r="LHE1373" s="110"/>
      <c r="LHF1373" s="110"/>
      <c r="LHG1373" s="110"/>
      <c r="LHH1373" s="110"/>
      <c r="LHI1373" s="110"/>
      <c r="LHJ1373" s="110"/>
      <c r="LHK1373" s="110"/>
      <c r="LHL1373" s="110"/>
      <c r="LHM1373" s="110"/>
      <c r="LHN1373" s="110"/>
      <c r="LHO1373" s="110"/>
      <c r="LHP1373" s="110"/>
      <c r="LHQ1373" s="110"/>
      <c r="LHR1373" s="110"/>
      <c r="LHS1373" s="110"/>
      <c r="LHT1373" s="110"/>
      <c r="LHU1373" s="110"/>
      <c r="LHV1373" s="110"/>
      <c r="LHW1373" s="110"/>
      <c r="LHX1373" s="110"/>
      <c r="LHY1373" s="110"/>
      <c r="LHZ1373" s="110"/>
      <c r="LIA1373" s="110"/>
      <c r="LIB1373" s="110"/>
      <c r="LIC1373" s="110"/>
      <c r="LID1373" s="110"/>
      <c r="LIE1373" s="110"/>
      <c r="LIF1373" s="110"/>
      <c r="LIG1373" s="110"/>
      <c r="LIH1373" s="110"/>
      <c r="LII1373" s="110"/>
      <c r="LIJ1373" s="110"/>
      <c r="LIK1373" s="110"/>
      <c r="LIL1373" s="110"/>
      <c r="LIM1373" s="110"/>
      <c r="LIN1373" s="110"/>
      <c r="LIO1373" s="110"/>
      <c r="LIP1373" s="110"/>
      <c r="LIQ1373" s="110"/>
      <c r="LIR1373" s="110"/>
      <c r="LIS1373" s="110"/>
      <c r="LIT1373" s="110"/>
      <c r="LIU1373" s="110"/>
      <c r="LIV1373" s="110"/>
      <c r="LIW1373" s="110"/>
      <c r="LIX1373" s="110"/>
      <c r="LIY1373" s="110"/>
      <c r="LIZ1373" s="110"/>
      <c r="LJA1373" s="110"/>
      <c r="LJB1373" s="110"/>
      <c r="LJC1373" s="110"/>
      <c r="LJD1373" s="110"/>
      <c r="LJE1373" s="110"/>
      <c r="LJF1373" s="110"/>
      <c r="LJG1373" s="110"/>
      <c r="LJH1373" s="110"/>
      <c r="LJI1373" s="110"/>
      <c r="LJJ1373" s="110"/>
      <c r="LJK1373" s="110"/>
      <c r="LJL1373" s="110"/>
      <c r="LJM1373" s="110"/>
      <c r="LJN1373" s="110"/>
      <c r="LJO1373" s="110"/>
      <c r="LJP1373" s="110"/>
      <c r="LJQ1373" s="110"/>
      <c r="LJR1373" s="110"/>
      <c r="LJS1373" s="110"/>
      <c r="LJT1373" s="110"/>
      <c r="LJU1373" s="110"/>
      <c r="LJV1373" s="110"/>
      <c r="LJW1373" s="110"/>
      <c r="LJX1373" s="110"/>
      <c r="LJY1373" s="110"/>
      <c r="LJZ1373" s="110"/>
      <c r="LKA1373" s="110"/>
      <c r="LKB1373" s="110"/>
      <c r="LKC1373" s="110"/>
      <c r="LKD1373" s="110"/>
      <c r="LKE1373" s="110"/>
      <c r="LKF1373" s="110"/>
      <c r="LKG1373" s="110"/>
      <c r="LKH1373" s="110"/>
      <c r="LKI1373" s="110"/>
      <c r="LKJ1373" s="110"/>
      <c r="LKK1373" s="110"/>
      <c r="LKL1373" s="110"/>
      <c r="LKM1373" s="110"/>
      <c r="LKN1373" s="110"/>
      <c r="LKO1373" s="110"/>
      <c r="LKP1373" s="110"/>
      <c r="LKQ1373" s="110"/>
      <c r="LKR1373" s="110"/>
      <c r="LKS1373" s="110"/>
      <c r="LKT1373" s="110"/>
      <c r="LKU1373" s="110"/>
      <c r="LKV1373" s="110"/>
      <c r="LKW1373" s="110"/>
      <c r="LKX1373" s="110"/>
      <c r="LKY1373" s="110"/>
      <c r="LKZ1373" s="110"/>
      <c r="LLA1373" s="110"/>
      <c r="LLB1373" s="110"/>
      <c r="LLC1373" s="110"/>
      <c r="LLD1373" s="110"/>
      <c r="LLE1373" s="110"/>
      <c r="LLF1373" s="110"/>
      <c r="LLG1373" s="110"/>
      <c r="LLH1373" s="110"/>
      <c r="LLI1373" s="110"/>
      <c r="LLJ1373" s="110"/>
      <c r="LLK1373" s="110"/>
      <c r="LLL1373" s="110"/>
      <c r="LLM1373" s="110"/>
      <c r="LLN1373" s="110"/>
      <c r="LLO1373" s="110"/>
      <c r="LLP1373" s="110"/>
      <c r="LLQ1373" s="110"/>
      <c r="LLR1373" s="110"/>
      <c r="LLS1373" s="110"/>
      <c r="LLT1373" s="110"/>
      <c r="LLU1373" s="110"/>
      <c r="LLV1373" s="110"/>
      <c r="LLW1373" s="110"/>
      <c r="LLX1373" s="110"/>
      <c r="LLY1373" s="110"/>
      <c r="LLZ1373" s="110"/>
      <c r="LMA1373" s="110"/>
      <c r="LMB1373" s="110"/>
      <c r="LMC1373" s="110"/>
      <c r="LMD1373" s="110"/>
      <c r="LME1373" s="110"/>
      <c r="LMF1373" s="110"/>
      <c r="LMG1373" s="110"/>
      <c r="LMH1373" s="110"/>
      <c r="LMI1373" s="110"/>
      <c r="LMJ1373" s="110"/>
      <c r="LMK1373" s="110"/>
      <c r="LML1373" s="110"/>
      <c r="LMM1373" s="110"/>
      <c r="LMN1373" s="110"/>
      <c r="LMO1373" s="110"/>
      <c r="LMP1373" s="110"/>
      <c r="LMQ1373" s="110"/>
      <c r="LMR1373" s="110"/>
      <c r="LMS1373" s="110"/>
      <c r="LMT1373" s="110"/>
      <c r="LMU1373" s="110"/>
      <c r="LMV1373" s="110"/>
      <c r="LMW1373" s="110"/>
      <c r="LMX1373" s="110"/>
      <c r="LMY1373" s="110"/>
      <c r="LMZ1373" s="110"/>
      <c r="LNA1373" s="110"/>
      <c r="LNB1373" s="110"/>
      <c r="LNC1373" s="110"/>
      <c r="LND1373" s="110"/>
      <c r="LNE1373" s="110"/>
      <c r="LNF1373" s="110"/>
      <c r="LNG1373" s="110"/>
      <c r="LNH1373" s="110"/>
      <c r="LNI1373" s="110"/>
      <c r="LNJ1373" s="110"/>
      <c r="LNK1373" s="110"/>
      <c r="LNL1373" s="110"/>
      <c r="LNM1373" s="110"/>
      <c r="LNN1373" s="110"/>
      <c r="LNO1373" s="110"/>
      <c r="LNP1373" s="110"/>
      <c r="LNQ1373" s="110"/>
      <c r="LNR1373" s="110"/>
      <c r="LNS1373" s="110"/>
      <c r="LNT1373" s="110"/>
      <c r="LNU1373" s="110"/>
      <c r="LNV1373" s="110"/>
      <c r="LNW1373" s="110"/>
      <c r="LNX1373" s="110"/>
      <c r="LNY1373" s="110"/>
      <c r="LNZ1373" s="110"/>
      <c r="LOA1373" s="110"/>
      <c r="LOB1373" s="110"/>
      <c r="LOC1373" s="110"/>
      <c r="LOD1373" s="110"/>
      <c r="LOE1373" s="110"/>
      <c r="LOF1373" s="110"/>
      <c r="LOG1373" s="110"/>
      <c r="LOH1373" s="110"/>
      <c r="LOI1373" s="110"/>
      <c r="LOJ1373" s="110"/>
      <c r="LOK1373" s="110"/>
      <c r="LOL1373" s="110"/>
      <c r="LOM1373" s="110"/>
      <c r="LON1373" s="110"/>
      <c r="LOO1373" s="110"/>
      <c r="LOP1373" s="110"/>
      <c r="LOQ1373" s="110"/>
      <c r="LOR1373" s="110"/>
      <c r="LOS1373" s="110"/>
      <c r="LOT1373" s="110"/>
      <c r="LOU1373" s="110"/>
      <c r="LOV1373" s="110"/>
      <c r="LOW1373" s="110"/>
      <c r="LOX1373" s="110"/>
      <c r="LOY1373" s="110"/>
      <c r="LOZ1373" s="110"/>
      <c r="LPA1373" s="110"/>
      <c r="LPB1373" s="110"/>
      <c r="LPC1373" s="110"/>
      <c r="LPD1373" s="110"/>
      <c r="LPE1373" s="110"/>
      <c r="LPF1373" s="110"/>
      <c r="LPG1373" s="110"/>
      <c r="LPH1373" s="110"/>
      <c r="LPI1373" s="110"/>
      <c r="LPJ1373" s="110"/>
      <c r="LPK1373" s="110"/>
      <c r="LPL1373" s="110"/>
      <c r="LPM1373" s="110"/>
      <c r="LPN1373" s="110"/>
      <c r="LPO1373" s="110"/>
      <c r="LPP1373" s="110"/>
      <c r="LPQ1373" s="110"/>
      <c r="LPR1373" s="110"/>
      <c r="LPS1373" s="110"/>
      <c r="LPT1373" s="110"/>
      <c r="LPU1373" s="110"/>
      <c r="LPV1373" s="110"/>
      <c r="LPW1373" s="110"/>
      <c r="LPX1373" s="110"/>
      <c r="LPY1373" s="110"/>
      <c r="LPZ1373" s="110"/>
      <c r="LQA1373" s="110"/>
      <c r="LQB1373" s="110"/>
      <c r="LQC1373" s="110"/>
      <c r="LQD1373" s="110"/>
      <c r="LQE1373" s="110"/>
      <c r="LQF1373" s="110"/>
      <c r="LQG1373" s="110"/>
      <c r="LQH1373" s="110"/>
      <c r="LQI1373" s="110"/>
      <c r="LQJ1373" s="110"/>
      <c r="LQK1373" s="110"/>
      <c r="LQL1373" s="110"/>
      <c r="LQM1373" s="110"/>
      <c r="LQN1373" s="110"/>
      <c r="LQO1373" s="110"/>
      <c r="LQP1373" s="110"/>
      <c r="LQQ1373" s="110"/>
      <c r="LQR1373" s="110"/>
      <c r="LQS1373" s="110"/>
      <c r="LQT1373" s="110"/>
      <c r="LQU1373" s="110"/>
      <c r="LQV1373" s="110"/>
      <c r="LQW1373" s="110"/>
      <c r="LQX1373" s="110"/>
      <c r="LQY1373" s="110"/>
      <c r="LQZ1373" s="110"/>
      <c r="LRA1373" s="110"/>
      <c r="LRB1373" s="110"/>
      <c r="LRC1373" s="110"/>
      <c r="LRD1373" s="110"/>
      <c r="LRE1373" s="110"/>
      <c r="LRF1373" s="110"/>
      <c r="LRG1373" s="110"/>
      <c r="LRH1373" s="110"/>
      <c r="LRI1373" s="110"/>
      <c r="LRJ1373" s="110"/>
      <c r="LRK1373" s="110"/>
      <c r="LRL1373" s="110"/>
      <c r="LRM1373" s="110"/>
      <c r="LRN1373" s="110"/>
      <c r="LRO1373" s="110"/>
      <c r="LRP1373" s="110"/>
      <c r="LRQ1373" s="110"/>
      <c r="LRR1373" s="110"/>
      <c r="LRS1373" s="110"/>
      <c r="LRT1373" s="110"/>
      <c r="LRU1373" s="110"/>
      <c r="LRV1373" s="110"/>
      <c r="LRW1373" s="110"/>
      <c r="LRX1373" s="110"/>
      <c r="LRY1373" s="110"/>
      <c r="LRZ1373" s="110"/>
      <c r="LSA1373" s="110"/>
      <c r="LSB1373" s="110"/>
      <c r="LSC1373" s="110"/>
      <c r="LSD1373" s="110"/>
      <c r="LSE1373" s="110"/>
      <c r="LSF1373" s="110"/>
      <c r="LSG1373" s="110"/>
      <c r="LSH1373" s="110"/>
      <c r="LSI1373" s="110"/>
      <c r="LSJ1373" s="110"/>
      <c r="LSK1373" s="110"/>
      <c r="LSL1373" s="110"/>
      <c r="LSM1373" s="110"/>
      <c r="LSN1373" s="110"/>
      <c r="LSO1373" s="110"/>
      <c r="LSP1373" s="110"/>
      <c r="LSQ1373" s="110"/>
      <c r="LSR1373" s="110"/>
      <c r="LSS1373" s="110"/>
      <c r="LST1373" s="110"/>
      <c r="LSU1373" s="110"/>
      <c r="LSV1373" s="110"/>
      <c r="LSW1373" s="110"/>
      <c r="LSX1373" s="110"/>
      <c r="LSY1373" s="110"/>
      <c r="LSZ1373" s="110"/>
      <c r="LTA1373" s="110"/>
      <c r="LTB1373" s="110"/>
      <c r="LTC1373" s="110"/>
      <c r="LTD1373" s="110"/>
      <c r="LTE1373" s="110"/>
      <c r="LTF1373" s="110"/>
      <c r="LTG1373" s="110"/>
      <c r="LTH1373" s="110"/>
      <c r="LTI1373" s="110"/>
      <c r="LTJ1373" s="110"/>
      <c r="LTK1373" s="110"/>
      <c r="LTL1373" s="110"/>
      <c r="LTM1373" s="110"/>
      <c r="LTN1373" s="110"/>
      <c r="LTO1373" s="110"/>
      <c r="LTP1373" s="110"/>
      <c r="LTQ1373" s="110"/>
      <c r="LTR1373" s="110"/>
      <c r="LTS1373" s="110"/>
      <c r="LTT1373" s="110"/>
      <c r="LTU1373" s="110"/>
      <c r="LTV1373" s="110"/>
      <c r="LTW1373" s="110"/>
      <c r="LTX1373" s="110"/>
      <c r="LTY1373" s="110"/>
      <c r="LTZ1373" s="110"/>
      <c r="LUA1373" s="110"/>
      <c r="LUB1373" s="110"/>
      <c r="LUC1373" s="110"/>
      <c r="LUD1373" s="110"/>
      <c r="LUE1373" s="110"/>
      <c r="LUF1373" s="110"/>
      <c r="LUG1373" s="110"/>
      <c r="LUH1373" s="110"/>
      <c r="LUI1373" s="110"/>
      <c r="LUJ1373" s="110"/>
      <c r="LUK1373" s="110"/>
      <c r="LUL1373" s="110"/>
      <c r="LUM1373" s="110"/>
      <c r="LUN1373" s="110"/>
      <c r="LUO1373" s="110"/>
      <c r="LUP1373" s="110"/>
      <c r="LUQ1373" s="110"/>
      <c r="LUR1373" s="110"/>
      <c r="LUS1373" s="110"/>
      <c r="LUT1373" s="110"/>
      <c r="LUU1373" s="110"/>
      <c r="LUV1373" s="110"/>
      <c r="LUW1373" s="110"/>
      <c r="LUX1373" s="110"/>
      <c r="LUY1373" s="110"/>
      <c r="LUZ1373" s="110"/>
      <c r="LVA1373" s="110"/>
      <c r="LVB1373" s="110"/>
      <c r="LVC1373" s="110"/>
      <c r="LVD1373" s="110"/>
      <c r="LVE1373" s="110"/>
      <c r="LVF1373" s="110"/>
      <c r="LVG1373" s="110"/>
      <c r="LVH1373" s="110"/>
      <c r="LVI1373" s="110"/>
      <c r="LVJ1373" s="110"/>
      <c r="LVK1373" s="110"/>
      <c r="LVL1373" s="110"/>
      <c r="LVM1373" s="110"/>
      <c r="LVN1373" s="110"/>
      <c r="LVO1373" s="110"/>
      <c r="LVP1373" s="110"/>
      <c r="LVQ1373" s="110"/>
      <c r="LVR1373" s="110"/>
      <c r="LVS1373" s="110"/>
      <c r="LVT1373" s="110"/>
      <c r="LVU1373" s="110"/>
      <c r="LVV1373" s="110"/>
      <c r="LVW1373" s="110"/>
      <c r="LVX1373" s="110"/>
      <c r="LVY1373" s="110"/>
      <c r="LVZ1373" s="110"/>
      <c r="LWA1373" s="110"/>
      <c r="LWB1373" s="110"/>
      <c r="LWC1373" s="110"/>
      <c r="LWD1373" s="110"/>
      <c r="LWE1373" s="110"/>
      <c r="LWF1373" s="110"/>
      <c r="LWG1373" s="110"/>
      <c r="LWH1373" s="110"/>
      <c r="LWI1373" s="110"/>
      <c r="LWJ1373" s="110"/>
      <c r="LWK1373" s="110"/>
      <c r="LWL1373" s="110"/>
      <c r="LWM1373" s="110"/>
      <c r="LWN1373" s="110"/>
      <c r="LWO1373" s="110"/>
      <c r="LWP1373" s="110"/>
      <c r="LWQ1373" s="110"/>
      <c r="LWR1373" s="110"/>
      <c r="LWS1373" s="110"/>
      <c r="LWT1373" s="110"/>
      <c r="LWU1373" s="110"/>
      <c r="LWV1373" s="110"/>
      <c r="LWW1373" s="110"/>
      <c r="LWX1373" s="110"/>
      <c r="LWY1373" s="110"/>
      <c r="LWZ1373" s="110"/>
      <c r="LXA1373" s="110"/>
      <c r="LXB1373" s="110"/>
      <c r="LXC1373" s="110"/>
      <c r="LXD1373" s="110"/>
      <c r="LXE1373" s="110"/>
      <c r="LXF1373" s="110"/>
      <c r="LXG1373" s="110"/>
      <c r="LXH1373" s="110"/>
      <c r="LXI1373" s="110"/>
      <c r="LXJ1373" s="110"/>
      <c r="LXK1373" s="110"/>
      <c r="LXL1373" s="110"/>
      <c r="LXM1373" s="110"/>
      <c r="LXN1373" s="110"/>
      <c r="LXO1373" s="110"/>
      <c r="LXP1373" s="110"/>
      <c r="LXQ1373" s="110"/>
      <c r="LXR1373" s="110"/>
      <c r="LXS1373" s="110"/>
      <c r="LXT1373" s="110"/>
      <c r="LXU1373" s="110"/>
      <c r="LXV1373" s="110"/>
      <c r="LXW1373" s="110"/>
      <c r="LXX1373" s="110"/>
      <c r="LXY1373" s="110"/>
      <c r="LXZ1373" s="110"/>
      <c r="LYA1373" s="110"/>
      <c r="LYB1373" s="110"/>
      <c r="LYC1373" s="110"/>
      <c r="LYD1373" s="110"/>
      <c r="LYE1373" s="110"/>
      <c r="LYF1373" s="110"/>
      <c r="LYG1373" s="110"/>
      <c r="LYH1373" s="110"/>
      <c r="LYI1373" s="110"/>
      <c r="LYJ1373" s="110"/>
      <c r="LYK1373" s="110"/>
      <c r="LYL1373" s="110"/>
      <c r="LYM1373" s="110"/>
      <c r="LYN1373" s="110"/>
      <c r="LYO1373" s="110"/>
      <c r="LYP1373" s="110"/>
      <c r="LYQ1373" s="110"/>
      <c r="LYR1373" s="110"/>
      <c r="LYS1373" s="110"/>
      <c r="LYT1373" s="110"/>
      <c r="LYU1373" s="110"/>
      <c r="LYV1373" s="110"/>
      <c r="LYW1373" s="110"/>
      <c r="LYX1373" s="110"/>
      <c r="LYY1373" s="110"/>
      <c r="LYZ1373" s="110"/>
      <c r="LZA1373" s="110"/>
      <c r="LZB1373" s="110"/>
      <c r="LZC1373" s="110"/>
      <c r="LZD1373" s="110"/>
      <c r="LZE1373" s="110"/>
      <c r="LZF1373" s="110"/>
      <c r="LZG1373" s="110"/>
      <c r="LZH1373" s="110"/>
      <c r="LZI1373" s="110"/>
      <c r="LZJ1373" s="110"/>
      <c r="LZK1373" s="110"/>
      <c r="LZL1373" s="110"/>
      <c r="LZM1373" s="110"/>
      <c r="LZN1373" s="110"/>
      <c r="LZO1373" s="110"/>
      <c r="LZP1373" s="110"/>
      <c r="LZQ1373" s="110"/>
      <c r="LZR1373" s="110"/>
      <c r="LZS1373" s="110"/>
      <c r="LZT1373" s="110"/>
      <c r="LZU1373" s="110"/>
      <c r="LZV1373" s="110"/>
      <c r="LZW1373" s="110"/>
      <c r="LZX1373" s="110"/>
      <c r="LZY1373" s="110"/>
      <c r="LZZ1373" s="110"/>
      <c r="MAA1373" s="110"/>
      <c r="MAB1373" s="110"/>
      <c r="MAC1373" s="110"/>
      <c r="MAD1373" s="110"/>
      <c r="MAE1373" s="110"/>
      <c r="MAF1373" s="110"/>
      <c r="MAG1373" s="110"/>
      <c r="MAH1373" s="110"/>
      <c r="MAI1373" s="110"/>
      <c r="MAJ1373" s="110"/>
      <c r="MAK1373" s="110"/>
      <c r="MAL1373" s="110"/>
      <c r="MAM1373" s="110"/>
      <c r="MAN1373" s="110"/>
      <c r="MAO1373" s="110"/>
      <c r="MAP1373" s="110"/>
      <c r="MAQ1373" s="110"/>
      <c r="MAR1373" s="110"/>
      <c r="MAS1373" s="110"/>
      <c r="MAT1373" s="110"/>
      <c r="MAU1373" s="110"/>
      <c r="MAV1373" s="110"/>
      <c r="MAW1373" s="110"/>
      <c r="MAX1373" s="110"/>
      <c r="MAY1373" s="110"/>
      <c r="MAZ1373" s="110"/>
      <c r="MBA1373" s="110"/>
      <c r="MBB1373" s="110"/>
      <c r="MBC1373" s="110"/>
      <c r="MBD1373" s="110"/>
      <c r="MBE1373" s="110"/>
      <c r="MBF1373" s="110"/>
      <c r="MBG1373" s="110"/>
      <c r="MBH1373" s="110"/>
      <c r="MBI1373" s="110"/>
      <c r="MBJ1373" s="110"/>
      <c r="MBK1373" s="110"/>
      <c r="MBL1373" s="110"/>
      <c r="MBM1373" s="110"/>
      <c r="MBN1373" s="110"/>
      <c r="MBO1373" s="110"/>
      <c r="MBP1373" s="110"/>
      <c r="MBQ1373" s="110"/>
      <c r="MBR1373" s="110"/>
      <c r="MBS1373" s="110"/>
      <c r="MBT1373" s="110"/>
      <c r="MBU1373" s="110"/>
      <c r="MBV1373" s="110"/>
      <c r="MBW1373" s="110"/>
      <c r="MBX1373" s="110"/>
      <c r="MBY1373" s="110"/>
      <c r="MBZ1373" s="110"/>
      <c r="MCA1373" s="110"/>
      <c r="MCB1373" s="110"/>
      <c r="MCC1373" s="110"/>
      <c r="MCD1373" s="110"/>
      <c r="MCE1373" s="110"/>
      <c r="MCF1373" s="110"/>
      <c r="MCG1373" s="110"/>
      <c r="MCH1373" s="110"/>
      <c r="MCI1373" s="110"/>
      <c r="MCJ1373" s="110"/>
      <c r="MCK1373" s="110"/>
      <c r="MCL1373" s="110"/>
      <c r="MCM1373" s="110"/>
      <c r="MCN1373" s="110"/>
      <c r="MCO1373" s="110"/>
      <c r="MCP1373" s="110"/>
      <c r="MCQ1373" s="110"/>
      <c r="MCR1373" s="110"/>
      <c r="MCS1373" s="110"/>
      <c r="MCT1373" s="110"/>
      <c r="MCU1373" s="110"/>
      <c r="MCV1373" s="110"/>
      <c r="MCW1373" s="110"/>
      <c r="MCX1373" s="110"/>
      <c r="MCY1373" s="110"/>
      <c r="MCZ1373" s="110"/>
      <c r="MDA1373" s="110"/>
      <c r="MDB1373" s="110"/>
      <c r="MDC1373" s="110"/>
      <c r="MDD1373" s="110"/>
      <c r="MDE1373" s="110"/>
      <c r="MDF1373" s="110"/>
      <c r="MDG1373" s="110"/>
      <c r="MDH1373" s="110"/>
      <c r="MDI1373" s="110"/>
      <c r="MDJ1373" s="110"/>
      <c r="MDK1373" s="110"/>
      <c r="MDL1373" s="110"/>
      <c r="MDM1373" s="110"/>
      <c r="MDN1373" s="110"/>
      <c r="MDO1373" s="110"/>
      <c r="MDP1373" s="110"/>
      <c r="MDQ1373" s="110"/>
      <c r="MDR1373" s="110"/>
      <c r="MDS1373" s="110"/>
      <c r="MDT1373" s="110"/>
      <c r="MDU1373" s="110"/>
      <c r="MDV1373" s="110"/>
      <c r="MDW1373" s="110"/>
      <c r="MDX1373" s="110"/>
      <c r="MDY1373" s="110"/>
      <c r="MDZ1373" s="110"/>
      <c r="MEA1373" s="110"/>
      <c r="MEB1373" s="110"/>
      <c r="MEC1373" s="110"/>
      <c r="MED1373" s="110"/>
      <c r="MEE1373" s="110"/>
      <c r="MEF1373" s="110"/>
      <c r="MEG1373" s="110"/>
      <c r="MEH1373" s="110"/>
      <c r="MEI1373" s="110"/>
      <c r="MEJ1373" s="110"/>
      <c r="MEK1373" s="110"/>
      <c r="MEL1373" s="110"/>
      <c r="MEM1373" s="110"/>
      <c r="MEN1373" s="110"/>
      <c r="MEO1373" s="110"/>
      <c r="MEP1373" s="110"/>
      <c r="MEQ1373" s="110"/>
      <c r="MER1373" s="110"/>
      <c r="MES1373" s="110"/>
      <c r="MET1373" s="110"/>
      <c r="MEU1373" s="110"/>
      <c r="MEV1373" s="110"/>
      <c r="MEW1373" s="110"/>
      <c r="MEX1373" s="110"/>
      <c r="MEY1373" s="110"/>
      <c r="MEZ1373" s="110"/>
      <c r="MFA1373" s="110"/>
      <c r="MFB1373" s="110"/>
      <c r="MFC1373" s="110"/>
      <c r="MFD1373" s="110"/>
      <c r="MFE1373" s="110"/>
      <c r="MFF1373" s="110"/>
      <c r="MFG1373" s="110"/>
      <c r="MFH1373" s="110"/>
      <c r="MFI1373" s="110"/>
      <c r="MFJ1373" s="110"/>
      <c r="MFK1373" s="110"/>
      <c r="MFL1373" s="110"/>
      <c r="MFM1373" s="110"/>
      <c r="MFN1373" s="110"/>
      <c r="MFO1373" s="110"/>
      <c r="MFP1373" s="110"/>
      <c r="MFQ1373" s="110"/>
      <c r="MFR1373" s="110"/>
      <c r="MFS1373" s="110"/>
      <c r="MFT1373" s="110"/>
      <c r="MFU1373" s="110"/>
      <c r="MFV1373" s="110"/>
      <c r="MFW1373" s="110"/>
      <c r="MFX1373" s="110"/>
      <c r="MFY1373" s="110"/>
      <c r="MFZ1373" s="110"/>
      <c r="MGA1373" s="110"/>
      <c r="MGB1373" s="110"/>
      <c r="MGC1373" s="110"/>
      <c r="MGD1373" s="110"/>
      <c r="MGE1373" s="110"/>
      <c r="MGF1373" s="110"/>
      <c r="MGG1373" s="110"/>
      <c r="MGH1373" s="110"/>
      <c r="MGI1373" s="110"/>
      <c r="MGJ1373" s="110"/>
      <c r="MGK1373" s="110"/>
      <c r="MGL1373" s="110"/>
      <c r="MGM1373" s="110"/>
      <c r="MGN1373" s="110"/>
      <c r="MGO1373" s="110"/>
      <c r="MGP1373" s="110"/>
      <c r="MGQ1373" s="110"/>
      <c r="MGR1373" s="110"/>
      <c r="MGS1373" s="110"/>
      <c r="MGT1373" s="110"/>
      <c r="MGU1373" s="110"/>
      <c r="MGV1373" s="110"/>
      <c r="MGW1373" s="110"/>
      <c r="MGX1373" s="110"/>
      <c r="MGY1373" s="110"/>
      <c r="MGZ1373" s="110"/>
      <c r="MHA1373" s="110"/>
      <c r="MHB1373" s="110"/>
      <c r="MHC1373" s="110"/>
      <c r="MHD1373" s="110"/>
      <c r="MHE1373" s="110"/>
      <c r="MHF1373" s="110"/>
      <c r="MHG1373" s="110"/>
      <c r="MHH1373" s="110"/>
      <c r="MHI1373" s="110"/>
      <c r="MHJ1373" s="110"/>
      <c r="MHK1373" s="110"/>
      <c r="MHL1373" s="110"/>
      <c r="MHM1373" s="110"/>
      <c r="MHN1373" s="110"/>
      <c r="MHO1373" s="110"/>
      <c r="MHP1373" s="110"/>
      <c r="MHQ1373" s="110"/>
      <c r="MHR1373" s="110"/>
      <c r="MHS1373" s="110"/>
      <c r="MHT1373" s="110"/>
      <c r="MHU1373" s="110"/>
      <c r="MHV1373" s="110"/>
      <c r="MHW1373" s="110"/>
      <c r="MHX1373" s="110"/>
      <c r="MHY1373" s="110"/>
      <c r="MHZ1373" s="110"/>
      <c r="MIA1373" s="110"/>
      <c r="MIB1373" s="110"/>
      <c r="MIC1373" s="110"/>
      <c r="MID1373" s="110"/>
      <c r="MIE1373" s="110"/>
      <c r="MIF1373" s="110"/>
      <c r="MIG1373" s="110"/>
      <c r="MIH1373" s="110"/>
      <c r="MII1373" s="110"/>
      <c r="MIJ1373" s="110"/>
      <c r="MIK1373" s="110"/>
      <c r="MIL1373" s="110"/>
      <c r="MIM1373" s="110"/>
      <c r="MIN1373" s="110"/>
      <c r="MIO1373" s="110"/>
      <c r="MIP1373" s="110"/>
      <c r="MIQ1373" s="110"/>
      <c r="MIR1373" s="110"/>
      <c r="MIS1373" s="110"/>
      <c r="MIT1373" s="110"/>
      <c r="MIU1373" s="110"/>
      <c r="MIV1373" s="110"/>
      <c r="MIW1373" s="110"/>
      <c r="MIX1373" s="110"/>
      <c r="MIY1373" s="110"/>
      <c r="MIZ1373" s="110"/>
      <c r="MJA1373" s="110"/>
      <c r="MJB1373" s="110"/>
      <c r="MJC1373" s="110"/>
      <c r="MJD1373" s="110"/>
      <c r="MJE1373" s="110"/>
      <c r="MJF1373" s="110"/>
      <c r="MJG1373" s="110"/>
      <c r="MJH1373" s="110"/>
      <c r="MJI1373" s="110"/>
      <c r="MJJ1373" s="110"/>
      <c r="MJK1373" s="110"/>
      <c r="MJL1373" s="110"/>
      <c r="MJM1373" s="110"/>
      <c r="MJN1373" s="110"/>
      <c r="MJO1373" s="110"/>
      <c r="MJP1373" s="110"/>
      <c r="MJQ1373" s="110"/>
      <c r="MJR1373" s="110"/>
      <c r="MJS1373" s="110"/>
      <c r="MJT1373" s="110"/>
      <c r="MJU1373" s="110"/>
      <c r="MJV1373" s="110"/>
      <c r="MJW1373" s="110"/>
      <c r="MJX1373" s="110"/>
      <c r="MJY1373" s="110"/>
      <c r="MJZ1373" s="110"/>
      <c r="MKA1373" s="110"/>
      <c r="MKB1373" s="110"/>
      <c r="MKC1373" s="110"/>
      <c r="MKD1373" s="110"/>
      <c r="MKE1373" s="110"/>
      <c r="MKF1373" s="110"/>
      <c r="MKG1373" s="110"/>
      <c r="MKH1373" s="110"/>
      <c r="MKI1373" s="110"/>
      <c r="MKJ1373" s="110"/>
      <c r="MKK1373" s="110"/>
      <c r="MKL1373" s="110"/>
      <c r="MKM1373" s="110"/>
      <c r="MKN1373" s="110"/>
      <c r="MKO1373" s="110"/>
      <c r="MKP1373" s="110"/>
      <c r="MKQ1373" s="110"/>
      <c r="MKR1373" s="110"/>
      <c r="MKS1373" s="110"/>
      <c r="MKT1373" s="110"/>
      <c r="MKU1373" s="110"/>
      <c r="MKV1373" s="110"/>
      <c r="MKW1373" s="110"/>
      <c r="MKX1373" s="110"/>
      <c r="MKY1373" s="110"/>
      <c r="MKZ1373" s="110"/>
      <c r="MLA1373" s="110"/>
      <c r="MLB1373" s="110"/>
      <c r="MLC1373" s="110"/>
      <c r="MLD1373" s="110"/>
      <c r="MLE1373" s="110"/>
      <c r="MLF1373" s="110"/>
      <c r="MLG1373" s="110"/>
      <c r="MLH1373" s="110"/>
      <c r="MLI1373" s="110"/>
      <c r="MLJ1373" s="110"/>
      <c r="MLK1373" s="110"/>
      <c r="MLL1373" s="110"/>
      <c r="MLM1373" s="110"/>
      <c r="MLN1373" s="110"/>
      <c r="MLO1373" s="110"/>
      <c r="MLP1373" s="110"/>
      <c r="MLQ1373" s="110"/>
      <c r="MLR1373" s="110"/>
      <c r="MLS1373" s="110"/>
      <c r="MLT1373" s="110"/>
      <c r="MLU1373" s="110"/>
      <c r="MLV1373" s="110"/>
      <c r="MLW1373" s="110"/>
      <c r="MLX1373" s="110"/>
      <c r="MLY1373" s="110"/>
      <c r="MLZ1373" s="110"/>
      <c r="MMA1373" s="110"/>
      <c r="MMB1373" s="110"/>
      <c r="MMC1373" s="110"/>
      <c r="MMD1373" s="110"/>
      <c r="MME1373" s="110"/>
      <c r="MMF1373" s="110"/>
      <c r="MMG1373" s="110"/>
      <c r="MMH1373" s="110"/>
      <c r="MMI1373" s="110"/>
      <c r="MMJ1373" s="110"/>
      <c r="MMK1373" s="110"/>
      <c r="MML1373" s="110"/>
      <c r="MMM1373" s="110"/>
      <c r="MMN1373" s="110"/>
      <c r="MMO1373" s="110"/>
      <c r="MMP1373" s="110"/>
      <c r="MMQ1373" s="110"/>
      <c r="MMR1373" s="110"/>
      <c r="MMS1373" s="110"/>
      <c r="MMT1373" s="110"/>
      <c r="MMU1373" s="110"/>
      <c r="MMV1373" s="110"/>
      <c r="MMW1373" s="110"/>
      <c r="MMX1373" s="110"/>
      <c r="MMY1373" s="110"/>
      <c r="MMZ1373" s="110"/>
      <c r="MNA1373" s="110"/>
      <c r="MNB1373" s="110"/>
      <c r="MNC1373" s="110"/>
      <c r="MND1373" s="110"/>
      <c r="MNE1373" s="110"/>
      <c r="MNF1373" s="110"/>
      <c r="MNG1373" s="110"/>
      <c r="MNH1373" s="110"/>
      <c r="MNI1373" s="110"/>
      <c r="MNJ1373" s="110"/>
      <c r="MNK1373" s="110"/>
      <c r="MNL1373" s="110"/>
      <c r="MNM1373" s="110"/>
      <c r="MNN1373" s="110"/>
      <c r="MNO1373" s="110"/>
      <c r="MNP1373" s="110"/>
      <c r="MNQ1373" s="110"/>
      <c r="MNR1373" s="110"/>
      <c r="MNS1373" s="110"/>
      <c r="MNT1373" s="110"/>
      <c r="MNU1373" s="110"/>
      <c r="MNV1373" s="110"/>
      <c r="MNW1373" s="110"/>
      <c r="MNX1373" s="110"/>
      <c r="MNY1373" s="110"/>
      <c r="MNZ1373" s="110"/>
      <c r="MOA1373" s="110"/>
      <c r="MOB1373" s="110"/>
      <c r="MOC1373" s="110"/>
      <c r="MOD1373" s="110"/>
      <c r="MOE1373" s="110"/>
      <c r="MOF1373" s="110"/>
      <c r="MOG1373" s="110"/>
      <c r="MOH1373" s="110"/>
      <c r="MOI1373" s="110"/>
      <c r="MOJ1373" s="110"/>
      <c r="MOK1373" s="110"/>
      <c r="MOL1373" s="110"/>
      <c r="MOM1373" s="110"/>
      <c r="MON1373" s="110"/>
      <c r="MOO1373" s="110"/>
      <c r="MOP1373" s="110"/>
      <c r="MOQ1373" s="110"/>
      <c r="MOR1373" s="110"/>
      <c r="MOS1373" s="110"/>
      <c r="MOT1373" s="110"/>
      <c r="MOU1373" s="110"/>
      <c r="MOV1373" s="110"/>
      <c r="MOW1373" s="110"/>
      <c r="MOX1373" s="110"/>
      <c r="MOY1373" s="110"/>
      <c r="MOZ1373" s="110"/>
      <c r="MPA1373" s="110"/>
      <c r="MPB1373" s="110"/>
      <c r="MPC1373" s="110"/>
      <c r="MPD1373" s="110"/>
      <c r="MPE1373" s="110"/>
      <c r="MPF1373" s="110"/>
      <c r="MPG1373" s="110"/>
      <c r="MPH1373" s="110"/>
      <c r="MPI1373" s="110"/>
      <c r="MPJ1373" s="110"/>
      <c r="MPK1373" s="110"/>
      <c r="MPL1373" s="110"/>
      <c r="MPM1373" s="110"/>
      <c r="MPN1373" s="110"/>
      <c r="MPO1373" s="110"/>
      <c r="MPP1373" s="110"/>
      <c r="MPQ1373" s="110"/>
      <c r="MPR1373" s="110"/>
      <c r="MPS1373" s="110"/>
      <c r="MPT1373" s="110"/>
      <c r="MPU1373" s="110"/>
      <c r="MPV1373" s="110"/>
      <c r="MPW1373" s="110"/>
      <c r="MPX1373" s="110"/>
      <c r="MPY1373" s="110"/>
      <c r="MPZ1373" s="110"/>
      <c r="MQA1373" s="110"/>
      <c r="MQB1373" s="110"/>
      <c r="MQC1373" s="110"/>
      <c r="MQD1373" s="110"/>
      <c r="MQE1373" s="110"/>
      <c r="MQF1373" s="110"/>
      <c r="MQG1373" s="110"/>
      <c r="MQH1373" s="110"/>
      <c r="MQI1373" s="110"/>
      <c r="MQJ1373" s="110"/>
      <c r="MQK1373" s="110"/>
      <c r="MQL1373" s="110"/>
      <c r="MQM1373" s="110"/>
      <c r="MQN1373" s="110"/>
      <c r="MQO1373" s="110"/>
      <c r="MQP1373" s="110"/>
      <c r="MQQ1373" s="110"/>
      <c r="MQR1373" s="110"/>
      <c r="MQS1373" s="110"/>
      <c r="MQT1373" s="110"/>
      <c r="MQU1373" s="110"/>
      <c r="MQV1373" s="110"/>
      <c r="MQW1373" s="110"/>
      <c r="MQX1373" s="110"/>
      <c r="MQY1373" s="110"/>
      <c r="MQZ1373" s="110"/>
      <c r="MRA1373" s="110"/>
      <c r="MRB1373" s="110"/>
      <c r="MRC1373" s="110"/>
      <c r="MRD1373" s="110"/>
      <c r="MRE1373" s="110"/>
      <c r="MRF1373" s="110"/>
      <c r="MRG1373" s="110"/>
      <c r="MRH1373" s="110"/>
      <c r="MRI1373" s="110"/>
      <c r="MRJ1373" s="110"/>
      <c r="MRK1373" s="110"/>
      <c r="MRL1373" s="110"/>
      <c r="MRM1373" s="110"/>
      <c r="MRN1373" s="110"/>
      <c r="MRO1373" s="110"/>
      <c r="MRP1373" s="110"/>
      <c r="MRQ1373" s="110"/>
      <c r="MRR1373" s="110"/>
      <c r="MRS1373" s="110"/>
      <c r="MRT1373" s="110"/>
      <c r="MRU1373" s="110"/>
      <c r="MRV1373" s="110"/>
      <c r="MRW1373" s="110"/>
      <c r="MRX1373" s="110"/>
      <c r="MRY1373" s="110"/>
      <c r="MRZ1373" s="110"/>
      <c r="MSA1373" s="110"/>
      <c r="MSB1373" s="110"/>
      <c r="MSC1373" s="110"/>
      <c r="MSD1373" s="110"/>
      <c r="MSE1373" s="110"/>
      <c r="MSF1373" s="110"/>
      <c r="MSG1373" s="110"/>
      <c r="MSH1373" s="110"/>
      <c r="MSI1373" s="110"/>
      <c r="MSJ1373" s="110"/>
      <c r="MSK1373" s="110"/>
      <c r="MSL1373" s="110"/>
      <c r="MSM1373" s="110"/>
      <c r="MSN1373" s="110"/>
      <c r="MSO1373" s="110"/>
      <c r="MSP1373" s="110"/>
      <c r="MSQ1373" s="110"/>
      <c r="MSR1373" s="110"/>
      <c r="MSS1373" s="110"/>
      <c r="MST1373" s="110"/>
      <c r="MSU1373" s="110"/>
      <c r="MSV1373" s="110"/>
      <c r="MSW1373" s="110"/>
      <c r="MSX1373" s="110"/>
      <c r="MSY1373" s="110"/>
      <c r="MSZ1373" s="110"/>
      <c r="MTA1373" s="110"/>
      <c r="MTB1373" s="110"/>
      <c r="MTC1373" s="110"/>
      <c r="MTD1373" s="110"/>
      <c r="MTE1373" s="110"/>
      <c r="MTF1373" s="110"/>
      <c r="MTG1373" s="110"/>
      <c r="MTH1373" s="110"/>
      <c r="MTI1373" s="110"/>
      <c r="MTJ1373" s="110"/>
      <c r="MTK1373" s="110"/>
      <c r="MTL1373" s="110"/>
      <c r="MTM1373" s="110"/>
      <c r="MTN1373" s="110"/>
      <c r="MTO1373" s="110"/>
      <c r="MTP1373" s="110"/>
      <c r="MTQ1373" s="110"/>
      <c r="MTR1373" s="110"/>
      <c r="MTS1373" s="110"/>
      <c r="MTT1373" s="110"/>
      <c r="MTU1373" s="110"/>
      <c r="MTV1373" s="110"/>
      <c r="MTW1373" s="110"/>
      <c r="MTX1373" s="110"/>
      <c r="MTY1373" s="110"/>
      <c r="MTZ1373" s="110"/>
      <c r="MUA1373" s="110"/>
      <c r="MUB1373" s="110"/>
      <c r="MUC1373" s="110"/>
      <c r="MUD1373" s="110"/>
      <c r="MUE1373" s="110"/>
      <c r="MUF1373" s="110"/>
      <c r="MUG1373" s="110"/>
      <c r="MUH1373" s="110"/>
      <c r="MUI1373" s="110"/>
      <c r="MUJ1373" s="110"/>
      <c r="MUK1373" s="110"/>
      <c r="MUL1373" s="110"/>
      <c r="MUM1373" s="110"/>
      <c r="MUN1373" s="110"/>
      <c r="MUO1373" s="110"/>
      <c r="MUP1373" s="110"/>
      <c r="MUQ1373" s="110"/>
      <c r="MUR1373" s="110"/>
      <c r="MUS1373" s="110"/>
      <c r="MUT1373" s="110"/>
      <c r="MUU1373" s="110"/>
      <c r="MUV1373" s="110"/>
      <c r="MUW1373" s="110"/>
      <c r="MUX1373" s="110"/>
      <c r="MUY1373" s="110"/>
      <c r="MUZ1373" s="110"/>
      <c r="MVA1373" s="110"/>
      <c r="MVB1373" s="110"/>
      <c r="MVC1373" s="110"/>
      <c r="MVD1373" s="110"/>
      <c r="MVE1373" s="110"/>
      <c r="MVF1373" s="110"/>
      <c r="MVG1373" s="110"/>
      <c r="MVH1373" s="110"/>
      <c r="MVI1373" s="110"/>
      <c r="MVJ1373" s="110"/>
      <c r="MVK1373" s="110"/>
      <c r="MVL1373" s="110"/>
      <c r="MVM1373" s="110"/>
      <c r="MVN1373" s="110"/>
      <c r="MVO1373" s="110"/>
      <c r="MVP1373" s="110"/>
      <c r="MVQ1373" s="110"/>
      <c r="MVR1373" s="110"/>
      <c r="MVS1373" s="110"/>
      <c r="MVT1373" s="110"/>
      <c r="MVU1373" s="110"/>
      <c r="MVV1373" s="110"/>
      <c r="MVW1373" s="110"/>
      <c r="MVX1373" s="110"/>
      <c r="MVY1373" s="110"/>
      <c r="MVZ1373" s="110"/>
      <c r="MWA1373" s="110"/>
      <c r="MWB1373" s="110"/>
      <c r="MWC1373" s="110"/>
      <c r="MWD1373" s="110"/>
      <c r="MWE1373" s="110"/>
      <c r="MWF1373" s="110"/>
      <c r="MWG1373" s="110"/>
      <c r="MWH1373" s="110"/>
      <c r="MWI1373" s="110"/>
      <c r="MWJ1373" s="110"/>
      <c r="MWK1373" s="110"/>
      <c r="MWL1373" s="110"/>
      <c r="MWM1373" s="110"/>
      <c r="MWN1373" s="110"/>
      <c r="MWO1373" s="110"/>
      <c r="MWP1373" s="110"/>
      <c r="MWQ1373" s="110"/>
      <c r="MWR1373" s="110"/>
      <c r="MWS1373" s="110"/>
      <c r="MWT1373" s="110"/>
      <c r="MWU1373" s="110"/>
      <c r="MWV1373" s="110"/>
      <c r="MWW1373" s="110"/>
      <c r="MWX1373" s="110"/>
      <c r="MWY1373" s="110"/>
      <c r="MWZ1373" s="110"/>
      <c r="MXA1373" s="110"/>
      <c r="MXB1373" s="110"/>
      <c r="MXC1373" s="110"/>
      <c r="MXD1373" s="110"/>
      <c r="MXE1373" s="110"/>
      <c r="MXF1373" s="110"/>
      <c r="MXG1373" s="110"/>
      <c r="MXH1373" s="110"/>
      <c r="MXI1373" s="110"/>
      <c r="MXJ1373" s="110"/>
      <c r="MXK1373" s="110"/>
      <c r="MXL1373" s="110"/>
      <c r="MXM1373" s="110"/>
      <c r="MXN1373" s="110"/>
      <c r="MXO1373" s="110"/>
      <c r="MXP1373" s="110"/>
      <c r="MXQ1373" s="110"/>
      <c r="MXR1373" s="110"/>
      <c r="MXS1373" s="110"/>
      <c r="MXT1373" s="110"/>
      <c r="MXU1373" s="110"/>
      <c r="MXV1373" s="110"/>
      <c r="MXW1373" s="110"/>
      <c r="MXX1373" s="110"/>
      <c r="MXY1373" s="110"/>
      <c r="MXZ1373" s="110"/>
      <c r="MYA1373" s="110"/>
      <c r="MYB1373" s="110"/>
      <c r="MYC1373" s="110"/>
      <c r="MYD1373" s="110"/>
      <c r="MYE1373" s="110"/>
      <c r="MYF1373" s="110"/>
      <c r="MYG1373" s="110"/>
      <c r="MYH1373" s="110"/>
      <c r="MYI1373" s="110"/>
      <c r="MYJ1373" s="110"/>
      <c r="MYK1373" s="110"/>
      <c r="MYL1373" s="110"/>
      <c r="MYM1373" s="110"/>
      <c r="MYN1373" s="110"/>
      <c r="MYO1373" s="110"/>
      <c r="MYP1373" s="110"/>
      <c r="MYQ1373" s="110"/>
      <c r="MYR1373" s="110"/>
      <c r="MYS1373" s="110"/>
      <c r="MYT1373" s="110"/>
      <c r="MYU1373" s="110"/>
      <c r="MYV1373" s="110"/>
      <c r="MYW1373" s="110"/>
      <c r="MYX1373" s="110"/>
      <c r="MYY1373" s="110"/>
      <c r="MYZ1373" s="110"/>
      <c r="MZA1373" s="110"/>
      <c r="MZB1373" s="110"/>
      <c r="MZC1373" s="110"/>
      <c r="MZD1373" s="110"/>
      <c r="MZE1373" s="110"/>
      <c r="MZF1373" s="110"/>
      <c r="MZG1373" s="110"/>
      <c r="MZH1373" s="110"/>
      <c r="MZI1373" s="110"/>
      <c r="MZJ1373" s="110"/>
      <c r="MZK1373" s="110"/>
      <c r="MZL1373" s="110"/>
      <c r="MZM1373" s="110"/>
      <c r="MZN1373" s="110"/>
      <c r="MZO1373" s="110"/>
      <c r="MZP1373" s="110"/>
      <c r="MZQ1373" s="110"/>
      <c r="MZR1373" s="110"/>
      <c r="MZS1373" s="110"/>
      <c r="MZT1373" s="110"/>
      <c r="MZU1373" s="110"/>
      <c r="MZV1373" s="110"/>
      <c r="MZW1373" s="110"/>
      <c r="MZX1373" s="110"/>
      <c r="MZY1373" s="110"/>
      <c r="MZZ1373" s="110"/>
      <c r="NAA1373" s="110"/>
      <c r="NAB1373" s="110"/>
      <c r="NAC1373" s="110"/>
      <c r="NAD1373" s="110"/>
      <c r="NAE1373" s="110"/>
      <c r="NAF1373" s="110"/>
      <c r="NAG1373" s="110"/>
      <c r="NAH1373" s="110"/>
      <c r="NAI1373" s="110"/>
      <c r="NAJ1373" s="110"/>
      <c r="NAK1373" s="110"/>
      <c r="NAL1373" s="110"/>
      <c r="NAM1373" s="110"/>
      <c r="NAN1373" s="110"/>
      <c r="NAO1373" s="110"/>
      <c r="NAP1373" s="110"/>
      <c r="NAQ1373" s="110"/>
      <c r="NAR1373" s="110"/>
      <c r="NAS1373" s="110"/>
      <c r="NAT1373" s="110"/>
      <c r="NAU1373" s="110"/>
      <c r="NAV1373" s="110"/>
      <c r="NAW1373" s="110"/>
      <c r="NAX1373" s="110"/>
      <c r="NAY1373" s="110"/>
      <c r="NAZ1373" s="110"/>
      <c r="NBA1373" s="110"/>
      <c r="NBB1373" s="110"/>
      <c r="NBC1373" s="110"/>
      <c r="NBD1373" s="110"/>
      <c r="NBE1373" s="110"/>
      <c r="NBF1373" s="110"/>
      <c r="NBG1373" s="110"/>
      <c r="NBH1373" s="110"/>
      <c r="NBI1373" s="110"/>
      <c r="NBJ1373" s="110"/>
      <c r="NBK1373" s="110"/>
      <c r="NBL1373" s="110"/>
      <c r="NBM1373" s="110"/>
      <c r="NBN1373" s="110"/>
      <c r="NBO1373" s="110"/>
      <c r="NBP1373" s="110"/>
      <c r="NBQ1373" s="110"/>
      <c r="NBR1373" s="110"/>
      <c r="NBS1373" s="110"/>
      <c r="NBT1373" s="110"/>
      <c r="NBU1373" s="110"/>
      <c r="NBV1373" s="110"/>
      <c r="NBW1373" s="110"/>
      <c r="NBX1373" s="110"/>
      <c r="NBY1373" s="110"/>
      <c r="NBZ1373" s="110"/>
      <c r="NCA1373" s="110"/>
      <c r="NCB1373" s="110"/>
      <c r="NCC1373" s="110"/>
      <c r="NCD1373" s="110"/>
      <c r="NCE1373" s="110"/>
      <c r="NCF1373" s="110"/>
      <c r="NCG1373" s="110"/>
      <c r="NCH1373" s="110"/>
      <c r="NCI1373" s="110"/>
      <c r="NCJ1373" s="110"/>
      <c r="NCK1373" s="110"/>
      <c r="NCL1373" s="110"/>
      <c r="NCM1373" s="110"/>
      <c r="NCN1373" s="110"/>
      <c r="NCO1373" s="110"/>
      <c r="NCP1373" s="110"/>
      <c r="NCQ1373" s="110"/>
      <c r="NCR1373" s="110"/>
      <c r="NCS1373" s="110"/>
      <c r="NCT1373" s="110"/>
      <c r="NCU1373" s="110"/>
      <c r="NCV1373" s="110"/>
      <c r="NCW1373" s="110"/>
      <c r="NCX1373" s="110"/>
      <c r="NCY1373" s="110"/>
      <c r="NCZ1373" s="110"/>
      <c r="NDA1373" s="110"/>
      <c r="NDB1373" s="110"/>
      <c r="NDC1373" s="110"/>
      <c r="NDD1373" s="110"/>
      <c r="NDE1373" s="110"/>
      <c r="NDF1373" s="110"/>
      <c r="NDG1373" s="110"/>
      <c r="NDH1373" s="110"/>
      <c r="NDI1373" s="110"/>
      <c r="NDJ1373" s="110"/>
      <c r="NDK1373" s="110"/>
      <c r="NDL1373" s="110"/>
      <c r="NDM1373" s="110"/>
      <c r="NDN1373" s="110"/>
      <c r="NDO1373" s="110"/>
      <c r="NDP1373" s="110"/>
      <c r="NDQ1373" s="110"/>
      <c r="NDR1373" s="110"/>
      <c r="NDS1373" s="110"/>
      <c r="NDT1373" s="110"/>
      <c r="NDU1373" s="110"/>
      <c r="NDV1373" s="110"/>
      <c r="NDW1373" s="110"/>
      <c r="NDX1373" s="110"/>
      <c r="NDY1373" s="110"/>
      <c r="NDZ1373" s="110"/>
      <c r="NEA1373" s="110"/>
      <c r="NEB1373" s="110"/>
      <c r="NEC1373" s="110"/>
      <c r="NED1373" s="110"/>
      <c r="NEE1373" s="110"/>
      <c r="NEF1373" s="110"/>
      <c r="NEG1373" s="110"/>
      <c r="NEH1373" s="110"/>
      <c r="NEI1373" s="110"/>
      <c r="NEJ1373" s="110"/>
      <c r="NEK1373" s="110"/>
      <c r="NEL1373" s="110"/>
      <c r="NEM1373" s="110"/>
      <c r="NEN1373" s="110"/>
      <c r="NEO1373" s="110"/>
      <c r="NEP1373" s="110"/>
      <c r="NEQ1373" s="110"/>
      <c r="NER1373" s="110"/>
      <c r="NES1373" s="110"/>
      <c r="NET1373" s="110"/>
      <c r="NEU1373" s="110"/>
      <c r="NEV1373" s="110"/>
      <c r="NEW1373" s="110"/>
      <c r="NEX1373" s="110"/>
      <c r="NEY1373" s="110"/>
      <c r="NEZ1373" s="110"/>
      <c r="NFA1373" s="110"/>
      <c r="NFB1373" s="110"/>
      <c r="NFC1373" s="110"/>
      <c r="NFD1373" s="110"/>
      <c r="NFE1373" s="110"/>
      <c r="NFF1373" s="110"/>
      <c r="NFG1373" s="110"/>
      <c r="NFH1373" s="110"/>
      <c r="NFI1373" s="110"/>
      <c r="NFJ1373" s="110"/>
      <c r="NFK1373" s="110"/>
      <c r="NFL1373" s="110"/>
      <c r="NFM1373" s="110"/>
      <c r="NFN1373" s="110"/>
      <c r="NFO1373" s="110"/>
      <c r="NFP1373" s="110"/>
      <c r="NFQ1373" s="110"/>
      <c r="NFR1373" s="110"/>
      <c r="NFS1373" s="110"/>
      <c r="NFT1373" s="110"/>
      <c r="NFU1373" s="110"/>
      <c r="NFV1373" s="110"/>
      <c r="NFW1373" s="110"/>
      <c r="NFX1373" s="110"/>
      <c r="NFY1373" s="110"/>
      <c r="NFZ1373" s="110"/>
      <c r="NGA1373" s="110"/>
      <c r="NGB1373" s="110"/>
      <c r="NGC1373" s="110"/>
      <c r="NGD1373" s="110"/>
      <c r="NGE1373" s="110"/>
      <c r="NGF1373" s="110"/>
      <c r="NGG1373" s="110"/>
      <c r="NGH1373" s="110"/>
      <c r="NGI1373" s="110"/>
      <c r="NGJ1373" s="110"/>
      <c r="NGK1373" s="110"/>
      <c r="NGL1373" s="110"/>
      <c r="NGM1373" s="110"/>
      <c r="NGN1373" s="110"/>
      <c r="NGO1373" s="110"/>
      <c r="NGP1373" s="110"/>
      <c r="NGQ1373" s="110"/>
      <c r="NGR1373" s="110"/>
      <c r="NGS1373" s="110"/>
      <c r="NGT1373" s="110"/>
      <c r="NGU1373" s="110"/>
      <c r="NGV1373" s="110"/>
      <c r="NGW1373" s="110"/>
      <c r="NGX1373" s="110"/>
      <c r="NGY1373" s="110"/>
      <c r="NGZ1373" s="110"/>
      <c r="NHA1373" s="110"/>
      <c r="NHB1373" s="110"/>
      <c r="NHC1373" s="110"/>
      <c r="NHD1373" s="110"/>
      <c r="NHE1373" s="110"/>
      <c r="NHF1373" s="110"/>
      <c r="NHG1373" s="110"/>
      <c r="NHH1373" s="110"/>
      <c r="NHI1373" s="110"/>
      <c r="NHJ1373" s="110"/>
      <c r="NHK1373" s="110"/>
      <c r="NHL1373" s="110"/>
      <c r="NHM1373" s="110"/>
      <c r="NHN1373" s="110"/>
      <c r="NHO1373" s="110"/>
      <c r="NHP1373" s="110"/>
      <c r="NHQ1373" s="110"/>
      <c r="NHR1373" s="110"/>
      <c r="NHS1373" s="110"/>
      <c r="NHT1373" s="110"/>
      <c r="NHU1373" s="110"/>
      <c r="NHV1373" s="110"/>
      <c r="NHW1373" s="110"/>
      <c r="NHX1373" s="110"/>
      <c r="NHY1373" s="110"/>
      <c r="NHZ1373" s="110"/>
      <c r="NIA1373" s="110"/>
      <c r="NIB1373" s="110"/>
      <c r="NIC1373" s="110"/>
      <c r="NID1373" s="110"/>
      <c r="NIE1373" s="110"/>
      <c r="NIF1373" s="110"/>
      <c r="NIG1373" s="110"/>
      <c r="NIH1373" s="110"/>
      <c r="NII1373" s="110"/>
      <c r="NIJ1373" s="110"/>
      <c r="NIK1373" s="110"/>
      <c r="NIL1373" s="110"/>
      <c r="NIM1373" s="110"/>
      <c r="NIN1373" s="110"/>
      <c r="NIO1373" s="110"/>
      <c r="NIP1373" s="110"/>
      <c r="NIQ1373" s="110"/>
      <c r="NIR1373" s="110"/>
      <c r="NIS1373" s="110"/>
      <c r="NIT1373" s="110"/>
      <c r="NIU1373" s="110"/>
      <c r="NIV1373" s="110"/>
      <c r="NIW1373" s="110"/>
      <c r="NIX1373" s="110"/>
      <c r="NIY1373" s="110"/>
      <c r="NIZ1373" s="110"/>
      <c r="NJA1373" s="110"/>
      <c r="NJB1373" s="110"/>
      <c r="NJC1373" s="110"/>
      <c r="NJD1373" s="110"/>
      <c r="NJE1373" s="110"/>
      <c r="NJF1373" s="110"/>
      <c r="NJG1373" s="110"/>
      <c r="NJH1373" s="110"/>
      <c r="NJI1373" s="110"/>
      <c r="NJJ1373" s="110"/>
      <c r="NJK1373" s="110"/>
      <c r="NJL1373" s="110"/>
      <c r="NJM1373" s="110"/>
      <c r="NJN1373" s="110"/>
      <c r="NJO1373" s="110"/>
      <c r="NJP1373" s="110"/>
      <c r="NJQ1373" s="110"/>
      <c r="NJR1373" s="110"/>
      <c r="NJS1373" s="110"/>
      <c r="NJT1373" s="110"/>
      <c r="NJU1373" s="110"/>
      <c r="NJV1373" s="110"/>
      <c r="NJW1373" s="110"/>
      <c r="NJX1373" s="110"/>
      <c r="NJY1373" s="110"/>
      <c r="NJZ1373" s="110"/>
      <c r="NKA1373" s="110"/>
      <c r="NKB1373" s="110"/>
      <c r="NKC1373" s="110"/>
      <c r="NKD1373" s="110"/>
      <c r="NKE1373" s="110"/>
      <c r="NKF1373" s="110"/>
      <c r="NKG1373" s="110"/>
      <c r="NKH1373" s="110"/>
      <c r="NKI1373" s="110"/>
      <c r="NKJ1373" s="110"/>
      <c r="NKK1373" s="110"/>
      <c r="NKL1373" s="110"/>
      <c r="NKM1373" s="110"/>
      <c r="NKN1373" s="110"/>
      <c r="NKO1373" s="110"/>
      <c r="NKP1373" s="110"/>
      <c r="NKQ1373" s="110"/>
      <c r="NKR1373" s="110"/>
      <c r="NKS1373" s="110"/>
      <c r="NKT1373" s="110"/>
      <c r="NKU1373" s="110"/>
      <c r="NKV1373" s="110"/>
      <c r="NKW1373" s="110"/>
      <c r="NKX1373" s="110"/>
      <c r="NKY1373" s="110"/>
      <c r="NKZ1373" s="110"/>
      <c r="NLA1373" s="110"/>
      <c r="NLB1373" s="110"/>
      <c r="NLC1373" s="110"/>
      <c r="NLD1373" s="110"/>
      <c r="NLE1373" s="110"/>
      <c r="NLF1373" s="110"/>
      <c r="NLG1373" s="110"/>
      <c r="NLH1373" s="110"/>
      <c r="NLI1373" s="110"/>
      <c r="NLJ1373" s="110"/>
      <c r="NLK1373" s="110"/>
      <c r="NLL1373" s="110"/>
      <c r="NLM1373" s="110"/>
      <c r="NLN1373" s="110"/>
      <c r="NLO1373" s="110"/>
      <c r="NLP1373" s="110"/>
      <c r="NLQ1373" s="110"/>
      <c r="NLR1373" s="110"/>
      <c r="NLS1373" s="110"/>
      <c r="NLT1373" s="110"/>
      <c r="NLU1373" s="110"/>
      <c r="NLV1373" s="110"/>
      <c r="NLW1373" s="110"/>
      <c r="NLX1373" s="110"/>
      <c r="NLY1373" s="110"/>
      <c r="NLZ1373" s="110"/>
      <c r="NMA1373" s="110"/>
      <c r="NMB1373" s="110"/>
      <c r="NMC1373" s="110"/>
      <c r="NMD1373" s="110"/>
      <c r="NME1373" s="110"/>
      <c r="NMF1373" s="110"/>
      <c r="NMG1373" s="110"/>
      <c r="NMH1373" s="110"/>
      <c r="NMI1373" s="110"/>
      <c r="NMJ1373" s="110"/>
      <c r="NMK1373" s="110"/>
      <c r="NML1373" s="110"/>
      <c r="NMM1373" s="110"/>
      <c r="NMN1373" s="110"/>
      <c r="NMO1373" s="110"/>
      <c r="NMP1373" s="110"/>
      <c r="NMQ1373" s="110"/>
      <c r="NMR1373" s="110"/>
      <c r="NMS1373" s="110"/>
      <c r="NMT1373" s="110"/>
      <c r="NMU1373" s="110"/>
      <c r="NMV1373" s="110"/>
      <c r="NMW1373" s="110"/>
      <c r="NMX1373" s="110"/>
      <c r="NMY1373" s="110"/>
      <c r="NMZ1373" s="110"/>
      <c r="NNA1373" s="110"/>
      <c r="NNB1373" s="110"/>
      <c r="NNC1373" s="110"/>
      <c r="NND1373" s="110"/>
      <c r="NNE1373" s="110"/>
      <c r="NNF1373" s="110"/>
      <c r="NNG1373" s="110"/>
      <c r="NNH1373" s="110"/>
      <c r="NNI1373" s="110"/>
      <c r="NNJ1373" s="110"/>
      <c r="NNK1373" s="110"/>
      <c r="NNL1373" s="110"/>
      <c r="NNM1373" s="110"/>
      <c r="NNN1373" s="110"/>
      <c r="NNO1373" s="110"/>
      <c r="NNP1373" s="110"/>
      <c r="NNQ1373" s="110"/>
      <c r="NNR1373" s="110"/>
      <c r="NNS1373" s="110"/>
      <c r="NNT1373" s="110"/>
      <c r="NNU1373" s="110"/>
      <c r="NNV1373" s="110"/>
      <c r="NNW1373" s="110"/>
      <c r="NNX1373" s="110"/>
      <c r="NNY1373" s="110"/>
      <c r="NNZ1373" s="110"/>
      <c r="NOA1373" s="110"/>
      <c r="NOB1373" s="110"/>
      <c r="NOC1373" s="110"/>
      <c r="NOD1373" s="110"/>
      <c r="NOE1373" s="110"/>
      <c r="NOF1373" s="110"/>
      <c r="NOG1373" s="110"/>
      <c r="NOH1373" s="110"/>
      <c r="NOI1373" s="110"/>
      <c r="NOJ1373" s="110"/>
      <c r="NOK1373" s="110"/>
      <c r="NOL1373" s="110"/>
      <c r="NOM1373" s="110"/>
      <c r="NON1373" s="110"/>
      <c r="NOO1373" s="110"/>
      <c r="NOP1373" s="110"/>
      <c r="NOQ1373" s="110"/>
      <c r="NOR1373" s="110"/>
      <c r="NOS1373" s="110"/>
      <c r="NOT1373" s="110"/>
      <c r="NOU1373" s="110"/>
      <c r="NOV1373" s="110"/>
      <c r="NOW1373" s="110"/>
      <c r="NOX1373" s="110"/>
      <c r="NOY1373" s="110"/>
      <c r="NOZ1373" s="110"/>
      <c r="NPA1373" s="110"/>
      <c r="NPB1373" s="110"/>
      <c r="NPC1373" s="110"/>
      <c r="NPD1373" s="110"/>
      <c r="NPE1373" s="110"/>
      <c r="NPF1373" s="110"/>
      <c r="NPG1373" s="110"/>
      <c r="NPH1373" s="110"/>
      <c r="NPI1373" s="110"/>
      <c r="NPJ1373" s="110"/>
      <c r="NPK1373" s="110"/>
      <c r="NPL1373" s="110"/>
      <c r="NPM1373" s="110"/>
      <c r="NPN1373" s="110"/>
      <c r="NPO1373" s="110"/>
      <c r="NPP1373" s="110"/>
      <c r="NPQ1373" s="110"/>
      <c r="NPR1373" s="110"/>
      <c r="NPS1373" s="110"/>
      <c r="NPT1373" s="110"/>
      <c r="NPU1373" s="110"/>
      <c r="NPV1373" s="110"/>
      <c r="NPW1373" s="110"/>
      <c r="NPX1373" s="110"/>
      <c r="NPY1373" s="110"/>
      <c r="NPZ1373" s="110"/>
      <c r="NQA1373" s="110"/>
      <c r="NQB1373" s="110"/>
      <c r="NQC1373" s="110"/>
      <c r="NQD1373" s="110"/>
      <c r="NQE1373" s="110"/>
      <c r="NQF1373" s="110"/>
      <c r="NQG1373" s="110"/>
      <c r="NQH1373" s="110"/>
      <c r="NQI1373" s="110"/>
      <c r="NQJ1373" s="110"/>
      <c r="NQK1373" s="110"/>
      <c r="NQL1373" s="110"/>
      <c r="NQM1373" s="110"/>
      <c r="NQN1373" s="110"/>
      <c r="NQO1373" s="110"/>
      <c r="NQP1373" s="110"/>
      <c r="NQQ1373" s="110"/>
      <c r="NQR1373" s="110"/>
      <c r="NQS1373" s="110"/>
      <c r="NQT1373" s="110"/>
      <c r="NQU1373" s="110"/>
      <c r="NQV1373" s="110"/>
      <c r="NQW1373" s="110"/>
      <c r="NQX1373" s="110"/>
      <c r="NQY1373" s="110"/>
      <c r="NQZ1373" s="110"/>
      <c r="NRA1373" s="110"/>
      <c r="NRB1373" s="110"/>
      <c r="NRC1373" s="110"/>
      <c r="NRD1373" s="110"/>
      <c r="NRE1373" s="110"/>
      <c r="NRF1373" s="110"/>
      <c r="NRG1373" s="110"/>
      <c r="NRH1373" s="110"/>
      <c r="NRI1373" s="110"/>
      <c r="NRJ1373" s="110"/>
      <c r="NRK1373" s="110"/>
      <c r="NRL1373" s="110"/>
      <c r="NRM1373" s="110"/>
      <c r="NRN1373" s="110"/>
      <c r="NRO1373" s="110"/>
      <c r="NRP1373" s="110"/>
      <c r="NRQ1373" s="110"/>
      <c r="NRR1373" s="110"/>
      <c r="NRS1373" s="110"/>
      <c r="NRT1373" s="110"/>
      <c r="NRU1373" s="110"/>
      <c r="NRV1373" s="110"/>
      <c r="NRW1373" s="110"/>
      <c r="NRX1373" s="110"/>
      <c r="NRY1373" s="110"/>
      <c r="NRZ1373" s="110"/>
      <c r="NSA1373" s="110"/>
      <c r="NSB1373" s="110"/>
      <c r="NSC1373" s="110"/>
      <c r="NSD1373" s="110"/>
      <c r="NSE1373" s="110"/>
      <c r="NSF1373" s="110"/>
      <c r="NSG1373" s="110"/>
      <c r="NSH1373" s="110"/>
      <c r="NSI1373" s="110"/>
      <c r="NSJ1373" s="110"/>
      <c r="NSK1373" s="110"/>
      <c r="NSL1373" s="110"/>
      <c r="NSM1373" s="110"/>
      <c r="NSN1373" s="110"/>
      <c r="NSO1373" s="110"/>
      <c r="NSP1373" s="110"/>
      <c r="NSQ1373" s="110"/>
      <c r="NSR1373" s="110"/>
      <c r="NSS1373" s="110"/>
      <c r="NST1373" s="110"/>
      <c r="NSU1373" s="110"/>
      <c r="NSV1373" s="110"/>
      <c r="NSW1373" s="110"/>
      <c r="NSX1373" s="110"/>
      <c r="NSY1373" s="110"/>
      <c r="NSZ1373" s="110"/>
      <c r="NTA1373" s="110"/>
      <c r="NTB1373" s="110"/>
      <c r="NTC1373" s="110"/>
      <c r="NTD1373" s="110"/>
      <c r="NTE1373" s="110"/>
      <c r="NTF1373" s="110"/>
      <c r="NTG1373" s="110"/>
      <c r="NTH1373" s="110"/>
      <c r="NTI1373" s="110"/>
      <c r="NTJ1373" s="110"/>
      <c r="NTK1373" s="110"/>
      <c r="NTL1373" s="110"/>
      <c r="NTM1373" s="110"/>
      <c r="NTN1373" s="110"/>
      <c r="NTO1373" s="110"/>
      <c r="NTP1373" s="110"/>
      <c r="NTQ1373" s="110"/>
      <c r="NTR1373" s="110"/>
      <c r="NTS1373" s="110"/>
      <c r="NTT1373" s="110"/>
      <c r="NTU1373" s="110"/>
      <c r="NTV1373" s="110"/>
      <c r="NTW1373" s="110"/>
      <c r="NTX1373" s="110"/>
      <c r="NTY1373" s="110"/>
      <c r="NTZ1373" s="110"/>
      <c r="NUA1373" s="110"/>
      <c r="NUB1373" s="110"/>
      <c r="NUC1373" s="110"/>
      <c r="NUD1373" s="110"/>
      <c r="NUE1373" s="110"/>
      <c r="NUF1373" s="110"/>
      <c r="NUG1373" s="110"/>
      <c r="NUH1373" s="110"/>
      <c r="NUI1373" s="110"/>
      <c r="NUJ1373" s="110"/>
      <c r="NUK1373" s="110"/>
      <c r="NUL1373" s="110"/>
      <c r="NUM1373" s="110"/>
      <c r="NUN1373" s="110"/>
      <c r="NUO1373" s="110"/>
      <c r="NUP1373" s="110"/>
      <c r="NUQ1373" s="110"/>
      <c r="NUR1373" s="110"/>
      <c r="NUS1373" s="110"/>
      <c r="NUT1373" s="110"/>
      <c r="NUU1373" s="110"/>
      <c r="NUV1373" s="110"/>
      <c r="NUW1373" s="110"/>
      <c r="NUX1373" s="110"/>
      <c r="NUY1373" s="110"/>
      <c r="NUZ1373" s="110"/>
      <c r="NVA1373" s="110"/>
      <c r="NVB1373" s="110"/>
      <c r="NVC1373" s="110"/>
      <c r="NVD1373" s="110"/>
      <c r="NVE1373" s="110"/>
      <c r="NVF1373" s="110"/>
      <c r="NVG1373" s="110"/>
      <c r="NVH1373" s="110"/>
      <c r="NVI1373" s="110"/>
      <c r="NVJ1373" s="110"/>
      <c r="NVK1373" s="110"/>
      <c r="NVL1373" s="110"/>
      <c r="NVM1373" s="110"/>
      <c r="NVN1373" s="110"/>
      <c r="NVO1373" s="110"/>
      <c r="NVP1373" s="110"/>
      <c r="NVQ1373" s="110"/>
      <c r="NVR1373" s="110"/>
      <c r="NVS1373" s="110"/>
      <c r="NVT1373" s="110"/>
      <c r="NVU1373" s="110"/>
      <c r="NVV1373" s="110"/>
      <c r="NVW1373" s="110"/>
      <c r="NVX1373" s="110"/>
      <c r="NVY1373" s="110"/>
      <c r="NVZ1373" s="110"/>
      <c r="NWA1373" s="110"/>
      <c r="NWB1373" s="110"/>
      <c r="NWC1373" s="110"/>
      <c r="NWD1373" s="110"/>
      <c r="NWE1373" s="110"/>
      <c r="NWF1373" s="110"/>
      <c r="NWG1373" s="110"/>
      <c r="NWH1373" s="110"/>
      <c r="NWI1373" s="110"/>
      <c r="NWJ1373" s="110"/>
      <c r="NWK1373" s="110"/>
      <c r="NWL1373" s="110"/>
      <c r="NWM1373" s="110"/>
      <c r="NWN1373" s="110"/>
      <c r="NWO1373" s="110"/>
      <c r="NWP1373" s="110"/>
      <c r="NWQ1373" s="110"/>
      <c r="NWR1373" s="110"/>
      <c r="NWS1373" s="110"/>
      <c r="NWT1373" s="110"/>
      <c r="NWU1373" s="110"/>
      <c r="NWV1373" s="110"/>
      <c r="NWW1373" s="110"/>
      <c r="NWX1373" s="110"/>
      <c r="NWY1373" s="110"/>
      <c r="NWZ1373" s="110"/>
      <c r="NXA1373" s="110"/>
      <c r="NXB1373" s="110"/>
      <c r="NXC1373" s="110"/>
      <c r="NXD1373" s="110"/>
      <c r="NXE1373" s="110"/>
      <c r="NXF1373" s="110"/>
      <c r="NXG1373" s="110"/>
      <c r="NXH1373" s="110"/>
      <c r="NXI1373" s="110"/>
      <c r="NXJ1373" s="110"/>
      <c r="NXK1373" s="110"/>
      <c r="NXL1373" s="110"/>
      <c r="NXM1373" s="110"/>
      <c r="NXN1373" s="110"/>
      <c r="NXO1373" s="110"/>
      <c r="NXP1373" s="110"/>
      <c r="NXQ1373" s="110"/>
      <c r="NXR1373" s="110"/>
      <c r="NXS1373" s="110"/>
      <c r="NXT1373" s="110"/>
      <c r="NXU1373" s="110"/>
      <c r="NXV1373" s="110"/>
      <c r="NXW1373" s="110"/>
      <c r="NXX1373" s="110"/>
      <c r="NXY1373" s="110"/>
      <c r="NXZ1373" s="110"/>
      <c r="NYA1373" s="110"/>
      <c r="NYB1373" s="110"/>
      <c r="NYC1373" s="110"/>
      <c r="NYD1373" s="110"/>
      <c r="NYE1373" s="110"/>
      <c r="NYF1373" s="110"/>
      <c r="NYG1373" s="110"/>
      <c r="NYH1373" s="110"/>
      <c r="NYI1373" s="110"/>
      <c r="NYJ1373" s="110"/>
      <c r="NYK1373" s="110"/>
      <c r="NYL1373" s="110"/>
      <c r="NYM1373" s="110"/>
      <c r="NYN1373" s="110"/>
      <c r="NYO1373" s="110"/>
      <c r="NYP1373" s="110"/>
      <c r="NYQ1373" s="110"/>
      <c r="NYR1373" s="110"/>
      <c r="NYS1373" s="110"/>
      <c r="NYT1373" s="110"/>
      <c r="NYU1373" s="110"/>
      <c r="NYV1373" s="110"/>
      <c r="NYW1373" s="110"/>
      <c r="NYX1373" s="110"/>
      <c r="NYY1373" s="110"/>
      <c r="NYZ1373" s="110"/>
      <c r="NZA1373" s="110"/>
      <c r="NZB1373" s="110"/>
      <c r="NZC1373" s="110"/>
      <c r="NZD1373" s="110"/>
      <c r="NZE1373" s="110"/>
      <c r="NZF1373" s="110"/>
      <c r="NZG1373" s="110"/>
      <c r="NZH1373" s="110"/>
      <c r="NZI1373" s="110"/>
      <c r="NZJ1373" s="110"/>
      <c r="NZK1373" s="110"/>
      <c r="NZL1373" s="110"/>
      <c r="NZM1373" s="110"/>
      <c r="NZN1373" s="110"/>
      <c r="NZO1373" s="110"/>
      <c r="NZP1373" s="110"/>
      <c r="NZQ1373" s="110"/>
      <c r="NZR1373" s="110"/>
      <c r="NZS1373" s="110"/>
      <c r="NZT1373" s="110"/>
      <c r="NZU1373" s="110"/>
      <c r="NZV1373" s="110"/>
      <c r="NZW1373" s="110"/>
      <c r="NZX1373" s="110"/>
      <c r="NZY1373" s="110"/>
      <c r="NZZ1373" s="110"/>
      <c r="OAA1373" s="110"/>
      <c r="OAB1373" s="110"/>
      <c r="OAC1373" s="110"/>
      <c r="OAD1373" s="110"/>
      <c r="OAE1373" s="110"/>
      <c r="OAF1373" s="110"/>
      <c r="OAG1373" s="110"/>
      <c r="OAH1373" s="110"/>
      <c r="OAI1373" s="110"/>
      <c r="OAJ1373" s="110"/>
      <c r="OAK1373" s="110"/>
      <c r="OAL1373" s="110"/>
      <c r="OAM1373" s="110"/>
      <c r="OAN1373" s="110"/>
      <c r="OAO1373" s="110"/>
      <c r="OAP1373" s="110"/>
      <c r="OAQ1373" s="110"/>
      <c r="OAR1373" s="110"/>
      <c r="OAS1373" s="110"/>
      <c r="OAT1373" s="110"/>
      <c r="OAU1373" s="110"/>
      <c r="OAV1373" s="110"/>
      <c r="OAW1373" s="110"/>
      <c r="OAX1373" s="110"/>
      <c r="OAY1373" s="110"/>
      <c r="OAZ1373" s="110"/>
      <c r="OBA1373" s="110"/>
      <c r="OBB1373" s="110"/>
      <c r="OBC1373" s="110"/>
      <c r="OBD1373" s="110"/>
      <c r="OBE1373" s="110"/>
      <c r="OBF1373" s="110"/>
      <c r="OBG1373" s="110"/>
      <c r="OBH1373" s="110"/>
      <c r="OBI1373" s="110"/>
      <c r="OBJ1373" s="110"/>
      <c r="OBK1373" s="110"/>
      <c r="OBL1373" s="110"/>
      <c r="OBM1373" s="110"/>
      <c r="OBN1373" s="110"/>
      <c r="OBO1373" s="110"/>
      <c r="OBP1373" s="110"/>
      <c r="OBQ1373" s="110"/>
      <c r="OBR1373" s="110"/>
      <c r="OBS1373" s="110"/>
      <c r="OBT1373" s="110"/>
      <c r="OBU1373" s="110"/>
      <c r="OBV1373" s="110"/>
      <c r="OBW1373" s="110"/>
      <c r="OBX1373" s="110"/>
      <c r="OBY1373" s="110"/>
      <c r="OBZ1373" s="110"/>
      <c r="OCA1373" s="110"/>
      <c r="OCB1373" s="110"/>
      <c r="OCC1373" s="110"/>
      <c r="OCD1373" s="110"/>
      <c r="OCE1373" s="110"/>
      <c r="OCF1373" s="110"/>
      <c r="OCG1373" s="110"/>
      <c r="OCH1373" s="110"/>
      <c r="OCI1373" s="110"/>
      <c r="OCJ1373" s="110"/>
      <c r="OCK1373" s="110"/>
      <c r="OCL1373" s="110"/>
      <c r="OCM1373" s="110"/>
      <c r="OCN1373" s="110"/>
      <c r="OCO1373" s="110"/>
      <c r="OCP1373" s="110"/>
      <c r="OCQ1373" s="110"/>
      <c r="OCR1373" s="110"/>
      <c r="OCS1373" s="110"/>
      <c r="OCT1373" s="110"/>
      <c r="OCU1373" s="110"/>
      <c r="OCV1373" s="110"/>
      <c r="OCW1373" s="110"/>
      <c r="OCX1373" s="110"/>
      <c r="OCY1373" s="110"/>
      <c r="OCZ1373" s="110"/>
      <c r="ODA1373" s="110"/>
      <c r="ODB1373" s="110"/>
      <c r="ODC1373" s="110"/>
      <c r="ODD1373" s="110"/>
      <c r="ODE1373" s="110"/>
      <c r="ODF1373" s="110"/>
      <c r="ODG1373" s="110"/>
      <c r="ODH1373" s="110"/>
      <c r="ODI1373" s="110"/>
      <c r="ODJ1373" s="110"/>
      <c r="ODK1373" s="110"/>
      <c r="ODL1373" s="110"/>
      <c r="ODM1373" s="110"/>
      <c r="ODN1373" s="110"/>
      <c r="ODO1373" s="110"/>
      <c r="ODP1373" s="110"/>
      <c r="ODQ1373" s="110"/>
      <c r="ODR1373" s="110"/>
      <c r="ODS1373" s="110"/>
      <c r="ODT1373" s="110"/>
      <c r="ODU1373" s="110"/>
      <c r="ODV1373" s="110"/>
      <c r="ODW1373" s="110"/>
      <c r="ODX1373" s="110"/>
      <c r="ODY1373" s="110"/>
      <c r="ODZ1373" s="110"/>
      <c r="OEA1373" s="110"/>
      <c r="OEB1373" s="110"/>
      <c r="OEC1373" s="110"/>
      <c r="OED1373" s="110"/>
      <c r="OEE1373" s="110"/>
      <c r="OEF1373" s="110"/>
      <c r="OEG1373" s="110"/>
      <c r="OEH1373" s="110"/>
      <c r="OEI1373" s="110"/>
      <c r="OEJ1373" s="110"/>
      <c r="OEK1373" s="110"/>
      <c r="OEL1373" s="110"/>
      <c r="OEM1373" s="110"/>
      <c r="OEN1373" s="110"/>
      <c r="OEO1373" s="110"/>
      <c r="OEP1373" s="110"/>
      <c r="OEQ1373" s="110"/>
      <c r="OER1373" s="110"/>
      <c r="OES1373" s="110"/>
      <c r="OET1373" s="110"/>
      <c r="OEU1373" s="110"/>
      <c r="OEV1373" s="110"/>
      <c r="OEW1373" s="110"/>
      <c r="OEX1373" s="110"/>
      <c r="OEY1373" s="110"/>
      <c r="OEZ1373" s="110"/>
      <c r="OFA1373" s="110"/>
      <c r="OFB1373" s="110"/>
      <c r="OFC1373" s="110"/>
      <c r="OFD1373" s="110"/>
      <c r="OFE1373" s="110"/>
      <c r="OFF1373" s="110"/>
      <c r="OFG1373" s="110"/>
      <c r="OFH1373" s="110"/>
      <c r="OFI1373" s="110"/>
      <c r="OFJ1373" s="110"/>
      <c r="OFK1373" s="110"/>
      <c r="OFL1373" s="110"/>
      <c r="OFM1373" s="110"/>
      <c r="OFN1373" s="110"/>
      <c r="OFO1373" s="110"/>
      <c r="OFP1373" s="110"/>
      <c r="OFQ1373" s="110"/>
      <c r="OFR1373" s="110"/>
      <c r="OFS1373" s="110"/>
      <c r="OFT1373" s="110"/>
      <c r="OFU1373" s="110"/>
      <c r="OFV1373" s="110"/>
      <c r="OFW1373" s="110"/>
      <c r="OFX1373" s="110"/>
      <c r="OFY1373" s="110"/>
      <c r="OFZ1373" s="110"/>
      <c r="OGA1373" s="110"/>
      <c r="OGB1373" s="110"/>
      <c r="OGC1373" s="110"/>
      <c r="OGD1373" s="110"/>
      <c r="OGE1373" s="110"/>
      <c r="OGF1373" s="110"/>
      <c r="OGG1373" s="110"/>
      <c r="OGH1373" s="110"/>
      <c r="OGI1373" s="110"/>
      <c r="OGJ1373" s="110"/>
      <c r="OGK1373" s="110"/>
      <c r="OGL1373" s="110"/>
      <c r="OGM1373" s="110"/>
      <c r="OGN1373" s="110"/>
      <c r="OGO1373" s="110"/>
      <c r="OGP1373" s="110"/>
      <c r="OGQ1373" s="110"/>
      <c r="OGR1373" s="110"/>
      <c r="OGS1373" s="110"/>
      <c r="OGT1373" s="110"/>
      <c r="OGU1373" s="110"/>
      <c r="OGV1373" s="110"/>
      <c r="OGW1373" s="110"/>
      <c r="OGX1373" s="110"/>
      <c r="OGY1373" s="110"/>
      <c r="OGZ1373" s="110"/>
      <c r="OHA1373" s="110"/>
      <c r="OHB1373" s="110"/>
      <c r="OHC1373" s="110"/>
      <c r="OHD1373" s="110"/>
      <c r="OHE1373" s="110"/>
      <c r="OHF1373" s="110"/>
      <c r="OHG1373" s="110"/>
      <c r="OHH1373" s="110"/>
      <c r="OHI1373" s="110"/>
      <c r="OHJ1373" s="110"/>
      <c r="OHK1373" s="110"/>
      <c r="OHL1373" s="110"/>
      <c r="OHM1373" s="110"/>
      <c r="OHN1373" s="110"/>
      <c r="OHO1373" s="110"/>
      <c r="OHP1373" s="110"/>
      <c r="OHQ1373" s="110"/>
      <c r="OHR1373" s="110"/>
      <c r="OHS1373" s="110"/>
      <c r="OHT1373" s="110"/>
      <c r="OHU1373" s="110"/>
      <c r="OHV1373" s="110"/>
      <c r="OHW1373" s="110"/>
      <c r="OHX1373" s="110"/>
      <c r="OHY1373" s="110"/>
      <c r="OHZ1373" s="110"/>
      <c r="OIA1373" s="110"/>
      <c r="OIB1373" s="110"/>
      <c r="OIC1373" s="110"/>
      <c r="OID1373" s="110"/>
      <c r="OIE1373" s="110"/>
      <c r="OIF1373" s="110"/>
      <c r="OIG1373" s="110"/>
      <c r="OIH1373" s="110"/>
      <c r="OII1373" s="110"/>
      <c r="OIJ1373" s="110"/>
      <c r="OIK1373" s="110"/>
      <c r="OIL1373" s="110"/>
      <c r="OIM1373" s="110"/>
      <c r="OIN1373" s="110"/>
      <c r="OIO1373" s="110"/>
      <c r="OIP1373" s="110"/>
      <c r="OIQ1373" s="110"/>
      <c r="OIR1373" s="110"/>
      <c r="OIS1373" s="110"/>
      <c r="OIT1373" s="110"/>
      <c r="OIU1373" s="110"/>
      <c r="OIV1373" s="110"/>
      <c r="OIW1373" s="110"/>
      <c r="OIX1373" s="110"/>
      <c r="OIY1373" s="110"/>
      <c r="OIZ1373" s="110"/>
      <c r="OJA1373" s="110"/>
      <c r="OJB1373" s="110"/>
      <c r="OJC1373" s="110"/>
      <c r="OJD1373" s="110"/>
      <c r="OJE1373" s="110"/>
      <c r="OJF1373" s="110"/>
      <c r="OJG1373" s="110"/>
      <c r="OJH1373" s="110"/>
      <c r="OJI1373" s="110"/>
      <c r="OJJ1373" s="110"/>
      <c r="OJK1373" s="110"/>
      <c r="OJL1373" s="110"/>
      <c r="OJM1373" s="110"/>
      <c r="OJN1373" s="110"/>
      <c r="OJO1373" s="110"/>
      <c r="OJP1373" s="110"/>
      <c r="OJQ1373" s="110"/>
      <c r="OJR1373" s="110"/>
      <c r="OJS1373" s="110"/>
      <c r="OJT1373" s="110"/>
      <c r="OJU1373" s="110"/>
      <c r="OJV1373" s="110"/>
      <c r="OJW1373" s="110"/>
      <c r="OJX1373" s="110"/>
      <c r="OJY1373" s="110"/>
      <c r="OJZ1373" s="110"/>
      <c r="OKA1373" s="110"/>
      <c r="OKB1373" s="110"/>
      <c r="OKC1373" s="110"/>
      <c r="OKD1373" s="110"/>
      <c r="OKE1373" s="110"/>
      <c r="OKF1373" s="110"/>
      <c r="OKG1373" s="110"/>
      <c r="OKH1373" s="110"/>
      <c r="OKI1373" s="110"/>
      <c r="OKJ1373" s="110"/>
      <c r="OKK1373" s="110"/>
      <c r="OKL1373" s="110"/>
      <c r="OKM1373" s="110"/>
      <c r="OKN1373" s="110"/>
      <c r="OKO1373" s="110"/>
      <c r="OKP1373" s="110"/>
      <c r="OKQ1373" s="110"/>
      <c r="OKR1373" s="110"/>
      <c r="OKS1373" s="110"/>
      <c r="OKT1373" s="110"/>
      <c r="OKU1373" s="110"/>
      <c r="OKV1373" s="110"/>
      <c r="OKW1373" s="110"/>
      <c r="OKX1373" s="110"/>
      <c r="OKY1373" s="110"/>
      <c r="OKZ1373" s="110"/>
      <c r="OLA1373" s="110"/>
      <c r="OLB1373" s="110"/>
      <c r="OLC1373" s="110"/>
      <c r="OLD1373" s="110"/>
      <c r="OLE1373" s="110"/>
      <c r="OLF1373" s="110"/>
      <c r="OLG1373" s="110"/>
      <c r="OLH1373" s="110"/>
      <c r="OLI1373" s="110"/>
      <c r="OLJ1373" s="110"/>
      <c r="OLK1373" s="110"/>
      <c r="OLL1373" s="110"/>
      <c r="OLM1373" s="110"/>
      <c r="OLN1373" s="110"/>
      <c r="OLO1373" s="110"/>
      <c r="OLP1373" s="110"/>
      <c r="OLQ1373" s="110"/>
      <c r="OLR1373" s="110"/>
      <c r="OLS1373" s="110"/>
      <c r="OLT1373" s="110"/>
      <c r="OLU1373" s="110"/>
      <c r="OLV1373" s="110"/>
      <c r="OLW1373" s="110"/>
      <c r="OLX1373" s="110"/>
      <c r="OLY1373" s="110"/>
      <c r="OLZ1373" s="110"/>
      <c r="OMA1373" s="110"/>
      <c r="OMB1373" s="110"/>
      <c r="OMC1373" s="110"/>
      <c r="OMD1373" s="110"/>
      <c r="OME1373" s="110"/>
      <c r="OMF1373" s="110"/>
      <c r="OMG1373" s="110"/>
      <c r="OMH1373" s="110"/>
      <c r="OMI1373" s="110"/>
      <c r="OMJ1373" s="110"/>
      <c r="OMK1373" s="110"/>
      <c r="OML1373" s="110"/>
      <c r="OMM1373" s="110"/>
      <c r="OMN1373" s="110"/>
      <c r="OMO1373" s="110"/>
      <c r="OMP1373" s="110"/>
      <c r="OMQ1373" s="110"/>
      <c r="OMR1373" s="110"/>
      <c r="OMS1373" s="110"/>
      <c r="OMT1373" s="110"/>
      <c r="OMU1373" s="110"/>
      <c r="OMV1373" s="110"/>
      <c r="OMW1373" s="110"/>
      <c r="OMX1373" s="110"/>
      <c r="OMY1373" s="110"/>
      <c r="OMZ1373" s="110"/>
      <c r="ONA1373" s="110"/>
      <c r="ONB1373" s="110"/>
      <c r="ONC1373" s="110"/>
      <c r="OND1373" s="110"/>
      <c r="ONE1373" s="110"/>
      <c r="ONF1373" s="110"/>
      <c r="ONG1373" s="110"/>
      <c r="ONH1373" s="110"/>
      <c r="ONI1373" s="110"/>
      <c r="ONJ1373" s="110"/>
      <c r="ONK1373" s="110"/>
      <c r="ONL1373" s="110"/>
      <c r="ONM1373" s="110"/>
      <c r="ONN1373" s="110"/>
      <c r="ONO1373" s="110"/>
      <c r="ONP1373" s="110"/>
      <c r="ONQ1373" s="110"/>
      <c r="ONR1373" s="110"/>
      <c r="ONS1373" s="110"/>
      <c r="ONT1373" s="110"/>
      <c r="ONU1373" s="110"/>
      <c r="ONV1373" s="110"/>
      <c r="ONW1373" s="110"/>
      <c r="ONX1373" s="110"/>
      <c r="ONY1373" s="110"/>
      <c r="ONZ1373" s="110"/>
      <c r="OOA1373" s="110"/>
      <c r="OOB1373" s="110"/>
      <c r="OOC1373" s="110"/>
      <c r="OOD1373" s="110"/>
      <c r="OOE1373" s="110"/>
      <c r="OOF1373" s="110"/>
      <c r="OOG1373" s="110"/>
      <c r="OOH1373" s="110"/>
      <c r="OOI1373" s="110"/>
      <c r="OOJ1373" s="110"/>
      <c r="OOK1373" s="110"/>
      <c r="OOL1373" s="110"/>
      <c r="OOM1373" s="110"/>
      <c r="OON1373" s="110"/>
      <c r="OOO1373" s="110"/>
      <c r="OOP1373" s="110"/>
      <c r="OOQ1373" s="110"/>
      <c r="OOR1373" s="110"/>
      <c r="OOS1373" s="110"/>
      <c r="OOT1373" s="110"/>
      <c r="OOU1373" s="110"/>
      <c r="OOV1373" s="110"/>
      <c r="OOW1373" s="110"/>
      <c r="OOX1373" s="110"/>
      <c r="OOY1373" s="110"/>
      <c r="OOZ1373" s="110"/>
      <c r="OPA1373" s="110"/>
      <c r="OPB1373" s="110"/>
      <c r="OPC1373" s="110"/>
      <c r="OPD1373" s="110"/>
      <c r="OPE1373" s="110"/>
      <c r="OPF1373" s="110"/>
      <c r="OPG1373" s="110"/>
      <c r="OPH1373" s="110"/>
      <c r="OPI1373" s="110"/>
      <c r="OPJ1373" s="110"/>
      <c r="OPK1373" s="110"/>
      <c r="OPL1373" s="110"/>
      <c r="OPM1373" s="110"/>
      <c r="OPN1373" s="110"/>
      <c r="OPO1373" s="110"/>
      <c r="OPP1373" s="110"/>
      <c r="OPQ1373" s="110"/>
      <c r="OPR1373" s="110"/>
      <c r="OPS1373" s="110"/>
      <c r="OPT1373" s="110"/>
      <c r="OPU1373" s="110"/>
      <c r="OPV1373" s="110"/>
      <c r="OPW1373" s="110"/>
      <c r="OPX1373" s="110"/>
      <c r="OPY1373" s="110"/>
      <c r="OPZ1373" s="110"/>
      <c r="OQA1373" s="110"/>
      <c r="OQB1373" s="110"/>
      <c r="OQC1373" s="110"/>
      <c r="OQD1373" s="110"/>
      <c r="OQE1373" s="110"/>
      <c r="OQF1373" s="110"/>
      <c r="OQG1373" s="110"/>
      <c r="OQH1373" s="110"/>
      <c r="OQI1373" s="110"/>
      <c r="OQJ1373" s="110"/>
      <c r="OQK1373" s="110"/>
      <c r="OQL1373" s="110"/>
      <c r="OQM1373" s="110"/>
      <c r="OQN1373" s="110"/>
      <c r="OQO1373" s="110"/>
      <c r="OQP1373" s="110"/>
      <c r="OQQ1373" s="110"/>
      <c r="OQR1373" s="110"/>
      <c r="OQS1373" s="110"/>
      <c r="OQT1373" s="110"/>
      <c r="OQU1373" s="110"/>
      <c r="OQV1373" s="110"/>
      <c r="OQW1373" s="110"/>
      <c r="OQX1373" s="110"/>
      <c r="OQY1373" s="110"/>
      <c r="OQZ1373" s="110"/>
      <c r="ORA1373" s="110"/>
      <c r="ORB1373" s="110"/>
      <c r="ORC1373" s="110"/>
      <c r="ORD1373" s="110"/>
      <c r="ORE1373" s="110"/>
      <c r="ORF1373" s="110"/>
      <c r="ORG1373" s="110"/>
      <c r="ORH1373" s="110"/>
      <c r="ORI1373" s="110"/>
      <c r="ORJ1373" s="110"/>
      <c r="ORK1373" s="110"/>
      <c r="ORL1373" s="110"/>
      <c r="ORM1373" s="110"/>
      <c r="ORN1373" s="110"/>
      <c r="ORO1373" s="110"/>
      <c r="ORP1373" s="110"/>
      <c r="ORQ1373" s="110"/>
      <c r="ORR1373" s="110"/>
      <c r="ORS1373" s="110"/>
      <c r="ORT1373" s="110"/>
      <c r="ORU1373" s="110"/>
      <c r="ORV1373" s="110"/>
      <c r="ORW1373" s="110"/>
      <c r="ORX1373" s="110"/>
      <c r="ORY1373" s="110"/>
      <c r="ORZ1373" s="110"/>
      <c r="OSA1373" s="110"/>
      <c r="OSB1373" s="110"/>
      <c r="OSC1373" s="110"/>
      <c r="OSD1373" s="110"/>
      <c r="OSE1373" s="110"/>
      <c r="OSF1373" s="110"/>
      <c r="OSG1373" s="110"/>
      <c r="OSH1373" s="110"/>
      <c r="OSI1373" s="110"/>
      <c r="OSJ1373" s="110"/>
      <c r="OSK1373" s="110"/>
      <c r="OSL1373" s="110"/>
      <c r="OSM1373" s="110"/>
      <c r="OSN1373" s="110"/>
      <c r="OSO1373" s="110"/>
      <c r="OSP1373" s="110"/>
      <c r="OSQ1373" s="110"/>
      <c r="OSR1373" s="110"/>
      <c r="OSS1373" s="110"/>
      <c r="OST1373" s="110"/>
      <c r="OSU1373" s="110"/>
      <c r="OSV1373" s="110"/>
      <c r="OSW1373" s="110"/>
      <c r="OSX1373" s="110"/>
      <c r="OSY1373" s="110"/>
      <c r="OSZ1373" s="110"/>
      <c r="OTA1373" s="110"/>
      <c r="OTB1373" s="110"/>
      <c r="OTC1373" s="110"/>
      <c r="OTD1373" s="110"/>
      <c r="OTE1373" s="110"/>
      <c r="OTF1373" s="110"/>
      <c r="OTG1373" s="110"/>
      <c r="OTH1373" s="110"/>
      <c r="OTI1373" s="110"/>
      <c r="OTJ1373" s="110"/>
      <c r="OTK1373" s="110"/>
      <c r="OTL1373" s="110"/>
      <c r="OTM1373" s="110"/>
      <c r="OTN1373" s="110"/>
      <c r="OTO1373" s="110"/>
      <c r="OTP1373" s="110"/>
      <c r="OTQ1373" s="110"/>
      <c r="OTR1373" s="110"/>
      <c r="OTS1373" s="110"/>
      <c r="OTT1373" s="110"/>
      <c r="OTU1373" s="110"/>
      <c r="OTV1373" s="110"/>
      <c r="OTW1373" s="110"/>
      <c r="OTX1373" s="110"/>
      <c r="OTY1373" s="110"/>
      <c r="OTZ1373" s="110"/>
      <c r="OUA1373" s="110"/>
      <c r="OUB1373" s="110"/>
      <c r="OUC1373" s="110"/>
      <c r="OUD1373" s="110"/>
      <c r="OUE1373" s="110"/>
      <c r="OUF1373" s="110"/>
      <c r="OUG1373" s="110"/>
      <c r="OUH1373" s="110"/>
      <c r="OUI1373" s="110"/>
      <c r="OUJ1373" s="110"/>
      <c r="OUK1373" s="110"/>
      <c r="OUL1373" s="110"/>
      <c r="OUM1373" s="110"/>
      <c r="OUN1373" s="110"/>
      <c r="OUO1373" s="110"/>
      <c r="OUP1373" s="110"/>
      <c r="OUQ1373" s="110"/>
      <c r="OUR1373" s="110"/>
      <c r="OUS1373" s="110"/>
      <c r="OUT1373" s="110"/>
      <c r="OUU1373" s="110"/>
      <c r="OUV1373" s="110"/>
      <c r="OUW1373" s="110"/>
      <c r="OUX1373" s="110"/>
      <c r="OUY1373" s="110"/>
      <c r="OUZ1373" s="110"/>
      <c r="OVA1373" s="110"/>
      <c r="OVB1373" s="110"/>
      <c r="OVC1373" s="110"/>
      <c r="OVD1373" s="110"/>
      <c r="OVE1373" s="110"/>
      <c r="OVF1373" s="110"/>
      <c r="OVG1373" s="110"/>
      <c r="OVH1373" s="110"/>
      <c r="OVI1373" s="110"/>
      <c r="OVJ1373" s="110"/>
      <c r="OVK1373" s="110"/>
      <c r="OVL1373" s="110"/>
      <c r="OVM1373" s="110"/>
      <c r="OVN1373" s="110"/>
      <c r="OVO1373" s="110"/>
      <c r="OVP1373" s="110"/>
      <c r="OVQ1373" s="110"/>
      <c r="OVR1373" s="110"/>
      <c r="OVS1373" s="110"/>
      <c r="OVT1373" s="110"/>
      <c r="OVU1373" s="110"/>
      <c r="OVV1373" s="110"/>
      <c r="OVW1373" s="110"/>
      <c r="OVX1373" s="110"/>
      <c r="OVY1373" s="110"/>
      <c r="OVZ1373" s="110"/>
      <c r="OWA1373" s="110"/>
      <c r="OWB1373" s="110"/>
      <c r="OWC1373" s="110"/>
      <c r="OWD1373" s="110"/>
      <c r="OWE1373" s="110"/>
      <c r="OWF1373" s="110"/>
      <c r="OWG1373" s="110"/>
      <c r="OWH1373" s="110"/>
      <c r="OWI1373" s="110"/>
      <c r="OWJ1373" s="110"/>
      <c r="OWK1373" s="110"/>
      <c r="OWL1373" s="110"/>
      <c r="OWM1373" s="110"/>
      <c r="OWN1373" s="110"/>
      <c r="OWO1373" s="110"/>
      <c r="OWP1373" s="110"/>
      <c r="OWQ1373" s="110"/>
      <c r="OWR1373" s="110"/>
      <c r="OWS1373" s="110"/>
      <c r="OWT1373" s="110"/>
      <c r="OWU1373" s="110"/>
      <c r="OWV1373" s="110"/>
      <c r="OWW1373" s="110"/>
      <c r="OWX1373" s="110"/>
      <c r="OWY1373" s="110"/>
      <c r="OWZ1373" s="110"/>
      <c r="OXA1373" s="110"/>
      <c r="OXB1373" s="110"/>
      <c r="OXC1373" s="110"/>
      <c r="OXD1373" s="110"/>
      <c r="OXE1373" s="110"/>
      <c r="OXF1373" s="110"/>
      <c r="OXG1373" s="110"/>
      <c r="OXH1373" s="110"/>
      <c r="OXI1373" s="110"/>
      <c r="OXJ1373" s="110"/>
      <c r="OXK1373" s="110"/>
      <c r="OXL1373" s="110"/>
      <c r="OXM1373" s="110"/>
      <c r="OXN1373" s="110"/>
      <c r="OXO1373" s="110"/>
      <c r="OXP1373" s="110"/>
      <c r="OXQ1373" s="110"/>
      <c r="OXR1373" s="110"/>
      <c r="OXS1373" s="110"/>
      <c r="OXT1373" s="110"/>
      <c r="OXU1373" s="110"/>
      <c r="OXV1373" s="110"/>
      <c r="OXW1373" s="110"/>
      <c r="OXX1373" s="110"/>
      <c r="OXY1373" s="110"/>
      <c r="OXZ1373" s="110"/>
      <c r="OYA1373" s="110"/>
      <c r="OYB1373" s="110"/>
      <c r="OYC1373" s="110"/>
      <c r="OYD1373" s="110"/>
      <c r="OYE1373" s="110"/>
      <c r="OYF1373" s="110"/>
      <c r="OYG1373" s="110"/>
      <c r="OYH1373" s="110"/>
      <c r="OYI1373" s="110"/>
      <c r="OYJ1373" s="110"/>
      <c r="OYK1373" s="110"/>
      <c r="OYL1373" s="110"/>
      <c r="OYM1373" s="110"/>
      <c r="OYN1373" s="110"/>
      <c r="OYO1373" s="110"/>
      <c r="OYP1373" s="110"/>
      <c r="OYQ1373" s="110"/>
      <c r="OYR1373" s="110"/>
      <c r="OYS1373" s="110"/>
      <c r="OYT1373" s="110"/>
      <c r="OYU1373" s="110"/>
      <c r="OYV1373" s="110"/>
      <c r="OYW1373" s="110"/>
      <c r="OYX1373" s="110"/>
      <c r="OYY1373" s="110"/>
      <c r="OYZ1373" s="110"/>
      <c r="OZA1373" s="110"/>
      <c r="OZB1373" s="110"/>
      <c r="OZC1373" s="110"/>
      <c r="OZD1373" s="110"/>
      <c r="OZE1373" s="110"/>
      <c r="OZF1373" s="110"/>
      <c r="OZG1373" s="110"/>
      <c r="OZH1373" s="110"/>
      <c r="OZI1373" s="110"/>
      <c r="OZJ1373" s="110"/>
      <c r="OZK1373" s="110"/>
      <c r="OZL1373" s="110"/>
      <c r="OZM1373" s="110"/>
      <c r="OZN1373" s="110"/>
      <c r="OZO1373" s="110"/>
      <c r="OZP1373" s="110"/>
      <c r="OZQ1373" s="110"/>
      <c r="OZR1373" s="110"/>
      <c r="OZS1373" s="110"/>
      <c r="OZT1373" s="110"/>
      <c r="OZU1373" s="110"/>
      <c r="OZV1373" s="110"/>
      <c r="OZW1373" s="110"/>
      <c r="OZX1373" s="110"/>
      <c r="OZY1373" s="110"/>
      <c r="OZZ1373" s="110"/>
      <c r="PAA1373" s="110"/>
      <c r="PAB1373" s="110"/>
      <c r="PAC1373" s="110"/>
      <c r="PAD1373" s="110"/>
      <c r="PAE1373" s="110"/>
      <c r="PAF1373" s="110"/>
      <c r="PAG1373" s="110"/>
      <c r="PAH1373" s="110"/>
      <c r="PAI1373" s="110"/>
      <c r="PAJ1373" s="110"/>
      <c r="PAK1373" s="110"/>
      <c r="PAL1373" s="110"/>
      <c r="PAM1373" s="110"/>
      <c r="PAN1373" s="110"/>
      <c r="PAO1373" s="110"/>
      <c r="PAP1373" s="110"/>
      <c r="PAQ1373" s="110"/>
      <c r="PAR1373" s="110"/>
      <c r="PAS1373" s="110"/>
      <c r="PAT1373" s="110"/>
      <c r="PAU1373" s="110"/>
      <c r="PAV1373" s="110"/>
      <c r="PAW1373" s="110"/>
      <c r="PAX1373" s="110"/>
      <c r="PAY1373" s="110"/>
      <c r="PAZ1373" s="110"/>
      <c r="PBA1373" s="110"/>
      <c r="PBB1373" s="110"/>
      <c r="PBC1373" s="110"/>
      <c r="PBD1373" s="110"/>
      <c r="PBE1373" s="110"/>
      <c r="PBF1373" s="110"/>
      <c r="PBG1373" s="110"/>
      <c r="PBH1373" s="110"/>
      <c r="PBI1373" s="110"/>
      <c r="PBJ1373" s="110"/>
      <c r="PBK1373" s="110"/>
      <c r="PBL1373" s="110"/>
      <c r="PBM1373" s="110"/>
      <c r="PBN1373" s="110"/>
      <c r="PBO1373" s="110"/>
      <c r="PBP1373" s="110"/>
      <c r="PBQ1373" s="110"/>
      <c r="PBR1373" s="110"/>
      <c r="PBS1373" s="110"/>
      <c r="PBT1373" s="110"/>
      <c r="PBU1373" s="110"/>
      <c r="PBV1373" s="110"/>
      <c r="PBW1373" s="110"/>
      <c r="PBX1373" s="110"/>
      <c r="PBY1373" s="110"/>
      <c r="PBZ1373" s="110"/>
      <c r="PCA1373" s="110"/>
      <c r="PCB1373" s="110"/>
      <c r="PCC1373" s="110"/>
      <c r="PCD1373" s="110"/>
      <c r="PCE1373" s="110"/>
      <c r="PCF1373" s="110"/>
      <c r="PCG1373" s="110"/>
      <c r="PCH1373" s="110"/>
      <c r="PCI1373" s="110"/>
      <c r="PCJ1373" s="110"/>
      <c r="PCK1373" s="110"/>
      <c r="PCL1373" s="110"/>
      <c r="PCM1373" s="110"/>
      <c r="PCN1373" s="110"/>
      <c r="PCO1373" s="110"/>
      <c r="PCP1373" s="110"/>
      <c r="PCQ1373" s="110"/>
      <c r="PCR1373" s="110"/>
      <c r="PCS1373" s="110"/>
      <c r="PCT1373" s="110"/>
      <c r="PCU1373" s="110"/>
      <c r="PCV1373" s="110"/>
      <c r="PCW1373" s="110"/>
      <c r="PCX1373" s="110"/>
      <c r="PCY1373" s="110"/>
      <c r="PCZ1373" s="110"/>
      <c r="PDA1373" s="110"/>
      <c r="PDB1373" s="110"/>
      <c r="PDC1373" s="110"/>
      <c r="PDD1373" s="110"/>
      <c r="PDE1373" s="110"/>
      <c r="PDF1373" s="110"/>
      <c r="PDG1373" s="110"/>
      <c r="PDH1373" s="110"/>
      <c r="PDI1373" s="110"/>
      <c r="PDJ1373" s="110"/>
      <c r="PDK1373" s="110"/>
      <c r="PDL1373" s="110"/>
      <c r="PDM1373" s="110"/>
      <c r="PDN1373" s="110"/>
      <c r="PDO1373" s="110"/>
      <c r="PDP1373" s="110"/>
      <c r="PDQ1373" s="110"/>
      <c r="PDR1373" s="110"/>
      <c r="PDS1373" s="110"/>
      <c r="PDT1373" s="110"/>
      <c r="PDU1373" s="110"/>
      <c r="PDV1373" s="110"/>
      <c r="PDW1373" s="110"/>
      <c r="PDX1373" s="110"/>
      <c r="PDY1373" s="110"/>
      <c r="PDZ1373" s="110"/>
      <c r="PEA1373" s="110"/>
      <c r="PEB1373" s="110"/>
      <c r="PEC1373" s="110"/>
      <c r="PED1373" s="110"/>
      <c r="PEE1373" s="110"/>
      <c r="PEF1373" s="110"/>
      <c r="PEG1373" s="110"/>
      <c r="PEH1373" s="110"/>
      <c r="PEI1373" s="110"/>
      <c r="PEJ1373" s="110"/>
      <c r="PEK1373" s="110"/>
      <c r="PEL1373" s="110"/>
      <c r="PEM1373" s="110"/>
      <c r="PEN1373" s="110"/>
      <c r="PEO1373" s="110"/>
      <c r="PEP1373" s="110"/>
      <c r="PEQ1373" s="110"/>
      <c r="PER1373" s="110"/>
      <c r="PES1373" s="110"/>
      <c r="PET1373" s="110"/>
      <c r="PEU1373" s="110"/>
      <c r="PEV1373" s="110"/>
      <c r="PEW1373" s="110"/>
      <c r="PEX1373" s="110"/>
      <c r="PEY1373" s="110"/>
      <c r="PEZ1373" s="110"/>
      <c r="PFA1373" s="110"/>
      <c r="PFB1373" s="110"/>
      <c r="PFC1373" s="110"/>
      <c r="PFD1373" s="110"/>
      <c r="PFE1373" s="110"/>
      <c r="PFF1373" s="110"/>
      <c r="PFG1373" s="110"/>
      <c r="PFH1373" s="110"/>
      <c r="PFI1373" s="110"/>
      <c r="PFJ1373" s="110"/>
      <c r="PFK1373" s="110"/>
      <c r="PFL1373" s="110"/>
      <c r="PFM1373" s="110"/>
      <c r="PFN1373" s="110"/>
      <c r="PFO1373" s="110"/>
      <c r="PFP1373" s="110"/>
      <c r="PFQ1373" s="110"/>
      <c r="PFR1373" s="110"/>
      <c r="PFS1373" s="110"/>
      <c r="PFT1373" s="110"/>
      <c r="PFU1373" s="110"/>
      <c r="PFV1373" s="110"/>
      <c r="PFW1373" s="110"/>
      <c r="PFX1373" s="110"/>
      <c r="PFY1373" s="110"/>
      <c r="PFZ1373" s="110"/>
      <c r="PGA1373" s="110"/>
      <c r="PGB1373" s="110"/>
      <c r="PGC1373" s="110"/>
      <c r="PGD1373" s="110"/>
      <c r="PGE1373" s="110"/>
      <c r="PGF1373" s="110"/>
      <c r="PGG1373" s="110"/>
      <c r="PGH1373" s="110"/>
      <c r="PGI1373" s="110"/>
      <c r="PGJ1373" s="110"/>
      <c r="PGK1373" s="110"/>
      <c r="PGL1373" s="110"/>
      <c r="PGM1373" s="110"/>
      <c r="PGN1373" s="110"/>
      <c r="PGO1373" s="110"/>
      <c r="PGP1373" s="110"/>
      <c r="PGQ1373" s="110"/>
      <c r="PGR1373" s="110"/>
      <c r="PGS1373" s="110"/>
      <c r="PGT1373" s="110"/>
      <c r="PGU1373" s="110"/>
      <c r="PGV1373" s="110"/>
      <c r="PGW1373" s="110"/>
      <c r="PGX1373" s="110"/>
      <c r="PGY1373" s="110"/>
      <c r="PGZ1373" s="110"/>
      <c r="PHA1373" s="110"/>
      <c r="PHB1373" s="110"/>
      <c r="PHC1373" s="110"/>
      <c r="PHD1373" s="110"/>
      <c r="PHE1373" s="110"/>
      <c r="PHF1373" s="110"/>
      <c r="PHG1373" s="110"/>
      <c r="PHH1373" s="110"/>
      <c r="PHI1373" s="110"/>
      <c r="PHJ1373" s="110"/>
      <c r="PHK1373" s="110"/>
      <c r="PHL1373" s="110"/>
      <c r="PHM1373" s="110"/>
      <c r="PHN1373" s="110"/>
      <c r="PHO1373" s="110"/>
      <c r="PHP1373" s="110"/>
      <c r="PHQ1373" s="110"/>
      <c r="PHR1373" s="110"/>
      <c r="PHS1373" s="110"/>
      <c r="PHT1373" s="110"/>
      <c r="PHU1373" s="110"/>
      <c r="PHV1373" s="110"/>
      <c r="PHW1373" s="110"/>
      <c r="PHX1373" s="110"/>
      <c r="PHY1373" s="110"/>
      <c r="PHZ1373" s="110"/>
      <c r="PIA1373" s="110"/>
      <c r="PIB1373" s="110"/>
      <c r="PIC1373" s="110"/>
      <c r="PID1373" s="110"/>
      <c r="PIE1373" s="110"/>
      <c r="PIF1373" s="110"/>
      <c r="PIG1373" s="110"/>
      <c r="PIH1373" s="110"/>
      <c r="PII1373" s="110"/>
      <c r="PIJ1373" s="110"/>
      <c r="PIK1373" s="110"/>
      <c r="PIL1373" s="110"/>
      <c r="PIM1373" s="110"/>
      <c r="PIN1373" s="110"/>
      <c r="PIO1373" s="110"/>
      <c r="PIP1373" s="110"/>
      <c r="PIQ1373" s="110"/>
      <c r="PIR1373" s="110"/>
      <c r="PIS1373" s="110"/>
      <c r="PIT1373" s="110"/>
      <c r="PIU1373" s="110"/>
      <c r="PIV1373" s="110"/>
      <c r="PIW1373" s="110"/>
      <c r="PIX1373" s="110"/>
      <c r="PIY1373" s="110"/>
      <c r="PIZ1373" s="110"/>
      <c r="PJA1373" s="110"/>
      <c r="PJB1373" s="110"/>
      <c r="PJC1373" s="110"/>
      <c r="PJD1373" s="110"/>
      <c r="PJE1373" s="110"/>
      <c r="PJF1373" s="110"/>
      <c r="PJG1373" s="110"/>
      <c r="PJH1373" s="110"/>
      <c r="PJI1373" s="110"/>
      <c r="PJJ1373" s="110"/>
      <c r="PJK1373" s="110"/>
      <c r="PJL1373" s="110"/>
      <c r="PJM1373" s="110"/>
      <c r="PJN1373" s="110"/>
      <c r="PJO1373" s="110"/>
      <c r="PJP1373" s="110"/>
      <c r="PJQ1373" s="110"/>
      <c r="PJR1373" s="110"/>
      <c r="PJS1373" s="110"/>
      <c r="PJT1373" s="110"/>
      <c r="PJU1373" s="110"/>
      <c r="PJV1373" s="110"/>
      <c r="PJW1373" s="110"/>
      <c r="PJX1373" s="110"/>
      <c r="PJY1373" s="110"/>
      <c r="PJZ1373" s="110"/>
      <c r="PKA1373" s="110"/>
      <c r="PKB1373" s="110"/>
      <c r="PKC1373" s="110"/>
      <c r="PKD1373" s="110"/>
      <c r="PKE1373" s="110"/>
      <c r="PKF1373" s="110"/>
      <c r="PKG1373" s="110"/>
      <c r="PKH1373" s="110"/>
      <c r="PKI1373" s="110"/>
      <c r="PKJ1373" s="110"/>
      <c r="PKK1373" s="110"/>
      <c r="PKL1373" s="110"/>
      <c r="PKM1373" s="110"/>
      <c r="PKN1373" s="110"/>
      <c r="PKO1373" s="110"/>
      <c r="PKP1373" s="110"/>
      <c r="PKQ1373" s="110"/>
      <c r="PKR1373" s="110"/>
      <c r="PKS1373" s="110"/>
      <c r="PKT1373" s="110"/>
      <c r="PKU1373" s="110"/>
      <c r="PKV1373" s="110"/>
      <c r="PKW1373" s="110"/>
      <c r="PKX1373" s="110"/>
      <c r="PKY1373" s="110"/>
      <c r="PKZ1373" s="110"/>
      <c r="PLA1373" s="110"/>
      <c r="PLB1373" s="110"/>
      <c r="PLC1373" s="110"/>
      <c r="PLD1373" s="110"/>
      <c r="PLE1373" s="110"/>
      <c r="PLF1373" s="110"/>
      <c r="PLG1373" s="110"/>
      <c r="PLH1373" s="110"/>
      <c r="PLI1373" s="110"/>
      <c r="PLJ1373" s="110"/>
      <c r="PLK1373" s="110"/>
      <c r="PLL1373" s="110"/>
      <c r="PLM1373" s="110"/>
      <c r="PLN1373" s="110"/>
      <c r="PLO1373" s="110"/>
      <c r="PLP1373" s="110"/>
      <c r="PLQ1373" s="110"/>
      <c r="PLR1373" s="110"/>
      <c r="PLS1373" s="110"/>
      <c r="PLT1373" s="110"/>
      <c r="PLU1373" s="110"/>
      <c r="PLV1373" s="110"/>
      <c r="PLW1373" s="110"/>
      <c r="PLX1373" s="110"/>
      <c r="PLY1373" s="110"/>
      <c r="PLZ1373" s="110"/>
      <c r="PMA1373" s="110"/>
      <c r="PMB1373" s="110"/>
      <c r="PMC1373" s="110"/>
      <c r="PMD1373" s="110"/>
      <c r="PME1373" s="110"/>
      <c r="PMF1373" s="110"/>
      <c r="PMG1373" s="110"/>
      <c r="PMH1373" s="110"/>
      <c r="PMI1373" s="110"/>
      <c r="PMJ1373" s="110"/>
      <c r="PMK1373" s="110"/>
      <c r="PML1373" s="110"/>
      <c r="PMM1373" s="110"/>
      <c r="PMN1373" s="110"/>
      <c r="PMO1373" s="110"/>
      <c r="PMP1373" s="110"/>
      <c r="PMQ1373" s="110"/>
      <c r="PMR1373" s="110"/>
      <c r="PMS1373" s="110"/>
      <c r="PMT1373" s="110"/>
      <c r="PMU1373" s="110"/>
      <c r="PMV1373" s="110"/>
      <c r="PMW1373" s="110"/>
      <c r="PMX1373" s="110"/>
      <c r="PMY1373" s="110"/>
      <c r="PMZ1373" s="110"/>
      <c r="PNA1373" s="110"/>
      <c r="PNB1373" s="110"/>
      <c r="PNC1373" s="110"/>
      <c r="PND1373" s="110"/>
      <c r="PNE1373" s="110"/>
      <c r="PNF1373" s="110"/>
      <c r="PNG1373" s="110"/>
      <c r="PNH1373" s="110"/>
      <c r="PNI1373" s="110"/>
      <c r="PNJ1373" s="110"/>
      <c r="PNK1373" s="110"/>
      <c r="PNL1373" s="110"/>
      <c r="PNM1373" s="110"/>
      <c r="PNN1373" s="110"/>
      <c r="PNO1373" s="110"/>
      <c r="PNP1373" s="110"/>
      <c r="PNQ1373" s="110"/>
      <c r="PNR1373" s="110"/>
      <c r="PNS1373" s="110"/>
      <c r="PNT1373" s="110"/>
      <c r="PNU1373" s="110"/>
      <c r="PNV1373" s="110"/>
      <c r="PNW1373" s="110"/>
      <c r="PNX1373" s="110"/>
      <c r="PNY1373" s="110"/>
      <c r="PNZ1373" s="110"/>
      <c r="POA1373" s="110"/>
      <c r="POB1373" s="110"/>
      <c r="POC1373" s="110"/>
      <c r="POD1373" s="110"/>
      <c r="POE1373" s="110"/>
      <c r="POF1373" s="110"/>
      <c r="POG1373" s="110"/>
      <c r="POH1373" s="110"/>
      <c r="POI1373" s="110"/>
      <c r="POJ1373" s="110"/>
      <c r="POK1373" s="110"/>
      <c r="POL1373" s="110"/>
      <c r="POM1373" s="110"/>
      <c r="PON1373" s="110"/>
      <c r="POO1373" s="110"/>
      <c r="POP1373" s="110"/>
      <c r="POQ1373" s="110"/>
      <c r="POR1373" s="110"/>
      <c r="POS1373" s="110"/>
      <c r="POT1373" s="110"/>
      <c r="POU1373" s="110"/>
      <c r="POV1373" s="110"/>
      <c r="POW1373" s="110"/>
      <c r="POX1373" s="110"/>
      <c r="POY1373" s="110"/>
      <c r="POZ1373" s="110"/>
      <c r="PPA1373" s="110"/>
      <c r="PPB1373" s="110"/>
      <c r="PPC1373" s="110"/>
      <c r="PPD1373" s="110"/>
      <c r="PPE1373" s="110"/>
      <c r="PPF1373" s="110"/>
      <c r="PPG1373" s="110"/>
      <c r="PPH1373" s="110"/>
      <c r="PPI1373" s="110"/>
      <c r="PPJ1373" s="110"/>
      <c r="PPK1373" s="110"/>
      <c r="PPL1373" s="110"/>
      <c r="PPM1373" s="110"/>
      <c r="PPN1373" s="110"/>
      <c r="PPO1373" s="110"/>
      <c r="PPP1373" s="110"/>
      <c r="PPQ1373" s="110"/>
      <c r="PPR1373" s="110"/>
      <c r="PPS1373" s="110"/>
      <c r="PPT1373" s="110"/>
      <c r="PPU1373" s="110"/>
      <c r="PPV1373" s="110"/>
      <c r="PPW1373" s="110"/>
      <c r="PPX1373" s="110"/>
      <c r="PPY1373" s="110"/>
      <c r="PPZ1373" s="110"/>
      <c r="PQA1373" s="110"/>
      <c r="PQB1373" s="110"/>
      <c r="PQC1373" s="110"/>
      <c r="PQD1373" s="110"/>
      <c r="PQE1373" s="110"/>
      <c r="PQF1373" s="110"/>
      <c r="PQG1373" s="110"/>
      <c r="PQH1373" s="110"/>
      <c r="PQI1373" s="110"/>
      <c r="PQJ1373" s="110"/>
      <c r="PQK1373" s="110"/>
      <c r="PQL1373" s="110"/>
      <c r="PQM1373" s="110"/>
      <c r="PQN1373" s="110"/>
      <c r="PQO1373" s="110"/>
      <c r="PQP1373" s="110"/>
      <c r="PQQ1373" s="110"/>
      <c r="PQR1373" s="110"/>
      <c r="PQS1373" s="110"/>
      <c r="PQT1373" s="110"/>
      <c r="PQU1373" s="110"/>
      <c r="PQV1373" s="110"/>
      <c r="PQW1373" s="110"/>
      <c r="PQX1373" s="110"/>
      <c r="PQY1373" s="110"/>
      <c r="PQZ1373" s="110"/>
      <c r="PRA1373" s="110"/>
      <c r="PRB1373" s="110"/>
      <c r="PRC1373" s="110"/>
      <c r="PRD1373" s="110"/>
      <c r="PRE1373" s="110"/>
      <c r="PRF1373" s="110"/>
      <c r="PRG1373" s="110"/>
      <c r="PRH1373" s="110"/>
      <c r="PRI1373" s="110"/>
      <c r="PRJ1373" s="110"/>
      <c r="PRK1373" s="110"/>
      <c r="PRL1373" s="110"/>
      <c r="PRM1373" s="110"/>
      <c r="PRN1373" s="110"/>
      <c r="PRO1373" s="110"/>
      <c r="PRP1373" s="110"/>
      <c r="PRQ1373" s="110"/>
      <c r="PRR1373" s="110"/>
      <c r="PRS1373" s="110"/>
      <c r="PRT1373" s="110"/>
      <c r="PRU1373" s="110"/>
      <c r="PRV1373" s="110"/>
      <c r="PRW1373" s="110"/>
      <c r="PRX1373" s="110"/>
      <c r="PRY1373" s="110"/>
      <c r="PRZ1373" s="110"/>
      <c r="PSA1373" s="110"/>
      <c r="PSB1373" s="110"/>
      <c r="PSC1373" s="110"/>
      <c r="PSD1373" s="110"/>
      <c r="PSE1373" s="110"/>
      <c r="PSF1373" s="110"/>
      <c r="PSG1373" s="110"/>
      <c r="PSH1373" s="110"/>
      <c r="PSI1373" s="110"/>
      <c r="PSJ1373" s="110"/>
      <c r="PSK1373" s="110"/>
      <c r="PSL1373" s="110"/>
      <c r="PSM1373" s="110"/>
      <c r="PSN1373" s="110"/>
      <c r="PSO1373" s="110"/>
      <c r="PSP1373" s="110"/>
      <c r="PSQ1373" s="110"/>
      <c r="PSR1373" s="110"/>
      <c r="PSS1373" s="110"/>
      <c r="PST1373" s="110"/>
      <c r="PSU1373" s="110"/>
      <c r="PSV1373" s="110"/>
      <c r="PSW1373" s="110"/>
      <c r="PSX1373" s="110"/>
      <c r="PSY1373" s="110"/>
      <c r="PSZ1373" s="110"/>
      <c r="PTA1373" s="110"/>
      <c r="PTB1373" s="110"/>
      <c r="PTC1373" s="110"/>
      <c r="PTD1373" s="110"/>
      <c r="PTE1373" s="110"/>
      <c r="PTF1373" s="110"/>
      <c r="PTG1373" s="110"/>
      <c r="PTH1373" s="110"/>
      <c r="PTI1373" s="110"/>
      <c r="PTJ1373" s="110"/>
      <c r="PTK1373" s="110"/>
      <c r="PTL1373" s="110"/>
      <c r="PTM1373" s="110"/>
      <c r="PTN1373" s="110"/>
      <c r="PTO1373" s="110"/>
      <c r="PTP1373" s="110"/>
      <c r="PTQ1373" s="110"/>
      <c r="PTR1373" s="110"/>
      <c r="PTS1373" s="110"/>
      <c r="PTT1373" s="110"/>
      <c r="PTU1373" s="110"/>
      <c r="PTV1373" s="110"/>
      <c r="PTW1373" s="110"/>
      <c r="PTX1373" s="110"/>
      <c r="PTY1373" s="110"/>
      <c r="PTZ1373" s="110"/>
      <c r="PUA1373" s="110"/>
      <c r="PUB1373" s="110"/>
      <c r="PUC1373" s="110"/>
      <c r="PUD1373" s="110"/>
      <c r="PUE1373" s="110"/>
      <c r="PUF1373" s="110"/>
      <c r="PUG1373" s="110"/>
      <c r="PUH1373" s="110"/>
      <c r="PUI1373" s="110"/>
      <c r="PUJ1373" s="110"/>
      <c r="PUK1373" s="110"/>
      <c r="PUL1373" s="110"/>
      <c r="PUM1373" s="110"/>
      <c r="PUN1373" s="110"/>
      <c r="PUO1373" s="110"/>
      <c r="PUP1373" s="110"/>
      <c r="PUQ1373" s="110"/>
      <c r="PUR1373" s="110"/>
      <c r="PUS1373" s="110"/>
      <c r="PUT1373" s="110"/>
      <c r="PUU1373" s="110"/>
      <c r="PUV1373" s="110"/>
      <c r="PUW1373" s="110"/>
      <c r="PUX1373" s="110"/>
      <c r="PUY1373" s="110"/>
      <c r="PUZ1373" s="110"/>
      <c r="PVA1373" s="110"/>
      <c r="PVB1373" s="110"/>
      <c r="PVC1373" s="110"/>
      <c r="PVD1373" s="110"/>
      <c r="PVE1373" s="110"/>
      <c r="PVF1373" s="110"/>
      <c r="PVG1373" s="110"/>
      <c r="PVH1373" s="110"/>
      <c r="PVI1373" s="110"/>
      <c r="PVJ1373" s="110"/>
      <c r="PVK1373" s="110"/>
      <c r="PVL1373" s="110"/>
      <c r="PVM1373" s="110"/>
      <c r="PVN1373" s="110"/>
      <c r="PVO1373" s="110"/>
      <c r="PVP1373" s="110"/>
      <c r="PVQ1373" s="110"/>
      <c r="PVR1373" s="110"/>
      <c r="PVS1373" s="110"/>
      <c r="PVT1373" s="110"/>
      <c r="PVU1373" s="110"/>
      <c r="PVV1373" s="110"/>
      <c r="PVW1373" s="110"/>
      <c r="PVX1373" s="110"/>
      <c r="PVY1373" s="110"/>
      <c r="PVZ1373" s="110"/>
      <c r="PWA1373" s="110"/>
      <c r="PWB1373" s="110"/>
      <c r="PWC1373" s="110"/>
      <c r="PWD1373" s="110"/>
      <c r="PWE1373" s="110"/>
      <c r="PWF1373" s="110"/>
      <c r="PWG1373" s="110"/>
      <c r="PWH1373" s="110"/>
      <c r="PWI1373" s="110"/>
      <c r="PWJ1373" s="110"/>
      <c r="PWK1373" s="110"/>
      <c r="PWL1373" s="110"/>
      <c r="PWM1373" s="110"/>
      <c r="PWN1373" s="110"/>
      <c r="PWO1373" s="110"/>
      <c r="PWP1373" s="110"/>
      <c r="PWQ1373" s="110"/>
      <c r="PWR1373" s="110"/>
      <c r="PWS1373" s="110"/>
      <c r="PWT1373" s="110"/>
      <c r="PWU1373" s="110"/>
      <c r="PWV1373" s="110"/>
      <c r="PWW1373" s="110"/>
      <c r="PWX1373" s="110"/>
      <c r="PWY1373" s="110"/>
      <c r="PWZ1373" s="110"/>
      <c r="PXA1373" s="110"/>
      <c r="PXB1373" s="110"/>
      <c r="PXC1373" s="110"/>
      <c r="PXD1373" s="110"/>
      <c r="PXE1373" s="110"/>
      <c r="PXF1373" s="110"/>
      <c r="PXG1373" s="110"/>
      <c r="PXH1373" s="110"/>
      <c r="PXI1373" s="110"/>
      <c r="PXJ1373" s="110"/>
      <c r="PXK1373" s="110"/>
      <c r="PXL1373" s="110"/>
      <c r="PXM1373" s="110"/>
      <c r="PXN1373" s="110"/>
      <c r="PXO1373" s="110"/>
      <c r="PXP1373" s="110"/>
      <c r="PXQ1373" s="110"/>
      <c r="PXR1373" s="110"/>
      <c r="PXS1373" s="110"/>
      <c r="PXT1373" s="110"/>
      <c r="PXU1373" s="110"/>
      <c r="PXV1373" s="110"/>
      <c r="PXW1373" s="110"/>
      <c r="PXX1373" s="110"/>
      <c r="PXY1373" s="110"/>
      <c r="PXZ1373" s="110"/>
      <c r="PYA1373" s="110"/>
      <c r="PYB1373" s="110"/>
      <c r="PYC1373" s="110"/>
      <c r="PYD1373" s="110"/>
      <c r="PYE1373" s="110"/>
      <c r="PYF1373" s="110"/>
      <c r="PYG1373" s="110"/>
      <c r="PYH1373" s="110"/>
      <c r="PYI1373" s="110"/>
      <c r="PYJ1373" s="110"/>
      <c r="PYK1373" s="110"/>
      <c r="PYL1373" s="110"/>
      <c r="PYM1373" s="110"/>
      <c r="PYN1373" s="110"/>
      <c r="PYO1373" s="110"/>
      <c r="PYP1373" s="110"/>
      <c r="PYQ1373" s="110"/>
      <c r="PYR1373" s="110"/>
      <c r="PYS1373" s="110"/>
      <c r="PYT1373" s="110"/>
      <c r="PYU1373" s="110"/>
      <c r="PYV1373" s="110"/>
      <c r="PYW1373" s="110"/>
      <c r="PYX1373" s="110"/>
      <c r="PYY1373" s="110"/>
      <c r="PYZ1373" s="110"/>
      <c r="PZA1373" s="110"/>
      <c r="PZB1373" s="110"/>
      <c r="PZC1373" s="110"/>
      <c r="PZD1373" s="110"/>
      <c r="PZE1373" s="110"/>
      <c r="PZF1373" s="110"/>
      <c r="PZG1373" s="110"/>
      <c r="PZH1373" s="110"/>
      <c r="PZI1373" s="110"/>
      <c r="PZJ1373" s="110"/>
      <c r="PZK1373" s="110"/>
      <c r="PZL1373" s="110"/>
      <c r="PZM1373" s="110"/>
      <c r="PZN1373" s="110"/>
      <c r="PZO1373" s="110"/>
      <c r="PZP1373" s="110"/>
      <c r="PZQ1373" s="110"/>
      <c r="PZR1373" s="110"/>
      <c r="PZS1373" s="110"/>
      <c r="PZT1373" s="110"/>
      <c r="PZU1373" s="110"/>
      <c r="PZV1373" s="110"/>
      <c r="PZW1373" s="110"/>
      <c r="PZX1373" s="110"/>
      <c r="PZY1373" s="110"/>
      <c r="PZZ1373" s="110"/>
      <c r="QAA1373" s="110"/>
      <c r="QAB1373" s="110"/>
      <c r="QAC1373" s="110"/>
      <c r="QAD1373" s="110"/>
      <c r="QAE1373" s="110"/>
      <c r="QAF1373" s="110"/>
      <c r="QAG1373" s="110"/>
      <c r="QAH1373" s="110"/>
      <c r="QAI1373" s="110"/>
      <c r="QAJ1373" s="110"/>
      <c r="QAK1373" s="110"/>
      <c r="QAL1373" s="110"/>
      <c r="QAM1373" s="110"/>
      <c r="QAN1373" s="110"/>
      <c r="QAO1373" s="110"/>
      <c r="QAP1373" s="110"/>
      <c r="QAQ1373" s="110"/>
      <c r="QAR1373" s="110"/>
      <c r="QAS1373" s="110"/>
      <c r="QAT1373" s="110"/>
      <c r="QAU1373" s="110"/>
      <c r="QAV1373" s="110"/>
      <c r="QAW1373" s="110"/>
      <c r="QAX1373" s="110"/>
      <c r="QAY1373" s="110"/>
      <c r="QAZ1373" s="110"/>
      <c r="QBA1373" s="110"/>
      <c r="QBB1373" s="110"/>
      <c r="QBC1373" s="110"/>
      <c r="QBD1373" s="110"/>
      <c r="QBE1373" s="110"/>
      <c r="QBF1373" s="110"/>
      <c r="QBG1373" s="110"/>
      <c r="QBH1373" s="110"/>
      <c r="QBI1373" s="110"/>
      <c r="QBJ1373" s="110"/>
      <c r="QBK1373" s="110"/>
      <c r="QBL1373" s="110"/>
      <c r="QBM1373" s="110"/>
      <c r="QBN1373" s="110"/>
      <c r="QBO1373" s="110"/>
      <c r="QBP1373" s="110"/>
      <c r="QBQ1373" s="110"/>
      <c r="QBR1373" s="110"/>
      <c r="QBS1373" s="110"/>
      <c r="QBT1373" s="110"/>
      <c r="QBU1373" s="110"/>
      <c r="QBV1373" s="110"/>
      <c r="QBW1373" s="110"/>
      <c r="QBX1373" s="110"/>
      <c r="QBY1373" s="110"/>
      <c r="QBZ1373" s="110"/>
      <c r="QCA1373" s="110"/>
      <c r="QCB1373" s="110"/>
      <c r="QCC1373" s="110"/>
      <c r="QCD1373" s="110"/>
      <c r="QCE1373" s="110"/>
      <c r="QCF1373" s="110"/>
      <c r="QCG1373" s="110"/>
      <c r="QCH1373" s="110"/>
      <c r="QCI1373" s="110"/>
      <c r="QCJ1373" s="110"/>
      <c r="QCK1373" s="110"/>
      <c r="QCL1373" s="110"/>
      <c r="QCM1373" s="110"/>
      <c r="QCN1373" s="110"/>
      <c r="QCO1373" s="110"/>
      <c r="QCP1373" s="110"/>
      <c r="QCQ1373" s="110"/>
      <c r="QCR1373" s="110"/>
      <c r="QCS1373" s="110"/>
      <c r="QCT1373" s="110"/>
      <c r="QCU1373" s="110"/>
      <c r="QCV1373" s="110"/>
      <c r="QCW1373" s="110"/>
      <c r="QCX1373" s="110"/>
      <c r="QCY1373" s="110"/>
      <c r="QCZ1373" s="110"/>
      <c r="QDA1373" s="110"/>
      <c r="QDB1373" s="110"/>
      <c r="QDC1373" s="110"/>
      <c r="QDD1373" s="110"/>
      <c r="QDE1373" s="110"/>
      <c r="QDF1373" s="110"/>
      <c r="QDG1373" s="110"/>
      <c r="QDH1373" s="110"/>
      <c r="QDI1373" s="110"/>
      <c r="QDJ1373" s="110"/>
      <c r="QDK1373" s="110"/>
      <c r="QDL1373" s="110"/>
      <c r="QDM1373" s="110"/>
      <c r="QDN1373" s="110"/>
      <c r="QDO1373" s="110"/>
      <c r="QDP1373" s="110"/>
      <c r="QDQ1373" s="110"/>
      <c r="QDR1373" s="110"/>
      <c r="QDS1373" s="110"/>
      <c r="QDT1373" s="110"/>
      <c r="QDU1373" s="110"/>
      <c r="QDV1373" s="110"/>
      <c r="QDW1373" s="110"/>
      <c r="QDX1373" s="110"/>
      <c r="QDY1373" s="110"/>
      <c r="QDZ1373" s="110"/>
      <c r="QEA1373" s="110"/>
      <c r="QEB1373" s="110"/>
      <c r="QEC1373" s="110"/>
      <c r="QED1373" s="110"/>
      <c r="QEE1373" s="110"/>
      <c r="QEF1373" s="110"/>
      <c r="QEG1373" s="110"/>
      <c r="QEH1373" s="110"/>
      <c r="QEI1373" s="110"/>
      <c r="QEJ1373" s="110"/>
      <c r="QEK1373" s="110"/>
      <c r="QEL1373" s="110"/>
      <c r="QEM1373" s="110"/>
      <c r="QEN1373" s="110"/>
      <c r="QEO1373" s="110"/>
      <c r="QEP1373" s="110"/>
      <c r="QEQ1373" s="110"/>
      <c r="QER1373" s="110"/>
      <c r="QES1373" s="110"/>
      <c r="QET1373" s="110"/>
      <c r="QEU1373" s="110"/>
      <c r="QEV1373" s="110"/>
      <c r="QEW1373" s="110"/>
      <c r="QEX1373" s="110"/>
      <c r="QEY1373" s="110"/>
      <c r="QEZ1373" s="110"/>
      <c r="QFA1373" s="110"/>
      <c r="QFB1373" s="110"/>
      <c r="QFC1373" s="110"/>
      <c r="QFD1373" s="110"/>
      <c r="QFE1373" s="110"/>
      <c r="QFF1373" s="110"/>
      <c r="QFG1373" s="110"/>
      <c r="QFH1373" s="110"/>
      <c r="QFI1373" s="110"/>
      <c r="QFJ1373" s="110"/>
      <c r="QFK1373" s="110"/>
      <c r="QFL1373" s="110"/>
      <c r="QFM1373" s="110"/>
      <c r="QFN1373" s="110"/>
      <c r="QFO1373" s="110"/>
      <c r="QFP1373" s="110"/>
      <c r="QFQ1373" s="110"/>
      <c r="QFR1373" s="110"/>
      <c r="QFS1373" s="110"/>
      <c r="QFT1373" s="110"/>
      <c r="QFU1373" s="110"/>
      <c r="QFV1373" s="110"/>
      <c r="QFW1373" s="110"/>
      <c r="QFX1373" s="110"/>
      <c r="QFY1373" s="110"/>
      <c r="QFZ1373" s="110"/>
      <c r="QGA1373" s="110"/>
      <c r="QGB1373" s="110"/>
      <c r="QGC1373" s="110"/>
      <c r="QGD1373" s="110"/>
      <c r="QGE1373" s="110"/>
      <c r="QGF1373" s="110"/>
      <c r="QGG1373" s="110"/>
      <c r="QGH1373" s="110"/>
      <c r="QGI1373" s="110"/>
      <c r="QGJ1373" s="110"/>
      <c r="QGK1373" s="110"/>
      <c r="QGL1373" s="110"/>
      <c r="QGM1373" s="110"/>
      <c r="QGN1373" s="110"/>
      <c r="QGO1373" s="110"/>
      <c r="QGP1373" s="110"/>
      <c r="QGQ1373" s="110"/>
      <c r="QGR1373" s="110"/>
      <c r="QGS1373" s="110"/>
      <c r="QGT1373" s="110"/>
      <c r="QGU1373" s="110"/>
      <c r="QGV1373" s="110"/>
      <c r="QGW1373" s="110"/>
      <c r="QGX1373" s="110"/>
      <c r="QGY1373" s="110"/>
      <c r="QGZ1373" s="110"/>
      <c r="QHA1373" s="110"/>
      <c r="QHB1373" s="110"/>
      <c r="QHC1373" s="110"/>
      <c r="QHD1373" s="110"/>
      <c r="QHE1373" s="110"/>
      <c r="QHF1373" s="110"/>
      <c r="QHG1373" s="110"/>
      <c r="QHH1373" s="110"/>
      <c r="QHI1373" s="110"/>
      <c r="QHJ1373" s="110"/>
      <c r="QHK1373" s="110"/>
      <c r="QHL1373" s="110"/>
      <c r="QHM1373" s="110"/>
      <c r="QHN1373" s="110"/>
      <c r="QHO1373" s="110"/>
      <c r="QHP1373" s="110"/>
      <c r="QHQ1373" s="110"/>
      <c r="QHR1373" s="110"/>
      <c r="QHS1373" s="110"/>
      <c r="QHT1373" s="110"/>
      <c r="QHU1373" s="110"/>
      <c r="QHV1373" s="110"/>
      <c r="QHW1373" s="110"/>
      <c r="QHX1373" s="110"/>
      <c r="QHY1373" s="110"/>
      <c r="QHZ1373" s="110"/>
      <c r="QIA1373" s="110"/>
      <c r="QIB1373" s="110"/>
      <c r="QIC1373" s="110"/>
      <c r="QID1373" s="110"/>
      <c r="QIE1373" s="110"/>
      <c r="QIF1373" s="110"/>
      <c r="QIG1373" s="110"/>
      <c r="QIH1373" s="110"/>
      <c r="QII1373" s="110"/>
      <c r="QIJ1373" s="110"/>
      <c r="QIK1373" s="110"/>
      <c r="QIL1373" s="110"/>
      <c r="QIM1373" s="110"/>
      <c r="QIN1373" s="110"/>
      <c r="QIO1373" s="110"/>
      <c r="QIP1373" s="110"/>
      <c r="QIQ1373" s="110"/>
      <c r="QIR1373" s="110"/>
      <c r="QIS1373" s="110"/>
      <c r="QIT1373" s="110"/>
      <c r="QIU1373" s="110"/>
      <c r="QIV1373" s="110"/>
      <c r="QIW1373" s="110"/>
      <c r="QIX1373" s="110"/>
      <c r="QIY1373" s="110"/>
      <c r="QIZ1373" s="110"/>
      <c r="QJA1373" s="110"/>
      <c r="QJB1373" s="110"/>
      <c r="QJC1373" s="110"/>
      <c r="QJD1373" s="110"/>
      <c r="QJE1373" s="110"/>
      <c r="QJF1373" s="110"/>
      <c r="QJG1373" s="110"/>
      <c r="QJH1373" s="110"/>
      <c r="QJI1373" s="110"/>
      <c r="QJJ1373" s="110"/>
      <c r="QJK1373" s="110"/>
      <c r="QJL1373" s="110"/>
      <c r="QJM1373" s="110"/>
      <c r="QJN1373" s="110"/>
      <c r="QJO1373" s="110"/>
      <c r="QJP1373" s="110"/>
      <c r="QJQ1373" s="110"/>
      <c r="QJR1373" s="110"/>
      <c r="QJS1373" s="110"/>
      <c r="QJT1373" s="110"/>
      <c r="QJU1373" s="110"/>
      <c r="QJV1373" s="110"/>
      <c r="QJW1373" s="110"/>
      <c r="QJX1373" s="110"/>
      <c r="QJY1373" s="110"/>
      <c r="QJZ1373" s="110"/>
      <c r="QKA1373" s="110"/>
      <c r="QKB1373" s="110"/>
      <c r="QKC1373" s="110"/>
      <c r="QKD1373" s="110"/>
      <c r="QKE1373" s="110"/>
      <c r="QKF1373" s="110"/>
      <c r="QKG1373" s="110"/>
      <c r="QKH1373" s="110"/>
      <c r="QKI1373" s="110"/>
      <c r="QKJ1373" s="110"/>
      <c r="QKK1373" s="110"/>
      <c r="QKL1373" s="110"/>
      <c r="QKM1373" s="110"/>
      <c r="QKN1373" s="110"/>
      <c r="QKO1373" s="110"/>
      <c r="QKP1373" s="110"/>
      <c r="QKQ1373" s="110"/>
      <c r="QKR1373" s="110"/>
      <c r="QKS1373" s="110"/>
      <c r="QKT1373" s="110"/>
      <c r="QKU1373" s="110"/>
      <c r="QKV1373" s="110"/>
      <c r="QKW1373" s="110"/>
      <c r="QKX1373" s="110"/>
      <c r="QKY1373" s="110"/>
      <c r="QKZ1373" s="110"/>
      <c r="QLA1373" s="110"/>
      <c r="QLB1373" s="110"/>
      <c r="QLC1373" s="110"/>
      <c r="QLD1373" s="110"/>
      <c r="QLE1373" s="110"/>
      <c r="QLF1373" s="110"/>
      <c r="QLG1373" s="110"/>
      <c r="QLH1373" s="110"/>
      <c r="QLI1373" s="110"/>
      <c r="QLJ1373" s="110"/>
      <c r="QLK1373" s="110"/>
      <c r="QLL1373" s="110"/>
      <c r="QLM1373" s="110"/>
      <c r="QLN1373" s="110"/>
      <c r="QLO1373" s="110"/>
      <c r="QLP1373" s="110"/>
      <c r="QLQ1373" s="110"/>
      <c r="QLR1373" s="110"/>
      <c r="QLS1373" s="110"/>
      <c r="QLT1373" s="110"/>
      <c r="QLU1373" s="110"/>
      <c r="QLV1373" s="110"/>
      <c r="QLW1373" s="110"/>
      <c r="QLX1373" s="110"/>
      <c r="QLY1373" s="110"/>
      <c r="QLZ1373" s="110"/>
      <c r="QMA1373" s="110"/>
      <c r="QMB1373" s="110"/>
      <c r="QMC1373" s="110"/>
      <c r="QMD1373" s="110"/>
      <c r="QME1373" s="110"/>
      <c r="QMF1373" s="110"/>
      <c r="QMG1373" s="110"/>
      <c r="QMH1373" s="110"/>
      <c r="QMI1373" s="110"/>
      <c r="QMJ1373" s="110"/>
      <c r="QMK1373" s="110"/>
      <c r="QML1373" s="110"/>
      <c r="QMM1373" s="110"/>
      <c r="QMN1373" s="110"/>
      <c r="QMO1373" s="110"/>
      <c r="QMP1373" s="110"/>
      <c r="QMQ1373" s="110"/>
      <c r="QMR1373" s="110"/>
      <c r="QMS1373" s="110"/>
      <c r="QMT1373" s="110"/>
      <c r="QMU1373" s="110"/>
      <c r="QMV1373" s="110"/>
      <c r="QMW1373" s="110"/>
      <c r="QMX1373" s="110"/>
      <c r="QMY1373" s="110"/>
      <c r="QMZ1373" s="110"/>
      <c r="QNA1373" s="110"/>
      <c r="QNB1373" s="110"/>
      <c r="QNC1373" s="110"/>
      <c r="QND1373" s="110"/>
      <c r="QNE1373" s="110"/>
      <c r="QNF1373" s="110"/>
      <c r="QNG1373" s="110"/>
      <c r="QNH1373" s="110"/>
      <c r="QNI1373" s="110"/>
      <c r="QNJ1373" s="110"/>
      <c r="QNK1373" s="110"/>
      <c r="QNL1373" s="110"/>
      <c r="QNM1373" s="110"/>
      <c r="QNN1373" s="110"/>
      <c r="QNO1373" s="110"/>
      <c r="QNP1373" s="110"/>
      <c r="QNQ1373" s="110"/>
      <c r="QNR1373" s="110"/>
      <c r="QNS1373" s="110"/>
      <c r="QNT1373" s="110"/>
      <c r="QNU1373" s="110"/>
      <c r="QNV1373" s="110"/>
      <c r="QNW1373" s="110"/>
      <c r="QNX1373" s="110"/>
      <c r="QNY1373" s="110"/>
      <c r="QNZ1373" s="110"/>
      <c r="QOA1373" s="110"/>
      <c r="QOB1373" s="110"/>
      <c r="QOC1373" s="110"/>
      <c r="QOD1373" s="110"/>
      <c r="QOE1373" s="110"/>
      <c r="QOF1373" s="110"/>
      <c r="QOG1373" s="110"/>
      <c r="QOH1373" s="110"/>
      <c r="QOI1373" s="110"/>
      <c r="QOJ1373" s="110"/>
      <c r="QOK1373" s="110"/>
      <c r="QOL1373" s="110"/>
      <c r="QOM1373" s="110"/>
      <c r="QON1373" s="110"/>
      <c r="QOO1373" s="110"/>
      <c r="QOP1373" s="110"/>
      <c r="QOQ1373" s="110"/>
      <c r="QOR1373" s="110"/>
      <c r="QOS1373" s="110"/>
      <c r="QOT1373" s="110"/>
      <c r="QOU1373" s="110"/>
      <c r="QOV1373" s="110"/>
      <c r="QOW1373" s="110"/>
      <c r="QOX1373" s="110"/>
      <c r="QOY1373" s="110"/>
      <c r="QOZ1373" s="110"/>
      <c r="QPA1373" s="110"/>
      <c r="QPB1373" s="110"/>
      <c r="QPC1373" s="110"/>
      <c r="QPD1373" s="110"/>
      <c r="QPE1373" s="110"/>
      <c r="QPF1373" s="110"/>
      <c r="QPG1373" s="110"/>
      <c r="QPH1373" s="110"/>
      <c r="QPI1373" s="110"/>
      <c r="QPJ1373" s="110"/>
      <c r="QPK1373" s="110"/>
      <c r="QPL1373" s="110"/>
      <c r="QPM1373" s="110"/>
      <c r="QPN1373" s="110"/>
      <c r="QPO1373" s="110"/>
      <c r="QPP1373" s="110"/>
      <c r="QPQ1373" s="110"/>
      <c r="QPR1373" s="110"/>
      <c r="QPS1373" s="110"/>
      <c r="QPT1373" s="110"/>
      <c r="QPU1373" s="110"/>
      <c r="QPV1373" s="110"/>
      <c r="QPW1373" s="110"/>
      <c r="QPX1373" s="110"/>
      <c r="QPY1373" s="110"/>
      <c r="QPZ1373" s="110"/>
      <c r="QQA1373" s="110"/>
      <c r="QQB1373" s="110"/>
      <c r="QQC1373" s="110"/>
      <c r="QQD1373" s="110"/>
      <c r="QQE1373" s="110"/>
      <c r="QQF1373" s="110"/>
      <c r="QQG1373" s="110"/>
      <c r="QQH1373" s="110"/>
      <c r="QQI1373" s="110"/>
      <c r="QQJ1373" s="110"/>
      <c r="QQK1373" s="110"/>
      <c r="QQL1373" s="110"/>
      <c r="QQM1373" s="110"/>
      <c r="QQN1373" s="110"/>
      <c r="QQO1373" s="110"/>
      <c r="QQP1373" s="110"/>
      <c r="QQQ1373" s="110"/>
      <c r="QQR1373" s="110"/>
      <c r="QQS1373" s="110"/>
      <c r="QQT1373" s="110"/>
      <c r="QQU1373" s="110"/>
      <c r="QQV1373" s="110"/>
      <c r="QQW1373" s="110"/>
      <c r="QQX1373" s="110"/>
      <c r="QQY1373" s="110"/>
      <c r="QQZ1373" s="110"/>
      <c r="QRA1373" s="110"/>
      <c r="QRB1373" s="110"/>
      <c r="QRC1373" s="110"/>
      <c r="QRD1373" s="110"/>
      <c r="QRE1373" s="110"/>
      <c r="QRF1373" s="110"/>
      <c r="QRG1373" s="110"/>
      <c r="QRH1373" s="110"/>
      <c r="QRI1373" s="110"/>
      <c r="QRJ1373" s="110"/>
      <c r="QRK1373" s="110"/>
      <c r="QRL1373" s="110"/>
      <c r="QRM1373" s="110"/>
      <c r="QRN1373" s="110"/>
      <c r="QRO1373" s="110"/>
      <c r="QRP1373" s="110"/>
      <c r="QRQ1373" s="110"/>
      <c r="QRR1373" s="110"/>
      <c r="QRS1373" s="110"/>
      <c r="QRT1373" s="110"/>
      <c r="QRU1373" s="110"/>
      <c r="QRV1373" s="110"/>
      <c r="QRW1373" s="110"/>
      <c r="QRX1373" s="110"/>
      <c r="QRY1373" s="110"/>
      <c r="QRZ1373" s="110"/>
      <c r="QSA1373" s="110"/>
      <c r="QSB1373" s="110"/>
      <c r="QSC1373" s="110"/>
      <c r="QSD1373" s="110"/>
      <c r="QSE1373" s="110"/>
      <c r="QSF1373" s="110"/>
      <c r="QSG1373" s="110"/>
      <c r="QSH1373" s="110"/>
      <c r="QSI1373" s="110"/>
      <c r="QSJ1373" s="110"/>
      <c r="QSK1373" s="110"/>
      <c r="QSL1373" s="110"/>
      <c r="QSM1373" s="110"/>
      <c r="QSN1373" s="110"/>
      <c r="QSO1373" s="110"/>
      <c r="QSP1373" s="110"/>
      <c r="QSQ1373" s="110"/>
      <c r="QSR1373" s="110"/>
      <c r="QSS1373" s="110"/>
      <c r="QST1373" s="110"/>
      <c r="QSU1373" s="110"/>
      <c r="QSV1373" s="110"/>
      <c r="QSW1373" s="110"/>
      <c r="QSX1373" s="110"/>
      <c r="QSY1373" s="110"/>
      <c r="QSZ1373" s="110"/>
      <c r="QTA1373" s="110"/>
      <c r="QTB1373" s="110"/>
      <c r="QTC1373" s="110"/>
      <c r="QTD1373" s="110"/>
      <c r="QTE1373" s="110"/>
      <c r="QTF1373" s="110"/>
      <c r="QTG1373" s="110"/>
      <c r="QTH1373" s="110"/>
      <c r="QTI1373" s="110"/>
      <c r="QTJ1373" s="110"/>
      <c r="QTK1373" s="110"/>
      <c r="QTL1373" s="110"/>
      <c r="QTM1373" s="110"/>
      <c r="QTN1373" s="110"/>
      <c r="QTO1373" s="110"/>
      <c r="QTP1373" s="110"/>
      <c r="QTQ1373" s="110"/>
      <c r="QTR1373" s="110"/>
      <c r="QTS1373" s="110"/>
      <c r="QTT1373" s="110"/>
      <c r="QTU1373" s="110"/>
      <c r="QTV1373" s="110"/>
      <c r="QTW1373" s="110"/>
      <c r="QTX1373" s="110"/>
      <c r="QTY1373" s="110"/>
      <c r="QTZ1373" s="110"/>
      <c r="QUA1373" s="110"/>
      <c r="QUB1373" s="110"/>
      <c r="QUC1373" s="110"/>
      <c r="QUD1373" s="110"/>
      <c r="QUE1373" s="110"/>
      <c r="QUF1373" s="110"/>
      <c r="QUG1373" s="110"/>
      <c r="QUH1373" s="110"/>
      <c r="QUI1373" s="110"/>
      <c r="QUJ1373" s="110"/>
      <c r="QUK1373" s="110"/>
      <c r="QUL1373" s="110"/>
      <c r="QUM1373" s="110"/>
      <c r="QUN1373" s="110"/>
      <c r="QUO1373" s="110"/>
      <c r="QUP1373" s="110"/>
      <c r="QUQ1373" s="110"/>
      <c r="QUR1373" s="110"/>
      <c r="QUS1373" s="110"/>
      <c r="QUT1373" s="110"/>
      <c r="QUU1373" s="110"/>
      <c r="QUV1373" s="110"/>
      <c r="QUW1373" s="110"/>
      <c r="QUX1373" s="110"/>
      <c r="QUY1373" s="110"/>
      <c r="QUZ1373" s="110"/>
      <c r="QVA1373" s="110"/>
      <c r="QVB1373" s="110"/>
      <c r="QVC1373" s="110"/>
      <c r="QVD1373" s="110"/>
      <c r="QVE1373" s="110"/>
      <c r="QVF1373" s="110"/>
      <c r="QVG1373" s="110"/>
      <c r="QVH1373" s="110"/>
      <c r="QVI1373" s="110"/>
      <c r="QVJ1373" s="110"/>
      <c r="QVK1373" s="110"/>
      <c r="QVL1373" s="110"/>
      <c r="QVM1373" s="110"/>
      <c r="QVN1373" s="110"/>
      <c r="QVO1373" s="110"/>
      <c r="QVP1373" s="110"/>
      <c r="QVQ1373" s="110"/>
      <c r="QVR1373" s="110"/>
      <c r="QVS1373" s="110"/>
      <c r="QVT1373" s="110"/>
      <c r="QVU1373" s="110"/>
      <c r="QVV1373" s="110"/>
      <c r="QVW1373" s="110"/>
      <c r="QVX1373" s="110"/>
      <c r="QVY1373" s="110"/>
      <c r="QVZ1373" s="110"/>
      <c r="QWA1373" s="110"/>
      <c r="QWB1373" s="110"/>
      <c r="QWC1373" s="110"/>
      <c r="QWD1373" s="110"/>
      <c r="QWE1373" s="110"/>
      <c r="QWF1373" s="110"/>
      <c r="QWG1373" s="110"/>
      <c r="QWH1373" s="110"/>
      <c r="QWI1373" s="110"/>
      <c r="QWJ1373" s="110"/>
      <c r="QWK1373" s="110"/>
      <c r="QWL1373" s="110"/>
      <c r="QWM1373" s="110"/>
      <c r="QWN1373" s="110"/>
      <c r="QWO1373" s="110"/>
      <c r="QWP1373" s="110"/>
      <c r="QWQ1373" s="110"/>
      <c r="QWR1373" s="110"/>
      <c r="QWS1373" s="110"/>
      <c r="QWT1373" s="110"/>
      <c r="QWU1373" s="110"/>
      <c r="QWV1373" s="110"/>
      <c r="QWW1373" s="110"/>
      <c r="QWX1373" s="110"/>
      <c r="QWY1373" s="110"/>
      <c r="QWZ1373" s="110"/>
      <c r="QXA1373" s="110"/>
      <c r="QXB1373" s="110"/>
      <c r="QXC1373" s="110"/>
      <c r="QXD1373" s="110"/>
      <c r="QXE1373" s="110"/>
      <c r="QXF1373" s="110"/>
      <c r="QXG1373" s="110"/>
      <c r="QXH1373" s="110"/>
      <c r="QXI1373" s="110"/>
      <c r="QXJ1373" s="110"/>
      <c r="QXK1373" s="110"/>
      <c r="QXL1373" s="110"/>
      <c r="QXM1373" s="110"/>
      <c r="QXN1373" s="110"/>
      <c r="QXO1373" s="110"/>
      <c r="QXP1373" s="110"/>
      <c r="QXQ1373" s="110"/>
      <c r="QXR1373" s="110"/>
      <c r="QXS1373" s="110"/>
      <c r="QXT1373" s="110"/>
      <c r="QXU1373" s="110"/>
      <c r="QXV1373" s="110"/>
      <c r="QXW1373" s="110"/>
      <c r="QXX1373" s="110"/>
      <c r="QXY1373" s="110"/>
      <c r="QXZ1373" s="110"/>
      <c r="QYA1373" s="110"/>
      <c r="QYB1373" s="110"/>
      <c r="QYC1373" s="110"/>
      <c r="QYD1373" s="110"/>
      <c r="QYE1373" s="110"/>
      <c r="QYF1373" s="110"/>
      <c r="QYG1373" s="110"/>
      <c r="QYH1373" s="110"/>
      <c r="QYI1373" s="110"/>
      <c r="QYJ1373" s="110"/>
      <c r="QYK1373" s="110"/>
      <c r="QYL1373" s="110"/>
      <c r="QYM1373" s="110"/>
      <c r="QYN1373" s="110"/>
      <c r="QYO1373" s="110"/>
      <c r="QYP1373" s="110"/>
      <c r="QYQ1373" s="110"/>
      <c r="QYR1373" s="110"/>
      <c r="QYS1373" s="110"/>
      <c r="QYT1373" s="110"/>
      <c r="QYU1373" s="110"/>
      <c r="QYV1373" s="110"/>
      <c r="QYW1373" s="110"/>
      <c r="QYX1373" s="110"/>
      <c r="QYY1373" s="110"/>
      <c r="QYZ1373" s="110"/>
      <c r="QZA1373" s="110"/>
      <c r="QZB1373" s="110"/>
      <c r="QZC1373" s="110"/>
      <c r="QZD1373" s="110"/>
      <c r="QZE1373" s="110"/>
      <c r="QZF1373" s="110"/>
      <c r="QZG1373" s="110"/>
      <c r="QZH1373" s="110"/>
      <c r="QZI1373" s="110"/>
      <c r="QZJ1373" s="110"/>
      <c r="QZK1373" s="110"/>
      <c r="QZL1373" s="110"/>
      <c r="QZM1373" s="110"/>
      <c r="QZN1373" s="110"/>
      <c r="QZO1373" s="110"/>
      <c r="QZP1373" s="110"/>
      <c r="QZQ1373" s="110"/>
      <c r="QZR1373" s="110"/>
      <c r="QZS1373" s="110"/>
      <c r="QZT1373" s="110"/>
      <c r="QZU1373" s="110"/>
      <c r="QZV1373" s="110"/>
      <c r="QZW1373" s="110"/>
      <c r="QZX1373" s="110"/>
      <c r="QZY1373" s="110"/>
      <c r="QZZ1373" s="110"/>
      <c r="RAA1373" s="110"/>
      <c r="RAB1373" s="110"/>
      <c r="RAC1373" s="110"/>
      <c r="RAD1373" s="110"/>
      <c r="RAE1373" s="110"/>
      <c r="RAF1373" s="110"/>
      <c r="RAG1373" s="110"/>
      <c r="RAH1373" s="110"/>
      <c r="RAI1373" s="110"/>
      <c r="RAJ1373" s="110"/>
      <c r="RAK1373" s="110"/>
      <c r="RAL1373" s="110"/>
      <c r="RAM1373" s="110"/>
      <c r="RAN1373" s="110"/>
      <c r="RAO1373" s="110"/>
      <c r="RAP1373" s="110"/>
      <c r="RAQ1373" s="110"/>
      <c r="RAR1373" s="110"/>
      <c r="RAS1373" s="110"/>
      <c r="RAT1373" s="110"/>
      <c r="RAU1373" s="110"/>
      <c r="RAV1373" s="110"/>
      <c r="RAW1373" s="110"/>
      <c r="RAX1373" s="110"/>
      <c r="RAY1373" s="110"/>
      <c r="RAZ1373" s="110"/>
      <c r="RBA1373" s="110"/>
      <c r="RBB1373" s="110"/>
      <c r="RBC1373" s="110"/>
      <c r="RBD1373" s="110"/>
      <c r="RBE1373" s="110"/>
      <c r="RBF1373" s="110"/>
      <c r="RBG1373" s="110"/>
      <c r="RBH1373" s="110"/>
      <c r="RBI1373" s="110"/>
      <c r="RBJ1373" s="110"/>
      <c r="RBK1373" s="110"/>
      <c r="RBL1373" s="110"/>
      <c r="RBM1373" s="110"/>
      <c r="RBN1373" s="110"/>
      <c r="RBO1373" s="110"/>
      <c r="RBP1373" s="110"/>
      <c r="RBQ1373" s="110"/>
      <c r="RBR1373" s="110"/>
      <c r="RBS1373" s="110"/>
      <c r="RBT1373" s="110"/>
      <c r="RBU1373" s="110"/>
      <c r="RBV1373" s="110"/>
      <c r="RBW1373" s="110"/>
      <c r="RBX1373" s="110"/>
      <c r="RBY1373" s="110"/>
      <c r="RBZ1373" s="110"/>
      <c r="RCA1373" s="110"/>
      <c r="RCB1373" s="110"/>
      <c r="RCC1373" s="110"/>
      <c r="RCD1373" s="110"/>
      <c r="RCE1373" s="110"/>
      <c r="RCF1373" s="110"/>
      <c r="RCG1373" s="110"/>
      <c r="RCH1373" s="110"/>
      <c r="RCI1373" s="110"/>
      <c r="RCJ1373" s="110"/>
      <c r="RCK1373" s="110"/>
      <c r="RCL1373" s="110"/>
      <c r="RCM1373" s="110"/>
      <c r="RCN1373" s="110"/>
      <c r="RCO1373" s="110"/>
      <c r="RCP1373" s="110"/>
      <c r="RCQ1373" s="110"/>
      <c r="RCR1373" s="110"/>
      <c r="RCS1373" s="110"/>
      <c r="RCT1373" s="110"/>
      <c r="RCU1373" s="110"/>
      <c r="RCV1373" s="110"/>
      <c r="RCW1373" s="110"/>
      <c r="RCX1373" s="110"/>
      <c r="RCY1373" s="110"/>
      <c r="RCZ1373" s="110"/>
      <c r="RDA1373" s="110"/>
      <c r="RDB1373" s="110"/>
      <c r="RDC1373" s="110"/>
      <c r="RDD1373" s="110"/>
      <c r="RDE1373" s="110"/>
      <c r="RDF1373" s="110"/>
      <c r="RDG1373" s="110"/>
      <c r="RDH1373" s="110"/>
      <c r="RDI1373" s="110"/>
      <c r="RDJ1373" s="110"/>
      <c r="RDK1373" s="110"/>
      <c r="RDL1373" s="110"/>
      <c r="RDM1373" s="110"/>
      <c r="RDN1373" s="110"/>
      <c r="RDO1373" s="110"/>
      <c r="RDP1373" s="110"/>
      <c r="RDQ1373" s="110"/>
      <c r="RDR1373" s="110"/>
      <c r="RDS1373" s="110"/>
      <c r="RDT1373" s="110"/>
      <c r="RDU1373" s="110"/>
      <c r="RDV1373" s="110"/>
      <c r="RDW1373" s="110"/>
      <c r="RDX1373" s="110"/>
      <c r="RDY1373" s="110"/>
      <c r="RDZ1373" s="110"/>
      <c r="REA1373" s="110"/>
      <c r="REB1373" s="110"/>
      <c r="REC1373" s="110"/>
      <c r="RED1373" s="110"/>
      <c r="REE1373" s="110"/>
      <c r="REF1373" s="110"/>
      <c r="REG1373" s="110"/>
      <c r="REH1373" s="110"/>
      <c r="REI1373" s="110"/>
      <c r="REJ1373" s="110"/>
      <c r="REK1373" s="110"/>
      <c r="REL1373" s="110"/>
      <c r="REM1373" s="110"/>
      <c r="REN1373" s="110"/>
      <c r="REO1373" s="110"/>
      <c r="REP1373" s="110"/>
      <c r="REQ1373" s="110"/>
      <c r="RER1373" s="110"/>
      <c r="RES1373" s="110"/>
      <c r="RET1373" s="110"/>
      <c r="REU1373" s="110"/>
      <c r="REV1373" s="110"/>
      <c r="REW1373" s="110"/>
      <c r="REX1373" s="110"/>
      <c r="REY1373" s="110"/>
      <c r="REZ1373" s="110"/>
      <c r="RFA1373" s="110"/>
      <c r="RFB1373" s="110"/>
      <c r="RFC1373" s="110"/>
      <c r="RFD1373" s="110"/>
      <c r="RFE1373" s="110"/>
      <c r="RFF1373" s="110"/>
      <c r="RFG1373" s="110"/>
      <c r="RFH1373" s="110"/>
      <c r="RFI1373" s="110"/>
      <c r="RFJ1373" s="110"/>
      <c r="RFK1373" s="110"/>
      <c r="RFL1373" s="110"/>
      <c r="RFM1373" s="110"/>
      <c r="RFN1373" s="110"/>
      <c r="RFO1373" s="110"/>
      <c r="RFP1373" s="110"/>
      <c r="RFQ1373" s="110"/>
      <c r="RFR1373" s="110"/>
      <c r="RFS1373" s="110"/>
      <c r="RFT1373" s="110"/>
      <c r="RFU1373" s="110"/>
      <c r="RFV1373" s="110"/>
      <c r="RFW1373" s="110"/>
      <c r="RFX1373" s="110"/>
      <c r="RFY1373" s="110"/>
      <c r="RFZ1373" s="110"/>
      <c r="RGA1373" s="110"/>
      <c r="RGB1373" s="110"/>
      <c r="RGC1373" s="110"/>
      <c r="RGD1373" s="110"/>
      <c r="RGE1373" s="110"/>
      <c r="RGF1373" s="110"/>
      <c r="RGG1373" s="110"/>
      <c r="RGH1373" s="110"/>
      <c r="RGI1373" s="110"/>
      <c r="RGJ1373" s="110"/>
      <c r="RGK1373" s="110"/>
      <c r="RGL1373" s="110"/>
      <c r="RGM1373" s="110"/>
      <c r="RGN1373" s="110"/>
      <c r="RGO1373" s="110"/>
      <c r="RGP1373" s="110"/>
      <c r="RGQ1373" s="110"/>
      <c r="RGR1373" s="110"/>
      <c r="RGS1373" s="110"/>
      <c r="RGT1373" s="110"/>
      <c r="RGU1373" s="110"/>
      <c r="RGV1373" s="110"/>
      <c r="RGW1373" s="110"/>
      <c r="RGX1373" s="110"/>
      <c r="RGY1373" s="110"/>
      <c r="RGZ1373" s="110"/>
      <c r="RHA1373" s="110"/>
      <c r="RHB1373" s="110"/>
      <c r="RHC1373" s="110"/>
      <c r="RHD1373" s="110"/>
      <c r="RHE1373" s="110"/>
      <c r="RHF1373" s="110"/>
      <c r="RHG1373" s="110"/>
      <c r="RHH1373" s="110"/>
      <c r="RHI1373" s="110"/>
      <c r="RHJ1373" s="110"/>
      <c r="RHK1373" s="110"/>
      <c r="RHL1373" s="110"/>
      <c r="RHM1373" s="110"/>
      <c r="RHN1373" s="110"/>
      <c r="RHO1373" s="110"/>
      <c r="RHP1373" s="110"/>
      <c r="RHQ1373" s="110"/>
      <c r="RHR1373" s="110"/>
      <c r="RHS1373" s="110"/>
      <c r="RHT1373" s="110"/>
      <c r="RHU1373" s="110"/>
      <c r="RHV1373" s="110"/>
      <c r="RHW1373" s="110"/>
      <c r="RHX1373" s="110"/>
      <c r="RHY1373" s="110"/>
      <c r="RHZ1373" s="110"/>
      <c r="RIA1373" s="110"/>
      <c r="RIB1373" s="110"/>
      <c r="RIC1373" s="110"/>
      <c r="RID1373" s="110"/>
      <c r="RIE1373" s="110"/>
      <c r="RIF1373" s="110"/>
      <c r="RIG1373" s="110"/>
      <c r="RIH1373" s="110"/>
      <c r="RII1373" s="110"/>
      <c r="RIJ1373" s="110"/>
      <c r="RIK1373" s="110"/>
      <c r="RIL1373" s="110"/>
      <c r="RIM1373" s="110"/>
      <c r="RIN1373" s="110"/>
      <c r="RIO1373" s="110"/>
      <c r="RIP1373" s="110"/>
      <c r="RIQ1373" s="110"/>
      <c r="RIR1373" s="110"/>
      <c r="RIS1373" s="110"/>
      <c r="RIT1373" s="110"/>
      <c r="RIU1373" s="110"/>
      <c r="RIV1373" s="110"/>
      <c r="RIW1373" s="110"/>
      <c r="RIX1373" s="110"/>
      <c r="RIY1373" s="110"/>
      <c r="RIZ1373" s="110"/>
      <c r="RJA1373" s="110"/>
      <c r="RJB1373" s="110"/>
      <c r="RJC1373" s="110"/>
      <c r="RJD1373" s="110"/>
      <c r="RJE1373" s="110"/>
      <c r="RJF1373" s="110"/>
      <c r="RJG1373" s="110"/>
      <c r="RJH1373" s="110"/>
      <c r="RJI1373" s="110"/>
      <c r="RJJ1373" s="110"/>
      <c r="RJK1373" s="110"/>
      <c r="RJL1373" s="110"/>
      <c r="RJM1373" s="110"/>
      <c r="RJN1373" s="110"/>
      <c r="RJO1373" s="110"/>
      <c r="RJP1373" s="110"/>
      <c r="RJQ1373" s="110"/>
      <c r="RJR1373" s="110"/>
      <c r="RJS1373" s="110"/>
      <c r="RJT1373" s="110"/>
      <c r="RJU1373" s="110"/>
      <c r="RJV1373" s="110"/>
      <c r="RJW1373" s="110"/>
      <c r="RJX1373" s="110"/>
      <c r="RJY1373" s="110"/>
      <c r="RJZ1373" s="110"/>
      <c r="RKA1373" s="110"/>
      <c r="RKB1373" s="110"/>
      <c r="RKC1373" s="110"/>
      <c r="RKD1373" s="110"/>
      <c r="RKE1373" s="110"/>
      <c r="RKF1373" s="110"/>
      <c r="RKG1373" s="110"/>
      <c r="RKH1373" s="110"/>
      <c r="RKI1373" s="110"/>
      <c r="RKJ1373" s="110"/>
      <c r="RKK1373" s="110"/>
      <c r="RKL1373" s="110"/>
      <c r="RKM1373" s="110"/>
      <c r="RKN1373" s="110"/>
      <c r="RKO1373" s="110"/>
      <c r="RKP1373" s="110"/>
      <c r="RKQ1373" s="110"/>
      <c r="RKR1373" s="110"/>
      <c r="RKS1373" s="110"/>
      <c r="RKT1373" s="110"/>
      <c r="RKU1373" s="110"/>
      <c r="RKV1373" s="110"/>
      <c r="RKW1373" s="110"/>
      <c r="RKX1373" s="110"/>
      <c r="RKY1373" s="110"/>
      <c r="RKZ1373" s="110"/>
      <c r="RLA1373" s="110"/>
      <c r="RLB1373" s="110"/>
      <c r="RLC1373" s="110"/>
      <c r="RLD1373" s="110"/>
      <c r="RLE1373" s="110"/>
      <c r="RLF1373" s="110"/>
      <c r="RLG1373" s="110"/>
      <c r="RLH1373" s="110"/>
      <c r="RLI1373" s="110"/>
      <c r="RLJ1373" s="110"/>
      <c r="RLK1373" s="110"/>
      <c r="RLL1373" s="110"/>
      <c r="RLM1373" s="110"/>
      <c r="RLN1373" s="110"/>
      <c r="RLO1373" s="110"/>
      <c r="RLP1373" s="110"/>
      <c r="RLQ1373" s="110"/>
      <c r="RLR1373" s="110"/>
      <c r="RLS1373" s="110"/>
      <c r="RLT1373" s="110"/>
      <c r="RLU1373" s="110"/>
      <c r="RLV1373" s="110"/>
      <c r="RLW1373" s="110"/>
      <c r="RLX1373" s="110"/>
      <c r="RLY1373" s="110"/>
      <c r="RLZ1373" s="110"/>
      <c r="RMA1373" s="110"/>
      <c r="RMB1373" s="110"/>
      <c r="RMC1373" s="110"/>
      <c r="RMD1373" s="110"/>
      <c r="RME1373" s="110"/>
      <c r="RMF1373" s="110"/>
      <c r="RMG1373" s="110"/>
      <c r="RMH1373" s="110"/>
      <c r="RMI1373" s="110"/>
      <c r="RMJ1373" s="110"/>
      <c r="RMK1373" s="110"/>
      <c r="RML1373" s="110"/>
      <c r="RMM1373" s="110"/>
      <c r="RMN1373" s="110"/>
      <c r="RMO1373" s="110"/>
      <c r="RMP1373" s="110"/>
      <c r="RMQ1373" s="110"/>
      <c r="RMR1373" s="110"/>
      <c r="RMS1373" s="110"/>
      <c r="RMT1373" s="110"/>
      <c r="RMU1373" s="110"/>
      <c r="RMV1373" s="110"/>
      <c r="RMW1373" s="110"/>
      <c r="RMX1373" s="110"/>
      <c r="RMY1373" s="110"/>
      <c r="RMZ1373" s="110"/>
      <c r="RNA1373" s="110"/>
      <c r="RNB1373" s="110"/>
      <c r="RNC1373" s="110"/>
      <c r="RND1373" s="110"/>
      <c r="RNE1373" s="110"/>
      <c r="RNF1373" s="110"/>
      <c r="RNG1373" s="110"/>
      <c r="RNH1373" s="110"/>
      <c r="RNI1373" s="110"/>
      <c r="RNJ1373" s="110"/>
      <c r="RNK1373" s="110"/>
      <c r="RNL1373" s="110"/>
      <c r="RNM1373" s="110"/>
      <c r="RNN1373" s="110"/>
      <c r="RNO1373" s="110"/>
      <c r="RNP1373" s="110"/>
      <c r="RNQ1373" s="110"/>
      <c r="RNR1373" s="110"/>
      <c r="RNS1373" s="110"/>
      <c r="RNT1373" s="110"/>
      <c r="RNU1373" s="110"/>
      <c r="RNV1373" s="110"/>
      <c r="RNW1373" s="110"/>
      <c r="RNX1373" s="110"/>
      <c r="RNY1373" s="110"/>
      <c r="RNZ1373" s="110"/>
      <c r="ROA1373" s="110"/>
      <c r="ROB1373" s="110"/>
      <c r="ROC1373" s="110"/>
      <c r="ROD1373" s="110"/>
      <c r="ROE1373" s="110"/>
      <c r="ROF1373" s="110"/>
      <c r="ROG1373" s="110"/>
      <c r="ROH1373" s="110"/>
      <c r="ROI1373" s="110"/>
      <c r="ROJ1373" s="110"/>
      <c r="ROK1373" s="110"/>
      <c r="ROL1373" s="110"/>
      <c r="ROM1373" s="110"/>
      <c r="RON1373" s="110"/>
      <c r="ROO1373" s="110"/>
      <c r="ROP1373" s="110"/>
      <c r="ROQ1373" s="110"/>
      <c r="ROR1373" s="110"/>
      <c r="ROS1373" s="110"/>
      <c r="ROT1373" s="110"/>
      <c r="ROU1373" s="110"/>
      <c r="ROV1373" s="110"/>
      <c r="ROW1373" s="110"/>
      <c r="ROX1373" s="110"/>
      <c r="ROY1373" s="110"/>
      <c r="ROZ1373" s="110"/>
      <c r="RPA1373" s="110"/>
      <c r="RPB1373" s="110"/>
      <c r="RPC1373" s="110"/>
      <c r="RPD1373" s="110"/>
      <c r="RPE1373" s="110"/>
      <c r="RPF1373" s="110"/>
      <c r="RPG1373" s="110"/>
      <c r="RPH1373" s="110"/>
      <c r="RPI1373" s="110"/>
      <c r="RPJ1373" s="110"/>
      <c r="RPK1373" s="110"/>
      <c r="RPL1373" s="110"/>
      <c r="RPM1373" s="110"/>
      <c r="RPN1373" s="110"/>
      <c r="RPO1373" s="110"/>
      <c r="RPP1373" s="110"/>
      <c r="RPQ1373" s="110"/>
      <c r="RPR1373" s="110"/>
      <c r="RPS1373" s="110"/>
      <c r="RPT1373" s="110"/>
      <c r="RPU1373" s="110"/>
      <c r="RPV1373" s="110"/>
      <c r="RPW1373" s="110"/>
      <c r="RPX1373" s="110"/>
      <c r="RPY1373" s="110"/>
      <c r="RPZ1373" s="110"/>
      <c r="RQA1373" s="110"/>
      <c r="RQB1373" s="110"/>
      <c r="RQC1373" s="110"/>
      <c r="RQD1373" s="110"/>
      <c r="RQE1373" s="110"/>
      <c r="RQF1373" s="110"/>
      <c r="RQG1373" s="110"/>
      <c r="RQH1373" s="110"/>
      <c r="RQI1373" s="110"/>
      <c r="RQJ1373" s="110"/>
      <c r="RQK1373" s="110"/>
      <c r="RQL1373" s="110"/>
      <c r="RQM1373" s="110"/>
      <c r="RQN1373" s="110"/>
      <c r="RQO1373" s="110"/>
      <c r="RQP1373" s="110"/>
      <c r="RQQ1373" s="110"/>
      <c r="RQR1373" s="110"/>
      <c r="RQS1373" s="110"/>
      <c r="RQT1373" s="110"/>
      <c r="RQU1373" s="110"/>
      <c r="RQV1373" s="110"/>
      <c r="RQW1373" s="110"/>
      <c r="RQX1373" s="110"/>
      <c r="RQY1373" s="110"/>
      <c r="RQZ1373" s="110"/>
      <c r="RRA1373" s="110"/>
      <c r="RRB1373" s="110"/>
      <c r="RRC1373" s="110"/>
      <c r="RRD1373" s="110"/>
      <c r="RRE1373" s="110"/>
      <c r="RRF1373" s="110"/>
      <c r="RRG1373" s="110"/>
      <c r="RRH1373" s="110"/>
      <c r="RRI1373" s="110"/>
      <c r="RRJ1373" s="110"/>
      <c r="RRK1373" s="110"/>
      <c r="RRL1373" s="110"/>
      <c r="RRM1373" s="110"/>
      <c r="RRN1373" s="110"/>
      <c r="RRO1373" s="110"/>
      <c r="RRP1373" s="110"/>
      <c r="RRQ1373" s="110"/>
      <c r="RRR1373" s="110"/>
      <c r="RRS1373" s="110"/>
      <c r="RRT1373" s="110"/>
      <c r="RRU1373" s="110"/>
      <c r="RRV1373" s="110"/>
      <c r="RRW1373" s="110"/>
      <c r="RRX1373" s="110"/>
      <c r="RRY1373" s="110"/>
      <c r="RRZ1373" s="110"/>
      <c r="RSA1373" s="110"/>
      <c r="RSB1373" s="110"/>
      <c r="RSC1373" s="110"/>
      <c r="RSD1373" s="110"/>
      <c r="RSE1373" s="110"/>
      <c r="RSF1373" s="110"/>
      <c r="RSG1373" s="110"/>
      <c r="RSH1373" s="110"/>
      <c r="RSI1373" s="110"/>
      <c r="RSJ1373" s="110"/>
      <c r="RSK1373" s="110"/>
      <c r="RSL1373" s="110"/>
      <c r="RSM1373" s="110"/>
      <c r="RSN1373" s="110"/>
      <c r="RSO1373" s="110"/>
      <c r="RSP1373" s="110"/>
      <c r="RSQ1373" s="110"/>
      <c r="RSR1373" s="110"/>
      <c r="RSS1373" s="110"/>
      <c r="RST1373" s="110"/>
      <c r="RSU1373" s="110"/>
      <c r="RSV1373" s="110"/>
      <c r="RSW1373" s="110"/>
      <c r="RSX1373" s="110"/>
      <c r="RSY1373" s="110"/>
      <c r="RSZ1373" s="110"/>
      <c r="RTA1373" s="110"/>
      <c r="RTB1373" s="110"/>
      <c r="RTC1373" s="110"/>
      <c r="RTD1373" s="110"/>
      <c r="RTE1373" s="110"/>
      <c r="RTF1373" s="110"/>
      <c r="RTG1373" s="110"/>
      <c r="RTH1373" s="110"/>
      <c r="RTI1373" s="110"/>
      <c r="RTJ1373" s="110"/>
      <c r="RTK1373" s="110"/>
      <c r="RTL1373" s="110"/>
      <c r="RTM1373" s="110"/>
      <c r="RTN1373" s="110"/>
      <c r="RTO1373" s="110"/>
      <c r="RTP1373" s="110"/>
      <c r="RTQ1373" s="110"/>
      <c r="RTR1373" s="110"/>
      <c r="RTS1373" s="110"/>
      <c r="RTT1373" s="110"/>
      <c r="RTU1373" s="110"/>
      <c r="RTV1373" s="110"/>
      <c r="RTW1373" s="110"/>
      <c r="RTX1373" s="110"/>
      <c r="RTY1373" s="110"/>
      <c r="RTZ1373" s="110"/>
      <c r="RUA1373" s="110"/>
      <c r="RUB1373" s="110"/>
      <c r="RUC1373" s="110"/>
      <c r="RUD1373" s="110"/>
      <c r="RUE1373" s="110"/>
      <c r="RUF1373" s="110"/>
      <c r="RUG1373" s="110"/>
      <c r="RUH1373" s="110"/>
      <c r="RUI1373" s="110"/>
      <c r="RUJ1373" s="110"/>
      <c r="RUK1373" s="110"/>
      <c r="RUL1373" s="110"/>
      <c r="RUM1373" s="110"/>
      <c r="RUN1373" s="110"/>
      <c r="RUO1373" s="110"/>
      <c r="RUP1373" s="110"/>
      <c r="RUQ1373" s="110"/>
      <c r="RUR1373" s="110"/>
      <c r="RUS1373" s="110"/>
      <c r="RUT1373" s="110"/>
      <c r="RUU1373" s="110"/>
      <c r="RUV1373" s="110"/>
      <c r="RUW1373" s="110"/>
      <c r="RUX1373" s="110"/>
      <c r="RUY1373" s="110"/>
      <c r="RUZ1373" s="110"/>
      <c r="RVA1373" s="110"/>
      <c r="RVB1373" s="110"/>
      <c r="RVC1373" s="110"/>
      <c r="RVD1373" s="110"/>
      <c r="RVE1373" s="110"/>
      <c r="RVF1373" s="110"/>
      <c r="RVG1373" s="110"/>
      <c r="RVH1373" s="110"/>
      <c r="RVI1373" s="110"/>
      <c r="RVJ1373" s="110"/>
      <c r="RVK1373" s="110"/>
      <c r="RVL1373" s="110"/>
      <c r="RVM1373" s="110"/>
      <c r="RVN1373" s="110"/>
      <c r="RVO1373" s="110"/>
      <c r="RVP1373" s="110"/>
      <c r="RVQ1373" s="110"/>
      <c r="RVR1373" s="110"/>
      <c r="RVS1373" s="110"/>
      <c r="RVT1373" s="110"/>
      <c r="RVU1373" s="110"/>
      <c r="RVV1373" s="110"/>
      <c r="RVW1373" s="110"/>
      <c r="RVX1373" s="110"/>
      <c r="RVY1373" s="110"/>
      <c r="RVZ1373" s="110"/>
      <c r="RWA1373" s="110"/>
      <c r="RWB1373" s="110"/>
      <c r="RWC1373" s="110"/>
      <c r="RWD1373" s="110"/>
      <c r="RWE1373" s="110"/>
      <c r="RWF1373" s="110"/>
      <c r="RWG1373" s="110"/>
      <c r="RWH1373" s="110"/>
      <c r="RWI1373" s="110"/>
      <c r="RWJ1373" s="110"/>
      <c r="RWK1373" s="110"/>
      <c r="RWL1373" s="110"/>
      <c r="RWM1373" s="110"/>
      <c r="RWN1373" s="110"/>
      <c r="RWO1373" s="110"/>
      <c r="RWP1373" s="110"/>
      <c r="RWQ1373" s="110"/>
      <c r="RWR1373" s="110"/>
      <c r="RWS1373" s="110"/>
      <c r="RWT1373" s="110"/>
      <c r="RWU1373" s="110"/>
      <c r="RWV1373" s="110"/>
      <c r="RWW1373" s="110"/>
      <c r="RWX1373" s="110"/>
      <c r="RWY1373" s="110"/>
      <c r="RWZ1373" s="110"/>
      <c r="RXA1373" s="110"/>
      <c r="RXB1373" s="110"/>
      <c r="RXC1373" s="110"/>
      <c r="RXD1373" s="110"/>
      <c r="RXE1373" s="110"/>
      <c r="RXF1373" s="110"/>
      <c r="RXG1373" s="110"/>
      <c r="RXH1373" s="110"/>
      <c r="RXI1373" s="110"/>
      <c r="RXJ1373" s="110"/>
      <c r="RXK1373" s="110"/>
      <c r="RXL1373" s="110"/>
      <c r="RXM1373" s="110"/>
      <c r="RXN1373" s="110"/>
      <c r="RXO1373" s="110"/>
      <c r="RXP1373" s="110"/>
      <c r="RXQ1373" s="110"/>
      <c r="RXR1373" s="110"/>
      <c r="RXS1373" s="110"/>
      <c r="RXT1373" s="110"/>
      <c r="RXU1373" s="110"/>
      <c r="RXV1373" s="110"/>
      <c r="RXW1373" s="110"/>
      <c r="RXX1373" s="110"/>
      <c r="RXY1373" s="110"/>
      <c r="RXZ1373" s="110"/>
      <c r="RYA1373" s="110"/>
      <c r="RYB1373" s="110"/>
      <c r="RYC1373" s="110"/>
      <c r="RYD1373" s="110"/>
      <c r="RYE1373" s="110"/>
      <c r="RYF1373" s="110"/>
      <c r="RYG1373" s="110"/>
      <c r="RYH1373" s="110"/>
      <c r="RYI1373" s="110"/>
      <c r="RYJ1373" s="110"/>
      <c r="RYK1373" s="110"/>
      <c r="RYL1373" s="110"/>
      <c r="RYM1373" s="110"/>
      <c r="RYN1373" s="110"/>
      <c r="RYO1373" s="110"/>
      <c r="RYP1373" s="110"/>
      <c r="RYQ1373" s="110"/>
      <c r="RYR1373" s="110"/>
      <c r="RYS1373" s="110"/>
      <c r="RYT1373" s="110"/>
      <c r="RYU1373" s="110"/>
      <c r="RYV1373" s="110"/>
      <c r="RYW1373" s="110"/>
      <c r="RYX1373" s="110"/>
      <c r="RYY1373" s="110"/>
      <c r="RYZ1373" s="110"/>
      <c r="RZA1373" s="110"/>
      <c r="RZB1373" s="110"/>
      <c r="RZC1373" s="110"/>
      <c r="RZD1373" s="110"/>
      <c r="RZE1373" s="110"/>
      <c r="RZF1373" s="110"/>
      <c r="RZG1373" s="110"/>
      <c r="RZH1373" s="110"/>
      <c r="RZI1373" s="110"/>
      <c r="RZJ1373" s="110"/>
      <c r="RZK1373" s="110"/>
      <c r="RZL1373" s="110"/>
      <c r="RZM1373" s="110"/>
      <c r="RZN1373" s="110"/>
      <c r="RZO1373" s="110"/>
      <c r="RZP1373" s="110"/>
      <c r="RZQ1373" s="110"/>
      <c r="RZR1373" s="110"/>
      <c r="RZS1373" s="110"/>
      <c r="RZT1373" s="110"/>
      <c r="RZU1373" s="110"/>
      <c r="RZV1373" s="110"/>
      <c r="RZW1373" s="110"/>
      <c r="RZX1373" s="110"/>
      <c r="RZY1373" s="110"/>
      <c r="RZZ1373" s="110"/>
      <c r="SAA1373" s="110"/>
      <c r="SAB1373" s="110"/>
      <c r="SAC1373" s="110"/>
      <c r="SAD1373" s="110"/>
      <c r="SAE1373" s="110"/>
      <c r="SAF1373" s="110"/>
      <c r="SAG1373" s="110"/>
      <c r="SAH1373" s="110"/>
      <c r="SAI1373" s="110"/>
      <c r="SAJ1373" s="110"/>
      <c r="SAK1373" s="110"/>
      <c r="SAL1373" s="110"/>
      <c r="SAM1373" s="110"/>
      <c r="SAN1373" s="110"/>
      <c r="SAO1373" s="110"/>
      <c r="SAP1373" s="110"/>
      <c r="SAQ1373" s="110"/>
      <c r="SAR1373" s="110"/>
      <c r="SAS1373" s="110"/>
      <c r="SAT1373" s="110"/>
      <c r="SAU1373" s="110"/>
      <c r="SAV1373" s="110"/>
      <c r="SAW1373" s="110"/>
      <c r="SAX1373" s="110"/>
      <c r="SAY1373" s="110"/>
      <c r="SAZ1373" s="110"/>
      <c r="SBA1373" s="110"/>
      <c r="SBB1373" s="110"/>
      <c r="SBC1373" s="110"/>
      <c r="SBD1373" s="110"/>
      <c r="SBE1373" s="110"/>
      <c r="SBF1373" s="110"/>
      <c r="SBG1373" s="110"/>
      <c r="SBH1373" s="110"/>
      <c r="SBI1373" s="110"/>
      <c r="SBJ1373" s="110"/>
      <c r="SBK1373" s="110"/>
      <c r="SBL1373" s="110"/>
      <c r="SBM1373" s="110"/>
      <c r="SBN1373" s="110"/>
      <c r="SBO1373" s="110"/>
      <c r="SBP1373" s="110"/>
      <c r="SBQ1373" s="110"/>
      <c r="SBR1373" s="110"/>
      <c r="SBS1373" s="110"/>
      <c r="SBT1373" s="110"/>
      <c r="SBU1373" s="110"/>
      <c r="SBV1373" s="110"/>
      <c r="SBW1373" s="110"/>
      <c r="SBX1373" s="110"/>
      <c r="SBY1373" s="110"/>
      <c r="SBZ1373" s="110"/>
      <c r="SCA1373" s="110"/>
      <c r="SCB1373" s="110"/>
      <c r="SCC1373" s="110"/>
      <c r="SCD1373" s="110"/>
      <c r="SCE1373" s="110"/>
      <c r="SCF1373" s="110"/>
      <c r="SCG1373" s="110"/>
      <c r="SCH1373" s="110"/>
      <c r="SCI1373" s="110"/>
      <c r="SCJ1373" s="110"/>
      <c r="SCK1373" s="110"/>
      <c r="SCL1373" s="110"/>
      <c r="SCM1373" s="110"/>
      <c r="SCN1373" s="110"/>
      <c r="SCO1373" s="110"/>
      <c r="SCP1373" s="110"/>
      <c r="SCQ1373" s="110"/>
      <c r="SCR1373" s="110"/>
      <c r="SCS1373" s="110"/>
      <c r="SCT1373" s="110"/>
      <c r="SCU1373" s="110"/>
      <c r="SCV1373" s="110"/>
      <c r="SCW1373" s="110"/>
      <c r="SCX1373" s="110"/>
      <c r="SCY1373" s="110"/>
      <c r="SCZ1373" s="110"/>
      <c r="SDA1373" s="110"/>
      <c r="SDB1373" s="110"/>
      <c r="SDC1373" s="110"/>
      <c r="SDD1373" s="110"/>
      <c r="SDE1373" s="110"/>
      <c r="SDF1373" s="110"/>
      <c r="SDG1373" s="110"/>
      <c r="SDH1373" s="110"/>
      <c r="SDI1373" s="110"/>
      <c r="SDJ1373" s="110"/>
      <c r="SDK1373" s="110"/>
      <c r="SDL1373" s="110"/>
      <c r="SDM1373" s="110"/>
      <c r="SDN1373" s="110"/>
      <c r="SDO1373" s="110"/>
      <c r="SDP1373" s="110"/>
      <c r="SDQ1373" s="110"/>
      <c r="SDR1373" s="110"/>
      <c r="SDS1373" s="110"/>
      <c r="SDT1373" s="110"/>
      <c r="SDU1373" s="110"/>
      <c r="SDV1373" s="110"/>
      <c r="SDW1373" s="110"/>
      <c r="SDX1373" s="110"/>
      <c r="SDY1373" s="110"/>
      <c r="SDZ1373" s="110"/>
      <c r="SEA1373" s="110"/>
      <c r="SEB1373" s="110"/>
      <c r="SEC1373" s="110"/>
      <c r="SED1373" s="110"/>
      <c r="SEE1373" s="110"/>
      <c r="SEF1373" s="110"/>
      <c r="SEG1373" s="110"/>
      <c r="SEH1373" s="110"/>
      <c r="SEI1373" s="110"/>
      <c r="SEJ1373" s="110"/>
      <c r="SEK1373" s="110"/>
      <c r="SEL1373" s="110"/>
      <c r="SEM1373" s="110"/>
      <c r="SEN1373" s="110"/>
      <c r="SEO1373" s="110"/>
      <c r="SEP1373" s="110"/>
      <c r="SEQ1373" s="110"/>
      <c r="SER1373" s="110"/>
      <c r="SES1373" s="110"/>
      <c r="SET1373" s="110"/>
      <c r="SEU1373" s="110"/>
      <c r="SEV1373" s="110"/>
      <c r="SEW1373" s="110"/>
      <c r="SEX1373" s="110"/>
      <c r="SEY1373" s="110"/>
      <c r="SEZ1373" s="110"/>
      <c r="SFA1373" s="110"/>
      <c r="SFB1373" s="110"/>
      <c r="SFC1373" s="110"/>
      <c r="SFD1373" s="110"/>
      <c r="SFE1373" s="110"/>
      <c r="SFF1373" s="110"/>
      <c r="SFG1373" s="110"/>
      <c r="SFH1373" s="110"/>
      <c r="SFI1373" s="110"/>
      <c r="SFJ1373" s="110"/>
      <c r="SFK1373" s="110"/>
      <c r="SFL1373" s="110"/>
      <c r="SFM1373" s="110"/>
      <c r="SFN1373" s="110"/>
      <c r="SFO1373" s="110"/>
      <c r="SFP1373" s="110"/>
      <c r="SFQ1373" s="110"/>
      <c r="SFR1373" s="110"/>
      <c r="SFS1373" s="110"/>
      <c r="SFT1373" s="110"/>
      <c r="SFU1373" s="110"/>
      <c r="SFV1373" s="110"/>
      <c r="SFW1373" s="110"/>
      <c r="SFX1373" s="110"/>
      <c r="SFY1373" s="110"/>
      <c r="SFZ1373" s="110"/>
      <c r="SGA1373" s="110"/>
      <c r="SGB1373" s="110"/>
      <c r="SGC1373" s="110"/>
      <c r="SGD1373" s="110"/>
      <c r="SGE1373" s="110"/>
      <c r="SGF1373" s="110"/>
      <c r="SGG1373" s="110"/>
      <c r="SGH1373" s="110"/>
      <c r="SGI1373" s="110"/>
      <c r="SGJ1373" s="110"/>
      <c r="SGK1373" s="110"/>
      <c r="SGL1373" s="110"/>
      <c r="SGM1373" s="110"/>
      <c r="SGN1373" s="110"/>
      <c r="SGO1373" s="110"/>
      <c r="SGP1373" s="110"/>
      <c r="SGQ1373" s="110"/>
      <c r="SGR1373" s="110"/>
      <c r="SGS1373" s="110"/>
      <c r="SGT1373" s="110"/>
      <c r="SGU1373" s="110"/>
      <c r="SGV1373" s="110"/>
      <c r="SGW1373" s="110"/>
      <c r="SGX1373" s="110"/>
      <c r="SGY1373" s="110"/>
      <c r="SGZ1373" s="110"/>
      <c r="SHA1373" s="110"/>
      <c r="SHB1373" s="110"/>
      <c r="SHC1373" s="110"/>
      <c r="SHD1373" s="110"/>
      <c r="SHE1373" s="110"/>
      <c r="SHF1373" s="110"/>
      <c r="SHG1373" s="110"/>
      <c r="SHH1373" s="110"/>
      <c r="SHI1373" s="110"/>
      <c r="SHJ1373" s="110"/>
      <c r="SHK1373" s="110"/>
      <c r="SHL1373" s="110"/>
      <c r="SHM1373" s="110"/>
      <c r="SHN1373" s="110"/>
      <c r="SHO1373" s="110"/>
      <c r="SHP1373" s="110"/>
      <c r="SHQ1373" s="110"/>
      <c r="SHR1373" s="110"/>
      <c r="SHS1373" s="110"/>
      <c r="SHT1373" s="110"/>
      <c r="SHU1373" s="110"/>
      <c r="SHV1373" s="110"/>
      <c r="SHW1373" s="110"/>
      <c r="SHX1373" s="110"/>
      <c r="SHY1373" s="110"/>
      <c r="SHZ1373" s="110"/>
      <c r="SIA1373" s="110"/>
      <c r="SIB1373" s="110"/>
      <c r="SIC1373" s="110"/>
      <c r="SID1373" s="110"/>
      <c r="SIE1373" s="110"/>
      <c r="SIF1373" s="110"/>
      <c r="SIG1373" s="110"/>
      <c r="SIH1373" s="110"/>
      <c r="SII1373" s="110"/>
      <c r="SIJ1373" s="110"/>
      <c r="SIK1373" s="110"/>
      <c r="SIL1373" s="110"/>
      <c r="SIM1373" s="110"/>
      <c r="SIN1373" s="110"/>
      <c r="SIO1373" s="110"/>
      <c r="SIP1373" s="110"/>
      <c r="SIQ1373" s="110"/>
      <c r="SIR1373" s="110"/>
      <c r="SIS1373" s="110"/>
      <c r="SIT1373" s="110"/>
      <c r="SIU1373" s="110"/>
      <c r="SIV1373" s="110"/>
      <c r="SIW1373" s="110"/>
      <c r="SIX1373" s="110"/>
      <c r="SIY1373" s="110"/>
      <c r="SIZ1373" s="110"/>
      <c r="SJA1373" s="110"/>
      <c r="SJB1373" s="110"/>
      <c r="SJC1373" s="110"/>
      <c r="SJD1373" s="110"/>
      <c r="SJE1373" s="110"/>
      <c r="SJF1373" s="110"/>
      <c r="SJG1373" s="110"/>
      <c r="SJH1373" s="110"/>
      <c r="SJI1373" s="110"/>
      <c r="SJJ1373" s="110"/>
      <c r="SJK1373" s="110"/>
      <c r="SJL1373" s="110"/>
      <c r="SJM1373" s="110"/>
      <c r="SJN1373" s="110"/>
      <c r="SJO1373" s="110"/>
      <c r="SJP1373" s="110"/>
      <c r="SJQ1373" s="110"/>
      <c r="SJR1373" s="110"/>
      <c r="SJS1373" s="110"/>
      <c r="SJT1373" s="110"/>
      <c r="SJU1373" s="110"/>
      <c r="SJV1373" s="110"/>
      <c r="SJW1373" s="110"/>
      <c r="SJX1373" s="110"/>
      <c r="SJY1373" s="110"/>
      <c r="SJZ1373" s="110"/>
      <c r="SKA1373" s="110"/>
      <c r="SKB1373" s="110"/>
      <c r="SKC1373" s="110"/>
      <c r="SKD1373" s="110"/>
      <c r="SKE1373" s="110"/>
      <c r="SKF1373" s="110"/>
      <c r="SKG1373" s="110"/>
      <c r="SKH1373" s="110"/>
      <c r="SKI1373" s="110"/>
      <c r="SKJ1373" s="110"/>
      <c r="SKK1373" s="110"/>
      <c r="SKL1373" s="110"/>
      <c r="SKM1373" s="110"/>
      <c r="SKN1373" s="110"/>
      <c r="SKO1373" s="110"/>
      <c r="SKP1373" s="110"/>
      <c r="SKQ1373" s="110"/>
      <c r="SKR1373" s="110"/>
      <c r="SKS1373" s="110"/>
      <c r="SKT1373" s="110"/>
      <c r="SKU1373" s="110"/>
      <c r="SKV1373" s="110"/>
      <c r="SKW1373" s="110"/>
      <c r="SKX1373" s="110"/>
      <c r="SKY1373" s="110"/>
      <c r="SKZ1373" s="110"/>
      <c r="SLA1373" s="110"/>
      <c r="SLB1373" s="110"/>
      <c r="SLC1373" s="110"/>
      <c r="SLD1373" s="110"/>
      <c r="SLE1373" s="110"/>
      <c r="SLF1373" s="110"/>
      <c r="SLG1373" s="110"/>
      <c r="SLH1373" s="110"/>
      <c r="SLI1373" s="110"/>
      <c r="SLJ1373" s="110"/>
      <c r="SLK1373" s="110"/>
      <c r="SLL1373" s="110"/>
      <c r="SLM1373" s="110"/>
      <c r="SLN1373" s="110"/>
      <c r="SLO1373" s="110"/>
      <c r="SLP1373" s="110"/>
      <c r="SLQ1373" s="110"/>
      <c r="SLR1373" s="110"/>
      <c r="SLS1373" s="110"/>
      <c r="SLT1373" s="110"/>
      <c r="SLU1373" s="110"/>
      <c r="SLV1373" s="110"/>
      <c r="SLW1373" s="110"/>
      <c r="SLX1373" s="110"/>
      <c r="SLY1373" s="110"/>
      <c r="SLZ1373" s="110"/>
      <c r="SMA1373" s="110"/>
      <c r="SMB1373" s="110"/>
      <c r="SMC1373" s="110"/>
      <c r="SMD1373" s="110"/>
      <c r="SME1373" s="110"/>
      <c r="SMF1373" s="110"/>
      <c r="SMG1373" s="110"/>
      <c r="SMH1373" s="110"/>
      <c r="SMI1373" s="110"/>
      <c r="SMJ1373" s="110"/>
      <c r="SMK1373" s="110"/>
      <c r="SML1373" s="110"/>
      <c r="SMM1373" s="110"/>
      <c r="SMN1373" s="110"/>
      <c r="SMO1373" s="110"/>
      <c r="SMP1373" s="110"/>
      <c r="SMQ1373" s="110"/>
      <c r="SMR1373" s="110"/>
      <c r="SMS1373" s="110"/>
      <c r="SMT1373" s="110"/>
      <c r="SMU1373" s="110"/>
      <c r="SMV1373" s="110"/>
      <c r="SMW1373" s="110"/>
      <c r="SMX1373" s="110"/>
      <c r="SMY1373" s="110"/>
      <c r="SMZ1373" s="110"/>
      <c r="SNA1373" s="110"/>
      <c r="SNB1373" s="110"/>
      <c r="SNC1373" s="110"/>
      <c r="SND1373" s="110"/>
      <c r="SNE1373" s="110"/>
      <c r="SNF1373" s="110"/>
      <c r="SNG1373" s="110"/>
      <c r="SNH1373" s="110"/>
      <c r="SNI1373" s="110"/>
      <c r="SNJ1373" s="110"/>
      <c r="SNK1373" s="110"/>
      <c r="SNL1373" s="110"/>
      <c r="SNM1373" s="110"/>
      <c r="SNN1373" s="110"/>
      <c r="SNO1373" s="110"/>
      <c r="SNP1373" s="110"/>
      <c r="SNQ1373" s="110"/>
      <c r="SNR1373" s="110"/>
      <c r="SNS1373" s="110"/>
      <c r="SNT1373" s="110"/>
      <c r="SNU1373" s="110"/>
      <c r="SNV1373" s="110"/>
      <c r="SNW1373" s="110"/>
      <c r="SNX1373" s="110"/>
      <c r="SNY1373" s="110"/>
      <c r="SNZ1373" s="110"/>
      <c r="SOA1373" s="110"/>
      <c r="SOB1373" s="110"/>
      <c r="SOC1373" s="110"/>
      <c r="SOD1373" s="110"/>
      <c r="SOE1373" s="110"/>
      <c r="SOF1373" s="110"/>
      <c r="SOG1373" s="110"/>
      <c r="SOH1373" s="110"/>
      <c r="SOI1373" s="110"/>
      <c r="SOJ1373" s="110"/>
      <c r="SOK1373" s="110"/>
      <c r="SOL1373" s="110"/>
      <c r="SOM1373" s="110"/>
      <c r="SON1373" s="110"/>
      <c r="SOO1373" s="110"/>
      <c r="SOP1373" s="110"/>
      <c r="SOQ1373" s="110"/>
      <c r="SOR1373" s="110"/>
      <c r="SOS1373" s="110"/>
      <c r="SOT1373" s="110"/>
      <c r="SOU1373" s="110"/>
      <c r="SOV1373" s="110"/>
      <c r="SOW1373" s="110"/>
      <c r="SOX1373" s="110"/>
      <c r="SOY1373" s="110"/>
      <c r="SOZ1373" s="110"/>
      <c r="SPA1373" s="110"/>
      <c r="SPB1373" s="110"/>
      <c r="SPC1373" s="110"/>
      <c r="SPD1373" s="110"/>
      <c r="SPE1373" s="110"/>
      <c r="SPF1373" s="110"/>
      <c r="SPG1373" s="110"/>
      <c r="SPH1373" s="110"/>
      <c r="SPI1373" s="110"/>
      <c r="SPJ1373" s="110"/>
      <c r="SPK1373" s="110"/>
      <c r="SPL1373" s="110"/>
      <c r="SPM1373" s="110"/>
      <c r="SPN1373" s="110"/>
      <c r="SPO1373" s="110"/>
      <c r="SPP1373" s="110"/>
      <c r="SPQ1373" s="110"/>
      <c r="SPR1373" s="110"/>
      <c r="SPS1373" s="110"/>
      <c r="SPT1373" s="110"/>
      <c r="SPU1373" s="110"/>
      <c r="SPV1373" s="110"/>
      <c r="SPW1373" s="110"/>
      <c r="SPX1373" s="110"/>
      <c r="SPY1373" s="110"/>
      <c r="SPZ1373" s="110"/>
      <c r="SQA1373" s="110"/>
      <c r="SQB1373" s="110"/>
      <c r="SQC1373" s="110"/>
      <c r="SQD1373" s="110"/>
      <c r="SQE1373" s="110"/>
      <c r="SQF1373" s="110"/>
      <c r="SQG1373" s="110"/>
      <c r="SQH1373" s="110"/>
      <c r="SQI1373" s="110"/>
      <c r="SQJ1373" s="110"/>
      <c r="SQK1373" s="110"/>
      <c r="SQL1373" s="110"/>
      <c r="SQM1373" s="110"/>
      <c r="SQN1373" s="110"/>
      <c r="SQO1373" s="110"/>
      <c r="SQP1373" s="110"/>
      <c r="SQQ1373" s="110"/>
      <c r="SQR1373" s="110"/>
      <c r="SQS1373" s="110"/>
      <c r="SQT1373" s="110"/>
      <c r="SQU1373" s="110"/>
      <c r="SQV1373" s="110"/>
      <c r="SQW1373" s="110"/>
      <c r="SQX1373" s="110"/>
      <c r="SQY1373" s="110"/>
      <c r="SQZ1373" s="110"/>
      <c r="SRA1373" s="110"/>
      <c r="SRB1373" s="110"/>
      <c r="SRC1373" s="110"/>
      <c r="SRD1373" s="110"/>
      <c r="SRE1373" s="110"/>
      <c r="SRF1373" s="110"/>
      <c r="SRG1373" s="110"/>
      <c r="SRH1373" s="110"/>
      <c r="SRI1373" s="110"/>
      <c r="SRJ1373" s="110"/>
      <c r="SRK1373" s="110"/>
      <c r="SRL1373" s="110"/>
      <c r="SRM1373" s="110"/>
      <c r="SRN1373" s="110"/>
      <c r="SRO1373" s="110"/>
      <c r="SRP1373" s="110"/>
      <c r="SRQ1373" s="110"/>
      <c r="SRR1373" s="110"/>
      <c r="SRS1373" s="110"/>
      <c r="SRT1373" s="110"/>
      <c r="SRU1373" s="110"/>
      <c r="SRV1373" s="110"/>
      <c r="SRW1373" s="110"/>
      <c r="SRX1373" s="110"/>
      <c r="SRY1373" s="110"/>
      <c r="SRZ1373" s="110"/>
      <c r="SSA1373" s="110"/>
      <c r="SSB1373" s="110"/>
      <c r="SSC1373" s="110"/>
      <c r="SSD1373" s="110"/>
      <c r="SSE1373" s="110"/>
      <c r="SSF1373" s="110"/>
      <c r="SSG1373" s="110"/>
      <c r="SSH1373" s="110"/>
      <c r="SSI1373" s="110"/>
      <c r="SSJ1373" s="110"/>
      <c r="SSK1373" s="110"/>
      <c r="SSL1373" s="110"/>
      <c r="SSM1373" s="110"/>
      <c r="SSN1373" s="110"/>
      <c r="SSO1373" s="110"/>
      <c r="SSP1373" s="110"/>
      <c r="SSQ1373" s="110"/>
      <c r="SSR1373" s="110"/>
      <c r="SSS1373" s="110"/>
      <c r="SST1373" s="110"/>
      <c r="SSU1373" s="110"/>
      <c r="SSV1373" s="110"/>
      <c r="SSW1373" s="110"/>
      <c r="SSX1373" s="110"/>
      <c r="SSY1373" s="110"/>
      <c r="SSZ1373" s="110"/>
      <c r="STA1373" s="110"/>
      <c r="STB1373" s="110"/>
      <c r="STC1373" s="110"/>
      <c r="STD1373" s="110"/>
      <c r="STE1373" s="110"/>
      <c r="STF1373" s="110"/>
      <c r="STG1373" s="110"/>
      <c r="STH1373" s="110"/>
      <c r="STI1373" s="110"/>
      <c r="STJ1373" s="110"/>
      <c r="STK1373" s="110"/>
      <c r="STL1373" s="110"/>
      <c r="STM1373" s="110"/>
      <c r="STN1373" s="110"/>
      <c r="STO1373" s="110"/>
      <c r="STP1373" s="110"/>
      <c r="STQ1373" s="110"/>
      <c r="STR1373" s="110"/>
      <c r="STS1373" s="110"/>
      <c r="STT1373" s="110"/>
      <c r="STU1373" s="110"/>
      <c r="STV1373" s="110"/>
      <c r="STW1373" s="110"/>
      <c r="STX1373" s="110"/>
      <c r="STY1373" s="110"/>
      <c r="STZ1373" s="110"/>
      <c r="SUA1373" s="110"/>
      <c r="SUB1373" s="110"/>
      <c r="SUC1373" s="110"/>
      <c r="SUD1373" s="110"/>
      <c r="SUE1373" s="110"/>
      <c r="SUF1373" s="110"/>
      <c r="SUG1373" s="110"/>
      <c r="SUH1373" s="110"/>
      <c r="SUI1373" s="110"/>
      <c r="SUJ1373" s="110"/>
      <c r="SUK1373" s="110"/>
      <c r="SUL1373" s="110"/>
      <c r="SUM1373" s="110"/>
      <c r="SUN1373" s="110"/>
      <c r="SUO1373" s="110"/>
      <c r="SUP1373" s="110"/>
      <c r="SUQ1373" s="110"/>
      <c r="SUR1373" s="110"/>
      <c r="SUS1373" s="110"/>
      <c r="SUT1373" s="110"/>
      <c r="SUU1373" s="110"/>
      <c r="SUV1373" s="110"/>
      <c r="SUW1373" s="110"/>
      <c r="SUX1373" s="110"/>
      <c r="SUY1373" s="110"/>
      <c r="SUZ1373" s="110"/>
      <c r="SVA1373" s="110"/>
      <c r="SVB1373" s="110"/>
      <c r="SVC1373" s="110"/>
      <c r="SVD1373" s="110"/>
      <c r="SVE1373" s="110"/>
      <c r="SVF1373" s="110"/>
      <c r="SVG1373" s="110"/>
      <c r="SVH1373" s="110"/>
      <c r="SVI1373" s="110"/>
      <c r="SVJ1373" s="110"/>
      <c r="SVK1373" s="110"/>
      <c r="SVL1373" s="110"/>
      <c r="SVM1373" s="110"/>
      <c r="SVN1373" s="110"/>
      <c r="SVO1373" s="110"/>
      <c r="SVP1373" s="110"/>
      <c r="SVQ1373" s="110"/>
      <c r="SVR1373" s="110"/>
      <c r="SVS1373" s="110"/>
      <c r="SVT1373" s="110"/>
      <c r="SVU1373" s="110"/>
      <c r="SVV1373" s="110"/>
      <c r="SVW1373" s="110"/>
      <c r="SVX1373" s="110"/>
      <c r="SVY1373" s="110"/>
      <c r="SVZ1373" s="110"/>
      <c r="SWA1373" s="110"/>
      <c r="SWB1373" s="110"/>
      <c r="SWC1373" s="110"/>
      <c r="SWD1373" s="110"/>
      <c r="SWE1373" s="110"/>
      <c r="SWF1373" s="110"/>
      <c r="SWG1373" s="110"/>
      <c r="SWH1373" s="110"/>
      <c r="SWI1373" s="110"/>
      <c r="SWJ1373" s="110"/>
      <c r="SWK1373" s="110"/>
      <c r="SWL1373" s="110"/>
      <c r="SWM1373" s="110"/>
      <c r="SWN1373" s="110"/>
      <c r="SWO1373" s="110"/>
      <c r="SWP1373" s="110"/>
      <c r="SWQ1373" s="110"/>
      <c r="SWR1373" s="110"/>
      <c r="SWS1373" s="110"/>
      <c r="SWT1373" s="110"/>
      <c r="SWU1373" s="110"/>
      <c r="SWV1373" s="110"/>
      <c r="SWW1373" s="110"/>
      <c r="SWX1373" s="110"/>
      <c r="SWY1373" s="110"/>
      <c r="SWZ1373" s="110"/>
      <c r="SXA1373" s="110"/>
      <c r="SXB1373" s="110"/>
      <c r="SXC1373" s="110"/>
      <c r="SXD1373" s="110"/>
      <c r="SXE1373" s="110"/>
      <c r="SXF1373" s="110"/>
      <c r="SXG1373" s="110"/>
      <c r="SXH1373" s="110"/>
      <c r="SXI1373" s="110"/>
      <c r="SXJ1373" s="110"/>
      <c r="SXK1373" s="110"/>
      <c r="SXL1373" s="110"/>
      <c r="SXM1373" s="110"/>
      <c r="SXN1373" s="110"/>
      <c r="SXO1373" s="110"/>
      <c r="SXP1373" s="110"/>
      <c r="SXQ1373" s="110"/>
      <c r="SXR1373" s="110"/>
      <c r="SXS1373" s="110"/>
      <c r="SXT1373" s="110"/>
      <c r="SXU1373" s="110"/>
      <c r="SXV1373" s="110"/>
      <c r="SXW1373" s="110"/>
      <c r="SXX1373" s="110"/>
      <c r="SXY1373" s="110"/>
      <c r="SXZ1373" s="110"/>
      <c r="SYA1373" s="110"/>
      <c r="SYB1373" s="110"/>
      <c r="SYC1373" s="110"/>
      <c r="SYD1373" s="110"/>
      <c r="SYE1373" s="110"/>
      <c r="SYF1373" s="110"/>
      <c r="SYG1373" s="110"/>
      <c r="SYH1373" s="110"/>
      <c r="SYI1373" s="110"/>
      <c r="SYJ1373" s="110"/>
      <c r="SYK1373" s="110"/>
      <c r="SYL1373" s="110"/>
      <c r="SYM1373" s="110"/>
      <c r="SYN1373" s="110"/>
      <c r="SYO1373" s="110"/>
      <c r="SYP1373" s="110"/>
      <c r="SYQ1373" s="110"/>
      <c r="SYR1373" s="110"/>
      <c r="SYS1373" s="110"/>
      <c r="SYT1373" s="110"/>
      <c r="SYU1373" s="110"/>
      <c r="SYV1373" s="110"/>
      <c r="SYW1373" s="110"/>
      <c r="SYX1373" s="110"/>
      <c r="SYY1373" s="110"/>
      <c r="SYZ1373" s="110"/>
      <c r="SZA1373" s="110"/>
      <c r="SZB1373" s="110"/>
      <c r="SZC1373" s="110"/>
      <c r="SZD1373" s="110"/>
      <c r="SZE1373" s="110"/>
      <c r="SZF1373" s="110"/>
      <c r="SZG1373" s="110"/>
      <c r="SZH1373" s="110"/>
      <c r="SZI1373" s="110"/>
      <c r="SZJ1373" s="110"/>
      <c r="SZK1373" s="110"/>
      <c r="SZL1373" s="110"/>
      <c r="SZM1373" s="110"/>
      <c r="SZN1373" s="110"/>
      <c r="SZO1373" s="110"/>
      <c r="SZP1373" s="110"/>
      <c r="SZQ1373" s="110"/>
      <c r="SZR1373" s="110"/>
      <c r="SZS1373" s="110"/>
      <c r="SZT1373" s="110"/>
      <c r="SZU1373" s="110"/>
      <c r="SZV1373" s="110"/>
      <c r="SZW1373" s="110"/>
      <c r="SZX1373" s="110"/>
      <c r="SZY1373" s="110"/>
      <c r="SZZ1373" s="110"/>
      <c r="TAA1373" s="110"/>
      <c r="TAB1373" s="110"/>
      <c r="TAC1373" s="110"/>
      <c r="TAD1373" s="110"/>
      <c r="TAE1373" s="110"/>
      <c r="TAF1373" s="110"/>
      <c r="TAG1373" s="110"/>
      <c r="TAH1373" s="110"/>
      <c r="TAI1373" s="110"/>
      <c r="TAJ1373" s="110"/>
      <c r="TAK1373" s="110"/>
      <c r="TAL1373" s="110"/>
      <c r="TAM1373" s="110"/>
      <c r="TAN1373" s="110"/>
      <c r="TAO1373" s="110"/>
      <c r="TAP1373" s="110"/>
      <c r="TAQ1373" s="110"/>
      <c r="TAR1373" s="110"/>
      <c r="TAS1373" s="110"/>
      <c r="TAT1373" s="110"/>
      <c r="TAU1373" s="110"/>
      <c r="TAV1373" s="110"/>
      <c r="TAW1373" s="110"/>
      <c r="TAX1373" s="110"/>
      <c r="TAY1373" s="110"/>
      <c r="TAZ1373" s="110"/>
      <c r="TBA1373" s="110"/>
      <c r="TBB1373" s="110"/>
      <c r="TBC1373" s="110"/>
      <c r="TBD1373" s="110"/>
      <c r="TBE1373" s="110"/>
      <c r="TBF1373" s="110"/>
      <c r="TBG1373" s="110"/>
      <c r="TBH1373" s="110"/>
      <c r="TBI1373" s="110"/>
      <c r="TBJ1373" s="110"/>
      <c r="TBK1373" s="110"/>
      <c r="TBL1373" s="110"/>
      <c r="TBM1373" s="110"/>
      <c r="TBN1373" s="110"/>
      <c r="TBO1373" s="110"/>
      <c r="TBP1373" s="110"/>
      <c r="TBQ1373" s="110"/>
      <c r="TBR1373" s="110"/>
      <c r="TBS1373" s="110"/>
      <c r="TBT1373" s="110"/>
      <c r="TBU1373" s="110"/>
      <c r="TBV1373" s="110"/>
      <c r="TBW1373" s="110"/>
      <c r="TBX1373" s="110"/>
      <c r="TBY1373" s="110"/>
      <c r="TBZ1373" s="110"/>
      <c r="TCA1373" s="110"/>
      <c r="TCB1373" s="110"/>
      <c r="TCC1373" s="110"/>
      <c r="TCD1373" s="110"/>
      <c r="TCE1373" s="110"/>
      <c r="TCF1373" s="110"/>
      <c r="TCG1373" s="110"/>
      <c r="TCH1373" s="110"/>
      <c r="TCI1373" s="110"/>
      <c r="TCJ1373" s="110"/>
      <c r="TCK1373" s="110"/>
      <c r="TCL1373" s="110"/>
      <c r="TCM1373" s="110"/>
      <c r="TCN1373" s="110"/>
      <c r="TCO1373" s="110"/>
      <c r="TCP1373" s="110"/>
      <c r="TCQ1373" s="110"/>
      <c r="TCR1373" s="110"/>
      <c r="TCS1373" s="110"/>
      <c r="TCT1373" s="110"/>
      <c r="TCU1373" s="110"/>
      <c r="TCV1373" s="110"/>
      <c r="TCW1373" s="110"/>
      <c r="TCX1373" s="110"/>
      <c r="TCY1373" s="110"/>
      <c r="TCZ1373" s="110"/>
      <c r="TDA1373" s="110"/>
      <c r="TDB1373" s="110"/>
      <c r="TDC1373" s="110"/>
      <c r="TDD1373" s="110"/>
      <c r="TDE1373" s="110"/>
      <c r="TDF1373" s="110"/>
      <c r="TDG1373" s="110"/>
      <c r="TDH1373" s="110"/>
      <c r="TDI1373" s="110"/>
      <c r="TDJ1373" s="110"/>
      <c r="TDK1373" s="110"/>
      <c r="TDL1373" s="110"/>
      <c r="TDM1373" s="110"/>
      <c r="TDN1373" s="110"/>
      <c r="TDO1373" s="110"/>
      <c r="TDP1373" s="110"/>
      <c r="TDQ1373" s="110"/>
      <c r="TDR1373" s="110"/>
      <c r="TDS1373" s="110"/>
      <c r="TDT1373" s="110"/>
      <c r="TDU1373" s="110"/>
      <c r="TDV1373" s="110"/>
      <c r="TDW1373" s="110"/>
      <c r="TDX1373" s="110"/>
      <c r="TDY1373" s="110"/>
      <c r="TDZ1373" s="110"/>
      <c r="TEA1373" s="110"/>
      <c r="TEB1373" s="110"/>
      <c r="TEC1373" s="110"/>
      <c r="TED1373" s="110"/>
      <c r="TEE1373" s="110"/>
      <c r="TEF1373" s="110"/>
      <c r="TEG1373" s="110"/>
      <c r="TEH1373" s="110"/>
      <c r="TEI1373" s="110"/>
      <c r="TEJ1373" s="110"/>
      <c r="TEK1373" s="110"/>
      <c r="TEL1373" s="110"/>
      <c r="TEM1373" s="110"/>
      <c r="TEN1373" s="110"/>
      <c r="TEO1373" s="110"/>
      <c r="TEP1373" s="110"/>
      <c r="TEQ1373" s="110"/>
      <c r="TER1373" s="110"/>
      <c r="TES1373" s="110"/>
      <c r="TET1373" s="110"/>
      <c r="TEU1373" s="110"/>
      <c r="TEV1373" s="110"/>
      <c r="TEW1373" s="110"/>
      <c r="TEX1373" s="110"/>
      <c r="TEY1373" s="110"/>
      <c r="TEZ1373" s="110"/>
      <c r="TFA1373" s="110"/>
      <c r="TFB1373" s="110"/>
      <c r="TFC1373" s="110"/>
      <c r="TFD1373" s="110"/>
      <c r="TFE1373" s="110"/>
      <c r="TFF1373" s="110"/>
      <c r="TFG1373" s="110"/>
      <c r="TFH1373" s="110"/>
      <c r="TFI1373" s="110"/>
      <c r="TFJ1373" s="110"/>
      <c r="TFK1373" s="110"/>
      <c r="TFL1373" s="110"/>
      <c r="TFM1373" s="110"/>
      <c r="TFN1373" s="110"/>
      <c r="TFO1373" s="110"/>
      <c r="TFP1373" s="110"/>
      <c r="TFQ1373" s="110"/>
      <c r="TFR1373" s="110"/>
      <c r="TFS1373" s="110"/>
      <c r="TFT1373" s="110"/>
      <c r="TFU1373" s="110"/>
      <c r="TFV1373" s="110"/>
      <c r="TFW1373" s="110"/>
      <c r="TFX1373" s="110"/>
      <c r="TFY1373" s="110"/>
      <c r="TFZ1373" s="110"/>
      <c r="TGA1373" s="110"/>
      <c r="TGB1373" s="110"/>
      <c r="TGC1373" s="110"/>
      <c r="TGD1373" s="110"/>
      <c r="TGE1373" s="110"/>
      <c r="TGF1373" s="110"/>
      <c r="TGG1373" s="110"/>
      <c r="TGH1373" s="110"/>
      <c r="TGI1373" s="110"/>
      <c r="TGJ1373" s="110"/>
      <c r="TGK1373" s="110"/>
      <c r="TGL1373" s="110"/>
      <c r="TGM1373" s="110"/>
      <c r="TGN1373" s="110"/>
      <c r="TGO1373" s="110"/>
      <c r="TGP1373" s="110"/>
      <c r="TGQ1373" s="110"/>
      <c r="TGR1373" s="110"/>
      <c r="TGS1373" s="110"/>
      <c r="TGT1373" s="110"/>
      <c r="TGU1373" s="110"/>
      <c r="TGV1373" s="110"/>
      <c r="TGW1373" s="110"/>
      <c r="TGX1373" s="110"/>
      <c r="TGY1373" s="110"/>
      <c r="TGZ1373" s="110"/>
      <c r="THA1373" s="110"/>
      <c r="THB1373" s="110"/>
      <c r="THC1373" s="110"/>
      <c r="THD1373" s="110"/>
      <c r="THE1373" s="110"/>
      <c r="THF1373" s="110"/>
      <c r="THG1373" s="110"/>
      <c r="THH1373" s="110"/>
      <c r="THI1373" s="110"/>
      <c r="THJ1373" s="110"/>
      <c r="THK1373" s="110"/>
      <c r="THL1373" s="110"/>
      <c r="THM1373" s="110"/>
      <c r="THN1373" s="110"/>
      <c r="THO1373" s="110"/>
      <c r="THP1373" s="110"/>
      <c r="THQ1373" s="110"/>
      <c r="THR1373" s="110"/>
      <c r="THS1373" s="110"/>
      <c r="THT1373" s="110"/>
      <c r="THU1373" s="110"/>
      <c r="THV1373" s="110"/>
      <c r="THW1373" s="110"/>
      <c r="THX1373" s="110"/>
      <c r="THY1373" s="110"/>
      <c r="THZ1373" s="110"/>
      <c r="TIA1373" s="110"/>
      <c r="TIB1373" s="110"/>
      <c r="TIC1373" s="110"/>
      <c r="TID1373" s="110"/>
      <c r="TIE1373" s="110"/>
      <c r="TIF1373" s="110"/>
      <c r="TIG1373" s="110"/>
      <c r="TIH1373" s="110"/>
      <c r="TII1373" s="110"/>
      <c r="TIJ1373" s="110"/>
      <c r="TIK1373" s="110"/>
      <c r="TIL1373" s="110"/>
      <c r="TIM1373" s="110"/>
      <c r="TIN1373" s="110"/>
      <c r="TIO1373" s="110"/>
      <c r="TIP1373" s="110"/>
      <c r="TIQ1373" s="110"/>
      <c r="TIR1373" s="110"/>
      <c r="TIS1373" s="110"/>
      <c r="TIT1373" s="110"/>
      <c r="TIU1373" s="110"/>
      <c r="TIV1373" s="110"/>
      <c r="TIW1373" s="110"/>
      <c r="TIX1373" s="110"/>
      <c r="TIY1373" s="110"/>
      <c r="TIZ1373" s="110"/>
      <c r="TJA1373" s="110"/>
      <c r="TJB1373" s="110"/>
      <c r="TJC1373" s="110"/>
      <c r="TJD1373" s="110"/>
      <c r="TJE1373" s="110"/>
      <c r="TJF1373" s="110"/>
      <c r="TJG1373" s="110"/>
      <c r="TJH1373" s="110"/>
      <c r="TJI1373" s="110"/>
      <c r="TJJ1373" s="110"/>
      <c r="TJK1373" s="110"/>
      <c r="TJL1373" s="110"/>
      <c r="TJM1373" s="110"/>
      <c r="TJN1373" s="110"/>
      <c r="TJO1373" s="110"/>
      <c r="TJP1373" s="110"/>
      <c r="TJQ1373" s="110"/>
      <c r="TJR1373" s="110"/>
      <c r="TJS1373" s="110"/>
      <c r="TJT1373" s="110"/>
      <c r="TJU1373" s="110"/>
      <c r="TJV1373" s="110"/>
      <c r="TJW1373" s="110"/>
      <c r="TJX1373" s="110"/>
      <c r="TJY1373" s="110"/>
      <c r="TJZ1373" s="110"/>
      <c r="TKA1373" s="110"/>
      <c r="TKB1373" s="110"/>
      <c r="TKC1373" s="110"/>
      <c r="TKD1373" s="110"/>
      <c r="TKE1373" s="110"/>
      <c r="TKF1373" s="110"/>
      <c r="TKG1373" s="110"/>
      <c r="TKH1373" s="110"/>
      <c r="TKI1373" s="110"/>
      <c r="TKJ1373" s="110"/>
      <c r="TKK1373" s="110"/>
      <c r="TKL1373" s="110"/>
      <c r="TKM1373" s="110"/>
      <c r="TKN1373" s="110"/>
      <c r="TKO1373" s="110"/>
      <c r="TKP1373" s="110"/>
      <c r="TKQ1373" s="110"/>
      <c r="TKR1373" s="110"/>
      <c r="TKS1373" s="110"/>
      <c r="TKT1373" s="110"/>
      <c r="TKU1373" s="110"/>
      <c r="TKV1373" s="110"/>
      <c r="TKW1373" s="110"/>
      <c r="TKX1373" s="110"/>
      <c r="TKY1373" s="110"/>
      <c r="TKZ1373" s="110"/>
      <c r="TLA1373" s="110"/>
      <c r="TLB1373" s="110"/>
      <c r="TLC1373" s="110"/>
      <c r="TLD1373" s="110"/>
      <c r="TLE1373" s="110"/>
      <c r="TLF1373" s="110"/>
      <c r="TLG1373" s="110"/>
      <c r="TLH1373" s="110"/>
      <c r="TLI1373" s="110"/>
      <c r="TLJ1373" s="110"/>
      <c r="TLK1373" s="110"/>
      <c r="TLL1373" s="110"/>
      <c r="TLM1373" s="110"/>
      <c r="TLN1373" s="110"/>
      <c r="TLO1373" s="110"/>
      <c r="TLP1373" s="110"/>
      <c r="TLQ1373" s="110"/>
      <c r="TLR1373" s="110"/>
      <c r="TLS1373" s="110"/>
      <c r="TLT1373" s="110"/>
      <c r="TLU1373" s="110"/>
      <c r="TLV1373" s="110"/>
      <c r="TLW1373" s="110"/>
      <c r="TLX1373" s="110"/>
      <c r="TLY1373" s="110"/>
      <c r="TLZ1373" s="110"/>
      <c r="TMA1373" s="110"/>
      <c r="TMB1373" s="110"/>
      <c r="TMC1373" s="110"/>
      <c r="TMD1373" s="110"/>
      <c r="TME1373" s="110"/>
      <c r="TMF1373" s="110"/>
      <c r="TMG1373" s="110"/>
      <c r="TMH1373" s="110"/>
      <c r="TMI1373" s="110"/>
      <c r="TMJ1373" s="110"/>
      <c r="TMK1373" s="110"/>
      <c r="TML1373" s="110"/>
      <c r="TMM1373" s="110"/>
      <c r="TMN1373" s="110"/>
      <c r="TMO1373" s="110"/>
      <c r="TMP1373" s="110"/>
      <c r="TMQ1373" s="110"/>
      <c r="TMR1373" s="110"/>
      <c r="TMS1373" s="110"/>
      <c r="TMT1373" s="110"/>
      <c r="TMU1373" s="110"/>
      <c r="TMV1373" s="110"/>
      <c r="TMW1373" s="110"/>
      <c r="TMX1373" s="110"/>
      <c r="TMY1373" s="110"/>
      <c r="TMZ1373" s="110"/>
      <c r="TNA1373" s="110"/>
      <c r="TNB1373" s="110"/>
      <c r="TNC1373" s="110"/>
      <c r="TND1373" s="110"/>
      <c r="TNE1373" s="110"/>
      <c r="TNF1373" s="110"/>
      <c r="TNG1373" s="110"/>
      <c r="TNH1373" s="110"/>
      <c r="TNI1373" s="110"/>
      <c r="TNJ1373" s="110"/>
      <c r="TNK1373" s="110"/>
      <c r="TNL1373" s="110"/>
      <c r="TNM1373" s="110"/>
      <c r="TNN1373" s="110"/>
      <c r="TNO1373" s="110"/>
      <c r="TNP1373" s="110"/>
      <c r="TNQ1373" s="110"/>
      <c r="TNR1373" s="110"/>
      <c r="TNS1373" s="110"/>
      <c r="TNT1373" s="110"/>
      <c r="TNU1373" s="110"/>
      <c r="TNV1373" s="110"/>
      <c r="TNW1373" s="110"/>
      <c r="TNX1373" s="110"/>
      <c r="TNY1373" s="110"/>
      <c r="TNZ1373" s="110"/>
      <c r="TOA1373" s="110"/>
      <c r="TOB1373" s="110"/>
      <c r="TOC1373" s="110"/>
      <c r="TOD1373" s="110"/>
      <c r="TOE1373" s="110"/>
      <c r="TOF1373" s="110"/>
      <c r="TOG1373" s="110"/>
      <c r="TOH1373" s="110"/>
      <c r="TOI1373" s="110"/>
      <c r="TOJ1373" s="110"/>
      <c r="TOK1373" s="110"/>
      <c r="TOL1373" s="110"/>
      <c r="TOM1373" s="110"/>
      <c r="TON1373" s="110"/>
      <c r="TOO1373" s="110"/>
      <c r="TOP1373" s="110"/>
      <c r="TOQ1373" s="110"/>
      <c r="TOR1373" s="110"/>
      <c r="TOS1373" s="110"/>
      <c r="TOT1373" s="110"/>
      <c r="TOU1373" s="110"/>
      <c r="TOV1373" s="110"/>
      <c r="TOW1373" s="110"/>
      <c r="TOX1373" s="110"/>
      <c r="TOY1373" s="110"/>
      <c r="TOZ1373" s="110"/>
      <c r="TPA1373" s="110"/>
      <c r="TPB1373" s="110"/>
      <c r="TPC1373" s="110"/>
      <c r="TPD1373" s="110"/>
      <c r="TPE1373" s="110"/>
      <c r="TPF1373" s="110"/>
      <c r="TPG1373" s="110"/>
      <c r="TPH1373" s="110"/>
      <c r="TPI1373" s="110"/>
      <c r="TPJ1373" s="110"/>
      <c r="TPK1373" s="110"/>
      <c r="TPL1373" s="110"/>
      <c r="TPM1373" s="110"/>
      <c r="TPN1373" s="110"/>
      <c r="TPO1373" s="110"/>
      <c r="TPP1373" s="110"/>
      <c r="TPQ1373" s="110"/>
      <c r="TPR1373" s="110"/>
      <c r="TPS1373" s="110"/>
      <c r="TPT1373" s="110"/>
      <c r="TPU1373" s="110"/>
      <c r="TPV1373" s="110"/>
      <c r="TPW1373" s="110"/>
      <c r="TPX1373" s="110"/>
      <c r="TPY1373" s="110"/>
      <c r="TPZ1373" s="110"/>
      <c r="TQA1373" s="110"/>
      <c r="TQB1373" s="110"/>
      <c r="TQC1373" s="110"/>
      <c r="TQD1373" s="110"/>
      <c r="TQE1373" s="110"/>
      <c r="TQF1373" s="110"/>
      <c r="TQG1373" s="110"/>
      <c r="TQH1373" s="110"/>
      <c r="TQI1373" s="110"/>
      <c r="TQJ1373" s="110"/>
      <c r="TQK1373" s="110"/>
      <c r="TQL1373" s="110"/>
      <c r="TQM1373" s="110"/>
      <c r="TQN1373" s="110"/>
      <c r="TQO1373" s="110"/>
      <c r="TQP1373" s="110"/>
      <c r="TQQ1373" s="110"/>
      <c r="TQR1373" s="110"/>
      <c r="TQS1373" s="110"/>
      <c r="TQT1373" s="110"/>
      <c r="TQU1373" s="110"/>
      <c r="TQV1373" s="110"/>
      <c r="TQW1373" s="110"/>
      <c r="TQX1373" s="110"/>
      <c r="TQY1373" s="110"/>
      <c r="TQZ1373" s="110"/>
      <c r="TRA1373" s="110"/>
      <c r="TRB1373" s="110"/>
      <c r="TRC1373" s="110"/>
      <c r="TRD1373" s="110"/>
      <c r="TRE1373" s="110"/>
      <c r="TRF1373" s="110"/>
      <c r="TRG1373" s="110"/>
      <c r="TRH1373" s="110"/>
      <c r="TRI1373" s="110"/>
      <c r="TRJ1373" s="110"/>
      <c r="TRK1373" s="110"/>
      <c r="TRL1373" s="110"/>
      <c r="TRM1373" s="110"/>
      <c r="TRN1373" s="110"/>
      <c r="TRO1373" s="110"/>
      <c r="TRP1373" s="110"/>
      <c r="TRQ1373" s="110"/>
      <c r="TRR1373" s="110"/>
      <c r="TRS1373" s="110"/>
      <c r="TRT1373" s="110"/>
      <c r="TRU1373" s="110"/>
      <c r="TRV1373" s="110"/>
      <c r="TRW1373" s="110"/>
      <c r="TRX1373" s="110"/>
      <c r="TRY1373" s="110"/>
      <c r="TRZ1373" s="110"/>
      <c r="TSA1373" s="110"/>
      <c r="TSB1373" s="110"/>
      <c r="TSC1373" s="110"/>
      <c r="TSD1373" s="110"/>
      <c r="TSE1373" s="110"/>
      <c r="TSF1373" s="110"/>
      <c r="TSG1373" s="110"/>
      <c r="TSH1373" s="110"/>
      <c r="TSI1373" s="110"/>
      <c r="TSJ1373" s="110"/>
      <c r="TSK1373" s="110"/>
      <c r="TSL1373" s="110"/>
      <c r="TSM1373" s="110"/>
      <c r="TSN1373" s="110"/>
      <c r="TSO1373" s="110"/>
      <c r="TSP1373" s="110"/>
      <c r="TSQ1373" s="110"/>
      <c r="TSR1373" s="110"/>
      <c r="TSS1373" s="110"/>
      <c r="TST1373" s="110"/>
      <c r="TSU1373" s="110"/>
      <c r="TSV1373" s="110"/>
      <c r="TSW1373" s="110"/>
      <c r="TSX1373" s="110"/>
      <c r="TSY1373" s="110"/>
      <c r="TSZ1373" s="110"/>
      <c r="TTA1373" s="110"/>
      <c r="TTB1373" s="110"/>
      <c r="TTC1373" s="110"/>
      <c r="TTD1373" s="110"/>
      <c r="TTE1373" s="110"/>
      <c r="TTF1373" s="110"/>
      <c r="TTG1373" s="110"/>
      <c r="TTH1373" s="110"/>
      <c r="TTI1373" s="110"/>
      <c r="TTJ1373" s="110"/>
      <c r="TTK1373" s="110"/>
      <c r="TTL1373" s="110"/>
      <c r="TTM1373" s="110"/>
      <c r="TTN1373" s="110"/>
      <c r="TTO1373" s="110"/>
      <c r="TTP1373" s="110"/>
      <c r="TTQ1373" s="110"/>
      <c r="TTR1373" s="110"/>
      <c r="TTS1373" s="110"/>
      <c r="TTT1373" s="110"/>
      <c r="TTU1373" s="110"/>
      <c r="TTV1373" s="110"/>
      <c r="TTW1373" s="110"/>
      <c r="TTX1373" s="110"/>
      <c r="TTY1373" s="110"/>
      <c r="TTZ1373" s="110"/>
      <c r="TUA1373" s="110"/>
      <c r="TUB1373" s="110"/>
      <c r="TUC1373" s="110"/>
      <c r="TUD1373" s="110"/>
      <c r="TUE1373" s="110"/>
      <c r="TUF1373" s="110"/>
      <c r="TUG1373" s="110"/>
      <c r="TUH1373" s="110"/>
      <c r="TUI1373" s="110"/>
      <c r="TUJ1373" s="110"/>
      <c r="TUK1373" s="110"/>
      <c r="TUL1373" s="110"/>
      <c r="TUM1373" s="110"/>
      <c r="TUN1373" s="110"/>
      <c r="TUO1373" s="110"/>
      <c r="TUP1373" s="110"/>
      <c r="TUQ1373" s="110"/>
      <c r="TUR1373" s="110"/>
      <c r="TUS1373" s="110"/>
      <c r="TUT1373" s="110"/>
      <c r="TUU1373" s="110"/>
      <c r="TUV1373" s="110"/>
      <c r="TUW1373" s="110"/>
      <c r="TUX1373" s="110"/>
      <c r="TUY1373" s="110"/>
      <c r="TUZ1373" s="110"/>
      <c r="TVA1373" s="110"/>
      <c r="TVB1373" s="110"/>
      <c r="TVC1373" s="110"/>
      <c r="TVD1373" s="110"/>
      <c r="TVE1373" s="110"/>
      <c r="TVF1373" s="110"/>
      <c r="TVG1373" s="110"/>
      <c r="TVH1373" s="110"/>
      <c r="TVI1373" s="110"/>
      <c r="TVJ1373" s="110"/>
      <c r="TVK1373" s="110"/>
      <c r="TVL1373" s="110"/>
      <c r="TVM1373" s="110"/>
      <c r="TVN1373" s="110"/>
      <c r="TVO1373" s="110"/>
      <c r="TVP1373" s="110"/>
      <c r="TVQ1373" s="110"/>
      <c r="TVR1373" s="110"/>
      <c r="TVS1373" s="110"/>
      <c r="TVT1373" s="110"/>
      <c r="TVU1373" s="110"/>
      <c r="TVV1373" s="110"/>
      <c r="TVW1373" s="110"/>
      <c r="TVX1373" s="110"/>
      <c r="TVY1373" s="110"/>
      <c r="TVZ1373" s="110"/>
      <c r="TWA1373" s="110"/>
      <c r="TWB1373" s="110"/>
      <c r="TWC1373" s="110"/>
      <c r="TWD1373" s="110"/>
      <c r="TWE1373" s="110"/>
      <c r="TWF1373" s="110"/>
      <c r="TWG1373" s="110"/>
      <c r="TWH1373" s="110"/>
      <c r="TWI1373" s="110"/>
      <c r="TWJ1373" s="110"/>
      <c r="TWK1373" s="110"/>
      <c r="TWL1373" s="110"/>
      <c r="TWM1373" s="110"/>
      <c r="TWN1373" s="110"/>
      <c r="TWO1373" s="110"/>
      <c r="TWP1373" s="110"/>
      <c r="TWQ1373" s="110"/>
      <c r="TWR1373" s="110"/>
      <c r="TWS1373" s="110"/>
      <c r="TWT1373" s="110"/>
      <c r="TWU1373" s="110"/>
      <c r="TWV1373" s="110"/>
      <c r="TWW1373" s="110"/>
      <c r="TWX1373" s="110"/>
      <c r="TWY1373" s="110"/>
      <c r="TWZ1373" s="110"/>
      <c r="TXA1373" s="110"/>
      <c r="TXB1373" s="110"/>
      <c r="TXC1373" s="110"/>
      <c r="TXD1373" s="110"/>
      <c r="TXE1373" s="110"/>
      <c r="TXF1373" s="110"/>
      <c r="TXG1373" s="110"/>
      <c r="TXH1373" s="110"/>
      <c r="TXI1373" s="110"/>
      <c r="TXJ1373" s="110"/>
      <c r="TXK1373" s="110"/>
      <c r="TXL1373" s="110"/>
      <c r="TXM1373" s="110"/>
      <c r="TXN1373" s="110"/>
      <c r="TXO1373" s="110"/>
      <c r="TXP1373" s="110"/>
      <c r="TXQ1373" s="110"/>
      <c r="TXR1373" s="110"/>
      <c r="TXS1373" s="110"/>
      <c r="TXT1373" s="110"/>
      <c r="TXU1373" s="110"/>
      <c r="TXV1373" s="110"/>
      <c r="TXW1373" s="110"/>
      <c r="TXX1373" s="110"/>
      <c r="TXY1373" s="110"/>
      <c r="TXZ1373" s="110"/>
      <c r="TYA1373" s="110"/>
      <c r="TYB1373" s="110"/>
      <c r="TYC1373" s="110"/>
      <c r="TYD1373" s="110"/>
      <c r="TYE1373" s="110"/>
      <c r="TYF1373" s="110"/>
      <c r="TYG1373" s="110"/>
      <c r="TYH1373" s="110"/>
      <c r="TYI1373" s="110"/>
      <c r="TYJ1373" s="110"/>
      <c r="TYK1373" s="110"/>
      <c r="TYL1373" s="110"/>
      <c r="TYM1373" s="110"/>
      <c r="TYN1373" s="110"/>
      <c r="TYO1373" s="110"/>
      <c r="TYP1373" s="110"/>
      <c r="TYQ1373" s="110"/>
      <c r="TYR1373" s="110"/>
      <c r="TYS1373" s="110"/>
      <c r="TYT1373" s="110"/>
      <c r="TYU1373" s="110"/>
      <c r="TYV1373" s="110"/>
      <c r="TYW1373" s="110"/>
      <c r="TYX1373" s="110"/>
      <c r="TYY1373" s="110"/>
      <c r="TYZ1373" s="110"/>
      <c r="TZA1373" s="110"/>
      <c r="TZB1373" s="110"/>
      <c r="TZC1373" s="110"/>
      <c r="TZD1373" s="110"/>
      <c r="TZE1373" s="110"/>
      <c r="TZF1373" s="110"/>
      <c r="TZG1373" s="110"/>
      <c r="TZH1373" s="110"/>
      <c r="TZI1373" s="110"/>
      <c r="TZJ1373" s="110"/>
      <c r="TZK1373" s="110"/>
      <c r="TZL1373" s="110"/>
      <c r="TZM1373" s="110"/>
      <c r="TZN1373" s="110"/>
      <c r="TZO1373" s="110"/>
      <c r="TZP1373" s="110"/>
      <c r="TZQ1373" s="110"/>
      <c r="TZR1373" s="110"/>
      <c r="TZS1373" s="110"/>
      <c r="TZT1373" s="110"/>
      <c r="TZU1373" s="110"/>
      <c r="TZV1373" s="110"/>
      <c r="TZW1373" s="110"/>
      <c r="TZX1373" s="110"/>
      <c r="TZY1373" s="110"/>
      <c r="TZZ1373" s="110"/>
      <c r="UAA1373" s="110"/>
      <c r="UAB1373" s="110"/>
      <c r="UAC1373" s="110"/>
      <c r="UAD1373" s="110"/>
      <c r="UAE1373" s="110"/>
      <c r="UAF1373" s="110"/>
      <c r="UAG1373" s="110"/>
      <c r="UAH1373" s="110"/>
      <c r="UAI1373" s="110"/>
      <c r="UAJ1373" s="110"/>
      <c r="UAK1373" s="110"/>
      <c r="UAL1373" s="110"/>
      <c r="UAM1373" s="110"/>
      <c r="UAN1373" s="110"/>
      <c r="UAO1373" s="110"/>
      <c r="UAP1373" s="110"/>
      <c r="UAQ1373" s="110"/>
      <c r="UAR1373" s="110"/>
      <c r="UAS1373" s="110"/>
      <c r="UAT1373" s="110"/>
      <c r="UAU1373" s="110"/>
      <c r="UAV1373" s="110"/>
      <c r="UAW1373" s="110"/>
      <c r="UAX1373" s="110"/>
      <c r="UAY1373" s="110"/>
      <c r="UAZ1373" s="110"/>
      <c r="UBA1373" s="110"/>
      <c r="UBB1373" s="110"/>
      <c r="UBC1373" s="110"/>
      <c r="UBD1373" s="110"/>
      <c r="UBE1373" s="110"/>
      <c r="UBF1373" s="110"/>
      <c r="UBG1373" s="110"/>
      <c r="UBH1373" s="110"/>
      <c r="UBI1373" s="110"/>
      <c r="UBJ1373" s="110"/>
      <c r="UBK1373" s="110"/>
      <c r="UBL1373" s="110"/>
      <c r="UBM1373" s="110"/>
      <c r="UBN1373" s="110"/>
      <c r="UBO1373" s="110"/>
      <c r="UBP1373" s="110"/>
      <c r="UBQ1373" s="110"/>
      <c r="UBR1373" s="110"/>
      <c r="UBS1373" s="110"/>
      <c r="UBT1373" s="110"/>
      <c r="UBU1373" s="110"/>
      <c r="UBV1373" s="110"/>
      <c r="UBW1373" s="110"/>
      <c r="UBX1373" s="110"/>
      <c r="UBY1373" s="110"/>
      <c r="UBZ1373" s="110"/>
      <c r="UCA1373" s="110"/>
      <c r="UCB1373" s="110"/>
      <c r="UCC1373" s="110"/>
      <c r="UCD1373" s="110"/>
      <c r="UCE1373" s="110"/>
      <c r="UCF1373" s="110"/>
      <c r="UCG1373" s="110"/>
      <c r="UCH1373" s="110"/>
      <c r="UCI1373" s="110"/>
      <c r="UCJ1373" s="110"/>
      <c r="UCK1373" s="110"/>
      <c r="UCL1373" s="110"/>
      <c r="UCM1373" s="110"/>
      <c r="UCN1373" s="110"/>
      <c r="UCO1373" s="110"/>
      <c r="UCP1373" s="110"/>
      <c r="UCQ1373" s="110"/>
      <c r="UCR1373" s="110"/>
      <c r="UCS1373" s="110"/>
      <c r="UCT1373" s="110"/>
      <c r="UCU1373" s="110"/>
      <c r="UCV1373" s="110"/>
      <c r="UCW1373" s="110"/>
      <c r="UCX1373" s="110"/>
      <c r="UCY1373" s="110"/>
      <c r="UCZ1373" s="110"/>
      <c r="UDA1373" s="110"/>
      <c r="UDB1373" s="110"/>
      <c r="UDC1373" s="110"/>
      <c r="UDD1373" s="110"/>
      <c r="UDE1373" s="110"/>
      <c r="UDF1373" s="110"/>
      <c r="UDG1373" s="110"/>
      <c r="UDH1373" s="110"/>
      <c r="UDI1373" s="110"/>
      <c r="UDJ1373" s="110"/>
      <c r="UDK1373" s="110"/>
      <c r="UDL1373" s="110"/>
      <c r="UDM1373" s="110"/>
      <c r="UDN1373" s="110"/>
      <c r="UDO1373" s="110"/>
      <c r="UDP1373" s="110"/>
      <c r="UDQ1373" s="110"/>
      <c r="UDR1373" s="110"/>
      <c r="UDS1373" s="110"/>
      <c r="UDT1373" s="110"/>
      <c r="UDU1373" s="110"/>
      <c r="UDV1373" s="110"/>
      <c r="UDW1373" s="110"/>
      <c r="UDX1373" s="110"/>
      <c r="UDY1373" s="110"/>
      <c r="UDZ1373" s="110"/>
      <c r="UEA1373" s="110"/>
      <c r="UEB1373" s="110"/>
      <c r="UEC1373" s="110"/>
      <c r="UED1373" s="110"/>
      <c r="UEE1373" s="110"/>
      <c r="UEF1373" s="110"/>
      <c r="UEG1373" s="110"/>
      <c r="UEH1373" s="110"/>
      <c r="UEI1373" s="110"/>
      <c r="UEJ1373" s="110"/>
      <c r="UEK1373" s="110"/>
      <c r="UEL1373" s="110"/>
      <c r="UEM1373" s="110"/>
      <c r="UEN1373" s="110"/>
      <c r="UEO1373" s="110"/>
      <c r="UEP1373" s="110"/>
      <c r="UEQ1373" s="110"/>
      <c r="UER1373" s="110"/>
      <c r="UES1373" s="110"/>
      <c r="UET1373" s="110"/>
      <c r="UEU1373" s="110"/>
      <c r="UEV1373" s="110"/>
      <c r="UEW1373" s="110"/>
      <c r="UEX1373" s="110"/>
      <c r="UEY1373" s="110"/>
      <c r="UEZ1373" s="110"/>
      <c r="UFA1373" s="110"/>
      <c r="UFB1373" s="110"/>
      <c r="UFC1373" s="110"/>
      <c r="UFD1373" s="110"/>
      <c r="UFE1373" s="110"/>
      <c r="UFF1373" s="110"/>
      <c r="UFG1373" s="110"/>
      <c r="UFH1373" s="110"/>
      <c r="UFI1373" s="110"/>
      <c r="UFJ1373" s="110"/>
      <c r="UFK1373" s="110"/>
      <c r="UFL1373" s="110"/>
      <c r="UFM1373" s="110"/>
      <c r="UFN1373" s="110"/>
      <c r="UFO1373" s="110"/>
      <c r="UFP1373" s="110"/>
      <c r="UFQ1373" s="110"/>
      <c r="UFR1373" s="110"/>
      <c r="UFS1373" s="110"/>
      <c r="UFT1373" s="110"/>
      <c r="UFU1373" s="110"/>
      <c r="UFV1373" s="110"/>
      <c r="UFW1373" s="110"/>
      <c r="UFX1373" s="110"/>
      <c r="UFY1373" s="110"/>
      <c r="UFZ1373" s="110"/>
      <c r="UGA1373" s="110"/>
      <c r="UGB1373" s="110"/>
      <c r="UGC1373" s="110"/>
      <c r="UGD1373" s="110"/>
      <c r="UGE1373" s="110"/>
      <c r="UGF1373" s="110"/>
      <c r="UGG1373" s="110"/>
      <c r="UGH1373" s="110"/>
      <c r="UGI1373" s="110"/>
      <c r="UGJ1373" s="110"/>
      <c r="UGK1373" s="110"/>
      <c r="UGL1373" s="110"/>
      <c r="UGM1373" s="110"/>
      <c r="UGN1373" s="110"/>
      <c r="UGO1373" s="110"/>
      <c r="UGP1373" s="110"/>
      <c r="UGQ1373" s="110"/>
      <c r="UGR1373" s="110"/>
      <c r="UGS1373" s="110"/>
      <c r="UGT1373" s="110"/>
      <c r="UGU1373" s="110"/>
      <c r="UGV1373" s="110"/>
      <c r="UGW1373" s="110"/>
      <c r="UGX1373" s="110"/>
      <c r="UGY1373" s="110"/>
      <c r="UGZ1373" s="110"/>
      <c r="UHA1373" s="110"/>
      <c r="UHB1373" s="110"/>
      <c r="UHC1373" s="110"/>
      <c r="UHD1373" s="110"/>
      <c r="UHE1373" s="110"/>
      <c r="UHF1373" s="110"/>
      <c r="UHG1373" s="110"/>
      <c r="UHH1373" s="110"/>
      <c r="UHI1373" s="110"/>
      <c r="UHJ1373" s="110"/>
      <c r="UHK1373" s="110"/>
      <c r="UHL1373" s="110"/>
      <c r="UHM1373" s="110"/>
      <c r="UHN1373" s="110"/>
      <c r="UHO1373" s="110"/>
      <c r="UHP1373" s="110"/>
      <c r="UHQ1373" s="110"/>
      <c r="UHR1373" s="110"/>
      <c r="UHS1373" s="110"/>
      <c r="UHT1373" s="110"/>
      <c r="UHU1373" s="110"/>
      <c r="UHV1373" s="110"/>
      <c r="UHW1373" s="110"/>
      <c r="UHX1373" s="110"/>
      <c r="UHY1373" s="110"/>
      <c r="UHZ1373" s="110"/>
      <c r="UIA1373" s="110"/>
      <c r="UIB1373" s="110"/>
      <c r="UIC1373" s="110"/>
      <c r="UID1373" s="110"/>
      <c r="UIE1373" s="110"/>
      <c r="UIF1373" s="110"/>
      <c r="UIG1373" s="110"/>
      <c r="UIH1373" s="110"/>
      <c r="UII1373" s="110"/>
      <c r="UIJ1373" s="110"/>
      <c r="UIK1373" s="110"/>
      <c r="UIL1373" s="110"/>
      <c r="UIM1373" s="110"/>
      <c r="UIN1373" s="110"/>
      <c r="UIO1373" s="110"/>
      <c r="UIP1373" s="110"/>
      <c r="UIQ1373" s="110"/>
      <c r="UIR1373" s="110"/>
      <c r="UIS1373" s="110"/>
      <c r="UIT1373" s="110"/>
      <c r="UIU1373" s="110"/>
      <c r="UIV1373" s="110"/>
      <c r="UIW1373" s="110"/>
      <c r="UIX1373" s="110"/>
      <c r="UIY1373" s="110"/>
      <c r="UIZ1373" s="110"/>
      <c r="UJA1373" s="110"/>
      <c r="UJB1373" s="110"/>
      <c r="UJC1373" s="110"/>
      <c r="UJD1373" s="110"/>
      <c r="UJE1373" s="110"/>
      <c r="UJF1373" s="110"/>
      <c r="UJG1373" s="110"/>
      <c r="UJH1373" s="110"/>
      <c r="UJI1373" s="110"/>
      <c r="UJJ1373" s="110"/>
      <c r="UJK1373" s="110"/>
      <c r="UJL1373" s="110"/>
      <c r="UJM1373" s="110"/>
      <c r="UJN1373" s="110"/>
      <c r="UJO1373" s="110"/>
      <c r="UJP1373" s="110"/>
      <c r="UJQ1373" s="110"/>
      <c r="UJR1373" s="110"/>
      <c r="UJS1373" s="110"/>
      <c r="UJT1373" s="110"/>
      <c r="UJU1373" s="110"/>
      <c r="UJV1373" s="110"/>
      <c r="UJW1373" s="110"/>
      <c r="UJX1373" s="110"/>
      <c r="UJY1373" s="110"/>
      <c r="UJZ1373" s="110"/>
      <c r="UKA1373" s="110"/>
      <c r="UKB1373" s="110"/>
      <c r="UKC1373" s="110"/>
      <c r="UKD1373" s="110"/>
      <c r="UKE1373" s="110"/>
      <c r="UKF1373" s="110"/>
      <c r="UKG1373" s="110"/>
      <c r="UKH1373" s="110"/>
      <c r="UKI1373" s="110"/>
      <c r="UKJ1373" s="110"/>
      <c r="UKK1373" s="110"/>
      <c r="UKL1373" s="110"/>
      <c r="UKM1373" s="110"/>
      <c r="UKN1373" s="110"/>
      <c r="UKO1373" s="110"/>
      <c r="UKP1373" s="110"/>
      <c r="UKQ1373" s="110"/>
      <c r="UKR1373" s="110"/>
      <c r="UKS1373" s="110"/>
      <c r="UKT1373" s="110"/>
      <c r="UKU1373" s="110"/>
      <c r="UKV1373" s="110"/>
      <c r="UKW1373" s="110"/>
      <c r="UKX1373" s="110"/>
      <c r="UKY1373" s="110"/>
      <c r="UKZ1373" s="110"/>
      <c r="ULA1373" s="110"/>
      <c r="ULB1373" s="110"/>
      <c r="ULC1373" s="110"/>
      <c r="ULD1373" s="110"/>
      <c r="ULE1373" s="110"/>
      <c r="ULF1373" s="110"/>
      <c r="ULG1373" s="110"/>
      <c r="ULH1373" s="110"/>
      <c r="ULI1373" s="110"/>
      <c r="ULJ1373" s="110"/>
      <c r="ULK1373" s="110"/>
      <c r="ULL1373" s="110"/>
      <c r="ULM1373" s="110"/>
      <c r="ULN1373" s="110"/>
      <c r="ULO1373" s="110"/>
      <c r="ULP1373" s="110"/>
      <c r="ULQ1373" s="110"/>
      <c r="ULR1373" s="110"/>
      <c r="ULS1373" s="110"/>
      <c r="ULT1373" s="110"/>
      <c r="ULU1373" s="110"/>
      <c r="ULV1373" s="110"/>
      <c r="ULW1373" s="110"/>
      <c r="ULX1373" s="110"/>
      <c r="ULY1373" s="110"/>
      <c r="ULZ1373" s="110"/>
      <c r="UMA1373" s="110"/>
      <c r="UMB1373" s="110"/>
      <c r="UMC1373" s="110"/>
      <c r="UMD1373" s="110"/>
      <c r="UME1373" s="110"/>
      <c r="UMF1373" s="110"/>
      <c r="UMG1373" s="110"/>
      <c r="UMH1373" s="110"/>
      <c r="UMI1373" s="110"/>
      <c r="UMJ1373" s="110"/>
      <c r="UMK1373" s="110"/>
      <c r="UML1373" s="110"/>
      <c r="UMM1373" s="110"/>
      <c r="UMN1373" s="110"/>
      <c r="UMO1373" s="110"/>
      <c r="UMP1373" s="110"/>
      <c r="UMQ1373" s="110"/>
      <c r="UMR1373" s="110"/>
      <c r="UMS1373" s="110"/>
      <c r="UMT1373" s="110"/>
      <c r="UMU1373" s="110"/>
      <c r="UMV1373" s="110"/>
      <c r="UMW1373" s="110"/>
      <c r="UMX1373" s="110"/>
      <c r="UMY1373" s="110"/>
      <c r="UMZ1373" s="110"/>
      <c r="UNA1373" s="110"/>
      <c r="UNB1373" s="110"/>
      <c r="UNC1373" s="110"/>
      <c r="UND1373" s="110"/>
      <c r="UNE1373" s="110"/>
      <c r="UNF1373" s="110"/>
      <c r="UNG1373" s="110"/>
      <c r="UNH1373" s="110"/>
      <c r="UNI1373" s="110"/>
      <c r="UNJ1373" s="110"/>
      <c r="UNK1373" s="110"/>
      <c r="UNL1373" s="110"/>
      <c r="UNM1373" s="110"/>
      <c r="UNN1373" s="110"/>
      <c r="UNO1373" s="110"/>
      <c r="UNP1373" s="110"/>
      <c r="UNQ1373" s="110"/>
      <c r="UNR1373" s="110"/>
      <c r="UNS1373" s="110"/>
      <c r="UNT1373" s="110"/>
      <c r="UNU1373" s="110"/>
      <c r="UNV1373" s="110"/>
      <c r="UNW1373" s="110"/>
      <c r="UNX1373" s="110"/>
      <c r="UNY1373" s="110"/>
      <c r="UNZ1373" s="110"/>
      <c r="UOA1373" s="110"/>
      <c r="UOB1373" s="110"/>
      <c r="UOC1373" s="110"/>
      <c r="UOD1373" s="110"/>
      <c r="UOE1373" s="110"/>
      <c r="UOF1373" s="110"/>
      <c r="UOG1373" s="110"/>
      <c r="UOH1373" s="110"/>
      <c r="UOI1373" s="110"/>
      <c r="UOJ1373" s="110"/>
      <c r="UOK1373" s="110"/>
      <c r="UOL1373" s="110"/>
      <c r="UOM1373" s="110"/>
      <c r="UON1373" s="110"/>
      <c r="UOO1373" s="110"/>
      <c r="UOP1373" s="110"/>
      <c r="UOQ1373" s="110"/>
      <c r="UOR1373" s="110"/>
      <c r="UOS1373" s="110"/>
      <c r="UOT1373" s="110"/>
      <c r="UOU1373" s="110"/>
      <c r="UOV1373" s="110"/>
      <c r="UOW1373" s="110"/>
      <c r="UOX1373" s="110"/>
      <c r="UOY1373" s="110"/>
      <c r="UOZ1373" s="110"/>
      <c r="UPA1373" s="110"/>
      <c r="UPB1373" s="110"/>
      <c r="UPC1373" s="110"/>
      <c r="UPD1373" s="110"/>
      <c r="UPE1373" s="110"/>
      <c r="UPF1373" s="110"/>
      <c r="UPG1373" s="110"/>
      <c r="UPH1373" s="110"/>
      <c r="UPI1373" s="110"/>
      <c r="UPJ1373" s="110"/>
      <c r="UPK1373" s="110"/>
      <c r="UPL1373" s="110"/>
      <c r="UPM1373" s="110"/>
      <c r="UPN1373" s="110"/>
      <c r="UPO1373" s="110"/>
      <c r="UPP1373" s="110"/>
      <c r="UPQ1373" s="110"/>
      <c r="UPR1373" s="110"/>
      <c r="UPS1373" s="110"/>
      <c r="UPT1373" s="110"/>
      <c r="UPU1373" s="110"/>
      <c r="UPV1373" s="110"/>
      <c r="UPW1373" s="110"/>
      <c r="UPX1373" s="110"/>
      <c r="UPY1373" s="110"/>
      <c r="UPZ1373" s="110"/>
      <c r="UQA1373" s="110"/>
      <c r="UQB1373" s="110"/>
      <c r="UQC1373" s="110"/>
      <c r="UQD1373" s="110"/>
      <c r="UQE1373" s="110"/>
      <c r="UQF1373" s="110"/>
      <c r="UQG1373" s="110"/>
      <c r="UQH1373" s="110"/>
      <c r="UQI1373" s="110"/>
      <c r="UQJ1373" s="110"/>
      <c r="UQK1373" s="110"/>
      <c r="UQL1373" s="110"/>
      <c r="UQM1373" s="110"/>
      <c r="UQN1373" s="110"/>
      <c r="UQO1373" s="110"/>
      <c r="UQP1373" s="110"/>
      <c r="UQQ1373" s="110"/>
      <c r="UQR1373" s="110"/>
      <c r="UQS1373" s="110"/>
      <c r="UQT1373" s="110"/>
      <c r="UQU1373" s="110"/>
      <c r="UQV1373" s="110"/>
      <c r="UQW1373" s="110"/>
      <c r="UQX1373" s="110"/>
      <c r="UQY1373" s="110"/>
      <c r="UQZ1373" s="110"/>
      <c r="URA1373" s="110"/>
      <c r="URB1373" s="110"/>
      <c r="URC1373" s="110"/>
      <c r="URD1373" s="110"/>
      <c r="URE1373" s="110"/>
      <c r="URF1373" s="110"/>
      <c r="URG1373" s="110"/>
      <c r="URH1373" s="110"/>
      <c r="URI1373" s="110"/>
      <c r="URJ1373" s="110"/>
      <c r="URK1373" s="110"/>
      <c r="URL1373" s="110"/>
      <c r="URM1373" s="110"/>
      <c r="URN1373" s="110"/>
      <c r="URO1373" s="110"/>
      <c r="URP1373" s="110"/>
      <c r="URQ1373" s="110"/>
      <c r="URR1373" s="110"/>
      <c r="URS1373" s="110"/>
      <c r="URT1373" s="110"/>
      <c r="URU1373" s="110"/>
      <c r="URV1373" s="110"/>
      <c r="URW1373" s="110"/>
      <c r="URX1373" s="110"/>
      <c r="URY1373" s="110"/>
      <c r="URZ1373" s="110"/>
      <c r="USA1373" s="110"/>
      <c r="USB1373" s="110"/>
      <c r="USC1373" s="110"/>
      <c r="USD1373" s="110"/>
      <c r="USE1373" s="110"/>
      <c r="USF1373" s="110"/>
      <c r="USG1373" s="110"/>
      <c r="USH1373" s="110"/>
      <c r="USI1373" s="110"/>
      <c r="USJ1373" s="110"/>
      <c r="USK1373" s="110"/>
      <c r="USL1373" s="110"/>
      <c r="USM1373" s="110"/>
      <c r="USN1373" s="110"/>
      <c r="USO1373" s="110"/>
      <c r="USP1373" s="110"/>
      <c r="USQ1373" s="110"/>
      <c r="USR1373" s="110"/>
      <c r="USS1373" s="110"/>
      <c r="UST1373" s="110"/>
      <c r="USU1373" s="110"/>
      <c r="USV1373" s="110"/>
      <c r="USW1373" s="110"/>
      <c r="USX1373" s="110"/>
      <c r="USY1373" s="110"/>
      <c r="USZ1373" s="110"/>
      <c r="UTA1373" s="110"/>
      <c r="UTB1373" s="110"/>
      <c r="UTC1373" s="110"/>
      <c r="UTD1373" s="110"/>
      <c r="UTE1373" s="110"/>
      <c r="UTF1373" s="110"/>
      <c r="UTG1373" s="110"/>
      <c r="UTH1373" s="110"/>
      <c r="UTI1373" s="110"/>
      <c r="UTJ1373" s="110"/>
      <c r="UTK1373" s="110"/>
      <c r="UTL1373" s="110"/>
      <c r="UTM1373" s="110"/>
      <c r="UTN1373" s="110"/>
      <c r="UTO1373" s="110"/>
      <c r="UTP1373" s="110"/>
      <c r="UTQ1373" s="110"/>
      <c r="UTR1373" s="110"/>
      <c r="UTS1373" s="110"/>
      <c r="UTT1373" s="110"/>
      <c r="UTU1373" s="110"/>
      <c r="UTV1373" s="110"/>
      <c r="UTW1373" s="110"/>
      <c r="UTX1373" s="110"/>
      <c r="UTY1373" s="110"/>
      <c r="UTZ1373" s="110"/>
      <c r="UUA1373" s="110"/>
      <c r="UUB1373" s="110"/>
      <c r="UUC1373" s="110"/>
      <c r="UUD1373" s="110"/>
      <c r="UUE1373" s="110"/>
      <c r="UUF1373" s="110"/>
      <c r="UUG1373" s="110"/>
      <c r="UUH1373" s="110"/>
      <c r="UUI1373" s="110"/>
      <c r="UUJ1373" s="110"/>
      <c r="UUK1373" s="110"/>
      <c r="UUL1373" s="110"/>
      <c r="UUM1373" s="110"/>
      <c r="UUN1373" s="110"/>
      <c r="UUO1373" s="110"/>
      <c r="UUP1373" s="110"/>
      <c r="UUQ1373" s="110"/>
      <c r="UUR1373" s="110"/>
      <c r="UUS1373" s="110"/>
      <c r="UUT1373" s="110"/>
      <c r="UUU1373" s="110"/>
      <c r="UUV1373" s="110"/>
      <c r="UUW1373" s="110"/>
      <c r="UUX1373" s="110"/>
      <c r="UUY1373" s="110"/>
      <c r="UUZ1373" s="110"/>
      <c r="UVA1373" s="110"/>
      <c r="UVB1373" s="110"/>
      <c r="UVC1373" s="110"/>
      <c r="UVD1373" s="110"/>
      <c r="UVE1373" s="110"/>
      <c r="UVF1373" s="110"/>
      <c r="UVG1373" s="110"/>
      <c r="UVH1373" s="110"/>
      <c r="UVI1373" s="110"/>
      <c r="UVJ1373" s="110"/>
      <c r="UVK1373" s="110"/>
      <c r="UVL1373" s="110"/>
      <c r="UVM1373" s="110"/>
      <c r="UVN1373" s="110"/>
      <c r="UVO1373" s="110"/>
      <c r="UVP1373" s="110"/>
      <c r="UVQ1373" s="110"/>
      <c r="UVR1373" s="110"/>
      <c r="UVS1373" s="110"/>
      <c r="UVT1373" s="110"/>
      <c r="UVU1373" s="110"/>
      <c r="UVV1373" s="110"/>
      <c r="UVW1373" s="110"/>
      <c r="UVX1373" s="110"/>
      <c r="UVY1373" s="110"/>
      <c r="UVZ1373" s="110"/>
      <c r="UWA1373" s="110"/>
      <c r="UWB1373" s="110"/>
      <c r="UWC1373" s="110"/>
      <c r="UWD1373" s="110"/>
      <c r="UWE1373" s="110"/>
      <c r="UWF1373" s="110"/>
      <c r="UWG1373" s="110"/>
      <c r="UWH1373" s="110"/>
      <c r="UWI1373" s="110"/>
      <c r="UWJ1373" s="110"/>
      <c r="UWK1373" s="110"/>
      <c r="UWL1373" s="110"/>
      <c r="UWM1373" s="110"/>
      <c r="UWN1373" s="110"/>
      <c r="UWO1373" s="110"/>
      <c r="UWP1373" s="110"/>
      <c r="UWQ1373" s="110"/>
      <c r="UWR1373" s="110"/>
      <c r="UWS1373" s="110"/>
      <c r="UWT1373" s="110"/>
      <c r="UWU1373" s="110"/>
      <c r="UWV1373" s="110"/>
      <c r="UWW1373" s="110"/>
      <c r="UWX1373" s="110"/>
      <c r="UWY1373" s="110"/>
      <c r="UWZ1373" s="110"/>
      <c r="UXA1373" s="110"/>
      <c r="UXB1373" s="110"/>
      <c r="UXC1373" s="110"/>
      <c r="UXD1373" s="110"/>
      <c r="UXE1373" s="110"/>
      <c r="UXF1373" s="110"/>
      <c r="UXG1373" s="110"/>
      <c r="UXH1373" s="110"/>
      <c r="UXI1373" s="110"/>
      <c r="UXJ1373" s="110"/>
      <c r="UXK1373" s="110"/>
      <c r="UXL1373" s="110"/>
      <c r="UXM1373" s="110"/>
      <c r="UXN1373" s="110"/>
      <c r="UXO1373" s="110"/>
      <c r="UXP1373" s="110"/>
      <c r="UXQ1373" s="110"/>
      <c r="UXR1373" s="110"/>
      <c r="UXS1373" s="110"/>
      <c r="UXT1373" s="110"/>
      <c r="UXU1373" s="110"/>
      <c r="UXV1373" s="110"/>
      <c r="UXW1373" s="110"/>
      <c r="UXX1373" s="110"/>
      <c r="UXY1373" s="110"/>
      <c r="UXZ1373" s="110"/>
      <c r="UYA1373" s="110"/>
      <c r="UYB1373" s="110"/>
      <c r="UYC1373" s="110"/>
      <c r="UYD1373" s="110"/>
      <c r="UYE1373" s="110"/>
      <c r="UYF1373" s="110"/>
      <c r="UYG1373" s="110"/>
      <c r="UYH1373" s="110"/>
      <c r="UYI1373" s="110"/>
      <c r="UYJ1373" s="110"/>
      <c r="UYK1373" s="110"/>
      <c r="UYL1373" s="110"/>
      <c r="UYM1373" s="110"/>
      <c r="UYN1373" s="110"/>
      <c r="UYO1373" s="110"/>
      <c r="UYP1373" s="110"/>
      <c r="UYQ1373" s="110"/>
      <c r="UYR1373" s="110"/>
      <c r="UYS1373" s="110"/>
      <c r="UYT1373" s="110"/>
      <c r="UYU1373" s="110"/>
      <c r="UYV1373" s="110"/>
      <c r="UYW1373" s="110"/>
      <c r="UYX1373" s="110"/>
      <c r="UYY1373" s="110"/>
      <c r="UYZ1373" s="110"/>
      <c r="UZA1373" s="110"/>
      <c r="UZB1373" s="110"/>
      <c r="UZC1373" s="110"/>
      <c r="UZD1373" s="110"/>
      <c r="UZE1373" s="110"/>
      <c r="UZF1373" s="110"/>
      <c r="UZG1373" s="110"/>
      <c r="UZH1373" s="110"/>
      <c r="UZI1373" s="110"/>
      <c r="UZJ1373" s="110"/>
      <c r="UZK1373" s="110"/>
      <c r="UZL1373" s="110"/>
      <c r="UZM1373" s="110"/>
      <c r="UZN1373" s="110"/>
      <c r="UZO1373" s="110"/>
      <c r="UZP1373" s="110"/>
      <c r="UZQ1373" s="110"/>
      <c r="UZR1373" s="110"/>
      <c r="UZS1373" s="110"/>
      <c r="UZT1373" s="110"/>
      <c r="UZU1373" s="110"/>
      <c r="UZV1373" s="110"/>
      <c r="UZW1373" s="110"/>
      <c r="UZX1373" s="110"/>
      <c r="UZY1373" s="110"/>
      <c r="UZZ1373" s="110"/>
      <c r="VAA1373" s="110"/>
      <c r="VAB1373" s="110"/>
      <c r="VAC1373" s="110"/>
      <c r="VAD1373" s="110"/>
      <c r="VAE1373" s="110"/>
      <c r="VAF1373" s="110"/>
      <c r="VAG1373" s="110"/>
      <c r="VAH1373" s="110"/>
      <c r="VAI1373" s="110"/>
      <c r="VAJ1373" s="110"/>
      <c r="VAK1373" s="110"/>
      <c r="VAL1373" s="110"/>
      <c r="VAM1373" s="110"/>
      <c r="VAN1373" s="110"/>
      <c r="VAO1373" s="110"/>
      <c r="VAP1373" s="110"/>
      <c r="VAQ1373" s="110"/>
      <c r="VAR1373" s="110"/>
      <c r="VAS1373" s="110"/>
      <c r="VAT1373" s="110"/>
      <c r="VAU1373" s="110"/>
      <c r="VAV1373" s="110"/>
      <c r="VAW1373" s="110"/>
      <c r="VAX1373" s="110"/>
      <c r="VAY1373" s="110"/>
      <c r="VAZ1373" s="110"/>
      <c r="VBA1373" s="110"/>
      <c r="VBB1373" s="110"/>
      <c r="VBC1373" s="110"/>
      <c r="VBD1373" s="110"/>
      <c r="VBE1373" s="110"/>
      <c r="VBF1373" s="110"/>
      <c r="VBG1373" s="110"/>
      <c r="VBH1373" s="110"/>
      <c r="VBI1373" s="110"/>
      <c r="VBJ1373" s="110"/>
      <c r="VBK1373" s="110"/>
      <c r="VBL1373" s="110"/>
      <c r="VBM1373" s="110"/>
      <c r="VBN1373" s="110"/>
      <c r="VBO1373" s="110"/>
      <c r="VBP1373" s="110"/>
      <c r="VBQ1373" s="110"/>
      <c r="VBR1373" s="110"/>
      <c r="VBS1373" s="110"/>
      <c r="VBT1373" s="110"/>
      <c r="VBU1373" s="110"/>
      <c r="VBV1373" s="110"/>
      <c r="VBW1373" s="110"/>
      <c r="VBX1373" s="110"/>
      <c r="VBY1373" s="110"/>
      <c r="VBZ1373" s="110"/>
      <c r="VCA1373" s="110"/>
      <c r="VCB1373" s="110"/>
      <c r="VCC1373" s="110"/>
      <c r="VCD1373" s="110"/>
      <c r="VCE1373" s="110"/>
      <c r="VCF1373" s="110"/>
      <c r="VCG1373" s="110"/>
      <c r="VCH1373" s="110"/>
      <c r="VCI1373" s="110"/>
      <c r="VCJ1373" s="110"/>
      <c r="VCK1373" s="110"/>
      <c r="VCL1373" s="110"/>
      <c r="VCM1373" s="110"/>
      <c r="VCN1373" s="110"/>
      <c r="VCO1373" s="110"/>
      <c r="VCP1373" s="110"/>
      <c r="VCQ1373" s="110"/>
      <c r="VCR1373" s="110"/>
      <c r="VCS1373" s="110"/>
      <c r="VCT1373" s="110"/>
      <c r="VCU1373" s="110"/>
      <c r="VCV1373" s="110"/>
      <c r="VCW1373" s="110"/>
      <c r="VCX1373" s="110"/>
      <c r="VCY1373" s="110"/>
      <c r="VCZ1373" s="110"/>
      <c r="VDA1373" s="110"/>
      <c r="VDB1373" s="110"/>
      <c r="VDC1373" s="110"/>
      <c r="VDD1373" s="110"/>
      <c r="VDE1373" s="110"/>
      <c r="VDF1373" s="110"/>
      <c r="VDG1373" s="110"/>
      <c r="VDH1373" s="110"/>
      <c r="VDI1373" s="110"/>
      <c r="VDJ1373" s="110"/>
      <c r="VDK1373" s="110"/>
      <c r="VDL1373" s="110"/>
      <c r="VDM1373" s="110"/>
      <c r="VDN1373" s="110"/>
      <c r="VDO1373" s="110"/>
      <c r="VDP1373" s="110"/>
      <c r="VDQ1373" s="110"/>
      <c r="VDR1373" s="110"/>
      <c r="VDS1373" s="110"/>
      <c r="VDT1373" s="110"/>
      <c r="VDU1373" s="110"/>
      <c r="VDV1373" s="110"/>
      <c r="VDW1373" s="110"/>
      <c r="VDX1373" s="110"/>
      <c r="VDY1373" s="110"/>
      <c r="VDZ1373" s="110"/>
      <c r="VEA1373" s="110"/>
      <c r="VEB1373" s="110"/>
      <c r="VEC1373" s="110"/>
      <c r="VED1373" s="110"/>
      <c r="VEE1373" s="110"/>
      <c r="VEF1373" s="110"/>
      <c r="VEG1373" s="110"/>
      <c r="VEH1373" s="110"/>
      <c r="VEI1373" s="110"/>
      <c r="VEJ1373" s="110"/>
      <c r="VEK1373" s="110"/>
      <c r="VEL1373" s="110"/>
      <c r="VEM1373" s="110"/>
      <c r="VEN1373" s="110"/>
      <c r="VEO1373" s="110"/>
      <c r="VEP1373" s="110"/>
      <c r="VEQ1373" s="110"/>
      <c r="VER1373" s="110"/>
      <c r="VES1373" s="110"/>
      <c r="VET1373" s="110"/>
      <c r="VEU1373" s="110"/>
      <c r="VEV1373" s="110"/>
      <c r="VEW1373" s="110"/>
      <c r="VEX1373" s="110"/>
      <c r="VEY1373" s="110"/>
      <c r="VEZ1373" s="110"/>
      <c r="VFA1373" s="110"/>
      <c r="VFB1373" s="110"/>
      <c r="VFC1373" s="110"/>
      <c r="VFD1373" s="110"/>
      <c r="VFE1373" s="110"/>
      <c r="VFF1373" s="110"/>
      <c r="VFG1373" s="110"/>
      <c r="VFH1373" s="110"/>
      <c r="VFI1373" s="110"/>
      <c r="VFJ1373" s="110"/>
      <c r="VFK1373" s="110"/>
      <c r="VFL1373" s="110"/>
      <c r="VFM1373" s="110"/>
      <c r="VFN1373" s="110"/>
      <c r="VFO1373" s="110"/>
      <c r="VFP1373" s="110"/>
      <c r="VFQ1373" s="110"/>
      <c r="VFR1373" s="110"/>
      <c r="VFS1373" s="110"/>
      <c r="VFT1373" s="110"/>
      <c r="VFU1373" s="110"/>
      <c r="VFV1373" s="110"/>
      <c r="VFW1373" s="110"/>
      <c r="VFX1373" s="110"/>
      <c r="VFY1373" s="110"/>
      <c r="VFZ1373" s="110"/>
      <c r="VGA1373" s="110"/>
      <c r="VGB1373" s="110"/>
      <c r="VGC1373" s="110"/>
      <c r="VGD1373" s="110"/>
      <c r="VGE1373" s="110"/>
      <c r="VGF1373" s="110"/>
      <c r="VGG1373" s="110"/>
      <c r="VGH1373" s="110"/>
      <c r="VGI1373" s="110"/>
      <c r="VGJ1373" s="110"/>
      <c r="VGK1373" s="110"/>
      <c r="VGL1373" s="110"/>
      <c r="VGM1373" s="110"/>
      <c r="VGN1373" s="110"/>
      <c r="VGO1373" s="110"/>
      <c r="VGP1373" s="110"/>
      <c r="VGQ1373" s="110"/>
      <c r="VGR1373" s="110"/>
      <c r="VGS1373" s="110"/>
      <c r="VGT1373" s="110"/>
      <c r="VGU1373" s="110"/>
      <c r="VGV1373" s="110"/>
      <c r="VGW1373" s="110"/>
      <c r="VGX1373" s="110"/>
      <c r="VGY1373" s="110"/>
      <c r="VGZ1373" s="110"/>
      <c r="VHA1373" s="110"/>
      <c r="VHB1373" s="110"/>
      <c r="VHC1373" s="110"/>
      <c r="VHD1373" s="110"/>
      <c r="VHE1373" s="110"/>
      <c r="VHF1373" s="110"/>
      <c r="VHG1373" s="110"/>
      <c r="VHH1373" s="110"/>
      <c r="VHI1373" s="110"/>
      <c r="VHJ1373" s="110"/>
      <c r="VHK1373" s="110"/>
      <c r="VHL1373" s="110"/>
      <c r="VHM1373" s="110"/>
      <c r="VHN1373" s="110"/>
      <c r="VHO1373" s="110"/>
      <c r="VHP1373" s="110"/>
      <c r="VHQ1373" s="110"/>
      <c r="VHR1373" s="110"/>
      <c r="VHS1373" s="110"/>
      <c r="VHT1373" s="110"/>
      <c r="VHU1373" s="110"/>
      <c r="VHV1373" s="110"/>
      <c r="VHW1373" s="110"/>
      <c r="VHX1373" s="110"/>
      <c r="VHY1373" s="110"/>
      <c r="VHZ1373" s="110"/>
      <c r="VIA1373" s="110"/>
      <c r="VIB1373" s="110"/>
      <c r="VIC1373" s="110"/>
      <c r="VID1373" s="110"/>
      <c r="VIE1373" s="110"/>
      <c r="VIF1373" s="110"/>
      <c r="VIG1373" s="110"/>
      <c r="VIH1373" s="110"/>
      <c r="VII1373" s="110"/>
      <c r="VIJ1373" s="110"/>
      <c r="VIK1373" s="110"/>
      <c r="VIL1373" s="110"/>
      <c r="VIM1373" s="110"/>
      <c r="VIN1373" s="110"/>
      <c r="VIO1373" s="110"/>
      <c r="VIP1373" s="110"/>
      <c r="VIQ1373" s="110"/>
      <c r="VIR1373" s="110"/>
      <c r="VIS1373" s="110"/>
      <c r="VIT1373" s="110"/>
      <c r="VIU1373" s="110"/>
      <c r="VIV1373" s="110"/>
      <c r="VIW1373" s="110"/>
      <c r="VIX1373" s="110"/>
      <c r="VIY1373" s="110"/>
      <c r="VIZ1373" s="110"/>
      <c r="VJA1373" s="110"/>
      <c r="VJB1373" s="110"/>
      <c r="VJC1373" s="110"/>
      <c r="VJD1373" s="110"/>
      <c r="VJE1373" s="110"/>
      <c r="VJF1373" s="110"/>
      <c r="VJG1373" s="110"/>
      <c r="VJH1373" s="110"/>
      <c r="VJI1373" s="110"/>
      <c r="VJJ1373" s="110"/>
      <c r="VJK1373" s="110"/>
      <c r="VJL1373" s="110"/>
      <c r="VJM1373" s="110"/>
      <c r="VJN1373" s="110"/>
      <c r="VJO1373" s="110"/>
      <c r="VJP1373" s="110"/>
      <c r="VJQ1373" s="110"/>
      <c r="VJR1373" s="110"/>
      <c r="VJS1373" s="110"/>
      <c r="VJT1373" s="110"/>
      <c r="VJU1373" s="110"/>
      <c r="VJV1373" s="110"/>
      <c r="VJW1373" s="110"/>
      <c r="VJX1373" s="110"/>
      <c r="VJY1373" s="110"/>
      <c r="VJZ1373" s="110"/>
      <c r="VKA1373" s="110"/>
      <c r="VKB1373" s="110"/>
      <c r="VKC1373" s="110"/>
      <c r="VKD1373" s="110"/>
      <c r="VKE1373" s="110"/>
      <c r="VKF1373" s="110"/>
      <c r="VKG1373" s="110"/>
      <c r="VKH1373" s="110"/>
      <c r="VKI1373" s="110"/>
      <c r="VKJ1373" s="110"/>
      <c r="VKK1373" s="110"/>
      <c r="VKL1373" s="110"/>
      <c r="VKM1373" s="110"/>
      <c r="VKN1373" s="110"/>
      <c r="VKO1373" s="110"/>
      <c r="VKP1373" s="110"/>
      <c r="VKQ1373" s="110"/>
      <c r="VKR1373" s="110"/>
      <c r="VKS1373" s="110"/>
      <c r="VKT1373" s="110"/>
      <c r="VKU1373" s="110"/>
      <c r="VKV1373" s="110"/>
      <c r="VKW1373" s="110"/>
      <c r="VKX1373" s="110"/>
      <c r="VKY1373" s="110"/>
      <c r="VKZ1373" s="110"/>
      <c r="VLA1373" s="110"/>
      <c r="VLB1373" s="110"/>
      <c r="VLC1373" s="110"/>
      <c r="VLD1373" s="110"/>
      <c r="VLE1373" s="110"/>
      <c r="VLF1373" s="110"/>
      <c r="VLG1373" s="110"/>
      <c r="VLH1373" s="110"/>
      <c r="VLI1373" s="110"/>
      <c r="VLJ1373" s="110"/>
      <c r="VLK1373" s="110"/>
      <c r="VLL1373" s="110"/>
      <c r="VLM1373" s="110"/>
      <c r="VLN1373" s="110"/>
      <c r="VLO1373" s="110"/>
      <c r="VLP1373" s="110"/>
      <c r="VLQ1373" s="110"/>
      <c r="VLR1373" s="110"/>
      <c r="VLS1373" s="110"/>
      <c r="VLT1373" s="110"/>
      <c r="VLU1373" s="110"/>
      <c r="VLV1373" s="110"/>
      <c r="VLW1373" s="110"/>
      <c r="VLX1373" s="110"/>
      <c r="VLY1373" s="110"/>
      <c r="VLZ1373" s="110"/>
      <c r="VMA1373" s="110"/>
      <c r="VMB1373" s="110"/>
      <c r="VMC1373" s="110"/>
      <c r="VMD1373" s="110"/>
      <c r="VME1373" s="110"/>
      <c r="VMF1373" s="110"/>
      <c r="VMG1373" s="110"/>
      <c r="VMH1373" s="110"/>
      <c r="VMI1373" s="110"/>
      <c r="VMJ1373" s="110"/>
      <c r="VMK1373" s="110"/>
      <c r="VML1373" s="110"/>
      <c r="VMM1373" s="110"/>
      <c r="VMN1373" s="110"/>
      <c r="VMO1373" s="110"/>
      <c r="VMP1373" s="110"/>
      <c r="VMQ1373" s="110"/>
      <c r="VMR1373" s="110"/>
      <c r="VMS1373" s="110"/>
      <c r="VMT1373" s="110"/>
      <c r="VMU1373" s="110"/>
      <c r="VMV1373" s="110"/>
      <c r="VMW1373" s="110"/>
      <c r="VMX1373" s="110"/>
      <c r="VMY1373" s="110"/>
      <c r="VMZ1373" s="110"/>
      <c r="VNA1373" s="110"/>
      <c r="VNB1373" s="110"/>
      <c r="VNC1373" s="110"/>
      <c r="VND1373" s="110"/>
      <c r="VNE1373" s="110"/>
      <c r="VNF1373" s="110"/>
      <c r="VNG1373" s="110"/>
      <c r="VNH1373" s="110"/>
      <c r="VNI1373" s="110"/>
      <c r="VNJ1373" s="110"/>
      <c r="VNK1373" s="110"/>
      <c r="VNL1373" s="110"/>
      <c r="VNM1373" s="110"/>
      <c r="VNN1373" s="110"/>
      <c r="VNO1373" s="110"/>
      <c r="VNP1373" s="110"/>
      <c r="VNQ1373" s="110"/>
      <c r="VNR1373" s="110"/>
      <c r="VNS1373" s="110"/>
      <c r="VNT1373" s="110"/>
      <c r="VNU1373" s="110"/>
      <c r="VNV1373" s="110"/>
      <c r="VNW1373" s="110"/>
      <c r="VNX1373" s="110"/>
      <c r="VNY1373" s="110"/>
      <c r="VNZ1373" s="110"/>
      <c r="VOA1373" s="110"/>
      <c r="VOB1373" s="110"/>
      <c r="VOC1373" s="110"/>
      <c r="VOD1373" s="110"/>
      <c r="VOE1373" s="110"/>
      <c r="VOF1373" s="110"/>
      <c r="VOG1373" s="110"/>
      <c r="VOH1373" s="110"/>
      <c r="VOI1373" s="110"/>
      <c r="VOJ1373" s="110"/>
      <c r="VOK1373" s="110"/>
      <c r="VOL1373" s="110"/>
      <c r="VOM1373" s="110"/>
      <c r="VON1373" s="110"/>
      <c r="VOO1373" s="110"/>
      <c r="VOP1373" s="110"/>
      <c r="VOQ1373" s="110"/>
      <c r="VOR1373" s="110"/>
      <c r="VOS1373" s="110"/>
      <c r="VOT1373" s="110"/>
      <c r="VOU1373" s="110"/>
      <c r="VOV1373" s="110"/>
      <c r="VOW1373" s="110"/>
      <c r="VOX1373" s="110"/>
      <c r="VOY1373" s="110"/>
      <c r="VOZ1373" s="110"/>
      <c r="VPA1373" s="110"/>
      <c r="VPB1373" s="110"/>
      <c r="VPC1373" s="110"/>
      <c r="VPD1373" s="110"/>
      <c r="VPE1373" s="110"/>
      <c r="VPF1373" s="110"/>
      <c r="VPG1373" s="110"/>
      <c r="VPH1373" s="110"/>
      <c r="VPI1373" s="110"/>
      <c r="VPJ1373" s="110"/>
      <c r="VPK1373" s="110"/>
      <c r="VPL1373" s="110"/>
      <c r="VPM1373" s="110"/>
      <c r="VPN1373" s="110"/>
      <c r="VPO1373" s="110"/>
      <c r="VPP1373" s="110"/>
      <c r="VPQ1373" s="110"/>
      <c r="VPR1373" s="110"/>
      <c r="VPS1373" s="110"/>
      <c r="VPT1373" s="110"/>
      <c r="VPU1373" s="110"/>
      <c r="VPV1373" s="110"/>
      <c r="VPW1373" s="110"/>
      <c r="VPX1373" s="110"/>
      <c r="VPY1373" s="110"/>
      <c r="VPZ1373" s="110"/>
      <c r="VQA1373" s="110"/>
      <c r="VQB1373" s="110"/>
      <c r="VQC1373" s="110"/>
      <c r="VQD1373" s="110"/>
      <c r="VQE1373" s="110"/>
      <c r="VQF1373" s="110"/>
      <c r="VQG1373" s="110"/>
      <c r="VQH1373" s="110"/>
      <c r="VQI1373" s="110"/>
      <c r="VQJ1373" s="110"/>
      <c r="VQK1373" s="110"/>
      <c r="VQL1373" s="110"/>
      <c r="VQM1373" s="110"/>
      <c r="VQN1373" s="110"/>
      <c r="VQO1373" s="110"/>
      <c r="VQP1373" s="110"/>
      <c r="VQQ1373" s="110"/>
      <c r="VQR1373" s="110"/>
      <c r="VQS1373" s="110"/>
      <c r="VQT1373" s="110"/>
      <c r="VQU1373" s="110"/>
      <c r="VQV1373" s="110"/>
      <c r="VQW1373" s="110"/>
      <c r="VQX1373" s="110"/>
      <c r="VQY1373" s="110"/>
      <c r="VQZ1373" s="110"/>
      <c r="VRA1373" s="110"/>
      <c r="VRB1373" s="110"/>
      <c r="VRC1373" s="110"/>
      <c r="VRD1373" s="110"/>
      <c r="VRE1373" s="110"/>
      <c r="VRF1373" s="110"/>
      <c r="VRG1373" s="110"/>
      <c r="VRH1373" s="110"/>
      <c r="VRI1373" s="110"/>
      <c r="VRJ1373" s="110"/>
      <c r="VRK1373" s="110"/>
      <c r="VRL1373" s="110"/>
      <c r="VRM1373" s="110"/>
      <c r="VRN1373" s="110"/>
      <c r="VRO1373" s="110"/>
      <c r="VRP1373" s="110"/>
      <c r="VRQ1373" s="110"/>
      <c r="VRR1373" s="110"/>
      <c r="VRS1373" s="110"/>
      <c r="VRT1373" s="110"/>
      <c r="VRU1373" s="110"/>
      <c r="VRV1373" s="110"/>
      <c r="VRW1373" s="110"/>
      <c r="VRX1373" s="110"/>
      <c r="VRY1373" s="110"/>
      <c r="VRZ1373" s="110"/>
      <c r="VSA1373" s="110"/>
      <c r="VSB1373" s="110"/>
      <c r="VSC1373" s="110"/>
      <c r="VSD1373" s="110"/>
      <c r="VSE1373" s="110"/>
      <c r="VSF1373" s="110"/>
      <c r="VSG1373" s="110"/>
      <c r="VSH1373" s="110"/>
      <c r="VSI1373" s="110"/>
      <c r="VSJ1373" s="110"/>
      <c r="VSK1373" s="110"/>
      <c r="VSL1373" s="110"/>
      <c r="VSM1373" s="110"/>
      <c r="VSN1373" s="110"/>
      <c r="VSO1373" s="110"/>
      <c r="VSP1373" s="110"/>
      <c r="VSQ1373" s="110"/>
      <c r="VSR1373" s="110"/>
      <c r="VSS1373" s="110"/>
      <c r="VST1373" s="110"/>
      <c r="VSU1373" s="110"/>
      <c r="VSV1373" s="110"/>
      <c r="VSW1373" s="110"/>
      <c r="VSX1373" s="110"/>
      <c r="VSY1373" s="110"/>
      <c r="VSZ1373" s="110"/>
      <c r="VTA1373" s="110"/>
      <c r="VTB1373" s="110"/>
      <c r="VTC1373" s="110"/>
      <c r="VTD1373" s="110"/>
      <c r="VTE1373" s="110"/>
      <c r="VTF1373" s="110"/>
      <c r="VTG1373" s="110"/>
      <c r="VTH1373" s="110"/>
      <c r="VTI1373" s="110"/>
      <c r="VTJ1373" s="110"/>
      <c r="VTK1373" s="110"/>
      <c r="VTL1373" s="110"/>
      <c r="VTM1373" s="110"/>
      <c r="VTN1373" s="110"/>
      <c r="VTO1373" s="110"/>
      <c r="VTP1373" s="110"/>
      <c r="VTQ1373" s="110"/>
      <c r="VTR1373" s="110"/>
      <c r="VTS1373" s="110"/>
      <c r="VTT1373" s="110"/>
      <c r="VTU1373" s="110"/>
      <c r="VTV1373" s="110"/>
      <c r="VTW1373" s="110"/>
      <c r="VTX1373" s="110"/>
      <c r="VTY1373" s="110"/>
      <c r="VTZ1373" s="110"/>
      <c r="VUA1373" s="110"/>
      <c r="VUB1373" s="110"/>
      <c r="VUC1373" s="110"/>
      <c r="VUD1373" s="110"/>
      <c r="VUE1373" s="110"/>
      <c r="VUF1373" s="110"/>
      <c r="VUG1373" s="110"/>
      <c r="VUH1373" s="110"/>
      <c r="VUI1373" s="110"/>
      <c r="VUJ1373" s="110"/>
      <c r="VUK1373" s="110"/>
      <c r="VUL1373" s="110"/>
      <c r="VUM1373" s="110"/>
      <c r="VUN1373" s="110"/>
      <c r="VUO1373" s="110"/>
      <c r="VUP1373" s="110"/>
      <c r="VUQ1373" s="110"/>
      <c r="VUR1373" s="110"/>
      <c r="VUS1373" s="110"/>
      <c r="VUT1373" s="110"/>
      <c r="VUU1373" s="110"/>
      <c r="VUV1373" s="110"/>
      <c r="VUW1373" s="110"/>
      <c r="VUX1373" s="110"/>
      <c r="VUY1373" s="110"/>
      <c r="VUZ1373" s="110"/>
      <c r="VVA1373" s="110"/>
      <c r="VVB1373" s="110"/>
      <c r="VVC1373" s="110"/>
      <c r="VVD1373" s="110"/>
      <c r="VVE1373" s="110"/>
      <c r="VVF1373" s="110"/>
      <c r="VVG1373" s="110"/>
      <c r="VVH1373" s="110"/>
      <c r="VVI1373" s="110"/>
      <c r="VVJ1373" s="110"/>
      <c r="VVK1373" s="110"/>
      <c r="VVL1373" s="110"/>
      <c r="VVM1373" s="110"/>
      <c r="VVN1373" s="110"/>
      <c r="VVO1373" s="110"/>
      <c r="VVP1373" s="110"/>
      <c r="VVQ1373" s="110"/>
      <c r="VVR1373" s="110"/>
      <c r="VVS1373" s="110"/>
      <c r="VVT1373" s="110"/>
      <c r="VVU1373" s="110"/>
      <c r="VVV1373" s="110"/>
      <c r="VVW1373" s="110"/>
      <c r="VVX1373" s="110"/>
      <c r="VVY1373" s="110"/>
      <c r="VVZ1373" s="110"/>
      <c r="VWA1373" s="110"/>
      <c r="VWB1373" s="110"/>
      <c r="VWC1373" s="110"/>
      <c r="VWD1373" s="110"/>
      <c r="VWE1373" s="110"/>
      <c r="VWF1373" s="110"/>
      <c r="VWG1373" s="110"/>
      <c r="VWH1373" s="110"/>
      <c r="VWI1373" s="110"/>
      <c r="VWJ1373" s="110"/>
      <c r="VWK1373" s="110"/>
      <c r="VWL1373" s="110"/>
      <c r="VWM1373" s="110"/>
      <c r="VWN1373" s="110"/>
      <c r="VWO1373" s="110"/>
      <c r="VWP1373" s="110"/>
      <c r="VWQ1373" s="110"/>
      <c r="VWR1373" s="110"/>
      <c r="VWS1373" s="110"/>
      <c r="VWT1373" s="110"/>
      <c r="VWU1373" s="110"/>
      <c r="VWV1373" s="110"/>
      <c r="VWW1373" s="110"/>
      <c r="VWX1373" s="110"/>
      <c r="VWY1373" s="110"/>
      <c r="VWZ1373" s="110"/>
      <c r="VXA1373" s="110"/>
      <c r="VXB1373" s="110"/>
      <c r="VXC1373" s="110"/>
      <c r="VXD1373" s="110"/>
      <c r="VXE1373" s="110"/>
      <c r="VXF1373" s="110"/>
      <c r="VXG1373" s="110"/>
      <c r="VXH1373" s="110"/>
      <c r="VXI1373" s="110"/>
      <c r="VXJ1373" s="110"/>
      <c r="VXK1373" s="110"/>
      <c r="VXL1373" s="110"/>
      <c r="VXM1373" s="110"/>
      <c r="VXN1373" s="110"/>
      <c r="VXO1373" s="110"/>
      <c r="VXP1373" s="110"/>
      <c r="VXQ1373" s="110"/>
      <c r="VXR1373" s="110"/>
      <c r="VXS1373" s="110"/>
      <c r="VXT1373" s="110"/>
      <c r="VXU1373" s="110"/>
      <c r="VXV1373" s="110"/>
      <c r="VXW1373" s="110"/>
      <c r="VXX1373" s="110"/>
      <c r="VXY1373" s="110"/>
      <c r="VXZ1373" s="110"/>
      <c r="VYA1373" s="110"/>
      <c r="VYB1373" s="110"/>
      <c r="VYC1373" s="110"/>
      <c r="VYD1373" s="110"/>
      <c r="VYE1373" s="110"/>
      <c r="VYF1373" s="110"/>
      <c r="VYG1373" s="110"/>
      <c r="VYH1373" s="110"/>
      <c r="VYI1373" s="110"/>
      <c r="VYJ1373" s="110"/>
      <c r="VYK1373" s="110"/>
      <c r="VYL1373" s="110"/>
      <c r="VYM1373" s="110"/>
      <c r="VYN1373" s="110"/>
      <c r="VYO1373" s="110"/>
      <c r="VYP1373" s="110"/>
      <c r="VYQ1373" s="110"/>
      <c r="VYR1373" s="110"/>
      <c r="VYS1373" s="110"/>
      <c r="VYT1373" s="110"/>
      <c r="VYU1373" s="110"/>
      <c r="VYV1373" s="110"/>
      <c r="VYW1373" s="110"/>
      <c r="VYX1373" s="110"/>
      <c r="VYY1373" s="110"/>
      <c r="VYZ1373" s="110"/>
      <c r="VZA1373" s="110"/>
      <c r="VZB1373" s="110"/>
      <c r="VZC1373" s="110"/>
      <c r="VZD1373" s="110"/>
      <c r="VZE1373" s="110"/>
      <c r="VZF1373" s="110"/>
      <c r="VZG1373" s="110"/>
      <c r="VZH1373" s="110"/>
      <c r="VZI1373" s="110"/>
      <c r="VZJ1373" s="110"/>
      <c r="VZK1373" s="110"/>
      <c r="VZL1373" s="110"/>
      <c r="VZM1373" s="110"/>
      <c r="VZN1373" s="110"/>
      <c r="VZO1373" s="110"/>
      <c r="VZP1373" s="110"/>
      <c r="VZQ1373" s="110"/>
      <c r="VZR1373" s="110"/>
      <c r="VZS1373" s="110"/>
      <c r="VZT1373" s="110"/>
      <c r="VZU1373" s="110"/>
      <c r="VZV1373" s="110"/>
      <c r="VZW1373" s="110"/>
      <c r="VZX1373" s="110"/>
      <c r="VZY1373" s="110"/>
      <c r="VZZ1373" s="110"/>
      <c r="WAA1373" s="110"/>
      <c r="WAB1373" s="110"/>
      <c r="WAC1373" s="110"/>
      <c r="WAD1373" s="110"/>
      <c r="WAE1373" s="110"/>
      <c r="WAF1373" s="110"/>
      <c r="WAG1373" s="110"/>
      <c r="WAH1373" s="110"/>
      <c r="WAI1373" s="110"/>
      <c r="WAJ1373" s="110"/>
      <c r="WAK1373" s="110"/>
      <c r="WAL1373" s="110"/>
      <c r="WAM1373" s="110"/>
      <c r="WAN1373" s="110"/>
      <c r="WAO1373" s="110"/>
      <c r="WAP1373" s="110"/>
      <c r="WAQ1373" s="110"/>
      <c r="WAR1373" s="110"/>
      <c r="WAS1373" s="110"/>
      <c r="WAT1373" s="110"/>
      <c r="WAU1373" s="110"/>
      <c r="WAV1373" s="110"/>
      <c r="WAW1373" s="110"/>
      <c r="WAX1373" s="110"/>
      <c r="WAY1373" s="110"/>
      <c r="WAZ1373" s="110"/>
      <c r="WBA1373" s="110"/>
      <c r="WBB1373" s="110"/>
      <c r="WBC1373" s="110"/>
      <c r="WBD1373" s="110"/>
      <c r="WBE1373" s="110"/>
      <c r="WBF1373" s="110"/>
      <c r="WBG1373" s="110"/>
      <c r="WBH1373" s="110"/>
      <c r="WBI1373" s="110"/>
      <c r="WBJ1373" s="110"/>
      <c r="WBK1373" s="110"/>
      <c r="WBL1373" s="110"/>
      <c r="WBM1373" s="110"/>
      <c r="WBN1373" s="110"/>
      <c r="WBO1373" s="110"/>
      <c r="WBP1373" s="110"/>
      <c r="WBQ1373" s="110"/>
      <c r="WBR1373" s="110"/>
      <c r="WBS1373" s="110"/>
      <c r="WBT1373" s="110"/>
      <c r="WBU1373" s="110"/>
      <c r="WBV1373" s="110"/>
      <c r="WBW1373" s="110"/>
      <c r="WBX1373" s="110"/>
      <c r="WBY1373" s="110"/>
      <c r="WBZ1373" s="110"/>
      <c r="WCA1373" s="110"/>
      <c r="WCB1373" s="110"/>
      <c r="WCC1373" s="110"/>
      <c r="WCD1373" s="110"/>
      <c r="WCE1373" s="110"/>
      <c r="WCF1373" s="110"/>
      <c r="WCG1373" s="110"/>
      <c r="WCH1373" s="110"/>
      <c r="WCI1373" s="110"/>
      <c r="WCJ1373" s="110"/>
      <c r="WCK1373" s="110"/>
      <c r="WCL1373" s="110"/>
      <c r="WCM1373" s="110"/>
      <c r="WCN1373" s="110"/>
      <c r="WCO1373" s="110"/>
      <c r="WCP1373" s="110"/>
      <c r="WCQ1373" s="110"/>
      <c r="WCR1373" s="110"/>
      <c r="WCS1373" s="110"/>
      <c r="WCT1373" s="110"/>
      <c r="WCU1373" s="110"/>
      <c r="WCV1373" s="110"/>
      <c r="WCW1373" s="110"/>
      <c r="WCX1373" s="110"/>
      <c r="WCY1373" s="110"/>
      <c r="WCZ1373" s="110"/>
      <c r="WDA1373" s="110"/>
      <c r="WDB1373" s="110"/>
      <c r="WDC1373" s="110"/>
      <c r="WDD1373" s="110"/>
      <c r="WDE1373" s="110"/>
      <c r="WDF1373" s="110"/>
      <c r="WDG1373" s="110"/>
      <c r="WDH1373" s="110"/>
      <c r="WDI1373" s="110"/>
      <c r="WDJ1373" s="110"/>
      <c r="WDK1373" s="110"/>
      <c r="WDL1373" s="110"/>
      <c r="WDM1373" s="110"/>
      <c r="WDN1373" s="110"/>
      <c r="WDO1373" s="110"/>
      <c r="WDP1373" s="110"/>
      <c r="WDQ1373" s="110"/>
      <c r="WDR1373" s="110"/>
      <c r="WDS1373" s="110"/>
      <c r="WDT1373" s="110"/>
      <c r="WDU1373" s="110"/>
      <c r="WDV1373" s="110"/>
      <c r="WDW1373" s="110"/>
      <c r="WDX1373" s="110"/>
      <c r="WDY1373" s="110"/>
      <c r="WDZ1373" s="110"/>
      <c r="WEA1373" s="110"/>
      <c r="WEB1373" s="110"/>
      <c r="WEC1373" s="110"/>
      <c r="WED1373" s="110"/>
      <c r="WEE1373" s="110"/>
      <c r="WEF1373" s="110"/>
      <c r="WEG1373" s="110"/>
      <c r="WEH1373" s="110"/>
      <c r="WEI1373" s="110"/>
      <c r="WEJ1373" s="110"/>
      <c r="WEK1373" s="110"/>
      <c r="WEL1373" s="110"/>
      <c r="WEM1373" s="110"/>
      <c r="WEN1373" s="110"/>
      <c r="WEO1373" s="110"/>
      <c r="WEP1373" s="110"/>
      <c r="WEQ1373" s="110"/>
      <c r="WER1373" s="110"/>
      <c r="WES1373" s="110"/>
      <c r="WET1373" s="110"/>
      <c r="WEU1373" s="110"/>
      <c r="WEV1373" s="110"/>
      <c r="WEW1373" s="110"/>
      <c r="WEX1373" s="110"/>
      <c r="WEY1373" s="110"/>
      <c r="WEZ1373" s="110"/>
      <c r="WFA1373" s="110"/>
      <c r="WFB1373" s="110"/>
      <c r="WFC1373" s="110"/>
      <c r="WFD1373" s="110"/>
      <c r="WFE1373" s="110"/>
      <c r="WFF1373" s="110"/>
      <c r="WFG1373" s="110"/>
      <c r="WFH1373" s="110"/>
      <c r="WFI1373" s="110"/>
      <c r="WFJ1373" s="110"/>
      <c r="WFK1373" s="110"/>
      <c r="WFL1373" s="110"/>
      <c r="WFM1373" s="110"/>
      <c r="WFN1373" s="110"/>
      <c r="WFO1373" s="110"/>
      <c r="WFP1373" s="110"/>
      <c r="WFQ1373" s="110"/>
      <c r="WFR1373" s="110"/>
      <c r="WFS1373" s="110"/>
      <c r="WFT1373" s="110"/>
      <c r="WFU1373" s="110"/>
      <c r="WFV1373" s="110"/>
      <c r="WFW1373" s="110"/>
      <c r="WFX1373" s="110"/>
      <c r="WFY1373" s="110"/>
      <c r="WFZ1373" s="110"/>
      <c r="WGA1373" s="110"/>
      <c r="WGB1373" s="110"/>
      <c r="WGC1373" s="110"/>
      <c r="WGD1373" s="110"/>
      <c r="WGE1373" s="110"/>
      <c r="WGF1373" s="110"/>
      <c r="WGG1373" s="110"/>
      <c r="WGH1373" s="110"/>
      <c r="WGI1373" s="110"/>
      <c r="WGJ1373" s="110"/>
      <c r="WGK1373" s="110"/>
      <c r="WGL1373" s="110"/>
      <c r="WGM1373" s="110"/>
      <c r="WGN1373" s="110"/>
      <c r="WGO1373" s="110"/>
      <c r="WGP1373" s="110"/>
      <c r="WGQ1373" s="110"/>
      <c r="WGR1373" s="110"/>
      <c r="WGS1373" s="110"/>
      <c r="WGT1373" s="110"/>
      <c r="WGU1373" s="110"/>
      <c r="WGV1373" s="110"/>
      <c r="WGW1373" s="110"/>
      <c r="WGX1373" s="110"/>
      <c r="WGY1373" s="110"/>
      <c r="WGZ1373" s="110"/>
      <c r="WHA1373" s="110"/>
      <c r="WHB1373" s="110"/>
      <c r="WHC1373" s="110"/>
      <c r="WHD1373" s="110"/>
      <c r="WHE1373" s="110"/>
      <c r="WHF1373" s="110"/>
      <c r="WHG1373" s="110"/>
      <c r="WHH1373" s="110"/>
      <c r="WHI1373" s="110"/>
      <c r="WHJ1373" s="110"/>
      <c r="WHK1373" s="110"/>
      <c r="WHL1373" s="110"/>
      <c r="WHM1373" s="110"/>
      <c r="WHN1373" s="110"/>
      <c r="WHO1373" s="110"/>
      <c r="WHP1373" s="110"/>
      <c r="WHQ1373" s="110"/>
      <c r="WHR1373" s="110"/>
      <c r="WHS1373" s="110"/>
      <c r="WHT1373" s="110"/>
      <c r="WHU1373" s="110"/>
      <c r="WHV1373" s="110"/>
      <c r="WHW1373" s="110"/>
      <c r="WHX1373" s="110"/>
      <c r="WHY1373" s="110"/>
      <c r="WHZ1373" s="110"/>
      <c r="WIA1373" s="110"/>
      <c r="WIB1373" s="110"/>
      <c r="WIC1373" s="110"/>
      <c r="WID1373" s="110"/>
      <c r="WIE1373" s="110"/>
      <c r="WIF1373" s="110"/>
      <c r="WIG1373" s="110"/>
      <c r="WIH1373" s="110"/>
      <c r="WII1373" s="110"/>
      <c r="WIJ1373" s="110"/>
      <c r="WIK1373" s="110"/>
      <c r="WIL1373" s="110"/>
      <c r="WIM1373" s="110"/>
      <c r="WIN1373" s="110"/>
      <c r="WIO1373" s="110"/>
      <c r="WIP1373" s="110"/>
      <c r="WIQ1373" s="110"/>
      <c r="WIR1373" s="110"/>
      <c r="WIS1373" s="110"/>
      <c r="WIT1373" s="110"/>
      <c r="WIU1373" s="110"/>
      <c r="WIV1373" s="110"/>
      <c r="WIW1373" s="110"/>
      <c r="WIX1373" s="110"/>
      <c r="WIY1373" s="110"/>
      <c r="WIZ1373" s="110"/>
      <c r="WJA1373" s="110"/>
      <c r="WJB1373" s="110"/>
      <c r="WJC1373" s="110"/>
      <c r="WJD1373" s="110"/>
      <c r="WJE1373" s="110"/>
      <c r="WJF1373" s="110"/>
      <c r="WJG1373" s="110"/>
      <c r="WJH1373" s="110"/>
      <c r="WJI1373" s="110"/>
      <c r="WJJ1373" s="110"/>
      <c r="WJK1373" s="110"/>
      <c r="WJL1373" s="110"/>
      <c r="WJM1373" s="110"/>
      <c r="WJN1373" s="110"/>
      <c r="WJO1373" s="110"/>
      <c r="WJP1373" s="110"/>
      <c r="WJQ1373" s="110"/>
      <c r="WJR1373" s="110"/>
      <c r="WJS1373" s="110"/>
      <c r="WJT1373" s="110"/>
      <c r="WJU1373" s="110"/>
      <c r="WJV1373" s="110"/>
      <c r="WJW1373" s="110"/>
      <c r="WJX1373" s="110"/>
      <c r="WJY1373" s="110"/>
      <c r="WJZ1373" s="110"/>
      <c r="WKA1373" s="110"/>
      <c r="WKB1373" s="110"/>
      <c r="WKC1373" s="110"/>
      <c r="WKD1373" s="110"/>
      <c r="WKE1373" s="110"/>
      <c r="WKF1373" s="110"/>
      <c r="WKG1373" s="110"/>
      <c r="WKH1373" s="110"/>
      <c r="WKI1373" s="110"/>
      <c r="WKJ1373" s="110"/>
      <c r="WKK1373" s="110"/>
      <c r="WKL1373" s="110"/>
      <c r="WKM1373" s="110"/>
      <c r="WKN1373" s="110"/>
      <c r="WKO1373" s="110"/>
      <c r="WKP1373" s="110"/>
      <c r="WKQ1373" s="110"/>
      <c r="WKR1373" s="110"/>
      <c r="WKS1373" s="110"/>
      <c r="WKT1373" s="110"/>
      <c r="WKU1373" s="110"/>
      <c r="WKV1373" s="110"/>
      <c r="WKW1373" s="110"/>
      <c r="WKX1373" s="110"/>
      <c r="WKY1373" s="110"/>
      <c r="WKZ1373" s="110"/>
      <c r="WLA1373" s="110"/>
      <c r="WLB1373" s="110"/>
      <c r="WLC1373" s="110"/>
      <c r="WLD1373" s="110"/>
      <c r="WLE1373" s="110"/>
      <c r="WLF1373" s="110"/>
      <c r="WLG1373" s="110"/>
      <c r="WLH1373" s="110"/>
      <c r="WLI1373" s="110"/>
      <c r="WLJ1373" s="110"/>
      <c r="WLK1373" s="110"/>
      <c r="WLL1373" s="110"/>
      <c r="WLM1373" s="110"/>
      <c r="WLN1373" s="110"/>
      <c r="WLO1373" s="110"/>
      <c r="WLP1373" s="110"/>
      <c r="WLQ1373" s="110"/>
      <c r="WLR1373" s="110"/>
      <c r="WLS1373" s="110"/>
      <c r="WLT1373" s="110"/>
      <c r="WLU1373" s="110"/>
      <c r="WLV1373" s="110"/>
      <c r="WLW1373" s="110"/>
      <c r="WLX1373" s="110"/>
      <c r="WLY1373" s="110"/>
      <c r="WLZ1373" s="110"/>
      <c r="WMA1373" s="110"/>
      <c r="WMB1373" s="110"/>
      <c r="WMC1373" s="110"/>
      <c r="WMD1373" s="110"/>
      <c r="WME1373" s="110"/>
      <c r="WMF1373" s="110"/>
      <c r="WMG1373" s="110"/>
      <c r="WMH1373" s="110"/>
      <c r="WMI1373" s="110"/>
      <c r="WMJ1373" s="110"/>
      <c r="WMK1373" s="110"/>
      <c r="WML1373" s="110"/>
      <c r="WMM1373" s="110"/>
      <c r="WMN1373" s="110"/>
      <c r="WMO1373" s="110"/>
      <c r="WMP1373" s="110"/>
      <c r="WMQ1373" s="110"/>
      <c r="WMR1373" s="110"/>
      <c r="WMS1373" s="110"/>
      <c r="WMT1373" s="110"/>
      <c r="WMU1373" s="110"/>
      <c r="WMV1373" s="110"/>
      <c r="WMW1373" s="110"/>
      <c r="WMX1373" s="110"/>
      <c r="WMY1373" s="110"/>
      <c r="WMZ1373" s="110"/>
      <c r="WNA1373" s="110"/>
      <c r="WNB1373" s="110"/>
      <c r="WNC1373" s="110"/>
      <c r="WND1373" s="110"/>
      <c r="WNE1373" s="110"/>
      <c r="WNF1373" s="110"/>
      <c r="WNG1373" s="110"/>
      <c r="WNH1373" s="110"/>
      <c r="WNI1373" s="110"/>
      <c r="WNJ1373" s="110"/>
      <c r="WNK1373" s="110"/>
      <c r="WNL1373" s="110"/>
      <c r="WNM1373" s="110"/>
      <c r="WNN1373" s="110"/>
      <c r="WNO1373" s="110"/>
      <c r="WNP1373" s="110"/>
      <c r="WNQ1373" s="110"/>
      <c r="WNR1373" s="110"/>
      <c r="WNS1373" s="110"/>
      <c r="WNT1373" s="110"/>
      <c r="WNU1373" s="110"/>
      <c r="WNV1373" s="110"/>
      <c r="WNW1373" s="110"/>
      <c r="WNX1373" s="110"/>
      <c r="WNY1373" s="110"/>
      <c r="WNZ1373" s="110"/>
      <c r="WOA1373" s="110"/>
      <c r="WOB1373" s="110"/>
      <c r="WOC1373" s="110"/>
      <c r="WOD1373" s="110"/>
      <c r="WOE1373" s="110"/>
      <c r="WOF1373" s="110"/>
      <c r="WOG1373" s="110"/>
      <c r="WOH1373" s="110"/>
      <c r="WOI1373" s="110"/>
      <c r="WOJ1373" s="110"/>
      <c r="WOK1373" s="110"/>
      <c r="WOL1373" s="110"/>
      <c r="WOM1373" s="110"/>
      <c r="WON1373" s="110"/>
      <c r="WOO1373" s="110"/>
      <c r="WOP1373" s="110"/>
      <c r="WOQ1373" s="110"/>
      <c r="WOR1373" s="110"/>
      <c r="WOS1373" s="110"/>
      <c r="WOT1373" s="110"/>
      <c r="WOU1373" s="110"/>
      <c r="WOV1373" s="110"/>
      <c r="WOW1373" s="110"/>
      <c r="WOX1373" s="110"/>
      <c r="WOY1373" s="110"/>
      <c r="WOZ1373" s="110"/>
      <c r="WPA1373" s="110"/>
      <c r="WPB1373" s="110"/>
      <c r="WPC1373" s="110"/>
      <c r="WPD1373" s="110"/>
      <c r="WPE1373" s="110"/>
      <c r="WPF1373" s="110"/>
      <c r="WPG1373" s="110"/>
      <c r="WPH1373" s="110"/>
      <c r="WPI1373" s="110"/>
      <c r="WPJ1373" s="110"/>
      <c r="WPK1373" s="110"/>
      <c r="WPL1373" s="110"/>
      <c r="WPM1373" s="110"/>
      <c r="WPN1373" s="110"/>
      <c r="WPO1373" s="110"/>
      <c r="WPP1373" s="110"/>
      <c r="WPQ1373" s="110"/>
      <c r="WPR1373" s="110"/>
      <c r="WPS1373" s="110"/>
      <c r="WPT1373" s="110"/>
      <c r="WPU1373" s="110"/>
      <c r="WPV1373" s="110"/>
      <c r="WPW1373" s="110"/>
      <c r="WPX1373" s="110"/>
      <c r="WPY1373" s="110"/>
      <c r="WPZ1373" s="110"/>
      <c r="WQA1373" s="110"/>
      <c r="WQB1373" s="110"/>
      <c r="WQC1373" s="110"/>
      <c r="WQD1373" s="110"/>
      <c r="WQE1373" s="110"/>
      <c r="WQF1373" s="110"/>
      <c r="WQG1373" s="110"/>
      <c r="WQH1373" s="110"/>
      <c r="WQI1373" s="110"/>
      <c r="WQJ1373" s="110"/>
      <c r="WQK1373" s="110"/>
      <c r="WQL1373" s="110"/>
      <c r="WQM1373" s="110"/>
      <c r="WQN1373" s="110"/>
      <c r="WQO1373" s="110"/>
      <c r="WQP1373" s="110"/>
      <c r="WQQ1373" s="110"/>
      <c r="WQR1373" s="110"/>
      <c r="WQS1373" s="110"/>
      <c r="WQT1373" s="110"/>
      <c r="WQU1373" s="110"/>
      <c r="WQV1373" s="110"/>
      <c r="WQW1373" s="110"/>
      <c r="WQX1373" s="110"/>
      <c r="WQY1373" s="110"/>
      <c r="WQZ1373" s="110"/>
      <c r="WRA1373" s="110"/>
      <c r="WRB1373" s="110"/>
      <c r="WRC1373" s="110"/>
      <c r="WRD1373" s="110"/>
      <c r="WRE1373" s="110"/>
      <c r="WRF1373" s="110"/>
      <c r="WRG1373" s="110"/>
      <c r="WRH1373" s="110"/>
      <c r="WRI1373" s="110"/>
      <c r="WRJ1373" s="110"/>
      <c r="WRK1373" s="110"/>
      <c r="WRL1373" s="110"/>
      <c r="WRM1373" s="110"/>
      <c r="WRN1373" s="110"/>
      <c r="WRO1373" s="110"/>
      <c r="WRP1373" s="110"/>
      <c r="WRQ1373" s="110"/>
      <c r="WRR1373" s="110"/>
      <c r="WRS1373" s="110"/>
      <c r="WRT1373" s="110"/>
      <c r="WRU1373" s="110"/>
      <c r="WRV1373" s="110"/>
      <c r="WRW1373" s="110"/>
      <c r="WRX1373" s="110"/>
      <c r="WRY1373" s="110"/>
      <c r="WRZ1373" s="110"/>
      <c r="WSA1373" s="110"/>
      <c r="WSB1373" s="110"/>
      <c r="WSC1373" s="110"/>
      <c r="WSD1373" s="110"/>
      <c r="WSE1373" s="110"/>
      <c r="WSF1373" s="110"/>
      <c r="WSG1373" s="110"/>
      <c r="WSH1373" s="110"/>
      <c r="WSI1373" s="110"/>
      <c r="WSJ1373" s="110"/>
      <c r="WSK1373" s="110"/>
      <c r="WSL1373" s="110"/>
      <c r="WSM1373" s="110"/>
      <c r="WSN1373" s="110"/>
      <c r="WSO1373" s="110"/>
      <c r="WSP1373" s="110"/>
      <c r="WSQ1373" s="110"/>
      <c r="WSR1373" s="110"/>
      <c r="WSS1373" s="110"/>
      <c r="WST1373" s="110"/>
      <c r="WSU1373" s="110"/>
      <c r="WSV1373" s="110"/>
      <c r="WSW1373" s="110"/>
      <c r="WSX1373" s="110"/>
      <c r="WSY1373" s="110"/>
      <c r="WSZ1373" s="110"/>
      <c r="WTA1373" s="110"/>
      <c r="WTB1373" s="110"/>
      <c r="WTC1373" s="110"/>
      <c r="WTD1373" s="110"/>
      <c r="WTE1373" s="110"/>
      <c r="WTF1373" s="110"/>
      <c r="WTG1373" s="110"/>
      <c r="WTH1373" s="110"/>
      <c r="WTI1373" s="110"/>
      <c r="WTJ1373" s="110"/>
      <c r="WTK1373" s="110"/>
      <c r="WTL1373" s="110"/>
      <c r="WTM1373" s="110"/>
      <c r="WTN1373" s="110"/>
      <c r="WTO1373" s="110"/>
      <c r="WTP1373" s="110"/>
      <c r="WTQ1373" s="110"/>
      <c r="WTR1373" s="110"/>
      <c r="WTS1373" s="110"/>
      <c r="WTT1373" s="110"/>
      <c r="WTU1373" s="110"/>
      <c r="WTV1373" s="110"/>
      <c r="WTW1373" s="110"/>
      <c r="WTX1373" s="110"/>
      <c r="WTY1373" s="110"/>
      <c r="WTZ1373" s="110"/>
      <c r="WUA1373" s="110"/>
      <c r="WUB1373" s="110"/>
      <c r="WUC1373" s="110"/>
      <c r="WUD1373" s="110"/>
      <c r="WUE1373" s="110"/>
      <c r="WUF1373" s="110"/>
      <c r="WUG1373" s="110"/>
      <c r="WUH1373" s="110"/>
      <c r="WUI1373" s="110"/>
      <c r="WUJ1373" s="110"/>
      <c r="WUK1373" s="110"/>
      <c r="WUL1373" s="110"/>
      <c r="WUM1373" s="110"/>
      <c r="WUN1373" s="110"/>
      <c r="WUO1373" s="110"/>
      <c r="WUP1373" s="110"/>
      <c r="WUQ1373" s="110"/>
      <c r="WUR1373" s="110"/>
      <c r="WUS1373" s="110"/>
      <c r="WUT1373" s="110"/>
      <c r="WUU1373" s="110"/>
      <c r="WUV1373" s="110"/>
      <c r="WUW1373" s="110"/>
      <c r="WUX1373" s="110"/>
      <c r="WUY1373" s="110"/>
      <c r="WUZ1373" s="110"/>
      <c r="WVA1373" s="110"/>
      <c r="WVB1373" s="110"/>
      <c r="WVC1373" s="110"/>
      <c r="WVD1373" s="110"/>
      <c r="WVE1373" s="110"/>
      <c r="WVF1373" s="110"/>
      <c r="WVG1373" s="110"/>
      <c r="WVH1373" s="110"/>
      <c r="WVI1373" s="110"/>
      <c r="WVJ1373" s="110"/>
      <c r="WVK1373" s="110"/>
      <c r="WVL1373" s="110"/>
      <c r="WVM1373" s="110"/>
      <c r="WVN1373" s="110"/>
      <c r="WVO1373" s="110"/>
      <c r="WVP1373" s="110"/>
      <c r="WVQ1373" s="110"/>
      <c r="WVR1373" s="110"/>
      <c r="WVS1373" s="110"/>
      <c r="WVT1373" s="110"/>
      <c r="WVU1373" s="110"/>
      <c r="WVV1373" s="110"/>
      <c r="WVW1373" s="110"/>
      <c r="WVX1373" s="110"/>
      <c r="WVY1373" s="110"/>
      <c r="WVZ1373" s="110"/>
      <c r="WWA1373" s="110"/>
      <c r="WWB1373" s="110"/>
      <c r="WWC1373" s="110"/>
      <c r="WWD1373" s="110"/>
      <c r="WWE1373" s="110"/>
      <c r="WWF1373" s="110"/>
      <c r="WWG1373" s="110"/>
      <c r="WWH1373" s="110"/>
      <c r="WWI1373" s="110"/>
      <c r="WWJ1373" s="110"/>
      <c r="WWK1373" s="110"/>
      <c r="WWL1373" s="110"/>
      <c r="WWM1373" s="110"/>
      <c r="WWN1373" s="110"/>
      <c r="WWO1373" s="110"/>
      <c r="WWP1373" s="110"/>
      <c r="WWQ1373" s="110"/>
      <c r="WWR1373" s="110"/>
      <c r="WWS1373" s="110"/>
      <c r="WWT1373" s="110"/>
      <c r="WWU1373" s="110"/>
      <c r="WWV1373" s="110"/>
      <c r="WWW1373" s="110"/>
      <c r="WWX1373" s="110"/>
      <c r="WWY1373" s="110"/>
      <c r="WWZ1373" s="110"/>
      <c r="WXA1373" s="110"/>
      <c r="WXB1373" s="110"/>
      <c r="WXC1373" s="110"/>
      <c r="WXD1373" s="110"/>
      <c r="WXE1373" s="110"/>
      <c r="WXF1373" s="110"/>
      <c r="WXG1373" s="110"/>
      <c r="WXH1373" s="110"/>
      <c r="WXI1373" s="110"/>
      <c r="WXJ1373" s="110"/>
      <c r="WXK1373" s="110"/>
      <c r="WXL1373" s="110"/>
      <c r="WXM1373" s="110"/>
      <c r="WXN1373" s="110"/>
      <c r="WXO1373" s="110"/>
      <c r="WXP1373" s="110"/>
      <c r="WXQ1373" s="110"/>
      <c r="WXR1373" s="110"/>
      <c r="WXS1373" s="110"/>
      <c r="WXT1373" s="110"/>
      <c r="WXU1373" s="110"/>
      <c r="WXV1373" s="110"/>
      <c r="WXW1373" s="110"/>
      <c r="WXX1373" s="110"/>
      <c r="WXY1373" s="110"/>
      <c r="WXZ1373" s="110"/>
      <c r="WYA1373" s="110"/>
      <c r="WYB1373" s="110"/>
      <c r="WYC1373" s="110"/>
      <c r="WYD1373" s="110"/>
      <c r="WYE1373" s="110"/>
      <c r="WYF1373" s="110"/>
      <c r="WYG1373" s="110"/>
      <c r="WYH1373" s="110"/>
      <c r="WYI1373" s="110"/>
      <c r="WYJ1373" s="110"/>
      <c r="WYK1373" s="110"/>
      <c r="WYL1373" s="110"/>
      <c r="WYM1373" s="110"/>
      <c r="WYN1373" s="110"/>
      <c r="WYO1373" s="110"/>
      <c r="WYP1373" s="110"/>
      <c r="WYQ1373" s="110"/>
      <c r="WYR1373" s="110"/>
      <c r="WYS1373" s="110"/>
      <c r="WYT1373" s="110"/>
      <c r="WYU1373" s="110"/>
      <c r="WYV1373" s="110"/>
      <c r="WYW1373" s="110"/>
      <c r="WYX1373" s="110"/>
      <c r="WYY1373" s="110"/>
      <c r="WYZ1373" s="110"/>
      <c r="WZA1373" s="110"/>
      <c r="WZB1373" s="110"/>
      <c r="WZC1373" s="110"/>
      <c r="WZD1373" s="110"/>
      <c r="WZE1373" s="110"/>
      <c r="WZF1373" s="110"/>
      <c r="WZG1373" s="110"/>
      <c r="WZH1373" s="110"/>
      <c r="WZI1373" s="110"/>
      <c r="WZJ1373" s="110"/>
      <c r="WZK1373" s="110"/>
      <c r="WZL1373" s="110"/>
      <c r="WZM1373" s="110"/>
      <c r="WZN1373" s="110"/>
      <c r="WZO1373" s="110"/>
      <c r="WZP1373" s="110"/>
      <c r="WZQ1373" s="110"/>
      <c r="WZR1373" s="110"/>
      <c r="WZS1373" s="110"/>
      <c r="WZT1373" s="110"/>
      <c r="WZU1373" s="110"/>
      <c r="WZV1373" s="110"/>
      <c r="WZW1373" s="110"/>
      <c r="WZX1373" s="110"/>
      <c r="WZY1373" s="110"/>
      <c r="WZZ1373" s="110"/>
      <c r="XAA1373" s="110"/>
      <c r="XAB1373" s="110"/>
      <c r="XAC1373" s="110"/>
      <c r="XAD1373" s="110"/>
      <c r="XAE1373" s="110"/>
      <c r="XAF1373" s="110"/>
      <c r="XAG1373" s="110"/>
      <c r="XAH1373" s="110"/>
      <c r="XAI1373" s="110"/>
      <c r="XAJ1373" s="110"/>
      <c r="XAK1373" s="110"/>
      <c r="XAL1373" s="110"/>
      <c r="XAM1373" s="110"/>
      <c r="XAN1373" s="110"/>
      <c r="XAO1373" s="110"/>
      <c r="XAP1373" s="110"/>
      <c r="XAQ1373" s="110"/>
      <c r="XAR1373" s="110"/>
      <c r="XAS1373" s="110"/>
      <c r="XAT1373" s="110"/>
      <c r="XAU1373" s="110"/>
      <c r="XAV1373" s="110"/>
      <c r="XAW1373" s="110"/>
      <c r="XAX1373" s="110"/>
      <c r="XAY1373" s="110"/>
      <c r="XAZ1373" s="110"/>
      <c r="XBA1373" s="110"/>
      <c r="XBB1373" s="110"/>
      <c r="XBC1373" s="110"/>
      <c r="XBD1373" s="110"/>
      <c r="XBE1373" s="110"/>
      <c r="XBF1373" s="110"/>
      <c r="XBG1373" s="110"/>
      <c r="XBH1373" s="110"/>
      <c r="XBI1373" s="110"/>
      <c r="XBJ1373" s="110"/>
      <c r="XBK1373" s="110"/>
      <c r="XBL1373" s="110"/>
      <c r="XBM1373" s="110"/>
      <c r="XBN1373" s="110"/>
      <c r="XBO1373" s="110"/>
      <c r="XBP1373" s="110"/>
      <c r="XBQ1373" s="110"/>
      <c r="XBR1373" s="110"/>
      <c r="XBS1373" s="110"/>
      <c r="XBT1373" s="110"/>
      <c r="XBU1373" s="110"/>
      <c r="XBV1373" s="110"/>
      <c r="XBW1373" s="110"/>
      <c r="XBX1373" s="110"/>
      <c r="XBY1373" s="110"/>
      <c r="XBZ1373" s="110"/>
      <c r="XCA1373" s="110"/>
      <c r="XCB1373" s="110"/>
      <c r="XCC1373" s="110"/>
      <c r="XCD1373" s="110"/>
      <c r="XCE1373" s="110"/>
      <c r="XCF1373" s="110"/>
      <c r="XCG1373" s="110"/>
      <c r="XCH1373" s="110"/>
      <c r="XCI1373" s="110"/>
      <c r="XCJ1373" s="110"/>
      <c r="XCK1373" s="110"/>
      <c r="XCL1373" s="110"/>
      <c r="XCM1373" s="110"/>
      <c r="XCN1373" s="110"/>
      <c r="XCO1373" s="110"/>
      <c r="XCP1373" s="110"/>
      <c r="XCQ1373" s="110"/>
      <c r="XCR1373" s="110"/>
      <c r="XCS1373" s="110"/>
      <c r="XCT1373" s="110"/>
      <c r="XCU1373" s="110"/>
      <c r="XCV1373" s="110"/>
      <c r="XCW1373" s="110"/>
      <c r="XCX1373" s="110"/>
      <c r="XCY1373" s="110"/>
      <c r="XCZ1373" s="110"/>
      <c r="XDA1373" s="110"/>
      <c r="XDB1373" s="110"/>
      <c r="XDC1373" s="110"/>
      <c r="XDD1373" s="110"/>
      <c r="XDE1373" s="110"/>
      <c r="XDF1373" s="110"/>
      <c r="XDG1373" s="110"/>
      <c r="XDH1373" s="110"/>
      <c r="XDI1373" s="110"/>
      <c r="XDJ1373" s="110"/>
      <c r="XDK1373" s="110"/>
      <c r="XDL1373" s="110"/>
      <c r="XDM1373" s="110"/>
      <c r="XDN1373" s="110"/>
      <c r="XDO1373" s="110"/>
      <c r="XDP1373" s="110"/>
      <c r="XDQ1373" s="110"/>
      <c r="XDR1373" s="110"/>
      <c r="XDS1373" s="110"/>
      <c r="XDT1373" s="110"/>
      <c r="XDU1373" s="110"/>
      <c r="XDV1373" s="110"/>
      <c r="XDW1373" s="110"/>
      <c r="XDX1373" s="110"/>
      <c r="XDY1373" s="110"/>
      <c r="XDZ1373" s="110"/>
      <c r="XEA1373" s="110"/>
      <c r="XEB1373" s="110"/>
      <c r="XEC1373" s="110"/>
      <c r="XED1373" s="110"/>
      <c r="XEE1373" s="110"/>
      <c r="XEF1373" s="110"/>
      <c r="XEG1373" s="110"/>
      <c r="XEH1373" s="110"/>
      <c r="XEI1373" s="110"/>
      <c r="XEJ1373" s="110"/>
      <c r="XEK1373" s="110"/>
      <c r="XEL1373" s="110"/>
      <c r="XEM1373" s="110"/>
      <c r="XEN1373" s="110"/>
      <c r="XEO1373" s="110"/>
      <c r="XEP1373" s="110"/>
      <c r="XEQ1373" s="110"/>
      <c r="XER1373" s="110"/>
      <c r="XES1373" s="110"/>
      <c r="XET1373" s="110"/>
      <c r="XEU1373" s="110"/>
      <c r="XEV1373" s="110"/>
      <c r="XEW1373" s="110"/>
      <c r="XEX1373" s="110"/>
      <c r="XEY1373" s="110"/>
      <c r="XEZ1373" s="110"/>
      <c r="XFA1373" s="110"/>
      <c r="XFB1373" s="110"/>
    </row>
    <row r="1374" spans="1:16382" ht="11.25" customHeight="1" x14ac:dyDescent="0.15">
      <c r="A1374" s="110" t="s">
        <v>699</v>
      </c>
      <c r="B1374" s="110"/>
      <c r="C1374" s="240" t="s">
        <v>49</v>
      </c>
      <c r="D1374" s="213">
        <v>2025</v>
      </c>
      <c r="E1374" s="281">
        <v>45716</v>
      </c>
      <c r="F1374" s="111"/>
      <c r="G1374" s="111">
        <v>60642012</v>
      </c>
      <c r="H1374" s="111"/>
      <c r="I1374" s="111"/>
      <c r="J1374" s="111"/>
      <c r="K1374" s="112" t="s">
        <v>85</v>
      </c>
      <c r="L1374" s="120">
        <v>40952</v>
      </c>
      <c r="M1374" s="120">
        <v>7888</v>
      </c>
      <c r="N1374" s="120">
        <f t="shared" si="960"/>
        <v>33064</v>
      </c>
      <c r="O1374" s="119">
        <f t="shared" si="942"/>
        <v>0.80738425473725339</v>
      </c>
      <c r="P1374" s="120">
        <f t="shared" si="955"/>
        <v>40952</v>
      </c>
      <c r="Q1374" s="111">
        <v>4159</v>
      </c>
      <c r="R1374" s="117">
        <v>62</v>
      </c>
      <c r="S1374" s="117">
        <v>3646.1</v>
      </c>
      <c r="T1374" s="117">
        <v>3379.08</v>
      </c>
      <c r="U1374" s="117">
        <v>149.43</v>
      </c>
      <c r="V1374" s="117"/>
      <c r="W1374" s="26">
        <f t="shared" si="934"/>
        <v>7174.6100000000006</v>
      </c>
      <c r="X1374" s="118">
        <f t="shared" si="943"/>
        <v>58.808064516129029</v>
      </c>
      <c r="Y1374" s="119"/>
      <c r="Z1374" s="117">
        <f t="shared" si="961"/>
        <v>33777.39</v>
      </c>
      <c r="AA1374" s="119">
        <f t="shared" si="962"/>
        <v>0.82480440515725728</v>
      </c>
      <c r="AB1374" s="120">
        <f t="shared" si="963"/>
        <v>713.38999999999942</v>
      </c>
      <c r="AC1374" s="119">
        <f t="shared" si="964"/>
        <v>1.7420150420003888E-2</v>
      </c>
      <c r="AD1374" s="110"/>
      <c r="AE1374" s="110"/>
      <c r="AF1374" s="110"/>
      <c r="AG1374" s="121"/>
      <c r="AH1374" s="110"/>
      <c r="AI1374" s="110"/>
      <c r="AJ1374" s="110"/>
      <c r="AK1374" s="110"/>
      <c r="AL1374" s="110"/>
      <c r="AM1374" s="110"/>
      <c r="AN1374" s="110"/>
      <c r="AO1374" s="110"/>
      <c r="AP1374" s="110"/>
      <c r="AQ1374" s="110"/>
      <c r="AR1374" s="110"/>
      <c r="AS1374" s="110"/>
      <c r="AT1374" s="110"/>
      <c r="AU1374" s="110"/>
      <c r="AV1374" s="110"/>
      <c r="AW1374" s="110"/>
      <c r="AX1374" s="110"/>
      <c r="AY1374" s="110"/>
      <c r="AZ1374" s="110"/>
      <c r="BA1374" s="110"/>
      <c r="BB1374" s="110"/>
      <c r="BC1374" s="110"/>
      <c r="BD1374" s="110"/>
      <c r="BE1374" s="110"/>
      <c r="BF1374" s="110"/>
      <c r="BG1374" s="110"/>
      <c r="BH1374" s="110"/>
      <c r="BI1374" s="110"/>
      <c r="BJ1374" s="110"/>
      <c r="BK1374" s="110"/>
      <c r="BL1374" s="110"/>
      <c r="BM1374" s="110"/>
      <c r="BN1374" s="110"/>
      <c r="BO1374" s="110"/>
      <c r="BP1374" s="110"/>
      <c r="BQ1374" s="110"/>
      <c r="BR1374" s="110"/>
      <c r="BS1374" s="110"/>
      <c r="BT1374" s="110"/>
      <c r="BU1374" s="110"/>
      <c r="BV1374" s="110"/>
      <c r="BW1374" s="110"/>
      <c r="BX1374" s="110"/>
      <c r="BY1374" s="110"/>
      <c r="BZ1374" s="110"/>
      <c r="CA1374" s="110"/>
      <c r="CB1374" s="110"/>
      <c r="CC1374" s="110"/>
      <c r="CD1374" s="110"/>
      <c r="CE1374" s="110"/>
      <c r="CF1374" s="110"/>
      <c r="CG1374" s="110"/>
      <c r="CH1374" s="110"/>
      <c r="CI1374" s="110"/>
      <c r="CJ1374" s="110"/>
      <c r="CK1374" s="110"/>
      <c r="CL1374" s="110"/>
      <c r="CM1374" s="110"/>
      <c r="CN1374" s="110"/>
      <c r="CO1374" s="110"/>
      <c r="CP1374" s="110"/>
      <c r="CQ1374" s="110"/>
      <c r="CR1374" s="110"/>
      <c r="CS1374" s="110"/>
      <c r="CT1374" s="110"/>
      <c r="CU1374" s="110"/>
      <c r="CV1374" s="110"/>
      <c r="CW1374" s="110"/>
      <c r="CX1374" s="110"/>
      <c r="CY1374" s="110"/>
      <c r="CZ1374" s="110"/>
      <c r="DA1374" s="110"/>
      <c r="DB1374" s="110"/>
      <c r="DC1374" s="110"/>
      <c r="DD1374" s="110"/>
      <c r="DE1374" s="110"/>
      <c r="DF1374" s="110"/>
      <c r="DG1374" s="110"/>
      <c r="DH1374" s="110"/>
      <c r="DI1374" s="110"/>
      <c r="DJ1374" s="110"/>
      <c r="DK1374" s="110"/>
      <c r="DL1374" s="110"/>
      <c r="DM1374" s="110"/>
      <c r="DN1374" s="110"/>
      <c r="DO1374" s="110"/>
      <c r="DP1374" s="110"/>
      <c r="DQ1374" s="110"/>
      <c r="DR1374" s="110"/>
      <c r="DS1374" s="110"/>
      <c r="DT1374" s="110"/>
      <c r="DU1374" s="110"/>
      <c r="DV1374" s="110"/>
      <c r="DW1374" s="110"/>
      <c r="DX1374" s="110"/>
      <c r="DY1374" s="110"/>
      <c r="DZ1374" s="110"/>
      <c r="EA1374" s="110"/>
      <c r="EB1374" s="110"/>
      <c r="EC1374" s="110"/>
      <c r="ED1374" s="110"/>
      <c r="EE1374" s="110"/>
      <c r="EF1374" s="110"/>
      <c r="EG1374" s="110"/>
      <c r="EH1374" s="110"/>
      <c r="EI1374" s="110"/>
      <c r="EJ1374" s="110"/>
      <c r="EK1374" s="110"/>
      <c r="EL1374" s="110"/>
      <c r="EM1374" s="110"/>
      <c r="EN1374" s="110"/>
      <c r="EO1374" s="110"/>
      <c r="EP1374" s="110"/>
      <c r="EQ1374" s="110"/>
      <c r="ER1374" s="110"/>
      <c r="ES1374" s="110"/>
      <c r="ET1374" s="110"/>
      <c r="EU1374" s="110"/>
      <c r="EV1374" s="110"/>
      <c r="EW1374" s="110"/>
      <c r="EX1374" s="110"/>
      <c r="EY1374" s="110"/>
      <c r="EZ1374" s="110"/>
      <c r="FA1374" s="110"/>
      <c r="FB1374" s="110"/>
      <c r="FC1374" s="110"/>
      <c r="FD1374" s="110"/>
      <c r="FE1374" s="110"/>
      <c r="FF1374" s="110"/>
      <c r="FG1374" s="110"/>
      <c r="FH1374" s="110"/>
      <c r="FI1374" s="110"/>
      <c r="FJ1374" s="110"/>
      <c r="FK1374" s="110"/>
      <c r="FL1374" s="110"/>
      <c r="FM1374" s="110"/>
      <c r="FN1374" s="110"/>
      <c r="FO1374" s="110"/>
      <c r="FP1374" s="110"/>
      <c r="FQ1374" s="110"/>
      <c r="FR1374" s="110"/>
      <c r="FS1374" s="110"/>
      <c r="FT1374" s="110"/>
      <c r="FU1374" s="110"/>
      <c r="FV1374" s="110"/>
      <c r="FW1374" s="110"/>
      <c r="FX1374" s="110"/>
      <c r="FY1374" s="110"/>
      <c r="FZ1374" s="110"/>
      <c r="GA1374" s="110"/>
      <c r="GB1374" s="110"/>
      <c r="GC1374" s="110"/>
      <c r="GD1374" s="110"/>
      <c r="GE1374" s="110"/>
      <c r="GF1374" s="110"/>
      <c r="GG1374" s="110"/>
      <c r="GH1374" s="110"/>
      <c r="GI1374" s="110"/>
      <c r="GJ1374" s="110"/>
      <c r="GK1374" s="110"/>
      <c r="GL1374" s="110"/>
      <c r="GM1374" s="110"/>
      <c r="GN1374" s="110"/>
      <c r="GO1374" s="110"/>
      <c r="GP1374" s="110"/>
      <c r="GQ1374" s="110"/>
      <c r="GR1374" s="110"/>
      <c r="GS1374" s="110"/>
      <c r="GT1374" s="110"/>
      <c r="GU1374" s="110"/>
      <c r="GV1374" s="110"/>
      <c r="GW1374" s="110"/>
      <c r="GX1374" s="110"/>
      <c r="GY1374" s="110"/>
      <c r="GZ1374" s="110"/>
      <c r="HA1374" s="110"/>
      <c r="HB1374" s="110"/>
      <c r="HC1374" s="110"/>
      <c r="HD1374" s="110"/>
      <c r="HE1374" s="110"/>
      <c r="HF1374" s="110"/>
      <c r="HG1374" s="110"/>
      <c r="HH1374" s="110"/>
      <c r="HI1374" s="110"/>
      <c r="HJ1374" s="110"/>
      <c r="HK1374" s="110"/>
      <c r="HL1374" s="110"/>
      <c r="HM1374" s="110"/>
      <c r="HN1374" s="110"/>
      <c r="HO1374" s="110"/>
      <c r="HP1374" s="110"/>
      <c r="HQ1374" s="110"/>
      <c r="HR1374" s="110"/>
      <c r="HS1374" s="110"/>
      <c r="HT1374" s="110"/>
      <c r="HU1374" s="110"/>
      <c r="HV1374" s="110"/>
      <c r="HW1374" s="110"/>
      <c r="HX1374" s="110"/>
      <c r="HY1374" s="110"/>
      <c r="HZ1374" s="110"/>
      <c r="IA1374" s="110"/>
      <c r="IB1374" s="110"/>
      <c r="IC1374" s="110"/>
      <c r="ID1374" s="110"/>
      <c r="IE1374" s="110"/>
      <c r="IF1374" s="110"/>
      <c r="IG1374" s="110"/>
      <c r="IH1374" s="110"/>
      <c r="II1374" s="110"/>
      <c r="IJ1374" s="110"/>
      <c r="IK1374" s="110"/>
      <c r="IL1374" s="110"/>
      <c r="IM1374" s="110"/>
      <c r="IN1374" s="110"/>
      <c r="IO1374" s="110"/>
      <c r="IP1374" s="110"/>
      <c r="IQ1374" s="110"/>
      <c r="IR1374" s="110"/>
      <c r="IS1374" s="110"/>
      <c r="IT1374" s="110"/>
      <c r="IU1374" s="110"/>
      <c r="IV1374" s="110"/>
      <c r="IW1374" s="110"/>
      <c r="IX1374" s="110"/>
      <c r="IY1374" s="110"/>
      <c r="IZ1374" s="110"/>
      <c r="JA1374" s="110"/>
      <c r="JB1374" s="110"/>
      <c r="JC1374" s="110"/>
      <c r="JD1374" s="110"/>
      <c r="JE1374" s="110"/>
      <c r="JF1374" s="110"/>
      <c r="JG1374" s="110"/>
      <c r="JH1374" s="110"/>
      <c r="JI1374" s="110"/>
      <c r="JJ1374" s="110"/>
      <c r="JK1374" s="110"/>
      <c r="JL1374" s="110"/>
      <c r="JM1374" s="110"/>
      <c r="JN1374" s="110"/>
      <c r="JO1374" s="110"/>
      <c r="JP1374" s="110"/>
      <c r="JQ1374" s="110"/>
      <c r="JR1374" s="110"/>
      <c r="JS1374" s="110"/>
      <c r="JT1374" s="110"/>
      <c r="JU1374" s="110"/>
      <c r="JV1374" s="110"/>
      <c r="JW1374" s="110"/>
      <c r="JX1374" s="110"/>
      <c r="JY1374" s="110"/>
      <c r="JZ1374" s="110"/>
      <c r="KA1374" s="110"/>
      <c r="KB1374" s="110"/>
      <c r="KC1374" s="110"/>
      <c r="KD1374" s="110"/>
      <c r="KE1374" s="110"/>
      <c r="KF1374" s="110"/>
      <c r="KG1374" s="110"/>
      <c r="KH1374" s="110"/>
      <c r="KI1374" s="110"/>
      <c r="KJ1374" s="110"/>
      <c r="KK1374" s="110"/>
      <c r="KL1374" s="110"/>
      <c r="KM1374" s="110"/>
      <c r="KN1374" s="110"/>
      <c r="KO1374" s="110"/>
      <c r="KP1374" s="110"/>
      <c r="KQ1374" s="110"/>
      <c r="KR1374" s="110"/>
      <c r="KS1374" s="110"/>
      <c r="KT1374" s="110"/>
      <c r="KU1374" s="110"/>
      <c r="KV1374" s="110"/>
      <c r="KW1374" s="110"/>
      <c r="KX1374" s="110"/>
      <c r="KY1374" s="110"/>
      <c r="KZ1374" s="110"/>
      <c r="LA1374" s="110"/>
      <c r="LB1374" s="110"/>
      <c r="LC1374" s="110"/>
      <c r="LD1374" s="110"/>
      <c r="LE1374" s="110"/>
      <c r="LF1374" s="110"/>
      <c r="LG1374" s="110"/>
      <c r="LH1374" s="110"/>
      <c r="LI1374" s="110"/>
      <c r="LJ1374" s="110"/>
      <c r="LK1374" s="110"/>
      <c r="LL1374" s="110"/>
      <c r="LM1374" s="110"/>
      <c r="LN1374" s="110"/>
      <c r="LO1374" s="110"/>
      <c r="LP1374" s="110"/>
      <c r="LQ1374" s="110"/>
      <c r="LR1374" s="110"/>
      <c r="LS1374" s="110"/>
      <c r="LT1374" s="110"/>
      <c r="LU1374" s="110"/>
      <c r="LV1374" s="110"/>
      <c r="LW1374" s="110"/>
      <c r="LX1374" s="110"/>
      <c r="LY1374" s="110"/>
      <c r="LZ1374" s="110"/>
      <c r="MA1374" s="110"/>
      <c r="MB1374" s="110"/>
      <c r="MC1374" s="110"/>
      <c r="MD1374" s="110"/>
      <c r="ME1374" s="110"/>
      <c r="MF1374" s="110"/>
      <c r="MG1374" s="110"/>
      <c r="MH1374" s="110"/>
      <c r="MI1374" s="110"/>
      <c r="MJ1374" s="110"/>
      <c r="MK1374" s="110"/>
      <c r="ML1374" s="110"/>
      <c r="MM1374" s="110"/>
      <c r="MN1374" s="110"/>
      <c r="MO1374" s="110"/>
      <c r="MP1374" s="110"/>
      <c r="MQ1374" s="110"/>
      <c r="MR1374" s="110"/>
      <c r="MS1374" s="110"/>
      <c r="MT1374" s="110"/>
      <c r="MU1374" s="110"/>
      <c r="MV1374" s="110"/>
      <c r="MW1374" s="110"/>
      <c r="MX1374" s="110"/>
      <c r="MY1374" s="110"/>
      <c r="MZ1374" s="110"/>
      <c r="NA1374" s="110"/>
      <c r="NB1374" s="110"/>
      <c r="NC1374" s="110"/>
      <c r="ND1374" s="110"/>
      <c r="NE1374" s="110"/>
      <c r="NF1374" s="110"/>
      <c r="NG1374" s="110"/>
      <c r="NH1374" s="110"/>
      <c r="NI1374" s="110"/>
      <c r="NJ1374" s="110"/>
      <c r="NK1374" s="110"/>
      <c r="NL1374" s="110"/>
      <c r="NM1374" s="110"/>
      <c r="NN1374" s="110"/>
      <c r="NO1374" s="110"/>
      <c r="NP1374" s="110"/>
      <c r="NQ1374" s="110"/>
      <c r="NR1374" s="110"/>
      <c r="NS1374" s="110"/>
      <c r="NT1374" s="110"/>
      <c r="NU1374" s="110"/>
      <c r="NV1374" s="110"/>
      <c r="NW1374" s="110"/>
      <c r="NX1374" s="110"/>
      <c r="NY1374" s="110"/>
      <c r="NZ1374" s="110"/>
      <c r="OA1374" s="110"/>
      <c r="OB1374" s="110"/>
      <c r="OC1374" s="110"/>
      <c r="OD1374" s="110"/>
      <c r="OE1374" s="110"/>
      <c r="OF1374" s="110"/>
      <c r="OG1374" s="110"/>
      <c r="OH1374" s="110"/>
      <c r="OI1374" s="110"/>
      <c r="OJ1374" s="110"/>
      <c r="OK1374" s="110"/>
      <c r="OL1374" s="110"/>
      <c r="OM1374" s="110"/>
      <c r="ON1374" s="110"/>
      <c r="OO1374" s="110"/>
      <c r="OP1374" s="110"/>
      <c r="OQ1374" s="110"/>
      <c r="OR1374" s="110"/>
      <c r="OS1374" s="110"/>
      <c r="OT1374" s="110"/>
      <c r="OU1374" s="110"/>
      <c r="OV1374" s="110"/>
      <c r="OW1374" s="110"/>
      <c r="OX1374" s="110"/>
      <c r="OY1374" s="110"/>
      <c r="OZ1374" s="110"/>
      <c r="PA1374" s="110"/>
      <c r="PB1374" s="110"/>
      <c r="PC1374" s="110"/>
      <c r="PD1374" s="110"/>
      <c r="PE1374" s="110"/>
      <c r="PF1374" s="110"/>
      <c r="PG1374" s="110"/>
      <c r="PH1374" s="110"/>
      <c r="PI1374" s="110"/>
      <c r="PJ1374" s="110"/>
      <c r="PK1374" s="110"/>
      <c r="PL1374" s="110"/>
      <c r="PM1374" s="110"/>
      <c r="PN1374" s="110"/>
      <c r="PO1374" s="110"/>
      <c r="PP1374" s="110"/>
      <c r="PQ1374" s="110"/>
      <c r="PR1374" s="110"/>
      <c r="PS1374" s="110"/>
      <c r="PT1374" s="110"/>
      <c r="PU1374" s="110"/>
      <c r="PV1374" s="110"/>
      <c r="PW1374" s="110"/>
      <c r="PX1374" s="110"/>
      <c r="PY1374" s="110"/>
      <c r="PZ1374" s="110"/>
      <c r="QA1374" s="110"/>
      <c r="QB1374" s="110"/>
      <c r="QC1374" s="110"/>
      <c r="QD1374" s="110"/>
      <c r="QE1374" s="110"/>
      <c r="QF1374" s="110"/>
      <c r="QG1374" s="110"/>
      <c r="QH1374" s="110"/>
      <c r="QI1374" s="110"/>
      <c r="QJ1374" s="110"/>
      <c r="QK1374" s="110"/>
      <c r="QL1374" s="110"/>
      <c r="QM1374" s="110"/>
      <c r="QN1374" s="110"/>
      <c r="QO1374" s="110"/>
      <c r="QP1374" s="110"/>
      <c r="QQ1374" s="110"/>
      <c r="QR1374" s="110"/>
      <c r="QS1374" s="110"/>
      <c r="QT1374" s="110"/>
      <c r="QU1374" s="110"/>
      <c r="QV1374" s="110"/>
      <c r="QW1374" s="110"/>
      <c r="QX1374" s="110"/>
      <c r="QY1374" s="110"/>
      <c r="QZ1374" s="110"/>
      <c r="RA1374" s="110"/>
      <c r="RB1374" s="110"/>
      <c r="RC1374" s="110"/>
      <c r="RD1374" s="110"/>
      <c r="RE1374" s="110"/>
      <c r="RF1374" s="110"/>
      <c r="RG1374" s="110"/>
      <c r="RH1374" s="110"/>
      <c r="RI1374" s="110"/>
      <c r="RJ1374" s="110"/>
      <c r="RK1374" s="110"/>
      <c r="RL1374" s="110"/>
      <c r="RM1374" s="110"/>
      <c r="RN1374" s="110"/>
      <c r="RO1374" s="110"/>
      <c r="RP1374" s="110"/>
      <c r="RQ1374" s="110"/>
      <c r="RR1374" s="110"/>
      <c r="RS1374" s="110"/>
      <c r="RT1374" s="110"/>
      <c r="RU1374" s="110"/>
      <c r="RV1374" s="110"/>
      <c r="RW1374" s="110"/>
      <c r="RX1374" s="110"/>
      <c r="RY1374" s="110"/>
      <c r="RZ1374" s="110"/>
      <c r="SA1374" s="110"/>
      <c r="SB1374" s="110"/>
      <c r="SC1374" s="110"/>
      <c r="SD1374" s="110"/>
      <c r="SE1374" s="110"/>
      <c r="SF1374" s="110"/>
      <c r="SG1374" s="110"/>
      <c r="SH1374" s="110"/>
      <c r="SI1374" s="110"/>
      <c r="SJ1374" s="110"/>
      <c r="SK1374" s="110"/>
      <c r="SL1374" s="110"/>
      <c r="SM1374" s="110"/>
      <c r="SN1374" s="110"/>
      <c r="SO1374" s="110"/>
      <c r="SP1374" s="110"/>
      <c r="SQ1374" s="110"/>
      <c r="SR1374" s="110"/>
      <c r="SS1374" s="110"/>
      <c r="ST1374" s="110"/>
      <c r="SU1374" s="110"/>
      <c r="SV1374" s="110"/>
      <c r="SW1374" s="110"/>
      <c r="SX1374" s="110"/>
      <c r="SY1374" s="110"/>
      <c r="SZ1374" s="110"/>
      <c r="TA1374" s="110"/>
      <c r="TB1374" s="110"/>
      <c r="TC1374" s="110"/>
      <c r="TD1374" s="110"/>
      <c r="TE1374" s="110"/>
      <c r="TF1374" s="110"/>
      <c r="TG1374" s="110"/>
      <c r="TH1374" s="110"/>
      <c r="TI1374" s="110"/>
      <c r="TJ1374" s="110"/>
      <c r="TK1374" s="110"/>
      <c r="TL1374" s="110"/>
      <c r="TM1374" s="110"/>
      <c r="TN1374" s="110"/>
      <c r="TO1374" s="110"/>
      <c r="TP1374" s="110"/>
      <c r="TQ1374" s="110"/>
      <c r="TR1374" s="110"/>
      <c r="TS1374" s="110"/>
      <c r="TT1374" s="110"/>
      <c r="TU1374" s="110"/>
      <c r="TV1374" s="110"/>
      <c r="TW1374" s="110"/>
      <c r="TX1374" s="110"/>
      <c r="TY1374" s="110"/>
      <c r="TZ1374" s="110"/>
      <c r="UA1374" s="110"/>
      <c r="UB1374" s="110"/>
      <c r="UC1374" s="110"/>
      <c r="UD1374" s="110"/>
      <c r="UE1374" s="110"/>
      <c r="UF1374" s="110"/>
      <c r="UG1374" s="110"/>
      <c r="UH1374" s="110"/>
      <c r="UI1374" s="110"/>
      <c r="UJ1374" s="110"/>
      <c r="UK1374" s="110"/>
      <c r="UL1374" s="110"/>
      <c r="UM1374" s="110"/>
      <c r="UN1374" s="110"/>
      <c r="UO1374" s="110"/>
      <c r="UP1374" s="110"/>
      <c r="UQ1374" s="110"/>
      <c r="UR1374" s="110"/>
      <c r="US1374" s="110"/>
      <c r="UT1374" s="110"/>
      <c r="UU1374" s="110"/>
      <c r="UV1374" s="110"/>
      <c r="UW1374" s="110"/>
      <c r="UX1374" s="110"/>
      <c r="UY1374" s="110"/>
      <c r="UZ1374" s="110"/>
      <c r="VA1374" s="110"/>
      <c r="VB1374" s="110"/>
      <c r="VC1374" s="110"/>
      <c r="VD1374" s="110"/>
      <c r="VE1374" s="110"/>
      <c r="VF1374" s="110"/>
      <c r="VG1374" s="110"/>
      <c r="VH1374" s="110"/>
      <c r="VI1374" s="110"/>
      <c r="VJ1374" s="110"/>
      <c r="VK1374" s="110"/>
      <c r="VL1374" s="110"/>
      <c r="VM1374" s="110"/>
      <c r="VN1374" s="110"/>
      <c r="VO1374" s="110"/>
      <c r="VP1374" s="110"/>
      <c r="VQ1374" s="110"/>
      <c r="VR1374" s="110"/>
      <c r="VS1374" s="110"/>
      <c r="VT1374" s="110"/>
      <c r="VU1374" s="110"/>
      <c r="VV1374" s="110"/>
      <c r="VW1374" s="110"/>
      <c r="VX1374" s="110"/>
      <c r="VY1374" s="110"/>
      <c r="VZ1374" s="110"/>
      <c r="WA1374" s="110"/>
      <c r="WB1374" s="110"/>
      <c r="WC1374" s="110"/>
      <c r="WD1374" s="110"/>
      <c r="WE1374" s="110"/>
      <c r="WF1374" s="110"/>
      <c r="WG1374" s="110"/>
      <c r="WH1374" s="110"/>
      <c r="WI1374" s="110"/>
      <c r="WJ1374" s="110"/>
      <c r="WK1374" s="110"/>
      <c r="WL1374" s="110"/>
      <c r="WM1374" s="110"/>
      <c r="WN1374" s="110"/>
      <c r="WO1374" s="110"/>
      <c r="WP1374" s="110"/>
      <c r="WQ1374" s="110"/>
      <c r="WR1374" s="110"/>
      <c r="WS1374" s="110"/>
      <c r="WT1374" s="110"/>
      <c r="WU1374" s="110"/>
      <c r="WV1374" s="110"/>
      <c r="WW1374" s="110"/>
      <c r="WX1374" s="110"/>
      <c r="WY1374" s="110"/>
      <c r="WZ1374" s="110"/>
      <c r="XA1374" s="110"/>
      <c r="XB1374" s="110"/>
      <c r="XC1374" s="110"/>
      <c r="XD1374" s="110"/>
      <c r="XE1374" s="110"/>
      <c r="XF1374" s="110"/>
      <c r="XG1374" s="110"/>
      <c r="XH1374" s="110"/>
      <c r="XI1374" s="110"/>
      <c r="XJ1374" s="110"/>
      <c r="XK1374" s="110"/>
      <c r="XL1374" s="110"/>
      <c r="XM1374" s="110"/>
      <c r="XN1374" s="110"/>
      <c r="XO1374" s="110"/>
      <c r="XP1374" s="110"/>
      <c r="XQ1374" s="110"/>
      <c r="XR1374" s="110"/>
      <c r="XS1374" s="110"/>
      <c r="XT1374" s="110"/>
      <c r="XU1374" s="110"/>
      <c r="XV1374" s="110"/>
      <c r="XW1374" s="110"/>
      <c r="XX1374" s="110"/>
      <c r="XY1374" s="110"/>
      <c r="XZ1374" s="110"/>
      <c r="YA1374" s="110"/>
      <c r="YB1374" s="110"/>
      <c r="YC1374" s="110"/>
      <c r="YD1374" s="110"/>
      <c r="YE1374" s="110"/>
      <c r="YF1374" s="110"/>
      <c r="YG1374" s="110"/>
      <c r="YH1374" s="110"/>
      <c r="YI1374" s="110"/>
      <c r="YJ1374" s="110"/>
      <c r="YK1374" s="110"/>
      <c r="YL1374" s="110"/>
      <c r="YM1374" s="110"/>
      <c r="YN1374" s="110"/>
      <c r="YO1374" s="110"/>
      <c r="YP1374" s="110"/>
      <c r="YQ1374" s="110"/>
      <c r="YR1374" s="110"/>
      <c r="YS1374" s="110"/>
      <c r="YT1374" s="110"/>
      <c r="YU1374" s="110"/>
      <c r="YV1374" s="110"/>
      <c r="YW1374" s="110"/>
      <c r="YX1374" s="110"/>
      <c r="YY1374" s="110"/>
      <c r="YZ1374" s="110"/>
      <c r="ZA1374" s="110"/>
      <c r="ZB1374" s="110"/>
      <c r="ZC1374" s="110"/>
      <c r="ZD1374" s="110"/>
      <c r="ZE1374" s="110"/>
      <c r="ZF1374" s="110"/>
      <c r="ZG1374" s="110"/>
      <c r="ZH1374" s="110"/>
      <c r="ZI1374" s="110"/>
      <c r="ZJ1374" s="110"/>
      <c r="ZK1374" s="110"/>
      <c r="ZL1374" s="110"/>
      <c r="ZM1374" s="110"/>
      <c r="ZN1374" s="110"/>
      <c r="ZO1374" s="110"/>
      <c r="ZP1374" s="110"/>
      <c r="ZQ1374" s="110"/>
      <c r="ZR1374" s="110"/>
      <c r="ZS1374" s="110"/>
      <c r="ZT1374" s="110"/>
      <c r="ZU1374" s="110"/>
      <c r="ZV1374" s="110"/>
      <c r="ZW1374" s="110"/>
      <c r="ZX1374" s="110"/>
      <c r="ZY1374" s="110"/>
      <c r="ZZ1374" s="110"/>
      <c r="AAA1374" s="110"/>
      <c r="AAB1374" s="110"/>
      <c r="AAC1374" s="110"/>
      <c r="AAD1374" s="110"/>
      <c r="AAE1374" s="110"/>
      <c r="AAF1374" s="110"/>
      <c r="AAG1374" s="110"/>
      <c r="AAH1374" s="110"/>
      <c r="AAI1374" s="110"/>
      <c r="AAJ1374" s="110"/>
      <c r="AAK1374" s="110"/>
      <c r="AAL1374" s="110"/>
      <c r="AAM1374" s="110"/>
      <c r="AAN1374" s="110"/>
      <c r="AAO1374" s="110"/>
      <c r="AAP1374" s="110"/>
      <c r="AAQ1374" s="110"/>
      <c r="AAR1374" s="110"/>
      <c r="AAS1374" s="110"/>
      <c r="AAT1374" s="110"/>
      <c r="AAU1374" s="110"/>
      <c r="AAV1374" s="110"/>
      <c r="AAW1374" s="110"/>
      <c r="AAX1374" s="110"/>
      <c r="AAY1374" s="110"/>
      <c r="AAZ1374" s="110"/>
      <c r="ABA1374" s="110"/>
      <c r="ABB1374" s="110"/>
      <c r="ABC1374" s="110"/>
      <c r="ABD1374" s="110"/>
      <c r="ABE1374" s="110"/>
      <c r="ABF1374" s="110"/>
      <c r="ABG1374" s="110"/>
      <c r="ABH1374" s="110"/>
      <c r="ABI1374" s="110"/>
      <c r="ABJ1374" s="110"/>
      <c r="ABK1374" s="110"/>
      <c r="ABL1374" s="110"/>
      <c r="ABM1374" s="110"/>
      <c r="ABN1374" s="110"/>
      <c r="ABO1374" s="110"/>
      <c r="ABP1374" s="110"/>
      <c r="ABQ1374" s="110"/>
      <c r="ABR1374" s="110"/>
      <c r="ABS1374" s="110"/>
      <c r="ABT1374" s="110"/>
      <c r="ABU1374" s="110"/>
      <c r="ABV1374" s="110"/>
      <c r="ABW1374" s="110"/>
      <c r="ABX1374" s="110"/>
      <c r="ABY1374" s="110"/>
      <c r="ABZ1374" s="110"/>
      <c r="ACA1374" s="110"/>
      <c r="ACB1374" s="110"/>
      <c r="ACC1374" s="110"/>
      <c r="ACD1374" s="110"/>
      <c r="ACE1374" s="110"/>
      <c r="ACF1374" s="110"/>
      <c r="ACG1374" s="110"/>
      <c r="ACH1374" s="110"/>
      <c r="ACI1374" s="110"/>
      <c r="ACJ1374" s="110"/>
      <c r="ACK1374" s="110"/>
      <c r="ACL1374" s="110"/>
      <c r="ACM1374" s="110"/>
      <c r="ACN1374" s="110"/>
      <c r="ACO1374" s="110"/>
      <c r="ACP1374" s="110"/>
      <c r="ACQ1374" s="110"/>
      <c r="ACR1374" s="110"/>
      <c r="ACS1374" s="110"/>
      <c r="ACT1374" s="110"/>
      <c r="ACU1374" s="110"/>
      <c r="ACV1374" s="110"/>
      <c r="ACW1374" s="110"/>
      <c r="ACX1374" s="110"/>
      <c r="ACY1374" s="110"/>
      <c r="ACZ1374" s="110"/>
      <c r="ADA1374" s="110"/>
      <c r="ADB1374" s="110"/>
      <c r="ADC1374" s="110"/>
      <c r="ADD1374" s="110"/>
      <c r="ADE1374" s="110"/>
      <c r="ADF1374" s="110"/>
      <c r="ADG1374" s="110"/>
      <c r="ADH1374" s="110"/>
      <c r="ADI1374" s="110"/>
      <c r="ADJ1374" s="110"/>
      <c r="ADK1374" s="110"/>
      <c r="ADL1374" s="110"/>
      <c r="ADM1374" s="110"/>
      <c r="ADN1374" s="110"/>
      <c r="ADO1374" s="110"/>
      <c r="ADP1374" s="110"/>
      <c r="ADQ1374" s="110"/>
      <c r="ADR1374" s="110"/>
      <c r="ADS1374" s="110"/>
      <c r="ADT1374" s="110"/>
      <c r="ADU1374" s="110"/>
      <c r="ADV1374" s="110"/>
      <c r="ADW1374" s="110"/>
      <c r="ADX1374" s="110"/>
      <c r="ADY1374" s="110"/>
      <c r="ADZ1374" s="110"/>
      <c r="AEA1374" s="110"/>
      <c r="AEB1374" s="110"/>
      <c r="AEC1374" s="110"/>
      <c r="AED1374" s="110"/>
      <c r="AEE1374" s="110"/>
      <c r="AEF1374" s="110"/>
      <c r="AEG1374" s="110"/>
      <c r="AEH1374" s="110"/>
      <c r="AEI1374" s="110"/>
      <c r="AEJ1374" s="110"/>
      <c r="AEK1374" s="110"/>
      <c r="AEL1374" s="110"/>
      <c r="AEM1374" s="110"/>
      <c r="AEN1374" s="110"/>
      <c r="AEO1374" s="110"/>
      <c r="AEP1374" s="110"/>
      <c r="AEQ1374" s="110"/>
      <c r="AER1374" s="110"/>
      <c r="AES1374" s="110"/>
      <c r="AET1374" s="110"/>
      <c r="AEU1374" s="110"/>
      <c r="AEV1374" s="110"/>
      <c r="AEW1374" s="110"/>
      <c r="AEX1374" s="110"/>
      <c r="AEY1374" s="110"/>
      <c r="AEZ1374" s="110"/>
      <c r="AFA1374" s="110"/>
      <c r="AFB1374" s="110"/>
      <c r="AFC1374" s="110"/>
      <c r="AFD1374" s="110"/>
      <c r="AFE1374" s="110"/>
      <c r="AFF1374" s="110"/>
      <c r="AFG1374" s="110"/>
      <c r="AFH1374" s="110"/>
      <c r="AFI1374" s="110"/>
      <c r="AFJ1374" s="110"/>
      <c r="AFK1374" s="110"/>
      <c r="AFL1374" s="110"/>
      <c r="AFM1374" s="110"/>
      <c r="AFN1374" s="110"/>
      <c r="AFO1374" s="110"/>
      <c r="AFP1374" s="110"/>
      <c r="AFQ1374" s="110"/>
      <c r="AFR1374" s="110"/>
      <c r="AFS1374" s="110"/>
      <c r="AFT1374" s="110"/>
      <c r="AFU1374" s="110"/>
      <c r="AFV1374" s="110"/>
      <c r="AFW1374" s="110"/>
      <c r="AFX1374" s="110"/>
      <c r="AFY1374" s="110"/>
      <c r="AFZ1374" s="110"/>
      <c r="AGA1374" s="110"/>
      <c r="AGB1374" s="110"/>
      <c r="AGC1374" s="110"/>
      <c r="AGD1374" s="110"/>
      <c r="AGE1374" s="110"/>
      <c r="AGF1374" s="110"/>
      <c r="AGG1374" s="110"/>
      <c r="AGH1374" s="110"/>
      <c r="AGI1374" s="110"/>
      <c r="AGJ1374" s="110"/>
      <c r="AGK1374" s="110"/>
      <c r="AGL1374" s="110"/>
      <c r="AGM1374" s="110"/>
      <c r="AGN1374" s="110"/>
      <c r="AGO1374" s="110"/>
      <c r="AGP1374" s="110"/>
      <c r="AGQ1374" s="110"/>
      <c r="AGR1374" s="110"/>
      <c r="AGS1374" s="110"/>
      <c r="AGT1374" s="110"/>
      <c r="AGU1374" s="110"/>
      <c r="AGV1374" s="110"/>
      <c r="AGW1374" s="110"/>
      <c r="AGX1374" s="110"/>
      <c r="AGY1374" s="110"/>
      <c r="AGZ1374" s="110"/>
      <c r="AHA1374" s="110"/>
      <c r="AHB1374" s="110"/>
      <c r="AHC1374" s="110"/>
      <c r="AHD1374" s="110"/>
      <c r="AHE1374" s="110"/>
      <c r="AHF1374" s="110"/>
      <c r="AHG1374" s="110"/>
      <c r="AHH1374" s="110"/>
      <c r="AHI1374" s="110"/>
      <c r="AHJ1374" s="110"/>
      <c r="AHK1374" s="110"/>
      <c r="AHL1374" s="110"/>
      <c r="AHM1374" s="110"/>
      <c r="AHN1374" s="110"/>
      <c r="AHO1374" s="110"/>
      <c r="AHP1374" s="110"/>
      <c r="AHQ1374" s="110"/>
      <c r="AHR1374" s="110"/>
      <c r="AHS1374" s="110"/>
      <c r="AHT1374" s="110"/>
      <c r="AHU1374" s="110"/>
      <c r="AHV1374" s="110"/>
      <c r="AHW1374" s="110"/>
      <c r="AHX1374" s="110"/>
      <c r="AHY1374" s="110"/>
      <c r="AHZ1374" s="110"/>
      <c r="AIA1374" s="110"/>
      <c r="AIB1374" s="110"/>
      <c r="AIC1374" s="110"/>
      <c r="AID1374" s="110"/>
      <c r="AIE1374" s="110"/>
      <c r="AIF1374" s="110"/>
      <c r="AIG1374" s="110"/>
      <c r="AIH1374" s="110"/>
      <c r="AII1374" s="110"/>
      <c r="AIJ1374" s="110"/>
      <c r="AIK1374" s="110"/>
      <c r="AIL1374" s="110"/>
      <c r="AIM1374" s="110"/>
      <c r="AIN1374" s="110"/>
      <c r="AIO1374" s="110"/>
      <c r="AIP1374" s="110"/>
      <c r="AIQ1374" s="110"/>
      <c r="AIR1374" s="110"/>
      <c r="AIS1374" s="110"/>
      <c r="AIT1374" s="110"/>
      <c r="AIU1374" s="110"/>
      <c r="AIV1374" s="110"/>
      <c r="AIW1374" s="110"/>
      <c r="AIX1374" s="110"/>
      <c r="AIY1374" s="110"/>
      <c r="AIZ1374" s="110"/>
      <c r="AJA1374" s="110"/>
      <c r="AJB1374" s="110"/>
      <c r="AJC1374" s="110"/>
      <c r="AJD1374" s="110"/>
      <c r="AJE1374" s="110"/>
      <c r="AJF1374" s="110"/>
      <c r="AJG1374" s="110"/>
      <c r="AJH1374" s="110"/>
      <c r="AJI1374" s="110"/>
      <c r="AJJ1374" s="110"/>
      <c r="AJK1374" s="110"/>
      <c r="AJL1374" s="110"/>
      <c r="AJM1374" s="110"/>
      <c r="AJN1374" s="110"/>
      <c r="AJO1374" s="110"/>
      <c r="AJP1374" s="110"/>
      <c r="AJQ1374" s="110"/>
      <c r="AJR1374" s="110"/>
      <c r="AJS1374" s="110"/>
      <c r="AJT1374" s="110"/>
      <c r="AJU1374" s="110"/>
      <c r="AJV1374" s="110"/>
      <c r="AJW1374" s="110"/>
      <c r="AJX1374" s="110"/>
      <c r="AJY1374" s="110"/>
      <c r="AJZ1374" s="110"/>
      <c r="AKA1374" s="110"/>
      <c r="AKB1374" s="110"/>
      <c r="AKC1374" s="110"/>
      <c r="AKD1374" s="110"/>
      <c r="AKE1374" s="110"/>
      <c r="AKF1374" s="110"/>
      <c r="AKG1374" s="110"/>
      <c r="AKH1374" s="110"/>
      <c r="AKI1374" s="110"/>
      <c r="AKJ1374" s="110"/>
      <c r="AKK1374" s="110"/>
      <c r="AKL1374" s="110"/>
      <c r="AKM1374" s="110"/>
      <c r="AKN1374" s="110"/>
      <c r="AKO1374" s="110"/>
      <c r="AKP1374" s="110"/>
      <c r="AKQ1374" s="110"/>
      <c r="AKR1374" s="110"/>
      <c r="AKS1374" s="110"/>
      <c r="AKT1374" s="110"/>
      <c r="AKU1374" s="110"/>
      <c r="AKV1374" s="110"/>
      <c r="AKW1374" s="110"/>
      <c r="AKX1374" s="110"/>
      <c r="AKY1374" s="110"/>
      <c r="AKZ1374" s="110"/>
      <c r="ALA1374" s="110"/>
      <c r="ALB1374" s="110"/>
      <c r="ALC1374" s="110"/>
      <c r="ALD1374" s="110"/>
      <c r="ALE1374" s="110"/>
      <c r="ALF1374" s="110"/>
      <c r="ALG1374" s="110"/>
      <c r="ALH1374" s="110"/>
      <c r="ALI1374" s="110"/>
      <c r="ALJ1374" s="110"/>
      <c r="ALK1374" s="110"/>
      <c r="ALL1374" s="110"/>
      <c r="ALM1374" s="110"/>
      <c r="ALN1374" s="110"/>
      <c r="ALO1374" s="110"/>
      <c r="ALP1374" s="110"/>
      <c r="ALQ1374" s="110"/>
      <c r="ALR1374" s="110"/>
      <c r="ALS1374" s="110"/>
      <c r="ALT1374" s="110"/>
      <c r="ALU1374" s="110"/>
      <c r="ALV1374" s="110"/>
      <c r="ALW1374" s="110"/>
      <c r="ALX1374" s="110"/>
      <c r="ALY1374" s="110"/>
      <c r="ALZ1374" s="110"/>
      <c r="AMA1374" s="110"/>
      <c r="AMB1374" s="110"/>
      <c r="AMC1374" s="110"/>
      <c r="AMD1374" s="110"/>
      <c r="AME1374" s="110"/>
      <c r="AMF1374" s="110"/>
      <c r="AMG1374" s="110"/>
      <c r="AMH1374" s="110"/>
      <c r="AMI1374" s="110"/>
      <c r="AMJ1374" s="110"/>
      <c r="AMK1374" s="110"/>
      <c r="AML1374" s="110"/>
      <c r="AMM1374" s="110"/>
      <c r="AMN1374" s="110"/>
      <c r="AMO1374" s="110"/>
      <c r="AMP1374" s="110"/>
      <c r="AMQ1374" s="110"/>
      <c r="AMR1374" s="110"/>
      <c r="AMS1374" s="110"/>
      <c r="AMT1374" s="110"/>
      <c r="AMU1374" s="110"/>
      <c r="AMV1374" s="110"/>
      <c r="AMW1374" s="110"/>
      <c r="AMX1374" s="110"/>
      <c r="AMY1374" s="110"/>
      <c r="AMZ1374" s="110"/>
      <c r="ANA1374" s="110"/>
      <c r="ANB1374" s="110"/>
      <c r="ANC1374" s="110"/>
      <c r="AND1374" s="110"/>
      <c r="ANE1374" s="110"/>
      <c r="ANF1374" s="110"/>
      <c r="ANG1374" s="110"/>
      <c r="ANH1374" s="110"/>
      <c r="ANI1374" s="110"/>
      <c r="ANJ1374" s="110"/>
      <c r="ANK1374" s="110"/>
      <c r="ANL1374" s="110"/>
      <c r="ANM1374" s="110"/>
      <c r="ANN1374" s="110"/>
      <c r="ANO1374" s="110"/>
      <c r="ANP1374" s="110"/>
      <c r="ANQ1374" s="110"/>
      <c r="ANR1374" s="110"/>
      <c r="ANS1374" s="110"/>
      <c r="ANT1374" s="110"/>
      <c r="ANU1374" s="110"/>
      <c r="ANV1374" s="110"/>
      <c r="ANW1374" s="110"/>
      <c r="ANX1374" s="110"/>
      <c r="ANY1374" s="110"/>
      <c r="ANZ1374" s="110"/>
      <c r="AOA1374" s="110"/>
      <c r="AOB1374" s="110"/>
      <c r="AOC1374" s="110"/>
      <c r="AOD1374" s="110"/>
      <c r="AOE1374" s="110"/>
      <c r="AOF1374" s="110"/>
      <c r="AOG1374" s="110"/>
      <c r="AOH1374" s="110"/>
      <c r="AOI1374" s="110"/>
      <c r="AOJ1374" s="110"/>
      <c r="AOK1374" s="110"/>
      <c r="AOL1374" s="110"/>
      <c r="AOM1374" s="110"/>
      <c r="AON1374" s="110"/>
      <c r="AOO1374" s="110"/>
      <c r="AOP1374" s="110"/>
      <c r="AOQ1374" s="110"/>
      <c r="AOR1374" s="110"/>
      <c r="AOS1374" s="110"/>
      <c r="AOT1374" s="110"/>
      <c r="AOU1374" s="110"/>
      <c r="AOV1374" s="110"/>
      <c r="AOW1374" s="110"/>
      <c r="AOX1374" s="110"/>
      <c r="AOY1374" s="110"/>
      <c r="AOZ1374" s="110"/>
      <c r="APA1374" s="110"/>
      <c r="APB1374" s="110"/>
      <c r="APC1374" s="110"/>
      <c r="APD1374" s="110"/>
      <c r="APE1374" s="110"/>
      <c r="APF1374" s="110"/>
      <c r="APG1374" s="110"/>
      <c r="APH1374" s="110"/>
      <c r="API1374" s="110"/>
      <c r="APJ1374" s="110"/>
      <c r="APK1374" s="110"/>
      <c r="APL1374" s="110"/>
      <c r="APM1374" s="110"/>
      <c r="APN1374" s="110"/>
      <c r="APO1374" s="110"/>
      <c r="APP1374" s="110"/>
      <c r="APQ1374" s="110"/>
      <c r="APR1374" s="110"/>
      <c r="APS1374" s="110"/>
      <c r="APT1374" s="110"/>
      <c r="APU1374" s="110"/>
      <c r="APV1374" s="110"/>
      <c r="APW1374" s="110"/>
      <c r="APX1374" s="110"/>
      <c r="APY1374" s="110"/>
      <c r="APZ1374" s="110"/>
      <c r="AQA1374" s="110"/>
      <c r="AQB1374" s="110"/>
      <c r="AQC1374" s="110"/>
      <c r="AQD1374" s="110"/>
      <c r="AQE1374" s="110"/>
      <c r="AQF1374" s="110"/>
      <c r="AQG1374" s="110"/>
      <c r="AQH1374" s="110"/>
      <c r="AQI1374" s="110"/>
      <c r="AQJ1374" s="110"/>
      <c r="AQK1374" s="110"/>
      <c r="AQL1374" s="110"/>
      <c r="AQM1374" s="110"/>
      <c r="AQN1374" s="110"/>
      <c r="AQO1374" s="110"/>
      <c r="AQP1374" s="110"/>
      <c r="AQQ1374" s="110"/>
      <c r="AQR1374" s="110"/>
      <c r="AQS1374" s="110"/>
      <c r="AQT1374" s="110"/>
      <c r="AQU1374" s="110"/>
      <c r="AQV1374" s="110"/>
      <c r="AQW1374" s="110"/>
      <c r="AQX1374" s="110"/>
      <c r="AQY1374" s="110"/>
      <c r="AQZ1374" s="110"/>
      <c r="ARA1374" s="110"/>
      <c r="ARB1374" s="110"/>
      <c r="ARC1374" s="110"/>
      <c r="ARD1374" s="110"/>
      <c r="ARE1374" s="110"/>
      <c r="ARF1374" s="110"/>
      <c r="ARG1374" s="110"/>
      <c r="ARH1374" s="110"/>
      <c r="ARI1374" s="110"/>
      <c r="ARJ1374" s="110"/>
      <c r="ARK1374" s="110"/>
      <c r="ARL1374" s="110"/>
      <c r="ARM1374" s="110"/>
      <c r="ARN1374" s="110"/>
      <c r="ARO1374" s="110"/>
      <c r="ARP1374" s="110"/>
      <c r="ARQ1374" s="110"/>
      <c r="ARR1374" s="110"/>
      <c r="ARS1374" s="110"/>
      <c r="ART1374" s="110"/>
      <c r="ARU1374" s="110"/>
      <c r="ARV1374" s="110"/>
      <c r="ARW1374" s="110"/>
      <c r="ARX1374" s="110"/>
      <c r="ARY1374" s="110"/>
      <c r="ARZ1374" s="110"/>
      <c r="ASA1374" s="110"/>
      <c r="ASB1374" s="110"/>
      <c r="ASC1374" s="110"/>
      <c r="ASD1374" s="110"/>
      <c r="ASE1374" s="110"/>
      <c r="ASF1374" s="110"/>
      <c r="ASG1374" s="110"/>
      <c r="ASH1374" s="110"/>
      <c r="ASI1374" s="110"/>
      <c r="ASJ1374" s="110"/>
      <c r="ASK1374" s="110"/>
      <c r="ASL1374" s="110"/>
      <c r="ASM1374" s="110"/>
      <c r="ASN1374" s="110"/>
      <c r="ASO1374" s="110"/>
      <c r="ASP1374" s="110"/>
      <c r="ASQ1374" s="110"/>
      <c r="ASR1374" s="110"/>
      <c r="ASS1374" s="110"/>
      <c r="AST1374" s="110"/>
      <c r="ASU1374" s="110"/>
      <c r="ASV1374" s="110"/>
      <c r="ASW1374" s="110"/>
      <c r="ASX1374" s="110"/>
      <c r="ASY1374" s="110"/>
      <c r="ASZ1374" s="110"/>
      <c r="ATA1374" s="110"/>
      <c r="ATB1374" s="110"/>
      <c r="ATC1374" s="110"/>
      <c r="ATD1374" s="110"/>
      <c r="ATE1374" s="110"/>
      <c r="ATF1374" s="110"/>
      <c r="ATG1374" s="110"/>
      <c r="ATH1374" s="110"/>
      <c r="ATI1374" s="110"/>
      <c r="ATJ1374" s="110"/>
      <c r="ATK1374" s="110"/>
      <c r="ATL1374" s="110"/>
      <c r="ATM1374" s="110"/>
      <c r="ATN1374" s="110"/>
      <c r="ATO1374" s="110"/>
      <c r="ATP1374" s="110"/>
      <c r="ATQ1374" s="110"/>
      <c r="ATR1374" s="110"/>
      <c r="ATS1374" s="110"/>
      <c r="ATT1374" s="110"/>
      <c r="ATU1374" s="110"/>
      <c r="ATV1374" s="110"/>
      <c r="ATW1374" s="110"/>
      <c r="ATX1374" s="110"/>
      <c r="ATY1374" s="110"/>
      <c r="ATZ1374" s="110"/>
      <c r="AUA1374" s="110"/>
      <c r="AUB1374" s="110"/>
      <c r="AUC1374" s="110"/>
      <c r="AUD1374" s="110"/>
      <c r="AUE1374" s="110"/>
      <c r="AUF1374" s="110"/>
      <c r="AUG1374" s="110"/>
      <c r="AUH1374" s="110"/>
      <c r="AUI1374" s="110"/>
      <c r="AUJ1374" s="110"/>
      <c r="AUK1374" s="110"/>
      <c r="AUL1374" s="110"/>
      <c r="AUM1374" s="110"/>
      <c r="AUN1374" s="110"/>
      <c r="AUO1374" s="110"/>
      <c r="AUP1374" s="110"/>
      <c r="AUQ1374" s="110"/>
      <c r="AUR1374" s="110"/>
      <c r="AUS1374" s="110"/>
      <c r="AUT1374" s="110"/>
      <c r="AUU1374" s="110"/>
      <c r="AUV1374" s="110"/>
      <c r="AUW1374" s="110"/>
      <c r="AUX1374" s="110"/>
      <c r="AUY1374" s="110"/>
      <c r="AUZ1374" s="110"/>
      <c r="AVA1374" s="110"/>
      <c r="AVB1374" s="110"/>
      <c r="AVC1374" s="110"/>
      <c r="AVD1374" s="110"/>
      <c r="AVE1374" s="110"/>
      <c r="AVF1374" s="110"/>
      <c r="AVG1374" s="110"/>
      <c r="AVH1374" s="110"/>
      <c r="AVI1374" s="110"/>
      <c r="AVJ1374" s="110"/>
      <c r="AVK1374" s="110"/>
      <c r="AVL1374" s="110"/>
      <c r="AVM1374" s="110"/>
      <c r="AVN1374" s="110"/>
      <c r="AVO1374" s="110"/>
      <c r="AVP1374" s="110"/>
      <c r="AVQ1374" s="110"/>
      <c r="AVR1374" s="110"/>
      <c r="AVS1374" s="110"/>
      <c r="AVT1374" s="110"/>
      <c r="AVU1374" s="110"/>
      <c r="AVV1374" s="110"/>
      <c r="AVW1374" s="110"/>
      <c r="AVX1374" s="110"/>
      <c r="AVY1374" s="110"/>
      <c r="AVZ1374" s="110"/>
      <c r="AWA1374" s="110"/>
      <c r="AWB1374" s="110"/>
      <c r="AWC1374" s="110"/>
      <c r="AWD1374" s="110"/>
      <c r="AWE1374" s="110"/>
      <c r="AWF1374" s="110"/>
      <c r="AWG1374" s="110"/>
      <c r="AWH1374" s="110"/>
      <c r="AWI1374" s="110"/>
      <c r="AWJ1374" s="110"/>
      <c r="AWK1374" s="110"/>
      <c r="AWL1374" s="110"/>
      <c r="AWM1374" s="110"/>
      <c r="AWN1374" s="110"/>
      <c r="AWO1374" s="110"/>
      <c r="AWP1374" s="110"/>
      <c r="AWQ1374" s="110"/>
      <c r="AWR1374" s="110"/>
      <c r="AWS1374" s="110"/>
      <c r="AWT1374" s="110"/>
      <c r="AWU1374" s="110"/>
      <c r="AWV1374" s="110"/>
      <c r="AWW1374" s="110"/>
      <c r="AWX1374" s="110"/>
      <c r="AWY1374" s="110"/>
      <c r="AWZ1374" s="110"/>
      <c r="AXA1374" s="110"/>
      <c r="AXB1374" s="110"/>
      <c r="AXC1374" s="110"/>
      <c r="AXD1374" s="110"/>
      <c r="AXE1374" s="110"/>
      <c r="AXF1374" s="110"/>
      <c r="AXG1374" s="110"/>
      <c r="AXH1374" s="110"/>
      <c r="AXI1374" s="110"/>
      <c r="AXJ1374" s="110"/>
      <c r="AXK1374" s="110"/>
      <c r="AXL1374" s="110"/>
      <c r="AXM1374" s="110"/>
      <c r="AXN1374" s="110"/>
      <c r="AXO1374" s="110"/>
      <c r="AXP1374" s="110"/>
      <c r="AXQ1374" s="110"/>
      <c r="AXR1374" s="110"/>
      <c r="AXS1374" s="110"/>
      <c r="AXT1374" s="110"/>
      <c r="AXU1374" s="110"/>
      <c r="AXV1374" s="110"/>
      <c r="AXW1374" s="110"/>
      <c r="AXX1374" s="110"/>
      <c r="AXY1374" s="110"/>
      <c r="AXZ1374" s="110"/>
      <c r="AYA1374" s="110"/>
      <c r="AYB1374" s="110"/>
      <c r="AYC1374" s="110"/>
      <c r="AYD1374" s="110"/>
      <c r="AYE1374" s="110"/>
      <c r="AYF1374" s="110"/>
      <c r="AYG1374" s="110"/>
      <c r="AYH1374" s="110"/>
      <c r="AYI1374" s="110"/>
      <c r="AYJ1374" s="110"/>
      <c r="AYK1374" s="110"/>
      <c r="AYL1374" s="110"/>
      <c r="AYM1374" s="110"/>
      <c r="AYN1374" s="110"/>
      <c r="AYO1374" s="110"/>
      <c r="AYP1374" s="110"/>
      <c r="AYQ1374" s="110"/>
      <c r="AYR1374" s="110"/>
      <c r="AYS1374" s="110"/>
      <c r="AYT1374" s="110"/>
      <c r="AYU1374" s="110"/>
      <c r="AYV1374" s="110"/>
      <c r="AYW1374" s="110"/>
      <c r="AYX1374" s="110"/>
      <c r="AYY1374" s="110"/>
      <c r="AYZ1374" s="110"/>
      <c r="AZA1374" s="110"/>
      <c r="AZB1374" s="110"/>
      <c r="AZC1374" s="110"/>
      <c r="AZD1374" s="110"/>
      <c r="AZE1374" s="110"/>
      <c r="AZF1374" s="110"/>
      <c r="AZG1374" s="110"/>
      <c r="AZH1374" s="110"/>
      <c r="AZI1374" s="110"/>
      <c r="AZJ1374" s="110"/>
      <c r="AZK1374" s="110"/>
      <c r="AZL1374" s="110"/>
      <c r="AZM1374" s="110"/>
      <c r="AZN1374" s="110"/>
      <c r="AZO1374" s="110"/>
      <c r="AZP1374" s="110"/>
      <c r="AZQ1374" s="110"/>
      <c r="AZR1374" s="110"/>
      <c r="AZS1374" s="110"/>
      <c r="AZT1374" s="110"/>
      <c r="AZU1374" s="110"/>
      <c r="AZV1374" s="110"/>
      <c r="AZW1374" s="110"/>
      <c r="AZX1374" s="110"/>
      <c r="AZY1374" s="110"/>
      <c r="AZZ1374" s="110"/>
      <c r="BAA1374" s="110"/>
      <c r="BAB1374" s="110"/>
      <c r="BAC1374" s="110"/>
      <c r="BAD1374" s="110"/>
      <c r="BAE1374" s="110"/>
      <c r="BAF1374" s="110"/>
      <c r="BAG1374" s="110"/>
      <c r="BAH1374" s="110"/>
      <c r="BAI1374" s="110"/>
      <c r="BAJ1374" s="110"/>
      <c r="BAK1374" s="110"/>
      <c r="BAL1374" s="110"/>
      <c r="BAM1374" s="110"/>
      <c r="BAN1374" s="110"/>
      <c r="BAO1374" s="110"/>
      <c r="BAP1374" s="110"/>
      <c r="BAQ1374" s="110"/>
      <c r="BAR1374" s="110"/>
      <c r="BAS1374" s="110"/>
      <c r="BAT1374" s="110"/>
      <c r="BAU1374" s="110"/>
      <c r="BAV1374" s="110"/>
      <c r="BAW1374" s="110"/>
      <c r="BAX1374" s="110"/>
      <c r="BAY1374" s="110"/>
      <c r="BAZ1374" s="110"/>
      <c r="BBA1374" s="110"/>
      <c r="BBB1374" s="110"/>
      <c r="BBC1374" s="110"/>
      <c r="BBD1374" s="110"/>
      <c r="BBE1374" s="110"/>
      <c r="BBF1374" s="110"/>
      <c r="BBG1374" s="110"/>
      <c r="BBH1374" s="110"/>
      <c r="BBI1374" s="110"/>
      <c r="BBJ1374" s="110"/>
      <c r="BBK1374" s="110"/>
      <c r="BBL1374" s="110"/>
      <c r="BBM1374" s="110"/>
      <c r="BBN1374" s="110"/>
      <c r="BBO1374" s="110"/>
      <c r="BBP1374" s="110"/>
      <c r="BBQ1374" s="110"/>
      <c r="BBR1374" s="110"/>
      <c r="BBS1374" s="110"/>
      <c r="BBT1374" s="110"/>
      <c r="BBU1374" s="110"/>
      <c r="BBV1374" s="110"/>
      <c r="BBW1374" s="110"/>
      <c r="BBX1374" s="110"/>
      <c r="BBY1374" s="110"/>
      <c r="BBZ1374" s="110"/>
      <c r="BCA1374" s="110"/>
      <c r="BCB1374" s="110"/>
      <c r="BCC1374" s="110"/>
      <c r="BCD1374" s="110"/>
      <c r="BCE1374" s="110"/>
      <c r="BCF1374" s="110"/>
      <c r="BCG1374" s="110"/>
      <c r="BCH1374" s="110"/>
      <c r="BCI1374" s="110"/>
      <c r="BCJ1374" s="110"/>
      <c r="BCK1374" s="110"/>
      <c r="BCL1374" s="110"/>
      <c r="BCM1374" s="110"/>
      <c r="BCN1374" s="110"/>
      <c r="BCO1374" s="110"/>
      <c r="BCP1374" s="110"/>
      <c r="BCQ1374" s="110"/>
      <c r="BCR1374" s="110"/>
      <c r="BCS1374" s="110"/>
      <c r="BCT1374" s="110"/>
      <c r="BCU1374" s="110"/>
      <c r="BCV1374" s="110"/>
      <c r="BCW1374" s="110"/>
      <c r="BCX1374" s="110"/>
      <c r="BCY1374" s="110"/>
      <c r="BCZ1374" s="110"/>
      <c r="BDA1374" s="110"/>
      <c r="BDB1374" s="110"/>
      <c r="BDC1374" s="110"/>
      <c r="BDD1374" s="110"/>
      <c r="BDE1374" s="110"/>
      <c r="BDF1374" s="110"/>
      <c r="BDG1374" s="110"/>
      <c r="BDH1374" s="110"/>
      <c r="BDI1374" s="110"/>
      <c r="BDJ1374" s="110"/>
      <c r="BDK1374" s="110"/>
      <c r="BDL1374" s="110"/>
      <c r="BDM1374" s="110"/>
      <c r="BDN1374" s="110"/>
      <c r="BDO1374" s="110"/>
      <c r="BDP1374" s="110"/>
      <c r="BDQ1374" s="110"/>
      <c r="BDR1374" s="110"/>
      <c r="BDS1374" s="110"/>
      <c r="BDT1374" s="110"/>
      <c r="BDU1374" s="110"/>
      <c r="BDV1374" s="110"/>
      <c r="BDW1374" s="110"/>
      <c r="BDX1374" s="110"/>
      <c r="BDY1374" s="110"/>
      <c r="BDZ1374" s="110"/>
      <c r="BEA1374" s="110"/>
      <c r="BEB1374" s="110"/>
      <c r="BEC1374" s="110"/>
      <c r="BED1374" s="110"/>
      <c r="BEE1374" s="110"/>
      <c r="BEF1374" s="110"/>
      <c r="BEG1374" s="110"/>
      <c r="BEH1374" s="110"/>
      <c r="BEI1374" s="110"/>
      <c r="BEJ1374" s="110"/>
      <c r="BEK1374" s="110"/>
      <c r="BEL1374" s="110"/>
      <c r="BEM1374" s="110"/>
      <c r="BEN1374" s="110"/>
      <c r="BEO1374" s="110"/>
      <c r="BEP1374" s="110"/>
      <c r="BEQ1374" s="110"/>
      <c r="BER1374" s="110"/>
      <c r="BES1374" s="110"/>
      <c r="BET1374" s="110"/>
      <c r="BEU1374" s="110"/>
      <c r="BEV1374" s="110"/>
      <c r="BEW1374" s="110"/>
      <c r="BEX1374" s="110"/>
      <c r="BEY1374" s="110"/>
      <c r="BEZ1374" s="110"/>
      <c r="BFA1374" s="110"/>
      <c r="BFB1374" s="110"/>
      <c r="BFC1374" s="110"/>
      <c r="BFD1374" s="110"/>
      <c r="BFE1374" s="110"/>
      <c r="BFF1374" s="110"/>
      <c r="BFG1374" s="110"/>
      <c r="BFH1374" s="110"/>
      <c r="BFI1374" s="110"/>
      <c r="BFJ1374" s="110"/>
      <c r="BFK1374" s="110"/>
      <c r="BFL1374" s="110"/>
      <c r="BFM1374" s="110"/>
      <c r="BFN1374" s="110"/>
      <c r="BFO1374" s="110"/>
      <c r="BFP1374" s="110"/>
      <c r="BFQ1374" s="110"/>
      <c r="BFR1374" s="110"/>
      <c r="BFS1374" s="110"/>
      <c r="BFT1374" s="110"/>
      <c r="BFU1374" s="110"/>
      <c r="BFV1374" s="110"/>
      <c r="BFW1374" s="110"/>
      <c r="BFX1374" s="110"/>
      <c r="BFY1374" s="110"/>
      <c r="BFZ1374" s="110"/>
      <c r="BGA1374" s="110"/>
      <c r="BGB1374" s="110"/>
      <c r="BGC1374" s="110"/>
      <c r="BGD1374" s="110"/>
      <c r="BGE1374" s="110"/>
      <c r="BGF1374" s="110"/>
      <c r="BGG1374" s="110"/>
      <c r="BGH1374" s="110"/>
      <c r="BGI1374" s="110"/>
      <c r="BGJ1374" s="110"/>
      <c r="BGK1374" s="110"/>
      <c r="BGL1374" s="110"/>
      <c r="BGM1374" s="110"/>
      <c r="BGN1374" s="110"/>
      <c r="BGO1374" s="110"/>
      <c r="BGP1374" s="110"/>
      <c r="BGQ1374" s="110"/>
      <c r="BGR1374" s="110"/>
      <c r="BGS1374" s="110"/>
      <c r="BGT1374" s="110"/>
      <c r="BGU1374" s="110"/>
      <c r="BGV1374" s="110"/>
      <c r="BGW1374" s="110"/>
      <c r="BGX1374" s="110"/>
      <c r="BGY1374" s="110"/>
      <c r="BGZ1374" s="110"/>
      <c r="BHA1374" s="110"/>
      <c r="BHB1374" s="110"/>
      <c r="BHC1374" s="110"/>
      <c r="BHD1374" s="110"/>
      <c r="BHE1374" s="110"/>
      <c r="BHF1374" s="110"/>
      <c r="BHG1374" s="110"/>
      <c r="BHH1374" s="110"/>
      <c r="BHI1374" s="110"/>
      <c r="BHJ1374" s="110"/>
      <c r="BHK1374" s="110"/>
      <c r="BHL1374" s="110"/>
      <c r="BHM1374" s="110"/>
      <c r="BHN1374" s="110"/>
      <c r="BHO1374" s="110"/>
      <c r="BHP1374" s="110"/>
      <c r="BHQ1374" s="110"/>
      <c r="BHR1374" s="110"/>
      <c r="BHS1374" s="110"/>
      <c r="BHT1374" s="110"/>
      <c r="BHU1374" s="110"/>
      <c r="BHV1374" s="110"/>
      <c r="BHW1374" s="110"/>
      <c r="BHX1374" s="110"/>
      <c r="BHY1374" s="110"/>
      <c r="BHZ1374" s="110"/>
      <c r="BIA1374" s="110"/>
      <c r="BIB1374" s="110"/>
      <c r="BIC1374" s="110"/>
      <c r="BID1374" s="110"/>
      <c r="BIE1374" s="110"/>
      <c r="BIF1374" s="110"/>
      <c r="BIG1374" s="110"/>
      <c r="BIH1374" s="110"/>
      <c r="BII1374" s="110"/>
      <c r="BIJ1374" s="110"/>
      <c r="BIK1374" s="110"/>
      <c r="BIL1374" s="110"/>
      <c r="BIM1374" s="110"/>
      <c r="BIN1374" s="110"/>
      <c r="BIO1374" s="110"/>
      <c r="BIP1374" s="110"/>
      <c r="BIQ1374" s="110"/>
      <c r="BIR1374" s="110"/>
      <c r="BIS1374" s="110"/>
      <c r="BIT1374" s="110"/>
      <c r="BIU1374" s="110"/>
      <c r="BIV1374" s="110"/>
      <c r="BIW1374" s="110"/>
      <c r="BIX1374" s="110"/>
      <c r="BIY1374" s="110"/>
      <c r="BIZ1374" s="110"/>
      <c r="BJA1374" s="110"/>
      <c r="BJB1374" s="110"/>
      <c r="BJC1374" s="110"/>
      <c r="BJD1374" s="110"/>
      <c r="BJE1374" s="110"/>
      <c r="BJF1374" s="110"/>
      <c r="BJG1374" s="110"/>
      <c r="BJH1374" s="110"/>
      <c r="BJI1374" s="110"/>
      <c r="BJJ1374" s="110"/>
      <c r="BJK1374" s="110"/>
      <c r="BJL1374" s="110"/>
      <c r="BJM1374" s="110"/>
      <c r="BJN1374" s="110"/>
      <c r="BJO1374" s="110"/>
      <c r="BJP1374" s="110"/>
      <c r="BJQ1374" s="110"/>
      <c r="BJR1374" s="110"/>
      <c r="BJS1374" s="110"/>
      <c r="BJT1374" s="110"/>
      <c r="BJU1374" s="110"/>
      <c r="BJV1374" s="110"/>
      <c r="BJW1374" s="110"/>
      <c r="BJX1374" s="110"/>
      <c r="BJY1374" s="110"/>
      <c r="BJZ1374" s="110"/>
      <c r="BKA1374" s="110"/>
      <c r="BKB1374" s="110"/>
      <c r="BKC1374" s="110"/>
      <c r="BKD1374" s="110"/>
      <c r="BKE1374" s="110"/>
      <c r="BKF1374" s="110"/>
      <c r="BKG1374" s="110"/>
      <c r="BKH1374" s="110"/>
      <c r="BKI1374" s="110"/>
      <c r="BKJ1374" s="110"/>
      <c r="BKK1374" s="110"/>
      <c r="BKL1374" s="110"/>
      <c r="BKM1374" s="110"/>
      <c r="BKN1374" s="110"/>
      <c r="BKO1374" s="110"/>
      <c r="BKP1374" s="110"/>
      <c r="BKQ1374" s="110"/>
      <c r="BKR1374" s="110"/>
      <c r="BKS1374" s="110"/>
      <c r="BKT1374" s="110"/>
      <c r="BKU1374" s="110"/>
      <c r="BKV1374" s="110"/>
      <c r="BKW1374" s="110"/>
      <c r="BKX1374" s="110"/>
      <c r="BKY1374" s="110"/>
      <c r="BKZ1374" s="110"/>
      <c r="BLA1374" s="110"/>
      <c r="BLB1374" s="110"/>
      <c r="BLC1374" s="110"/>
      <c r="BLD1374" s="110"/>
      <c r="BLE1374" s="110"/>
      <c r="BLF1374" s="110"/>
      <c r="BLG1374" s="110"/>
      <c r="BLH1374" s="110"/>
      <c r="BLI1374" s="110"/>
      <c r="BLJ1374" s="110"/>
      <c r="BLK1374" s="110"/>
      <c r="BLL1374" s="110"/>
      <c r="BLM1374" s="110"/>
      <c r="BLN1374" s="110"/>
      <c r="BLO1374" s="110"/>
      <c r="BLP1374" s="110"/>
      <c r="BLQ1374" s="110"/>
      <c r="BLR1374" s="110"/>
      <c r="BLS1374" s="110"/>
      <c r="BLT1374" s="110"/>
      <c r="BLU1374" s="110"/>
      <c r="BLV1374" s="110"/>
      <c r="BLW1374" s="110"/>
      <c r="BLX1374" s="110"/>
      <c r="BLY1374" s="110"/>
      <c r="BLZ1374" s="110"/>
      <c r="BMA1374" s="110"/>
      <c r="BMB1374" s="110"/>
      <c r="BMC1374" s="110"/>
      <c r="BMD1374" s="110"/>
      <c r="BME1374" s="110"/>
      <c r="BMF1374" s="110"/>
      <c r="BMG1374" s="110"/>
      <c r="BMH1374" s="110"/>
      <c r="BMI1374" s="110"/>
      <c r="BMJ1374" s="110"/>
      <c r="BMK1374" s="110"/>
      <c r="BML1374" s="110"/>
      <c r="BMM1374" s="110"/>
      <c r="BMN1374" s="110"/>
      <c r="BMO1374" s="110"/>
      <c r="BMP1374" s="110"/>
      <c r="BMQ1374" s="110"/>
      <c r="BMR1374" s="110"/>
      <c r="BMS1374" s="110"/>
      <c r="BMT1374" s="110"/>
      <c r="BMU1374" s="110"/>
      <c r="BMV1374" s="110"/>
      <c r="BMW1374" s="110"/>
      <c r="BMX1374" s="110"/>
      <c r="BMY1374" s="110"/>
      <c r="BMZ1374" s="110"/>
      <c r="BNA1374" s="110"/>
      <c r="BNB1374" s="110"/>
      <c r="BNC1374" s="110"/>
      <c r="BND1374" s="110"/>
      <c r="BNE1374" s="110"/>
      <c r="BNF1374" s="110"/>
      <c r="BNG1374" s="110"/>
      <c r="BNH1374" s="110"/>
      <c r="BNI1374" s="110"/>
      <c r="BNJ1374" s="110"/>
      <c r="BNK1374" s="110"/>
      <c r="BNL1374" s="110"/>
      <c r="BNM1374" s="110"/>
      <c r="BNN1374" s="110"/>
      <c r="BNO1374" s="110"/>
      <c r="BNP1374" s="110"/>
      <c r="BNQ1374" s="110"/>
      <c r="BNR1374" s="110"/>
      <c r="BNS1374" s="110"/>
      <c r="BNT1374" s="110"/>
      <c r="BNU1374" s="110"/>
      <c r="BNV1374" s="110"/>
      <c r="BNW1374" s="110"/>
      <c r="BNX1374" s="110"/>
      <c r="BNY1374" s="110"/>
      <c r="BNZ1374" s="110"/>
      <c r="BOA1374" s="110"/>
      <c r="BOB1374" s="110"/>
      <c r="BOC1374" s="110"/>
      <c r="BOD1374" s="110"/>
      <c r="BOE1374" s="110"/>
      <c r="BOF1374" s="110"/>
      <c r="BOG1374" s="110"/>
      <c r="BOH1374" s="110"/>
      <c r="BOI1374" s="110"/>
      <c r="BOJ1374" s="110"/>
      <c r="BOK1374" s="110"/>
      <c r="BOL1374" s="110"/>
      <c r="BOM1374" s="110"/>
      <c r="BON1374" s="110"/>
      <c r="BOO1374" s="110"/>
      <c r="BOP1374" s="110"/>
      <c r="BOQ1374" s="110"/>
      <c r="BOR1374" s="110"/>
      <c r="BOS1374" s="110"/>
      <c r="BOT1374" s="110"/>
      <c r="BOU1374" s="110"/>
      <c r="BOV1374" s="110"/>
      <c r="BOW1374" s="110"/>
      <c r="BOX1374" s="110"/>
      <c r="BOY1374" s="110"/>
      <c r="BOZ1374" s="110"/>
      <c r="BPA1374" s="110"/>
      <c r="BPB1374" s="110"/>
      <c r="BPC1374" s="110"/>
      <c r="BPD1374" s="110"/>
      <c r="BPE1374" s="110"/>
      <c r="BPF1374" s="110"/>
      <c r="BPG1374" s="110"/>
      <c r="BPH1374" s="110"/>
      <c r="BPI1374" s="110"/>
      <c r="BPJ1374" s="110"/>
      <c r="BPK1374" s="110"/>
      <c r="BPL1374" s="110"/>
      <c r="BPM1374" s="110"/>
      <c r="BPN1374" s="110"/>
      <c r="BPO1374" s="110"/>
      <c r="BPP1374" s="110"/>
      <c r="BPQ1374" s="110"/>
      <c r="BPR1374" s="110"/>
      <c r="BPS1374" s="110"/>
      <c r="BPT1374" s="110"/>
      <c r="BPU1374" s="110"/>
      <c r="BPV1374" s="110"/>
      <c r="BPW1374" s="110"/>
      <c r="BPX1374" s="110"/>
      <c r="BPY1374" s="110"/>
      <c r="BPZ1374" s="110"/>
      <c r="BQA1374" s="110"/>
      <c r="BQB1374" s="110"/>
      <c r="BQC1374" s="110"/>
      <c r="BQD1374" s="110"/>
      <c r="BQE1374" s="110"/>
      <c r="BQF1374" s="110"/>
      <c r="BQG1374" s="110"/>
      <c r="BQH1374" s="110"/>
      <c r="BQI1374" s="110"/>
      <c r="BQJ1374" s="110"/>
      <c r="BQK1374" s="110"/>
      <c r="BQL1374" s="110"/>
      <c r="BQM1374" s="110"/>
      <c r="BQN1374" s="110"/>
      <c r="BQO1374" s="110"/>
      <c r="BQP1374" s="110"/>
      <c r="BQQ1374" s="110"/>
      <c r="BQR1374" s="110"/>
      <c r="BQS1374" s="110"/>
      <c r="BQT1374" s="110"/>
      <c r="BQU1374" s="110"/>
      <c r="BQV1374" s="110"/>
      <c r="BQW1374" s="110"/>
      <c r="BQX1374" s="110"/>
      <c r="BQY1374" s="110"/>
      <c r="BQZ1374" s="110"/>
      <c r="BRA1374" s="110"/>
      <c r="BRB1374" s="110"/>
      <c r="BRC1374" s="110"/>
      <c r="BRD1374" s="110"/>
      <c r="BRE1374" s="110"/>
      <c r="BRF1374" s="110"/>
      <c r="BRG1374" s="110"/>
      <c r="BRH1374" s="110"/>
      <c r="BRI1374" s="110"/>
      <c r="BRJ1374" s="110"/>
      <c r="BRK1374" s="110"/>
      <c r="BRL1374" s="110"/>
      <c r="BRM1374" s="110"/>
      <c r="BRN1374" s="110"/>
      <c r="BRO1374" s="110"/>
      <c r="BRP1374" s="110"/>
      <c r="BRQ1374" s="110"/>
      <c r="BRR1374" s="110"/>
      <c r="BRS1374" s="110"/>
      <c r="BRT1374" s="110"/>
      <c r="BRU1374" s="110"/>
      <c r="BRV1374" s="110"/>
      <c r="BRW1374" s="110"/>
      <c r="BRX1374" s="110"/>
      <c r="BRY1374" s="110"/>
      <c r="BRZ1374" s="110"/>
      <c r="BSA1374" s="110"/>
      <c r="BSB1374" s="110"/>
      <c r="BSC1374" s="110"/>
      <c r="BSD1374" s="110"/>
      <c r="BSE1374" s="110"/>
      <c r="BSF1374" s="110"/>
      <c r="BSG1374" s="110"/>
      <c r="BSH1374" s="110"/>
      <c r="BSI1374" s="110"/>
      <c r="BSJ1374" s="110"/>
      <c r="BSK1374" s="110"/>
      <c r="BSL1374" s="110"/>
      <c r="BSM1374" s="110"/>
      <c r="BSN1374" s="110"/>
      <c r="BSO1374" s="110"/>
      <c r="BSP1374" s="110"/>
      <c r="BSQ1374" s="110"/>
      <c r="BSR1374" s="110"/>
      <c r="BSS1374" s="110"/>
      <c r="BST1374" s="110"/>
      <c r="BSU1374" s="110"/>
      <c r="BSV1374" s="110"/>
      <c r="BSW1374" s="110"/>
      <c r="BSX1374" s="110"/>
      <c r="BSY1374" s="110"/>
      <c r="BSZ1374" s="110"/>
      <c r="BTA1374" s="110"/>
      <c r="BTB1374" s="110"/>
      <c r="BTC1374" s="110"/>
      <c r="BTD1374" s="110"/>
      <c r="BTE1374" s="110"/>
      <c r="BTF1374" s="110"/>
      <c r="BTG1374" s="110"/>
      <c r="BTH1374" s="110"/>
      <c r="BTI1374" s="110"/>
      <c r="BTJ1374" s="110"/>
      <c r="BTK1374" s="110"/>
      <c r="BTL1374" s="110"/>
      <c r="BTM1374" s="110"/>
      <c r="BTN1374" s="110"/>
      <c r="BTO1374" s="110"/>
      <c r="BTP1374" s="110"/>
      <c r="BTQ1374" s="110"/>
      <c r="BTR1374" s="110"/>
      <c r="BTS1374" s="110"/>
      <c r="BTT1374" s="110"/>
      <c r="BTU1374" s="110"/>
      <c r="BTV1374" s="110"/>
      <c r="BTW1374" s="110"/>
      <c r="BTX1374" s="110"/>
      <c r="BTY1374" s="110"/>
      <c r="BTZ1374" s="110"/>
      <c r="BUA1374" s="110"/>
      <c r="BUB1374" s="110"/>
      <c r="BUC1374" s="110"/>
      <c r="BUD1374" s="110"/>
      <c r="BUE1374" s="110"/>
      <c r="BUF1374" s="110"/>
      <c r="BUG1374" s="110"/>
      <c r="BUH1374" s="110"/>
      <c r="BUI1374" s="110"/>
      <c r="BUJ1374" s="110"/>
      <c r="BUK1374" s="110"/>
      <c r="BUL1374" s="110"/>
      <c r="BUM1374" s="110"/>
      <c r="BUN1374" s="110"/>
      <c r="BUO1374" s="110"/>
      <c r="BUP1374" s="110"/>
      <c r="BUQ1374" s="110"/>
      <c r="BUR1374" s="110"/>
      <c r="BUS1374" s="110"/>
      <c r="BUT1374" s="110"/>
      <c r="BUU1374" s="110"/>
      <c r="BUV1374" s="110"/>
      <c r="BUW1374" s="110"/>
      <c r="BUX1374" s="110"/>
      <c r="BUY1374" s="110"/>
      <c r="BUZ1374" s="110"/>
      <c r="BVA1374" s="110"/>
      <c r="BVB1374" s="110"/>
      <c r="BVC1374" s="110"/>
      <c r="BVD1374" s="110"/>
      <c r="BVE1374" s="110"/>
      <c r="BVF1374" s="110"/>
      <c r="BVG1374" s="110"/>
      <c r="BVH1374" s="110"/>
      <c r="BVI1374" s="110"/>
      <c r="BVJ1374" s="110"/>
      <c r="BVK1374" s="110"/>
      <c r="BVL1374" s="110"/>
      <c r="BVM1374" s="110"/>
      <c r="BVN1374" s="110"/>
      <c r="BVO1374" s="110"/>
      <c r="BVP1374" s="110"/>
      <c r="BVQ1374" s="110"/>
      <c r="BVR1374" s="110"/>
      <c r="BVS1374" s="110"/>
      <c r="BVT1374" s="110"/>
      <c r="BVU1374" s="110"/>
      <c r="BVV1374" s="110"/>
      <c r="BVW1374" s="110"/>
      <c r="BVX1374" s="110"/>
      <c r="BVY1374" s="110"/>
      <c r="BVZ1374" s="110"/>
      <c r="BWA1374" s="110"/>
      <c r="BWB1374" s="110"/>
      <c r="BWC1374" s="110"/>
      <c r="BWD1374" s="110"/>
      <c r="BWE1374" s="110"/>
      <c r="BWF1374" s="110"/>
      <c r="BWG1374" s="110"/>
      <c r="BWH1374" s="110"/>
      <c r="BWI1374" s="110"/>
      <c r="BWJ1374" s="110"/>
      <c r="BWK1374" s="110"/>
      <c r="BWL1374" s="110"/>
      <c r="BWM1374" s="110"/>
      <c r="BWN1374" s="110"/>
      <c r="BWO1374" s="110"/>
      <c r="BWP1374" s="110"/>
      <c r="BWQ1374" s="110"/>
      <c r="BWR1374" s="110"/>
      <c r="BWS1374" s="110"/>
      <c r="BWT1374" s="110"/>
      <c r="BWU1374" s="110"/>
      <c r="BWV1374" s="110"/>
      <c r="BWW1374" s="110"/>
      <c r="BWX1374" s="110"/>
      <c r="BWY1374" s="110"/>
      <c r="BWZ1374" s="110"/>
      <c r="BXA1374" s="110"/>
      <c r="BXB1374" s="110"/>
      <c r="BXC1374" s="110"/>
      <c r="BXD1374" s="110"/>
      <c r="BXE1374" s="110"/>
      <c r="BXF1374" s="110"/>
      <c r="BXG1374" s="110"/>
      <c r="BXH1374" s="110"/>
      <c r="BXI1374" s="110"/>
      <c r="BXJ1374" s="110"/>
      <c r="BXK1374" s="110"/>
      <c r="BXL1374" s="110"/>
      <c r="BXM1374" s="110"/>
      <c r="BXN1374" s="110"/>
      <c r="BXO1374" s="110"/>
      <c r="BXP1374" s="110"/>
      <c r="BXQ1374" s="110"/>
      <c r="BXR1374" s="110"/>
      <c r="BXS1374" s="110"/>
      <c r="BXT1374" s="110"/>
      <c r="BXU1374" s="110"/>
      <c r="BXV1374" s="110"/>
      <c r="BXW1374" s="110"/>
      <c r="BXX1374" s="110"/>
      <c r="BXY1374" s="110"/>
      <c r="BXZ1374" s="110"/>
      <c r="BYA1374" s="110"/>
      <c r="BYB1374" s="110"/>
      <c r="BYC1374" s="110"/>
      <c r="BYD1374" s="110"/>
      <c r="BYE1374" s="110"/>
      <c r="BYF1374" s="110"/>
      <c r="BYG1374" s="110"/>
      <c r="BYH1374" s="110"/>
      <c r="BYI1374" s="110"/>
      <c r="BYJ1374" s="110"/>
      <c r="BYK1374" s="110"/>
      <c r="BYL1374" s="110"/>
      <c r="BYM1374" s="110"/>
      <c r="BYN1374" s="110"/>
      <c r="BYO1374" s="110"/>
      <c r="BYP1374" s="110"/>
      <c r="BYQ1374" s="110"/>
      <c r="BYR1374" s="110"/>
      <c r="BYS1374" s="110"/>
      <c r="BYT1374" s="110"/>
      <c r="BYU1374" s="110"/>
      <c r="BYV1374" s="110"/>
      <c r="BYW1374" s="110"/>
      <c r="BYX1374" s="110"/>
      <c r="BYY1374" s="110"/>
      <c r="BYZ1374" s="110"/>
      <c r="BZA1374" s="110"/>
      <c r="BZB1374" s="110"/>
      <c r="BZC1374" s="110"/>
      <c r="BZD1374" s="110"/>
      <c r="BZE1374" s="110"/>
      <c r="BZF1374" s="110"/>
      <c r="BZG1374" s="110"/>
      <c r="BZH1374" s="110"/>
      <c r="BZI1374" s="110"/>
      <c r="BZJ1374" s="110"/>
      <c r="BZK1374" s="110"/>
      <c r="BZL1374" s="110"/>
      <c r="BZM1374" s="110"/>
      <c r="BZN1374" s="110"/>
      <c r="BZO1374" s="110"/>
      <c r="BZP1374" s="110"/>
      <c r="BZQ1374" s="110"/>
      <c r="BZR1374" s="110"/>
      <c r="BZS1374" s="110"/>
      <c r="BZT1374" s="110"/>
      <c r="BZU1374" s="110"/>
      <c r="BZV1374" s="110"/>
      <c r="BZW1374" s="110"/>
      <c r="BZX1374" s="110"/>
      <c r="BZY1374" s="110"/>
      <c r="BZZ1374" s="110"/>
      <c r="CAA1374" s="110"/>
      <c r="CAB1374" s="110"/>
      <c r="CAC1374" s="110"/>
      <c r="CAD1374" s="110"/>
      <c r="CAE1374" s="110"/>
      <c r="CAF1374" s="110"/>
      <c r="CAG1374" s="110"/>
      <c r="CAH1374" s="110"/>
      <c r="CAI1374" s="110"/>
      <c r="CAJ1374" s="110"/>
      <c r="CAK1374" s="110"/>
      <c r="CAL1374" s="110"/>
      <c r="CAM1374" s="110"/>
      <c r="CAN1374" s="110"/>
      <c r="CAO1374" s="110"/>
      <c r="CAP1374" s="110"/>
      <c r="CAQ1374" s="110"/>
      <c r="CAR1374" s="110"/>
      <c r="CAS1374" s="110"/>
      <c r="CAT1374" s="110"/>
      <c r="CAU1374" s="110"/>
      <c r="CAV1374" s="110"/>
      <c r="CAW1374" s="110"/>
      <c r="CAX1374" s="110"/>
      <c r="CAY1374" s="110"/>
      <c r="CAZ1374" s="110"/>
      <c r="CBA1374" s="110"/>
      <c r="CBB1374" s="110"/>
      <c r="CBC1374" s="110"/>
      <c r="CBD1374" s="110"/>
      <c r="CBE1374" s="110"/>
      <c r="CBF1374" s="110"/>
      <c r="CBG1374" s="110"/>
      <c r="CBH1374" s="110"/>
      <c r="CBI1374" s="110"/>
      <c r="CBJ1374" s="110"/>
      <c r="CBK1374" s="110"/>
      <c r="CBL1374" s="110"/>
      <c r="CBM1374" s="110"/>
      <c r="CBN1374" s="110"/>
      <c r="CBO1374" s="110"/>
      <c r="CBP1374" s="110"/>
      <c r="CBQ1374" s="110"/>
      <c r="CBR1374" s="110"/>
      <c r="CBS1374" s="110"/>
      <c r="CBT1374" s="110"/>
      <c r="CBU1374" s="110"/>
      <c r="CBV1374" s="110"/>
      <c r="CBW1374" s="110"/>
      <c r="CBX1374" s="110"/>
      <c r="CBY1374" s="110"/>
      <c r="CBZ1374" s="110"/>
      <c r="CCA1374" s="110"/>
      <c r="CCB1374" s="110"/>
      <c r="CCC1374" s="110"/>
      <c r="CCD1374" s="110"/>
      <c r="CCE1374" s="110"/>
      <c r="CCF1374" s="110"/>
      <c r="CCG1374" s="110"/>
      <c r="CCH1374" s="110"/>
      <c r="CCI1374" s="110"/>
      <c r="CCJ1374" s="110"/>
      <c r="CCK1374" s="110"/>
      <c r="CCL1374" s="110"/>
      <c r="CCM1374" s="110"/>
      <c r="CCN1374" s="110"/>
      <c r="CCO1374" s="110"/>
      <c r="CCP1374" s="110"/>
      <c r="CCQ1374" s="110"/>
      <c r="CCR1374" s="110"/>
      <c r="CCS1374" s="110"/>
      <c r="CCT1374" s="110"/>
      <c r="CCU1374" s="110"/>
      <c r="CCV1374" s="110"/>
      <c r="CCW1374" s="110"/>
      <c r="CCX1374" s="110"/>
      <c r="CCY1374" s="110"/>
      <c r="CCZ1374" s="110"/>
      <c r="CDA1374" s="110"/>
      <c r="CDB1374" s="110"/>
      <c r="CDC1374" s="110"/>
      <c r="CDD1374" s="110"/>
      <c r="CDE1374" s="110"/>
      <c r="CDF1374" s="110"/>
      <c r="CDG1374" s="110"/>
      <c r="CDH1374" s="110"/>
      <c r="CDI1374" s="110"/>
      <c r="CDJ1374" s="110"/>
      <c r="CDK1374" s="110"/>
      <c r="CDL1374" s="110"/>
      <c r="CDM1374" s="110"/>
      <c r="CDN1374" s="110"/>
      <c r="CDO1374" s="110"/>
      <c r="CDP1374" s="110"/>
      <c r="CDQ1374" s="110"/>
      <c r="CDR1374" s="110"/>
      <c r="CDS1374" s="110"/>
      <c r="CDT1374" s="110"/>
      <c r="CDU1374" s="110"/>
      <c r="CDV1374" s="110"/>
      <c r="CDW1374" s="110"/>
      <c r="CDX1374" s="110"/>
      <c r="CDY1374" s="110"/>
      <c r="CDZ1374" s="110"/>
      <c r="CEA1374" s="110"/>
      <c r="CEB1374" s="110"/>
      <c r="CEC1374" s="110"/>
      <c r="CED1374" s="110"/>
      <c r="CEE1374" s="110"/>
      <c r="CEF1374" s="110"/>
      <c r="CEG1374" s="110"/>
      <c r="CEH1374" s="110"/>
      <c r="CEI1374" s="110"/>
      <c r="CEJ1374" s="110"/>
      <c r="CEK1374" s="110"/>
      <c r="CEL1374" s="110"/>
      <c r="CEM1374" s="110"/>
      <c r="CEN1374" s="110"/>
      <c r="CEO1374" s="110"/>
      <c r="CEP1374" s="110"/>
      <c r="CEQ1374" s="110"/>
      <c r="CER1374" s="110"/>
      <c r="CES1374" s="110"/>
      <c r="CET1374" s="110"/>
      <c r="CEU1374" s="110"/>
      <c r="CEV1374" s="110"/>
      <c r="CEW1374" s="110"/>
      <c r="CEX1374" s="110"/>
      <c r="CEY1374" s="110"/>
      <c r="CEZ1374" s="110"/>
      <c r="CFA1374" s="110"/>
      <c r="CFB1374" s="110"/>
      <c r="CFC1374" s="110"/>
      <c r="CFD1374" s="110"/>
      <c r="CFE1374" s="110"/>
      <c r="CFF1374" s="110"/>
      <c r="CFG1374" s="110"/>
      <c r="CFH1374" s="110"/>
      <c r="CFI1374" s="110"/>
      <c r="CFJ1374" s="110"/>
      <c r="CFK1374" s="110"/>
      <c r="CFL1374" s="110"/>
      <c r="CFM1374" s="110"/>
      <c r="CFN1374" s="110"/>
      <c r="CFO1374" s="110"/>
      <c r="CFP1374" s="110"/>
      <c r="CFQ1374" s="110"/>
      <c r="CFR1374" s="110"/>
      <c r="CFS1374" s="110"/>
      <c r="CFT1374" s="110"/>
      <c r="CFU1374" s="110"/>
      <c r="CFV1374" s="110"/>
      <c r="CFW1374" s="110"/>
      <c r="CFX1374" s="110"/>
      <c r="CFY1374" s="110"/>
      <c r="CFZ1374" s="110"/>
      <c r="CGA1374" s="110"/>
      <c r="CGB1374" s="110"/>
      <c r="CGC1374" s="110"/>
      <c r="CGD1374" s="110"/>
      <c r="CGE1374" s="110"/>
      <c r="CGF1374" s="110"/>
      <c r="CGG1374" s="110"/>
      <c r="CGH1374" s="110"/>
      <c r="CGI1374" s="110"/>
      <c r="CGJ1374" s="110"/>
      <c r="CGK1374" s="110"/>
      <c r="CGL1374" s="110"/>
      <c r="CGM1374" s="110"/>
      <c r="CGN1374" s="110"/>
      <c r="CGO1374" s="110"/>
      <c r="CGP1374" s="110"/>
      <c r="CGQ1374" s="110"/>
      <c r="CGR1374" s="110"/>
      <c r="CGS1374" s="110"/>
      <c r="CGT1374" s="110"/>
      <c r="CGU1374" s="110"/>
      <c r="CGV1374" s="110"/>
      <c r="CGW1374" s="110"/>
      <c r="CGX1374" s="110"/>
      <c r="CGY1374" s="110"/>
      <c r="CGZ1374" s="110"/>
      <c r="CHA1374" s="110"/>
      <c r="CHB1374" s="110"/>
      <c r="CHC1374" s="110"/>
      <c r="CHD1374" s="110"/>
      <c r="CHE1374" s="110"/>
      <c r="CHF1374" s="110"/>
      <c r="CHG1374" s="110"/>
      <c r="CHH1374" s="110"/>
      <c r="CHI1374" s="110"/>
      <c r="CHJ1374" s="110"/>
      <c r="CHK1374" s="110"/>
      <c r="CHL1374" s="110"/>
      <c r="CHM1374" s="110"/>
      <c r="CHN1374" s="110"/>
      <c r="CHO1374" s="110"/>
      <c r="CHP1374" s="110"/>
      <c r="CHQ1374" s="110"/>
      <c r="CHR1374" s="110"/>
      <c r="CHS1374" s="110"/>
      <c r="CHT1374" s="110"/>
      <c r="CHU1374" s="110"/>
      <c r="CHV1374" s="110"/>
      <c r="CHW1374" s="110"/>
      <c r="CHX1374" s="110"/>
      <c r="CHY1374" s="110"/>
      <c r="CHZ1374" s="110"/>
      <c r="CIA1374" s="110"/>
      <c r="CIB1374" s="110"/>
      <c r="CIC1374" s="110"/>
      <c r="CID1374" s="110"/>
      <c r="CIE1374" s="110"/>
      <c r="CIF1374" s="110"/>
      <c r="CIG1374" s="110"/>
      <c r="CIH1374" s="110"/>
      <c r="CII1374" s="110"/>
      <c r="CIJ1374" s="110"/>
      <c r="CIK1374" s="110"/>
      <c r="CIL1374" s="110"/>
      <c r="CIM1374" s="110"/>
      <c r="CIN1374" s="110"/>
      <c r="CIO1374" s="110"/>
      <c r="CIP1374" s="110"/>
      <c r="CIQ1374" s="110"/>
      <c r="CIR1374" s="110"/>
      <c r="CIS1374" s="110"/>
      <c r="CIT1374" s="110"/>
      <c r="CIU1374" s="110"/>
      <c r="CIV1374" s="110"/>
      <c r="CIW1374" s="110"/>
      <c r="CIX1374" s="110"/>
      <c r="CIY1374" s="110"/>
      <c r="CIZ1374" s="110"/>
      <c r="CJA1374" s="110"/>
      <c r="CJB1374" s="110"/>
      <c r="CJC1374" s="110"/>
      <c r="CJD1374" s="110"/>
      <c r="CJE1374" s="110"/>
      <c r="CJF1374" s="110"/>
      <c r="CJG1374" s="110"/>
      <c r="CJH1374" s="110"/>
      <c r="CJI1374" s="110"/>
      <c r="CJJ1374" s="110"/>
      <c r="CJK1374" s="110"/>
      <c r="CJL1374" s="110"/>
      <c r="CJM1374" s="110"/>
      <c r="CJN1374" s="110"/>
      <c r="CJO1374" s="110"/>
      <c r="CJP1374" s="110"/>
      <c r="CJQ1374" s="110"/>
      <c r="CJR1374" s="110"/>
      <c r="CJS1374" s="110"/>
      <c r="CJT1374" s="110"/>
      <c r="CJU1374" s="110"/>
      <c r="CJV1374" s="110"/>
      <c r="CJW1374" s="110"/>
      <c r="CJX1374" s="110"/>
      <c r="CJY1374" s="110"/>
      <c r="CJZ1374" s="110"/>
      <c r="CKA1374" s="110"/>
      <c r="CKB1374" s="110"/>
      <c r="CKC1374" s="110"/>
      <c r="CKD1374" s="110"/>
      <c r="CKE1374" s="110"/>
      <c r="CKF1374" s="110"/>
      <c r="CKG1374" s="110"/>
      <c r="CKH1374" s="110"/>
      <c r="CKI1374" s="110"/>
      <c r="CKJ1374" s="110"/>
      <c r="CKK1374" s="110"/>
      <c r="CKL1374" s="110"/>
      <c r="CKM1374" s="110"/>
      <c r="CKN1374" s="110"/>
      <c r="CKO1374" s="110"/>
      <c r="CKP1374" s="110"/>
      <c r="CKQ1374" s="110"/>
      <c r="CKR1374" s="110"/>
      <c r="CKS1374" s="110"/>
      <c r="CKT1374" s="110"/>
      <c r="CKU1374" s="110"/>
      <c r="CKV1374" s="110"/>
      <c r="CKW1374" s="110"/>
      <c r="CKX1374" s="110"/>
      <c r="CKY1374" s="110"/>
      <c r="CKZ1374" s="110"/>
      <c r="CLA1374" s="110"/>
      <c r="CLB1374" s="110"/>
      <c r="CLC1374" s="110"/>
      <c r="CLD1374" s="110"/>
      <c r="CLE1374" s="110"/>
      <c r="CLF1374" s="110"/>
      <c r="CLG1374" s="110"/>
      <c r="CLH1374" s="110"/>
      <c r="CLI1374" s="110"/>
      <c r="CLJ1374" s="110"/>
      <c r="CLK1374" s="110"/>
      <c r="CLL1374" s="110"/>
      <c r="CLM1374" s="110"/>
      <c r="CLN1374" s="110"/>
      <c r="CLO1374" s="110"/>
      <c r="CLP1374" s="110"/>
      <c r="CLQ1374" s="110"/>
      <c r="CLR1374" s="110"/>
      <c r="CLS1374" s="110"/>
      <c r="CLT1374" s="110"/>
      <c r="CLU1374" s="110"/>
      <c r="CLV1374" s="110"/>
      <c r="CLW1374" s="110"/>
      <c r="CLX1374" s="110"/>
      <c r="CLY1374" s="110"/>
      <c r="CLZ1374" s="110"/>
      <c r="CMA1374" s="110"/>
      <c r="CMB1374" s="110"/>
      <c r="CMC1374" s="110"/>
      <c r="CMD1374" s="110"/>
      <c r="CME1374" s="110"/>
      <c r="CMF1374" s="110"/>
      <c r="CMG1374" s="110"/>
      <c r="CMH1374" s="110"/>
      <c r="CMI1374" s="110"/>
      <c r="CMJ1374" s="110"/>
      <c r="CMK1374" s="110"/>
      <c r="CML1374" s="110"/>
      <c r="CMM1374" s="110"/>
      <c r="CMN1374" s="110"/>
      <c r="CMO1374" s="110"/>
      <c r="CMP1374" s="110"/>
      <c r="CMQ1374" s="110"/>
      <c r="CMR1374" s="110"/>
      <c r="CMS1374" s="110"/>
      <c r="CMT1374" s="110"/>
      <c r="CMU1374" s="110"/>
      <c r="CMV1374" s="110"/>
      <c r="CMW1374" s="110"/>
      <c r="CMX1374" s="110"/>
      <c r="CMY1374" s="110"/>
      <c r="CMZ1374" s="110"/>
      <c r="CNA1374" s="110"/>
      <c r="CNB1374" s="110"/>
      <c r="CNC1374" s="110"/>
      <c r="CND1374" s="110"/>
      <c r="CNE1374" s="110"/>
      <c r="CNF1374" s="110"/>
      <c r="CNG1374" s="110"/>
      <c r="CNH1374" s="110"/>
      <c r="CNI1374" s="110"/>
      <c r="CNJ1374" s="110"/>
      <c r="CNK1374" s="110"/>
      <c r="CNL1374" s="110"/>
      <c r="CNM1374" s="110"/>
      <c r="CNN1374" s="110"/>
      <c r="CNO1374" s="110"/>
      <c r="CNP1374" s="110"/>
      <c r="CNQ1374" s="110"/>
      <c r="CNR1374" s="110"/>
      <c r="CNS1374" s="110"/>
      <c r="CNT1374" s="110"/>
      <c r="CNU1374" s="110"/>
      <c r="CNV1374" s="110"/>
      <c r="CNW1374" s="110"/>
      <c r="CNX1374" s="110"/>
      <c r="CNY1374" s="110"/>
      <c r="CNZ1374" s="110"/>
      <c r="COA1374" s="110"/>
      <c r="COB1374" s="110"/>
      <c r="COC1374" s="110"/>
      <c r="COD1374" s="110"/>
      <c r="COE1374" s="110"/>
      <c r="COF1374" s="110"/>
      <c r="COG1374" s="110"/>
      <c r="COH1374" s="110"/>
      <c r="COI1374" s="110"/>
      <c r="COJ1374" s="110"/>
      <c r="COK1374" s="110"/>
      <c r="COL1374" s="110"/>
      <c r="COM1374" s="110"/>
      <c r="CON1374" s="110"/>
      <c r="COO1374" s="110"/>
      <c r="COP1374" s="110"/>
      <c r="COQ1374" s="110"/>
      <c r="COR1374" s="110"/>
      <c r="COS1374" s="110"/>
      <c r="COT1374" s="110"/>
      <c r="COU1374" s="110"/>
      <c r="COV1374" s="110"/>
      <c r="COW1374" s="110"/>
      <c r="COX1374" s="110"/>
      <c r="COY1374" s="110"/>
      <c r="COZ1374" s="110"/>
      <c r="CPA1374" s="110"/>
      <c r="CPB1374" s="110"/>
      <c r="CPC1374" s="110"/>
      <c r="CPD1374" s="110"/>
      <c r="CPE1374" s="110"/>
      <c r="CPF1374" s="110"/>
      <c r="CPG1374" s="110"/>
      <c r="CPH1374" s="110"/>
      <c r="CPI1374" s="110"/>
      <c r="CPJ1374" s="110"/>
      <c r="CPK1374" s="110"/>
      <c r="CPL1374" s="110"/>
      <c r="CPM1374" s="110"/>
      <c r="CPN1374" s="110"/>
      <c r="CPO1374" s="110"/>
      <c r="CPP1374" s="110"/>
      <c r="CPQ1374" s="110"/>
      <c r="CPR1374" s="110"/>
      <c r="CPS1374" s="110"/>
      <c r="CPT1374" s="110"/>
      <c r="CPU1374" s="110"/>
      <c r="CPV1374" s="110"/>
      <c r="CPW1374" s="110"/>
      <c r="CPX1374" s="110"/>
      <c r="CPY1374" s="110"/>
      <c r="CPZ1374" s="110"/>
      <c r="CQA1374" s="110"/>
      <c r="CQB1374" s="110"/>
      <c r="CQC1374" s="110"/>
      <c r="CQD1374" s="110"/>
      <c r="CQE1374" s="110"/>
      <c r="CQF1374" s="110"/>
      <c r="CQG1374" s="110"/>
      <c r="CQH1374" s="110"/>
      <c r="CQI1374" s="110"/>
      <c r="CQJ1374" s="110"/>
      <c r="CQK1374" s="110"/>
      <c r="CQL1374" s="110"/>
      <c r="CQM1374" s="110"/>
      <c r="CQN1374" s="110"/>
      <c r="CQO1374" s="110"/>
      <c r="CQP1374" s="110"/>
      <c r="CQQ1374" s="110"/>
      <c r="CQR1374" s="110"/>
      <c r="CQS1374" s="110"/>
      <c r="CQT1374" s="110"/>
      <c r="CQU1374" s="110"/>
      <c r="CQV1374" s="110"/>
      <c r="CQW1374" s="110"/>
      <c r="CQX1374" s="110"/>
      <c r="CQY1374" s="110"/>
      <c r="CQZ1374" s="110"/>
      <c r="CRA1374" s="110"/>
      <c r="CRB1374" s="110"/>
      <c r="CRC1374" s="110"/>
      <c r="CRD1374" s="110"/>
      <c r="CRE1374" s="110"/>
      <c r="CRF1374" s="110"/>
      <c r="CRG1374" s="110"/>
      <c r="CRH1374" s="110"/>
      <c r="CRI1374" s="110"/>
      <c r="CRJ1374" s="110"/>
      <c r="CRK1374" s="110"/>
      <c r="CRL1374" s="110"/>
      <c r="CRM1374" s="110"/>
      <c r="CRN1374" s="110"/>
      <c r="CRO1374" s="110"/>
      <c r="CRP1374" s="110"/>
      <c r="CRQ1374" s="110"/>
      <c r="CRR1374" s="110"/>
      <c r="CRS1374" s="110"/>
      <c r="CRT1374" s="110"/>
      <c r="CRU1374" s="110"/>
      <c r="CRV1374" s="110"/>
      <c r="CRW1374" s="110"/>
      <c r="CRX1374" s="110"/>
      <c r="CRY1374" s="110"/>
      <c r="CRZ1374" s="110"/>
      <c r="CSA1374" s="110"/>
      <c r="CSB1374" s="110"/>
      <c r="CSC1374" s="110"/>
      <c r="CSD1374" s="110"/>
      <c r="CSE1374" s="110"/>
      <c r="CSF1374" s="110"/>
      <c r="CSG1374" s="110"/>
      <c r="CSH1374" s="110"/>
      <c r="CSI1374" s="110"/>
      <c r="CSJ1374" s="110"/>
      <c r="CSK1374" s="110"/>
      <c r="CSL1374" s="110"/>
      <c r="CSM1374" s="110"/>
      <c r="CSN1374" s="110"/>
      <c r="CSO1374" s="110"/>
      <c r="CSP1374" s="110"/>
      <c r="CSQ1374" s="110"/>
      <c r="CSR1374" s="110"/>
      <c r="CSS1374" s="110"/>
      <c r="CST1374" s="110"/>
      <c r="CSU1374" s="110"/>
      <c r="CSV1374" s="110"/>
      <c r="CSW1374" s="110"/>
      <c r="CSX1374" s="110"/>
      <c r="CSY1374" s="110"/>
      <c r="CSZ1374" s="110"/>
      <c r="CTA1374" s="110"/>
      <c r="CTB1374" s="110"/>
      <c r="CTC1374" s="110"/>
      <c r="CTD1374" s="110"/>
      <c r="CTE1374" s="110"/>
      <c r="CTF1374" s="110"/>
      <c r="CTG1374" s="110"/>
      <c r="CTH1374" s="110"/>
      <c r="CTI1374" s="110"/>
      <c r="CTJ1374" s="110"/>
      <c r="CTK1374" s="110"/>
      <c r="CTL1374" s="110"/>
      <c r="CTM1374" s="110"/>
      <c r="CTN1374" s="110"/>
      <c r="CTO1374" s="110"/>
      <c r="CTP1374" s="110"/>
      <c r="CTQ1374" s="110"/>
      <c r="CTR1374" s="110"/>
      <c r="CTS1374" s="110"/>
      <c r="CTT1374" s="110"/>
      <c r="CTU1374" s="110"/>
      <c r="CTV1374" s="110"/>
      <c r="CTW1374" s="110"/>
      <c r="CTX1374" s="110"/>
      <c r="CTY1374" s="110"/>
      <c r="CTZ1374" s="110"/>
      <c r="CUA1374" s="110"/>
      <c r="CUB1374" s="110"/>
      <c r="CUC1374" s="110"/>
      <c r="CUD1374" s="110"/>
      <c r="CUE1374" s="110"/>
      <c r="CUF1374" s="110"/>
      <c r="CUG1374" s="110"/>
      <c r="CUH1374" s="110"/>
      <c r="CUI1374" s="110"/>
      <c r="CUJ1374" s="110"/>
      <c r="CUK1374" s="110"/>
      <c r="CUL1374" s="110"/>
      <c r="CUM1374" s="110"/>
      <c r="CUN1374" s="110"/>
      <c r="CUO1374" s="110"/>
      <c r="CUP1374" s="110"/>
      <c r="CUQ1374" s="110"/>
      <c r="CUR1374" s="110"/>
      <c r="CUS1374" s="110"/>
      <c r="CUT1374" s="110"/>
      <c r="CUU1374" s="110"/>
      <c r="CUV1374" s="110"/>
      <c r="CUW1374" s="110"/>
      <c r="CUX1374" s="110"/>
      <c r="CUY1374" s="110"/>
      <c r="CUZ1374" s="110"/>
      <c r="CVA1374" s="110"/>
      <c r="CVB1374" s="110"/>
      <c r="CVC1374" s="110"/>
      <c r="CVD1374" s="110"/>
      <c r="CVE1374" s="110"/>
      <c r="CVF1374" s="110"/>
      <c r="CVG1374" s="110"/>
      <c r="CVH1374" s="110"/>
      <c r="CVI1374" s="110"/>
      <c r="CVJ1374" s="110"/>
      <c r="CVK1374" s="110"/>
      <c r="CVL1374" s="110"/>
      <c r="CVM1374" s="110"/>
      <c r="CVN1374" s="110"/>
      <c r="CVO1374" s="110"/>
      <c r="CVP1374" s="110"/>
      <c r="CVQ1374" s="110"/>
      <c r="CVR1374" s="110"/>
      <c r="CVS1374" s="110"/>
      <c r="CVT1374" s="110"/>
      <c r="CVU1374" s="110"/>
      <c r="CVV1374" s="110"/>
      <c r="CVW1374" s="110"/>
      <c r="CVX1374" s="110"/>
      <c r="CVY1374" s="110"/>
      <c r="CVZ1374" s="110"/>
      <c r="CWA1374" s="110"/>
      <c r="CWB1374" s="110"/>
      <c r="CWC1374" s="110"/>
      <c r="CWD1374" s="110"/>
      <c r="CWE1374" s="110"/>
      <c r="CWF1374" s="110"/>
      <c r="CWG1374" s="110"/>
      <c r="CWH1374" s="110"/>
      <c r="CWI1374" s="110"/>
      <c r="CWJ1374" s="110"/>
      <c r="CWK1374" s="110"/>
      <c r="CWL1374" s="110"/>
      <c r="CWM1374" s="110"/>
      <c r="CWN1374" s="110"/>
      <c r="CWO1374" s="110"/>
      <c r="CWP1374" s="110"/>
      <c r="CWQ1374" s="110"/>
      <c r="CWR1374" s="110"/>
      <c r="CWS1374" s="110"/>
      <c r="CWT1374" s="110"/>
      <c r="CWU1374" s="110"/>
      <c r="CWV1374" s="110"/>
      <c r="CWW1374" s="110"/>
      <c r="CWX1374" s="110"/>
      <c r="CWY1374" s="110"/>
      <c r="CWZ1374" s="110"/>
      <c r="CXA1374" s="110"/>
      <c r="CXB1374" s="110"/>
      <c r="CXC1374" s="110"/>
      <c r="CXD1374" s="110"/>
      <c r="CXE1374" s="110"/>
      <c r="CXF1374" s="110"/>
      <c r="CXG1374" s="110"/>
      <c r="CXH1374" s="110"/>
      <c r="CXI1374" s="110"/>
      <c r="CXJ1374" s="110"/>
      <c r="CXK1374" s="110"/>
      <c r="CXL1374" s="110"/>
      <c r="CXM1374" s="110"/>
      <c r="CXN1374" s="110"/>
      <c r="CXO1374" s="110"/>
      <c r="CXP1374" s="110"/>
      <c r="CXQ1374" s="110"/>
      <c r="CXR1374" s="110"/>
      <c r="CXS1374" s="110"/>
      <c r="CXT1374" s="110"/>
      <c r="CXU1374" s="110"/>
      <c r="CXV1374" s="110"/>
      <c r="CXW1374" s="110"/>
      <c r="CXX1374" s="110"/>
      <c r="CXY1374" s="110"/>
      <c r="CXZ1374" s="110"/>
      <c r="CYA1374" s="110"/>
      <c r="CYB1374" s="110"/>
      <c r="CYC1374" s="110"/>
      <c r="CYD1374" s="110"/>
      <c r="CYE1374" s="110"/>
      <c r="CYF1374" s="110"/>
      <c r="CYG1374" s="110"/>
      <c r="CYH1374" s="110"/>
      <c r="CYI1374" s="110"/>
      <c r="CYJ1374" s="110"/>
      <c r="CYK1374" s="110"/>
      <c r="CYL1374" s="110"/>
      <c r="CYM1374" s="110"/>
      <c r="CYN1374" s="110"/>
      <c r="CYO1374" s="110"/>
      <c r="CYP1374" s="110"/>
      <c r="CYQ1374" s="110"/>
      <c r="CYR1374" s="110"/>
      <c r="CYS1374" s="110"/>
      <c r="CYT1374" s="110"/>
      <c r="CYU1374" s="110"/>
      <c r="CYV1374" s="110"/>
      <c r="CYW1374" s="110"/>
      <c r="CYX1374" s="110"/>
      <c r="CYY1374" s="110"/>
      <c r="CYZ1374" s="110"/>
      <c r="CZA1374" s="110"/>
      <c r="CZB1374" s="110"/>
      <c r="CZC1374" s="110"/>
      <c r="CZD1374" s="110"/>
      <c r="CZE1374" s="110"/>
      <c r="CZF1374" s="110"/>
      <c r="CZG1374" s="110"/>
      <c r="CZH1374" s="110"/>
      <c r="CZI1374" s="110"/>
      <c r="CZJ1374" s="110"/>
      <c r="CZK1374" s="110"/>
      <c r="CZL1374" s="110"/>
      <c r="CZM1374" s="110"/>
      <c r="CZN1374" s="110"/>
      <c r="CZO1374" s="110"/>
      <c r="CZP1374" s="110"/>
      <c r="CZQ1374" s="110"/>
      <c r="CZR1374" s="110"/>
      <c r="CZS1374" s="110"/>
      <c r="CZT1374" s="110"/>
      <c r="CZU1374" s="110"/>
      <c r="CZV1374" s="110"/>
      <c r="CZW1374" s="110"/>
      <c r="CZX1374" s="110"/>
      <c r="CZY1374" s="110"/>
      <c r="CZZ1374" s="110"/>
      <c r="DAA1374" s="110"/>
      <c r="DAB1374" s="110"/>
      <c r="DAC1374" s="110"/>
      <c r="DAD1374" s="110"/>
      <c r="DAE1374" s="110"/>
      <c r="DAF1374" s="110"/>
      <c r="DAG1374" s="110"/>
      <c r="DAH1374" s="110"/>
      <c r="DAI1374" s="110"/>
      <c r="DAJ1374" s="110"/>
      <c r="DAK1374" s="110"/>
      <c r="DAL1374" s="110"/>
      <c r="DAM1374" s="110"/>
      <c r="DAN1374" s="110"/>
      <c r="DAO1374" s="110"/>
      <c r="DAP1374" s="110"/>
      <c r="DAQ1374" s="110"/>
      <c r="DAR1374" s="110"/>
      <c r="DAS1374" s="110"/>
      <c r="DAT1374" s="110"/>
      <c r="DAU1374" s="110"/>
      <c r="DAV1374" s="110"/>
      <c r="DAW1374" s="110"/>
      <c r="DAX1374" s="110"/>
      <c r="DAY1374" s="110"/>
      <c r="DAZ1374" s="110"/>
      <c r="DBA1374" s="110"/>
      <c r="DBB1374" s="110"/>
      <c r="DBC1374" s="110"/>
      <c r="DBD1374" s="110"/>
      <c r="DBE1374" s="110"/>
      <c r="DBF1374" s="110"/>
      <c r="DBG1374" s="110"/>
      <c r="DBH1374" s="110"/>
      <c r="DBI1374" s="110"/>
      <c r="DBJ1374" s="110"/>
      <c r="DBK1374" s="110"/>
      <c r="DBL1374" s="110"/>
      <c r="DBM1374" s="110"/>
      <c r="DBN1374" s="110"/>
      <c r="DBO1374" s="110"/>
      <c r="DBP1374" s="110"/>
      <c r="DBQ1374" s="110"/>
      <c r="DBR1374" s="110"/>
      <c r="DBS1374" s="110"/>
      <c r="DBT1374" s="110"/>
      <c r="DBU1374" s="110"/>
      <c r="DBV1374" s="110"/>
      <c r="DBW1374" s="110"/>
      <c r="DBX1374" s="110"/>
      <c r="DBY1374" s="110"/>
      <c r="DBZ1374" s="110"/>
      <c r="DCA1374" s="110"/>
      <c r="DCB1374" s="110"/>
      <c r="DCC1374" s="110"/>
      <c r="DCD1374" s="110"/>
      <c r="DCE1374" s="110"/>
      <c r="DCF1374" s="110"/>
      <c r="DCG1374" s="110"/>
      <c r="DCH1374" s="110"/>
      <c r="DCI1374" s="110"/>
      <c r="DCJ1374" s="110"/>
      <c r="DCK1374" s="110"/>
      <c r="DCL1374" s="110"/>
      <c r="DCM1374" s="110"/>
      <c r="DCN1374" s="110"/>
      <c r="DCO1374" s="110"/>
      <c r="DCP1374" s="110"/>
      <c r="DCQ1374" s="110"/>
      <c r="DCR1374" s="110"/>
      <c r="DCS1374" s="110"/>
      <c r="DCT1374" s="110"/>
      <c r="DCU1374" s="110"/>
      <c r="DCV1374" s="110"/>
      <c r="DCW1374" s="110"/>
      <c r="DCX1374" s="110"/>
      <c r="DCY1374" s="110"/>
      <c r="DCZ1374" s="110"/>
      <c r="DDA1374" s="110"/>
      <c r="DDB1374" s="110"/>
      <c r="DDC1374" s="110"/>
      <c r="DDD1374" s="110"/>
      <c r="DDE1374" s="110"/>
      <c r="DDF1374" s="110"/>
      <c r="DDG1374" s="110"/>
      <c r="DDH1374" s="110"/>
      <c r="DDI1374" s="110"/>
      <c r="DDJ1374" s="110"/>
      <c r="DDK1374" s="110"/>
      <c r="DDL1374" s="110"/>
      <c r="DDM1374" s="110"/>
      <c r="DDN1374" s="110"/>
      <c r="DDO1374" s="110"/>
      <c r="DDP1374" s="110"/>
      <c r="DDQ1374" s="110"/>
      <c r="DDR1374" s="110"/>
      <c r="DDS1374" s="110"/>
      <c r="DDT1374" s="110"/>
      <c r="DDU1374" s="110"/>
      <c r="DDV1374" s="110"/>
      <c r="DDW1374" s="110"/>
      <c r="DDX1374" s="110"/>
      <c r="DDY1374" s="110"/>
      <c r="DDZ1374" s="110"/>
      <c r="DEA1374" s="110"/>
      <c r="DEB1374" s="110"/>
      <c r="DEC1374" s="110"/>
      <c r="DED1374" s="110"/>
      <c r="DEE1374" s="110"/>
      <c r="DEF1374" s="110"/>
      <c r="DEG1374" s="110"/>
      <c r="DEH1374" s="110"/>
      <c r="DEI1374" s="110"/>
      <c r="DEJ1374" s="110"/>
      <c r="DEK1374" s="110"/>
      <c r="DEL1374" s="110"/>
      <c r="DEM1374" s="110"/>
      <c r="DEN1374" s="110"/>
      <c r="DEO1374" s="110"/>
      <c r="DEP1374" s="110"/>
      <c r="DEQ1374" s="110"/>
      <c r="DER1374" s="110"/>
      <c r="DES1374" s="110"/>
      <c r="DET1374" s="110"/>
      <c r="DEU1374" s="110"/>
      <c r="DEV1374" s="110"/>
      <c r="DEW1374" s="110"/>
      <c r="DEX1374" s="110"/>
      <c r="DEY1374" s="110"/>
      <c r="DEZ1374" s="110"/>
      <c r="DFA1374" s="110"/>
      <c r="DFB1374" s="110"/>
      <c r="DFC1374" s="110"/>
      <c r="DFD1374" s="110"/>
      <c r="DFE1374" s="110"/>
      <c r="DFF1374" s="110"/>
      <c r="DFG1374" s="110"/>
      <c r="DFH1374" s="110"/>
      <c r="DFI1374" s="110"/>
      <c r="DFJ1374" s="110"/>
      <c r="DFK1374" s="110"/>
      <c r="DFL1374" s="110"/>
      <c r="DFM1374" s="110"/>
      <c r="DFN1374" s="110"/>
      <c r="DFO1374" s="110"/>
      <c r="DFP1374" s="110"/>
      <c r="DFQ1374" s="110"/>
      <c r="DFR1374" s="110"/>
      <c r="DFS1374" s="110"/>
      <c r="DFT1374" s="110"/>
      <c r="DFU1374" s="110"/>
      <c r="DFV1374" s="110"/>
      <c r="DFW1374" s="110"/>
      <c r="DFX1374" s="110"/>
      <c r="DFY1374" s="110"/>
      <c r="DFZ1374" s="110"/>
      <c r="DGA1374" s="110"/>
      <c r="DGB1374" s="110"/>
      <c r="DGC1374" s="110"/>
      <c r="DGD1374" s="110"/>
      <c r="DGE1374" s="110"/>
      <c r="DGF1374" s="110"/>
      <c r="DGG1374" s="110"/>
      <c r="DGH1374" s="110"/>
      <c r="DGI1374" s="110"/>
      <c r="DGJ1374" s="110"/>
      <c r="DGK1374" s="110"/>
      <c r="DGL1374" s="110"/>
      <c r="DGM1374" s="110"/>
      <c r="DGN1374" s="110"/>
      <c r="DGO1374" s="110"/>
      <c r="DGP1374" s="110"/>
      <c r="DGQ1374" s="110"/>
      <c r="DGR1374" s="110"/>
      <c r="DGS1374" s="110"/>
      <c r="DGT1374" s="110"/>
      <c r="DGU1374" s="110"/>
      <c r="DGV1374" s="110"/>
      <c r="DGW1374" s="110"/>
      <c r="DGX1374" s="110"/>
      <c r="DGY1374" s="110"/>
      <c r="DGZ1374" s="110"/>
      <c r="DHA1374" s="110"/>
      <c r="DHB1374" s="110"/>
      <c r="DHC1374" s="110"/>
      <c r="DHD1374" s="110"/>
      <c r="DHE1374" s="110"/>
      <c r="DHF1374" s="110"/>
      <c r="DHG1374" s="110"/>
      <c r="DHH1374" s="110"/>
      <c r="DHI1374" s="110"/>
      <c r="DHJ1374" s="110"/>
      <c r="DHK1374" s="110"/>
      <c r="DHL1374" s="110"/>
      <c r="DHM1374" s="110"/>
      <c r="DHN1374" s="110"/>
      <c r="DHO1374" s="110"/>
      <c r="DHP1374" s="110"/>
      <c r="DHQ1374" s="110"/>
      <c r="DHR1374" s="110"/>
      <c r="DHS1374" s="110"/>
      <c r="DHT1374" s="110"/>
      <c r="DHU1374" s="110"/>
      <c r="DHV1374" s="110"/>
      <c r="DHW1374" s="110"/>
      <c r="DHX1374" s="110"/>
      <c r="DHY1374" s="110"/>
      <c r="DHZ1374" s="110"/>
      <c r="DIA1374" s="110"/>
      <c r="DIB1374" s="110"/>
      <c r="DIC1374" s="110"/>
      <c r="DID1374" s="110"/>
      <c r="DIE1374" s="110"/>
      <c r="DIF1374" s="110"/>
      <c r="DIG1374" s="110"/>
      <c r="DIH1374" s="110"/>
      <c r="DII1374" s="110"/>
      <c r="DIJ1374" s="110"/>
      <c r="DIK1374" s="110"/>
      <c r="DIL1374" s="110"/>
      <c r="DIM1374" s="110"/>
      <c r="DIN1374" s="110"/>
      <c r="DIO1374" s="110"/>
      <c r="DIP1374" s="110"/>
      <c r="DIQ1374" s="110"/>
      <c r="DIR1374" s="110"/>
      <c r="DIS1374" s="110"/>
      <c r="DIT1374" s="110"/>
      <c r="DIU1374" s="110"/>
      <c r="DIV1374" s="110"/>
      <c r="DIW1374" s="110"/>
      <c r="DIX1374" s="110"/>
      <c r="DIY1374" s="110"/>
      <c r="DIZ1374" s="110"/>
      <c r="DJA1374" s="110"/>
      <c r="DJB1374" s="110"/>
      <c r="DJC1374" s="110"/>
      <c r="DJD1374" s="110"/>
      <c r="DJE1374" s="110"/>
      <c r="DJF1374" s="110"/>
      <c r="DJG1374" s="110"/>
      <c r="DJH1374" s="110"/>
      <c r="DJI1374" s="110"/>
      <c r="DJJ1374" s="110"/>
      <c r="DJK1374" s="110"/>
      <c r="DJL1374" s="110"/>
      <c r="DJM1374" s="110"/>
      <c r="DJN1374" s="110"/>
      <c r="DJO1374" s="110"/>
      <c r="DJP1374" s="110"/>
      <c r="DJQ1374" s="110"/>
      <c r="DJR1374" s="110"/>
      <c r="DJS1374" s="110"/>
      <c r="DJT1374" s="110"/>
      <c r="DJU1374" s="110"/>
      <c r="DJV1374" s="110"/>
      <c r="DJW1374" s="110"/>
      <c r="DJX1374" s="110"/>
      <c r="DJY1374" s="110"/>
      <c r="DJZ1374" s="110"/>
      <c r="DKA1374" s="110"/>
      <c r="DKB1374" s="110"/>
      <c r="DKC1374" s="110"/>
      <c r="DKD1374" s="110"/>
      <c r="DKE1374" s="110"/>
      <c r="DKF1374" s="110"/>
      <c r="DKG1374" s="110"/>
      <c r="DKH1374" s="110"/>
      <c r="DKI1374" s="110"/>
      <c r="DKJ1374" s="110"/>
      <c r="DKK1374" s="110"/>
      <c r="DKL1374" s="110"/>
      <c r="DKM1374" s="110"/>
      <c r="DKN1374" s="110"/>
      <c r="DKO1374" s="110"/>
      <c r="DKP1374" s="110"/>
      <c r="DKQ1374" s="110"/>
      <c r="DKR1374" s="110"/>
      <c r="DKS1374" s="110"/>
      <c r="DKT1374" s="110"/>
      <c r="DKU1374" s="110"/>
      <c r="DKV1374" s="110"/>
      <c r="DKW1374" s="110"/>
      <c r="DKX1374" s="110"/>
      <c r="DKY1374" s="110"/>
      <c r="DKZ1374" s="110"/>
      <c r="DLA1374" s="110"/>
      <c r="DLB1374" s="110"/>
      <c r="DLC1374" s="110"/>
      <c r="DLD1374" s="110"/>
      <c r="DLE1374" s="110"/>
      <c r="DLF1374" s="110"/>
      <c r="DLG1374" s="110"/>
      <c r="DLH1374" s="110"/>
      <c r="DLI1374" s="110"/>
      <c r="DLJ1374" s="110"/>
      <c r="DLK1374" s="110"/>
      <c r="DLL1374" s="110"/>
      <c r="DLM1374" s="110"/>
      <c r="DLN1374" s="110"/>
      <c r="DLO1374" s="110"/>
      <c r="DLP1374" s="110"/>
      <c r="DLQ1374" s="110"/>
      <c r="DLR1374" s="110"/>
      <c r="DLS1374" s="110"/>
      <c r="DLT1374" s="110"/>
      <c r="DLU1374" s="110"/>
      <c r="DLV1374" s="110"/>
      <c r="DLW1374" s="110"/>
      <c r="DLX1374" s="110"/>
      <c r="DLY1374" s="110"/>
      <c r="DLZ1374" s="110"/>
      <c r="DMA1374" s="110"/>
      <c r="DMB1374" s="110"/>
      <c r="DMC1374" s="110"/>
      <c r="DMD1374" s="110"/>
      <c r="DME1374" s="110"/>
      <c r="DMF1374" s="110"/>
      <c r="DMG1374" s="110"/>
      <c r="DMH1374" s="110"/>
      <c r="DMI1374" s="110"/>
      <c r="DMJ1374" s="110"/>
      <c r="DMK1374" s="110"/>
      <c r="DML1374" s="110"/>
      <c r="DMM1374" s="110"/>
      <c r="DMN1374" s="110"/>
      <c r="DMO1374" s="110"/>
      <c r="DMP1374" s="110"/>
      <c r="DMQ1374" s="110"/>
      <c r="DMR1374" s="110"/>
      <c r="DMS1374" s="110"/>
      <c r="DMT1374" s="110"/>
      <c r="DMU1374" s="110"/>
      <c r="DMV1374" s="110"/>
      <c r="DMW1374" s="110"/>
      <c r="DMX1374" s="110"/>
      <c r="DMY1374" s="110"/>
      <c r="DMZ1374" s="110"/>
      <c r="DNA1374" s="110"/>
      <c r="DNB1374" s="110"/>
      <c r="DNC1374" s="110"/>
      <c r="DND1374" s="110"/>
      <c r="DNE1374" s="110"/>
      <c r="DNF1374" s="110"/>
      <c r="DNG1374" s="110"/>
      <c r="DNH1374" s="110"/>
      <c r="DNI1374" s="110"/>
      <c r="DNJ1374" s="110"/>
      <c r="DNK1374" s="110"/>
      <c r="DNL1374" s="110"/>
      <c r="DNM1374" s="110"/>
      <c r="DNN1374" s="110"/>
      <c r="DNO1374" s="110"/>
      <c r="DNP1374" s="110"/>
      <c r="DNQ1374" s="110"/>
      <c r="DNR1374" s="110"/>
      <c r="DNS1374" s="110"/>
      <c r="DNT1374" s="110"/>
      <c r="DNU1374" s="110"/>
      <c r="DNV1374" s="110"/>
      <c r="DNW1374" s="110"/>
      <c r="DNX1374" s="110"/>
      <c r="DNY1374" s="110"/>
      <c r="DNZ1374" s="110"/>
      <c r="DOA1374" s="110"/>
      <c r="DOB1374" s="110"/>
      <c r="DOC1374" s="110"/>
      <c r="DOD1374" s="110"/>
      <c r="DOE1374" s="110"/>
      <c r="DOF1374" s="110"/>
      <c r="DOG1374" s="110"/>
      <c r="DOH1374" s="110"/>
      <c r="DOI1374" s="110"/>
      <c r="DOJ1374" s="110"/>
      <c r="DOK1374" s="110"/>
      <c r="DOL1374" s="110"/>
      <c r="DOM1374" s="110"/>
      <c r="DON1374" s="110"/>
      <c r="DOO1374" s="110"/>
      <c r="DOP1374" s="110"/>
      <c r="DOQ1374" s="110"/>
      <c r="DOR1374" s="110"/>
      <c r="DOS1374" s="110"/>
      <c r="DOT1374" s="110"/>
      <c r="DOU1374" s="110"/>
      <c r="DOV1374" s="110"/>
      <c r="DOW1374" s="110"/>
      <c r="DOX1374" s="110"/>
      <c r="DOY1374" s="110"/>
      <c r="DOZ1374" s="110"/>
      <c r="DPA1374" s="110"/>
      <c r="DPB1374" s="110"/>
      <c r="DPC1374" s="110"/>
      <c r="DPD1374" s="110"/>
      <c r="DPE1374" s="110"/>
      <c r="DPF1374" s="110"/>
      <c r="DPG1374" s="110"/>
      <c r="DPH1374" s="110"/>
      <c r="DPI1374" s="110"/>
      <c r="DPJ1374" s="110"/>
      <c r="DPK1374" s="110"/>
      <c r="DPL1374" s="110"/>
      <c r="DPM1374" s="110"/>
      <c r="DPN1374" s="110"/>
      <c r="DPO1374" s="110"/>
      <c r="DPP1374" s="110"/>
      <c r="DPQ1374" s="110"/>
      <c r="DPR1374" s="110"/>
      <c r="DPS1374" s="110"/>
      <c r="DPT1374" s="110"/>
      <c r="DPU1374" s="110"/>
      <c r="DPV1374" s="110"/>
      <c r="DPW1374" s="110"/>
      <c r="DPX1374" s="110"/>
      <c r="DPY1374" s="110"/>
      <c r="DPZ1374" s="110"/>
      <c r="DQA1374" s="110"/>
      <c r="DQB1374" s="110"/>
      <c r="DQC1374" s="110"/>
      <c r="DQD1374" s="110"/>
      <c r="DQE1374" s="110"/>
      <c r="DQF1374" s="110"/>
      <c r="DQG1374" s="110"/>
      <c r="DQH1374" s="110"/>
      <c r="DQI1374" s="110"/>
      <c r="DQJ1374" s="110"/>
      <c r="DQK1374" s="110"/>
      <c r="DQL1374" s="110"/>
      <c r="DQM1374" s="110"/>
      <c r="DQN1374" s="110"/>
      <c r="DQO1374" s="110"/>
      <c r="DQP1374" s="110"/>
      <c r="DQQ1374" s="110"/>
      <c r="DQR1374" s="110"/>
      <c r="DQS1374" s="110"/>
      <c r="DQT1374" s="110"/>
      <c r="DQU1374" s="110"/>
      <c r="DQV1374" s="110"/>
      <c r="DQW1374" s="110"/>
      <c r="DQX1374" s="110"/>
      <c r="DQY1374" s="110"/>
      <c r="DQZ1374" s="110"/>
      <c r="DRA1374" s="110"/>
      <c r="DRB1374" s="110"/>
      <c r="DRC1374" s="110"/>
      <c r="DRD1374" s="110"/>
      <c r="DRE1374" s="110"/>
      <c r="DRF1374" s="110"/>
      <c r="DRG1374" s="110"/>
      <c r="DRH1374" s="110"/>
      <c r="DRI1374" s="110"/>
      <c r="DRJ1374" s="110"/>
      <c r="DRK1374" s="110"/>
      <c r="DRL1374" s="110"/>
      <c r="DRM1374" s="110"/>
      <c r="DRN1374" s="110"/>
      <c r="DRO1374" s="110"/>
      <c r="DRP1374" s="110"/>
      <c r="DRQ1374" s="110"/>
      <c r="DRR1374" s="110"/>
      <c r="DRS1374" s="110"/>
      <c r="DRT1374" s="110"/>
      <c r="DRU1374" s="110"/>
      <c r="DRV1374" s="110"/>
      <c r="DRW1374" s="110"/>
      <c r="DRX1374" s="110"/>
      <c r="DRY1374" s="110"/>
      <c r="DRZ1374" s="110"/>
      <c r="DSA1374" s="110"/>
      <c r="DSB1374" s="110"/>
      <c r="DSC1374" s="110"/>
      <c r="DSD1374" s="110"/>
      <c r="DSE1374" s="110"/>
      <c r="DSF1374" s="110"/>
      <c r="DSG1374" s="110"/>
      <c r="DSH1374" s="110"/>
      <c r="DSI1374" s="110"/>
      <c r="DSJ1374" s="110"/>
      <c r="DSK1374" s="110"/>
      <c r="DSL1374" s="110"/>
      <c r="DSM1374" s="110"/>
      <c r="DSN1374" s="110"/>
      <c r="DSO1374" s="110"/>
      <c r="DSP1374" s="110"/>
      <c r="DSQ1374" s="110"/>
      <c r="DSR1374" s="110"/>
      <c r="DSS1374" s="110"/>
      <c r="DST1374" s="110"/>
      <c r="DSU1374" s="110"/>
      <c r="DSV1374" s="110"/>
      <c r="DSW1374" s="110"/>
      <c r="DSX1374" s="110"/>
      <c r="DSY1374" s="110"/>
      <c r="DSZ1374" s="110"/>
      <c r="DTA1374" s="110"/>
      <c r="DTB1374" s="110"/>
      <c r="DTC1374" s="110"/>
      <c r="DTD1374" s="110"/>
      <c r="DTE1374" s="110"/>
      <c r="DTF1374" s="110"/>
      <c r="DTG1374" s="110"/>
      <c r="DTH1374" s="110"/>
      <c r="DTI1374" s="110"/>
      <c r="DTJ1374" s="110"/>
      <c r="DTK1374" s="110"/>
      <c r="DTL1374" s="110"/>
      <c r="DTM1374" s="110"/>
      <c r="DTN1374" s="110"/>
      <c r="DTO1374" s="110"/>
      <c r="DTP1374" s="110"/>
      <c r="DTQ1374" s="110"/>
      <c r="DTR1374" s="110"/>
      <c r="DTS1374" s="110"/>
      <c r="DTT1374" s="110"/>
      <c r="DTU1374" s="110"/>
      <c r="DTV1374" s="110"/>
      <c r="DTW1374" s="110"/>
      <c r="DTX1374" s="110"/>
      <c r="DTY1374" s="110"/>
      <c r="DTZ1374" s="110"/>
      <c r="DUA1374" s="110"/>
      <c r="DUB1374" s="110"/>
      <c r="DUC1374" s="110"/>
      <c r="DUD1374" s="110"/>
      <c r="DUE1374" s="110"/>
      <c r="DUF1374" s="110"/>
      <c r="DUG1374" s="110"/>
      <c r="DUH1374" s="110"/>
      <c r="DUI1374" s="110"/>
      <c r="DUJ1374" s="110"/>
      <c r="DUK1374" s="110"/>
      <c r="DUL1374" s="110"/>
      <c r="DUM1374" s="110"/>
      <c r="DUN1374" s="110"/>
      <c r="DUO1374" s="110"/>
      <c r="DUP1374" s="110"/>
      <c r="DUQ1374" s="110"/>
      <c r="DUR1374" s="110"/>
      <c r="DUS1374" s="110"/>
      <c r="DUT1374" s="110"/>
      <c r="DUU1374" s="110"/>
      <c r="DUV1374" s="110"/>
      <c r="DUW1374" s="110"/>
      <c r="DUX1374" s="110"/>
      <c r="DUY1374" s="110"/>
      <c r="DUZ1374" s="110"/>
      <c r="DVA1374" s="110"/>
      <c r="DVB1374" s="110"/>
      <c r="DVC1374" s="110"/>
      <c r="DVD1374" s="110"/>
      <c r="DVE1374" s="110"/>
      <c r="DVF1374" s="110"/>
      <c r="DVG1374" s="110"/>
      <c r="DVH1374" s="110"/>
      <c r="DVI1374" s="110"/>
      <c r="DVJ1374" s="110"/>
      <c r="DVK1374" s="110"/>
      <c r="DVL1374" s="110"/>
      <c r="DVM1374" s="110"/>
      <c r="DVN1374" s="110"/>
      <c r="DVO1374" s="110"/>
      <c r="DVP1374" s="110"/>
      <c r="DVQ1374" s="110"/>
      <c r="DVR1374" s="110"/>
      <c r="DVS1374" s="110"/>
      <c r="DVT1374" s="110"/>
      <c r="DVU1374" s="110"/>
      <c r="DVV1374" s="110"/>
      <c r="DVW1374" s="110"/>
      <c r="DVX1374" s="110"/>
      <c r="DVY1374" s="110"/>
      <c r="DVZ1374" s="110"/>
      <c r="DWA1374" s="110"/>
      <c r="DWB1374" s="110"/>
      <c r="DWC1374" s="110"/>
      <c r="DWD1374" s="110"/>
      <c r="DWE1374" s="110"/>
      <c r="DWF1374" s="110"/>
      <c r="DWG1374" s="110"/>
      <c r="DWH1374" s="110"/>
      <c r="DWI1374" s="110"/>
      <c r="DWJ1374" s="110"/>
      <c r="DWK1374" s="110"/>
      <c r="DWL1374" s="110"/>
      <c r="DWM1374" s="110"/>
      <c r="DWN1374" s="110"/>
      <c r="DWO1374" s="110"/>
      <c r="DWP1374" s="110"/>
      <c r="DWQ1374" s="110"/>
      <c r="DWR1374" s="110"/>
      <c r="DWS1374" s="110"/>
      <c r="DWT1374" s="110"/>
      <c r="DWU1374" s="110"/>
      <c r="DWV1374" s="110"/>
      <c r="DWW1374" s="110"/>
      <c r="DWX1374" s="110"/>
      <c r="DWY1374" s="110"/>
      <c r="DWZ1374" s="110"/>
      <c r="DXA1374" s="110"/>
      <c r="DXB1374" s="110"/>
      <c r="DXC1374" s="110"/>
      <c r="DXD1374" s="110"/>
      <c r="DXE1374" s="110"/>
      <c r="DXF1374" s="110"/>
      <c r="DXG1374" s="110"/>
      <c r="DXH1374" s="110"/>
      <c r="DXI1374" s="110"/>
      <c r="DXJ1374" s="110"/>
      <c r="DXK1374" s="110"/>
      <c r="DXL1374" s="110"/>
      <c r="DXM1374" s="110"/>
      <c r="DXN1374" s="110"/>
      <c r="DXO1374" s="110"/>
      <c r="DXP1374" s="110"/>
      <c r="DXQ1374" s="110"/>
      <c r="DXR1374" s="110"/>
      <c r="DXS1374" s="110"/>
      <c r="DXT1374" s="110"/>
      <c r="DXU1374" s="110"/>
      <c r="DXV1374" s="110"/>
      <c r="DXW1374" s="110"/>
      <c r="DXX1374" s="110"/>
      <c r="DXY1374" s="110"/>
      <c r="DXZ1374" s="110"/>
      <c r="DYA1374" s="110"/>
      <c r="DYB1374" s="110"/>
      <c r="DYC1374" s="110"/>
      <c r="DYD1374" s="110"/>
      <c r="DYE1374" s="110"/>
      <c r="DYF1374" s="110"/>
      <c r="DYG1374" s="110"/>
      <c r="DYH1374" s="110"/>
      <c r="DYI1374" s="110"/>
      <c r="DYJ1374" s="110"/>
      <c r="DYK1374" s="110"/>
      <c r="DYL1374" s="110"/>
      <c r="DYM1374" s="110"/>
      <c r="DYN1374" s="110"/>
      <c r="DYO1374" s="110"/>
      <c r="DYP1374" s="110"/>
      <c r="DYQ1374" s="110"/>
      <c r="DYR1374" s="110"/>
      <c r="DYS1374" s="110"/>
      <c r="DYT1374" s="110"/>
      <c r="DYU1374" s="110"/>
      <c r="DYV1374" s="110"/>
      <c r="DYW1374" s="110"/>
      <c r="DYX1374" s="110"/>
      <c r="DYY1374" s="110"/>
      <c r="DYZ1374" s="110"/>
      <c r="DZA1374" s="110"/>
      <c r="DZB1374" s="110"/>
      <c r="DZC1374" s="110"/>
      <c r="DZD1374" s="110"/>
      <c r="DZE1374" s="110"/>
      <c r="DZF1374" s="110"/>
      <c r="DZG1374" s="110"/>
      <c r="DZH1374" s="110"/>
      <c r="DZI1374" s="110"/>
      <c r="DZJ1374" s="110"/>
      <c r="DZK1374" s="110"/>
      <c r="DZL1374" s="110"/>
      <c r="DZM1374" s="110"/>
      <c r="DZN1374" s="110"/>
      <c r="DZO1374" s="110"/>
      <c r="DZP1374" s="110"/>
      <c r="DZQ1374" s="110"/>
      <c r="DZR1374" s="110"/>
      <c r="DZS1374" s="110"/>
      <c r="DZT1374" s="110"/>
      <c r="DZU1374" s="110"/>
      <c r="DZV1374" s="110"/>
      <c r="DZW1374" s="110"/>
      <c r="DZX1374" s="110"/>
      <c r="DZY1374" s="110"/>
      <c r="DZZ1374" s="110"/>
      <c r="EAA1374" s="110"/>
      <c r="EAB1374" s="110"/>
      <c r="EAC1374" s="110"/>
      <c r="EAD1374" s="110"/>
      <c r="EAE1374" s="110"/>
      <c r="EAF1374" s="110"/>
      <c r="EAG1374" s="110"/>
      <c r="EAH1374" s="110"/>
      <c r="EAI1374" s="110"/>
      <c r="EAJ1374" s="110"/>
      <c r="EAK1374" s="110"/>
      <c r="EAL1374" s="110"/>
      <c r="EAM1374" s="110"/>
      <c r="EAN1374" s="110"/>
      <c r="EAO1374" s="110"/>
      <c r="EAP1374" s="110"/>
      <c r="EAQ1374" s="110"/>
      <c r="EAR1374" s="110"/>
      <c r="EAS1374" s="110"/>
      <c r="EAT1374" s="110"/>
      <c r="EAU1374" s="110"/>
      <c r="EAV1374" s="110"/>
      <c r="EAW1374" s="110"/>
      <c r="EAX1374" s="110"/>
      <c r="EAY1374" s="110"/>
      <c r="EAZ1374" s="110"/>
      <c r="EBA1374" s="110"/>
      <c r="EBB1374" s="110"/>
      <c r="EBC1374" s="110"/>
      <c r="EBD1374" s="110"/>
      <c r="EBE1374" s="110"/>
      <c r="EBF1374" s="110"/>
      <c r="EBG1374" s="110"/>
      <c r="EBH1374" s="110"/>
      <c r="EBI1374" s="110"/>
      <c r="EBJ1374" s="110"/>
      <c r="EBK1374" s="110"/>
      <c r="EBL1374" s="110"/>
      <c r="EBM1374" s="110"/>
      <c r="EBN1374" s="110"/>
      <c r="EBO1374" s="110"/>
      <c r="EBP1374" s="110"/>
      <c r="EBQ1374" s="110"/>
      <c r="EBR1374" s="110"/>
      <c r="EBS1374" s="110"/>
      <c r="EBT1374" s="110"/>
      <c r="EBU1374" s="110"/>
      <c r="EBV1374" s="110"/>
      <c r="EBW1374" s="110"/>
      <c r="EBX1374" s="110"/>
      <c r="EBY1374" s="110"/>
      <c r="EBZ1374" s="110"/>
      <c r="ECA1374" s="110"/>
      <c r="ECB1374" s="110"/>
      <c r="ECC1374" s="110"/>
      <c r="ECD1374" s="110"/>
      <c r="ECE1374" s="110"/>
      <c r="ECF1374" s="110"/>
      <c r="ECG1374" s="110"/>
      <c r="ECH1374" s="110"/>
      <c r="ECI1374" s="110"/>
      <c r="ECJ1374" s="110"/>
      <c r="ECK1374" s="110"/>
      <c r="ECL1374" s="110"/>
      <c r="ECM1374" s="110"/>
      <c r="ECN1374" s="110"/>
      <c r="ECO1374" s="110"/>
      <c r="ECP1374" s="110"/>
      <c r="ECQ1374" s="110"/>
      <c r="ECR1374" s="110"/>
      <c r="ECS1374" s="110"/>
      <c r="ECT1374" s="110"/>
      <c r="ECU1374" s="110"/>
      <c r="ECV1374" s="110"/>
      <c r="ECW1374" s="110"/>
      <c r="ECX1374" s="110"/>
      <c r="ECY1374" s="110"/>
      <c r="ECZ1374" s="110"/>
      <c r="EDA1374" s="110"/>
      <c r="EDB1374" s="110"/>
      <c r="EDC1374" s="110"/>
      <c r="EDD1374" s="110"/>
      <c r="EDE1374" s="110"/>
      <c r="EDF1374" s="110"/>
      <c r="EDG1374" s="110"/>
      <c r="EDH1374" s="110"/>
      <c r="EDI1374" s="110"/>
      <c r="EDJ1374" s="110"/>
      <c r="EDK1374" s="110"/>
      <c r="EDL1374" s="110"/>
      <c r="EDM1374" s="110"/>
      <c r="EDN1374" s="110"/>
      <c r="EDO1374" s="110"/>
      <c r="EDP1374" s="110"/>
      <c r="EDQ1374" s="110"/>
      <c r="EDR1374" s="110"/>
      <c r="EDS1374" s="110"/>
      <c r="EDT1374" s="110"/>
      <c r="EDU1374" s="110"/>
      <c r="EDV1374" s="110"/>
      <c r="EDW1374" s="110"/>
      <c r="EDX1374" s="110"/>
      <c r="EDY1374" s="110"/>
      <c r="EDZ1374" s="110"/>
      <c r="EEA1374" s="110"/>
      <c r="EEB1374" s="110"/>
      <c r="EEC1374" s="110"/>
      <c r="EED1374" s="110"/>
      <c r="EEE1374" s="110"/>
      <c r="EEF1374" s="110"/>
      <c r="EEG1374" s="110"/>
      <c r="EEH1374" s="110"/>
      <c r="EEI1374" s="110"/>
      <c r="EEJ1374" s="110"/>
      <c r="EEK1374" s="110"/>
      <c r="EEL1374" s="110"/>
      <c r="EEM1374" s="110"/>
      <c r="EEN1374" s="110"/>
      <c r="EEO1374" s="110"/>
      <c r="EEP1374" s="110"/>
      <c r="EEQ1374" s="110"/>
      <c r="EER1374" s="110"/>
      <c r="EES1374" s="110"/>
      <c r="EET1374" s="110"/>
      <c r="EEU1374" s="110"/>
      <c r="EEV1374" s="110"/>
      <c r="EEW1374" s="110"/>
      <c r="EEX1374" s="110"/>
      <c r="EEY1374" s="110"/>
      <c r="EEZ1374" s="110"/>
      <c r="EFA1374" s="110"/>
      <c r="EFB1374" s="110"/>
      <c r="EFC1374" s="110"/>
      <c r="EFD1374" s="110"/>
      <c r="EFE1374" s="110"/>
      <c r="EFF1374" s="110"/>
      <c r="EFG1374" s="110"/>
      <c r="EFH1374" s="110"/>
      <c r="EFI1374" s="110"/>
      <c r="EFJ1374" s="110"/>
      <c r="EFK1374" s="110"/>
      <c r="EFL1374" s="110"/>
      <c r="EFM1374" s="110"/>
      <c r="EFN1374" s="110"/>
      <c r="EFO1374" s="110"/>
      <c r="EFP1374" s="110"/>
      <c r="EFQ1374" s="110"/>
      <c r="EFR1374" s="110"/>
      <c r="EFS1374" s="110"/>
      <c r="EFT1374" s="110"/>
      <c r="EFU1374" s="110"/>
      <c r="EFV1374" s="110"/>
      <c r="EFW1374" s="110"/>
      <c r="EFX1374" s="110"/>
      <c r="EFY1374" s="110"/>
      <c r="EFZ1374" s="110"/>
      <c r="EGA1374" s="110"/>
      <c r="EGB1374" s="110"/>
      <c r="EGC1374" s="110"/>
      <c r="EGD1374" s="110"/>
      <c r="EGE1374" s="110"/>
      <c r="EGF1374" s="110"/>
      <c r="EGG1374" s="110"/>
      <c r="EGH1374" s="110"/>
      <c r="EGI1374" s="110"/>
      <c r="EGJ1374" s="110"/>
      <c r="EGK1374" s="110"/>
      <c r="EGL1374" s="110"/>
      <c r="EGM1374" s="110"/>
      <c r="EGN1374" s="110"/>
      <c r="EGO1374" s="110"/>
      <c r="EGP1374" s="110"/>
      <c r="EGQ1374" s="110"/>
      <c r="EGR1374" s="110"/>
      <c r="EGS1374" s="110"/>
      <c r="EGT1374" s="110"/>
      <c r="EGU1374" s="110"/>
      <c r="EGV1374" s="110"/>
      <c r="EGW1374" s="110"/>
      <c r="EGX1374" s="110"/>
      <c r="EGY1374" s="110"/>
      <c r="EGZ1374" s="110"/>
      <c r="EHA1374" s="110"/>
      <c r="EHB1374" s="110"/>
      <c r="EHC1374" s="110"/>
      <c r="EHD1374" s="110"/>
      <c r="EHE1374" s="110"/>
      <c r="EHF1374" s="110"/>
      <c r="EHG1374" s="110"/>
      <c r="EHH1374" s="110"/>
      <c r="EHI1374" s="110"/>
      <c r="EHJ1374" s="110"/>
      <c r="EHK1374" s="110"/>
      <c r="EHL1374" s="110"/>
      <c r="EHM1374" s="110"/>
      <c r="EHN1374" s="110"/>
      <c r="EHO1374" s="110"/>
      <c r="EHP1374" s="110"/>
      <c r="EHQ1374" s="110"/>
      <c r="EHR1374" s="110"/>
      <c r="EHS1374" s="110"/>
      <c r="EHT1374" s="110"/>
      <c r="EHU1374" s="110"/>
      <c r="EHV1374" s="110"/>
      <c r="EHW1374" s="110"/>
      <c r="EHX1374" s="110"/>
      <c r="EHY1374" s="110"/>
      <c r="EHZ1374" s="110"/>
      <c r="EIA1374" s="110"/>
      <c r="EIB1374" s="110"/>
      <c r="EIC1374" s="110"/>
      <c r="EID1374" s="110"/>
      <c r="EIE1374" s="110"/>
      <c r="EIF1374" s="110"/>
      <c r="EIG1374" s="110"/>
      <c r="EIH1374" s="110"/>
      <c r="EII1374" s="110"/>
      <c r="EIJ1374" s="110"/>
      <c r="EIK1374" s="110"/>
      <c r="EIL1374" s="110"/>
      <c r="EIM1374" s="110"/>
      <c r="EIN1374" s="110"/>
      <c r="EIO1374" s="110"/>
      <c r="EIP1374" s="110"/>
      <c r="EIQ1374" s="110"/>
      <c r="EIR1374" s="110"/>
      <c r="EIS1374" s="110"/>
      <c r="EIT1374" s="110"/>
      <c r="EIU1374" s="110"/>
      <c r="EIV1374" s="110"/>
      <c r="EIW1374" s="110"/>
      <c r="EIX1374" s="110"/>
      <c r="EIY1374" s="110"/>
      <c r="EIZ1374" s="110"/>
      <c r="EJA1374" s="110"/>
      <c r="EJB1374" s="110"/>
      <c r="EJC1374" s="110"/>
      <c r="EJD1374" s="110"/>
      <c r="EJE1374" s="110"/>
      <c r="EJF1374" s="110"/>
      <c r="EJG1374" s="110"/>
      <c r="EJH1374" s="110"/>
      <c r="EJI1374" s="110"/>
      <c r="EJJ1374" s="110"/>
      <c r="EJK1374" s="110"/>
      <c r="EJL1374" s="110"/>
      <c r="EJM1374" s="110"/>
      <c r="EJN1374" s="110"/>
      <c r="EJO1374" s="110"/>
      <c r="EJP1374" s="110"/>
      <c r="EJQ1374" s="110"/>
      <c r="EJR1374" s="110"/>
      <c r="EJS1374" s="110"/>
      <c r="EJT1374" s="110"/>
      <c r="EJU1374" s="110"/>
      <c r="EJV1374" s="110"/>
      <c r="EJW1374" s="110"/>
      <c r="EJX1374" s="110"/>
      <c r="EJY1374" s="110"/>
      <c r="EJZ1374" s="110"/>
      <c r="EKA1374" s="110"/>
      <c r="EKB1374" s="110"/>
      <c r="EKC1374" s="110"/>
      <c r="EKD1374" s="110"/>
      <c r="EKE1374" s="110"/>
      <c r="EKF1374" s="110"/>
      <c r="EKG1374" s="110"/>
      <c r="EKH1374" s="110"/>
      <c r="EKI1374" s="110"/>
      <c r="EKJ1374" s="110"/>
      <c r="EKK1374" s="110"/>
      <c r="EKL1374" s="110"/>
      <c r="EKM1374" s="110"/>
      <c r="EKN1374" s="110"/>
      <c r="EKO1374" s="110"/>
      <c r="EKP1374" s="110"/>
      <c r="EKQ1374" s="110"/>
      <c r="EKR1374" s="110"/>
      <c r="EKS1374" s="110"/>
      <c r="EKT1374" s="110"/>
      <c r="EKU1374" s="110"/>
      <c r="EKV1374" s="110"/>
      <c r="EKW1374" s="110"/>
      <c r="EKX1374" s="110"/>
      <c r="EKY1374" s="110"/>
      <c r="EKZ1374" s="110"/>
      <c r="ELA1374" s="110"/>
      <c r="ELB1374" s="110"/>
      <c r="ELC1374" s="110"/>
      <c r="ELD1374" s="110"/>
      <c r="ELE1374" s="110"/>
      <c r="ELF1374" s="110"/>
      <c r="ELG1374" s="110"/>
      <c r="ELH1374" s="110"/>
      <c r="ELI1374" s="110"/>
      <c r="ELJ1374" s="110"/>
      <c r="ELK1374" s="110"/>
      <c r="ELL1374" s="110"/>
      <c r="ELM1374" s="110"/>
      <c r="ELN1374" s="110"/>
      <c r="ELO1374" s="110"/>
      <c r="ELP1374" s="110"/>
      <c r="ELQ1374" s="110"/>
      <c r="ELR1374" s="110"/>
      <c r="ELS1374" s="110"/>
      <c r="ELT1374" s="110"/>
      <c r="ELU1374" s="110"/>
      <c r="ELV1374" s="110"/>
      <c r="ELW1374" s="110"/>
      <c r="ELX1374" s="110"/>
      <c r="ELY1374" s="110"/>
      <c r="ELZ1374" s="110"/>
      <c r="EMA1374" s="110"/>
      <c r="EMB1374" s="110"/>
      <c r="EMC1374" s="110"/>
      <c r="EMD1374" s="110"/>
      <c r="EME1374" s="110"/>
      <c r="EMF1374" s="110"/>
      <c r="EMG1374" s="110"/>
      <c r="EMH1374" s="110"/>
      <c r="EMI1374" s="110"/>
      <c r="EMJ1374" s="110"/>
      <c r="EMK1374" s="110"/>
      <c r="EML1374" s="110"/>
      <c r="EMM1374" s="110"/>
      <c r="EMN1374" s="110"/>
      <c r="EMO1374" s="110"/>
      <c r="EMP1374" s="110"/>
      <c r="EMQ1374" s="110"/>
      <c r="EMR1374" s="110"/>
      <c r="EMS1374" s="110"/>
      <c r="EMT1374" s="110"/>
      <c r="EMU1374" s="110"/>
      <c r="EMV1374" s="110"/>
      <c r="EMW1374" s="110"/>
      <c r="EMX1374" s="110"/>
      <c r="EMY1374" s="110"/>
      <c r="EMZ1374" s="110"/>
      <c r="ENA1374" s="110"/>
      <c r="ENB1374" s="110"/>
      <c r="ENC1374" s="110"/>
      <c r="END1374" s="110"/>
      <c r="ENE1374" s="110"/>
      <c r="ENF1374" s="110"/>
      <c r="ENG1374" s="110"/>
      <c r="ENH1374" s="110"/>
      <c r="ENI1374" s="110"/>
      <c r="ENJ1374" s="110"/>
      <c r="ENK1374" s="110"/>
      <c r="ENL1374" s="110"/>
      <c r="ENM1374" s="110"/>
      <c r="ENN1374" s="110"/>
      <c r="ENO1374" s="110"/>
      <c r="ENP1374" s="110"/>
      <c r="ENQ1374" s="110"/>
      <c r="ENR1374" s="110"/>
      <c r="ENS1374" s="110"/>
      <c r="ENT1374" s="110"/>
      <c r="ENU1374" s="110"/>
      <c r="ENV1374" s="110"/>
      <c r="ENW1374" s="110"/>
      <c r="ENX1374" s="110"/>
      <c r="ENY1374" s="110"/>
      <c r="ENZ1374" s="110"/>
      <c r="EOA1374" s="110"/>
      <c r="EOB1374" s="110"/>
      <c r="EOC1374" s="110"/>
      <c r="EOD1374" s="110"/>
      <c r="EOE1374" s="110"/>
      <c r="EOF1374" s="110"/>
      <c r="EOG1374" s="110"/>
      <c r="EOH1374" s="110"/>
      <c r="EOI1374" s="110"/>
      <c r="EOJ1374" s="110"/>
      <c r="EOK1374" s="110"/>
      <c r="EOL1374" s="110"/>
      <c r="EOM1374" s="110"/>
      <c r="EON1374" s="110"/>
      <c r="EOO1374" s="110"/>
      <c r="EOP1374" s="110"/>
      <c r="EOQ1374" s="110"/>
      <c r="EOR1374" s="110"/>
      <c r="EOS1374" s="110"/>
      <c r="EOT1374" s="110"/>
      <c r="EOU1374" s="110"/>
      <c r="EOV1374" s="110"/>
      <c r="EOW1374" s="110"/>
      <c r="EOX1374" s="110"/>
      <c r="EOY1374" s="110"/>
      <c r="EOZ1374" s="110"/>
      <c r="EPA1374" s="110"/>
      <c r="EPB1374" s="110"/>
      <c r="EPC1374" s="110"/>
      <c r="EPD1374" s="110"/>
      <c r="EPE1374" s="110"/>
      <c r="EPF1374" s="110"/>
      <c r="EPG1374" s="110"/>
      <c r="EPH1374" s="110"/>
      <c r="EPI1374" s="110"/>
      <c r="EPJ1374" s="110"/>
      <c r="EPK1374" s="110"/>
      <c r="EPL1374" s="110"/>
      <c r="EPM1374" s="110"/>
      <c r="EPN1374" s="110"/>
      <c r="EPO1374" s="110"/>
      <c r="EPP1374" s="110"/>
      <c r="EPQ1374" s="110"/>
      <c r="EPR1374" s="110"/>
      <c r="EPS1374" s="110"/>
      <c r="EPT1374" s="110"/>
      <c r="EPU1374" s="110"/>
      <c r="EPV1374" s="110"/>
      <c r="EPW1374" s="110"/>
      <c r="EPX1374" s="110"/>
      <c r="EPY1374" s="110"/>
      <c r="EPZ1374" s="110"/>
      <c r="EQA1374" s="110"/>
      <c r="EQB1374" s="110"/>
      <c r="EQC1374" s="110"/>
      <c r="EQD1374" s="110"/>
      <c r="EQE1374" s="110"/>
      <c r="EQF1374" s="110"/>
      <c r="EQG1374" s="110"/>
      <c r="EQH1374" s="110"/>
      <c r="EQI1374" s="110"/>
      <c r="EQJ1374" s="110"/>
      <c r="EQK1374" s="110"/>
      <c r="EQL1374" s="110"/>
      <c r="EQM1374" s="110"/>
      <c r="EQN1374" s="110"/>
      <c r="EQO1374" s="110"/>
      <c r="EQP1374" s="110"/>
      <c r="EQQ1374" s="110"/>
      <c r="EQR1374" s="110"/>
      <c r="EQS1374" s="110"/>
      <c r="EQT1374" s="110"/>
      <c r="EQU1374" s="110"/>
      <c r="EQV1374" s="110"/>
      <c r="EQW1374" s="110"/>
      <c r="EQX1374" s="110"/>
      <c r="EQY1374" s="110"/>
      <c r="EQZ1374" s="110"/>
      <c r="ERA1374" s="110"/>
      <c r="ERB1374" s="110"/>
      <c r="ERC1374" s="110"/>
      <c r="ERD1374" s="110"/>
      <c r="ERE1374" s="110"/>
      <c r="ERF1374" s="110"/>
      <c r="ERG1374" s="110"/>
      <c r="ERH1374" s="110"/>
      <c r="ERI1374" s="110"/>
      <c r="ERJ1374" s="110"/>
      <c r="ERK1374" s="110"/>
      <c r="ERL1374" s="110"/>
      <c r="ERM1374" s="110"/>
      <c r="ERN1374" s="110"/>
      <c r="ERO1374" s="110"/>
      <c r="ERP1374" s="110"/>
      <c r="ERQ1374" s="110"/>
      <c r="ERR1374" s="110"/>
      <c r="ERS1374" s="110"/>
      <c r="ERT1374" s="110"/>
      <c r="ERU1374" s="110"/>
      <c r="ERV1374" s="110"/>
      <c r="ERW1374" s="110"/>
      <c r="ERX1374" s="110"/>
      <c r="ERY1374" s="110"/>
      <c r="ERZ1374" s="110"/>
      <c r="ESA1374" s="110"/>
      <c r="ESB1374" s="110"/>
      <c r="ESC1374" s="110"/>
      <c r="ESD1374" s="110"/>
      <c r="ESE1374" s="110"/>
      <c r="ESF1374" s="110"/>
      <c r="ESG1374" s="110"/>
      <c r="ESH1374" s="110"/>
      <c r="ESI1374" s="110"/>
      <c r="ESJ1374" s="110"/>
      <c r="ESK1374" s="110"/>
      <c r="ESL1374" s="110"/>
      <c r="ESM1374" s="110"/>
      <c r="ESN1374" s="110"/>
      <c r="ESO1374" s="110"/>
      <c r="ESP1374" s="110"/>
      <c r="ESQ1374" s="110"/>
      <c r="ESR1374" s="110"/>
      <c r="ESS1374" s="110"/>
      <c r="EST1374" s="110"/>
      <c r="ESU1374" s="110"/>
      <c r="ESV1374" s="110"/>
      <c r="ESW1374" s="110"/>
      <c r="ESX1374" s="110"/>
      <c r="ESY1374" s="110"/>
      <c r="ESZ1374" s="110"/>
      <c r="ETA1374" s="110"/>
      <c r="ETB1374" s="110"/>
      <c r="ETC1374" s="110"/>
      <c r="ETD1374" s="110"/>
      <c r="ETE1374" s="110"/>
      <c r="ETF1374" s="110"/>
      <c r="ETG1374" s="110"/>
      <c r="ETH1374" s="110"/>
      <c r="ETI1374" s="110"/>
      <c r="ETJ1374" s="110"/>
      <c r="ETK1374" s="110"/>
      <c r="ETL1374" s="110"/>
      <c r="ETM1374" s="110"/>
      <c r="ETN1374" s="110"/>
      <c r="ETO1374" s="110"/>
      <c r="ETP1374" s="110"/>
      <c r="ETQ1374" s="110"/>
      <c r="ETR1374" s="110"/>
      <c r="ETS1374" s="110"/>
      <c r="ETT1374" s="110"/>
      <c r="ETU1374" s="110"/>
      <c r="ETV1374" s="110"/>
      <c r="ETW1374" s="110"/>
      <c r="ETX1374" s="110"/>
      <c r="ETY1374" s="110"/>
      <c r="ETZ1374" s="110"/>
      <c r="EUA1374" s="110"/>
      <c r="EUB1374" s="110"/>
      <c r="EUC1374" s="110"/>
      <c r="EUD1374" s="110"/>
      <c r="EUE1374" s="110"/>
      <c r="EUF1374" s="110"/>
      <c r="EUG1374" s="110"/>
      <c r="EUH1374" s="110"/>
      <c r="EUI1374" s="110"/>
      <c r="EUJ1374" s="110"/>
      <c r="EUK1374" s="110"/>
      <c r="EUL1374" s="110"/>
      <c r="EUM1374" s="110"/>
      <c r="EUN1374" s="110"/>
      <c r="EUO1374" s="110"/>
      <c r="EUP1374" s="110"/>
      <c r="EUQ1374" s="110"/>
      <c r="EUR1374" s="110"/>
      <c r="EUS1374" s="110"/>
      <c r="EUT1374" s="110"/>
      <c r="EUU1374" s="110"/>
      <c r="EUV1374" s="110"/>
      <c r="EUW1374" s="110"/>
      <c r="EUX1374" s="110"/>
      <c r="EUY1374" s="110"/>
      <c r="EUZ1374" s="110"/>
      <c r="EVA1374" s="110"/>
      <c r="EVB1374" s="110"/>
      <c r="EVC1374" s="110"/>
      <c r="EVD1374" s="110"/>
      <c r="EVE1374" s="110"/>
      <c r="EVF1374" s="110"/>
      <c r="EVG1374" s="110"/>
      <c r="EVH1374" s="110"/>
      <c r="EVI1374" s="110"/>
      <c r="EVJ1374" s="110"/>
      <c r="EVK1374" s="110"/>
      <c r="EVL1374" s="110"/>
      <c r="EVM1374" s="110"/>
      <c r="EVN1374" s="110"/>
      <c r="EVO1374" s="110"/>
      <c r="EVP1374" s="110"/>
      <c r="EVQ1374" s="110"/>
      <c r="EVR1374" s="110"/>
      <c r="EVS1374" s="110"/>
      <c r="EVT1374" s="110"/>
      <c r="EVU1374" s="110"/>
      <c r="EVV1374" s="110"/>
      <c r="EVW1374" s="110"/>
      <c r="EVX1374" s="110"/>
      <c r="EVY1374" s="110"/>
      <c r="EVZ1374" s="110"/>
      <c r="EWA1374" s="110"/>
      <c r="EWB1374" s="110"/>
      <c r="EWC1374" s="110"/>
      <c r="EWD1374" s="110"/>
      <c r="EWE1374" s="110"/>
      <c r="EWF1374" s="110"/>
      <c r="EWG1374" s="110"/>
      <c r="EWH1374" s="110"/>
      <c r="EWI1374" s="110"/>
      <c r="EWJ1374" s="110"/>
      <c r="EWK1374" s="110"/>
      <c r="EWL1374" s="110"/>
      <c r="EWM1374" s="110"/>
      <c r="EWN1374" s="110"/>
      <c r="EWO1374" s="110"/>
      <c r="EWP1374" s="110"/>
      <c r="EWQ1374" s="110"/>
      <c r="EWR1374" s="110"/>
      <c r="EWS1374" s="110"/>
      <c r="EWT1374" s="110"/>
      <c r="EWU1374" s="110"/>
      <c r="EWV1374" s="110"/>
      <c r="EWW1374" s="110"/>
      <c r="EWX1374" s="110"/>
      <c r="EWY1374" s="110"/>
      <c r="EWZ1374" s="110"/>
      <c r="EXA1374" s="110"/>
      <c r="EXB1374" s="110"/>
      <c r="EXC1374" s="110"/>
      <c r="EXD1374" s="110"/>
      <c r="EXE1374" s="110"/>
      <c r="EXF1374" s="110"/>
      <c r="EXG1374" s="110"/>
      <c r="EXH1374" s="110"/>
      <c r="EXI1374" s="110"/>
      <c r="EXJ1374" s="110"/>
      <c r="EXK1374" s="110"/>
      <c r="EXL1374" s="110"/>
      <c r="EXM1374" s="110"/>
      <c r="EXN1374" s="110"/>
      <c r="EXO1374" s="110"/>
      <c r="EXP1374" s="110"/>
      <c r="EXQ1374" s="110"/>
      <c r="EXR1374" s="110"/>
      <c r="EXS1374" s="110"/>
      <c r="EXT1374" s="110"/>
      <c r="EXU1374" s="110"/>
      <c r="EXV1374" s="110"/>
      <c r="EXW1374" s="110"/>
      <c r="EXX1374" s="110"/>
      <c r="EXY1374" s="110"/>
      <c r="EXZ1374" s="110"/>
      <c r="EYA1374" s="110"/>
      <c r="EYB1374" s="110"/>
      <c r="EYC1374" s="110"/>
      <c r="EYD1374" s="110"/>
      <c r="EYE1374" s="110"/>
      <c r="EYF1374" s="110"/>
      <c r="EYG1374" s="110"/>
      <c r="EYH1374" s="110"/>
      <c r="EYI1374" s="110"/>
      <c r="EYJ1374" s="110"/>
      <c r="EYK1374" s="110"/>
      <c r="EYL1374" s="110"/>
      <c r="EYM1374" s="110"/>
      <c r="EYN1374" s="110"/>
      <c r="EYO1374" s="110"/>
      <c r="EYP1374" s="110"/>
      <c r="EYQ1374" s="110"/>
      <c r="EYR1374" s="110"/>
      <c r="EYS1374" s="110"/>
      <c r="EYT1374" s="110"/>
      <c r="EYU1374" s="110"/>
      <c r="EYV1374" s="110"/>
      <c r="EYW1374" s="110"/>
      <c r="EYX1374" s="110"/>
      <c r="EYY1374" s="110"/>
      <c r="EYZ1374" s="110"/>
      <c r="EZA1374" s="110"/>
      <c r="EZB1374" s="110"/>
      <c r="EZC1374" s="110"/>
      <c r="EZD1374" s="110"/>
      <c r="EZE1374" s="110"/>
      <c r="EZF1374" s="110"/>
      <c r="EZG1374" s="110"/>
      <c r="EZH1374" s="110"/>
      <c r="EZI1374" s="110"/>
      <c r="EZJ1374" s="110"/>
      <c r="EZK1374" s="110"/>
      <c r="EZL1374" s="110"/>
      <c r="EZM1374" s="110"/>
      <c r="EZN1374" s="110"/>
      <c r="EZO1374" s="110"/>
      <c r="EZP1374" s="110"/>
      <c r="EZQ1374" s="110"/>
      <c r="EZR1374" s="110"/>
      <c r="EZS1374" s="110"/>
      <c r="EZT1374" s="110"/>
      <c r="EZU1374" s="110"/>
      <c r="EZV1374" s="110"/>
      <c r="EZW1374" s="110"/>
      <c r="EZX1374" s="110"/>
      <c r="EZY1374" s="110"/>
      <c r="EZZ1374" s="110"/>
      <c r="FAA1374" s="110"/>
      <c r="FAB1374" s="110"/>
      <c r="FAC1374" s="110"/>
      <c r="FAD1374" s="110"/>
      <c r="FAE1374" s="110"/>
      <c r="FAF1374" s="110"/>
      <c r="FAG1374" s="110"/>
      <c r="FAH1374" s="110"/>
      <c r="FAI1374" s="110"/>
      <c r="FAJ1374" s="110"/>
      <c r="FAK1374" s="110"/>
      <c r="FAL1374" s="110"/>
      <c r="FAM1374" s="110"/>
      <c r="FAN1374" s="110"/>
      <c r="FAO1374" s="110"/>
      <c r="FAP1374" s="110"/>
      <c r="FAQ1374" s="110"/>
      <c r="FAR1374" s="110"/>
      <c r="FAS1374" s="110"/>
      <c r="FAT1374" s="110"/>
      <c r="FAU1374" s="110"/>
      <c r="FAV1374" s="110"/>
      <c r="FAW1374" s="110"/>
      <c r="FAX1374" s="110"/>
      <c r="FAY1374" s="110"/>
      <c r="FAZ1374" s="110"/>
      <c r="FBA1374" s="110"/>
      <c r="FBB1374" s="110"/>
      <c r="FBC1374" s="110"/>
      <c r="FBD1374" s="110"/>
      <c r="FBE1374" s="110"/>
      <c r="FBF1374" s="110"/>
      <c r="FBG1374" s="110"/>
      <c r="FBH1374" s="110"/>
      <c r="FBI1374" s="110"/>
      <c r="FBJ1374" s="110"/>
      <c r="FBK1374" s="110"/>
      <c r="FBL1374" s="110"/>
      <c r="FBM1374" s="110"/>
      <c r="FBN1374" s="110"/>
      <c r="FBO1374" s="110"/>
      <c r="FBP1374" s="110"/>
      <c r="FBQ1374" s="110"/>
      <c r="FBR1374" s="110"/>
      <c r="FBS1374" s="110"/>
      <c r="FBT1374" s="110"/>
      <c r="FBU1374" s="110"/>
      <c r="FBV1374" s="110"/>
      <c r="FBW1374" s="110"/>
      <c r="FBX1374" s="110"/>
      <c r="FBY1374" s="110"/>
      <c r="FBZ1374" s="110"/>
      <c r="FCA1374" s="110"/>
      <c r="FCB1374" s="110"/>
      <c r="FCC1374" s="110"/>
      <c r="FCD1374" s="110"/>
      <c r="FCE1374" s="110"/>
      <c r="FCF1374" s="110"/>
      <c r="FCG1374" s="110"/>
      <c r="FCH1374" s="110"/>
      <c r="FCI1374" s="110"/>
      <c r="FCJ1374" s="110"/>
      <c r="FCK1374" s="110"/>
      <c r="FCL1374" s="110"/>
      <c r="FCM1374" s="110"/>
      <c r="FCN1374" s="110"/>
      <c r="FCO1374" s="110"/>
      <c r="FCP1374" s="110"/>
      <c r="FCQ1374" s="110"/>
      <c r="FCR1374" s="110"/>
      <c r="FCS1374" s="110"/>
      <c r="FCT1374" s="110"/>
      <c r="FCU1374" s="110"/>
      <c r="FCV1374" s="110"/>
      <c r="FCW1374" s="110"/>
      <c r="FCX1374" s="110"/>
      <c r="FCY1374" s="110"/>
      <c r="FCZ1374" s="110"/>
      <c r="FDA1374" s="110"/>
      <c r="FDB1374" s="110"/>
      <c r="FDC1374" s="110"/>
      <c r="FDD1374" s="110"/>
      <c r="FDE1374" s="110"/>
      <c r="FDF1374" s="110"/>
      <c r="FDG1374" s="110"/>
      <c r="FDH1374" s="110"/>
      <c r="FDI1374" s="110"/>
      <c r="FDJ1374" s="110"/>
      <c r="FDK1374" s="110"/>
      <c r="FDL1374" s="110"/>
      <c r="FDM1374" s="110"/>
      <c r="FDN1374" s="110"/>
      <c r="FDO1374" s="110"/>
      <c r="FDP1374" s="110"/>
      <c r="FDQ1374" s="110"/>
      <c r="FDR1374" s="110"/>
      <c r="FDS1374" s="110"/>
      <c r="FDT1374" s="110"/>
      <c r="FDU1374" s="110"/>
      <c r="FDV1374" s="110"/>
      <c r="FDW1374" s="110"/>
      <c r="FDX1374" s="110"/>
      <c r="FDY1374" s="110"/>
      <c r="FDZ1374" s="110"/>
      <c r="FEA1374" s="110"/>
      <c r="FEB1374" s="110"/>
      <c r="FEC1374" s="110"/>
      <c r="FED1374" s="110"/>
      <c r="FEE1374" s="110"/>
      <c r="FEF1374" s="110"/>
      <c r="FEG1374" s="110"/>
      <c r="FEH1374" s="110"/>
      <c r="FEI1374" s="110"/>
      <c r="FEJ1374" s="110"/>
      <c r="FEK1374" s="110"/>
      <c r="FEL1374" s="110"/>
      <c r="FEM1374" s="110"/>
      <c r="FEN1374" s="110"/>
      <c r="FEO1374" s="110"/>
      <c r="FEP1374" s="110"/>
      <c r="FEQ1374" s="110"/>
      <c r="FER1374" s="110"/>
      <c r="FES1374" s="110"/>
      <c r="FET1374" s="110"/>
      <c r="FEU1374" s="110"/>
      <c r="FEV1374" s="110"/>
      <c r="FEW1374" s="110"/>
      <c r="FEX1374" s="110"/>
      <c r="FEY1374" s="110"/>
      <c r="FEZ1374" s="110"/>
      <c r="FFA1374" s="110"/>
      <c r="FFB1374" s="110"/>
      <c r="FFC1374" s="110"/>
      <c r="FFD1374" s="110"/>
      <c r="FFE1374" s="110"/>
      <c r="FFF1374" s="110"/>
      <c r="FFG1374" s="110"/>
      <c r="FFH1374" s="110"/>
      <c r="FFI1374" s="110"/>
      <c r="FFJ1374" s="110"/>
      <c r="FFK1374" s="110"/>
      <c r="FFL1374" s="110"/>
      <c r="FFM1374" s="110"/>
      <c r="FFN1374" s="110"/>
      <c r="FFO1374" s="110"/>
      <c r="FFP1374" s="110"/>
      <c r="FFQ1374" s="110"/>
      <c r="FFR1374" s="110"/>
      <c r="FFS1374" s="110"/>
      <c r="FFT1374" s="110"/>
      <c r="FFU1374" s="110"/>
      <c r="FFV1374" s="110"/>
      <c r="FFW1374" s="110"/>
      <c r="FFX1374" s="110"/>
      <c r="FFY1374" s="110"/>
      <c r="FFZ1374" s="110"/>
      <c r="FGA1374" s="110"/>
      <c r="FGB1374" s="110"/>
      <c r="FGC1374" s="110"/>
      <c r="FGD1374" s="110"/>
      <c r="FGE1374" s="110"/>
      <c r="FGF1374" s="110"/>
      <c r="FGG1374" s="110"/>
      <c r="FGH1374" s="110"/>
      <c r="FGI1374" s="110"/>
      <c r="FGJ1374" s="110"/>
      <c r="FGK1374" s="110"/>
      <c r="FGL1374" s="110"/>
      <c r="FGM1374" s="110"/>
      <c r="FGN1374" s="110"/>
      <c r="FGO1374" s="110"/>
      <c r="FGP1374" s="110"/>
      <c r="FGQ1374" s="110"/>
      <c r="FGR1374" s="110"/>
      <c r="FGS1374" s="110"/>
      <c r="FGT1374" s="110"/>
      <c r="FGU1374" s="110"/>
      <c r="FGV1374" s="110"/>
      <c r="FGW1374" s="110"/>
      <c r="FGX1374" s="110"/>
      <c r="FGY1374" s="110"/>
      <c r="FGZ1374" s="110"/>
      <c r="FHA1374" s="110"/>
      <c r="FHB1374" s="110"/>
      <c r="FHC1374" s="110"/>
      <c r="FHD1374" s="110"/>
      <c r="FHE1374" s="110"/>
      <c r="FHF1374" s="110"/>
      <c r="FHG1374" s="110"/>
      <c r="FHH1374" s="110"/>
      <c r="FHI1374" s="110"/>
      <c r="FHJ1374" s="110"/>
      <c r="FHK1374" s="110"/>
      <c r="FHL1374" s="110"/>
      <c r="FHM1374" s="110"/>
      <c r="FHN1374" s="110"/>
      <c r="FHO1374" s="110"/>
      <c r="FHP1374" s="110"/>
      <c r="FHQ1374" s="110"/>
      <c r="FHR1374" s="110"/>
      <c r="FHS1374" s="110"/>
      <c r="FHT1374" s="110"/>
      <c r="FHU1374" s="110"/>
      <c r="FHV1374" s="110"/>
      <c r="FHW1374" s="110"/>
      <c r="FHX1374" s="110"/>
      <c r="FHY1374" s="110"/>
      <c r="FHZ1374" s="110"/>
      <c r="FIA1374" s="110"/>
      <c r="FIB1374" s="110"/>
      <c r="FIC1374" s="110"/>
      <c r="FID1374" s="110"/>
      <c r="FIE1374" s="110"/>
      <c r="FIF1374" s="110"/>
      <c r="FIG1374" s="110"/>
      <c r="FIH1374" s="110"/>
      <c r="FII1374" s="110"/>
      <c r="FIJ1374" s="110"/>
      <c r="FIK1374" s="110"/>
      <c r="FIL1374" s="110"/>
      <c r="FIM1374" s="110"/>
      <c r="FIN1374" s="110"/>
      <c r="FIO1374" s="110"/>
      <c r="FIP1374" s="110"/>
      <c r="FIQ1374" s="110"/>
      <c r="FIR1374" s="110"/>
      <c r="FIS1374" s="110"/>
      <c r="FIT1374" s="110"/>
      <c r="FIU1374" s="110"/>
      <c r="FIV1374" s="110"/>
      <c r="FIW1374" s="110"/>
      <c r="FIX1374" s="110"/>
      <c r="FIY1374" s="110"/>
      <c r="FIZ1374" s="110"/>
      <c r="FJA1374" s="110"/>
      <c r="FJB1374" s="110"/>
      <c r="FJC1374" s="110"/>
      <c r="FJD1374" s="110"/>
      <c r="FJE1374" s="110"/>
      <c r="FJF1374" s="110"/>
      <c r="FJG1374" s="110"/>
      <c r="FJH1374" s="110"/>
      <c r="FJI1374" s="110"/>
      <c r="FJJ1374" s="110"/>
      <c r="FJK1374" s="110"/>
      <c r="FJL1374" s="110"/>
      <c r="FJM1374" s="110"/>
      <c r="FJN1374" s="110"/>
      <c r="FJO1374" s="110"/>
      <c r="FJP1374" s="110"/>
      <c r="FJQ1374" s="110"/>
      <c r="FJR1374" s="110"/>
      <c r="FJS1374" s="110"/>
      <c r="FJT1374" s="110"/>
      <c r="FJU1374" s="110"/>
      <c r="FJV1374" s="110"/>
      <c r="FJW1374" s="110"/>
      <c r="FJX1374" s="110"/>
      <c r="FJY1374" s="110"/>
      <c r="FJZ1374" s="110"/>
      <c r="FKA1374" s="110"/>
      <c r="FKB1374" s="110"/>
      <c r="FKC1374" s="110"/>
      <c r="FKD1374" s="110"/>
      <c r="FKE1374" s="110"/>
      <c r="FKF1374" s="110"/>
      <c r="FKG1374" s="110"/>
      <c r="FKH1374" s="110"/>
      <c r="FKI1374" s="110"/>
      <c r="FKJ1374" s="110"/>
      <c r="FKK1374" s="110"/>
      <c r="FKL1374" s="110"/>
      <c r="FKM1374" s="110"/>
      <c r="FKN1374" s="110"/>
      <c r="FKO1374" s="110"/>
      <c r="FKP1374" s="110"/>
      <c r="FKQ1374" s="110"/>
      <c r="FKR1374" s="110"/>
      <c r="FKS1374" s="110"/>
      <c r="FKT1374" s="110"/>
      <c r="FKU1374" s="110"/>
      <c r="FKV1374" s="110"/>
      <c r="FKW1374" s="110"/>
      <c r="FKX1374" s="110"/>
      <c r="FKY1374" s="110"/>
      <c r="FKZ1374" s="110"/>
      <c r="FLA1374" s="110"/>
      <c r="FLB1374" s="110"/>
      <c r="FLC1374" s="110"/>
      <c r="FLD1374" s="110"/>
      <c r="FLE1374" s="110"/>
      <c r="FLF1374" s="110"/>
      <c r="FLG1374" s="110"/>
      <c r="FLH1374" s="110"/>
      <c r="FLI1374" s="110"/>
      <c r="FLJ1374" s="110"/>
      <c r="FLK1374" s="110"/>
      <c r="FLL1374" s="110"/>
      <c r="FLM1374" s="110"/>
      <c r="FLN1374" s="110"/>
      <c r="FLO1374" s="110"/>
      <c r="FLP1374" s="110"/>
      <c r="FLQ1374" s="110"/>
      <c r="FLR1374" s="110"/>
      <c r="FLS1374" s="110"/>
      <c r="FLT1374" s="110"/>
      <c r="FLU1374" s="110"/>
      <c r="FLV1374" s="110"/>
      <c r="FLW1374" s="110"/>
      <c r="FLX1374" s="110"/>
      <c r="FLY1374" s="110"/>
      <c r="FLZ1374" s="110"/>
      <c r="FMA1374" s="110"/>
      <c r="FMB1374" s="110"/>
      <c r="FMC1374" s="110"/>
      <c r="FMD1374" s="110"/>
      <c r="FME1374" s="110"/>
      <c r="FMF1374" s="110"/>
      <c r="FMG1374" s="110"/>
      <c r="FMH1374" s="110"/>
      <c r="FMI1374" s="110"/>
      <c r="FMJ1374" s="110"/>
      <c r="FMK1374" s="110"/>
      <c r="FML1374" s="110"/>
      <c r="FMM1374" s="110"/>
      <c r="FMN1374" s="110"/>
      <c r="FMO1374" s="110"/>
      <c r="FMP1374" s="110"/>
      <c r="FMQ1374" s="110"/>
      <c r="FMR1374" s="110"/>
      <c r="FMS1374" s="110"/>
      <c r="FMT1374" s="110"/>
      <c r="FMU1374" s="110"/>
      <c r="FMV1374" s="110"/>
      <c r="FMW1374" s="110"/>
      <c r="FMX1374" s="110"/>
      <c r="FMY1374" s="110"/>
      <c r="FMZ1374" s="110"/>
      <c r="FNA1374" s="110"/>
      <c r="FNB1374" s="110"/>
      <c r="FNC1374" s="110"/>
      <c r="FND1374" s="110"/>
      <c r="FNE1374" s="110"/>
      <c r="FNF1374" s="110"/>
      <c r="FNG1374" s="110"/>
      <c r="FNH1374" s="110"/>
      <c r="FNI1374" s="110"/>
      <c r="FNJ1374" s="110"/>
      <c r="FNK1374" s="110"/>
      <c r="FNL1374" s="110"/>
      <c r="FNM1374" s="110"/>
      <c r="FNN1374" s="110"/>
      <c r="FNO1374" s="110"/>
      <c r="FNP1374" s="110"/>
      <c r="FNQ1374" s="110"/>
      <c r="FNR1374" s="110"/>
      <c r="FNS1374" s="110"/>
      <c r="FNT1374" s="110"/>
      <c r="FNU1374" s="110"/>
      <c r="FNV1374" s="110"/>
      <c r="FNW1374" s="110"/>
      <c r="FNX1374" s="110"/>
      <c r="FNY1374" s="110"/>
      <c r="FNZ1374" s="110"/>
      <c r="FOA1374" s="110"/>
      <c r="FOB1374" s="110"/>
      <c r="FOC1374" s="110"/>
      <c r="FOD1374" s="110"/>
      <c r="FOE1374" s="110"/>
      <c r="FOF1374" s="110"/>
      <c r="FOG1374" s="110"/>
      <c r="FOH1374" s="110"/>
      <c r="FOI1374" s="110"/>
      <c r="FOJ1374" s="110"/>
      <c r="FOK1374" s="110"/>
      <c r="FOL1374" s="110"/>
      <c r="FOM1374" s="110"/>
      <c r="FON1374" s="110"/>
      <c r="FOO1374" s="110"/>
      <c r="FOP1374" s="110"/>
      <c r="FOQ1374" s="110"/>
      <c r="FOR1374" s="110"/>
      <c r="FOS1374" s="110"/>
      <c r="FOT1374" s="110"/>
      <c r="FOU1374" s="110"/>
      <c r="FOV1374" s="110"/>
      <c r="FOW1374" s="110"/>
      <c r="FOX1374" s="110"/>
      <c r="FOY1374" s="110"/>
      <c r="FOZ1374" s="110"/>
      <c r="FPA1374" s="110"/>
      <c r="FPB1374" s="110"/>
      <c r="FPC1374" s="110"/>
      <c r="FPD1374" s="110"/>
      <c r="FPE1374" s="110"/>
      <c r="FPF1374" s="110"/>
      <c r="FPG1374" s="110"/>
      <c r="FPH1374" s="110"/>
      <c r="FPI1374" s="110"/>
      <c r="FPJ1374" s="110"/>
      <c r="FPK1374" s="110"/>
      <c r="FPL1374" s="110"/>
      <c r="FPM1374" s="110"/>
      <c r="FPN1374" s="110"/>
      <c r="FPO1374" s="110"/>
      <c r="FPP1374" s="110"/>
      <c r="FPQ1374" s="110"/>
      <c r="FPR1374" s="110"/>
      <c r="FPS1374" s="110"/>
      <c r="FPT1374" s="110"/>
      <c r="FPU1374" s="110"/>
      <c r="FPV1374" s="110"/>
      <c r="FPW1374" s="110"/>
      <c r="FPX1374" s="110"/>
      <c r="FPY1374" s="110"/>
      <c r="FPZ1374" s="110"/>
      <c r="FQA1374" s="110"/>
      <c r="FQB1374" s="110"/>
      <c r="FQC1374" s="110"/>
      <c r="FQD1374" s="110"/>
      <c r="FQE1374" s="110"/>
      <c r="FQF1374" s="110"/>
      <c r="FQG1374" s="110"/>
      <c r="FQH1374" s="110"/>
      <c r="FQI1374" s="110"/>
      <c r="FQJ1374" s="110"/>
      <c r="FQK1374" s="110"/>
      <c r="FQL1374" s="110"/>
      <c r="FQM1374" s="110"/>
      <c r="FQN1374" s="110"/>
      <c r="FQO1374" s="110"/>
      <c r="FQP1374" s="110"/>
      <c r="FQQ1374" s="110"/>
      <c r="FQR1374" s="110"/>
      <c r="FQS1374" s="110"/>
      <c r="FQT1374" s="110"/>
      <c r="FQU1374" s="110"/>
      <c r="FQV1374" s="110"/>
      <c r="FQW1374" s="110"/>
      <c r="FQX1374" s="110"/>
      <c r="FQY1374" s="110"/>
      <c r="FQZ1374" s="110"/>
      <c r="FRA1374" s="110"/>
      <c r="FRB1374" s="110"/>
      <c r="FRC1374" s="110"/>
      <c r="FRD1374" s="110"/>
      <c r="FRE1374" s="110"/>
      <c r="FRF1374" s="110"/>
      <c r="FRG1374" s="110"/>
      <c r="FRH1374" s="110"/>
      <c r="FRI1374" s="110"/>
      <c r="FRJ1374" s="110"/>
      <c r="FRK1374" s="110"/>
      <c r="FRL1374" s="110"/>
      <c r="FRM1374" s="110"/>
      <c r="FRN1374" s="110"/>
      <c r="FRO1374" s="110"/>
      <c r="FRP1374" s="110"/>
      <c r="FRQ1374" s="110"/>
      <c r="FRR1374" s="110"/>
      <c r="FRS1374" s="110"/>
      <c r="FRT1374" s="110"/>
      <c r="FRU1374" s="110"/>
      <c r="FRV1374" s="110"/>
      <c r="FRW1374" s="110"/>
      <c r="FRX1374" s="110"/>
      <c r="FRY1374" s="110"/>
      <c r="FRZ1374" s="110"/>
      <c r="FSA1374" s="110"/>
      <c r="FSB1374" s="110"/>
      <c r="FSC1374" s="110"/>
      <c r="FSD1374" s="110"/>
      <c r="FSE1374" s="110"/>
      <c r="FSF1374" s="110"/>
      <c r="FSG1374" s="110"/>
      <c r="FSH1374" s="110"/>
      <c r="FSI1374" s="110"/>
      <c r="FSJ1374" s="110"/>
      <c r="FSK1374" s="110"/>
      <c r="FSL1374" s="110"/>
      <c r="FSM1374" s="110"/>
      <c r="FSN1374" s="110"/>
      <c r="FSO1374" s="110"/>
      <c r="FSP1374" s="110"/>
      <c r="FSQ1374" s="110"/>
      <c r="FSR1374" s="110"/>
      <c r="FSS1374" s="110"/>
      <c r="FST1374" s="110"/>
      <c r="FSU1374" s="110"/>
      <c r="FSV1374" s="110"/>
      <c r="FSW1374" s="110"/>
      <c r="FSX1374" s="110"/>
      <c r="FSY1374" s="110"/>
      <c r="FSZ1374" s="110"/>
      <c r="FTA1374" s="110"/>
      <c r="FTB1374" s="110"/>
      <c r="FTC1374" s="110"/>
      <c r="FTD1374" s="110"/>
      <c r="FTE1374" s="110"/>
      <c r="FTF1374" s="110"/>
      <c r="FTG1374" s="110"/>
      <c r="FTH1374" s="110"/>
      <c r="FTI1374" s="110"/>
      <c r="FTJ1374" s="110"/>
      <c r="FTK1374" s="110"/>
      <c r="FTL1374" s="110"/>
      <c r="FTM1374" s="110"/>
      <c r="FTN1374" s="110"/>
      <c r="FTO1374" s="110"/>
      <c r="FTP1374" s="110"/>
      <c r="FTQ1374" s="110"/>
      <c r="FTR1374" s="110"/>
      <c r="FTS1374" s="110"/>
      <c r="FTT1374" s="110"/>
      <c r="FTU1374" s="110"/>
      <c r="FTV1374" s="110"/>
      <c r="FTW1374" s="110"/>
      <c r="FTX1374" s="110"/>
      <c r="FTY1374" s="110"/>
      <c r="FTZ1374" s="110"/>
      <c r="FUA1374" s="110"/>
      <c r="FUB1374" s="110"/>
      <c r="FUC1374" s="110"/>
      <c r="FUD1374" s="110"/>
      <c r="FUE1374" s="110"/>
      <c r="FUF1374" s="110"/>
      <c r="FUG1374" s="110"/>
      <c r="FUH1374" s="110"/>
      <c r="FUI1374" s="110"/>
      <c r="FUJ1374" s="110"/>
      <c r="FUK1374" s="110"/>
      <c r="FUL1374" s="110"/>
      <c r="FUM1374" s="110"/>
      <c r="FUN1374" s="110"/>
      <c r="FUO1374" s="110"/>
      <c r="FUP1374" s="110"/>
      <c r="FUQ1374" s="110"/>
      <c r="FUR1374" s="110"/>
      <c r="FUS1374" s="110"/>
      <c r="FUT1374" s="110"/>
      <c r="FUU1374" s="110"/>
      <c r="FUV1374" s="110"/>
      <c r="FUW1374" s="110"/>
      <c r="FUX1374" s="110"/>
      <c r="FUY1374" s="110"/>
      <c r="FUZ1374" s="110"/>
      <c r="FVA1374" s="110"/>
      <c r="FVB1374" s="110"/>
      <c r="FVC1374" s="110"/>
      <c r="FVD1374" s="110"/>
      <c r="FVE1374" s="110"/>
      <c r="FVF1374" s="110"/>
      <c r="FVG1374" s="110"/>
      <c r="FVH1374" s="110"/>
      <c r="FVI1374" s="110"/>
      <c r="FVJ1374" s="110"/>
      <c r="FVK1374" s="110"/>
      <c r="FVL1374" s="110"/>
      <c r="FVM1374" s="110"/>
      <c r="FVN1374" s="110"/>
      <c r="FVO1374" s="110"/>
      <c r="FVP1374" s="110"/>
      <c r="FVQ1374" s="110"/>
      <c r="FVR1374" s="110"/>
      <c r="FVS1374" s="110"/>
      <c r="FVT1374" s="110"/>
      <c r="FVU1374" s="110"/>
      <c r="FVV1374" s="110"/>
      <c r="FVW1374" s="110"/>
      <c r="FVX1374" s="110"/>
      <c r="FVY1374" s="110"/>
      <c r="FVZ1374" s="110"/>
      <c r="FWA1374" s="110"/>
      <c r="FWB1374" s="110"/>
      <c r="FWC1374" s="110"/>
      <c r="FWD1374" s="110"/>
      <c r="FWE1374" s="110"/>
      <c r="FWF1374" s="110"/>
      <c r="FWG1374" s="110"/>
      <c r="FWH1374" s="110"/>
      <c r="FWI1374" s="110"/>
      <c r="FWJ1374" s="110"/>
      <c r="FWK1374" s="110"/>
      <c r="FWL1374" s="110"/>
      <c r="FWM1374" s="110"/>
      <c r="FWN1374" s="110"/>
      <c r="FWO1374" s="110"/>
      <c r="FWP1374" s="110"/>
      <c r="FWQ1374" s="110"/>
      <c r="FWR1374" s="110"/>
      <c r="FWS1374" s="110"/>
      <c r="FWT1374" s="110"/>
      <c r="FWU1374" s="110"/>
      <c r="FWV1374" s="110"/>
      <c r="FWW1374" s="110"/>
      <c r="FWX1374" s="110"/>
      <c r="FWY1374" s="110"/>
      <c r="FWZ1374" s="110"/>
      <c r="FXA1374" s="110"/>
      <c r="FXB1374" s="110"/>
      <c r="FXC1374" s="110"/>
      <c r="FXD1374" s="110"/>
      <c r="FXE1374" s="110"/>
      <c r="FXF1374" s="110"/>
      <c r="FXG1374" s="110"/>
      <c r="FXH1374" s="110"/>
      <c r="FXI1374" s="110"/>
      <c r="FXJ1374" s="110"/>
      <c r="FXK1374" s="110"/>
      <c r="FXL1374" s="110"/>
      <c r="FXM1374" s="110"/>
      <c r="FXN1374" s="110"/>
      <c r="FXO1374" s="110"/>
      <c r="FXP1374" s="110"/>
      <c r="FXQ1374" s="110"/>
      <c r="FXR1374" s="110"/>
      <c r="FXS1374" s="110"/>
      <c r="FXT1374" s="110"/>
      <c r="FXU1374" s="110"/>
      <c r="FXV1374" s="110"/>
      <c r="FXW1374" s="110"/>
      <c r="FXX1374" s="110"/>
      <c r="FXY1374" s="110"/>
      <c r="FXZ1374" s="110"/>
      <c r="FYA1374" s="110"/>
      <c r="FYB1374" s="110"/>
      <c r="FYC1374" s="110"/>
      <c r="FYD1374" s="110"/>
      <c r="FYE1374" s="110"/>
      <c r="FYF1374" s="110"/>
      <c r="FYG1374" s="110"/>
      <c r="FYH1374" s="110"/>
      <c r="FYI1374" s="110"/>
      <c r="FYJ1374" s="110"/>
      <c r="FYK1374" s="110"/>
      <c r="FYL1374" s="110"/>
      <c r="FYM1374" s="110"/>
      <c r="FYN1374" s="110"/>
      <c r="FYO1374" s="110"/>
      <c r="FYP1374" s="110"/>
      <c r="FYQ1374" s="110"/>
      <c r="FYR1374" s="110"/>
      <c r="FYS1374" s="110"/>
      <c r="FYT1374" s="110"/>
      <c r="FYU1374" s="110"/>
      <c r="FYV1374" s="110"/>
      <c r="FYW1374" s="110"/>
      <c r="FYX1374" s="110"/>
      <c r="FYY1374" s="110"/>
      <c r="FYZ1374" s="110"/>
      <c r="FZA1374" s="110"/>
      <c r="FZB1374" s="110"/>
      <c r="FZC1374" s="110"/>
      <c r="FZD1374" s="110"/>
      <c r="FZE1374" s="110"/>
      <c r="FZF1374" s="110"/>
      <c r="FZG1374" s="110"/>
      <c r="FZH1374" s="110"/>
      <c r="FZI1374" s="110"/>
      <c r="FZJ1374" s="110"/>
      <c r="FZK1374" s="110"/>
      <c r="FZL1374" s="110"/>
      <c r="FZM1374" s="110"/>
      <c r="FZN1374" s="110"/>
      <c r="FZO1374" s="110"/>
      <c r="FZP1374" s="110"/>
      <c r="FZQ1374" s="110"/>
      <c r="FZR1374" s="110"/>
      <c r="FZS1374" s="110"/>
      <c r="FZT1374" s="110"/>
      <c r="FZU1374" s="110"/>
      <c r="FZV1374" s="110"/>
      <c r="FZW1374" s="110"/>
      <c r="FZX1374" s="110"/>
      <c r="FZY1374" s="110"/>
      <c r="FZZ1374" s="110"/>
      <c r="GAA1374" s="110"/>
      <c r="GAB1374" s="110"/>
      <c r="GAC1374" s="110"/>
      <c r="GAD1374" s="110"/>
      <c r="GAE1374" s="110"/>
      <c r="GAF1374" s="110"/>
      <c r="GAG1374" s="110"/>
      <c r="GAH1374" s="110"/>
      <c r="GAI1374" s="110"/>
      <c r="GAJ1374" s="110"/>
      <c r="GAK1374" s="110"/>
      <c r="GAL1374" s="110"/>
      <c r="GAM1374" s="110"/>
      <c r="GAN1374" s="110"/>
      <c r="GAO1374" s="110"/>
      <c r="GAP1374" s="110"/>
      <c r="GAQ1374" s="110"/>
      <c r="GAR1374" s="110"/>
      <c r="GAS1374" s="110"/>
      <c r="GAT1374" s="110"/>
      <c r="GAU1374" s="110"/>
      <c r="GAV1374" s="110"/>
      <c r="GAW1374" s="110"/>
      <c r="GAX1374" s="110"/>
      <c r="GAY1374" s="110"/>
      <c r="GAZ1374" s="110"/>
      <c r="GBA1374" s="110"/>
      <c r="GBB1374" s="110"/>
      <c r="GBC1374" s="110"/>
      <c r="GBD1374" s="110"/>
      <c r="GBE1374" s="110"/>
      <c r="GBF1374" s="110"/>
      <c r="GBG1374" s="110"/>
      <c r="GBH1374" s="110"/>
      <c r="GBI1374" s="110"/>
      <c r="GBJ1374" s="110"/>
      <c r="GBK1374" s="110"/>
      <c r="GBL1374" s="110"/>
      <c r="GBM1374" s="110"/>
      <c r="GBN1374" s="110"/>
      <c r="GBO1374" s="110"/>
      <c r="GBP1374" s="110"/>
      <c r="GBQ1374" s="110"/>
      <c r="GBR1374" s="110"/>
      <c r="GBS1374" s="110"/>
      <c r="GBT1374" s="110"/>
      <c r="GBU1374" s="110"/>
      <c r="GBV1374" s="110"/>
      <c r="GBW1374" s="110"/>
      <c r="GBX1374" s="110"/>
      <c r="GBY1374" s="110"/>
      <c r="GBZ1374" s="110"/>
      <c r="GCA1374" s="110"/>
      <c r="GCB1374" s="110"/>
      <c r="GCC1374" s="110"/>
      <c r="GCD1374" s="110"/>
      <c r="GCE1374" s="110"/>
      <c r="GCF1374" s="110"/>
      <c r="GCG1374" s="110"/>
      <c r="GCH1374" s="110"/>
      <c r="GCI1374" s="110"/>
      <c r="GCJ1374" s="110"/>
      <c r="GCK1374" s="110"/>
      <c r="GCL1374" s="110"/>
      <c r="GCM1374" s="110"/>
      <c r="GCN1374" s="110"/>
      <c r="GCO1374" s="110"/>
      <c r="GCP1374" s="110"/>
      <c r="GCQ1374" s="110"/>
      <c r="GCR1374" s="110"/>
      <c r="GCS1374" s="110"/>
      <c r="GCT1374" s="110"/>
      <c r="GCU1374" s="110"/>
      <c r="GCV1374" s="110"/>
      <c r="GCW1374" s="110"/>
      <c r="GCX1374" s="110"/>
      <c r="GCY1374" s="110"/>
      <c r="GCZ1374" s="110"/>
      <c r="GDA1374" s="110"/>
      <c r="GDB1374" s="110"/>
      <c r="GDC1374" s="110"/>
      <c r="GDD1374" s="110"/>
      <c r="GDE1374" s="110"/>
      <c r="GDF1374" s="110"/>
      <c r="GDG1374" s="110"/>
      <c r="GDH1374" s="110"/>
      <c r="GDI1374" s="110"/>
      <c r="GDJ1374" s="110"/>
      <c r="GDK1374" s="110"/>
      <c r="GDL1374" s="110"/>
      <c r="GDM1374" s="110"/>
      <c r="GDN1374" s="110"/>
      <c r="GDO1374" s="110"/>
      <c r="GDP1374" s="110"/>
      <c r="GDQ1374" s="110"/>
      <c r="GDR1374" s="110"/>
      <c r="GDS1374" s="110"/>
      <c r="GDT1374" s="110"/>
      <c r="GDU1374" s="110"/>
      <c r="GDV1374" s="110"/>
      <c r="GDW1374" s="110"/>
      <c r="GDX1374" s="110"/>
      <c r="GDY1374" s="110"/>
      <c r="GDZ1374" s="110"/>
      <c r="GEA1374" s="110"/>
      <c r="GEB1374" s="110"/>
      <c r="GEC1374" s="110"/>
      <c r="GED1374" s="110"/>
      <c r="GEE1374" s="110"/>
      <c r="GEF1374" s="110"/>
      <c r="GEG1374" s="110"/>
      <c r="GEH1374" s="110"/>
      <c r="GEI1374" s="110"/>
      <c r="GEJ1374" s="110"/>
      <c r="GEK1374" s="110"/>
      <c r="GEL1374" s="110"/>
      <c r="GEM1374" s="110"/>
      <c r="GEN1374" s="110"/>
      <c r="GEO1374" s="110"/>
      <c r="GEP1374" s="110"/>
      <c r="GEQ1374" s="110"/>
      <c r="GER1374" s="110"/>
      <c r="GES1374" s="110"/>
      <c r="GET1374" s="110"/>
      <c r="GEU1374" s="110"/>
      <c r="GEV1374" s="110"/>
      <c r="GEW1374" s="110"/>
      <c r="GEX1374" s="110"/>
      <c r="GEY1374" s="110"/>
      <c r="GEZ1374" s="110"/>
      <c r="GFA1374" s="110"/>
      <c r="GFB1374" s="110"/>
      <c r="GFC1374" s="110"/>
      <c r="GFD1374" s="110"/>
      <c r="GFE1374" s="110"/>
      <c r="GFF1374" s="110"/>
      <c r="GFG1374" s="110"/>
      <c r="GFH1374" s="110"/>
      <c r="GFI1374" s="110"/>
      <c r="GFJ1374" s="110"/>
      <c r="GFK1374" s="110"/>
      <c r="GFL1374" s="110"/>
      <c r="GFM1374" s="110"/>
      <c r="GFN1374" s="110"/>
      <c r="GFO1374" s="110"/>
      <c r="GFP1374" s="110"/>
      <c r="GFQ1374" s="110"/>
      <c r="GFR1374" s="110"/>
      <c r="GFS1374" s="110"/>
      <c r="GFT1374" s="110"/>
      <c r="GFU1374" s="110"/>
      <c r="GFV1374" s="110"/>
      <c r="GFW1374" s="110"/>
      <c r="GFX1374" s="110"/>
      <c r="GFY1374" s="110"/>
      <c r="GFZ1374" s="110"/>
      <c r="GGA1374" s="110"/>
      <c r="GGB1374" s="110"/>
      <c r="GGC1374" s="110"/>
      <c r="GGD1374" s="110"/>
      <c r="GGE1374" s="110"/>
      <c r="GGF1374" s="110"/>
      <c r="GGG1374" s="110"/>
      <c r="GGH1374" s="110"/>
      <c r="GGI1374" s="110"/>
      <c r="GGJ1374" s="110"/>
      <c r="GGK1374" s="110"/>
      <c r="GGL1374" s="110"/>
      <c r="GGM1374" s="110"/>
      <c r="GGN1374" s="110"/>
      <c r="GGO1374" s="110"/>
      <c r="GGP1374" s="110"/>
      <c r="GGQ1374" s="110"/>
      <c r="GGR1374" s="110"/>
      <c r="GGS1374" s="110"/>
      <c r="GGT1374" s="110"/>
      <c r="GGU1374" s="110"/>
      <c r="GGV1374" s="110"/>
      <c r="GGW1374" s="110"/>
      <c r="GGX1374" s="110"/>
      <c r="GGY1374" s="110"/>
      <c r="GGZ1374" s="110"/>
      <c r="GHA1374" s="110"/>
      <c r="GHB1374" s="110"/>
      <c r="GHC1374" s="110"/>
      <c r="GHD1374" s="110"/>
      <c r="GHE1374" s="110"/>
      <c r="GHF1374" s="110"/>
      <c r="GHG1374" s="110"/>
      <c r="GHH1374" s="110"/>
      <c r="GHI1374" s="110"/>
      <c r="GHJ1374" s="110"/>
      <c r="GHK1374" s="110"/>
      <c r="GHL1374" s="110"/>
      <c r="GHM1374" s="110"/>
      <c r="GHN1374" s="110"/>
      <c r="GHO1374" s="110"/>
      <c r="GHP1374" s="110"/>
      <c r="GHQ1374" s="110"/>
      <c r="GHR1374" s="110"/>
      <c r="GHS1374" s="110"/>
      <c r="GHT1374" s="110"/>
      <c r="GHU1374" s="110"/>
      <c r="GHV1374" s="110"/>
      <c r="GHW1374" s="110"/>
      <c r="GHX1374" s="110"/>
      <c r="GHY1374" s="110"/>
      <c r="GHZ1374" s="110"/>
      <c r="GIA1374" s="110"/>
      <c r="GIB1374" s="110"/>
      <c r="GIC1374" s="110"/>
      <c r="GID1374" s="110"/>
      <c r="GIE1374" s="110"/>
      <c r="GIF1374" s="110"/>
      <c r="GIG1374" s="110"/>
      <c r="GIH1374" s="110"/>
      <c r="GII1374" s="110"/>
      <c r="GIJ1374" s="110"/>
      <c r="GIK1374" s="110"/>
      <c r="GIL1374" s="110"/>
      <c r="GIM1374" s="110"/>
      <c r="GIN1374" s="110"/>
      <c r="GIO1374" s="110"/>
      <c r="GIP1374" s="110"/>
      <c r="GIQ1374" s="110"/>
      <c r="GIR1374" s="110"/>
      <c r="GIS1374" s="110"/>
      <c r="GIT1374" s="110"/>
      <c r="GIU1374" s="110"/>
      <c r="GIV1374" s="110"/>
      <c r="GIW1374" s="110"/>
      <c r="GIX1374" s="110"/>
      <c r="GIY1374" s="110"/>
      <c r="GIZ1374" s="110"/>
      <c r="GJA1374" s="110"/>
      <c r="GJB1374" s="110"/>
      <c r="GJC1374" s="110"/>
      <c r="GJD1374" s="110"/>
      <c r="GJE1374" s="110"/>
      <c r="GJF1374" s="110"/>
      <c r="GJG1374" s="110"/>
      <c r="GJH1374" s="110"/>
      <c r="GJI1374" s="110"/>
      <c r="GJJ1374" s="110"/>
      <c r="GJK1374" s="110"/>
      <c r="GJL1374" s="110"/>
      <c r="GJM1374" s="110"/>
      <c r="GJN1374" s="110"/>
      <c r="GJO1374" s="110"/>
      <c r="GJP1374" s="110"/>
      <c r="GJQ1374" s="110"/>
      <c r="GJR1374" s="110"/>
      <c r="GJS1374" s="110"/>
      <c r="GJT1374" s="110"/>
      <c r="GJU1374" s="110"/>
      <c r="GJV1374" s="110"/>
      <c r="GJW1374" s="110"/>
      <c r="GJX1374" s="110"/>
      <c r="GJY1374" s="110"/>
      <c r="GJZ1374" s="110"/>
      <c r="GKA1374" s="110"/>
      <c r="GKB1374" s="110"/>
      <c r="GKC1374" s="110"/>
      <c r="GKD1374" s="110"/>
      <c r="GKE1374" s="110"/>
      <c r="GKF1374" s="110"/>
      <c r="GKG1374" s="110"/>
      <c r="GKH1374" s="110"/>
      <c r="GKI1374" s="110"/>
      <c r="GKJ1374" s="110"/>
      <c r="GKK1374" s="110"/>
      <c r="GKL1374" s="110"/>
      <c r="GKM1374" s="110"/>
      <c r="GKN1374" s="110"/>
      <c r="GKO1374" s="110"/>
      <c r="GKP1374" s="110"/>
      <c r="GKQ1374" s="110"/>
      <c r="GKR1374" s="110"/>
      <c r="GKS1374" s="110"/>
      <c r="GKT1374" s="110"/>
      <c r="GKU1374" s="110"/>
      <c r="GKV1374" s="110"/>
      <c r="GKW1374" s="110"/>
      <c r="GKX1374" s="110"/>
      <c r="GKY1374" s="110"/>
      <c r="GKZ1374" s="110"/>
      <c r="GLA1374" s="110"/>
      <c r="GLB1374" s="110"/>
      <c r="GLC1374" s="110"/>
      <c r="GLD1374" s="110"/>
      <c r="GLE1374" s="110"/>
      <c r="GLF1374" s="110"/>
      <c r="GLG1374" s="110"/>
      <c r="GLH1374" s="110"/>
      <c r="GLI1374" s="110"/>
      <c r="GLJ1374" s="110"/>
      <c r="GLK1374" s="110"/>
      <c r="GLL1374" s="110"/>
      <c r="GLM1374" s="110"/>
      <c r="GLN1374" s="110"/>
      <c r="GLO1374" s="110"/>
      <c r="GLP1374" s="110"/>
      <c r="GLQ1374" s="110"/>
      <c r="GLR1374" s="110"/>
      <c r="GLS1374" s="110"/>
      <c r="GLT1374" s="110"/>
      <c r="GLU1374" s="110"/>
      <c r="GLV1374" s="110"/>
      <c r="GLW1374" s="110"/>
      <c r="GLX1374" s="110"/>
      <c r="GLY1374" s="110"/>
      <c r="GLZ1374" s="110"/>
      <c r="GMA1374" s="110"/>
      <c r="GMB1374" s="110"/>
      <c r="GMC1374" s="110"/>
      <c r="GMD1374" s="110"/>
      <c r="GME1374" s="110"/>
      <c r="GMF1374" s="110"/>
      <c r="GMG1374" s="110"/>
      <c r="GMH1374" s="110"/>
      <c r="GMI1374" s="110"/>
      <c r="GMJ1374" s="110"/>
      <c r="GMK1374" s="110"/>
      <c r="GML1374" s="110"/>
      <c r="GMM1374" s="110"/>
      <c r="GMN1374" s="110"/>
      <c r="GMO1374" s="110"/>
      <c r="GMP1374" s="110"/>
      <c r="GMQ1374" s="110"/>
      <c r="GMR1374" s="110"/>
      <c r="GMS1374" s="110"/>
      <c r="GMT1374" s="110"/>
      <c r="GMU1374" s="110"/>
      <c r="GMV1374" s="110"/>
      <c r="GMW1374" s="110"/>
      <c r="GMX1374" s="110"/>
      <c r="GMY1374" s="110"/>
      <c r="GMZ1374" s="110"/>
      <c r="GNA1374" s="110"/>
      <c r="GNB1374" s="110"/>
      <c r="GNC1374" s="110"/>
      <c r="GND1374" s="110"/>
      <c r="GNE1374" s="110"/>
      <c r="GNF1374" s="110"/>
      <c r="GNG1374" s="110"/>
      <c r="GNH1374" s="110"/>
      <c r="GNI1374" s="110"/>
      <c r="GNJ1374" s="110"/>
      <c r="GNK1374" s="110"/>
      <c r="GNL1374" s="110"/>
      <c r="GNM1374" s="110"/>
      <c r="GNN1374" s="110"/>
      <c r="GNO1374" s="110"/>
      <c r="GNP1374" s="110"/>
      <c r="GNQ1374" s="110"/>
      <c r="GNR1374" s="110"/>
      <c r="GNS1374" s="110"/>
      <c r="GNT1374" s="110"/>
      <c r="GNU1374" s="110"/>
      <c r="GNV1374" s="110"/>
      <c r="GNW1374" s="110"/>
      <c r="GNX1374" s="110"/>
      <c r="GNY1374" s="110"/>
      <c r="GNZ1374" s="110"/>
      <c r="GOA1374" s="110"/>
      <c r="GOB1374" s="110"/>
      <c r="GOC1374" s="110"/>
      <c r="GOD1374" s="110"/>
      <c r="GOE1374" s="110"/>
      <c r="GOF1374" s="110"/>
      <c r="GOG1374" s="110"/>
      <c r="GOH1374" s="110"/>
      <c r="GOI1374" s="110"/>
      <c r="GOJ1374" s="110"/>
      <c r="GOK1374" s="110"/>
      <c r="GOL1374" s="110"/>
      <c r="GOM1374" s="110"/>
      <c r="GON1374" s="110"/>
      <c r="GOO1374" s="110"/>
      <c r="GOP1374" s="110"/>
      <c r="GOQ1374" s="110"/>
      <c r="GOR1374" s="110"/>
      <c r="GOS1374" s="110"/>
      <c r="GOT1374" s="110"/>
      <c r="GOU1374" s="110"/>
      <c r="GOV1374" s="110"/>
      <c r="GOW1374" s="110"/>
      <c r="GOX1374" s="110"/>
      <c r="GOY1374" s="110"/>
      <c r="GOZ1374" s="110"/>
      <c r="GPA1374" s="110"/>
      <c r="GPB1374" s="110"/>
      <c r="GPC1374" s="110"/>
      <c r="GPD1374" s="110"/>
      <c r="GPE1374" s="110"/>
      <c r="GPF1374" s="110"/>
      <c r="GPG1374" s="110"/>
      <c r="GPH1374" s="110"/>
      <c r="GPI1374" s="110"/>
      <c r="GPJ1374" s="110"/>
      <c r="GPK1374" s="110"/>
      <c r="GPL1374" s="110"/>
      <c r="GPM1374" s="110"/>
      <c r="GPN1374" s="110"/>
      <c r="GPO1374" s="110"/>
      <c r="GPP1374" s="110"/>
      <c r="GPQ1374" s="110"/>
      <c r="GPR1374" s="110"/>
      <c r="GPS1374" s="110"/>
      <c r="GPT1374" s="110"/>
      <c r="GPU1374" s="110"/>
      <c r="GPV1374" s="110"/>
      <c r="GPW1374" s="110"/>
      <c r="GPX1374" s="110"/>
      <c r="GPY1374" s="110"/>
      <c r="GPZ1374" s="110"/>
      <c r="GQA1374" s="110"/>
      <c r="GQB1374" s="110"/>
      <c r="GQC1374" s="110"/>
      <c r="GQD1374" s="110"/>
      <c r="GQE1374" s="110"/>
      <c r="GQF1374" s="110"/>
      <c r="GQG1374" s="110"/>
      <c r="GQH1374" s="110"/>
      <c r="GQI1374" s="110"/>
      <c r="GQJ1374" s="110"/>
      <c r="GQK1374" s="110"/>
      <c r="GQL1374" s="110"/>
      <c r="GQM1374" s="110"/>
      <c r="GQN1374" s="110"/>
      <c r="GQO1374" s="110"/>
      <c r="GQP1374" s="110"/>
      <c r="GQQ1374" s="110"/>
      <c r="GQR1374" s="110"/>
      <c r="GQS1374" s="110"/>
      <c r="GQT1374" s="110"/>
      <c r="GQU1374" s="110"/>
      <c r="GQV1374" s="110"/>
      <c r="GQW1374" s="110"/>
      <c r="GQX1374" s="110"/>
      <c r="GQY1374" s="110"/>
      <c r="GQZ1374" s="110"/>
      <c r="GRA1374" s="110"/>
      <c r="GRB1374" s="110"/>
      <c r="GRC1374" s="110"/>
      <c r="GRD1374" s="110"/>
      <c r="GRE1374" s="110"/>
      <c r="GRF1374" s="110"/>
      <c r="GRG1374" s="110"/>
      <c r="GRH1374" s="110"/>
      <c r="GRI1374" s="110"/>
      <c r="GRJ1374" s="110"/>
      <c r="GRK1374" s="110"/>
      <c r="GRL1374" s="110"/>
      <c r="GRM1374" s="110"/>
      <c r="GRN1374" s="110"/>
      <c r="GRO1374" s="110"/>
      <c r="GRP1374" s="110"/>
      <c r="GRQ1374" s="110"/>
      <c r="GRR1374" s="110"/>
      <c r="GRS1374" s="110"/>
      <c r="GRT1374" s="110"/>
      <c r="GRU1374" s="110"/>
      <c r="GRV1374" s="110"/>
      <c r="GRW1374" s="110"/>
      <c r="GRX1374" s="110"/>
      <c r="GRY1374" s="110"/>
      <c r="GRZ1374" s="110"/>
      <c r="GSA1374" s="110"/>
      <c r="GSB1374" s="110"/>
      <c r="GSC1374" s="110"/>
      <c r="GSD1374" s="110"/>
      <c r="GSE1374" s="110"/>
      <c r="GSF1374" s="110"/>
      <c r="GSG1374" s="110"/>
      <c r="GSH1374" s="110"/>
      <c r="GSI1374" s="110"/>
      <c r="GSJ1374" s="110"/>
      <c r="GSK1374" s="110"/>
      <c r="GSL1374" s="110"/>
      <c r="GSM1374" s="110"/>
      <c r="GSN1374" s="110"/>
      <c r="GSO1374" s="110"/>
      <c r="GSP1374" s="110"/>
      <c r="GSQ1374" s="110"/>
      <c r="GSR1374" s="110"/>
      <c r="GSS1374" s="110"/>
      <c r="GST1374" s="110"/>
      <c r="GSU1374" s="110"/>
      <c r="GSV1374" s="110"/>
      <c r="GSW1374" s="110"/>
      <c r="GSX1374" s="110"/>
      <c r="GSY1374" s="110"/>
      <c r="GSZ1374" s="110"/>
      <c r="GTA1374" s="110"/>
      <c r="GTB1374" s="110"/>
      <c r="GTC1374" s="110"/>
      <c r="GTD1374" s="110"/>
      <c r="GTE1374" s="110"/>
      <c r="GTF1374" s="110"/>
      <c r="GTG1374" s="110"/>
      <c r="GTH1374" s="110"/>
      <c r="GTI1374" s="110"/>
      <c r="GTJ1374" s="110"/>
      <c r="GTK1374" s="110"/>
      <c r="GTL1374" s="110"/>
      <c r="GTM1374" s="110"/>
      <c r="GTN1374" s="110"/>
      <c r="GTO1374" s="110"/>
      <c r="GTP1374" s="110"/>
      <c r="GTQ1374" s="110"/>
      <c r="GTR1374" s="110"/>
      <c r="GTS1374" s="110"/>
      <c r="GTT1374" s="110"/>
      <c r="GTU1374" s="110"/>
      <c r="GTV1374" s="110"/>
      <c r="GTW1374" s="110"/>
      <c r="GTX1374" s="110"/>
      <c r="GTY1374" s="110"/>
      <c r="GTZ1374" s="110"/>
      <c r="GUA1374" s="110"/>
      <c r="GUB1374" s="110"/>
      <c r="GUC1374" s="110"/>
      <c r="GUD1374" s="110"/>
      <c r="GUE1374" s="110"/>
      <c r="GUF1374" s="110"/>
      <c r="GUG1374" s="110"/>
      <c r="GUH1374" s="110"/>
      <c r="GUI1374" s="110"/>
      <c r="GUJ1374" s="110"/>
      <c r="GUK1374" s="110"/>
      <c r="GUL1374" s="110"/>
      <c r="GUM1374" s="110"/>
      <c r="GUN1374" s="110"/>
      <c r="GUO1374" s="110"/>
      <c r="GUP1374" s="110"/>
      <c r="GUQ1374" s="110"/>
      <c r="GUR1374" s="110"/>
      <c r="GUS1374" s="110"/>
      <c r="GUT1374" s="110"/>
      <c r="GUU1374" s="110"/>
      <c r="GUV1374" s="110"/>
      <c r="GUW1374" s="110"/>
      <c r="GUX1374" s="110"/>
      <c r="GUY1374" s="110"/>
      <c r="GUZ1374" s="110"/>
      <c r="GVA1374" s="110"/>
      <c r="GVB1374" s="110"/>
      <c r="GVC1374" s="110"/>
      <c r="GVD1374" s="110"/>
      <c r="GVE1374" s="110"/>
      <c r="GVF1374" s="110"/>
      <c r="GVG1374" s="110"/>
      <c r="GVH1374" s="110"/>
      <c r="GVI1374" s="110"/>
      <c r="GVJ1374" s="110"/>
      <c r="GVK1374" s="110"/>
      <c r="GVL1374" s="110"/>
      <c r="GVM1374" s="110"/>
      <c r="GVN1374" s="110"/>
      <c r="GVO1374" s="110"/>
      <c r="GVP1374" s="110"/>
      <c r="GVQ1374" s="110"/>
      <c r="GVR1374" s="110"/>
      <c r="GVS1374" s="110"/>
      <c r="GVT1374" s="110"/>
      <c r="GVU1374" s="110"/>
      <c r="GVV1374" s="110"/>
      <c r="GVW1374" s="110"/>
      <c r="GVX1374" s="110"/>
      <c r="GVY1374" s="110"/>
      <c r="GVZ1374" s="110"/>
      <c r="GWA1374" s="110"/>
      <c r="GWB1374" s="110"/>
      <c r="GWC1374" s="110"/>
      <c r="GWD1374" s="110"/>
      <c r="GWE1374" s="110"/>
      <c r="GWF1374" s="110"/>
      <c r="GWG1374" s="110"/>
      <c r="GWH1374" s="110"/>
      <c r="GWI1374" s="110"/>
      <c r="GWJ1374" s="110"/>
      <c r="GWK1374" s="110"/>
      <c r="GWL1374" s="110"/>
      <c r="GWM1374" s="110"/>
      <c r="GWN1374" s="110"/>
      <c r="GWO1374" s="110"/>
      <c r="GWP1374" s="110"/>
      <c r="GWQ1374" s="110"/>
      <c r="GWR1374" s="110"/>
      <c r="GWS1374" s="110"/>
      <c r="GWT1374" s="110"/>
      <c r="GWU1374" s="110"/>
      <c r="GWV1374" s="110"/>
      <c r="GWW1374" s="110"/>
      <c r="GWX1374" s="110"/>
      <c r="GWY1374" s="110"/>
      <c r="GWZ1374" s="110"/>
      <c r="GXA1374" s="110"/>
      <c r="GXB1374" s="110"/>
      <c r="GXC1374" s="110"/>
      <c r="GXD1374" s="110"/>
      <c r="GXE1374" s="110"/>
      <c r="GXF1374" s="110"/>
      <c r="GXG1374" s="110"/>
      <c r="GXH1374" s="110"/>
      <c r="GXI1374" s="110"/>
      <c r="GXJ1374" s="110"/>
      <c r="GXK1374" s="110"/>
      <c r="GXL1374" s="110"/>
      <c r="GXM1374" s="110"/>
      <c r="GXN1374" s="110"/>
      <c r="GXO1374" s="110"/>
      <c r="GXP1374" s="110"/>
      <c r="GXQ1374" s="110"/>
      <c r="GXR1374" s="110"/>
      <c r="GXS1374" s="110"/>
      <c r="GXT1374" s="110"/>
      <c r="GXU1374" s="110"/>
      <c r="GXV1374" s="110"/>
      <c r="GXW1374" s="110"/>
      <c r="GXX1374" s="110"/>
      <c r="GXY1374" s="110"/>
      <c r="GXZ1374" s="110"/>
      <c r="GYA1374" s="110"/>
      <c r="GYB1374" s="110"/>
      <c r="GYC1374" s="110"/>
      <c r="GYD1374" s="110"/>
      <c r="GYE1374" s="110"/>
      <c r="GYF1374" s="110"/>
      <c r="GYG1374" s="110"/>
      <c r="GYH1374" s="110"/>
      <c r="GYI1374" s="110"/>
      <c r="GYJ1374" s="110"/>
      <c r="GYK1374" s="110"/>
      <c r="GYL1374" s="110"/>
      <c r="GYM1374" s="110"/>
      <c r="GYN1374" s="110"/>
      <c r="GYO1374" s="110"/>
      <c r="GYP1374" s="110"/>
      <c r="GYQ1374" s="110"/>
      <c r="GYR1374" s="110"/>
      <c r="GYS1374" s="110"/>
      <c r="GYT1374" s="110"/>
      <c r="GYU1374" s="110"/>
      <c r="GYV1374" s="110"/>
      <c r="GYW1374" s="110"/>
      <c r="GYX1374" s="110"/>
      <c r="GYY1374" s="110"/>
      <c r="GYZ1374" s="110"/>
      <c r="GZA1374" s="110"/>
      <c r="GZB1374" s="110"/>
      <c r="GZC1374" s="110"/>
      <c r="GZD1374" s="110"/>
      <c r="GZE1374" s="110"/>
      <c r="GZF1374" s="110"/>
      <c r="GZG1374" s="110"/>
      <c r="GZH1374" s="110"/>
      <c r="GZI1374" s="110"/>
      <c r="GZJ1374" s="110"/>
      <c r="GZK1374" s="110"/>
      <c r="GZL1374" s="110"/>
      <c r="GZM1374" s="110"/>
      <c r="GZN1374" s="110"/>
      <c r="GZO1374" s="110"/>
      <c r="GZP1374" s="110"/>
      <c r="GZQ1374" s="110"/>
      <c r="GZR1374" s="110"/>
      <c r="GZS1374" s="110"/>
      <c r="GZT1374" s="110"/>
      <c r="GZU1374" s="110"/>
      <c r="GZV1374" s="110"/>
      <c r="GZW1374" s="110"/>
      <c r="GZX1374" s="110"/>
      <c r="GZY1374" s="110"/>
      <c r="GZZ1374" s="110"/>
      <c r="HAA1374" s="110"/>
      <c r="HAB1374" s="110"/>
      <c r="HAC1374" s="110"/>
      <c r="HAD1374" s="110"/>
      <c r="HAE1374" s="110"/>
      <c r="HAF1374" s="110"/>
      <c r="HAG1374" s="110"/>
      <c r="HAH1374" s="110"/>
      <c r="HAI1374" s="110"/>
      <c r="HAJ1374" s="110"/>
      <c r="HAK1374" s="110"/>
      <c r="HAL1374" s="110"/>
      <c r="HAM1374" s="110"/>
      <c r="HAN1374" s="110"/>
      <c r="HAO1374" s="110"/>
      <c r="HAP1374" s="110"/>
      <c r="HAQ1374" s="110"/>
      <c r="HAR1374" s="110"/>
      <c r="HAS1374" s="110"/>
      <c r="HAT1374" s="110"/>
      <c r="HAU1374" s="110"/>
      <c r="HAV1374" s="110"/>
      <c r="HAW1374" s="110"/>
      <c r="HAX1374" s="110"/>
      <c r="HAY1374" s="110"/>
      <c r="HAZ1374" s="110"/>
      <c r="HBA1374" s="110"/>
      <c r="HBB1374" s="110"/>
      <c r="HBC1374" s="110"/>
      <c r="HBD1374" s="110"/>
      <c r="HBE1374" s="110"/>
      <c r="HBF1374" s="110"/>
      <c r="HBG1374" s="110"/>
      <c r="HBH1374" s="110"/>
      <c r="HBI1374" s="110"/>
      <c r="HBJ1374" s="110"/>
      <c r="HBK1374" s="110"/>
      <c r="HBL1374" s="110"/>
      <c r="HBM1374" s="110"/>
      <c r="HBN1374" s="110"/>
      <c r="HBO1374" s="110"/>
      <c r="HBP1374" s="110"/>
      <c r="HBQ1374" s="110"/>
      <c r="HBR1374" s="110"/>
      <c r="HBS1374" s="110"/>
      <c r="HBT1374" s="110"/>
      <c r="HBU1374" s="110"/>
      <c r="HBV1374" s="110"/>
      <c r="HBW1374" s="110"/>
      <c r="HBX1374" s="110"/>
      <c r="HBY1374" s="110"/>
      <c r="HBZ1374" s="110"/>
      <c r="HCA1374" s="110"/>
      <c r="HCB1374" s="110"/>
      <c r="HCC1374" s="110"/>
      <c r="HCD1374" s="110"/>
      <c r="HCE1374" s="110"/>
      <c r="HCF1374" s="110"/>
      <c r="HCG1374" s="110"/>
      <c r="HCH1374" s="110"/>
      <c r="HCI1374" s="110"/>
      <c r="HCJ1374" s="110"/>
      <c r="HCK1374" s="110"/>
      <c r="HCL1374" s="110"/>
      <c r="HCM1374" s="110"/>
      <c r="HCN1374" s="110"/>
      <c r="HCO1374" s="110"/>
      <c r="HCP1374" s="110"/>
      <c r="HCQ1374" s="110"/>
      <c r="HCR1374" s="110"/>
      <c r="HCS1374" s="110"/>
      <c r="HCT1374" s="110"/>
      <c r="HCU1374" s="110"/>
      <c r="HCV1374" s="110"/>
      <c r="HCW1374" s="110"/>
      <c r="HCX1374" s="110"/>
      <c r="HCY1374" s="110"/>
      <c r="HCZ1374" s="110"/>
      <c r="HDA1374" s="110"/>
      <c r="HDB1374" s="110"/>
      <c r="HDC1374" s="110"/>
      <c r="HDD1374" s="110"/>
      <c r="HDE1374" s="110"/>
      <c r="HDF1374" s="110"/>
      <c r="HDG1374" s="110"/>
      <c r="HDH1374" s="110"/>
      <c r="HDI1374" s="110"/>
      <c r="HDJ1374" s="110"/>
      <c r="HDK1374" s="110"/>
      <c r="HDL1374" s="110"/>
      <c r="HDM1374" s="110"/>
      <c r="HDN1374" s="110"/>
      <c r="HDO1374" s="110"/>
      <c r="HDP1374" s="110"/>
      <c r="HDQ1374" s="110"/>
      <c r="HDR1374" s="110"/>
      <c r="HDS1374" s="110"/>
      <c r="HDT1374" s="110"/>
      <c r="HDU1374" s="110"/>
      <c r="HDV1374" s="110"/>
      <c r="HDW1374" s="110"/>
      <c r="HDX1374" s="110"/>
      <c r="HDY1374" s="110"/>
      <c r="HDZ1374" s="110"/>
      <c r="HEA1374" s="110"/>
      <c r="HEB1374" s="110"/>
      <c r="HEC1374" s="110"/>
      <c r="HED1374" s="110"/>
      <c r="HEE1374" s="110"/>
      <c r="HEF1374" s="110"/>
      <c r="HEG1374" s="110"/>
      <c r="HEH1374" s="110"/>
      <c r="HEI1374" s="110"/>
      <c r="HEJ1374" s="110"/>
      <c r="HEK1374" s="110"/>
      <c r="HEL1374" s="110"/>
      <c r="HEM1374" s="110"/>
      <c r="HEN1374" s="110"/>
      <c r="HEO1374" s="110"/>
      <c r="HEP1374" s="110"/>
      <c r="HEQ1374" s="110"/>
      <c r="HER1374" s="110"/>
      <c r="HES1374" s="110"/>
      <c r="HET1374" s="110"/>
      <c r="HEU1374" s="110"/>
      <c r="HEV1374" s="110"/>
      <c r="HEW1374" s="110"/>
      <c r="HEX1374" s="110"/>
      <c r="HEY1374" s="110"/>
      <c r="HEZ1374" s="110"/>
      <c r="HFA1374" s="110"/>
      <c r="HFB1374" s="110"/>
      <c r="HFC1374" s="110"/>
      <c r="HFD1374" s="110"/>
      <c r="HFE1374" s="110"/>
      <c r="HFF1374" s="110"/>
      <c r="HFG1374" s="110"/>
      <c r="HFH1374" s="110"/>
      <c r="HFI1374" s="110"/>
      <c r="HFJ1374" s="110"/>
      <c r="HFK1374" s="110"/>
      <c r="HFL1374" s="110"/>
      <c r="HFM1374" s="110"/>
      <c r="HFN1374" s="110"/>
      <c r="HFO1374" s="110"/>
      <c r="HFP1374" s="110"/>
      <c r="HFQ1374" s="110"/>
      <c r="HFR1374" s="110"/>
      <c r="HFS1374" s="110"/>
      <c r="HFT1374" s="110"/>
      <c r="HFU1374" s="110"/>
      <c r="HFV1374" s="110"/>
      <c r="HFW1374" s="110"/>
      <c r="HFX1374" s="110"/>
      <c r="HFY1374" s="110"/>
      <c r="HFZ1374" s="110"/>
      <c r="HGA1374" s="110"/>
      <c r="HGB1374" s="110"/>
      <c r="HGC1374" s="110"/>
      <c r="HGD1374" s="110"/>
      <c r="HGE1374" s="110"/>
      <c r="HGF1374" s="110"/>
      <c r="HGG1374" s="110"/>
      <c r="HGH1374" s="110"/>
      <c r="HGI1374" s="110"/>
      <c r="HGJ1374" s="110"/>
      <c r="HGK1374" s="110"/>
      <c r="HGL1374" s="110"/>
      <c r="HGM1374" s="110"/>
      <c r="HGN1374" s="110"/>
      <c r="HGO1374" s="110"/>
      <c r="HGP1374" s="110"/>
      <c r="HGQ1374" s="110"/>
      <c r="HGR1374" s="110"/>
      <c r="HGS1374" s="110"/>
      <c r="HGT1374" s="110"/>
      <c r="HGU1374" s="110"/>
      <c r="HGV1374" s="110"/>
      <c r="HGW1374" s="110"/>
      <c r="HGX1374" s="110"/>
      <c r="HGY1374" s="110"/>
      <c r="HGZ1374" s="110"/>
      <c r="HHA1374" s="110"/>
      <c r="HHB1374" s="110"/>
      <c r="HHC1374" s="110"/>
      <c r="HHD1374" s="110"/>
      <c r="HHE1374" s="110"/>
      <c r="HHF1374" s="110"/>
      <c r="HHG1374" s="110"/>
      <c r="HHH1374" s="110"/>
      <c r="HHI1374" s="110"/>
      <c r="HHJ1374" s="110"/>
      <c r="HHK1374" s="110"/>
      <c r="HHL1374" s="110"/>
      <c r="HHM1374" s="110"/>
      <c r="HHN1374" s="110"/>
      <c r="HHO1374" s="110"/>
      <c r="HHP1374" s="110"/>
      <c r="HHQ1374" s="110"/>
      <c r="HHR1374" s="110"/>
      <c r="HHS1374" s="110"/>
      <c r="HHT1374" s="110"/>
      <c r="HHU1374" s="110"/>
      <c r="HHV1374" s="110"/>
      <c r="HHW1374" s="110"/>
      <c r="HHX1374" s="110"/>
      <c r="HHY1374" s="110"/>
      <c r="HHZ1374" s="110"/>
      <c r="HIA1374" s="110"/>
      <c r="HIB1374" s="110"/>
      <c r="HIC1374" s="110"/>
      <c r="HID1374" s="110"/>
      <c r="HIE1374" s="110"/>
      <c r="HIF1374" s="110"/>
      <c r="HIG1374" s="110"/>
      <c r="HIH1374" s="110"/>
      <c r="HII1374" s="110"/>
      <c r="HIJ1374" s="110"/>
      <c r="HIK1374" s="110"/>
      <c r="HIL1374" s="110"/>
      <c r="HIM1374" s="110"/>
      <c r="HIN1374" s="110"/>
      <c r="HIO1374" s="110"/>
      <c r="HIP1374" s="110"/>
      <c r="HIQ1374" s="110"/>
      <c r="HIR1374" s="110"/>
      <c r="HIS1374" s="110"/>
      <c r="HIT1374" s="110"/>
      <c r="HIU1374" s="110"/>
      <c r="HIV1374" s="110"/>
      <c r="HIW1374" s="110"/>
      <c r="HIX1374" s="110"/>
      <c r="HIY1374" s="110"/>
      <c r="HIZ1374" s="110"/>
      <c r="HJA1374" s="110"/>
      <c r="HJB1374" s="110"/>
      <c r="HJC1374" s="110"/>
      <c r="HJD1374" s="110"/>
      <c r="HJE1374" s="110"/>
      <c r="HJF1374" s="110"/>
      <c r="HJG1374" s="110"/>
      <c r="HJH1374" s="110"/>
      <c r="HJI1374" s="110"/>
      <c r="HJJ1374" s="110"/>
      <c r="HJK1374" s="110"/>
      <c r="HJL1374" s="110"/>
      <c r="HJM1374" s="110"/>
      <c r="HJN1374" s="110"/>
      <c r="HJO1374" s="110"/>
      <c r="HJP1374" s="110"/>
      <c r="HJQ1374" s="110"/>
      <c r="HJR1374" s="110"/>
      <c r="HJS1374" s="110"/>
      <c r="HJT1374" s="110"/>
      <c r="HJU1374" s="110"/>
      <c r="HJV1374" s="110"/>
      <c r="HJW1374" s="110"/>
      <c r="HJX1374" s="110"/>
      <c r="HJY1374" s="110"/>
      <c r="HJZ1374" s="110"/>
      <c r="HKA1374" s="110"/>
      <c r="HKB1374" s="110"/>
      <c r="HKC1374" s="110"/>
      <c r="HKD1374" s="110"/>
      <c r="HKE1374" s="110"/>
      <c r="HKF1374" s="110"/>
      <c r="HKG1374" s="110"/>
      <c r="HKH1374" s="110"/>
      <c r="HKI1374" s="110"/>
      <c r="HKJ1374" s="110"/>
      <c r="HKK1374" s="110"/>
      <c r="HKL1374" s="110"/>
      <c r="HKM1374" s="110"/>
      <c r="HKN1374" s="110"/>
      <c r="HKO1374" s="110"/>
      <c r="HKP1374" s="110"/>
      <c r="HKQ1374" s="110"/>
      <c r="HKR1374" s="110"/>
      <c r="HKS1374" s="110"/>
      <c r="HKT1374" s="110"/>
      <c r="HKU1374" s="110"/>
      <c r="HKV1374" s="110"/>
      <c r="HKW1374" s="110"/>
      <c r="HKX1374" s="110"/>
      <c r="HKY1374" s="110"/>
      <c r="HKZ1374" s="110"/>
      <c r="HLA1374" s="110"/>
      <c r="HLB1374" s="110"/>
      <c r="HLC1374" s="110"/>
      <c r="HLD1374" s="110"/>
      <c r="HLE1374" s="110"/>
      <c r="HLF1374" s="110"/>
      <c r="HLG1374" s="110"/>
      <c r="HLH1374" s="110"/>
      <c r="HLI1374" s="110"/>
      <c r="HLJ1374" s="110"/>
      <c r="HLK1374" s="110"/>
      <c r="HLL1374" s="110"/>
      <c r="HLM1374" s="110"/>
      <c r="HLN1374" s="110"/>
      <c r="HLO1374" s="110"/>
      <c r="HLP1374" s="110"/>
      <c r="HLQ1374" s="110"/>
      <c r="HLR1374" s="110"/>
      <c r="HLS1374" s="110"/>
      <c r="HLT1374" s="110"/>
      <c r="HLU1374" s="110"/>
      <c r="HLV1374" s="110"/>
      <c r="HLW1374" s="110"/>
      <c r="HLX1374" s="110"/>
      <c r="HLY1374" s="110"/>
      <c r="HLZ1374" s="110"/>
      <c r="HMA1374" s="110"/>
      <c r="HMB1374" s="110"/>
      <c r="HMC1374" s="110"/>
      <c r="HMD1374" s="110"/>
      <c r="HME1374" s="110"/>
      <c r="HMF1374" s="110"/>
      <c r="HMG1374" s="110"/>
      <c r="HMH1374" s="110"/>
      <c r="HMI1374" s="110"/>
      <c r="HMJ1374" s="110"/>
      <c r="HMK1374" s="110"/>
      <c r="HML1374" s="110"/>
      <c r="HMM1374" s="110"/>
      <c r="HMN1374" s="110"/>
      <c r="HMO1374" s="110"/>
      <c r="HMP1374" s="110"/>
      <c r="HMQ1374" s="110"/>
      <c r="HMR1374" s="110"/>
      <c r="HMS1374" s="110"/>
      <c r="HMT1374" s="110"/>
      <c r="HMU1374" s="110"/>
      <c r="HMV1374" s="110"/>
      <c r="HMW1374" s="110"/>
      <c r="HMX1374" s="110"/>
      <c r="HMY1374" s="110"/>
      <c r="HMZ1374" s="110"/>
      <c r="HNA1374" s="110"/>
      <c r="HNB1374" s="110"/>
      <c r="HNC1374" s="110"/>
      <c r="HND1374" s="110"/>
      <c r="HNE1374" s="110"/>
      <c r="HNF1374" s="110"/>
      <c r="HNG1374" s="110"/>
      <c r="HNH1374" s="110"/>
      <c r="HNI1374" s="110"/>
      <c r="HNJ1374" s="110"/>
      <c r="HNK1374" s="110"/>
      <c r="HNL1374" s="110"/>
      <c r="HNM1374" s="110"/>
      <c r="HNN1374" s="110"/>
      <c r="HNO1374" s="110"/>
      <c r="HNP1374" s="110"/>
      <c r="HNQ1374" s="110"/>
      <c r="HNR1374" s="110"/>
      <c r="HNS1374" s="110"/>
      <c r="HNT1374" s="110"/>
      <c r="HNU1374" s="110"/>
      <c r="HNV1374" s="110"/>
      <c r="HNW1374" s="110"/>
      <c r="HNX1374" s="110"/>
      <c r="HNY1374" s="110"/>
      <c r="HNZ1374" s="110"/>
      <c r="HOA1374" s="110"/>
      <c r="HOB1374" s="110"/>
      <c r="HOC1374" s="110"/>
      <c r="HOD1374" s="110"/>
      <c r="HOE1374" s="110"/>
      <c r="HOF1374" s="110"/>
      <c r="HOG1374" s="110"/>
      <c r="HOH1374" s="110"/>
      <c r="HOI1374" s="110"/>
      <c r="HOJ1374" s="110"/>
      <c r="HOK1374" s="110"/>
      <c r="HOL1374" s="110"/>
      <c r="HOM1374" s="110"/>
      <c r="HON1374" s="110"/>
      <c r="HOO1374" s="110"/>
      <c r="HOP1374" s="110"/>
      <c r="HOQ1374" s="110"/>
      <c r="HOR1374" s="110"/>
      <c r="HOS1374" s="110"/>
      <c r="HOT1374" s="110"/>
      <c r="HOU1374" s="110"/>
      <c r="HOV1374" s="110"/>
      <c r="HOW1374" s="110"/>
      <c r="HOX1374" s="110"/>
      <c r="HOY1374" s="110"/>
      <c r="HOZ1374" s="110"/>
      <c r="HPA1374" s="110"/>
      <c r="HPB1374" s="110"/>
      <c r="HPC1374" s="110"/>
      <c r="HPD1374" s="110"/>
      <c r="HPE1374" s="110"/>
      <c r="HPF1374" s="110"/>
      <c r="HPG1374" s="110"/>
      <c r="HPH1374" s="110"/>
      <c r="HPI1374" s="110"/>
      <c r="HPJ1374" s="110"/>
      <c r="HPK1374" s="110"/>
      <c r="HPL1374" s="110"/>
      <c r="HPM1374" s="110"/>
      <c r="HPN1374" s="110"/>
      <c r="HPO1374" s="110"/>
      <c r="HPP1374" s="110"/>
      <c r="HPQ1374" s="110"/>
      <c r="HPR1374" s="110"/>
      <c r="HPS1374" s="110"/>
      <c r="HPT1374" s="110"/>
      <c r="HPU1374" s="110"/>
      <c r="HPV1374" s="110"/>
      <c r="HPW1374" s="110"/>
      <c r="HPX1374" s="110"/>
      <c r="HPY1374" s="110"/>
      <c r="HPZ1374" s="110"/>
      <c r="HQA1374" s="110"/>
      <c r="HQB1374" s="110"/>
      <c r="HQC1374" s="110"/>
      <c r="HQD1374" s="110"/>
      <c r="HQE1374" s="110"/>
      <c r="HQF1374" s="110"/>
      <c r="HQG1374" s="110"/>
      <c r="HQH1374" s="110"/>
      <c r="HQI1374" s="110"/>
      <c r="HQJ1374" s="110"/>
      <c r="HQK1374" s="110"/>
      <c r="HQL1374" s="110"/>
      <c r="HQM1374" s="110"/>
      <c r="HQN1374" s="110"/>
      <c r="HQO1374" s="110"/>
      <c r="HQP1374" s="110"/>
      <c r="HQQ1374" s="110"/>
      <c r="HQR1374" s="110"/>
      <c r="HQS1374" s="110"/>
      <c r="HQT1374" s="110"/>
      <c r="HQU1374" s="110"/>
      <c r="HQV1374" s="110"/>
      <c r="HQW1374" s="110"/>
      <c r="HQX1374" s="110"/>
      <c r="HQY1374" s="110"/>
      <c r="HQZ1374" s="110"/>
      <c r="HRA1374" s="110"/>
      <c r="HRB1374" s="110"/>
      <c r="HRC1374" s="110"/>
      <c r="HRD1374" s="110"/>
      <c r="HRE1374" s="110"/>
      <c r="HRF1374" s="110"/>
      <c r="HRG1374" s="110"/>
      <c r="HRH1374" s="110"/>
      <c r="HRI1374" s="110"/>
      <c r="HRJ1374" s="110"/>
      <c r="HRK1374" s="110"/>
      <c r="HRL1374" s="110"/>
      <c r="HRM1374" s="110"/>
      <c r="HRN1374" s="110"/>
      <c r="HRO1374" s="110"/>
      <c r="HRP1374" s="110"/>
      <c r="HRQ1374" s="110"/>
      <c r="HRR1374" s="110"/>
      <c r="HRS1374" s="110"/>
      <c r="HRT1374" s="110"/>
      <c r="HRU1374" s="110"/>
      <c r="HRV1374" s="110"/>
      <c r="HRW1374" s="110"/>
      <c r="HRX1374" s="110"/>
      <c r="HRY1374" s="110"/>
      <c r="HRZ1374" s="110"/>
      <c r="HSA1374" s="110"/>
      <c r="HSB1374" s="110"/>
      <c r="HSC1374" s="110"/>
      <c r="HSD1374" s="110"/>
      <c r="HSE1374" s="110"/>
      <c r="HSF1374" s="110"/>
      <c r="HSG1374" s="110"/>
      <c r="HSH1374" s="110"/>
      <c r="HSI1374" s="110"/>
      <c r="HSJ1374" s="110"/>
      <c r="HSK1374" s="110"/>
      <c r="HSL1374" s="110"/>
      <c r="HSM1374" s="110"/>
      <c r="HSN1374" s="110"/>
      <c r="HSO1374" s="110"/>
      <c r="HSP1374" s="110"/>
      <c r="HSQ1374" s="110"/>
      <c r="HSR1374" s="110"/>
      <c r="HSS1374" s="110"/>
      <c r="HST1374" s="110"/>
      <c r="HSU1374" s="110"/>
      <c r="HSV1374" s="110"/>
      <c r="HSW1374" s="110"/>
      <c r="HSX1374" s="110"/>
      <c r="HSY1374" s="110"/>
      <c r="HSZ1374" s="110"/>
      <c r="HTA1374" s="110"/>
      <c r="HTB1374" s="110"/>
      <c r="HTC1374" s="110"/>
      <c r="HTD1374" s="110"/>
      <c r="HTE1374" s="110"/>
      <c r="HTF1374" s="110"/>
      <c r="HTG1374" s="110"/>
      <c r="HTH1374" s="110"/>
      <c r="HTI1374" s="110"/>
      <c r="HTJ1374" s="110"/>
      <c r="HTK1374" s="110"/>
      <c r="HTL1374" s="110"/>
      <c r="HTM1374" s="110"/>
      <c r="HTN1374" s="110"/>
      <c r="HTO1374" s="110"/>
      <c r="HTP1374" s="110"/>
      <c r="HTQ1374" s="110"/>
      <c r="HTR1374" s="110"/>
      <c r="HTS1374" s="110"/>
      <c r="HTT1374" s="110"/>
      <c r="HTU1374" s="110"/>
      <c r="HTV1374" s="110"/>
      <c r="HTW1374" s="110"/>
      <c r="HTX1374" s="110"/>
      <c r="HTY1374" s="110"/>
      <c r="HTZ1374" s="110"/>
      <c r="HUA1374" s="110"/>
      <c r="HUB1374" s="110"/>
      <c r="HUC1374" s="110"/>
      <c r="HUD1374" s="110"/>
      <c r="HUE1374" s="110"/>
      <c r="HUF1374" s="110"/>
      <c r="HUG1374" s="110"/>
      <c r="HUH1374" s="110"/>
      <c r="HUI1374" s="110"/>
      <c r="HUJ1374" s="110"/>
      <c r="HUK1374" s="110"/>
      <c r="HUL1374" s="110"/>
      <c r="HUM1374" s="110"/>
      <c r="HUN1374" s="110"/>
      <c r="HUO1374" s="110"/>
      <c r="HUP1374" s="110"/>
      <c r="HUQ1374" s="110"/>
      <c r="HUR1374" s="110"/>
      <c r="HUS1374" s="110"/>
      <c r="HUT1374" s="110"/>
      <c r="HUU1374" s="110"/>
      <c r="HUV1374" s="110"/>
      <c r="HUW1374" s="110"/>
      <c r="HUX1374" s="110"/>
      <c r="HUY1374" s="110"/>
      <c r="HUZ1374" s="110"/>
      <c r="HVA1374" s="110"/>
      <c r="HVB1374" s="110"/>
      <c r="HVC1374" s="110"/>
      <c r="HVD1374" s="110"/>
      <c r="HVE1374" s="110"/>
      <c r="HVF1374" s="110"/>
      <c r="HVG1374" s="110"/>
      <c r="HVH1374" s="110"/>
      <c r="HVI1374" s="110"/>
      <c r="HVJ1374" s="110"/>
      <c r="HVK1374" s="110"/>
      <c r="HVL1374" s="110"/>
      <c r="HVM1374" s="110"/>
      <c r="HVN1374" s="110"/>
      <c r="HVO1374" s="110"/>
      <c r="HVP1374" s="110"/>
      <c r="HVQ1374" s="110"/>
      <c r="HVR1374" s="110"/>
      <c r="HVS1374" s="110"/>
      <c r="HVT1374" s="110"/>
      <c r="HVU1374" s="110"/>
      <c r="HVV1374" s="110"/>
      <c r="HVW1374" s="110"/>
      <c r="HVX1374" s="110"/>
      <c r="HVY1374" s="110"/>
      <c r="HVZ1374" s="110"/>
      <c r="HWA1374" s="110"/>
      <c r="HWB1374" s="110"/>
      <c r="HWC1374" s="110"/>
      <c r="HWD1374" s="110"/>
      <c r="HWE1374" s="110"/>
      <c r="HWF1374" s="110"/>
      <c r="HWG1374" s="110"/>
      <c r="HWH1374" s="110"/>
      <c r="HWI1374" s="110"/>
      <c r="HWJ1374" s="110"/>
      <c r="HWK1374" s="110"/>
      <c r="HWL1374" s="110"/>
      <c r="HWM1374" s="110"/>
      <c r="HWN1374" s="110"/>
      <c r="HWO1374" s="110"/>
      <c r="HWP1374" s="110"/>
      <c r="HWQ1374" s="110"/>
      <c r="HWR1374" s="110"/>
      <c r="HWS1374" s="110"/>
      <c r="HWT1374" s="110"/>
      <c r="HWU1374" s="110"/>
      <c r="HWV1374" s="110"/>
      <c r="HWW1374" s="110"/>
      <c r="HWX1374" s="110"/>
      <c r="HWY1374" s="110"/>
      <c r="HWZ1374" s="110"/>
      <c r="HXA1374" s="110"/>
      <c r="HXB1374" s="110"/>
      <c r="HXC1374" s="110"/>
      <c r="HXD1374" s="110"/>
      <c r="HXE1374" s="110"/>
      <c r="HXF1374" s="110"/>
      <c r="HXG1374" s="110"/>
      <c r="HXH1374" s="110"/>
      <c r="HXI1374" s="110"/>
      <c r="HXJ1374" s="110"/>
      <c r="HXK1374" s="110"/>
      <c r="HXL1374" s="110"/>
      <c r="HXM1374" s="110"/>
      <c r="HXN1374" s="110"/>
      <c r="HXO1374" s="110"/>
      <c r="HXP1374" s="110"/>
      <c r="HXQ1374" s="110"/>
      <c r="HXR1374" s="110"/>
      <c r="HXS1374" s="110"/>
      <c r="HXT1374" s="110"/>
      <c r="HXU1374" s="110"/>
      <c r="HXV1374" s="110"/>
      <c r="HXW1374" s="110"/>
      <c r="HXX1374" s="110"/>
      <c r="HXY1374" s="110"/>
      <c r="HXZ1374" s="110"/>
      <c r="HYA1374" s="110"/>
      <c r="HYB1374" s="110"/>
      <c r="HYC1374" s="110"/>
      <c r="HYD1374" s="110"/>
      <c r="HYE1374" s="110"/>
      <c r="HYF1374" s="110"/>
      <c r="HYG1374" s="110"/>
      <c r="HYH1374" s="110"/>
      <c r="HYI1374" s="110"/>
      <c r="HYJ1374" s="110"/>
      <c r="HYK1374" s="110"/>
      <c r="HYL1374" s="110"/>
      <c r="HYM1374" s="110"/>
      <c r="HYN1374" s="110"/>
      <c r="HYO1374" s="110"/>
      <c r="HYP1374" s="110"/>
      <c r="HYQ1374" s="110"/>
      <c r="HYR1374" s="110"/>
      <c r="HYS1374" s="110"/>
      <c r="HYT1374" s="110"/>
      <c r="HYU1374" s="110"/>
      <c r="HYV1374" s="110"/>
      <c r="HYW1374" s="110"/>
      <c r="HYX1374" s="110"/>
      <c r="HYY1374" s="110"/>
      <c r="HYZ1374" s="110"/>
      <c r="HZA1374" s="110"/>
      <c r="HZB1374" s="110"/>
      <c r="HZC1374" s="110"/>
      <c r="HZD1374" s="110"/>
      <c r="HZE1374" s="110"/>
      <c r="HZF1374" s="110"/>
      <c r="HZG1374" s="110"/>
      <c r="HZH1374" s="110"/>
      <c r="HZI1374" s="110"/>
      <c r="HZJ1374" s="110"/>
      <c r="HZK1374" s="110"/>
      <c r="HZL1374" s="110"/>
      <c r="HZM1374" s="110"/>
      <c r="HZN1374" s="110"/>
      <c r="HZO1374" s="110"/>
      <c r="HZP1374" s="110"/>
      <c r="HZQ1374" s="110"/>
      <c r="HZR1374" s="110"/>
      <c r="HZS1374" s="110"/>
      <c r="HZT1374" s="110"/>
      <c r="HZU1374" s="110"/>
      <c r="HZV1374" s="110"/>
      <c r="HZW1374" s="110"/>
      <c r="HZX1374" s="110"/>
      <c r="HZY1374" s="110"/>
      <c r="HZZ1374" s="110"/>
      <c r="IAA1374" s="110"/>
      <c r="IAB1374" s="110"/>
      <c r="IAC1374" s="110"/>
      <c r="IAD1374" s="110"/>
      <c r="IAE1374" s="110"/>
      <c r="IAF1374" s="110"/>
      <c r="IAG1374" s="110"/>
      <c r="IAH1374" s="110"/>
      <c r="IAI1374" s="110"/>
      <c r="IAJ1374" s="110"/>
      <c r="IAK1374" s="110"/>
      <c r="IAL1374" s="110"/>
      <c r="IAM1374" s="110"/>
      <c r="IAN1374" s="110"/>
      <c r="IAO1374" s="110"/>
      <c r="IAP1374" s="110"/>
      <c r="IAQ1374" s="110"/>
      <c r="IAR1374" s="110"/>
      <c r="IAS1374" s="110"/>
      <c r="IAT1374" s="110"/>
      <c r="IAU1374" s="110"/>
      <c r="IAV1374" s="110"/>
      <c r="IAW1374" s="110"/>
      <c r="IAX1374" s="110"/>
      <c r="IAY1374" s="110"/>
      <c r="IAZ1374" s="110"/>
      <c r="IBA1374" s="110"/>
      <c r="IBB1374" s="110"/>
      <c r="IBC1374" s="110"/>
      <c r="IBD1374" s="110"/>
      <c r="IBE1374" s="110"/>
      <c r="IBF1374" s="110"/>
      <c r="IBG1374" s="110"/>
      <c r="IBH1374" s="110"/>
      <c r="IBI1374" s="110"/>
      <c r="IBJ1374" s="110"/>
      <c r="IBK1374" s="110"/>
      <c r="IBL1374" s="110"/>
      <c r="IBM1374" s="110"/>
      <c r="IBN1374" s="110"/>
      <c r="IBO1374" s="110"/>
      <c r="IBP1374" s="110"/>
      <c r="IBQ1374" s="110"/>
      <c r="IBR1374" s="110"/>
      <c r="IBS1374" s="110"/>
      <c r="IBT1374" s="110"/>
      <c r="IBU1374" s="110"/>
      <c r="IBV1374" s="110"/>
      <c r="IBW1374" s="110"/>
      <c r="IBX1374" s="110"/>
      <c r="IBY1374" s="110"/>
      <c r="IBZ1374" s="110"/>
      <c r="ICA1374" s="110"/>
      <c r="ICB1374" s="110"/>
      <c r="ICC1374" s="110"/>
      <c r="ICD1374" s="110"/>
      <c r="ICE1374" s="110"/>
      <c r="ICF1374" s="110"/>
      <c r="ICG1374" s="110"/>
      <c r="ICH1374" s="110"/>
      <c r="ICI1374" s="110"/>
      <c r="ICJ1374" s="110"/>
      <c r="ICK1374" s="110"/>
      <c r="ICL1374" s="110"/>
      <c r="ICM1374" s="110"/>
      <c r="ICN1374" s="110"/>
      <c r="ICO1374" s="110"/>
      <c r="ICP1374" s="110"/>
      <c r="ICQ1374" s="110"/>
      <c r="ICR1374" s="110"/>
      <c r="ICS1374" s="110"/>
      <c r="ICT1374" s="110"/>
      <c r="ICU1374" s="110"/>
      <c r="ICV1374" s="110"/>
      <c r="ICW1374" s="110"/>
      <c r="ICX1374" s="110"/>
      <c r="ICY1374" s="110"/>
      <c r="ICZ1374" s="110"/>
      <c r="IDA1374" s="110"/>
      <c r="IDB1374" s="110"/>
      <c r="IDC1374" s="110"/>
      <c r="IDD1374" s="110"/>
      <c r="IDE1374" s="110"/>
      <c r="IDF1374" s="110"/>
      <c r="IDG1374" s="110"/>
      <c r="IDH1374" s="110"/>
      <c r="IDI1374" s="110"/>
      <c r="IDJ1374" s="110"/>
      <c r="IDK1374" s="110"/>
      <c r="IDL1374" s="110"/>
      <c r="IDM1374" s="110"/>
      <c r="IDN1374" s="110"/>
      <c r="IDO1374" s="110"/>
      <c r="IDP1374" s="110"/>
      <c r="IDQ1374" s="110"/>
      <c r="IDR1374" s="110"/>
      <c r="IDS1374" s="110"/>
      <c r="IDT1374" s="110"/>
      <c r="IDU1374" s="110"/>
      <c r="IDV1374" s="110"/>
      <c r="IDW1374" s="110"/>
      <c r="IDX1374" s="110"/>
      <c r="IDY1374" s="110"/>
      <c r="IDZ1374" s="110"/>
      <c r="IEA1374" s="110"/>
      <c r="IEB1374" s="110"/>
      <c r="IEC1374" s="110"/>
      <c r="IED1374" s="110"/>
      <c r="IEE1374" s="110"/>
      <c r="IEF1374" s="110"/>
      <c r="IEG1374" s="110"/>
      <c r="IEH1374" s="110"/>
      <c r="IEI1374" s="110"/>
      <c r="IEJ1374" s="110"/>
      <c r="IEK1374" s="110"/>
      <c r="IEL1374" s="110"/>
      <c r="IEM1374" s="110"/>
      <c r="IEN1374" s="110"/>
      <c r="IEO1374" s="110"/>
      <c r="IEP1374" s="110"/>
      <c r="IEQ1374" s="110"/>
      <c r="IER1374" s="110"/>
      <c r="IES1374" s="110"/>
      <c r="IET1374" s="110"/>
      <c r="IEU1374" s="110"/>
      <c r="IEV1374" s="110"/>
      <c r="IEW1374" s="110"/>
      <c r="IEX1374" s="110"/>
      <c r="IEY1374" s="110"/>
      <c r="IEZ1374" s="110"/>
      <c r="IFA1374" s="110"/>
      <c r="IFB1374" s="110"/>
      <c r="IFC1374" s="110"/>
      <c r="IFD1374" s="110"/>
      <c r="IFE1374" s="110"/>
      <c r="IFF1374" s="110"/>
      <c r="IFG1374" s="110"/>
      <c r="IFH1374" s="110"/>
      <c r="IFI1374" s="110"/>
      <c r="IFJ1374" s="110"/>
      <c r="IFK1374" s="110"/>
      <c r="IFL1374" s="110"/>
      <c r="IFM1374" s="110"/>
      <c r="IFN1374" s="110"/>
      <c r="IFO1374" s="110"/>
      <c r="IFP1374" s="110"/>
      <c r="IFQ1374" s="110"/>
      <c r="IFR1374" s="110"/>
      <c r="IFS1374" s="110"/>
      <c r="IFT1374" s="110"/>
      <c r="IFU1374" s="110"/>
      <c r="IFV1374" s="110"/>
      <c r="IFW1374" s="110"/>
      <c r="IFX1374" s="110"/>
      <c r="IFY1374" s="110"/>
      <c r="IFZ1374" s="110"/>
      <c r="IGA1374" s="110"/>
      <c r="IGB1374" s="110"/>
      <c r="IGC1374" s="110"/>
      <c r="IGD1374" s="110"/>
      <c r="IGE1374" s="110"/>
      <c r="IGF1374" s="110"/>
      <c r="IGG1374" s="110"/>
      <c r="IGH1374" s="110"/>
      <c r="IGI1374" s="110"/>
      <c r="IGJ1374" s="110"/>
      <c r="IGK1374" s="110"/>
      <c r="IGL1374" s="110"/>
      <c r="IGM1374" s="110"/>
      <c r="IGN1374" s="110"/>
      <c r="IGO1374" s="110"/>
      <c r="IGP1374" s="110"/>
      <c r="IGQ1374" s="110"/>
      <c r="IGR1374" s="110"/>
      <c r="IGS1374" s="110"/>
      <c r="IGT1374" s="110"/>
      <c r="IGU1374" s="110"/>
      <c r="IGV1374" s="110"/>
      <c r="IGW1374" s="110"/>
      <c r="IGX1374" s="110"/>
      <c r="IGY1374" s="110"/>
      <c r="IGZ1374" s="110"/>
      <c r="IHA1374" s="110"/>
      <c r="IHB1374" s="110"/>
      <c r="IHC1374" s="110"/>
      <c r="IHD1374" s="110"/>
      <c r="IHE1374" s="110"/>
      <c r="IHF1374" s="110"/>
      <c r="IHG1374" s="110"/>
      <c r="IHH1374" s="110"/>
      <c r="IHI1374" s="110"/>
      <c r="IHJ1374" s="110"/>
      <c r="IHK1374" s="110"/>
      <c r="IHL1374" s="110"/>
      <c r="IHM1374" s="110"/>
      <c r="IHN1374" s="110"/>
      <c r="IHO1374" s="110"/>
      <c r="IHP1374" s="110"/>
      <c r="IHQ1374" s="110"/>
      <c r="IHR1374" s="110"/>
      <c r="IHS1374" s="110"/>
      <c r="IHT1374" s="110"/>
      <c r="IHU1374" s="110"/>
      <c r="IHV1374" s="110"/>
      <c r="IHW1374" s="110"/>
      <c r="IHX1374" s="110"/>
      <c r="IHY1374" s="110"/>
      <c r="IHZ1374" s="110"/>
      <c r="IIA1374" s="110"/>
      <c r="IIB1374" s="110"/>
      <c r="IIC1374" s="110"/>
      <c r="IID1374" s="110"/>
      <c r="IIE1374" s="110"/>
      <c r="IIF1374" s="110"/>
      <c r="IIG1374" s="110"/>
      <c r="IIH1374" s="110"/>
      <c r="III1374" s="110"/>
      <c r="IIJ1374" s="110"/>
      <c r="IIK1374" s="110"/>
      <c r="IIL1374" s="110"/>
      <c r="IIM1374" s="110"/>
      <c r="IIN1374" s="110"/>
      <c r="IIO1374" s="110"/>
      <c r="IIP1374" s="110"/>
      <c r="IIQ1374" s="110"/>
      <c r="IIR1374" s="110"/>
      <c r="IIS1374" s="110"/>
      <c r="IIT1374" s="110"/>
      <c r="IIU1374" s="110"/>
      <c r="IIV1374" s="110"/>
      <c r="IIW1374" s="110"/>
      <c r="IIX1374" s="110"/>
      <c r="IIY1374" s="110"/>
      <c r="IIZ1374" s="110"/>
      <c r="IJA1374" s="110"/>
      <c r="IJB1374" s="110"/>
      <c r="IJC1374" s="110"/>
      <c r="IJD1374" s="110"/>
      <c r="IJE1374" s="110"/>
      <c r="IJF1374" s="110"/>
      <c r="IJG1374" s="110"/>
      <c r="IJH1374" s="110"/>
      <c r="IJI1374" s="110"/>
      <c r="IJJ1374" s="110"/>
      <c r="IJK1374" s="110"/>
      <c r="IJL1374" s="110"/>
      <c r="IJM1374" s="110"/>
      <c r="IJN1374" s="110"/>
      <c r="IJO1374" s="110"/>
      <c r="IJP1374" s="110"/>
      <c r="IJQ1374" s="110"/>
      <c r="IJR1374" s="110"/>
      <c r="IJS1374" s="110"/>
      <c r="IJT1374" s="110"/>
      <c r="IJU1374" s="110"/>
      <c r="IJV1374" s="110"/>
      <c r="IJW1374" s="110"/>
      <c r="IJX1374" s="110"/>
      <c r="IJY1374" s="110"/>
      <c r="IJZ1374" s="110"/>
      <c r="IKA1374" s="110"/>
      <c r="IKB1374" s="110"/>
      <c r="IKC1374" s="110"/>
      <c r="IKD1374" s="110"/>
      <c r="IKE1374" s="110"/>
      <c r="IKF1374" s="110"/>
      <c r="IKG1374" s="110"/>
      <c r="IKH1374" s="110"/>
      <c r="IKI1374" s="110"/>
      <c r="IKJ1374" s="110"/>
      <c r="IKK1374" s="110"/>
      <c r="IKL1374" s="110"/>
      <c r="IKM1374" s="110"/>
      <c r="IKN1374" s="110"/>
      <c r="IKO1374" s="110"/>
      <c r="IKP1374" s="110"/>
      <c r="IKQ1374" s="110"/>
      <c r="IKR1374" s="110"/>
      <c r="IKS1374" s="110"/>
      <c r="IKT1374" s="110"/>
      <c r="IKU1374" s="110"/>
      <c r="IKV1374" s="110"/>
      <c r="IKW1374" s="110"/>
      <c r="IKX1374" s="110"/>
      <c r="IKY1374" s="110"/>
      <c r="IKZ1374" s="110"/>
      <c r="ILA1374" s="110"/>
      <c r="ILB1374" s="110"/>
      <c r="ILC1374" s="110"/>
      <c r="ILD1374" s="110"/>
      <c r="ILE1374" s="110"/>
      <c r="ILF1374" s="110"/>
      <c r="ILG1374" s="110"/>
      <c r="ILH1374" s="110"/>
      <c r="ILI1374" s="110"/>
      <c r="ILJ1374" s="110"/>
      <c r="ILK1374" s="110"/>
      <c r="ILL1374" s="110"/>
      <c r="ILM1374" s="110"/>
      <c r="ILN1374" s="110"/>
      <c r="ILO1374" s="110"/>
      <c r="ILP1374" s="110"/>
      <c r="ILQ1374" s="110"/>
      <c r="ILR1374" s="110"/>
      <c r="ILS1374" s="110"/>
      <c r="ILT1374" s="110"/>
      <c r="ILU1374" s="110"/>
      <c r="ILV1374" s="110"/>
      <c r="ILW1374" s="110"/>
      <c r="ILX1374" s="110"/>
      <c r="ILY1374" s="110"/>
      <c r="ILZ1374" s="110"/>
      <c r="IMA1374" s="110"/>
      <c r="IMB1374" s="110"/>
      <c r="IMC1374" s="110"/>
      <c r="IMD1374" s="110"/>
      <c r="IME1374" s="110"/>
      <c r="IMF1374" s="110"/>
      <c r="IMG1374" s="110"/>
      <c r="IMH1374" s="110"/>
      <c r="IMI1374" s="110"/>
      <c r="IMJ1374" s="110"/>
      <c r="IMK1374" s="110"/>
      <c r="IML1374" s="110"/>
      <c r="IMM1374" s="110"/>
      <c r="IMN1374" s="110"/>
      <c r="IMO1374" s="110"/>
      <c r="IMP1374" s="110"/>
      <c r="IMQ1374" s="110"/>
      <c r="IMR1374" s="110"/>
      <c r="IMS1374" s="110"/>
      <c r="IMT1374" s="110"/>
      <c r="IMU1374" s="110"/>
      <c r="IMV1374" s="110"/>
      <c r="IMW1374" s="110"/>
      <c r="IMX1374" s="110"/>
      <c r="IMY1374" s="110"/>
      <c r="IMZ1374" s="110"/>
      <c r="INA1374" s="110"/>
      <c r="INB1374" s="110"/>
      <c r="INC1374" s="110"/>
      <c r="IND1374" s="110"/>
      <c r="INE1374" s="110"/>
      <c r="INF1374" s="110"/>
      <c r="ING1374" s="110"/>
      <c r="INH1374" s="110"/>
      <c r="INI1374" s="110"/>
      <c r="INJ1374" s="110"/>
      <c r="INK1374" s="110"/>
      <c r="INL1374" s="110"/>
      <c r="INM1374" s="110"/>
      <c r="INN1374" s="110"/>
      <c r="INO1374" s="110"/>
      <c r="INP1374" s="110"/>
      <c r="INQ1374" s="110"/>
      <c r="INR1374" s="110"/>
      <c r="INS1374" s="110"/>
      <c r="INT1374" s="110"/>
      <c r="INU1374" s="110"/>
      <c r="INV1374" s="110"/>
      <c r="INW1374" s="110"/>
      <c r="INX1374" s="110"/>
      <c r="INY1374" s="110"/>
      <c r="INZ1374" s="110"/>
      <c r="IOA1374" s="110"/>
      <c r="IOB1374" s="110"/>
      <c r="IOC1374" s="110"/>
      <c r="IOD1374" s="110"/>
      <c r="IOE1374" s="110"/>
      <c r="IOF1374" s="110"/>
      <c r="IOG1374" s="110"/>
      <c r="IOH1374" s="110"/>
      <c r="IOI1374" s="110"/>
      <c r="IOJ1374" s="110"/>
      <c r="IOK1374" s="110"/>
      <c r="IOL1374" s="110"/>
      <c r="IOM1374" s="110"/>
      <c r="ION1374" s="110"/>
      <c r="IOO1374" s="110"/>
      <c r="IOP1374" s="110"/>
      <c r="IOQ1374" s="110"/>
      <c r="IOR1374" s="110"/>
      <c r="IOS1374" s="110"/>
      <c r="IOT1374" s="110"/>
      <c r="IOU1374" s="110"/>
      <c r="IOV1374" s="110"/>
      <c r="IOW1374" s="110"/>
      <c r="IOX1374" s="110"/>
      <c r="IOY1374" s="110"/>
      <c r="IOZ1374" s="110"/>
      <c r="IPA1374" s="110"/>
      <c r="IPB1374" s="110"/>
      <c r="IPC1374" s="110"/>
      <c r="IPD1374" s="110"/>
      <c r="IPE1374" s="110"/>
      <c r="IPF1374" s="110"/>
      <c r="IPG1374" s="110"/>
      <c r="IPH1374" s="110"/>
      <c r="IPI1374" s="110"/>
      <c r="IPJ1374" s="110"/>
      <c r="IPK1374" s="110"/>
      <c r="IPL1374" s="110"/>
      <c r="IPM1374" s="110"/>
      <c r="IPN1374" s="110"/>
      <c r="IPO1374" s="110"/>
      <c r="IPP1374" s="110"/>
      <c r="IPQ1374" s="110"/>
      <c r="IPR1374" s="110"/>
      <c r="IPS1374" s="110"/>
      <c r="IPT1374" s="110"/>
      <c r="IPU1374" s="110"/>
      <c r="IPV1374" s="110"/>
      <c r="IPW1374" s="110"/>
      <c r="IPX1374" s="110"/>
      <c r="IPY1374" s="110"/>
      <c r="IPZ1374" s="110"/>
      <c r="IQA1374" s="110"/>
      <c r="IQB1374" s="110"/>
      <c r="IQC1374" s="110"/>
      <c r="IQD1374" s="110"/>
      <c r="IQE1374" s="110"/>
      <c r="IQF1374" s="110"/>
      <c r="IQG1374" s="110"/>
      <c r="IQH1374" s="110"/>
      <c r="IQI1374" s="110"/>
      <c r="IQJ1374" s="110"/>
      <c r="IQK1374" s="110"/>
      <c r="IQL1374" s="110"/>
      <c r="IQM1374" s="110"/>
      <c r="IQN1374" s="110"/>
      <c r="IQO1374" s="110"/>
      <c r="IQP1374" s="110"/>
      <c r="IQQ1374" s="110"/>
      <c r="IQR1374" s="110"/>
      <c r="IQS1374" s="110"/>
      <c r="IQT1374" s="110"/>
      <c r="IQU1374" s="110"/>
      <c r="IQV1374" s="110"/>
      <c r="IQW1374" s="110"/>
      <c r="IQX1374" s="110"/>
      <c r="IQY1374" s="110"/>
      <c r="IQZ1374" s="110"/>
      <c r="IRA1374" s="110"/>
      <c r="IRB1374" s="110"/>
      <c r="IRC1374" s="110"/>
      <c r="IRD1374" s="110"/>
      <c r="IRE1374" s="110"/>
      <c r="IRF1374" s="110"/>
      <c r="IRG1374" s="110"/>
      <c r="IRH1374" s="110"/>
      <c r="IRI1374" s="110"/>
      <c r="IRJ1374" s="110"/>
      <c r="IRK1374" s="110"/>
      <c r="IRL1374" s="110"/>
      <c r="IRM1374" s="110"/>
      <c r="IRN1374" s="110"/>
      <c r="IRO1374" s="110"/>
      <c r="IRP1374" s="110"/>
      <c r="IRQ1374" s="110"/>
      <c r="IRR1374" s="110"/>
      <c r="IRS1374" s="110"/>
      <c r="IRT1374" s="110"/>
      <c r="IRU1374" s="110"/>
      <c r="IRV1374" s="110"/>
      <c r="IRW1374" s="110"/>
      <c r="IRX1374" s="110"/>
      <c r="IRY1374" s="110"/>
      <c r="IRZ1374" s="110"/>
      <c r="ISA1374" s="110"/>
      <c r="ISB1374" s="110"/>
      <c r="ISC1374" s="110"/>
      <c r="ISD1374" s="110"/>
      <c r="ISE1374" s="110"/>
      <c r="ISF1374" s="110"/>
      <c r="ISG1374" s="110"/>
      <c r="ISH1374" s="110"/>
      <c r="ISI1374" s="110"/>
      <c r="ISJ1374" s="110"/>
      <c r="ISK1374" s="110"/>
      <c r="ISL1374" s="110"/>
      <c r="ISM1374" s="110"/>
      <c r="ISN1374" s="110"/>
      <c r="ISO1374" s="110"/>
      <c r="ISP1374" s="110"/>
      <c r="ISQ1374" s="110"/>
      <c r="ISR1374" s="110"/>
      <c r="ISS1374" s="110"/>
      <c r="IST1374" s="110"/>
      <c r="ISU1374" s="110"/>
      <c r="ISV1374" s="110"/>
      <c r="ISW1374" s="110"/>
      <c r="ISX1374" s="110"/>
      <c r="ISY1374" s="110"/>
      <c r="ISZ1374" s="110"/>
      <c r="ITA1374" s="110"/>
      <c r="ITB1374" s="110"/>
      <c r="ITC1374" s="110"/>
      <c r="ITD1374" s="110"/>
      <c r="ITE1374" s="110"/>
      <c r="ITF1374" s="110"/>
      <c r="ITG1374" s="110"/>
      <c r="ITH1374" s="110"/>
      <c r="ITI1374" s="110"/>
      <c r="ITJ1374" s="110"/>
      <c r="ITK1374" s="110"/>
      <c r="ITL1374" s="110"/>
      <c r="ITM1374" s="110"/>
      <c r="ITN1374" s="110"/>
      <c r="ITO1374" s="110"/>
      <c r="ITP1374" s="110"/>
      <c r="ITQ1374" s="110"/>
      <c r="ITR1374" s="110"/>
      <c r="ITS1374" s="110"/>
      <c r="ITT1374" s="110"/>
      <c r="ITU1374" s="110"/>
      <c r="ITV1374" s="110"/>
      <c r="ITW1374" s="110"/>
      <c r="ITX1374" s="110"/>
      <c r="ITY1374" s="110"/>
      <c r="ITZ1374" s="110"/>
      <c r="IUA1374" s="110"/>
      <c r="IUB1374" s="110"/>
      <c r="IUC1374" s="110"/>
      <c r="IUD1374" s="110"/>
      <c r="IUE1374" s="110"/>
      <c r="IUF1374" s="110"/>
      <c r="IUG1374" s="110"/>
      <c r="IUH1374" s="110"/>
      <c r="IUI1374" s="110"/>
      <c r="IUJ1374" s="110"/>
      <c r="IUK1374" s="110"/>
      <c r="IUL1374" s="110"/>
      <c r="IUM1374" s="110"/>
      <c r="IUN1374" s="110"/>
      <c r="IUO1374" s="110"/>
      <c r="IUP1374" s="110"/>
      <c r="IUQ1374" s="110"/>
      <c r="IUR1374" s="110"/>
      <c r="IUS1374" s="110"/>
      <c r="IUT1374" s="110"/>
      <c r="IUU1374" s="110"/>
      <c r="IUV1374" s="110"/>
      <c r="IUW1374" s="110"/>
      <c r="IUX1374" s="110"/>
      <c r="IUY1374" s="110"/>
      <c r="IUZ1374" s="110"/>
      <c r="IVA1374" s="110"/>
      <c r="IVB1374" s="110"/>
      <c r="IVC1374" s="110"/>
      <c r="IVD1374" s="110"/>
      <c r="IVE1374" s="110"/>
      <c r="IVF1374" s="110"/>
      <c r="IVG1374" s="110"/>
      <c r="IVH1374" s="110"/>
      <c r="IVI1374" s="110"/>
      <c r="IVJ1374" s="110"/>
      <c r="IVK1374" s="110"/>
      <c r="IVL1374" s="110"/>
      <c r="IVM1374" s="110"/>
      <c r="IVN1374" s="110"/>
      <c r="IVO1374" s="110"/>
      <c r="IVP1374" s="110"/>
      <c r="IVQ1374" s="110"/>
      <c r="IVR1374" s="110"/>
      <c r="IVS1374" s="110"/>
      <c r="IVT1374" s="110"/>
      <c r="IVU1374" s="110"/>
      <c r="IVV1374" s="110"/>
      <c r="IVW1374" s="110"/>
      <c r="IVX1374" s="110"/>
      <c r="IVY1374" s="110"/>
      <c r="IVZ1374" s="110"/>
      <c r="IWA1374" s="110"/>
      <c r="IWB1374" s="110"/>
      <c r="IWC1374" s="110"/>
      <c r="IWD1374" s="110"/>
      <c r="IWE1374" s="110"/>
      <c r="IWF1374" s="110"/>
      <c r="IWG1374" s="110"/>
      <c r="IWH1374" s="110"/>
      <c r="IWI1374" s="110"/>
      <c r="IWJ1374" s="110"/>
      <c r="IWK1374" s="110"/>
      <c r="IWL1374" s="110"/>
      <c r="IWM1374" s="110"/>
      <c r="IWN1374" s="110"/>
      <c r="IWO1374" s="110"/>
      <c r="IWP1374" s="110"/>
      <c r="IWQ1374" s="110"/>
      <c r="IWR1374" s="110"/>
      <c r="IWS1374" s="110"/>
      <c r="IWT1374" s="110"/>
      <c r="IWU1374" s="110"/>
      <c r="IWV1374" s="110"/>
      <c r="IWW1374" s="110"/>
      <c r="IWX1374" s="110"/>
      <c r="IWY1374" s="110"/>
      <c r="IWZ1374" s="110"/>
      <c r="IXA1374" s="110"/>
      <c r="IXB1374" s="110"/>
      <c r="IXC1374" s="110"/>
      <c r="IXD1374" s="110"/>
      <c r="IXE1374" s="110"/>
      <c r="IXF1374" s="110"/>
      <c r="IXG1374" s="110"/>
      <c r="IXH1374" s="110"/>
      <c r="IXI1374" s="110"/>
      <c r="IXJ1374" s="110"/>
      <c r="IXK1374" s="110"/>
      <c r="IXL1374" s="110"/>
      <c r="IXM1374" s="110"/>
      <c r="IXN1374" s="110"/>
      <c r="IXO1374" s="110"/>
      <c r="IXP1374" s="110"/>
      <c r="IXQ1374" s="110"/>
      <c r="IXR1374" s="110"/>
      <c r="IXS1374" s="110"/>
      <c r="IXT1374" s="110"/>
      <c r="IXU1374" s="110"/>
      <c r="IXV1374" s="110"/>
      <c r="IXW1374" s="110"/>
      <c r="IXX1374" s="110"/>
      <c r="IXY1374" s="110"/>
      <c r="IXZ1374" s="110"/>
      <c r="IYA1374" s="110"/>
      <c r="IYB1374" s="110"/>
      <c r="IYC1374" s="110"/>
      <c r="IYD1374" s="110"/>
      <c r="IYE1374" s="110"/>
      <c r="IYF1374" s="110"/>
      <c r="IYG1374" s="110"/>
      <c r="IYH1374" s="110"/>
      <c r="IYI1374" s="110"/>
      <c r="IYJ1374" s="110"/>
      <c r="IYK1374" s="110"/>
      <c r="IYL1374" s="110"/>
      <c r="IYM1374" s="110"/>
      <c r="IYN1374" s="110"/>
      <c r="IYO1374" s="110"/>
      <c r="IYP1374" s="110"/>
      <c r="IYQ1374" s="110"/>
      <c r="IYR1374" s="110"/>
      <c r="IYS1374" s="110"/>
      <c r="IYT1374" s="110"/>
      <c r="IYU1374" s="110"/>
      <c r="IYV1374" s="110"/>
      <c r="IYW1374" s="110"/>
      <c r="IYX1374" s="110"/>
      <c r="IYY1374" s="110"/>
      <c r="IYZ1374" s="110"/>
      <c r="IZA1374" s="110"/>
      <c r="IZB1374" s="110"/>
      <c r="IZC1374" s="110"/>
      <c r="IZD1374" s="110"/>
      <c r="IZE1374" s="110"/>
      <c r="IZF1374" s="110"/>
      <c r="IZG1374" s="110"/>
      <c r="IZH1374" s="110"/>
      <c r="IZI1374" s="110"/>
      <c r="IZJ1374" s="110"/>
      <c r="IZK1374" s="110"/>
      <c r="IZL1374" s="110"/>
      <c r="IZM1374" s="110"/>
      <c r="IZN1374" s="110"/>
      <c r="IZO1374" s="110"/>
      <c r="IZP1374" s="110"/>
      <c r="IZQ1374" s="110"/>
      <c r="IZR1374" s="110"/>
      <c r="IZS1374" s="110"/>
      <c r="IZT1374" s="110"/>
      <c r="IZU1374" s="110"/>
      <c r="IZV1374" s="110"/>
      <c r="IZW1374" s="110"/>
      <c r="IZX1374" s="110"/>
      <c r="IZY1374" s="110"/>
      <c r="IZZ1374" s="110"/>
      <c r="JAA1374" s="110"/>
      <c r="JAB1374" s="110"/>
      <c r="JAC1374" s="110"/>
      <c r="JAD1374" s="110"/>
      <c r="JAE1374" s="110"/>
      <c r="JAF1374" s="110"/>
      <c r="JAG1374" s="110"/>
      <c r="JAH1374" s="110"/>
      <c r="JAI1374" s="110"/>
      <c r="JAJ1374" s="110"/>
      <c r="JAK1374" s="110"/>
      <c r="JAL1374" s="110"/>
      <c r="JAM1374" s="110"/>
      <c r="JAN1374" s="110"/>
      <c r="JAO1374" s="110"/>
      <c r="JAP1374" s="110"/>
      <c r="JAQ1374" s="110"/>
      <c r="JAR1374" s="110"/>
      <c r="JAS1374" s="110"/>
      <c r="JAT1374" s="110"/>
      <c r="JAU1374" s="110"/>
      <c r="JAV1374" s="110"/>
      <c r="JAW1374" s="110"/>
      <c r="JAX1374" s="110"/>
      <c r="JAY1374" s="110"/>
      <c r="JAZ1374" s="110"/>
      <c r="JBA1374" s="110"/>
      <c r="JBB1374" s="110"/>
      <c r="JBC1374" s="110"/>
      <c r="JBD1374" s="110"/>
      <c r="JBE1374" s="110"/>
      <c r="JBF1374" s="110"/>
      <c r="JBG1374" s="110"/>
      <c r="JBH1374" s="110"/>
      <c r="JBI1374" s="110"/>
      <c r="JBJ1374" s="110"/>
      <c r="JBK1374" s="110"/>
      <c r="JBL1374" s="110"/>
      <c r="JBM1374" s="110"/>
      <c r="JBN1374" s="110"/>
      <c r="JBO1374" s="110"/>
      <c r="JBP1374" s="110"/>
      <c r="JBQ1374" s="110"/>
      <c r="JBR1374" s="110"/>
      <c r="JBS1374" s="110"/>
      <c r="JBT1374" s="110"/>
      <c r="JBU1374" s="110"/>
      <c r="JBV1374" s="110"/>
      <c r="JBW1374" s="110"/>
      <c r="JBX1374" s="110"/>
      <c r="JBY1374" s="110"/>
      <c r="JBZ1374" s="110"/>
      <c r="JCA1374" s="110"/>
      <c r="JCB1374" s="110"/>
      <c r="JCC1374" s="110"/>
      <c r="JCD1374" s="110"/>
      <c r="JCE1374" s="110"/>
      <c r="JCF1374" s="110"/>
      <c r="JCG1374" s="110"/>
      <c r="JCH1374" s="110"/>
      <c r="JCI1374" s="110"/>
      <c r="JCJ1374" s="110"/>
      <c r="JCK1374" s="110"/>
      <c r="JCL1374" s="110"/>
      <c r="JCM1374" s="110"/>
      <c r="JCN1374" s="110"/>
      <c r="JCO1374" s="110"/>
      <c r="JCP1374" s="110"/>
      <c r="JCQ1374" s="110"/>
      <c r="JCR1374" s="110"/>
      <c r="JCS1374" s="110"/>
      <c r="JCT1374" s="110"/>
      <c r="JCU1374" s="110"/>
      <c r="JCV1374" s="110"/>
      <c r="JCW1374" s="110"/>
      <c r="JCX1374" s="110"/>
      <c r="JCY1374" s="110"/>
      <c r="JCZ1374" s="110"/>
      <c r="JDA1374" s="110"/>
      <c r="JDB1374" s="110"/>
      <c r="JDC1374" s="110"/>
      <c r="JDD1374" s="110"/>
      <c r="JDE1374" s="110"/>
      <c r="JDF1374" s="110"/>
      <c r="JDG1374" s="110"/>
      <c r="JDH1374" s="110"/>
      <c r="JDI1374" s="110"/>
      <c r="JDJ1374" s="110"/>
      <c r="JDK1374" s="110"/>
      <c r="JDL1374" s="110"/>
      <c r="JDM1374" s="110"/>
      <c r="JDN1374" s="110"/>
      <c r="JDO1374" s="110"/>
      <c r="JDP1374" s="110"/>
      <c r="JDQ1374" s="110"/>
      <c r="JDR1374" s="110"/>
      <c r="JDS1374" s="110"/>
      <c r="JDT1374" s="110"/>
      <c r="JDU1374" s="110"/>
      <c r="JDV1374" s="110"/>
      <c r="JDW1374" s="110"/>
      <c r="JDX1374" s="110"/>
      <c r="JDY1374" s="110"/>
      <c r="JDZ1374" s="110"/>
      <c r="JEA1374" s="110"/>
      <c r="JEB1374" s="110"/>
      <c r="JEC1374" s="110"/>
      <c r="JED1374" s="110"/>
      <c r="JEE1374" s="110"/>
      <c r="JEF1374" s="110"/>
      <c r="JEG1374" s="110"/>
      <c r="JEH1374" s="110"/>
      <c r="JEI1374" s="110"/>
      <c r="JEJ1374" s="110"/>
      <c r="JEK1374" s="110"/>
      <c r="JEL1374" s="110"/>
      <c r="JEM1374" s="110"/>
      <c r="JEN1374" s="110"/>
      <c r="JEO1374" s="110"/>
      <c r="JEP1374" s="110"/>
      <c r="JEQ1374" s="110"/>
      <c r="JER1374" s="110"/>
      <c r="JES1374" s="110"/>
      <c r="JET1374" s="110"/>
      <c r="JEU1374" s="110"/>
      <c r="JEV1374" s="110"/>
      <c r="JEW1374" s="110"/>
      <c r="JEX1374" s="110"/>
      <c r="JEY1374" s="110"/>
      <c r="JEZ1374" s="110"/>
      <c r="JFA1374" s="110"/>
      <c r="JFB1374" s="110"/>
      <c r="JFC1374" s="110"/>
      <c r="JFD1374" s="110"/>
      <c r="JFE1374" s="110"/>
      <c r="JFF1374" s="110"/>
      <c r="JFG1374" s="110"/>
      <c r="JFH1374" s="110"/>
      <c r="JFI1374" s="110"/>
      <c r="JFJ1374" s="110"/>
      <c r="JFK1374" s="110"/>
      <c r="JFL1374" s="110"/>
      <c r="JFM1374" s="110"/>
      <c r="JFN1374" s="110"/>
      <c r="JFO1374" s="110"/>
      <c r="JFP1374" s="110"/>
      <c r="JFQ1374" s="110"/>
      <c r="JFR1374" s="110"/>
      <c r="JFS1374" s="110"/>
      <c r="JFT1374" s="110"/>
      <c r="JFU1374" s="110"/>
      <c r="JFV1374" s="110"/>
      <c r="JFW1374" s="110"/>
      <c r="JFX1374" s="110"/>
      <c r="JFY1374" s="110"/>
      <c r="JFZ1374" s="110"/>
      <c r="JGA1374" s="110"/>
      <c r="JGB1374" s="110"/>
      <c r="JGC1374" s="110"/>
      <c r="JGD1374" s="110"/>
      <c r="JGE1374" s="110"/>
      <c r="JGF1374" s="110"/>
      <c r="JGG1374" s="110"/>
      <c r="JGH1374" s="110"/>
      <c r="JGI1374" s="110"/>
      <c r="JGJ1374" s="110"/>
      <c r="JGK1374" s="110"/>
      <c r="JGL1374" s="110"/>
      <c r="JGM1374" s="110"/>
      <c r="JGN1374" s="110"/>
      <c r="JGO1374" s="110"/>
      <c r="JGP1374" s="110"/>
      <c r="JGQ1374" s="110"/>
      <c r="JGR1374" s="110"/>
      <c r="JGS1374" s="110"/>
      <c r="JGT1374" s="110"/>
      <c r="JGU1374" s="110"/>
      <c r="JGV1374" s="110"/>
      <c r="JGW1374" s="110"/>
      <c r="JGX1374" s="110"/>
      <c r="JGY1374" s="110"/>
      <c r="JGZ1374" s="110"/>
      <c r="JHA1374" s="110"/>
      <c r="JHB1374" s="110"/>
      <c r="JHC1374" s="110"/>
      <c r="JHD1374" s="110"/>
      <c r="JHE1374" s="110"/>
      <c r="JHF1374" s="110"/>
      <c r="JHG1374" s="110"/>
      <c r="JHH1374" s="110"/>
      <c r="JHI1374" s="110"/>
      <c r="JHJ1374" s="110"/>
      <c r="JHK1374" s="110"/>
      <c r="JHL1374" s="110"/>
      <c r="JHM1374" s="110"/>
      <c r="JHN1374" s="110"/>
      <c r="JHO1374" s="110"/>
      <c r="JHP1374" s="110"/>
      <c r="JHQ1374" s="110"/>
      <c r="JHR1374" s="110"/>
      <c r="JHS1374" s="110"/>
      <c r="JHT1374" s="110"/>
      <c r="JHU1374" s="110"/>
      <c r="JHV1374" s="110"/>
      <c r="JHW1374" s="110"/>
      <c r="JHX1374" s="110"/>
      <c r="JHY1374" s="110"/>
      <c r="JHZ1374" s="110"/>
      <c r="JIA1374" s="110"/>
      <c r="JIB1374" s="110"/>
      <c r="JIC1374" s="110"/>
      <c r="JID1374" s="110"/>
      <c r="JIE1374" s="110"/>
      <c r="JIF1374" s="110"/>
      <c r="JIG1374" s="110"/>
      <c r="JIH1374" s="110"/>
      <c r="JII1374" s="110"/>
      <c r="JIJ1374" s="110"/>
      <c r="JIK1374" s="110"/>
      <c r="JIL1374" s="110"/>
      <c r="JIM1374" s="110"/>
      <c r="JIN1374" s="110"/>
      <c r="JIO1374" s="110"/>
      <c r="JIP1374" s="110"/>
      <c r="JIQ1374" s="110"/>
      <c r="JIR1374" s="110"/>
      <c r="JIS1374" s="110"/>
      <c r="JIT1374" s="110"/>
      <c r="JIU1374" s="110"/>
      <c r="JIV1374" s="110"/>
      <c r="JIW1374" s="110"/>
      <c r="JIX1374" s="110"/>
      <c r="JIY1374" s="110"/>
      <c r="JIZ1374" s="110"/>
      <c r="JJA1374" s="110"/>
      <c r="JJB1374" s="110"/>
      <c r="JJC1374" s="110"/>
      <c r="JJD1374" s="110"/>
      <c r="JJE1374" s="110"/>
      <c r="JJF1374" s="110"/>
      <c r="JJG1374" s="110"/>
      <c r="JJH1374" s="110"/>
      <c r="JJI1374" s="110"/>
      <c r="JJJ1374" s="110"/>
      <c r="JJK1374" s="110"/>
      <c r="JJL1374" s="110"/>
      <c r="JJM1374" s="110"/>
      <c r="JJN1374" s="110"/>
      <c r="JJO1374" s="110"/>
      <c r="JJP1374" s="110"/>
      <c r="JJQ1374" s="110"/>
      <c r="JJR1374" s="110"/>
      <c r="JJS1374" s="110"/>
      <c r="JJT1374" s="110"/>
      <c r="JJU1374" s="110"/>
      <c r="JJV1374" s="110"/>
      <c r="JJW1374" s="110"/>
      <c r="JJX1374" s="110"/>
      <c r="JJY1374" s="110"/>
      <c r="JJZ1374" s="110"/>
      <c r="JKA1374" s="110"/>
      <c r="JKB1374" s="110"/>
      <c r="JKC1374" s="110"/>
      <c r="JKD1374" s="110"/>
      <c r="JKE1374" s="110"/>
      <c r="JKF1374" s="110"/>
      <c r="JKG1374" s="110"/>
      <c r="JKH1374" s="110"/>
      <c r="JKI1374" s="110"/>
      <c r="JKJ1374" s="110"/>
      <c r="JKK1374" s="110"/>
      <c r="JKL1374" s="110"/>
      <c r="JKM1374" s="110"/>
      <c r="JKN1374" s="110"/>
      <c r="JKO1374" s="110"/>
      <c r="JKP1374" s="110"/>
      <c r="JKQ1374" s="110"/>
      <c r="JKR1374" s="110"/>
      <c r="JKS1374" s="110"/>
      <c r="JKT1374" s="110"/>
      <c r="JKU1374" s="110"/>
      <c r="JKV1374" s="110"/>
      <c r="JKW1374" s="110"/>
      <c r="JKX1374" s="110"/>
      <c r="JKY1374" s="110"/>
      <c r="JKZ1374" s="110"/>
      <c r="JLA1374" s="110"/>
      <c r="JLB1374" s="110"/>
      <c r="JLC1374" s="110"/>
      <c r="JLD1374" s="110"/>
      <c r="JLE1374" s="110"/>
      <c r="JLF1374" s="110"/>
      <c r="JLG1374" s="110"/>
      <c r="JLH1374" s="110"/>
      <c r="JLI1374" s="110"/>
      <c r="JLJ1374" s="110"/>
      <c r="JLK1374" s="110"/>
      <c r="JLL1374" s="110"/>
      <c r="JLM1374" s="110"/>
      <c r="JLN1374" s="110"/>
      <c r="JLO1374" s="110"/>
      <c r="JLP1374" s="110"/>
      <c r="JLQ1374" s="110"/>
      <c r="JLR1374" s="110"/>
      <c r="JLS1374" s="110"/>
      <c r="JLT1374" s="110"/>
      <c r="JLU1374" s="110"/>
      <c r="JLV1374" s="110"/>
      <c r="JLW1374" s="110"/>
      <c r="JLX1374" s="110"/>
      <c r="JLY1374" s="110"/>
      <c r="JLZ1374" s="110"/>
      <c r="JMA1374" s="110"/>
      <c r="JMB1374" s="110"/>
      <c r="JMC1374" s="110"/>
      <c r="JMD1374" s="110"/>
      <c r="JME1374" s="110"/>
      <c r="JMF1374" s="110"/>
      <c r="JMG1374" s="110"/>
      <c r="JMH1374" s="110"/>
      <c r="JMI1374" s="110"/>
      <c r="JMJ1374" s="110"/>
      <c r="JMK1374" s="110"/>
      <c r="JML1374" s="110"/>
      <c r="JMM1374" s="110"/>
      <c r="JMN1374" s="110"/>
      <c r="JMO1374" s="110"/>
      <c r="JMP1374" s="110"/>
      <c r="JMQ1374" s="110"/>
      <c r="JMR1374" s="110"/>
      <c r="JMS1374" s="110"/>
      <c r="JMT1374" s="110"/>
      <c r="JMU1374" s="110"/>
      <c r="JMV1374" s="110"/>
      <c r="JMW1374" s="110"/>
      <c r="JMX1374" s="110"/>
      <c r="JMY1374" s="110"/>
      <c r="JMZ1374" s="110"/>
      <c r="JNA1374" s="110"/>
      <c r="JNB1374" s="110"/>
      <c r="JNC1374" s="110"/>
      <c r="JND1374" s="110"/>
      <c r="JNE1374" s="110"/>
      <c r="JNF1374" s="110"/>
      <c r="JNG1374" s="110"/>
      <c r="JNH1374" s="110"/>
      <c r="JNI1374" s="110"/>
      <c r="JNJ1374" s="110"/>
      <c r="JNK1374" s="110"/>
      <c r="JNL1374" s="110"/>
      <c r="JNM1374" s="110"/>
      <c r="JNN1374" s="110"/>
      <c r="JNO1374" s="110"/>
      <c r="JNP1374" s="110"/>
      <c r="JNQ1374" s="110"/>
      <c r="JNR1374" s="110"/>
      <c r="JNS1374" s="110"/>
      <c r="JNT1374" s="110"/>
      <c r="JNU1374" s="110"/>
      <c r="JNV1374" s="110"/>
      <c r="JNW1374" s="110"/>
      <c r="JNX1374" s="110"/>
      <c r="JNY1374" s="110"/>
      <c r="JNZ1374" s="110"/>
      <c r="JOA1374" s="110"/>
      <c r="JOB1374" s="110"/>
      <c r="JOC1374" s="110"/>
      <c r="JOD1374" s="110"/>
      <c r="JOE1374" s="110"/>
      <c r="JOF1374" s="110"/>
      <c r="JOG1374" s="110"/>
      <c r="JOH1374" s="110"/>
      <c r="JOI1374" s="110"/>
      <c r="JOJ1374" s="110"/>
      <c r="JOK1374" s="110"/>
      <c r="JOL1374" s="110"/>
      <c r="JOM1374" s="110"/>
      <c r="JON1374" s="110"/>
      <c r="JOO1374" s="110"/>
      <c r="JOP1374" s="110"/>
      <c r="JOQ1374" s="110"/>
      <c r="JOR1374" s="110"/>
      <c r="JOS1374" s="110"/>
      <c r="JOT1374" s="110"/>
      <c r="JOU1374" s="110"/>
      <c r="JOV1374" s="110"/>
      <c r="JOW1374" s="110"/>
      <c r="JOX1374" s="110"/>
      <c r="JOY1374" s="110"/>
      <c r="JOZ1374" s="110"/>
      <c r="JPA1374" s="110"/>
      <c r="JPB1374" s="110"/>
      <c r="JPC1374" s="110"/>
      <c r="JPD1374" s="110"/>
      <c r="JPE1374" s="110"/>
      <c r="JPF1374" s="110"/>
      <c r="JPG1374" s="110"/>
      <c r="JPH1374" s="110"/>
      <c r="JPI1374" s="110"/>
      <c r="JPJ1374" s="110"/>
      <c r="JPK1374" s="110"/>
      <c r="JPL1374" s="110"/>
      <c r="JPM1374" s="110"/>
      <c r="JPN1374" s="110"/>
      <c r="JPO1374" s="110"/>
      <c r="JPP1374" s="110"/>
      <c r="JPQ1374" s="110"/>
      <c r="JPR1374" s="110"/>
      <c r="JPS1374" s="110"/>
      <c r="JPT1374" s="110"/>
      <c r="JPU1374" s="110"/>
      <c r="JPV1374" s="110"/>
      <c r="JPW1374" s="110"/>
      <c r="JPX1374" s="110"/>
      <c r="JPY1374" s="110"/>
      <c r="JPZ1374" s="110"/>
      <c r="JQA1374" s="110"/>
      <c r="JQB1374" s="110"/>
      <c r="JQC1374" s="110"/>
      <c r="JQD1374" s="110"/>
      <c r="JQE1374" s="110"/>
      <c r="JQF1374" s="110"/>
      <c r="JQG1374" s="110"/>
      <c r="JQH1374" s="110"/>
      <c r="JQI1374" s="110"/>
      <c r="JQJ1374" s="110"/>
      <c r="JQK1374" s="110"/>
      <c r="JQL1374" s="110"/>
      <c r="JQM1374" s="110"/>
      <c r="JQN1374" s="110"/>
      <c r="JQO1374" s="110"/>
      <c r="JQP1374" s="110"/>
      <c r="JQQ1374" s="110"/>
      <c r="JQR1374" s="110"/>
      <c r="JQS1374" s="110"/>
      <c r="JQT1374" s="110"/>
      <c r="JQU1374" s="110"/>
      <c r="JQV1374" s="110"/>
      <c r="JQW1374" s="110"/>
      <c r="JQX1374" s="110"/>
      <c r="JQY1374" s="110"/>
      <c r="JQZ1374" s="110"/>
      <c r="JRA1374" s="110"/>
      <c r="JRB1374" s="110"/>
      <c r="JRC1374" s="110"/>
      <c r="JRD1374" s="110"/>
      <c r="JRE1374" s="110"/>
      <c r="JRF1374" s="110"/>
      <c r="JRG1374" s="110"/>
      <c r="JRH1374" s="110"/>
      <c r="JRI1374" s="110"/>
      <c r="JRJ1374" s="110"/>
      <c r="JRK1374" s="110"/>
      <c r="JRL1374" s="110"/>
      <c r="JRM1374" s="110"/>
      <c r="JRN1374" s="110"/>
      <c r="JRO1374" s="110"/>
      <c r="JRP1374" s="110"/>
      <c r="JRQ1374" s="110"/>
      <c r="JRR1374" s="110"/>
      <c r="JRS1374" s="110"/>
      <c r="JRT1374" s="110"/>
      <c r="JRU1374" s="110"/>
      <c r="JRV1374" s="110"/>
      <c r="JRW1374" s="110"/>
      <c r="JRX1374" s="110"/>
      <c r="JRY1374" s="110"/>
      <c r="JRZ1374" s="110"/>
      <c r="JSA1374" s="110"/>
      <c r="JSB1374" s="110"/>
      <c r="JSC1374" s="110"/>
      <c r="JSD1374" s="110"/>
      <c r="JSE1374" s="110"/>
      <c r="JSF1374" s="110"/>
      <c r="JSG1374" s="110"/>
      <c r="JSH1374" s="110"/>
      <c r="JSI1374" s="110"/>
      <c r="JSJ1374" s="110"/>
      <c r="JSK1374" s="110"/>
      <c r="JSL1374" s="110"/>
      <c r="JSM1374" s="110"/>
      <c r="JSN1374" s="110"/>
      <c r="JSO1374" s="110"/>
      <c r="JSP1374" s="110"/>
      <c r="JSQ1374" s="110"/>
      <c r="JSR1374" s="110"/>
      <c r="JSS1374" s="110"/>
      <c r="JST1374" s="110"/>
      <c r="JSU1374" s="110"/>
      <c r="JSV1374" s="110"/>
      <c r="JSW1374" s="110"/>
      <c r="JSX1374" s="110"/>
      <c r="JSY1374" s="110"/>
      <c r="JSZ1374" s="110"/>
      <c r="JTA1374" s="110"/>
      <c r="JTB1374" s="110"/>
      <c r="JTC1374" s="110"/>
      <c r="JTD1374" s="110"/>
      <c r="JTE1374" s="110"/>
      <c r="JTF1374" s="110"/>
      <c r="JTG1374" s="110"/>
      <c r="JTH1374" s="110"/>
      <c r="JTI1374" s="110"/>
      <c r="JTJ1374" s="110"/>
      <c r="JTK1374" s="110"/>
      <c r="JTL1374" s="110"/>
      <c r="JTM1374" s="110"/>
      <c r="JTN1374" s="110"/>
      <c r="JTO1374" s="110"/>
      <c r="JTP1374" s="110"/>
      <c r="JTQ1374" s="110"/>
      <c r="JTR1374" s="110"/>
      <c r="JTS1374" s="110"/>
      <c r="JTT1374" s="110"/>
      <c r="JTU1374" s="110"/>
      <c r="JTV1374" s="110"/>
      <c r="JTW1374" s="110"/>
      <c r="JTX1374" s="110"/>
      <c r="JTY1374" s="110"/>
      <c r="JTZ1374" s="110"/>
      <c r="JUA1374" s="110"/>
      <c r="JUB1374" s="110"/>
      <c r="JUC1374" s="110"/>
      <c r="JUD1374" s="110"/>
      <c r="JUE1374" s="110"/>
      <c r="JUF1374" s="110"/>
      <c r="JUG1374" s="110"/>
      <c r="JUH1374" s="110"/>
      <c r="JUI1374" s="110"/>
      <c r="JUJ1374" s="110"/>
      <c r="JUK1374" s="110"/>
      <c r="JUL1374" s="110"/>
      <c r="JUM1374" s="110"/>
      <c r="JUN1374" s="110"/>
      <c r="JUO1374" s="110"/>
      <c r="JUP1374" s="110"/>
      <c r="JUQ1374" s="110"/>
      <c r="JUR1374" s="110"/>
      <c r="JUS1374" s="110"/>
      <c r="JUT1374" s="110"/>
      <c r="JUU1374" s="110"/>
      <c r="JUV1374" s="110"/>
      <c r="JUW1374" s="110"/>
      <c r="JUX1374" s="110"/>
      <c r="JUY1374" s="110"/>
      <c r="JUZ1374" s="110"/>
      <c r="JVA1374" s="110"/>
      <c r="JVB1374" s="110"/>
      <c r="JVC1374" s="110"/>
      <c r="JVD1374" s="110"/>
      <c r="JVE1374" s="110"/>
      <c r="JVF1374" s="110"/>
      <c r="JVG1374" s="110"/>
      <c r="JVH1374" s="110"/>
      <c r="JVI1374" s="110"/>
      <c r="JVJ1374" s="110"/>
      <c r="JVK1374" s="110"/>
      <c r="JVL1374" s="110"/>
      <c r="JVM1374" s="110"/>
      <c r="JVN1374" s="110"/>
      <c r="JVO1374" s="110"/>
      <c r="JVP1374" s="110"/>
      <c r="JVQ1374" s="110"/>
      <c r="JVR1374" s="110"/>
      <c r="JVS1374" s="110"/>
      <c r="JVT1374" s="110"/>
      <c r="JVU1374" s="110"/>
      <c r="JVV1374" s="110"/>
      <c r="JVW1374" s="110"/>
      <c r="JVX1374" s="110"/>
      <c r="JVY1374" s="110"/>
      <c r="JVZ1374" s="110"/>
      <c r="JWA1374" s="110"/>
      <c r="JWB1374" s="110"/>
      <c r="JWC1374" s="110"/>
      <c r="JWD1374" s="110"/>
      <c r="JWE1374" s="110"/>
      <c r="JWF1374" s="110"/>
      <c r="JWG1374" s="110"/>
      <c r="JWH1374" s="110"/>
      <c r="JWI1374" s="110"/>
      <c r="JWJ1374" s="110"/>
      <c r="JWK1374" s="110"/>
      <c r="JWL1374" s="110"/>
      <c r="JWM1374" s="110"/>
      <c r="JWN1374" s="110"/>
      <c r="JWO1374" s="110"/>
      <c r="JWP1374" s="110"/>
      <c r="JWQ1374" s="110"/>
      <c r="JWR1374" s="110"/>
      <c r="JWS1374" s="110"/>
      <c r="JWT1374" s="110"/>
      <c r="JWU1374" s="110"/>
      <c r="JWV1374" s="110"/>
      <c r="JWW1374" s="110"/>
      <c r="JWX1374" s="110"/>
      <c r="JWY1374" s="110"/>
      <c r="JWZ1374" s="110"/>
      <c r="JXA1374" s="110"/>
      <c r="JXB1374" s="110"/>
      <c r="JXC1374" s="110"/>
      <c r="JXD1374" s="110"/>
      <c r="JXE1374" s="110"/>
      <c r="JXF1374" s="110"/>
      <c r="JXG1374" s="110"/>
      <c r="JXH1374" s="110"/>
      <c r="JXI1374" s="110"/>
      <c r="JXJ1374" s="110"/>
      <c r="JXK1374" s="110"/>
      <c r="JXL1374" s="110"/>
      <c r="JXM1374" s="110"/>
      <c r="JXN1374" s="110"/>
      <c r="JXO1374" s="110"/>
      <c r="JXP1374" s="110"/>
      <c r="JXQ1374" s="110"/>
      <c r="JXR1374" s="110"/>
      <c r="JXS1374" s="110"/>
      <c r="JXT1374" s="110"/>
      <c r="JXU1374" s="110"/>
      <c r="JXV1374" s="110"/>
      <c r="JXW1374" s="110"/>
      <c r="JXX1374" s="110"/>
      <c r="JXY1374" s="110"/>
      <c r="JXZ1374" s="110"/>
      <c r="JYA1374" s="110"/>
      <c r="JYB1374" s="110"/>
      <c r="JYC1374" s="110"/>
      <c r="JYD1374" s="110"/>
      <c r="JYE1374" s="110"/>
      <c r="JYF1374" s="110"/>
      <c r="JYG1374" s="110"/>
      <c r="JYH1374" s="110"/>
      <c r="JYI1374" s="110"/>
      <c r="JYJ1374" s="110"/>
      <c r="JYK1374" s="110"/>
      <c r="JYL1374" s="110"/>
      <c r="JYM1374" s="110"/>
      <c r="JYN1374" s="110"/>
      <c r="JYO1374" s="110"/>
      <c r="JYP1374" s="110"/>
      <c r="JYQ1374" s="110"/>
      <c r="JYR1374" s="110"/>
      <c r="JYS1374" s="110"/>
      <c r="JYT1374" s="110"/>
      <c r="JYU1374" s="110"/>
      <c r="JYV1374" s="110"/>
      <c r="JYW1374" s="110"/>
      <c r="JYX1374" s="110"/>
      <c r="JYY1374" s="110"/>
      <c r="JYZ1374" s="110"/>
      <c r="JZA1374" s="110"/>
      <c r="JZB1374" s="110"/>
      <c r="JZC1374" s="110"/>
      <c r="JZD1374" s="110"/>
      <c r="JZE1374" s="110"/>
      <c r="JZF1374" s="110"/>
      <c r="JZG1374" s="110"/>
      <c r="JZH1374" s="110"/>
      <c r="JZI1374" s="110"/>
      <c r="JZJ1374" s="110"/>
      <c r="JZK1374" s="110"/>
      <c r="JZL1374" s="110"/>
      <c r="JZM1374" s="110"/>
      <c r="JZN1374" s="110"/>
      <c r="JZO1374" s="110"/>
      <c r="JZP1374" s="110"/>
      <c r="JZQ1374" s="110"/>
      <c r="JZR1374" s="110"/>
      <c r="JZS1374" s="110"/>
      <c r="JZT1374" s="110"/>
      <c r="JZU1374" s="110"/>
      <c r="JZV1374" s="110"/>
      <c r="JZW1374" s="110"/>
      <c r="JZX1374" s="110"/>
      <c r="JZY1374" s="110"/>
      <c r="JZZ1374" s="110"/>
      <c r="KAA1374" s="110"/>
      <c r="KAB1374" s="110"/>
      <c r="KAC1374" s="110"/>
      <c r="KAD1374" s="110"/>
      <c r="KAE1374" s="110"/>
      <c r="KAF1374" s="110"/>
      <c r="KAG1374" s="110"/>
      <c r="KAH1374" s="110"/>
      <c r="KAI1374" s="110"/>
      <c r="KAJ1374" s="110"/>
      <c r="KAK1374" s="110"/>
      <c r="KAL1374" s="110"/>
      <c r="KAM1374" s="110"/>
      <c r="KAN1374" s="110"/>
      <c r="KAO1374" s="110"/>
      <c r="KAP1374" s="110"/>
      <c r="KAQ1374" s="110"/>
      <c r="KAR1374" s="110"/>
      <c r="KAS1374" s="110"/>
      <c r="KAT1374" s="110"/>
      <c r="KAU1374" s="110"/>
      <c r="KAV1374" s="110"/>
      <c r="KAW1374" s="110"/>
      <c r="KAX1374" s="110"/>
      <c r="KAY1374" s="110"/>
      <c r="KAZ1374" s="110"/>
      <c r="KBA1374" s="110"/>
      <c r="KBB1374" s="110"/>
      <c r="KBC1374" s="110"/>
      <c r="KBD1374" s="110"/>
      <c r="KBE1374" s="110"/>
      <c r="KBF1374" s="110"/>
      <c r="KBG1374" s="110"/>
      <c r="KBH1374" s="110"/>
      <c r="KBI1374" s="110"/>
      <c r="KBJ1374" s="110"/>
      <c r="KBK1374" s="110"/>
      <c r="KBL1374" s="110"/>
      <c r="KBM1374" s="110"/>
      <c r="KBN1374" s="110"/>
      <c r="KBO1374" s="110"/>
      <c r="KBP1374" s="110"/>
      <c r="KBQ1374" s="110"/>
      <c r="KBR1374" s="110"/>
      <c r="KBS1374" s="110"/>
      <c r="KBT1374" s="110"/>
      <c r="KBU1374" s="110"/>
      <c r="KBV1374" s="110"/>
      <c r="KBW1374" s="110"/>
      <c r="KBX1374" s="110"/>
      <c r="KBY1374" s="110"/>
      <c r="KBZ1374" s="110"/>
      <c r="KCA1374" s="110"/>
      <c r="KCB1374" s="110"/>
      <c r="KCC1374" s="110"/>
      <c r="KCD1374" s="110"/>
      <c r="KCE1374" s="110"/>
      <c r="KCF1374" s="110"/>
      <c r="KCG1374" s="110"/>
      <c r="KCH1374" s="110"/>
      <c r="KCI1374" s="110"/>
      <c r="KCJ1374" s="110"/>
      <c r="KCK1374" s="110"/>
      <c r="KCL1374" s="110"/>
      <c r="KCM1374" s="110"/>
      <c r="KCN1374" s="110"/>
      <c r="KCO1374" s="110"/>
      <c r="KCP1374" s="110"/>
      <c r="KCQ1374" s="110"/>
      <c r="KCR1374" s="110"/>
      <c r="KCS1374" s="110"/>
      <c r="KCT1374" s="110"/>
      <c r="KCU1374" s="110"/>
      <c r="KCV1374" s="110"/>
      <c r="KCW1374" s="110"/>
      <c r="KCX1374" s="110"/>
      <c r="KCY1374" s="110"/>
      <c r="KCZ1374" s="110"/>
      <c r="KDA1374" s="110"/>
      <c r="KDB1374" s="110"/>
      <c r="KDC1374" s="110"/>
      <c r="KDD1374" s="110"/>
      <c r="KDE1374" s="110"/>
      <c r="KDF1374" s="110"/>
      <c r="KDG1374" s="110"/>
      <c r="KDH1374" s="110"/>
      <c r="KDI1374" s="110"/>
      <c r="KDJ1374" s="110"/>
      <c r="KDK1374" s="110"/>
      <c r="KDL1374" s="110"/>
      <c r="KDM1374" s="110"/>
      <c r="KDN1374" s="110"/>
      <c r="KDO1374" s="110"/>
      <c r="KDP1374" s="110"/>
      <c r="KDQ1374" s="110"/>
      <c r="KDR1374" s="110"/>
      <c r="KDS1374" s="110"/>
      <c r="KDT1374" s="110"/>
      <c r="KDU1374" s="110"/>
      <c r="KDV1374" s="110"/>
      <c r="KDW1374" s="110"/>
      <c r="KDX1374" s="110"/>
      <c r="KDY1374" s="110"/>
      <c r="KDZ1374" s="110"/>
      <c r="KEA1374" s="110"/>
      <c r="KEB1374" s="110"/>
      <c r="KEC1374" s="110"/>
      <c r="KED1374" s="110"/>
      <c r="KEE1374" s="110"/>
      <c r="KEF1374" s="110"/>
      <c r="KEG1374" s="110"/>
      <c r="KEH1374" s="110"/>
      <c r="KEI1374" s="110"/>
      <c r="KEJ1374" s="110"/>
      <c r="KEK1374" s="110"/>
      <c r="KEL1374" s="110"/>
      <c r="KEM1374" s="110"/>
      <c r="KEN1374" s="110"/>
      <c r="KEO1374" s="110"/>
      <c r="KEP1374" s="110"/>
      <c r="KEQ1374" s="110"/>
      <c r="KER1374" s="110"/>
      <c r="KES1374" s="110"/>
      <c r="KET1374" s="110"/>
      <c r="KEU1374" s="110"/>
      <c r="KEV1374" s="110"/>
      <c r="KEW1374" s="110"/>
      <c r="KEX1374" s="110"/>
      <c r="KEY1374" s="110"/>
      <c r="KEZ1374" s="110"/>
      <c r="KFA1374" s="110"/>
      <c r="KFB1374" s="110"/>
      <c r="KFC1374" s="110"/>
      <c r="KFD1374" s="110"/>
      <c r="KFE1374" s="110"/>
      <c r="KFF1374" s="110"/>
      <c r="KFG1374" s="110"/>
      <c r="KFH1374" s="110"/>
      <c r="KFI1374" s="110"/>
      <c r="KFJ1374" s="110"/>
      <c r="KFK1374" s="110"/>
      <c r="KFL1374" s="110"/>
      <c r="KFM1374" s="110"/>
      <c r="KFN1374" s="110"/>
      <c r="KFO1374" s="110"/>
      <c r="KFP1374" s="110"/>
      <c r="KFQ1374" s="110"/>
      <c r="KFR1374" s="110"/>
      <c r="KFS1374" s="110"/>
      <c r="KFT1374" s="110"/>
      <c r="KFU1374" s="110"/>
      <c r="KFV1374" s="110"/>
      <c r="KFW1374" s="110"/>
      <c r="KFX1374" s="110"/>
      <c r="KFY1374" s="110"/>
      <c r="KFZ1374" s="110"/>
      <c r="KGA1374" s="110"/>
      <c r="KGB1374" s="110"/>
      <c r="KGC1374" s="110"/>
      <c r="KGD1374" s="110"/>
      <c r="KGE1374" s="110"/>
      <c r="KGF1374" s="110"/>
      <c r="KGG1374" s="110"/>
      <c r="KGH1374" s="110"/>
      <c r="KGI1374" s="110"/>
      <c r="KGJ1374" s="110"/>
      <c r="KGK1374" s="110"/>
      <c r="KGL1374" s="110"/>
      <c r="KGM1374" s="110"/>
      <c r="KGN1374" s="110"/>
      <c r="KGO1374" s="110"/>
      <c r="KGP1374" s="110"/>
      <c r="KGQ1374" s="110"/>
      <c r="KGR1374" s="110"/>
      <c r="KGS1374" s="110"/>
      <c r="KGT1374" s="110"/>
      <c r="KGU1374" s="110"/>
      <c r="KGV1374" s="110"/>
      <c r="KGW1374" s="110"/>
      <c r="KGX1374" s="110"/>
      <c r="KGY1374" s="110"/>
      <c r="KGZ1374" s="110"/>
      <c r="KHA1374" s="110"/>
      <c r="KHB1374" s="110"/>
      <c r="KHC1374" s="110"/>
      <c r="KHD1374" s="110"/>
      <c r="KHE1374" s="110"/>
      <c r="KHF1374" s="110"/>
      <c r="KHG1374" s="110"/>
      <c r="KHH1374" s="110"/>
      <c r="KHI1374" s="110"/>
      <c r="KHJ1374" s="110"/>
      <c r="KHK1374" s="110"/>
      <c r="KHL1374" s="110"/>
      <c r="KHM1374" s="110"/>
      <c r="KHN1374" s="110"/>
      <c r="KHO1374" s="110"/>
      <c r="KHP1374" s="110"/>
      <c r="KHQ1374" s="110"/>
      <c r="KHR1374" s="110"/>
      <c r="KHS1374" s="110"/>
      <c r="KHT1374" s="110"/>
      <c r="KHU1374" s="110"/>
      <c r="KHV1374" s="110"/>
      <c r="KHW1374" s="110"/>
      <c r="KHX1374" s="110"/>
      <c r="KHY1374" s="110"/>
      <c r="KHZ1374" s="110"/>
      <c r="KIA1374" s="110"/>
      <c r="KIB1374" s="110"/>
      <c r="KIC1374" s="110"/>
      <c r="KID1374" s="110"/>
      <c r="KIE1374" s="110"/>
      <c r="KIF1374" s="110"/>
      <c r="KIG1374" s="110"/>
      <c r="KIH1374" s="110"/>
      <c r="KII1374" s="110"/>
      <c r="KIJ1374" s="110"/>
      <c r="KIK1374" s="110"/>
      <c r="KIL1374" s="110"/>
      <c r="KIM1374" s="110"/>
      <c r="KIN1374" s="110"/>
      <c r="KIO1374" s="110"/>
      <c r="KIP1374" s="110"/>
      <c r="KIQ1374" s="110"/>
      <c r="KIR1374" s="110"/>
      <c r="KIS1374" s="110"/>
      <c r="KIT1374" s="110"/>
      <c r="KIU1374" s="110"/>
      <c r="KIV1374" s="110"/>
      <c r="KIW1374" s="110"/>
      <c r="KIX1374" s="110"/>
      <c r="KIY1374" s="110"/>
      <c r="KIZ1374" s="110"/>
      <c r="KJA1374" s="110"/>
      <c r="KJB1374" s="110"/>
      <c r="KJC1374" s="110"/>
      <c r="KJD1374" s="110"/>
      <c r="KJE1374" s="110"/>
      <c r="KJF1374" s="110"/>
      <c r="KJG1374" s="110"/>
      <c r="KJH1374" s="110"/>
      <c r="KJI1374" s="110"/>
      <c r="KJJ1374" s="110"/>
      <c r="KJK1374" s="110"/>
      <c r="KJL1374" s="110"/>
      <c r="KJM1374" s="110"/>
      <c r="KJN1374" s="110"/>
      <c r="KJO1374" s="110"/>
      <c r="KJP1374" s="110"/>
      <c r="KJQ1374" s="110"/>
      <c r="KJR1374" s="110"/>
      <c r="KJS1374" s="110"/>
      <c r="KJT1374" s="110"/>
      <c r="KJU1374" s="110"/>
      <c r="KJV1374" s="110"/>
      <c r="KJW1374" s="110"/>
      <c r="KJX1374" s="110"/>
      <c r="KJY1374" s="110"/>
      <c r="KJZ1374" s="110"/>
      <c r="KKA1374" s="110"/>
      <c r="KKB1374" s="110"/>
      <c r="KKC1374" s="110"/>
      <c r="KKD1374" s="110"/>
      <c r="KKE1374" s="110"/>
      <c r="KKF1374" s="110"/>
      <c r="KKG1374" s="110"/>
      <c r="KKH1374" s="110"/>
      <c r="KKI1374" s="110"/>
      <c r="KKJ1374" s="110"/>
      <c r="KKK1374" s="110"/>
      <c r="KKL1374" s="110"/>
      <c r="KKM1374" s="110"/>
      <c r="KKN1374" s="110"/>
      <c r="KKO1374" s="110"/>
      <c r="KKP1374" s="110"/>
      <c r="KKQ1374" s="110"/>
      <c r="KKR1374" s="110"/>
      <c r="KKS1374" s="110"/>
      <c r="KKT1374" s="110"/>
      <c r="KKU1374" s="110"/>
      <c r="KKV1374" s="110"/>
      <c r="KKW1374" s="110"/>
      <c r="KKX1374" s="110"/>
      <c r="KKY1374" s="110"/>
      <c r="KKZ1374" s="110"/>
      <c r="KLA1374" s="110"/>
      <c r="KLB1374" s="110"/>
      <c r="KLC1374" s="110"/>
      <c r="KLD1374" s="110"/>
      <c r="KLE1374" s="110"/>
      <c r="KLF1374" s="110"/>
      <c r="KLG1374" s="110"/>
      <c r="KLH1374" s="110"/>
      <c r="KLI1374" s="110"/>
      <c r="KLJ1374" s="110"/>
      <c r="KLK1374" s="110"/>
      <c r="KLL1374" s="110"/>
      <c r="KLM1374" s="110"/>
      <c r="KLN1374" s="110"/>
      <c r="KLO1374" s="110"/>
      <c r="KLP1374" s="110"/>
      <c r="KLQ1374" s="110"/>
      <c r="KLR1374" s="110"/>
      <c r="KLS1374" s="110"/>
      <c r="KLT1374" s="110"/>
      <c r="KLU1374" s="110"/>
      <c r="KLV1374" s="110"/>
      <c r="KLW1374" s="110"/>
      <c r="KLX1374" s="110"/>
      <c r="KLY1374" s="110"/>
      <c r="KLZ1374" s="110"/>
      <c r="KMA1374" s="110"/>
      <c r="KMB1374" s="110"/>
      <c r="KMC1374" s="110"/>
      <c r="KMD1374" s="110"/>
      <c r="KME1374" s="110"/>
      <c r="KMF1374" s="110"/>
      <c r="KMG1374" s="110"/>
      <c r="KMH1374" s="110"/>
      <c r="KMI1374" s="110"/>
      <c r="KMJ1374" s="110"/>
      <c r="KMK1374" s="110"/>
      <c r="KML1374" s="110"/>
      <c r="KMM1374" s="110"/>
      <c r="KMN1374" s="110"/>
      <c r="KMO1374" s="110"/>
      <c r="KMP1374" s="110"/>
      <c r="KMQ1374" s="110"/>
      <c r="KMR1374" s="110"/>
      <c r="KMS1374" s="110"/>
      <c r="KMT1374" s="110"/>
      <c r="KMU1374" s="110"/>
      <c r="KMV1374" s="110"/>
      <c r="KMW1374" s="110"/>
      <c r="KMX1374" s="110"/>
      <c r="KMY1374" s="110"/>
      <c r="KMZ1374" s="110"/>
      <c r="KNA1374" s="110"/>
      <c r="KNB1374" s="110"/>
      <c r="KNC1374" s="110"/>
      <c r="KND1374" s="110"/>
      <c r="KNE1374" s="110"/>
      <c r="KNF1374" s="110"/>
      <c r="KNG1374" s="110"/>
      <c r="KNH1374" s="110"/>
      <c r="KNI1374" s="110"/>
      <c r="KNJ1374" s="110"/>
      <c r="KNK1374" s="110"/>
      <c r="KNL1374" s="110"/>
      <c r="KNM1374" s="110"/>
      <c r="KNN1374" s="110"/>
      <c r="KNO1374" s="110"/>
      <c r="KNP1374" s="110"/>
      <c r="KNQ1374" s="110"/>
      <c r="KNR1374" s="110"/>
      <c r="KNS1374" s="110"/>
      <c r="KNT1374" s="110"/>
      <c r="KNU1374" s="110"/>
      <c r="KNV1374" s="110"/>
      <c r="KNW1374" s="110"/>
      <c r="KNX1374" s="110"/>
      <c r="KNY1374" s="110"/>
      <c r="KNZ1374" s="110"/>
      <c r="KOA1374" s="110"/>
      <c r="KOB1374" s="110"/>
      <c r="KOC1374" s="110"/>
      <c r="KOD1374" s="110"/>
      <c r="KOE1374" s="110"/>
      <c r="KOF1374" s="110"/>
      <c r="KOG1374" s="110"/>
      <c r="KOH1374" s="110"/>
      <c r="KOI1374" s="110"/>
      <c r="KOJ1374" s="110"/>
      <c r="KOK1374" s="110"/>
      <c r="KOL1374" s="110"/>
      <c r="KOM1374" s="110"/>
      <c r="KON1374" s="110"/>
      <c r="KOO1374" s="110"/>
      <c r="KOP1374" s="110"/>
      <c r="KOQ1374" s="110"/>
      <c r="KOR1374" s="110"/>
      <c r="KOS1374" s="110"/>
      <c r="KOT1374" s="110"/>
      <c r="KOU1374" s="110"/>
      <c r="KOV1374" s="110"/>
      <c r="KOW1374" s="110"/>
      <c r="KOX1374" s="110"/>
      <c r="KOY1374" s="110"/>
      <c r="KOZ1374" s="110"/>
      <c r="KPA1374" s="110"/>
      <c r="KPB1374" s="110"/>
      <c r="KPC1374" s="110"/>
      <c r="KPD1374" s="110"/>
      <c r="KPE1374" s="110"/>
      <c r="KPF1374" s="110"/>
      <c r="KPG1374" s="110"/>
      <c r="KPH1374" s="110"/>
      <c r="KPI1374" s="110"/>
      <c r="KPJ1374" s="110"/>
      <c r="KPK1374" s="110"/>
      <c r="KPL1374" s="110"/>
      <c r="KPM1374" s="110"/>
      <c r="KPN1374" s="110"/>
      <c r="KPO1374" s="110"/>
      <c r="KPP1374" s="110"/>
      <c r="KPQ1374" s="110"/>
      <c r="KPR1374" s="110"/>
      <c r="KPS1374" s="110"/>
      <c r="KPT1374" s="110"/>
      <c r="KPU1374" s="110"/>
      <c r="KPV1374" s="110"/>
      <c r="KPW1374" s="110"/>
      <c r="KPX1374" s="110"/>
      <c r="KPY1374" s="110"/>
      <c r="KPZ1374" s="110"/>
      <c r="KQA1374" s="110"/>
      <c r="KQB1374" s="110"/>
      <c r="KQC1374" s="110"/>
      <c r="KQD1374" s="110"/>
      <c r="KQE1374" s="110"/>
      <c r="KQF1374" s="110"/>
      <c r="KQG1374" s="110"/>
      <c r="KQH1374" s="110"/>
      <c r="KQI1374" s="110"/>
      <c r="KQJ1374" s="110"/>
      <c r="KQK1374" s="110"/>
      <c r="KQL1374" s="110"/>
      <c r="KQM1374" s="110"/>
      <c r="KQN1374" s="110"/>
      <c r="KQO1374" s="110"/>
      <c r="KQP1374" s="110"/>
      <c r="KQQ1374" s="110"/>
      <c r="KQR1374" s="110"/>
      <c r="KQS1374" s="110"/>
      <c r="KQT1374" s="110"/>
      <c r="KQU1374" s="110"/>
      <c r="KQV1374" s="110"/>
      <c r="KQW1374" s="110"/>
      <c r="KQX1374" s="110"/>
      <c r="KQY1374" s="110"/>
      <c r="KQZ1374" s="110"/>
      <c r="KRA1374" s="110"/>
      <c r="KRB1374" s="110"/>
      <c r="KRC1374" s="110"/>
      <c r="KRD1374" s="110"/>
      <c r="KRE1374" s="110"/>
      <c r="KRF1374" s="110"/>
      <c r="KRG1374" s="110"/>
      <c r="KRH1374" s="110"/>
      <c r="KRI1374" s="110"/>
      <c r="KRJ1374" s="110"/>
      <c r="KRK1374" s="110"/>
      <c r="KRL1374" s="110"/>
      <c r="KRM1374" s="110"/>
      <c r="KRN1374" s="110"/>
      <c r="KRO1374" s="110"/>
      <c r="KRP1374" s="110"/>
      <c r="KRQ1374" s="110"/>
      <c r="KRR1374" s="110"/>
      <c r="KRS1374" s="110"/>
      <c r="KRT1374" s="110"/>
      <c r="KRU1374" s="110"/>
      <c r="KRV1374" s="110"/>
      <c r="KRW1374" s="110"/>
      <c r="KRX1374" s="110"/>
      <c r="KRY1374" s="110"/>
      <c r="KRZ1374" s="110"/>
      <c r="KSA1374" s="110"/>
      <c r="KSB1374" s="110"/>
      <c r="KSC1374" s="110"/>
      <c r="KSD1374" s="110"/>
      <c r="KSE1374" s="110"/>
      <c r="KSF1374" s="110"/>
      <c r="KSG1374" s="110"/>
      <c r="KSH1374" s="110"/>
      <c r="KSI1374" s="110"/>
      <c r="KSJ1374" s="110"/>
      <c r="KSK1374" s="110"/>
      <c r="KSL1374" s="110"/>
      <c r="KSM1374" s="110"/>
      <c r="KSN1374" s="110"/>
      <c r="KSO1374" s="110"/>
      <c r="KSP1374" s="110"/>
      <c r="KSQ1374" s="110"/>
      <c r="KSR1374" s="110"/>
      <c r="KSS1374" s="110"/>
      <c r="KST1374" s="110"/>
      <c r="KSU1374" s="110"/>
      <c r="KSV1374" s="110"/>
      <c r="KSW1374" s="110"/>
      <c r="KSX1374" s="110"/>
      <c r="KSY1374" s="110"/>
      <c r="KSZ1374" s="110"/>
      <c r="KTA1374" s="110"/>
      <c r="KTB1374" s="110"/>
      <c r="KTC1374" s="110"/>
      <c r="KTD1374" s="110"/>
      <c r="KTE1374" s="110"/>
      <c r="KTF1374" s="110"/>
      <c r="KTG1374" s="110"/>
      <c r="KTH1374" s="110"/>
      <c r="KTI1374" s="110"/>
      <c r="KTJ1374" s="110"/>
      <c r="KTK1374" s="110"/>
      <c r="KTL1374" s="110"/>
      <c r="KTM1374" s="110"/>
      <c r="KTN1374" s="110"/>
      <c r="KTO1374" s="110"/>
      <c r="KTP1374" s="110"/>
      <c r="KTQ1374" s="110"/>
      <c r="KTR1374" s="110"/>
      <c r="KTS1374" s="110"/>
      <c r="KTT1374" s="110"/>
      <c r="KTU1374" s="110"/>
      <c r="KTV1374" s="110"/>
      <c r="KTW1374" s="110"/>
      <c r="KTX1374" s="110"/>
      <c r="KTY1374" s="110"/>
      <c r="KTZ1374" s="110"/>
      <c r="KUA1374" s="110"/>
      <c r="KUB1374" s="110"/>
      <c r="KUC1374" s="110"/>
      <c r="KUD1374" s="110"/>
      <c r="KUE1374" s="110"/>
      <c r="KUF1374" s="110"/>
      <c r="KUG1374" s="110"/>
      <c r="KUH1374" s="110"/>
      <c r="KUI1374" s="110"/>
      <c r="KUJ1374" s="110"/>
      <c r="KUK1374" s="110"/>
      <c r="KUL1374" s="110"/>
      <c r="KUM1374" s="110"/>
      <c r="KUN1374" s="110"/>
      <c r="KUO1374" s="110"/>
      <c r="KUP1374" s="110"/>
      <c r="KUQ1374" s="110"/>
      <c r="KUR1374" s="110"/>
      <c r="KUS1374" s="110"/>
      <c r="KUT1374" s="110"/>
      <c r="KUU1374" s="110"/>
      <c r="KUV1374" s="110"/>
      <c r="KUW1374" s="110"/>
      <c r="KUX1374" s="110"/>
      <c r="KUY1374" s="110"/>
      <c r="KUZ1374" s="110"/>
      <c r="KVA1374" s="110"/>
      <c r="KVB1374" s="110"/>
      <c r="KVC1374" s="110"/>
      <c r="KVD1374" s="110"/>
      <c r="KVE1374" s="110"/>
      <c r="KVF1374" s="110"/>
      <c r="KVG1374" s="110"/>
      <c r="KVH1374" s="110"/>
      <c r="KVI1374" s="110"/>
      <c r="KVJ1374" s="110"/>
      <c r="KVK1374" s="110"/>
      <c r="KVL1374" s="110"/>
      <c r="KVM1374" s="110"/>
      <c r="KVN1374" s="110"/>
      <c r="KVO1374" s="110"/>
      <c r="KVP1374" s="110"/>
      <c r="KVQ1374" s="110"/>
      <c r="KVR1374" s="110"/>
      <c r="KVS1374" s="110"/>
      <c r="KVT1374" s="110"/>
      <c r="KVU1374" s="110"/>
      <c r="KVV1374" s="110"/>
      <c r="KVW1374" s="110"/>
      <c r="KVX1374" s="110"/>
      <c r="KVY1374" s="110"/>
      <c r="KVZ1374" s="110"/>
      <c r="KWA1374" s="110"/>
      <c r="KWB1374" s="110"/>
      <c r="KWC1374" s="110"/>
      <c r="KWD1374" s="110"/>
      <c r="KWE1374" s="110"/>
      <c r="KWF1374" s="110"/>
      <c r="KWG1374" s="110"/>
      <c r="KWH1374" s="110"/>
      <c r="KWI1374" s="110"/>
      <c r="KWJ1374" s="110"/>
      <c r="KWK1374" s="110"/>
      <c r="KWL1374" s="110"/>
      <c r="KWM1374" s="110"/>
      <c r="KWN1374" s="110"/>
      <c r="KWO1374" s="110"/>
      <c r="KWP1374" s="110"/>
      <c r="KWQ1374" s="110"/>
      <c r="KWR1374" s="110"/>
      <c r="KWS1374" s="110"/>
      <c r="KWT1374" s="110"/>
      <c r="KWU1374" s="110"/>
      <c r="KWV1374" s="110"/>
      <c r="KWW1374" s="110"/>
      <c r="KWX1374" s="110"/>
      <c r="KWY1374" s="110"/>
      <c r="KWZ1374" s="110"/>
      <c r="KXA1374" s="110"/>
      <c r="KXB1374" s="110"/>
      <c r="KXC1374" s="110"/>
      <c r="KXD1374" s="110"/>
      <c r="KXE1374" s="110"/>
      <c r="KXF1374" s="110"/>
      <c r="KXG1374" s="110"/>
      <c r="KXH1374" s="110"/>
      <c r="KXI1374" s="110"/>
      <c r="KXJ1374" s="110"/>
      <c r="KXK1374" s="110"/>
      <c r="KXL1374" s="110"/>
      <c r="KXM1374" s="110"/>
      <c r="KXN1374" s="110"/>
      <c r="KXO1374" s="110"/>
      <c r="KXP1374" s="110"/>
      <c r="KXQ1374" s="110"/>
      <c r="KXR1374" s="110"/>
      <c r="KXS1374" s="110"/>
      <c r="KXT1374" s="110"/>
      <c r="KXU1374" s="110"/>
      <c r="KXV1374" s="110"/>
      <c r="KXW1374" s="110"/>
      <c r="KXX1374" s="110"/>
      <c r="KXY1374" s="110"/>
      <c r="KXZ1374" s="110"/>
      <c r="KYA1374" s="110"/>
      <c r="KYB1374" s="110"/>
      <c r="KYC1374" s="110"/>
      <c r="KYD1374" s="110"/>
      <c r="KYE1374" s="110"/>
      <c r="KYF1374" s="110"/>
      <c r="KYG1374" s="110"/>
      <c r="KYH1374" s="110"/>
      <c r="KYI1374" s="110"/>
      <c r="KYJ1374" s="110"/>
      <c r="KYK1374" s="110"/>
      <c r="KYL1374" s="110"/>
      <c r="KYM1374" s="110"/>
      <c r="KYN1374" s="110"/>
      <c r="KYO1374" s="110"/>
      <c r="KYP1374" s="110"/>
      <c r="KYQ1374" s="110"/>
      <c r="KYR1374" s="110"/>
      <c r="KYS1374" s="110"/>
      <c r="KYT1374" s="110"/>
      <c r="KYU1374" s="110"/>
      <c r="KYV1374" s="110"/>
      <c r="KYW1374" s="110"/>
      <c r="KYX1374" s="110"/>
      <c r="KYY1374" s="110"/>
      <c r="KYZ1374" s="110"/>
      <c r="KZA1374" s="110"/>
      <c r="KZB1374" s="110"/>
      <c r="KZC1374" s="110"/>
      <c r="KZD1374" s="110"/>
      <c r="KZE1374" s="110"/>
      <c r="KZF1374" s="110"/>
      <c r="KZG1374" s="110"/>
      <c r="KZH1374" s="110"/>
      <c r="KZI1374" s="110"/>
      <c r="KZJ1374" s="110"/>
      <c r="KZK1374" s="110"/>
      <c r="KZL1374" s="110"/>
      <c r="KZM1374" s="110"/>
      <c r="KZN1374" s="110"/>
      <c r="KZO1374" s="110"/>
      <c r="KZP1374" s="110"/>
      <c r="KZQ1374" s="110"/>
      <c r="KZR1374" s="110"/>
      <c r="KZS1374" s="110"/>
      <c r="KZT1374" s="110"/>
      <c r="KZU1374" s="110"/>
      <c r="KZV1374" s="110"/>
      <c r="KZW1374" s="110"/>
      <c r="KZX1374" s="110"/>
      <c r="KZY1374" s="110"/>
      <c r="KZZ1374" s="110"/>
      <c r="LAA1374" s="110"/>
      <c r="LAB1374" s="110"/>
      <c r="LAC1374" s="110"/>
      <c r="LAD1374" s="110"/>
      <c r="LAE1374" s="110"/>
      <c r="LAF1374" s="110"/>
      <c r="LAG1374" s="110"/>
      <c r="LAH1374" s="110"/>
      <c r="LAI1374" s="110"/>
      <c r="LAJ1374" s="110"/>
      <c r="LAK1374" s="110"/>
      <c r="LAL1374" s="110"/>
      <c r="LAM1374" s="110"/>
      <c r="LAN1374" s="110"/>
      <c r="LAO1374" s="110"/>
      <c r="LAP1374" s="110"/>
      <c r="LAQ1374" s="110"/>
      <c r="LAR1374" s="110"/>
      <c r="LAS1374" s="110"/>
      <c r="LAT1374" s="110"/>
      <c r="LAU1374" s="110"/>
      <c r="LAV1374" s="110"/>
      <c r="LAW1374" s="110"/>
      <c r="LAX1374" s="110"/>
      <c r="LAY1374" s="110"/>
      <c r="LAZ1374" s="110"/>
      <c r="LBA1374" s="110"/>
      <c r="LBB1374" s="110"/>
      <c r="LBC1374" s="110"/>
      <c r="LBD1374" s="110"/>
      <c r="LBE1374" s="110"/>
      <c r="LBF1374" s="110"/>
      <c r="LBG1374" s="110"/>
      <c r="LBH1374" s="110"/>
      <c r="LBI1374" s="110"/>
      <c r="LBJ1374" s="110"/>
      <c r="LBK1374" s="110"/>
      <c r="LBL1374" s="110"/>
      <c r="LBM1374" s="110"/>
      <c r="LBN1374" s="110"/>
      <c r="LBO1374" s="110"/>
      <c r="LBP1374" s="110"/>
      <c r="LBQ1374" s="110"/>
      <c r="LBR1374" s="110"/>
      <c r="LBS1374" s="110"/>
      <c r="LBT1374" s="110"/>
      <c r="LBU1374" s="110"/>
      <c r="LBV1374" s="110"/>
      <c r="LBW1374" s="110"/>
      <c r="LBX1374" s="110"/>
      <c r="LBY1374" s="110"/>
      <c r="LBZ1374" s="110"/>
      <c r="LCA1374" s="110"/>
      <c r="LCB1374" s="110"/>
      <c r="LCC1374" s="110"/>
      <c r="LCD1374" s="110"/>
      <c r="LCE1374" s="110"/>
      <c r="LCF1374" s="110"/>
      <c r="LCG1374" s="110"/>
      <c r="LCH1374" s="110"/>
      <c r="LCI1374" s="110"/>
      <c r="LCJ1374" s="110"/>
      <c r="LCK1374" s="110"/>
      <c r="LCL1374" s="110"/>
      <c r="LCM1374" s="110"/>
      <c r="LCN1374" s="110"/>
      <c r="LCO1374" s="110"/>
      <c r="LCP1374" s="110"/>
      <c r="LCQ1374" s="110"/>
      <c r="LCR1374" s="110"/>
      <c r="LCS1374" s="110"/>
      <c r="LCT1374" s="110"/>
      <c r="LCU1374" s="110"/>
      <c r="LCV1374" s="110"/>
      <c r="LCW1374" s="110"/>
      <c r="LCX1374" s="110"/>
      <c r="LCY1374" s="110"/>
      <c r="LCZ1374" s="110"/>
      <c r="LDA1374" s="110"/>
      <c r="LDB1374" s="110"/>
      <c r="LDC1374" s="110"/>
      <c r="LDD1374" s="110"/>
      <c r="LDE1374" s="110"/>
      <c r="LDF1374" s="110"/>
      <c r="LDG1374" s="110"/>
      <c r="LDH1374" s="110"/>
      <c r="LDI1374" s="110"/>
      <c r="LDJ1374" s="110"/>
      <c r="LDK1374" s="110"/>
      <c r="LDL1374" s="110"/>
      <c r="LDM1374" s="110"/>
      <c r="LDN1374" s="110"/>
      <c r="LDO1374" s="110"/>
      <c r="LDP1374" s="110"/>
      <c r="LDQ1374" s="110"/>
      <c r="LDR1374" s="110"/>
      <c r="LDS1374" s="110"/>
      <c r="LDT1374" s="110"/>
      <c r="LDU1374" s="110"/>
      <c r="LDV1374" s="110"/>
      <c r="LDW1374" s="110"/>
      <c r="LDX1374" s="110"/>
      <c r="LDY1374" s="110"/>
      <c r="LDZ1374" s="110"/>
      <c r="LEA1374" s="110"/>
      <c r="LEB1374" s="110"/>
      <c r="LEC1374" s="110"/>
      <c r="LED1374" s="110"/>
      <c r="LEE1374" s="110"/>
      <c r="LEF1374" s="110"/>
      <c r="LEG1374" s="110"/>
      <c r="LEH1374" s="110"/>
      <c r="LEI1374" s="110"/>
      <c r="LEJ1374" s="110"/>
      <c r="LEK1374" s="110"/>
      <c r="LEL1374" s="110"/>
      <c r="LEM1374" s="110"/>
      <c r="LEN1374" s="110"/>
      <c r="LEO1374" s="110"/>
      <c r="LEP1374" s="110"/>
      <c r="LEQ1374" s="110"/>
      <c r="LER1374" s="110"/>
      <c r="LES1374" s="110"/>
      <c r="LET1374" s="110"/>
      <c r="LEU1374" s="110"/>
      <c r="LEV1374" s="110"/>
      <c r="LEW1374" s="110"/>
      <c r="LEX1374" s="110"/>
      <c r="LEY1374" s="110"/>
      <c r="LEZ1374" s="110"/>
      <c r="LFA1374" s="110"/>
      <c r="LFB1374" s="110"/>
      <c r="LFC1374" s="110"/>
      <c r="LFD1374" s="110"/>
      <c r="LFE1374" s="110"/>
      <c r="LFF1374" s="110"/>
      <c r="LFG1374" s="110"/>
      <c r="LFH1374" s="110"/>
      <c r="LFI1374" s="110"/>
      <c r="LFJ1374" s="110"/>
      <c r="LFK1374" s="110"/>
      <c r="LFL1374" s="110"/>
      <c r="LFM1374" s="110"/>
      <c r="LFN1374" s="110"/>
      <c r="LFO1374" s="110"/>
      <c r="LFP1374" s="110"/>
      <c r="LFQ1374" s="110"/>
      <c r="LFR1374" s="110"/>
      <c r="LFS1374" s="110"/>
      <c r="LFT1374" s="110"/>
      <c r="LFU1374" s="110"/>
      <c r="LFV1374" s="110"/>
      <c r="LFW1374" s="110"/>
      <c r="LFX1374" s="110"/>
      <c r="LFY1374" s="110"/>
      <c r="LFZ1374" s="110"/>
      <c r="LGA1374" s="110"/>
      <c r="LGB1374" s="110"/>
      <c r="LGC1374" s="110"/>
      <c r="LGD1374" s="110"/>
      <c r="LGE1374" s="110"/>
      <c r="LGF1374" s="110"/>
      <c r="LGG1374" s="110"/>
      <c r="LGH1374" s="110"/>
      <c r="LGI1374" s="110"/>
      <c r="LGJ1374" s="110"/>
      <c r="LGK1374" s="110"/>
      <c r="LGL1374" s="110"/>
      <c r="LGM1374" s="110"/>
      <c r="LGN1374" s="110"/>
      <c r="LGO1374" s="110"/>
      <c r="LGP1374" s="110"/>
      <c r="LGQ1374" s="110"/>
      <c r="LGR1374" s="110"/>
      <c r="LGS1374" s="110"/>
      <c r="LGT1374" s="110"/>
      <c r="LGU1374" s="110"/>
      <c r="LGV1374" s="110"/>
      <c r="LGW1374" s="110"/>
      <c r="LGX1374" s="110"/>
      <c r="LGY1374" s="110"/>
      <c r="LGZ1374" s="110"/>
      <c r="LHA1374" s="110"/>
      <c r="LHB1374" s="110"/>
      <c r="LHC1374" s="110"/>
      <c r="LHD1374" s="110"/>
      <c r="LHE1374" s="110"/>
      <c r="LHF1374" s="110"/>
      <c r="LHG1374" s="110"/>
      <c r="LHH1374" s="110"/>
      <c r="LHI1374" s="110"/>
      <c r="LHJ1374" s="110"/>
      <c r="LHK1374" s="110"/>
      <c r="LHL1374" s="110"/>
      <c r="LHM1374" s="110"/>
      <c r="LHN1374" s="110"/>
      <c r="LHO1374" s="110"/>
      <c r="LHP1374" s="110"/>
      <c r="LHQ1374" s="110"/>
      <c r="LHR1374" s="110"/>
      <c r="LHS1374" s="110"/>
      <c r="LHT1374" s="110"/>
      <c r="LHU1374" s="110"/>
      <c r="LHV1374" s="110"/>
      <c r="LHW1374" s="110"/>
      <c r="LHX1374" s="110"/>
      <c r="LHY1374" s="110"/>
      <c r="LHZ1374" s="110"/>
      <c r="LIA1374" s="110"/>
      <c r="LIB1374" s="110"/>
      <c r="LIC1374" s="110"/>
      <c r="LID1374" s="110"/>
      <c r="LIE1374" s="110"/>
      <c r="LIF1374" s="110"/>
      <c r="LIG1374" s="110"/>
      <c r="LIH1374" s="110"/>
      <c r="LII1374" s="110"/>
      <c r="LIJ1374" s="110"/>
      <c r="LIK1374" s="110"/>
      <c r="LIL1374" s="110"/>
      <c r="LIM1374" s="110"/>
      <c r="LIN1374" s="110"/>
      <c r="LIO1374" s="110"/>
      <c r="LIP1374" s="110"/>
      <c r="LIQ1374" s="110"/>
      <c r="LIR1374" s="110"/>
      <c r="LIS1374" s="110"/>
      <c r="LIT1374" s="110"/>
      <c r="LIU1374" s="110"/>
      <c r="LIV1374" s="110"/>
      <c r="LIW1374" s="110"/>
      <c r="LIX1374" s="110"/>
      <c r="LIY1374" s="110"/>
      <c r="LIZ1374" s="110"/>
      <c r="LJA1374" s="110"/>
      <c r="LJB1374" s="110"/>
      <c r="LJC1374" s="110"/>
      <c r="LJD1374" s="110"/>
      <c r="LJE1374" s="110"/>
      <c r="LJF1374" s="110"/>
      <c r="LJG1374" s="110"/>
      <c r="LJH1374" s="110"/>
      <c r="LJI1374" s="110"/>
      <c r="LJJ1374" s="110"/>
      <c r="LJK1374" s="110"/>
      <c r="LJL1374" s="110"/>
      <c r="LJM1374" s="110"/>
      <c r="LJN1374" s="110"/>
      <c r="LJO1374" s="110"/>
      <c r="LJP1374" s="110"/>
      <c r="LJQ1374" s="110"/>
      <c r="LJR1374" s="110"/>
      <c r="LJS1374" s="110"/>
      <c r="LJT1374" s="110"/>
      <c r="LJU1374" s="110"/>
      <c r="LJV1374" s="110"/>
      <c r="LJW1374" s="110"/>
      <c r="LJX1374" s="110"/>
      <c r="LJY1374" s="110"/>
      <c r="LJZ1374" s="110"/>
      <c r="LKA1374" s="110"/>
      <c r="LKB1374" s="110"/>
      <c r="LKC1374" s="110"/>
      <c r="LKD1374" s="110"/>
      <c r="LKE1374" s="110"/>
      <c r="LKF1374" s="110"/>
      <c r="LKG1374" s="110"/>
      <c r="LKH1374" s="110"/>
      <c r="LKI1374" s="110"/>
      <c r="LKJ1374" s="110"/>
      <c r="LKK1374" s="110"/>
      <c r="LKL1374" s="110"/>
      <c r="LKM1374" s="110"/>
      <c r="LKN1374" s="110"/>
      <c r="LKO1374" s="110"/>
      <c r="LKP1374" s="110"/>
      <c r="LKQ1374" s="110"/>
      <c r="LKR1374" s="110"/>
      <c r="LKS1374" s="110"/>
      <c r="LKT1374" s="110"/>
      <c r="LKU1374" s="110"/>
      <c r="LKV1374" s="110"/>
      <c r="LKW1374" s="110"/>
      <c r="LKX1374" s="110"/>
      <c r="LKY1374" s="110"/>
      <c r="LKZ1374" s="110"/>
      <c r="LLA1374" s="110"/>
      <c r="LLB1374" s="110"/>
      <c r="LLC1374" s="110"/>
      <c r="LLD1374" s="110"/>
      <c r="LLE1374" s="110"/>
      <c r="LLF1374" s="110"/>
      <c r="LLG1374" s="110"/>
      <c r="LLH1374" s="110"/>
      <c r="LLI1374" s="110"/>
      <c r="LLJ1374" s="110"/>
      <c r="LLK1374" s="110"/>
      <c r="LLL1374" s="110"/>
      <c r="LLM1374" s="110"/>
      <c r="LLN1374" s="110"/>
      <c r="LLO1374" s="110"/>
      <c r="LLP1374" s="110"/>
      <c r="LLQ1374" s="110"/>
      <c r="LLR1374" s="110"/>
      <c r="LLS1374" s="110"/>
      <c r="LLT1374" s="110"/>
      <c r="LLU1374" s="110"/>
      <c r="LLV1374" s="110"/>
      <c r="LLW1374" s="110"/>
      <c r="LLX1374" s="110"/>
      <c r="LLY1374" s="110"/>
      <c r="LLZ1374" s="110"/>
      <c r="LMA1374" s="110"/>
      <c r="LMB1374" s="110"/>
      <c r="LMC1374" s="110"/>
      <c r="LMD1374" s="110"/>
      <c r="LME1374" s="110"/>
      <c r="LMF1374" s="110"/>
      <c r="LMG1374" s="110"/>
      <c r="LMH1374" s="110"/>
      <c r="LMI1374" s="110"/>
      <c r="LMJ1374" s="110"/>
      <c r="LMK1374" s="110"/>
      <c r="LML1374" s="110"/>
      <c r="LMM1374" s="110"/>
      <c r="LMN1374" s="110"/>
      <c r="LMO1374" s="110"/>
      <c r="LMP1374" s="110"/>
      <c r="LMQ1374" s="110"/>
      <c r="LMR1374" s="110"/>
      <c r="LMS1374" s="110"/>
      <c r="LMT1374" s="110"/>
      <c r="LMU1374" s="110"/>
      <c r="LMV1374" s="110"/>
      <c r="LMW1374" s="110"/>
      <c r="LMX1374" s="110"/>
      <c r="LMY1374" s="110"/>
      <c r="LMZ1374" s="110"/>
      <c r="LNA1374" s="110"/>
      <c r="LNB1374" s="110"/>
      <c r="LNC1374" s="110"/>
      <c r="LND1374" s="110"/>
      <c r="LNE1374" s="110"/>
      <c r="LNF1374" s="110"/>
      <c r="LNG1374" s="110"/>
      <c r="LNH1374" s="110"/>
      <c r="LNI1374" s="110"/>
      <c r="LNJ1374" s="110"/>
      <c r="LNK1374" s="110"/>
      <c r="LNL1374" s="110"/>
      <c r="LNM1374" s="110"/>
      <c r="LNN1374" s="110"/>
      <c r="LNO1374" s="110"/>
      <c r="LNP1374" s="110"/>
      <c r="LNQ1374" s="110"/>
      <c r="LNR1374" s="110"/>
      <c r="LNS1374" s="110"/>
      <c r="LNT1374" s="110"/>
      <c r="LNU1374" s="110"/>
      <c r="LNV1374" s="110"/>
      <c r="LNW1374" s="110"/>
      <c r="LNX1374" s="110"/>
      <c r="LNY1374" s="110"/>
      <c r="LNZ1374" s="110"/>
      <c r="LOA1374" s="110"/>
      <c r="LOB1374" s="110"/>
      <c r="LOC1374" s="110"/>
      <c r="LOD1374" s="110"/>
      <c r="LOE1374" s="110"/>
      <c r="LOF1374" s="110"/>
      <c r="LOG1374" s="110"/>
      <c r="LOH1374" s="110"/>
      <c r="LOI1374" s="110"/>
      <c r="LOJ1374" s="110"/>
      <c r="LOK1374" s="110"/>
      <c r="LOL1374" s="110"/>
      <c r="LOM1374" s="110"/>
      <c r="LON1374" s="110"/>
      <c r="LOO1374" s="110"/>
      <c r="LOP1374" s="110"/>
      <c r="LOQ1374" s="110"/>
      <c r="LOR1374" s="110"/>
      <c r="LOS1374" s="110"/>
      <c r="LOT1374" s="110"/>
      <c r="LOU1374" s="110"/>
      <c r="LOV1374" s="110"/>
      <c r="LOW1374" s="110"/>
      <c r="LOX1374" s="110"/>
      <c r="LOY1374" s="110"/>
      <c r="LOZ1374" s="110"/>
      <c r="LPA1374" s="110"/>
      <c r="LPB1374" s="110"/>
      <c r="LPC1374" s="110"/>
      <c r="LPD1374" s="110"/>
      <c r="LPE1374" s="110"/>
      <c r="LPF1374" s="110"/>
      <c r="LPG1374" s="110"/>
      <c r="LPH1374" s="110"/>
      <c r="LPI1374" s="110"/>
      <c r="LPJ1374" s="110"/>
      <c r="LPK1374" s="110"/>
      <c r="LPL1374" s="110"/>
      <c r="LPM1374" s="110"/>
      <c r="LPN1374" s="110"/>
      <c r="LPO1374" s="110"/>
      <c r="LPP1374" s="110"/>
      <c r="LPQ1374" s="110"/>
      <c r="LPR1374" s="110"/>
      <c r="LPS1374" s="110"/>
      <c r="LPT1374" s="110"/>
      <c r="LPU1374" s="110"/>
      <c r="LPV1374" s="110"/>
      <c r="LPW1374" s="110"/>
      <c r="LPX1374" s="110"/>
      <c r="LPY1374" s="110"/>
      <c r="LPZ1374" s="110"/>
      <c r="LQA1374" s="110"/>
      <c r="LQB1374" s="110"/>
      <c r="LQC1374" s="110"/>
      <c r="LQD1374" s="110"/>
      <c r="LQE1374" s="110"/>
      <c r="LQF1374" s="110"/>
      <c r="LQG1374" s="110"/>
      <c r="LQH1374" s="110"/>
      <c r="LQI1374" s="110"/>
      <c r="LQJ1374" s="110"/>
      <c r="LQK1374" s="110"/>
      <c r="LQL1374" s="110"/>
      <c r="LQM1374" s="110"/>
      <c r="LQN1374" s="110"/>
      <c r="LQO1374" s="110"/>
      <c r="LQP1374" s="110"/>
      <c r="LQQ1374" s="110"/>
      <c r="LQR1374" s="110"/>
      <c r="LQS1374" s="110"/>
      <c r="LQT1374" s="110"/>
      <c r="LQU1374" s="110"/>
      <c r="LQV1374" s="110"/>
      <c r="LQW1374" s="110"/>
      <c r="LQX1374" s="110"/>
      <c r="LQY1374" s="110"/>
      <c r="LQZ1374" s="110"/>
      <c r="LRA1374" s="110"/>
      <c r="LRB1374" s="110"/>
      <c r="LRC1374" s="110"/>
      <c r="LRD1374" s="110"/>
      <c r="LRE1374" s="110"/>
      <c r="LRF1374" s="110"/>
      <c r="LRG1374" s="110"/>
      <c r="LRH1374" s="110"/>
      <c r="LRI1374" s="110"/>
      <c r="LRJ1374" s="110"/>
      <c r="LRK1374" s="110"/>
      <c r="LRL1374" s="110"/>
      <c r="LRM1374" s="110"/>
      <c r="LRN1374" s="110"/>
      <c r="LRO1374" s="110"/>
      <c r="LRP1374" s="110"/>
      <c r="LRQ1374" s="110"/>
      <c r="LRR1374" s="110"/>
      <c r="LRS1374" s="110"/>
      <c r="LRT1374" s="110"/>
      <c r="LRU1374" s="110"/>
      <c r="LRV1374" s="110"/>
      <c r="LRW1374" s="110"/>
      <c r="LRX1374" s="110"/>
      <c r="LRY1374" s="110"/>
      <c r="LRZ1374" s="110"/>
      <c r="LSA1374" s="110"/>
      <c r="LSB1374" s="110"/>
      <c r="LSC1374" s="110"/>
      <c r="LSD1374" s="110"/>
      <c r="LSE1374" s="110"/>
      <c r="LSF1374" s="110"/>
      <c r="LSG1374" s="110"/>
      <c r="LSH1374" s="110"/>
      <c r="LSI1374" s="110"/>
      <c r="LSJ1374" s="110"/>
      <c r="LSK1374" s="110"/>
      <c r="LSL1374" s="110"/>
      <c r="LSM1374" s="110"/>
      <c r="LSN1374" s="110"/>
      <c r="LSO1374" s="110"/>
      <c r="LSP1374" s="110"/>
      <c r="LSQ1374" s="110"/>
      <c r="LSR1374" s="110"/>
      <c r="LSS1374" s="110"/>
      <c r="LST1374" s="110"/>
      <c r="LSU1374" s="110"/>
      <c r="LSV1374" s="110"/>
      <c r="LSW1374" s="110"/>
      <c r="LSX1374" s="110"/>
      <c r="LSY1374" s="110"/>
      <c r="LSZ1374" s="110"/>
      <c r="LTA1374" s="110"/>
      <c r="LTB1374" s="110"/>
      <c r="LTC1374" s="110"/>
      <c r="LTD1374" s="110"/>
      <c r="LTE1374" s="110"/>
      <c r="LTF1374" s="110"/>
      <c r="LTG1374" s="110"/>
      <c r="LTH1374" s="110"/>
      <c r="LTI1374" s="110"/>
      <c r="LTJ1374" s="110"/>
      <c r="LTK1374" s="110"/>
      <c r="LTL1374" s="110"/>
      <c r="LTM1374" s="110"/>
      <c r="LTN1374" s="110"/>
      <c r="LTO1374" s="110"/>
      <c r="LTP1374" s="110"/>
      <c r="LTQ1374" s="110"/>
      <c r="LTR1374" s="110"/>
      <c r="LTS1374" s="110"/>
      <c r="LTT1374" s="110"/>
      <c r="LTU1374" s="110"/>
      <c r="LTV1374" s="110"/>
      <c r="LTW1374" s="110"/>
      <c r="LTX1374" s="110"/>
      <c r="LTY1374" s="110"/>
      <c r="LTZ1374" s="110"/>
      <c r="LUA1374" s="110"/>
      <c r="LUB1374" s="110"/>
      <c r="LUC1374" s="110"/>
      <c r="LUD1374" s="110"/>
      <c r="LUE1374" s="110"/>
      <c r="LUF1374" s="110"/>
      <c r="LUG1374" s="110"/>
      <c r="LUH1374" s="110"/>
      <c r="LUI1374" s="110"/>
      <c r="LUJ1374" s="110"/>
      <c r="LUK1374" s="110"/>
      <c r="LUL1374" s="110"/>
      <c r="LUM1374" s="110"/>
      <c r="LUN1374" s="110"/>
      <c r="LUO1374" s="110"/>
      <c r="LUP1374" s="110"/>
      <c r="LUQ1374" s="110"/>
      <c r="LUR1374" s="110"/>
      <c r="LUS1374" s="110"/>
      <c r="LUT1374" s="110"/>
      <c r="LUU1374" s="110"/>
      <c r="LUV1374" s="110"/>
      <c r="LUW1374" s="110"/>
      <c r="LUX1374" s="110"/>
      <c r="LUY1374" s="110"/>
      <c r="LUZ1374" s="110"/>
      <c r="LVA1374" s="110"/>
      <c r="LVB1374" s="110"/>
      <c r="LVC1374" s="110"/>
      <c r="LVD1374" s="110"/>
      <c r="LVE1374" s="110"/>
      <c r="LVF1374" s="110"/>
      <c r="LVG1374" s="110"/>
      <c r="LVH1374" s="110"/>
      <c r="LVI1374" s="110"/>
      <c r="LVJ1374" s="110"/>
      <c r="LVK1374" s="110"/>
      <c r="LVL1374" s="110"/>
      <c r="LVM1374" s="110"/>
      <c r="LVN1374" s="110"/>
      <c r="LVO1374" s="110"/>
      <c r="LVP1374" s="110"/>
      <c r="LVQ1374" s="110"/>
      <c r="LVR1374" s="110"/>
      <c r="LVS1374" s="110"/>
      <c r="LVT1374" s="110"/>
      <c r="LVU1374" s="110"/>
      <c r="LVV1374" s="110"/>
      <c r="LVW1374" s="110"/>
      <c r="LVX1374" s="110"/>
      <c r="LVY1374" s="110"/>
      <c r="LVZ1374" s="110"/>
      <c r="LWA1374" s="110"/>
      <c r="LWB1374" s="110"/>
      <c r="LWC1374" s="110"/>
      <c r="LWD1374" s="110"/>
      <c r="LWE1374" s="110"/>
      <c r="LWF1374" s="110"/>
      <c r="LWG1374" s="110"/>
      <c r="LWH1374" s="110"/>
      <c r="LWI1374" s="110"/>
      <c r="LWJ1374" s="110"/>
      <c r="LWK1374" s="110"/>
      <c r="LWL1374" s="110"/>
      <c r="LWM1374" s="110"/>
      <c r="LWN1374" s="110"/>
      <c r="LWO1374" s="110"/>
      <c r="LWP1374" s="110"/>
      <c r="LWQ1374" s="110"/>
      <c r="LWR1374" s="110"/>
      <c r="LWS1374" s="110"/>
      <c r="LWT1374" s="110"/>
      <c r="LWU1374" s="110"/>
      <c r="LWV1374" s="110"/>
      <c r="LWW1374" s="110"/>
      <c r="LWX1374" s="110"/>
      <c r="LWY1374" s="110"/>
      <c r="LWZ1374" s="110"/>
      <c r="LXA1374" s="110"/>
      <c r="LXB1374" s="110"/>
      <c r="LXC1374" s="110"/>
      <c r="LXD1374" s="110"/>
      <c r="LXE1374" s="110"/>
      <c r="LXF1374" s="110"/>
      <c r="LXG1374" s="110"/>
      <c r="LXH1374" s="110"/>
      <c r="LXI1374" s="110"/>
      <c r="LXJ1374" s="110"/>
      <c r="LXK1374" s="110"/>
      <c r="LXL1374" s="110"/>
      <c r="LXM1374" s="110"/>
      <c r="LXN1374" s="110"/>
      <c r="LXO1374" s="110"/>
      <c r="LXP1374" s="110"/>
      <c r="LXQ1374" s="110"/>
      <c r="LXR1374" s="110"/>
      <c r="LXS1374" s="110"/>
      <c r="LXT1374" s="110"/>
      <c r="LXU1374" s="110"/>
      <c r="LXV1374" s="110"/>
      <c r="LXW1374" s="110"/>
      <c r="LXX1374" s="110"/>
      <c r="LXY1374" s="110"/>
      <c r="LXZ1374" s="110"/>
      <c r="LYA1374" s="110"/>
      <c r="LYB1374" s="110"/>
      <c r="LYC1374" s="110"/>
      <c r="LYD1374" s="110"/>
      <c r="LYE1374" s="110"/>
      <c r="LYF1374" s="110"/>
      <c r="LYG1374" s="110"/>
      <c r="LYH1374" s="110"/>
      <c r="LYI1374" s="110"/>
      <c r="LYJ1374" s="110"/>
      <c r="LYK1374" s="110"/>
      <c r="LYL1374" s="110"/>
      <c r="LYM1374" s="110"/>
      <c r="LYN1374" s="110"/>
      <c r="LYO1374" s="110"/>
      <c r="LYP1374" s="110"/>
      <c r="LYQ1374" s="110"/>
      <c r="LYR1374" s="110"/>
      <c r="LYS1374" s="110"/>
      <c r="LYT1374" s="110"/>
      <c r="LYU1374" s="110"/>
      <c r="LYV1374" s="110"/>
      <c r="LYW1374" s="110"/>
      <c r="LYX1374" s="110"/>
      <c r="LYY1374" s="110"/>
      <c r="LYZ1374" s="110"/>
      <c r="LZA1374" s="110"/>
      <c r="LZB1374" s="110"/>
      <c r="LZC1374" s="110"/>
      <c r="LZD1374" s="110"/>
      <c r="LZE1374" s="110"/>
      <c r="LZF1374" s="110"/>
      <c r="LZG1374" s="110"/>
      <c r="LZH1374" s="110"/>
      <c r="LZI1374" s="110"/>
      <c r="LZJ1374" s="110"/>
      <c r="LZK1374" s="110"/>
      <c r="LZL1374" s="110"/>
      <c r="LZM1374" s="110"/>
      <c r="LZN1374" s="110"/>
      <c r="LZO1374" s="110"/>
      <c r="LZP1374" s="110"/>
      <c r="LZQ1374" s="110"/>
      <c r="LZR1374" s="110"/>
      <c r="LZS1374" s="110"/>
      <c r="LZT1374" s="110"/>
      <c r="LZU1374" s="110"/>
      <c r="LZV1374" s="110"/>
      <c r="LZW1374" s="110"/>
      <c r="LZX1374" s="110"/>
      <c r="LZY1374" s="110"/>
      <c r="LZZ1374" s="110"/>
      <c r="MAA1374" s="110"/>
      <c r="MAB1374" s="110"/>
      <c r="MAC1374" s="110"/>
      <c r="MAD1374" s="110"/>
      <c r="MAE1374" s="110"/>
      <c r="MAF1374" s="110"/>
      <c r="MAG1374" s="110"/>
      <c r="MAH1374" s="110"/>
      <c r="MAI1374" s="110"/>
      <c r="MAJ1374" s="110"/>
      <c r="MAK1374" s="110"/>
      <c r="MAL1374" s="110"/>
      <c r="MAM1374" s="110"/>
      <c r="MAN1374" s="110"/>
      <c r="MAO1374" s="110"/>
      <c r="MAP1374" s="110"/>
      <c r="MAQ1374" s="110"/>
      <c r="MAR1374" s="110"/>
      <c r="MAS1374" s="110"/>
      <c r="MAT1374" s="110"/>
      <c r="MAU1374" s="110"/>
      <c r="MAV1374" s="110"/>
      <c r="MAW1374" s="110"/>
      <c r="MAX1374" s="110"/>
      <c r="MAY1374" s="110"/>
      <c r="MAZ1374" s="110"/>
      <c r="MBA1374" s="110"/>
      <c r="MBB1374" s="110"/>
      <c r="MBC1374" s="110"/>
      <c r="MBD1374" s="110"/>
      <c r="MBE1374" s="110"/>
      <c r="MBF1374" s="110"/>
      <c r="MBG1374" s="110"/>
      <c r="MBH1374" s="110"/>
      <c r="MBI1374" s="110"/>
      <c r="MBJ1374" s="110"/>
      <c r="MBK1374" s="110"/>
      <c r="MBL1374" s="110"/>
      <c r="MBM1374" s="110"/>
      <c r="MBN1374" s="110"/>
      <c r="MBO1374" s="110"/>
      <c r="MBP1374" s="110"/>
      <c r="MBQ1374" s="110"/>
      <c r="MBR1374" s="110"/>
      <c r="MBS1374" s="110"/>
      <c r="MBT1374" s="110"/>
      <c r="MBU1374" s="110"/>
      <c r="MBV1374" s="110"/>
      <c r="MBW1374" s="110"/>
      <c r="MBX1374" s="110"/>
      <c r="MBY1374" s="110"/>
      <c r="MBZ1374" s="110"/>
      <c r="MCA1374" s="110"/>
      <c r="MCB1374" s="110"/>
      <c r="MCC1374" s="110"/>
      <c r="MCD1374" s="110"/>
      <c r="MCE1374" s="110"/>
      <c r="MCF1374" s="110"/>
      <c r="MCG1374" s="110"/>
      <c r="MCH1374" s="110"/>
      <c r="MCI1374" s="110"/>
      <c r="MCJ1374" s="110"/>
      <c r="MCK1374" s="110"/>
      <c r="MCL1374" s="110"/>
      <c r="MCM1374" s="110"/>
      <c r="MCN1374" s="110"/>
      <c r="MCO1374" s="110"/>
      <c r="MCP1374" s="110"/>
      <c r="MCQ1374" s="110"/>
      <c r="MCR1374" s="110"/>
      <c r="MCS1374" s="110"/>
      <c r="MCT1374" s="110"/>
      <c r="MCU1374" s="110"/>
      <c r="MCV1374" s="110"/>
      <c r="MCW1374" s="110"/>
      <c r="MCX1374" s="110"/>
      <c r="MCY1374" s="110"/>
      <c r="MCZ1374" s="110"/>
      <c r="MDA1374" s="110"/>
      <c r="MDB1374" s="110"/>
      <c r="MDC1374" s="110"/>
      <c r="MDD1374" s="110"/>
      <c r="MDE1374" s="110"/>
      <c r="MDF1374" s="110"/>
      <c r="MDG1374" s="110"/>
      <c r="MDH1374" s="110"/>
      <c r="MDI1374" s="110"/>
      <c r="MDJ1374" s="110"/>
      <c r="MDK1374" s="110"/>
      <c r="MDL1374" s="110"/>
      <c r="MDM1374" s="110"/>
      <c r="MDN1374" s="110"/>
      <c r="MDO1374" s="110"/>
      <c r="MDP1374" s="110"/>
      <c r="MDQ1374" s="110"/>
      <c r="MDR1374" s="110"/>
      <c r="MDS1374" s="110"/>
      <c r="MDT1374" s="110"/>
      <c r="MDU1374" s="110"/>
      <c r="MDV1374" s="110"/>
      <c r="MDW1374" s="110"/>
      <c r="MDX1374" s="110"/>
      <c r="MDY1374" s="110"/>
      <c r="MDZ1374" s="110"/>
      <c r="MEA1374" s="110"/>
      <c r="MEB1374" s="110"/>
      <c r="MEC1374" s="110"/>
      <c r="MED1374" s="110"/>
      <c r="MEE1374" s="110"/>
      <c r="MEF1374" s="110"/>
      <c r="MEG1374" s="110"/>
      <c r="MEH1374" s="110"/>
      <c r="MEI1374" s="110"/>
      <c r="MEJ1374" s="110"/>
      <c r="MEK1374" s="110"/>
      <c r="MEL1374" s="110"/>
      <c r="MEM1374" s="110"/>
      <c r="MEN1374" s="110"/>
      <c r="MEO1374" s="110"/>
      <c r="MEP1374" s="110"/>
      <c r="MEQ1374" s="110"/>
      <c r="MER1374" s="110"/>
      <c r="MES1374" s="110"/>
      <c r="MET1374" s="110"/>
      <c r="MEU1374" s="110"/>
      <c r="MEV1374" s="110"/>
      <c r="MEW1374" s="110"/>
      <c r="MEX1374" s="110"/>
      <c r="MEY1374" s="110"/>
      <c r="MEZ1374" s="110"/>
      <c r="MFA1374" s="110"/>
      <c r="MFB1374" s="110"/>
      <c r="MFC1374" s="110"/>
      <c r="MFD1374" s="110"/>
      <c r="MFE1374" s="110"/>
      <c r="MFF1374" s="110"/>
      <c r="MFG1374" s="110"/>
      <c r="MFH1374" s="110"/>
      <c r="MFI1374" s="110"/>
      <c r="MFJ1374" s="110"/>
      <c r="MFK1374" s="110"/>
      <c r="MFL1374" s="110"/>
      <c r="MFM1374" s="110"/>
      <c r="MFN1374" s="110"/>
      <c r="MFO1374" s="110"/>
      <c r="MFP1374" s="110"/>
      <c r="MFQ1374" s="110"/>
      <c r="MFR1374" s="110"/>
      <c r="MFS1374" s="110"/>
      <c r="MFT1374" s="110"/>
      <c r="MFU1374" s="110"/>
      <c r="MFV1374" s="110"/>
      <c r="MFW1374" s="110"/>
      <c r="MFX1374" s="110"/>
      <c r="MFY1374" s="110"/>
      <c r="MFZ1374" s="110"/>
      <c r="MGA1374" s="110"/>
      <c r="MGB1374" s="110"/>
      <c r="MGC1374" s="110"/>
      <c r="MGD1374" s="110"/>
      <c r="MGE1374" s="110"/>
      <c r="MGF1374" s="110"/>
      <c r="MGG1374" s="110"/>
      <c r="MGH1374" s="110"/>
      <c r="MGI1374" s="110"/>
      <c r="MGJ1374" s="110"/>
      <c r="MGK1374" s="110"/>
      <c r="MGL1374" s="110"/>
      <c r="MGM1374" s="110"/>
      <c r="MGN1374" s="110"/>
      <c r="MGO1374" s="110"/>
      <c r="MGP1374" s="110"/>
      <c r="MGQ1374" s="110"/>
      <c r="MGR1374" s="110"/>
      <c r="MGS1374" s="110"/>
      <c r="MGT1374" s="110"/>
      <c r="MGU1374" s="110"/>
      <c r="MGV1374" s="110"/>
      <c r="MGW1374" s="110"/>
      <c r="MGX1374" s="110"/>
      <c r="MGY1374" s="110"/>
      <c r="MGZ1374" s="110"/>
      <c r="MHA1374" s="110"/>
      <c r="MHB1374" s="110"/>
      <c r="MHC1374" s="110"/>
      <c r="MHD1374" s="110"/>
      <c r="MHE1374" s="110"/>
      <c r="MHF1374" s="110"/>
      <c r="MHG1374" s="110"/>
      <c r="MHH1374" s="110"/>
      <c r="MHI1374" s="110"/>
      <c r="MHJ1374" s="110"/>
      <c r="MHK1374" s="110"/>
      <c r="MHL1374" s="110"/>
      <c r="MHM1374" s="110"/>
      <c r="MHN1374" s="110"/>
      <c r="MHO1374" s="110"/>
      <c r="MHP1374" s="110"/>
      <c r="MHQ1374" s="110"/>
      <c r="MHR1374" s="110"/>
      <c r="MHS1374" s="110"/>
      <c r="MHT1374" s="110"/>
      <c r="MHU1374" s="110"/>
      <c r="MHV1374" s="110"/>
      <c r="MHW1374" s="110"/>
      <c r="MHX1374" s="110"/>
      <c r="MHY1374" s="110"/>
      <c r="MHZ1374" s="110"/>
      <c r="MIA1374" s="110"/>
      <c r="MIB1374" s="110"/>
      <c r="MIC1374" s="110"/>
      <c r="MID1374" s="110"/>
      <c r="MIE1374" s="110"/>
      <c r="MIF1374" s="110"/>
      <c r="MIG1374" s="110"/>
      <c r="MIH1374" s="110"/>
      <c r="MII1374" s="110"/>
      <c r="MIJ1374" s="110"/>
      <c r="MIK1374" s="110"/>
      <c r="MIL1374" s="110"/>
      <c r="MIM1374" s="110"/>
      <c r="MIN1374" s="110"/>
      <c r="MIO1374" s="110"/>
      <c r="MIP1374" s="110"/>
      <c r="MIQ1374" s="110"/>
      <c r="MIR1374" s="110"/>
      <c r="MIS1374" s="110"/>
      <c r="MIT1374" s="110"/>
      <c r="MIU1374" s="110"/>
      <c r="MIV1374" s="110"/>
      <c r="MIW1374" s="110"/>
      <c r="MIX1374" s="110"/>
      <c r="MIY1374" s="110"/>
      <c r="MIZ1374" s="110"/>
      <c r="MJA1374" s="110"/>
      <c r="MJB1374" s="110"/>
      <c r="MJC1374" s="110"/>
      <c r="MJD1374" s="110"/>
      <c r="MJE1374" s="110"/>
      <c r="MJF1374" s="110"/>
      <c r="MJG1374" s="110"/>
      <c r="MJH1374" s="110"/>
      <c r="MJI1374" s="110"/>
      <c r="MJJ1374" s="110"/>
      <c r="MJK1374" s="110"/>
      <c r="MJL1374" s="110"/>
      <c r="MJM1374" s="110"/>
      <c r="MJN1374" s="110"/>
      <c r="MJO1374" s="110"/>
      <c r="MJP1374" s="110"/>
      <c r="MJQ1374" s="110"/>
      <c r="MJR1374" s="110"/>
      <c r="MJS1374" s="110"/>
      <c r="MJT1374" s="110"/>
      <c r="MJU1374" s="110"/>
      <c r="MJV1374" s="110"/>
      <c r="MJW1374" s="110"/>
      <c r="MJX1374" s="110"/>
      <c r="MJY1374" s="110"/>
      <c r="MJZ1374" s="110"/>
      <c r="MKA1374" s="110"/>
      <c r="MKB1374" s="110"/>
      <c r="MKC1374" s="110"/>
      <c r="MKD1374" s="110"/>
      <c r="MKE1374" s="110"/>
      <c r="MKF1374" s="110"/>
      <c r="MKG1374" s="110"/>
      <c r="MKH1374" s="110"/>
      <c r="MKI1374" s="110"/>
      <c r="MKJ1374" s="110"/>
      <c r="MKK1374" s="110"/>
      <c r="MKL1374" s="110"/>
      <c r="MKM1374" s="110"/>
      <c r="MKN1374" s="110"/>
      <c r="MKO1374" s="110"/>
      <c r="MKP1374" s="110"/>
      <c r="MKQ1374" s="110"/>
      <c r="MKR1374" s="110"/>
      <c r="MKS1374" s="110"/>
      <c r="MKT1374" s="110"/>
      <c r="MKU1374" s="110"/>
      <c r="MKV1374" s="110"/>
      <c r="MKW1374" s="110"/>
      <c r="MKX1374" s="110"/>
      <c r="MKY1374" s="110"/>
      <c r="MKZ1374" s="110"/>
      <c r="MLA1374" s="110"/>
      <c r="MLB1374" s="110"/>
      <c r="MLC1374" s="110"/>
      <c r="MLD1374" s="110"/>
      <c r="MLE1374" s="110"/>
      <c r="MLF1374" s="110"/>
      <c r="MLG1374" s="110"/>
      <c r="MLH1374" s="110"/>
      <c r="MLI1374" s="110"/>
      <c r="MLJ1374" s="110"/>
      <c r="MLK1374" s="110"/>
      <c r="MLL1374" s="110"/>
      <c r="MLM1374" s="110"/>
      <c r="MLN1374" s="110"/>
      <c r="MLO1374" s="110"/>
      <c r="MLP1374" s="110"/>
      <c r="MLQ1374" s="110"/>
      <c r="MLR1374" s="110"/>
      <c r="MLS1374" s="110"/>
      <c r="MLT1374" s="110"/>
      <c r="MLU1374" s="110"/>
      <c r="MLV1374" s="110"/>
      <c r="MLW1374" s="110"/>
      <c r="MLX1374" s="110"/>
      <c r="MLY1374" s="110"/>
      <c r="MLZ1374" s="110"/>
      <c r="MMA1374" s="110"/>
      <c r="MMB1374" s="110"/>
      <c r="MMC1374" s="110"/>
      <c r="MMD1374" s="110"/>
      <c r="MME1374" s="110"/>
      <c r="MMF1374" s="110"/>
      <c r="MMG1374" s="110"/>
      <c r="MMH1374" s="110"/>
      <c r="MMI1374" s="110"/>
      <c r="MMJ1374" s="110"/>
      <c r="MMK1374" s="110"/>
      <c r="MML1374" s="110"/>
      <c r="MMM1374" s="110"/>
      <c r="MMN1374" s="110"/>
      <c r="MMO1374" s="110"/>
      <c r="MMP1374" s="110"/>
      <c r="MMQ1374" s="110"/>
      <c r="MMR1374" s="110"/>
      <c r="MMS1374" s="110"/>
      <c r="MMT1374" s="110"/>
      <c r="MMU1374" s="110"/>
      <c r="MMV1374" s="110"/>
      <c r="MMW1374" s="110"/>
      <c r="MMX1374" s="110"/>
      <c r="MMY1374" s="110"/>
      <c r="MMZ1374" s="110"/>
      <c r="MNA1374" s="110"/>
      <c r="MNB1374" s="110"/>
      <c r="MNC1374" s="110"/>
      <c r="MND1374" s="110"/>
      <c r="MNE1374" s="110"/>
      <c r="MNF1374" s="110"/>
      <c r="MNG1374" s="110"/>
      <c r="MNH1374" s="110"/>
      <c r="MNI1374" s="110"/>
      <c r="MNJ1374" s="110"/>
      <c r="MNK1374" s="110"/>
      <c r="MNL1374" s="110"/>
      <c r="MNM1374" s="110"/>
      <c r="MNN1374" s="110"/>
      <c r="MNO1374" s="110"/>
      <c r="MNP1374" s="110"/>
      <c r="MNQ1374" s="110"/>
      <c r="MNR1374" s="110"/>
      <c r="MNS1374" s="110"/>
      <c r="MNT1374" s="110"/>
      <c r="MNU1374" s="110"/>
      <c r="MNV1374" s="110"/>
      <c r="MNW1374" s="110"/>
      <c r="MNX1374" s="110"/>
      <c r="MNY1374" s="110"/>
      <c r="MNZ1374" s="110"/>
      <c r="MOA1374" s="110"/>
      <c r="MOB1374" s="110"/>
      <c r="MOC1374" s="110"/>
      <c r="MOD1374" s="110"/>
      <c r="MOE1374" s="110"/>
      <c r="MOF1374" s="110"/>
      <c r="MOG1374" s="110"/>
      <c r="MOH1374" s="110"/>
      <c r="MOI1374" s="110"/>
      <c r="MOJ1374" s="110"/>
      <c r="MOK1374" s="110"/>
      <c r="MOL1374" s="110"/>
      <c r="MOM1374" s="110"/>
      <c r="MON1374" s="110"/>
      <c r="MOO1374" s="110"/>
      <c r="MOP1374" s="110"/>
      <c r="MOQ1374" s="110"/>
      <c r="MOR1374" s="110"/>
      <c r="MOS1374" s="110"/>
      <c r="MOT1374" s="110"/>
      <c r="MOU1374" s="110"/>
      <c r="MOV1374" s="110"/>
      <c r="MOW1374" s="110"/>
      <c r="MOX1374" s="110"/>
      <c r="MOY1374" s="110"/>
      <c r="MOZ1374" s="110"/>
      <c r="MPA1374" s="110"/>
      <c r="MPB1374" s="110"/>
      <c r="MPC1374" s="110"/>
      <c r="MPD1374" s="110"/>
      <c r="MPE1374" s="110"/>
      <c r="MPF1374" s="110"/>
      <c r="MPG1374" s="110"/>
      <c r="MPH1374" s="110"/>
      <c r="MPI1374" s="110"/>
      <c r="MPJ1374" s="110"/>
      <c r="MPK1374" s="110"/>
      <c r="MPL1374" s="110"/>
      <c r="MPM1374" s="110"/>
      <c r="MPN1374" s="110"/>
      <c r="MPO1374" s="110"/>
      <c r="MPP1374" s="110"/>
      <c r="MPQ1374" s="110"/>
      <c r="MPR1374" s="110"/>
      <c r="MPS1374" s="110"/>
      <c r="MPT1374" s="110"/>
      <c r="MPU1374" s="110"/>
      <c r="MPV1374" s="110"/>
      <c r="MPW1374" s="110"/>
      <c r="MPX1374" s="110"/>
      <c r="MPY1374" s="110"/>
      <c r="MPZ1374" s="110"/>
      <c r="MQA1374" s="110"/>
      <c r="MQB1374" s="110"/>
      <c r="MQC1374" s="110"/>
      <c r="MQD1374" s="110"/>
      <c r="MQE1374" s="110"/>
      <c r="MQF1374" s="110"/>
      <c r="MQG1374" s="110"/>
      <c r="MQH1374" s="110"/>
      <c r="MQI1374" s="110"/>
      <c r="MQJ1374" s="110"/>
      <c r="MQK1374" s="110"/>
      <c r="MQL1374" s="110"/>
      <c r="MQM1374" s="110"/>
      <c r="MQN1374" s="110"/>
      <c r="MQO1374" s="110"/>
      <c r="MQP1374" s="110"/>
      <c r="MQQ1374" s="110"/>
      <c r="MQR1374" s="110"/>
      <c r="MQS1374" s="110"/>
      <c r="MQT1374" s="110"/>
      <c r="MQU1374" s="110"/>
      <c r="MQV1374" s="110"/>
      <c r="MQW1374" s="110"/>
      <c r="MQX1374" s="110"/>
      <c r="MQY1374" s="110"/>
      <c r="MQZ1374" s="110"/>
      <c r="MRA1374" s="110"/>
      <c r="MRB1374" s="110"/>
      <c r="MRC1374" s="110"/>
      <c r="MRD1374" s="110"/>
      <c r="MRE1374" s="110"/>
      <c r="MRF1374" s="110"/>
      <c r="MRG1374" s="110"/>
      <c r="MRH1374" s="110"/>
      <c r="MRI1374" s="110"/>
      <c r="MRJ1374" s="110"/>
      <c r="MRK1374" s="110"/>
      <c r="MRL1374" s="110"/>
      <c r="MRM1374" s="110"/>
      <c r="MRN1374" s="110"/>
      <c r="MRO1374" s="110"/>
      <c r="MRP1374" s="110"/>
      <c r="MRQ1374" s="110"/>
      <c r="MRR1374" s="110"/>
      <c r="MRS1374" s="110"/>
      <c r="MRT1374" s="110"/>
      <c r="MRU1374" s="110"/>
      <c r="MRV1374" s="110"/>
      <c r="MRW1374" s="110"/>
      <c r="MRX1374" s="110"/>
      <c r="MRY1374" s="110"/>
      <c r="MRZ1374" s="110"/>
      <c r="MSA1374" s="110"/>
      <c r="MSB1374" s="110"/>
      <c r="MSC1374" s="110"/>
      <c r="MSD1374" s="110"/>
      <c r="MSE1374" s="110"/>
      <c r="MSF1374" s="110"/>
      <c r="MSG1374" s="110"/>
      <c r="MSH1374" s="110"/>
      <c r="MSI1374" s="110"/>
      <c r="MSJ1374" s="110"/>
      <c r="MSK1374" s="110"/>
      <c r="MSL1374" s="110"/>
      <c r="MSM1374" s="110"/>
      <c r="MSN1374" s="110"/>
      <c r="MSO1374" s="110"/>
      <c r="MSP1374" s="110"/>
      <c r="MSQ1374" s="110"/>
      <c r="MSR1374" s="110"/>
      <c r="MSS1374" s="110"/>
      <c r="MST1374" s="110"/>
      <c r="MSU1374" s="110"/>
      <c r="MSV1374" s="110"/>
      <c r="MSW1374" s="110"/>
      <c r="MSX1374" s="110"/>
      <c r="MSY1374" s="110"/>
      <c r="MSZ1374" s="110"/>
      <c r="MTA1374" s="110"/>
      <c r="MTB1374" s="110"/>
      <c r="MTC1374" s="110"/>
      <c r="MTD1374" s="110"/>
      <c r="MTE1374" s="110"/>
      <c r="MTF1374" s="110"/>
      <c r="MTG1374" s="110"/>
      <c r="MTH1374" s="110"/>
      <c r="MTI1374" s="110"/>
      <c r="MTJ1374" s="110"/>
      <c r="MTK1374" s="110"/>
      <c r="MTL1374" s="110"/>
      <c r="MTM1374" s="110"/>
      <c r="MTN1374" s="110"/>
      <c r="MTO1374" s="110"/>
      <c r="MTP1374" s="110"/>
      <c r="MTQ1374" s="110"/>
      <c r="MTR1374" s="110"/>
      <c r="MTS1374" s="110"/>
      <c r="MTT1374" s="110"/>
      <c r="MTU1374" s="110"/>
      <c r="MTV1374" s="110"/>
      <c r="MTW1374" s="110"/>
      <c r="MTX1374" s="110"/>
      <c r="MTY1374" s="110"/>
      <c r="MTZ1374" s="110"/>
      <c r="MUA1374" s="110"/>
      <c r="MUB1374" s="110"/>
      <c r="MUC1374" s="110"/>
      <c r="MUD1374" s="110"/>
      <c r="MUE1374" s="110"/>
      <c r="MUF1374" s="110"/>
      <c r="MUG1374" s="110"/>
      <c r="MUH1374" s="110"/>
      <c r="MUI1374" s="110"/>
      <c r="MUJ1374" s="110"/>
      <c r="MUK1374" s="110"/>
      <c r="MUL1374" s="110"/>
      <c r="MUM1374" s="110"/>
      <c r="MUN1374" s="110"/>
      <c r="MUO1374" s="110"/>
      <c r="MUP1374" s="110"/>
      <c r="MUQ1374" s="110"/>
      <c r="MUR1374" s="110"/>
      <c r="MUS1374" s="110"/>
      <c r="MUT1374" s="110"/>
      <c r="MUU1374" s="110"/>
      <c r="MUV1374" s="110"/>
      <c r="MUW1374" s="110"/>
      <c r="MUX1374" s="110"/>
      <c r="MUY1374" s="110"/>
      <c r="MUZ1374" s="110"/>
      <c r="MVA1374" s="110"/>
      <c r="MVB1374" s="110"/>
      <c r="MVC1374" s="110"/>
      <c r="MVD1374" s="110"/>
      <c r="MVE1374" s="110"/>
      <c r="MVF1374" s="110"/>
      <c r="MVG1374" s="110"/>
      <c r="MVH1374" s="110"/>
      <c r="MVI1374" s="110"/>
      <c r="MVJ1374" s="110"/>
      <c r="MVK1374" s="110"/>
      <c r="MVL1374" s="110"/>
      <c r="MVM1374" s="110"/>
      <c r="MVN1374" s="110"/>
      <c r="MVO1374" s="110"/>
      <c r="MVP1374" s="110"/>
      <c r="MVQ1374" s="110"/>
      <c r="MVR1374" s="110"/>
      <c r="MVS1374" s="110"/>
      <c r="MVT1374" s="110"/>
      <c r="MVU1374" s="110"/>
      <c r="MVV1374" s="110"/>
      <c r="MVW1374" s="110"/>
      <c r="MVX1374" s="110"/>
      <c r="MVY1374" s="110"/>
      <c r="MVZ1374" s="110"/>
      <c r="MWA1374" s="110"/>
      <c r="MWB1374" s="110"/>
      <c r="MWC1374" s="110"/>
      <c r="MWD1374" s="110"/>
      <c r="MWE1374" s="110"/>
      <c r="MWF1374" s="110"/>
      <c r="MWG1374" s="110"/>
      <c r="MWH1374" s="110"/>
      <c r="MWI1374" s="110"/>
      <c r="MWJ1374" s="110"/>
      <c r="MWK1374" s="110"/>
      <c r="MWL1374" s="110"/>
      <c r="MWM1374" s="110"/>
      <c r="MWN1374" s="110"/>
      <c r="MWO1374" s="110"/>
      <c r="MWP1374" s="110"/>
      <c r="MWQ1374" s="110"/>
      <c r="MWR1374" s="110"/>
      <c r="MWS1374" s="110"/>
      <c r="MWT1374" s="110"/>
      <c r="MWU1374" s="110"/>
      <c r="MWV1374" s="110"/>
      <c r="MWW1374" s="110"/>
      <c r="MWX1374" s="110"/>
      <c r="MWY1374" s="110"/>
      <c r="MWZ1374" s="110"/>
      <c r="MXA1374" s="110"/>
      <c r="MXB1374" s="110"/>
      <c r="MXC1374" s="110"/>
      <c r="MXD1374" s="110"/>
      <c r="MXE1374" s="110"/>
      <c r="MXF1374" s="110"/>
      <c r="MXG1374" s="110"/>
      <c r="MXH1374" s="110"/>
      <c r="MXI1374" s="110"/>
      <c r="MXJ1374" s="110"/>
      <c r="MXK1374" s="110"/>
      <c r="MXL1374" s="110"/>
      <c r="MXM1374" s="110"/>
      <c r="MXN1374" s="110"/>
      <c r="MXO1374" s="110"/>
      <c r="MXP1374" s="110"/>
      <c r="MXQ1374" s="110"/>
      <c r="MXR1374" s="110"/>
      <c r="MXS1374" s="110"/>
      <c r="MXT1374" s="110"/>
      <c r="MXU1374" s="110"/>
      <c r="MXV1374" s="110"/>
      <c r="MXW1374" s="110"/>
      <c r="MXX1374" s="110"/>
      <c r="MXY1374" s="110"/>
      <c r="MXZ1374" s="110"/>
      <c r="MYA1374" s="110"/>
      <c r="MYB1374" s="110"/>
      <c r="MYC1374" s="110"/>
      <c r="MYD1374" s="110"/>
      <c r="MYE1374" s="110"/>
      <c r="MYF1374" s="110"/>
      <c r="MYG1374" s="110"/>
      <c r="MYH1374" s="110"/>
      <c r="MYI1374" s="110"/>
      <c r="MYJ1374" s="110"/>
      <c r="MYK1374" s="110"/>
      <c r="MYL1374" s="110"/>
      <c r="MYM1374" s="110"/>
      <c r="MYN1374" s="110"/>
      <c r="MYO1374" s="110"/>
      <c r="MYP1374" s="110"/>
      <c r="MYQ1374" s="110"/>
      <c r="MYR1374" s="110"/>
      <c r="MYS1374" s="110"/>
      <c r="MYT1374" s="110"/>
      <c r="MYU1374" s="110"/>
      <c r="MYV1374" s="110"/>
      <c r="MYW1374" s="110"/>
      <c r="MYX1374" s="110"/>
      <c r="MYY1374" s="110"/>
      <c r="MYZ1374" s="110"/>
      <c r="MZA1374" s="110"/>
      <c r="MZB1374" s="110"/>
      <c r="MZC1374" s="110"/>
      <c r="MZD1374" s="110"/>
      <c r="MZE1374" s="110"/>
      <c r="MZF1374" s="110"/>
      <c r="MZG1374" s="110"/>
      <c r="MZH1374" s="110"/>
      <c r="MZI1374" s="110"/>
      <c r="MZJ1374" s="110"/>
      <c r="MZK1374" s="110"/>
      <c r="MZL1374" s="110"/>
      <c r="MZM1374" s="110"/>
      <c r="MZN1374" s="110"/>
      <c r="MZO1374" s="110"/>
      <c r="MZP1374" s="110"/>
      <c r="MZQ1374" s="110"/>
      <c r="MZR1374" s="110"/>
      <c r="MZS1374" s="110"/>
      <c r="MZT1374" s="110"/>
      <c r="MZU1374" s="110"/>
      <c r="MZV1374" s="110"/>
      <c r="MZW1374" s="110"/>
      <c r="MZX1374" s="110"/>
      <c r="MZY1374" s="110"/>
      <c r="MZZ1374" s="110"/>
      <c r="NAA1374" s="110"/>
      <c r="NAB1374" s="110"/>
      <c r="NAC1374" s="110"/>
      <c r="NAD1374" s="110"/>
      <c r="NAE1374" s="110"/>
      <c r="NAF1374" s="110"/>
      <c r="NAG1374" s="110"/>
      <c r="NAH1374" s="110"/>
      <c r="NAI1374" s="110"/>
      <c r="NAJ1374" s="110"/>
      <c r="NAK1374" s="110"/>
      <c r="NAL1374" s="110"/>
      <c r="NAM1374" s="110"/>
      <c r="NAN1374" s="110"/>
      <c r="NAO1374" s="110"/>
      <c r="NAP1374" s="110"/>
      <c r="NAQ1374" s="110"/>
      <c r="NAR1374" s="110"/>
      <c r="NAS1374" s="110"/>
      <c r="NAT1374" s="110"/>
      <c r="NAU1374" s="110"/>
      <c r="NAV1374" s="110"/>
      <c r="NAW1374" s="110"/>
      <c r="NAX1374" s="110"/>
      <c r="NAY1374" s="110"/>
      <c r="NAZ1374" s="110"/>
      <c r="NBA1374" s="110"/>
      <c r="NBB1374" s="110"/>
      <c r="NBC1374" s="110"/>
      <c r="NBD1374" s="110"/>
      <c r="NBE1374" s="110"/>
      <c r="NBF1374" s="110"/>
      <c r="NBG1374" s="110"/>
      <c r="NBH1374" s="110"/>
      <c r="NBI1374" s="110"/>
      <c r="NBJ1374" s="110"/>
      <c r="NBK1374" s="110"/>
      <c r="NBL1374" s="110"/>
      <c r="NBM1374" s="110"/>
      <c r="NBN1374" s="110"/>
      <c r="NBO1374" s="110"/>
      <c r="NBP1374" s="110"/>
      <c r="NBQ1374" s="110"/>
      <c r="NBR1374" s="110"/>
      <c r="NBS1374" s="110"/>
      <c r="NBT1374" s="110"/>
      <c r="NBU1374" s="110"/>
      <c r="NBV1374" s="110"/>
      <c r="NBW1374" s="110"/>
      <c r="NBX1374" s="110"/>
      <c r="NBY1374" s="110"/>
      <c r="NBZ1374" s="110"/>
      <c r="NCA1374" s="110"/>
      <c r="NCB1374" s="110"/>
      <c r="NCC1374" s="110"/>
      <c r="NCD1374" s="110"/>
      <c r="NCE1374" s="110"/>
      <c r="NCF1374" s="110"/>
      <c r="NCG1374" s="110"/>
      <c r="NCH1374" s="110"/>
      <c r="NCI1374" s="110"/>
      <c r="NCJ1374" s="110"/>
      <c r="NCK1374" s="110"/>
      <c r="NCL1374" s="110"/>
      <c r="NCM1374" s="110"/>
      <c r="NCN1374" s="110"/>
      <c r="NCO1374" s="110"/>
      <c r="NCP1374" s="110"/>
      <c r="NCQ1374" s="110"/>
      <c r="NCR1374" s="110"/>
      <c r="NCS1374" s="110"/>
      <c r="NCT1374" s="110"/>
      <c r="NCU1374" s="110"/>
      <c r="NCV1374" s="110"/>
      <c r="NCW1374" s="110"/>
      <c r="NCX1374" s="110"/>
      <c r="NCY1374" s="110"/>
      <c r="NCZ1374" s="110"/>
      <c r="NDA1374" s="110"/>
      <c r="NDB1374" s="110"/>
      <c r="NDC1374" s="110"/>
      <c r="NDD1374" s="110"/>
      <c r="NDE1374" s="110"/>
      <c r="NDF1374" s="110"/>
      <c r="NDG1374" s="110"/>
      <c r="NDH1374" s="110"/>
      <c r="NDI1374" s="110"/>
      <c r="NDJ1374" s="110"/>
      <c r="NDK1374" s="110"/>
      <c r="NDL1374" s="110"/>
      <c r="NDM1374" s="110"/>
      <c r="NDN1374" s="110"/>
      <c r="NDO1374" s="110"/>
      <c r="NDP1374" s="110"/>
      <c r="NDQ1374" s="110"/>
      <c r="NDR1374" s="110"/>
      <c r="NDS1374" s="110"/>
      <c r="NDT1374" s="110"/>
      <c r="NDU1374" s="110"/>
      <c r="NDV1374" s="110"/>
      <c r="NDW1374" s="110"/>
      <c r="NDX1374" s="110"/>
      <c r="NDY1374" s="110"/>
      <c r="NDZ1374" s="110"/>
      <c r="NEA1374" s="110"/>
      <c r="NEB1374" s="110"/>
      <c r="NEC1374" s="110"/>
      <c r="NED1374" s="110"/>
      <c r="NEE1374" s="110"/>
      <c r="NEF1374" s="110"/>
      <c r="NEG1374" s="110"/>
      <c r="NEH1374" s="110"/>
      <c r="NEI1374" s="110"/>
      <c r="NEJ1374" s="110"/>
      <c r="NEK1374" s="110"/>
      <c r="NEL1374" s="110"/>
      <c r="NEM1374" s="110"/>
      <c r="NEN1374" s="110"/>
      <c r="NEO1374" s="110"/>
      <c r="NEP1374" s="110"/>
      <c r="NEQ1374" s="110"/>
      <c r="NER1374" s="110"/>
      <c r="NES1374" s="110"/>
      <c r="NET1374" s="110"/>
      <c r="NEU1374" s="110"/>
      <c r="NEV1374" s="110"/>
      <c r="NEW1374" s="110"/>
      <c r="NEX1374" s="110"/>
      <c r="NEY1374" s="110"/>
      <c r="NEZ1374" s="110"/>
      <c r="NFA1374" s="110"/>
      <c r="NFB1374" s="110"/>
      <c r="NFC1374" s="110"/>
      <c r="NFD1374" s="110"/>
      <c r="NFE1374" s="110"/>
      <c r="NFF1374" s="110"/>
      <c r="NFG1374" s="110"/>
      <c r="NFH1374" s="110"/>
      <c r="NFI1374" s="110"/>
      <c r="NFJ1374" s="110"/>
      <c r="NFK1374" s="110"/>
      <c r="NFL1374" s="110"/>
      <c r="NFM1374" s="110"/>
      <c r="NFN1374" s="110"/>
      <c r="NFO1374" s="110"/>
      <c r="NFP1374" s="110"/>
      <c r="NFQ1374" s="110"/>
      <c r="NFR1374" s="110"/>
      <c r="NFS1374" s="110"/>
      <c r="NFT1374" s="110"/>
      <c r="NFU1374" s="110"/>
      <c r="NFV1374" s="110"/>
      <c r="NFW1374" s="110"/>
      <c r="NFX1374" s="110"/>
      <c r="NFY1374" s="110"/>
      <c r="NFZ1374" s="110"/>
      <c r="NGA1374" s="110"/>
      <c r="NGB1374" s="110"/>
      <c r="NGC1374" s="110"/>
      <c r="NGD1374" s="110"/>
      <c r="NGE1374" s="110"/>
      <c r="NGF1374" s="110"/>
      <c r="NGG1374" s="110"/>
      <c r="NGH1374" s="110"/>
      <c r="NGI1374" s="110"/>
      <c r="NGJ1374" s="110"/>
      <c r="NGK1374" s="110"/>
      <c r="NGL1374" s="110"/>
      <c r="NGM1374" s="110"/>
      <c r="NGN1374" s="110"/>
      <c r="NGO1374" s="110"/>
      <c r="NGP1374" s="110"/>
      <c r="NGQ1374" s="110"/>
      <c r="NGR1374" s="110"/>
      <c r="NGS1374" s="110"/>
      <c r="NGT1374" s="110"/>
      <c r="NGU1374" s="110"/>
      <c r="NGV1374" s="110"/>
      <c r="NGW1374" s="110"/>
      <c r="NGX1374" s="110"/>
      <c r="NGY1374" s="110"/>
      <c r="NGZ1374" s="110"/>
      <c r="NHA1374" s="110"/>
      <c r="NHB1374" s="110"/>
      <c r="NHC1374" s="110"/>
      <c r="NHD1374" s="110"/>
      <c r="NHE1374" s="110"/>
      <c r="NHF1374" s="110"/>
      <c r="NHG1374" s="110"/>
      <c r="NHH1374" s="110"/>
      <c r="NHI1374" s="110"/>
      <c r="NHJ1374" s="110"/>
      <c r="NHK1374" s="110"/>
      <c r="NHL1374" s="110"/>
      <c r="NHM1374" s="110"/>
      <c r="NHN1374" s="110"/>
      <c r="NHO1374" s="110"/>
      <c r="NHP1374" s="110"/>
      <c r="NHQ1374" s="110"/>
      <c r="NHR1374" s="110"/>
      <c r="NHS1374" s="110"/>
      <c r="NHT1374" s="110"/>
      <c r="NHU1374" s="110"/>
      <c r="NHV1374" s="110"/>
      <c r="NHW1374" s="110"/>
      <c r="NHX1374" s="110"/>
      <c r="NHY1374" s="110"/>
      <c r="NHZ1374" s="110"/>
      <c r="NIA1374" s="110"/>
      <c r="NIB1374" s="110"/>
      <c r="NIC1374" s="110"/>
      <c r="NID1374" s="110"/>
      <c r="NIE1374" s="110"/>
      <c r="NIF1374" s="110"/>
      <c r="NIG1374" s="110"/>
      <c r="NIH1374" s="110"/>
      <c r="NII1374" s="110"/>
      <c r="NIJ1374" s="110"/>
      <c r="NIK1374" s="110"/>
      <c r="NIL1374" s="110"/>
      <c r="NIM1374" s="110"/>
      <c r="NIN1374" s="110"/>
      <c r="NIO1374" s="110"/>
      <c r="NIP1374" s="110"/>
      <c r="NIQ1374" s="110"/>
      <c r="NIR1374" s="110"/>
      <c r="NIS1374" s="110"/>
      <c r="NIT1374" s="110"/>
      <c r="NIU1374" s="110"/>
      <c r="NIV1374" s="110"/>
      <c r="NIW1374" s="110"/>
      <c r="NIX1374" s="110"/>
      <c r="NIY1374" s="110"/>
      <c r="NIZ1374" s="110"/>
      <c r="NJA1374" s="110"/>
      <c r="NJB1374" s="110"/>
      <c r="NJC1374" s="110"/>
      <c r="NJD1374" s="110"/>
      <c r="NJE1374" s="110"/>
      <c r="NJF1374" s="110"/>
      <c r="NJG1374" s="110"/>
      <c r="NJH1374" s="110"/>
      <c r="NJI1374" s="110"/>
      <c r="NJJ1374" s="110"/>
      <c r="NJK1374" s="110"/>
      <c r="NJL1374" s="110"/>
      <c r="NJM1374" s="110"/>
      <c r="NJN1374" s="110"/>
      <c r="NJO1374" s="110"/>
      <c r="NJP1374" s="110"/>
      <c r="NJQ1374" s="110"/>
      <c r="NJR1374" s="110"/>
      <c r="NJS1374" s="110"/>
      <c r="NJT1374" s="110"/>
      <c r="NJU1374" s="110"/>
      <c r="NJV1374" s="110"/>
      <c r="NJW1374" s="110"/>
      <c r="NJX1374" s="110"/>
      <c r="NJY1374" s="110"/>
      <c r="NJZ1374" s="110"/>
      <c r="NKA1374" s="110"/>
      <c r="NKB1374" s="110"/>
      <c r="NKC1374" s="110"/>
      <c r="NKD1374" s="110"/>
      <c r="NKE1374" s="110"/>
      <c r="NKF1374" s="110"/>
      <c r="NKG1374" s="110"/>
      <c r="NKH1374" s="110"/>
      <c r="NKI1374" s="110"/>
      <c r="NKJ1374" s="110"/>
      <c r="NKK1374" s="110"/>
      <c r="NKL1374" s="110"/>
      <c r="NKM1374" s="110"/>
      <c r="NKN1374" s="110"/>
      <c r="NKO1374" s="110"/>
      <c r="NKP1374" s="110"/>
      <c r="NKQ1374" s="110"/>
      <c r="NKR1374" s="110"/>
      <c r="NKS1374" s="110"/>
      <c r="NKT1374" s="110"/>
      <c r="NKU1374" s="110"/>
      <c r="NKV1374" s="110"/>
      <c r="NKW1374" s="110"/>
      <c r="NKX1374" s="110"/>
      <c r="NKY1374" s="110"/>
      <c r="NKZ1374" s="110"/>
      <c r="NLA1374" s="110"/>
      <c r="NLB1374" s="110"/>
      <c r="NLC1374" s="110"/>
      <c r="NLD1374" s="110"/>
      <c r="NLE1374" s="110"/>
      <c r="NLF1374" s="110"/>
      <c r="NLG1374" s="110"/>
      <c r="NLH1374" s="110"/>
      <c r="NLI1374" s="110"/>
      <c r="NLJ1374" s="110"/>
      <c r="NLK1374" s="110"/>
      <c r="NLL1374" s="110"/>
      <c r="NLM1374" s="110"/>
      <c r="NLN1374" s="110"/>
      <c r="NLO1374" s="110"/>
      <c r="NLP1374" s="110"/>
      <c r="NLQ1374" s="110"/>
      <c r="NLR1374" s="110"/>
      <c r="NLS1374" s="110"/>
      <c r="NLT1374" s="110"/>
      <c r="NLU1374" s="110"/>
      <c r="NLV1374" s="110"/>
      <c r="NLW1374" s="110"/>
      <c r="NLX1374" s="110"/>
      <c r="NLY1374" s="110"/>
      <c r="NLZ1374" s="110"/>
      <c r="NMA1374" s="110"/>
      <c r="NMB1374" s="110"/>
      <c r="NMC1374" s="110"/>
      <c r="NMD1374" s="110"/>
      <c r="NME1374" s="110"/>
      <c r="NMF1374" s="110"/>
      <c r="NMG1374" s="110"/>
      <c r="NMH1374" s="110"/>
      <c r="NMI1374" s="110"/>
      <c r="NMJ1374" s="110"/>
      <c r="NMK1374" s="110"/>
      <c r="NML1374" s="110"/>
      <c r="NMM1374" s="110"/>
      <c r="NMN1374" s="110"/>
      <c r="NMO1374" s="110"/>
      <c r="NMP1374" s="110"/>
      <c r="NMQ1374" s="110"/>
      <c r="NMR1374" s="110"/>
      <c r="NMS1374" s="110"/>
      <c r="NMT1374" s="110"/>
      <c r="NMU1374" s="110"/>
      <c r="NMV1374" s="110"/>
      <c r="NMW1374" s="110"/>
      <c r="NMX1374" s="110"/>
      <c r="NMY1374" s="110"/>
      <c r="NMZ1374" s="110"/>
      <c r="NNA1374" s="110"/>
      <c r="NNB1374" s="110"/>
      <c r="NNC1374" s="110"/>
      <c r="NND1374" s="110"/>
      <c r="NNE1374" s="110"/>
      <c r="NNF1374" s="110"/>
      <c r="NNG1374" s="110"/>
      <c r="NNH1374" s="110"/>
      <c r="NNI1374" s="110"/>
      <c r="NNJ1374" s="110"/>
      <c r="NNK1374" s="110"/>
      <c r="NNL1374" s="110"/>
      <c r="NNM1374" s="110"/>
      <c r="NNN1374" s="110"/>
      <c r="NNO1374" s="110"/>
      <c r="NNP1374" s="110"/>
      <c r="NNQ1374" s="110"/>
      <c r="NNR1374" s="110"/>
      <c r="NNS1374" s="110"/>
      <c r="NNT1374" s="110"/>
      <c r="NNU1374" s="110"/>
      <c r="NNV1374" s="110"/>
      <c r="NNW1374" s="110"/>
      <c r="NNX1374" s="110"/>
      <c r="NNY1374" s="110"/>
      <c r="NNZ1374" s="110"/>
      <c r="NOA1374" s="110"/>
      <c r="NOB1374" s="110"/>
      <c r="NOC1374" s="110"/>
      <c r="NOD1374" s="110"/>
      <c r="NOE1374" s="110"/>
      <c r="NOF1374" s="110"/>
      <c r="NOG1374" s="110"/>
      <c r="NOH1374" s="110"/>
      <c r="NOI1374" s="110"/>
      <c r="NOJ1374" s="110"/>
      <c r="NOK1374" s="110"/>
      <c r="NOL1374" s="110"/>
      <c r="NOM1374" s="110"/>
      <c r="NON1374" s="110"/>
      <c r="NOO1374" s="110"/>
      <c r="NOP1374" s="110"/>
      <c r="NOQ1374" s="110"/>
      <c r="NOR1374" s="110"/>
      <c r="NOS1374" s="110"/>
      <c r="NOT1374" s="110"/>
      <c r="NOU1374" s="110"/>
      <c r="NOV1374" s="110"/>
      <c r="NOW1374" s="110"/>
      <c r="NOX1374" s="110"/>
      <c r="NOY1374" s="110"/>
      <c r="NOZ1374" s="110"/>
      <c r="NPA1374" s="110"/>
      <c r="NPB1374" s="110"/>
      <c r="NPC1374" s="110"/>
      <c r="NPD1374" s="110"/>
      <c r="NPE1374" s="110"/>
      <c r="NPF1374" s="110"/>
      <c r="NPG1374" s="110"/>
      <c r="NPH1374" s="110"/>
      <c r="NPI1374" s="110"/>
      <c r="NPJ1374" s="110"/>
      <c r="NPK1374" s="110"/>
      <c r="NPL1374" s="110"/>
      <c r="NPM1374" s="110"/>
      <c r="NPN1374" s="110"/>
      <c r="NPO1374" s="110"/>
      <c r="NPP1374" s="110"/>
      <c r="NPQ1374" s="110"/>
      <c r="NPR1374" s="110"/>
      <c r="NPS1374" s="110"/>
      <c r="NPT1374" s="110"/>
      <c r="NPU1374" s="110"/>
      <c r="NPV1374" s="110"/>
      <c r="NPW1374" s="110"/>
      <c r="NPX1374" s="110"/>
      <c r="NPY1374" s="110"/>
      <c r="NPZ1374" s="110"/>
      <c r="NQA1374" s="110"/>
      <c r="NQB1374" s="110"/>
      <c r="NQC1374" s="110"/>
      <c r="NQD1374" s="110"/>
      <c r="NQE1374" s="110"/>
      <c r="NQF1374" s="110"/>
      <c r="NQG1374" s="110"/>
      <c r="NQH1374" s="110"/>
      <c r="NQI1374" s="110"/>
      <c r="NQJ1374" s="110"/>
      <c r="NQK1374" s="110"/>
      <c r="NQL1374" s="110"/>
      <c r="NQM1374" s="110"/>
      <c r="NQN1374" s="110"/>
      <c r="NQO1374" s="110"/>
      <c r="NQP1374" s="110"/>
      <c r="NQQ1374" s="110"/>
      <c r="NQR1374" s="110"/>
      <c r="NQS1374" s="110"/>
      <c r="NQT1374" s="110"/>
      <c r="NQU1374" s="110"/>
      <c r="NQV1374" s="110"/>
      <c r="NQW1374" s="110"/>
      <c r="NQX1374" s="110"/>
      <c r="NQY1374" s="110"/>
      <c r="NQZ1374" s="110"/>
      <c r="NRA1374" s="110"/>
      <c r="NRB1374" s="110"/>
      <c r="NRC1374" s="110"/>
      <c r="NRD1374" s="110"/>
      <c r="NRE1374" s="110"/>
      <c r="NRF1374" s="110"/>
      <c r="NRG1374" s="110"/>
      <c r="NRH1374" s="110"/>
      <c r="NRI1374" s="110"/>
      <c r="NRJ1374" s="110"/>
      <c r="NRK1374" s="110"/>
      <c r="NRL1374" s="110"/>
      <c r="NRM1374" s="110"/>
      <c r="NRN1374" s="110"/>
      <c r="NRO1374" s="110"/>
      <c r="NRP1374" s="110"/>
      <c r="NRQ1374" s="110"/>
      <c r="NRR1374" s="110"/>
      <c r="NRS1374" s="110"/>
      <c r="NRT1374" s="110"/>
      <c r="NRU1374" s="110"/>
      <c r="NRV1374" s="110"/>
      <c r="NRW1374" s="110"/>
      <c r="NRX1374" s="110"/>
      <c r="NRY1374" s="110"/>
      <c r="NRZ1374" s="110"/>
      <c r="NSA1374" s="110"/>
      <c r="NSB1374" s="110"/>
      <c r="NSC1374" s="110"/>
      <c r="NSD1374" s="110"/>
      <c r="NSE1374" s="110"/>
      <c r="NSF1374" s="110"/>
      <c r="NSG1374" s="110"/>
      <c r="NSH1374" s="110"/>
      <c r="NSI1374" s="110"/>
      <c r="NSJ1374" s="110"/>
      <c r="NSK1374" s="110"/>
      <c r="NSL1374" s="110"/>
      <c r="NSM1374" s="110"/>
      <c r="NSN1374" s="110"/>
      <c r="NSO1374" s="110"/>
      <c r="NSP1374" s="110"/>
      <c r="NSQ1374" s="110"/>
      <c r="NSR1374" s="110"/>
      <c r="NSS1374" s="110"/>
      <c r="NST1374" s="110"/>
      <c r="NSU1374" s="110"/>
      <c r="NSV1374" s="110"/>
      <c r="NSW1374" s="110"/>
      <c r="NSX1374" s="110"/>
      <c r="NSY1374" s="110"/>
      <c r="NSZ1374" s="110"/>
      <c r="NTA1374" s="110"/>
      <c r="NTB1374" s="110"/>
      <c r="NTC1374" s="110"/>
      <c r="NTD1374" s="110"/>
      <c r="NTE1374" s="110"/>
      <c r="NTF1374" s="110"/>
      <c r="NTG1374" s="110"/>
      <c r="NTH1374" s="110"/>
      <c r="NTI1374" s="110"/>
      <c r="NTJ1374" s="110"/>
      <c r="NTK1374" s="110"/>
      <c r="NTL1374" s="110"/>
      <c r="NTM1374" s="110"/>
      <c r="NTN1374" s="110"/>
      <c r="NTO1374" s="110"/>
      <c r="NTP1374" s="110"/>
      <c r="NTQ1374" s="110"/>
      <c r="NTR1374" s="110"/>
      <c r="NTS1374" s="110"/>
      <c r="NTT1374" s="110"/>
      <c r="NTU1374" s="110"/>
      <c r="NTV1374" s="110"/>
      <c r="NTW1374" s="110"/>
      <c r="NTX1374" s="110"/>
      <c r="NTY1374" s="110"/>
      <c r="NTZ1374" s="110"/>
      <c r="NUA1374" s="110"/>
      <c r="NUB1374" s="110"/>
      <c r="NUC1374" s="110"/>
      <c r="NUD1374" s="110"/>
      <c r="NUE1374" s="110"/>
      <c r="NUF1374" s="110"/>
      <c r="NUG1374" s="110"/>
      <c r="NUH1374" s="110"/>
      <c r="NUI1374" s="110"/>
      <c r="NUJ1374" s="110"/>
      <c r="NUK1374" s="110"/>
      <c r="NUL1374" s="110"/>
      <c r="NUM1374" s="110"/>
      <c r="NUN1374" s="110"/>
      <c r="NUO1374" s="110"/>
      <c r="NUP1374" s="110"/>
      <c r="NUQ1374" s="110"/>
      <c r="NUR1374" s="110"/>
      <c r="NUS1374" s="110"/>
      <c r="NUT1374" s="110"/>
      <c r="NUU1374" s="110"/>
      <c r="NUV1374" s="110"/>
      <c r="NUW1374" s="110"/>
      <c r="NUX1374" s="110"/>
      <c r="NUY1374" s="110"/>
      <c r="NUZ1374" s="110"/>
      <c r="NVA1374" s="110"/>
      <c r="NVB1374" s="110"/>
      <c r="NVC1374" s="110"/>
      <c r="NVD1374" s="110"/>
      <c r="NVE1374" s="110"/>
      <c r="NVF1374" s="110"/>
      <c r="NVG1374" s="110"/>
      <c r="NVH1374" s="110"/>
      <c r="NVI1374" s="110"/>
      <c r="NVJ1374" s="110"/>
      <c r="NVK1374" s="110"/>
      <c r="NVL1374" s="110"/>
      <c r="NVM1374" s="110"/>
      <c r="NVN1374" s="110"/>
      <c r="NVO1374" s="110"/>
      <c r="NVP1374" s="110"/>
      <c r="NVQ1374" s="110"/>
      <c r="NVR1374" s="110"/>
      <c r="NVS1374" s="110"/>
      <c r="NVT1374" s="110"/>
      <c r="NVU1374" s="110"/>
      <c r="NVV1374" s="110"/>
      <c r="NVW1374" s="110"/>
      <c r="NVX1374" s="110"/>
      <c r="NVY1374" s="110"/>
      <c r="NVZ1374" s="110"/>
      <c r="NWA1374" s="110"/>
      <c r="NWB1374" s="110"/>
      <c r="NWC1374" s="110"/>
      <c r="NWD1374" s="110"/>
      <c r="NWE1374" s="110"/>
      <c r="NWF1374" s="110"/>
      <c r="NWG1374" s="110"/>
      <c r="NWH1374" s="110"/>
      <c r="NWI1374" s="110"/>
      <c r="NWJ1374" s="110"/>
      <c r="NWK1374" s="110"/>
      <c r="NWL1374" s="110"/>
      <c r="NWM1374" s="110"/>
      <c r="NWN1374" s="110"/>
      <c r="NWO1374" s="110"/>
      <c r="NWP1374" s="110"/>
      <c r="NWQ1374" s="110"/>
      <c r="NWR1374" s="110"/>
      <c r="NWS1374" s="110"/>
      <c r="NWT1374" s="110"/>
      <c r="NWU1374" s="110"/>
      <c r="NWV1374" s="110"/>
      <c r="NWW1374" s="110"/>
      <c r="NWX1374" s="110"/>
      <c r="NWY1374" s="110"/>
      <c r="NWZ1374" s="110"/>
      <c r="NXA1374" s="110"/>
      <c r="NXB1374" s="110"/>
      <c r="NXC1374" s="110"/>
      <c r="NXD1374" s="110"/>
      <c r="NXE1374" s="110"/>
      <c r="NXF1374" s="110"/>
      <c r="NXG1374" s="110"/>
      <c r="NXH1374" s="110"/>
      <c r="NXI1374" s="110"/>
      <c r="NXJ1374" s="110"/>
      <c r="NXK1374" s="110"/>
      <c r="NXL1374" s="110"/>
      <c r="NXM1374" s="110"/>
      <c r="NXN1374" s="110"/>
      <c r="NXO1374" s="110"/>
      <c r="NXP1374" s="110"/>
      <c r="NXQ1374" s="110"/>
      <c r="NXR1374" s="110"/>
      <c r="NXS1374" s="110"/>
      <c r="NXT1374" s="110"/>
      <c r="NXU1374" s="110"/>
      <c r="NXV1374" s="110"/>
      <c r="NXW1374" s="110"/>
      <c r="NXX1374" s="110"/>
      <c r="NXY1374" s="110"/>
      <c r="NXZ1374" s="110"/>
      <c r="NYA1374" s="110"/>
      <c r="NYB1374" s="110"/>
      <c r="NYC1374" s="110"/>
      <c r="NYD1374" s="110"/>
      <c r="NYE1374" s="110"/>
      <c r="NYF1374" s="110"/>
      <c r="NYG1374" s="110"/>
      <c r="NYH1374" s="110"/>
      <c r="NYI1374" s="110"/>
      <c r="NYJ1374" s="110"/>
      <c r="NYK1374" s="110"/>
      <c r="NYL1374" s="110"/>
      <c r="NYM1374" s="110"/>
      <c r="NYN1374" s="110"/>
      <c r="NYO1374" s="110"/>
      <c r="NYP1374" s="110"/>
      <c r="NYQ1374" s="110"/>
      <c r="NYR1374" s="110"/>
      <c r="NYS1374" s="110"/>
      <c r="NYT1374" s="110"/>
      <c r="NYU1374" s="110"/>
      <c r="NYV1374" s="110"/>
      <c r="NYW1374" s="110"/>
      <c r="NYX1374" s="110"/>
      <c r="NYY1374" s="110"/>
      <c r="NYZ1374" s="110"/>
      <c r="NZA1374" s="110"/>
      <c r="NZB1374" s="110"/>
      <c r="NZC1374" s="110"/>
      <c r="NZD1374" s="110"/>
      <c r="NZE1374" s="110"/>
      <c r="NZF1374" s="110"/>
      <c r="NZG1374" s="110"/>
      <c r="NZH1374" s="110"/>
      <c r="NZI1374" s="110"/>
      <c r="NZJ1374" s="110"/>
      <c r="NZK1374" s="110"/>
      <c r="NZL1374" s="110"/>
      <c r="NZM1374" s="110"/>
      <c r="NZN1374" s="110"/>
      <c r="NZO1374" s="110"/>
      <c r="NZP1374" s="110"/>
      <c r="NZQ1374" s="110"/>
      <c r="NZR1374" s="110"/>
      <c r="NZS1374" s="110"/>
      <c r="NZT1374" s="110"/>
      <c r="NZU1374" s="110"/>
      <c r="NZV1374" s="110"/>
      <c r="NZW1374" s="110"/>
      <c r="NZX1374" s="110"/>
      <c r="NZY1374" s="110"/>
      <c r="NZZ1374" s="110"/>
      <c r="OAA1374" s="110"/>
      <c r="OAB1374" s="110"/>
      <c r="OAC1374" s="110"/>
      <c r="OAD1374" s="110"/>
      <c r="OAE1374" s="110"/>
      <c r="OAF1374" s="110"/>
      <c r="OAG1374" s="110"/>
      <c r="OAH1374" s="110"/>
      <c r="OAI1374" s="110"/>
      <c r="OAJ1374" s="110"/>
      <c r="OAK1374" s="110"/>
      <c r="OAL1374" s="110"/>
      <c r="OAM1374" s="110"/>
      <c r="OAN1374" s="110"/>
      <c r="OAO1374" s="110"/>
      <c r="OAP1374" s="110"/>
      <c r="OAQ1374" s="110"/>
      <c r="OAR1374" s="110"/>
      <c r="OAS1374" s="110"/>
      <c r="OAT1374" s="110"/>
      <c r="OAU1374" s="110"/>
      <c r="OAV1374" s="110"/>
      <c r="OAW1374" s="110"/>
      <c r="OAX1374" s="110"/>
      <c r="OAY1374" s="110"/>
      <c r="OAZ1374" s="110"/>
      <c r="OBA1374" s="110"/>
      <c r="OBB1374" s="110"/>
      <c r="OBC1374" s="110"/>
      <c r="OBD1374" s="110"/>
      <c r="OBE1374" s="110"/>
      <c r="OBF1374" s="110"/>
      <c r="OBG1374" s="110"/>
      <c r="OBH1374" s="110"/>
      <c r="OBI1374" s="110"/>
      <c r="OBJ1374" s="110"/>
      <c r="OBK1374" s="110"/>
      <c r="OBL1374" s="110"/>
      <c r="OBM1374" s="110"/>
      <c r="OBN1374" s="110"/>
      <c r="OBO1374" s="110"/>
      <c r="OBP1374" s="110"/>
      <c r="OBQ1374" s="110"/>
      <c r="OBR1374" s="110"/>
      <c r="OBS1374" s="110"/>
      <c r="OBT1374" s="110"/>
      <c r="OBU1374" s="110"/>
      <c r="OBV1374" s="110"/>
      <c r="OBW1374" s="110"/>
      <c r="OBX1374" s="110"/>
      <c r="OBY1374" s="110"/>
      <c r="OBZ1374" s="110"/>
      <c r="OCA1374" s="110"/>
      <c r="OCB1374" s="110"/>
      <c r="OCC1374" s="110"/>
      <c r="OCD1374" s="110"/>
      <c r="OCE1374" s="110"/>
      <c r="OCF1374" s="110"/>
      <c r="OCG1374" s="110"/>
      <c r="OCH1374" s="110"/>
      <c r="OCI1374" s="110"/>
      <c r="OCJ1374" s="110"/>
      <c r="OCK1374" s="110"/>
      <c r="OCL1374" s="110"/>
      <c r="OCM1374" s="110"/>
      <c r="OCN1374" s="110"/>
      <c r="OCO1374" s="110"/>
      <c r="OCP1374" s="110"/>
      <c r="OCQ1374" s="110"/>
      <c r="OCR1374" s="110"/>
      <c r="OCS1374" s="110"/>
      <c r="OCT1374" s="110"/>
      <c r="OCU1374" s="110"/>
      <c r="OCV1374" s="110"/>
      <c r="OCW1374" s="110"/>
      <c r="OCX1374" s="110"/>
      <c r="OCY1374" s="110"/>
      <c r="OCZ1374" s="110"/>
      <c r="ODA1374" s="110"/>
      <c r="ODB1374" s="110"/>
      <c r="ODC1374" s="110"/>
      <c r="ODD1374" s="110"/>
      <c r="ODE1374" s="110"/>
      <c r="ODF1374" s="110"/>
      <c r="ODG1374" s="110"/>
      <c r="ODH1374" s="110"/>
      <c r="ODI1374" s="110"/>
      <c r="ODJ1374" s="110"/>
      <c r="ODK1374" s="110"/>
      <c r="ODL1374" s="110"/>
      <c r="ODM1374" s="110"/>
      <c r="ODN1374" s="110"/>
      <c r="ODO1374" s="110"/>
      <c r="ODP1374" s="110"/>
      <c r="ODQ1374" s="110"/>
      <c r="ODR1374" s="110"/>
      <c r="ODS1374" s="110"/>
      <c r="ODT1374" s="110"/>
      <c r="ODU1374" s="110"/>
      <c r="ODV1374" s="110"/>
      <c r="ODW1374" s="110"/>
      <c r="ODX1374" s="110"/>
      <c r="ODY1374" s="110"/>
      <c r="ODZ1374" s="110"/>
      <c r="OEA1374" s="110"/>
      <c r="OEB1374" s="110"/>
      <c r="OEC1374" s="110"/>
      <c r="OED1374" s="110"/>
      <c r="OEE1374" s="110"/>
      <c r="OEF1374" s="110"/>
      <c r="OEG1374" s="110"/>
      <c r="OEH1374" s="110"/>
      <c r="OEI1374" s="110"/>
      <c r="OEJ1374" s="110"/>
      <c r="OEK1374" s="110"/>
      <c r="OEL1374" s="110"/>
      <c r="OEM1374" s="110"/>
      <c r="OEN1374" s="110"/>
      <c r="OEO1374" s="110"/>
      <c r="OEP1374" s="110"/>
      <c r="OEQ1374" s="110"/>
      <c r="OER1374" s="110"/>
      <c r="OES1374" s="110"/>
      <c r="OET1374" s="110"/>
      <c r="OEU1374" s="110"/>
      <c r="OEV1374" s="110"/>
      <c r="OEW1374" s="110"/>
      <c r="OEX1374" s="110"/>
      <c r="OEY1374" s="110"/>
      <c r="OEZ1374" s="110"/>
      <c r="OFA1374" s="110"/>
      <c r="OFB1374" s="110"/>
      <c r="OFC1374" s="110"/>
      <c r="OFD1374" s="110"/>
      <c r="OFE1374" s="110"/>
      <c r="OFF1374" s="110"/>
      <c r="OFG1374" s="110"/>
      <c r="OFH1374" s="110"/>
      <c r="OFI1374" s="110"/>
      <c r="OFJ1374" s="110"/>
      <c r="OFK1374" s="110"/>
      <c r="OFL1374" s="110"/>
      <c r="OFM1374" s="110"/>
      <c r="OFN1374" s="110"/>
      <c r="OFO1374" s="110"/>
      <c r="OFP1374" s="110"/>
      <c r="OFQ1374" s="110"/>
      <c r="OFR1374" s="110"/>
      <c r="OFS1374" s="110"/>
      <c r="OFT1374" s="110"/>
      <c r="OFU1374" s="110"/>
      <c r="OFV1374" s="110"/>
      <c r="OFW1374" s="110"/>
      <c r="OFX1374" s="110"/>
      <c r="OFY1374" s="110"/>
      <c r="OFZ1374" s="110"/>
      <c r="OGA1374" s="110"/>
      <c r="OGB1374" s="110"/>
      <c r="OGC1374" s="110"/>
      <c r="OGD1374" s="110"/>
      <c r="OGE1374" s="110"/>
      <c r="OGF1374" s="110"/>
      <c r="OGG1374" s="110"/>
      <c r="OGH1374" s="110"/>
      <c r="OGI1374" s="110"/>
      <c r="OGJ1374" s="110"/>
      <c r="OGK1374" s="110"/>
      <c r="OGL1374" s="110"/>
      <c r="OGM1374" s="110"/>
      <c r="OGN1374" s="110"/>
      <c r="OGO1374" s="110"/>
      <c r="OGP1374" s="110"/>
      <c r="OGQ1374" s="110"/>
      <c r="OGR1374" s="110"/>
      <c r="OGS1374" s="110"/>
      <c r="OGT1374" s="110"/>
      <c r="OGU1374" s="110"/>
      <c r="OGV1374" s="110"/>
      <c r="OGW1374" s="110"/>
      <c r="OGX1374" s="110"/>
      <c r="OGY1374" s="110"/>
      <c r="OGZ1374" s="110"/>
      <c r="OHA1374" s="110"/>
      <c r="OHB1374" s="110"/>
      <c r="OHC1374" s="110"/>
      <c r="OHD1374" s="110"/>
      <c r="OHE1374" s="110"/>
      <c r="OHF1374" s="110"/>
      <c r="OHG1374" s="110"/>
      <c r="OHH1374" s="110"/>
      <c r="OHI1374" s="110"/>
      <c r="OHJ1374" s="110"/>
      <c r="OHK1374" s="110"/>
      <c r="OHL1374" s="110"/>
      <c r="OHM1374" s="110"/>
      <c r="OHN1374" s="110"/>
      <c r="OHO1374" s="110"/>
      <c r="OHP1374" s="110"/>
      <c r="OHQ1374" s="110"/>
      <c r="OHR1374" s="110"/>
      <c r="OHS1374" s="110"/>
      <c r="OHT1374" s="110"/>
      <c r="OHU1374" s="110"/>
      <c r="OHV1374" s="110"/>
      <c r="OHW1374" s="110"/>
      <c r="OHX1374" s="110"/>
      <c r="OHY1374" s="110"/>
      <c r="OHZ1374" s="110"/>
      <c r="OIA1374" s="110"/>
      <c r="OIB1374" s="110"/>
      <c r="OIC1374" s="110"/>
      <c r="OID1374" s="110"/>
      <c r="OIE1374" s="110"/>
      <c r="OIF1374" s="110"/>
      <c r="OIG1374" s="110"/>
      <c r="OIH1374" s="110"/>
      <c r="OII1374" s="110"/>
      <c r="OIJ1374" s="110"/>
      <c r="OIK1374" s="110"/>
      <c r="OIL1374" s="110"/>
      <c r="OIM1374" s="110"/>
      <c r="OIN1374" s="110"/>
      <c r="OIO1374" s="110"/>
      <c r="OIP1374" s="110"/>
      <c r="OIQ1374" s="110"/>
      <c r="OIR1374" s="110"/>
      <c r="OIS1374" s="110"/>
      <c r="OIT1374" s="110"/>
      <c r="OIU1374" s="110"/>
      <c r="OIV1374" s="110"/>
      <c r="OIW1374" s="110"/>
      <c r="OIX1374" s="110"/>
      <c r="OIY1374" s="110"/>
      <c r="OIZ1374" s="110"/>
      <c r="OJA1374" s="110"/>
      <c r="OJB1374" s="110"/>
      <c r="OJC1374" s="110"/>
      <c r="OJD1374" s="110"/>
      <c r="OJE1374" s="110"/>
      <c r="OJF1374" s="110"/>
      <c r="OJG1374" s="110"/>
      <c r="OJH1374" s="110"/>
      <c r="OJI1374" s="110"/>
      <c r="OJJ1374" s="110"/>
      <c r="OJK1374" s="110"/>
      <c r="OJL1374" s="110"/>
      <c r="OJM1374" s="110"/>
      <c r="OJN1374" s="110"/>
      <c r="OJO1374" s="110"/>
      <c r="OJP1374" s="110"/>
      <c r="OJQ1374" s="110"/>
      <c r="OJR1374" s="110"/>
      <c r="OJS1374" s="110"/>
      <c r="OJT1374" s="110"/>
      <c r="OJU1374" s="110"/>
      <c r="OJV1374" s="110"/>
      <c r="OJW1374" s="110"/>
      <c r="OJX1374" s="110"/>
      <c r="OJY1374" s="110"/>
      <c r="OJZ1374" s="110"/>
      <c r="OKA1374" s="110"/>
      <c r="OKB1374" s="110"/>
      <c r="OKC1374" s="110"/>
      <c r="OKD1374" s="110"/>
      <c r="OKE1374" s="110"/>
      <c r="OKF1374" s="110"/>
      <c r="OKG1374" s="110"/>
      <c r="OKH1374" s="110"/>
      <c r="OKI1374" s="110"/>
      <c r="OKJ1374" s="110"/>
      <c r="OKK1374" s="110"/>
      <c r="OKL1374" s="110"/>
      <c r="OKM1374" s="110"/>
      <c r="OKN1374" s="110"/>
      <c r="OKO1374" s="110"/>
      <c r="OKP1374" s="110"/>
      <c r="OKQ1374" s="110"/>
      <c r="OKR1374" s="110"/>
      <c r="OKS1374" s="110"/>
      <c r="OKT1374" s="110"/>
      <c r="OKU1374" s="110"/>
      <c r="OKV1374" s="110"/>
      <c r="OKW1374" s="110"/>
      <c r="OKX1374" s="110"/>
      <c r="OKY1374" s="110"/>
      <c r="OKZ1374" s="110"/>
      <c r="OLA1374" s="110"/>
      <c r="OLB1374" s="110"/>
      <c r="OLC1374" s="110"/>
      <c r="OLD1374" s="110"/>
      <c r="OLE1374" s="110"/>
      <c r="OLF1374" s="110"/>
      <c r="OLG1374" s="110"/>
      <c r="OLH1374" s="110"/>
      <c r="OLI1374" s="110"/>
      <c r="OLJ1374" s="110"/>
      <c r="OLK1374" s="110"/>
      <c r="OLL1374" s="110"/>
      <c r="OLM1374" s="110"/>
      <c r="OLN1374" s="110"/>
      <c r="OLO1374" s="110"/>
      <c r="OLP1374" s="110"/>
      <c r="OLQ1374" s="110"/>
      <c r="OLR1374" s="110"/>
      <c r="OLS1374" s="110"/>
      <c r="OLT1374" s="110"/>
      <c r="OLU1374" s="110"/>
      <c r="OLV1374" s="110"/>
      <c r="OLW1374" s="110"/>
      <c r="OLX1374" s="110"/>
      <c r="OLY1374" s="110"/>
      <c r="OLZ1374" s="110"/>
      <c r="OMA1374" s="110"/>
      <c r="OMB1374" s="110"/>
      <c r="OMC1374" s="110"/>
      <c r="OMD1374" s="110"/>
      <c r="OME1374" s="110"/>
      <c r="OMF1374" s="110"/>
      <c r="OMG1374" s="110"/>
      <c r="OMH1374" s="110"/>
      <c r="OMI1374" s="110"/>
      <c r="OMJ1374" s="110"/>
      <c r="OMK1374" s="110"/>
      <c r="OML1374" s="110"/>
      <c r="OMM1374" s="110"/>
      <c r="OMN1374" s="110"/>
      <c r="OMO1374" s="110"/>
      <c r="OMP1374" s="110"/>
      <c r="OMQ1374" s="110"/>
      <c r="OMR1374" s="110"/>
      <c r="OMS1374" s="110"/>
      <c r="OMT1374" s="110"/>
      <c r="OMU1374" s="110"/>
      <c r="OMV1374" s="110"/>
      <c r="OMW1374" s="110"/>
      <c r="OMX1374" s="110"/>
      <c r="OMY1374" s="110"/>
      <c r="OMZ1374" s="110"/>
      <c r="ONA1374" s="110"/>
      <c r="ONB1374" s="110"/>
      <c r="ONC1374" s="110"/>
      <c r="OND1374" s="110"/>
      <c r="ONE1374" s="110"/>
      <c r="ONF1374" s="110"/>
      <c r="ONG1374" s="110"/>
      <c r="ONH1374" s="110"/>
      <c r="ONI1374" s="110"/>
      <c r="ONJ1374" s="110"/>
      <c r="ONK1374" s="110"/>
      <c r="ONL1374" s="110"/>
      <c r="ONM1374" s="110"/>
      <c r="ONN1374" s="110"/>
      <c r="ONO1374" s="110"/>
      <c r="ONP1374" s="110"/>
      <c r="ONQ1374" s="110"/>
      <c r="ONR1374" s="110"/>
      <c r="ONS1374" s="110"/>
      <c r="ONT1374" s="110"/>
      <c r="ONU1374" s="110"/>
      <c r="ONV1374" s="110"/>
      <c r="ONW1374" s="110"/>
      <c r="ONX1374" s="110"/>
      <c r="ONY1374" s="110"/>
      <c r="ONZ1374" s="110"/>
      <c r="OOA1374" s="110"/>
      <c r="OOB1374" s="110"/>
      <c r="OOC1374" s="110"/>
      <c r="OOD1374" s="110"/>
      <c r="OOE1374" s="110"/>
      <c r="OOF1374" s="110"/>
      <c r="OOG1374" s="110"/>
      <c r="OOH1374" s="110"/>
      <c r="OOI1374" s="110"/>
      <c r="OOJ1374" s="110"/>
      <c r="OOK1374" s="110"/>
      <c r="OOL1374" s="110"/>
      <c r="OOM1374" s="110"/>
      <c r="OON1374" s="110"/>
      <c r="OOO1374" s="110"/>
      <c r="OOP1374" s="110"/>
      <c r="OOQ1374" s="110"/>
      <c r="OOR1374" s="110"/>
      <c r="OOS1374" s="110"/>
      <c r="OOT1374" s="110"/>
      <c r="OOU1374" s="110"/>
      <c r="OOV1374" s="110"/>
      <c r="OOW1374" s="110"/>
      <c r="OOX1374" s="110"/>
      <c r="OOY1374" s="110"/>
      <c r="OOZ1374" s="110"/>
      <c r="OPA1374" s="110"/>
      <c r="OPB1374" s="110"/>
      <c r="OPC1374" s="110"/>
      <c r="OPD1374" s="110"/>
      <c r="OPE1374" s="110"/>
      <c r="OPF1374" s="110"/>
      <c r="OPG1374" s="110"/>
      <c r="OPH1374" s="110"/>
      <c r="OPI1374" s="110"/>
      <c r="OPJ1374" s="110"/>
      <c r="OPK1374" s="110"/>
      <c r="OPL1374" s="110"/>
      <c r="OPM1374" s="110"/>
      <c r="OPN1374" s="110"/>
      <c r="OPO1374" s="110"/>
      <c r="OPP1374" s="110"/>
      <c r="OPQ1374" s="110"/>
      <c r="OPR1374" s="110"/>
      <c r="OPS1374" s="110"/>
      <c r="OPT1374" s="110"/>
      <c r="OPU1374" s="110"/>
      <c r="OPV1374" s="110"/>
      <c r="OPW1374" s="110"/>
      <c r="OPX1374" s="110"/>
      <c r="OPY1374" s="110"/>
      <c r="OPZ1374" s="110"/>
      <c r="OQA1374" s="110"/>
      <c r="OQB1374" s="110"/>
      <c r="OQC1374" s="110"/>
      <c r="OQD1374" s="110"/>
      <c r="OQE1374" s="110"/>
      <c r="OQF1374" s="110"/>
      <c r="OQG1374" s="110"/>
      <c r="OQH1374" s="110"/>
      <c r="OQI1374" s="110"/>
      <c r="OQJ1374" s="110"/>
      <c r="OQK1374" s="110"/>
      <c r="OQL1374" s="110"/>
      <c r="OQM1374" s="110"/>
      <c r="OQN1374" s="110"/>
      <c r="OQO1374" s="110"/>
      <c r="OQP1374" s="110"/>
      <c r="OQQ1374" s="110"/>
      <c r="OQR1374" s="110"/>
      <c r="OQS1374" s="110"/>
      <c r="OQT1374" s="110"/>
      <c r="OQU1374" s="110"/>
      <c r="OQV1374" s="110"/>
      <c r="OQW1374" s="110"/>
      <c r="OQX1374" s="110"/>
      <c r="OQY1374" s="110"/>
      <c r="OQZ1374" s="110"/>
      <c r="ORA1374" s="110"/>
      <c r="ORB1374" s="110"/>
      <c r="ORC1374" s="110"/>
      <c r="ORD1374" s="110"/>
      <c r="ORE1374" s="110"/>
      <c r="ORF1374" s="110"/>
      <c r="ORG1374" s="110"/>
      <c r="ORH1374" s="110"/>
      <c r="ORI1374" s="110"/>
      <c r="ORJ1374" s="110"/>
      <c r="ORK1374" s="110"/>
      <c r="ORL1374" s="110"/>
      <c r="ORM1374" s="110"/>
      <c r="ORN1374" s="110"/>
      <c r="ORO1374" s="110"/>
      <c r="ORP1374" s="110"/>
      <c r="ORQ1374" s="110"/>
      <c r="ORR1374" s="110"/>
      <c r="ORS1374" s="110"/>
      <c r="ORT1374" s="110"/>
      <c r="ORU1374" s="110"/>
      <c r="ORV1374" s="110"/>
      <c r="ORW1374" s="110"/>
      <c r="ORX1374" s="110"/>
      <c r="ORY1374" s="110"/>
      <c r="ORZ1374" s="110"/>
      <c r="OSA1374" s="110"/>
      <c r="OSB1374" s="110"/>
      <c r="OSC1374" s="110"/>
      <c r="OSD1374" s="110"/>
      <c r="OSE1374" s="110"/>
      <c r="OSF1374" s="110"/>
      <c r="OSG1374" s="110"/>
      <c r="OSH1374" s="110"/>
      <c r="OSI1374" s="110"/>
      <c r="OSJ1374" s="110"/>
      <c r="OSK1374" s="110"/>
      <c r="OSL1374" s="110"/>
      <c r="OSM1374" s="110"/>
      <c r="OSN1374" s="110"/>
      <c r="OSO1374" s="110"/>
      <c r="OSP1374" s="110"/>
      <c r="OSQ1374" s="110"/>
      <c r="OSR1374" s="110"/>
      <c r="OSS1374" s="110"/>
      <c r="OST1374" s="110"/>
      <c r="OSU1374" s="110"/>
      <c r="OSV1374" s="110"/>
      <c r="OSW1374" s="110"/>
      <c r="OSX1374" s="110"/>
      <c r="OSY1374" s="110"/>
      <c r="OSZ1374" s="110"/>
      <c r="OTA1374" s="110"/>
      <c r="OTB1374" s="110"/>
      <c r="OTC1374" s="110"/>
      <c r="OTD1374" s="110"/>
      <c r="OTE1374" s="110"/>
      <c r="OTF1374" s="110"/>
      <c r="OTG1374" s="110"/>
      <c r="OTH1374" s="110"/>
      <c r="OTI1374" s="110"/>
      <c r="OTJ1374" s="110"/>
      <c r="OTK1374" s="110"/>
      <c r="OTL1374" s="110"/>
      <c r="OTM1374" s="110"/>
      <c r="OTN1374" s="110"/>
      <c r="OTO1374" s="110"/>
      <c r="OTP1374" s="110"/>
      <c r="OTQ1374" s="110"/>
      <c r="OTR1374" s="110"/>
      <c r="OTS1374" s="110"/>
      <c r="OTT1374" s="110"/>
      <c r="OTU1374" s="110"/>
      <c r="OTV1374" s="110"/>
      <c r="OTW1374" s="110"/>
      <c r="OTX1374" s="110"/>
      <c r="OTY1374" s="110"/>
      <c r="OTZ1374" s="110"/>
      <c r="OUA1374" s="110"/>
      <c r="OUB1374" s="110"/>
      <c r="OUC1374" s="110"/>
      <c r="OUD1374" s="110"/>
      <c r="OUE1374" s="110"/>
      <c r="OUF1374" s="110"/>
      <c r="OUG1374" s="110"/>
      <c r="OUH1374" s="110"/>
      <c r="OUI1374" s="110"/>
      <c r="OUJ1374" s="110"/>
      <c r="OUK1374" s="110"/>
      <c r="OUL1374" s="110"/>
      <c r="OUM1374" s="110"/>
      <c r="OUN1374" s="110"/>
      <c r="OUO1374" s="110"/>
      <c r="OUP1374" s="110"/>
      <c r="OUQ1374" s="110"/>
      <c r="OUR1374" s="110"/>
      <c r="OUS1374" s="110"/>
      <c r="OUT1374" s="110"/>
      <c r="OUU1374" s="110"/>
      <c r="OUV1374" s="110"/>
      <c r="OUW1374" s="110"/>
      <c r="OUX1374" s="110"/>
      <c r="OUY1374" s="110"/>
      <c r="OUZ1374" s="110"/>
      <c r="OVA1374" s="110"/>
      <c r="OVB1374" s="110"/>
      <c r="OVC1374" s="110"/>
      <c r="OVD1374" s="110"/>
      <c r="OVE1374" s="110"/>
      <c r="OVF1374" s="110"/>
      <c r="OVG1374" s="110"/>
      <c r="OVH1374" s="110"/>
      <c r="OVI1374" s="110"/>
      <c r="OVJ1374" s="110"/>
      <c r="OVK1374" s="110"/>
      <c r="OVL1374" s="110"/>
      <c r="OVM1374" s="110"/>
      <c r="OVN1374" s="110"/>
      <c r="OVO1374" s="110"/>
      <c r="OVP1374" s="110"/>
      <c r="OVQ1374" s="110"/>
      <c r="OVR1374" s="110"/>
      <c r="OVS1374" s="110"/>
      <c r="OVT1374" s="110"/>
      <c r="OVU1374" s="110"/>
      <c r="OVV1374" s="110"/>
      <c r="OVW1374" s="110"/>
      <c r="OVX1374" s="110"/>
      <c r="OVY1374" s="110"/>
      <c r="OVZ1374" s="110"/>
      <c r="OWA1374" s="110"/>
      <c r="OWB1374" s="110"/>
      <c r="OWC1374" s="110"/>
      <c r="OWD1374" s="110"/>
      <c r="OWE1374" s="110"/>
      <c r="OWF1374" s="110"/>
      <c r="OWG1374" s="110"/>
      <c r="OWH1374" s="110"/>
      <c r="OWI1374" s="110"/>
      <c r="OWJ1374" s="110"/>
      <c r="OWK1374" s="110"/>
      <c r="OWL1374" s="110"/>
      <c r="OWM1374" s="110"/>
      <c r="OWN1374" s="110"/>
      <c r="OWO1374" s="110"/>
      <c r="OWP1374" s="110"/>
      <c r="OWQ1374" s="110"/>
      <c r="OWR1374" s="110"/>
      <c r="OWS1374" s="110"/>
      <c r="OWT1374" s="110"/>
      <c r="OWU1374" s="110"/>
      <c r="OWV1374" s="110"/>
      <c r="OWW1374" s="110"/>
      <c r="OWX1374" s="110"/>
      <c r="OWY1374" s="110"/>
      <c r="OWZ1374" s="110"/>
      <c r="OXA1374" s="110"/>
      <c r="OXB1374" s="110"/>
      <c r="OXC1374" s="110"/>
      <c r="OXD1374" s="110"/>
      <c r="OXE1374" s="110"/>
      <c r="OXF1374" s="110"/>
      <c r="OXG1374" s="110"/>
      <c r="OXH1374" s="110"/>
      <c r="OXI1374" s="110"/>
      <c r="OXJ1374" s="110"/>
      <c r="OXK1374" s="110"/>
      <c r="OXL1374" s="110"/>
      <c r="OXM1374" s="110"/>
      <c r="OXN1374" s="110"/>
      <c r="OXO1374" s="110"/>
      <c r="OXP1374" s="110"/>
      <c r="OXQ1374" s="110"/>
      <c r="OXR1374" s="110"/>
      <c r="OXS1374" s="110"/>
      <c r="OXT1374" s="110"/>
      <c r="OXU1374" s="110"/>
      <c r="OXV1374" s="110"/>
      <c r="OXW1374" s="110"/>
      <c r="OXX1374" s="110"/>
      <c r="OXY1374" s="110"/>
      <c r="OXZ1374" s="110"/>
      <c r="OYA1374" s="110"/>
      <c r="OYB1374" s="110"/>
      <c r="OYC1374" s="110"/>
      <c r="OYD1374" s="110"/>
      <c r="OYE1374" s="110"/>
      <c r="OYF1374" s="110"/>
      <c r="OYG1374" s="110"/>
      <c r="OYH1374" s="110"/>
      <c r="OYI1374" s="110"/>
      <c r="OYJ1374" s="110"/>
      <c r="OYK1374" s="110"/>
      <c r="OYL1374" s="110"/>
      <c r="OYM1374" s="110"/>
      <c r="OYN1374" s="110"/>
      <c r="OYO1374" s="110"/>
      <c r="OYP1374" s="110"/>
      <c r="OYQ1374" s="110"/>
      <c r="OYR1374" s="110"/>
      <c r="OYS1374" s="110"/>
      <c r="OYT1374" s="110"/>
      <c r="OYU1374" s="110"/>
      <c r="OYV1374" s="110"/>
      <c r="OYW1374" s="110"/>
      <c r="OYX1374" s="110"/>
      <c r="OYY1374" s="110"/>
      <c r="OYZ1374" s="110"/>
      <c r="OZA1374" s="110"/>
      <c r="OZB1374" s="110"/>
      <c r="OZC1374" s="110"/>
      <c r="OZD1374" s="110"/>
      <c r="OZE1374" s="110"/>
      <c r="OZF1374" s="110"/>
      <c r="OZG1374" s="110"/>
      <c r="OZH1374" s="110"/>
      <c r="OZI1374" s="110"/>
      <c r="OZJ1374" s="110"/>
      <c r="OZK1374" s="110"/>
      <c r="OZL1374" s="110"/>
      <c r="OZM1374" s="110"/>
      <c r="OZN1374" s="110"/>
      <c r="OZO1374" s="110"/>
      <c r="OZP1374" s="110"/>
      <c r="OZQ1374" s="110"/>
      <c r="OZR1374" s="110"/>
      <c r="OZS1374" s="110"/>
      <c r="OZT1374" s="110"/>
      <c r="OZU1374" s="110"/>
      <c r="OZV1374" s="110"/>
      <c r="OZW1374" s="110"/>
      <c r="OZX1374" s="110"/>
      <c r="OZY1374" s="110"/>
      <c r="OZZ1374" s="110"/>
      <c r="PAA1374" s="110"/>
      <c r="PAB1374" s="110"/>
      <c r="PAC1374" s="110"/>
      <c r="PAD1374" s="110"/>
      <c r="PAE1374" s="110"/>
      <c r="PAF1374" s="110"/>
      <c r="PAG1374" s="110"/>
      <c r="PAH1374" s="110"/>
      <c r="PAI1374" s="110"/>
      <c r="PAJ1374" s="110"/>
      <c r="PAK1374" s="110"/>
      <c r="PAL1374" s="110"/>
      <c r="PAM1374" s="110"/>
      <c r="PAN1374" s="110"/>
      <c r="PAO1374" s="110"/>
      <c r="PAP1374" s="110"/>
      <c r="PAQ1374" s="110"/>
      <c r="PAR1374" s="110"/>
      <c r="PAS1374" s="110"/>
      <c r="PAT1374" s="110"/>
      <c r="PAU1374" s="110"/>
      <c r="PAV1374" s="110"/>
      <c r="PAW1374" s="110"/>
      <c r="PAX1374" s="110"/>
      <c r="PAY1374" s="110"/>
      <c r="PAZ1374" s="110"/>
      <c r="PBA1374" s="110"/>
      <c r="PBB1374" s="110"/>
      <c r="PBC1374" s="110"/>
      <c r="PBD1374" s="110"/>
      <c r="PBE1374" s="110"/>
      <c r="PBF1374" s="110"/>
      <c r="PBG1374" s="110"/>
      <c r="PBH1374" s="110"/>
      <c r="PBI1374" s="110"/>
      <c r="PBJ1374" s="110"/>
      <c r="PBK1374" s="110"/>
      <c r="PBL1374" s="110"/>
      <c r="PBM1374" s="110"/>
      <c r="PBN1374" s="110"/>
      <c r="PBO1374" s="110"/>
      <c r="PBP1374" s="110"/>
      <c r="PBQ1374" s="110"/>
      <c r="PBR1374" s="110"/>
      <c r="PBS1374" s="110"/>
      <c r="PBT1374" s="110"/>
      <c r="PBU1374" s="110"/>
      <c r="PBV1374" s="110"/>
      <c r="PBW1374" s="110"/>
      <c r="PBX1374" s="110"/>
      <c r="PBY1374" s="110"/>
      <c r="PBZ1374" s="110"/>
      <c r="PCA1374" s="110"/>
      <c r="PCB1374" s="110"/>
      <c r="PCC1374" s="110"/>
      <c r="PCD1374" s="110"/>
      <c r="PCE1374" s="110"/>
      <c r="PCF1374" s="110"/>
      <c r="PCG1374" s="110"/>
      <c r="PCH1374" s="110"/>
      <c r="PCI1374" s="110"/>
      <c r="PCJ1374" s="110"/>
      <c r="PCK1374" s="110"/>
      <c r="PCL1374" s="110"/>
      <c r="PCM1374" s="110"/>
      <c r="PCN1374" s="110"/>
      <c r="PCO1374" s="110"/>
      <c r="PCP1374" s="110"/>
      <c r="PCQ1374" s="110"/>
      <c r="PCR1374" s="110"/>
      <c r="PCS1374" s="110"/>
      <c r="PCT1374" s="110"/>
      <c r="PCU1374" s="110"/>
      <c r="PCV1374" s="110"/>
      <c r="PCW1374" s="110"/>
      <c r="PCX1374" s="110"/>
      <c r="PCY1374" s="110"/>
      <c r="PCZ1374" s="110"/>
      <c r="PDA1374" s="110"/>
      <c r="PDB1374" s="110"/>
      <c r="PDC1374" s="110"/>
      <c r="PDD1374" s="110"/>
      <c r="PDE1374" s="110"/>
      <c r="PDF1374" s="110"/>
      <c r="PDG1374" s="110"/>
      <c r="PDH1374" s="110"/>
      <c r="PDI1374" s="110"/>
      <c r="PDJ1374" s="110"/>
      <c r="PDK1374" s="110"/>
      <c r="PDL1374" s="110"/>
      <c r="PDM1374" s="110"/>
      <c r="PDN1374" s="110"/>
      <c r="PDO1374" s="110"/>
      <c r="PDP1374" s="110"/>
      <c r="PDQ1374" s="110"/>
      <c r="PDR1374" s="110"/>
      <c r="PDS1374" s="110"/>
      <c r="PDT1374" s="110"/>
      <c r="PDU1374" s="110"/>
      <c r="PDV1374" s="110"/>
      <c r="PDW1374" s="110"/>
      <c r="PDX1374" s="110"/>
      <c r="PDY1374" s="110"/>
      <c r="PDZ1374" s="110"/>
      <c r="PEA1374" s="110"/>
      <c r="PEB1374" s="110"/>
      <c r="PEC1374" s="110"/>
      <c r="PED1374" s="110"/>
      <c r="PEE1374" s="110"/>
      <c r="PEF1374" s="110"/>
      <c r="PEG1374" s="110"/>
      <c r="PEH1374" s="110"/>
      <c r="PEI1374" s="110"/>
      <c r="PEJ1374" s="110"/>
      <c r="PEK1374" s="110"/>
      <c r="PEL1374" s="110"/>
      <c r="PEM1374" s="110"/>
      <c r="PEN1374" s="110"/>
      <c r="PEO1374" s="110"/>
      <c r="PEP1374" s="110"/>
      <c r="PEQ1374" s="110"/>
      <c r="PER1374" s="110"/>
      <c r="PES1374" s="110"/>
      <c r="PET1374" s="110"/>
      <c r="PEU1374" s="110"/>
      <c r="PEV1374" s="110"/>
      <c r="PEW1374" s="110"/>
      <c r="PEX1374" s="110"/>
      <c r="PEY1374" s="110"/>
      <c r="PEZ1374" s="110"/>
      <c r="PFA1374" s="110"/>
      <c r="PFB1374" s="110"/>
      <c r="PFC1374" s="110"/>
      <c r="PFD1374" s="110"/>
      <c r="PFE1374" s="110"/>
      <c r="PFF1374" s="110"/>
      <c r="PFG1374" s="110"/>
      <c r="PFH1374" s="110"/>
      <c r="PFI1374" s="110"/>
      <c r="PFJ1374" s="110"/>
      <c r="PFK1374" s="110"/>
      <c r="PFL1374" s="110"/>
      <c r="PFM1374" s="110"/>
      <c r="PFN1374" s="110"/>
      <c r="PFO1374" s="110"/>
      <c r="PFP1374" s="110"/>
      <c r="PFQ1374" s="110"/>
      <c r="PFR1374" s="110"/>
      <c r="PFS1374" s="110"/>
      <c r="PFT1374" s="110"/>
      <c r="PFU1374" s="110"/>
      <c r="PFV1374" s="110"/>
      <c r="PFW1374" s="110"/>
      <c r="PFX1374" s="110"/>
      <c r="PFY1374" s="110"/>
      <c r="PFZ1374" s="110"/>
      <c r="PGA1374" s="110"/>
      <c r="PGB1374" s="110"/>
      <c r="PGC1374" s="110"/>
      <c r="PGD1374" s="110"/>
      <c r="PGE1374" s="110"/>
      <c r="PGF1374" s="110"/>
      <c r="PGG1374" s="110"/>
      <c r="PGH1374" s="110"/>
      <c r="PGI1374" s="110"/>
      <c r="PGJ1374" s="110"/>
      <c r="PGK1374" s="110"/>
      <c r="PGL1374" s="110"/>
      <c r="PGM1374" s="110"/>
      <c r="PGN1374" s="110"/>
      <c r="PGO1374" s="110"/>
      <c r="PGP1374" s="110"/>
      <c r="PGQ1374" s="110"/>
      <c r="PGR1374" s="110"/>
      <c r="PGS1374" s="110"/>
      <c r="PGT1374" s="110"/>
      <c r="PGU1374" s="110"/>
      <c r="PGV1374" s="110"/>
      <c r="PGW1374" s="110"/>
      <c r="PGX1374" s="110"/>
      <c r="PGY1374" s="110"/>
      <c r="PGZ1374" s="110"/>
      <c r="PHA1374" s="110"/>
      <c r="PHB1374" s="110"/>
      <c r="PHC1374" s="110"/>
      <c r="PHD1374" s="110"/>
      <c r="PHE1374" s="110"/>
      <c r="PHF1374" s="110"/>
      <c r="PHG1374" s="110"/>
      <c r="PHH1374" s="110"/>
      <c r="PHI1374" s="110"/>
      <c r="PHJ1374" s="110"/>
      <c r="PHK1374" s="110"/>
      <c r="PHL1374" s="110"/>
      <c r="PHM1374" s="110"/>
      <c r="PHN1374" s="110"/>
      <c r="PHO1374" s="110"/>
      <c r="PHP1374" s="110"/>
      <c r="PHQ1374" s="110"/>
      <c r="PHR1374" s="110"/>
      <c r="PHS1374" s="110"/>
      <c r="PHT1374" s="110"/>
      <c r="PHU1374" s="110"/>
      <c r="PHV1374" s="110"/>
      <c r="PHW1374" s="110"/>
      <c r="PHX1374" s="110"/>
      <c r="PHY1374" s="110"/>
      <c r="PHZ1374" s="110"/>
      <c r="PIA1374" s="110"/>
      <c r="PIB1374" s="110"/>
      <c r="PIC1374" s="110"/>
      <c r="PID1374" s="110"/>
      <c r="PIE1374" s="110"/>
      <c r="PIF1374" s="110"/>
      <c r="PIG1374" s="110"/>
      <c r="PIH1374" s="110"/>
      <c r="PII1374" s="110"/>
      <c r="PIJ1374" s="110"/>
      <c r="PIK1374" s="110"/>
      <c r="PIL1374" s="110"/>
      <c r="PIM1374" s="110"/>
      <c r="PIN1374" s="110"/>
      <c r="PIO1374" s="110"/>
      <c r="PIP1374" s="110"/>
      <c r="PIQ1374" s="110"/>
      <c r="PIR1374" s="110"/>
      <c r="PIS1374" s="110"/>
      <c r="PIT1374" s="110"/>
      <c r="PIU1374" s="110"/>
      <c r="PIV1374" s="110"/>
      <c r="PIW1374" s="110"/>
      <c r="PIX1374" s="110"/>
      <c r="PIY1374" s="110"/>
      <c r="PIZ1374" s="110"/>
      <c r="PJA1374" s="110"/>
      <c r="PJB1374" s="110"/>
      <c r="PJC1374" s="110"/>
      <c r="PJD1374" s="110"/>
      <c r="PJE1374" s="110"/>
      <c r="PJF1374" s="110"/>
      <c r="PJG1374" s="110"/>
      <c r="PJH1374" s="110"/>
      <c r="PJI1374" s="110"/>
      <c r="PJJ1374" s="110"/>
      <c r="PJK1374" s="110"/>
      <c r="PJL1374" s="110"/>
      <c r="PJM1374" s="110"/>
      <c r="PJN1374" s="110"/>
      <c r="PJO1374" s="110"/>
      <c r="PJP1374" s="110"/>
      <c r="PJQ1374" s="110"/>
      <c r="PJR1374" s="110"/>
      <c r="PJS1374" s="110"/>
      <c r="PJT1374" s="110"/>
      <c r="PJU1374" s="110"/>
      <c r="PJV1374" s="110"/>
      <c r="PJW1374" s="110"/>
      <c r="PJX1374" s="110"/>
      <c r="PJY1374" s="110"/>
      <c r="PJZ1374" s="110"/>
      <c r="PKA1374" s="110"/>
      <c r="PKB1374" s="110"/>
      <c r="PKC1374" s="110"/>
      <c r="PKD1374" s="110"/>
      <c r="PKE1374" s="110"/>
      <c r="PKF1374" s="110"/>
      <c r="PKG1374" s="110"/>
      <c r="PKH1374" s="110"/>
      <c r="PKI1374" s="110"/>
      <c r="PKJ1374" s="110"/>
      <c r="PKK1374" s="110"/>
      <c r="PKL1374" s="110"/>
      <c r="PKM1374" s="110"/>
      <c r="PKN1374" s="110"/>
      <c r="PKO1374" s="110"/>
      <c r="PKP1374" s="110"/>
      <c r="PKQ1374" s="110"/>
      <c r="PKR1374" s="110"/>
      <c r="PKS1374" s="110"/>
      <c r="PKT1374" s="110"/>
      <c r="PKU1374" s="110"/>
      <c r="PKV1374" s="110"/>
      <c r="PKW1374" s="110"/>
      <c r="PKX1374" s="110"/>
      <c r="PKY1374" s="110"/>
      <c r="PKZ1374" s="110"/>
      <c r="PLA1374" s="110"/>
      <c r="PLB1374" s="110"/>
      <c r="PLC1374" s="110"/>
      <c r="PLD1374" s="110"/>
      <c r="PLE1374" s="110"/>
      <c r="PLF1374" s="110"/>
      <c r="PLG1374" s="110"/>
      <c r="PLH1374" s="110"/>
      <c r="PLI1374" s="110"/>
      <c r="PLJ1374" s="110"/>
      <c r="PLK1374" s="110"/>
      <c r="PLL1374" s="110"/>
      <c r="PLM1374" s="110"/>
      <c r="PLN1374" s="110"/>
      <c r="PLO1374" s="110"/>
      <c r="PLP1374" s="110"/>
      <c r="PLQ1374" s="110"/>
      <c r="PLR1374" s="110"/>
      <c r="PLS1374" s="110"/>
      <c r="PLT1374" s="110"/>
      <c r="PLU1374" s="110"/>
      <c r="PLV1374" s="110"/>
      <c r="PLW1374" s="110"/>
      <c r="PLX1374" s="110"/>
      <c r="PLY1374" s="110"/>
      <c r="PLZ1374" s="110"/>
      <c r="PMA1374" s="110"/>
      <c r="PMB1374" s="110"/>
      <c r="PMC1374" s="110"/>
      <c r="PMD1374" s="110"/>
      <c r="PME1374" s="110"/>
      <c r="PMF1374" s="110"/>
      <c r="PMG1374" s="110"/>
      <c r="PMH1374" s="110"/>
      <c r="PMI1374" s="110"/>
      <c r="PMJ1374" s="110"/>
      <c r="PMK1374" s="110"/>
      <c r="PML1374" s="110"/>
      <c r="PMM1374" s="110"/>
      <c r="PMN1374" s="110"/>
      <c r="PMO1374" s="110"/>
      <c r="PMP1374" s="110"/>
      <c r="PMQ1374" s="110"/>
      <c r="PMR1374" s="110"/>
      <c r="PMS1374" s="110"/>
      <c r="PMT1374" s="110"/>
      <c r="PMU1374" s="110"/>
      <c r="PMV1374" s="110"/>
      <c r="PMW1374" s="110"/>
      <c r="PMX1374" s="110"/>
      <c r="PMY1374" s="110"/>
      <c r="PMZ1374" s="110"/>
      <c r="PNA1374" s="110"/>
      <c r="PNB1374" s="110"/>
      <c r="PNC1374" s="110"/>
      <c r="PND1374" s="110"/>
      <c r="PNE1374" s="110"/>
      <c r="PNF1374" s="110"/>
      <c r="PNG1374" s="110"/>
      <c r="PNH1374" s="110"/>
      <c r="PNI1374" s="110"/>
      <c r="PNJ1374" s="110"/>
      <c r="PNK1374" s="110"/>
      <c r="PNL1374" s="110"/>
      <c r="PNM1374" s="110"/>
      <c r="PNN1374" s="110"/>
      <c r="PNO1374" s="110"/>
      <c r="PNP1374" s="110"/>
      <c r="PNQ1374" s="110"/>
      <c r="PNR1374" s="110"/>
      <c r="PNS1374" s="110"/>
      <c r="PNT1374" s="110"/>
      <c r="PNU1374" s="110"/>
      <c r="PNV1374" s="110"/>
      <c r="PNW1374" s="110"/>
      <c r="PNX1374" s="110"/>
      <c r="PNY1374" s="110"/>
      <c r="PNZ1374" s="110"/>
      <c r="POA1374" s="110"/>
      <c r="POB1374" s="110"/>
      <c r="POC1374" s="110"/>
      <c r="POD1374" s="110"/>
      <c r="POE1374" s="110"/>
      <c r="POF1374" s="110"/>
      <c r="POG1374" s="110"/>
      <c r="POH1374" s="110"/>
      <c r="POI1374" s="110"/>
      <c r="POJ1374" s="110"/>
      <c r="POK1374" s="110"/>
      <c r="POL1374" s="110"/>
      <c r="POM1374" s="110"/>
      <c r="PON1374" s="110"/>
      <c r="POO1374" s="110"/>
      <c r="POP1374" s="110"/>
      <c r="POQ1374" s="110"/>
      <c r="POR1374" s="110"/>
      <c r="POS1374" s="110"/>
      <c r="POT1374" s="110"/>
      <c r="POU1374" s="110"/>
      <c r="POV1374" s="110"/>
      <c r="POW1374" s="110"/>
      <c r="POX1374" s="110"/>
      <c r="POY1374" s="110"/>
      <c r="POZ1374" s="110"/>
      <c r="PPA1374" s="110"/>
      <c r="PPB1374" s="110"/>
      <c r="PPC1374" s="110"/>
      <c r="PPD1374" s="110"/>
      <c r="PPE1374" s="110"/>
      <c r="PPF1374" s="110"/>
      <c r="PPG1374" s="110"/>
      <c r="PPH1374" s="110"/>
      <c r="PPI1374" s="110"/>
      <c r="PPJ1374" s="110"/>
      <c r="PPK1374" s="110"/>
      <c r="PPL1374" s="110"/>
      <c r="PPM1374" s="110"/>
      <c r="PPN1374" s="110"/>
      <c r="PPO1374" s="110"/>
      <c r="PPP1374" s="110"/>
      <c r="PPQ1374" s="110"/>
      <c r="PPR1374" s="110"/>
      <c r="PPS1374" s="110"/>
      <c r="PPT1374" s="110"/>
      <c r="PPU1374" s="110"/>
      <c r="PPV1374" s="110"/>
      <c r="PPW1374" s="110"/>
      <c r="PPX1374" s="110"/>
      <c r="PPY1374" s="110"/>
      <c r="PPZ1374" s="110"/>
      <c r="PQA1374" s="110"/>
      <c r="PQB1374" s="110"/>
      <c r="PQC1374" s="110"/>
      <c r="PQD1374" s="110"/>
      <c r="PQE1374" s="110"/>
      <c r="PQF1374" s="110"/>
      <c r="PQG1374" s="110"/>
      <c r="PQH1374" s="110"/>
      <c r="PQI1374" s="110"/>
      <c r="PQJ1374" s="110"/>
      <c r="PQK1374" s="110"/>
      <c r="PQL1374" s="110"/>
      <c r="PQM1374" s="110"/>
      <c r="PQN1374" s="110"/>
      <c r="PQO1374" s="110"/>
      <c r="PQP1374" s="110"/>
      <c r="PQQ1374" s="110"/>
      <c r="PQR1374" s="110"/>
      <c r="PQS1374" s="110"/>
      <c r="PQT1374" s="110"/>
      <c r="PQU1374" s="110"/>
      <c r="PQV1374" s="110"/>
      <c r="PQW1374" s="110"/>
      <c r="PQX1374" s="110"/>
      <c r="PQY1374" s="110"/>
      <c r="PQZ1374" s="110"/>
      <c r="PRA1374" s="110"/>
      <c r="PRB1374" s="110"/>
      <c r="PRC1374" s="110"/>
      <c r="PRD1374" s="110"/>
      <c r="PRE1374" s="110"/>
      <c r="PRF1374" s="110"/>
      <c r="PRG1374" s="110"/>
      <c r="PRH1374" s="110"/>
      <c r="PRI1374" s="110"/>
      <c r="PRJ1374" s="110"/>
      <c r="PRK1374" s="110"/>
      <c r="PRL1374" s="110"/>
      <c r="PRM1374" s="110"/>
      <c r="PRN1374" s="110"/>
      <c r="PRO1374" s="110"/>
      <c r="PRP1374" s="110"/>
      <c r="PRQ1374" s="110"/>
      <c r="PRR1374" s="110"/>
      <c r="PRS1374" s="110"/>
      <c r="PRT1374" s="110"/>
      <c r="PRU1374" s="110"/>
      <c r="PRV1374" s="110"/>
      <c r="PRW1374" s="110"/>
      <c r="PRX1374" s="110"/>
      <c r="PRY1374" s="110"/>
      <c r="PRZ1374" s="110"/>
      <c r="PSA1374" s="110"/>
      <c r="PSB1374" s="110"/>
      <c r="PSC1374" s="110"/>
      <c r="PSD1374" s="110"/>
      <c r="PSE1374" s="110"/>
      <c r="PSF1374" s="110"/>
      <c r="PSG1374" s="110"/>
      <c r="PSH1374" s="110"/>
      <c r="PSI1374" s="110"/>
      <c r="PSJ1374" s="110"/>
      <c r="PSK1374" s="110"/>
      <c r="PSL1374" s="110"/>
      <c r="PSM1374" s="110"/>
      <c r="PSN1374" s="110"/>
      <c r="PSO1374" s="110"/>
      <c r="PSP1374" s="110"/>
      <c r="PSQ1374" s="110"/>
      <c r="PSR1374" s="110"/>
      <c r="PSS1374" s="110"/>
      <c r="PST1374" s="110"/>
      <c r="PSU1374" s="110"/>
      <c r="PSV1374" s="110"/>
      <c r="PSW1374" s="110"/>
      <c r="PSX1374" s="110"/>
      <c r="PSY1374" s="110"/>
      <c r="PSZ1374" s="110"/>
      <c r="PTA1374" s="110"/>
      <c r="PTB1374" s="110"/>
      <c r="PTC1374" s="110"/>
      <c r="PTD1374" s="110"/>
      <c r="PTE1374" s="110"/>
      <c r="PTF1374" s="110"/>
      <c r="PTG1374" s="110"/>
      <c r="PTH1374" s="110"/>
      <c r="PTI1374" s="110"/>
      <c r="PTJ1374" s="110"/>
      <c r="PTK1374" s="110"/>
      <c r="PTL1374" s="110"/>
      <c r="PTM1374" s="110"/>
      <c r="PTN1374" s="110"/>
      <c r="PTO1374" s="110"/>
      <c r="PTP1374" s="110"/>
      <c r="PTQ1374" s="110"/>
      <c r="PTR1374" s="110"/>
      <c r="PTS1374" s="110"/>
      <c r="PTT1374" s="110"/>
      <c r="PTU1374" s="110"/>
      <c r="PTV1374" s="110"/>
      <c r="PTW1374" s="110"/>
      <c r="PTX1374" s="110"/>
      <c r="PTY1374" s="110"/>
      <c r="PTZ1374" s="110"/>
      <c r="PUA1374" s="110"/>
      <c r="PUB1374" s="110"/>
      <c r="PUC1374" s="110"/>
      <c r="PUD1374" s="110"/>
      <c r="PUE1374" s="110"/>
      <c r="PUF1374" s="110"/>
      <c r="PUG1374" s="110"/>
      <c r="PUH1374" s="110"/>
      <c r="PUI1374" s="110"/>
      <c r="PUJ1374" s="110"/>
      <c r="PUK1374" s="110"/>
      <c r="PUL1374" s="110"/>
      <c r="PUM1374" s="110"/>
      <c r="PUN1374" s="110"/>
      <c r="PUO1374" s="110"/>
      <c r="PUP1374" s="110"/>
      <c r="PUQ1374" s="110"/>
      <c r="PUR1374" s="110"/>
      <c r="PUS1374" s="110"/>
      <c r="PUT1374" s="110"/>
      <c r="PUU1374" s="110"/>
      <c r="PUV1374" s="110"/>
      <c r="PUW1374" s="110"/>
      <c r="PUX1374" s="110"/>
      <c r="PUY1374" s="110"/>
      <c r="PUZ1374" s="110"/>
      <c r="PVA1374" s="110"/>
      <c r="PVB1374" s="110"/>
      <c r="PVC1374" s="110"/>
      <c r="PVD1374" s="110"/>
      <c r="PVE1374" s="110"/>
      <c r="PVF1374" s="110"/>
      <c r="PVG1374" s="110"/>
      <c r="PVH1374" s="110"/>
      <c r="PVI1374" s="110"/>
      <c r="PVJ1374" s="110"/>
      <c r="PVK1374" s="110"/>
      <c r="PVL1374" s="110"/>
      <c r="PVM1374" s="110"/>
      <c r="PVN1374" s="110"/>
      <c r="PVO1374" s="110"/>
      <c r="PVP1374" s="110"/>
      <c r="PVQ1374" s="110"/>
      <c r="PVR1374" s="110"/>
      <c r="PVS1374" s="110"/>
      <c r="PVT1374" s="110"/>
      <c r="PVU1374" s="110"/>
      <c r="PVV1374" s="110"/>
      <c r="PVW1374" s="110"/>
      <c r="PVX1374" s="110"/>
      <c r="PVY1374" s="110"/>
      <c r="PVZ1374" s="110"/>
      <c r="PWA1374" s="110"/>
      <c r="PWB1374" s="110"/>
      <c r="PWC1374" s="110"/>
      <c r="PWD1374" s="110"/>
      <c r="PWE1374" s="110"/>
      <c r="PWF1374" s="110"/>
      <c r="PWG1374" s="110"/>
      <c r="PWH1374" s="110"/>
      <c r="PWI1374" s="110"/>
      <c r="PWJ1374" s="110"/>
      <c r="PWK1374" s="110"/>
      <c r="PWL1374" s="110"/>
      <c r="PWM1374" s="110"/>
      <c r="PWN1374" s="110"/>
      <c r="PWO1374" s="110"/>
      <c r="PWP1374" s="110"/>
      <c r="PWQ1374" s="110"/>
      <c r="PWR1374" s="110"/>
      <c r="PWS1374" s="110"/>
      <c r="PWT1374" s="110"/>
      <c r="PWU1374" s="110"/>
      <c r="PWV1374" s="110"/>
      <c r="PWW1374" s="110"/>
      <c r="PWX1374" s="110"/>
      <c r="PWY1374" s="110"/>
      <c r="PWZ1374" s="110"/>
      <c r="PXA1374" s="110"/>
      <c r="PXB1374" s="110"/>
      <c r="PXC1374" s="110"/>
      <c r="PXD1374" s="110"/>
      <c r="PXE1374" s="110"/>
      <c r="PXF1374" s="110"/>
      <c r="PXG1374" s="110"/>
      <c r="PXH1374" s="110"/>
      <c r="PXI1374" s="110"/>
      <c r="PXJ1374" s="110"/>
      <c r="PXK1374" s="110"/>
      <c r="PXL1374" s="110"/>
      <c r="PXM1374" s="110"/>
      <c r="PXN1374" s="110"/>
      <c r="PXO1374" s="110"/>
      <c r="PXP1374" s="110"/>
      <c r="PXQ1374" s="110"/>
      <c r="PXR1374" s="110"/>
      <c r="PXS1374" s="110"/>
      <c r="PXT1374" s="110"/>
      <c r="PXU1374" s="110"/>
      <c r="PXV1374" s="110"/>
      <c r="PXW1374" s="110"/>
      <c r="PXX1374" s="110"/>
      <c r="PXY1374" s="110"/>
      <c r="PXZ1374" s="110"/>
      <c r="PYA1374" s="110"/>
      <c r="PYB1374" s="110"/>
      <c r="PYC1374" s="110"/>
      <c r="PYD1374" s="110"/>
      <c r="PYE1374" s="110"/>
      <c r="PYF1374" s="110"/>
      <c r="PYG1374" s="110"/>
      <c r="PYH1374" s="110"/>
      <c r="PYI1374" s="110"/>
      <c r="PYJ1374" s="110"/>
      <c r="PYK1374" s="110"/>
      <c r="PYL1374" s="110"/>
      <c r="PYM1374" s="110"/>
      <c r="PYN1374" s="110"/>
      <c r="PYO1374" s="110"/>
      <c r="PYP1374" s="110"/>
      <c r="PYQ1374" s="110"/>
      <c r="PYR1374" s="110"/>
      <c r="PYS1374" s="110"/>
      <c r="PYT1374" s="110"/>
      <c r="PYU1374" s="110"/>
      <c r="PYV1374" s="110"/>
      <c r="PYW1374" s="110"/>
      <c r="PYX1374" s="110"/>
      <c r="PYY1374" s="110"/>
      <c r="PYZ1374" s="110"/>
      <c r="PZA1374" s="110"/>
      <c r="PZB1374" s="110"/>
      <c r="PZC1374" s="110"/>
      <c r="PZD1374" s="110"/>
      <c r="PZE1374" s="110"/>
      <c r="PZF1374" s="110"/>
      <c r="PZG1374" s="110"/>
      <c r="PZH1374" s="110"/>
      <c r="PZI1374" s="110"/>
      <c r="PZJ1374" s="110"/>
      <c r="PZK1374" s="110"/>
      <c r="PZL1374" s="110"/>
      <c r="PZM1374" s="110"/>
      <c r="PZN1374" s="110"/>
      <c r="PZO1374" s="110"/>
      <c r="PZP1374" s="110"/>
      <c r="PZQ1374" s="110"/>
      <c r="PZR1374" s="110"/>
      <c r="PZS1374" s="110"/>
      <c r="PZT1374" s="110"/>
      <c r="PZU1374" s="110"/>
      <c r="PZV1374" s="110"/>
      <c r="PZW1374" s="110"/>
      <c r="PZX1374" s="110"/>
      <c r="PZY1374" s="110"/>
      <c r="PZZ1374" s="110"/>
      <c r="QAA1374" s="110"/>
      <c r="QAB1374" s="110"/>
      <c r="QAC1374" s="110"/>
      <c r="QAD1374" s="110"/>
      <c r="QAE1374" s="110"/>
      <c r="QAF1374" s="110"/>
      <c r="QAG1374" s="110"/>
      <c r="QAH1374" s="110"/>
      <c r="QAI1374" s="110"/>
      <c r="QAJ1374" s="110"/>
      <c r="QAK1374" s="110"/>
      <c r="QAL1374" s="110"/>
      <c r="QAM1374" s="110"/>
      <c r="QAN1374" s="110"/>
      <c r="QAO1374" s="110"/>
      <c r="QAP1374" s="110"/>
      <c r="QAQ1374" s="110"/>
      <c r="QAR1374" s="110"/>
      <c r="QAS1374" s="110"/>
      <c r="QAT1374" s="110"/>
      <c r="QAU1374" s="110"/>
      <c r="QAV1374" s="110"/>
      <c r="QAW1374" s="110"/>
      <c r="QAX1374" s="110"/>
      <c r="QAY1374" s="110"/>
      <c r="QAZ1374" s="110"/>
      <c r="QBA1374" s="110"/>
      <c r="QBB1374" s="110"/>
      <c r="QBC1374" s="110"/>
      <c r="QBD1374" s="110"/>
      <c r="QBE1374" s="110"/>
      <c r="QBF1374" s="110"/>
      <c r="QBG1374" s="110"/>
      <c r="QBH1374" s="110"/>
      <c r="QBI1374" s="110"/>
      <c r="QBJ1374" s="110"/>
      <c r="QBK1374" s="110"/>
      <c r="QBL1374" s="110"/>
      <c r="QBM1374" s="110"/>
      <c r="QBN1374" s="110"/>
      <c r="QBO1374" s="110"/>
      <c r="QBP1374" s="110"/>
      <c r="QBQ1374" s="110"/>
      <c r="QBR1374" s="110"/>
      <c r="QBS1374" s="110"/>
      <c r="QBT1374" s="110"/>
      <c r="QBU1374" s="110"/>
      <c r="QBV1374" s="110"/>
      <c r="QBW1374" s="110"/>
      <c r="QBX1374" s="110"/>
      <c r="QBY1374" s="110"/>
      <c r="QBZ1374" s="110"/>
      <c r="QCA1374" s="110"/>
      <c r="QCB1374" s="110"/>
      <c r="QCC1374" s="110"/>
      <c r="QCD1374" s="110"/>
      <c r="QCE1374" s="110"/>
      <c r="QCF1374" s="110"/>
      <c r="QCG1374" s="110"/>
      <c r="QCH1374" s="110"/>
      <c r="QCI1374" s="110"/>
      <c r="QCJ1374" s="110"/>
      <c r="QCK1374" s="110"/>
      <c r="QCL1374" s="110"/>
      <c r="QCM1374" s="110"/>
      <c r="QCN1374" s="110"/>
      <c r="QCO1374" s="110"/>
      <c r="QCP1374" s="110"/>
      <c r="QCQ1374" s="110"/>
      <c r="QCR1374" s="110"/>
      <c r="QCS1374" s="110"/>
      <c r="QCT1374" s="110"/>
      <c r="QCU1374" s="110"/>
      <c r="QCV1374" s="110"/>
      <c r="QCW1374" s="110"/>
      <c r="QCX1374" s="110"/>
      <c r="QCY1374" s="110"/>
      <c r="QCZ1374" s="110"/>
      <c r="QDA1374" s="110"/>
      <c r="QDB1374" s="110"/>
      <c r="QDC1374" s="110"/>
      <c r="QDD1374" s="110"/>
      <c r="QDE1374" s="110"/>
      <c r="QDF1374" s="110"/>
      <c r="QDG1374" s="110"/>
      <c r="QDH1374" s="110"/>
      <c r="QDI1374" s="110"/>
      <c r="QDJ1374" s="110"/>
      <c r="QDK1374" s="110"/>
      <c r="QDL1374" s="110"/>
      <c r="QDM1374" s="110"/>
      <c r="QDN1374" s="110"/>
      <c r="QDO1374" s="110"/>
      <c r="QDP1374" s="110"/>
      <c r="QDQ1374" s="110"/>
      <c r="QDR1374" s="110"/>
      <c r="QDS1374" s="110"/>
      <c r="QDT1374" s="110"/>
      <c r="QDU1374" s="110"/>
      <c r="QDV1374" s="110"/>
      <c r="QDW1374" s="110"/>
      <c r="QDX1374" s="110"/>
      <c r="QDY1374" s="110"/>
      <c r="QDZ1374" s="110"/>
      <c r="QEA1374" s="110"/>
      <c r="QEB1374" s="110"/>
      <c r="QEC1374" s="110"/>
      <c r="QED1374" s="110"/>
      <c r="QEE1374" s="110"/>
      <c r="QEF1374" s="110"/>
      <c r="QEG1374" s="110"/>
      <c r="QEH1374" s="110"/>
      <c r="QEI1374" s="110"/>
      <c r="QEJ1374" s="110"/>
      <c r="QEK1374" s="110"/>
      <c r="QEL1374" s="110"/>
      <c r="QEM1374" s="110"/>
      <c r="QEN1374" s="110"/>
      <c r="QEO1374" s="110"/>
      <c r="QEP1374" s="110"/>
      <c r="QEQ1374" s="110"/>
      <c r="QER1374" s="110"/>
      <c r="QES1374" s="110"/>
      <c r="QET1374" s="110"/>
      <c r="QEU1374" s="110"/>
      <c r="QEV1374" s="110"/>
      <c r="QEW1374" s="110"/>
      <c r="QEX1374" s="110"/>
      <c r="QEY1374" s="110"/>
      <c r="QEZ1374" s="110"/>
      <c r="QFA1374" s="110"/>
      <c r="QFB1374" s="110"/>
      <c r="QFC1374" s="110"/>
      <c r="QFD1374" s="110"/>
      <c r="QFE1374" s="110"/>
      <c r="QFF1374" s="110"/>
      <c r="QFG1374" s="110"/>
      <c r="QFH1374" s="110"/>
      <c r="QFI1374" s="110"/>
      <c r="QFJ1374" s="110"/>
      <c r="QFK1374" s="110"/>
      <c r="QFL1374" s="110"/>
      <c r="QFM1374" s="110"/>
      <c r="QFN1374" s="110"/>
      <c r="QFO1374" s="110"/>
      <c r="QFP1374" s="110"/>
      <c r="QFQ1374" s="110"/>
      <c r="QFR1374" s="110"/>
      <c r="QFS1374" s="110"/>
      <c r="QFT1374" s="110"/>
      <c r="QFU1374" s="110"/>
      <c r="QFV1374" s="110"/>
      <c r="QFW1374" s="110"/>
      <c r="QFX1374" s="110"/>
      <c r="QFY1374" s="110"/>
      <c r="QFZ1374" s="110"/>
      <c r="QGA1374" s="110"/>
      <c r="QGB1374" s="110"/>
      <c r="QGC1374" s="110"/>
      <c r="QGD1374" s="110"/>
      <c r="QGE1374" s="110"/>
      <c r="QGF1374" s="110"/>
      <c r="QGG1374" s="110"/>
      <c r="QGH1374" s="110"/>
      <c r="QGI1374" s="110"/>
      <c r="QGJ1374" s="110"/>
      <c r="QGK1374" s="110"/>
      <c r="QGL1374" s="110"/>
      <c r="QGM1374" s="110"/>
      <c r="QGN1374" s="110"/>
      <c r="QGO1374" s="110"/>
      <c r="QGP1374" s="110"/>
      <c r="QGQ1374" s="110"/>
      <c r="QGR1374" s="110"/>
      <c r="QGS1374" s="110"/>
      <c r="QGT1374" s="110"/>
      <c r="QGU1374" s="110"/>
      <c r="QGV1374" s="110"/>
      <c r="QGW1374" s="110"/>
      <c r="QGX1374" s="110"/>
      <c r="QGY1374" s="110"/>
      <c r="QGZ1374" s="110"/>
      <c r="QHA1374" s="110"/>
      <c r="QHB1374" s="110"/>
      <c r="QHC1374" s="110"/>
      <c r="QHD1374" s="110"/>
      <c r="QHE1374" s="110"/>
      <c r="QHF1374" s="110"/>
      <c r="QHG1374" s="110"/>
      <c r="QHH1374" s="110"/>
      <c r="QHI1374" s="110"/>
      <c r="QHJ1374" s="110"/>
      <c r="QHK1374" s="110"/>
      <c r="QHL1374" s="110"/>
      <c r="QHM1374" s="110"/>
      <c r="QHN1374" s="110"/>
      <c r="QHO1374" s="110"/>
      <c r="QHP1374" s="110"/>
      <c r="QHQ1374" s="110"/>
      <c r="QHR1374" s="110"/>
      <c r="QHS1374" s="110"/>
      <c r="QHT1374" s="110"/>
      <c r="QHU1374" s="110"/>
      <c r="QHV1374" s="110"/>
      <c r="QHW1374" s="110"/>
      <c r="QHX1374" s="110"/>
      <c r="QHY1374" s="110"/>
      <c r="QHZ1374" s="110"/>
      <c r="QIA1374" s="110"/>
      <c r="QIB1374" s="110"/>
      <c r="QIC1374" s="110"/>
      <c r="QID1374" s="110"/>
      <c r="QIE1374" s="110"/>
      <c r="QIF1374" s="110"/>
      <c r="QIG1374" s="110"/>
      <c r="QIH1374" s="110"/>
      <c r="QII1374" s="110"/>
      <c r="QIJ1374" s="110"/>
      <c r="QIK1374" s="110"/>
      <c r="QIL1374" s="110"/>
      <c r="QIM1374" s="110"/>
      <c r="QIN1374" s="110"/>
      <c r="QIO1374" s="110"/>
      <c r="QIP1374" s="110"/>
      <c r="QIQ1374" s="110"/>
      <c r="QIR1374" s="110"/>
      <c r="QIS1374" s="110"/>
      <c r="QIT1374" s="110"/>
      <c r="QIU1374" s="110"/>
      <c r="QIV1374" s="110"/>
      <c r="QIW1374" s="110"/>
      <c r="QIX1374" s="110"/>
      <c r="QIY1374" s="110"/>
      <c r="QIZ1374" s="110"/>
      <c r="QJA1374" s="110"/>
      <c r="QJB1374" s="110"/>
      <c r="QJC1374" s="110"/>
      <c r="QJD1374" s="110"/>
      <c r="QJE1374" s="110"/>
      <c r="QJF1374" s="110"/>
      <c r="QJG1374" s="110"/>
      <c r="QJH1374" s="110"/>
      <c r="QJI1374" s="110"/>
      <c r="QJJ1374" s="110"/>
      <c r="QJK1374" s="110"/>
      <c r="QJL1374" s="110"/>
      <c r="QJM1374" s="110"/>
      <c r="QJN1374" s="110"/>
      <c r="QJO1374" s="110"/>
      <c r="QJP1374" s="110"/>
      <c r="QJQ1374" s="110"/>
      <c r="QJR1374" s="110"/>
      <c r="QJS1374" s="110"/>
      <c r="QJT1374" s="110"/>
      <c r="QJU1374" s="110"/>
      <c r="QJV1374" s="110"/>
      <c r="QJW1374" s="110"/>
      <c r="QJX1374" s="110"/>
      <c r="QJY1374" s="110"/>
      <c r="QJZ1374" s="110"/>
      <c r="QKA1374" s="110"/>
      <c r="QKB1374" s="110"/>
      <c r="QKC1374" s="110"/>
      <c r="QKD1374" s="110"/>
      <c r="QKE1374" s="110"/>
      <c r="QKF1374" s="110"/>
      <c r="QKG1374" s="110"/>
      <c r="QKH1374" s="110"/>
      <c r="QKI1374" s="110"/>
      <c r="QKJ1374" s="110"/>
      <c r="QKK1374" s="110"/>
      <c r="QKL1374" s="110"/>
      <c r="QKM1374" s="110"/>
      <c r="QKN1374" s="110"/>
      <c r="QKO1374" s="110"/>
      <c r="QKP1374" s="110"/>
      <c r="QKQ1374" s="110"/>
      <c r="QKR1374" s="110"/>
      <c r="QKS1374" s="110"/>
      <c r="QKT1374" s="110"/>
      <c r="QKU1374" s="110"/>
      <c r="QKV1374" s="110"/>
      <c r="QKW1374" s="110"/>
      <c r="QKX1374" s="110"/>
      <c r="QKY1374" s="110"/>
      <c r="QKZ1374" s="110"/>
      <c r="QLA1374" s="110"/>
      <c r="QLB1374" s="110"/>
      <c r="QLC1374" s="110"/>
      <c r="QLD1374" s="110"/>
      <c r="QLE1374" s="110"/>
      <c r="QLF1374" s="110"/>
      <c r="QLG1374" s="110"/>
      <c r="QLH1374" s="110"/>
      <c r="QLI1374" s="110"/>
      <c r="QLJ1374" s="110"/>
      <c r="QLK1374" s="110"/>
      <c r="QLL1374" s="110"/>
      <c r="QLM1374" s="110"/>
      <c r="QLN1374" s="110"/>
      <c r="QLO1374" s="110"/>
      <c r="QLP1374" s="110"/>
      <c r="QLQ1374" s="110"/>
      <c r="QLR1374" s="110"/>
      <c r="QLS1374" s="110"/>
      <c r="QLT1374" s="110"/>
      <c r="QLU1374" s="110"/>
      <c r="QLV1374" s="110"/>
      <c r="QLW1374" s="110"/>
      <c r="QLX1374" s="110"/>
      <c r="QLY1374" s="110"/>
      <c r="QLZ1374" s="110"/>
      <c r="QMA1374" s="110"/>
      <c r="QMB1374" s="110"/>
      <c r="QMC1374" s="110"/>
      <c r="QMD1374" s="110"/>
      <c r="QME1374" s="110"/>
      <c r="QMF1374" s="110"/>
      <c r="QMG1374" s="110"/>
      <c r="QMH1374" s="110"/>
      <c r="QMI1374" s="110"/>
      <c r="QMJ1374" s="110"/>
      <c r="QMK1374" s="110"/>
      <c r="QML1374" s="110"/>
      <c r="QMM1374" s="110"/>
      <c r="QMN1374" s="110"/>
      <c r="QMO1374" s="110"/>
      <c r="QMP1374" s="110"/>
      <c r="QMQ1374" s="110"/>
      <c r="QMR1374" s="110"/>
      <c r="QMS1374" s="110"/>
      <c r="QMT1374" s="110"/>
      <c r="QMU1374" s="110"/>
      <c r="QMV1374" s="110"/>
      <c r="QMW1374" s="110"/>
      <c r="QMX1374" s="110"/>
      <c r="QMY1374" s="110"/>
      <c r="QMZ1374" s="110"/>
      <c r="QNA1374" s="110"/>
      <c r="QNB1374" s="110"/>
      <c r="QNC1374" s="110"/>
      <c r="QND1374" s="110"/>
      <c r="QNE1374" s="110"/>
      <c r="QNF1374" s="110"/>
      <c r="QNG1374" s="110"/>
      <c r="QNH1374" s="110"/>
      <c r="QNI1374" s="110"/>
      <c r="QNJ1374" s="110"/>
      <c r="QNK1374" s="110"/>
      <c r="QNL1374" s="110"/>
      <c r="QNM1374" s="110"/>
      <c r="QNN1374" s="110"/>
      <c r="QNO1374" s="110"/>
      <c r="QNP1374" s="110"/>
      <c r="QNQ1374" s="110"/>
      <c r="QNR1374" s="110"/>
      <c r="QNS1374" s="110"/>
      <c r="QNT1374" s="110"/>
      <c r="QNU1374" s="110"/>
      <c r="QNV1374" s="110"/>
      <c r="QNW1374" s="110"/>
      <c r="QNX1374" s="110"/>
      <c r="QNY1374" s="110"/>
      <c r="QNZ1374" s="110"/>
      <c r="QOA1374" s="110"/>
      <c r="QOB1374" s="110"/>
      <c r="QOC1374" s="110"/>
      <c r="QOD1374" s="110"/>
      <c r="QOE1374" s="110"/>
      <c r="QOF1374" s="110"/>
      <c r="QOG1374" s="110"/>
      <c r="QOH1374" s="110"/>
      <c r="QOI1374" s="110"/>
      <c r="QOJ1374" s="110"/>
      <c r="QOK1374" s="110"/>
      <c r="QOL1374" s="110"/>
      <c r="QOM1374" s="110"/>
      <c r="QON1374" s="110"/>
      <c r="QOO1374" s="110"/>
      <c r="QOP1374" s="110"/>
      <c r="QOQ1374" s="110"/>
      <c r="QOR1374" s="110"/>
      <c r="QOS1374" s="110"/>
      <c r="QOT1374" s="110"/>
      <c r="QOU1374" s="110"/>
      <c r="QOV1374" s="110"/>
      <c r="QOW1374" s="110"/>
      <c r="QOX1374" s="110"/>
      <c r="QOY1374" s="110"/>
      <c r="QOZ1374" s="110"/>
      <c r="QPA1374" s="110"/>
      <c r="QPB1374" s="110"/>
      <c r="QPC1374" s="110"/>
      <c r="QPD1374" s="110"/>
      <c r="QPE1374" s="110"/>
      <c r="QPF1374" s="110"/>
      <c r="QPG1374" s="110"/>
      <c r="QPH1374" s="110"/>
      <c r="QPI1374" s="110"/>
      <c r="QPJ1374" s="110"/>
      <c r="QPK1374" s="110"/>
      <c r="QPL1374" s="110"/>
      <c r="QPM1374" s="110"/>
      <c r="QPN1374" s="110"/>
      <c r="QPO1374" s="110"/>
      <c r="QPP1374" s="110"/>
      <c r="QPQ1374" s="110"/>
      <c r="QPR1374" s="110"/>
      <c r="QPS1374" s="110"/>
      <c r="QPT1374" s="110"/>
      <c r="QPU1374" s="110"/>
      <c r="QPV1374" s="110"/>
      <c r="QPW1374" s="110"/>
      <c r="QPX1374" s="110"/>
      <c r="QPY1374" s="110"/>
      <c r="QPZ1374" s="110"/>
      <c r="QQA1374" s="110"/>
      <c r="QQB1374" s="110"/>
      <c r="QQC1374" s="110"/>
      <c r="QQD1374" s="110"/>
      <c r="QQE1374" s="110"/>
      <c r="QQF1374" s="110"/>
      <c r="QQG1374" s="110"/>
      <c r="QQH1374" s="110"/>
      <c r="QQI1374" s="110"/>
      <c r="QQJ1374" s="110"/>
      <c r="QQK1374" s="110"/>
      <c r="QQL1374" s="110"/>
      <c r="QQM1374" s="110"/>
      <c r="QQN1374" s="110"/>
      <c r="QQO1374" s="110"/>
      <c r="QQP1374" s="110"/>
      <c r="QQQ1374" s="110"/>
      <c r="QQR1374" s="110"/>
      <c r="QQS1374" s="110"/>
      <c r="QQT1374" s="110"/>
      <c r="QQU1374" s="110"/>
      <c r="QQV1374" s="110"/>
      <c r="QQW1374" s="110"/>
      <c r="QQX1374" s="110"/>
      <c r="QQY1374" s="110"/>
      <c r="QQZ1374" s="110"/>
      <c r="QRA1374" s="110"/>
      <c r="QRB1374" s="110"/>
      <c r="QRC1374" s="110"/>
      <c r="QRD1374" s="110"/>
      <c r="QRE1374" s="110"/>
      <c r="QRF1374" s="110"/>
      <c r="QRG1374" s="110"/>
      <c r="QRH1374" s="110"/>
      <c r="QRI1374" s="110"/>
      <c r="QRJ1374" s="110"/>
      <c r="QRK1374" s="110"/>
      <c r="QRL1374" s="110"/>
      <c r="QRM1374" s="110"/>
      <c r="QRN1374" s="110"/>
      <c r="QRO1374" s="110"/>
      <c r="QRP1374" s="110"/>
      <c r="QRQ1374" s="110"/>
      <c r="QRR1374" s="110"/>
      <c r="QRS1374" s="110"/>
      <c r="QRT1374" s="110"/>
      <c r="QRU1374" s="110"/>
      <c r="QRV1374" s="110"/>
      <c r="QRW1374" s="110"/>
      <c r="QRX1374" s="110"/>
      <c r="QRY1374" s="110"/>
      <c r="QRZ1374" s="110"/>
      <c r="QSA1374" s="110"/>
      <c r="QSB1374" s="110"/>
      <c r="QSC1374" s="110"/>
      <c r="QSD1374" s="110"/>
      <c r="QSE1374" s="110"/>
      <c r="QSF1374" s="110"/>
      <c r="QSG1374" s="110"/>
      <c r="QSH1374" s="110"/>
      <c r="QSI1374" s="110"/>
      <c r="QSJ1374" s="110"/>
      <c r="QSK1374" s="110"/>
      <c r="QSL1374" s="110"/>
      <c r="QSM1374" s="110"/>
      <c r="QSN1374" s="110"/>
      <c r="QSO1374" s="110"/>
      <c r="QSP1374" s="110"/>
      <c r="QSQ1374" s="110"/>
      <c r="QSR1374" s="110"/>
      <c r="QSS1374" s="110"/>
      <c r="QST1374" s="110"/>
      <c r="QSU1374" s="110"/>
      <c r="QSV1374" s="110"/>
      <c r="QSW1374" s="110"/>
      <c r="QSX1374" s="110"/>
      <c r="QSY1374" s="110"/>
      <c r="QSZ1374" s="110"/>
      <c r="QTA1374" s="110"/>
      <c r="QTB1374" s="110"/>
      <c r="QTC1374" s="110"/>
      <c r="QTD1374" s="110"/>
      <c r="QTE1374" s="110"/>
      <c r="QTF1374" s="110"/>
      <c r="QTG1374" s="110"/>
      <c r="QTH1374" s="110"/>
      <c r="QTI1374" s="110"/>
      <c r="QTJ1374" s="110"/>
      <c r="QTK1374" s="110"/>
      <c r="QTL1374" s="110"/>
      <c r="QTM1374" s="110"/>
      <c r="QTN1374" s="110"/>
      <c r="QTO1374" s="110"/>
      <c r="QTP1374" s="110"/>
      <c r="QTQ1374" s="110"/>
      <c r="QTR1374" s="110"/>
      <c r="QTS1374" s="110"/>
      <c r="QTT1374" s="110"/>
      <c r="QTU1374" s="110"/>
      <c r="QTV1374" s="110"/>
      <c r="QTW1374" s="110"/>
      <c r="QTX1374" s="110"/>
      <c r="QTY1374" s="110"/>
      <c r="QTZ1374" s="110"/>
      <c r="QUA1374" s="110"/>
      <c r="QUB1374" s="110"/>
      <c r="QUC1374" s="110"/>
      <c r="QUD1374" s="110"/>
      <c r="QUE1374" s="110"/>
      <c r="QUF1374" s="110"/>
      <c r="QUG1374" s="110"/>
      <c r="QUH1374" s="110"/>
      <c r="QUI1374" s="110"/>
      <c r="QUJ1374" s="110"/>
      <c r="QUK1374" s="110"/>
      <c r="QUL1374" s="110"/>
      <c r="QUM1374" s="110"/>
      <c r="QUN1374" s="110"/>
      <c r="QUO1374" s="110"/>
      <c r="QUP1374" s="110"/>
      <c r="QUQ1374" s="110"/>
      <c r="QUR1374" s="110"/>
      <c r="QUS1374" s="110"/>
      <c r="QUT1374" s="110"/>
      <c r="QUU1374" s="110"/>
      <c r="QUV1374" s="110"/>
      <c r="QUW1374" s="110"/>
      <c r="QUX1374" s="110"/>
      <c r="QUY1374" s="110"/>
      <c r="QUZ1374" s="110"/>
      <c r="QVA1374" s="110"/>
      <c r="QVB1374" s="110"/>
      <c r="QVC1374" s="110"/>
      <c r="QVD1374" s="110"/>
      <c r="QVE1374" s="110"/>
      <c r="QVF1374" s="110"/>
      <c r="QVG1374" s="110"/>
      <c r="QVH1374" s="110"/>
      <c r="QVI1374" s="110"/>
      <c r="QVJ1374" s="110"/>
      <c r="QVK1374" s="110"/>
      <c r="QVL1374" s="110"/>
      <c r="QVM1374" s="110"/>
      <c r="QVN1374" s="110"/>
      <c r="QVO1374" s="110"/>
      <c r="QVP1374" s="110"/>
      <c r="QVQ1374" s="110"/>
      <c r="QVR1374" s="110"/>
      <c r="QVS1374" s="110"/>
      <c r="QVT1374" s="110"/>
      <c r="QVU1374" s="110"/>
      <c r="QVV1374" s="110"/>
      <c r="QVW1374" s="110"/>
      <c r="QVX1374" s="110"/>
      <c r="QVY1374" s="110"/>
      <c r="QVZ1374" s="110"/>
      <c r="QWA1374" s="110"/>
      <c r="QWB1374" s="110"/>
      <c r="QWC1374" s="110"/>
      <c r="QWD1374" s="110"/>
      <c r="QWE1374" s="110"/>
      <c r="QWF1374" s="110"/>
      <c r="QWG1374" s="110"/>
      <c r="QWH1374" s="110"/>
      <c r="QWI1374" s="110"/>
      <c r="QWJ1374" s="110"/>
      <c r="QWK1374" s="110"/>
      <c r="QWL1374" s="110"/>
      <c r="QWM1374" s="110"/>
      <c r="QWN1374" s="110"/>
      <c r="QWO1374" s="110"/>
      <c r="QWP1374" s="110"/>
      <c r="QWQ1374" s="110"/>
      <c r="QWR1374" s="110"/>
      <c r="QWS1374" s="110"/>
      <c r="QWT1374" s="110"/>
      <c r="QWU1374" s="110"/>
      <c r="QWV1374" s="110"/>
      <c r="QWW1374" s="110"/>
      <c r="QWX1374" s="110"/>
      <c r="QWY1374" s="110"/>
      <c r="QWZ1374" s="110"/>
      <c r="QXA1374" s="110"/>
      <c r="QXB1374" s="110"/>
      <c r="QXC1374" s="110"/>
      <c r="QXD1374" s="110"/>
      <c r="QXE1374" s="110"/>
      <c r="QXF1374" s="110"/>
      <c r="QXG1374" s="110"/>
      <c r="QXH1374" s="110"/>
      <c r="QXI1374" s="110"/>
      <c r="QXJ1374" s="110"/>
      <c r="QXK1374" s="110"/>
      <c r="QXL1374" s="110"/>
      <c r="QXM1374" s="110"/>
      <c r="QXN1374" s="110"/>
      <c r="QXO1374" s="110"/>
      <c r="QXP1374" s="110"/>
      <c r="QXQ1374" s="110"/>
      <c r="QXR1374" s="110"/>
      <c r="QXS1374" s="110"/>
      <c r="QXT1374" s="110"/>
      <c r="QXU1374" s="110"/>
      <c r="QXV1374" s="110"/>
      <c r="QXW1374" s="110"/>
      <c r="QXX1374" s="110"/>
      <c r="QXY1374" s="110"/>
      <c r="QXZ1374" s="110"/>
      <c r="QYA1374" s="110"/>
      <c r="QYB1374" s="110"/>
      <c r="QYC1374" s="110"/>
      <c r="QYD1374" s="110"/>
      <c r="QYE1374" s="110"/>
      <c r="QYF1374" s="110"/>
      <c r="QYG1374" s="110"/>
      <c r="QYH1374" s="110"/>
      <c r="QYI1374" s="110"/>
      <c r="QYJ1374" s="110"/>
      <c r="QYK1374" s="110"/>
      <c r="QYL1374" s="110"/>
      <c r="QYM1374" s="110"/>
      <c r="QYN1374" s="110"/>
      <c r="QYO1374" s="110"/>
      <c r="QYP1374" s="110"/>
      <c r="QYQ1374" s="110"/>
      <c r="QYR1374" s="110"/>
      <c r="QYS1374" s="110"/>
      <c r="QYT1374" s="110"/>
      <c r="QYU1374" s="110"/>
      <c r="QYV1374" s="110"/>
      <c r="QYW1374" s="110"/>
      <c r="QYX1374" s="110"/>
      <c r="QYY1374" s="110"/>
      <c r="QYZ1374" s="110"/>
      <c r="QZA1374" s="110"/>
      <c r="QZB1374" s="110"/>
      <c r="QZC1374" s="110"/>
      <c r="QZD1374" s="110"/>
      <c r="QZE1374" s="110"/>
      <c r="QZF1374" s="110"/>
      <c r="QZG1374" s="110"/>
      <c r="QZH1374" s="110"/>
      <c r="QZI1374" s="110"/>
      <c r="QZJ1374" s="110"/>
      <c r="QZK1374" s="110"/>
      <c r="QZL1374" s="110"/>
      <c r="QZM1374" s="110"/>
      <c r="QZN1374" s="110"/>
      <c r="QZO1374" s="110"/>
      <c r="QZP1374" s="110"/>
      <c r="QZQ1374" s="110"/>
      <c r="QZR1374" s="110"/>
      <c r="QZS1374" s="110"/>
      <c r="QZT1374" s="110"/>
      <c r="QZU1374" s="110"/>
      <c r="QZV1374" s="110"/>
      <c r="QZW1374" s="110"/>
      <c r="QZX1374" s="110"/>
      <c r="QZY1374" s="110"/>
      <c r="QZZ1374" s="110"/>
      <c r="RAA1374" s="110"/>
      <c r="RAB1374" s="110"/>
      <c r="RAC1374" s="110"/>
      <c r="RAD1374" s="110"/>
      <c r="RAE1374" s="110"/>
      <c r="RAF1374" s="110"/>
      <c r="RAG1374" s="110"/>
      <c r="RAH1374" s="110"/>
      <c r="RAI1374" s="110"/>
      <c r="RAJ1374" s="110"/>
      <c r="RAK1374" s="110"/>
      <c r="RAL1374" s="110"/>
      <c r="RAM1374" s="110"/>
      <c r="RAN1374" s="110"/>
      <c r="RAO1374" s="110"/>
      <c r="RAP1374" s="110"/>
      <c r="RAQ1374" s="110"/>
      <c r="RAR1374" s="110"/>
      <c r="RAS1374" s="110"/>
      <c r="RAT1374" s="110"/>
      <c r="RAU1374" s="110"/>
      <c r="RAV1374" s="110"/>
      <c r="RAW1374" s="110"/>
      <c r="RAX1374" s="110"/>
      <c r="RAY1374" s="110"/>
      <c r="RAZ1374" s="110"/>
      <c r="RBA1374" s="110"/>
      <c r="RBB1374" s="110"/>
      <c r="RBC1374" s="110"/>
      <c r="RBD1374" s="110"/>
      <c r="RBE1374" s="110"/>
      <c r="RBF1374" s="110"/>
      <c r="RBG1374" s="110"/>
      <c r="RBH1374" s="110"/>
      <c r="RBI1374" s="110"/>
      <c r="RBJ1374" s="110"/>
      <c r="RBK1374" s="110"/>
      <c r="RBL1374" s="110"/>
      <c r="RBM1374" s="110"/>
      <c r="RBN1374" s="110"/>
      <c r="RBO1374" s="110"/>
      <c r="RBP1374" s="110"/>
      <c r="RBQ1374" s="110"/>
      <c r="RBR1374" s="110"/>
      <c r="RBS1374" s="110"/>
      <c r="RBT1374" s="110"/>
      <c r="RBU1374" s="110"/>
      <c r="RBV1374" s="110"/>
      <c r="RBW1374" s="110"/>
      <c r="RBX1374" s="110"/>
      <c r="RBY1374" s="110"/>
      <c r="RBZ1374" s="110"/>
      <c r="RCA1374" s="110"/>
      <c r="RCB1374" s="110"/>
      <c r="RCC1374" s="110"/>
      <c r="RCD1374" s="110"/>
      <c r="RCE1374" s="110"/>
      <c r="RCF1374" s="110"/>
      <c r="RCG1374" s="110"/>
      <c r="RCH1374" s="110"/>
      <c r="RCI1374" s="110"/>
      <c r="RCJ1374" s="110"/>
      <c r="RCK1374" s="110"/>
      <c r="RCL1374" s="110"/>
      <c r="RCM1374" s="110"/>
      <c r="RCN1374" s="110"/>
      <c r="RCO1374" s="110"/>
      <c r="RCP1374" s="110"/>
      <c r="RCQ1374" s="110"/>
      <c r="RCR1374" s="110"/>
      <c r="RCS1374" s="110"/>
      <c r="RCT1374" s="110"/>
      <c r="RCU1374" s="110"/>
      <c r="RCV1374" s="110"/>
      <c r="RCW1374" s="110"/>
      <c r="RCX1374" s="110"/>
      <c r="RCY1374" s="110"/>
      <c r="RCZ1374" s="110"/>
      <c r="RDA1374" s="110"/>
      <c r="RDB1374" s="110"/>
      <c r="RDC1374" s="110"/>
      <c r="RDD1374" s="110"/>
      <c r="RDE1374" s="110"/>
      <c r="RDF1374" s="110"/>
      <c r="RDG1374" s="110"/>
      <c r="RDH1374" s="110"/>
      <c r="RDI1374" s="110"/>
      <c r="RDJ1374" s="110"/>
      <c r="RDK1374" s="110"/>
      <c r="RDL1374" s="110"/>
      <c r="RDM1374" s="110"/>
      <c r="RDN1374" s="110"/>
      <c r="RDO1374" s="110"/>
      <c r="RDP1374" s="110"/>
      <c r="RDQ1374" s="110"/>
      <c r="RDR1374" s="110"/>
      <c r="RDS1374" s="110"/>
      <c r="RDT1374" s="110"/>
      <c r="RDU1374" s="110"/>
      <c r="RDV1374" s="110"/>
      <c r="RDW1374" s="110"/>
      <c r="RDX1374" s="110"/>
      <c r="RDY1374" s="110"/>
      <c r="RDZ1374" s="110"/>
      <c r="REA1374" s="110"/>
      <c r="REB1374" s="110"/>
      <c r="REC1374" s="110"/>
      <c r="RED1374" s="110"/>
      <c r="REE1374" s="110"/>
      <c r="REF1374" s="110"/>
      <c r="REG1374" s="110"/>
      <c r="REH1374" s="110"/>
      <c r="REI1374" s="110"/>
      <c r="REJ1374" s="110"/>
      <c r="REK1374" s="110"/>
      <c r="REL1374" s="110"/>
      <c r="REM1374" s="110"/>
      <c r="REN1374" s="110"/>
      <c r="REO1374" s="110"/>
      <c r="REP1374" s="110"/>
      <c r="REQ1374" s="110"/>
      <c r="RER1374" s="110"/>
      <c r="RES1374" s="110"/>
      <c r="RET1374" s="110"/>
      <c r="REU1374" s="110"/>
      <c r="REV1374" s="110"/>
      <c r="REW1374" s="110"/>
      <c r="REX1374" s="110"/>
      <c r="REY1374" s="110"/>
      <c r="REZ1374" s="110"/>
      <c r="RFA1374" s="110"/>
      <c r="RFB1374" s="110"/>
      <c r="RFC1374" s="110"/>
      <c r="RFD1374" s="110"/>
      <c r="RFE1374" s="110"/>
      <c r="RFF1374" s="110"/>
      <c r="RFG1374" s="110"/>
      <c r="RFH1374" s="110"/>
      <c r="RFI1374" s="110"/>
      <c r="RFJ1374" s="110"/>
      <c r="RFK1374" s="110"/>
      <c r="RFL1374" s="110"/>
      <c r="RFM1374" s="110"/>
      <c r="RFN1374" s="110"/>
      <c r="RFO1374" s="110"/>
      <c r="RFP1374" s="110"/>
      <c r="RFQ1374" s="110"/>
      <c r="RFR1374" s="110"/>
      <c r="RFS1374" s="110"/>
      <c r="RFT1374" s="110"/>
      <c r="RFU1374" s="110"/>
      <c r="RFV1374" s="110"/>
      <c r="RFW1374" s="110"/>
      <c r="RFX1374" s="110"/>
      <c r="RFY1374" s="110"/>
      <c r="RFZ1374" s="110"/>
      <c r="RGA1374" s="110"/>
      <c r="RGB1374" s="110"/>
      <c r="RGC1374" s="110"/>
      <c r="RGD1374" s="110"/>
      <c r="RGE1374" s="110"/>
      <c r="RGF1374" s="110"/>
      <c r="RGG1374" s="110"/>
      <c r="RGH1374" s="110"/>
      <c r="RGI1374" s="110"/>
      <c r="RGJ1374" s="110"/>
      <c r="RGK1374" s="110"/>
      <c r="RGL1374" s="110"/>
      <c r="RGM1374" s="110"/>
      <c r="RGN1374" s="110"/>
      <c r="RGO1374" s="110"/>
      <c r="RGP1374" s="110"/>
      <c r="RGQ1374" s="110"/>
      <c r="RGR1374" s="110"/>
      <c r="RGS1374" s="110"/>
      <c r="RGT1374" s="110"/>
      <c r="RGU1374" s="110"/>
      <c r="RGV1374" s="110"/>
      <c r="RGW1374" s="110"/>
      <c r="RGX1374" s="110"/>
      <c r="RGY1374" s="110"/>
      <c r="RGZ1374" s="110"/>
      <c r="RHA1374" s="110"/>
      <c r="RHB1374" s="110"/>
      <c r="RHC1374" s="110"/>
      <c r="RHD1374" s="110"/>
      <c r="RHE1374" s="110"/>
      <c r="RHF1374" s="110"/>
      <c r="RHG1374" s="110"/>
      <c r="RHH1374" s="110"/>
      <c r="RHI1374" s="110"/>
      <c r="RHJ1374" s="110"/>
      <c r="RHK1374" s="110"/>
      <c r="RHL1374" s="110"/>
      <c r="RHM1374" s="110"/>
      <c r="RHN1374" s="110"/>
      <c r="RHO1374" s="110"/>
      <c r="RHP1374" s="110"/>
      <c r="RHQ1374" s="110"/>
      <c r="RHR1374" s="110"/>
      <c r="RHS1374" s="110"/>
      <c r="RHT1374" s="110"/>
      <c r="RHU1374" s="110"/>
      <c r="RHV1374" s="110"/>
      <c r="RHW1374" s="110"/>
      <c r="RHX1374" s="110"/>
      <c r="RHY1374" s="110"/>
      <c r="RHZ1374" s="110"/>
      <c r="RIA1374" s="110"/>
      <c r="RIB1374" s="110"/>
      <c r="RIC1374" s="110"/>
      <c r="RID1374" s="110"/>
      <c r="RIE1374" s="110"/>
      <c r="RIF1374" s="110"/>
      <c r="RIG1374" s="110"/>
      <c r="RIH1374" s="110"/>
      <c r="RII1374" s="110"/>
      <c r="RIJ1374" s="110"/>
      <c r="RIK1374" s="110"/>
      <c r="RIL1374" s="110"/>
      <c r="RIM1374" s="110"/>
      <c r="RIN1374" s="110"/>
      <c r="RIO1374" s="110"/>
      <c r="RIP1374" s="110"/>
      <c r="RIQ1374" s="110"/>
      <c r="RIR1374" s="110"/>
      <c r="RIS1374" s="110"/>
      <c r="RIT1374" s="110"/>
      <c r="RIU1374" s="110"/>
      <c r="RIV1374" s="110"/>
      <c r="RIW1374" s="110"/>
      <c r="RIX1374" s="110"/>
      <c r="RIY1374" s="110"/>
      <c r="RIZ1374" s="110"/>
      <c r="RJA1374" s="110"/>
      <c r="RJB1374" s="110"/>
      <c r="RJC1374" s="110"/>
      <c r="RJD1374" s="110"/>
      <c r="RJE1374" s="110"/>
      <c r="RJF1374" s="110"/>
      <c r="RJG1374" s="110"/>
      <c r="RJH1374" s="110"/>
      <c r="RJI1374" s="110"/>
      <c r="RJJ1374" s="110"/>
      <c r="RJK1374" s="110"/>
      <c r="RJL1374" s="110"/>
      <c r="RJM1374" s="110"/>
      <c r="RJN1374" s="110"/>
      <c r="RJO1374" s="110"/>
      <c r="RJP1374" s="110"/>
      <c r="RJQ1374" s="110"/>
      <c r="RJR1374" s="110"/>
      <c r="RJS1374" s="110"/>
      <c r="RJT1374" s="110"/>
      <c r="RJU1374" s="110"/>
      <c r="RJV1374" s="110"/>
      <c r="RJW1374" s="110"/>
      <c r="RJX1374" s="110"/>
      <c r="RJY1374" s="110"/>
      <c r="RJZ1374" s="110"/>
      <c r="RKA1374" s="110"/>
      <c r="RKB1374" s="110"/>
      <c r="RKC1374" s="110"/>
      <c r="RKD1374" s="110"/>
      <c r="RKE1374" s="110"/>
      <c r="RKF1374" s="110"/>
      <c r="RKG1374" s="110"/>
      <c r="RKH1374" s="110"/>
      <c r="RKI1374" s="110"/>
      <c r="RKJ1374" s="110"/>
      <c r="RKK1374" s="110"/>
      <c r="RKL1374" s="110"/>
      <c r="RKM1374" s="110"/>
      <c r="RKN1374" s="110"/>
      <c r="RKO1374" s="110"/>
      <c r="RKP1374" s="110"/>
      <c r="RKQ1374" s="110"/>
      <c r="RKR1374" s="110"/>
      <c r="RKS1374" s="110"/>
      <c r="RKT1374" s="110"/>
      <c r="RKU1374" s="110"/>
      <c r="RKV1374" s="110"/>
      <c r="RKW1374" s="110"/>
      <c r="RKX1374" s="110"/>
      <c r="RKY1374" s="110"/>
      <c r="RKZ1374" s="110"/>
      <c r="RLA1374" s="110"/>
      <c r="RLB1374" s="110"/>
      <c r="RLC1374" s="110"/>
      <c r="RLD1374" s="110"/>
      <c r="RLE1374" s="110"/>
      <c r="RLF1374" s="110"/>
      <c r="RLG1374" s="110"/>
      <c r="RLH1374" s="110"/>
      <c r="RLI1374" s="110"/>
      <c r="RLJ1374" s="110"/>
      <c r="RLK1374" s="110"/>
      <c r="RLL1374" s="110"/>
      <c r="RLM1374" s="110"/>
      <c r="RLN1374" s="110"/>
      <c r="RLO1374" s="110"/>
      <c r="RLP1374" s="110"/>
      <c r="RLQ1374" s="110"/>
      <c r="RLR1374" s="110"/>
      <c r="RLS1374" s="110"/>
      <c r="RLT1374" s="110"/>
      <c r="RLU1374" s="110"/>
      <c r="RLV1374" s="110"/>
      <c r="RLW1374" s="110"/>
      <c r="RLX1374" s="110"/>
      <c r="RLY1374" s="110"/>
      <c r="RLZ1374" s="110"/>
      <c r="RMA1374" s="110"/>
      <c r="RMB1374" s="110"/>
      <c r="RMC1374" s="110"/>
      <c r="RMD1374" s="110"/>
      <c r="RME1374" s="110"/>
      <c r="RMF1374" s="110"/>
      <c r="RMG1374" s="110"/>
      <c r="RMH1374" s="110"/>
      <c r="RMI1374" s="110"/>
      <c r="RMJ1374" s="110"/>
      <c r="RMK1374" s="110"/>
      <c r="RML1374" s="110"/>
      <c r="RMM1374" s="110"/>
      <c r="RMN1374" s="110"/>
      <c r="RMO1374" s="110"/>
      <c r="RMP1374" s="110"/>
      <c r="RMQ1374" s="110"/>
      <c r="RMR1374" s="110"/>
      <c r="RMS1374" s="110"/>
      <c r="RMT1374" s="110"/>
      <c r="RMU1374" s="110"/>
      <c r="RMV1374" s="110"/>
      <c r="RMW1374" s="110"/>
      <c r="RMX1374" s="110"/>
      <c r="RMY1374" s="110"/>
      <c r="RMZ1374" s="110"/>
      <c r="RNA1374" s="110"/>
      <c r="RNB1374" s="110"/>
      <c r="RNC1374" s="110"/>
      <c r="RND1374" s="110"/>
      <c r="RNE1374" s="110"/>
      <c r="RNF1374" s="110"/>
      <c r="RNG1374" s="110"/>
      <c r="RNH1374" s="110"/>
      <c r="RNI1374" s="110"/>
      <c r="RNJ1374" s="110"/>
      <c r="RNK1374" s="110"/>
      <c r="RNL1374" s="110"/>
      <c r="RNM1374" s="110"/>
      <c r="RNN1374" s="110"/>
      <c r="RNO1374" s="110"/>
      <c r="RNP1374" s="110"/>
      <c r="RNQ1374" s="110"/>
      <c r="RNR1374" s="110"/>
      <c r="RNS1374" s="110"/>
      <c r="RNT1374" s="110"/>
      <c r="RNU1374" s="110"/>
      <c r="RNV1374" s="110"/>
      <c r="RNW1374" s="110"/>
      <c r="RNX1374" s="110"/>
      <c r="RNY1374" s="110"/>
      <c r="RNZ1374" s="110"/>
      <c r="ROA1374" s="110"/>
      <c r="ROB1374" s="110"/>
      <c r="ROC1374" s="110"/>
      <c r="ROD1374" s="110"/>
      <c r="ROE1374" s="110"/>
      <c r="ROF1374" s="110"/>
      <c r="ROG1374" s="110"/>
      <c r="ROH1374" s="110"/>
      <c r="ROI1374" s="110"/>
      <c r="ROJ1374" s="110"/>
      <c r="ROK1374" s="110"/>
      <c r="ROL1374" s="110"/>
      <c r="ROM1374" s="110"/>
      <c r="RON1374" s="110"/>
      <c r="ROO1374" s="110"/>
      <c r="ROP1374" s="110"/>
      <c r="ROQ1374" s="110"/>
      <c r="ROR1374" s="110"/>
      <c r="ROS1374" s="110"/>
      <c r="ROT1374" s="110"/>
      <c r="ROU1374" s="110"/>
      <c r="ROV1374" s="110"/>
      <c r="ROW1374" s="110"/>
      <c r="ROX1374" s="110"/>
      <c r="ROY1374" s="110"/>
      <c r="ROZ1374" s="110"/>
      <c r="RPA1374" s="110"/>
      <c r="RPB1374" s="110"/>
      <c r="RPC1374" s="110"/>
      <c r="RPD1374" s="110"/>
      <c r="RPE1374" s="110"/>
      <c r="RPF1374" s="110"/>
      <c r="RPG1374" s="110"/>
      <c r="RPH1374" s="110"/>
      <c r="RPI1374" s="110"/>
      <c r="RPJ1374" s="110"/>
      <c r="RPK1374" s="110"/>
      <c r="RPL1374" s="110"/>
      <c r="RPM1374" s="110"/>
      <c r="RPN1374" s="110"/>
      <c r="RPO1374" s="110"/>
      <c r="RPP1374" s="110"/>
      <c r="RPQ1374" s="110"/>
      <c r="RPR1374" s="110"/>
      <c r="RPS1374" s="110"/>
      <c r="RPT1374" s="110"/>
      <c r="RPU1374" s="110"/>
      <c r="RPV1374" s="110"/>
      <c r="RPW1374" s="110"/>
      <c r="RPX1374" s="110"/>
      <c r="RPY1374" s="110"/>
      <c r="RPZ1374" s="110"/>
      <c r="RQA1374" s="110"/>
      <c r="RQB1374" s="110"/>
      <c r="RQC1374" s="110"/>
      <c r="RQD1374" s="110"/>
      <c r="RQE1374" s="110"/>
      <c r="RQF1374" s="110"/>
      <c r="RQG1374" s="110"/>
      <c r="RQH1374" s="110"/>
      <c r="RQI1374" s="110"/>
      <c r="RQJ1374" s="110"/>
      <c r="RQK1374" s="110"/>
      <c r="RQL1374" s="110"/>
      <c r="RQM1374" s="110"/>
      <c r="RQN1374" s="110"/>
      <c r="RQO1374" s="110"/>
      <c r="RQP1374" s="110"/>
      <c r="RQQ1374" s="110"/>
      <c r="RQR1374" s="110"/>
      <c r="RQS1374" s="110"/>
      <c r="RQT1374" s="110"/>
      <c r="RQU1374" s="110"/>
      <c r="RQV1374" s="110"/>
      <c r="RQW1374" s="110"/>
      <c r="RQX1374" s="110"/>
      <c r="RQY1374" s="110"/>
      <c r="RQZ1374" s="110"/>
      <c r="RRA1374" s="110"/>
      <c r="RRB1374" s="110"/>
      <c r="RRC1374" s="110"/>
      <c r="RRD1374" s="110"/>
      <c r="RRE1374" s="110"/>
      <c r="RRF1374" s="110"/>
      <c r="RRG1374" s="110"/>
      <c r="RRH1374" s="110"/>
      <c r="RRI1374" s="110"/>
      <c r="RRJ1374" s="110"/>
      <c r="RRK1374" s="110"/>
      <c r="RRL1374" s="110"/>
      <c r="RRM1374" s="110"/>
      <c r="RRN1374" s="110"/>
      <c r="RRO1374" s="110"/>
      <c r="RRP1374" s="110"/>
      <c r="RRQ1374" s="110"/>
      <c r="RRR1374" s="110"/>
      <c r="RRS1374" s="110"/>
      <c r="RRT1374" s="110"/>
      <c r="RRU1374" s="110"/>
      <c r="RRV1374" s="110"/>
      <c r="RRW1374" s="110"/>
      <c r="RRX1374" s="110"/>
      <c r="RRY1374" s="110"/>
      <c r="RRZ1374" s="110"/>
      <c r="RSA1374" s="110"/>
      <c r="RSB1374" s="110"/>
      <c r="RSC1374" s="110"/>
      <c r="RSD1374" s="110"/>
      <c r="RSE1374" s="110"/>
      <c r="RSF1374" s="110"/>
      <c r="RSG1374" s="110"/>
      <c r="RSH1374" s="110"/>
      <c r="RSI1374" s="110"/>
      <c r="RSJ1374" s="110"/>
      <c r="RSK1374" s="110"/>
      <c r="RSL1374" s="110"/>
      <c r="RSM1374" s="110"/>
      <c r="RSN1374" s="110"/>
      <c r="RSO1374" s="110"/>
      <c r="RSP1374" s="110"/>
      <c r="RSQ1374" s="110"/>
      <c r="RSR1374" s="110"/>
      <c r="RSS1374" s="110"/>
      <c r="RST1374" s="110"/>
      <c r="RSU1374" s="110"/>
      <c r="RSV1374" s="110"/>
      <c r="RSW1374" s="110"/>
      <c r="RSX1374" s="110"/>
      <c r="RSY1374" s="110"/>
      <c r="RSZ1374" s="110"/>
      <c r="RTA1374" s="110"/>
      <c r="RTB1374" s="110"/>
      <c r="RTC1374" s="110"/>
      <c r="RTD1374" s="110"/>
      <c r="RTE1374" s="110"/>
      <c r="RTF1374" s="110"/>
      <c r="RTG1374" s="110"/>
      <c r="RTH1374" s="110"/>
      <c r="RTI1374" s="110"/>
      <c r="RTJ1374" s="110"/>
      <c r="RTK1374" s="110"/>
      <c r="RTL1374" s="110"/>
      <c r="RTM1374" s="110"/>
      <c r="RTN1374" s="110"/>
      <c r="RTO1374" s="110"/>
      <c r="RTP1374" s="110"/>
      <c r="RTQ1374" s="110"/>
      <c r="RTR1374" s="110"/>
      <c r="RTS1374" s="110"/>
      <c r="RTT1374" s="110"/>
      <c r="RTU1374" s="110"/>
      <c r="RTV1374" s="110"/>
      <c r="RTW1374" s="110"/>
      <c r="RTX1374" s="110"/>
      <c r="RTY1374" s="110"/>
      <c r="RTZ1374" s="110"/>
      <c r="RUA1374" s="110"/>
      <c r="RUB1374" s="110"/>
      <c r="RUC1374" s="110"/>
      <c r="RUD1374" s="110"/>
      <c r="RUE1374" s="110"/>
      <c r="RUF1374" s="110"/>
      <c r="RUG1374" s="110"/>
      <c r="RUH1374" s="110"/>
      <c r="RUI1374" s="110"/>
      <c r="RUJ1374" s="110"/>
      <c r="RUK1374" s="110"/>
      <c r="RUL1374" s="110"/>
      <c r="RUM1374" s="110"/>
      <c r="RUN1374" s="110"/>
      <c r="RUO1374" s="110"/>
      <c r="RUP1374" s="110"/>
      <c r="RUQ1374" s="110"/>
      <c r="RUR1374" s="110"/>
      <c r="RUS1374" s="110"/>
      <c r="RUT1374" s="110"/>
      <c r="RUU1374" s="110"/>
      <c r="RUV1374" s="110"/>
      <c r="RUW1374" s="110"/>
      <c r="RUX1374" s="110"/>
      <c r="RUY1374" s="110"/>
      <c r="RUZ1374" s="110"/>
      <c r="RVA1374" s="110"/>
      <c r="RVB1374" s="110"/>
      <c r="RVC1374" s="110"/>
      <c r="RVD1374" s="110"/>
      <c r="RVE1374" s="110"/>
      <c r="RVF1374" s="110"/>
      <c r="RVG1374" s="110"/>
      <c r="RVH1374" s="110"/>
      <c r="RVI1374" s="110"/>
      <c r="RVJ1374" s="110"/>
      <c r="RVK1374" s="110"/>
      <c r="RVL1374" s="110"/>
      <c r="RVM1374" s="110"/>
      <c r="RVN1374" s="110"/>
      <c r="RVO1374" s="110"/>
      <c r="RVP1374" s="110"/>
      <c r="RVQ1374" s="110"/>
      <c r="RVR1374" s="110"/>
      <c r="RVS1374" s="110"/>
      <c r="RVT1374" s="110"/>
      <c r="RVU1374" s="110"/>
      <c r="RVV1374" s="110"/>
      <c r="RVW1374" s="110"/>
      <c r="RVX1374" s="110"/>
      <c r="RVY1374" s="110"/>
      <c r="RVZ1374" s="110"/>
      <c r="RWA1374" s="110"/>
      <c r="RWB1374" s="110"/>
      <c r="RWC1374" s="110"/>
      <c r="RWD1374" s="110"/>
      <c r="RWE1374" s="110"/>
      <c r="RWF1374" s="110"/>
      <c r="RWG1374" s="110"/>
      <c r="RWH1374" s="110"/>
      <c r="RWI1374" s="110"/>
      <c r="RWJ1374" s="110"/>
      <c r="RWK1374" s="110"/>
      <c r="RWL1374" s="110"/>
      <c r="RWM1374" s="110"/>
      <c r="RWN1374" s="110"/>
      <c r="RWO1374" s="110"/>
      <c r="RWP1374" s="110"/>
      <c r="RWQ1374" s="110"/>
      <c r="RWR1374" s="110"/>
      <c r="RWS1374" s="110"/>
      <c r="RWT1374" s="110"/>
      <c r="RWU1374" s="110"/>
      <c r="RWV1374" s="110"/>
      <c r="RWW1374" s="110"/>
      <c r="RWX1374" s="110"/>
      <c r="RWY1374" s="110"/>
      <c r="RWZ1374" s="110"/>
      <c r="RXA1374" s="110"/>
      <c r="RXB1374" s="110"/>
      <c r="RXC1374" s="110"/>
      <c r="RXD1374" s="110"/>
      <c r="RXE1374" s="110"/>
      <c r="RXF1374" s="110"/>
      <c r="RXG1374" s="110"/>
      <c r="RXH1374" s="110"/>
      <c r="RXI1374" s="110"/>
      <c r="RXJ1374" s="110"/>
      <c r="RXK1374" s="110"/>
      <c r="RXL1374" s="110"/>
      <c r="RXM1374" s="110"/>
      <c r="RXN1374" s="110"/>
      <c r="RXO1374" s="110"/>
      <c r="RXP1374" s="110"/>
      <c r="RXQ1374" s="110"/>
      <c r="RXR1374" s="110"/>
      <c r="RXS1374" s="110"/>
      <c r="RXT1374" s="110"/>
      <c r="RXU1374" s="110"/>
      <c r="RXV1374" s="110"/>
      <c r="RXW1374" s="110"/>
      <c r="RXX1374" s="110"/>
      <c r="RXY1374" s="110"/>
      <c r="RXZ1374" s="110"/>
      <c r="RYA1374" s="110"/>
      <c r="RYB1374" s="110"/>
      <c r="RYC1374" s="110"/>
      <c r="RYD1374" s="110"/>
      <c r="RYE1374" s="110"/>
      <c r="RYF1374" s="110"/>
      <c r="RYG1374" s="110"/>
      <c r="RYH1374" s="110"/>
      <c r="RYI1374" s="110"/>
      <c r="RYJ1374" s="110"/>
      <c r="RYK1374" s="110"/>
      <c r="RYL1374" s="110"/>
      <c r="RYM1374" s="110"/>
      <c r="RYN1374" s="110"/>
      <c r="RYO1374" s="110"/>
      <c r="RYP1374" s="110"/>
      <c r="RYQ1374" s="110"/>
      <c r="RYR1374" s="110"/>
      <c r="RYS1374" s="110"/>
      <c r="RYT1374" s="110"/>
      <c r="RYU1374" s="110"/>
      <c r="RYV1374" s="110"/>
      <c r="RYW1374" s="110"/>
      <c r="RYX1374" s="110"/>
      <c r="RYY1374" s="110"/>
      <c r="RYZ1374" s="110"/>
      <c r="RZA1374" s="110"/>
      <c r="RZB1374" s="110"/>
      <c r="RZC1374" s="110"/>
      <c r="RZD1374" s="110"/>
      <c r="RZE1374" s="110"/>
      <c r="RZF1374" s="110"/>
      <c r="RZG1374" s="110"/>
      <c r="RZH1374" s="110"/>
      <c r="RZI1374" s="110"/>
      <c r="RZJ1374" s="110"/>
      <c r="RZK1374" s="110"/>
      <c r="RZL1374" s="110"/>
      <c r="RZM1374" s="110"/>
      <c r="RZN1374" s="110"/>
      <c r="RZO1374" s="110"/>
      <c r="RZP1374" s="110"/>
      <c r="RZQ1374" s="110"/>
      <c r="RZR1374" s="110"/>
      <c r="RZS1374" s="110"/>
      <c r="RZT1374" s="110"/>
      <c r="RZU1374" s="110"/>
      <c r="RZV1374" s="110"/>
      <c r="RZW1374" s="110"/>
      <c r="RZX1374" s="110"/>
      <c r="RZY1374" s="110"/>
      <c r="RZZ1374" s="110"/>
      <c r="SAA1374" s="110"/>
      <c r="SAB1374" s="110"/>
      <c r="SAC1374" s="110"/>
      <c r="SAD1374" s="110"/>
      <c r="SAE1374" s="110"/>
      <c r="SAF1374" s="110"/>
      <c r="SAG1374" s="110"/>
      <c r="SAH1374" s="110"/>
      <c r="SAI1374" s="110"/>
      <c r="SAJ1374" s="110"/>
      <c r="SAK1374" s="110"/>
      <c r="SAL1374" s="110"/>
      <c r="SAM1374" s="110"/>
      <c r="SAN1374" s="110"/>
      <c r="SAO1374" s="110"/>
      <c r="SAP1374" s="110"/>
      <c r="SAQ1374" s="110"/>
      <c r="SAR1374" s="110"/>
      <c r="SAS1374" s="110"/>
      <c r="SAT1374" s="110"/>
      <c r="SAU1374" s="110"/>
      <c r="SAV1374" s="110"/>
      <c r="SAW1374" s="110"/>
      <c r="SAX1374" s="110"/>
      <c r="SAY1374" s="110"/>
      <c r="SAZ1374" s="110"/>
      <c r="SBA1374" s="110"/>
      <c r="SBB1374" s="110"/>
      <c r="SBC1374" s="110"/>
      <c r="SBD1374" s="110"/>
      <c r="SBE1374" s="110"/>
      <c r="SBF1374" s="110"/>
      <c r="SBG1374" s="110"/>
      <c r="SBH1374" s="110"/>
      <c r="SBI1374" s="110"/>
      <c r="SBJ1374" s="110"/>
      <c r="SBK1374" s="110"/>
      <c r="SBL1374" s="110"/>
      <c r="SBM1374" s="110"/>
      <c r="SBN1374" s="110"/>
      <c r="SBO1374" s="110"/>
      <c r="SBP1374" s="110"/>
      <c r="SBQ1374" s="110"/>
      <c r="SBR1374" s="110"/>
      <c r="SBS1374" s="110"/>
      <c r="SBT1374" s="110"/>
      <c r="SBU1374" s="110"/>
      <c r="SBV1374" s="110"/>
      <c r="SBW1374" s="110"/>
      <c r="SBX1374" s="110"/>
      <c r="SBY1374" s="110"/>
      <c r="SBZ1374" s="110"/>
      <c r="SCA1374" s="110"/>
      <c r="SCB1374" s="110"/>
      <c r="SCC1374" s="110"/>
      <c r="SCD1374" s="110"/>
      <c r="SCE1374" s="110"/>
      <c r="SCF1374" s="110"/>
      <c r="SCG1374" s="110"/>
      <c r="SCH1374" s="110"/>
      <c r="SCI1374" s="110"/>
      <c r="SCJ1374" s="110"/>
      <c r="SCK1374" s="110"/>
      <c r="SCL1374" s="110"/>
      <c r="SCM1374" s="110"/>
      <c r="SCN1374" s="110"/>
      <c r="SCO1374" s="110"/>
      <c r="SCP1374" s="110"/>
      <c r="SCQ1374" s="110"/>
      <c r="SCR1374" s="110"/>
      <c r="SCS1374" s="110"/>
      <c r="SCT1374" s="110"/>
      <c r="SCU1374" s="110"/>
      <c r="SCV1374" s="110"/>
      <c r="SCW1374" s="110"/>
      <c r="SCX1374" s="110"/>
      <c r="SCY1374" s="110"/>
      <c r="SCZ1374" s="110"/>
      <c r="SDA1374" s="110"/>
      <c r="SDB1374" s="110"/>
      <c r="SDC1374" s="110"/>
      <c r="SDD1374" s="110"/>
      <c r="SDE1374" s="110"/>
      <c r="SDF1374" s="110"/>
      <c r="SDG1374" s="110"/>
      <c r="SDH1374" s="110"/>
      <c r="SDI1374" s="110"/>
      <c r="SDJ1374" s="110"/>
      <c r="SDK1374" s="110"/>
      <c r="SDL1374" s="110"/>
      <c r="SDM1374" s="110"/>
      <c r="SDN1374" s="110"/>
      <c r="SDO1374" s="110"/>
      <c r="SDP1374" s="110"/>
      <c r="SDQ1374" s="110"/>
      <c r="SDR1374" s="110"/>
      <c r="SDS1374" s="110"/>
      <c r="SDT1374" s="110"/>
      <c r="SDU1374" s="110"/>
      <c r="SDV1374" s="110"/>
      <c r="SDW1374" s="110"/>
      <c r="SDX1374" s="110"/>
      <c r="SDY1374" s="110"/>
      <c r="SDZ1374" s="110"/>
      <c r="SEA1374" s="110"/>
      <c r="SEB1374" s="110"/>
      <c r="SEC1374" s="110"/>
      <c r="SED1374" s="110"/>
      <c r="SEE1374" s="110"/>
      <c r="SEF1374" s="110"/>
      <c r="SEG1374" s="110"/>
      <c r="SEH1374" s="110"/>
      <c r="SEI1374" s="110"/>
      <c r="SEJ1374" s="110"/>
      <c r="SEK1374" s="110"/>
      <c r="SEL1374" s="110"/>
      <c r="SEM1374" s="110"/>
      <c r="SEN1374" s="110"/>
      <c r="SEO1374" s="110"/>
      <c r="SEP1374" s="110"/>
      <c r="SEQ1374" s="110"/>
      <c r="SER1374" s="110"/>
      <c r="SES1374" s="110"/>
      <c r="SET1374" s="110"/>
      <c r="SEU1374" s="110"/>
      <c r="SEV1374" s="110"/>
      <c r="SEW1374" s="110"/>
      <c r="SEX1374" s="110"/>
      <c r="SEY1374" s="110"/>
      <c r="SEZ1374" s="110"/>
      <c r="SFA1374" s="110"/>
      <c r="SFB1374" s="110"/>
      <c r="SFC1374" s="110"/>
      <c r="SFD1374" s="110"/>
      <c r="SFE1374" s="110"/>
      <c r="SFF1374" s="110"/>
      <c r="SFG1374" s="110"/>
      <c r="SFH1374" s="110"/>
      <c r="SFI1374" s="110"/>
      <c r="SFJ1374" s="110"/>
      <c r="SFK1374" s="110"/>
      <c r="SFL1374" s="110"/>
      <c r="SFM1374" s="110"/>
      <c r="SFN1374" s="110"/>
      <c r="SFO1374" s="110"/>
      <c r="SFP1374" s="110"/>
      <c r="SFQ1374" s="110"/>
      <c r="SFR1374" s="110"/>
      <c r="SFS1374" s="110"/>
      <c r="SFT1374" s="110"/>
      <c r="SFU1374" s="110"/>
      <c r="SFV1374" s="110"/>
      <c r="SFW1374" s="110"/>
      <c r="SFX1374" s="110"/>
      <c r="SFY1374" s="110"/>
      <c r="SFZ1374" s="110"/>
      <c r="SGA1374" s="110"/>
      <c r="SGB1374" s="110"/>
      <c r="SGC1374" s="110"/>
      <c r="SGD1374" s="110"/>
      <c r="SGE1374" s="110"/>
      <c r="SGF1374" s="110"/>
      <c r="SGG1374" s="110"/>
      <c r="SGH1374" s="110"/>
      <c r="SGI1374" s="110"/>
      <c r="SGJ1374" s="110"/>
      <c r="SGK1374" s="110"/>
      <c r="SGL1374" s="110"/>
      <c r="SGM1374" s="110"/>
      <c r="SGN1374" s="110"/>
      <c r="SGO1374" s="110"/>
      <c r="SGP1374" s="110"/>
      <c r="SGQ1374" s="110"/>
      <c r="SGR1374" s="110"/>
      <c r="SGS1374" s="110"/>
      <c r="SGT1374" s="110"/>
      <c r="SGU1374" s="110"/>
      <c r="SGV1374" s="110"/>
      <c r="SGW1374" s="110"/>
      <c r="SGX1374" s="110"/>
      <c r="SGY1374" s="110"/>
      <c r="SGZ1374" s="110"/>
      <c r="SHA1374" s="110"/>
      <c r="SHB1374" s="110"/>
      <c r="SHC1374" s="110"/>
      <c r="SHD1374" s="110"/>
      <c r="SHE1374" s="110"/>
      <c r="SHF1374" s="110"/>
      <c r="SHG1374" s="110"/>
      <c r="SHH1374" s="110"/>
      <c r="SHI1374" s="110"/>
      <c r="SHJ1374" s="110"/>
      <c r="SHK1374" s="110"/>
      <c r="SHL1374" s="110"/>
      <c r="SHM1374" s="110"/>
      <c r="SHN1374" s="110"/>
      <c r="SHO1374" s="110"/>
      <c r="SHP1374" s="110"/>
      <c r="SHQ1374" s="110"/>
      <c r="SHR1374" s="110"/>
      <c r="SHS1374" s="110"/>
      <c r="SHT1374" s="110"/>
      <c r="SHU1374" s="110"/>
      <c r="SHV1374" s="110"/>
      <c r="SHW1374" s="110"/>
      <c r="SHX1374" s="110"/>
      <c r="SHY1374" s="110"/>
      <c r="SHZ1374" s="110"/>
      <c r="SIA1374" s="110"/>
      <c r="SIB1374" s="110"/>
      <c r="SIC1374" s="110"/>
      <c r="SID1374" s="110"/>
      <c r="SIE1374" s="110"/>
      <c r="SIF1374" s="110"/>
      <c r="SIG1374" s="110"/>
      <c r="SIH1374" s="110"/>
      <c r="SII1374" s="110"/>
      <c r="SIJ1374" s="110"/>
      <c r="SIK1374" s="110"/>
      <c r="SIL1374" s="110"/>
      <c r="SIM1374" s="110"/>
      <c r="SIN1374" s="110"/>
      <c r="SIO1374" s="110"/>
      <c r="SIP1374" s="110"/>
      <c r="SIQ1374" s="110"/>
      <c r="SIR1374" s="110"/>
      <c r="SIS1374" s="110"/>
      <c r="SIT1374" s="110"/>
      <c r="SIU1374" s="110"/>
      <c r="SIV1374" s="110"/>
      <c r="SIW1374" s="110"/>
      <c r="SIX1374" s="110"/>
      <c r="SIY1374" s="110"/>
      <c r="SIZ1374" s="110"/>
      <c r="SJA1374" s="110"/>
      <c r="SJB1374" s="110"/>
      <c r="SJC1374" s="110"/>
      <c r="SJD1374" s="110"/>
      <c r="SJE1374" s="110"/>
      <c r="SJF1374" s="110"/>
      <c r="SJG1374" s="110"/>
      <c r="SJH1374" s="110"/>
      <c r="SJI1374" s="110"/>
      <c r="SJJ1374" s="110"/>
      <c r="SJK1374" s="110"/>
      <c r="SJL1374" s="110"/>
      <c r="SJM1374" s="110"/>
      <c r="SJN1374" s="110"/>
      <c r="SJO1374" s="110"/>
      <c r="SJP1374" s="110"/>
      <c r="SJQ1374" s="110"/>
      <c r="SJR1374" s="110"/>
      <c r="SJS1374" s="110"/>
      <c r="SJT1374" s="110"/>
      <c r="SJU1374" s="110"/>
      <c r="SJV1374" s="110"/>
      <c r="SJW1374" s="110"/>
      <c r="SJX1374" s="110"/>
      <c r="SJY1374" s="110"/>
      <c r="SJZ1374" s="110"/>
      <c r="SKA1374" s="110"/>
      <c r="SKB1374" s="110"/>
      <c r="SKC1374" s="110"/>
      <c r="SKD1374" s="110"/>
      <c r="SKE1374" s="110"/>
      <c r="SKF1374" s="110"/>
      <c r="SKG1374" s="110"/>
      <c r="SKH1374" s="110"/>
      <c r="SKI1374" s="110"/>
      <c r="SKJ1374" s="110"/>
      <c r="SKK1374" s="110"/>
      <c r="SKL1374" s="110"/>
      <c r="SKM1374" s="110"/>
      <c r="SKN1374" s="110"/>
      <c r="SKO1374" s="110"/>
      <c r="SKP1374" s="110"/>
      <c r="SKQ1374" s="110"/>
      <c r="SKR1374" s="110"/>
      <c r="SKS1374" s="110"/>
      <c r="SKT1374" s="110"/>
      <c r="SKU1374" s="110"/>
      <c r="SKV1374" s="110"/>
      <c r="SKW1374" s="110"/>
      <c r="SKX1374" s="110"/>
      <c r="SKY1374" s="110"/>
      <c r="SKZ1374" s="110"/>
      <c r="SLA1374" s="110"/>
      <c r="SLB1374" s="110"/>
      <c r="SLC1374" s="110"/>
      <c r="SLD1374" s="110"/>
      <c r="SLE1374" s="110"/>
      <c r="SLF1374" s="110"/>
      <c r="SLG1374" s="110"/>
      <c r="SLH1374" s="110"/>
      <c r="SLI1374" s="110"/>
      <c r="SLJ1374" s="110"/>
      <c r="SLK1374" s="110"/>
      <c r="SLL1374" s="110"/>
      <c r="SLM1374" s="110"/>
      <c r="SLN1374" s="110"/>
      <c r="SLO1374" s="110"/>
      <c r="SLP1374" s="110"/>
      <c r="SLQ1374" s="110"/>
      <c r="SLR1374" s="110"/>
      <c r="SLS1374" s="110"/>
      <c r="SLT1374" s="110"/>
      <c r="SLU1374" s="110"/>
      <c r="SLV1374" s="110"/>
      <c r="SLW1374" s="110"/>
      <c r="SLX1374" s="110"/>
      <c r="SLY1374" s="110"/>
      <c r="SLZ1374" s="110"/>
      <c r="SMA1374" s="110"/>
      <c r="SMB1374" s="110"/>
      <c r="SMC1374" s="110"/>
      <c r="SMD1374" s="110"/>
      <c r="SME1374" s="110"/>
      <c r="SMF1374" s="110"/>
      <c r="SMG1374" s="110"/>
      <c r="SMH1374" s="110"/>
      <c r="SMI1374" s="110"/>
      <c r="SMJ1374" s="110"/>
      <c r="SMK1374" s="110"/>
      <c r="SML1374" s="110"/>
      <c r="SMM1374" s="110"/>
      <c r="SMN1374" s="110"/>
      <c r="SMO1374" s="110"/>
      <c r="SMP1374" s="110"/>
      <c r="SMQ1374" s="110"/>
      <c r="SMR1374" s="110"/>
      <c r="SMS1374" s="110"/>
      <c r="SMT1374" s="110"/>
      <c r="SMU1374" s="110"/>
      <c r="SMV1374" s="110"/>
      <c r="SMW1374" s="110"/>
      <c r="SMX1374" s="110"/>
      <c r="SMY1374" s="110"/>
      <c r="SMZ1374" s="110"/>
      <c r="SNA1374" s="110"/>
      <c r="SNB1374" s="110"/>
      <c r="SNC1374" s="110"/>
      <c r="SND1374" s="110"/>
      <c r="SNE1374" s="110"/>
      <c r="SNF1374" s="110"/>
      <c r="SNG1374" s="110"/>
      <c r="SNH1374" s="110"/>
      <c r="SNI1374" s="110"/>
      <c r="SNJ1374" s="110"/>
      <c r="SNK1374" s="110"/>
      <c r="SNL1374" s="110"/>
      <c r="SNM1374" s="110"/>
      <c r="SNN1374" s="110"/>
      <c r="SNO1374" s="110"/>
      <c r="SNP1374" s="110"/>
      <c r="SNQ1374" s="110"/>
      <c r="SNR1374" s="110"/>
      <c r="SNS1374" s="110"/>
      <c r="SNT1374" s="110"/>
      <c r="SNU1374" s="110"/>
      <c r="SNV1374" s="110"/>
      <c r="SNW1374" s="110"/>
      <c r="SNX1374" s="110"/>
      <c r="SNY1374" s="110"/>
      <c r="SNZ1374" s="110"/>
      <c r="SOA1374" s="110"/>
      <c r="SOB1374" s="110"/>
      <c r="SOC1374" s="110"/>
      <c r="SOD1374" s="110"/>
      <c r="SOE1374" s="110"/>
      <c r="SOF1374" s="110"/>
      <c r="SOG1374" s="110"/>
      <c r="SOH1374" s="110"/>
      <c r="SOI1374" s="110"/>
      <c r="SOJ1374" s="110"/>
      <c r="SOK1374" s="110"/>
      <c r="SOL1374" s="110"/>
      <c r="SOM1374" s="110"/>
      <c r="SON1374" s="110"/>
      <c r="SOO1374" s="110"/>
      <c r="SOP1374" s="110"/>
      <c r="SOQ1374" s="110"/>
      <c r="SOR1374" s="110"/>
      <c r="SOS1374" s="110"/>
      <c r="SOT1374" s="110"/>
      <c r="SOU1374" s="110"/>
      <c r="SOV1374" s="110"/>
      <c r="SOW1374" s="110"/>
      <c r="SOX1374" s="110"/>
      <c r="SOY1374" s="110"/>
      <c r="SOZ1374" s="110"/>
      <c r="SPA1374" s="110"/>
      <c r="SPB1374" s="110"/>
      <c r="SPC1374" s="110"/>
      <c r="SPD1374" s="110"/>
      <c r="SPE1374" s="110"/>
      <c r="SPF1374" s="110"/>
      <c r="SPG1374" s="110"/>
      <c r="SPH1374" s="110"/>
      <c r="SPI1374" s="110"/>
      <c r="SPJ1374" s="110"/>
      <c r="SPK1374" s="110"/>
      <c r="SPL1374" s="110"/>
      <c r="SPM1374" s="110"/>
      <c r="SPN1374" s="110"/>
      <c r="SPO1374" s="110"/>
      <c r="SPP1374" s="110"/>
      <c r="SPQ1374" s="110"/>
      <c r="SPR1374" s="110"/>
      <c r="SPS1374" s="110"/>
      <c r="SPT1374" s="110"/>
      <c r="SPU1374" s="110"/>
      <c r="SPV1374" s="110"/>
      <c r="SPW1374" s="110"/>
      <c r="SPX1374" s="110"/>
      <c r="SPY1374" s="110"/>
      <c r="SPZ1374" s="110"/>
      <c r="SQA1374" s="110"/>
      <c r="SQB1374" s="110"/>
      <c r="SQC1374" s="110"/>
      <c r="SQD1374" s="110"/>
      <c r="SQE1374" s="110"/>
      <c r="SQF1374" s="110"/>
      <c r="SQG1374" s="110"/>
      <c r="SQH1374" s="110"/>
      <c r="SQI1374" s="110"/>
      <c r="SQJ1374" s="110"/>
      <c r="SQK1374" s="110"/>
      <c r="SQL1374" s="110"/>
      <c r="SQM1374" s="110"/>
      <c r="SQN1374" s="110"/>
      <c r="SQO1374" s="110"/>
      <c r="SQP1374" s="110"/>
      <c r="SQQ1374" s="110"/>
      <c r="SQR1374" s="110"/>
      <c r="SQS1374" s="110"/>
      <c r="SQT1374" s="110"/>
      <c r="SQU1374" s="110"/>
      <c r="SQV1374" s="110"/>
      <c r="SQW1374" s="110"/>
      <c r="SQX1374" s="110"/>
      <c r="SQY1374" s="110"/>
      <c r="SQZ1374" s="110"/>
      <c r="SRA1374" s="110"/>
      <c r="SRB1374" s="110"/>
      <c r="SRC1374" s="110"/>
      <c r="SRD1374" s="110"/>
      <c r="SRE1374" s="110"/>
      <c r="SRF1374" s="110"/>
      <c r="SRG1374" s="110"/>
      <c r="SRH1374" s="110"/>
      <c r="SRI1374" s="110"/>
      <c r="SRJ1374" s="110"/>
      <c r="SRK1374" s="110"/>
      <c r="SRL1374" s="110"/>
      <c r="SRM1374" s="110"/>
      <c r="SRN1374" s="110"/>
      <c r="SRO1374" s="110"/>
      <c r="SRP1374" s="110"/>
      <c r="SRQ1374" s="110"/>
      <c r="SRR1374" s="110"/>
      <c r="SRS1374" s="110"/>
      <c r="SRT1374" s="110"/>
      <c r="SRU1374" s="110"/>
      <c r="SRV1374" s="110"/>
      <c r="SRW1374" s="110"/>
      <c r="SRX1374" s="110"/>
      <c r="SRY1374" s="110"/>
      <c r="SRZ1374" s="110"/>
      <c r="SSA1374" s="110"/>
      <c r="SSB1374" s="110"/>
      <c r="SSC1374" s="110"/>
      <c r="SSD1374" s="110"/>
      <c r="SSE1374" s="110"/>
      <c r="SSF1374" s="110"/>
      <c r="SSG1374" s="110"/>
      <c r="SSH1374" s="110"/>
      <c r="SSI1374" s="110"/>
      <c r="SSJ1374" s="110"/>
      <c r="SSK1374" s="110"/>
      <c r="SSL1374" s="110"/>
      <c r="SSM1374" s="110"/>
      <c r="SSN1374" s="110"/>
      <c r="SSO1374" s="110"/>
      <c r="SSP1374" s="110"/>
      <c r="SSQ1374" s="110"/>
      <c r="SSR1374" s="110"/>
      <c r="SSS1374" s="110"/>
      <c r="SST1374" s="110"/>
      <c r="SSU1374" s="110"/>
      <c r="SSV1374" s="110"/>
      <c r="SSW1374" s="110"/>
      <c r="SSX1374" s="110"/>
      <c r="SSY1374" s="110"/>
      <c r="SSZ1374" s="110"/>
      <c r="STA1374" s="110"/>
      <c r="STB1374" s="110"/>
      <c r="STC1374" s="110"/>
      <c r="STD1374" s="110"/>
      <c r="STE1374" s="110"/>
      <c r="STF1374" s="110"/>
      <c r="STG1374" s="110"/>
      <c r="STH1374" s="110"/>
      <c r="STI1374" s="110"/>
      <c r="STJ1374" s="110"/>
      <c r="STK1374" s="110"/>
      <c r="STL1374" s="110"/>
      <c r="STM1374" s="110"/>
      <c r="STN1374" s="110"/>
      <c r="STO1374" s="110"/>
      <c r="STP1374" s="110"/>
      <c r="STQ1374" s="110"/>
      <c r="STR1374" s="110"/>
      <c r="STS1374" s="110"/>
      <c r="STT1374" s="110"/>
      <c r="STU1374" s="110"/>
      <c r="STV1374" s="110"/>
      <c r="STW1374" s="110"/>
      <c r="STX1374" s="110"/>
      <c r="STY1374" s="110"/>
      <c r="STZ1374" s="110"/>
      <c r="SUA1374" s="110"/>
      <c r="SUB1374" s="110"/>
      <c r="SUC1374" s="110"/>
      <c r="SUD1374" s="110"/>
      <c r="SUE1374" s="110"/>
      <c r="SUF1374" s="110"/>
      <c r="SUG1374" s="110"/>
      <c r="SUH1374" s="110"/>
      <c r="SUI1374" s="110"/>
      <c r="SUJ1374" s="110"/>
      <c r="SUK1374" s="110"/>
      <c r="SUL1374" s="110"/>
      <c r="SUM1374" s="110"/>
      <c r="SUN1374" s="110"/>
      <c r="SUO1374" s="110"/>
      <c r="SUP1374" s="110"/>
      <c r="SUQ1374" s="110"/>
      <c r="SUR1374" s="110"/>
      <c r="SUS1374" s="110"/>
      <c r="SUT1374" s="110"/>
      <c r="SUU1374" s="110"/>
      <c r="SUV1374" s="110"/>
      <c r="SUW1374" s="110"/>
      <c r="SUX1374" s="110"/>
      <c r="SUY1374" s="110"/>
      <c r="SUZ1374" s="110"/>
      <c r="SVA1374" s="110"/>
      <c r="SVB1374" s="110"/>
      <c r="SVC1374" s="110"/>
      <c r="SVD1374" s="110"/>
      <c r="SVE1374" s="110"/>
      <c r="SVF1374" s="110"/>
      <c r="SVG1374" s="110"/>
      <c r="SVH1374" s="110"/>
      <c r="SVI1374" s="110"/>
      <c r="SVJ1374" s="110"/>
      <c r="SVK1374" s="110"/>
      <c r="SVL1374" s="110"/>
      <c r="SVM1374" s="110"/>
      <c r="SVN1374" s="110"/>
      <c r="SVO1374" s="110"/>
      <c r="SVP1374" s="110"/>
      <c r="SVQ1374" s="110"/>
      <c r="SVR1374" s="110"/>
      <c r="SVS1374" s="110"/>
      <c r="SVT1374" s="110"/>
      <c r="SVU1374" s="110"/>
      <c r="SVV1374" s="110"/>
      <c r="SVW1374" s="110"/>
      <c r="SVX1374" s="110"/>
      <c r="SVY1374" s="110"/>
      <c r="SVZ1374" s="110"/>
      <c r="SWA1374" s="110"/>
      <c r="SWB1374" s="110"/>
      <c r="SWC1374" s="110"/>
      <c r="SWD1374" s="110"/>
      <c r="SWE1374" s="110"/>
      <c r="SWF1374" s="110"/>
      <c r="SWG1374" s="110"/>
      <c r="SWH1374" s="110"/>
      <c r="SWI1374" s="110"/>
      <c r="SWJ1374" s="110"/>
      <c r="SWK1374" s="110"/>
      <c r="SWL1374" s="110"/>
      <c r="SWM1374" s="110"/>
      <c r="SWN1374" s="110"/>
      <c r="SWO1374" s="110"/>
      <c r="SWP1374" s="110"/>
      <c r="SWQ1374" s="110"/>
      <c r="SWR1374" s="110"/>
      <c r="SWS1374" s="110"/>
      <c r="SWT1374" s="110"/>
      <c r="SWU1374" s="110"/>
      <c r="SWV1374" s="110"/>
      <c r="SWW1374" s="110"/>
      <c r="SWX1374" s="110"/>
      <c r="SWY1374" s="110"/>
      <c r="SWZ1374" s="110"/>
      <c r="SXA1374" s="110"/>
      <c r="SXB1374" s="110"/>
      <c r="SXC1374" s="110"/>
      <c r="SXD1374" s="110"/>
      <c r="SXE1374" s="110"/>
      <c r="SXF1374" s="110"/>
      <c r="SXG1374" s="110"/>
      <c r="SXH1374" s="110"/>
      <c r="SXI1374" s="110"/>
      <c r="SXJ1374" s="110"/>
      <c r="SXK1374" s="110"/>
      <c r="SXL1374" s="110"/>
      <c r="SXM1374" s="110"/>
      <c r="SXN1374" s="110"/>
      <c r="SXO1374" s="110"/>
      <c r="SXP1374" s="110"/>
      <c r="SXQ1374" s="110"/>
      <c r="SXR1374" s="110"/>
      <c r="SXS1374" s="110"/>
      <c r="SXT1374" s="110"/>
      <c r="SXU1374" s="110"/>
      <c r="SXV1374" s="110"/>
      <c r="SXW1374" s="110"/>
      <c r="SXX1374" s="110"/>
      <c r="SXY1374" s="110"/>
      <c r="SXZ1374" s="110"/>
      <c r="SYA1374" s="110"/>
      <c r="SYB1374" s="110"/>
      <c r="SYC1374" s="110"/>
      <c r="SYD1374" s="110"/>
      <c r="SYE1374" s="110"/>
      <c r="SYF1374" s="110"/>
      <c r="SYG1374" s="110"/>
      <c r="SYH1374" s="110"/>
      <c r="SYI1374" s="110"/>
      <c r="SYJ1374" s="110"/>
      <c r="SYK1374" s="110"/>
      <c r="SYL1374" s="110"/>
      <c r="SYM1374" s="110"/>
      <c r="SYN1374" s="110"/>
      <c r="SYO1374" s="110"/>
      <c r="SYP1374" s="110"/>
      <c r="SYQ1374" s="110"/>
      <c r="SYR1374" s="110"/>
      <c r="SYS1374" s="110"/>
      <c r="SYT1374" s="110"/>
      <c r="SYU1374" s="110"/>
      <c r="SYV1374" s="110"/>
      <c r="SYW1374" s="110"/>
      <c r="SYX1374" s="110"/>
      <c r="SYY1374" s="110"/>
      <c r="SYZ1374" s="110"/>
      <c r="SZA1374" s="110"/>
      <c r="SZB1374" s="110"/>
      <c r="SZC1374" s="110"/>
      <c r="SZD1374" s="110"/>
      <c r="SZE1374" s="110"/>
      <c r="SZF1374" s="110"/>
      <c r="SZG1374" s="110"/>
      <c r="SZH1374" s="110"/>
      <c r="SZI1374" s="110"/>
      <c r="SZJ1374" s="110"/>
      <c r="SZK1374" s="110"/>
      <c r="SZL1374" s="110"/>
      <c r="SZM1374" s="110"/>
      <c r="SZN1374" s="110"/>
      <c r="SZO1374" s="110"/>
      <c r="SZP1374" s="110"/>
      <c r="SZQ1374" s="110"/>
      <c r="SZR1374" s="110"/>
      <c r="SZS1374" s="110"/>
      <c r="SZT1374" s="110"/>
      <c r="SZU1374" s="110"/>
      <c r="SZV1374" s="110"/>
      <c r="SZW1374" s="110"/>
      <c r="SZX1374" s="110"/>
      <c r="SZY1374" s="110"/>
      <c r="SZZ1374" s="110"/>
      <c r="TAA1374" s="110"/>
      <c r="TAB1374" s="110"/>
      <c r="TAC1374" s="110"/>
      <c r="TAD1374" s="110"/>
      <c r="TAE1374" s="110"/>
      <c r="TAF1374" s="110"/>
      <c r="TAG1374" s="110"/>
      <c r="TAH1374" s="110"/>
      <c r="TAI1374" s="110"/>
      <c r="TAJ1374" s="110"/>
      <c r="TAK1374" s="110"/>
      <c r="TAL1374" s="110"/>
      <c r="TAM1374" s="110"/>
      <c r="TAN1374" s="110"/>
      <c r="TAO1374" s="110"/>
      <c r="TAP1374" s="110"/>
      <c r="TAQ1374" s="110"/>
      <c r="TAR1374" s="110"/>
      <c r="TAS1374" s="110"/>
      <c r="TAT1374" s="110"/>
      <c r="TAU1374" s="110"/>
      <c r="TAV1374" s="110"/>
      <c r="TAW1374" s="110"/>
      <c r="TAX1374" s="110"/>
      <c r="TAY1374" s="110"/>
      <c r="TAZ1374" s="110"/>
      <c r="TBA1374" s="110"/>
      <c r="TBB1374" s="110"/>
      <c r="TBC1374" s="110"/>
      <c r="TBD1374" s="110"/>
      <c r="TBE1374" s="110"/>
      <c r="TBF1374" s="110"/>
      <c r="TBG1374" s="110"/>
      <c r="TBH1374" s="110"/>
      <c r="TBI1374" s="110"/>
      <c r="TBJ1374" s="110"/>
      <c r="TBK1374" s="110"/>
      <c r="TBL1374" s="110"/>
      <c r="TBM1374" s="110"/>
      <c r="TBN1374" s="110"/>
      <c r="TBO1374" s="110"/>
      <c r="TBP1374" s="110"/>
      <c r="TBQ1374" s="110"/>
      <c r="TBR1374" s="110"/>
      <c r="TBS1374" s="110"/>
      <c r="TBT1374" s="110"/>
      <c r="TBU1374" s="110"/>
      <c r="TBV1374" s="110"/>
      <c r="TBW1374" s="110"/>
      <c r="TBX1374" s="110"/>
      <c r="TBY1374" s="110"/>
      <c r="TBZ1374" s="110"/>
      <c r="TCA1374" s="110"/>
      <c r="TCB1374" s="110"/>
      <c r="TCC1374" s="110"/>
      <c r="TCD1374" s="110"/>
      <c r="TCE1374" s="110"/>
      <c r="TCF1374" s="110"/>
      <c r="TCG1374" s="110"/>
      <c r="TCH1374" s="110"/>
      <c r="TCI1374" s="110"/>
      <c r="TCJ1374" s="110"/>
      <c r="TCK1374" s="110"/>
      <c r="TCL1374" s="110"/>
      <c r="TCM1374" s="110"/>
      <c r="TCN1374" s="110"/>
      <c r="TCO1374" s="110"/>
      <c r="TCP1374" s="110"/>
      <c r="TCQ1374" s="110"/>
      <c r="TCR1374" s="110"/>
      <c r="TCS1374" s="110"/>
      <c r="TCT1374" s="110"/>
      <c r="TCU1374" s="110"/>
      <c r="TCV1374" s="110"/>
      <c r="TCW1374" s="110"/>
      <c r="TCX1374" s="110"/>
      <c r="TCY1374" s="110"/>
      <c r="TCZ1374" s="110"/>
      <c r="TDA1374" s="110"/>
      <c r="TDB1374" s="110"/>
      <c r="TDC1374" s="110"/>
      <c r="TDD1374" s="110"/>
      <c r="TDE1374" s="110"/>
      <c r="TDF1374" s="110"/>
      <c r="TDG1374" s="110"/>
      <c r="TDH1374" s="110"/>
      <c r="TDI1374" s="110"/>
      <c r="TDJ1374" s="110"/>
      <c r="TDK1374" s="110"/>
      <c r="TDL1374" s="110"/>
      <c r="TDM1374" s="110"/>
      <c r="TDN1374" s="110"/>
      <c r="TDO1374" s="110"/>
      <c r="TDP1374" s="110"/>
      <c r="TDQ1374" s="110"/>
      <c r="TDR1374" s="110"/>
      <c r="TDS1374" s="110"/>
      <c r="TDT1374" s="110"/>
      <c r="TDU1374" s="110"/>
      <c r="TDV1374" s="110"/>
      <c r="TDW1374" s="110"/>
      <c r="TDX1374" s="110"/>
      <c r="TDY1374" s="110"/>
      <c r="TDZ1374" s="110"/>
      <c r="TEA1374" s="110"/>
      <c r="TEB1374" s="110"/>
      <c r="TEC1374" s="110"/>
      <c r="TED1374" s="110"/>
      <c r="TEE1374" s="110"/>
      <c r="TEF1374" s="110"/>
      <c r="TEG1374" s="110"/>
      <c r="TEH1374" s="110"/>
      <c r="TEI1374" s="110"/>
      <c r="TEJ1374" s="110"/>
      <c r="TEK1374" s="110"/>
      <c r="TEL1374" s="110"/>
      <c r="TEM1374" s="110"/>
      <c r="TEN1374" s="110"/>
      <c r="TEO1374" s="110"/>
      <c r="TEP1374" s="110"/>
      <c r="TEQ1374" s="110"/>
      <c r="TER1374" s="110"/>
      <c r="TES1374" s="110"/>
      <c r="TET1374" s="110"/>
      <c r="TEU1374" s="110"/>
      <c r="TEV1374" s="110"/>
      <c r="TEW1374" s="110"/>
      <c r="TEX1374" s="110"/>
      <c r="TEY1374" s="110"/>
      <c r="TEZ1374" s="110"/>
      <c r="TFA1374" s="110"/>
      <c r="TFB1374" s="110"/>
      <c r="TFC1374" s="110"/>
      <c r="TFD1374" s="110"/>
      <c r="TFE1374" s="110"/>
      <c r="TFF1374" s="110"/>
      <c r="TFG1374" s="110"/>
      <c r="TFH1374" s="110"/>
      <c r="TFI1374" s="110"/>
      <c r="TFJ1374" s="110"/>
      <c r="TFK1374" s="110"/>
      <c r="TFL1374" s="110"/>
      <c r="TFM1374" s="110"/>
      <c r="TFN1374" s="110"/>
      <c r="TFO1374" s="110"/>
      <c r="TFP1374" s="110"/>
      <c r="TFQ1374" s="110"/>
      <c r="TFR1374" s="110"/>
      <c r="TFS1374" s="110"/>
      <c r="TFT1374" s="110"/>
      <c r="TFU1374" s="110"/>
      <c r="TFV1374" s="110"/>
      <c r="TFW1374" s="110"/>
      <c r="TFX1374" s="110"/>
      <c r="TFY1374" s="110"/>
      <c r="TFZ1374" s="110"/>
      <c r="TGA1374" s="110"/>
      <c r="TGB1374" s="110"/>
      <c r="TGC1374" s="110"/>
      <c r="TGD1374" s="110"/>
      <c r="TGE1374" s="110"/>
      <c r="TGF1374" s="110"/>
      <c r="TGG1374" s="110"/>
      <c r="TGH1374" s="110"/>
      <c r="TGI1374" s="110"/>
      <c r="TGJ1374" s="110"/>
      <c r="TGK1374" s="110"/>
      <c r="TGL1374" s="110"/>
      <c r="TGM1374" s="110"/>
      <c r="TGN1374" s="110"/>
      <c r="TGO1374" s="110"/>
      <c r="TGP1374" s="110"/>
      <c r="TGQ1374" s="110"/>
      <c r="TGR1374" s="110"/>
      <c r="TGS1374" s="110"/>
      <c r="TGT1374" s="110"/>
      <c r="TGU1374" s="110"/>
      <c r="TGV1374" s="110"/>
      <c r="TGW1374" s="110"/>
      <c r="TGX1374" s="110"/>
      <c r="TGY1374" s="110"/>
      <c r="TGZ1374" s="110"/>
      <c r="THA1374" s="110"/>
      <c r="THB1374" s="110"/>
      <c r="THC1374" s="110"/>
      <c r="THD1374" s="110"/>
      <c r="THE1374" s="110"/>
      <c r="THF1374" s="110"/>
      <c r="THG1374" s="110"/>
      <c r="THH1374" s="110"/>
      <c r="THI1374" s="110"/>
      <c r="THJ1374" s="110"/>
      <c r="THK1374" s="110"/>
      <c r="THL1374" s="110"/>
      <c r="THM1374" s="110"/>
      <c r="THN1374" s="110"/>
      <c r="THO1374" s="110"/>
      <c r="THP1374" s="110"/>
      <c r="THQ1374" s="110"/>
      <c r="THR1374" s="110"/>
      <c r="THS1374" s="110"/>
      <c r="THT1374" s="110"/>
      <c r="THU1374" s="110"/>
      <c r="THV1374" s="110"/>
      <c r="THW1374" s="110"/>
      <c r="THX1374" s="110"/>
      <c r="THY1374" s="110"/>
      <c r="THZ1374" s="110"/>
      <c r="TIA1374" s="110"/>
      <c r="TIB1374" s="110"/>
      <c r="TIC1374" s="110"/>
      <c r="TID1374" s="110"/>
      <c r="TIE1374" s="110"/>
      <c r="TIF1374" s="110"/>
      <c r="TIG1374" s="110"/>
      <c r="TIH1374" s="110"/>
      <c r="TII1374" s="110"/>
      <c r="TIJ1374" s="110"/>
      <c r="TIK1374" s="110"/>
      <c r="TIL1374" s="110"/>
      <c r="TIM1374" s="110"/>
      <c r="TIN1374" s="110"/>
      <c r="TIO1374" s="110"/>
      <c r="TIP1374" s="110"/>
      <c r="TIQ1374" s="110"/>
      <c r="TIR1374" s="110"/>
      <c r="TIS1374" s="110"/>
      <c r="TIT1374" s="110"/>
      <c r="TIU1374" s="110"/>
      <c r="TIV1374" s="110"/>
      <c r="TIW1374" s="110"/>
      <c r="TIX1374" s="110"/>
      <c r="TIY1374" s="110"/>
      <c r="TIZ1374" s="110"/>
      <c r="TJA1374" s="110"/>
      <c r="TJB1374" s="110"/>
      <c r="TJC1374" s="110"/>
      <c r="TJD1374" s="110"/>
      <c r="TJE1374" s="110"/>
      <c r="TJF1374" s="110"/>
      <c r="TJG1374" s="110"/>
      <c r="TJH1374" s="110"/>
      <c r="TJI1374" s="110"/>
      <c r="TJJ1374" s="110"/>
      <c r="TJK1374" s="110"/>
      <c r="TJL1374" s="110"/>
      <c r="TJM1374" s="110"/>
      <c r="TJN1374" s="110"/>
      <c r="TJO1374" s="110"/>
      <c r="TJP1374" s="110"/>
      <c r="TJQ1374" s="110"/>
      <c r="TJR1374" s="110"/>
      <c r="TJS1374" s="110"/>
      <c r="TJT1374" s="110"/>
      <c r="TJU1374" s="110"/>
      <c r="TJV1374" s="110"/>
      <c r="TJW1374" s="110"/>
      <c r="TJX1374" s="110"/>
      <c r="TJY1374" s="110"/>
      <c r="TJZ1374" s="110"/>
      <c r="TKA1374" s="110"/>
      <c r="TKB1374" s="110"/>
      <c r="TKC1374" s="110"/>
      <c r="TKD1374" s="110"/>
      <c r="TKE1374" s="110"/>
      <c r="TKF1374" s="110"/>
      <c r="TKG1374" s="110"/>
      <c r="TKH1374" s="110"/>
      <c r="TKI1374" s="110"/>
      <c r="TKJ1374" s="110"/>
      <c r="TKK1374" s="110"/>
      <c r="TKL1374" s="110"/>
      <c r="TKM1374" s="110"/>
      <c r="TKN1374" s="110"/>
      <c r="TKO1374" s="110"/>
      <c r="TKP1374" s="110"/>
      <c r="TKQ1374" s="110"/>
      <c r="TKR1374" s="110"/>
      <c r="TKS1374" s="110"/>
      <c r="TKT1374" s="110"/>
      <c r="TKU1374" s="110"/>
      <c r="TKV1374" s="110"/>
      <c r="TKW1374" s="110"/>
      <c r="TKX1374" s="110"/>
      <c r="TKY1374" s="110"/>
      <c r="TKZ1374" s="110"/>
      <c r="TLA1374" s="110"/>
      <c r="TLB1374" s="110"/>
      <c r="TLC1374" s="110"/>
      <c r="TLD1374" s="110"/>
      <c r="TLE1374" s="110"/>
      <c r="TLF1374" s="110"/>
      <c r="TLG1374" s="110"/>
      <c r="TLH1374" s="110"/>
      <c r="TLI1374" s="110"/>
      <c r="TLJ1374" s="110"/>
      <c r="TLK1374" s="110"/>
      <c r="TLL1374" s="110"/>
      <c r="TLM1374" s="110"/>
      <c r="TLN1374" s="110"/>
      <c r="TLO1374" s="110"/>
      <c r="TLP1374" s="110"/>
      <c r="TLQ1374" s="110"/>
      <c r="TLR1374" s="110"/>
      <c r="TLS1374" s="110"/>
      <c r="TLT1374" s="110"/>
      <c r="TLU1374" s="110"/>
      <c r="TLV1374" s="110"/>
      <c r="TLW1374" s="110"/>
      <c r="TLX1374" s="110"/>
      <c r="TLY1374" s="110"/>
      <c r="TLZ1374" s="110"/>
      <c r="TMA1374" s="110"/>
      <c r="TMB1374" s="110"/>
      <c r="TMC1374" s="110"/>
      <c r="TMD1374" s="110"/>
      <c r="TME1374" s="110"/>
      <c r="TMF1374" s="110"/>
      <c r="TMG1374" s="110"/>
      <c r="TMH1374" s="110"/>
      <c r="TMI1374" s="110"/>
      <c r="TMJ1374" s="110"/>
      <c r="TMK1374" s="110"/>
      <c r="TML1374" s="110"/>
      <c r="TMM1374" s="110"/>
      <c r="TMN1374" s="110"/>
      <c r="TMO1374" s="110"/>
      <c r="TMP1374" s="110"/>
      <c r="TMQ1374" s="110"/>
      <c r="TMR1374" s="110"/>
      <c r="TMS1374" s="110"/>
      <c r="TMT1374" s="110"/>
      <c r="TMU1374" s="110"/>
      <c r="TMV1374" s="110"/>
      <c r="TMW1374" s="110"/>
      <c r="TMX1374" s="110"/>
      <c r="TMY1374" s="110"/>
      <c r="TMZ1374" s="110"/>
      <c r="TNA1374" s="110"/>
      <c r="TNB1374" s="110"/>
      <c r="TNC1374" s="110"/>
      <c r="TND1374" s="110"/>
      <c r="TNE1374" s="110"/>
      <c r="TNF1374" s="110"/>
      <c r="TNG1374" s="110"/>
      <c r="TNH1374" s="110"/>
      <c r="TNI1374" s="110"/>
      <c r="TNJ1374" s="110"/>
      <c r="TNK1374" s="110"/>
      <c r="TNL1374" s="110"/>
      <c r="TNM1374" s="110"/>
      <c r="TNN1374" s="110"/>
      <c r="TNO1374" s="110"/>
      <c r="TNP1374" s="110"/>
      <c r="TNQ1374" s="110"/>
      <c r="TNR1374" s="110"/>
      <c r="TNS1374" s="110"/>
      <c r="TNT1374" s="110"/>
      <c r="TNU1374" s="110"/>
      <c r="TNV1374" s="110"/>
      <c r="TNW1374" s="110"/>
      <c r="TNX1374" s="110"/>
      <c r="TNY1374" s="110"/>
      <c r="TNZ1374" s="110"/>
      <c r="TOA1374" s="110"/>
      <c r="TOB1374" s="110"/>
      <c r="TOC1374" s="110"/>
      <c r="TOD1374" s="110"/>
      <c r="TOE1374" s="110"/>
      <c r="TOF1374" s="110"/>
      <c r="TOG1374" s="110"/>
      <c r="TOH1374" s="110"/>
      <c r="TOI1374" s="110"/>
      <c r="TOJ1374" s="110"/>
      <c r="TOK1374" s="110"/>
      <c r="TOL1374" s="110"/>
      <c r="TOM1374" s="110"/>
      <c r="TON1374" s="110"/>
      <c r="TOO1374" s="110"/>
      <c r="TOP1374" s="110"/>
      <c r="TOQ1374" s="110"/>
      <c r="TOR1374" s="110"/>
      <c r="TOS1374" s="110"/>
      <c r="TOT1374" s="110"/>
      <c r="TOU1374" s="110"/>
      <c r="TOV1374" s="110"/>
      <c r="TOW1374" s="110"/>
      <c r="TOX1374" s="110"/>
      <c r="TOY1374" s="110"/>
      <c r="TOZ1374" s="110"/>
      <c r="TPA1374" s="110"/>
      <c r="TPB1374" s="110"/>
      <c r="TPC1374" s="110"/>
      <c r="TPD1374" s="110"/>
      <c r="TPE1374" s="110"/>
      <c r="TPF1374" s="110"/>
      <c r="TPG1374" s="110"/>
      <c r="TPH1374" s="110"/>
      <c r="TPI1374" s="110"/>
      <c r="TPJ1374" s="110"/>
      <c r="TPK1374" s="110"/>
      <c r="TPL1374" s="110"/>
      <c r="TPM1374" s="110"/>
      <c r="TPN1374" s="110"/>
      <c r="TPO1374" s="110"/>
      <c r="TPP1374" s="110"/>
      <c r="TPQ1374" s="110"/>
      <c r="TPR1374" s="110"/>
      <c r="TPS1374" s="110"/>
      <c r="TPT1374" s="110"/>
      <c r="TPU1374" s="110"/>
      <c r="TPV1374" s="110"/>
      <c r="TPW1374" s="110"/>
      <c r="TPX1374" s="110"/>
      <c r="TPY1374" s="110"/>
      <c r="TPZ1374" s="110"/>
      <c r="TQA1374" s="110"/>
      <c r="TQB1374" s="110"/>
      <c r="TQC1374" s="110"/>
      <c r="TQD1374" s="110"/>
      <c r="TQE1374" s="110"/>
      <c r="TQF1374" s="110"/>
      <c r="TQG1374" s="110"/>
      <c r="TQH1374" s="110"/>
      <c r="TQI1374" s="110"/>
      <c r="TQJ1374" s="110"/>
      <c r="TQK1374" s="110"/>
      <c r="TQL1374" s="110"/>
      <c r="TQM1374" s="110"/>
      <c r="TQN1374" s="110"/>
      <c r="TQO1374" s="110"/>
      <c r="TQP1374" s="110"/>
      <c r="TQQ1374" s="110"/>
      <c r="TQR1374" s="110"/>
      <c r="TQS1374" s="110"/>
      <c r="TQT1374" s="110"/>
      <c r="TQU1374" s="110"/>
      <c r="TQV1374" s="110"/>
      <c r="TQW1374" s="110"/>
      <c r="TQX1374" s="110"/>
      <c r="TQY1374" s="110"/>
      <c r="TQZ1374" s="110"/>
      <c r="TRA1374" s="110"/>
      <c r="TRB1374" s="110"/>
      <c r="TRC1374" s="110"/>
      <c r="TRD1374" s="110"/>
      <c r="TRE1374" s="110"/>
      <c r="TRF1374" s="110"/>
      <c r="TRG1374" s="110"/>
      <c r="TRH1374" s="110"/>
      <c r="TRI1374" s="110"/>
      <c r="TRJ1374" s="110"/>
      <c r="TRK1374" s="110"/>
      <c r="TRL1374" s="110"/>
      <c r="TRM1374" s="110"/>
      <c r="TRN1374" s="110"/>
      <c r="TRO1374" s="110"/>
      <c r="TRP1374" s="110"/>
      <c r="TRQ1374" s="110"/>
      <c r="TRR1374" s="110"/>
      <c r="TRS1374" s="110"/>
      <c r="TRT1374" s="110"/>
      <c r="TRU1374" s="110"/>
      <c r="TRV1374" s="110"/>
      <c r="TRW1374" s="110"/>
      <c r="TRX1374" s="110"/>
      <c r="TRY1374" s="110"/>
      <c r="TRZ1374" s="110"/>
      <c r="TSA1374" s="110"/>
      <c r="TSB1374" s="110"/>
      <c r="TSC1374" s="110"/>
      <c r="TSD1374" s="110"/>
      <c r="TSE1374" s="110"/>
      <c r="TSF1374" s="110"/>
      <c r="TSG1374" s="110"/>
      <c r="TSH1374" s="110"/>
      <c r="TSI1374" s="110"/>
      <c r="TSJ1374" s="110"/>
      <c r="TSK1374" s="110"/>
      <c r="TSL1374" s="110"/>
      <c r="TSM1374" s="110"/>
      <c r="TSN1374" s="110"/>
      <c r="TSO1374" s="110"/>
      <c r="TSP1374" s="110"/>
      <c r="TSQ1374" s="110"/>
      <c r="TSR1374" s="110"/>
      <c r="TSS1374" s="110"/>
      <c r="TST1374" s="110"/>
      <c r="TSU1374" s="110"/>
      <c r="TSV1374" s="110"/>
      <c r="TSW1374" s="110"/>
      <c r="TSX1374" s="110"/>
      <c r="TSY1374" s="110"/>
      <c r="TSZ1374" s="110"/>
      <c r="TTA1374" s="110"/>
      <c r="TTB1374" s="110"/>
      <c r="TTC1374" s="110"/>
      <c r="TTD1374" s="110"/>
      <c r="TTE1374" s="110"/>
      <c r="TTF1374" s="110"/>
      <c r="TTG1374" s="110"/>
      <c r="TTH1374" s="110"/>
      <c r="TTI1374" s="110"/>
      <c r="TTJ1374" s="110"/>
      <c r="TTK1374" s="110"/>
      <c r="TTL1374" s="110"/>
      <c r="TTM1374" s="110"/>
      <c r="TTN1374" s="110"/>
      <c r="TTO1374" s="110"/>
      <c r="TTP1374" s="110"/>
      <c r="TTQ1374" s="110"/>
      <c r="TTR1374" s="110"/>
      <c r="TTS1374" s="110"/>
      <c r="TTT1374" s="110"/>
      <c r="TTU1374" s="110"/>
      <c r="TTV1374" s="110"/>
      <c r="TTW1374" s="110"/>
      <c r="TTX1374" s="110"/>
      <c r="TTY1374" s="110"/>
      <c r="TTZ1374" s="110"/>
      <c r="TUA1374" s="110"/>
      <c r="TUB1374" s="110"/>
      <c r="TUC1374" s="110"/>
      <c r="TUD1374" s="110"/>
      <c r="TUE1374" s="110"/>
      <c r="TUF1374" s="110"/>
      <c r="TUG1374" s="110"/>
      <c r="TUH1374" s="110"/>
      <c r="TUI1374" s="110"/>
      <c r="TUJ1374" s="110"/>
      <c r="TUK1374" s="110"/>
      <c r="TUL1374" s="110"/>
      <c r="TUM1374" s="110"/>
      <c r="TUN1374" s="110"/>
      <c r="TUO1374" s="110"/>
      <c r="TUP1374" s="110"/>
      <c r="TUQ1374" s="110"/>
      <c r="TUR1374" s="110"/>
      <c r="TUS1374" s="110"/>
      <c r="TUT1374" s="110"/>
      <c r="TUU1374" s="110"/>
      <c r="TUV1374" s="110"/>
      <c r="TUW1374" s="110"/>
      <c r="TUX1374" s="110"/>
      <c r="TUY1374" s="110"/>
      <c r="TUZ1374" s="110"/>
      <c r="TVA1374" s="110"/>
      <c r="TVB1374" s="110"/>
      <c r="TVC1374" s="110"/>
      <c r="TVD1374" s="110"/>
      <c r="TVE1374" s="110"/>
      <c r="TVF1374" s="110"/>
      <c r="TVG1374" s="110"/>
      <c r="TVH1374" s="110"/>
      <c r="TVI1374" s="110"/>
      <c r="TVJ1374" s="110"/>
      <c r="TVK1374" s="110"/>
      <c r="TVL1374" s="110"/>
      <c r="TVM1374" s="110"/>
      <c r="TVN1374" s="110"/>
      <c r="TVO1374" s="110"/>
      <c r="TVP1374" s="110"/>
      <c r="TVQ1374" s="110"/>
      <c r="TVR1374" s="110"/>
      <c r="TVS1374" s="110"/>
      <c r="TVT1374" s="110"/>
      <c r="TVU1374" s="110"/>
      <c r="TVV1374" s="110"/>
      <c r="TVW1374" s="110"/>
      <c r="TVX1374" s="110"/>
      <c r="TVY1374" s="110"/>
      <c r="TVZ1374" s="110"/>
      <c r="TWA1374" s="110"/>
      <c r="TWB1374" s="110"/>
      <c r="TWC1374" s="110"/>
      <c r="TWD1374" s="110"/>
      <c r="TWE1374" s="110"/>
      <c r="TWF1374" s="110"/>
      <c r="TWG1374" s="110"/>
      <c r="TWH1374" s="110"/>
      <c r="TWI1374" s="110"/>
      <c r="TWJ1374" s="110"/>
      <c r="TWK1374" s="110"/>
      <c r="TWL1374" s="110"/>
      <c r="TWM1374" s="110"/>
      <c r="TWN1374" s="110"/>
      <c r="TWO1374" s="110"/>
      <c r="TWP1374" s="110"/>
      <c r="TWQ1374" s="110"/>
      <c r="TWR1374" s="110"/>
      <c r="TWS1374" s="110"/>
      <c r="TWT1374" s="110"/>
      <c r="TWU1374" s="110"/>
      <c r="TWV1374" s="110"/>
      <c r="TWW1374" s="110"/>
      <c r="TWX1374" s="110"/>
      <c r="TWY1374" s="110"/>
      <c r="TWZ1374" s="110"/>
      <c r="TXA1374" s="110"/>
      <c r="TXB1374" s="110"/>
      <c r="TXC1374" s="110"/>
      <c r="TXD1374" s="110"/>
      <c r="TXE1374" s="110"/>
      <c r="TXF1374" s="110"/>
      <c r="TXG1374" s="110"/>
      <c r="TXH1374" s="110"/>
      <c r="TXI1374" s="110"/>
      <c r="TXJ1374" s="110"/>
      <c r="TXK1374" s="110"/>
      <c r="TXL1374" s="110"/>
      <c r="TXM1374" s="110"/>
      <c r="TXN1374" s="110"/>
      <c r="TXO1374" s="110"/>
      <c r="TXP1374" s="110"/>
      <c r="TXQ1374" s="110"/>
      <c r="TXR1374" s="110"/>
      <c r="TXS1374" s="110"/>
      <c r="TXT1374" s="110"/>
      <c r="TXU1374" s="110"/>
      <c r="TXV1374" s="110"/>
      <c r="TXW1374" s="110"/>
      <c r="TXX1374" s="110"/>
      <c r="TXY1374" s="110"/>
      <c r="TXZ1374" s="110"/>
      <c r="TYA1374" s="110"/>
      <c r="TYB1374" s="110"/>
      <c r="TYC1374" s="110"/>
      <c r="TYD1374" s="110"/>
      <c r="TYE1374" s="110"/>
      <c r="TYF1374" s="110"/>
      <c r="TYG1374" s="110"/>
      <c r="TYH1374" s="110"/>
      <c r="TYI1374" s="110"/>
      <c r="TYJ1374" s="110"/>
      <c r="TYK1374" s="110"/>
      <c r="TYL1374" s="110"/>
      <c r="TYM1374" s="110"/>
      <c r="TYN1374" s="110"/>
      <c r="TYO1374" s="110"/>
      <c r="TYP1374" s="110"/>
      <c r="TYQ1374" s="110"/>
      <c r="TYR1374" s="110"/>
      <c r="TYS1374" s="110"/>
      <c r="TYT1374" s="110"/>
      <c r="TYU1374" s="110"/>
      <c r="TYV1374" s="110"/>
      <c r="TYW1374" s="110"/>
      <c r="TYX1374" s="110"/>
      <c r="TYY1374" s="110"/>
      <c r="TYZ1374" s="110"/>
      <c r="TZA1374" s="110"/>
      <c r="TZB1374" s="110"/>
      <c r="TZC1374" s="110"/>
      <c r="TZD1374" s="110"/>
      <c r="TZE1374" s="110"/>
      <c r="TZF1374" s="110"/>
      <c r="TZG1374" s="110"/>
      <c r="TZH1374" s="110"/>
      <c r="TZI1374" s="110"/>
      <c r="TZJ1374" s="110"/>
      <c r="TZK1374" s="110"/>
      <c r="TZL1374" s="110"/>
      <c r="TZM1374" s="110"/>
      <c r="TZN1374" s="110"/>
      <c r="TZO1374" s="110"/>
      <c r="TZP1374" s="110"/>
      <c r="TZQ1374" s="110"/>
      <c r="TZR1374" s="110"/>
      <c r="TZS1374" s="110"/>
      <c r="TZT1374" s="110"/>
      <c r="TZU1374" s="110"/>
      <c r="TZV1374" s="110"/>
      <c r="TZW1374" s="110"/>
      <c r="TZX1374" s="110"/>
      <c r="TZY1374" s="110"/>
      <c r="TZZ1374" s="110"/>
      <c r="UAA1374" s="110"/>
      <c r="UAB1374" s="110"/>
      <c r="UAC1374" s="110"/>
      <c r="UAD1374" s="110"/>
      <c r="UAE1374" s="110"/>
      <c r="UAF1374" s="110"/>
      <c r="UAG1374" s="110"/>
      <c r="UAH1374" s="110"/>
      <c r="UAI1374" s="110"/>
      <c r="UAJ1374" s="110"/>
      <c r="UAK1374" s="110"/>
      <c r="UAL1374" s="110"/>
      <c r="UAM1374" s="110"/>
      <c r="UAN1374" s="110"/>
      <c r="UAO1374" s="110"/>
      <c r="UAP1374" s="110"/>
      <c r="UAQ1374" s="110"/>
      <c r="UAR1374" s="110"/>
      <c r="UAS1374" s="110"/>
      <c r="UAT1374" s="110"/>
      <c r="UAU1374" s="110"/>
      <c r="UAV1374" s="110"/>
      <c r="UAW1374" s="110"/>
      <c r="UAX1374" s="110"/>
      <c r="UAY1374" s="110"/>
      <c r="UAZ1374" s="110"/>
      <c r="UBA1374" s="110"/>
      <c r="UBB1374" s="110"/>
      <c r="UBC1374" s="110"/>
      <c r="UBD1374" s="110"/>
      <c r="UBE1374" s="110"/>
      <c r="UBF1374" s="110"/>
      <c r="UBG1374" s="110"/>
      <c r="UBH1374" s="110"/>
      <c r="UBI1374" s="110"/>
      <c r="UBJ1374" s="110"/>
      <c r="UBK1374" s="110"/>
      <c r="UBL1374" s="110"/>
      <c r="UBM1374" s="110"/>
      <c r="UBN1374" s="110"/>
      <c r="UBO1374" s="110"/>
      <c r="UBP1374" s="110"/>
      <c r="UBQ1374" s="110"/>
      <c r="UBR1374" s="110"/>
      <c r="UBS1374" s="110"/>
      <c r="UBT1374" s="110"/>
      <c r="UBU1374" s="110"/>
      <c r="UBV1374" s="110"/>
      <c r="UBW1374" s="110"/>
      <c r="UBX1374" s="110"/>
      <c r="UBY1374" s="110"/>
      <c r="UBZ1374" s="110"/>
      <c r="UCA1374" s="110"/>
      <c r="UCB1374" s="110"/>
      <c r="UCC1374" s="110"/>
      <c r="UCD1374" s="110"/>
      <c r="UCE1374" s="110"/>
      <c r="UCF1374" s="110"/>
      <c r="UCG1374" s="110"/>
      <c r="UCH1374" s="110"/>
      <c r="UCI1374" s="110"/>
      <c r="UCJ1374" s="110"/>
      <c r="UCK1374" s="110"/>
      <c r="UCL1374" s="110"/>
      <c r="UCM1374" s="110"/>
      <c r="UCN1374" s="110"/>
      <c r="UCO1374" s="110"/>
      <c r="UCP1374" s="110"/>
      <c r="UCQ1374" s="110"/>
      <c r="UCR1374" s="110"/>
      <c r="UCS1374" s="110"/>
      <c r="UCT1374" s="110"/>
      <c r="UCU1374" s="110"/>
      <c r="UCV1374" s="110"/>
      <c r="UCW1374" s="110"/>
      <c r="UCX1374" s="110"/>
      <c r="UCY1374" s="110"/>
      <c r="UCZ1374" s="110"/>
      <c r="UDA1374" s="110"/>
      <c r="UDB1374" s="110"/>
      <c r="UDC1374" s="110"/>
      <c r="UDD1374" s="110"/>
      <c r="UDE1374" s="110"/>
      <c r="UDF1374" s="110"/>
      <c r="UDG1374" s="110"/>
      <c r="UDH1374" s="110"/>
      <c r="UDI1374" s="110"/>
      <c r="UDJ1374" s="110"/>
      <c r="UDK1374" s="110"/>
      <c r="UDL1374" s="110"/>
      <c r="UDM1374" s="110"/>
      <c r="UDN1374" s="110"/>
      <c r="UDO1374" s="110"/>
      <c r="UDP1374" s="110"/>
      <c r="UDQ1374" s="110"/>
      <c r="UDR1374" s="110"/>
      <c r="UDS1374" s="110"/>
      <c r="UDT1374" s="110"/>
      <c r="UDU1374" s="110"/>
      <c r="UDV1374" s="110"/>
      <c r="UDW1374" s="110"/>
      <c r="UDX1374" s="110"/>
      <c r="UDY1374" s="110"/>
      <c r="UDZ1374" s="110"/>
      <c r="UEA1374" s="110"/>
      <c r="UEB1374" s="110"/>
      <c r="UEC1374" s="110"/>
      <c r="UED1374" s="110"/>
      <c r="UEE1374" s="110"/>
      <c r="UEF1374" s="110"/>
      <c r="UEG1374" s="110"/>
      <c r="UEH1374" s="110"/>
      <c r="UEI1374" s="110"/>
      <c r="UEJ1374" s="110"/>
      <c r="UEK1374" s="110"/>
      <c r="UEL1374" s="110"/>
      <c r="UEM1374" s="110"/>
      <c r="UEN1374" s="110"/>
      <c r="UEO1374" s="110"/>
      <c r="UEP1374" s="110"/>
      <c r="UEQ1374" s="110"/>
      <c r="UER1374" s="110"/>
      <c r="UES1374" s="110"/>
      <c r="UET1374" s="110"/>
      <c r="UEU1374" s="110"/>
      <c r="UEV1374" s="110"/>
      <c r="UEW1374" s="110"/>
      <c r="UEX1374" s="110"/>
      <c r="UEY1374" s="110"/>
      <c r="UEZ1374" s="110"/>
      <c r="UFA1374" s="110"/>
      <c r="UFB1374" s="110"/>
      <c r="UFC1374" s="110"/>
      <c r="UFD1374" s="110"/>
      <c r="UFE1374" s="110"/>
      <c r="UFF1374" s="110"/>
      <c r="UFG1374" s="110"/>
      <c r="UFH1374" s="110"/>
      <c r="UFI1374" s="110"/>
      <c r="UFJ1374" s="110"/>
      <c r="UFK1374" s="110"/>
      <c r="UFL1374" s="110"/>
      <c r="UFM1374" s="110"/>
      <c r="UFN1374" s="110"/>
      <c r="UFO1374" s="110"/>
      <c r="UFP1374" s="110"/>
      <c r="UFQ1374" s="110"/>
      <c r="UFR1374" s="110"/>
      <c r="UFS1374" s="110"/>
      <c r="UFT1374" s="110"/>
      <c r="UFU1374" s="110"/>
      <c r="UFV1374" s="110"/>
      <c r="UFW1374" s="110"/>
      <c r="UFX1374" s="110"/>
      <c r="UFY1374" s="110"/>
      <c r="UFZ1374" s="110"/>
      <c r="UGA1374" s="110"/>
      <c r="UGB1374" s="110"/>
      <c r="UGC1374" s="110"/>
      <c r="UGD1374" s="110"/>
      <c r="UGE1374" s="110"/>
      <c r="UGF1374" s="110"/>
      <c r="UGG1374" s="110"/>
      <c r="UGH1374" s="110"/>
      <c r="UGI1374" s="110"/>
      <c r="UGJ1374" s="110"/>
      <c r="UGK1374" s="110"/>
      <c r="UGL1374" s="110"/>
      <c r="UGM1374" s="110"/>
      <c r="UGN1374" s="110"/>
      <c r="UGO1374" s="110"/>
      <c r="UGP1374" s="110"/>
      <c r="UGQ1374" s="110"/>
      <c r="UGR1374" s="110"/>
      <c r="UGS1374" s="110"/>
      <c r="UGT1374" s="110"/>
      <c r="UGU1374" s="110"/>
      <c r="UGV1374" s="110"/>
      <c r="UGW1374" s="110"/>
      <c r="UGX1374" s="110"/>
      <c r="UGY1374" s="110"/>
      <c r="UGZ1374" s="110"/>
      <c r="UHA1374" s="110"/>
      <c r="UHB1374" s="110"/>
      <c r="UHC1374" s="110"/>
      <c r="UHD1374" s="110"/>
      <c r="UHE1374" s="110"/>
      <c r="UHF1374" s="110"/>
      <c r="UHG1374" s="110"/>
      <c r="UHH1374" s="110"/>
      <c r="UHI1374" s="110"/>
      <c r="UHJ1374" s="110"/>
      <c r="UHK1374" s="110"/>
      <c r="UHL1374" s="110"/>
      <c r="UHM1374" s="110"/>
      <c r="UHN1374" s="110"/>
      <c r="UHO1374" s="110"/>
      <c r="UHP1374" s="110"/>
      <c r="UHQ1374" s="110"/>
      <c r="UHR1374" s="110"/>
      <c r="UHS1374" s="110"/>
      <c r="UHT1374" s="110"/>
      <c r="UHU1374" s="110"/>
      <c r="UHV1374" s="110"/>
      <c r="UHW1374" s="110"/>
      <c r="UHX1374" s="110"/>
      <c r="UHY1374" s="110"/>
      <c r="UHZ1374" s="110"/>
      <c r="UIA1374" s="110"/>
      <c r="UIB1374" s="110"/>
      <c r="UIC1374" s="110"/>
      <c r="UID1374" s="110"/>
      <c r="UIE1374" s="110"/>
      <c r="UIF1374" s="110"/>
      <c r="UIG1374" s="110"/>
      <c r="UIH1374" s="110"/>
      <c r="UII1374" s="110"/>
      <c r="UIJ1374" s="110"/>
      <c r="UIK1374" s="110"/>
      <c r="UIL1374" s="110"/>
      <c r="UIM1374" s="110"/>
      <c r="UIN1374" s="110"/>
      <c r="UIO1374" s="110"/>
      <c r="UIP1374" s="110"/>
      <c r="UIQ1374" s="110"/>
      <c r="UIR1374" s="110"/>
      <c r="UIS1374" s="110"/>
      <c r="UIT1374" s="110"/>
      <c r="UIU1374" s="110"/>
      <c r="UIV1374" s="110"/>
      <c r="UIW1374" s="110"/>
      <c r="UIX1374" s="110"/>
      <c r="UIY1374" s="110"/>
      <c r="UIZ1374" s="110"/>
      <c r="UJA1374" s="110"/>
      <c r="UJB1374" s="110"/>
      <c r="UJC1374" s="110"/>
      <c r="UJD1374" s="110"/>
      <c r="UJE1374" s="110"/>
      <c r="UJF1374" s="110"/>
      <c r="UJG1374" s="110"/>
      <c r="UJH1374" s="110"/>
      <c r="UJI1374" s="110"/>
      <c r="UJJ1374" s="110"/>
      <c r="UJK1374" s="110"/>
      <c r="UJL1374" s="110"/>
      <c r="UJM1374" s="110"/>
      <c r="UJN1374" s="110"/>
      <c r="UJO1374" s="110"/>
      <c r="UJP1374" s="110"/>
      <c r="UJQ1374" s="110"/>
      <c r="UJR1374" s="110"/>
      <c r="UJS1374" s="110"/>
      <c r="UJT1374" s="110"/>
      <c r="UJU1374" s="110"/>
      <c r="UJV1374" s="110"/>
      <c r="UJW1374" s="110"/>
      <c r="UJX1374" s="110"/>
      <c r="UJY1374" s="110"/>
      <c r="UJZ1374" s="110"/>
      <c r="UKA1374" s="110"/>
      <c r="UKB1374" s="110"/>
      <c r="UKC1374" s="110"/>
      <c r="UKD1374" s="110"/>
      <c r="UKE1374" s="110"/>
      <c r="UKF1374" s="110"/>
      <c r="UKG1374" s="110"/>
      <c r="UKH1374" s="110"/>
      <c r="UKI1374" s="110"/>
      <c r="UKJ1374" s="110"/>
      <c r="UKK1374" s="110"/>
      <c r="UKL1374" s="110"/>
      <c r="UKM1374" s="110"/>
      <c r="UKN1374" s="110"/>
      <c r="UKO1374" s="110"/>
      <c r="UKP1374" s="110"/>
      <c r="UKQ1374" s="110"/>
      <c r="UKR1374" s="110"/>
      <c r="UKS1374" s="110"/>
      <c r="UKT1374" s="110"/>
      <c r="UKU1374" s="110"/>
      <c r="UKV1374" s="110"/>
      <c r="UKW1374" s="110"/>
      <c r="UKX1374" s="110"/>
      <c r="UKY1374" s="110"/>
      <c r="UKZ1374" s="110"/>
      <c r="ULA1374" s="110"/>
      <c r="ULB1374" s="110"/>
      <c r="ULC1374" s="110"/>
      <c r="ULD1374" s="110"/>
      <c r="ULE1374" s="110"/>
      <c r="ULF1374" s="110"/>
      <c r="ULG1374" s="110"/>
      <c r="ULH1374" s="110"/>
      <c r="ULI1374" s="110"/>
      <c r="ULJ1374" s="110"/>
      <c r="ULK1374" s="110"/>
      <c r="ULL1374" s="110"/>
      <c r="ULM1374" s="110"/>
      <c r="ULN1374" s="110"/>
      <c r="ULO1374" s="110"/>
      <c r="ULP1374" s="110"/>
      <c r="ULQ1374" s="110"/>
      <c r="ULR1374" s="110"/>
      <c r="ULS1374" s="110"/>
      <c r="ULT1374" s="110"/>
      <c r="ULU1374" s="110"/>
      <c r="ULV1374" s="110"/>
      <c r="ULW1374" s="110"/>
      <c r="ULX1374" s="110"/>
      <c r="ULY1374" s="110"/>
      <c r="ULZ1374" s="110"/>
      <c r="UMA1374" s="110"/>
      <c r="UMB1374" s="110"/>
      <c r="UMC1374" s="110"/>
      <c r="UMD1374" s="110"/>
      <c r="UME1374" s="110"/>
      <c r="UMF1374" s="110"/>
      <c r="UMG1374" s="110"/>
      <c r="UMH1374" s="110"/>
      <c r="UMI1374" s="110"/>
      <c r="UMJ1374" s="110"/>
      <c r="UMK1374" s="110"/>
      <c r="UML1374" s="110"/>
      <c r="UMM1374" s="110"/>
      <c r="UMN1374" s="110"/>
      <c r="UMO1374" s="110"/>
      <c r="UMP1374" s="110"/>
      <c r="UMQ1374" s="110"/>
      <c r="UMR1374" s="110"/>
      <c r="UMS1374" s="110"/>
      <c r="UMT1374" s="110"/>
      <c r="UMU1374" s="110"/>
      <c r="UMV1374" s="110"/>
      <c r="UMW1374" s="110"/>
      <c r="UMX1374" s="110"/>
      <c r="UMY1374" s="110"/>
      <c r="UMZ1374" s="110"/>
      <c r="UNA1374" s="110"/>
      <c r="UNB1374" s="110"/>
      <c r="UNC1374" s="110"/>
      <c r="UND1374" s="110"/>
      <c r="UNE1374" s="110"/>
      <c r="UNF1374" s="110"/>
      <c r="UNG1374" s="110"/>
      <c r="UNH1374" s="110"/>
      <c r="UNI1374" s="110"/>
      <c r="UNJ1374" s="110"/>
      <c r="UNK1374" s="110"/>
      <c r="UNL1374" s="110"/>
      <c r="UNM1374" s="110"/>
      <c r="UNN1374" s="110"/>
      <c r="UNO1374" s="110"/>
      <c r="UNP1374" s="110"/>
      <c r="UNQ1374" s="110"/>
      <c r="UNR1374" s="110"/>
      <c r="UNS1374" s="110"/>
      <c r="UNT1374" s="110"/>
      <c r="UNU1374" s="110"/>
      <c r="UNV1374" s="110"/>
      <c r="UNW1374" s="110"/>
      <c r="UNX1374" s="110"/>
      <c r="UNY1374" s="110"/>
      <c r="UNZ1374" s="110"/>
      <c r="UOA1374" s="110"/>
      <c r="UOB1374" s="110"/>
      <c r="UOC1374" s="110"/>
      <c r="UOD1374" s="110"/>
      <c r="UOE1374" s="110"/>
      <c r="UOF1374" s="110"/>
      <c r="UOG1374" s="110"/>
      <c r="UOH1374" s="110"/>
      <c r="UOI1374" s="110"/>
      <c r="UOJ1374" s="110"/>
      <c r="UOK1374" s="110"/>
      <c r="UOL1374" s="110"/>
      <c r="UOM1374" s="110"/>
      <c r="UON1374" s="110"/>
      <c r="UOO1374" s="110"/>
      <c r="UOP1374" s="110"/>
      <c r="UOQ1374" s="110"/>
      <c r="UOR1374" s="110"/>
      <c r="UOS1374" s="110"/>
      <c r="UOT1374" s="110"/>
      <c r="UOU1374" s="110"/>
      <c r="UOV1374" s="110"/>
      <c r="UOW1374" s="110"/>
      <c r="UOX1374" s="110"/>
      <c r="UOY1374" s="110"/>
      <c r="UOZ1374" s="110"/>
      <c r="UPA1374" s="110"/>
      <c r="UPB1374" s="110"/>
      <c r="UPC1374" s="110"/>
      <c r="UPD1374" s="110"/>
      <c r="UPE1374" s="110"/>
      <c r="UPF1374" s="110"/>
      <c r="UPG1374" s="110"/>
      <c r="UPH1374" s="110"/>
      <c r="UPI1374" s="110"/>
      <c r="UPJ1374" s="110"/>
      <c r="UPK1374" s="110"/>
      <c r="UPL1374" s="110"/>
      <c r="UPM1374" s="110"/>
      <c r="UPN1374" s="110"/>
      <c r="UPO1374" s="110"/>
      <c r="UPP1374" s="110"/>
      <c r="UPQ1374" s="110"/>
      <c r="UPR1374" s="110"/>
      <c r="UPS1374" s="110"/>
      <c r="UPT1374" s="110"/>
      <c r="UPU1374" s="110"/>
      <c r="UPV1374" s="110"/>
      <c r="UPW1374" s="110"/>
      <c r="UPX1374" s="110"/>
      <c r="UPY1374" s="110"/>
      <c r="UPZ1374" s="110"/>
      <c r="UQA1374" s="110"/>
      <c r="UQB1374" s="110"/>
      <c r="UQC1374" s="110"/>
      <c r="UQD1374" s="110"/>
      <c r="UQE1374" s="110"/>
      <c r="UQF1374" s="110"/>
      <c r="UQG1374" s="110"/>
      <c r="UQH1374" s="110"/>
      <c r="UQI1374" s="110"/>
      <c r="UQJ1374" s="110"/>
      <c r="UQK1374" s="110"/>
      <c r="UQL1374" s="110"/>
      <c r="UQM1374" s="110"/>
      <c r="UQN1374" s="110"/>
      <c r="UQO1374" s="110"/>
      <c r="UQP1374" s="110"/>
      <c r="UQQ1374" s="110"/>
      <c r="UQR1374" s="110"/>
      <c r="UQS1374" s="110"/>
      <c r="UQT1374" s="110"/>
      <c r="UQU1374" s="110"/>
      <c r="UQV1374" s="110"/>
      <c r="UQW1374" s="110"/>
      <c r="UQX1374" s="110"/>
      <c r="UQY1374" s="110"/>
      <c r="UQZ1374" s="110"/>
      <c r="URA1374" s="110"/>
      <c r="URB1374" s="110"/>
      <c r="URC1374" s="110"/>
      <c r="URD1374" s="110"/>
      <c r="URE1374" s="110"/>
      <c r="URF1374" s="110"/>
      <c r="URG1374" s="110"/>
      <c r="URH1374" s="110"/>
      <c r="URI1374" s="110"/>
      <c r="URJ1374" s="110"/>
      <c r="URK1374" s="110"/>
      <c r="URL1374" s="110"/>
      <c r="URM1374" s="110"/>
      <c r="URN1374" s="110"/>
      <c r="URO1374" s="110"/>
      <c r="URP1374" s="110"/>
      <c r="URQ1374" s="110"/>
      <c r="URR1374" s="110"/>
      <c r="URS1374" s="110"/>
      <c r="URT1374" s="110"/>
      <c r="URU1374" s="110"/>
      <c r="URV1374" s="110"/>
      <c r="URW1374" s="110"/>
      <c r="URX1374" s="110"/>
      <c r="URY1374" s="110"/>
      <c r="URZ1374" s="110"/>
      <c r="USA1374" s="110"/>
      <c r="USB1374" s="110"/>
      <c r="USC1374" s="110"/>
      <c r="USD1374" s="110"/>
      <c r="USE1374" s="110"/>
      <c r="USF1374" s="110"/>
      <c r="USG1374" s="110"/>
      <c r="USH1374" s="110"/>
      <c r="USI1374" s="110"/>
      <c r="USJ1374" s="110"/>
      <c r="USK1374" s="110"/>
      <c r="USL1374" s="110"/>
      <c r="USM1374" s="110"/>
      <c r="USN1374" s="110"/>
      <c r="USO1374" s="110"/>
      <c r="USP1374" s="110"/>
      <c r="USQ1374" s="110"/>
      <c r="USR1374" s="110"/>
      <c r="USS1374" s="110"/>
      <c r="UST1374" s="110"/>
      <c r="USU1374" s="110"/>
      <c r="USV1374" s="110"/>
      <c r="USW1374" s="110"/>
      <c r="USX1374" s="110"/>
      <c r="USY1374" s="110"/>
      <c r="USZ1374" s="110"/>
      <c r="UTA1374" s="110"/>
      <c r="UTB1374" s="110"/>
      <c r="UTC1374" s="110"/>
      <c r="UTD1374" s="110"/>
      <c r="UTE1374" s="110"/>
      <c r="UTF1374" s="110"/>
      <c r="UTG1374" s="110"/>
      <c r="UTH1374" s="110"/>
      <c r="UTI1374" s="110"/>
      <c r="UTJ1374" s="110"/>
      <c r="UTK1374" s="110"/>
      <c r="UTL1374" s="110"/>
      <c r="UTM1374" s="110"/>
      <c r="UTN1374" s="110"/>
      <c r="UTO1374" s="110"/>
      <c r="UTP1374" s="110"/>
      <c r="UTQ1374" s="110"/>
      <c r="UTR1374" s="110"/>
      <c r="UTS1374" s="110"/>
      <c r="UTT1374" s="110"/>
      <c r="UTU1374" s="110"/>
      <c r="UTV1374" s="110"/>
      <c r="UTW1374" s="110"/>
      <c r="UTX1374" s="110"/>
      <c r="UTY1374" s="110"/>
      <c r="UTZ1374" s="110"/>
      <c r="UUA1374" s="110"/>
      <c r="UUB1374" s="110"/>
      <c r="UUC1374" s="110"/>
      <c r="UUD1374" s="110"/>
      <c r="UUE1374" s="110"/>
      <c r="UUF1374" s="110"/>
      <c r="UUG1374" s="110"/>
      <c r="UUH1374" s="110"/>
      <c r="UUI1374" s="110"/>
      <c r="UUJ1374" s="110"/>
      <c r="UUK1374" s="110"/>
      <c r="UUL1374" s="110"/>
      <c r="UUM1374" s="110"/>
      <c r="UUN1374" s="110"/>
      <c r="UUO1374" s="110"/>
      <c r="UUP1374" s="110"/>
      <c r="UUQ1374" s="110"/>
      <c r="UUR1374" s="110"/>
      <c r="UUS1374" s="110"/>
      <c r="UUT1374" s="110"/>
      <c r="UUU1374" s="110"/>
      <c r="UUV1374" s="110"/>
      <c r="UUW1374" s="110"/>
      <c r="UUX1374" s="110"/>
      <c r="UUY1374" s="110"/>
      <c r="UUZ1374" s="110"/>
      <c r="UVA1374" s="110"/>
      <c r="UVB1374" s="110"/>
      <c r="UVC1374" s="110"/>
      <c r="UVD1374" s="110"/>
      <c r="UVE1374" s="110"/>
      <c r="UVF1374" s="110"/>
      <c r="UVG1374" s="110"/>
      <c r="UVH1374" s="110"/>
      <c r="UVI1374" s="110"/>
      <c r="UVJ1374" s="110"/>
      <c r="UVK1374" s="110"/>
      <c r="UVL1374" s="110"/>
      <c r="UVM1374" s="110"/>
      <c r="UVN1374" s="110"/>
      <c r="UVO1374" s="110"/>
      <c r="UVP1374" s="110"/>
      <c r="UVQ1374" s="110"/>
      <c r="UVR1374" s="110"/>
      <c r="UVS1374" s="110"/>
      <c r="UVT1374" s="110"/>
      <c r="UVU1374" s="110"/>
      <c r="UVV1374" s="110"/>
      <c r="UVW1374" s="110"/>
      <c r="UVX1374" s="110"/>
      <c r="UVY1374" s="110"/>
      <c r="UVZ1374" s="110"/>
      <c r="UWA1374" s="110"/>
      <c r="UWB1374" s="110"/>
      <c r="UWC1374" s="110"/>
      <c r="UWD1374" s="110"/>
      <c r="UWE1374" s="110"/>
      <c r="UWF1374" s="110"/>
      <c r="UWG1374" s="110"/>
      <c r="UWH1374" s="110"/>
      <c r="UWI1374" s="110"/>
      <c r="UWJ1374" s="110"/>
      <c r="UWK1374" s="110"/>
      <c r="UWL1374" s="110"/>
      <c r="UWM1374" s="110"/>
      <c r="UWN1374" s="110"/>
      <c r="UWO1374" s="110"/>
      <c r="UWP1374" s="110"/>
      <c r="UWQ1374" s="110"/>
      <c r="UWR1374" s="110"/>
      <c r="UWS1374" s="110"/>
      <c r="UWT1374" s="110"/>
      <c r="UWU1374" s="110"/>
      <c r="UWV1374" s="110"/>
      <c r="UWW1374" s="110"/>
      <c r="UWX1374" s="110"/>
      <c r="UWY1374" s="110"/>
      <c r="UWZ1374" s="110"/>
      <c r="UXA1374" s="110"/>
      <c r="UXB1374" s="110"/>
      <c r="UXC1374" s="110"/>
      <c r="UXD1374" s="110"/>
      <c r="UXE1374" s="110"/>
      <c r="UXF1374" s="110"/>
      <c r="UXG1374" s="110"/>
      <c r="UXH1374" s="110"/>
      <c r="UXI1374" s="110"/>
      <c r="UXJ1374" s="110"/>
      <c r="UXK1374" s="110"/>
      <c r="UXL1374" s="110"/>
      <c r="UXM1374" s="110"/>
      <c r="UXN1374" s="110"/>
      <c r="UXO1374" s="110"/>
      <c r="UXP1374" s="110"/>
      <c r="UXQ1374" s="110"/>
      <c r="UXR1374" s="110"/>
      <c r="UXS1374" s="110"/>
      <c r="UXT1374" s="110"/>
      <c r="UXU1374" s="110"/>
      <c r="UXV1374" s="110"/>
      <c r="UXW1374" s="110"/>
      <c r="UXX1374" s="110"/>
      <c r="UXY1374" s="110"/>
      <c r="UXZ1374" s="110"/>
      <c r="UYA1374" s="110"/>
      <c r="UYB1374" s="110"/>
      <c r="UYC1374" s="110"/>
      <c r="UYD1374" s="110"/>
      <c r="UYE1374" s="110"/>
      <c r="UYF1374" s="110"/>
      <c r="UYG1374" s="110"/>
      <c r="UYH1374" s="110"/>
      <c r="UYI1374" s="110"/>
      <c r="UYJ1374" s="110"/>
      <c r="UYK1374" s="110"/>
      <c r="UYL1374" s="110"/>
      <c r="UYM1374" s="110"/>
      <c r="UYN1374" s="110"/>
      <c r="UYO1374" s="110"/>
      <c r="UYP1374" s="110"/>
      <c r="UYQ1374" s="110"/>
      <c r="UYR1374" s="110"/>
      <c r="UYS1374" s="110"/>
      <c r="UYT1374" s="110"/>
      <c r="UYU1374" s="110"/>
      <c r="UYV1374" s="110"/>
      <c r="UYW1374" s="110"/>
      <c r="UYX1374" s="110"/>
      <c r="UYY1374" s="110"/>
      <c r="UYZ1374" s="110"/>
      <c r="UZA1374" s="110"/>
      <c r="UZB1374" s="110"/>
      <c r="UZC1374" s="110"/>
      <c r="UZD1374" s="110"/>
      <c r="UZE1374" s="110"/>
      <c r="UZF1374" s="110"/>
      <c r="UZG1374" s="110"/>
      <c r="UZH1374" s="110"/>
      <c r="UZI1374" s="110"/>
      <c r="UZJ1374" s="110"/>
      <c r="UZK1374" s="110"/>
      <c r="UZL1374" s="110"/>
      <c r="UZM1374" s="110"/>
      <c r="UZN1374" s="110"/>
      <c r="UZO1374" s="110"/>
      <c r="UZP1374" s="110"/>
      <c r="UZQ1374" s="110"/>
      <c r="UZR1374" s="110"/>
      <c r="UZS1374" s="110"/>
      <c r="UZT1374" s="110"/>
      <c r="UZU1374" s="110"/>
      <c r="UZV1374" s="110"/>
      <c r="UZW1374" s="110"/>
      <c r="UZX1374" s="110"/>
      <c r="UZY1374" s="110"/>
      <c r="UZZ1374" s="110"/>
      <c r="VAA1374" s="110"/>
      <c r="VAB1374" s="110"/>
      <c r="VAC1374" s="110"/>
      <c r="VAD1374" s="110"/>
      <c r="VAE1374" s="110"/>
      <c r="VAF1374" s="110"/>
      <c r="VAG1374" s="110"/>
      <c r="VAH1374" s="110"/>
      <c r="VAI1374" s="110"/>
      <c r="VAJ1374" s="110"/>
      <c r="VAK1374" s="110"/>
      <c r="VAL1374" s="110"/>
      <c r="VAM1374" s="110"/>
      <c r="VAN1374" s="110"/>
      <c r="VAO1374" s="110"/>
      <c r="VAP1374" s="110"/>
      <c r="VAQ1374" s="110"/>
      <c r="VAR1374" s="110"/>
      <c r="VAS1374" s="110"/>
      <c r="VAT1374" s="110"/>
      <c r="VAU1374" s="110"/>
      <c r="VAV1374" s="110"/>
      <c r="VAW1374" s="110"/>
      <c r="VAX1374" s="110"/>
      <c r="VAY1374" s="110"/>
      <c r="VAZ1374" s="110"/>
      <c r="VBA1374" s="110"/>
      <c r="VBB1374" s="110"/>
      <c r="VBC1374" s="110"/>
      <c r="VBD1374" s="110"/>
      <c r="VBE1374" s="110"/>
      <c r="VBF1374" s="110"/>
      <c r="VBG1374" s="110"/>
      <c r="VBH1374" s="110"/>
      <c r="VBI1374" s="110"/>
      <c r="VBJ1374" s="110"/>
      <c r="VBK1374" s="110"/>
      <c r="VBL1374" s="110"/>
      <c r="VBM1374" s="110"/>
      <c r="VBN1374" s="110"/>
      <c r="VBO1374" s="110"/>
      <c r="VBP1374" s="110"/>
      <c r="VBQ1374" s="110"/>
      <c r="VBR1374" s="110"/>
      <c r="VBS1374" s="110"/>
      <c r="VBT1374" s="110"/>
      <c r="VBU1374" s="110"/>
      <c r="VBV1374" s="110"/>
      <c r="VBW1374" s="110"/>
      <c r="VBX1374" s="110"/>
      <c r="VBY1374" s="110"/>
      <c r="VBZ1374" s="110"/>
      <c r="VCA1374" s="110"/>
      <c r="VCB1374" s="110"/>
      <c r="VCC1374" s="110"/>
      <c r="VCD1374" s="110"/>
      <c r="VCE1374" s="110"/>
      <c r="VCF1374" s="110"/>
      <c r="VCG1374" s="110"/>
      <c r="VCH1374" s="110"/>
      <c r="VCI1374" s="110"/>
      <c r="VCJ1374" s="110"/>
      <c r="VCK1374" s="110"/>
      <c r="VCL1374" s="110"/>
      <c r="VCM1374" s="110"/>
      <c r="VCN1374" s="110"/>
      <c r="VCO1374" s="110"/>
      <c r="VCP1374" s="110"/>
      <c r="VCQ1374" s="110"/>
      <c r="VCR1374" s="110"/>
      <c r="VCS1374" s="110"/>
      <c r="VCT1374" s="110"/>
      <c r="VCU1374" s="110"/>
      <c r="VCV1374" s="110"/>
      <c r="VCW1374" s="110"/>
      <c r="VCX1374" s="110"/>
      <c r="VCY1374" s="110"/>
      <c r="VCZ1374" s="110"/>
      <c r="VDA1374" s="110"/>
      <c r="VDB1374" s="110"/>
      <c r="VDC1374" s="110"/>
      <c r="VDD1374" s="110"/>
      <c r="VDE1374" s="110"/>
      <c r="VDF1374" s="110"/>
      <c r="VDG1374" s="110"/>
      <c r="VDH1374" s="110"/>
      <c r="VDI1374" s="110"/>
      <c r="VDJ1374" s="110"/>
      <c r="VDK1374" s="110"/>
      <c r="VDL1374" s="110"/>
      <c r="VDM1374" s="110"/>
      <c r="VDN1374" s="110"/>
      <c r="VDO1374" s="110"/>
      <c r="VDP1374" s="110"/>
      <c r="VDQ1374" s="110"/>
      <c r="VDR1374" s="110"/>
      <c r="VDS1374" s="110"/>
      <c r="VDT1374" s="110"/>
      <c r="VDU1374" s="110"/>
      <c r="VDV1374" s="110"/>
      <c r="VDW1374" s="110"/>
      <c r="VDX1374" s="110"/>
      <c r="VDY1374" s="110"/>
      <c r="VDZ1374" s="110"/>
      <c r="VEA1374" s="110"/>
      <c r="VEB1374" s="110"/>
      <c r="VEC1374" s="110"/>
      <c r="VED1374" s="110"/>
      <c r="VEE1374" s="110"/>
      <c r="VEF1374" s="110"/>
      <c r="VEG1374" s="110"/>
      <c r="VEH1374" s="110"/>
      <c r="VEI1374" s="110"/>
      <c r="VEJ1374" s="110"/>
      <c r="VEK1374" s="110"/>
      <c r="VEL1374" s="110"/>
      <c r="VEM1374" s="110"/>
      <c r="VEN1374" s="110"/>
      <c r="VEO1374" s="110"/>
      <c r="VEP1374" s="110"/>
      <c r="VEQ1374" s="110"/>
      <c r="VER1374" s="110"/>
      <c r="VES1374" s="110"/>
      <c r="VET1374" s="110"/>
      <c r="VEU1374" s="110"/>
      <c r="VEV1374" s="110"/>
      <c r="VEW1374" s="110"/>
      <c r="VEX1374" s="110"/>
      <c r="VEY1374" s="110"/>
      <c r="VEZ1374" s="110"/>
      <c r="VFA1374" s="110"/>
      <c r="VFB1374" s="110"/>
      <c r="VFC1374" s="110"/>
      <c r="VFD1374" s="110"/>
      <c r="VFE1374" s="110"/>
      <c r="VFF1374" s="110"/>
      <c r="VFG1374" s="110"/>
      <c r="VFH1374" s="110"/>
      <c r="VFI1374" s="110"/>
      <c r="VFJ1374" s="110"/>
      <c r="VFK1374" s="110"/>
      <c r="VFL1374" s="110"/>
      <c r="VFM1374" s="110"/>
      <c r="VFN1374" s="110"/>
      <c r="VFO1374" s="110"/>
      <c r="VFP1374" s="110"/>
      <c r="VFQ1374" s="110"/>
      <c r="VFR1374" s="110"/>
      <c r="VFS1374" s="110"/>
      <c r="VFT1374" s="110"/>
      <c r="VFU1374" s="110"/>
      <c r="VFV1374" s="110"/>
      <c r="VFW1374" s="110"/>
      <c r="VFX1374" s="110"/>
      <c r="VFY1374" s="110"/>
      <c r="VFZ1374" s="110"/>
      <c r="VGA1374" s="110"/>
      <c r="VGB1374" s="110"/>
      <c r="VGC1374" s="110"/>
      <c r="VGD1374" s="110"/>
      <c r="VGE1374" s="110"/>
      <c r="VGF1374" s="110"/>
      <c r="VGG1374" s="110"/>
      <c r="VGH1374" s="110"/>
      <c r="VGI1374" s="110"/>
      <c r="VGJ1374" s="110"/>
      <c r="VGK1374" s="110"/>
      <c r="VGL1374" s="110"/>
      <c r="VGM1374" s="110"/>
      <c r="VGN1374" s="110"/>
      <c r="VGO1374" s="110"/>
      <c r="VGP1374" s="110"/>
      <c r="VGQ1374" s="110"/>
      <c r="VGR1374" s="110"/>
      <c r="VGS1374" s="110"/>
      <c r="VGT1374" s="110"/>
      <c r="VGU1374" s="110"/>
      <c r="VGV1374" s="110"/>
      <c r="VGW1374" s="110"/>
      <c r="VGX1374" s="110"/>
      <c r="VGY1374" s="110"/>
      <c r="VGZ1374" s="110"/>
      <c r="VHA1374" s="110"/>
      <c r="VHB1374" s="110"/>
      <c r="VHC1374" s="110"/>
      <c r="VHD1374" s="110"/>
      <c r="VHE1374" s="110"/>
      <c r="VHF1374" s="110"/>
      <c r="VHG1374" s="110"/>
      <c r="VHH1374" s="110"/>
      <c r="VHI1374" s="110"/>
      <c r="VHJ1374" s="110"/>
      <c r="VHK1374" s="110"/>
      <c r="VHL1374" s="110"/>
      <c r="VHM1374" s="110"/>
      <c r="VHN1374" s="110"/>
      <c r="VHO1374" s="110"/>
      <c r="VHP1374" s="110"/>
      <c r="VHQ1374" s="110"/>
      <c r="VHR1374" s="110"/>
      <c r="VHS1374" s="110"/>
      <c r="VHT1374" s="110"/>
      <c r="VHU1374" s="110"/>
      <c r="VHV1374" s="110"/>
      <c r="VHW1374" s="110"/>
      <c r="VHX1374" s="110"/>
      <c r="VHY1374" s="110"/>
      <c r="VHZ1374" s="110"/>
      <c r="VIA1374" s="110"/>
      <c r="VIB1374" s="110"/>
      <c r="VIC1374" s="110"/>
      <c r="VID1374" s="110"/>
      <c r="VIE1374" s="110"/>
      <c r="VIF1374" s="110"/>
      <c r="VIG1374" s="110"/>
      <c r="VIH1374" s="110"/>
      <c r="VII1374" s="110"/>
      <c r="VIJ1374" s="110"/>
      <c r="VIK1374" s="110"/>
      <c r="VIL1374" s="110"/>
      <c r="VIM1374" s="110"/>
      <c r="VIN1374" s="110"/>
      <c r="VIO1374" s="110"/>
      <c r="VIP1374" s="110"/>
      <c r="VIQ1374" s="110"/>
      <c r="VIR1374" s="110"/>
      <c r="VIS1374" s="110"/>
      <c r="VIT1374" s="110"/>
      <c r="VIU1374" s="110"/>
      <c r="VIV1374" s="110"/>
      <c r="VIW1374" s="110"/>
      <c r="VIX1374" s="110"/>
      <c r="VIY1374" s="110"/>
      <c r="VIZ1374" s="110"/>
      <c r="VJA1374" s="110"/>
      <c r="VJB1374" s="110"/>
      <c r="VJC1374" s="110"/>
      <c r="VJD1374" s="110"/>
      <c r="VJE1374" s="110"/>
      <c r="VJF1374" s="110"/>
      <c r="VJG1374" s="110"/>
      <c r="VJH1374" s="110"/>
      <c r="VJI1374" s="110"/>
      <c r="VJJ1374" s="110"/>
      <c r="VJK1374" s="110"/>
      <c r="VJL1374" s="110"/>
      <c r="VJM1374" s="110"/>
      <c r="VJN1374" s="110"/>
      <c r="VJO1374" s="110"/>
      <c r="VJP1374" s="110"/>
      <c r="VJQ1374" s="110"/>
      <c r="VJR1374" s="110"/>
      <c r="VJS1374" s="110"/>
      <c r="VJT1374" s="110"/>
      <c r="VJU1374" s="110"/>
      <c r="VJV1374" s="110"/>
      <c r="VJW1374" s="110"/>
      <c r="VJX1374" s="110"/>
      <c r="VJY1374" s="110"/>
      <c r="VJZ1374" s="110"/>
      <c r="VKA1374" s="110"/>
      <c r="VKB1374" s="110"/>
      <c r="VKC1374" s="110"/>
      <c r="VKD1374" s="110"/>
      <c r="VKE1374" s="110"/>
      <c r="VKF1374" s="110"/>
      <c r="VKG1374" s="110"/>
      <c r="VKH1374" s="110"/>
      <c r="VKI1374" s="110"/>
      <c r="VKJ1374" s="110"/>
      <c r="VKK1374" s="110"/>
      <c r="VKL1374" s="110"/>
      <c r="VKM1374" s="110"/>
      <c r="VKN1374" s="110"/>
      <c r="VKO1374" s="110"/>
      <c r="VKP1374" s="110"/>
      <c r="VKQ1374" s="110"/>
      <c r="VKR1374" s="110"/>
      <c r="VKS1374" s="110"/>
      <c r="VKT1374" s="110"/>
      <c r="VKU1374" s="110"/>
      <c r="VKV1374" s="110"/>
      <c r="VKW1374" s="110"/>
      <c r="VKX1374" s="110"/>
      <c r="VKY1374" s="110"/>
      <c r="VKZ1374" s="110"/>
      <c r="VLA1374" s="110"/>
      <c r="VLB1374" s="110"/>
      <c r="VLC1374" s="110"/>
      <c r="VLD1374" s="110"/>
      <c r="VLE1374" s="110"/>
      <c r="VLF1374" s="110"/>
      <c r="VLG1374" s="110"/>
      <c r="VLH1374" s="110"/>
      <c r="VLI1374" s="110"/>
      <c r="VLJ1374" s="110"/>
      <c r="VLK1374" s="110"/>
      <c r="VLL1374" s="110"/>
      <c r="VLM1374" s="110"/>
      <c r="VLN1374" s="110"/>
      <c r="VLO1374" s="110"/>
      <c r="VLP1374" s="110"/>
      <c r="VLQ1374" s="110"/>
      <c r="VLR1374" s="110"/>
      <c r="VLS1374" s="110"/>
      <c r="VLT1374" s="110"/>
      <c r="VLU1374" s="110"/>
      <c r="VLV1374" s="110"/>
      <c r="VLW1374" s="110"/>
      <c r="VLX1374" s="110"/>
      <c r="VLY1374" s="110"/>
      <c r="VLZ1374" s="110"/>
      <c r="VMA1374" s="110"/>
      <c r="VMB1374" s="110"/>
      <c r="VMC1374" s="110"/>
      <c r="VMD1374" s="110"/>
      <c r="VME1374" s="110"/>
      <c r="VMF1374" s="110"/>
      <c r="VMG1374" s="110"/>
      <c r="VMH1374" s="110"/>
      <c r="VMI1374" s="110"/>
      <c r="VMJ1374" s="110"/>
      <c r="VMK1374" s="110"/>
      <c r="VML1374" s="110"/>
      <c r="VMM1374" s="110"/>
      <c r="VMN1374" s="110"/>
      <c r="VMO1374" s="110"/>
      <c r="VMP1374" s="110"/>
      <c r="VMQ1374" s="110"/>
      <c r="VMR1374" s="110"/>
      <c r="VMS1374" s="110"/>
      <c r="VMT1374" s="110"/>
      <c r="VMU1374" s="110"/>
      <c r="VMV1374" s="110"/>
      <c r="VMW1374" s="110"/>
      <c r="VMX1374" s="110"/>
      <c r="VMY1374" s="110"/>
      <c r="VMZ1374" s="110"/>
      <c r="VNA1374" s="110"/>
      <c r="VNB1374" s="110"/>
      <c r="VNC1374" s="110"/>
      <c r="VND1374" s="110"/>
      <c r="VNE1374" s="110"/>
      <c r="VNF1374" s="110"/>
      <c r="VNG1374" s="110"/>
      <c r="VNH1374" s="110"/>
      <c r="VNI1374" s="110"/>
      <c r="VNJ1374" s="110"/>
      <c r="VNK1374" s="110"/>
      <c r="VNL1374" s="110"/>
      <c r="VNM1374" s="110"/>
      <c r="VNN1374" s="110"/>
      <c r="VNO1374" s="110"/>
      <c r="VNP1374" s="110"/>
      <c r="VNQ1374" s="110"/>
      <c r="VNR1374" s="110"/>
      <c r="VNS1374" s="110"/>
      <c r="VNT1374" s="110"/>
      <c r="VNU1374" s="110"/>
      <c r="VNV1374" s="110"/>
      <c r="VNW1374" s="110"/>
      <c r="VNX1374" s="110"/>
      <c r="VNY1374" s="110"/>
      <c r="VNZ1374" s="110"/>
      <c r="VOA1374" s="110"/>
      <c r="VOB1374" s="110"/>
      <c r="VOC1374" s="110"/>
      <c r="VOD1374" s="110"/>
      <c r="VOE1374" s="110"/>
      <c r="VOF1374" s="110"/>
      <c r="VOG1374" s="110"/>
      <c r="VOH1374" s="110"/>
      <c r="VOI1374" s="110"/>
      <c r="VOJ1374" s="110"/>
      <c r="VOK1374" s="110"/>
      <c r="VOL1374" s="110"/>
      <c r="VOM1374" s="110"/>
      <c r="VON1374" s="110"/>
      <c r="VOO1374" s="110"/>
      <c r="VOP1374" s="110"/>
      <c r="VOQ1374" s="110"/>
      <c r="VOR1374" s="110"/>
      <c r="VOS1374" s="110"/>
      <c r="VOT1374" s="110"/>
      <c r="VOU1374" s="110"/>
      <c r="VOV1374" s="110"/>
      <c r="VOW1374" s="110"/>
      <c r="VOX1374" s="110"/>
      <c r="VOY1374" s="110"/>
      <c r="VOZ1374" s="110"/>
      <c r="VPA1374" s="110"/>
      <c r="VPB1374" s="110"/>
      <c r="VPC1374" s="110"/>
      <c r="VPD1374" s="110"/>
      <c r="VPE1374" s="110"/>
      <c r="VPF1374" s="110"/>
      <c r="VPG1374" s="110"/>
      <c r="VPH1374" s="110"/>
      <c r="VPI1374" s="110"/>
      <c r="VPJ1374" s="110"/>
      <c r="VPK1374" s="110"/>
      <c r="VPL1374" s="110"/>
      <c r="VPM1374" s="110"/>
      <c r="VPN1374" s="110"/>
      <c r="VPO1374" s="110"/>
      <c r="VPP1374" s="110"/>
      <c r="VPQ1374" s="110"/>
      <c r="VPR1374" s="110"/>
      <c r="VPS1374" s="110"/>
      <c r="VPT1374" s="110"/>
      <c r="VPU1374" s="110"/>
      <c r="VPV1374" s="110"/>
      <c r="VPW1374" s="110"/>
      <c r="VPX1374" s="110"/>
      <c r="VPY1374" s="110"/>
      <c r="VPZ1374" s="110"/>
      <c r="VQA1374" s="110"/>
      <c r="VQB1374" s="110"/>
      <c r="VQC1374" s="110"/>
      <c r="VQD1374" s="110"/>
      <c r="VQE1374" s="110"/>
      <c r="VQF1374" s="110"/>
      <c r="VQG1374" s="110"/>
      <c r="VQH1374" s="110"/>
      <c r="VQI1374" s="110"/>
      <c r="VQJ1374" s="110"/>
      <c r="VQK1374" s="110"/>
      <c r="VQL1374" s="110"/>
      <c r="VQM1374" s="110"/>
      <c r="VQN1374" s="110"/>
      <c r="VQO1374" s="110"/>
      <c r="VQP1374" s="110"/>
      <c r="VQQ1374" s="110"/>
      <c r="VQR1374" s="110"/>
      <c r="VQS1374" s="110"/>
      <c r="VQT1374" s="110"/>
      <c r="VQU1374" s="110"/>
      <c r="VQV1374" s="110"/>
      <c r="VQW1374" s="110"/>
      <c r="VQX1374" s="110"/>
      <c r="VQY1374" s="110"/>
      <c r="VQZ1374" s="110"/>
      <c r="VRA1374" s="110"/>
      <c r="VRB1374" s="110"/>
      <c r="VRC1374" s="110"/>
      <c r="VRD1374" s="110"/>
      <c r="VRE1374" s="110"/>
      <c r="VRF1374" s="110"/>
      <c r="VRG1374" s="110"/>
      <c r="VRH1374" s="110"/>
      <c r="VRI1374" s="110"/>
      <c r="VRJ1374" s="110"/>
      <c r="VRK1374" s="110"/>
      <c r="VRL1374" s="110"/>
      <c r="VRM1374" s="110"/>
      <c r="VRN1374" s="110"/>
      <c r="VRO1374" s="110"/>
      <c r="VRP1374" s="110"/>
      <c r="VRQ1374" s="110"/>
      <c r="VRR1374" s="110"/>
      <c r="VRS1374" s="110"/>
      <c r="VRT1374" s="110"/>
      <c r="VRU1374" s="110"/>
      <c r="VRV1374" s="110"/>
      <c r="VRW1374" s="110"/>
      <c r="VRX1374" s="110"/>
      <c r="VRY1374" s="110"/>
      <c r="VRZ1374" s="110"/>
      <c r="VSA1374" s="110"/>
      <c r="VSB1374" s="110"/>
      <c r="VSC1374" s="110"/>
      <c r="VSD1374" s="110"/>
      <c r="VSE1374" s="110"/>
      <c r="VSF1374" s="110"/>
      <c r="VSG1374" s="110"/>
      <c r="VSH1374" s="110"/>
      <c r="VSI1374" s="110"/>
      <c r="VSJ1374" s="110"/>
      <c r="VSK1374" s="110"/>
      <c r="VSL1374" s="110"/>
      <c r="VSM1374" s="110"/>
      <c r="VSN1374" s="110"/>
      <c r="VSO1374" s="110"/>
      <c r="VSP1374" s="110"/>
      <c r="VSQ1374" s="110"/>
      <c r="VSR1374" s="110"/>
      <c r="VSS1374" s="110"/>
      <c r="VST1374" s="110"/>
      <c r="VSU1374" s="110"/>
      <c r="VSV1374" s="110"/>
      <c r="VSW1374" s="110"/>
      <c r="VSX1374" s="110"/>
      <c r="VSY1374" s="110"/>
      <c r="VSZ1374" s="110"/>
      <c r="VTA1374" s="110"/>
      <c r="VTB1374" s="110"/>
      <c r="VTC1374" s="110"/>
      <c r="VTD1374" s="110"/>
      <c r="VTE1374" s="110"/>
      <c r="VTF1374" s="110"/>
      <c r="VTG1374" s="110"/>
      <c r="VTH1374" s="110"/>
      <c r="VTI1374" s="110"/>
      <c r="VTJ1374" s="110"/>
      <c r="VTK1374" s="110"/>
      <c r="VTL1374" s="110"/>
      <c r="VTM1374" s="110"/>
      <c r="VTN1374" s="110"/>
      <c r="VTO1374" s="110"/>
      <c r="VTP1374" s="110"/>
      <c r="VTQ1374" s="110"/>
      <c r="VTR1374" s="110"/>
      <c r="VTS1374" s="110"/>
      <c r="VTT1374" s="110"/>
      <c r="VTU1374" s="110"/>
      <c r="VTV1374" s="110"/>
      <c r="VTW1374" s="110"/>
      <c r="VTX1374" s="110"/>
      <c r="VTY1374" s="110"/>
      <c r="VTZ1374" s="110"/>
      <c r="VUA1374" s="110"/>
      <c r="VUB1374" s="110"/>
      <c r="VUC1374" s="110"/>
      <c r="VUD1374" s="110"/>
      <c r="VUE1374" s="110"/>
      <c r="VUF1374" s="110"/>
      <c r="VUG1374" s="110"/>
      <c r="VUH1374" s="110"/>
      <c r="VUI1374" s="110"/>
      <c r="VUJ1374" s="110"/>
      <c r="VUK1374" s="110"/>
      <c r="VUL1374" s="110"/>
      <c r="VUM1374" s="110"/>
      <c r="VUN1374" s="110"/>
      <c r="VUO1374" s="110"/>
      <c r="VUP1374" s="110"/>
      <c r="VUQ1374" s="110"/>
      <c r="VUR1374" s="110"/>
      <c r="VUS1374" s="110"/>
      <c r="VUT1374" s="110"/>
      <c r="VUU1374" s="110"/>
      <c r="VUV1374" s="110"/>
      <c r="VUW1374" s="110"/>
      <c r="VUX1374" s="110"/>
      <c r="VUY1374" s="110"/>
      <c r="VUZ1374" s="110"/>
      <c r="VVA1374" s="110"/>
      <c r="VVB1374" s="110"/>
      <c r="VVC1374" s="110"/>
      <c r="VVD1374" s="110"/>
      <c r="VVE1374" s="110"/>
      <c r="VVF1374" s="110"/>
      <c r="VVG1374" s="110"/>
      <c r="VVH1374" s="110"/>
      <c r="VVI1374" s="110"/>
      <c r="VVJ1374" s="110"/>
      <c r="VVK1374" s="110"/>
      <c r="VVL1374" s="110"/>
      <c r="VVM1374" s="110"/>
      <c r="VVN1374" s="110"/>
      <c r="VVO1374" s="110"/>
      <c r="VVP1374" s="110"/>
      <c r="VVQ1374" s="110"/>
      <c r="VVR1374" s="110"/>
      <c r="VVS1374" s="110"/>
      <c r="VVT1374" s="110"/>
      <c r="VVU1374" s="110"/>
      <c r="VVV1374" s="110"/>
      <c r="VVW1374" s="110"/>
      <c r="VVX1374" s="110"/>
      <c r="VVY1374" s="110"/>
      <c r="VVZ1374" s="110"/>
      <c r="VWA1374" s="110"/>
      <c r="VWB1374" s="110"/>
      <c r="VWC1374" s="110"/>
      <c r="VWD1374" s="110"/>
      <c r="VWE1374" s="110"/>
      <c r="VWF1374" s="110"/>
      <c r="VWG1374" s="110"/>
      <c r="VWH1374" s="110"/>
      <c r="VWI1374" s="110"/>
      <c r="VWJ1374" s="110"/>
      <c r="VWK1374" s="110"/>
      <c r="VWL1374" s="110"/>
      <c r="VWM1374" s="110"/>
      <c r="VWN1374" s="110"/>
      <c r="VWO1374" s="110"/>
      <c r="VWP1374" s="110"/>
      <c r="VWQ1374" s="110"/>
      <c r="VWR1374" s="110"/>
      <c r="VWS1374" s="110"/>
      <c r="VWT1374" s="110"/>
      <c r="VWU1374" s="110"/>
      <c r="VWV1374" s="110"/>
      <c r="VWW1374" s="110"/>
      <c r="VWX1374" s="110"/>
      <c r="VWY1374" s="110"/>
      <c r="VWZ1374" s="110"/>
      <c r="VXA1374" s="110"/>
      <c r="VXB1374" s="110"/>
      <c r="VXC1374" s="110"/>
      <c r="VXD1374" s="110"/>
      <c r="VXE1374" s="110"/>
      <c r="VXF1374" s="110"/>
      <c r="VXG1374" s="110"/>
      <c r="VXH1374" s="110"/>
      <c r="VXI1374" s="110"/>
      <c r="VXJ1374" s="110"/>
      <c r="VXK1374" s="110"/>
      <c r="VXL1374" s="110"/>
      <c r="VXM1374" s="110"/>
      <c r="VXN1374" s="110"/>
      <c r="VXO1374" s="110"/>
      <c r="VXP1374" s="110"/>
      <c r="VXQ1374" s="110"/>
      <c r="VXR1374" s="110"/>
      <c r="VXS1374" s="110"/>
      <c r="VXT1374" s="110"/>
      <c r="VXU1374" s="110"/>
      <c r="VXV1374" s="110"/>
      <c r="VXW1374" s="110"/>
      <c r="VXX1374" s="110"/>
      <c r="VXY1374" s="110"/>
      <c r="VXZ1374" s="110"/>
      <c r="VYA1374" s="110"/>
      <c r="VYB1374" s="110"/>
      <c r="VYC1374" s="110"/>
      <c r="VYD1374" s="110"/>
      <c r="VYE1374" s="110"/>
      <c r="VYF1374" s="110"/>
      <c r="VYG1374" s="110"/>
      <c r="VYH1374" s="110"/>
      <c r="VYI1374" s="110"/>
      <c r="VYJ1374" s="110"/>
      <c r="VYK1374" s="110"/>
      <c r="VYL1374" s="110"/>
      <c r="VYM1374" s="110"/>
      <c r="VYN1374" s="110"/>
      <c r="VYO1374" s="110"/>
      <c r="VYP1374" s="110"/>
      <c r="VYQ1374" s="110"/>
      <c r="VYR1374" s="110"/>
      <c r="VYS1374" s="110"/>
      <c r="VYT1374" s="110"/>
      <c r="VYU1374" s="110"/>
      <c r="VYV1374" s="110"/>
      <c r="VYW1374" s="110"/>
      <c r="VYX1374" s="110"/>
      <c r="VYY1374" s="110"/>
      <c r="VYZ1374" s="110"/>
      <c r="VZA1374" s="110"/>
      <c r="VZB1374" s="110"/>
      <c r="VZC1374" s="110"/>
      <c r="VZD1374" s="110"/>
      <c r="VZE1374" s="110"/>
      <c r="VZF1374" s="110"/>
      <c r="VZG1374" s="110"/>
      <c r="VZH1374" s="110"/>
      <c r="VZI1374" s="110"/>
      <c r="VZJ1374" s="110"/>
      <c r="VZK1374" s="110"/>
      <c r="VZL1374" s="110"/>
      <c r="VZM1374" s="110"/>
      <c r="VZN1374" s="110"/>
      <c r="VZO1374" s="110"/>
      <c r="VZP1374" s="110"/>
      <c r="VZQ1374" s="110"/>
      <c r="VZR1374" s="110"/>
      <c r="VZS1374" s="110"/>
      <c r="VZT1374" s="110"/>
      <c r="VZU1374" s="110"/>
      <c r="VZV1374" s="110"/>
      <c r="VZW1374" s="110"/>
      <c r="VZX1374" s="110"/>
      <c r="VZY1374" s="110"/>
      <c r="VZZ1374" s="110"/>
      <c r="WAA1374" s="110"/>
      <c r="WAB1374" s="110"/>
      <c r="WAC1374" s="110"/>
      <c r="WAD1374" s="110"/>
      <c r="WAE1374" s="110"/>
      <c r="WAF1374" s="110"/>
      <c r="WAG1374" s="110"/>
      <c r="WAH1374" s="110"/>
      <c r="WAI1374" s="110"/>
      <c r="WAJ1374" s="110"/>
      <c r="WAK1374" s="110"/>
      <c r="WAL1374" s="110"/>
      <c r="WAM1374" s="110"/>
      <c r="WAN1374" s="110"/>
      <c r="WAO1374" s="110"/>
      <c r="WAP1374" s="110"/>
      <c r="WAQ1374" s="110"/>
      <c r="WAR1374" s="110"/>
      <c r="WAS1374" s="110"/>
      <c r="WAT1374" s="110"/>
      <c r="WAU1374" s="110"/>
      <c r="WAV1374" s="110"/>
      <c r="WAW1374" s="110"/>
      <c r="WAX1374" s="110"/>
      <c r="WAY1374" s="110"/>
      <c r="WAZ1374" s="110"/>
      <c r="WBA1374" s="110"/>
      <c r="WBB1374" s="110"/>
      <c r="WBC1374" s="110"/>
      <c r="WBD1374" s="110"/>
      <c r="WBE1374" s="110"/>
      <c r="WBF1374" s="110"/>
      <c r="WBG1374" s="110"/>
      <c r="WBH1374" s="110"/>
      <c r="WBI1374" s="110"/>
      <c r="WBJ1374" s="110"/>
      <c r="WBK1374" s="110"/>
      <c r="WBL1374" s="110"/>
      <c r="WBM1374" s="110"/>
      <c r="WBN1374" s="110"/>
      <c r="WBO1374" s="110"/>
      <c r="WBP1374" s="110"/>
      <c r="WBQ1374" s="110"/>
      <c r="WBR1374" s="110"/>
      <c r="WBS1374" s="110"/>
      <c r="WBT1374" s="110"/>
      <c r="WBU1374" s="110"/>
      <c r="WBV1374" s="110"/>
      <c r="WBW1374" s="110"/>
      <c r="WBX1374" s="110"/>
      <c r="WBY1374" s="110"/>
      <c r="WBZ1374" s="110"/>
      <c r="WCA1374" s="110"/>
      <c r="WCB1374" s="110"/>
      <c r="WCC1374" s="110"/>
      <c r="WCD1374" s="110"/>
      <c r="WCE1374" s="110"/>
      <c r="WCF1374" s="110"/>
      <c r="WCG1374" s="110"/>
      <c r="WCH1374" s="110"/>
      <c r="WCI1374" s="110"/>
      <c r="WCJ1374" s="110"/>
      <c r="WCK1374" s="110"/>
      <c r="WCL1374" s="110"/>
      <c r="WCM1374" s="110"/>
      <c r="WCN1374" s="110"/>
      <c r="WCO1374" s="110"/>
      <c r="WCP1374" s="110"/>
      <c r="WCQ1374" s="110"/>
      <c r="WCR1374" s="110"/>
      <c r="WCS1374" s="110"/>
      <c r="WCT1374" s="110"/>
      <c r="WCU1374" s="110"/>
      <c r="WCV1374" s="110"/>
      <c r="WCW1374" s="110"/>
      <c r="WCX1374" s="110"/>
      <c r="WCY1374" s="110"/>
      <c r="WCZ1374" s="110"/>
      <c r="WDA1374" s="110"/>
      <c r="WDB1374" s="110"/>
      <c r="WDC1374" s="110"/>
      <c r="WDD1374" s="110"/>
      <c r="WDE1374" s="110"/>
      <c r="WDF1374" s="110"/>
      <c r="WDG1374" s="110"/>
      <c r="WDH1374" s="110"/>
      <c r="WDI1374" s="110"/>
      <c r="WDJ1374" s="110"/>
      <c r="WDK1374" s="110"/>
      <c r="WDL1374" s="110"/>
      <c r="WDM1374" s="110"/>
      <c r="WDN1374" s="110"/>
      <c r="WDO1374" s="110"/>
      <c r="WDP1374" s="110"/>
      <c r="WDQ1374" s="110"/>
      <c r="WDR1374" s="110"/>
      <c r="WDS1374" s="110"/>
      <c r="WDT1374" s="110"/>
      <c r="WDU1374" s="110"/>
      <c r="WDV1374" s="110"/>
      <c r="WDW1374" s="110"/>
      <c r="WDX1374" s="110"/>
      <c r="WDY1374" s="110"/>
      <c r="WDZ1374" s="110"/>
      <c r="WEA1374" s="110"/>
      <c r="WEB1374" s="110"/>
      <c r="WEC1374" s="110"/>
      <c r="WED1374" s="110"/>
      <c r="WEE1374" s="110"/>
      <c r="WEF1374" s="110"/>
      <c r="WEG1374" s="110"/>
      <c r="WEH1374" s="110"/>
      <c r="WEI1374" s="110"/>
      <c r="WEJ1374" s="110"/>
      <c r="WEK1374" s="110"/>
      <c r="WEL1374" s="110"/>
      <c r="WEM1374" s="110"/>
      <c r="WEN1374" s="110"/>
      <c r="WEO1374" s="110"/>
      <c r="WEP1374" s="110"/>
      <c r="WEQ1374" s="110"/>
      <c r="WER1374" s="110"/>
      <c r="WES1374" s="110"/>
      <c r="WET1374" s="110"/>
      <c r="WEU1374" s="110"/>
      <c r="WEV1374" s="110"/>
      <c r="WEW1374" s="110"/>
      <c r="WEX1374" s="110"/>
      <c r="WEY1374" s="110"/>
      <c r="WEZ1374" s="110"/>
      <c r="WFA1374" s="110"/>
      <c r="WFB1374" s="110"/>
      <c r="WFC1374" s="110"/>
      <c r="WFD1374" s="110"/>
      <c r="WFE1374" s="110"/>
      <c r="WFF1374" s="110"/>
      <c r="WFG1374" s="110"/>
      <c r="WFH1374" s="110"/>
      <c r="WFI1374" s="110"/>
      <c r="WFJ1374" s="110"/>
      <c r="WFK1374" s="110"/>
      <c r="WFL1374" s="110"/>
      <c r="WFM1374" s="110"/>
      <c r="WFN1374" s="110"/>
      <c r="WFO1374" s="110"/>
      <c r="WFP1374" s="110"/>
      <c r="WFQ1374" s="110"/>
      <c r="WFR1374" s="110"/>
      <c r="WFS1374" s="110"/>
      <c r="WFT1374" s="110"/>
      <c r="WFU1374" s="110"/>
      <c r="WFV1374" s="110"/>
      <c r="WFW1374" s="110"/>
      <c r="WFX1374" s="110"/>
      <c r="WFY1374" s="110"/>
      <c r="WFZ1374" s="110"/>
      <c r="WGA1374" s="110"/>
      <c r="WGB1374" s="110"/>
      <c r="WGC1374" s="110"/>
      <c r="WGD1374" s="110"/>
      <c r="WGE1374" s="110"/>
      <c r="WGF1374" s="110"/>
      <c r="WGG1374" s="110"/>
      <c r="WGH1374" s="110"/>
      <c r="WGI1374" s="110"/>
      <c r="WGJ1374" s="110"/>
      <c r="WGK1374" s="110"/>
      <c r="WGL1374" s="110"/>
      <c r="WGM1374" s="110"/>
      <c r="WGN1374" s="110"/>
      <c r="WGO1374" s="110"/>
      <c r="WGP1374" s="110"/>
      <c r="WGQ1374" s="110"/>
      <c r="WGR1374" s="110"/>
      <c r="WGS1374" s="110"/>
      <c r="WGT1374" s="110"/>
      <c r="WGU1374" s="110"/>
      <c r="WGV1374" s="110"/>
      <c r="WGW1374" s="110"/>
      <c r="WGX1374" s="110"/>
      <c r="WGY1374" s="110"/>
      <c r="WGZ1374" s="110"/>
      <c r="WHA1374" s="110"/>
      <c r="WHB1374" s="110"/>
      <c r="WHC1374" s="110"/>
      <c r="WHD1374" s="110"/>
      <c r="WHE1374" s="110"/>
      <c r="WHF1374" s="110"/>
      <c r="WHG1374" s="110"/>
      <c r="WHH1374" s="110"/>
      <c r="WHI1374" s="110"/>
      <c r="WHJ1374" s="110"/>
      <c r="WHK1374" s="110"/>
      <c r="WHL1374" s="110"/>
      <c r="WHM1374" s="110"/>
      <c r="WHN1374" s="110"/>
      <c r="WHO1374" s="110"/>
      <c r="WHP1374" s="110"/>
      <c r="WHQ1374" s="110"/>
      <c r="WHR1374" s="110"/>
      <c r="WHS1374" s="110"/>
      <c r="WHT1374" s="110"/>
      <c r="WHU1374" s="110"/>
      <c r="WHV1374" s="110"/>
      <c r="WHW1374" s="110"/>
      <c r="WHX1374" s="110"/>
      <c r="WHY1374" s="110"/>
      <c r="WHZ1374" s="110"/>
      <c r="WIA1374" s="110"/>
      <c r="WIB1374" s="110"/>
      <c r="WIC1374" s="110"/>
      <c r="WID1374" s="110"/>
      <c r="WIE1374" s="110"/>
      <c r="WIF1374" s="110"/>
      <c r="WIG1374" s="110"/>
      <c r="WIH1374" s="110"/>
      <c r="WII1374" s="110"/>
      <c r="WIJ1374" s="110"/>
      <c r="WIK1374" s="110"/>
      <c r="WIL1374" s="110"/>
      <c r="WIM1374" s="110"/>
      <c r="WIN1374" s="110"/>
      <c r="WIO1374" s="110"/>
      <c r="WIP1374" s="110"/>
      <c r="WIQ1374" s="110"/>
      <c r="WIR1374" s="110"/>
      <c r="WIS1374" s="110"/>
      <c r="WIT1374" s="110"/>
      <c r="WIU1374" s="110"/>
      <c r="WIV1374" s="110"/>
      <c r="WIW1374" s="110"/>
      <c r="WIX1374" s="110"/>
      <c r="WIY1374" s="110"/>
      <c r="WIZ1374" s="110"/>
      <c r="WJA1374" s="110"/>
      <c r="WJB1374" s="110"/>
      <c r="WJC1374" s="110"/>
      <c r="WJD1374" s="110"/>
      <c r="WJE1374" s="110"/>
      <c r="WJF1374" s="110"/>
      <c r="WJG1374" s="110"/>
      <c r="WJH1374" s="110"/>
      <c r="WJI1374" s="110"/>
      <c r="WJJ1374" s="110"/>
      <c r="WJK1374" s="110"/>
      <c r="WJL1374" s="110"/>
      <c r="WJM1374" s="110"/>
      <c r="WJN1374" s="110"/>
      <c r="WJO1374" s="110"/>
      <c r="WJP1374" s="110"/>
      <c r="WJQ1374" s="110"/>
      <c r="WJR1374" s="110"/>
      <c r="WJS1374" s="110"/>
      <c r="WJT1374" s="110"/>
      <c r="WJU1374" s="110"/>
      <c r="WJV1374" s="110"/>
      <c r="WJW1374" s="110"/>
      <c r="WJX1374" s="110"/>
      <c r="WJY1374" s="110"/>
      <c r="WJZ1374" s="110"/>
      <c r="WKA1374" s="110"/>
      <c r="WKB1374" s="110"/>
      <c r="WKC1374" s="110"/>
      <c r="WKD1374" s="110"/>
      <c r="WKE1374" s="110"/>
      <c r="WKF1374" s="110"/>
      <c r="WKG1374" s="110"/>
      <c r="WKH1374" s="110"/>
      <c r="WKI1374" s="110"/>
      <c r="WKJ1374" s="110"/>
      <c r="WKK1374" s="110"/>
      <c r="WKL1374" s="110"/>
      <c r="WKM1374" s="110"/>
      <c r="WKN1374" s="110"/>
      <c r="WKO1374" s="110"/>
      <c r="WKP1374" s="110"/>
      <c r="WKQ1374" s="110"/>
      <c r="WKR1374" s="110"/>
      <c r="WKS1374" s="110"/>
      <c r="WKT1374" s="110"/>
      <c r="WKU1374" s="110"/>
      <c r="WKV1374" s="110"/>
      <c r="WKW1374" s="110"/>
      <c r="WKX1374" s="110"/>
      <c r="WKY1374" s="110"/>
      <c r="WKZ1374" s="110"/>
      <c r="WLA1374" s="110"/>
      <c r="WLB1374" s="110"/>
      <c r="WLC1374" s="110"/>
      <c r="WLD1374" s="110"/>
      <c r="WLE1374" s="110"/>
      <c r="WLF1374" s="110"/>
      <c r="WLG1374" s="110"/>
      <c r="WLH1374" s="110"/>
      <c r="WLI1374" s="110"/>
      <c r="WLJ1374" s="110"/>
      <c r="WLK1374" s="110"/>
      <c r="WLL1374" s="110"/>
      <c r="WLM1374" s="110"/>
      <c r="WLN1374" s="110"/>
      <c r="WLO1374" s="110"/>
      <c r="WLP1374" s="110"/>
      <c r="WLQ1374" s="110"/>
      <c r="WLR1374" s="110"/>
      <c r="WLS1374" s="110"/>
      <c r="WLT1374" s="110"/>
      <c r="WLU1374" s="110"/>
      <c r="WLV1374" s="110"/>
      <c r="WLW1374" s="110"/>
      <c r="WLX1374" s="110"/>
      <c r="WLY1374" s="110"/>
      <c r="WLZ1374" s="110"/>
      <c r="WMA1374" s="110"/>
      <c r="WMB1374" s="110"/>
      <c r="WMC1374" s="110"/>
      <c r="WMD1374" s="110"/>
      <c r="WME1374" s="110"/>
      <c r="WMF1374" s="110"/>
      <c r="WMG1374" s="110"/>
      <c r="WMH1374" s="110"/>
      <c r="WMI1374" s="110"/>
      <c r="WMJ1374" s="110"/>
      <c r="WMK1374" s="110"/>
      <c r="WML1374" s="110"/>
      <c r="WMM1374" s="110"/>
      <c r="WMN1374" s="110"/>
      <c r="WMO1374" s="110"/>
      <c r="WMP1374" s="110"/>
      <c r="WMQ1374" s="110"/>
      <c r="WMR1374" s="110"/>
      <c r="WMS1374" s="110"/>
      <c r="WMT1374" s="110"/>
      <c r="WMU1374" s="110"/>
      <c r="WMV1374" s="110"/>
      <c r="WMW1374" s="110"/>
      <c r="WMX1374" s="110"/>
      <c r="WMY1374" s="110"/>
      <c r="WMZ1374" s="110"/>
      <c r="WNA1374" s="110"/>
      <c r="WNB1374" s="110"/>
      <c r="WNC1374" s="110"/>
      <c r="WND1374" s="110"/>
      <c r="WNE1374" s="110"/>
      <c r="WNF1374" s="110"/>
      <c r="WNG1374" s="110"/>
      <c r="WNH1374" s="110"/>
      <c r="WNI1374" s="110"/>
      <c r="WNJ1374" s="110"/>
      <c r="WNK1374" s="110"/>
      <c r="WNL1374" s="110"/>
      <c r="WNM1374" s="110"/>
      <c r="WNN1374" s="110"/>
      <c r="WNO1374" s="110"/>
      <c r="WNP1374" s="110"/>
      <c r="WNQ1374" s="110"/>
      <c r="WNR1374" s="110"/>
      <c r="WNS1374" s="110"/>
      <c r="WNT1374" s="110"/>
      <c r="WNU1374" s="110"/>
      <c r="WNV1374" s="110"/>
      <c r="WNW1374" s="110"/>
      <c r="WNX1374" s="110"/>
      <c r="WNY1374" s="110"/>
      <c r="WNZ1374" s="110"/>
      <c r="WOA1374" s="110"/>
      <c r="WOB1374" s="110"/>
      <c r="WOC1374" s="110"/>
      <c r="WOD1374" s="110"/>
      <c r="WOE1374" s="110"/>
      <c r="WOF1374" s="110"/>
      <c r="WOG1374" s="110"/>
      <c r="WOH1374" s="110"/>
      <c r="WOI1374" s="110"/>
      <c r="WOJ1374" s="110"/>
      <c r="WOK1374" s="110"/>
      <c r="WOL1374" s="110"/>
      <c r="WOM1374" s="110"/>
      <c r="WON1374" s="110"/>
      <c r="WOO1374" s="110"/>
      <c r="WOP1374" s="110"/>
      <c r="WOQ1374" s="110"/>
      <c r="WOR1374" s="110"/>
      <c r="WOS1374" s="110"/>
      <c r="WOT1374" s="110"/>
      <c r="WOU1374" s="110"/>
      <c r="WOV1374" s="110"/>
      <c r="WOW1374" s="110"/>
      <c r="WOX1374" s="110"/>
      <c r="WOY1374" s="110"/>
      <c r="WOZ1374" s="110"/>
      <c r="WPA1374" s="110"/>
      <c r="WPB1374" s="110"/>
      <c r="WPC1374" s="110"/>
      <c r="WPD1374" s="110"/>
      <c r="WPE1374" s="110"/>
      <c r="WPF1374" s="110"/>
      <c r="WPG1374" s="110"/>
      <c r="WPH1374" s="110"/>
      <c r="WPI1374" s="110"/>
      <c r="WPJ1374" s="110"/>
      <c r="WPK1374" s="110"/>
      <c r="WPL1374" s="110"/>
      <c r="WPM1374" s="110"/>
      <c r="WPN1374" s="110"/>
      <c r="WPO1374" s="110"/>
      <c r="WPP1374" s="110"/>
      <c r="WPQ1374" s="110"/>
      <c r="WPR1374" s="110"/>
      <c r="WPS1374" s="110"/>
      <c r="WPT1374" s="110"/>
      <c r="WPU1374" s="110"/>
      <c r="WPV1374" s="110"/>
      <c r="WPW1374" s="110"/>
      <c r="WPX1374" s="110"/>
      <c r="WPY1374" s="110"/>
      <c r="WPZ1374" s="110"/>
      <c r="WQA1374" s="110"/>
      <c r="WQB1374" s="110"/>
      <c r="WQC1374" s="110"/>
      <c r="WQD1374" s="110"/>
      <c r="WQE1374" s="110"/>
      <c r="WQF1374" s="110"/>
      <c r="WQG1374" s="110"/>
      <c r="WQH1374" s="110"/>
      <c r="WQI1374" s="110"/>
      <c r="WQJ1374" s="110"/>
      <c r="WQK1374" s="110"/>
      <c r="WQL1374" s="110"/>
      <c r="WQM1374" s="110"/>
      <c r="WQN1374" s="110"/>
      <c r="WQO1374" s="110"/>
      <c r="WQP1374" s="110"/>
      <c r="WQQ1374" s="110"/>
      <c r="WQR1374" s="110"/>
      <c r="WQS1374" s="110"/>
      <c r="WQT1374" s="110"/>
      <c r="WQU1374" s="110"/>
      <c r="WQV1374" s="110"/>
      <c r="WQW1374" s="110"/>
      <c r="WQX1374" s="110"/>
      <c r="WQY1374" s="110"/>
      <c r="WQZ1374" s="110"/>
      <c r="WRA1374" s="110"/>
      <c r="WRB1374" s="110"/>
      <c r="WRC1374" s="110"/>
      <c r="WRD1374" s="110"/>
      <c r="WRE1374" s="110"/>
      <c r="WRF1374" s="110"/>
      <c r="WRG1374" s="110"/>
      <c r="WRH1374" s="110"/>
      <c r="WRI1374" s="110"/>
      <c r="WRJ1374" s="110"/>
      <c r="WRK1374" s="110"/>
      <c r="WRL1374" s="110"/>
      <c r="WRM1374" s="110"/>
      <c r="WRN1374" s="110"/>
      <c r="WRO1374" s="110"/>
      <c r="WRP1374" s="110"/>
      <c r="WRQ1374" s="110"/>
      <c r="WRR1374" s="110"/>
      <c r="WRS1374" s="110"/>
      <c r="WRT1374" s="110"/>
      <c r="WRU1374" s="110"/>
      <c r="WRV1374" s="110"/>
      <c r="WRW1374" s="110"/>
      <c r="WRX1374" s="110"/>
      <c r="WRY1374" s="110"/>
      <c r="WRZ1374" s="110"/>
      <c r="WSA1374" s="110"/>
      <c r="WSB1374" s="110"/>
      <c r="WSC1374" s="110"/>
      <c r="WSD1374" s="110"/>
      <c r="WSE1374" s="110"/>
      <c r="WSF1374" s="110"/>
      <c r="WSG1374" s="110"/>
      <c r="WSH1374" s="110"/>
      <c r="WSI1374" s="110"/>
      <c r="WSJ1374" s="110"/>
      <c r="WSK1374" s="110"/>
      <c r="WSL1374" s="110"/>
      <c r="WSM1374" s="110"/>
      <c r="WSN1374" s="110"/>
      <c r="WSO1374" s="110"/>
      <c r="WSP1374" s="110"/>
      <c r="WSQ1374" s="110"/>
      <c r="WSR1374" s="110"/>
      <c r="WSS1374" s="110"/>
      <c r="WST1374" s="110"/>
      <c r="WSU1374" s="110"/>
      <c r="WSV1374" s="110"/>
      <c r="WSW1374" s="110"/>
      <c r="WSX1374" s="110"/>
      <c r="WSY1374" s="110"/>
      <c r="WSZ1374" s="110"/>
      <c r="WTA1374" s="110"/>
      <c r="WTB1374" s="110"/>
      <c r="WTC1374" s="110"/>
      <c r="WTD1374" s="110"/>
      <c r="WTE1374" s="110"/>
      <c r="WTF1374" s="110"/>
      <c r="WTG1374" s="110"/>
      <c r="WTH1374" s="110"/>
      <c r="WTI1374" s="110"/>
      <c r="WTJ1374" s="110"/>
      <c r="WTK1374" s="110"/>
      <c r="WTL1374" s="110"/>
      <c r="WTM1374" s="110"/>
      <c r="WTN1374" s="110"/>
      <c r="WTO1374" s="110"/>
      <c r="WTP1374" s="110"/>
      <c r="WTQ1374" s="110"/>
      <c r="WTR1374" s="110"/>
      <c r="WTS1374" s="110"/>
      <c r="WTT1374" s="110"/>
      <c r="WTU1374" s="110"/>
      <c r="WTV1374" s="110"/>
      <c r="WTW1374" s="110"/>
      <c r="WTX1374" s="110"/>
      <c r="WTY1374" s="110"/>
      <c r="WTZ1374" s="110"/>
      <c r="WUA1374" s="110"/>
      <c r="WUB1374" s="110"/>
      <c r="WUC1374" s="110"/>
      <c r="WUD1374" s="110"/>
      <c r="WUE1374" s="110"/>
      <c r="WUF1374" s="110"/>
      <c r="WUG1374" s="110"/>
      <c r="WUH1374" s="110"/>
      <c r="WUI1374" s="110"/>
      <c r="WUJ1374" s="110"/>
      <c r="WUK1374" s="110"/>
      <c r="WUL1374" s="110"/>
      <c r="WUM1374" s="110"/>
      <c r="WUN1374" s="110"/>
      <c r="WUO1374" s="110"/>
      <c r="WUP1374" s="110"/>
      <c r="WUQ1374" s="110"/>
      <c r="WUR1374" s="110"/>
      <c r="WUS1374" s="110"/>
      <c r="WUT1374" s="110"/>
      <c r="WUU1374" s="110"/>
      <c r="WUV1374" s="110"/>
      <c r="WUW1374" s="110"/>
      <c r="WUX1374" s="110"/>
      <c r="WUY1374" s="110"/>
      <c r="WUZ1374" s="110"/>
      <c r="WVA1374" s="110"/>
      <c r="WVB1374" s="110"/>
      <c r="WVC1374" s="110"/>
      <c r="WVD1374" s="110"/>
      <c r="WVE1374" s="110"/>
      <c r="WVF1374" s="110"/>
      <c r="WVG1374" s="110"/>
      <c r="WVH1374" s="110"/>
      <c r="WVI1374" s="110"/>
      <c r="WVJ1374" s="110"/>
      <c r="WVK1374" s="110"/>
      <c r="WVL1374" s="110"/>
      <c r="WVM1374" s="110"/>
      <c r="WVN1374" s="110"/>
      <c r="WVO1374" s="110"/>
      <c r="WVP1374" s="110"/>
      <c r="WVQ1374" s="110"/>
      <c r="WVR1374" s="110"/>
      <c r="WVS1374" s="110"/>
      <c r="WVT1374" s="110"/>
      <c r="WVU1374" s="110"/>
      <c r="WVV1374" s="110"/>
      <c r="WVW1374" s="110"/>
      <c r="WVX1374" s="110"/>
      <c r="WVY1374" s="110"/>
      <c r="WVZ1374" s="110"/>
      <c r="WWA1374" s="110"/>
      <c r="WWB1374" s="110"/>
      <c r="WWC1374" s="110"/>
      <c r="WWD1374" s="110"/>
      <c r="WWE1374" s="110"/>
      <c r="WWF1374" s="110"/>
      <c r="WWG1374" s="110"/>
      <c r="WWH1374" s="110"/>
      <c r="WWI1374" s="110"/>
      <c r="WWJ1374" s="110"/>
      <c r="WWK1374" s="110"/>
      <c r="WWL1374" s="110"/>
      <c r="WWM1374" s="110"/>
      <c r="WWN1374" s="110"/>
      <c r="WWO1374" s="110"/>
      <c r="WWP1374" s="110"/>
      <c r="WWQ1374" s="110"/>
      <c r="WWR1374" s="110"/>
      <c r="WWS1374" s="110"/>
      <c r="WWT1374" s="110"/>
      <c r="WWU1374" s="110"/>
      <c r="WWV1374" s="110"/>
      <c r="WWW1374" s="110"/>
      <c r="WWX1374" s="110"/>
      <c r="WWY1374" s="110"/>
      <c r="WWZ1374" s="110"/>
      <c r="WXA1374" s="110"/>
      <c r="WXB1374" s="110"/>
      <c r="WXC1374" s="110"/>
      <c r="WXD1374" s="110"/>
      <c r="WXE1374" s="110"/>
      <c r="WXF1374" s="110"/>
      <c r="WXG1374" s="110"/>
      <c r="WXH1374" s="110"/>
      <c r="WXI1374" s="110"/>
      <c r="WXJ1374" s="110"/>
      <c r="WXK1374" s="110"/>
      <c r="WXL1374" s="110"/>
      <c r="WXM1374" s="110"/>
      <c r="WXN1374" s="110"/>
      <c r="WXO1374" s="110"/>
      <c r="WXP1374" s="110"/>
      <c r="WXQ1374" s="110"/>
      <c r="WXR1374" s="110"/>
      <c r="WXS1374" s="110"/>
      <c r="WXT1374" s="110"/>
      <c r="WXU1374" s="110"/>
      <c r="WXV1374" s="110"/>
      <c r="WXW1374" s="110"/>
      <c r="WXX1374" s="110"/>
      <c r="WXY1374" s="110"/>
      <c r="WXZ1374" s="110"/>
      <c r="WYA1374" s="110"/>
      <c r="WYB1374" s="110"/>
      <c r="WYC1374" s="110"/>
      <c r="WYD1374" s="110"/>
      <c r="WYE1374" s="110"/>
      <c r="WYF1374" s="110"/>
      <c r="WYG1374" s="110"/>
      <c r="WYH1374" s="110"/>
      <c r="WYI1374" s="110"/>
      <c r="WYJ1374" s="110"/>
      <c r="WYK1374" s="110"/>
      <c r="WYL1374" s="110"/>
      <c r="WYM1374" s="110"/>
      <c r="WYN1374" s="110"/>
      <c r="WYO1374" s="110"/>
      <c r="WYP1374" s="110"/>
      <c r="WYQ1374" s="110"/>
      <c r="WYR1374" s="110"/>
      <c r="WYS1374" s="110"/>
      <c r="WYT1374" s="110"/>
      <c r="WYU1374" s="110"/>
      <c r="WYV1374" s="110"/>
      <c r="WYW1374" s="110"/>
      <c r="WYX1374" s="110"/>
      <c r="WYY1374" s="110"/>
      <c r="WYZ1374" s="110"/>
      <c r="WZA1374" s="110"/>
      <c r="WZB1374" s="110"/>
      <c r="WZC1374" s="110"/>
      <c r="WZD1374" s="110"/>
      <c r="WZE1374" s="110"/>
      <c r="WZF1374" s="110"/>
      <c r="WZG1374" s="110"/>
      <c r="WZH1374" s="110"/>
      <c r="WZI1374" s="110"/>
      <c r="WZJ1374" s="110"/>
      <c r="WZK1374" s="110"/>
      <c r="WZL1374" s="110"/>
      <c r="WZM1374" s="110"/>
      <c r="WZN1374" s="110"/>
      <c r="WZO1374" s="110"/>
      <c r="WZP1374" s="110"/>
      <c r="WZQ1374" s="110"/>
      <c r="WZR1374" s="110"/>
      <c r="WZS1374" s="110"/>
      <c r="WZT1374" s="110"/>
      <c r="WZU1374" s="110"/>
      <c r="WZV1374" s="110"/>
      <c r="WZW1374" s="110"/>
      <c r="WZX1374" s="110"/>
      <c r="WZY1374" s="110"/>
      <c r="WZZ1374" s="110"/>
      <c r="XAA1374" s="110"/>
      <c r="XAB1374" s="110"/>
      <c r="XAC1374" s="110"/>
      <c r="XAD1374" s="110"/>
      <c r="XAE1374" s="110"/>
      <c r="XAF1374" s="110"/>
      <c r="XAG1374" s="110"/>
      <c r="XAH1374" s="110"/>
      <c r="XAI1374" s="110"/>
      <c r="XAJ1374" s="110"/>
      <c r="XAK1374" s="110"/>
      <c r="XAL1374" s="110"/>
      <c r="XAM1374" s="110"/>
      <c r="XAN1374" s="110"/>
      <c r="XAO1374" s="110"/>
      <c r="XAP1374" s="110"/>
      <c r="XAQ1374" s="110"/>
      <c r="XAR1374" s="110"/>
      <c r="XAS1374" s="110"/>
      <c r="XAT1374" s="110"/>
      <c r="XAU1374" s="110"/>
      <c r="XAV1374" s="110"/>
      <c r="XAW1374" s="110"/>
      <c r="XAX1374" s="110"/>
      <c r="XAY1374" s="110"/>
      <c r="XAZ1374" s="110"/>
      <c r="XBA1374" s="110"/>
      <c r="XBB1374" s="110"/>
      <c r="XBC1374" s="110"/>
      <c r="XBD1374" s="110"/>
      <c r="XBE1374" s="110"/>
      <c r="XBF1374" s="110"/>
      <c r="XBG1374" s="110"/>
      <c r="XBH1374" s="110"/>
      <c r="XBI1374" s="110"/>
      <c r="XBJ1374" s="110"/>
      <c r="XBK1374" s="110"/>
      <c r="XBL1374" s="110"/>
      <c r="XBM1374" s="110"/>
      <c r="XBN1374" s="110"/>
      <c r="XBO1374" s="110"/>
      <c r="XBP1374" s="110"/>
      <c r="XBQ1374" s="110"/>
      <c r="XBR1374" s="110"/>
      <c r="XBS1374" s="110"/>
      <c r="XBT1374" s="110"/>
      <c r="XBU1374" s="110"/>
      <c r="XBV1374" s="110"/>
      <c r="XBW1374" s="110"/>
      <c r="XBX1374" s="110"/>
      <c r="XBY1374" s="110"/>
      <c r="XBZ1374" s="110"/>
      <c r="XCA1374" s="110"/>
      <c r="XCB1374" s="110"/>
      <c r="XCC1374" s="110"/>
      <c r="XCD1374" s="110"/>
      <c r="XCE1374" s="110"/>
      <c r="XCF1374" s="110"/>
      <c r="XCG1374" s="110"/>
      <c r="XCH1374" s="110"/>
      <c r="XCI1374" s="110"/>
      <c r="XCJ1374" s="110"/>
      <c r="XCK1374" s="110"/>
      <c r="XCL1374" s="110"/>
      <c r="XCM1374" s="110"/>
      <c r="XCN1374" s="110"/>
      <c r="XCO1374" s="110"/>
      <c r="XCP1374" s="110"/>
      <c r="XCQ1374" s="110"/>
      <c r="XCR1374" s="110"/>
      <c r="XCS1374" s="110"/>
      <c r="XCT1374" s="110"/>
      <c r="XCU1374" s="110"/>
      <c r="XCV1374" s="110"/>
      <c r="XCW1374" s="110"/>
      <c r="XCX1374" s="110"/>
      <c r="XCY1374" s="110"/>
      <c r="XCZ1374" s="110"/>
      <c r="XDA1374" s="110"/>
      <c r="XDB1374" s="110"/>
      <c r="XDC1374" s="110"/>
      <c r="XDD1374" s="110"/>
      <c r="XDE1374" s="110"/>
      <c r="XDF1374" s="110"/>
      <c r="XDG1374" s="110"/>
      <c r="XDH1374" s="110"/>
      <c r="XDI1374" s="110"/>
      <c r="XDJ1374" s="110"/>
      <c r="XDK1374" s="110"/>
      <c r="XDL1374" s="110"/>
      <c r="XDM1374" s="110"/>
      <c r="XDN1374" s="110"/>
      <c r="XDO1374" s="110"/>
      <c r="XDP1374" s="110"/>
      <c r="XDQ1374" s="110"/>
      <c r="XDR1374" s="110"/>
      <c r="XDS1374" s="110"/>
      <c r="XDT1374" s="110"/>
      <c r="XDU1374" s="110"/>
      <c r="XDV1374" s="110"/>
      <c r="XDW1374" s="110"/>
      <c r="XDX1374" s="110"/>
      <c r="XDY1374" s="110"/>
      <c r="XDZ1374" s="110"/>
      <c r="XEA1374" s="110"/>
      <c r="XEB1374" s="110"/>
      <c r="XEC1374" s="110"/>
      <c r="XED1374" s="110"/>
      <c r="XEE1374" s="110"/>
      <c r="XEF1374" s="110"/>
      <c r="XEG1374" s="110"/>
      <c r="XEH1374" s="110"/>
      <c r="XEI1374" s="110"/>
      <c r="XEJ1374" s="110"/>
      <c r="XEK1374" s="110"/>
      <c r="XEL1374" s="110"/>
      <c r="XEM1374" s="110"/>
      <c r="XEN1374" s="110"/>
      <c r="XEO1374" s="110"/>
      <c r="XEP1374" s="110"/>
      <c r="XEQ1374" s="110"/>
      <c r="XER1374" s="110"/>
      <c r="XES1374" s="110"/>
      <c r="XET1374" s="110"/>
      <c r="XEU1374" s="110"/>
      <c r="XEV1374" s="110"/>
      <c r="XEW1374" s="110"/>
      <c r="XEX1374" s="110"/>
      <c r="XEY1374" s="110"/>
      <c r="XEZ1374" s="110"/>
      <c r="XFA1374" s="110"/>
      <c r="XFB1374" s="110"/>
    </row>
    <row r="1375" spans="1:16382" s="216" customFormat="1" ht="11.25" customHeight="1" x14ac:dyDescent="0.15">
      <c r="A1375" s="53" t="s">
        <v>699</v>
      </c>
      <c r="B1375" s="53"/>
      <c r="C1375" s="54" t="s">
        <v>177</v>
      </c>
      <c r="D1375" s="54">
        <v>2023</v>
      </c>
      <c r="E1375" s="70">
        <v>45291</v>
      </c>
      <c r="F1375" s="54"/>
      <c r="G1375" s="54"/>
      <c r="H1375" s="54"/>
      <c r="I1375" s="54"/>
      <c r="J1375" s="54"/>
      <c r="K1375" s="106"/>
      <c r="L1375" s="24">
        <f>SUM(L1368:L1374)</f>
        <v>982066</v>
      </c>
      <c r="M1375" s="24">
        <f>SUM(M1368:M1374)</f>
        <v>305806.52</v>
      </c>
      <c r="N1375" s="24">
        <f>SUM(N1368:N1374)</f>
        <v>684335.22</v>
      </c>
      <c r="O1375" s="57">
        <f>IFERROR(N1375/L1375,"")</f>
        <v>0.69683220883321484</v>
      </c>
      <c r="P1375" s="24">
        <f>SUM(P1368:P1374)</f>
        <v>982066</v>
      </c>
      <c r="Q1375" s="24"/>
      <c r="R1375" s="117">
        <f t="shared" ref="R1375:W1375" si="965">SUM(R1368:R1371)</f>
        <v>670.5</v>
      </c>
      <c r="S1375" s="117">
        <f t="shared" si="965"/>
        <v>31377.11</v>
      </c>
      <c r="T1375" s="117">
        <f t="shared" si="965"/>
        <v>26314.81</v>
      </c>
      <c r="U1375" s="117">
        <f t="shared" si="965"/>
        <v>246288.43</v>
      </c>
      <c r="V1375" s="117">
        <f t="shared" si="965"/>
        <v>24431.82</v>
      </c>
      <c r="W1375" s="26">
        <f t="shared" si="965"/>
        <v>328656.51999999996</v>
      </c>
      <c r="X1375" s="56"/>
      <c r="Y1375" s="57">
        <f>IFERROR(U1375/P1375,0)</f>
        <v>0.25078602660106347</v>
      </c>
      <c r="Z1375" s="28">
        <f>P1375-W1375</f>
        <v>653409.48</v>
      </c>
      <c r="AA1375" s="57">
        <f>Z1375/P1375</f>
        <v>0.66534171837737988</v>
      </c>
      <c r="AB1375" s="58">
        <f>M1375-W1375</f>
        <v>-22849.999999999942</v>
      </c>
      <c r="AC1375" s="57">
        <f>IFERROR(AA1375-O1375,"")</f>
        <v>-3.1490490455834963E-2</v>
      </c>
      <c r="AD1375" s="53"/>
      <c r="AE1375" s="53"/>
      <c r="AF1375" s="53"/>
      <c r="AG1375" s="61"/>
      <c r="AH1375" s="53"/>
      <c r="AI1375" s="53"/>
      <c r="AJ1375" s="53"/>
      <c r="AK1375" s="53"/>
      <c r="AL1375" s="53"/>
      <c r="AM1375" s="53"/>
      <c r="AN1375" s="53"/>
      <c r="AO1375" s="53"/>
      <c r="AP1375" s="53"/>
      <c r="AQ1375" s="53"/>
      <c r="AR1375" s="53"/>
      <c r="AS1375" s="53"/>
      <c r="AT1375" s="53"/>
      <c r="AU1375" s="53"/>
      <c r="AV1375" s="53"/>
      <c r="AW1375" s="53"/>
      <c r="AX1375" s="53"/>
      <c r="AY1375" s="53"/>
      <c r="AZ1375" s="53"/>
      <c r="BA1375" s="53"/>
      <c r="BB1375" s="53"/>
      <c r="BC1375" s="53"/>
      <c r="BD1375" s="53"/>
      <c r="BE1375" s="53"/>
      <c r="BF1375" s="53"/>
      <c r="BG1375" s="53"/>
      <c r="BH1375" s="53"/>
      <c r="BI1375" s="53"/>
      <c r="BJ1375" s="53"/>
      <c r="BK1375" s="53"/>
      <c r="BL1375" s="53"/>
      <c r="BM1375" s="53"/>
      <c r="BN1375" s="53"/>
      <c r="BO1375" s="53"/>
      <c r="BP1375" s="53"/>
      <c r="BQ1375" s="53"/>
      <c r="BR1375" s="53"/>
      <c r="BS1375" s="53"/>
      <c r="BT1375" s="53"/>
      <c r="BU1375" s="53"/>
      <c r="BV1375" s="53"/>
      <c r="BW1375" s="53"/>
      <c r="BX1375" s="53"/>
      <c r="BY1375" s="53"/>
      <c r="BZ1375" s="53"/>
      <c r="CA1375" s="53"/>
      <c r="CB1375" s="53"/>
      <c r="CC1375" s="53"/>
      <c r="CD1375" s="53"/>
      <c r="CE1375" s="53"/>
      <c r="CF1375" s="53"/>
      <c r="CG1375" s="53"/>
      <c r="CH1375" s="53"/>
      <c r="CI1375" s="53"/>
      <c r="CJ1375" s="53"/>
      <c r="CK1375" s="53"/>
      <c r="CL1375" s="53"/>
      <c r="CM1375" s="53"/>
      <c r="CN1375" s="53"/>
      <c r="CO1375" s="53"/>
      <c r="CP1375" s="53"/>
      <c r="CQ1375" s="53"/>
      <c r="CR1375" s="53"/>
      <c r="CS1375" s="53"/>
      <c r="CT1375" s="53"/>
      <c r="CU1375" s="53"/>
      <c r="CV1375" s="53"/>
      <c r="CW1375" s="53"/>
      <c r="CX1375" s="53"/>
      <c r="CY1375" s="53"/>
      <c r="CZ1375" s="53"/>
      <c r="DA1375" s="53"/>
      <c r="DB1375" s="53"/>
      <c r="DC1375" s="53"/>
      <c r="DD1375" s="53"/>
      <c r="DE1375" s="53"/>
      <c r="DF1375" s="53"/>
      <c r="DG1375" s="53"/>
      <c r="DH1375" s="53"/>
      <c r="DI1375" s="53"/>
      <c r="DJ1375" s="53"/>
      <c r="DK1375" s="53"/>
      <c r="DL1375" s="53"/>
      <c r="DM1375" s="53"/>
      <c r="DN1375" s="53"/>
      <c r="DO1375" s="53"/>
      <c r="DP1375" s="53"/>
      <c r="DQ1375" s="53"/>
      <c r="DR1375" s="53"/>
      <c r="DS1375" s="53"/>
      <c r="DT1375" s="53"/>
      <c r="DU1375" s="53"/>
      <c r="DV1375" s="53"/>
      <c r="DW1375" s="53"/>
      <c r="DX1375" s="53"/>
      <c r="DY1375" s="53"/>
      <c r="DZ1375" s="53"/>
      <c r="EA1375" s="53"/>
      <c r="EB1375" s="53"/>
      <c r="EC1375" s="53"/>
      <c r="ED1375" s="53"/>
      <c r="EE1375" s="53"/>
      <c r="EF1375" s="53"/>
      <c r="EG1375" s="53"/>
      <c r="EH1375" s="53"/>
      <c r="EI1375" s="53"/>
      <c r="EJ1375" s="53"/>
      <c r="EK1375" s="53"/>
      <c r="EL1375" s="53"/>
      <c r="EM1375" s="53"/>
      <c r="EN1375" s="53"/>
      <c r="EO1375" s="53"/>
      <c r="EP1375" s="53"/>
      <c r="EQ1375" s="53"/>
      <c r="ER1375" s="53"/>
      <c r="ES1375" s="53"/>
      <c r="ET1375" s="53"/>
      <c r="EU1375" s="53"/>
      <c r="EV1375" s="53"/>
      <c r="EW1375" s="53"/>
      <c r="EX1375" s="53"/>
      <c r="EY1375" s="53"/>
      <c r="EZ1375" s="53"/>
      <c r="FA1375" s="53"/>
      <c r="FB1375" s="53"/>
      <c r="FC1375" s="53"/>
      <c r="FD1375" s="53"/>
      <c r="FE1375" s="53"/>
      <c r="FF1375" s="53"/>
      <c r="FG1375" s="53"/>
      <c r="FH1375" s="53"/>
      <c r="FI1375" s="53"/>
      <c r="FJ1375" s="53"/>
      <c r="FK1375" s="53"/>
      <c r="FL1375" s="53"/>
      <c r="FM1375" s="53"/>
      <c r="FN1375" s="53"/>
      <c r="FO1375" s="53"/>
      <c r="FP1375" s="53"/>
      <c r="FQ1375" s="53"/>
      <c r="FR1375" s="53"/>
      <c r="FS1375" s="53"/>
      <c r="FT1375" s="53"/>
      <c r="FU1375" s="53"/>
      <c r="FV1375" s="53"/>
      <c r="FW1375" s="53"/>
      <c r="FX1375" s="53"/>
      <c r="FY1375" s="53"/>
      <c r="FZ1375" s="53"/>
      <c r="GA1375" s="53"/>
      <c r="GB1375" s="53"/>
      <c r="GC1375" s="53"/>
      <c r="GD1375" s="53"/>
      <c r="GE1375" s="53"/>
      <c r="GF1375" s="53"/>
      <c r="GG1375" s="53"/>
      <c r="GH1375" s="53"/>
      <c r="GI1375" s="53"/>
      <c r="GJ1375" s="53"/>
      <c r="GK1375" s="53"/>
      <c r="GL1375" s="53"/>
      <c r="GM1375" s="53"/>
      <c r="GN1375" s="53"/>
      <c r="GO1375" s="53"/>
      <c r="GP1375" s="53"/>
      <c r="GQ1375" s="53"/>
      <c r="GR1375" s="53"/>
      <c r="GS1375" s="53"/>
      <c r="GT1375" s="53"/>
      <c r="GU1375" s="53"/>
      <c r="GV1375" s="53"/>
      <c r="GW1375" s="53"/>
      <c r="GX1375" s="53"/>
      <c r="GY1375" s="53"/>
      <c r="GZ1375" s="53"/>
      <c r="HA1375" s="53"/>
      <c r="HB1375" s="53"/>
      <c r="HC1375" s="53"/>
      <c r="HD1375" s="53"/>
      <c r="HE1375" s="53"/>
      <c r="HF1375" s="53"/>
      <c r="HG1375" s="53"/>
      <c r="HH1375" s="53"/>
      <c r="HI1375" s="53"/>
      <c r="HJ1375" s="53"/>
      <c r="HK1375" s="53"/>
      <c r="HL1375" s="53"/>
      <c r="HM1375" s="53"/>
      <c r="HN1375" s="53"/>
      <c r="HO1375" s="53"/>
      <c r="HP1375" s="53"/>
      <c r="HQ1375" s="53"/>
      <c r="HR1375" s="53"/>
      <c r="HS1375" s="53"/>
      <c r="HT1375" s="53"/>
      <c r="HU1375" s="53"/>
      <c r="HV1375" s="53"/>
      <c r="HW1375" s="53"/>
      <c r="HX1375" s="53"/>
      <c r="HY1375" s="53"/>
      <c r="HZ1375" s="53"/>
      <c r="IA1375" s="53"/>
      <c r="IB1375" s="53"/>
      <c r="IC1375" s="53"/>
      <c r="ID1375" s="53"/>
      <c r="IE1375" s="53"/>
      <c r="IF1375" s="53"/>
      <c r="IG1375" s="53"/>
      <c r="IH1375" s="53"/>
      <c r="II1375" s="53"/>
      <c r="IJ1375" s="53"/>
      <c r="IK1375" s="53"/>
      <c r="IL1375" s="53"/>
      <c r="IM1375" s="53"/>
      <c r="IN1375" s="53"/>
      <c r="IO1375" s="53"/>
      <c r="IP1375" s="53"/>
      <c r="IQ1375" s="53"/>
      <c r="IR1375" s="53"/>
      <c r="IS1375" s="53"/>
      <c r="IT1375" s="53"/>
      <c r="IU1375" s="53"/>
      <c r="IV1375" s="53"/>
      <c r="IW1375" s="53"/>
      <c r="IX1375" s="53"/>
      <c r="IY1375" s="53"/>
      <c r="IZ1375" s="53"/>
      <c r="JA1375" s="53"/>
      <c r="JB1375" s="53"/>
      <c r="JC1375" s="53"/>
      <c r="JD1375" s="53"/>
      <c r="JE1375" s="53"/>
      <c r="JF1375" s="53"/>
      <c r="JG1375" s="53"/>
      <c r="JH1375" s="53"/>
      <c r="JI1375" s="53"/>
      <c r="JJ1375" s="53"/>
      <c r="JK1375" s="53"/>
      <c r="JL1375" s="53"/>
      <c r="JM1375" s="53"/>
      <c r="JN1375" s="53"/>
      <c r="JO1375" s="53"/>
      <c r="JP1375" s="53"/>
      <c r="JQ1375" s="53"/>
      <c r="JR1375" s="53"/>
      <c r="JS1375" s="53"/>
      <c r="JT1375" s="53"/>
      <c r="JU1375" s="53"/>
      <c r="JV1375" s="53"/>
      <c r="JW1375" s="53"/>
      <c r="JX1375" s="53"/>
      <c r="JY1375" s="53"/>
      <c r="JZ1375" s="53"/>
      <c r="KA1375" s="53"/>
      <c r="KB1375" s="53"/>
      <c r="KC1375" s="53"/>
      <c r="KD1375" s="53"/>
      <c r="KE1375" s="53"/>
      <c r="KF1375" s="53"/>
      <c r="KG1375" s="53"/>
      <c r="KH1375" s="53"/>
      <c r="KI1375" s="53"/>
      <c r="KJ1375" s="53"/>
      <c r="KK1375" s="53"/>
      <c r="KL1375" s="53"/>
      <c r="KM1375" s="53"/>
      <c r="KN1375" s="53"/>
      <c r="KO1375" s="53"/>
      <c r="KP1375" s="53"/>
      <c r="KQ1375" s="53"/>
      <c r="KR1375" s="53"/>
      <c r="KS1375" s="53"/>
      <c r="KT1375" s="53"/>
      <c r="KU1375" s="53"/>
      <c r="KV1375" s="53"/>
      <c r="KW1375" s="53"/>
      <c r="KX1375" s="53"/>
      <c r="KY1375" s="53"/>
      <c r="KZ1375" s="53"/>
      <c r="LA1375" s="53"/>
      <c r="LB1375" s="53"/>
      <c r="LC1375" s="53"/>
      <c r="LD1375" s="53"/>
      <c r="LE1375" s="53"/>
      <c r="LF1375" s="53"/>
      <c r="LG1375" s="53"/>
      <c r="LH1375" s="53"/>
      <c r="LI1375" s="53"/>
      <c r="LJ1375" s="53"/>
      <c r="LK1375" s="53"/>
      <c r="LL1375" s="53"/>
      <c r="LM1375" s="53"/>
      <c r="LN1375" s="53"/>
      <c r="LO1375" s="53"/>
      <c r="LP1375" s="53"/>
      <c r="LQ1375" s="53"/>
      <c r="LR1375" s="53"/>
      <c r="LS1375" s="53"/>
      <c r="LT1375" s="53"/>
      <c r="LU1375" s="53"/>
      <c r="LV1375" s="53"/>
      <c r="LW1375" s="53"/>
      <c r="LX1375" s="53"/>
      <c r="LY1375" s="53"/>
      <c r="LZ1375" s="53"/>
      <c r="MA1375" s="53"/>
      <c r="MB1375" s="53"/>
      <c r="MC1375" s="53"/>
      <c r="MD1375" s="53"/>
      <c r="ME1375" s="53"/>
      <c r="MF1375" s="53"/>
      <c r="MG1375" s="53"/>
      <c r="MH1375" s="53"/>
      <c r="MI1375" s="53"/>
      <c r="MJ1375" s="53"/>
      <c r="MK1375" s="53"/>
      <c r="ML1375" s="53"/>
      <c r="MM1375" s="53"/>
      <c r="MN1375" s="53"/>
      <c r="MO1375" s="53"/>
      <c r="MP1375" s="53"/>
      <c r="MQ1375" s="53"/>
      <c r="MR1375" s="53"/>
      <c r="MS1375" s="53"/>
      <c r="MT1375" s="53"/>
      <c r="MU1375" s="53"/>
      <c r="MV1375" s="53"/>
      <c r="MW1375" s="53"/>
      <c r="MX1375" s="53"/>
      <c r="MY1375" s="53"/>
      <c r="MZ1375" s="53"/>
      <c r="NA1375" s="53"/>
      <c r="NB1375" s="53"/>
      <c r="NC1375" s="53"/>
      <c r="ND1375" s="53"/>
      <c r="NE1375" s="53"/>
      <c r="NF1375" s="53"/>
      <c r="NG1375" s="53"/>
      <c r="NH1375" s="53"/>
      <c r="NI1375" s="53"/>
      <c r="NJ1375" s="53"/>
      <c r="NK1375" s="53"/>
      <c r="NL1375" s="53"/>
      <c r="NM1375" s="53"/>
      <c r="NN1375" s="53"/>
      <c r="NO1375" s="53"/>
      <c r="NP1375" s="53"/>
      <c r="NQ1375" s="53"/>
      <c r="NR1375" s="53"/>
      <c r="NS1375" s="53"/>
      <c r="NT1375" s="53"/>
      <c r="NU1375" s="53"/>
      <c r="NV1375" s="53"/>
      <c r="NW1375" s="53"/>
      <c r="NX1375" s="53"/>
      <c r="NY1375" s="53"/>
      <c r="NZ1375" s="53"/>
      <c r="OA1375" s="53"/>
      <c r="OB1375" s="53"/>
      <c r="OC1375" s="53"/>
      <c r="OD1375" s="53"/>
      <c r="OE1375" s="53"/>
      <c r="OF1375" s="53"/>
      <c r="OG1375" s="53"/>
      <c r="OH1375" s="53"/>
      <c r="OI1375" s="53"/>
      <c r="OJ1375" s="53"/>
      <c r="OK1375" s="53"/>
      <c r="OL1375" s="53"/>
      <c r="OM1375" s="53"/>
      <c r="ON1375" s="53"/>
      <c r="OO1375" s="53"/>
      <c r="OP1375" s="53"/>
      <c r="OQ1375" s="53"/>
      <c r="OR1375" s="53"/>
      <c r="OS1375" s="53"/>
      <c r="OT1375" s="53"/>
      <c r="OU1375" s="53"/>
      <c r="OV1375" s="53"/>
      <c r="OW1375" s="53"/>
      <c r="OX1375" s="53"/>
      <c r="OY1375" s="53"/>
      <c r="OZ1375" s="53"/>
      <c r="PA1375" s="53"/>
      <c r="PB1375" s="53"/>
      <c r="PC1375" s="53"/>
      <c r="PD1375" s="53"/>
      <c r="PE1375" s="53"/>
      <c r="PF1375" s="53"/>
      <c r="PG1375" s="53"/>
      <c r="PH1375" s="53"/>
      <c r="PI1375" s="53"/>
      <c r="PJ1375" s="53"/>
      <c r="PK1375" s="53"/>
      <c r="PL1375" s="53"/>
      <c r="PM1375" s="53"/>
      <c r="PN1375" s="53"/>
      <c r="PO1375" s="53"/>
      <c r="PP1375" s="53"/>
      <c r="PQ1375" s="53"/>
      <c r="PR1375" s="53"/>
      <c r="PS1375" s="53"/>
      <c r="PT1375" s="53"/>
      <c r="PU1375" s="53"/>
      <c r="PV1375" s="53"/>
      <c r="PW1375" s="53"/>
      <c r="PX1375" s="53"/>
      <c r="PY1375" s="53"/>
      <c r="PZ1375" s="53"/>
      <c r="QA1375" s="53"/>
      <c r="QB1375" s="53"/>
      <c r="QC1375" s="53"/>
      <c r="QD1375" s="53"/>
      <c r="QE1375" s="53"/>
      <c r="QF1375" s="53"/>
      <c r="QG1375" s="53"/>
      <c r="QH1375" s="53"/>
      <c r="QI1375" s="53"/>
      <c r="QJ1375" s="53"/>
      <c r="QK1375" s="53"/>
      <c r="QL1375" s="53"/>
      <c r="QM1375" s="53"/>
      <c r="QN1375" s="53"/>
      <c r="QO1375" s="53"/>
      <c r="QP1375" s="53"/>
      <c r="QQ1375" s="53"/>
      <c r="QR1375" s="53"/>
      <c r="QS1375" s="53"/>
      <c r="QT1375" s="53"/>
      <c r="QU1375" s="53"/>
      <c r="QV1375" s="53"/>
      <c r="QW1375" s="53"/>
      <c r="QX1375" s="53"/>
      <c r="QY1375" s="53"/>
      <c r="QZ1375" s="53"/>
      <c r="RA1375" s="53"/>
      <c r="RB1375" s="53"/>
      <c r="RC1375" s="53"/>
      <c r="RD1375" s="53"/>
      <c r="RE1375" s="53"/>
      <c r="RF1375" s="53"/>
      <c r="RG1375" s="53"/>
      <c r="RH1375" s="53"/>
      <c r="RI1375" s="53"/>
      <c r="RJ1375" s="53"/>
      <c r="RK1375" s="53"/>
      <c r="RL1375" s="53"/>
      <c r="RM1375" s="53"/>
      <c r="RN1375" s="53"/>
      <c r="RO1375" s="53"/>
      <c r="RP1375" s="53"/>
      <c r="RQ1375" s="53"/>
      <c r="RR1375" s="53"/>
      <c r="RS1375" s="53"/>
      <c r="RT1375" s="53"/>
      <c r="RU1375" s="53"/>
      <c r="RV1375" s="53"/>
      <c r="RW1375" s="53"/>
      <c r="RX1375" s="53"/>
      <c r="RY1375" s="53"/>
      <c r="RZ1375" s="53"/>
      <c r="SA1375" s="53"/>
      <c r="SB1375" s="53"/>
      <c r="SC1375" s="53"/>
      <c r="SD1375" s="53"/>
      <c r="SE1375" s="53"/>
      <c r="SF1375" s="53"/>
      <c r="SG1375" s="53"/>
      <c r="SH1375" s="53"/>
      <c r="SI1375" s="53"/>
      <c r="SJ1375" s="53"/>
      <c r="SK1375" s="53"/>
      <c r="SL1375" s="53"/>
      <c r="SM1375" s="53"/>
      <c r="SN1375" s="53"/>
      <c r="SO1375" s="53"/>
      <c r="SP1375" s="53"/>
      <c r="SQ1375" s="53"/>
      <c r="SR1375" s="53"/>
      <c r="SS1375" s="53"/>
      <c r="ST1375" s="53"/>
      <c r="SU1375" s="53"/>
      <c r="SV1375" s="53"/>
      <c r="SW1375" s="53"/>
      <c r="SX1375" s="53"/>
      <c r="SY1375" s="53"/>
      <c r="SZ1375" s="53"/>
      <c r="TA1375" s="53"/>
      <c r="TB1375" s="53"/>
      <c r="TC1375" s="53"/>
      <c r="TD1375" s="53"/>
      <c r="TE1375" s="53"/>
      <c r="TF1375" s="53"/>
      <c r="TG1375" s="53"/>
      <c r="TH1375" s="53"/>
      <c r="TI1375" s="53"/>
      <c r="TJ1375" s="53"/>
      <c r="TK1375" s="53"/>
      <c r="TL1375" s="53"/>
      <c r="TM1375" s="53"/>
      <c r="TN1375" s="53"/>
      <c r="TO1375" s="53"/>
      <c r="TP1375" s="53"/>
      <c r="TQ1375" s="53"/>
      <c r="TR1375" s="53"/>
      <c r="TS1375" s="53"/>
      <c r="TT1375" s="53"/>
      <c r="TU1375" s="53"/>
      <c r="TV1375" s="53"/>
      <c r="TW1375" s="53"/>
      <c r="TX1375" s="53"/>
      <c r="TY1375" s="53"/>
      <c r="TZ1375" s="53"/>
      <c r="UA1375" s="53"/>
      <c r="UB1375" s="53"/>
      <c r="UC1375" s="53"/>
      <c r="UD1375" s="53"/>
      <c r="UE1375" s="53"/>
      <c r="UF1375" s="53"/>
      <c r="UG1375" s="53"/>
      <c r="UH1375" s="53"/>
      <c r="UI1375" s="53"/>
      <c r="UJ1375" s="53"/>
      <c r="UK1375" s="53"/>
      <c r="UL1375" s="53"/>
      <c r="UM1375" s="53"/>
      <c r="UN1375" s="53"/>
      <c r="UO1375" s="53"/>
      <c r="UP1375" s="53"/>
      <c r="UQ1375" s="53"/>
      <c r="UR1375" s="53"/>
      <c r="US1375" s="53"/>
      <c r="UT1375" s="53"/>
      <c r="UU1375" s="53"/>
      <c r="UV1375" s="53"/>
      <c r="UW1375" s="53"/>
      <c r="UX1375" s="53"/>
      <c r="UY1375" s="53"/>
      <c r="UZ1375" s="53"/>
      <c r="VA1375" s="53"/>
      <c r="VB1375" s="53"/>
      <c r="VC1375" s="53"/>
      <c r="VD1375" s="53"/>
      <c r="VE1375" s="53"/>
      <c r="VF1375" s="53"/>
      <c r="VG1375" s="53"/>
      <c r="VH1375" s="53"/>
      <c r="VI1375" s="53"/>
      <c r="VJ1375" s="53"/>
      <c r="VK1375" s="53"/>
      <c r="VL1375" s="53"/>
      <c r="VM1375" s="53"/>
      <c r="VN1375" s="53"/>
      <c r="VO1375" s="53"/>
      <c r="VP1375" s="53"/>
      <c r="VQ1375" s="53"/>
      <c r="VR1375" s="53"/>
      <c r="VS1375" s="53"/>
      <c r="VT1375" s="53"/>
      <c r="VU1375" s="53"/>
      <c r="VV1375" s="53"/>
      <c r="VW1375" s="53"/>
      <c r="VX1375" s="53"/>
      <c r="VY1375" s="53"/>
      <c r="VZ1375" s="53"/>
      <c r="WA1375" s="53"/>
      <c r="WB1375" s="53"/>
      <c r="WC1375" s="53"/>
      <c r="WD1375" s="53"/>
      <c r="WE1375" s="53"/>
      <c r="WF1375" s="53"/>
      <c r="WG1375" s="53"/>
      <c r="WH1375" s="53"/>
      <c r="WI1375" s="53"/>
      <c r="WJ1375" s="53"/>
      <c r="WK1375" s="53"/>
      <c r="WL1375" s="53"/>
      <c r="WM1375" s="53"/>
      <c r="WN1375" s="53"/>
      <c r="WO1375" s="53"/>
      <c r="WP1375" s="53"/>
      <c r="WQ1375" s="53"/>
      <c r="WR1375" s="53"/>
      <c r="WS1375" s="53"/>
      <c r="WT1375" s="53"/>
      <c r="WU1375" s="53"/>
      <c r="WV1375" s="53"/>
      <c r="WW1375" s="53"/>
      <c r="WX1375" s="53"/>
      <c r="WY1375" s="53"/>
      <c r="WZ1375" s="53"/>
      <c r="XA1375" s="53"/>
      <c r="XB1375" s="53"/>
      <c r="XC1375" s="53"/>
      <c r="XD1375" s="53"/>
      <c r="XE1375" s="53"/>
      <c r="XF1375" s="53"/>
      <c r="XG1375" s="53"/>
      <c r="XH1375" s="53"/>
      <c r="XI1375" s="53"/>
      <c r="XJ1375" s="53"/>
      <c r="XK1375" s="53"/>
      <c r="XL1375" s="53"/>
      <c r="XM1375" s="53"/>
      <c r="XN1375" s="53"/>
      <c r="XO1375" s="53"/>
      <c r="XP1375" s="53"/>
      <c r="XQ1375" s="53"/>
      <c r="XR1375" s="53"/>
      <c r="XS1375" s="53"/>
      <c r="XT1375" s="53"/>
      <c r="XU1375" s="53"/>
      <c r="XV1375" s="53"/>
      <c r="XW1375" s="53"/>
      <c r="XX1375" s="53"/>
      <c r="XY1375" s="53"/>
      <c r="XZ1375" s="53"/>
      <c r="YA1375" s="53"/>
      <c r="YB1375" s="53"/>
      <c r="YC1375" s="53"/>
      <c r="YD1375" s="53"/>
      <c r="YE1375" s="53"/>
      <c r="YF1375" s="53"/>
      <c r="YG1375" s="53"/>
      <c r="YH1375" s="53"/>
      <c r="YI1375" s="53"/>
      <c r="YJ1375" s="53"/>
      <c r="YK1375" s="53"/>
      <c r="YL1375" s="53"/>
      <c r="YM1375" s="53"/>
      <c r="YN1375" s="53"/>
      <c r="YO1375" s="53"/>
      <c r="YP1375" s="53"/>
      <c r="YQ1375" s="53"/>
      <c r="YR1375" s="53"/>
      <c r="YS1375" s="53"/>
      <c r="YT1375" s="53"/>
      <c r="YU1375" s="53"/>
      <c r="YV1375" s="53"/>
      <c r="YW1375" s="53"/>
      <c r="YX1375" s="53"/>
      <c r="YY1375" s="53"/>
      <c r="YZ1375" s="53"/>
      <c r="ZA1375" s="53"/>
      <c r="ZB1375" s="53"/>
      <c r="ZC1375" s="53"/>
      <c r="ZD1375" s="53"/>
      <c r="ZE1375" s="53"/>
      <c r="ZF1375" s="53"/>
      <c r="ZG1375" s="53"/>
      <c r="ZH1375" s="53"/>
      <c r="ZI1375" s="53"/>
      <c r="ZJ1375" s="53"/>
      <c r="ZK1375" s="53"/>
      <c r="ZL1375" s="53"/>
      <c r="ZM1375" s="53"/>
      <c r="ZN1375" s="53"/>
      <c r="ZO1375" s="53"/>
      <c r="ZP1375" s="53"/>
      <c r="ZQ1375" s="53"/>
      <c r="ZR1375" s="53"/>
      <c r="ZS1375" s="53"/>
      <c r="ZT1375" s="53"/>
      <c r="ZU1375" s="53"/>
      <c r="ZV1375" s="53"/>
      <c r="ZW1375" s="53"/>
      <c r="ZX1375" s="53"/>
      <c r="ZY1375" s="53"/>
      <c r="ZZ1375" s="53"/>
      <c r="AAA1375" s="53"/>
      <c r="AAB1375" s="53"/>
      <c r="AAC1375" s="53"/>
      <c r="AAD1375" s="53"/>
      <c r="AAE1375" s="53"/>
      <c r="AAF1375" s="53"/>
      <c r="AAG1375" s="53"/>
      <c r="AAH1375" s="53"/>
      <c r="AAI1375" s="53"/>
      <c r="AAJ1375" s="53"/>
      <c r="AAK1375" s="53"/>
      <c r="AAL1375" s="53"/>
      <c r="AAM1375" s="53"/>
      <c r="AAN1375" s="53"/>
      <c r="AAO1375" s="53"/>
      <c r="AAP1375" s="53"/>
      <c r="AAQ1375" s="53"/>
      <c r="AAR1375" s="53"/>
      <c r="AAS1375" s="53"/>
      <c r="AAT1375" s="53"/>
      <c r="AAU1375" s="53"/>
      <c r="AAV1375" s="53"/>
      <c r="AAW1375" s="53"/>
      <c r="AAX1375" s="53"/>
      <c r="AAY1375" s="53"/>
      <c r="AAZ1375" s="53"/>
      <c r="ABA1375" s="53"/>
      <c r="ABB1375" s="53"/>
      <c r="ABC1375" s="53"/>
      <c r="ABD1375" s="53"/>
      <c r="ABE1375" s="53"/>
      <c r="ABF1375" s="53"/>
      <c r="ABG1375" s="53"/>
      <c r="ABH1375" s="53"/>
      <c r="ABI1375" s="53"/>
      <c r="ABJ1375" s="53"/>
      <c r="ABK1375" s="53"/>
      <c r="ABL1375" s="53"/>
      <c r="ABM1375" s="53"/>
      <c r="ABN1375" s="53"/>
      <c r="ABO1375" s="53"/>
      <c r="ABP1375" s="53"/>
      <c r="ABQ1375" s="53"/>
      <c r="ABR1375" s="53"/>
      <c r="ABS1375" s="53"/>
      <c r="ABT1375" s="53"/>
      <c r="ABU1375" s="53"/>
      <c r="ABV1375" s="53"/>
      <c r="ABW1375" s="53"/>
      <c r="ABX1375" s="53"/>
      <c r="ABY1375" s="53"/>
      <c r="ABZ1375" s="53"/>
      <c r="ACA1375" s="53"/>
      <c r="ACB1375" s="53"/>
      <c r="ACC1375" s="53"/>
      <c r="ACD1375" s="53"/>
      <c r="ACE1375" s="53"/>
      <c r="ACF1375" s="53"/>
      <c r="ACG1375" s="53"/>
      <c r="ACH1375" s="53"/>
      <c r="ACI1375" s="53"/>
      <c r="ACJ1375" s="53"/>
      <c r="ACK1375" s="53"/>
      <c r="ACL1375" s="53"/>
      <c r="ACM1375" s="53"/>
      <c r="ACN1375" s="53"/>
      <c r="ACO1375" s="53"/>
      <c r="ACP1375" s="53"/>
      <c r="ACQ1375" s="53"/>
      <c r="ACR1375" s="53"/>
      <c r="ACS1375" s="53"/>
      <c r="ACT1375" s="53"/>
      <c r="ACU1375" s="53"/>
      <c r="ACV1375" s="53"/>
      <c r="ACW1375" s="53"/>
      <c r="ACX1375" s="53"/>
      <c r="ACY1375" s="53"/>
      <c r="ACZ1375" s="53"/>
      <c r="ADA1375" s="53"/>
      <c r="ADB1375" s="53"/>
      <c r="ADC1375" s="53"/>
      <c r="ADD1375" s="53"/>
      <c r="ADE1375" s="53"/>
      <c r="ADF1375" s="53"/>
      <c r="ADG1375" s="53"/>
      <c r="ADH1375" s="53"/>
      <c r="ADI1375" s="53"/>
      <c r="ADJ1375" s="53"/>
      <c r="ADK1375" s="53"/>
      <c r="ADL1375" s="53"/>
      <c r="ADM1375" s="53"/>
      <c r="ADN1375" s="53"/>
      <c r="ADO1375" s="53"/>
      <c r="ADP1375" s="53"/>
      <c r="ADQ1375" s="53"/>
      <c r="ADR1375" s="53"/>
      <c r="ADS1375" s="53"/>
      <c r="ADT1375" s="53"/>
      <c r="ADU1375" s="53"/>
      <c r="ADV1375" s="53"/>
      <c r="ADW1375" s="53"/>
      <c r="ADX1375" s="53"/>
      <c r="ADY1375" s="53"/>
      <c r="ADZ1375" s="53"/>
      <c r="AEA1375" s="53"/>
      <c r="AEB1375" s="53"/>
      <c r="AEC1375" s="53"/>
      <c r="AED1375" s="53"/>
      <c r="AEE1375" s="53"/>
      <c r="AEF1375" s="53"/>
      <c r="AEG1375" s="53"/>
      <c r="AEH1375" s="53"/>
      <c r="AEI1375" s="53"/>
      <c r="AEJ1375" s="53"/>
      <c r="AEK1375" s="53"/>
      <c r="AEL1375" s="53"/>
      <c r="AEM1375" s="53"/>
      <c r="AEN1375" s="53"/>
      <c r="AEO1375" s="53"/>
      <c r="AEP1375" s="53"/>
      <c r="AEQ1375" s="53"/>
      <c r="AER1375" s="53"/>
      <c r="AES1375" s="53"/>
      <c r="AET1375" s="53"/>
      <c r="AEU1375" s="53"/>
      <c r="AEV1375" s="53"/>
      <c r="AEW1375" s="53"/>
      <c r="AEX1375" s="53"/>
      <c r="AEY1375" s="53"/>
      <c r="AEZ1375" s="53"/>
      <c r="AFA1375" s="53"/>
      <c r="AFB1375" s="53"/>
      <c r="AFC1375" s="53"/>
      <c r="AFD1375" s="53"/>
      <c r="AFE1375" s="53"/>
      <c r="AFF1375" s="53"/>
      <c r="AFG1375" s="53"/>
      <c r="AFH1375" s="53"/>
      <c r="AFI1375" s="53"/>
      <c r="AFJ1375" s="53"/>
      <c r="AFK1375" s="53"/>
      <c r="AFL1375" s="53"/>
      <c r="AFM1375" s="53"/>
      <c r="AFN1375" s="53"/>
      <c r="AFO1375" s="53"/>
      <c r="AFP1375" s="53"/>
      <c r="AFQ1375" s="53"/>
      <c r="AFR1375" s="53"/>
      <c r="AFS1375" s="53"/>
      <c r="AFT1375" s="53"/>
      <c r="AFU1375" s="53"/>
      <c r="AFV1375" s="53"/>
      <c r="AFW1375" s="53"/>
      <c r="AFX1375" s="53"/>
      <c r="AFY1375" s="53"/>
      <c r="AFZ1375" s="53"/>
      <c r="AGA1375" s="53"/>
      <c r="AGB1375" s="53"/>
      <c r="AGC1375" s="53"/>
      <c r="AGD1375" s="53"/>
      <c r="AGE1375" s="53"/>
      <c r="AGF1375" s="53"/>
      <c r="AGG1375" s="53"/>
      <c r="AGH1375" s="53"/>
      <c r="AGI1375" s="53"/>
      <c r="AGJ1375" s="53"/>
      <c r="AGK1375" s="53"/>
      <c r="AGL1375" s="53"/>
      <c r="AGM1375" s="53"/>
      <c r="AGN1375" s="53"/>
      <c r="AGO1375" s="53"/>
      <c r="AGP1375" s="53"/>
      <c r="AGQ1375" s="53"/>
      <c r="AGR1375" s="53"/>
      <c r="AGS1375" s="53"/>
      <c r="AGT1375" s="53"/>
      <c r="AGU1375" s="53"/>
      <c r="AGV1375" s="53"/>
      <c r="AGW1375" s="53"/>
      <c r="AGX1375" s="53"/>
      <c r="AGY1375" s="53"/>
      <c r="AGZ1375" s="53"/>
      <c r="AHA1375" s="53"/>
      <c r="AHB1375" s="53"/>
      <c r="AHC1375" s="53"/>
      <c r="AHD1375" s="53"/>
      <c r="AHE1375" s="53"/>
      <c r="AHF1375" s="53"/>
      <c r="AHG1375" s="53"/>
      <c r="AHH1375" s="53"/>
      <c r="AHI1375" s="53"/>
      <c r="AHJ1375" s="53"/>
      <c r="AHK1375" s="53"/>
      <c r="AHL1375" s="53"/>
      <c r="AHM1375" s="53"/>
      <c r="AHN1375" s="53"/>
      <c r="AHO1375" s="53"/>
      <c r="AHP1375" s="53"/>
      <c r="AHQ1375" s="53"/>
      <c r="AHR1375" s="53"/>
      <c r="AHS1375" s="53"/>
      <c r="AHT1375" s="53"/>
      <c r="AHU1375" s="53"/>
      <c r="AHV1375" s="53"/>
      <c r="AHW1375" s="53"/>
      <c r="AHX1375" s="53"/>
      <c r="AHY1375" s="53"/>
      <c r="AHZ1375" s="53"/>
      <c r="AIA1375" s="53"/>
      <c r="AIB1375" s="53"/>
      <c r="AIC1375" s="53"/>
      <c r="AID1375" s="53"/>
      <c r="AIE1375" s="53"/>
      <c r="AIF1375" s="53"/>
      <c r="AIG1375" s="53"/>
      <c r="AIH1375" s="53"/>
      <c r="AII1375" s="53"/>
      <c r="AIJ1375" s="53"/>
      <c r="AIK1375" s="53"/>
      <c r="AIL1375" s="53"/>
      <c r="AIM1375" s="53"/>
      <c r="AIN1375" s="53"/>
      <c r="AIO1375" s="53"/>
      <c r="AIP1375" s="53"/>
      <c r="AIQ1375" s="53"/>
      <c r="AIR1375" s="53"/>
      <c r="AIS1375" s="53"/>
      <c r="AIT1375" s="53"/>
      <c r="AIU1375" s="53"/>
      <c r="AIV1375" s="53"/>
      <c r="AIW1375" s="53"/>
      <c r="AIX1375" s="53"/>
      <c r="AIY1375" s="53"/>
      <c r="AIZ1375" s="53"/>
      <c r="AJA1375" s="53"/>
      <c r="AJB1375" s="53"/>
      <c r="AJC1375" s="53"/>
      <c r="AJD1375" s="53"/>
      <c r="AJE1375" s="53"/>
      <c r="AJF1375" s="53"/>
      <c r="AJG1375" s="53"/>
      <c r="AJH1375" s="53"/>
      <c r="AJI1375" s="53"/>
      <c r="AJJ1375" s="53"/>
      <c r="AJK1375" s="53"/>
      <c r="AJL1375" s="53"/>
      <c r="AJM1375" s="53"/>
      <c r="AJN1375" s="53"/>
      <c r="AJO1375" s="53"/>
      <c r="AJP1375" s="53"/>
      <c r="AJQ1375" s="53"/>
      <c r="AJR1375" s="53"/>
      <c r="AJS1375" s="53"/>
      <c r="AJT1375" s="53"/>
      <c r="AJU1375" s="53"/>
      <c r="AJV1375" s="53"/>
      <c r="AJW1375" s="53"/>
      <c r="AJX1375" s="53"/>
      <c r="AJY1375" s="53"/>
      <c r="AJZ1375" s="53"/>
      <c r="AKA1375" s="53"/>
      <c r="AKB1375" s="53"/>
      <c r="AKC1375" s="53"/>
      <c r="AKD1375" s="53"/>
      <c r="AKE1375" s="53"/>
      <c r="AKF1375" s="53"/>
      <c r="AKG1375" s="53"/>
      <c r="AKH1375" s="53"/>
      <c r="AKI1375" s="53"/>
      <c r="AKJ1375" s="53"/>
      <c r="AKK1375" s="53"/>
      <c r="AKL1375" s="53"/>
      <c r="AKM1375" s="53"/>
      <c r="AKN1375" s="53"/>
      <c r="AKO1375" s="53"/>
      <c r="AKP1375" s="53"/>
      <c r="AKQ1375" s="53"/>
      <c r="AKR1375" s="53"/>
      <c r="AKS1375" s="53"/>
      <c r="AKT1375" s="53"/>
      <c r="AKU1375" s="53"/>
      <c r="AKV1375" s="53"/>
      <c r="AKW1375" s="53"/>
      <c r="AKX1375" s="53"/>
      <c r="AKY1375" s="53"/>
      <c r="AKZ1375" s="53"/>
      <c r="ALA1375" s="53"/>
      <c r="ALB1375" s="53"/>
      <c r="ALC1375" s="53"/>
      <c r="ALD1375" s="53"/>
      <c r="ALE1375" s="53"/>
      <c r="ALF1375" s="53"/>
      <c r="ALG1375" s="53"/>
      <c r="ALH1375" s="53"/>
      <c r="ALI1375" s="53"/>
      <c r="ALJ1375" s="53"/>
      <c r="ALK1375" s="53"/>
      <c r="ALL1375" s="53"/>
      <c r="ALM1375" s="53"/>
      <c r="ALN1375" s="53"/>
      <c r="ALO1375" s="53"/>
      <c r="ALP1375" s="53"/>
      <c r="ALQ1375" s="53"/>
      <c r="ALR1375" s="53"/>
      <c r="ALS1375" s="53"/>
      <c r="ALT1375" s="53"/>
      <c r="ALU1375" s="53"/>
      <c r="ALV1375" s="53"/>
      <c r="ALW1375" s="53"/>
      <c r="ALX1375" s="53"/>
      <c r="ALY1375" s="53"/>
      <c r="ALZ1375" s="53"/>
      <c r="AMA1375" s="53"/>
      <c r="AMB1375" s="53"/>
      <c r="AMC1375" s="53"/>
      <c r="AMD1375" s="53"/>
      <c r="AME1375" s="53"/>
      <c r="AMF1375" s="53"/>
      <c r="AMG1375" s="53"/>
      <c r="AMH1375" s="53"/>
      <c r="AMI1375" s="53"/>
      <c r="AMJ1375" s="53"/>
      <c r="AMK1375" s="53"/>
      <c r="AML1375" s="53"/>
      <c r="AMM1375" s="53"/>
      <c r="AMN1375" s="53"/>
      <c r="AMO1375" s="53"/>
      <c r="AMP1375" s="53"/>
      <c r="AMQ1375" s="53"/>
      <c r="AMR1375" s="53"/>
      <c r="AMS1375" s="53"/>
      <c r="AMT1375" s="53"/>
      <c r="AMU1375" s="53"/>
      <c r="AMV1375" s="53"/>
      <c r="AMW1375" s="53"/>
      <c r="AMX1375" s="53"/>
      <c r="AMY1375" s="53"/>
      <c r="AMZ1375" s="53"/>
      <c r="ANA1375" s="53"/>
      <c r="ANB1375" s="53"/>
      <c r="ANC1375" s="53"/>
      <c r="AND1375" s="53"/>
      <c r="ANE1375" s="53"/>
      <c r="ANF1375" s="53"/>
      <c r="ANG1375" s="53"/>
      <c r="ANH1375" s="53"/>
      <c r="ANI1375" s="53"/>
      <c r="ANJ1375" s="53"/>
      <c r="ANK1375" s="53"/>
      <c r="ANL1375" s="53"/>
      <c r="ANM1375" s="53"/>
      <c r="ANN1375" s="53"/>
      <c r="ANO1375" s="53"/>
      <c r="ANP1375" s="53"/>
      <c r="ANQ1375" s="53"/>
      <c r="ANR1375" s="53"/>
      <c r="ANS1375" s="53"/>
      <c r="ANT1375" s="53"/>
      <c r="ANU1375" s="53"/>
      <c r="ANV1375" s="53"/>
      <c r="ANW1375" s="53"/>
      <c r="ANX1375" s="53"/>
      <c r="ANY1375" s="53"/>
      <c r="ANZ1375" s="53"/>
      <c r="AOA1375" s="53"/>
      <c r="AOB1375" s="53"/>
      <c r="AOC1375" s="53"/>
      <c r="AOD1375" s="53"/>
      <c r="AOE1375" s="53"/>
      <c r="AOF1375" s="53"/>
      <c r="AOG1375" s="53"/>
      <c r="AOH1375" s="53"/>
      <c r="AOI1375" s="53"/>
      <c r="AOJ1375" s="53"/>
      <c r="AOK1375" s="53"/>
      <c r="AOL1375" s="53"/>
      <c r="AOM1375" s="53"/>
      <c r="AON1375" s="53"/>
      <c r="AOO1375" s="53"/>
      <c r="AOP1375" s="53"/>
      <c r="AOQ1375" s="53"/>
      <c r="AOR1375" s="53"/>
      <c r="AOS1375" s="53"/>
      <c r="AOT1375" s="53"/>
      <c r="AOU1375" s="53"/>
      <c r="AOV1375" s="53"/>
      <c r="AOW1375" s="53"/>
      <c r="AOX1375" s="53"/>
      <c r="AOY1375" s="53"/>
      <c r="AOZ1375" s="53"/>
      <c r="APA1375" s="53"/>
      <c r="APB1375" s="53"/>
      <c r="APC1375" s="53"/>
      <c r="APD1375" s="53"/>
      <c r="APE1375" s="53"/>
      <c r="APF1375" s="53"/>
      <c r="APG1375" s="53"/>
      <c r="APH1375" s="53"/>
      <c r="API1375" s="53"/>
      <c r="APJ1375" s="53"/>
      <c r="APK1375" s="53"/>
      <c r="APL1375" s="53"/>
      <c r="APM1375" s="53"/>
      <c r="APN1375" s="53"/>
      <c r="APO1375" s="53"/>
      <c r="APP1375" s="53"/>
      <c r="APQ1375" s="53"/>
      <c r="APR1375" s="53"/>
      <c r="APS1375" s="53"/>
      <c r="APT1375" s="53"/>
      <c r="APU1375" s="53"/>
      <c r="APV1375" s="53"/>
      <c r="APW1375" s="53"/>
      <c r="APX1375" s="53"/>
      <c r="APY1375" s="53"/>
      <c r="APZ1375" s="53"/>
      <c r="AQA1375" s="53"/>
      <c r="AQB1375" s="53"/>
      <c r="AQC1375" s="53"/>
      <c r="AQD1375" s="53"/>
      <c r="AQE1375" s="53"/>
      <c r="AQF1375" s="53"/>
      <c r="AQG1375" s="53"/>
      <c r="AQH1375" s="53"/>
      <c r="AQI1375" s="53"/>
      <c r="AQJ1375" s="53"/>
      <c r="AQK1375" s="53"/>
      <c r="AQL1375" s="53"/>
      <c r="AQM1375" s="53"/>
      <c r="AQN1375" s="53"/>
      <c r="AQO1375" s="53"/>
      <c r="AQP1375" s="53"/>
      <c r="AQQ1375" s="53"/>
      <c r="AQR1375" s="53"/>
      <c r="AQS1375" s="53"/>
      <c r="AQT1375" s="53"/>
      <c r="AQU1375" s="53"/>
      <c r="AQV1375" s="53"/>
      <c r="AQW1375" s="53"/>
      <c r="AQX1375" s="53"/>
      <c r="AQY1375" s="53"/>
      <c r="AQZ1375" s="53"/>
      <c r="ARA1375" s="53"/>
      <c r="ARB1375" s="53"/>
      <c r="ARC1375" s="53"/>
      <c r="ARD1375" s="53"/>
      <c r="ARE1375" s="53"/>
      <c r="ARF1375" s="53"/>
      <c r="ARG1375" s="53"/>
      <c r="ARH1375" s="53"/>
      <c r="ARI1375" s="53"/>
      <c r="ARJ1375" s="53"/>
      <c r="ARK1375" s="53"/>
      <c r="ARL1375" s="53"/>
      <c r="ARM1375" s="53"/>
      <c r="ARN1375" s="53"/>
      <c r="ARO1375" s="53"/>
      <c r="ARP1375" s="53"/>
      <c r="ARQ1375" s="53"/>
      <c r="ARR1375" s="53"/>
      <c r="ARS1375" s="53"/>
      <c r="ART1375" s="53"/>
      <c r="ARU1375" s="53"/>
      <c r="ARV1375" s="53"/>
      <c r="ARW1375" s="53"/>
      <c r="ARX1375" s="53"/>
      <c r="ARY1375" s="53"/>
      <c r="ARZ1375" s="53"/>
      <c r="ASA1375" s="53"/>
      <c r="ASB1375" s="53"/>
      <c r="ASC1375" s="53"/>
      <c r="ASD1375" s="53"/>
      <c r="ASE1375" s="53"/>
      <c r="ASF1375" s="53"/>
      <c r="ASG1375" s="53"/>
      <c r="ASH1375" s="53"/>
      <c r="ASI1375" s="53"/>
      <c r="ASJ1375" s="53"/>
      <c r="ASK1375" s="53"/>
      <c r="ASL1375" s="53"/>
      <c r="ASM1375" s="53"/>
      <c r="ASN1375" s="53"/>
      <c r="ASO1375" s="53"/>
      <c r="ASP1375" s="53"/>
      <c r="ASQ1375" s="53"/>
      <c r="ASR1375" s="53"/>
      <c r="ASS1375" s="53"/>
      <c r="AST1375" s="53"/>
      <c r="ASU1375" s="53"/>
      <c r="ASV1375" s="53"/>
      <c r="ASW1375" s="53"/>
      <c r="ASX1375" s="53"/>
      <c r="ASY1375" s="53"/>
      <c r="ASZ1375" s="53"/>
      <c r="ATA1375" s="53"/>
      <c r="ATB1375" s="53"/>
      <c r="ATC1375" s="53"/>
      <c r="ATD1375" s="53"/>
      <c r="ATE1375" s="53"/>
      <c r="ATF1375" s="53"/>
      <c r="ATG1375" s="53"/>
      <c r="ATH1375" s="53"/>
      <c r="ATI1375" s="53"/>
      <c r="ATJ1375" s="53"/>
      <c r="ATK1375" s="53"/>
      <c r="ATL1375" s="53"/>
      <c r="ATM1375" s="53"/>
      <c r="ATN1375" s="53"/>
      <c r="ATO1375" s="53"/>
      <c r="ATP1375" s="53"/>
      <c r="ATQ1375" s="53"/>
      <c r="ATR1375" s="53"/>
      <c r="ATS1375" s="53"/>
      <c r="ATT1375" s="53"/>
      <c r="ATU1375" s="53"/>
      <c r="ATV1375" s="53"/>
      <c r="ATW1375" s="53"/>
      <c r="ATX1375" s="53"/>
      <c r="ATY1375" s="53"/>
      <c r="ATZ1375" s="53"/>
      <c r="AUA1375" s="53"/>
      <c r="AUB1375" s="53"/>
      <c r="AUC1375" s="53"/>
      <c r="AUD1375" s="53"/>
      <c r="AUE1375" s="53"/>
      <c r="AUF1375" s="53"/>
      <c r="AUG1375" s="53"/>
      <c r="AUH1375" s="53"/>
      <c r="AUI1375" s="53"/>
      <c r="AUJ1375" s="53"/>
      <c r="AUK1375" s="53"/>
      <c r="AUL1375" s="53"/>
      <c r="AUM1375" s="53"/>
      <c r="AUN1375" s="53"/>
      <c r="AUO1375" s="53"/>
      <c r="AUP1375" s="53"/>
      <c r="AUQ1375" s="53"/>
      <c r="AUR1375" s="53"/>
      <c r="AUS1375" s="53"/>
      <c r="AUT1375" s="53"/>
      <c r="AUU1375" s="53"/>
      <c r="AUV1375" s="53"/>
      <c r="AUW1375" s="53"/>
      <c r="AUX1375" s="53"/>
      <c r="AUY1375" s="53"/>
      <c r="AUZ1375" s="53"/>
      <c r="AVA1375" s="53"/>
      <c r="AVB1375" s="53"/>
      <c r="AVC1375" s="53"/>
      <c r="AVD1375" s="53"/>
      <c r="AVE1375" s="53"/>
      <c r="AVF1375" s="53"/>
      <c r="AVG1375" s="53"/>
      <c r="AVH1375" s="53"/>
      <c r="AVI1375" s="53"/>
      <c r="AVJ1375" s="53"/>
      <c r="AVK1375" s="53"/>
      <c r="AVL1375" s="53"/>
      <c r="AVM1375" s="53"/>
      <c r="AVN1375" s="53"/>
      <c r="AVO1375" s="53"/>
      <c r="AVP1375" s="53"/>
      <c r="AVQ1375" s="53"/>
      <c r="AVR1375" s="53"/>
      <c r="AVS1375" s="53"/>
      <c r="AVT1375" s="53"/>
      <c r="AVU1375" s="53"/>
      <c r="AVV1375" s="53"/>
      <c r="AVW1375" s="53"/>
      <c r="AVX1375" s="53"/>
      <c r="AVY1375" s="53"/>
      <c r="AVZ1375" s="53"/>
      <c r="AWA1375" s="53"/>
      <c r="AWB1375" s="53"/>
      <c r="AWC1375" s="53"/>
      <c r="AWD1375" s="53"/>
      <c r="AWE1375" s="53"/>
      <c r="AWF1375" s="53"/>
      <c r="AWG1375" s="53"/>
      <c r="AWH1375" s="53"/>
      <c r="AWI1375" s="53"/>
      <c r="AWJ1375" s="53"/>
      <c r="AWK1375" s="53"/>
      <c r="AWL1375" s="53"/>
      <c r="AWM1375" s="53"/>
      <c r="AWN1375" s="53"/>
      <c r="AWO1375" s="53"/>
      <c r="AWP1375" s="53"/>
      <c r="AWQ1375" s="53"/>
      <c r="AWR1375" s="53"/>
      <c r="AWS1375" s="53"/>
      <c r="AWT1375" s="53"/>
      <c r="AWU1375" s="53"/>
      <c r="AWV1375" s="53"/>
      <c r="AWW1375" s="53"/>
      <c r="AWX1375" s="53"/>
      <c r="AWY1375" s="53"/>
      <c r="AWZ1375" s="53"/>
      <c r="AXA1375" s="53"/>
      <c r="AXB1375" s="53"/>
      <c r="AXC1375" s="53"/>
      <c r="AXD1375" s="53"/>
      <c r="AXE1375" s="53"/>
      <c r="AXF1375" s="53"/>
      <c r="AXG1375" s="53"/>
      <c r="AXH1375" s="53"/>
      <c r="AXI1375" s="53"/>
      <c r="AXJ1375" s="53"/>
      <c r="AXK1375" s="53"/>
      <c r="AXL1375" s="53"/>
      <c r="AXM1375" s="53"/>
      <c r="AXN1375" s="53"/>
      <c r="AXO1375" s="53"/>
      <c r="AXP1375" s="53"/>
      <c r="AXQ1375" s="53"/>
      <c r="AXR1375" s="53"/>
      <c r="AXS1375" s="53"/>
      <c r="AXT1375" s="53"/>
      <c r="AXU1375" s="53"/>
      <c r="AXV1375" s="53"/>
      <c r="AXW1375" s="53"/>
      <c r="AXX1375" s="53"/>
      <c r="AXY1375" s="53"/>
      <c r="AXZ1375" s="53"/>
      <c r="AYA1375" s="53"/>
      <c r="AYB1375" s="53"/>
      <c r="AYC1375" s="53"/>
      <c r="AYD1375" s="53"/>
      <c r="AYE1375" s="53"/>
      <c r="AYF1375" s="53"/>
      <c r="AYG1375" s="53"/>
      <c r="AYH1375" s="53"/>
      <c r="AYI1375" s="53"/>
      <c r="AYJ1375" s="53"/>
      <c r="AYK1375" s="53"/>
      <c r="AYL1375" s="53"/>
      <c r="AYM1375" s="53"/>
      <c r="AYN1375" s="53"/>
      <c r="AYO1375" s="53"/>
      <c r="AYP1375" s="53"/>
      <c r="AYQ1375" s="53"/>
      <c r="AYR1375" s="53"/>
      <c r="AYS1375" s="53"/>
      <c r="AYT1375" s="53"/>
      <c r="AYU1375" s="53"/>
      <c r="AYV1375" s="53"/>
      <c r="AYW1375" s="53"/>
      <c r="AYX1375" s="53"/>
      <c r="AYY1375" s="53"/>
      <c r="AYZ1375" s="53"/>
      <c r="AZA1375" s="53"/>
      <c r="AZB1375" s="53"/>
      <c r="AZC1375" s="53"/>
      <c r="AZD1375" s="53"/>
      <c r="AZE1375" s="53"/>
      <c r="AZF1375" s="53"/>
      <c r="AZG1375" s="53"/>
      <c r="AZH1375" s="53"/>
      <c r="AZI1375" s="53"/>
      <c r="AZJ1375" s="53"/>
      <c r="AZK1375" s="53"/>
      <c r="AZL1375" s="53"/>
      <c r="AZM1375" s="53"/>
      <c r="AZN1375" s="53"/>
      <c r="AZO1375" s="53"/>
      <c r="AZP1375" s="53"/>
      <c r="AZQ1375" s="53"/>
      <c r="AZR1375" s="53"/>
      <c r="AZS1375" s="53"/>
      <c r="AZT1375" s="53"/>
      <c r="AZU1375" s="53"/>
      <c r="AZV1375" s="53"/>
      <c r="AZW1375" s="53"/>
      <c r="AZX1375" s="53"/>
      <c r="AZY1375" s="53"/>
      <c r="AZZ1375" s="53"/>
      <c r="BAA1375" s="53"/>
      <c r="BAB1375" s="53"/>
      <c r="BAC1375" s="53"/>
      <c r="BAD1375" s="53"/>
      <c r="BAE1375" s="53"/>
      <c r="BAF1375" s="53"/>
      <c r="BAG1375" s="53"/>
      <c r="BAH1375" s="53"/>
      <c r="BAI1375" s="53"/>
      <c r="BAJ1375" s="53"/>
      <c r="BAK1375" s="53"/>
      <c r="BAL1375" s="53"/>
      <c r="BAM1375" s="53"/>
      <c r="BAN1375" s="53"/>
      <c r="BAO1375" s="53"/>
      <c r="BAP1375" s="53"/>
      <c r="BAQ1375" s="53"/>
      <c r="BAR1375" s="53"/>
      <c r="BAS1375" s="53"/>
      <c r="BAT1375" s="53"/>
      <c r="BAU1375" s="53"/>
      <c r="BAV1375" s="53"/>
      <c r="BAW1375" s="53"/>
      <c r="BAX1375" s="53"/>
      <c r="BAY1375" s="53"/>
      <c r="BAZ1375" s="53"/>
      <c r="BBA1375" s="53"/>
      <c r="BBB1375" s="53"/>
      <c r="BBC1375" s="53"/>
      <c r="BBD1375" s="53"/>
      <c r="BBE1375" s="53"/>
      <c r="BBF1375" s="53"/>
      <c r="BBG1375" s="53"/>
      <c r="BBH1375" s="53"/>
      <c r="BBI1375" s="53"/>
      <c r="BBJ1375" s="53"/>
      <c r="BBK1375" s="53"/>
      <c r="BBL1375" s="53"/>
      <c r="BBM1375" s="53"/>
      <c r="BBN1375" s="53"/>
      <c r="BBO1375" s="53"/>
      <c r="BBP1375" s="53"/>
      <c r="BBQ1375" s="53"/>
      <c r="BBR1375" s="53"/>
      <c r="BBS1375" s="53"/>
      <c r="BBT1375" s="53"/>
      <c r="BBU1375" s="53"/>
      <c r="BBV1375" s="53"/>
      <c r="BBW1375" s="53"/>
      <c r="BBX1375" s="53"/>
      <c r="BBY1375" s="53"/>
      <c r="BBZ1375" s="53"/>
      <c r="BCA1375" s="53"/>
      <c r="BCB1375" s="53"/>
      <c r="BCC1375" s="53"/>
      <c r="BCD1375" s="53"/>
      <c r="BCE1375" s="53"/>
      <c r="BCF1375" s="53"/>
      <c r="BCG1375" s="53"/>
      <c r="BCH1375" s="53"/>
      <c r="BCI1375" s="53"/>
      <c r="BCJ1375" s="53"/>
      <c r="BCK1375" s="53"/>
      <c r="BCL1375" s="53"/>
      <c r="BCM1375" s="53"/>
      <c r="BCN1375" s="53"/>
      <c r="BCO1375" s="53"/>
      <c r="BCP1375" s="53"/>
      <c r="BCQ1375" s="53"/>
      <c r="BCR1375" s="53"/>
      <c r="BCS1375" s="53"/>
      <c r="BCT1375" s="53"/>
      <c r="BCU1375" s="53"/>
      <c r="BCV1375" s="53"/>
      <c r="BCW1375" s="53"/>
      <c r="BCX1375" s="53"/>
      <c r="BCY1375" s="53"/>
      <c r="BCZ1375" s="53"/>
      <c r="BDA1375" s="53"/>
      <c r="BDB1375" s="53"/>
      <c r="BDC1375" s="53"/>
      <c r="BDD1375" s="53"/>
      <c r="BDE1375" s="53"/>
      <c r="BDF1375" s="53"/>
      <c r="BDG1375" s="53"/>
      <c r="BDH1375" s="53"/>
      <c r="BDI1375" s="53"/>
      <c r="BDJ1375" s="53"/>
      <c r="BDK1375" s="53"/>
      <c r="BDL1375" s="53"/>
      <c r="BDM1375" s="53"/>
      <c r="BDN1375" s="53"/>
      <c r="BDO1375" s="53"/>
      <c r="BDP1375" s="53"/>
      <c r="BDQ1375" s="53"/>
      <c r="BDR1375" s="53"/>
      <c r="BDS1375" s="53"/>
      <c r="BDT1375" s="53"/>
      <c r="BDU1375" s="53"/>
      <c r="BDV1375" s="53"/>
      <c r="BDW1375" s="53"/>
      <c r="BDX1375" s="53"/>
      <c r="BDY1375" s="53"/>
      <c r="BDZ1375" s="53"/>
      <c r="BEA1375" s="53"/>
      <c r="BEB1375" s="53"/>
      <c r="BEC1375" s="53"/>
      <c r="BED1375" s="53"/>
      <c r="BEE1375" s="53"/>
      <c r="BEF1375" s="53"/>
      <c r="BEG1375" s="53"/>
      <c r="BEH1375" s="53"/>
      <c r="BEI1375" s="53"/>
      <c r="BEJ1375" s="53"/>
      <c r="BEK1375" s="53"/>
      <c r="BEL1375" s="53"/>
      <c r="BEM1375" s="53"/>
      <c r="BEN1375" s="53"/>
      <c r="BEO1375" s="53"/>
      <c r="BEP1375" s="53"/>
      <c r="BEQ1375" s="53"/>
      <c r="BER1375" s="53"/>
      <c r="BES1375" s="53"/>
      <c r="BET1375" s="53"/>
      <c r="BEU1375" s="53"/>
      <c r="BEV1375" s="53"/>
      <c r="BEW1375" s="53"/>
      <c r="BEX1375" s="53"/>
      <c r="BEY1375" s="53"/>
      <c r="BEZ1375" s="53"/>
      <c r="BFA1375" s="53"/>
      <c r="BFB1375" s="53"/>
      <c r="BFC1375" s="53"/>
      <c r="BFD1375" s="53"/>
      <c r="BFE1375" s="53"/>
      <c r="BFF1375" s="53"/>
      <c r="BFG1375" s="53"/>
      <c r="BFH1375" s="53"/>
      <c r="BFI1375" s="53"/>
      <c r="BFJ1375" s="53"/>
      <c r="BFK1375" s="53"/>
      <c r="BFL1375" s="53"/>
      <c r="BFM1375" s="53"/>
      <c r="BFN1375" s="53"/>
      <c r="BFO1375" s="53"/>
      <c r="BFP1375" s="53"/>
      <c r="BFQ1375" s="53"/>
      <c r="BFR1375" s="53"/>
      <c r="BFS1375" s="53"/>
      <c r="BFT1375" s="53"/>
      <c r="BFU1375" s="53"/>
      <c r="BFV1375" s="53"/>
      <c r="BFW1375" s="53"/>
      <c r="BFX1375" s="53"/>
      <c r="BFY1375" s="53"/>
      <c r="BFZ1375" s="53"/>
      <c r="BGA1375" s="53"/>
      <c r="BGB1375" s="53"/>
      <c r="BGC1375" s="53"/>
      <c r="BGD1375" s="53"/>
      <c r="BGE1375" s="53"/>
      <c r="BGF1375" s="53"/>
      <c r="BGG1375" s="53"/>
      <c r="BGH1375" s="53"/>
      <c r="BGI1375" s="53"/>
      <c r="BGJ1375" s="53"/>
      <c r="BGK1375" s="53"/>
      <c r="BGL1375" s="53"/>
      <c r="BGM1375" s="53"/>
      <c r="BGN1375" s="53"/>
      <c r="BGO1375" s="53"/>
      <c r="BGP1375" s="53"/>
      <c r="BGQ1375" s="53"/>
      <c r="BGR1375" s="53"/>
      <c r="BGS1375" s="53"/>
      <c r="BGT1375" s="53"/>
      <c r="BGU1375" s="53"/>
      <c r="BGV1375" s="53"/>
      <c r="BGW1375" s="53"/>
      <c r="BGX1375" s="53"/>
      <c r="BGY1375" s="53"/>
      <c r="BGZ1375" s="53"/>
      <c r="BHA1375" s="53"/>
      <c r="BHB1375" s="53"/>
      <c r="BHC1375" s="53"/>
      <c r="BHD1375" s="53"/>
      <c r="BHE1375" s="53"/>
      <c r="BHF1375" s="53"/>
      <c r="BHG1375" s="53"/>
      <c r="BHH1375" s="53"/>
      <c r="BHI1375" s="53"/>
      <c r="BHJ1375" s="53"/>
      <c r="BHK1375" s="53"/>
      <c r="BHL1375" s="53"/>
      <c r="BHM1375" s="53"/>
      <c r="BHN1375" s="53"/>
      <c r="BHO1375" s="53"/>
      <c r="BHP1375" s="53"/>
      <c r="BHQ1375" s="53"/>
      <c r="BHR1375" s="53"/>
      <c r="BHS1375" s="53"/>
      <c r="BHT1375" s="53"/>
      <c r="BHU1375" s="53"/>
      <c r="BHV1375" s="53"/>
      <c r="BHW1375" s="53"/>
      <c r="BHX1375" s="53"/>
      <c r="BHY1375" s="53"/>
      <c r="BHZ1375" s="53"/>
      <c r="BIA1375" s="53"/>
      <c r="BIB1375" s="53"/>
      <c r="BIC1375" s="53"/>
      <c r="BID1375" s="53"/>
      <c r="BIE1375" s="53"/>
      <c r="BIF1375" s="53"/>
      <c r="BIG1375" s="53"/>
      <c r="BIH1375" s="53"/>
      <c r="BII1375" s="53"/>
      <c r="BIJ1375" s="53"/>
      <c r="BIK1375" s="53"/>
      <c r="BIL1375" s="53"/>
      <c r="BIM1375" s="53"/>
      <c r="BIN1375" s="53"/>
      <c r="BIO1375" s="53"/>
      <c r="BIP1375" s="53"/>
      <c r="BIQ1375" s="53"/>
      <c r="BIR1375" s="53"/>
      <c r="BIS1375" s="53"/>
      <c r="BIT1375" s="53"/>
      <c r="BIU1375" s="53"/>
      <c r="BIV1375" s="53"/>
      <c r="BIW1375" s="53"/>
      <c r="BIX1375" s="53"/>
      <c r="BIY1375" s="53"/>
      <c r="BIZ1375" s="53"/>
      <c r="BJA1375" s="53"/>
      <c r="BJB1375" s="53"/>
      <c r="BJC1375" s="53"/>
      <c r="BJD1375" s="53"/>
      <c r="BJE1375" s="53"/>
      <c r="BJF1375" s="53"/>
      <c r="BJG1375" s="53"/>
      <c r="BJH1375" s="53"/>
      <c r="BJI1375" s="53"/>
      <c r="BJJ1375" s="53"/>
      <c r="BJK1375" s="53"/>
      <c r="BJL1375" s="53"/>
      <c r="BJM1375" s="53"/>
      <c r="BJN1375" s="53"/>
      <c r="BJO1375" s="53"/>
      <c r="BJP1375" s="53"/>
      <c r="BJQ1375" s="53"/>
      <c r="BJR1375" s="53"/>
      <c r="BJS1375" s="53"/>
      <c r="BJT1375" s="53"/>
      <c r="BJU1375" s="53"/>
      <c r="BJV1375" s="53"/>
      <c r="BJW1375" s="53"/>
      <c r="BJX1375" s="53"/>
      <c r="BJY1375" s="53"/>
      <c r="BJZ1375" s="53"/>
      <c r="BKA1375" s="53"/>
      <c r="BKB1375" s="53"/>
      <c r="BKC1375" s="53"/>
      <c r="BKD1375" s="53"/>
      <c r="BKE1375" s="53"/>
      <c r="BKF1375" s="53"/>
      <c r="BKG1375" s="53"/>
      <c r="BKH1375" s="53"/>
      <c r="BKI1375" s="53"/>
      <c r="BKJ1375" s="53"/>
      <c r="BKK1375" s="53"/>
      <c r="BKL1375" s="53"/>
      <c r="BKM1375" s="53"/>
      <c r="BKN1375" s="53"/>
      <c r="BKO1375" s="53"/>
      <c r="BKP1375" s="53"/>
      <c r="BKQ1375" s="53"/>
      <c r="BKR1375" s="53"/>
      <c r="BKS1375" s="53"/>
      <c r="BKT1375" s="53"/>
      <c r="BKU1375" s="53"/>
      <c r="BKV1375" s="53"/>
      <c r="BKW1375" s="53"/>
      <c r="BKX1375" s="53"/>
      <c r="BKY1375" s="53"/>
      <c r="BKZ1375" s="53"/>
      <c r="BLA1375" s="53"/>
      <c r="BLB1375" s="53"/>
      <c r="BLC1375" s="53"/>
      <c r="BLD1375" s="53"/>
      <c r="BLE1375" s="53"/>
      <c r="BLF1375" s="53"/>
      <c r="BLG1375" s="53"/>
      <c r="BLH1375" s="53"/>
      <c r="BLI1375" s="53"/>
      <c r="BLJ1375" s="53"/>
      <c r="BLK1375" s="53"/>
      <c r="BLL1375" s="53"/>
      <c r="BLM1375" s="53"/>
      <c r="BLN1375" s="53"/>
      <c r="BLO1375" s="53"/>
      <c r="BLP1375" s="53"/>
      <c r="BLQ1375" s="53"/>
      <c r="BLR1375" s="53"/>
      <c r="BLS1375" s="53"/>
      <c r="BLT1375" s="53"/>
      <c r="BLU1375" s="53"/>
      <c r="BLV1375" s="53"/>
      <c r="BLW1375" s="53"/>
      <c r="BLX1375" s="53"/>
      <c r="BLY1375" s="53"/>
      <c r="BLZ1375" s="53"/>
      <c r="BMA1375" s="53"/>
      <c r="BMB1375" s="53"/>
      <c r="BMC1375" s="53"/>
      <c r="BMD1375" s="53"/>
      <c r="BME1375" s="53"/>
      <c r="BMF1375" s="53"/>
      <c r="BMG1375" s="53"/>
      <c r="BMH1375" s="53"/>
      <c r="BMI1375" s="53"/>
      <c r="BMJ1375" s="53"/>
      <c r="BMK1375" s="53"/>
      <c r="BML1375" s="53"/>
      <c r="BMM1375" s="53"/>
      <c r="BMN1375" s="53"/>
      <c r="BMO1375" s="53"/>
      <c r="BMP1375" s="53"/>
      <c r="BMQ1375" s="53"/>
      <c r="BMR1375" s="53"/>
      <c r="BMS1375" s="53"/>
      <c r="BMT1375" s="53"/>
      <c r="BMU1375" s="53"/>
      <c r="BMV1375" s="53"/>
      <c r="BMW1375" s="53"/>
      <c r="BMX1375" s="53"/>
      <c r="BMY1375" s="53"/>
      <c r="BMZ1375" s="53"/>
      <c r="BNA1375" s="53"/>
      <c r="BNB1375" s="53"/>
      <c r="BNC1375" s="53"/>
      <c r="BND1375" s="53"/>
      <c r="BNE1375" s="53"/>
      <c r="BNF1375" s="53"/>
      <c r="BNG1375" s="53"/>
      <c r="BNH1375" s="53"/>
      <c r="BNI1375" s="53"/>
      <c r="BNJ1375" s="53"/>
      <c r="BNK1375" s="53"/>
      <c r="BNL1375" s="53"/>
      <c r="BNM1375" s="53"/>
      <c r="BNN1375" s="53"/>
      <c r="BNO1375" s="53"/>
      <c r="BNP1375" s="53"/>
      <c r="BNQ1375" s="53"/>
      <c r="BNR1375" s="53"/>
      <c r="BNS1375" s="53"/>
      <c r="BNT1375" s="53"/>
      <c r="BNU1375" s="53"/>
      <c r="BNV1375" s="53"/>
      <c r="BNW1375" s="53"/>
      <c r="BNX1375" s="53"/>
      <c r="BNY1375" s="53"/>
      <c r="BNZ1375" s="53"/>
      <c r="BOA1375" s="53"/>
      <c r="BOB1375" s="53"/>
      <c r="BOC1375" s="53"/>
      <c r="BOD1375" s="53"/>
      <c r="BOE1375" s="53"/>
      <c r="BOF1375" s="53"/>
      <c r="BOG1375" s="53"/>
      <c r="BOH1375" s="53"/>
      <c r="BOI1375" s="53"/>
      <c r="BOJ1375" s="53"/>
      <c r="BOK1375" s="53"/>
      <c r="BOL1375" s="53"/>
      <c r="BOM1375" s="53"/>
      <c r="BON1375" s="53"/>
      <c r="BOO1375" s="53"/>
      <c r="BOP1375" s="53"/>
      <c r="BOQ1375" s="53"/>
      <c r="BOR1375" s="53"/>
      <c r="BOS1375" s="53"/>
      <c r="BOT1375" s="53"/>
      <c r="BOU1375" s="53"/>
      <c r="BOV1375" s="53"/>
      <c r="BOW1375" s="53"/>
      <c r="BOX1375" s="53"/>
      <c r="BOY1375" s="53"/>
      <c r="BOZ1375" s="53"/>
      <c r="BPA1375" s="53"/>
      <c r="BPB1375" s="53"/>
      <c r="BPC1375" s="53"/>
      <c r="BPD1375" s="53"/>
      <c r="BPE1375" s="53"/>
      <c r="BPF1375" s="53"/>
      <c r="BPG1375" s="53"/>
      <c r="BPH1375" s="53"/>
      <c r="BPI1375" s="53"/>
      <c r="BPJ1375" s="53"/>
      <c r="BPK1375" s="53"/>
      <c r="BPL1375" s="53"/>
      <c r="BPM1375" s="53"/>
      <c r="BPN1375" s="53"/>
      <c r="BPO1375" s="53"/>
      <c r="BPP1375" s="53"/>
      <c r="BPQ1375" s="53"/>
      <c r="BPR1375" s="53"/>
      <c r="BPS1375" s="53"/>
      <c r="BPT1375" s="53"/>
      <c r="BPU1375" s="53"/>
      <c r="BPV1375" s="53"/>
      <c r="BPW1375" s="53"/>
      <c r="BPX1375" s="53"/>
      <c r="BPY1375" s="53"/>
      <c r="BPZ1375" s="53"/>
      <c r="BQA1375" s="53"/>
      <c r="BQB1375" s="53"/>
      <c r="BQC1375" s="53"/>
      <c r="BQD1375" s="53"/>
      <c r="BQE1375" s="53"/>
      <c r="BQF1375" s="53"/>
      <c r="BQG1375" s="53"/>
      <c r="BQH1375" s="53"/>
      <c r="BQI1375" s="53"/>
      <c r="BQJ1375" s="53"/>
      <c r="BQK1375" s="53"/>
      <c r="BQL1375" s="53"/>
      <c r="BQM1375" s="53"/>
      <c r="BQN1375" s="53"/>
      <c r="BQO1375" s="53"/>
      <c r="BQP1375" s="53"/>
      <c r="BQQ1375" s="53"/>
      <c r="BQR1375" s="53"/>
      <c r="BQS1375" s="53"/>
      <c r="BQT1375" s="53"/>
      <c r="BQU1375" s="53"/>
      <c r="BQV1375" s="53"/>
      <c r="BQW1375" s="53"/>
      <c r="BQX1375" s="53"/>
      <c r="BQY1375" s="53"/>
      <c r="BQZ1375" s="53"/>
      <c r="BRA1375" s="53"/>
      <c r="BRB1375" s="53"/>
      <c r="BRC1375" s="53"/>
      <c r="BRD1375" s="53"/>
      <c r="BRE1375" s="53"/>
      <c r="BRF1375" s="53"/>
      <c r="BRG1375" s="53"/>
      <c r="BRH1375" s="53"/>
      <c r="BRI1375" s="53"/>
      <c r="BRJ1375" s="53"/>
      <c r="BRK1375" s="53"/>
      <c r="BRL1375" s="53"/>
      <c r="BRM1375" s="53"/>
      <c r="BRN1375" s="53"/>
      <c r="BRO1375" s="53"/>
      <c r="BRP1375" s="53"/>
      <c r="BRQ1375" s="53"/>
      <c r="BRR1375" s="53"/>
      <c r="BRS1375" s="53"/>
      <c r="BRT1375" s="53"/>
      <c r="BRU1375" s="53"/>
      <c r="BRV1375" s="53"/>
      <c r="BRW1375" s="53"/>
      <c r="BRX1375" s="53"/>
      <c r="BRY1375" s="53"/>
      <c r="BRZ1375" s="53"/>
      <c r="BSA1375" s="53"/>
      <c r="BSB1375" s="53"/>
      <c r="BSC1375" s="53"/>
      <c r="BSD1375" s="53"/>
      <c r="BSE1375" s="53"/>
      <c r="BSF1375" s="53"/>
      <c r="BSG1375" s="53"/>
      <c r="BSH1375" s="53"/>
      <c r="BSI1375" s="53"/>
      <c r="BSJ1375" s="53"/>
      <c r="BSK1375" s="53"/>
      <c r="BSL1375" s="53"/>
      <c r="BSM1375" s="53"/>
      <c r="BSN1375" s="53"/>
      <c r="BSO1375" s="53"/>
      <c r="BSP1375" s="53"/>
      <c r="BSQ1375" s="53"/>
      <c r="BSR1375" s="53"/>
      <c r="BSS1375" s="53"/>
      <c r="BST1375" s="53"/>
      <c r="BSU1375" s="53"/>
      <c r="BSV1375" s="53"/>
      <c r="BSW1375" s="53"/>
      <c r="BSX1375" s="53"/>
      <c r="BSY1375" s="53"/>
      <c r="BSZ1375" s="53"/>
      <c r="BTA1375" s="53"/>
      <c r="BTB1375" s="53"/>
      <c r="BTC1375" s="53"/>
      <c r="BTD1375" s="53"/>
      <c r="BTE1375" s="53"/>
      <c r="BTF1375" s="53"/>
      <c r="BTG1375" s="53"/>
      <c r="BTH1375" s="53"/>
      <c r="BTI1375" s="53"/>
      <c r="BTJ1375" s="53"/>
      <c r="BTK1375" s="53"/>
      <c r="BTL1375" s="53"/>
      <c r="BTM1375" s="53"/>
      <c r="BTN1375" s="53"/>
      <c r="BTO1375" s="53"/>
      <c r="BTP1375" s="53"/>
      <c r="BTQ1375" s="53"/>
      <c r="BTR1375" s="53"/>
      <c r="BTS1375" s="53"/>
      <c r="BTT1375" s="53"/>
      <c r="BTU1375" s="53"/>
      <c r="BTV1375" s="53"/>
      <c r="BTW1375" s="53"/>
      <c r="BTX1375" s="53"/>
      <c r="BTY1375" s="53"/>
      <c r="BTZ1375" s="53"/>
      <c r="BUA1375" s="53"/>
      <c r="BUB1375" s="53"/>
      <c r="BUC1375" s="53"/>
      <c r="BUD1375" s="53"/>
      <c r="BUE1375" s="53"/>
      <c r="BUF1375" s="53"/>
      <c r="BUG1375" s="53"/>
      <c r="BUH1375" s="53"/>
      <c r="BUI1375" s="53"/>
      <c r="BUJ1375" s="53"/>
      <c r="BUK1375" s="53"/>
      <c r="BUL1375" s="53"/>
      <c r="BUM1375" s="53"/>
      <c r="BUN1375" s="53"/>
      <c r="BUO1375" s="53"/>
      <c r="BUP1375" s="53"/>
      <c r="BUQ1375" s="53"/>
      <c r="BUR1375" s="53"/>
      <c r="BUS1375" s="53"/>
      <c r="BUT1375" s="53"/>
      <c r="BUU1375" s="53"/>
      <c r="BUV1375" s="53"/>
      <c r="BUW1375" s="53"/>
      <c r="BUX1375" s="53"/>
      <c r="BUY1375" s="53"/>
      <c r="BUZ1375" s="53"/>
      <c r="BVA1375" s="53"/>
      <c r="BVB1375" s="53"/>
      <c r="BVC1375" s="53"/>
      <c r="BVD1375" s="53"/>
      <c r="BVE1375" s="53"/>
      <c r="BVF1375" s="53"/>
      <c r="BVG1375" s="53"/>
      <c r="BVH1375" s="53"/>
      <c r="BVI1375" s="53"/>
      <c r="BVJ1375" s="53"/>
      <c r="BVK1375" s="53"/>
      <c r="BVL1375" s="53"/>
      <c r="BVM1375" s="53"/>
      <c r="BVN1375" s="53"/>
      <c r="BVO1375" s="53"/>
      <c r="BVP1375" s="53"/>
      <c r="BVQ1375" s="53"/>
      <c r="BVR1375" s="53"/>
      <c r="BVS1375" s="53"/>
      <c r="BVT1375" s="53"/>
      <c r="BVU1375" s="53"/>
      <c r="BVV1375" s="53"/>
      <c r="BVW1375" s="53"/>
      <c r="BVX1375" s="53"/>
      <c r="BVY1375" s="53"/>
      <c r="BVZ1375" s="53"/>
      <c r="BWA1375" s="53"/>
      <c r="BWB1375" s="53"/>
      <c r="BWC1375" s="53"/>
      <c r="BWD1375" s="53"/>
      <c r="BWE1375" s="53"/>
      <c r="BWF1375" s="53"/>
      <c r="BWG1375" s="53"/>
      <c r="BWH1375" s="53"/>
      <c r="BWI1375" s="53"/>
      <c r="BWJ1375" s="53"/>
      <c r="BWK1375" s="53"/>
      <c r="BWL1375" s="53"/>
      <c r="BWM1375" s="53"/>
      <c r="BWN1375" s="53"/>
      <c r="BWO1375" s="53"/>
      <c r="BWP1375" s="53"/>
      <c r="BWQ1375" s="53"/>
      <c r="BWR1375" s="53"/>
      <c r="BWS1375" s="53"/>
      <c r="BWT1375" s="53"/>
      <c r="BWU1375" s="53"/>
      <c r="BWV1375" s="53"/>
      <c r="BWW1375" s="53"/>
      <c r="BWX1375" s="53"/>
      <c r="BWY1375" s="53"/>
      <c r="BWZ1375" s="53"/>
      <c r="BXA1375" s="53"/>
      <c r="BXB1375" s="53"/>
      <c r="BXC1375" s="53"/>
      <c r="BXD1375" s="53"/>
      <c r="BXE1375" s="53"/>
      <c r="BXF1375" s="53"/>
      <c r="BXG1375" s="53"/>
      <c r="BXH1375" s="53"/>
      <c r="BXI1375" s="53"/>
      <c r="BXJ1375" s="53"/>
      <c r="BXK1375" s="53"/>
      <c r="BXL1375" s="53"/>
      <c r="BXM1375" s="53"/>
      <c r="BXN1375" s="53"/>
      <c r="BXO1375" s="53"/>
      <c r="BXP1375" s="53"/>
      <c r="BXQ1375" s="53"/>
      <c r="BXR1375" s="53"/>
      <c r="BXS1375" s="53"/>
      <c r="BXT1375" s="53"/>
      <c r="BXU1375" s="53"/>
      <c r="BXV1375" s="53"/>
      <c r="BXW1375" s="53"/>
      <c r="BXX1375" s="53"/>
      <c r="BXY1375" s="53"/>
      <c r="BXZ1375" s="53"/>
      <c r="BYA1375" s="53"/>
      <c r="BYB1375" s="53"/>
      <c r="BYC1375" s="53"/>
      <c r="BYD1375" s="53"/>
      <c r="BYE1375" s="53"/>
      <c r="BYF1375" s="53"/>
      <c r="BYG1375" s="53"/>
      <c r="BYH1375" s="53"/>
      <c r="BYI1375" s="53"/>
      <c r="BYJ1375" s="53"/>
      <c r="BYK1375" s="53"/>
      <c r="BYL1375" s="53"/>
      <c r="BYM1375" s="53"/>
      <c r="BYN1375" s="53"/>
      <c r="BYO1375" s="53"/>
      <c r="BYP1375" s="53"/>
      <c r="BYQ1375" s="53"/>
      <c r="BYR1375" s="53"/>
      <c r="BYS1375" s="53"/>
      <c r="BYT1375" s="53"/>
      <c r="BYU1375" s="53"/>
      <c r="BYV1375" s="53"/>
      <c r="BYW1375" s="53"/>
      <c r="BYX1375" s="53"/>
      <c r="BYY1375" s="53"/>
      <c r="BYZ1375" s="53"/>
      <c r="BZA1375" s="53"/>
      <c r="BZB1375" s="53"/>
      <c r="BZC1375" s="53"/>
      <c r="BZD1375" s="53"/>
      <c r="BZE1375" s="53"/>
      <c r="BZF1375" s="53"/>
      <c r="BZG1375" s="53"/>
      <c r="BZH1375" s="53"/>
      <c r="BZI1375" s="53"/>
      <c r="BZJ1375" s="53"/>
      <c r="BZK1375" s="53"/>
      <c r="BZL1375" s="53"/>
      <c r="BZM1375" s="53"/>
      <c r="BZN1375" s="53"/>
      <c r="BZO1375" s="53"/>
      <c r="BZP1375" s="53"/>
      <c r="BZQ1375" s="53"/>
      <c r="BZR1375" s="53"/>
      <c r="BZS1375" s="53"/>
      <c r="BZT1375" s="53"/>
      <c r="BZU1375" s="53"/>
      <c r="BZV1375" s="53"/>
      <c r="BZW1375" s="53"/>
      <c r="BZX1375" s="53"/>
      <c r="BZY1375" s="53"/>
      <c r="BZZ1375" s="53"/>
      <c r="CAA1375" s="53"/>
      <c r="CAB1375" s="53"/>
      <c r="CAC1375" s="53"/>
      <c r="CAD1375" s="53"/>
      <c r="CAE1375" s="53"/>
      <c r="CAF1375" s="53"/>
      <c r="CAG1375" s="53"/>
      <c r="CAH1375" s="53"/>
      <c r="CAI1375" s="53"/>
      <c r="CAJ1375" s="53"/>
      <c r="CAK1375" s="53"/>
      <c r="CAL1375" s="53"/>
      <c r="CAM1375" s="53"/>
      <c r="CAN1375" s="53"/>
      <c r="CAO1375" s="53"/>
      <c r="CAP1375" s="53"/>
      <c r="CAQ1375" s="53"/>
      <c r="CAR1375" s="53"/>
      <c r="CAS1375" s="53"/>
      <c r="CAT1375" s="53"/>
      <c r="CAU1375" s="53"/>
      <c r="CAV1375" s="53"/>
      <c r="CAW1375" s="53"/>
      <c r="CAX1375" s="53"/>
      <c r="CAY1375" s="53"/>
      <c r="CAZ1375" s="53"/>
      <c r="CBA1375" s="53"/>
      <c r="CBB1375" s="53"/>
      <c r="CBC1375" s="53"/>
      <c r="CBD1375" s="53"/>
      <c r="CBE1375" s="53"/>
      <c r="CBF1375" s="53"/>
      <c r="CBG1375" s="53"/>
      <c r="CBH1375" s="53"/>
      <c r="CBI1375" s="53"/>
      <c r="CBJ1375" s="53"/>
      <c r="CBK1375" s="53"/>
      <c r="CBL1375" s="53"/>
      <c r="CBM1375" s="53"/>
      <c r="CBN1375" s="53"/>
      <c r="CBO1375" s="53"/>
      <c r="CBP1375" s="53"/>
      <c r="CBQ1375" s="53"/>
      <c r="CBR1375" s="53"/>
      <c r="CBS1375" s="53"/>
      <c r="CBT1375" s="53"/>
      <c r="CBU1375" s="53"/>
      <c r="CBV1375" s="53"/>
      <c r="CBW1375" s="53"/>
      <c r="CBX1375" s="53"/>
      <c r="CBY1375" s="53"/>
      <c r="CBZ1375" s="53"/>
      <c r="CCA1375" s="53"/>
      <c r="CCB1375" s="53"/>
      <c r="CCC1375" s="53"/>
      <c r="CCD1375" s="53"/>
      <c r="CCE1375" s="53"/>
      <c r="CCF1375" s="53"/>
      <c r="CCG1375" s="53"/>
      <c r="CCH1375" s="53"/>
      <c r="CCI1375" s="53"/>
      <c r="CCJ1375" s="53"/>
      <c r="CCK1375" s="53"/>
      <c r="CCL1375" s="53"/>
      <c r="CCM1375" s="53"/>
      <c r="CCN1375" s="53"/>
      <c r="CCO1375" s="53"/>
      <c r="CCP1375" s="53"/>
      <c r="CCQ1375" s="53"/>
      <c r="CCR1375" s="53"/>
      <c r="CCS1375" s="53"/>
      <c r="CCT1375" s="53"/>
      <c r="CCU1375" s="53"/>
      <c r="CCV1375" s="53"/>
      <c r="CCW1375" s="53"/>
      <c r="CCX1375" s="53"/>
      <c r="CCY1375" s="53"/>
      <c r="CCZ1375" s="53"/>
      <c r="CDA1375" s="53"/>
      <c r="CDB1375" s="53"/>
      <c r="CDC1375" s="53"/>
      <c r="CDD1375" s="53"/>
      <c r="CDE1375" s="53"/>
      <c r="CDF1375" s="53"/>
      <c r="CDG1375" s="53"/>
      <c r="CDH1375" s="53"/>
      <c r="CDI1375" s="53"/>
      <c r="CDJ1375" s="53"/>
      <c r="CDK1375" s="53"/>
      <c r="CDL1375" s="53"/>
      <c r="CDM1375" s="53"/>
      <c r="CDN1375" s="53"/>
      <c r="CDO1375" s="53"/>
      <c r="CDP1375" s="53"/>
      <c r="CDQ1375" s="53"/>
      <c r="CDR1375" s="53"/>
      <c r="CDS1375" s="53"/>
      <c r="CDT1375" s="53"/>
      <c r="CDU1375" s="53"/>
      <c r="CDV1375" s="53"/>
      <c r="CDW1375" s="53"/>
      <c r="CDX1375" s="53"/>
      <c r="CDY1375" s="53"/>
      <c r="CDZ1375" s="53"/>
      <c r="CEA1375" s="53"/>
      <c r="CEB1375" s="53"/>
      <c r="CEC1375" s="53"/>
      <c r="CED1375" s="53"/>
      <c r="CEE1375" s="53"/>
      <c r="CEF1375" s="53"/>
      <c r="CEG1375" s="53"/>
      <c r="CEH1375" s="53"/>
      <c r="CEI1375" s="53"/>
      <c r="CEJ1375" s="53"/>
      <c r="CEK1375" s="53"/>
      <c r="CEL1375" s="53"/>
      <c r="CEM1375" s="53"/>
      <c r="CEN1375" s="53"/>
      <c r="CEO1375" s="53"/>
      <c r="CEP1375" s="53"/>
      <c r="CEQ1375" s="53"/>
      <c r="CER1375" s="53"/>
      <c r="CES1375" s="53"/>
      <c r="CET1375" s="53"/>
      <c r="CEU1375" s="53"/>
      <c r="CEV1375" s="53"/>
      <c r="CEW1375" s="53"/>
      <c r="CEX1375" s="53"/>
      <c r="CEY1375" s="53"/>
      <c r="CEZ1375" s="53"/>
      <c r="CFA1375" s="53"/>
      <c r="CFB1375" s="53"/>
      <c r="CFC1375" s="53"/>
      <c r="CFD1375" s="53"/>
      <c r="CFE1375" s="53"/>
      <c r="CFF1375" s="53"/>
      <c r="CFG1375" s="53"/>
      <c r="CFH1375" s="53"/>
      <c r="CFI1375" s="53"/>
      <c r="CFJ1375" s="53"/>
      <c r="CFK1375" s="53"/>
      <c r="CFL1375" s="53"/>
      <c r="CFM1375" s="53"/>
      <c r="CFN1375" s="53"/>
      <c r="CFO1375" s="53"/>
      <c r="CFP1375" s="53"/>
      <c r="CFQ1375" s="53"/>
      <c r="CFR1375" s="53"/>
      <c r="CFS1375" s="53"/>
      <c r="CFT1375" s="53"/>
      <c r="CFU1375" s="53"/>
      <c r="CFV1375" s="53"/>
      <c r="CFW1375" s="53"/>
      <c r="CFX1375" s="53"/>
      <c r="CFY1375" s="53"/>
      <c r="CFZ1375" s="53"/>
      <c r="CGA1375" s="53"/>
      <c r="CGB1375" s="53"/>
      <c r="CGC1375" s="53"/>
      <c r="CGD1375" s="53"/>
      <c r="CGE1375" s="53"/>
      <c r="CGF1375" s="53"/>
      <c r="CGG1375" s="53"/>
      <c r="CGH1375" s="53"/>
      <c r="CGI1375" s="53"/>
      <c r="CGJ1375" s="53"/>
      <c r="CGK1375" s="53"/>
      <c r="CGL1375" s="53"/>
      <c r="CGM1375" s="53"/>
      <c r="CGN1375" s="53"/>
      <c r="CGO1375" s="53"/>
      <c r="CGP1375" s="53"/>
      <c r="CGQ1375" s="53"/>
      <c r="CGR1375" s="53"/>
      <c r="CGS1375" s="53"/>
      <c r="CGT1375" s="53"/>
      <c r="CGU1375" s="53"/>
      <c r="CGV1375" s="53"/>
      <c r="CGW1375" s="53"/>
      <c r="CGX1375" s="53"/>
      <c r="CGY1375" s="53"/>
      <c r="CGZ1375" s="53"/>
      <c r="CHA1375" s="53"/>
      <c r="CHB1375" s="53"/>
      <c r="CHC1375" s="53"/>
      <c r="CHD1375" s="53"/>
      <c r="CHE1375" s="53"/>
      <c r="CHF1375" s="53"/>
      <c r="CHG1375" s="53"/>
      <c r="CHH1375" s="53"/>
      <c r="CHI1375" s="53"/>
      <c r="CHJ1375" s="53"/>
      <c r="CHK1375" s="53"/>
      <c r="CHL1375" s="53"/>
      <c r="CHM1375" s="53"/>
      <c r="CHN1375" s="53"/>
      <c r="CHO1375" s="53"/>
      <c r="CHP1375" s="53"/>
      <c r="CHQ1375" s="53"/>
      <c r="CHR1375" s="53"/>
      <c r="CHS1375" s="53"/>
      <c r="CHT1375" s="53"/>
      <c r="CHU1375" s="53"/>
      <c r="CHV1375" s="53"/>
      <c r="CHW1375" s="53"/>
      <c r="CHX1375" s="53"/>
      <c r="CHY1375" s="53"/>
      <c r="CHZ1375" s="53"/>
      <c r="CIA1375" s="53"/>
      <c r="CIB1375" s="53"/>
      <c r="CIC1375" s="53"/>
      <c r="CID1375" s="53"/>
      <c r="CIE1375" s="53"/>
      <c r="CIF1375" s="53"/>
      <c r="CIG1375" s="53"/>
      <c r="CIH1375" s="53"/>
      <c r="CII1375" s="53"/>
      <c r="CIJ1375" s="53"/>
      <c r="CIK1375" s="53"/>
      <c r="CIL1375" s="53"/>
      <c r="CIM1375" s="53"/>
      <c r="CIN1375" s="53"/>
      <c r="CIO1375" s="53"/>
      <c r="CIP1375" s="53"/>
      <c r="CIQ1375" s="53"/>
      <c r="CIR1375" s="53"/>
      <c r="CIS1375" s="53"/>
      <c r="CIT1375" s="53"/>
      <c r="CIU1375" s="53"/>
      <c r="CIV1375" s="53"/>
      <c r="CIW1375" s="53"/>
      <c r="CIX1375" s="53"/>
      <c r="CIY1375" s="53"/>
      <c r="CIZ1375" s="53"/>
      <c r="CJA1375" s="53"/>
      <c r="CJB1375" s="53"/>
      <c r="CJC1375" s="53"/>
      <c r="CJD1375" s="53"/>
      <c r="CJE1375" s="53"/>
      <c r="CJF1375" s="53"/>
      <c r="CJG1375" s="53"/>
      <c r="CJH1375" s="53"/>
      <c r="CJI1375" s="53"/>
      <c r="CJJ1375" s="53"/>
      <c r="CJK1375" s="53"/>
      <c r="CJL1375" s="53"/>
      <c r="CJM1375" s="53"/>
      <c r="CJN1375" s="53"/>
      <c r="CJO1375" s="53"/>
      <c r="CJP1375" s="53"/>
      <c r="CJQ1375" s="53"/>
      <c r="CJR1375" s="53"/>
      <c r="CJS1375" s="53"/>
      <c r="CJT1375" s="53"/>
      <c r="CJU1375" s="53"/>
      <c r="CJV1375" s="53"/>
      <c r="CJW1375" s="53"/>
      <c r="CJX1375" s="53"/>
      <c r="CJY1375" s="53"/>
      <c r="CJZ1375" s="53"/>
      <c r="CKA1375" s="53"/>
      <c r="CKB1375" s="53"/>
      <c r="CKC1375" s="53"/>
      <c r="CKD1375" s="53"/>
      <c r="CKE1375" s="53"/>
      <c r="CKF1375" s="53"/>
      <c r="CKG1375" s="53"/>
      <c r="CKH1375" s="53"/>
      <c r="CKI1375" s="53"/>
      <c r="CKJ1375" s="53"/>
      <c r="CKK1375" s="53"/>
      <c r="CKL1375" s="53"/>
      <c r="CKM1375" s="53"/>
      <c r="CKN1375" s="53"/>
      <c r="CKO1375" s="53"/>
      <c r="CKP1375" s="53"/>
      <c r="CKQ1375" s="53"/>
      <c r="CKR1375" s="53"/>
      <c r="CKS1375" s="53"/>
      <c r="CKT1375" s="53"/>
      <c r="CKU1375" s="53"/>
      <c r="CKV1375" s="53"/>
      <c r="CKW1375" s="53"/>
      <c r="CKX1375" s="53"/>
      <c r="CKY1375" s="53"/>
      <c r="CKZ1375" s="53"/>
      <c r="CLA1375" s="53"/>
      <c r="CLB1375" s="53"/>
      <c r="CLC1375" s="53"/>
      <c r="CLD1375" s="53"/>
      <c r="CLE1375" s="53"/>
      <c r="CLF1375" s="53"/>
      <c r="CLG1375" s="53"/>
      <c r="CLH1375" s="53"/>
      <c r="CLI1375" s="53"/>
      <c r="CLJ1375" s="53"/>
      <c r="CLK1375" s="53"/>
      <c r="CLL1375" s="53"/>
      <c r="CLM1375" s="53"/>
      <c r="CLN1375" s="53"/>
      <c r="CLO1375" s="53"/>
      <c r="CLP1375" s="53"/>
      <c r="CLQ1375" s="53"/>
      <c r="CLR1375" s="53"/>
      <c r="CLS1375" s="53"/>
      <c r="CLT1375" s="53"/>
      <c r="CLU1375" s="53"/>
      <c r="CLV1375" s="53"/>
      <c r="CLW1375" s="53"/>
      <c r="CLX1375" s="53"/>
      <c r="CLY1375" s="53"/>
      <c r="CLZ1375" s="53"/>
      <c r="CMA1375" s="53"/>
      <c r="CMB1375" s="53"/>
      <c r="CMC1375" s="53"/>
      <c r="CMD1375" s="53"/>
      <c r="CME1375" s="53"/>
      <c r="CMF1375" s="53"/>
      <c r="CMG1375" s="53"/>
      <c r="CMH1375" s="53"/>
      <c r="CMI1375" s="53"/>
      <c r="CMJ1375" s="53"/>
      <c r="CMK1375" s="53"/>
      <c r="CML1375" s="53"/>
      <c r="CMM1375" s="53"/>
      <c r="CMN1375" s="53"/>
      <c r="CMO1375" s="53"/>
      <c r="CMP1375" s="53"/>
      <c r="CMQ1375" s="53"/>
      <c r="CMR1375" s="53"/>
      <c r="CMS1375" s="53"/>
      <c r="CMT1375" s="53"/>
      <c r="CMU1375" s="53"/>
      <c r="CMV1375" s="53"/>
      <c r="CMW1375" s="53"/>
      <c r="CMX1375" s="53"/>
      <c r="CMY1375" s="53"/>
      <c r="CMZ1375" s="53"/>
      <c r="CNA1375" s="53"/>
      <c r="CNB1375" s="53"/>
      <c r="CNC1375" s="53"/>
      <c r="CND1375" s="53"/>
      <c r="CNE1375" s="53"/>
      <c r="CNF1375" s="53"/>
      <c r="CNG1375" s="53"/>
      <c r="CNH1375" s="53"/>
      <c r="CNI1375" s="53"/>
      <c r="CNJ1375" s="53"/>
      <c r="CNK1375" s="53"/>
      <c r="CNL1375" s="53"/>
      <c r="CNM1375" s="53"/>
      <c r="CNN1375" s="53"/>
      <c r="CNO1375" s="53"/>
      <c r="CNP1375" s="53"/>
      <c r="CNQ1375" s="53"/>
      <c r="CNR1375" s="53"/>
      <c r="CNS1375" s="53"/>
      <c r="CNT1375" s="53"/>
      <c r="CNU1375" s="53"/>
      <c r="CNV1375" s="53"/>
      <c r="CNW1375" s="53"/>
      <c r="CNX1375" s="53"/>
      <c r="CNY1375" s="53"/>
      <c r="CNZ1375" s="53"/>
      <c r="COA1375" s="53"/>
      <c r="COB1375" s="53"/>
      <c r="COC1375" s="53"/>
      <c r="COD1375" s="53"/>
      <c r="COE1375" s="53"/>
      <c r="COF1375" s="53"/>
      <c r="COG1375" s="53"/>
      <c r="COH1375" s="53"/>
      <c r="COI1375" s="53"/>
      <c r="COJ1375" s="53"/>
      <c r="COK1375" s="53"/>
      <c r="COL1375" s="53"/>
      <c r="COM1375" s="53"/>
      <c r="CON1375" s="53"/>
      <c r="COO1375" s="53"/>
      <c r="COP1375" s="53"/>
      <c r="COQ1375" s="53"/>
      <c r="COR1375" s="53"/>
      <c r="COS1375" s="53"/>
      <c r="COT1375" s="53"/>
      <c r="COU1375" s="53"/>
      <c r="COV1375" s="53"/>
      <c r="COW1375" s="53"/>
      <c r="COX1375" s="53"/>
      <c r="COY1375" s="53"/>
      <c r="COZ1375" s="53"/>
      <c r="CPA1375" s="53"/>
      <c r="CPB1375" s="53"/>
      <c r="CPC1375" s="53"/>
      <c r="CPD1375" s="53"/>
      <c r="CPE1375" s="53"/>
      <c r="CPF1375" s="53"/>
      <c r="CPG1375" s="53"/>
      <c r="CPH1375" s="53"/>
      <c r="CPI1375" s="53"/>
      <c r="CPJ1375" s="53"/>
      <c r="CPK1375" s="53"/>
      <c r="CPL1375" s="53"/>
      <c r="CPM1375" s="53"/>
      <c r="CPN1375" s="53"/>
      <c r="CPO1375" s="53"/>
      <c r="CPP1375" s="53"/>
      <c r="CPQ1375" s="53"/>
      <c r="CPR1375" s="53"/>
      <c r="CPS1375" s="53"/>
      <c r="CPT1375" s="53"/>
      <c r="CPU1375" s="53"/>
      <c r="CPV1375" s="53"/>
      <c r="CPW1375" s="53"/>
      <c r="CPX1375" s="53"/>
      <c r="CPY1375" s="53"/>
      <c r="CPZ1375" s="53"/>
      <c r="CQA1375" s="53"/>
      <c r="CQB1375" s="53"/>
      <c r="CQC1375" s="53"/>
      <c r="CQD1375" s="53"/>
      <c r="CQE1375" s="53"/>
      <c r="CQF1375" s="53"/>
      <c r="CQG1375" s="53"/>
      <c r="CQH1375" s="53"/>
      <c r="CQI1375" s="53"/>
      <c r="CQJ1375" s="53"/>
      <c r="CQK1375" s="53"/>
      <c r="CQL1375" s="53"/>
      <c r="CQM1375" s="53"/>
      <c r="CQN1375" s="53"/>
      <c r="CQO1375" s="53"/>
      <c r="CQP1375" s="53"/>
      <c r="CQQ1375" s="53"/>
      <c r="CQR1375" s="53"/>
      <c r="CQS1375" s="53"/>
      <c r="CQT1375" s="53"/>
      <c r="CQU1375" s="53"/>
      <c r="CQV1375" s="53"/>
      <c r="CQW1375" s="53"/>
      <c r="CQX1375" s="53"/>
      <c r="CQY1375" s="53"/>
      <c r="CQZ1375" s="53"/>
      <c r="CRA1375" s="53"/>
      <c r="CRB1375" s="53"/>
      <c r="CRC1375" s="53"/>
      <c r="CRD1375" s="53"/>
      <c r="CRE1375" s="53"/>
      <c r="CRF1375" s="53"/>
      <c r="CRG1375" s="53"/>
      <c r="CRH1375" s="53"/>
      <c r="CRI1375" s="53"/>
      <c r="CRJ1375" s="53"/>
      <c r="CRK1375" s="53"/>
      <c r="CRL1375" s="53"/>
      <c r="CRM1375" s="53"/>
      <c r="CRN1375" s="53"/>
      <c r="CRO1375" s="53"/>
      <c r="CRP1375" s="53"/>
      <c r="CRQ1375" s="53"/>
      <c r="CRR1375" s="53"/>
      <c r="CRS1375" s="53"/>
      <c r="CRT1375" s="53"/>
      <c r="CRU1375" s="53"/>
      <c r="CRV1375" s="53"/>
      <c r="CRW1375" s="53"/>
      <c r="CRX1375" s="53"/>
      <c r="CRY1375" s="53"/>
      <c r="CRZ1375" s="53"/>
      <c r="CSA1375" s="53"/>
      <c r="CSB1375" s="53"/>
      <c r="CSC1375" s="53"/>
      <c r="CSD1375" s="53"/>
      <c r="CSE1375" s="53"/>
      <c r="CSF1375" s="53"/>
      <c r="CSG1375" s="53"/>
      <c r="CSH1375" s="53"/>
      <c r="CSI1375" s="53"/>
      <c r="CSJ1375" s="53"/>
      <c r="CSK1375" s="53"/>
      <c r="CSL1375" s="53"/>
      <c r="CSM1375" s="53"/>
      <c r="CSN1375" s="53"/>
      <c r="CSO1375" s="53"/>
      <c r="CSP1375" s="53"/>
      <c r="CSQ1375" s="53"/>
      <c r="CSR1375" s="53"/>
      <c r="CSS1375" s="53"/>
      <c r="CST1375" s="53"/>
      <c r="CSU1375" s="53"/>
      <c r="CSV1375" s="53"/>
      <c r="CSW1375" s="53"/>
      <c r="CSX1375" s="53"/>
      <c r="CSY1375" s="53"/>
      <c r="CSZ1375" s="53"/>
      <c r="CTA1375" s="53"/>
      <c r="CTB1375" s="53"/>
      <c r="CTC1375" s="53"/>
      <c r="CTD1375" s="53"/>
      <c r="CTE1375" s="53"/>
      <c r="CTF1375" s="53"/>
      <c r="CTG1375" s="53"/>
      <c r="CTH1375" s="53"/>
      <c r="CTI1375" s="53"/>
      <c r="CTJ1375" s="53"/>
      <c r="CTK1375" s="53"/>
      <c r="CTL1375" s="53"/>
      <c r="CTM1375" s="53"/>
      <c r="CTN1375" s="53"/>
      <c r="CTO1375" s="53"/>
      <c r="CTP1375" s="53"/>
      <c r="CTQ1375" s="53"/>
      <c r="CTR1375" s="53"/>
      <c r="CTS1375" s="53"/>
      <c r="CTT1375" s="53"/>
      <c r="CTU1375" s="53"/>
      <c r="CTV1375" s="53"/>
      <c r="CTW1375" s="53"/>
      <c r="CTX1375" s="53"/>
      <c r="CTY1375" s="53"/>
      <c r="CTZ1375" s="53"/>
      <c r="CUA1375" s="53"/>
      <c r="CUB1375" s="53"/>
      <c r="CUC1375" s="53"/>
      <c r="CUD1375" s="53"/>
      <c r="CUE1375" s="53"/>
      <c r="CUF1375" s="53"/>
      <c r="CUG1375" s="53"/>
      <c r="CUH1375" s="53"/>
      <c r="CUI1375" s="53"/>
      <c r="CUJ1375" s="53"/>
      <c r="CUK1375" s="53"/>
      <c r="CUL1375" s="53"/>
      <c r="CUM1375" s="53"/>
      <c r="CUN1375" s="53"/>
      <c r="CUO1375" s="53"/>
      <c r="CUP1375" s="53"/>
      <c r="CUQ1375" s="53"/>
      <c r="CUR1375" s="53"/>
      <c r="CUS1375" s="53"/>
      <c r="CUT1375" s="53"/>
      <c r="CUU1375" s="53"/>
      <c r="CUV1375" s="53"/>
      <c r="CUW1375" s="53"/>
      <c r="CUX1375" s="53"/>
      <c r="CUY1375" s="53"/>
      <c r="CUZ1375" s="53"/>
      <c r="CVA1375" s="53"/>
      <c r="CVB1375" s="53"/>
      <c r="CVC1375" s="53"/>
      <c r="CVD1375" s="53"/>
      <c r="CVE1375" s="53"/>
      <c r="CVF1375" s="53"/>
      <c r="CVG1375" s="53"/>
      <c r="CVH1375" s="53"/>
      <c r="CVI1375" s="53"/>
      <c r="CVJ1375" s="53"/>
      <c r="CVK1375" s="53"/>
      <c r="CVL1375" s="53"/>
      <c r="CVM1375" s="53"/>
      <c r="CVN1375" s="53"/>
      <c r="CVO1375" s="53"/>
      <c r="CVP1375" s="53"/>
      <c r="CVQ1375" s="53"/>
      <c r="CVR1375" s="53"/>
      <c r="CVS1375" s="53"/>
      <c r="CVT1375" s="53"/>
      <c r="CVU1375" s="53"/>
      <c r="CVV1375" s="53"/>
      <c r="CVW1375" s="53"/>
      <c r="CVX1375" s="53"/>
      <c r="CVY1375" s="53"/>
      <c r="CVZ1375" s="53"/>
      <c r="CWA1375" s="53"/>
      <c r="CWB1375" s="53"/>
      <c r="CWC1375" s="53"/>
      <c r="CWD1375" s="53"/>
      <c r="CWE1375" s="53"/>
      <c r="CWF1375" s="53"/>
      <c r="CWG1375" s="53"/>
      <c r="CWH1375" s="53"/>
      <c r="CWI1375" s="53"/>
      <c r="CWJ1375" s="53"/>
      <c r="CWK1375" s="53"/>
      <c r="CWL1375" s="53"/>
      <c r="CWM1375" s="53"/>
      <c r="CWN1375" s="53"/>
      <c r="CWO1375" s="53"/>
      <c r="CWP1375" s="53"/>
      <c r="CWQ1375" s="53"/>
      <c r="CWR1375" s="53"/>
      <c r="CWS1375" s="53"/>
      <c r="CWT1375" s="53"/>
      <c r="CWU1375" s="53"/>
      <c r="CWV1375" s="53"/>
      <c r="CWW1375" s="53"/>
      <c r="CWX1375" s="53"/>
      <c r="CWY1375" s="53"/>
      <c r="CWZ1375" s="53"/>
      <c r="CXA1375" s="53"/>
      <c r="CXB1375" s="53"/>
      <c r="CXC1375" s="53"/>
      <c r="CXD1375" s="53"/>
      <c r="CXE1375" s="53"/>
      <c r="CXF1375" s="53"/>
      <c r="CXG1375" s="53"/>
      <c r="CXH1375" s="53"/>
      <c r="CXI1375" s="53"/>
      <c r="CXJ1375" s="53"/>
      <c r="CXK1375" s="53"/>
      <c r="CXL1375" s="53"/>
      <c r="CXM1375" s="53"/>
      <c r="CXN1375" s="53"/>
      <c r="CXO1375" s="53"/>
      <c r="CXP1375" s="53"/>
      <c r="CXQ1375" s="53"/>
      <c r="CXR1375" s="53"/>
      <c r="CXS1375" s="53"/>
      <c r="CXT1375" s="53"/>
      <c r="CXU1375" s="53"/>
      <c r="CXV1375" s="53"/>
      <c r="CXW1375" s="53"/>
      <c r="CXX1375" s="53"/>
      <c r="CXY1375" s="53"/>
      <c r="CXZ1375" s="53"/>
      <c r="CYA1375" s="53"/>
      <c r="CYB1375" s="53"/>
      <c r="CYC1375" s="53"/>
      <c r="CYD1375" s="53"/>
      <c r="CYE1375" s="53"/>
      <c r="CYF1375" s="53"/>
      <c r="CYG1375" s="53"/>
      <c r="CYH1375" s="53"/>
      <c r="CYI1375" s="53"/>
      <c r="CYJ1375" s="53"/>
      <c r="CYK1375" s="53"/>
      <c r="CYL1375" s="53"/>
      <c r="CYM1375" s="53"/>
      <c r="CYN1375" s="53"/>
      <c r="CYO1375" s="53"/>
      <c r="CYP1375" s="53"/>
      <c r="CYQ1375" s="53"/>
      <c r="CYR1375" s="53"/>
      <c r="CYS1375" s="53"/>
      <c r="CYT1375" s="53"/>
      <c r="CYU1375" s="53"/>
      <c r="CYV1375" s="53"/>
      <c r="CYW1375" s="53"/>
      <c r="CYX1375" s="53"/>
      <c r="CYY1375" s="53"/>
      <c r="CYZ1375" s="53"/>
      <c r="CZA1375" s="53"/>
      <c r="CZB1375" s="53"/>
      <c r="CZC1375" s="53"/>
      <c r="CZD1375" s="53"/>
      <c r="CZE1375" s="53"/>
      <c r="CZF1375" s="53"/>
      <c r="CZG1375" s="53"/>
      <c r="CZH1375" s="53"/>
      <c r="CZI1375" s="53"/>
      <c r="CZJ1375" s="53"/>
      <c r="CZK1375" s="53"/>
      <c r="CZL1375" s="53"/>
      <c r="CZM1375" s="53"/>
      <c r="CZN1375" s="53"/>
      <c r="CZO1375" s="53"/>
      <c r="CZP1375" s="53"/>
      <c r="CZQ1375" s="53"/>
      <c r="CZR1375" s="53"/>
      <c r="CZS1375" s="53"/>
      <c r="CZT1375" s="53"/>
      <c r="CZU1375" s="53"/>
      <c r="CZV1375" s="53"/>
      <c r="CZW1375" s="53"/>
      <c r="CZX1375" s="53"/>
      <c r="CZY1375" s="53"/>
      <c r="CZZ1375" s="53"/>
      <c r="DAA1375" s="53"/>
      <c r="DAB1375" s="53"/>
      <c r="DAC1375" s="53"/>
      <c r="DAD1375" s="53"/>
      <c r="DAE1375" s="53"/>
      <c r="DAF1375" s="53"/>
      <c r="DAG1375" s="53"/>
      <c r="DAH1375" s="53"/>
      <c r="DAI1375" s="53"/>
      <c r="DAJ1375" s="53"/>
      <c r="DAK1375" s="53"/>
      <c r="DAL1375" s="53"/>
      <c r="DAM1375" s="53"/>
      <c r="DAN1375" s="53"/>
      <c r="DAO1375" s="53"/>
      <c r="DAP1375" s="53"/>
      <c r="DAQ1375" s="53"/>
      <c r="DAR1375" s="53"/>
      <c r="DAS1375" s="53"/>
      <c r="DAT1375" s="53"/>
      <c r="DAU1375" s="53"/>
      <c r="DAV1375" s="53"/>
      <c r="DAW1375" s="53"/>
      <c r="DAX1375" s="53"/>
      <c r="DAY1375" s="53"/>
      <c r="DAZ1375" s="53"/>
      <c r="DBA1375" s="53"/>
      <c r="DBB1375" s="53"/>
      <c r="DBC1375" s="53"/>
      <c r="DBD1375" s="53"/>
      <c r="DBE1375" s="53"/>
      <c r="DBF1375" s="53"/>
      <c r="DBG1375" s="53"/>
      <c r="DBH1375" s="53"/>
      <c r="DBI1375" s="53"/>
      <c r="DBJ1375" s="53"/>
      <c r="DBK1375" s="53"/>
      <c r="DBL1375" s="53"/>
      <c r="DBM1375" s="53"/>
      <c r="DBN1375" s="53"/>
      <c r="DBO1375" s="53"/>
      <c r="DBP1375" s="53"/>
      <c r="DBQ1375" s="53"/>
      <c r="DBR1375" s="53"/>
      <c r="DBS1375" s="53"/>
      <c r="DBT1375" s="53"/>
      <c r="DBU1375" s="53"/>
      <c r="DBV1375" s="53"/>
      <c r="DBW1375" s="53"/>
      <c r="DBX1375" s="53"/>
      <c r="DBY1375" s="53"/>
      <c r="DBZ1375" s="53"/>
      <c r="DCA1375" s="53"/>
      <c r="DCB1375" s="53"/>
      <c r="DCC1375" s="53"/>
      <c r="DCD1375" s="53"/>
      <c r="DCE1375" s="53"/>
      <c r="DCF1375" s="53"/>
      <c r="DCG1375" s="53"/>
      <c r="DCH1375" s="53"/>
      <c r="DCI1375" s="53"/>
      <c r="DCJ1375" s="53"/>
      <c r="DCK1375" s="53"/>
      <c r="DCL1375" s="53"/>
      <c r="DCM1375" s="53"/>
      <c r="DCN1375" s="53"/>
      <c r="DCO1375" s="53"/>
      <c r="DCP1375" s="53"/>
      <c r="DCQ1375" s="53"/>
      <c r="DCR1375" s="53"/>
      <c r="DCS1375" s="53"/>
      <c r="DCT1375" s="53"/>
      <c r="DCU1375" s="53"/>
      <c r="DCV1375" s="53"/>
      <c r="DCW1375" s="53"/>
      <c r="DCX1375" s="53"/>
      <c r="DCY1375" s="53"/>
      <c r="DCZ1375" s="53"/>
      <c r="DDA1375" s="53"/>
      <c r="DDB1375" s="53"/>
      <c r="DDC1375" s="53"/>
      <c r="DDD1375" s="53"/>
      <c r="DDE1375" s="53"/>
      <c r="DDF1375" s="53"/>
      <c r="DDG1375" s="53"/>
      <c r="DDH1375" s="53"/>
      <c r="DDI1375" s="53"/>
      <c r="DDJ1375" s="53"/>
      <c r="DDK1375" s="53"/>
      <c r="DDL1375" s="53"/>
      <c r="DDM1375" s="53"/>
      <c r="DDN1375" s="53"/>
      <c r="DDO1375" s="53"/>
      <c r="DDP1375" s="53"/>
      <c r="DDQ1375" s="53"/>
      <c r="DDR1375" s="53"/>
      <c r="DDS1375" s="53"/>
      <c r="DDT1375" s="53"/>
      <c r="DDU1375" s="53"/>
      <c r="DDV1375" s="53"/>
      <c r="DDW1375" s="53"/>
      <c r="DDX1375" s="53"/>
      <c r="DDY1375" s="53"/>
      <c r="DDZ1375" s="53"/>
      <c r="DEA1375" s="53"/>
      <c r="DEB1375" s="53"/>
      <c r="DEC1375" s="53"/>
      <c r="DED1375" s="53"/>
      <c r="DEE1375" s="53"/>
      <c r="DEF1375" s="53"/>
      <c r="DEG1375" s="53"/>
      <c r="DEH1375" s="53"/>
      <c r="DEI1375" s="53"/>
      <c r="DEJ1375" s="53"/>
      <c r="DEK1375" s="53"/>
      <c r="DEL1375" s="53"/>
      <c r="DEM1375" s="53"/>
      <c r="DEN1375" s="53"/>
      <c r="DEO1375" s="53"/>
      <c r="DEP1375" s="53"/>
      <c r="DEQ1375" s="53"/>
      <c r="DER1375" s="53"/>
      <c r="DES1375" s="53"/>
      <c r="DET1375" s="53"/>
      <c r="DEU1375" s="53"/>
      <c r="DEV1375" s="53"/>
      <c r="DEW1375" s="53"/>
      <c r="DEX1375" s="53"/>
      <c r="DEY1375" s="53"/>
      <c r="DEZ1375" s="53"/>
      <c r="DFA1375" s="53"/>
      <c r="DFB1375" s="53"/>
      <c r="DFC1375" s="53"/>
      <c r="DFD1375" s="53"/>
      <c r="DFE1375" s="53"/>
      <c r="DFF1375" s="53"/>
      <c r="DFG1375" s="53"/>
      <c r="DFH1375" s="53"/>
      <c r="DFI1375" s="53"/>
      <c r="DFJ1375" s="53"/>
      <c r="DFK1375" s="53"/>
      <c r="DFL1375" s="53"/>
      <c r="DFM1375" s="53"/>
      <c r="DFN1375" s="53"/>
      <c r="DFO1375" s="53"/>
      <c r="DFP1375" s="53"/>
      <c r="DFQ1375" s="53"/>
      <c r="DFR1375" s="53"/>
      <c r="DFS1375" s="53"/>
      <c r="DFT1375" s="53"/>
      <c r="DFU1375" s="53"/>
      <c r="DFV1375" s="53"/>
      <c r="DFW1375" s="53"/>
      <c r="DFX1375" s="53"/>
      <c r="DFY1375" s="53"/>
      <c r="DFZ1375" s="53"/>
      <c r="DGA1375" s="53"/>
      <c r="DGB1375" s="53"/>
      <c r="DGC1375" s="53"/>
      <c r="DGD1375" s="53"/>
      <c r="DGE1375" s="53"/>
      <c r="DGF1375" s="53"/>
      <c r="DGG1375" s="53"/>
      <c r="DGH1375" s="53"/>
      <c r="DGI1375" s="53"/>
      <c r="DGJ1375" s="53"/>
      <c r="DGK1375" s="53"/>
      <c r="DGL1375" s="53"/>
      <c r="DGM1375" s="53"/>
      <c r="DGN1375" s="53"/>
      <c r="DGO1375" s="53"/>
      <c r="DGP1375" s="53"/>
      <c r="DGQ1375" s="53"/>
      <c r="DGR1375" s="53"/>
      <c r="DGS1375" s="53"/>
      <c r="DGT1375" s="53"/>
      <c r="DGU1375" s="53"/>
      <c r="DGV1375" s="53"/>
      <c r="DGW1375" s="53"/>
      <c r="DGX1375" s="53"/>
      <c r="DGY1375" s="53"/>
      <c r="DGZ1375" s="53"/>
      <c r="DHA1375" s="53"/>
      <c r="DHB1375" s="53"/>
      <c r="DHC1375" s="53"/>
      <c r="DHD1375" s="53"/>
      <c r="DHE1375" s="53"/>
      <c r="DHF1375" s="53"/>
      <c r="DHG1375" s="53"/>
      <c r="DHH1375" s="53"/>
      <c r="DHI1375" s="53"/>
      <c r="DHJ1375" s="53"/>
      <c r="DHK1375" s="53"/>
      <c r="DHL1375" s="53"/>
      <c r="DHM1375" s="53"/>
      <c r="DHN1375" s="53"/>
      <c r="DHO1375" s="53"/>
      <c r="DHP1375" s="53"/>
      <c r="DHQ1375" s="53"/>
      <c r="DHR1375" s="53"/>
      <c r="DHS1375" s="53"/>
      <c r="DHT1375" s="53"/>
      <c r="DHU1375" s="53"/>
      <c r="DHV1375" s="53"/>
      <c r="DHW1375" s="53"/>
      <c r="DHX1375" s="53"/>
      <c r="DHY1375" s="53"/>
      <c r="DHZ1375" s="53"/>
      <c r="DIA1375" s="53"/>
      <c r="DIB1375" s="53"/>
      <c r="DIC1375" s="53"/>
      <c r="DID1375" s="53"/>
      <c r="DIE1375" s="53"/>
      <c r="DIF1375" s="53"/>
      <c r="DIG1375" s="53"/>
      <c r="DIH1375" s="53"/>
      <c r="DII1375" s="53"/>
      <c r="DIJ1375" s="53"/>
      <c r="DIK1375" s="53"/>
      <c r="DIL1375" s="53"/>
      <c r="DIM1375" s="53"/>
      <c r="DIN1375" s="53"/>
      <c r="DIO1375" s="53"/>
      <c r="DIP1375" s="53"/>
      <c r="DIQ1375" s="53"/>
      <c r="DIR1375" s="53"/>
      <c r="DIS1375" s="53"/>
      <c r="DIT1375" s="53"/>
      <c r="DIU1375" s="53"/>
      <c r="DIV1375" s="53"/>
      <c r="DIW1375" s="53"/>
      <c r="DIX1375" s="53"/>
      <c r="DIY1375" s="53"/>
      <c r="DIZ1375" s="53"/>
      <c r="DJA1375" s="53"/>
      <c r="DJB1375" s="53"/>
      <c r="DJC1375" s="53"/>
      <c r="DJD1375" s="53"/>
      <c r="DJE1375" s="53"/>
      <c r="DJF1375" s="53"/>
      <c r="DJG1375" s="53"/>
      <c r="DJH1375" s="53"/>
      <c r="DJI1375" s="53"/>
      <c r="DJJ1375" s="53"/>
      <c r="DJK1375" s="53"/>
      <c r="DJL1375" s="53"/>
      <c r="DJM1375" s="53"/>
      <c r="DJN1375" s="53"/>
      <c r="DJO1375" s="53"/>
      <c r="DJP1375" s="53"/>
      <c r="DJQ1375" s="53"/>
      <c r="DJR1375" s="53"/>
      <c r="DJS1375" s="53"/>
      <c r="DJT1375" s="53"/>
      <c r="DJU1375" s="53"/>
      <c r="DJV1375" s="53"/>
      <c r="DJW1375" s="53"/>
      <c r="DJX1375" s="53"/>
      <c r="DJY1375" s="53"/>
      <c r="DJZ1375" s="53"/>
      <c r="DKA1375" s="53"/>
      <c r="DKB1375" s="53"/>
      <c r="DKC1375" s="53"/>
      <c r="DKD1375" s="53"/>
      <c r="DKE1375" s="53"/>
      <c r="DKF1375" s="53"/>
      <c r="DKG1375" s="53"/>
      <c r="DKH1375" s="53"/>
      <c r="DKI1375" s="53"/>
      <c r="DKJ1375" s="53"/>
      <c r="DKK1375" s="53"/>
      <c r="DKL1375" s="53"/>
      <c r="DKM1375" s="53"/>
      <c r="DKN1375" s="53"/>
      <c r="DKO1375" s="53"/>
      <c r="DKP1375" s="53"/>
      <c r="DKQ1375" s="53"/>
      <c r="DKR1375" s="53"/>
      <c r="DKS1375" s="53"/>
      <c r="DKT1375" s="53"/>
      <c r="DKU1375" s="53"/>
      <c r="DKV1375" s="53"/>
      <c r="DKW1375" s="53"/>
      <c r="DKX1375" s="53"/>
      <c r="DKY1375" s="53"/>
      <c r="DKZ1375" s="53"/>
      <c r="DLA1375" s="53"/>
      <c r="DLB1375" s="53"/>
      <c r="DLC1375" s="53"/>
      <c r="DLD1375" s="53"/>
      <c r="DLE1375" s="53"/>
      <c r="DLF1375" s="53"/>
      <c r="DLG1375" s="53"/>
      <c r="DLH1375" s="53"/>
      <c r="DLI1375" s="53"/>
      <c r="DLJ1375" s="53"/>
      <c r="DLK1375" s="53"/>
      <c r="DLL1375" s="53"/>
      <c r="DLM1375" s="53"/>
      <c r="DLN1375" s="53"/>
      <c r="DLO1375" s="53"/>
      <c r="DLP1375" s="53"/>
      <c r="DLQ1375" s="53"/>
      <c r="DLR1375" s="53"/>
      <c r="DLS1375" s="53"/>
      <c r="DLT1375" s="53"/>
      <c r="DLU1375" s="53"/>
      <c r="DLV1375" s="53"/>
      <c r="DLW1375" s="53"/>
      <c r="DLX1375" s="53"/>
      <c r="DLY1375" s="53"/>
      <c r="DLZ1375" s="53"/>
      <c r="DMA1375" s="53"/>
      <c r="DMB1375" s="53"/>
      <c r="DMC1375" s="53"/>
      <c r="DMD1375" s="53"/>
      <c r="DME1375" s="53"/>
      <c r="DMF1375" s="53"/>
      <c r="DMG1375" s="53"/>
      <c r="DMH1375" s="53"/>
      <c r="DMI1375" s="53"/>
      <c r="DMJ1375" s="53"/>
      <c r="DMK1375" s="53"/>
      <c r="DML1375" s="53"/>
      <c r="DMM1375" s="53"/>
      <c r="DMN1375" s="53"/>
      <c r="DMO1375" s="53"/>
      <c r="DMP1375" s="53"/>
      <c r="DMQ1375" s="53"/>
      <c r="DMR1375" s="53"/>
      <c r="DMS1375" s="53"/>
      <c r="DMT1375" s="53"/>
      <c r="DMU1375" s="53"/>
      <c r="DMV1375" s="53"/>
      <c r="DMW1375" s="53"/>
      <c r="DMX1375" s="53"/>
      <c r="DMY1375" s="53"/>
      <c r="DMZ1375" s="53"/>
      <c r="DNA1375" s="53"/>
      <c r="DNB1375" s="53"/>
      <c r="DNC1375" s="53"/>
      <c r="DND1375" s="53"/>
      <c r="DNE1375" s="53"/>
      <c r="DNF1375" s="53"/>
      <c r="DNG1375" s="53"/>
      <c r="DNH1375" s="53"/>
      <c r="DNI1375" s="53"/>
      <c r="DNJ1375" s="53"/>
      <c r="DNK1375" s="53"/>
      <c r="DNL1375" s="53"/>
      <c r="DNM1375" s="53"/>
      <c r="DNN1375" s="53"/>
      <c r="DNO1375" s="53"/>
      <c r="DNP1375" s="53"/>
      <c r="DNQ1375" s="53"/>
      <c r="DNR1375" s="53"/>
      <c r="DNS1375" s="53"/>
      <c r="DNT1375" s="53"/>
      <c r="DNU1375" s="53"/>
      <c r="DNV1375" s="53"/>
      <c r="DNW1375" s="53"/>
      <c r="DNX1375" s="53"/>
      <c r="DNY1375" s="53"/>
      <c r="DNZ1375" s="53"/>
      <c r="DOA1375" s="53"/>
      <c r="DOB1375" s="53"/>
      <c r="DOC1375" s="53"/>
      <c r="DOD1375" s="53"/>
      <c r="DOE1375" s="53"/>
      <c r="DOF1375" s="53"/>
      <c r="DOG1375" s="53"/>
      <c r="DOH1375" s="53"/>
      <c r="DOI1375" s="53"/>
      <c r="DOJ1375" s="53"/>
      <c r="DOK1375" s="53"/>
      <c r="DOL1375" s="53"/>
      <c r="DOM1375" s="53"/>
      <c r="DON1375" s="53"/>
      <c r="DOO1375" s="53"/>
      <c r="DOP1375" s="53"/>
      <c r="DOQ1375" s="53"/>
      <c r="DOR1375" s="53"/>
      <c r="DOS1375" s="53"/>
      <c r="DOT1375" s="53"/>
      <c r="DOU1375" s="53"/>
      <c r="DOV1375" s="53"/>
      <c r="DOW1375" s="53"/>
      <c r="DOX1375" s="53"/>
      <c r="DOY1375" s="53"/>
      <c r="DOZ1375" s="53"/>
      <c r="DPA1375" s="53"/>
      <c r="DPB1375" s="53"/>
      <c r="DPC1375" s="53"/>
      <c r="DPD1375" s="53"/>
      <c r="DPE1375" s="53"/>
      <c r="DPF1375" s="53"/>
      <c r="DPG1375" s="53"/>
      <c r="DPH1375" s="53"/>
      <c r="DPI1375" s="53"/>
      <c r="DPJ1375" s="53"/>
      <c r="DPK1375" s="53"/>
      <c r="DPL1375" s="53"/>
      <c r="DPM1375" s="53"/>
      <c r="DPN1375" s="53"/>
      <c r="DPO1375" s="53"/>
      <c r="DPP1375" s="53"/>
      <c r="DPQ1375" s="53"/>
      <c r="DPR1375" s="53"/>
      <c r="DPS1375" s="53"/>
      <c r="DPT1375" s="53"/>
      <c r="DPU1375" s="53"/>
      <c r="DPV1375" s="53"/>
      <c r="DPW1375" s="53"/>
      <c r="DPX1375" s="53"/>
      <c r="DPY1375" s="53"/>
      <c r="DPZ1375" s="53"/>
      <c r="DQA1375" s="53"/>
      <c r="DQB1375" s="53"/>
      <c r="DQC1375" s="53"/>
      <c r="DQD1375" s="53"/>
      <c r="DQE1375" s="53"/>
      <c r="DQF1375" s="53"/>
      <c r="DQG1375" s="53"/>
      <c r="DQH1375" s="53"/>
      <c r="DQI1375" s="53"/>
      <c r="DQJ1375" s="53"/>
      <c r="DQK1375" s="53"/>
      <c r="DQL1375" s="53"/>
      <c r="DQM1375" s="53"/>
      <c r="DQN1375" s="53"/>
      <c r="DQO1375" s="53"/>
      <c r="DQP1375" s="53"/>
      <c r="DQQ1375" s="53"/>
      <c r="DQR1375" s="53"/>
      <c r="DQS1375" s="53"/>
      <c r="DQT1375" s="53"/>
      <c r="DQU1375" s="53"/>
      <c r="DQV1375" s="53"/>
      <c r="DQW1375" s="53"/>
      <c r="DQX1375" s="53"/>
      <c r="DQY1375" s="53"/>
      <c r="DQZ1375" s="53"/>
      <c r="DRA1375" s="53"/>
      <c r="DRB1375" s="53"/>
      <c r="DRC1375" s="53"/>
      <c r="DRD1375" s="53"/>
      <c r="DRE1375" s="53"/>
      <c r="DRF1375" s="53"/>
      <c r="DRG1375" s="53"/>
      <c r="DRH1375" s="53"/>
      <c r="DRI1375" s="53"/>
      <c r="DRJ1375" s="53"/>
      <c r="DRK1375" s="53"/>
      <c r="DRL1375" s="53"/>
      <c r="DRM1375" s="53"/>
      <c r="DRN1375" s="53"/>
      <c r="DRO1375" s="53"/>
      <c r="DRP1375" s="53"/>
      <c r="DRQ1375" s="53"/>
      <c r="DRR1375" s="53"/>
      <c r="DRS1375" s="53"/>
      <c r="DRT1375" s="53"/>
      <c r="DRU1375" s="53"/>
      <c r="DRV1375" s="53"/>
      <c r="DRW1375" s="53"/>
      <c r="DRX1375" s="53"/>
      <c r="DRY1375" s="53"/>
      <c r="DRZ1375" s="53"/>
      <c r="DSA1375" s="53"/>
      <c r="DSB1375" s="53"/>
      <c r="DSC1375" s="53"/>
      <c r="DSD1375" s="53"/>
      <c r="DSE1375" s="53"/>
      <c r="DSF1375" s="53"/>
      <c r="DSG1375" s="53"/>
      <c r="DSH1375" s="53"/>
      <c r="DSI1375" s="53"/>
      <c r="DSJ1375" s="53"/>
      <c r="DSK1375" s="53"/>
      <c r="DSL1375" s="53"/>
      <c r="DSM1375" s="53"/>
      <c r="DSN1375" s="53"/>
      <c r="DSO1375" s="53"/>
      <c r="DSP1375" s="53"/>
      <c r="DSQ1375" s="53"/>
      <c r="DSR1375" s="53"/>
      <c r="DSS1375" s="53"/>
      <c r="DST1375" s="53"/>
      <c r="DSU1375" s="53"/>
      <c r="DSV1375" s="53"/>
      <c r="DSW1375" s="53"/>
      <c r="DSX1375" s="53"/>
      <c r="DSY1375" s="53"/>
      <c r="DSZ1375" s="53"/>
      <c r="DTA1375" s="53"/>
      <c r="DTB1375" s="53"/>
      <c r="DTC1375" s="53"/>
      <c r="DTD1375" s="53"/>
      <c r="DTE1375" s="53"/>
      <c r="DTF1375" s="53"/>
      <c r="DTG1375" s="53"/>
      <c r="DTH1375" s="53"/>
      <c r="DTI1375" s="53"/>
      <c r="DTJ1375" s="53"/>
      <c r="DTK1375" s="53"/>
      <c r="DTL1375" s="53"/>
      <c r="DTM1375" s="53"/>
      <c r="DTN1375" s="53"/>
      <c r="DTO1375" s="53"/>
      <c r="DTP1375" s="53"/>
      <c r="DTQ1375" s="53"/>
      <c r="DTR1375" s="53"/>
      <c r="DTS1375" s="53"/>
      <c r="DTT1375" s="53"/>
      <c r="DTU1375" s="53"/>
      <c r="DTV1375" s="53"/>
      <c r="DTW1375" s="53"/>
      <c r="DTX1375" s="53"/>
      <c r="DTY1375" s="53"/>
      <c r="DTZ1375" s="53"/>
      <c r="DUA1375" s="53"/>
      <c r="DUB1375" s="53"/>
      <c r="DUC1375" s="53"/>
      <c r="DUD1375" s="53"/>
      <c r="DUE1375" s="53"/>
      <c r="DUF1375" s="53"/>
      <c r="DUG1375" s="53"/>
      <c r="DUH1375" s="53"/>
      <c r="DUI1375" s="53"/>
      <c r="DUJ1375" s="53"/>
      <c r="DUK1375" s="53"/>
      <c r="DUL1375" s="53"/>
      <c r="DUM1375" s="53"/>
      <c r="DUN1375" s="53"/>
      <c r="DUO1375" s="53"/>
      <c r="DUP1375" s="53"/>
      <c r="DUQ1375" s="53"/>
      <c r="DUR1375" s="53"/>
      <c r="DUS1375" s="53"/>
      <c r="DUT1375" s="53"/>
      <c r="DUU1375" s="53"/>
      <c r="DUV1375" s="53"/>
      <c r="DUW1375" s="53"/>
      <c r="DUX1375" s="53"/>
      <c r="DUY1375" s="53"/>
      <c r="DUZ1375" s="53"/>
      <c r="DVA1375" s="53"/>
      <c r="DVB1375" s="53"/>
      <c r="DVC1375" s="53"/>
      <c r="DVD1375" s="53"/>
      <c r="DVE1375" s="53"/>
      <c r="DVF1375" s="53"/>
      <c r="DVG1375" s="53"/>
      <c r="DVH1375" s="53"/>
      <c r="DVI1375" s="53"/>
      <c r="DVJ1375" s="53"/>
      <c r="DVK1375" s="53"/>
      <c r="DVL1375" s="53"/>
      <c r="DVM1375" s="53"/>
      <c r="DVN1375" s="53"/>
      <c r="DVO1375" s="53"/>
      <c r="DVP1375" s="53"/>
      <c r="DVQ1375" s="53"/>
      <c r="DVR1375" s="53"/>
      <c r="DVS1375" s="53"/>
      <c r="DVT1375" s="53"/>
      <c r="DVU1375" s="53"/>
      <c r="DVV1375" s="53"/>
      <c r="DVW1375" s="53"/>
      <c r="DVX1375" s="53"/>
      <c r="DVY1375" s="53"/>
      <c r="DVZ1375" s="53"/>
      <c r="DWA1375" s="53"/>
      <c r="DWB1375" s="53"/>
      <c r="DWC1375" s="53"/>
      <c r="DWD1375" s="53"/>
      <c r="DWE1375" s="53"/>
      <c r="DWF1375" s="53"/>
      <c r="DWG1375" s="53"/>
      <c r="DWH1375" s="53"/>
      <c r="DWI1375" s="53"/>
      <c r="DWJ1375" s="53"/>
      <c r="DWK1375" s="53"/>
      <c r="DWL1375" s="53"/>
      <c r="DWM1375" s="53"/>
      <c r="DWN1375" s="53"/>
      <c r="DWO1375" s="53"/>
      <c r="DWP1375" s="53"/>
      <c r="DWQ1375" s="53"/>
      <c r="DWR1375" s="53"/>
      <c r="DWS1375" s="53"/>
      <c r="DWT1375" s="53"/>
      <c r="DWU1375" s="53"/>
      <c r="DWV1375" s="53"/>
      <c r="DWW1375" s="53"/>
      <c r="DWX1375" s="53"/>
      <c r="DWY1375" s="53"/>
      <c r="DWZ1375" s="53"/>
      <c r="DXA1375" s="53"/>
      <c r="DXB1375" s="53"/>
      <c r="DXC1375" s="53"/>
      <c r="DXD1375" s="53"/>
      <c r="DXE1375" s="53"/>
      <c r="DXF1375" s="53"/>
      <c r="DXG1375" s="53"/>
      <c r="DXH1375" s="53"/>
      <c r="DXI1375" s="53"/>
      <c r="DXJ1375" s="53"/>
      <c r="DXK1375" s="53"/>
      <c r="DXL1375" s="53"/>
      <c r="DXM1375" s="53"/>
      <c r="DXN1375" s="53"/>
      <c r="DXO1375" s="53"/>
      <c r="DXP1375" s="53"/>
      <c r="DXQ1375" s="53"/>
      <c r="DXR1375" s="53"/>
      <c r="DXS1375" s="53"/>
      <c r="DXT1375" s="53"/>
      <c r="DXU1375" s="53"/>
      <c r="DXV1375" s="53"/>
      <c r="DXW1375" s="53"/>
      <c r="DXX1375" s="53"/>
      <c r="DXY1375" s="53"/>
      <c r="DXZ1375" s="53"/>
      <c r="DYA1375" s="53"/>
      <c r="DYB1375" s="53"/>
      <c r="DYC1375" s="53"/>
      <c r="DYD1375" s="53"/>
      <c r="DYE1375" s="53"/>
      <c r="DYF1375" s="53"/>
      <c r="DYG1375" s="53"/>
      <c r="DYH1375" s="53"/>
      <c r="DYI1375" s="53"/>
      <c r="DYJ1375" s="53"/>
      <c r="DYK1375" s="53"/>
      <c r="DYL1375" s="53"/>
      <c r="DYM1375" s="53"/>
      <c r="DYN1375" s="53"/>
      <c r="DYO1375" s="53"/>
      <c r="DYP1375" s="53"/>
      <c r="DYQ1375" s="53"/>
      <c r="DYR1375" s="53"/>
      <c r="DYS1375" s="53"/>
      <c r="DYT1375" s="53"/>
      <c r="DYU1375" s="53"/>
      <c r="DYV1375" s="53"/>
      <c r="DYW1375" s="53"/>
      <c r="DYX1375" s="53"/>
      <c r="DYY1375" s="53"/>
      <c r="DYZ1375" s="53"/>
      <c r="DZA1375" s="53"/>
      <c r="DZB1375" s="53"/>
      <c r="DZC1375" s="53"/>
      <c r="DZD1375" s="53"/>
      <c r="DZE1375" s="53"/>
      <c r="DZF1375" s="53"/>
      <c r="DZG1375" s="53"/>
      <c r="DZH1375" s="53"/>
      <c r="DZI1375" s="53"/>
      <c r="DZJ1375" s="53"/>
      <c r="DZK1375" s="53"/>
      <c r="DZL1375" s="53"/>
      <c r="DZM1375" s="53"/>
      <c r="DZN1375" s="53"/>
      <c r="DZO1375" s="53"/>
      <c r="DZP1375" s="53"/>
      <c r="DZQ1375" s="53"/>
      <c r="DZR1375" s="53"/>
      <c r="DZS1375" s="53"/>
      <c r="DZT1375" s="53"/>
      <c r="DZU1375" s="53"/>
      <c r="DZV1375" s="53"/>
      <c r="DZW1375" s="53"/>
      <c r="DZX1375" s="53"/>
      <c r="DZY1375" s="53"/>
      <c r="DZZ1375" s="53"/>
      <c r="EAA1375" s="53"/>
      <c r="EAB1375" s="53"/>
      <c r="EAC1375" s="53"/>
      <c r="EAD1375" s="53"/>
      <c r="EAE1375" s="53"/>
      <c r="EAF1375" s="53"/>
      <c r="EAG1375" s="53"/>
      <c r="EAH1375" s="53"/>
      <c r="EAI1375" s="53"/>
      <c r="EAJ1375" s="53"/>
      <c r="EAK1375" s="53"/>
      <c r="EAL1375" s="53"/>
      <c r="EAM1375" s="53"/>
      <c r="EAN1375" s="53"/>
      <c r="EAO1375" s="53"/>
      <c r="EAP1375" s="53"/>
      <c r="EAQ1375" s="53"/>
      <c r="EAR1375" s="53"/>
      <c r="EAS1375" s="53"/>
      <c r="EAT1375" s="53"/>
      <c r="EAU1375" s="53"/>
      <c r="EAV1375" s="53"/>
      <c r="EAW1375" s="53"/>
      <c r="EAX1375" s="53"/>
      <c r="EAY1375" s="53"/>
      <c r="EAZ1375" s="53"/>
      <c r="EBA1375" s="53"/>
      <c r="EBB1375" s="53"/>
      <c r="EBC1375" s="53"/>
      <c r="EBD1375" s="53"/>
      <c r="EBE1375" s="53"/>
      <c r="EBF1375" s="53"/>
      <c r="EBG1375" s="53"/>
      <c r="EBH1375" s="53"/>
      <c r="EBI1375" s="53"/>
      <c r="EBJ1375" s="53"/>
      <c r="EBK1375" s="53"/>
      <c r="EBL1375" s="53"/>
      <c r="EBM1375" s="53"/>
      <c r="EBN1375" s="53"/>
      <c r="EBO1375" s="53"/>
      <c r="EBP1375" s="53"/>
      <c r="EBQ1375" s="53"/>
      <c r="EBR1375" s="53"/>
      <c r="EBS1375" s="53"/>
      <c r="EBT1375" s="53"/>
      <c r="EBU1375" s="53"/>
      <c r="EBV1375" s="53"/>
      <c r="EBW1375" s="53"/>
      <c r="EBX1375" s="53"/>
      <c r="EBY1375" s="53"/>
      <c r="EBZ1375" s="53"/>
      <c r="ECA1375" s="53"/>
      <c r="ECB1375" s="53"/>
      <c r="ECC1375" s="53"/>
      <c r="ECD1375" s="53"/>
      <c r="ECE1375" s="53"/>
      <c r="ECF1375" s="53"/>
      <c r="ECG1375" s="53"/>
      <c r="ECH1375" s="53"/>
      <c r="ECI1375" s="53"/>
      <c r="ECJ1375" s="53"/>
      <c r="ECK1375" s="53"/>
      <c r="ECL1375" s="53"/>
      <c r="ECM1375" s="53"/>
      <c r="ECN1375" s="53"/>
      <c r="ECO1375" s="53"/>
      <c r="ECP1375" s="53"/>
      <c r="ECQ1375" s="53"/>
      <c r="ECR1375" s="53"/>
      <c r="ECS1375" s="53"/>
      <c r="ECT1375" s="53"/>
      <c r="ECU1375" s="53"/>
      <c r="ECV1375" s="53"/>
      <c r="ECW1375" s="53"/>
      <c r="ECX1375" s="53"/>
      <c r="ECY1375" s="53"/>
      <c r="ECZ1375" s="53"/>
      <c r="EDA1375" s="53"/>
      <c r="EDB1375" s="53"/>
      <c r="EDC1375" s="53"/>
      <c r="EDD1375" s="53"/>
      <c r="EDE1375" s="53"/>
      <c r="EDF1375" s="53"/>
      <c r="EDG1375" s="53"/>
      <c r="EDH1375" s="53"/>
      <c r="EDI1375" s="53"/>
      <c r="EDJ1375" s="53"/>
      <c r="EDK1375" s="53"/>
      <c r="EDL1375" s="53"/>
      <c r="EDM1375" s="53"/>
      <c r="EDN1375" s="53"/>
      <c r="EDO1375" s="53"/>
      <c r="EDP1375" s="53"/>
      <c r="EDQ1375" s="53"/>
      <c r="EDR1375" s="53"/>
      <c r="EDS1375" s="53"/>
      <c r="EDT1375" s="53"/>
      <c r="EDU1375" s="53"/>
      <c r="EDV1375" s="53"/>
      <c r="EDW1375" s="53"/>
      <c r="EDX1375" s="53"/>
      <c r="EDY1375" s="53"/>
      <c r="EDZ1375" s="53"/>
      <c r="EEA1375" s="53"/>
      <c r="EEB1375" s="53"/>
      <c r="EEC1375" s="53"/>
      <c r="EED1375" s="53"/>
      <c r="EEE1375" s="53"/>
      <c r="EEF1375" s="53"/>
      <c r="EEG1375" s="53"/>
      <c r="EEH1375" s="53"/>
      <c r="EEI1375" s="53"/>
      <c r="EEJ1375" s="53"/>
      <c r="EEK1375" s="53"/>
      <c r="EEL1375" s="53"/>
      <c r="EEM1375" s="53"/>
      <c r="EEN1375" s="53"/>
      <c r="EEO1375" s="53"/>
      <c r="EEP1375" s="53"/>
      <c r="EEQ1375" s="53"/>
      <c r="EER1375" s="53"/>
      <c r="EES1375" s="53"/>
      <c r="EET1375" s="53"/>
      <c r="EEU1375" s="53"/>
      <c r="EEV1375" s="53"/>
      <c r="EEW1375" s="53"/>
      <c r="EEX1375" s="53"/>
      <c r="EEY1375" s="53"/>
      <c r="EEZ1375" s="53"/>
      <c r="EFA1375" s="53"/>
      <c r="EFB1375" s="53"/>
      <c r="EFC1375" s="53"/>
      <c r="EFD1375" s="53"/>
      <c r="EFE1375" s="53"/>
      <c r="EFF1375" s="53"/>
      <c r="EFG1375" s="53"/>
      <c r="EFH1375" s="53"/>
      <c r="EFI1375" s="53"/>
      <c r="EFJ1375" s="53"/>
      <c r="EFK1375" s="53"/>
      <c r="EFL1375" s="53"/>
      <c r="EFM1375" s="53"/>
      <c r="EFN1375" s="53"/>
      <c r="EFO1375" s="53"/>
      <c r="EFP1375" s="53"/>
      <c r="EFQ1375" s="53"/>
      <c r="EFR1375" s="53"/>
      <c r="EFS1375" s="53"/>
      <c r="EFT1375" s="53"/>
      <c r="EFU1375" s="53"/>
      <c r="EFV1375" s="53"/>
      <c r="EFW1375" s="53"/>
      <c r="EFX1375" s="53"/>
      <c r="EFY1375" s="53"/>
      <c r="EFZ1375" s="53"/>
      <c r="EGA1375" s="53"/>
      <c r="EGB1375" s="53"/>
      <c r="EGC1375" s="53"/>
      <c r="EGD1375" s="53"/>
      <c r="EGE1375" s="53"/>
      <c r="EGF1375" s="53"/>
      <c r="EGG1375" s="53"/>
      <c r="EGH1375" s="53"/>
      <c r="EGI1375" s="53"/>
      <c r="EGJ1375" s="53"/>
      <c r="EGK1375" s="53"/>
      <c r="EGL1375" s="53"/>
      <c r="EGM1375" s="53"/>
      <c r="EGN1375" s="53"/>
      <c r="EGO1375" s="53"/>
      <c r="EGP1375" s="53"/>
      <c r="EGQ1375" s="53"/>
      <c r="EGR1375" s="53"/>
      <c r="EGS1375" s="53"/>
      <c r="EGT1375" s="53"/>
      <c r="EGU1375" s="53"/>
      <c r="EGV1375" s="53"/>
      <c r="EGW1375" s="53"/>
      <c r="EGX1375" s="53"/>
      <c r="EGY1375" s="53"/>
      <c r="EGZ1375" s="53"/>
      <c r="EHA1375" s="53"/>
      <c r="EHB1375" s="53"/>
      <c r="EHC1375" s="53"/>
      <c r="EHD1375" s="53"/>
      <c r="EHE1375" s="53"/>
      <c r="EHF1375" s="53"/>
      <c r="EHG1375" s="53"/>
      <c r="EHH1375" s="53"/>
      <c r="EHI1375" s="53"/>
      <c r="EHJ1375" s="53"/>
      <c r="EHK1375" s="53"/>
      <c r="EHL1375" s="53"/>
      <c r="EHM1375" s="53"/>
      <c r="EHN1375" s="53"/>
      <c r="EHO1375" s="53"/>
      <c r="EHP1375" s="53"/>
      <c r="EHQ1375" s="53"/>
      <c r="EHR1375" s="53"/>
      <c r="EHS1375" s="53"/>
      <c r="EHT1375" s="53"/>
      <c r="EHU1375" s="53"/>
      <c r="EHV1375" s="53"/>
      <c r="EHW1375" s="53"/>
      <c r="EHX1375" s="53"/>
      <c r="EHY1375" s="53"/>
      <c r="EHZ1375" s="53"/>
      <c r="EIA1375" s="53"/>
      <c r="EIB1375" s="53"/>
      <c r="EIC1375" s="53"/>
      <c r="EID1375" s="53"/>
      <c r="EIE1375" s="53"/>
      <c r="EIF1375" s="53"/>
      <c r="EIG1375" s="53"/>
      <c r="EIH1375" s="53"/>
      <c r="EII1375" s="53"/>
      <c r="EIJ1375" s="53"/>
      <c r="EIK1375" s="53"/>
      <c r="EIL1375" s="53"/>
      <c r="EIM1375" s="53"/>
      <c r="EIN1375" s="53"/>
      <c r="EIO1375" s="53"/>
      <c r="EIP1375" s="53"/>
      <c r="EIQ1375" s="53"/>
      <c r="EIR1375" s="53"/>
      <c r="EIS1375" s="53"/>
      <c r="EIT1375" s="53"/>
      <c r="EIU1375" s="53"/>
      <c r="EIV1375" s="53"/>
      <c r="EIW1375" s="53"/>
      <c r="EIX1375" s="53"/>
      <c r="EIY1375" s="53"/>
      <c r="EIZ1375" s="53"/>
      <c r="EJA1375" s="53"/>
      <c r="EJB1375" s="53"/>
      <c r="EJC1375" s="53"/>
      <c r="EJD1375" s="53"/>
      <c r="EJE1375" s="53"/>
      <c r="EJF1375" s="53"/>
      <c r="EJG1375" s="53"/>
      <c r="EJH1375" s="53"/>
      <c r="EJI1375" s="53"/>
      <c r="EJJ1375" s="53"/>
      <c r="EJK1375" s="53"/>
      <c r="EJL1375" s="53"/>
      <c r="EJM1375" s="53"/>
      <c r="EJN1375" s="53"/>
      <c r="EJO1375" s="53"/>
      <c r="EJP1375" s="53"/>
      <c r="EJQ1375" s="53"/>
      <c r="EJR1375" s="53"/>
      <c r="EJS1375" s="53"/>
      <c r="EJT1375" s="53"/>
      <c r="EJU1375" s="53"/>
      <c r="EJV1375" s="53"/>
      <c r="EJW1375" s="53"/>
      <c r="EJX1375" s="53"/>
      <c r="EJY1375" s="53"/>
      <c r="EJZ1375" s="53"/>
      <c r="EKA1375" s="53"/>
      <c r="EKB1375" s="53"/>
      <c r="EKC1375" s="53"/>
      <c r="EKD1375" s="53"/>
      <c r="EKE1375" s="53"/>
      <c r="EKF1375" s="53"/>
      <c r="EKG1375" s="53"/>
      <c r="EKH1375" s="53"/>
      <c r="EKI1375" s="53"/>
      <c r="EKJ1375" s="53"/>
      <c r="EKK1375" s="53"/>
      <c r="EKL1375" s="53"/>
      <c r="EKM1375" s="53"/>
      <c r="EKN1375" s="53"/>
      <c r="EKO1375" s="53"/>
      <c r="EKP1375" s="53"/>
      <c r="EKQ1375" s="53"/>
      <c r="EKR1375" s="53"/>
      <c r="EKS1375" s="53"/>
      <c r="EKT1375" s="53"/>
      <c r="EKU1375" s="53"/>
      <c r="EKV1375" s="53"/>
      <c r="EKW1375" s="53"/>
      <c r="EKX1375" s="53"/>
      <c r="EKY1375" s="53"/>
      <c r="EKZ1375" s="53"/>
      <c r="ELA1375" s="53"/>
      <c r="ELB1375" s="53"/>
      <c r="ELC1375" s="53"/>
      <c r="ELD1375" s="53"/>
      <c r="ELE1375" s="53"/>
      <c r="ELF1375" s="53"/>
      <c r="ELG1375" s="53"/>
      <c r="ELH1375" s="53"/>
      <c r="ELI1375" s="53"/>
      <c r="ELJ1375" s="53"/>
      <c r="ELK1375" s="53"/>
      <c r="ELL1375" s="53"/>
      <c r="ELM1375" s="53"/>
      <c r="ELN1375" s="53"/>
      <c r="ELO1375" s="53"/>
      <c r="ELP1375" s="53"/>
      <c r="ELQ1375" s="53"/>
      <c r="ELR1375" s="53"/>
      <c r="ELS1375" s="53"/>
      <c r="ELT1375" s="53"/>
      <c r="ELU1375" s="53"/>
      <c r="ELV1375" s="53"/>
      <c r="ELW1375" s="53"/>
      <c r="ELX1375" s="53"/>
      <c r="ELY1375" s="53"/>
      <c r="ELZ1375" s="53"/>
      <c r="EMA1375" s="53"/>
      <c r="EMB1375" s="53"/>
      <c r="EMC1375" s="53"/>
      <c r="EMD1375" s="53"/>
      <c r="EME1375" s="53"/>
      <c r="EMF1375" s="53"/>
      <c r="EMG1375" s="53"/>
      <c r="EMH1375" s="53"/>
      <c r="EMI1375" s="53"/>
      <c r="EMJ1375" s="53"/>
      <c r="EMK1375" s="53"/>
      <c r="EML1375" s="53"/>
      <c r="EMM1375" s="53"/>
      <c r="EMN1375" s="53"/>
      <c r="EMO1375" s="53"/>
      <c r="EMP1375" s="53"/>
      <c r="EMQ1375" s="53"/>
      <c r="EMR1375" s="53"/>
      <c r="EMS1375" s="53"/>
      <c r="EMT1375" s="53"/>
      <c r="EMU1375" s="53"/>
      <c r="EMV1375" s="53"/>
      <c r="EMW1375" s="53"/>
      <c r="EMX1375" s="53"/>
      <c r="EMY1375" s="53"/>
      <c r="EMZ1375" s="53"/>
      <c r="ENA1375" s="53"/>
      <c r="ENB1375" s="53"/>
      <c r="ENC1375" s="53"/>
      <c r="END1375" s="53"/>
      <c r="ENE1375" s="53"/>
      <c r="ENF1375" s="53"/>
      <c r="ENG1375" s="53"/>
      <c r="ENH1375" s="53"/>
      <c r="ENI1375" s="53"/>
      <c r="ENJ1375" s="53"/>
      <c r="ENK1375" s="53"/>
      <c r="ENL1375" s="53"/>
      <c r="ENM1375" s="53"/>
      <c r="ENN1375" s="53"/>
      <c r="ENO1375" s="53"/>
      <c r="ENP1375" s="53"/>
      <c r="ENQ1375" s="53"/>
      <c r="ENR1375" s="53"/>
      <c r="ENS1375" s="53"/>
      <c r="ENT1375" s="53"/>
      <c r="ENU1375" s="53"/>
      <c r="ENV1375" s="53"/>
      <c r="ENW1375" s="53"/>
      <c r="ENX1375" s="53"/>
      <c r="ENY1375" s="53"/>
      <c r="ENZ1375" s="53"/>
      <c r="EOA1375" s="53"/>
      <c r="EOB1375" s="53"/>
      <c r="EOC1375" s="53"/>
      <c r="EOD1375" s="53"/>
      <c r="EOE1375" s="53"/>
      <c r="EOF1375" s="53"/>
      <c r="EOG1375" s="53"/>
      <c r="EOH1375" s="53"/>
      <c r="EOI1375" s="53"/>
      <c r="EOJ1375" s="53"/>
      <c r="EOK1375" s="53"/>
      <c r="EOL1375" s="53"/>
      <c r="EOM1375" s="53"/>
      <c r="EON1375" s="53"/>
      <c r="EOO1375" s="53"/>
      <c r="EOP1375" s="53"/>
      <c r="EOQ1375" s="53"/>
      <c r="EOR1375" s="53"/>
      <c r="EOS1375" s="53"/>
      <c r="EOT1375" s="53"/>
      <c r="EOU1375" s="53"/>
      <c r="EOV1375" s="53"/>
      <c r="EOW1375" s="53"/>
      <c r="EOX1375" s="53"/>
      <c r="EOY1375" s="53"/>
      <c r="EOZ1375" s="53"/>
      <c r="EPA1375" s="53"/>
      <c r="EPB1375" s="53"/>
      <c r="EPC1375" s="53"/>
      <c r="EPD1375" s="53"/>
      <c r="EPE1375" s="53"/>
      <c r="EPF1375" s="53"/>
      <c r="EPG1375" s="53"/>
      <c r="EPH1375" s="53"/>
      <c r="EPI1375" s="53"/>
      <c r="EPJ1375" s="53"/>
      <c r="EPK1375" s="53"/>
      <c r="EPL1375" s="53"/>
      <c r="EPM1375" s="53"/>
      <c r="EPN1375" s="53"/>
      <c r="EPO1375" s="53"/>
      <c r="EPP1375" s="53"/>
      <c r="EPQ1375" s="53"/>
      <c r="EPR1375" s="53"/>
      <c r="EPS1375" s="53"/>
      <c r="EPT1375" s="53"/>
      <c r="EPU1375" s="53"/>
      <c r="EPV1375" s="53"/>
      <c r="EPW1375" s="53"/>
      <c r="EPX1375" s="53"/>
      <c r="EPY1375" s="53"/>
      <c r="EPZ1375" s="53"/>
      <c r="EQA1375" s="53"/>
      <c r="EQB1375" s="53"/>
      <c r="EQC1375" s="53"/>
      <c r="EQD1375" s="53"/>
      <c r="EQE1375" s="53"/>
      <c r="EQF1375" s="53"/>
      <c r="EQG1375" s="53"/>
      <c r="EQH1375" s="53"/>
      <c r="EQI1375" s="53"/>
      <c r="EQJ1375" s="53"/>
      <c r="EQK1375" s="53"/>
      <c r="EQL1375" s="53"/>
      <c r="EQM1375" s="53"/>
      <c r="EQN1375" s="53"/>
      <c r="EQO1375" s="53"/>
      <c r="EQP1375" s="53"/>
      <c r="EQQ1375" s="53"/>
      <c r="EQR1375" s="53"/>
      <c r="EQS1375" s="53"/>
      <c r="EQT1375" s="53"/>
      <c r="EQU1375" s="53"/>
      <c r="EQV1375" s="53"/>
      <c r="EQW1375" s="53"/>
      <c r="EQX1375" s="53"/>
      <c r="EQY1375" s="53"/>
      <c r="EQZ1375" s="53"/>
      <c r="ERA1375" s="53"/>
      <c r="ERB1375" s="53"/>
      <c r="ERC1375" s="53"/>
      <c r="ERD1375" s="53"/>
      <c r="ERE1375" s="53"/>
      <c r="ERF1375" s="53"/>
      <c r="ERG1375" s="53"/>
      <c r="ERH1375" s="53"/>
      <c r="ERI1375" s="53"/>
      <c r="ERJ1375" s="53"/>
      <c r="ERK1375" s="53"/>
      <c r="ERL1375" s="53"/>
      <c r="ERM1375" s="53"/>
      <c r="ERN1375" s="53"/>
      <c r="ERO1375" s="53"/>
      <c r="ERP1375" s="53"/>
      <c r="ERQ1375" s="53"/>
      <c r="ERR1375" s="53"/>
      <c r="ERS1375" s="53"/>
      <c r="ERT1375" s="53"/>
      <c r="ERU1375" s="53"/>
      <c r="ERV1375" s="53"/>
      <c r="ERW1375" s="53"/>
      <c r="ERX1375" s="53"/>
      <c r="ERY1375" s="53"/>
      <c r="ERZ1375" s="53"/>
      <c r="ESA1375" s="53"/>
      <c r="ESB1375" s="53"/>
      <c r="ESC1375" s="53"/>
      <c r="ESD1375" s="53"/>
      <c r="ESE1375" s="53"/>
      <c r="ESF1375" s="53"/>
      <c r="ESG1375" s="53"/>
      <c r="ESH1375" s="53"/>
      <c r="ESI1375" s="53"/>
      <c r="ESJ1375" s="53"/>
      <c r="ESK1375" s="53"/>
      <c r="ESL1375" s="53"/>
      <c r="ESM1375" s="53"/>
      <c r="ESN1375" s="53"/>
      <c r="ESO1375" s="53"/>
      <c r="ESP1375" s="53"/>
      <c r="ESQ1375" s="53"/>
      <c r="ESR1375" s="53"/>
      <c r="ESS1375" s="53"/>
      <c r="EST1375" s="53"/>
      <c r="ESU1375" s="53"/>
      <c r="ESV1375" s="53"/>
      <c r="ESW1375" s="53"/>
      <c r="ESX1375" s="53"/>
      <c r="ESY1375" s="53"/>
      <c r="ESZ1375" s="53"/>
      <c r="ETA1375" s="53"/>
      <c r="ETB1375" s="53"/>
      <c r="ETC1375" s="53"/>
      <c r="ETD1375" s="53"/>
      <c r="ETE1375" s="53"/>
      <c r="ETF1375" s="53"/>
      <c r="ETG1375" s="53"/>
      <c r="ETH1375" s="53"/>
      <c r="ETI1375" s="53"/>
      <c r="ETJ1375" s="53"/>
      <c r="ETK1375" s="53"/>
      <c r="ETL1375" s="53"/>
      <c r="ETM1375" s="53"/>
      <c r="ETN1375" s="53"/>
      <c r="ETO1375" s="53"/>
      <c r="ETP1375" s="53"/>
      <c r="ETQ1375" s="53"/>
      <c r="ETR1375" s="53"/>
      <c r="ETS1375" s="53"/>
      <c r="ETT1375" s="53"/>
      <c r="ETU1375" s="53"/>
      <c r="ETV1375" s="53"/>
      <c r="ETW1375" s="53"/>
      <c r="ETX1375" s="53"/>
      <c r="ETY1375" s="53"/>
      <c r="ETZ1375" s="53"/>
      <c r="EUA1375" s="53"/>
      <c r="EUB1375" s="53"/>
      <c r="EUC1375" s="53"/>
      <c r="EUD1375" s="53"/>
      <c r="EUE1375" s="53"/>
      <c r="EUF1375" s="53"/>
      <c r="EUG1375" s="53"/>
      <c r="EUH1375" s="53"/>
      <c r="EUI1375" s="53"/>
      <c r="EUJ1375" s="53"/>
      <c r="EUK1375" s="53"/>
      <c r="EUL1375" s="53"/>
      <c r="EUM1375" s="53"/>
      <c r="EUN1375" s="53"/>
      <c r="EUO1375" s="53"/>
      <c r="EUP1375" s="53"/>
      <c r="EUQ1375" s="53"/>
      <c r="EUR1375" s="53"/>
      <c r="EUS1375" s="53"/>
      <c r="EUT1375" s="53"/>
      <c r="EUU1375" s="53"/>
      <c r="EUV1375" s="53"/>
      <c r="EUW1375" s="53"/>
      <c r="EUX1375" s="53"/>
      <c r="EUY1375" s="53"/>
      <c r="EUZ1375" s="53"/>
      <c r="EVA1375" s="53"/>
      <c r="EVB1375" s="53"/>
      <c r="EVC1375" s="53"/>
      <c r="EVD1375" s="53"/>
      <c r="EVE1375" s="53"/>
      <c r="EVF1375" s="53"/>
      <c r="EVG1375" s="53"/>
      <c r="EVH1375" s="53"/>
      <c r="EVI1375" s="53"/>
      <c r="EVJ1375" s="53"/>
      <c r="EVK1375" s="53"/>
      <c r="EVL1375" s="53"/>
      <c r="EVM1375" s="53"/>
      <c r="EVN1375" s="53"/>
      <c r="EVO1375" s="53"/>
      <c r="EVP1375" s="53"/>
      <c r="EVQ1375" s="53"/>
      <c r="EVR1375" s="53"/>
      <c r="EVS1375" s="53"/>
      <c r="EVT1375" s="53"/>
      <c r="EVU1375" s="53"/>
      <c r="EVV1375" s="53"/>
      <c r="EVW1375" s="53"/>
      <c r="EVX1375" s="53"/>
      <c r="EVY1375" s="53"/>
      <c r="EVZ1375" s="53"/>
      <c r="EWA1375" s="53"/>
      <c r="EWB1375" s="53"/>
      <c r="EWC1375" s="53"/>
      <c r="EWD1375" s="53"/>
      <c r="EWE1375" s="53"/>
      <c r="EWF1375" s="53"/>
      <c r="EWG1375" s="53"/>
      <c r="EWH1375" s="53"/>
      <c r="EWI1375" s="53"/>
      <c r="EWJ1375" s="53"/>
      <c r="EWK1375" s="53"/>
      <c r="EWL1375" s="53"/>
      <c r="EWM1375" s="53"/>
      <c r="EWN1375" s="53"/>
      <c r="EWO1375" s="53"/>
      <c r="EWP1375" s="53"/>
      <c r="EWQ1375" s="53"/>
      <c r="EWR1375" s="53"/>
      <c r="EWS1375" s="53"/>
      <c r="EWT1375" s="53"/>
      <c r="EWU1375" s="53"/>
      <c r="EWV1375" s="53"/>
      <c r="EWW1375" s="53"/>
      <c r="EWX1375" s="53"/>
      <c r="EWY1375" s="53"/>
      <c r="EWZ1375" s="53"/>
      <c r="EXA1375" s="53"/>
      <c r="EXB1375" s="53"/>
      <c r="EXC1375" s="53"/>
      <c r="EXD1375" s="53"/>
      <c r="EXE1375" s="53"/>
      <c r="EXF1375" s="53"/>
      <c r="EXG1375" s="53"/>
      <c r="EXH1375" s="53"/>
      <c r="EXI1375" s="53"/>
      <c r="EXJ1375" s="53"/>
      <c r="EXK1375" s="53"/>
      <c r="EXL1375" s="53"/>
      <c r="EXM1375" s="53"/>
      <c r="EXN1375" s="53"/>
      <c r="EXO1375" s="53"/>
      <c r="EXP1375" s="53"/>
      <c r="EXQ1375" s="53"/>
      <c r="EXR1375" s="53"/>
      <c r="EXS1375" s="53"/>
      <c r="EXT1375" s="53"/>
      <c r="EXU1375" s="53"/>
      <c r="EXV1375" s="53"/>
      <c r="EXW1375" s="53"/>
      <c r="EXX1375" s="53"/>
      <c r="EXY1375" s="53"/>
      <c r="EXZ1375" s="53"/>
      <c r="EYA1375" s="53"/>
      <c r="EYB1375" s="53"/>
      <c r="EYC1375" s="53"/>
      <c r="EYD1375" s="53"/>
      <c r="EYE1375" s="53"/>
      <c r="EYF1375" s="53"/>
      <c r="EYG1375" s="53"/>
      <c r="EYH1375" s="53"/>
      <c r="EYI1375" s="53"/>
      <c r="EYJ1375" s="53"/>
      <c r="EYK1375" s="53"/>
      <c r="EYL1375" s="53"/>
      <c r="EYM1375" s="53"/>
      <c r="EYN1375" s="53"/>
      <c r="EYO1375" s="53"/>
      <c r="EYP1375" s="53"/>
      <c r="EYQ1375" s="53"/>
      <c r="EYR1375" s="53"/>
      <c r="EYS1375" s="53"/>
      <c r="EYT1375" s="53"/>
      <c r="EYU1375" s="53"/>
      <c r="EYV1375" s="53"/>
      <c r="EYW1375" s="53"/>
      <c r="EYX1375" s="53"/>
      <c r="EYY1375" s="53"/>
      <c r="EYZ1375" s="53"/>
      <c r="EZA1375" s="53"/>
      <c r="EZB1375" s="53"/>
      <c r="EZC1375" s="53"/>
      <c r="EZD1375" s="53"/>
      <c r="EZE1375" s="53"/>
      <c r="EZF1375" s="53"/>
      <c r="EZG1375" s="53"/>
      <c r="EZH1375" s="53"/>
      <c r="EZI1375" s="53"/>
      <c r="EZJ1375" s="53"/>
      <c r="EZK1375" s="53"/>
      <c r="EZL1375" s="53"/>
      <c r="EZM1375" s="53"/>
      <c r="EZN1375" s="53"/>
      <c r="EZO1375" s="53"/>
      <c r="EZP1375" s="53"/>
      <c r="EZQ1375" s="53"/>
      <c r="EZR1375" s="53"/>
      <c r="EZS1375" s="53"/>
      <c r="EZT1375" s="53"/>
      <c r="EZU1375" s="53"/>
      <c r="EZV1375" s="53"/>
      <c r="EZW1375" s="53"/>
      <c r="EZX1375" s="53"/>
      <c r="EZY1375" s="53"/>
      <c r="EZZ1375" s="53"/>
      <c r="FAA1375" s="53"/>
      <c r="FAB1375" s="53"/>
      <c r="FAC1375" s="53"/>
      <c r="FAD1375" s="53"/>
      <c r="FAE1375" s="53"/>
      <c r="FAF1375" s="53"/>
      <c r="FAG1375" s="53"/>
      <c r="FAH1375" s="53"/>
      <c r="FAI1375" s="53"/>
      <c r="FAJ1375" s="53"/>
      <c r="FAK1375" s="53"/>
      <c r="FAL1375" s="53"/>
      <c r="FAM1375" s="53"/>
      <c r="FAN1375" s="53"/>
      <c r="FAO1375" s="53"/>
      <c r="FAP1375" s="53"/>
      <c r="FAQ1375" s="53"/>
      <c r="FAR1375" s="53"/>
      <c r="FAS1375" s="53"/>
      <c r="FAT1375" s="53"/>
      <c r="FAU1375" s="53"/>
      <c r="FAV1375" s="53"/>
      <c r="FAW1375" s="53"/>
      <c r="FAX1375" s="53"/>
      <c r="FAY1375" s="53"/>
      <c r="FAZ1375" s="53"/>
      <c r="FBA1375" s="53"/>
      <c r="FBB1375" s="53"/>
      <c r="FBC1375" s="53"/>
      <c r="FBD1375" s="53"/>
      <c r="FBE1375" s="53"/>
      <c r="FBF1375" s="53"/>
      <c r="FBG1375" s="53"/>
      <c r="FBH1375" s="53"/>
      <c r="FBI1375" s="53"/>
      <c r="FBJ1375" s="53"/>
      <c r="FBK1375" s="53"/>
      <c r="FBL1375" s="53"/>
      <c r="FBM1375" s="53"/>
      <c r="FBN1375" s="53"/>
      <c r="FBO1375" s="53"/>
      <c r="FBP1375" s="53"/>
      <c r="FBQ1375" s="53"/>
      <c r="FBR1375" s="53"/>
      <c r="FBS1375" s="53"/>
      <c r="FBT1375" s="53"/>
      <c r="FBU1375" s="53"/>
      <c r="FBV1375" s="53"/>
      <c r="FBW1375" s="53"/>
      <c r="FBX1375" s="53"/>
      <c r="FBY1375" s="53"/>
      <c r="FBZ1375" s="53"/>
      <c r="FCA1375" s="53"/>
      <c r="FCB1375" s="53"/>
      <c r="FCC1375" s="53"/>
      <c r="FCD1375" s="53"/>
      <c r="FCE1375" s="53"/>
      <c r="FCF1375" s="53"/>
      <c r="FCG1375" s="53"/>
      <c r="FCH1375" s="53"/>
      <c r="FCI1375" s="53"/>
      <c r="FCJ1375" s="53"/>
      <c r="FCK1375" s="53"/>
      <c r="FCL1375" s="53"/>
      <c r="FCM1375" s="53"/>
      <c r="FCN1375" s="53"/>
      <c r="FCO1375" s="53"/>
      <c r="FCP1375" s="53"/>
      <c r="FCQ1375" s="53"/>
      <c r="FCR1375" s="53"/>
      <c r="FCS1375" s="53"/>
      <c r="FCT1375" s="53"/>
      <c r="FCU1375" s="53"/>
      <c r="FCV1375" s="53"/>
      <c r="FCW1375" s="53"/>
      <c r="FCX1375" s="53"/>
      <c r="FCY1375" s="53"/>
      <c r="FCZ1375" s="53"/>
      <c r="FDA1375" s="53"/>
      <c r="FDB1375" s="53"/>
      <c r="FDC1375" s="53"/>
      <c r="FDD1375" s="53"/>
      <c r="FDE1375" s="53"/>
      <c r="FDF1375" s="53"/>
      <c r="FDG1375" s="53"/>
      <c r="FDH1375" s="53"/>
      <c r="FDI1375" s="53"/>
      <c r="FDJ1375" s="53"/>
      <c r="FDK1375" s="53"/>
      <c r="FDL1375" s="53"/>
      <c r="FDM1375" s="53"/>
      <c r="FDN1375" s="53"/>
      <c r="FDO1375" s="53"/>
      <c r="FDP1375" s="53"/>
      <c r="FDQ1375" s="53"/>
      <c r="FDR1375" s="53"/>
      <c r="FDS1375" s="53"/>
      <c r="FDT1375" s="53"/>
      <c r="FDU1375" s="53"/>
      <c r="FDV1375" s="53"/>
      <c r="FDW1375" s="53"/>
      <c r="FDX1375" s="53"/>
      <c r="FDY1375" s="53"/>
      <c r="FDZ1375" s="53"/>
      <c r="FEA1375" s="53"/>
      <c r="FEB1375" s="53"/>
      <c r="FEC1375" s="53"/>
      <c r="FED1375" s="53"/>
      <c r="FEE1375" s="53"/>
      <c r="FEF1375" s="53"/>
      <c r="FEG1375" s="53"/>
      <c r="FEH1375" s="53"/>
      <c r="FEI1375" s="53"/>
      <c r="FEJ1375" s="53"/>
      <c r="FEK1375" s="53"/>
      <c r="FEL1375" s="53"/>
      <c r="FEM1375" s="53"/>
      <c r="FEN1375" s="53"/>
      <c r="FEO1375" s="53"/>
      <c r="FEP1375" s="53"/>
      <c r="FEQ1375" s="53"/>
      <c r="FER1375" s="53"/>
      <c r="FES1375" s="53"/>
      <c r="FET1375" s="53"/>
      <c r="FEU1375" s="53"/>
      <c r="FEV1375" s="53"/>
      <c r="FEW1375" s="53"/>
      <c r="FEX1375" s="53"/>
      <c r="FEY1375" s="53"/>
      <c r="FEZ1375" s="53"/>
      <c r="FFA1375" s="53"/>
      <c r="FFB1375" s="53"/>
      <c r="FFC1375" s="53"/>
      <c r="FFD1375" s="53"/>
      <c r="FFE1375" s="53"/>
      <c r="FFF1375" s="53"/>
      <c r="FFG1375" s="53"/>
      <c r="FFH1375" s="53"/>
      <c r="FFI1375" s="53"/>
      <c r="FFJ1375" s="53"/>
      <c r="FFK1375" s="53"/>
      <c r="FFL1375" s="53"/>
      <c r="FFM1375" s="53"/>
      <c r="FFN1375" s="53"/>
      <c r="FFO1375" s="53"/>
      <c r="FFP1375" s="53"/>
      <c r="FFQ1375" s="53"/>
      <c r="FFR1375" s="53"/>
      <c r="FFS1375" s="53"/>
      <c r="FFT1375" s="53"/>
      <c r="FFU1375" s="53"/>
      <c r="FFV1375" s="53"/>
      <c r="FFW1375" s="53"/>
      <c r="FFX1375" s="53"/>
      <c r="FFY1375" s="53"/>
      <c r="FFZ1375" s="53"/>
      <c r="FGA1375" s="53"/>
      <c r="FGB1375" s="53"/>
      <c r="FGC1375" s="53"/>
      <c r="FGD1375" s="53"/>
      <c r="FGE1375" s="53"/>
      <c r="FGF1375" s="53"/>
      <c r="FGG1375" s="53"/>
      <c r="FGH1375" s="53"/>
      <c r="FGI1375" s="53"/>
      <c r="FGJ1375" s="53"/>
      <c r="FGK1375" s="53"/>
      <c r="FGL1375" s="53"/>
      <c r="FGM1375" s="53"/>
      <c r="FGN1375" s="53"/>
      <c r="FGO1375" s="53"/>
      <c r="FGP1375" s="53"/>
      <c r="FGQ1375" s="53"/>
      <c r="FGR1375" s="53"/>
      <c r="FGS1375" s="53"/>
      <c r="FGT1375" s="53"/>
      <c r="FGU1375" s="53"/>
      <c r="FGV1375" s="53"/>
      <c r="FGW1375" s="53"/>
      <c r="FGX1375" s="53"/>
      <c r="FGY1375" s="53"/>
      <c r="FGZ1375" s="53"/>
      <c r="FHA1375" s="53"/>
      <c r="FHB1375" s="53"/>
      <c r="FHC1375" s="53"/>
      <c r="FHD1375" s="53"/>
      <c r="FHE1375" s="53"/>
      <c r="FHF1375" s="53"/>
      <c r="FHG1375" s="53"/>
      <c r="FHH1375" s="53"/>
      <c r="FHI1375" s="53"/>
      <c r="FHJ1375" s="53"/>
      <c r="FHK1375" s="53"/>
      <c r="FHL1375" s="53"/>
      <c r="FHM1375" s="53"/>
      <c r="FHN1375" s="53"/>
      <c r="FHO1375" s="53"/>
      <c r="FHP1375" s="53"/>
      <c r="FHQ1375" s="53"/>
      <c r="FHR1375" s="53"/>
      <c r="FHS1375" s="53"/>
      <c r="FHT1375" s="53"/>
      <c r="FHU1375" s="53"/>
      <c r="FHV1375" s="53"/>
      <c r="FHW1375" s="53"/>
      <c r="FHX1375" s="53"/>
      <c r="FHY1375" s="53"/>
      <c r="FHZ1375" s="53"/>
      <c r="FIA1375" s="53"/>
      <c r="FIB1375" s="53"/>
      <c r="FIC1375" s="53"/>
      <c r="FID1375" s="53"/>
      <c r="FIE1375" s="53"/>
      <c r="FIF1375" s="53"/>
      <c r="FIG1375" s="53"/>
      <c r="FIH1375" s="53"/>
      <c r="FII1375" s="53"/>
      <c r="FIJ1375" s="53"/>
      <c r="FIK1375" s="53"/>
      <c r="FIL1375" s="53"/>
      <c r="FIM1375" s="53"/>
      <c r="FIN1375" s="53"/>
      <c r="FIO1375" s="53"/>
      <c r="FIP1375" s="53"/>
      <c r="FIQ1375" s="53"/>
      <c r="FIR1375" s="53"/>
      <c r="FIS1375" s="53"/>
      <c r="FIT1375" s="53"/>
      <c r="FIU1375" s="53"/>
      <c r="FIV1375" s="53"/>
      <c r="FIW1375" s="53"/>
      <c r="FIX1375" s="53"/>
      <c r="FIY1375" s="53"/>
      <c r="FIZ1375" s="53"/>
      <c r="FJA1375" s="53"/>
      <c r="FJB1375" s="53"/>
      <c r="FJC1375" s="53"/>
      <c r="FJD1375" s="53"/>
      <c r="FJE1375" s="53"/>
      <c r="FJF1375" s="53"/>
      <c r="FJG1375" s="53"/>
      <c r="FJH1375" s="53"/>
      <c r="FJI1375" s="53"/>
      <c r="FJJ1375" s="53"/>
      <c r="FJK1375" s="53"/>
      <c r="FJL1375" s="53"/>
      <c r="FJM1375" s="53"/>
      <c r="FJN1375" s="53"/>
      <c r="FJO1375" s="53"/>
      <c r="FJP1375" s="53"/>
      <c r="FJQ1375" s="53"/>
      <c r="FJR1375" s="53"/>
      <c r="FJS1375" s="53"/>
      <c r="FJT1375" s="53"/>
      <c r="FJU1375" s="53"/>
      <c r="FJV1375" s="53"/>
      <c r="FJW1375" s="53"/>
      <c r="FJX1375" s="53"/>
      <c r="FJY1375" s="53"/>
      <c r="FJZ1375" s="53"/>
      <c r="FKA1375" s="53"/>
      <c r="FKB1375" s="53"/>
      <c r="FKC1375" s="53"/>
      <c r="FKD1375" s="53"/>
      <c r="FKE1375" s="53"/>
      <c r="FKF1375" s="53"/>
      <c r="FKG1375" s="53"/>
      <c r="FKH1375" s="53"/>
      <c r="FKI1375" s="53"/>
      <c r="FKJ1375" s="53"/>
      <c r="FKK1375" s="53"/>
      <c r="FKL1375" s="53"/>
      <c r="FKM1375" s="53"/>
      <c r="FKN1375" s="53"/>
      <c r="FKO1375" s="53"/>
      <c r="FKP1375" s="53"/>
      <c r="FKQ1375" s="53"/>
      <c r="FKR1375" s="53"/>
      <c r="FKS1375" s="53"/>
      <c r="FKT1375" s="53"/>
      <c r="FKU1375" s="53"/>
      <c r="FKV1375" s="53"/>
      <c r="FKW1375" s="53"/>
      <c r="FKX1375" s="53"/>
      <c r="FKY1375" s="53"/>
      <c r="FKZ1375" s="53"/>
      <c r="FLA1375" s="53"/>
      <c r="FLB1375" s="53"/>
      <c r="FLC1375" s="53"/>
      <c r="FLD1375" s="53"/>
      <c r="FLE1375" s="53"/>
      <c r="FLF1375" s="53"/>
      <c r="FLG1375" s="53"/>
      <c r="FLH1375" s="53"/>
      <c r="FLI1375" s="53"/>
      <c r="FLJ1375" s="53"/>
      <c r="FLK1375" s="53"/>
      <c r="FLL1375" s="53"/>
      <c r="FLM1375" s="53"/>
      <c r="FLN1375" s="53"/>
      <c r="FLO1375" s="53"/>
      <c r="FLP1375" s="53"/>
      <c r="FLQ1375" s="53"/>
      <c r="FLR1375" s="53"/>
      <c r="FLS1375" s="53"/>
      <c r="FLT1375" s="53"/>
      <c r="FLU1375" s="53"/>
      <c r="FLV1375" s="53"/>
      <c r="FLW1375" s="53"/>
      <c r="FLX1375" s="53"/>
      <c r="FLY1375" s="53"/>
      <c r="FLZ1375" s="53"/>
      <c r="FMA1375" s="53"/>
      <c r="FMB1375" s="53"/>
      <c r="FMC1375" s="53"/>
      <c r="FMD1375" s="53"/>
      <c r="FME1375" s="53"/>
      <c r="FMF1375" s="53"/>
      <c r="FMG1375" s="53"/>
      <c r="FMH1375" s="53"/>
      <c r="FMI1375" s="53"/>
      <c r="FMJ1375" s="53"/>
      <c r="FMK1375" s="53"/>
      <c r="FML1375" s="53"/>
      <c r="FMM1375" s="53"/>
      <c r="FMN1375" s="53"/>
      <c r="FMO1375" s="53"/>
      <c r="FMP1375" s="53"/>
      <c r="FMQ1375" s="53"/>
      <c r="FMR1375" s="53"/>
      <c r="FMS1375" s="53"/>
      <c r="FMT1375" s="53"/>
      <c r="FMU1375" s="53"/>
      <c r="FMV1375" s="53"/>
      <c r="FMW1375" s="53"/>
      <c r="FMX1375" s="53"/>
      <c r="FMY1375" s="53"/>
      <c r="FMZ1375" s="53"/>
      <c r="FNA1375" s="53"/>
      <c r="FNB1375" s="53"/>
      <c r="FNC1375" s="53"/>
      <c r="FND1375" s="53"/>
      <c r="FNE1375" s="53"/>
      <c r="FNF1375" s="53"/>
      <c r="FNG1375" s="53"/>
      <c r="FNH1375" s="53"/>
      <c r="FNI1375" s="53"/>
      <c r="FNJ1375" s="53"/>
      <c r="FNK1375" s="53"/>
      <c r="FNL1375" s="53"/>
      <c r="FNM1375" s="53"/>
      <c r="FNN1375" s="53"/>
      <c r="FNO1375" s="53"/>
      <c r="FNP1375" s="53"/>
      <c r="FNQ1375" s="53"/>
      <c r="FNR1375" s="53"/>
      <c r="FNS1375" s="53"/>
      <c r="FNT1375" s="53"/>
      <c r="FNU1375" s="53"/>
      <c r="FNV1375" s="53"/>
      <c r="FNW1375" s="53"/>
      <c r="FNX1375" s="53"/>
      <c r="FNY1375" s="53"/>
      <c r="FNZ1375" s="53"/>
      <c r="FOA1375" s="53"/>
      <c r="FOB1375" s="53"/>
      <c r="FOC1375" s="53"/>
      <c r="FOD1375" s="53"/>
      <c r="FOE1375" s="53"/>
      <c r="FOF1375" s="53"/>
      <c r="FOG1375" s="53"/>
      <c r="FOH1375" s="53"/>
      <c r="FOI1375" s="53"/>
      <c r="FOJ1375" s="53"/>
      <c r="FOK1375" s="53"/>
      <c r="FOL1375" s="53"/>
      <c r="FOM1375" s="53"/>
      <c r="FON1375" s="53"/>
      <c r="FOO1375" s="53"/>
      <c r="FOP1375" s="53"/>
      <c r="FOQ1375" s="53"/>
      <c r="FOR1375" s="53"/>
      <c r="FOS1375" s="53"/>
      <c r="FOT1375" s="53"/>
      <c r="FOU1375" s="53"/>
      <c r="FOV1375" s="53"/>
      <c r="FOW1375" s="53"/>
      <c r="FOX1375" s="53"/>
      <c r="FOY1375" s="53"/>
      <c r="FOZ1375" s="53"/>
      <c r="FPA1375" s="53"/>
      <c r="FPB1375" s="53"/>
      <c r="FPC1375" s="53"/>
      <c r="FPD1375" s="53"/>
      <c r="FPE1375" s="53"/>
      <c r="FPF1375" s="53"/>
      <c r="FPG1375" s="53"/>
      <c r="FPH1375" s="53"/>
      <c r="FPI1375" s="53"/>
      <c r="FPJ1375" s="53"/>
      <c r="FPK1375" s="53"/>
      <c r="FPL1375" s="53"/>
      <c r="FPM1375" s="53"/>
      <c r="FPN1375" s="53"/>
      <c r="FPO1375" s="53"/>
      <c r="FPP1375" s="53"/>
      <c r="FPQ1375" s="53"/>
      <c r="FPR1375" s="53"/>
      <c r="FPS1375" s="53"/>
      <c r="FPT1375" s="53"/>
      <c r="FPU1375" s="53"/>
      <c r="FPV1375" s="53"/>
      <c r="FPW1375" s="53"/>
      <c r="FPX1375" s="53"/>
      <c r="FPY1375" s="53"/>
      <c r="FPZ1375" s="53"/>
      <c r="FQA1375" s="53"/>
      <c r="FQB1375" s="53"/>
      <c r="FQC1375" s="53"/>
      <c r="FQD1375" s="53"/>
      <c r="FQE1375" s="53"/>
      <c r="FQF1375" s="53"/>
      <c r="FQG1375" s="53"/>
      <c r="FQH1375" s="53"/>
      <c r="FQI1375" s="53"/>
      <c r="FQJ1375" s="53"/>
      <c r="FQK1375" s="53"/>
      <c r="FQL1375" s="53"/>
      <c r="FQM1375" s="53"/>
      <c r="FQN1375" s="53"/>
      <c r="FQO1375" s="53"/>
      <c r="FQP1375" s="53"/>
      <c r="FQQ1375" s="53"/>
      <c r="FQR1375" s="53"/>
      <c r="FQS1375" s="53"/>
      <c r="FQT1375" s="53"/>
      <c r="FQU1375" s="53"/>
      <c r="FQV1375" s="53"/>
      <c r="FQW1375" s="53"/>
      <c r="FQX1375" s="53"/>
      <c r="FQY1375" s="53"/>
      <c r="FQZ1375" s="53"/>
      <c r="FRA1375" s="53"/>
      <c r="FRB1375" s="53"/>
      <c r="FRC1375" s="53"/>
      <c r="FRD1375" s="53"/>
      <c r="FRE1375" s="53"/>
      <c r="FRF1375" s="53"/>
      <c r="FRG1375" s="53"/>
      <c r="FRH1375" s="53"/>
      <c r="FRI1375" s="53"/>
      <c r="FRJ1375" s="53"/>
      <c r="FRK1375" s="53"/>
      <c r="FRL1375" s="53"/>
      <c r="FRM1375" s="53"/>
      <c r="FRN1375" s="53"/>
      <c r="FRO1375" s="53"/>
      <c r="FRP1375" s="53"/>
      <c r="FRQ1375" s="53"/>
      <c r="FRR1375" s="53"/>
      <c r="FRS1375" s="53"/>
      <c r="FRT1375" s="53"/>
      <c r="FRU1375" s="53"/>
      <c r="FRV1375" s="53"/>
      <c r="FRW1375" s="53"/>
      <c r="FRX1375" s="53"/>
      <c r="FRY1375" s="53"/>
      <c r="FRZ1375" s="53"/>
      <c r="FSA1375" s="53"/>
      <c r="FSB1375" s="53"/>
      <c r="FSC1375" s="53"/>
      <c r="FSD1375" s="53"/>
      <c r="FSE1375" s="53"/>
      <c r="FSF1375" s="53"/>
      <c r="FSG1375" s="53"/>
      <c r="FSH1375" s="53"/>
      <c r="FSI1375" s="53"/>
      <c r="FSJ1375" s="53"/>
      <c r="FSK1375" s="53"/>
      <c r="FSL1375" s="53"/>
      <c r="FSM1375" s="53"/>
      <c r="FSN1375" s="53"/>
      <c r="FSO1375" s="53"/>
      <c r="FSP1375" s="53"/>
      <c r="FSQ1375" s="53"/>
      <c r="FSR1375" s="53"/>
      <c r="FSS1375" s="53"/>
      <c r="FST1375" s="53"/>
      <c r="FSU1375" s="53"/>
      <c r="FSV1375" s="53"/>
      <c r="FSW1375" s="53"/>
      <c r="FSX1375" s="53"/>
      <c r="FSY1375" s="53"/>
      <c r="FSZ1375" s="53"/>
      <c r="FTA1375" s="53"/>
      <c r="FTB1375" s="53"/>
      <c r="FTC1375" s="53"/>
      <c r="FTD1375" s="53"/>
      <c r="FTE1375" s="53"/>
      <c r="FTF1375" s="53"/>
      <c r="FTG1375" s="53"/>
      <c r="FTH1375" s="53"/>
      <c r="FTI1375" s="53"/>
      <c r="FTJ1375" s="53"/>
      <c r="FTK1375" s="53"/>
      <c r="FTL1375" s="53"/>
      <c r="FTM1375" s="53"/>
      <c r="FTN1375" s="53"/>
      <c r="FTO1375" s="53"/>
      <c r="FTP1375" s="53"/>
      <c r="FTQ1375" s="53"/>
      <c r="FTR1375" s="53"/>
      <c r="FTS1375" s="53"/>
      <c r="FTT1375" s="53"/>
      <c r="FTU1375" s="53"/>
      <c r="FTV1375" s="53"/>
      <c r="FTW1375" s="53"/>
      <c r="FTX1375" s="53"/>
      <c r="FTY1375" s="53"/>
      <c r="FTZ1375" s="53"/>
      <c r="FUA1375" s="53"/>
      <c r="FUB1375" s="53"/>
      <c r="FUC1375" s="53"/>
      <c r="FUD1375" s="53"/>
      <c r="FUE1375" s="53"/>
      <c r="FUF1375" s="53"/>
      <c r="FUG1375" s="53"/>
      <c r="FUH1375" s="53"/>
      <c r="FUI1375" s="53"/>
      <c r="FUJ1375" s="53"/>
      <c r="FUK1375" s="53"/>
      <c r="FUL1375" s="53"/>
      <c r="FUM1375" s="53"/>
      <c r="FUN1375" s="53"/>
      <c r="FUO1375" s="53"/>
      <c r="FUP1375" s="53"/>
      <c r="FUQ1375" s="53"/>
      <c r="FUR1375" s="53"/>
      <c r="FUS1375" s="53"/>
      <c r="FUT1375" s="53"/>
      <c r="FUU1375" s="53"/>
      <c r="FUV1375" s="53"/>
      <c r="FUW1375" s="53"/>
      <c r="FUX1375" s="53"/>
      <c r="FUY1375" s="53"/>
      <c r="FUZ1375" s="53"/>
      <c r="FVA1375" s="53"/>
      <c r="FVB1375" s="53"/>
      <c r="FVC1375" s="53"/>
      <c r="FVD1375" s="53"/>
      <c r="FVE1375" s="53"/>
      <c r="FVF1375" s="53"/>
      <c r="FVG1375" s="53"/>
      <c r="FVH1375" s="53"/>
      <c r="FVI1375" s="53"/>
      <c r="FVJ1375" s="53"/>
      <c r="FVK1375" s="53"/>
      <c r="FVL1375" s="53"/>
      <c r="FVM1375" s="53"/>
      <c r="FVN1375" s="53"/>
      <c r="FVO1375" s="53"/>
      <c r="FVP1375" s="53"/>
      <c r="FVQ1375" s="53"/>
      <c r="FVR1375" s="53"/>
      <c r="FVS1375" s="53"/>
      <c r="FVT1375" s="53"/>
      <c r="FVU1375" s="53"/>
      <c r="FVV1375" s="53"/>
      <c r="FVW1375" s="53"/>
      <c r="FVX1375" s="53"/>
      <c r="FVY1375" s="53"/>
      <c r="FVZ1375" s="53"/>
      <c r="FWA1375" s="53"/>
      <c r="FWB1375" s="53"/>
      <c r="FWC1375" s="53"/>
      <c r="FWD1375" s="53"/>
      <c r="FWE1375" s="53"/>
      <c r="FWF1375" s="53"/>
      <c r="FWG1375" s="53"/>
      <c r="FWH1375" s="53"/>
      <c r="FWI1375" s="53"/>
      <c r="FWJ1375" s="53"/>
      <c r="FWK1375" s="53"/>
      <c r="FWL1375" s="53"/>
      <c r="FWM1375" s="53"/>
      <c r="FWN1375" s="53"/>
      <c r="FWO1375" s="53"/>
      <c r="FWP1375" s="53"/>
      <c r="FWQ1375" s="53"/>
      <c r="FWR1375" s="53"/>
      <c r="FWS1375" s="53"/>
      <c r="FWT1375" s="53"/>
      <c r="FWU1375" s="53"/>
      <c r="FWV1375" s="53"/>
      <c r="FWW1375" s="53"/>
      <c r="FWX1375" s="53"/>
      <c r="FWY1375" s="53"/>
      <c r="FWZ1375" s="53"/>
      <c r="FXA1375" s="53"/>
      <c r="FXB1375" s="53"/>
      <c r="FXC1375" s="53"/>
      <c r="FXD1375" s="53"/>
      <c r="FXE1375" s="53"/>
      <c r="FXF1375" s="53"/>
      <c r="FXG1375" s="53"/>
      <c r="FXH1375" s="53"/>
      <c r="FXI1375" s="53"/>
      <c r="FXJ1375" s="53"/>
      <c r="FXK1375" s="53"/>
      <c r="FXL1375" s="53"/>
      <c r="FXM1375" s="53"/>
      <c r="FXN1375" s="53"/>
      <c r="FXO1375" s="53"/>
      <c r="FXP1375" s="53"/>
      <c r="FXQ1375" s="53"/>
      <c r="FXR1375" s="53"/>
      <c r="FXS1375" s="53"/>
      <c r="FXT1375" s="53"/>
      <c r="FXU1375" s="53"/>
      <c r="FXV1375" s="53"/>
      <c r="FXW1375" s="53"/>
      <c r="FXX1375" s="53"/>
      <c r="FXY1375" s="53"/>
      <c r="FXZ1375" s="53"/>
      <c r="FYA1375" s="53"/>
      <c r="FYB1375" s="53"/>
      <c r="FYC1375" s="53"/>
      <c r="FYD1375" s="53"/>
      <c r="FYE1375" s="53"/>
      <c r="FYF1375" s="53"/>
      <c r="FYG1375" s="53"/>
      <c r="FYH1375" s="53"/>
      <c r="FYI1375" s="53"/>
      <c r="FYJ1375" s="53"/>
      <c r="FYK1375" s="53"/>
      <c r="FYL1375" s="53"/>
      <c r="FYM1375" s="53"/>
      <c r="FYN1375" s="53"/>
      <c r="FYO1375" s="53"/>
      <c r="FYP1375" s="53"/>
      <c r="FYQ1375" s="53"/>
      <c r="FYR1375" s="53"/>
      <c r="FYS1375" s="53"/>
      <c r="FYT1375" s="53"/>
      <c r="FYU1375" s="53"/>
      <c r="FYV1375" s="53"/>
      <c r="FYW1375" s="53"/>
      <c r="FYX1375" s="53"/>
      <c r="FYY1375" s="53"/>
      <c r="FYZ1375" s="53"/>
      <c r="FZA1375" s="53"/>
      <c r="FZB1375" s="53"/>
      <c r="FZC1375" s="53"/>
      <c r="FZD1375" s="53"/>
      <c r="FZE1375" s="53"/>
      <c r="FZF1375" s="53"/>
      <c r="FZG1375" s="53"/>
      <c r="FZH1375" s="53"/>
      <c r="FZI1375" s="53"/>
      <c r="FZJ1375" s="53"/>
      <c r="FZK1375" s="53"/>
      <c r="FZL1375" s="53"/>
      <c r="FZM1375" s="53"/>
      <c r="FZN1375" s="53"/>
      <c r="FZO1375" s="53"/>
      <c r="FZP1375" s="53"/>
      <c r="FZQ1375" s="53"/>
      <c r="FZR1375" s="53"/>
      <c r="FZS1375" s="53"/>
      <c r="FZT1375" s="53"/>
      <c r="FZU1375" s="53"/>
      <c r="FZV1375" s="53"/>
      <c r="FZW1375" s="53"/>
      <c r="FZX1375" s="53"/>
      <c r="FZY1375" s="53"/>
      <c r="FZZ1375" s="53"/>
      <c r="GAA1375" s="53"/>
      <c r="GAB1375" s="53"/>
      <c r="GAC1375" s="53"/>
      <c r="GAD1375" s="53"/>
      <c r="GAE1375" s="53"/>
      <c r="GAF1375" s="53"/>
      <c r="GAG1375" s="53"/>
      <c r="GAH1375" s="53"/>
      <c r="GAI1375" s="53"/>
      <c r="GAJ1375" s="53"/>
      <c r="GAK1375" s="53"/>
      <c r="GAL1375" s="53"/>
      <c r="GAM1375" s="53"/>
      <c r="GAN1375" s="53"/>
      <c r="GAO1375" s="53"/>
      <c r="GAP1375" s="53"/>
      <c r="GAQ1375" s="53"/>
      <c r="GAR1375" s="53"/>
      <c r="GAS1375" s="53"/>
      <c r="GAT1375" s="53"/>
      <c r="GAU1375" s="53"/>
      <c r="GAV1375" s="53"/>
      <c r="GAW1375" s="53"/>
      <c r="GAX1375" s="53"/>
      <c r="GAY1375" s="53"/>
      <c r="GAZ1375" s="53"/>
      <c r="GBA1375" s="53"/>
      <c r="GBB1375" s="53"/>
      <c r="GBC1375" s="53"/>
      <c r="GBD1375" s="53"/>
      <c r="GBE1375" s="53"/>
      <c r="GBF1375" s="53"/>
      <c r="GBG1375" s="53"/>
      <c r="GBH1375" s="53"/>
      <c r="GBI1375" s="53"/>
      <c r="GBJ1375" s="53"/>
      <c r="GBK1375" s="53"/>
      <c r="GBL1375" s="53"/>
      <c r="GBM1375" s="53"/>
      <c r="GBN1375" s="53"/>
      <c r="GBO1375" s="53"/>
      <c r="GBP1375" s="53"/>
      <c r="GBQ1375" s="53"/>
      <c r="GBR1375" s="53"/>
      <c r="GBS1375" s="53"/>
      <c r="GBT1375" s="53"/>
      <c r="GBU1375" s="53"/>
      <c r="GBV1375" s="53"/>
      <c r="GBW1375" s="53"/>
      <c r="GBX1375" s="53"/>
      <c r="GBY1375" s="53"/>
      <c r="GBZ1375" s="53"/>
      <c r="GCA1375" s="53"/>
      <c r="GCB1375" s="53"/>
      <c r="GCC1375" s="53"/>
      <c r="GCD1375" s="53"/>
      <c r="GCE1375" s="53"/>
      <c r="GCF1375" s="53"/>
      <c r="GCG1375" s="53"/>
      <c r="GCH1375" s="53"/>
      <c r="GCI1375" s="53"/>
      <c r="GCJ1375" s="53"/>
      <c r="GCK1375" s="53"/>
      <c r="GCL1375" s="53"/>
      <c r="GCM1375" s="53"/>
      <c r="GCN1375" s="53"/>
      <c r="GCO1375" s="53"/>
      <c r="GCP1375" s="53"/>
      <c r="GCQ1375" s="53"/>
      <c r="GCR1375" s="53"/>
      <c r="GCS1375" s="53"/>
      <c r="GCT1375" s="53"/>
      <c r="GCU1375" s="53"/>
      <c r="GCV1375" s="53"/>
      <c r="GCW1375" s="53"/>
      <c r="GCX1375" s="53"/>
      <c r="GCY1375" s="53"/>
      <c r="GCZ1375" s="53"/>
      <c r="GDA1375" s="53"/>
      <c r="GDB1375" s="53"/>
      <c r="GDC1375" s="53"/>
      <c r="GDD1375" s="53"/>
      <c r="GDE1375" s="53"/>
      <c r="GDF1375" s="53"/>
      <c r="GDG1375" s="53"/>
      <c r="GDH1375" s="53"/>
      <c r="GDI1375" s="53"/>
      <c r="GDJ1375" s="53"/>
      <c r="GDK1375" s="53"/>
      <c r="GDL1375" s="53"/>
      <c r="GDM1375" s="53"/>
      <c r="GDN1375" s="53"/>
      <c r="GDO1375" s="53"/>
      <c r="GDP1375" s="53"/>
      <c r="GDQ1375" s="53"/>
      <c r="GDR1375" s="53"/>
      <c r="GDS1375" s="53"/>
      <c r="GDT1375" s="53"/>
      <c r="GDU1375" s="53"/>
      <c r="GDV1375" s="53"/>
      <c r="GDW1375" s="53"/>
      <c r="GDX1375" s="53"/>
      <c r="GDY1375" s="53"/>
      <c r="GDZ1375" s="53"/>
      <c r="GEA1375" s="53"/>
      <c r="GEB1375" s="53"/>
      <c r="GEC1375" s="53"/>
      <c r="GED1375" s="53"/>
      <c r="GEE1375" s="53"/>
      <c r="GEF1375" s="53"/>
      <c r="GEG1375" s="53"/>
      <c r="GEH1375" s="53"/>
      <c r="GEI1375" s="53"/>
      <c r="GEJ1375" s="53"/>
      <c r="GEK1375" s="53"/>
      <c r="GEL1375" s="53"/>
      <c r="GEM1375" s="53"/>
      <c r="GEN1375" s="53"/>
      <c r="GEO1375" s="53"/>
      <c r="GEP1375" s="53"/>
      <c r="GEQ1375" s="53"/>
      <c r="GER1375" s="53"/>
      <c r="GES1375" s="53"/>
      <c r="GET1375" s="53"/>
      <c r="GEU1375" s="53"/>
      <c r="GEV1375" s="53"/>
      <c r="GEW1375" s="53"/>
      <c r="GEX1375" s="53"/>
      <c r="GEY1375" s="53"/>
      <c r="GEZ1375" s="53"/>
      <c r="GFA1375" s="53"/>
      <c r="GFB1375" s="53"/>
      <c r="GFC1375" s="53"/>
      <c r="GFD1375" s="53"/>
      <c r="GFE1375" s="53"/>
      <c r="GFF1375" s="53"/>
      <c r="GFG1375" s="53"/>
      <c r="GFH1375" s="53"/>
      <c r="GFI1375" s="53"/>
      <c r="GFJ1375" s="53"/>
      <c r="GFK1375" s="53"/>
      <c r="GFL1375" s="53"/>
      <c r="GFM1375" s="53"/>
      <c r="GFN1375" s="53"/>
      <c r="GFO1375" s="53"/>
      <c r="GFP1375" s="53"/>
      <c r="GFQ1375" s="53"/>
      <c r="GFR1375" s="53"/>
      <c r="GFS1375" s="53"/>
      <c r="GFT1375" s="53"/>
      <c r="GFU1375" s="53"/>
      <c r="GFV1375" s="53"/>
      <c r="GFW1375" s="53"/>
      <c r="GFX1375" s="53"/>
      <c r="GFY1375" s="53"/>
      <c r="GFZ1375" s="53"/>
      <c r="GGA1375" s="53"/>
      <c r="GGB1375" s="53"/>
      <c r="GGC1375" s="53"/>
      <c r="GGD1375" s="53"/>
      <c r="GGE1375" s="53"/>
      <c r="GGF1375" s="53"/>
      <c r="GGG1375" s="53"/>
      <c r="GGH1375" s="53"/>
      <c r="GGI1375" s="53"/>
      <c r="GGJ1375" s="53"/>
      <c r="GGK1375" s="53"/>
      <c r="GGL1375" s="53"/>
      <c r="GGM1375" s="53"/>
      <c r="GGN1375" s="53"/>
      <c r="GGO1375" s="53"/>
      <c r="GGP1375" s="53"/>
      <c r="GGQ1375" s="53"/>
      <c r="GGR1375" s="53"/>
      <c r="GGS1375" s="53"/>
      <c r="GGT1375" s="53"/>
      <c r="GGU1375" s="53"/>
      <c r="GGV1375" s="53"/>
      <c r="GGW1375" s="53"/>
      <c r="GGX1375" s="53"/>
      <c r="GGY1375" s="53"/>
      <c r="GGZ1375" s="53"/>
      <c r="GHA1375" s="53"/>
      <c r="GHB1375" s="53"/>
      <c r="GHC1375" s="53"/>
      <c r="GHD1375" s="53"/>
      <c r="GHE1375" s="53"/>
      <c r="GHF1375" s="53"/>
      <c r="GHG1375" s="53"/>
      <c r="GHH1375" s="53"/>
      <c r="GHI1375" s="53"/>
      <c r="GHJ1375" s="53"/>
      <c r="GHK1375" s="53"/>
      <c r="GHL1375" s="53"/>
      <c r="GHM1375" s="53"/>
      <c r="GHN1375" s="53"/>
      <c r="GHO1375" s="53"/>
      <c r="GHP1375" s="53"/>
      <c r="GHQ1375" s="53"/>
      <c r="GHR1375" s="53"/>
      <c r="GHS1375" s="53"/>
      <c r="GHT1375" s="53"/>
      <c r="GHU1375" s="53"/>
      <c r="GHV1375" s="53"/>
      <c r="GHW1375" s="53"/>
      <c r="GHX1375" s="53"/>
      <c r="GHY1375" s="53"/>
      <c r="GHZ1375" s="53"/>
      <c r="GIA1375" s="53"/>
      <c r="GIB1375" s="53"/>
      <c r="GIC1375" s="53"/>
      <c r="GID1375" s="53"/>
      <c r="GIE1375" s="53"/>
      <c r="GIF1375" s="53"/>
      <c r="GIG1375" s="53"/>
      <c r="GIH1375" s="53"/>
      <c r="GII1375" s="53"/>
      <c r="GIJ1375" s="53"/>
      <c r="GIK1375" s="53"/>
      <c r="GIL1375" s="53"/>
      <c r="GIM1375" s="53"/>
      <c r="GIN1375" s="53"/>
      <c r="GIO1375" s="53"/>
      <c r="GIP1375" s="53"/>
      <c r="GIQ1375" s="53"/>
      <c r="GIR1375" s="53"/>
      <c r="GIS1375" s="53"/>
      <c r="GIT1375" s="53"/>
      <c r="GIU1375" s="53"/>
      <c r="GIV1375" s="53"/>
      <c r="GIW1375" s="53"/>
      <c r="GIX1375" s="53"/>
      <c r="GIY1375" s="53"/>
      <c r="GIZ1375" s="53"/>
      <c r="GJA1375" s="53"/>
      <c r="GJB1375" s="53"/>
      <c r="GJC1375" s="53"/>
      <c r="GJD1375" s="53"/>
      <c r="GJE1375" s="53"/>
      <c r="GJF1375" s="53"/>
      <c r="GJG1375" s="53"/>
      <c r="GJH1375" s="53"/>
      <c r="GJI1375" s="53"/>
      <c r="GJJ1375" s="53"/>
      <c r="GJK1375" s="53"/>
      <c r="GJL1375" s="53"/>
      <c r="GJM1375" s="53"/>
      <c r="GJN1375" s="53"/>
      <c r="GJO1375" s="53"/>
      <c r="GJP1375" s="53"/>
      <c r="GJQ1375" s="53"/>
      <c r="GJR1375" s="53"/>
      <c r="GJS1375" s="53"/>
      <c r="GJT1375" s="53"/>
      <c r="GJU1375" s="53"/>
      <c r="GJV1375" s="53"/>
      <c r="GJW1375" s="53"/>
      <c r="GJX1375" s="53"/>
      <c r="GJY1375" s="53"/>
      <c r="GJZ1375" s="53"/>
      <c r="GKA1375" s="53"/>
      <c r="GKB1375" s="53"/>
      <c r="GKC1375" s="53"/>
      <c r="GKD1375" s="53"/>
      <c r="GKE1375" s="53"/>
      <c r="GKF1375" s="53"/>
      <c r="GKG1375" s="53"/>
      <c r="GKH1375" s="53"/>
      <c r="GKI1375" s="53"/>
      <c r="GKJ1375" s="53"/>
      <c r="GKK1375" s="53"/>
      <c r="GKL1375" s="53"/>
      <c r="GKM1375" s="53"/>
      <c r="GKN1375" s="53"/>
      <c r="GKO1375" s="53"/>
      <c r="GKP1375" s="53"/>
      <c r="GKQ1375" s="53"/>
      <c r="GKR1375" s="53"/>
      <c r="GKS1375" s="53"/>
      <c r="GKT1375" s="53"/>
      <c r="GKU1375" s="53"/>
      <c r="GKV1375" s="53"/>
      <c r="GKW1375" s="53"/>
      <c r="GKX1375" s="53"/>
      <c r="GKY1375" s="53"/>
      <c r="GKZ1375" s="53"/>
      <c r="GLA1375" s="53"/>
      <c r="GLB1375" s="53"/>
      <c r="GLC1375" s="53"/>
      <c r="GLD1375" s="53"/>
      <c r="GLE1375" s="53"/>
      <c r="GLF1375" s="53"/>
      <c r="GLG1375" s="53"/>
      <c r="GLH1375" s="53"/>
      <c r="GLI1375" s="53"/>
      <c r="GLJ1375" s="53"/>
      <c r="GLK1375" s="53"/>
      <c r="GLL1375" s="53"/>
      <c r="GLM1375" s="53"/>
      <c r="GLN1375" s="53"/>
      <c r="GLO1375" s="53"/>
      <c r="GLP1375" s="53"/>
      <c r="GLQ1375" s="53"/>
      <c r="GLR1375" s="53"/>
      <c r="GLS1375" s="53"/>
      <c r="GLT1375" s="53"/>
      <c r="GLU1375" s="53"/>
      <c r="GLV1375" s="53"/>
      <c r="GLW1375" s="53"/>
      <c r="GLX1375" s="53"/>
      <c r="GLY1375" s="53"/>
      <c r="GLZ1375" s="53"/>
      <c r="GMA1375" s="53"/>
      <c r="GMB1375" s="53"/>
      <c r="GMC1375" s="53"/>
      <c r="GMD1375" s="53"/>
      <c r="GME1375" s="53"/>
      <c r="GMF1375" s="53"/>
      <c r="GMG1375" s="53"/>
      <c r="GMH1375" s="53"/>
      <c r="GMI1375" s="53"/>
      <c r="GMJ1375" s="53"/>
      <c r="GMK1375" s="53"/>
      <c r="GML1375" s="53"/>
      <c r="GMM1375" s="53"/>
      <c r="GMN1375" s="53"/>
      <c r="GMO1375" s="53"/>
      <c r="GMP1375" s="53"/>
      <c r="GMQ1375" s="53"/>
      <c r="GMR1375" s="53"/>
      <c r="GMS1375" s="53"/>
      <c r="GMT1375" s="53"/>
      <c r="GMU1375" s="53"/>
      <c r="GMV1375" s="53"/>
      <c r="GMW1375" s="53"/>
      <c r="GMX1375" s="53"/>
      <c r="GMY1375" s="53"/>
      <c r="GMZ1375" s="53"/>
      <c r="GNA1375" s="53"/>
      <c r="GNB1375" s="53"/>
      <c r="GNC1375" s="53"/>
      <c r="GND1375" s="53"/>
      <c r="GNE1375" s="53"/>
      <c r="GNF1375" s="53"/>
      <c r="GNG1375" s="53"/>
      <c r="GNH1375" s="53"/>
      <c r="GNI1375" s="53"/>
      <c r="GNJ1375" s="53"/>
      <c r="GNK1375" s="53"/>
      <c r="GNL1375" s="53"/>
      <c r="GNM1375" s="53"/>
      <c r="GNN1375" s="53"/>
      <c r="GNO1375" s="53"/>
      <c r="GNP1375" s="53"/>
      <c r="GNQ1375" s="53"/>
      <c r="GNR1375" s="53"/>
      <c r="GNS1375" s="53"/>
      <c r="GNT1375" s="53"/>
      <c r="GNU1375" s="53"/>
      <c r="GNV1375" s="53"/>
      <c r="GNW1375" s="53"/>
      <c r="GNX1375" s="53"/>
      <c r="GNY1375" s="53"/>
      <c r="GNZ1375" s="53"/>
      <c r="GOA1375" s="53"/>
      <c r="GOB1375" s="53"/>
      <c r="GOC1375" s="53"/>
      <c r="GOD1375" s="53"/>
      <c r="GOE1375" s="53"/>
      <c r="GOF1375" s="53"/>
      <c r="GOG1375" s="53"/>
      <c r="GOH1375" s="53"/>
      <c r="GOI1375" s="53"/>
      <c r="GOJ1375" s="53"/>
      <c r="GOK1375" s="53"/>
      <c r="GOL1375" s="53"/>
      <c r="GOM1375" s="53"/>
      <c r="GON1375" s="53"/>
      <c r="GOO1375" s="53"/>
      <c r="GOP1375" s="53"/>
      <c r="GOQ1375" s="53"/>
      <c r="GOR1375" s="53"/>
      <c r="GOS1375" s="53"/>
      <c r="GOT1375" s="53"/>
      <c r="GOU1375" s="53"/>
      <c r="GOV1375" s="53"/>
      <c r="GOW1375" s="53"/>
      <c r="GOX1375" s="53"/>
      <c r="GOY1375" s="53"/>
      <c r="GOZ1375" s="53"/>
      <c r="GPA1375" s="53"/>
      <c r="GPB1375" s="53"/>
      <c r="GPC1375" s="53"/>
      <c r="GPD1375" s="53"/>
      <c r="GPE1375" s="53"/>
      <c r="GPF1375" s="53"/>
      <c r="GPG1375" s="53"/>
      <c r="GPH1375" s="53"/>
      <c r="GPI1375" s="53"/>
      <c r="GPJ1375" s="53"/>
      <c r="GPK1375" s="53"/>
      <c r="GPL1375" s="53"/>
      <c r="GPM1375" s="53"/>
      <c r="GPN1375" s="53"/>
      <c r="GPO1375" s="53"/>
      <c r="GPP1375" s="53"/>
      <c r="GPQ1375" s="53"/>
      <c r="GPR1375" s="53"/>
      <c r="GPS1375" s="53"/>
      <c r="GPT1375" s="53"/>
      <c r="GPU1375" s="53"/>
      <c r="GPV1375" s="53"/>
      <c r="GPW1375" s="53"/>
      <c r="GPX1375" s="53"/>
      <c r="GPY1375" s="53"/>
      <c r="GPZ1375" s="53"/>
      <c r="GQA1375" s="53"/>
      <c r="GQB1375" s="53"/>
      <c r="GQC1375" s="53"/>
      <c r="GQD1375" s="53"/>
      <c r="GQE1375" s="53"/>
      <c r="GQF1375" s="53"/>
      <c r="GQG1375" s="53"/>
      <c r="GQH1375" s="53"/>
      <c r="GQI1375" s="53"/>
      <c r="GQJ1375" s="53"/>
      <c r="GQK1375" s="53"/>
      <c r="GQL1375" s="53"/>
      <c r="GQM1375" s="53"/>
      <c r="GQN1375" s="53"/>
      <c r="GQO1375" s="53"/>
      <c r="GQP1375" s="53"/>
      <c r="GQQ1375" s="53"/>
      <c r="GQR1375" s="53"/>
      <c r="GQS1375" s="53"/>
      <c r="GQT1375" s="53"/>
      <c r="GQU1375" s="53"/>
      <c r="GQV1375" s="53"/>
      <c r="GQW1375" s="53"/>
      <c r="GQX1375" s="53"/>
      <c r="GQY1375" s="53"/>
      <c r="GQZ1375" s="53"/>
      <c r="GRA1375" s="53"/>
      <c r="GRB1375" s="53"/>
      <c r="GRC1375" s="53"/>
      <c r="GRD1375" s="53"/>
      <c r="GRE1375" s="53"/>
      <c r="GRF1375" s="53"/>
      <c r="GRG1375" s="53"/>
      <c r="GRH1375" s="53"/>
      <c r="GRI1375" s="53"/>
      <c r="GRJ1375" s="53"/>
      <c r="GRK1375" s="53"/>
      <c r="GRL1375" s="53"/>
      <c r="GRM1375" s="53"/>
      <c r="GRN1375" s="53"/>
      <c r="GRO1375" s="53"/>
      <c r="GRP1375" s="53"/>
      <c r="GRQ1375" s="53"/>
      <c r="GRR1375" s="53"/>
      <c r="GRS1375" s="53"/>
      <c r="GRT1375" s="53"/>
      <c r="GRU1375" s="53"/>
      <c r="GRV1375" s="53"/>
      <c r="GRW1375" s="53"/>
      <c r="GRX1375" s="53"/>
      <c r="GRY1375" s="53"/>
      <c r="GRZ1375" s="53"/>
      <c r="GSA1375" s="53"/>
      <c r="GSB1375" s="53"/>
      <c r="GSC1375" s="53"/>
      <c r="GSD1375" s="53"/>
      <c r="GSE1375" s="53"/>
      <c r="GSF1375" s="53"/>
      <c r="GSG1375" s="53"/>
      <c r="GSH1375" s="53"/>
      <c r="GSI1375" s="53"/>
      <c r="GSJ1375" s="53"/>
      <c r="GSK1375" s="53"/>
      <c r="GSL1375" s="53"/>
      <c r="GSM1375" s="53"/>
      <c r="GSN1375" s="53"/>
      <c r="GSO1375" s="53"/>
      <c r="GSP1375" s="53"/>
      <c r="GSQ1375" s="53"/>
      <c r="GSR1375" s="53"/>
      <c r="GSS1375" s="53"/>
      <c r="GST1375" s="53"/>
      <c r="GSU1375" s="53"/>
      <c r="GSV1375" s="53"/>
      <c r="GSW1375" s="53"/>
      <c r="GSX1375" s="53"/>
      <c r="GSY1375" s="53"/>
      <c r="GSZ1375" s="53"/>
      <c r="GTA1375" s="53"/>
      <c r="GTB1375" s="53"/>
      <c r="GTC1375" s="53"/>
      <c r="GTD1375" s="53"/>
      <c r="GTE1375" s="53"/>
      <c r="GTF1375" s="53"/>
      <c r="GTG1375" s="53"/>
      <c r="GTH1375" s="53"/>
      <c r="GTI1375" s="53"/>
      <c r="GTJ1375" s="53"/>
      <c r="GTK1375" s="53"/>
      <c r="GTL1375" s="53"/>
      <c r="GTM1375" s="53"/>
      <c r="GTN1375" s="53"/>
      <c r="GTO1375" s="53"/>
      <c r="GTP1375" s="53"/>
      <c r="GTQ1375" s="53"/>
      <c r="GTR1375" s="53"/>
      <c r="GTS1375" s="53"/>
      <c r="GTT1375" s="53"/>
      <c r="GTU1375" s="53"/>
      <c r="GTV1375" s="53"/>
      <c r="GTW1375" s="53"/>
      <c r="GTX1375" s="53"/>
      <c r="GTY1375" s="53"/>
      <c r="GTZ1375" s="53"/>
      <c r="GUA1375" s="53"/>
      <c r="GUB1375" s="53"/>
      <c r="GUC1375" s="53"/>
      <c r="GUD1375" s="53"/>
      <c r="GUE1375" s="53"/>
      <c r="GUF1375" s="53"/>
      <c r="GUG1375" s="53"/>
      <c r="GUH1375" s="53"/>
      <c r="GUI1375" s="53"/>
      <c r="GUJ1375" s="53"/>
      <c r="GUK1375" s="53"/>
      <c r="GUL1375" s="53"/>
      <c r="GUM1375" s="53"/>
      <c r="GUN1375" s="53"/>
      <c r="GUO1375" s="53"/>
      <c r="GUP1375" s="53"/>
      <c r="GUQ1375" s="53"/>
      <c r="GUR1375" s="53"/>
      <c r="GUS1375" s="53"/>
      <c r="GUT1375" s="53"/>
      <c r="GUU1375" s="53"/>
      <c r="GUV1375" s="53"/>
      <c r="GUW1375" s="53"/>
      <c r="GUX1375" s="53"/>
      <c r="GUY1375" s="53"/>
      <c r="GUZ1375" s="53"/>
      <c r="GVA1375" s="53"/>
      <c r="GVB1375" s="53"/>
      <c r="GVC1375" s="53"/>
      <c r="GVD1375" s="53"/>
      <c r="GVE1375" s="53"/>
      <c r="GVF1375" s="53"/>
      <c r="GVG1375" s="53"/>
      <c r="GVH1375" s="53"/>
      <c r="GVI1375" s="53"/>
      <c r="GVJ1375" s="53"/>
      <c r="GVK1375" s="53"/>
      <c r="GVL1375" s="53"/>
      <c r="GVM1375" s="53"/>
      <c r="GVN1375" s="53"/>
      <c r="GVO1375" s="53"/>
      <c r="GVP1375" s="53"/>
      <c r="GVQ1375" s="53"/>
      <c r="GVR1375" s="53"/>
      <c r="GVS1375" s="53"/>
      <c r="GVT1375" s="53"/>
      <c r="GVU1375" s="53"/>
      <c r="GVV1375" s="53"/>
      <c r="GVW1375" s="53"/>
      <c r="GVX1375" s="53"/>
      <c r="GVY1375" s="53"/>
      <c r="GVZ1375" s="53"/>
      <c r="GWA1375" s="53"/>
      <c r="GWB1375" s="53"/>
      <c r="GWC1375" s="53"/>
      <c r="GWD1375" s="53"/>
      <c r="GWE1375" s="53"/>
      <c r="GWF1375" s="53"/>
      <c r="GWG1375" s="53"/>
      <c r="GWH1375" s="53"/>
      <c r="GWI1375" s="53"/>
      <c r="GWJ1375" s="53"/>
      <c r="GWK1375" s="53"/>
      <c r="GWL1375" s="53"/>
      <c r="GWM1375" s="53"/>
      <c r="GWN1375" s="53"/>
      <c r="GWO1375" s="53"/>
      <c r="GWP1375" s="53"/>
      <c r="GWQ1375" s="53"/>
      <c r="GWR1375" s="53"/>
      <c r="GWS1375" s="53"/>
      <c r="GWT1375" s="53"/>
      <c r="GWU1375" s="53"/>
      <c r="GWV1375" s="53"/>
      <c r="GWW1375" s="53"/>
      <c r="GWX1375" s="53"/>
      <c r="GWY1375" s="53"/>
      <c r="GWZ1375" s="53"/>
      <c r="GXA1375" s="53"/>
      <c r="GXB1375" s="53"/>
      <c r="GXC1375" s="53"/>
      <c r="GXD1375" s="53"/>
      <c r="GXE1375" s="53"/>
      <c r="GXF1375" s="53"/>
      <c r="GXG1375" s="53"/>
      <c r="GXH1375" s="53"/>
      <c r="GXI1375" s="53"/>
      <c r="GXJ1375" s="53"/>
      <c r="GXK1375" s="53"/>
      <c r="GXL1375" s="53"/>
      <c r="GXM1375" s="53"/>
      <c r="GXN1375" s="53"/>
      <c r="GXO1375" s="53"/>
      <c r="GXP1375" s="53"/>
      <c r="GXQ1375" s="53"/>
      <c r="GXR1375" s="53"/>
      <c r="GXS1375" s="53"/>
      <c r="GXT1375" s="53"/>
      <c r="GXU1375" s="53"/>
      <c r="GXV1375" s="53"/>
      <c r="GXW1375" s="53"/>
      <c r="GXX1375" s="53"/>
      <c r="GXY1375" s="53"/>
      <c r="GXZ1375" s="53"/>
      <c r="GYA1375" s="53"/>
      <c r="GYB1375" s="53"/>
      <c r="GYC1375" s="53"/>
      <c r="GYD1375" s="53"/>
      <c r="GYE1375" s="53"/>
      <c r="GYF1375" s="53"/>
      <c r="GYG1375" s="53"/>
      <c r="GYH1375" s="53"/>
      <c r="GYI1375" s="53"/>
      <c r="GYJ1375" s="53"/>
      <c r="GYK1375" s="53"/>
      <c r="GYL1375" s="53"/>
      <c r="GYM1375" s="53"/>
      <c r="GYN1375" s="53"/>
      <c r="GYO1375" s="53"/>
      <c r="GYP1375" s="53"/>
      <c r="GYQ1375" s="53"/>
      <c r="GYR1375" s="53"/>
      <c r="GYS1375" s="53"/>
      <c r="GYT1375" s="53"/>
      <c r="GYU1375" s="53"/>
      <c r="GYV1375" s="53"/>
      <c r="GYW1375" s="53"/>
      <c r="GYX1375" s="53"/>
      <c r="GYY1375" s="53"/>
      <c r="GYZ1375" s="53"/>
      <c r="GZA1375" s="53"/>
      <c r="GZB1375" s="53"/>
      <c r="GZC1375" s="53"/>
      <c r="GZD1375" s="53"/>
      <c r="GZE1375" s="53"/>
      <c r="GZF1375" s="53"/>
      <c r="GZG1375" s="53"/>
      <c r="GZH1375" s="53"/>
      <c r="GZI1375" s="53"/>
      <c r="GZJ1375" s="53"/>
      <c r="GZK1375" s="53"/>
      <c r="GZL1375" s="53"/>
      <c r="GZM1375" s="53"/>
      <c r="GZN1375" s="53"/>
      <c r="GZO1375" s="53"/>
      <c r="GZP1375" s="53"/>
      <c r="GZQ1375" s="53"/>
      <c r="GZR1375" s="53"/>
      <c r="GZS1375" s="53"/>
      <c r="GZT1375" s="53"/>
      <c r="GZU1375" s="53"/>
      <c r="GZV1375" s="53"/>
      <c r="GZW1375" s="53"/>
      <c r="GZX1375" s="53"/>
      <c r="GZY1375" s="53"/>
      <c r="GZZ1375" s="53"/>
      <c r="HAA1375" s="53"/>
      <c r="HAB1375" s="53"/>
      <c r="HAC1375" s="53"/>
      <c r="HAD1375" s="53"/>
      <c r="HAE1375" s="53"/>
      <c r="HAF1375" s="53"/>
      <c r="HAG1375" s="53"/>
      <c r="HAH1375" s="53"/>
      <c r="HAI1375" s="53"/>
      <c r="HAJ1375" s="53"/>
      <c r="HAK1375" s="53"/>
      <c r="HAL1375" s="53"/>
      <c r="HAM1375" s="53"/>
      <c r="HAN1375" s="53"/>
      <c r="HAO1375" s="53"/>
      <c r="HAP1375" s="53"/>
      <c r="HAQ1375" s="53"/>
      <c r="HAR1375" s="53"/>
      <c r="HAS1375" s="53"/>
      <c r="HAT1375" s="53"/>
      <c r="HAU1375" s="53"/>
      <c r="HAV1375" s="53"/>
      <c r="HAW1375" s="53"/>
      <c r="HAX1375" s="53"/>
      <c r="HAY1375" s="53"/>
      <c r="HAZ1375" s="53"/>
      <c r="HBA1375" s="53"/>
      <c r="HBB1375" s="53"/>
      <c r="HBC1375" s="53"/>
      <c r="HBD1375" s="53"/>
      <c r="HBE1375" s="53"/>
      <c r="HBF1375" s="53"/>
      <c r="HBG1375" s="53"/>
      <c r="HBH1375" s="53"/>
      <c r="HBI1375" s="53"/>
      <c r="HBJ1375" s="53"/>
      <c r="HBK1375" s="53"/>
      <c r="HBL1375" s="53"/>
      <c r="HBM1375" s="53"/>
      <c r="HBN1375" s="53"/>
      <c r="HBO1375" s="53"/>
      <c r="HBP1375" s="53"/>
      <c r="HBQ1375" s="53"/>
      <c r="HBR1375" s="53"/>
      <c r="HBS1375" s="53"/>
      <c r="HBT1375" s="53"/>
      <c r="HBU1375" s="53"/>
      <c r="HBV1375" s="53"/>
      <c r="HBW1375" s="53"/>
      <c r="HBX1375" s="53"/>
      <c r="HBY1375" s="53"/>
      <c r="HBZ1375" s="53"/>
      <c r="HCA1375" s="53"/>
      <c r="HCB1375" s="53"/>
      <c r="HCC1375" s="53"/>
      <c r="HCD1375" s="53"/>
      <c r="HCE1375" s="53"/>
      <c r="HCF1375" s="53"/>
      <c r="HCG1375" s="53"/>
      <c r="HCH1375" s="53"/>
      <c r="HCI1375" s="53"/>
      <c r="HCJ1375" s="53"/>
      <c r="HCK1375" s="53"/>
      <c r="HCL1375" s="53"/>
      <c r="HCM1375" s="53"/>
      <c r="HCN1375" s="53"/>
      <c r="HCO1375" s="53"/>
      <c r="HCP1375" s="53"/>
      <c r="HCQ1375" s="53"/>
      <c r="HCR1375" s="53"/>
      <c r="HCS1375" s="53"/>
      <c r="HCT1375" s="53"/>
      <c r="HCU1375" s="53"/>
      <c r="HCV1375" s="53"/>
      <c r="HCW1375" s="53"/>
      <c r="HCX1375" s="53"/>
      <c r="HCY1375" s="53"/>
      <c r="HCZ1375" s="53"/>
      <c r="HDA1375" s="53"/>
      <c r="HDB1375" s="53"/>
      <c r="HDC1375" s="53"/>
      <c r="HDD1375" s="53"/>
      <c r="HDE1375" s="53"/>
      <c r="HDF1375" s="53"/>
      <c r="HDG1375" s="53"/>
      <c r="HDH1375" s="53"/>
      <c r="HDI1375" s="53"/>
      <c r="HDJ1375" s="53"/>
      <c r="HDK1375" s="53"/>
      <c r="HDL1375" s="53"/>
      <c r="HDM1375" s="53"/>
      <c r="HDN1375" s="53"/>
      <c r="HDO1375" s="53"/>
      <c r="HDP1375" s="53"/>
      <c r="HDQ1375" s="53"/>
      <c r="HDR1375" s="53"/>
      <c r="HDS1375" s="53"/>
      <c r="HDT1375" s="53"/>
      <c r="HDU1375" s="53"/>
      <c r="HDV1375" s="53"/>
      <c r="HDW1375" s="53"/>
      <c r="HDX1375" s="53"/>
      <c r="HDY1375" s="53"/>
      <c r="HDZ1375" s="53"/>
      <c r="HEA1375" s="53"/>
      <c r="HEB1375" s="53"/>
      <c r="HEC1375" s="53"/>
      <c r="HED1375" s="53"/>
      <c r="HEE1375" s="53"/>
      <c r="HEF1375" s="53"/>
      <c r="HEG1375" s="53"/>
      <c r="HEH1375" s="53"/>
      <c r="HEI1375" s="53"/>
      <c r="HEJ1375" s="53"/>
      <c r="HEK1375" s="53"/>
      <c r="HEL1375" s="53"/>
      <c r="HEM1375" s="53"/>
      <c r="HEN1375" s="53"/>
      <c r="HEO1375" s="53"/>
      <c r="HEP1375" s="53"/>
      <c r="HEQ1375" s="53"/>
      <c r="HER1375" s="53"/>
      <c r="HES1375" s="53"/>
      <c r="HET1375" s="53"/>
      <c r="HEU1375" s="53"/>
      <c r="HEV1375" s="53"/>
      <c r="HEW1375" s="53"/>
      <c r="HEX1375" s="53"/>
      <c r="HEY1375" s="53"/>
      <c r="HEZ1375" s="53"/>
      <c r="HFA1375" s="53"/>
      <c r="HFB1375" s="53"/>
      <c r="HFC1375" s="53"/>
      <c r="HFD1375" s="53"/>
      <c r="HFE1375" s="53"/>
      <c r="HFF1375" s="53"/>
      <c r="HFG1375" s="53"/>
      <c r="HFH1375" s="53"/>
      <c r="HFI1375" s="53"/>
      <c r="HFJ1375" s="53"/>
      <c r="HFK1375" s="53"/>
      <c r="HFL1375" s="53"/>
      <c r="HFM1375" s="53"/>
      <c r="HFN1375" s="53"/>
      <c r="HFO1375" s="53"/>
      <c r="HFP1375" s="53"/>
      <c r="HFQ1375" s="53"/>
      <c r="HFR1375" s="53"/>
      <c r="HFS1375" s="53"/>
      <c r="HFT1375" s="53"/>
      <c r="HFU1375" s="53"/>
      <c r="HFV1375" s="53"/>
      <c r="HFW1375" s="53"/>
      <c r="HFX1375" s="53"/>
      <c r="HFY1375" s="53"/>
      <c r="HFZ1375" s="53"/>
      <c r="HGA1375" s="53"/>
      <c r="HGB1375" s="53"/>
      <c r="HGC1375" s="53"/>
      <c r="HGD1375" s="53"/>
      <c r="HGE1375" s="53"/>
      <c r="HGF1375" s="53"/>
      <c r="HGG1375" s="53"/>
      <c r="HGH1375" s="53"/>
      <c r="HGI1375" s="53"/>
      <c r="HGJ1375" s="53"/>
      <c r="HGK1375" s="53"/>
      <c r="HGL1375" s="53"/>
      <c r="HGM1375" s="53"/>
      <c r="HGN1375" s="53"/>
      <c r="HGO1375" s="53"/>
      <c r="HGP1375" s="53"/>
      <c r="HGQ1375" s="53"/>
      <c r="HGR1375" s="53"/>
      <c r="HGS1375" s="53"/>
      <c r="HGT1375" s="53"/>
      <c r="HGU1375" s="53"/>
      <c r="HGV1375" s="53"/>
      <c r="HGW1375" s="53"/>
      <c r="HGX1375" s="53"/>
      <c r="HGY1375" s="53"/>
      <c r="HGZ1375" s="53"/>
      <c r="HHA1375" s="53"/>
      <c r="HHB1375" s="53"/>
      <c r="HHC1375" s="53"/>
      <c r="HHD1375" s="53"/>
      <c r="HHE1375" s="53"/>
      <c r="HHF1375" s="53"/>
      <c r="HHG1375" s="53"/>
      <c r="HHH1375" s="53"/>
      <c r="HHI1375" s="53"/>
      <c r="HHJ1375" s="53"/>
      <c r="HHK1375" s="53"/>
      <c r="HHL1375" s="53"/>
      <c r="HHM1375" s="53"/>
      <c r="HHN1375" s="53"/>
      <c r="HHO1375" s="53"/>
      <c r="HHP1375" s="53"/>
      <c r="HHQ1375" s="53"/>
      <c r="HHR1375" s="53"/>
      <c r="HHS1375" s="53"/>
      <c r="HHT1375" s="53"/>
      <c r="HHU1375" s="53"/>
      <c r="HHV1375" s="53"/>
      <c r="HHW1375" s="53"/>
      <c r="HHX1375" s="53"/>
      <c r="HHY1375" s="53"/>
      <c r="HHZ1375" s="53"/>
      <c r="HIA1375" s="53"/>
      <c r="HIB1375" s="53"/>
      <c r="HIC1375" s="53"/>
      <c r="HID1375" s="53"/>
      <c r="HIE1375" s="53"/>
      <c r="HIF1375" s="53"/>
      <c r="HIG1375" s="53"/>
      <c r="HIH1375" s="53"/>
      <c r="HII1375" s="53"/>
      <c r="HIJ1375" s="53"/>
      <c r="HIK1375" s="53"/>
      <c r="HIL1375" s="53"/>
      <c r="HIM1375" s="53"/>
      <c r="HIN1375" s="53"/>
      <c r="HIO1375" s="53"/>
      <c r="HIP1375" s="53"/>
      <c r="HIQ1375" s="53"/>
      <c r="HIR1375" s="53"/>
      <c r="HIS1375" s="53"/>
      <c r="HIT1375" s="53"/>
      <c r="HIU1375" s="53"/>
      <c r="HIV1375" s="53"/>
      <c r="HIW1375" s="53"/>
      <c r="HIX1375" s="53"/>
      <c r="HIY1375" s="53"/>
      <c r="HIZ1375" s="53"/>
      <c r="HJA1375" s="53"/>
      <c r="HJB1375" s="53"/>
      <c r="HJC1375" s="53"/>
      <c r="HJD1375" s="53"/>
      <c r="HJE1375" s="53"/>
      <c r="HJF1375" s="53"/>
      <c r="HJG1375" s="53"/>
      <c r="HJH1375" s="53"/>
      <c r="HJI1375" s="53"/>
      <c r="HJJ1375" s="53"/>
      <c r="HJK1375" s="53"/>
      <c r="HJL1375" s="53"/>
      <c r="HJM1375" s="53"/>
      <c r="HJN1375" s="53"/>
      <c r="HJO1375" s="53"/>
      <c r="HJP1375" s="53"/>
      <c r="HJQ1375" s="53"/>
      <c r="HJR1375" s="53"/>
      <c r="HJS1375" s="53"/>
      <c r="HJT1375" s="53"/>
      <c r="HJU1375" s="53"/>
      <c r="HJV1375" s="53"/>
      <c r="HJW1375" s="53"/>
      <c r="HJX1375" s="53"/>
      <c r="HJY1375" s="53"/>
      <c r="HJZ1375" s="53"/>
      <c r="HKA1375" s="53"/>
      <c r="HKB1375" s="53"/>
      <c r="HKC1375" s="53"/>
      <c r="HKD1375" s="53"/>
      <c r="HKE1375" s="53"/>
      <c r="HKF1375" s="53"/>
      <c r="HKG1375" s="53"/>
      <c r="HKH1375" s="53"/>
      <c r="HKI1375" s="53"/>
      <c r="HKJ1375" s="53"/>
      <c r="HKK1375" s="53"/>
      <c r="HKL1375" s="53"/>
      <c r="HKM1375" s="53"/>
      <c r="HKN1375" s="53"/>
      <c r="HKO1375" s="53"/>
      <c r="HKP1375" s="53"/>
      <c r="HKQ1375" s="53"/>
      <c r="HKR1375" s="53"/>
      <c r="HKS1375" s="53"/>
      <c r="HKT1375" s="53"/>
      <c r="HKU1375" s="53"/>
      <c r="HKV1375" s="53"/>
      <c r="HKW1375" s="53"/>
      <c r="HKX1375" s="53"/>
      <c r="HKY1375" s="53"/>
      <c r="HKZ1375" s="53"/>
      <c r="HLA1375" s="53"/>
      <c r="HLB1375" s="53"/>
      <c r="HLC1375" s="53"/>
      <c r="HLD1375" s="53"/>
      <c r="HLE1375" s="53"/>
      <c r="HLF1375" s="53"/>
      <c r="HLG1375" s="53"/>
      <c r="HLH1375" s="53"/>
      <c r="HLI1375" s="53"/>
      <c r="HLJ1375" s="53"/>
      <c r="HLK1375" s="53"/>
      <c r="HLL1375" s="53"/>
      <c r="HLM1375" s="53"/>
      <c r="HLN1375" s="53"/>
      <c r="HLO1375" s="53"/>
      <c r="HLP1375" s="53"/>
      <c r="HLQ1375" s="53"/>
      <c r="HLR1375" s="53"/>
      <c r="HLS1375" s="53"/>
      <c r="HLT1375" s="53"/>
      <c r="HLU1375" s="53"/>
      <c r="HLV1375" s="53"/>
      <c r="HLW1375" s="53"/>
      <c r="HLX1375" s="53"/>
      <c r="HLY1375" s="53"/>
      <c r="HLZ1375" s="53"/>
      <c r="HMA1375" s="53"/>
      <c r="HMB1375" s="53"/>
      <c r="HMC1375" s="53"/>
      <c r="HMD1375" s="53"/>
      <c r="HME1375" s="53"/>
      <c r="HMF1375" s="53"/>
      <c r="HMG1375" s="53"/>
      <c r="HMH1375" s="53"/>
      <c r="HMI1375" s="53"/>
      <c r="HMJ1375" s="53"/>
      <c r="HMK1375" s="53"/>
      <c r="HML1375" s="53"/>
      <c r="HMM1375" s="53"/>
      <c r="HMN1375" s="53"/>
      <c r="HMO1375" s="53"/>
      <c r="HMP1375" s="53"/>
      <c r="HMQ1375" s="53"/>
      <c r="HMR1375" s="53"/>
      <c r="HMS1375" s="53"/>
      <c r="HMT1375" s="53"/>
      <c r="HMU1375" s="53"/>
      <c r="HMV1375" s="53"/>
      <c r="HMW1375" s="53"/>
      <c r="HMX1375" s="53"/>
      <c r="HMY1375" s="53"/>
      <c r="HMZ1375" s="53"/>
      <c r="HNA1375" s="53"/>
      <c r="HNB1375" s="53"/>
      <c r="HNC1375" s="53"/>
      <c r="HND1375" s="53"/>
      <c r="HNE1375" s="53"/>
      <c r="HNF1375" s="53"/>
      <c r="HNG1375" s="53"/>
      <c r="HNH1375" s="53"/>
      <c r="HNI1375" s="53"/>
      <c r="HNJ1375" s="53"/>
      <c r="HNK1375" s="53"/>
      <c r="HNL1375" s="53"/>
      <c r="HNM1375" s="53"/>
      <c r="HNN1375" s="53"/>
      <c r="HNO1375" s="53"/>
      <c r="HNP1375" s="53"/>
      <c r="HNQ1375" s="53"/>
      <c r="HNR1375" s="53"/>
      <c r="HNS1375" s="53"/>
      <c r="HNT1375" s="53"/>
      <c r="HNU1375" s="53"/>
      <c r="HNV1375" s="53"/>
      <c r="HNW1375" s="53"/>
      <c r="HNX1375" s="53"/>
      <c r="HNY1375" s="53"/>
      <c r="HNZ1375" s="53"/>
      <c r="HOA1375" s="53"/>
      <c r="HOB1375" s="53"/>
      <c r="HOC1375" s="53"/>
      <c r="HOD1375" s="53"/>
      <c r="HOE1375" s="53"/>
      <c r="HOF1375" s="53"/>
      <c r="HOG1375" s="53"/>
      <c r="HOH1375" s="53"/>
      <c r="HOI1375" s="53"/>
      <c r="HOJ1375" s="53"/>
      <c r="HOK1375" s="53"/>
      <c r="HOL1375" s="53"/>
      <c r="HOM1375" s="53"/>
      <c r="HON1375" s="53"/>
      <c r="HOO1375" s="53"/>
      <c r="HOP1375" s="53"/>
      <c r="HOQ1375" s="53"/>
      <c r="HOR1375" s="53"/>
      <c r="HOS1375" s="53"/>
      <c r="HOT1375" s="53"/>
      <c r="HOU1375" s="53"/>
      <c r="HOV1375" s="53"/>
      <c r="HOW1375" s="53"/>
      <c r="HOX1375" s="53"/>
      <c r="HOY1375" s="53"/>
      <c r="HOZ1375" s="53"/>
      <c r="HPA1375" s="53"/>
      <c r="HPB1375" s="53"/>
      <c r="HPC1375" s="53"/>
      <c r="HPD1375" s="53"/>
      <c r="HPE1375" s="53"/>
      <c r="HPF1375" s="53"/>
      <c r="HPG1375" s="53"/>
      <c r="HPH1375" s="53"/>
      <c r="HPI1375" s="53"/>
      <c r="HPJ1375" s="53"/>
      <c r="HPK1375" s="53"/>
      <c r="HPL1375" s="53"/>
      <c r="HPM1375" s="53"/>
      <c r="HPN1375" s="53"/>
      <c r="HPO1375" s="53"/>
      <c r="HPP1375" s="53"/>
      <c r="HPQ1375" s="53"/>
      <c r="HPR1375" s="53"/>
      <c r="HPS1375" s="53"/>
      <c r="HPT1375" s="53"/>
      <c r="HPU1375" s="53"/>
      <c r="HPV1375" s="53"/>
      <c r="HPW1375" s="53"/>
      <c r="HPX1375" s="53"/>
      <c r="HPY1375" s="53"/>
      <c r="HPZ1375" s="53"/>
      <c r="HQA1375" s="53"/>
      <c r="HQB1375" s="53"/>
      <c r="HQC1375" s="53"/>
      <c r="HQD1375" s="53"/>
      <c r="HQE1375" s="53"/>
      <c r="HQF1375" s="53"/>
      <c r="HQG1375" s="53"/>
      <c r="HQH1375" s="53"/>
      <c r="HQI1375" s="53"/>
      <c r="HQJ1375" s="53"/>
      <c r="HQK1375" s="53"/>
      <c r="HQL1375" s="53"/>
      <c r="HQM1375" s="53"/>
      <c r="HQN1375" s="53"/>
      <c r="HQO1375" s="53"/>
      <c r="HQP1375" s="53"/>
      <c r="HQQ1375" s="53"/>
      <c r="HQR1375" s="53"/>
      <c r="HQS1375" s="53"/>
      <c r="HQT1375" s="53"/>
      <c r="HQU1375" s="53"/>
      <c r="HQV1375" s="53"/>
      <c r="HQW1375" s="53"/>
      <c r="HQX1375" s="53"/>
      <c r="HQY1375" s="53"/>
      <c r="HQZ1375" s="53"/>
      <c r="HRA1375" s="53"/>
      <c r="HRB1375" s="53"/>
      <c r="HRC1375" s="53"/>
      <c r="HRD1375" s="53"/>
      <c r="HRE1375" s="53"/>
      <c r="HRF1375" s="53"/>
      <c r="HRG1375" s="53"/>
      <c r="HRH1375" s="53"/>
      <c r="HRI1375" s="53"/>
      <c r="HRJ1375" s="53"/>
      <c r="HRK1375" s="53"/>
      <c r="HRL1375" s="53"/>
      <c r="HRM1375" s="53"/>
      <c r="HRN1375" s="53"/>
      <c r="HRO1375" s="53"/>
      <c r="HRP1375" s="53"/>
      <c r="HRQ1375" s="53"/>
      <c r="HRR1375" s="53"/>
      <c r="HRS1375" s="53"/>
      <c r="HRT1375" s="53"/>
      <c r="HRU1375" s="53"/>
      <c r="HRV1375" s="53"/>
      <c r="HRW1375" s="53"/>
      <c r="HRX1375" s="53"/>
      <c r="HRY1375" s="53"/>
      <c r="HRZ1375" s="53"/>
      <c r="HSA1375" s="53"/>
      <c r="HSB1375" s="53"/>
      <c r="HSC1375" s="53"/>
      <c r="HSD1375" s="53"/>
      <c r="HSE1375" s="53"/>
      <c r="HSF1375" s="53"/>
      <c r="HSG1375" s="53"/>
      <c r="HSH1375" s="53"/>
      <c r="HSI1375" s="53"/>
      <c r="HSJ1375" s="53"/>
      <c r="HSK1375" s="53"/>
      <c r="HSL1375" s="53"/>
      <c r="HSM1375" s="53"/>
      <c r="HSN1375" s="53"/>
      <c r="HSO1375" s="53"/>
      <c r="HSP1375" s="53"/>
      <c r="HSQ1375" s="53"/>
      <c r="HSR1375" s="53"/>
      <c r="HSS1375" s="53"/>
      <c r="HST1375" s="53"/>
      <c r="HSU1375" s="53"/>
      <c r="HSV1375" s="53"/>
      <c r="HSW1375" s="53"/>
      <c r="HSX1375" s="53"/>
      <c r="HSY1375" s="53"/>
      <c r="HSZ1375" s="53"/>
      <c r="HTA1375" s="53"/>
      <c r="HTB1375" s="53"/>
      <c r="HTC1375" s="53"/>
      <c r="HTD1375" s="53"/>
      <c r="HTE1375" s="53"/>
      <c r="HTF1375" s="53"/>
      <c r="HTG1375" s="53"/>
      <c r="HTH1375" s="53"/>
      <c r="HTI1375" s="53"/>
      <c r="HTJ1375" s="53"/>
      <c r="HTK1375" s="53"/>
      <c r="HTL1375" s="53"/>
      <c r="HTM1375" s="53"/>
      <c r="HTN1375" s="53"/>
      <c r="HTO1375" s="53"/>
      <c r="HTP1375" s="53"/>
      <c r="HTQ1375" s="53"/>
      <c r="HTR1375" s="53"/>
      <c r="HTS1375" s="53"/>
      <c r="HTT1375" s="53"/>
      <c r="HTU1375" s="53"/>
      <c r="HTV1375" s="53"/>
      <c r="HTW1375" s="53"/>
      <c r="HTX1375" s="53"/>
      <c r="HTY1375" s="53"/>
      <c r="HTZ1375" s="53"/>
      <c r="HUA1375" s="53"/>
      <c r="HUB1375" s="53"/>
      <c r="HUC1375" s="53"/>
      <c r="HUD1375" s="53"/>
      <c r="HUE1375" s="53"/>
      <c r="HUF1375" s="53"/>
      <c r="HUG1375" s="53"/>
      <c r="HUH1375" s="53"/>
      <c r="HUI1375" s="53"/>
      <c r="HUJ1375" s="53"/>
      <c r="HUK1375" s="53"/>
      <c r="HUL1375" s="53"/>
      <c r="HUM1375" s="53"/>
      <c r="HUN1375" s="53"/>
      <c r="HUO1375" s="53"/>
      <c r="HUP1375" s="53"/>
      <c r="HUQ1375" s="53"/>
      <c r="HUR1375" s="53"/>
      <c r="HUS1375" s="53"/>
      <c r="HUT1375" s="53"/>
      <c r="HUU1375" s="53"/>
      <c r="HUV1375" s="53"/>
      <c r="HUW1375" s="53"/>
      <c r="HUX1375" s="53"/>
      <c r="HUY1375" s="53"/>
      <c r="HUZ1375" s="53"/>
      <c r="HVA1375" s="53"/>
      <c r="HVB1375" s="53"/>
      <c r="HVC1375" s="53"/>
      <c r="HVD1375" s="53"/>
      <c r="HVE1375" s="53"/>
      <c r="HVF1375" s="53"/>
      <c r="HVG1375" s="53"/>
      <c r="HVH1375" s="53"/>
      <c r="HVI1375" s="53"/>
      <c r="HVJ1375" s="53"/>
      <c r="HVK1375" s="53"/>
      <c r="HVL1375" s="53"/>
      <c r="HVM1375" s="53"/>
      <c r="HVN1375" s="53"/>
      <c r="HVO1375" s="53"/>
      <c r="HVP1375" s="53"/>
      <c r="HVQ1375" s="53"/>
      <c r="HVR1375" s="53"/>
      <c r="HVS1375" s="53"/>
      <c r="HVT1375" s="53"/>
      <c r="HVU1375" s="53"/>
      <c r="HVV1375" s="53"/>
      <c r="HVW1375" s="53"/>
      <c r="HVX1375" s="53"/>
      <c r="HVY1375" s="53"/>
      <c r="HVZ1375" s="53"/>
      <c r="HWA1375" s="53"/>
      <c r="HWB1375" s="53"/>
      <c r="HWC1375" s="53"/>
      <c r="HWD1375" s="53"/>
      <c r="HWE1375" s="53"/>
      <c r="HWF1375" s="53"/>
      <c r="HWG1375" s="53"/>
      <c r="HWH1375" s="53"/>
      <c r="HWI1375" s="53"/>
      <c r="HWJ1375" s="53"/>
      <c r="HWK1375" s="53"/>
      <c r="HWL1375" s="53"/>
      <c r="HWM1375" s="53"/>
      <c r="HWN1375" s="53"/>
      <c r="HWO1375" s="53"/>
      <c r="HWP1375" s="53"/>
      <c r="HWQ1375" s="53"/>
      <c r="HWR1375" s="53"/>
      <c r="HWS1375" s="53"/>
      <c r="HWT1375" s="53"/>
      <c r="HWU1375" s="53"/>
      <c r="HWV1375" s="53"/>
      <c r="HWW1375" s="53"/>
      <c r="HWX1375" s="53"/>
      <c r="HWY1375" s="53"/>
      <c r="HWZ1375" s="53"/>
      <c r="HXA1375" s="53"/>
      <c r="HXB1375" s="53"/>
      <c r="HXC1375" s="53"/>
      <c r="HXD1375" s="53"/>
      <c r="HXE1375" s="53"/>
      <c r="HXF1375" s="53"/>
      <c r="HXG1375" s="53"/>
      <c r="HXH1375" s="53"/>
      <c r="HXI1375" s="53"/>
      <c r="HXJ1375" s="53"/>
      <c r="HXK1375" s="53"/>
      <c r="HXL1375" s="53"/>
      <c r="HXM1375" s="53"/>
      <c r="HXN1375" s="53"/>
      <c r="HXO1375" s="53"/>
      <c r="HXP1375" s="53"/>
      <c r="HXQ1375" s="53"/>
      <c r="HXR1375" s="53"/>
      <c r="HXS1375" s="53"/>
      <c r="HXT1375" s="53"/>
      <c r="HXU1375" s="53"/>
      <c r="HXV1375" s="53"/>
      <c r="HXW1375" s="53"/>
      <c r="HXX1375" s="53"/>
      <c r="HXY1375" s="53"/>
      <c r="HXZ1375" s="53"/>
      <c r="HYA1375" s="53"/>
      <c r="HYB1375" s="53"/>
      <c r="HYC1375" s="53"/>
      <c r="HYD1375" s="53"/>
      <c r="HYE1375" s="53"/>
      <c r="HYF1375" s="53"/>
      <c r="HYG1375" s="53"/>
      <c r="HYH1375" s="53"/>
      <c r="HYI1375" s="53"/>
      <c r="HYJ1375" s="53"/>
      <c r="HYK1375" s="53"/>
      <c r="HYL1375" s="53"/>
      <c r="HYM1375" s="53"/>
      <c r="HYN1375" s="53"/>
      <c r="HYO1375" s="53"/>
      <c r="HYP1375" s="53"/>
      <c r="HYQ1375" s="53"/>
      <c r="HYR1375" s="53"/>
      <c r="HYS1375" s="53"/>
      <c r="HYT1375" s="53"/>
      <c r="HYU1375" s="53"/>
      <c r="HYV1375" s="53"/>
      <c r="HYW1375" s="53"/>
      <c r="HYX1375" s="53"/>
      <c r="HYY1375" s="53"/>
      <c r="HYZ1375" s="53"/>
      <c r="HZA1375" s="53"/>
      <c r="HZB1375" s="53"/>
      <c r="HZC1375" s="53"/>
      <c r="HZD1375" s="53"/>
      <c r="HZE1375" s="53"/>
      <c r="HZF1375" s="53"/>
      <c r="HZG1375" s="53"/>
      <c r="HZH1375" s="53"/>
      <c r="HZI1375" s="53"/>
      <c r="HZJ1375" s="53"/>
      <c r="HZK1375" s="53"/>
      <c r="HZL1375" s="53"/>
      <c r="HZM1375" s="53"/>
      <c r="HZN1375" s="53"/>
      <c r="HZO1375" s="53"/>
      <c r="HZP1375" s="53"/>
      <c r="HZQ1375" s="53"/>
      <c r="HZR1375" s="53"/>
      <c r="HZS1375" s="53"/>
      <c r="HZT1375" s="53"/>
      <c r="HZU1375" s="53"/>
      <c r="HZV1375" s="53"/>
      <c r="HZW1375" s="53"/>
      <c r="HZX1375" s="53"/>
      <c r="HZY1375" s="53"/>
      <c r="HZZ1375" s="53"/>
      <c r="IAA1375" s="53"/>
      <c r="IAB1375" s="53"/>
      <c r="IAC1375" s="53"/>
      <c r="IAD1375" s="53"/>
      <c r="IAE1375" s="53"/>
      <c r="IAF1375" s="53"/>
      <c r="IAG1375" s="53"/>
      <c r="IAH1375" s="53"/>
      <c r="IAI1375" s="53"/>
      <c r="IAJ1375" s="53"/>
      <c r="IAK1375" s="53"/>
      <c r="IAL1375" s="53"/>
      <c r="IAM1375" s="53"/>
      <c r="IAN1375" s="53"/>
      <c r="IAO1375" s="53"/>
      <c r="IAP1375" s="53"/>
      <c r="IAQ1375" s="53"/>
      <c r="IAR1375" s="53"/>
      <c r="IAS1375" s="53"/>
      <c r="IAT1375" s="53"/>
      <c r="IAU1375" s="53"/>
      <c r="IAV1375" s="53"/>
      <c r="IAW1375" s="53"/>
      <c r="IAX1375" s="53"/>
      <c r="IAY1375" s="53"/>
      <c r="IAZ1375" s="53"/>
      <c r="IBA1375" s="53"/>
      <c r="IBB1375" s="53"/>
      <c r="IBC1375" s="53"/>
      <c r="IBD1375" s="53"/>
      <c r="IBE1375" s="53"/>
      <c r="IBF1375" s="53"/>
      <c r="IBG1375" s="53"/>
      <c r="IBH1375" s="53"/>
      <c r="IBI1375" s="53"/>
      <c r="IBJ1375" s="53"/>
      <c r="IBK1375" s="53"/>
      <c r="IBL1375" s="53"/>
      <c r="IBM1375" s="53"/>
      <c r="IBN1375" s="53"/>
      <c r="IBO1375" s="53"/>
      <c r="IBP1375" s="53"/>
      <c r="IBQ1375" s="53"/>
      <c r="IBR1375" s="53"/>
      <c r="IBS1375" s="53"/>
      <c r="IBT1375" s="53"/>
      <c r="IBU1375" s="53"/>
      <c r="IBV1375" s="53"/>
      <c r="IBW1375" s="53"/>
      <c r="IBX1375" s="53"/>
      <c r="IBY1375" s="53"/>
      <c r="IBZ1375" s="53"/>
      <c r="ICA1375" s="53"/>
      <c r="ICB1375" s="53"/>
      <c r="ICC1375" s="53"/>
      <c r="ICD1375" s="53"/>
      <c r="ICE1375" s="53"/>
      <c r="ICF1375" s="53"/>
      <c r="ICG1375" s="53"/>
      <c r="ICH1375" s="53"/>
      <c r="ICI1375" s="53"/>
      <c r="ICJ1375" s="53"/>
      <c r="ICK1375" s="53"/>
      <c r="ICL1375" s="53"/>
      <c r="ICM1375" s="53"/>
      <c r="ICN1375" s="53"/>
      <c r="ICO1375" s="53"/>
      <c r="ICP1375" s="53"/>
      <c r="ICQ1375" s="53"/>
      <c r="ICR1375" s="53"/>
      <c r="ICS1375" s="53"/>
      <c r="ICT1375" s="53"/>
      <c r="ICU1375" s="53"/>
      <c r="ICV1375" s="53"/>
      <c r="ICW1375" s="53"/>
      <c r="ICX1375" s="53"/>
      <c r="ICY1375" s="53"/>
      <c r="ICZ1375" s="53"/>
      <c r="IDA1375" s="53"/>
      <c r="IDB1375" s="53"/>
      <c r="IDC1375" s="53"/>
      <c r="IDD1375" s="53"/>
      <c r="IDE1375" s="53"/>
      <c r="IDF1375" s="53"/>
      <c r="IDG1375" s="53"/>
      <c r="IDH1375" s="53"/>
      <c r="IDI1375" s="53"/>
      <c r="IDJ1375" s="53"/>
      <c r="IDK1375" s="53"/>
      <c r="IDL1375" s="53"/>
      <c r="IDM1375" s="53"/>
      <c r="IDN1375" s="53"/>
      <c r="IDO1375" s="53"/>
      <c r="IDP1375" s="53"/>
      <c r="IDQ1375" s="53"/>
      <c r="IDR1375" s="53"/>
      <c r="IDS1375" s="53"/>
      <c r="IDT1375" s="53"/>
      <c r="IDU1375" s="53"/>
      <c r="IDV1375" s="53"/>
      <c r="IDW1375" s="53"/>
      <c r="IDX1375" s="53"/>
      <c r="IDY1375" s="53"/>
      <c r="IDZ1375" s="53"/>
      <c r="IEA1375" s="53"/>
      <c r="IEB1375" s="53"/>
      <c r="IEC1375" s="53"/>
      <c r="IED1375" s="53"/>
      <c r="IEE1375" s="53"/>
      <c r="IEF1375" s="53"/>
      <c r="IEG1375" s="53"/>
      <c r="IEH1375" s="53"/>
      <c r="IEI1375" s="53"/>
      <c r="IEJ1375" s="53"/>
      <c r="IEK1375" s="53"/>
      <c r="IEL1375" s="53"/>
      <c r="IEM1375" s="53"/>
      <c r="IEN1375" s="53"/>
      <c r="IEO1375" s="53"/>
      <c r="IEP1375" s="53"/>
      <c r="IEQ1375" s="53"/>
      <c r="IER1375" s="53"/>
      <c r="IES1375" s="53"/>
      <c r="IET1375" s="53"/>
      <c r="IEU1375" s="53"/>
      <c r="IEV1375" s="53"/>
      <c r="IEW1375" s="53"/>
      <c r="IEX1375" s="53"/>
      <c r="IEY1375" s="53"/>
      <c r="IEZ1375" s="53"/>
      <c r="IFA1375" s="53"/>
      <c r="IFB1375" s="53"/>
      <c r="IFC1375" s="53"/>
      <c r="IFD1375" s="53"/>
      <c r="IFE1375" s="53"/>
      <c r="IFF1375" s="53"/>
      <c r="IFG1375" s="53"/>
      <c r="IFH1375" s="53"/>
      <c r="IFI1375" s="53"/>
      <c r="IFJ1375" s="53"/>
      <c r="IFK1375" s="53"/>
      <c r="IFL1375" s="53"/>
      <c r="IFM1375" s="53"/>
      <c r="IFN1375" s="53"/>
      <c r="IFO1375" s="53"/>
      <c r="IFP1375" s="53"/>
      <c r="IFQ1375" s="53"/>
      <c r="IFR1375" s="53"/>
      <c r="IFS1375" s="53"/>
      <c r="IFT1375" s="53"/>
      <c r="IFU1375" s="53"/>
      <c r="IFV1375" s="53"/>
      <c r="IFW1375" s="53"/>
      <c r="IFX1375" s="53"/>
      <c r="IFY1375" s="53"/>
      <c r="IFZ1375" s="53"/>
      <c r="IGA1375" s="53"/>
      <c r="IGB1375" s="53"/>
      <c r="IGC1375" s="53"/>
      <c r="IGD1375" s="53"/>
      <c r="IGE1375" s="53"/>
      <c r="IGF1375" s="53"/>
      <c r="IGG1375" s="53"/>
      <c r="IGH1375" s="53"/>
      <c r="IGI1375" s="53"/>
      <c r="IGJ1375" s="53"/>
      <c r="IGK1375" s="53"/>
      <c r="IGL1375" s="53"/>
      <c r="IGM1375" s="53"/>
      <c r="IGN1375" s="53"/>
      <c r="IGO1375" s="53"/>
      <c r="IGP1375" s="53"/>
      <c r="IGQ1375" s="53"/>
      <c r="IGR1375" s="53"/>
      <c r="IGS1375" s="53"/>
      <c r="IGT1375" s="53"/>
      <c r="IGU1375" s="53"/>
      <c r="IGV1375" s="53"/>
      <c r="IGW1375" s="53"/>
      <c r="IGX1375" s="53"/>
      <c r="IGY1375" s="53"/>
      <c r="IGZ1375" s="53"/>
      <c r="IHA1375" s="53"/>
      <c r="IHB1375" s="53"/>
      <c r="IHC1375" s="53"/>
      <c r="IHD1375" s="53"/>
      <c r="IHE1375" s="53"/>
      <c r="IHF1375" s="53"/>
      <c r="IHG1375" s="53"/>
      <c r="IHH1375" s="53"/>
      <c r="IHI1375" s="53"/>
      <c r="IHJ1375" s="53"/>
      <c r="IHK1375" s="53"/>
      <c r="IHL1375" s="53"/>
      <c r="IHM1375" s="53"/>
      <c r="IHN1375" s="53"/>
      <c r="IHO1375" s="53"/>
      <c r="IHP1375" s="53"/>
      <c r="IHQ1375" s="53"/>
      <c r="IHR1375" s="53"/>
      <c r="IHS1375" s="53"/>
      <c r="IHT1375" s="53"/>
      <c r="IHU1375" s="53"/>
      <c r="IHV1375" s="53"/>
      <c r="IHW1375" s="53"/>
      <c r="IHX1375" s="53"/>
      <c r="IHY1375" s="53"/>
      <c r="IHZ1375" s="53"/>
      <c r="IIA1375" s="53"/>
      <c r="IIB1375" s="53"/>
      <c r="IIC1375" s="53"/>
      <c r="IID1375" s="53"/>
      <c r="IIE1375" s="53"/>
      <c r="IIF1375" s="53"/>
      <c r="IIG1375" s="53"/>
      <c r="IIH1375" s="53"/>
      <c r="III1375" s="53"/>
      <c r="IIJ1375" s="53"/>
      <c r="IIK1375" s="53"/>
      <c r="IIL1375" s="53"/>
      <c r="IIM1375" s="53"/>
      <c r="IIN1375" s="53"/>
      <c r="IIO1375" s="53"/>
      <c r="IIP1375" s="53"/>
      <c r="IIQ1375" s="53"/>
      <c r="IIR1375" s="53"/>
      <c r="IIS1375" s="53"/>
      <c r="IIT1375" s="53"/>
      <c r="IIU1375" s="53"/>
      <c r="IIV1375" s="53"/>
      <c r="IIW1375" s="53"/>
      <c r="IIX1375" s="53"/>
      <c r="IIY1375" s="53"/>
      <c r="IIZ1375" s="53"/>
      <c r="IJA1375" s="53"/>
      <c r="IJB1375" s="53"/>
      <c r="IJC1375" s="53"/>
      <c r="IJD1375" s="53"/>
      <c r="IJE1375" s="53"/>
      <c r="IJF1375" s="53"/>
      <c r="IJG1375" s="53"/>
      <c r="IJH1375" s="53"/>
      <c r="IJI1375" s="53"/>
      <c r="IJJ1375" s="53"/>
      <c r="IJK1375" s="53"/>
      <c r="IJL1375" s="53"/>
      <c r="IJM1375" s="53"/>
      <c r="IJN1375" s="53"/>
      <c r="IJO1375" s="53"/>
      <c r="IJP1375" s="53"/>
      <c r="IJQ1375" s="53"/>
      <c r="IJR1375" s="53"/>
      <c r="IJS1375" s="53"/>
      <c r="IJT1375" s="53"/>
      <c r="IJU1375" s="53"/>
      <c r="IJV1375" s="53"/>
      <c r="IJW1375" s="53"/>
      <c r="IJX1375" s="53"/>
      <c r="IJY1375" s="53"/>
      <c r="IJZ1375" s="53"/>
      <c r="IKA1375" s="53"/>
      <c r="IKB1375" s="53"/>
      <c r="IKC1375" s="53"/>
      <c r="IKD1375" s="53"/>
      <c r="IKE1375" s="53"/>
      <c r="IKF1375" s="53"/>
      <c r="IKG1375" s="53"/>
      <c r="IKH1375" s="53"/>
      <c r="IKI1375" s="53"/>
      <c r="IKJ1375" s="53"/>
      <c r="IKK1375" s="53"/>
      <c r="IKL1375" s="53"/>
      <c r="IKM1375" s="53"/>
      <c r="IKN1375" s="53"/>
      <c r="IKO1375" s="53"/>
      <c r="IKP1375" s="53"/>
      <c r="IKQ1375" s="53"/>
      <c r="IKR1375" s="53"/>
      <c r="IKS1375" s="53"/>
      <c r="IKT1375" s="53"/>
      <c r="IKU1375" s="53"/>
      <c r="IKV1375" s="53"/>
      <c r="IKW1375" s="53"/>
      <c r="IKX1375" s="53"/>
      <c r="IKY1375" s="53"/>
      <c r="IKZ1375" s="53"/>
      <c r="ILA1375" s="53"/>
      <c r="ILB1375" s="53"/>
      <c r="ILC1375" s="53"/>
      <c r="ILD1375" s="53"/>
      <c r="ILE1375" s="53"/>
      <c r="ILF1375" s="53"/>
      <c r="ILG1375" s="53"/>
      <c r="ILH1375" s="53"/>
      <c r="ILI1375" s="53"/>
      <c r="ILJ1375" s="53"/>
      <c r="ILK1375" s="53"/>
      <c r="ILL1375" s="53"/>
      <c r="ILM1375" s="53"/>
      <c r="ILN1375" s="53"/>
      <c r="ILO1375" s="53"/>
      <c r="ILP1375" s="53"/>
      <c r="ILQ1375" s="53"/>
      <c r="ILR1375" s="53"/>
      <c r="ILS1375" s="53"/>
      <c r="ILT1375" s="53"/>
      <c r="ILU1375" s="53"/>
      <c r="ILV1375" s="53"/>
      <c r="ILW1375" s="53"/>
      <c r="ILX1375" s="53"/>
      <c r="ILY1375" s="53"/>
      <c r="ILZ1375" s="53"/>
      <c r="IMA1375" s="53"/>
      <c r="IMB1375" s="53"/>
      <c r="IMC1375" s="53"/>
      <c r="IMD1375" s="53"/>
      <c r="IME1375" s="53"/>
      <c r="IMF1375" s="53"/>
      <c r="IMG1375" s="53"/>
      <c r="IMH1375" s="53"/>
      <c r="IMI1375" s="53"/>
      <c r="IMJ1375" s="53"/>
      <c r="IMK1375" s="53"/>
      <c r="IML1375" s="53"/>
      <c r="IMM1375" s="53"/>
      <c r="IMN1375" s="53"/>
      <c r="IMO1375" s="53"/>
      <c r="IMP1375" s="53"/>
      <c r="IMQ1375" s="53"/>
      <c r="IMR1375" s="53"/>
      <c r="IMS1375" s="53"/>
      <c r="IMT1375" s="53"/>
      <c r="IMU1375" s="53"/>
      <c r="IMV1375" s="53"/>
      <c r="IMW1375" s="53"/>
      <c r="IMX1375" s="53"/>
      <c r="IMY1375" s="53"/>
      <c r="IMZ1375" s="53"/>
      <c r="INA1375" s="53"/>
      <c r="INB1375" s="53"/>
      <c r="INC1375" s="53"/>
      <c r="IND1375" s="53"/>
      <c r="INE1375" s="53"/>
      <c r="INF1375" s="53"/>
      <c r="ING1375" s="53"/>
      <c r="INH1375" s="53"/>
      <c r="INI1375" s="53"/>
      <c r="INJ1375" s="53"/>
      <c r="INK1375" s="53"/>
      <c r="INL1375" s="53"/>
      <c r="INM1375" s="53"/>
      <c r="INN1375" s="53"/>
      <c r="INO1375" s="53"/>
      <c r="INP1375" s="53"/>
      <c r="INQ1375" s="53"/>
      <c r="INR1375" s="53"/>
      <c r="INS1375" s="53"/>
      <c r="INT1375" s="53"/>
      <c r="INU1375" s="53"/>
      <c r="INV1375" s="53"/>
      <c r="INW1375" s="53"/>
      <c r="INX1375" s="53"/>
      <c r="INY1375" s="53"/>
      <c r="INZ1375" s="53"/>
      <c r="IOA1375" s="53"/>
      <c r="IOB1375" s="53"/>
      <c r="IOC1375" s="53"/>
      <c r="IOD1375" s="53"/>
      <c r="IOE1375" s="53"/>
      <c r="IOF1375" s="53"/>
      <c r="IOG1375" s="53"/>
      <c r="IOH1375" s="53"/>
      <c r="IOI1375" s="53"/>
      <c r="IOJ1375" s="53"/>
      <c r="IOK1375" s="53"/>
      <c r="IOL1375" s="53"/>
      <c r="IOM1375" s="53"/>
      <c r="ION1375" s="53"/>
      <c r="IOO1375" s="53"/>
      <c r="IOP1375" s="53"/>
      <c r="IOQ1375" s="53"/>
      <c r="IOR1375" s="53"/>
      <c r="IOS1375" s="53"/>
      <c r="IOT1375" s="53"/>
      <c r="IOU1375" s="53"/>
      <c r="IOV1375" s="53"/>
      <c r="IOW1375" s="53"/>
      <c r="IOX1375" s="53"/>
      <c r="IOY1375" s="53"/>
      <c r="IOZ1375" s="53"/>
      <c r="IPA1375" s="53"/>
      <c r="IPB1375" s="53"/>
      <c r="IPC1375" s="53"/>
      <c r="IPD1375" s="53"/>
      <c r="IPE1375" s="53"/>
      <c r="IPF1375" s="53"/>
      <c r="IPG1375" s="53"/>
      <c r="IPH1375" s="53"/>
      <c r="IPI1375" s="53"/>
      <c r="IPJ1375" s="53"/>
      <c r="IPK1375" s="53"/>
      <c r="IPL1375" s="53"/>
      <c r="IPM1375" s="53"/>
      <c r="IPN1375" s="53"/>
      <c r="IPO1375" s="53"/>
      <c r="IPP1375" s="53"/>
      <c r="IPQ1375" s="53"/>
      <c r="IPR1375" s="53"/>
      <c r="IPS1375" s="53"/>
      <c r="IPT1375" s="53"/>
      <c r="IPU1375" s="53"/>
      <c r="IPV1375" s="53"/>
      <c r="IPW1375" s="53"/>
      <c r="IPX1375" s="53"/>
      <c r="IPY1375" s="53"/>
      <c r="IPZ1375" s="53"/>
      <c r="IQA1375" s="53"/>
      <c r="IQB1375" s="53"/>
      <c r="IQC1375" s="53"/>
      <c r="IQD1375" s="53"/>
      <c r="IQE1375" s="53"/>
      <c r="IQF1375" s="53"/>
      <c r="IQG1375" s="53"/>
      <c r="IQH1375" s="53"/>
      <c r="IQI1375" s="53"/>
      <c r="IQJ1375" s="53"/>
      <c r="IQK1375" s="53"/>
      <c r="IQL1375" s="53"/>
      <c r="IQM1375" s="53"/>
      <c r="IQN1375" s="53"/>
      <c r="IQO1375" s="53"/>
      <c r="IQP1375" s="53"/>
      <c r="IQQ1375" s="53"/>
      <c r="IQR1375" s="53"/>
      <c r="IQS1375" s="53"/>
      <c r="IQT1375" s="53"/>
      <c r="IQU1375" s="53"/>
      <c r="IQV1375" s="53"/>
      <c r="IQW1375" s="53"/>
      <c r="IQX1375" s="53"/>
      <c r="IQY1375" s="53"/>
      <c r="IQZ1375" s="53"/>
      <c r="IRA1375" s="53"/>
      <c r="IRB1375" s="53"/>
      <c r="IRC1375" s="53"/>
      <c r="IRD1375" s="53"/>
      <c r="IRE1375" s="53"/>
      <c r="IRF1375" s="53"/>
      <c r="IRG1375" s="53"/>
      <c r="IRH1375" s="53"/>
      <c r="IRI1375" s="53"/>
      <c r="IRJ1375" s="53"/>
      <c r="IRK1375" s="53"/>
      <c r="IRL1375" s="53"/>
      <c r="IRM1375" s="53"/>
      <c r="IRN1375" s="53"/>
      <c r="IRO1375" s="53"/>
      <c r="IRP1375" s="53"/>
      <c r="IRQ1375" s="53"/>
      <c r="IRR1375" s="53"/>
      <c r="IRS1375" s="53"/>
      <c r="IRT1375" s="53"/>
      <c r="IRU1375" s="53"/>
      <c r="IRV1375" s="53"/>
      <c r="IRW1375" s="53"/>
      <c r="IRX1375" s="53"/>
      <c r="IRY1375" s="53"/>
      <c r="IRZ1375" s="53"/>
      <c r="ISA1375" s="53"/>
      <c r="ISB1375" s="53"/>
      <c r="ISC1375" s="53"/>
      <c r="ISD1375" s="53"/>
      <c r="ISE1375" s="53"/>
      <c r="ISF1375" s="53"/>
      <c r="ISG1375" s="53"/>
      <c r="ISH1375" s="53"/>
      <c r="ISI1375" s="53"/>
      <c r="ISJ1375" s="53"/>
      <c r="ISK1375" s="53"/>
      <c r="ISL1375" s="53"/>
      <c r="ISM1375" s="53"/>
      <c r="ISN1375" s="53"/>
      <c r="ISO1375" s="53"/>
      <c r="ISP1375" s="53"/>
      <c r="ISQ1375" s="53"/>
      <c r="ISR1375" s="53"/>
      <c r="ISS1375" s="53"/>
      <c r="IST1375" s="53"/>
      <c r="ISU1375" s="53"/>
      <c r="ISV1375" s="53"/>
      <c r="ISW1375" s="53"/>
      <c r="ISX1375" s="53"/>
      <c r="ISY1375" s="53"/>
      <c r="ISZ1375" s="53"/>
      <c r="ITA1375" s="53"/>
      <c r="ITB1375" s="53"/>
      <c r="ITC1375" s="53"/>
      <c r="ITD1375" s="53"/>
      <c r="ITE1375" s="53"/>
      <c r="ITF1375" s="53"/>
      <c r="ITG1375" s="53"/>
      <c r="ITH1375" s="53"/>
      <c r="ITI1375" s="53"/>
      <c r="ITJ1375" s="53"/>
      <c r="ITK1375" s="53"/>
      <c r="ITL1375" s="53"/>
      <c r="ITM1375" s="53"/>
      <c r="ITN1375" s="53"/>
      <c r="ITO1375" s="53"/>
      <c r="ITP1375" s="53"/>
      <c r="ITQ1375" s="53"/>
      <c r="ITR1375" s="53"/>
      <c r="ITS1375" s="53"/>
      <c r="ITT1375" s="53"/>
      <c r="ITU1375" s="53"/>
      <c r="ITV1375" s="53"/>
      <c r="ITW1375" s="53"/>
      <c r="ITX1375" s="53"/>
      <c r="ITY1375" s="53"/>
      <c r="ITZ1375" s="53"/>
      <c r="IUA1375" s="53"/>
      <c r="IUB1375" s="53"/>
      <c r="IUC1375" s="53"/>
      <c r="IUD1375" s="53"/>
      <c r="IUE1375" s="53"/>
      <c r="IUF1375" s="53"/>
      <c r="IUG1375" s="53"/>
      <c r="IUH1375" s="53"/>
      <c r="IUI1375" s="53"/>
      <c r="IUJ1375" s="53"/>
      <c r="IUK1375" s="53"/>
      <c r="IUL1375" s="53"/>
      <c r="IUM1375" s="53"/>
      <c r="IUN1375" s="53"/>
      <c r="IUO1375" s="53"/>
      <c r="IUP1375" s="53"/>
      <c r="IUQ1375" s="53"/>
      <c r="IUR1375" s="53"/>
      <c r="IUS1375" s="53"/>
      <c r="IUT1375" s="53"/>
      <c r="IUU1375" s="53"/>
      <c r="IUV1375" s="53"/>
      <c r="IUW1375" s="53"/>
      <c r="IUX1375" s="53"/>
      <c r="IUY1375" s="53"/>
      <c r="IUZ1375" s="53"/>
      <c r="IVA1375" s="53"/>
      <c r="IVB1375" s="53"/>
      <c r="IVC1375" s="53"/>
      <c r="IVD1375" s="53"/>
      <c r="IVE1375" s="53"/>
      <c r="IVF1375" s="53"/>
      <c r="IVG1375" s="53"/>
      <c r="IVH1375" s="53"/>
      <c r="IVI1375" s="53"/>
      <c r="IVJ1375" s="53"/>
      <c r="IVK1375" s="53"/>
      <c r="IVL1375" s="53"/>
      <c r="IVM1375" s="53"/>
      <c r="IVN1375" s="53"/>
      <c r="IVO1375" s="53"/>
      <c r="IVP1375" s="53"/>
      <c r="IVQ1375" s="53"/>
      <c r="IVR1375" s="53"/>
      <c r="IVS1375" s="53"/>
      <c r="IVT1375" s="53"/>
      <c r="IVU1375" s="53"/>
      <c r="IVV1375" s="53"/>
      <c r="IVW1375" s="53"/>
      <c r="IVX1375" s="53"/>
      <c r="IVY1375" s="53"/>
      <c r="IVZ1375" s="53"/>
      <c r="IWA1375" s="53"/>
      <c r="IWB1375" s="53"/>
      <c r="IWC1375" s="53"/>
      <c r="IWD1375" s="53"/>
      <c r="IWE1375" s="53"/>
      <c r="IWF1375" s="53"/>
      <c r="IWG1375" s="53"/>
      <c r="IWH1375" s="53"/>
      <c r="IWI1375" s="53"/>
      <c r="IWJ1375" s="53"/>
      <c r="IWK1375" s="53"/>
      <c r="IWL1375" s="53"/>
      <c r="IWM1375" s="53"/>
      <c r="IWN1375" s="53"/>
      <c r="IWO1375" s="53"/>
      <c r="IWP1375" s="53"/>
      <c r="IWQ1375" s="53"/>
      <c r="IWR1375" s="53"/>
      <c r="IWS1375" s="53"/>
      <c r="IWT1375" s="53"/>
      <c r="IWU1375" s="53"/>
      <c r="IWV1375" s="53"/>
      <c r="IWW1375" s="53"/>
      <c r="IWX1375" s="53"/>
      <c r="IWY1375" s="53"/>
      <c r="IWZ1375" s="53"/>
      <c r="IXA1375" s="53"/>
      <c r="IXB1375" s="53"/>
      <c r="IXC1375" s="53"/>
      <c r="IXD1375" s="53"/>
      <c r="IXE1375" s="53"/>
      <c r="IXF1375" s="53"/>
      <c r="IXG1375" s="53"/>
      <c r="IXH1375" s="53"/>
      <c r="IXI1375" s="53"/>
      <c r="IXJ1375" s="53"/>
      <c r="IXK1375" s="53"/>
      <c r="IXL1375" s="53"/>
      <c r="IXM1375" s="53"/>
      <c r="IXN1375" s="53"/>
      <c r="IXO1375" s="53"/>
      <c r="IXP1375" s="53"/>
      <c r="IXQ1375" s="53"/>
      <c r="IXR1375" s="53"/>
      <c r="IXS1375" s="53"/>
      <c r="IXT1375" s="53"/>
      <c r="IXU1375" s="53"/>
      <c r="IXV1375" s="53"/>
      <c r="IXW1375" s="53"/>
      <c r="IXX1375" s="53"/>
      <c r="IXY1375" s="53"/>
      <c r="IXZ1375" s="53"/>
      <c r="IYA1375" s="53"/>
      <c r="IYB1375" s="53"/>
      <c r="IYC1375" s="53"/>
      <c r="IYD1375" s="53"/>
      <c r="IYE1375" s="53"/>
      <c r="IYF1375" s="53"/>
      <c r="IYG1375" s="53"/>
      <c r="IYH1375" s="53"/>
      <c r="IYI1375" s="53"/>
      <c r="IYJ1375" s="53"/>
      <c r="IYK1375" s="53"/>
      <c r="IYL1375" s="53"/>
      <c r="IYM1375" s="53"/>
      <c r="IYN1375" s="53"/>
      <c r="IYO1375" s="53"/>
      <c r="IYP1375" s="53"/>
      <c r="IYQ1375" s="53"/>
      <c r="IYR1375" s="53"/>
      <c r="IYS1375" s="53"/>
      <c r="IYT1375" s="53"/>
      <c r="IYU1375" s="53"/>
      <c r="IYV1375" s="53"/>
      <c r="IYW1375" s="53"/>
      <c r="IYX1375" s="53"/>
      <c r="IYY1375" s="53"/>
      <c r="IYZ1375" s="53"/>
      <c r="IZA1375" s="53"/>
      <c r="IZB1375" s="53"/>
      <c r="IZC1375" s="53"/>
      <c r="IZD1375" s="53"/>
      <c r="IZE1375" s="53"/>
      <c r="IZF1375" s="53"/>
      <c r="IZG1375" s="53"/>
      <c r="IZH1375" s="53"/>
      <c r="IZI1375" s="53"/>
      <c r="IZJ1375" s="53"/>
      <c r="IZK1375" s="53"/>
      <c r="IZL1375" s="53"/>
      <c r="IZM1375" s="53"/>
      <c r="IZN1375" s="53"/>
      <c r="IZO1375" s="53"/>
      <c r="IZP1375" s="53"/>
      <c r="IZQ1375" s="53"/>
      <c r="IZR1375" s="53"/>
      <c r="IZS1375" s="53"/>
      <c r="IZT1375" s="53"/>
      <c r="IZU1375" s="53"/>
      <c r="IZV1375" s="53"/>
      <c r="IZW1375" s="53"/>
      <c r="IZX1375" s="53"/>
      <c r="IZY1375" s="53"/>
      <c r="IZZ1375" s="53"/>
      <c r="JAA1375" s="53"/>
      <c r="JAB1375" s="53"/>
      <c r="JAC1375" s="53"/>
      <c r="JAD1375" s="53"/>
      <c r="JAE1375" s="53"/>
      <c r="JAF1375" s="53"/>
      <c r="JAG1375" s="53"/>
      <c r="JAH1375" s="53"/>
      <c r="JAI1375" s="53"/>
      <c r="JAJ1375" s="53"/>
      <c r="JAK1375" s="53"/>
      <c r="JAL1375" s="53"/>
      <c r="JAM1375" s="53"/>
      <c r="JAN1375" s="53"/>
      <c r="JAO1375" s="53"/>
      <c r="JAP1375" s="53"/>
      <c r="JAQ1375" s="53"/>
      <c r="JAR1375" s="53"/>
      <c r="JAS1375" s="53"/>
      <c r="JAT1375" s="53"/>
      <c r="JAU1375" s="53"/>
      <c r="JAV1375" s="53"/>
      <c r="JAW1375" s="53"/>
      <c r="JAX1375" s="53"/>
      <c r="JAY1375" s="53"/>
      <c r="JAZ1375" s="53"/>
      <c r="JBA1375" s="53"/>
      <c r="JBB1375" s="53"/>
      <c r="JBC1375" s="53"/>
      <c r="JBD1375" s="53"/>
      <c r="JBE1375" s="53"/>
      <c r="JBF1375" s="53"/>
      <c r="JBG1375" s="53"/>
      <c r="JBH1375" s="53"/>
      <c r="JBI1375" s="53"/>
      <c r="JBJ1375" s="53"/>
      <c r="JBK1375" s="53"/>
      <c r="JBL1375" s="53"/>
      <c r="JBM1375" s="53"/>
      <c r="JBN1375" s="53"/>
      <c r="JBO1375" s="53"/>
      <c r="JBP1375" s="53"/>
      <c r="JBQ1375" s="53"/>
      <c r="JBR1375" s="53"/>
      <c r="JBS1375" s="53"/>
      <c r="JBT1375" s="53"/>
      <c r="JBU1375" s="53"/>
      <c r="JBV1375" s="53"/>
      <c r="JBW1375" s="53"/>
      <c r="JBX1375" s="53"/>
      <c r="JBY1375" s="53"/>
      <c r="JBZ1375" s="53"/>
      <c r="JCA1375" s="53"/>
      <c r="JCB1375" s="53"/>
      <c r="JCC1375" s="53"/>
      <c r="JCD1375" s="53"/>
      <c r="JCE1375" s="53"/>
      <c r="JCF1375" s="53"/>
      <c r="JCG1375" s="53"/>
      <c r="JCH1375" s="53"/>
      <c r="JCI1375" s="53"/>
      <c r="JCJ1375" s="53"/>
      <c r="JCK1375" s="53"/>
      <c r="JCL1375" s="53"/>
      <c r="JCM1375" s="53"/>
      <c r="JCN1375" s="53"/>
      <c r="JCO1375" s="53"/>
      <c r="JCP1375" s="53"/>
      <c r="JCQ1375" s="53"/>
      <c r="JCR1375" s="53"/>
      <c r="JCS1375" s="53"/>
      <c r="JCT1375" s="53"/>
      <c r="JCU1375" s="53"/>
      <c r="JCV1375" s="53"/>
      <c r="JCW1375" s="53"/>
      <c r="JCX1375" s="53"/>
      <c r="JCY1375" s="53"/>
      <c r="JCZ1375" s="53"/>
      <c r="JDA1375" s="53"/>
      <c r="JDB1375" s="53"/>
      <c r="JDC1375" s="53"/>
      <c r="JDD1375" s="53"/>
      <c r="JDE1375" s="53"/>
      <c r="JDF1375" s="53"/>
      <c r="JDG1375" s="53"/>
      <c r="JDH1375" s="53"/>
      <c r="JDI1375" s="53"/>
      <c r="JDJ1375" s="53"/>
      <c r="JDK1375" s="53"/>
      <c r="JDL1375" s="53"/>
      <c r="JDM1375" s="53"/>
      <c r="JDN1375" s="53"/>
      <c r="JDO1375" s="53"/>
      <c r="JDP1375" s="53"/>
      <c r="JDQ1375" s="53"/>
      <c r="JDR1375" s="53"/>
      <c r="JDS1375" s="53"/>
      <c r="JDT1375" s="53"/>
      <c r="JDU1375" s="53"/>
      <c r="JDV1375" s="53"/>
      <c r="JDW1375" s="53"/>
      <c r="JDX1375" s="53"/>
      <c r="JDY1375" s="53"/>
      <c r="JDZ1375" s="53"/>
      <c r="JEA1375" s="53"/>
      <c r="JEB1375" s="53"/>
      <c r="JEC1375" s="53"/>
      <c r="JED1375" s="53"/>
      <c r="JEE1375" s="53"/>
      <c r="JEF1375" s="53"/>
      <c r="JEG1375" s="53"/>
      <c r="JEH1375" s="53"/>
      <c r="JEI1375" s="53"/>
      <c r="JEJ1375" s="53"/>
      <c r="JEK1375" s="53"/>
      <c r="JEL1375" s="53"/>
      <c r="JEM1375" s="53"/>
      <c r="JEN1375" s="53"/>
      <c r="JEO1375" s="53"/>
      <c r="JEP1375" s="53"/>
      <c r="JEQ1375" s="53"/>
      <c r="JER1375" s="53"/>
      <c r="JES1375" s="53"/>
      <c r="JET1375" s="53"/>
      <c r="JEU1375" s="53"/>
      <c r="JEV1375" s="53"/>
      <c r="JEW1375" s="53"/>
      <c r="JEX1375" s="53"/>
      <c r="JEY1375" s="53"/>
      <c r="JEZ1375" s="53"/>
      <c r="JFA1375" s="53"/>
      <c r="JFB1375" s="53"/>
      <c r="JFC1375" s="53"/>
      <c r="JFD1375" s="53"/>
      <c r="JFE1375" s="53"/>
      <c r="JFF1375" s="53"/>
      <c r="JFG1375" s="53"/>
      <c r="JFH1375" s="53"/>
      <c r="JFI1375" s="53"/>
      <c r="JFJ1375" s="53"/>
      <c r="JFK1375" s="53"/>
      <c r="JFL1375" s="53"/>
      <c r="JFM1375" s="53"/>
      <c r="JFN1375" s="53"/>
      <c r="JFO1375" s="53"/>
      <c r="JFP1375" s="53"/>
      <c r="JFQ1375" s="53"/>
      <c r="JFR1375" s="53"/>
      <c r="JFS1375" s="53"/>
      <c r="JFT1375" s="53"/>
      <c r="JFU1375" s="53"/>
      <c r="JFV1375" s="53"/>
      <c r="JFW1375" s="53"/>
      <c r="JFX1375" s="53"/>
      <c r="JFY1375" s="53"/>
      <c r="JFZ1375" s="53"/>
      <c r="JGA1375" s="53"/>
      <c r="JGB1375" s="53"/>
      <c r="JGC1375" s="53"/>
      <c r="JGD1375" s="53"/>
      <c r="JGE1375" s="53"/>
      <c r="JGF1375" s="53"/>
      <c r="JGG1375" s="53"/>
      <c r="JGH1375" s="53"/>
      <c r="JGI1375" s="53"/>
      <c r="JGJ1375" s="53"/>
      <c r="JGK1375" s="53"/>
      <c r="JGL1375" s="53"/>
      <c r="JGM1375" s="53"/>
      <c r="JGN1375" s="53"/>
      <c r="JGO1375" s="53"/>
      <c r="JGP1375" s="53"/>
      <c r="JGQ1375" s="53"/>
      <c r="JGR1375" s="53"/>
      <c r="JGS1375" s="53"/>
      <c r="JGT1375" s="53"/>
      <c r="JGU1375" s="53"/>
      <c r="JGV1375" s="53"/>
      <c r="JGW1375" s="53"/>
      <c r="JGX1375" s="53"/>
      <c r="JGY1375" s="53"/>
      <c r="JGZ1375" s="53"/>
      <c r="JHA1375" s="53"/>
      <c r="JHB1375" s="53"/>
      <c r="JHC1375" s="53"/>
      <c r="JHD1375" s="53"/>
      <c r="JHE1375" s="53"/>
      <c r="JHF1375" s="53"/>
      <c r="JHG1375" s="53"/>
      <c r="JHH1375" s="53"/>
      <c r="JHI1375" s="53"/>
      <c r="JHJ1375" s="53"/>
      <c r="JHK1375" s="53"/>
      <c r="JHL1375" s="53"/>
      <c r="JHM1375" s="53"/>
      <c r="JHN1375" s="53"/>
      <c r="JHO1375" s="53"/>
      <c r="JHP1375" s="53"/>
      <c r="JHQ1375" s="53"/>
      <c r="JHR1375" s="53"/>
      <c r="JHS1375" s="53"/>
      <c r="JHT1375" s="53"/>
      <c r="JHU1375" s="53"/>
      <c r="JHV1375" s="53"/>
      <c r="JHW1375" s="53"/>
      <c r="JHX1375" s="53"/>
      <c r="JHY1375" s="53"/>
      <c r="JHZ1375" s="53"/>
      <c r="JIA1375" s="53"/>
      <c r="JIB1375" s="53"/>
      <c r="JIC1375" s="53"/>
      <c r="JID1375" s="53"/>
      <c r="JIE1375" s="53"/>
      <c r="JIF1375" s="53"/>
      <c r="JIG1375" s="53"/>
      <c r="JIH1375" s="53"/>
      <c r="JII1375" s="53"/>
      <c r="JIJ1375" s="53"/>
      <c r="JIK1375" s="53"/>
      <c r="JIL1375" s="53"/>
      <c r="JIM1375" s="53"/>
      <c r="JIN1375" s="53"/>
      <c r="JIO1375" s="53"/>
      <c r="JIP1375" s="53"/>
      <c r="JIQ1375" s="53"/>
      <c r="JIR1375" s="53"/>
      <c r="JIS1375" s="53"/>
      <c r="JIT1375" s="53"/>
      <c r="JIU1375" s="53"/>
      <c r="JIV1375" s="53"/>
      <c r="JIW1375" s="53"/>
      <c r="JIX1375" s="53"/>
      <c r="JIY1375" s="53"/>
      <c r="JIZ1375" s="53"/>
      <c r="JJA1375" s="53"/>
      <c r="JJB1375" s="53"/>
      <c r="JJC1375" s="53"/>
      <c r="JJD1375" s="53"/>
      <c r="JJE1375" s="53"/>
      <c r="JJF1375" s="53"/>
      <c r="JJG1375" s="53"/>
      <c r="JJH1375" s="53"/>
      <c r="JJI1375" s="53"/>
      <c r="JJJ1375" s="53"/>
      <c r="JJK1375" s="53"/>
      <c r="JJL1375" s="53"/>
      <c r="JJM1375" s="53"/>
      <c r="JJN1375" s="53"/>
      <c r="JJO1375" s="53"/>
      <c r="JJP1375" s="53"/>
      <c r="JJQ1375" s="53"/>
      <c r="JJR1375" s="53"/>
      <c r="JJS1375" s="53"/>
      <c r="JJT1375" s="53"/>
      <c r="JJU1375" s="53"/>
      <c r="JJV1375" s="53"/>
      <c r="JJW1375" s="53"/>
      <c r="JJX1375" s="53"/>
      <c r="JJY1375" s="53"/>
      <c r="JJZ1375" s="53"/>
      <c r="JKA1375" s="53"/>
      <c r="JKB1375" s="53"/>
      <c r="JKC1375" s="53"/>
      <c r="JKD1375" s="53"/>
      <c r="JKE1375" s="53"/>
      <c r="JKF1375" s="53"/>
      <c r="JKG1375" s="53"/>
      <c r="JKH1375" s="53"/>
      <c r="JKI1375" s="53"/>
      <c r="JKJ1375" s="53"/>
      <c r="JKK1375" s="53"/>
      <c r="JKL1375" s="53"/>
      <c r="JKM1375" s="53"/>
      <c r="JKN1375" s="53"/>
      <c r="JKO1375" s="53"/>
      <c r="JKP1375" s="53"/>
      <c r="JKQ1375" s="53"/>
      <c r="JKR1375" s="53"/>
      <c r="JKS1375" s="53"/>
      <c r="JKT1375" s="53"/>
      <c r="JKU1375" s="53"/>
      <c r="JKV1375" s="53"/>
      <c r="JKW1375" s="53"/>
      <c r="JKX1375" s="53"/>
      <c r="JKY1375" s="53"/>
      <c r="JKZ1375" s="53"/>
      <c r="JLA1375" s="53"/>
      <c r="JLB1375" s="53"/>
      <c r="JLC1375" s="53"/>
      <c r="JLD1375" s="53"/>
      <c r="JLE1375" s="53"/>
      <c r="JLF1375" s="53"/>
      <c r="JLG1375" s="53"/>
      <c r="JLH1375" s="53"/>
      <c r="JLI1375" s="53"/>
      <c r="JLJ1375" s="53"/>
      <c r="JLK1375" s="53"/>
      <c r="JLL1375" s="53"/>
      <c r="JLM1375" s="53"/>
      <c r="JLN1375" s="53"/>
      <c r="JLO1375" s="53"/>
      <c r="JLP1375" s="53"/>
      <c r="JLQ1375" s="53"/>
      <c r="JLR1375" s="53"/>
      <c r="JLS1375" s="53"/>
      <c r="JLT1375" s="53"/>
      <c r="JLU1375" s="53"/>
      <c r="JLV1375" s="53"/>
      <c r="JLW1375" s="53"/>
      <c r="JLX1375" s="53"/>
      <c r="JLY1375" s="53"/>
      <c r="JLZ1375" s="53"/>
      <c r="JMA1375" s="53"/>
      <c r="JMB1375" s="53"/>
      <c r="JMC1375" s="53"/>
      <c r="JMD1375" s="53"/>
      <c r="JME1375" s="53"/>
      <c r="JMF1375" s="53"/>
      <c r="JMG1375" s="53"/>
      <c r="JMH1375" s="53"/>
      <c r="JMI1375" s="53"/>
      <c r="JMJ1375" s="53"/>
      <c r="JMK1375" s="53"/>
      <c r="JML1375" s="53"/>
      <c r="JMM1375" s="53"/>
      <c r="JMN1375" s="53"/>
      <c r="JMO1375" s="53"/>
      <c r="JMP1375" s="53"/>
      <c r="JMQ1375" s="53"/>
      <c r="JMR1375" s="53"/>
      <c r="JMS1375" s="53"/>
      <c r="JMT1375" s="53"/>
      <c r="JMU1375" s="53"/>
      <c r="JMV1375" s="53"/>
      <c r="JMW1375" s="53"/>
      <c r="JMX1375" s="53"/>
      <c r="JMY1375" s="53"/>
      <c r="JMZ1375" s="53"/>
      <c r="JNA1375" s="53"/>
      <c r="JNB1375" s="53"/>
      <c r="JNC1375" s="53"/>
      <c r="JND1375" s="53"/>
      <c r="JNE1375" s="53"/>
      <c r="JNF1375" s="53"/>
      <c r="JNG1375" s="53"/>
      <c r="JNH1375" s="53"/>
      <c r="JNI1375" s="53"/>
      <c r="JNJ1375" s="53"/>
      <c r="JNK1375" s="53"/>
      <c r="JNL1375" s="53"/>
      <c r="JNM1375" s="53"/>
      <c r="JNN1375" s="53"/>
      <c r="JNO1375" s="53"/>
      <c r="JNP1375" s="53"/>
      <c r="JNQ1375" s="53"/>
      <c r="JNR1375" s="53"/>
      <c r="JNS1375" s="53"/>
      <c r="JNT1375" s="53"/>
      <c r="JNU1375" s="53"/>
      <c r="JNV1375" s="53"/>
      <c r="JNW1375" s="53"/>
      <c r="JNX1375" s="53"/>
      <c r="JNY1375" s="53"/>
      <c r="JNZ1375" s="53"/>
      <c r="JOA1375" s="53"/>
      <c r="JOB1375" s="53"/>
      <c r="JOC1375" s="53"/>
      <c r="JOD1375" s="53"/>
      <c r="JOE1375" s="53"/>
      <c r="JOF1375" s="53"/>
      <c r="JOG1375" s="53"/>
      <c r="JOH1375" s="53"/>
      <c r="JOI1375" s="53"/>
      <c r="JOJ1375" s="53"/>
      <c r="JOK1375" s="53"/>
      <c r="JOL1375" s="53"/>
      <c r="JOM1375" s="53"/>
      <c r="JON1375" s="53"/>
      <c r="JOO1375" s="53"/>
      <c r="JOP1375" s="53"/>
      <c r="JOQ1375" s="53"/>
      <c r="JOR1375" s="53"/>
      <c r="JOS1375" s="53"/>
      <c r="JOT1375" s="53"/>
      <c r="JOU1375" s="53"/>
      <c r="JOV1375" s="53"/>
      <c r="JOW1375" s="53"/>
      <c r="JOX1375" s="53"/>
      <c r="JOY1375" s="53"/>
      <c r="JOZ1375" s="53"/>
      <c r="JPA1375" s="53"/>
      <c r="JPB1375" s="53"/>
      <c r="JPC1375" s="53"/>
      <c r="JPD1375" s="53"/>
      <c r="JPE1375" s="53"/>
      <c r="JPF1375" s="53"/>
      <c r="JPG1375" s="53"/>
      <c r="JPH1375" s="53"/>
      <c r="JPI1375" s="53"/>
      <c r="JPJ1375" s="53"/>
      <c r="JPK1375" s="53"/>
      <c r="JPL1375" s="53"/>
      <c r="JPM1375" s="53"/>
      <c r="JPN1375" s="53"/>
      <c r="JPO1375" s="53"/>
      <c r="JPP1375" s="53"/>
      <c r="JPQ1375" s="53"/>
      <c r="JPR1375" s="53"/>
      <c r="JPS1375" s="53"/>
      <c r="JPT1375" s="53"/>
      <c r="JPU1375" s="53"/>
      <c r="JPV1375" s="53"/>
      <c r="JPW1375" s="53"/>
      <c r="JPX1375" s="53"/>
      <c r="JPY1375" s="53"/>
      <c r="JPZ1375" s="53"/>
      <c r="JQA1375" s="53"/>
      <c r="JQB1375" s="53"/>
      <c r="JQC1375" s="53"/>
      <c r="JQD1375" s="53"/>
      <c r="JQE1375" s="53"/>
      <c r="JQF1375" s="53"/>
      <c r="JQG1375" s="53"/>
      <c r="JQH1375" s="53"/>
      <c r="JQI1375" s="53"/>
      <c r="JQJ1375" s="53"/>
      <c r="JQK1375" s="53"/>
      <c r="JQL1375" s="53"/>
      <c r="JQM1375" s="53"/>
      <c r="JQN1375" s="53"/>
      <c r="JQO1375" s="53"/>
      <c r="JQP1375" s="53"/>
      <c r="JQQ1375" s="53"/>
      <c r="JQR1375" s="53"/>
      <c r="JQS1375" s="53"/>
      <c r="JQT1375" s="53"/>
      <c r="JQU1375" s="53"/>
      <c r="JQV1375" s="53"/>
      <c r="JQW1375" s="53"/>
      <c r="JQX1375" s="53"/>
      <c r="JQY1375" s="53"/>
      <c r="JQZ1375" s="53"/>
      <c r="JRA1375" s="53"/>
      <c r="JRB1375" s="53"/>
      <c r="JRC1375" s="53"/>
      <c r="JRD1375" s="53"/>
      <c r="JRE1375" s="53"/>
      <c r="JRF1375" s="53"/>
      <c r="JRG1375" s="53"/>
      <c r="JRH1375" s="53"/>
      <c r="JRI1375" s="53"/>
      <c r="JRJ1375" s="53"/>
      <c r="JRK1375" s="53"/>
      <c r="JRL1375" s="53"/>
      <c r="JRM1375" s="53"/>
      <c r="JRN1375" s="53"/>
      <c r="JRO1375" s="53"/>
      <c r="JRP1375" s="53"/>
      <c r="JRQ1375" s="53"/>
      <c r="JRR1375" s="53"/>
      <c r="JRS1375" s="53"/>
      <c r="JRT1375" s="53"/>
      <c r="JRU1375" s="53"/>
      <c r="JRV1375" s="53"/>
      <c r="JRW1375" s="53"/>
      <c r="JRX1375" s="53"/>
      <c r="JRY1375" s="53"/>
      <c r="JRZ1375" s="53"/>
      <c r="JSA1375" s="53"/>
      <c r="JSB1375" s="53"/>
      <c r="JSC1375" s="53"/>
      <c r="JSD1375" s="53"/>
      <c r="JSE1375" s="53"/>
      <c r="JSF1375" s="53"/>
      <c r="JSG1375" s="53"/>
      <c r="JSH1375" s="53"/>
      <c r="JSI1375" s="53"/>
      <c r="JSJ1375" s="53"/>
      <c r="JSK1375" s="53"/>
      <c r="JSL1375" s="53"/>
      <c r="JSM1375" s="53"/>
      <c r="JSN1375" s="53"/>
      <c r="JSO1375" s="53"/>
      <c r="JSP1375" s="53"/>
      <c r="JSQ1375" s="53"/>
      <c r="JSR1375" s="53"/>
      <c r="JSS1375" s="53"/>
      <c r="JST1375" s="53"/>
      <c r="JSU1375" s="53"/>
      <c r="JSV1375" s="53"/>
      <c r="JSW1375" s="53"/>
      <c r="JSX1375" s="53"/>
      <c r="JSY1375" s="53"/>
      <c r="JSZ1375" s="53"/>
      <c r="JTA1375" s="53"/>
      <c r="JTB1375" s="53"/>
      <c r="JTC1375" s="53"/>
      <c r="JTD1375" s="53"/>
      <c r="JTE1375" s="53"/>
      <c r="JTF1375" s="53"/>
      <c r="JTG1375" s="53"/>
      <c r="JTH1375" s="53"/>
      <c r="JTI1375" s="53"/>
      <c r="JTJ1375" s="53"/>
      <c r="JTK1375" s="53"/>
      <c r="JTL1375" s="53"/>
      <c r="JTM1375" s="53"/>
      <c r="JTN1375" s="53"/>
      <c r="JTO1375" s="53"/>
      <c r="JTP1375" s="53"/>
      <c r="JTQ1375" s="53"/>
      <c r="JTR1375" s="53"/>
      <c r="JTS1375" s="53"/>
      <c r="JTT1375" s="53"/>
      <c r="JTU1375" s="53"/>
      <c r="JTV1375" s="53"/>
      <c r="JTW1375" s="53"/>
      <c r="JTX1375" s="53"/>
      <c r="JTY1375" s="53"/>
      <c r="JTZ1375" s="53"/>
      <c r="JUA1375" s="53"/>
      <c r="JUB1375" s="53"/>
      <c r="JUC1375" s="53"/>
      <c r="JUD1375" s="53"/>
      <c r="JUE1375" s="53"/>
      <c r="JUF1375" s="53"/>
      <c r="JUG1375" s="53"/>
      <c r="JUH1375" s="53"/>
      <c r="JUI1375" s="53"/>
      <c r="JUJ1375" s="53"/>
      <c r="JUK1375" s="53"/>
      <c r="JUL1375" s="53"/>
      <c r="JUM1375" s="53"/>
      <c r="JUN1375" s="53"/>
      <c r="JUO1375" s="53"/>
      <c r="JUP1375" s="53"/>
      <c r="JUQ1375" s="53"/>
      <c r="JUR1375" s="53"/>
      <c r="JUS1375" s="53"/>
      <c r="JUT1375" s="53"/>
      <c r="JUU1375" s="53"/>
      <c r="JUV1375" s="53"/>
      <c r="JUW1375" s="53"/>
      <c r="JUX1375" s="53"/>
      <c r="JUY1375" s="53"/>
      <c r="JUZ1375" s="53"/>
      <c r="JVA1375" s="53"/>
      <c r="JVB1375" s="53"/>
      <c r="JVC1375" s="53"/>
      <c r="JVD1375" s="53"/>
      <c r="JVE1375" s="53"/>
      <c r="JVF1375" s="53"/>
      <c r="JVG1375" s="53"/>
      <c r="JVH1375" s="53"/>
      <c r="JVI1375" s="53"/>
      <c r="JVJ1375" s="53"/>
      <c r="JVK1375" s="53"/>
      <c r="JVL1375" s="53"/>
      <c r="JVM1375" s="53"/>
      <c r="JVN1375" s="53"/>
      <c r="JVO1375" s="53"/>
      <c r="JVP1375" s="53"/>
      <c r="JVQ1375" s="53"/>
      <c r="JVR1375" s="53"/>
      <c r="JVS1375" s="53"/>
      <c r="JVT1375" s="53"/>
      <c r="JVU1375" s="53"/>
      <c r="JVV1375" s="53"/>
      <c r="JVW1375" s="53"/>
      <c r="JVX1375" s="53"/>
      <c r="JVY1375" s="53"/>
      <c r="JVZ1375" s="53"/>
      <c r="JWA1375" s="53"/>
      <c r="JWB1375" s="53"/>
      <c r="JWC1375" s="53"/>
      <c r="JWD1375" s="53"/>
      <c r="JWE1375" s="53"/>
      <c r="JWF1375" s="53"/>
      <c r="JWG1375" s="53"/>
      <c r="JWH1375" s="53"/>
      <c r="JWI1375" s="53"/>
      <c r="JWJ1375" s="53"/>
      <c r="JWK1375" s="53"/>
      <c r="JWL1375" s="53"/>
      <c r="JWM1375" s="53"/>
      <c r="JWN1375" s="53"/>
      <c r="JWO1375" s="53"/>
      <c r="JWP1375" s="53"/>
      <c r="JWQ1375" s="53"/>
      <c r="JWR1375" s="53"/>
      <c r="JWS1375" s="53"/>
      <c r="JWT1375" s="53"/>
      <c r="JWU1375" s="53"/>
      <c r="JWV1375" s="53"/>
      <c r="JWW1375" s="53"/>
      <c r="JWX1375" s="53"/>
      <c r="JWY1375" s="53"/>
      <c r="JWZ1375" s="53"/>
      <c r="JXA1375" s="53"/>
      <c r="JXB1375" s="53"/>
      <c r="JXC1375" s="53"/>
      <c r="JXD1375" s="53"/>
      <c r="JXE1375" s="53"/>
      <c r="JXF1375" s="53"/>
      <c r="JXG1375" s="53"/>
      <c r="JXH1375" s="53"/>
      <c r="JXI1375" s="53"/>
      <c r="JXJ1375" s="53"/>
      <c r="JXK1375" s="53"/>
      <c r="JXL1375" s="53"/>
      <c r="JXM1375" s="53"/>
      <c r="JXN1375" s="53"/>
      <c r="JXO1375" s="53"/>
      <c r="JXP1375" s="53"/>
      <c r="JXQ1375" s="53"/>
      <c r="JXR1375" s="53"/>
      <c r="JXS1375" s="53"/>
      <c r="JXT1375" s="53"/>
      <c r="JXU1375" s="53"/>
      <c r="JXV1375" s="53"/>
      <c r="JXW1375" s="53"/>
      <c r="JXX1375" s="53"/>
      <c r="JXY1375" s="53"/>
      <c r="JXZ1375" s="53"/>
      <c r="JYA1375" s="53"/>
      <c r="JYB1375" s="53"/>
      <c r="JYC1375" s="53"/>
      <c r="JYD1375" s="53"/>
      <c r="JYE1375" s="53"/>
      <c r="JYF1375" s="53"/>
      <c r="JYG1375" s="53"/>
      <c r="JYH1375" s="53"/>
      <c r="JYI1375" s="53"/>
      <c r="JYJ1375" s="53"/>
      <c r="JYK1375" s="53"/>
      <c r="JYL1375" s="53"/>
      <c r="JYM1375" s="53"/>
      <c r="JYN1375" s="53"/>
      <c r="JYO1375" s="53"/>
      <c r="JYP1375" s="53"/>
      <c r="JYQ1375" s="53"/>
      <c r="JYR1375" s="53"/>
      <c r="JYS1375" s="53"/>
      <c r="JYT1375" s="53"/>
      <c r="JYU1375" s="53"/>
      <c r="JYV1375" s="53"/>
      <c r="JYW1375" s="53"/>
      <c r="JYX1375" s="53"/>
      <c r="JYY1375" s="53"/>
      <c r="JYZ1375" s="53"/>
      <c r="JZA1375" s="53"/>
      <c r="JZB1375" s="53"/>
      <c r="JZC1375" s="53"/>
      <c r="JZD1375" s="53"/>
      <c r="JZE1375" s="53"/>
      <c r="JZF1375" s="53"/>
      <c r="JZG1375" s="53"/>
      <c r="JZH1375" s="53"/>
      <c r="JZI1375" s="53"/>
      <c r="JZJ1375" s="53"/>
      <c r="JZK1375" s="53"/>
      <c r="JZL1375" s="53"/>
      <c r="JZM1375" s="53"/>
      <c r="JZN1375" s="53"/>
      <c r="JZO1375" s="53"/>
      <c r="JZP1375" s="53"/>
      <c r="JZQ1375" s="53"/>
      <c r="JZR1375" s="53"/>
      <c r="JZS1375" s="53"/>
      <c r="JZT1375" s="53"/>
      <c r="JZU1375" s="53"/>
      <c r="JZV1375" s="53"/>
      <c r="JZW1375" s="53"/>
      <c r="JZX1375" s="53"/>
      <c r="JZY1375" s="53"/>
      <c r="JZZ1375" s="53"/>
      <c r="KAA1375" s="53"/>
      <c r="KAB1375" s="53"/>
      <c r="KAC1375" s="53"/>
      <c r="KAD1375" s="53"/>
      <c r="KAE1375" s="53"/>
      <c r="KAF1375" s="53"/>
      <c r="KAG1375" s="53"/>
      <c r="KAH1375" s="53"/>
      <c r="KAI1375" s="53"/>
      <c r="KAJ1375" s="53"/>
      <c r="KAK1375" s="53"/>
      <c r="KAL1375" s="53"/>
      <c r="KAM1375" s="53"/>
      <c r="KAN1375" s="53"/>
      <c r="KAO1375" s="53"/>
      <c r="KAP1375" s="53"/>
      <c r="KAQ1375" s="53"/>
      <c r="KAR1375" s="53"/>
      <c r="KAS1375" s="53"/>
      <c r="KAT1375" s="53"/>
      <c r="KAU1375" s="53"/>
      <c r="KAV1375" s="53"/>
      <c r="KAW1375" s="53"/>
      <c r="KAX1375" s="53"/>
      <c r="KAY1375" s="53"/>
      <c r="KAZ1375" s="53"/>
      <c r="KBA1375" s="53"/>
      <c r="KBB1375" s="53"/>
      <c r="KBC1375" s="53"/>
      <c r="KBD1375" s="53"/>
      <c r="KBE1375" s="53"/>
      <c r="KBF1375" s="53"/>
      <c r="KBG1375" s="53"/>
      <c r="KBH1375" s="53"/>
      <c r="KBI1375" s="53"/>
      <c r="KBJ1375" s="53"/>
      <c r="KBK1375" s="53"/>
      <c r="KBL1375" s="53"/>
      <c r="KBM1375" s="53"/>
      <c r="KBN1375" s="53"/>
      <c r="KBO1375" s="53"/>
      <c r="KBP1375" s="53"/>
      <c r="KBQ1375" s="53"/>
      <c r="KBR1375" s="53"/>
      <c r="KBS1375" s="53"/>
      <c r="KBT1375" s="53"/>
      <c r="KBU1375" s="53"/>
      <c r="KBV1375" s="53"/>
      <c r="KBW1375" s="53"/>
      <c r="KBX1375" s="53"/>
      <c r="KBY1375" s="53"/>
      <c r="KBZ1375" s="53"/>
      <c r="KCA1375" s="53"/>
      <c r="KCB1375" s="53"/>
      <c r="KCC1375" s="53"/>
      <c r="KCD1375" s="53"/>
      <c r="KCE1375" s="53"/>
      <c r="KCF1375" s="53"/>
      <c r="KCG1375" s="53"/>
      <c r="KCH1375" s="53"/>
      <c r="KCI1375" s="53"/>
      <c r="KCJ1375" s="53"/>
      <c r="KCK1375" s="53"/>
      <c r="KCL1375" s="53"/>
      <c r="KCM1375" s="53"/>
      <c r="KCN1375" s="53"/>
      <c r="KCO1375" s="53"/>
      <c r="KCP1375" s="53"/>
      <c r="KCQ1375" s="53"/>
      <c r="KCR1375" s="53"/>
      <c r="KCS1375" s="53"/>
      <c r="KCT1375" s="53"/>
      <c r="KCU1375" s="53"/>
      <c r="KCV1375" s="53"/>
      <c r="KCW1375" s="53"/>
      <c r="KCX1375" s="53"/>
      <c r="KCY1375" s="53"/>
      <c r="KCZ1375" s="53"/>
      <c r="KDA1375" s="53"/>
      <c r="KDB1375" s="53"/>
      <c r="KDC1375" s="53"/>
      <c r="KDD1375" s="53"/>
      <c r="KDE1375" s="53"/>
      <c r="KDF1375" s="53"/>
      <c r="KDG1375" s="53"/>
      <c r="KDH1375" s="53"/>
      <c r="KDI1375" s="53"/>
      <c r="KDJ1375" s="53"/>
      <c r="KDK1375" s="53"/>
      <c r="KDL1375" s="53"/>
      <c r="KDM1375" s="53"/>
      <c r="KDN1375" s="53"/>
      <c r="KDO1375" s="53"/>
      <c r="KDP1375" s="53"/>
      <c r="KDQ1375" s="53"/>
      <c r="KDR1375" s="53"/>
      <c r="KDS1375" s="53"/>
      <c r="KDT1375" s="53"/>
      <c r="KDU1375" s="53"/>
      <c r="KDV1375" s="53"/>
      <c r="KDW1375" s="53"/>
      <c r="KDX1375" s="53"/>
      <c r="KDY1375" s="53"/>
      <c r="KDZ1375" s="53"/>
      <c r="KEA1375" s="53"/>
      <c r="KEB1375" s="53"/>
      <c r="KEC1375" s="53"/>
      <c r="KED1375" s="53"/>
      <c r="KEE1375" s="53"/>
      <c r="KEF1375" s="53"/>
      <c r="KEG1375" s="53"/>
      <c r="KEH1375" s="53"/>
      <c r="KEI1375" s="53"/>
      <c r="KEJ1375" s="53"/>
      <c r="KEK1375" s="53"/>
      <c r="KEL1375" s="53"/>
      <c r="KEM1375" s="53"/>
      <c r="KEN1375" s="53"/>
      <c r="KEO1375" s="53"/>
      <c r="KEP1375" s="53"/>
      <c r="KEQ1375" s="53"/>
      <c r="KER1375" s="53"/>
      <c r="KES1375" s="53"/>
      <c r="KET1375" s="53"/>
      <c r="KEU1375" s="53"/>
      <c r="KEV1375" s="53"/>
      <c r="KEW1375" s="53"/>
      <c r="KEX1375" s="53"/>
      <c r="KEY1375" s="53"/>
      <c r="KEZ1375" s="53"/>
      <c r="KFA1375" s="53"/>
      <c r="KFB1375" s="53"/>
      <c r="KFC1375" s="53"/>
      <c r="KFD1375" s="53"/>
      <c r="KFE1375" s="53"/>
      <c r="KFF1375" s="53"/>
      <c r="KFG1375" s="53"/>
      <c r="KFH1375" s="53"/>
      <c r="KFI1375" s="53"/>
      <c r="KFJ1375" s="53"/>
      <c r="KFK1375" s="53"/>
      <c r="KFL1375" s="53"/>
      <c r="KFM1375" s="53"/>
      <c r="KFN1375" s="53"/>
      <c r="KFO1375" s="53"/>
      <c r="KFP1375" s="53"/>
      <c r="KFQ1375" s="53"/>
      <c r="KFR1375" s="53"/>
      <c r="KFS1375" s="53"/>
      <c r="KFT1375" s="53"/>
      <c r="KFU1375" s="53"/>
      <c r="KFV1375" s="53"/>
      <c r="KFW1375" s="53"/>
      <c r="KFX1375" s="53"/>
      <c r="KFY1375" s="53"/>
      <c r="KFZ1375" s="53"/>
      <c r="KGA1375" s="53"/>
      <c r="KGB1375" s="53"/>
      <c r="KGC1375" s="53"/>
      <c r="KGD1375" s="53"/>
      <c r="KGE1375" s="53"/>
      <c r="KGF1375" s="53"/>
      <c r="KGG1375" s="53"/>
      <c r="KGH1375" s="53"/>
      <c r="KGI1375" s="53"/>
      <c r="KGJ1375" s="53"/>
      <c r="KGK1375" s="53"/>
      <c r="KGL1375" s="53"/>
      <c r="KGM1375" s="53"/>
      <c r="KGN1375" s="53"/>
      <c r="KGO1375" s="53"/>
      <c r="KGP1375" s="53"/>
      <c r="KGQ1375" s="53"/>
      <c r="KGR1375" s="53"/>
      <c r="KGS1375" s="53"/>
      <c r="KGT1375" s="53"/>
      <c r="KGU1375" s="53"/>
      <c r="KGV1375" s="53"/>
      <c r="KGW1375" s="53"/>
      <c r="KGX1375" s="53"/>
      <c r="KGY1375" s="53"/>
      <c r="KGZ1375" s="53"/>
      <c r="KHA1375" s="53"/>
      <c r="KHB1375" s="53"/>
      <c r="KHC1375" s="53"/>
      <c r="KHD1375" s="53"/>
      <c r="KHE1375" s="53"/>
      <c r="KHF1375" s="53"/>
      <c r="KHG1375" s="53"/>
      <c r="KHH1375" s="53"/>
      <c r="KHI1375" s="53"/>
      <c r="KHJ1375" s="53"/>
      <c r="KHK1375" s="53"/>
      <c r="KHL1375" s="53"/>
      <c r="KHM1375" s="53"/>
      <c r="KHN1375" s="53"/>
      <c r="KHO1375" s="53"/>
      <c r="KHP1375" s="53"/>
      <c r="KHQ1375" s="53"/>
      <c r="KHR1375" s="53"/>
      <c r="KHS1375" s="53"/>
      <c r="KHT1375" s="53"/>
      <c r="KHU1375" s="53"/>
      <c r="KHV1375" s="53"/>
      <c r="KHW1375" s="53"/>
      <c r="KHX1375" s="53"/>
      <c r="KHY1375" s="53"/>
      <c r="KHZ1375" s="53"/>
      <c r="KIA1375" s="53"/>
      <c r="KIB1375" s="53"/>
      <c r="KIC1375" s="53"/>
      <c r="KID1375" s="53"/>
      <c r="KIE1375" s="53"/>
      <c r="KIF1375" s="53"/>
      <c r="KIG1375" s="53"/>
      <c r="KIH1375" s="53"/>
      <c r="KII1375" s="53"/>
      <c r="KIJ1375" s="53"/>
      <c r="KIK1375" s="53"/>
      <c r="KIL1375" s="53"/>
      <c r="KIM1375" s="53"/>
      <c r="KIN1375" s="53"/>
      <c r="KIO1375" s="53"/>
      <c r="KIP1375" s="53"/>
      <c r="KIQ1375" s="53"/>
      <c r="KIR1375" s="53"/>
      <c r="KIS1375" s="53"/>
      <c r="KIT1375" s="53"/>
      <c r="KIU1375" s="53"/>
      <c r="KIV1375" s="53"/>
      <c r="KIW1375" s="53"/>
      <c r="KIX1375" s="53"/>
      <c r="KIY1375" s="53"/>
      <c r="KIZ1375" s="53"/>
      <c r="KJA1375" s="53"/>
      <c r="KJB1375" s="53"/>
      <c r="KJC1375" s="53"/>
      <c r="KJD1375" s="53"/>
      <c r="KJE1375" s="53"/>
      <c r="KJF1375" s="53"/>
      <c r="KJG1375" s="53"/>
      <c r="KJH1375" s="53"/>
      <c r="KJI1375" s="53"/>
      <c r="KJJ1375" s="53"/>
      <c r="KJK1375" s="53"/>
      <c r="KJL1375" s="53"/>
      <c r="KJM1375" s="53"/>
      <c r="KJN1375" s="53"/>
      <c r="KJO1375" s="53"/>
      <c r="KJP1375" s="53"/>
      <c r="KJQ1375" s="53"/>
      <c r="KJR1375" s="53"/>
      <c r="KJS1375" s="53"/>
      <c r="KJT1375" s="53"/>
      <c r="KJU1375" s="53"/>
      <c r="KJV1375" s="53"/>
      <c r="KJW1375" s="53"/>
      <c r="KJX1375" s="53"/>
      <c r="KJY1375" s="53"/>
      <c r="KJZ1375" s="53"/>
      <c r="KKA1375" s="53"/>
      <c r="KKB1375" s="53"/>
      <c r="KKC1375" s="53"/>
      <c r="KKD1375" s="53"/>
      <c r="KKE1375" s="53"/>
      <c r="KKF1375" s="53"/>
      <c r="KKG1375" s="53"/>
      <c r="KKH1375" s="53"/>
      <c r="KKI1375" s="53"/>
      <c r="KKJ1375" s="53"/>
      <c r="KKK1375" s="53"/>
      <c r="KKL1375" s="53"/>
      <c r="KKM1375" s="53"/>
      <c r="KKN1375" s="53"/>
      <c r="KKO1375" s="53"/>
      <c r="KKP1375" s="53"/>
      <c r="KKQ1375" s="53"/>
      <c r="KKR1375" s="53"/>
      <c r="KKS1375" s="53"/>
      <c r="KKT1375" s="53"/>
      <c r="KKU1375" s="53"/>
      <c r="KKV1375" s="53"/>
      <c r="KKW1375" s="53"/>
      <c r="KKX1375" s="53"/>
      <c r="KKY1375" s="53"/>
      <c r="KKZ1375" s="53"/>
      <c r="KLA1375" s="53"/>
      <c r="KLB1375" s="53"/>
      <c r="KLC1375" s="53"/>
      <c r="KLD1375" s="53"/>
      <c r="KLE1375" s="53"/>
      <c r="KLF1375" s="53"/>
      <c r="KLG1375" s="53"/>
      <c r="KLH1375" s="53"/>
      <c r="KLI1375" s="53"/>
      <c r="KLJ1375" s="53"/>
      <c r="KLK1375" s="53"/>
      <c r="KLL1375" s="53"/>
      <c r="KLM1375" s="53"/>
      <c r="KLN1375" s="53"/>
      <c r="KLO1375" s="53"/>
      <c r="KLP1375" s="53"/>
      <c r="KLQ1375" s="53"/>
      <c r="KLR1375" s="53"/>
      <c r="KLS1375" s="53"/>
      <c r="KLT1375" s="53"/>
      <c r="KLU1375" s="53"/>
      <c r="KLV1375" s="53"/>
      <c r="KLW1375" s="53"/>
      <c r="KLX1375" s="53"/>
      <c r="KLY1375" s="53"/>
      <c r="KLZ1375" s="53"/>
      <c r="KMA1375" s="53"/>
      <c r="KMB1375" s="53"/>
      <c r="KMC1375" s="53"/>
      <c r="KMD1375" s="53"/>
      <c r="KME1375" s="53"/>
      <c r="KMF1375" s="53"/>
      <c r="KMG1375" s="53"/>
      <c r="KMH1375" s="53"/>
      <c r="KMI1375" s="53"/>
      <c r="KMJ1375" s="53"/>
      <c r="KMK1375" s="53"/>
      <c r="KML1375" s="53"/>
      <c r="KMM1375" s="53"/>
      <c r="KMN1375" s="53"/>
      <c r="KMO1375" s="53"/>
      <c r="KMP1375" s="53"/>
      <c r="KMQ1375" s="53"/>
      <c r="KMR1375" s="53"/>
      <c r="KMS1375" s="53"/>
      <c r="KMT1375" s="53"/>
      <c r="KMU1375" s="53"/>
      <c r="KMV1375" s="53"/>
      <c r="KMW1375" s="53"/>
      <c r="KMX1375" s="53"/>
      <c r="KMY1375" s="53"/>
      <c r="KMZ1375" s="53"/>
      <c r="KNA1375" s="53"/>
      <c r="KNB1375" s="53"/>
      <c r="KNC1375" s="53"/>
      <c r="KND1375" s="53"/>
      <c r="KNE1375" s="53"/>
      <c r="KNF1375" s="53"/>
      <c r="KNG1375" s="53"/>
      <c r="KNH1375" s="53"/>
      <c r="KNI1375" s="53"/>
      <c r="KNJ1375" s="53"/>
      <c r="KNK1375" s="53"/>
      <c r="KNL1375" s="53"/>
      <c r="KNM1375" s="53"/>
      <c r="KNN1375" s="53"/>
      <c r="KNO1375" s="53"/>
      <c r="KNP1375" s="53"/>
      <c r="KNQ1375" s="53"/>
      <c r="KNR1375" s="53"/>
      <c r="KNS1375" s="53"/>
      <c r="KNT1375" s="53"/>
      <c r="KNU1375" s="53"/>
      <c r="KNV1375" s="53"/>
      <c r="KNW1375" s="53"/>
      <c r="KNX1375" s="53"/>
      <c r="KNY1375" s="53"/>
      <c r="KNZ1375" s="53"/>
      <c r="KOA1375" s="53"/>
      <c r="KOB1375" s="53"/>
      <c r="KOC1375" s="53"/>
      <c r="KOD1375" s="53"/>
      <c r="KOE1375" s="53"/>
      <c r="KOF1375" s="53"/>
      <c r="KOG1375" s="53"/>
      <c r="KOH1375" s="53"/>
      <c r="KOI1375" s="53"/>
      <c r="KOJ1375" s="53"/>
      <c r="KOK1375" s="53"/>
      <c r="KOL1375" s="53"/>
      <c r="KOM1375" s="53"/>
      <c r="KON1375" s="53"/>
      <c r="KOO1375" s="53"/>
      <c r="KOP1375" s="53"/>
      <c r="KOQ1375" s="53"/>
      <c r="KOR1375" s="53"/>
      <c r="KOS1375" s="53"/>
      <c r="KOT1375" s="53"/>
      <c r="KOU1375" s="53"/>
      <c r="KOV1375" s="53"/>
      <c r="KOW1375" s="53"/>
      <c r="KOX1375" s="53"/>
      <c r="KOY1375" s="53"/>
      <c r="KOZ1375" s="53"/>
      <c r="KPA1375" s="53"/>
      <c r="KPB1375" s="53"/>
      <c r="KPC1375" s="53"/>
      <c r="KPD1375" s="53"/>
      <c r="KPE1375" s="53"/>
      <c r="KPF1375" s="53"/>
      <c r="KPG1375" s="53"/>
      <c r="KPH1375" s="53"/>
      <c r="KPI1375" s="53"/>
      <c r="KPJ1375" s="53"/>
      <c r="KPK1375" s="53"/>
      <c r="KPL1375" s="53"/>
      <c r="KPM1375" s="53"/>
      <c r="KPN1375" s="53"/>
      <c r="KPO1375" s="53"/>
      <c r="KPP1375" s="53"/>
      <c r="KPQ1375" s="53"/>
      <c r="KPR1375" s="53"/>
      <c r="KPS1375" s="53"/>
      <c r="KPT1375" s="53"/>
      <c r="KPU1375" s="53"/>
      <c r="KPV1375" s="53"/>
      <c r="KPW1375" s="53"/>
      <c r="KPX1375" s="53"/>
      <c r="KPY1375" s="53"/>
      <c r="KPZ1375" s="53"/>
      <c r="KQA1375" s="53"/>
      <c r="KQB1375" s="53"/>
      <c r="KQC1375" s="53"/>
      <c r="KQD1375" s="53"/>
      <c r="KQE1375" s="53"/>
      <c r="KQF1375" s="53"/>
      <c r="KQG1375" s="53"/>
      <c r="KQH1375" s="53"/>
      <c r="KQI1375" s="53"/>
      <c r="KQJ1375" s="53"/>
      <c r="KQK1375" s="53"/>
      <c r="KQL1375" s="53"/>
      <c r="KQM1375" s="53"/>
      <c r="KQN1375" s="53"/>
      <c r="KQO1375" s="53"/>
      <c r="KQP1375" s="53"/>
      <c r="KQQ1375" s="53"/>
      <c r="KQR1375" s="53"/>
      <c r="KQS1375" s="53"/>
      <c r="KQT1375" s="53"/>
      <c r="KQU1375" s="53"/>
      <c r="KQV1375" s="53"/>
      <c r="KQW1375" s="53"/>
      <c r="KQX1375" s="53"/>
      <c r="KQY1375" s="53"/>
      <c r="KQZ1375" s="53"/>
      <c r="KRA1375" s="53"/>
      <c r="KRB1375" s="53"/>
      <c r="KRC1375" s="53"/>
      <c r="KRD1375" s="53"/>
      <c r="KRE1375" s="53"/>
      <c r="KRF1375" s="53"/>
      <c r="KRG1375" s="53"/>
      <c r="KRH1375" s="53"/>
      <c r="KRI1375" s="53"/>
      <c r="KRJ1375" s="53"/>
      <c r="KRK1375" s="53"/>
      <c r="KRL1375" s="53"/>
      <c r="KRM1375" s="53"/>
      <c r="KRN1375" s="53"/>
      <c r="KRO1375" s="53"/>
      <c r="KRP1375" s="53"/>
      <c r="KRQ1375" s="53"/>
      <c r="KRR1375" s="53"/>
      <c r="KRS1375" s="53"/>
      <c r="KRT1375" s="53"/>
      <c r="KRU1375" s="53"/>
      <c r="KRV1375" s="53"/>
      <c r="KRW1375" s="53"/>
      <c r="KRX1375" s="53"/>
      <c r="KRY1375" s="53"/>
      <c r="KRZ1375" s="53"/>
      <c r="KSA1375" s="53"/>
      <c r="KSB1375" s="53"/>
      <c r="KSC1375" s="53"/>
      <c r="KSD1375" s="53"/>
      <c r="KSE1375" s="53"/>
      <c r="KSF1375" s="53"/>
      <c r="KSG1375" s="53"/>
      <c r="KSH1375" s="53"/>
      <c r="KSI1375" s="53"/>
      <c r="KSJ1375" s="53"/>
      <c r="KSK1375" s="53"/>
      <c r="KSL1375" s="53"/>
      <c r="KSM1375" s="53"/>
      <c r="KSN1375" s="53"/>
      <c r="KSO1375" s="53"/>
      <c r="KSP1375" s="53"/>
      <c r="KSQ1375" s="53"/>
      <c r="KSR1375" s="53"/>
      <c r="KSS1375" s="53"/>
      <c r="KST1375" s="53"/>
      <c r="KSU1375" s="53"/>
      <c r="KSV1375" s="53"/>
      <c r="KSW1375" s="53"/>
      <c r="KSX1375" s="53"/>
      <c r="KSY1375" s="53"/>
      <c r="KSZ1375" s="53"/>
      <c r="KTA1375" s="53"/>
      <c r="KTB1375" s="53"/>
      <c r="KTC1375" s="53"/>
      <c r="KTD1375" s="53"/>
      <c r="KTE1375" s="53"/>
      <c r="KTF1375" s="53"/>
      <c r="KTG1375" s="53"/>
      <c r="KTH1375" s="53"/>
      <c r="KTI1375" s="53"/>
      <c r="KTJ1375" s="53"/>
      <c r="KTK1375" s="53"/>
      <c r="KTL1375" s="53"/>
      <c r="KTM1375" s="53"/>
      <c r="KTN1375" s="53"/>
      <c r="KTO1375" s="53"/>
      <c r="KTP1375" s="53"/>
      <c r="KTQ1375" s="53"/>
      <c r="KTR1375" s="53"/>
      <c r="KTS1375" s="53"/>
      <c r="KTT1375" s="53"/>
      <c r="KTU1375" s="53"/>
      <c r="KTV1375" s="53"/>
      <c r="KTW1375" s="53"/>
      <c r="KTX1375" s="53"/>
      <c r="KTY1375" s="53"/>
      <c r="KTZ1375" s="53"/>
      <c r="KUA1375" s="53"/>
      <c r="KUB1375" s="53"/>
      <c r="KUC1375" s="53"/>
      <c r="KUD1375" s="53"/>
      <c r="KUE1375" s="53"/>
      <c r="KUF1375" s="53"/>
      <c r="KUG1375" s="53"/>
      <c r="KUH1375" s="53"/>
      <c r="KUI1375" s="53"/>
      <c r="KUJ1375" s="53"/>
      <c r="KUK1375" s="53"/>
      <c r="KUL1375" s="53"/>
      <c r="KUM1375" s="53"/>
      <c r="KUN1375" s="53"/>
      <c r="KUO1375" s="53"/>
      <c r="KUP1375" s="53"/>
      <c r="KUQ1375" s="53"/>
      <c r="KUR1375" s="53"/>
      <c r="KUS1375" s="53"/>
      <c r="KUT1375" s="53"/>
      <c r="KUU1375" s="53"/>
      <c r="KUV1375" s="53"/>
      <c r="KUW1375" s="53"/>
      <c r="KUX1375" s="53"/>
      <c r="KUY1375" s="53"/>
      <c r="KUZ1375" s="53"/>
      <c r="KVA1375" s="53"/>
      <c r="KVB1375" s="53"/>
      <c r="KVC1375" s="53"/>
      <c r="KVD1375" s="53"/>
      <c r="KVE1375" s="53"/>
      <c r="KVF1375" s="53"/>
      <c r="KVG1375" s="53"/>
      <c r="KVH1375" s="53"/>
      <c r="KVI1375" s="53"/>
      <c r="KVJ1375" s="53"/>
      <c r="KVK1375" s="53"/>
      <c r="KVL1375" s="53"/>
      <c r="KVM1375" s="53"/>
      <c r="KVN1375" s="53"/>
      <c r="KVO1375" s="53"/>
      <c r="KVP1375" s="53"/>
      <c r="KVQ1375" s="53"/>
      <c r="KVR1375" s="53"/>
      <c r="KVS1375" s="53"/>
      <c r="KVT1375" s="53"/>
      <c r="KVU1375" s="53"/>
      <c r="KVV1375" s="53"/>
      <c r="KVW1375" s="53"/>
      <c r="KVX1375" s="53"/>
      <c r="KVY1375" s="53"/>
      <c r="KVZ1375" s="53"/>
      <c r="KWA1375" s="53"/>
      <c r="KWB1375" s="53"/>
      <c r="KWC1375" s="53"/>
      <c r="KWD1375" s="53"/>
      <c r="KWE1375" s="53"/>
      <c r="KWF1375" s="53"/>
      <c r="KWG1375" s="53"/>
      <c r="KWH1375" s="53"/>
      <c r="KWI1375" s="53"/>
      <c r="KWJ1375" s="53"/>
      <c r="KWK1375" s="53"/>
      <c r="KWL1375" s="53"/>
      <c r="KWM1375" s="53"/>
      <c r="KWN1375" s="53"/>
      <c r="KWO1375" s="53"/>
      <c r="KWP1375" s="53"/>
      <c r="KWQ1375" s="53"/>
      <c r="KWR1375" s="53"/>
      <c r="KWS1375" s="53"/>
      <c r="KWT1375" s="53"/>
      <c r="KWU1375" s="53"/>
      <c r="KWV1375" s="53"/>
      <c r="KWW1375" s="53"/>
      <c r="KWX1375" s="53"/>
      <c r="KWY1375" s="53"/>
      <c r="KWZ1375" s="53"/>
      <c r="KXA1375" s="53"/>
      <c r="KXB1375" s="53"/>
      <c r="KXC1375" s="53"/>
      <c r="KXD1375" s="53"/>
      <c r="KXE1375" s="53"/>
      <c r="KXF1375" s="53"/>
      <c r="KXG1375" s="53"/>
      <c r="KXH1375" s="53"/>
      <c r="KXI1375" s="53"/>
      <c r="KXJ1375" s="53"/>
      <c r="KXK1375" s="53"/>
      <c r="KXL1375" s="53"/>
      <c r="KXM1375" s="53"/>
      <c r="KXN1375" s="53"/>
      <c r="KXO1375" s="53"/>
      <c r="KXP1375" s="53"/>
      <c r="KXQ1375" s="53"/>
      <c r="KXR1375" s="53"/>
      <c r="KXS1375" s="53"/>
      <c r="KXT1375" s="53"/>
      <c r="KXU1375" s="53"/>
      <c r="KXV1375" s="53"/>
      <c r="KXW1375" s="53"/>
      <c r="KXX1375" s="53"/>
      <c r="KXY1375" s="53"/>
      <c r="KXZ1375" s="53"/>
      <c r="KYA1375" s="53"/>
      <c r="KYB1375" s="53"/>
      <c r="KYC1375" s="53"/>
      <c r="KYD1375" s="53"/>
      <c r="KYE1375" s="53"/>
      <c r="KYF1375" s="53"/>
      <c r="KYG1375" s="53"/>
      <c r="KYH1375" s="53"/>
      <c r="KYI1375" s="53"/>
      <c r="KYJ1375" s="53"/>
      <c r="KYK1375" s="53"/>
      <c r="KYL1375" s="53"/>
      <c r="KYM1375" s="53"/>
      <c r="KYN1375" s="53"/>
      <c r="KYO1375" s="53"/>
      <c r="KYP1375" s="53"/>
      <c r="KYQ1375" s="53"/>
      <c r="KYR1375" s="53"/>
      <c r="KYS1375" s="53"/>
      <c r="KYT1375" s="53"/>
      <c r="KYU1375" s="53"/>
      <c r="KYV1375" s="53"/>
      <c r="KYW1375" s="53"/>
      <c r="KYX1375" s="53"/>
      <c r="KYY1375" s="53"/>
      <c r="KYZ1375" s="53"/>
      <c r="KZA1375" s="53"/>
      <c r="KZB1375" s="53"/>
      <c r="KZC1375" s="53"/>
      <c r="KZD1375" s="53"/>
      <c r="KZE1375" s="53"/>
      <c r="KZF1375" s="53"/>
      <c r="KZG1375" s="53"/>
      <c r="KZH1375" s="53"/>
      <c r="KZI1375" s="53"/>
      <c r="KZJ1375" s="53"/>
      <c r="KZK1375" s="53"/>
      <c r="KZL1375" s="53"/>
      <c r="KZM1375" s="53"/>
      <c r="KZN1375" s="53"/>
      <c r="KZO1375" s="53"/>
      <c r="KZP1375" s="53"/>
      <c r="KZQ1375" s="53"/>
      <c r="KZR1375" s="53"/>
      <c r="KZS1375" s="53"/>
      <c r="KZT1375" s="53"/>
      <c r="KZU1375" s="53"/>
      <c r="KZV1375" s="53"/>
      <c r="KZW1375" s="53"/>
      <c r="KZX1375" s="53"/>
      <c r="KZY1375" s="53"/>
      <c r="KZZ1375" s="53"/>
      <c r="LAA1375" s="53"/>
      <c r="LAB1375" s="53"/>
      <c r="LAC1375" s="53"/>
      <c r="LAD1375" s="53"/>
      <c r="LAE1375" s="53"/>
      <c r="LAF1375" s="53"/>
      <c r="LAG1375" s="53"/>
      <c r="LAH1375" s="53"/>
      <c r="LAI1375" s="53"/>
      <c r="LAJ1375" s="53"/>
      <c r="LAK1375" s="53"/>
      <c r="LAL1375" s="53"/>
      <c r="LAM1375" s="53"/>
      <c r="LAN1375" s="53"/>
      <c r="LAO1375" s="53"/>
      <c r="LAP1375" s="53"/>
      <c r="LAQ1375" s="53"/>
      <c r="LAR1375" s="53"/>
      <c r="LAS1375" s="53"/>
      <c r="LAT1375" s="53"/>
      <c r="LAU1375" s="53"/>
      <c r="LAV1375" s="53"/>
      <c r="LAW1375" s="53"/>
      <c r="LAX1375" s="53"/>
      <c r="LAY1375" s="53"/>
      <c r="LAZ1375" s="53"/>
      <c r="LBA1375" s="53"/>
      <c r="LBB1375" s="53"/>
      <c r="LBC1375" s="53"/>
      <c r="LBD1375" s="53"/>
      <c r="LBE1375" s="53"/>
      <c r="LBF1375" s="53"/>
      <c r="LBG1375" s="53"/>
      <c r="LBH1375" s="53"/>
      <c r="LBI1375" s="53"/>
      <c r="LBJ1375" s="53"/>
      <c r="LBK1375" s="53"/>
      <c r="LBL1375" s="53"/>
      <c r="LBM1375" s="53"/>
      <c r="LBN1375" s="53"/>
      <c r="LBO1375" s="53"/>
      <c r="LBP1375" s="53"/>
      <c r="LBQ1375" s="53"/>
      <c r="LBR1375" s="53"/>
      <c r="LBS1375" s="53"/>
      <c r="LBT1375" s="53"/>
      <c r="LBU1375" s="53"/>
      <c r="LBV1375" s="53"/>
      <c r="LBW1375" s="53"/>
      <c r="LBX1375" s="53"/>
      <c r="LBY1375" s="53"/>
      <c r="LBZ1375" s="53"/>
      <c r="LCA1375" s="53"/>
      <c r="LCB1375" s="53"/>
      <c r="LCC1375" s="53"/>
      <c r="LCD1375" s="53"/>
      <c r="LCE1375" s="53"/>
      <c r="LCF1375" s="53"/>
      <c r="LCG1375" s="53"/>
      <c r="LCH1375" s="53"/>
      <c r="LCI1375" s="53"/>
      <c r="LCJ1375" s="53"/>
      <c r="LCK1375" s="53"/>
      <c r="LCL1375" s="53"/>
      <c r="LCM1375" s="53"/>
      <c r="LCN1375" s="53"/>
      <c r="LCO1375" s="53"/>
      <c r="LCP1375" s="53"/>
      <c r="LCQ1375" s="53"/>
      <c r="LCR1375" s="53"/>
      <c r="LCS1375" s="53"/>
      <c r="LCT1375" s="53"/>
      <c r="LCU1375" s="53"/>
      <c r="LCV1375" s="53"/>
      <c r="LCW1375" s="53"/>
      <c r="LCX1375" s="53"/>
      <c r="LCY1375" s="53"/>
      <c r="LCZ1375" s="53"/>
      <c r="LDA1375" s="53"/>
      <c r="LDB1375" s="53"/>
      <c r="LDC1375" s="53"/>
      <c r="LDD1375" s="53"/>
      <c r="LDE1375" s="53"/>
      <c r="LDF1375" s="53"/>
      <c r="LDG1375" s="53"/>
      <c r="LDH1375" s="53"/>
      <c r="LDI1375" s="53"/>
      <c r="LDJ1375" s="53"/>
      <c r="LDK1375" s="53"/>
      <c r="LDL1375" s="53"/>
      <c r="LDM1375" s="53"/>
      <c r="LDN1375" s="53"/>
      <c r="LDO1375" s="53"/>
      <c r="LDP1375" s="53"/>
      <c r="LDQ1375" s="53"/>
      <c r="LDR1375" s="53"/>
      <c r="LDS1375" s="53"/>
      <c r="LDT1375" s="53"/>
      <c r="LDU1375" s="53"/>
      <c r="LDV1375" s="53"/>
      <c r="LDW1375" s="53"/>
      <c r="LDX1375" s="53"/>
      <c r="LDY1375" s="53"/>
      <c r="LDZ1375" s="53"/>
      <c r="LEA1375" s="53"/>
      <c r="LEB1375" s="53"/>
      <c r="LEC1375" s="53"/>
      <c r="LED1375" s="53"/>
      <c r="LEE1375" s="53"/>
      <c r="LEF1375" s="53"/>
      <c r="LEG1375" s="53"/>
      <c r="LEH1375" s="53"/>
      <c r="LEI1375" s="53"/>
      <c r="LEJ1375" s="53"/>
      <c r="LEK1375" s="53"/>
      <c r="LEL1375" s="53"/>
      <c r="LEM1375" s="53"/>
      <c r="LEN1375" s="53"/>
      <c r="LEO1375" s="53"/>
      <c r="LEP1375" s="53"/>
      <c r="LEQ1375" s="53"/>
      <c r="LER1375" s="53"/>
      <c r="LES1375" s="53"/>
      <c r="LET1375" s="53"/>
      <c r="LEU1375" s="53"/>
      <c r="LEV1375" s="53"/>
      <c r="LEW1375" s="53"/>
      <c r="LEX1375" s="53"/>
      <c r="LEY1375" s="53"/>
      <c r="LEZ1375" s="53"/>
      <c r="LFA1375" s="53"/>
      <c r="LFB1375" s="53"/>
      <c r="LFC1375" s="53"/>
      <c r="LFD1375" s="53"/>
      <c r="LFE1375" s="53"/>
      <c r="LFF1375" s="53"/>
      <c r="LFG1375" s="53"/>
      <c r="LFH1375" s="53"/>
      <c r="LFI1375" s="53"/>
      <c r="LFJ1375" s="53"/>
      <c r="LFK1375" s="53"/>
      <c r="LFL1375" s="53"/>
      <c r="LFM1375" s="53"/>
      <c r="LFN1375" s="53"/>
      <c r="LFO1375" s="53"/>
      <c r="LFP1375" s="53"/>
      <c r="LFQ1375" s="53"/>
      <c r="LFR1375" s="53"/>
      <c r="LFS1375" s="53"/>
      <c r="LFT1375" s="53"/>
      <c r="LFU1375" s="53"/>
      <c r="LFV1375" s="53"/>
      <c r="LFW1375" s="53"/>
      <c r="LFX1375" s="53"/>
      <c r="LFY1375" s="53"/>
      <c r="LFZ1375" s="53"/>
      <c r="LGA1375" s="53"/>
      <c r="LGB1375" s="53"/>
      <c r="LGC1375" s="53"/>
      <c r="LGD1375" s="53"/>
      <c r="LGE1375" s="53"/>
      <c r="LGF1375" s="53"/>
      <c r="LGG1375" s="53"/>
      <c r="LGH1375" s="53"/>
      <c r="LGI1375" s="53"/>
      <c r="LGJ1375" s="53"/>
      <c r="LGK1375" s="53"/>
      <c r="LGL1375" s="53"/>
      <c r="LGM1375" s="53"/>
      <c r="LGN1375" s="53"/>
      <c r="LGO1375" s="53"/>
      <c r="LGP1375" s="53"/>
      <c r="LGQ1375" s="53"/>
      <c r="LGR1375" s="53"/>
      <c r="LGS1375" s="53"/>
      <c r="LGT1375" s="53"/>
      <c r="LGU1375" s="53"/>
      <c r="LGV1375" s="53"/>
      <c r="LGW1375" s="53"/>
      <c r="LGX1375" s="53"/>
      <c r="LGY1375" s="53"/>
      <c r="LGZ1375" s="53"/>
      <c r="LHA1375" s="53"/>
      <c r="LHB1375" s="53"/>
      <c r="LHC1375" s="53"/>
      <c r="LHD1375" s="53"/>
      <c r="LHE1375" s="53"/>
      <c r="LHF1375" s="53"/>
      <c r="LHG1375" s="53"/>
      <c r="LHH1375" s="53"/>
      <c r="LHI1375" s="53"/>
      <c r="LHJ1375" s="53"/>
      <c r="LHK1375" s="53"/>
      <c r="LHL1375" s="53"/>
      <c r="LHM1375" s="53"/>
      <c r="LHN1375" s="53"/>
      <c r="LHO1375" s="53"/>
      <c r="LHP1375" s="53"/>
      <c r="LHQ1375" s="53"/>
      <c r="LHR1375" s="53"/>
      <c r="LHS1375" s="53"/>
      <c r="LHT1375" s="53"/>
      <c r="LHU1375" s="53"/>
      <c r="LHV1375" s="53"/>
      <c r="LHW1375" s="53"/>
      <c r="LHX1375" s="53"/>
      <c r="LHY1375" s="53"/>
      <c r="LHZ1375" s="53"/>
      <c r="LIA1375" s="53"/>
      <c r="LIB1375" s="53"/>
      <c r="LIC1375" s="53"/>
      <c r="LID1375" s="53"/>
      <c r="LIE1375" s="53"/>
      <c r="LIF1375" s="53"/>
      <c r="LIG1375" s="53"/>
      <c r="LIH1375" s="53"/>
      <c r="LII1375" s="53"/>
      <c r="LIJ1375" s="53"/>
      <c r="LIK1375" s="53"/>
      <c r="LIL1375" s="53"/>
      <c r="LIM1375" s="53"/>
      <c r="LIN1375" s="53"/>
      <c r="LIO1375" s="53"/>
      <c r="LIP1375" s="53"/>
      <c r="LIQ1375" s="53"/>
      <c r="LIR1375" s="53"/>
      <c r="LIS1375" s="53"/>
      <c r="LIT1375" s="53"/>
      <c r="LIU1375" s="53"/>
      <c r="LIV1375" s="53"/>
      <c r="LIW1375" s="53"/>
      <c r="LIX1375" s="53"/>
      <c r="LIY1375" s="53"/>
      <c r="LIZ1375" s="53"/>
      <c r="LJA1375" s="53"/>
      <c r="LJB1375" s="53"/>
      <c r="LJC1375" s="53"/>
      <c r="LJD1375" s="53"/>
      <c r="LJE1375" s="53"/>
      <c r="LJF1375" s="53"/>
      <c r="LJG1375" s="53"/>
      <c r="LJH1375" s="53"/>
      <c r="LJI1375" s="53"/>
      <c r="LJJ1375" s="53"/>
      <c r="LJK1375" s="53"/>
      <c r="LJL1375" s="53"/>
      <c r="LJM1375" s="53"/>
      <c r="LJN1375" s="53"/>
      <c r="LJO1375" s="53"/>
      <c r="LJP1375" s="53"/>
      <c r="LJQ1375" s="53"/>
      <c r="LJR1375" s="53"/>
      <c r="LJS1375" s="53"/>
      <c r="LJT1375" s="53"/>
      <c r="LJU1375" s="53"/>
      <c r="LJV1375" s="53"/>
      <c r="LJW1375" s="53"/>
      <c r="LJX1375" s="53"/>
      <c r="LJY1375" s="53"/>
      <c r="LJZ1375" s="53"/>
      <c r="LKA1375" s="53"/>
      <c r="LKB1375" s="53"/>
      <c r="LKC1375" s="53"/>
      <c r="LKD1375" s="53"/>
      <c r="LKE1375" s="53"/>
      <c r="LKF1375" s="53"/>
      <c r="LKG1375" s="53"/>
      <c r="LKH1375" s="53"/>
      <c r="LKI1375" s="53"/>
      <c r="LKJ1375" s="53"/>
      <c r="LKK1375" s="53"/>
      <c r="LKL1375" s="53"/>
      <c r="LKM1375" s="53"/>
      <c r="LKN1375" s="53"/>
      <c r="LKO1375" s="53"/>
      <c r="LKP1375" s="53"/>
      <c r="LKQ1375" s="53"/>
      <c r="LKR1375" s="53"/>
      <c r="LKS1375" s="53"/>
      <c r="LKT1375" s="53"/>
      <c r="LKU1375" s="53"/>
      <c r="LKV1375" s="53"/>
      <c r="LKW1375" s="53"/>
      <c r="LKX1375" s="53"/>
      <c r="LKY1375" s="53"/>
      <c r="LKZ1375" s="53"/>
      <c r="LLA1375" s="53"/>
      <c r="LLB1375" s="53"/>
      <c r="LLC1375" s="53"/>
      <c r="LLD1375" s="53"/>
      <c r="LLE1375" s="53"/>
      <c r="LLF1375" s="53"/>
      <c r="LLG1375" s="53"/>
      <c r="LLH1375" s="53"/>
      <c r="LLI1375" s="53"/>
      <c r="LLJ1375" s="53"/>
      <c r="LLK1375" s="53"/>
      <c r="LLL1375" s="53"/>
      <c r="LLM1375" s="53"/>
      <c r="LLN1375" s="53"/>
      <c r="LLO1375" s="53"/>
      <c r="LLP1375" s="53"/>
      <c r="LLQ1375" s="53"/>
      <c r="LLR1375" s="53"/>
      <c r="LLS1375" s="53"/>
      <c r="LLT1375" s="53"/>
      <c r="LLU1375" s="53"/>
      <c r="LLV1375" s="53"/>
      <c r="LLW1375" s="53"/>
      <c r="LLX1375" s="53"/>
      <c r="LLY1375" s="53"/>
      <c r="LLZ1375" s="53"/>
      <c r="LMA1375" s="53"/>
      <c r="LMB1375" s="53"/>
      <c r="LMC1375" s="53"/>
      <c r="LMD1375" s="53"/>
      <c r="LME1375" s="53"/>
      <c r="LMF1375" s="53"/>
      <c r="LMG1375" s="53"/>
      <c r="LMH1375" s="53"/>
      <c r="LMI1375" s="53"/>
      <c r="LMJ1375" s="53"/>
      <c r="LMK1375" s="53"/>
      <c r="LML1375" s="53"/>
      <c r="LMM1375" s="53"/>
      <c r="LMN1375" s="53"/>
      <c r="LMO1375" s="53"/>
      <c r="LMP1375" s="53"/>
      <c r="LMQ1375" s="53"/>
      <c r="LMR1375" s="53"/>
      <c r="LMS1375" s="53"/>
      <c r="LMT1375" s="53"/>
      <c r="LMU1375" s="53"/>
      <c r="LMV1375" s="53"/>
      <c r="LMW1375" s="53"/>
      <c r="LMX1375" s="53"/>
      <c r="LMY1375" s="53"/>
      <c r="LMZ1375" s="53"/>
      <c r="LNA1375" s="53"/>
      <c r="LNB1375" s="53"/>
      <c r="LNC1375" s="53"/>
      <c r="LND1375" s="53"/>
      <c r="LNE1375" s="53"/>
      <c r="LNF1375" s="53"/>
      <c r="LNG1375" s="53"/>
      <c r="LNH1375" s="53"/>
      <c r="LNI1375" s="53"/>
      <c r="LNJ1375" s="53"/>
      <c r="LNK1375" s="53"/>
      <c r="LNL1375" s="53"/>
      <c r="LNM1375" s="53"/>
      <c r="LNN1375" s="53"/>
      <c r="LNO1375" s="53"/>
      <c r="LNP1375" s="53"/>
      <c r="LNQ1375" s="53"/>
      <c r="LNR1375" s="53"/>
      <c r="LNS1375" s="53"/>
      <c r="LNT1375" s="53"/>
      <c r="LNU1375" s="53"/>
      <c r="LNV1375" s="53"/>
      <c r="LNW1375" s="53"/>
      <c r="LNX1375" s="53"/>
      <c r="LNY1375" s="53"/>
      <c r="LNZ1375" s="53"/>
      <c r="LOA1375" s="53"/>
      <c r="LOB1375" s="53"/>
      <c r="LOC1375" s="53"/>
      <c r="LOD1375" s="53"/>
      <c r="LOE1375" s="53"/>
      <c r="LOF1375" s="53"/>
      <c r="LOG1375" s="53"/>
      <c r="LOH1375" s="53"/>
      <c r="LOI1375" s="53"/>
      <c r="LOJ1375" s="53"/>
      <c r="LOK1375" s="53"/>
      <c r="LOL1375" s="53"/>
      <c r="LOM1375" s="53"/>
      <c r="LON1375" s="53"/>
      <c r="LOO1375" s="53"/>
      <c r="LOP1375" s="53"/>
      <c r="LOQ1375" s="53"/>
      <c r="LOR1375" s="53"/>
      <c r="LOS1375" s="53"/>
      <c r="LOT1375" s="53"/>
      <c r="LOU1375" s="53"/>
      <c r="LOV1375" s="53"/>
      <c r="LOW1375" s="53"/>
      <c r="LOX1375" s="53"/>
      <c r="LOY1375" s="53"/>
      <c r="LOZ1375" s="53"/>
      <c r="LPA1375" s="53"/>
      <c r="LPB1375" s="53"/>
      <c r="LPC1375" s="53"/>
      <c r="LPD1375" s="53"/>
      <c r="LPE1375" s="53"/>
      <c r="LPF1375" s="53"/>
      <c r="LPG1375" s="53"/>
      <c r="LPH1375" s="53"/>
      <c r="LPI1375" s="53"/>
      <c r="LPJ1375" s="53"/>
      <c r="LPK1375" s="53"/>
      <c r="LPL1375" s="53"/>
      <c r="LPM1375" s="53"/>
      <c r="LPN1375" s="53"/>
      <c r="LPO1375" s="53"/>
      <c r="LPP1375" s="53"/>
      <c r="LPQ1375" s="53"/>
      <c r="LPR1375" s="53"/>
      <c r="LPS1375" s="53"/>
      <c r="LPT1375" s="53"/>
      <c r="LPU1375" s="53"/>
      <c r="LPV1375" s="53"/>
      <c r="LPW1375" s="53"/>
      <c r="LPX1375" s="53"/>
      <c r="LPY1375" s="53"/>
      <c r="LPZ1375" s="53"/>
      <c r="LQA1375" s="53"/>
      <c r="LQB1375" s="53"/>
      <c r="LQC1375" s="53"/>
      <c r="LQD1375" s="53"/>
      <c r="LQE1375" s="53"/>
      <c r="LQF1375" s="53"/>
      <c r="LQG1375" s="53"/>
      <c r="LQH1375" s="53"/>
      <c r="LQI1375" s="53"/>
      <c r="LQJ1375" s="53"/>
      <c r="LQK1375" s="53"/>
      <c r="LQL1375" s="53"/>
      <c r="LQM1375" s="53"/>
      <c r="LQN1375" s="53"/>
      <c r="LQO1375" s="53"/>
      <c r="LQP1375" s="53"/>
      <c r="LQQ1375" s="53"/>
      <c r="LQR1375" s="53"/>
      <c r="LQS1375" s="53"/>
      <c r="LQT1375" s="53"/>
      <c r="LQU1375" s="53"/>
      <c r="LQV1375" s="53"/>
      <c r="LQW1375" s="53"/>
      <c r="LQX1375" s="53"/>
      <c r="LQY1375" s="53"/>
      <c r="LQZ1375" s="53"/>
      <c r="LRA1375" s="53"/>
      <c r="LRB1375" s="53"/>
      <c r="LRC1375" s="53"/>
      <c r="LRD1375" s="53"/>
      <c r="LRE1375" s="53"/>
      <c r="LRF1375" s="53"/>
      <c r="LRG1375" s="53"/>
      <c r="LRH1375" s="53"/>
      <c r="LRI1375" s="53"/>
      <c r="LRJ1375" s="53"/>
      <c r="LRK1375" s="53"/>
      <c r="LRL1375" s="53"/>
      <c r="LRM1375" s="53"/>
      <c r="LRN1375" s="53"/>
      <c r="LRO1375" s="53"/>
      <c r="LRP1375" s="53"/>
      <c r="LRQ1375" s="53"/>
      <c r="LRR1375" s="53"/>
      <c r="LRS1375" s="53"/>
      <c r="LRT1375" s="53"/>
      <c r="LRU1375" s="53"/>
      <c r="LRV1375" s="53"/>
      <c r="LRW1375" s="53"/>
      <c r="LRX1375" s="53"/>
      <c r="LRY1375" s="53"/>
      <c r="LRZ1375" s="53"/>
      <c r="LSA1375" s="53"/>
      <c r="LSB1375" s="53"/>
      <c r="LSC1375" s="53"/>
      <c r="LSD1375" s="53"/>
      <c r="LSE1375" s="53"/>
      <c r="LSF1375" s="53"/>
      <c r="LSG1375" s="53"/>
      <c r="LSH1375" s="53"/>
      <c r="LSI1375" s="53"/>
      <c r="LSJ1375" s="53"/>
      <c r="LSK1375" s="53"/>
      <c r="LSL1375" s="53"/>
      <c r="LSM1375" s="53"/>
      <c r="LSN1375" s="53"/>
      <c r="LSO1375" s="53"/>
      <c r="LSP1375" s="53"/>
      <c r="LSQ1375" s="53"/>
      <c r="LSR1375" s="53"/>
      <c r="LSS1375" s="53"/>
      <c r="LST1375" s="53"/>
      <c r="LSU1375" s="53"/>
      <c r="LSV1375" s="53"/>
      <c r="LSW1375" s="53"/>
      <c r="LSX1375" s="53"/>
      <c r="LSY1375" s="53"/>
      <c r="LSZ1375" s="53"/>
      <c r="LTA1375" s="53"/>
      <c r="LTB1375" s="53"/>
      <c r="LTC1375" s="53"/>
      <c r="LTD1375" s="53"/>
      <c r="LTE1375" s="53"/>
      <c r="LTF1375" s="53"/>
      <c r="LTG1375" s="53"/>
      <c r="LTH1375" s="53"/>
      <c r="LTI1375" s="53"/>
      <c r="LTJ1375" s="53"/>
      <c r="LTK1375" s="53"/>
      <c r="LTL1375" s="53"/>
      <c r="LTM1375" s="53"/>
      <c r="LTN1375" s="53"/>
      <c r="LTO1375" s="53"/>
      <c r="LTP1375" s="53"/>
      <c r="LTQ1375" s="53"/>
      <c r="LTR1375" s="53"/>
      <c r="LTS1375" s="53"/>
      <c r="LTT1375" s="53"/>
      <c r="LTU1375" s="53"/>
      <c r="LTV1375" s="53"/>
      <c r="LTW1375" s="53"/>
      <c r="LTX1375" s="53"/>
      <c r="LTY1375" s="53"/>
      <c r="LTZ1375" s="53"/>
      <c r="LUA1375" s="53"/>
      <c r="LUB1375" s="53"/>
      <c r="LUC1375" s="53"/>
      <c r="LUD1375" s="53"/>
      <c r="LUE1375" s="53"/>
      <c r="LUF1375" s="53"/>
      <c r="LUG1375" s="53"/>
      <c r="LUH1375" s="53"/>
      <c r="LUI1375" s="53"/>
      <c r="LUJ1375" s="53"/>
      <c r="LUK1375" s="53"/>
      <c r="LUL1375" s="53"/>
      <c r="LUM1375" s="53"/>
      <c r="LUN1375" s="53"/>
      <c r="LUO1375" s="53"/>
      <c r="LUP1375" s="53"/>
      <c r="LUQ1375" s="53"/>
      <c r="LUR1375" s="53"/>
      <c r="LUS1375" s="53"/>
      <c r="LUT1375" s="53"/>
      <c r="LUU1375" s="53"/>
      <c r="LUV1375" s="53"/>
      <c r="LUW1375" s="53"/>
      <c r="LUX1375" s="53"/>
      <c r="LUY1375" s="53"/>
      <c r="LUZ1375" s="53"/>
      <c r="LVA1375" s="53"/>
      <c r="LVB1375" s="53"/>
      <c r="LVC1375" s="53"/>
      <c r="LVD1375" s="53"/>
      <c r="LVE1375" s="53"/>
      <c r="LVF1375" s="53"/>
      <c r="LVG1375" s="53"/>
      <c r="LVH1375" s="53"/>
      <c r="LVI1375" s="53"/>
      <c r="LVJ1375" s="53"/>
      <c r="LVK1375" s="53"/>
      <c r="LVL1375" s="53"/>
      <c r="LVM1375" s="53"/>
      <c r="LVN1375" s="53"/>
      <c r="LVO1375" s="53"/>
      <c r="LVP1375" s="53"/>
      <c r="LVQ1375" s="53"/>
      <c r="LVR1375" s="53"/>
      <c r="LVS1375" s="53"/>
      <c r="LVT1375" s="53"/>
      <c r="LVU1375" s="53"/>
      <c r="LVV1375" s="53"/>
      <c r="LVW1375" s="53"/>
      <c r="LVX1375" s="53"/>
      <c r="LVY1375" s="53"/>
      <c r="LVZ1375" s="53"/>
      <c r="LWA1375" s="53"/>
      <c r="LWB1375" s="53"/>
      <c r="LWC1375" s="53"/>
      <c r="LWD1375" s="53"/>
      <c r="LWE1375" s="53"/>
      <c r="LWF1375" s="53"/>
      <c r="LWG1375" s="53"/>
      <c r="LWH1375" s="53"/>
      <c r="LWI1375" s="53"/>
      <c r="LWJ1375" s="53"/>
      <c r="LWK1375" s="53"/>
      <c r="LWL1375" s="53"/>
      <c r="LWM1375" s="53"/>
      <c r="LWN1375" s="53"/>
      <c r="LWO1375" s="53"/>
      <c r="LWP1375" s="53"/>
      <c r="LWQ1375" s="53"/>
      <c r="LWR1375" s="53"/>
      <c r="LWS1375" s="53"/>
      <c r="LWT1375" s="53"/>
      <c r="LWU1375" s="53"/>
      <c r="LWV1375" s="53"/>
      <c r="LWW1375" s="53"/>
      <c r="LWX1375" s="53"/>
      <c r="LWY1375" s="53"/>
      <c r="LWZ1375" s="53"/>
      <c r="LXA1375" s="53"/>
      <c r="LXB1375" s="53"/>
      <c r="LXC1375" s="53"/>
      <c r="LXD1375" s="53"/>
      <c r="LXE1375" s="53"/>
      <c r="LXF1375" s="53"/>
      <c r="LXG1375" s="53"/>
      <c r="LXH1375" s="53"/>
      <c r="LXI1375" s="53"/>
      <c r="LXJ1375" s="53"/>
      <c r="LXK1375" s="53"/>
      <c r="LXL1375" s="53"/>
      <c r="LXM1375" s="53"/>
      <c r="LXN1375" s="53"/>
      <c r="LXO1375" s="53"/>
      <c r="LXP1375" s="53"/>
      <c r="LXQ1375" s="53"/>
      <c r="LXR1375" s="53"/>
      <c r="LXS1375" s="53"/>
      <c r="LXT1375" s="53"/>
      <c r="LXU1375" s="53"/>
      <c r="LXV1375" s="53"/>
      <c r="LXW1375" s="53"/>
      <c r="LXX1375" s="53"/>
      <c r="LXY1375" s="53"/>
      <c r="LXZ1375" s="53"/>
      <c r="LYA1375" s="53"/>
      <c r="LYB1375" s="53"/>
      <c r="LYC1375" s="53"/>
      <c r="LYD1375" s="53"/>
      <c r="LYE1375" s="53"/>
      <c r="LYF1375" s="53"/>
      <c r="LYG1375" s="53"/>
      <c r="LYH1375" s="53"/>
      <c r="LYI1375" s="53"/>
      <c r="LYJ1375" s="53"/>
      <c r="LYK1375" s="53"/>
      <c r="LYL1375" s="53"/>
      <c r="LYM1375" s="53"/>
      <c r="LYN1375" s="53"/>
      <c r="LYO1375" s="53"/>
      <c r="LYP1375" s="53"/>
      <c r="LYQ1375" s="53"/>
      <c r="LYR1375" s="53"/>
      <c r="LYS1375" s="53"/>
      <c r="LYT1375" s="53"/>
      <c r="LYU1375" s="53"/>
      <c r="LYV1375" s="53"/>
      <c r="LYW1375" s="53"/>
      <c r="LYX1375" s="53"/>
      <c r="LYY1375" s="53"/>
      <c r="LYZ1375" s="53"/>
      <c r="LZA1375" s="53"/>
      <c r="LZB1375" s="53"/>
      <c r="LZC1375" s="53"/>
      <c r="LZD1375" s="53"/>
      <c r="LZE1375" s="53"/>
      <c r="LZF1375" s="53"/>
      <c r="LZG1375" s="53"/>
      <c r="LZH1375" s="53"/>
      <c r="LZI1375" s="53"/>
      <c r="LZJ1375" s="53"/>
      <c r="LZK1375" s="53"/>
      <c r="LZL1375" s="53"/>
      <c r="LZM1375" s="53"/>
      <c r="LZN1375" s="53"/>
      <c r="LZO1375" s="53"/>
      <c r="LZP1375" s="53"/>
      <c r="LZQ1375" s="53"/>
      <c r="LZR1375" s="53"/>
      <c r="LZS1375" s="53"/>
      <c r="LZT1375" s="53"/>
      <c r="LZU1375" s="53"/>
      <c r="LZV1375" s="53"/>
      <c r="LZW1375" s="53"/>
      <c r="LZX1375" s="53"/>
      <c r="LZY1375" s="53"/>
      <c r="LZZ1375" s="53"/>
      <c r="MAA1375" s="53"/>
      <c r="MAB1375" s="53"/>
      <c r="MAC1375" s="53"/>
      <c r="MAD1375" s="53"/>
      <c r="MAE1375" s="53"/>
      <c r="MAF1375" s="53"/>
      <c r="MAG1375" s="53"/>
      <c r="MAH1375" s="53"/>
      <c r="MAI1375" s="53"/>
      <c r="MAJ1375" s="53"/>
      <c r="MAK1375" s="53"/>
      <c r="MAL1375" s="53"/>
      <c r="MAM1375" s="53"/>
      <c r="MAN1375" s="53"/>
      <c r="MAO1375" s="53"/>
      <c r="MAP1375" s="53"/>
      <c r="MAQ1375" s="53"/>
      <c r="MAR1375" s="53"/>
      <c r="MAS1375" s="53"/>
      <c r="MAT1375" s="53"/>
      <c r="MAU1375" s="53"/>
      <c r="MAV1375" s="53"/>
      <c r="MAW1375" s="53"/>
      <c r="MAX1375" s="53"/>
      <c r="MAY1375" s="53"/>
      <c r="MAZ1375" s="53"/>
      <c r="MBA1375" s="53"/>
      <c r="MBB1375" s="53"/>
      <c r="MBC1375" s="53"/>
      <c r="MBD1375" s="53"/>
      <c r="MBE1375" s="53"/>
      <c r="MBF1375" s="53"/>
      <c r="MBG1375" s="53"/>
      <c r="MBH1375" s="53"/>
      <c r="MBI1375" s="53"/>
      <c r="MBJ1375" s="53"/>
      <c r="MBK1375" s="53"/>
      <c r="MBL1375" s="53"/>
      <c r="MBM1375" s="53"/>
      <c r="MBN1375" s="53"/>
      <c r="MBO1375" s="53"/>
      <c r="MBP1375" s="53"/>
      <c r="MBQ1375" s="53"/>
      <c r="MBR1375" s="53"/>
      <c r="MBS1375" s="53"/>
      <c r="MBT1375" s="53"/>
      <c r="MBU1375" s="53"/>
      <c r="MBV1375" s="53"/>
      <c r="MBW1375" s="53"/>
      <c r="MBX1375" s="53"/>
      <c r="MBY1375" s="53"/>
      <c r="MBZ1375" s="53"/>
      <c r="MCA1375" s="53"/>
      <c r="MCB1375" s="53"/>
      <c r="MCC1375" s="53"/>
      <c r="MCD1375" s="53"/>
      <c r="MCE1375" s="53"/>
      <c r="MCF1375" s="53"/>
      <c r="MCG1375" s="53"/>
      <c r="MCH1375" s="53"/>
      <c r="MCI1375" s="53"/>
      <c r="MCJ1375" s="53"/>
      <c r="MCK1375" s="53"/>
      <c r="MCL1375" s="53"/>
      <c r="MCM1375" s="53"/>
      <c r="MCN1375" s="53"/>
      <c r="MCO1375" s="53"/>
      <c r="MCP1375" s="53"/>
      <c r="MCQ1375" s="53"/>
      <c r="MCR1375" s="53"/>
      <c r="MCS1375" s="53"/>
      <c r="MCT1375" s="53"/>
      <c r="MCU1375" s="53"/>
      <c r="MCV1375" s="53"/>
      <c r="MCW1375" s="53"/>
      <c r="MCX1375" s="53"/>
      <c r="MCY1375" s="53"/>
      <c r="MCZ1375" s="53"/>
      <c r="MDA1375" s="53"/>
      <c r="MDB1375" s="53"/>
      <c r="MDC1375" s="53"/>
      <c r="MDD1375" s="53"/>
      <c r="MDE1375" s="53"/>
      <c r="MDF1375" s="53"/>
      <c r="MDG1375" s="53"/>
      <c r="MDH1375" s="53"/>
      <c r="MDI1375" s="53"/>
      <c r="MDJ1375" s="53"/>
      <c r="MDK1375" s="53"/>
      <c r="MDL1375" s="53"/>
      <c r="MDM1375" s="53"/>
      <c r="MDN1375" s="53"/>
      <c r="MDO1375" s="53"/>
      <c r="MDP1375" s="53"/>
      <c r="MDQ1375" s="53"/>
      <c r="MDR1375" s="53"/>
      <c r="MDS1375" s="53"/>
      <c r="MDT1375" s="53"/>
      <c r="MDU1375" s="53"/>
      <c r="MDV1375" s="53"/>
      <c r="MDW1375" s="53"/>
      <c r="MDX1375" s="53"/>
      <c r="MDY1375" s="53"/>
      <c r="MDZ1375" s="53"/>
      <c r="MEA1375" s="53"/>
      <c r="MEB1375" s="53"/>
      <c r="MEC1375" s="53"/>
      <c r="MED1375" s="53"/>
      <c r="MEE1375" s="53"/>
      <c r="MEF1375" s="53"/>
      <c r="MEG1375" s="53"/>
      <c r="MEH1375" s="53"/>
      <c r="MEI1375" s="53"/>
      <c r="MEJ1375" s="53"/>
      <c r="MEK1375" s="53"/>
      <c r="MEL1375" s="53"/>
      <c r="MEM1375" s="53"/>
      <c r="MEN1375" s="53"/>
      <c r="MEO1375" s="53"/>
      <c r="MEP1375" s="53"/>
      <c r="MEQ1375" s="53"/>
      <c r="MER1375" s="53"/>
      <c r="MES1375" s="53"/>
      <c r="MET1375" s="53"/>
      <c r="MEU1375" s="53"/>
      <c r="MEV1375" s="53"/>
      <c r="MEW1375" s="53"/>
      <c r="MEX1375" s="53"/>
      <c r="MEY1375" s="53"/>
      <c r="MEZ1375" s="53"/>
      <c r="MFA1375" s="53"/>
      <c r="MFB1375" s="53"/>
      <c r="MFC1375" s="53"/>
      <c r="MFD1375" s="53"/>
      <c r="MFE1375" s="53"/>
      <c r="MFF1375" s="53"/>
      <c r="MFG1375" s="53"/>
      <c r="MFH1375" s="53"/>
      <c r="MFI1375" s="53"/>
      <c r="MFJ1375" s="53"/>
      <c r="MFK1375" s="53"/>
      <c r="MFL1375" s="53"/>
      <c r="MFM1375" s="53"/>
      <c r="MFN1375" s="53"/>
      <c r="MFO1375" s="53"/>
      <c r="MFP1375" s="53"/>
      <c r="MFQ1375" s="53"/>
      <c r="MFR1375" s="53"/>
      <c r="MFS1375" s="53"/>
      <c r="MFT1375" s="53"/>
      <c r="MFU1375" s="53"/>
      <c r="MFV1375" s="53"/>
      <c r="MFW1375" s="53"/>
      <c r="MFX1375" s="53"/>
      <c r="MFY1375" s="53"/>
      <c r="MFZ1375" s="53"/>
      <c r="MGA1375" s="53"/>
      <c r="MGB1375" s="53"/>
      <c r="MGC1375" s="53"/>
      <c r="MGD1375" s="53"/>
      <c r="MGE1375" s="53"/>
      <c r="MGF1375" s="53"/>
      <c r="MGG1375" s="53"/>
      <c r="MGH1375" s="53"/>
      <c r="MGI1375" s="53"/>
      <c r="MGJ1375" s="53"/>
      <c r="MGK1375" s="53"/>
      <c r="MGL1375" s="53"/>
      <c r="MGM1375" s="53"/>
      <c r="MGN1375" s="53"/>
      <c r="MGO1375" s="53"/>
      <c r="MGP1375" s="53"/>
      <c r="MGQ1375" s="53"/>
      <c r="MGR1375" s="53"/>
      <c r="MGS1375" s="53"/>
      <c r="MGT1375" s="53"/>
      <c r="MGU1375" s="53"/>
      <c r="MGV1375" s="53"/>
      <c r="MGW1375" s="53"/>
      <c r="MGX1375" s="53"/>
      <c r="MGY1375" s="53"/>
      <c r="MGZ1375" s="53"/>
      <c r="MHA1375" s="53"/>
      <c r="MHB1375" s="53"/>
      <c r="MHC1375" s="53"/>
      <c r="MHD1375" s="53"/>
      <c r="MHE1375" s="53"/>
      <c r="MHF1375" s="53"/>
      <c r="MHG1375" s="53"/>
      <c r="MHH1375" s="53"/>
      <c r="MHI1375" s="53"/>
      <c r="MHJ1375" s="53"/>
      <c r="MHK1375" s="53"/>
      <c r="MHL1375" s="53"/>
      <c r="MHM1375" s="53"/>
      <c r="MHN1375" s="53"/>
      <c r="MHO1375" s="53"/>
      <c r="MHP1375" s="53"/>
      <c r="MHQ1375" s="53"/>
      <c r="MHR1375" s="53"/>
      <c r="MHS1375" s="53"/>
      <c r="MHT1375" s="53"/>
      <c r="MHU1375" s="53"/>
      <c r="MHV1375" s="53"/>
      <c r="MHW1375" s="53"/>
      <c r="MHX1375" s="53"/>
      <c r="MHY1375" s="53"/>
      <c r="MHZ1375" s="53"/>
      <c r="MIA1375" s="53"/>
      <c r="MIB1375" s="53"/>
      <c r="MIC1375" s="53"/>
      <c r="MID1375" s="53"/>
      <c r="MIE1375" s="53"/>
      <c r="MIF1375" s="53"/>
      <c r="MIG1375" s="53"/>
      <c r="MIH1375" s="53"/>
      <c r="MII1375" s="53"/>
      <c r="MIJ1375" s="53"/>
      <c r="MIK1375" s="53"/>
      <c r="MIL1375" s="53"/>
      <c r="MIM1375" s="53"/>
      <c r="MIN1375" s="53"/>
      <c r="MIO1375" s="53"/>
      <c r="MIP1375" s="53"/>
      <c r="MIQ1375" s="53"/>
      <c r="MIR1375" s="53"/>
      <c r="MIS1375" s="53"/>
      <c r="MIT1375" s="53"/>
      <c r="MIU1375" s="53"/>
      <c r="MIV1375" s="53"/>
      <c r="MIW1375" s="53"/>
      <c r="MIX1375" s="53"/>
      <c r="MIY1375" s="53"/>
      <c r="MIZ1375" s="53"/>
      <c r="MJA1375" s="53"/>
      <c r="MJB1375" s="53"/>
      <c r="MJC1375" s="53"/>
      <c r="MJD1375" s="53"/>
      <c r="MJE1375" s="53"/>
      <c r="MJF1375" s="53"/>
      <c r="MJG1375" s="53"/>
      <c r="MJH1375" s="53"/>
      <c r="MJI1375" s="53"/>
      <c r="MJJ1375" s="53"/>
      <c r="MJK1375" s="53"/>
      <c r="MJL1375" s="53"/>
      <c r="MJM1375" s="53"/>
      <c r="MJN1375" s="53"/>
      <c r="MJO1375" s="53"/>
      <c r="MJP1375" s="53"/>
      <c r="MJQ1375" s="53"/>
      <c r="MJR1375" s="53"/>
      <c r="MJS1375" s="53"/>
      <c r="MJT1375" s="53"/>
      <c r="MJU1375" s="53"/>
      <c r="MJV1375" s="53"/>
      <c r="MJW1375" s="53"/>
      <c r="MJX1375" s="53"/>
      <c r="MJY1375" s="53"/>
      <c r="MJZ1375" s="53"/>
      <c r="MKA1375" s="53"/>
      <c r="MKB1375" s="53"/>
      <c r="MKC1375" s="53"/>
      <c r="MKD1375" s="53"/>
      <c r="MKE1375" s="53"/>
      <c r="MKF1375" s="53"/>
      <c r="MKG1375" s="53"/>
      <c r="MKH1375" s="53"/>
      <c r="MKI1375" s="53"/>
      <c r="MKJ1375" s="53"/>
      <c r="MKK1375" s="53"/>
      <c r="MKL1375" s="53"/>
      <c r="MKM1375" s="53"/>
      <c r="MKN1375" s="53"/>
      <c r="MKO1375" s="53"/>
      <c r="MKP1375" s="53"/>
      <c r="MKQ1375" s="53"/>
      <c r="MKR1375" s="53"/>
      <c r="MKS1375" s="53"/>
      <c r="MKT1375" s="53"/>
      <c r="MKU1375" s="53"/>
      <c r="MKV1375" s="53"/>
      <c r="MKW1375" s="53"/>
      <c r="MKX1375" s="53"/>
      <c r="MKY1375" s="53"/>
      <c r="MKZ1375" s="53"/>
      <c r="MLA1375" s="53"/>
      <c r="MLB1375" s="53"/>
      <c r="MLC1375" s="53"/>
      <c r="MLD1375" s="53"/>
      <c r="MLE1375" s="53"/>
      <c r="MLF1375" s="53"/>
      <c r="MLG1375" s="53"/>
      <c r="MLH1375" s="53"/>
      <c r="MLI1375" s="53"/>
      <c r="MLJ1375" s="53"/>
      <c r="MLK1375" s="53"/>
      <c r="MLL1375" s="53"/>
      <c r="MLM1375" s="53"/>
      <c r="MLN1375" s="53"/>
      <c r="MLO1375" s="53"/>
      <c r="MLP1375" s="53"/>
      <c r="MLQ1375" s="53"/>
      <c r="MLR1375" s="53"/>
      <c r="MLS1375" s="53"/>
      <c r="MLT1375" s="53"/>
      <c r="MLU1375" s="53"/>
      <c r="MLV1375" s="53"/>
      <c r="MLW1375" s="53"/>
      <c r="MLX1375" s="53"/>
      <c r="MLY1375" s="53"/>
      <c r="MLZ1375" s="53"/>
      <c r="MMA1375" s="53"/>
      <c r="MMB1375" s="53"/>
      <c r="MMC1375" s="53"/>
      <c r="MMD1375" s="53"/>
      <c r="MME1375" s="53"/>
      <c r="MMF1375" s="53"/>
      <c r="MMG1375" s="53"/>
      <c r="MMH1375" s="53"/>
      <c r="MMI1375" s="53"/>
      <c r="MMJ1375" s="53"/>
      <c r="MMK1375" s="53"/>
      <c r="MML1375" s="53"/>
      <c r="MMM1375" s="53"/>
      <c r="MMN1375" s="53"/>
      <c r="MMO1375" s="53"/>
      <c r="MMP1375" s="53"/>
      <c r="MMQ1375" s="53"/>
      <c r="MMR1375" s="53"/>
      <c r="MMS1375" s="53"/>
      <c r="MMT1375" s="53"/>
      <c r="MMU1375" s="53"/>
      <c r="MMV1375" s="53"/>
      <c r="MMW1375" s="53"/>
      <c r="MMX1375" s="53"/>
      <c r="MMY1375" s="53"/>
      <c r="MMZ1375" s="53"/>
      <c r="MNA1375" s="53"/>
      <c r="MNB1375" s="53"/>
      <c r="MNC1375" s="53"/>
      <c r="MND1375" s="53"/>
      <c r="MNE1375" s="53"/>
      <c r="MNF1375" s="53"/>
      <c r="MNG1375" s="53"/>
      <c r="MNH1375" s="53"/>
      <c r="MNI1375" s="53"/>
      <c r="MNJ1375" s="53"/>
      <c r="MNK1375" s="53"/>
      <c r="MNL1375" s="53"/>
      <c r="MNM1375" s="53"/>
      <c r="MNN1375" s="53"/>
      <c r="MNO1375" s="53"/>
      <c r="MNP1375" s="53"/>
      <c r="MNQ1375" s="53"/>
      <c r="MNR1375" s="53"/>
      <c r="MNS1375" s="53"/>
      <c r="MNT1375" s="53"/>
      <c r="MNU1375" s="53"/>
      <c r="MNV1375" s="53"/>
      <c r="MNW1375" s="53"/>
      <c r="MNX1375" s="53"/>
      <c r="MNY1375" s="53"/>
      <c r="MNZ1375" s="53"/>
      <c r="MOA1375" s="53"/>
      <c r="MOB1375" s="53"/>
      <c r="MOC1375" s="53"/>
      <c r="MOD1375" s="53"/>
      <c r="MOE1375" s="53"/>
      <c r="MOF1375" s="53"/>
      <c r="MOG1375" s="53"/>
      <c r="MOH1375" s="53"/>
      <c r="MOI1375" s="53"/>
      <c r="MOJ1375" s="53"/>
      <c r="MOK1375" s="53"/>
      <c r="MOL1375" s="53"/>
      <c r="MOM1375" s="53"/>
      <c r="MON1375" s="53"/>
      <c r="MOO1375" s="53"/>
      <c r="MOP1375" s="53"/>
      <c r="MOQ1375" s="53"/>
      <c r="MOR1375" s="53"/>
      <c r="MOS1375" s="53"/>
      <c r="MOT1375" s="53"/>
      <c r="MOU1375" s="53"/>
      <c r="MOV1375" s="53"/>
      <c r="MOW1375" s="53"/>
      <c r="MOX1375" s="53"/>
      <c r="MOY1375" s="53"/>
      <c r="MOZ1375" s="53"/>
      <c r="MPA1375" s="53"/>
      <c r="MPB1375" s="53"/>
      <c r="MPC1375" s="53"/>
      <c r="MPD1375" s="53"/>
      <c r="MPE1375" s="53"/>
      <c r="MPF1375" s="53"/>
      <c r="MPG1375" s="53"/>
      <c r="MPH1375" s="53"/>
      <c r="MPI1375" s="53"/>
      <c r="MPJ1375" s="53"/>
      <c r="MPK1375" s="53"/>
      <c r="MPL1375" s="53"/>
      <c r="MPM1375" s="53"/>
      <c r="MPN1375" s="53"/>
      <c r="MPO1375" s="53"/>
      <c r="MPP1375" s="53"/>
      <c r="MPQ1375" s="53"/>
      <c r="MPR1375" s="53"/>
      <c r="MPS1375" s="53"/>
      <c r="MPT1375" s="53"/>
      <c r="MPU1375" s="53"/>
      <c r="MPV1375" s="53"/>
      <c r="MPW1375" s="53"/>
      <c r="MPX1375" s="53"/>
      <c r="MPY1375" s="53"/>
      <c r="MPZ1375" s="53"/>
      <c r="MQA1375" s="53"/>
      <c r="MQB1375" s="53"/>
      <c r="MQC1375" s="53"/>
      <c r="MQD1375" s="53"/>
      <c r="MQE1375" s="53"/>
      <c r="MQF1375" s="53"/>
      <c r="MQG1375" s="53"/>
      <c r="MQH1375" s="53"/>
      <c r="MQI1375" s="53"/>
      <c r="MQJ1375" s="53"/>
      <c r="MQK1375" s="53"/>
      <c r="MQL1375" s="53"/>
      <c r="MQM1375" s="53"/>
      <c r="MQN1375" s="53"/>
      <c r="MQO1375" s="53"/>
      <c r="MQP1375" s="53"/>
      <c r="MQQ1375" s="53"/>
      <c r="MQR1375" s="53"/>
      <c r="MQS1375" s="53"/>
      <c r="MQT1375" s="53"/>
      <c r="MQU1375" s="53"/>
      <c r="MQV1375" s="53"/>
      <c r="MQW1375" s="53"/>
      <c r="MQX1375" s="53"/>
      <c r="MQY1375" s="53"/>
      <c r="MQZ1375" s="53"/>
      <c r="MRA1375" s="53"/>
      <c r="MRB1375" s="53"/>
      <c r="MRC1375" s="53"/>
      <c r="MRD1375" s="53"/>
      <c r="MRE1375" s="53"/>
      <c r="MRF1375" s="53"/>
      <c r="MRG1375" s="53"/>
      <c r="MRH1375" s="53"/>
      <c r="MRI1375" s="53"/>
      <c r="MRJ1375" s="53"/>
      <c r="MRK1375" s="53"/>
      <c r="MRL1375" s="53"/>
      <c r="MRM1375" s="53"/>
      <c r="MRN1375" s="53"/>
      <c r="MRO1375" s="53"/>
      <c r="MRP1375" s="53"/>
      <c r="MRQ1375" s="53"/>
      <c r="MRR1375" s="53"/>
      <c r="MRS1375" s="53"/>
      <c r="MRT1375" s="53"/>
      <c r="MRU1375" s="53"/>
      <c r="MRV1375" s="53"/>
      <c r="MRW1375" s="53"/>
      <c r="MRX1375" s="53"/>
      <c r="MRY1375" s="53"/>
      <c r="MRZ1375" s="53"/>
      <c r="MSA1375" s="53"/>
      <c r="MSB1375" s="53"/>
      <c r="MSC1375" s="53"/>
      <c r="MSD1375" s="53"/>
      <c r="MSE1375" s="53"/>
      <c r="MSF1375" s="53"/>
      <c r="MSG1375" s="53"/>
      <c r="MSH1375" s="53"/>
      <c r="MSI1375" s="53"/>
      <c r="MSJ1375" s="53"/>
      <c r="MSK1375" s="53"/>
      <c r="MSL1375" s="53"/>
      <c r="MSM1375" s="53"/>
      <c r="MSN1375" s="53"/>
      <c r="MSO1375" s="53"/>
      <c r="MSP1375" s="53"/>
      <c r="MSQ1375" s="53"/>
      <c r="MSR1375" s="53"/>
      <c r="MSS1375" s="53"/>
      <c r="MST1375" s="53"/>
      <c r="MSU1375" s="53"/>
      <c r="MSV1375" s="53"/>
      <c r="MSW1375" s="53"/>
      <c r="MSX1375" s="53"/>
      <c r="MSY1375" s="53"/>
      <c r="MSZ1375" s="53"/>
      <c r="MTA1375" s="53"/>
      <c r="MTB1375" s="53"/>
      <c r="MTC1375" s="53"/>
      <c r="MTD1375" s="53"/>
      <c r="MTE1375" s="53"/>
      <c r="MTF1375" s="53"/>
      <c r="MTG1375" s="53"/>
      <c r="MTH1375" s="53"/>
      <c r="MTI1375" s="53"/>
      <c r="MTJ1375" s="53"/>
      <c r="MTK1375" s="53"/>
      <c r="MTL1375" s="53"/>
      <c r="MTM1375" s="53"/>
      <c r="MTN1375" s="53"/>
      <c r="MTO1375" s="53"/>
      <c r="MTP1375" s="53"/>
      <c r="MTQ1375" s="53"/>
      <c r="MTR1375" s="53"/>
      <c r="MTS1375" s="53"/>
      <c r="MTT1375" s="53"/>
      <c r="MTU1375" s="53"/>
      <c r="MTV1375" s="53"/>
      <c r="MTW1375" s="53"/>
      <c r="MTX1375" s="53"/>
      <c r="MTY1375" s="53"/>
      <c r="MTZ1375" s="53"/>
      <c r="MUA1375" s="53"/>
      <c r="MUB1375" s="53"/>
      <c r="MUC1375" s="53"/>
      <c r="MUD1375" s="53"/>
      <c r="MUE1375" s="53"/>
      <c r="MUF1375" s="53"/>
      <c r="MUG1375" s="53"/>
      <c r="MUH1375" s="53"/>
      <c r="MUI1375" s="53"/>
      <c r="MUJ1375" s="53"/>
      <c r="MUK1375" s="53"/>
      <c r="MUL1375" s="53"/>
      <c r="MUM1375" s="53"/>
      <c r="MUN1375" s="53"/>
      <c r="MUO1375" s="53"/>
      <c r="MUP1375" s="53"/>
      <c r="MUQ1375" s="53"/>
      <c r="MUR1375" s="53"/>
      <c r="MUS1375" s="53"/>
      <c r="MUT1375" s="53"/>
      <c r="MUU1375" s="53"/>
      <c r="MUV1375" s="53"/>
      <c r="MUW1375" s="53"/>
      <c r="MUX1375" s="53"/>
      <c r="MUY1375" s="53"/>
      <c r="MUZ1375" s="53"/>
      <c r="MVA1375" s="53"/>
      <c r="MVB1375" s="53"/>
      <c r="MVC1375" s="53"/>
      <c r="MVD1375" s="53"/>
      <c r="MVE1375" s="53"/>
      <c r="MVF1375" s="53"/>
      <c r="MVG1375" s="53"/>
      <c r="MVH1375" s="53"/>
      <c r="MVI1375" s="53"/>
      <c r="MVJ1375" s="53"/>
      <c r="MVK1375" s="53"/>
      <c r="MVL1375" s="53"/>
      <c r="MVM1375" s="53"/>
      <c r="MVN1375" s="53"/>
      <c r="MVO1375" s="53"/>
      <c r="MVP1375" s="53"/>
      <c r="MVQ1375" s="53"/>
      <c r="MVR1375" s="53"/>
      <c r="MVS1375" s="53"/>
      <c r="MVT1375" s="53"/>
      <c r="MVU1375" s="53"/>
      <c r="MVV1375" s="53"/>
      <c r="MVW1375" s="53"/>
      <c r="MVX1375" s="53"/>
      <c r="MVY1375" s="53"/>
      <c r="MVZ1375" s="53"/>
      <c r="MWA1375" s="53"/>
      <c r="MWB1375" s="53"/>
      <c r="MWC1375" s="53"/>
      <c r="MWD1375" s="53"/>
      <c r="MWE1375" s="53"/>
      <c r="MWF1375" s="53"/>
      <c r="MWG1375" s="53"/>
      <c r="MWH1375" s="53"/>
      <c r="MWI1375" s="53"/>
      <c r="MWJ1375" s="53"/>
      <c r="MWK1375" s="53"/>
      <c r="MWL1375" s="53"/>
      <c r="MWM1375" s="53"/>
      <c r="MWN1375" s="53"/>
      <c r="MWO1375" s="53"/>
      <c r="MWP1375" s="53"/>
      <c r="MWQ1375" s="53"/>
      <c r="MWR1375" s="53"/>
      <c r="MWS1375" s="53"/>
      <c r="MWT1375" s="53"/>
      <c r="MWU1375" s="53"/>
      <c r="MWV1375" s="53"/>
      <c r="MWW1375" s="53"/>
      <c r="MWX1375" s="53"/>
      <c r="MWY1375" s="53"/>
      <c r="MWZ1375" s="53"/>
      <c r="MXA1375" s="53"/>
      <c r="MXB1375" s="53"/>
      <c r="MXC1375" s="53"/>
      <c r="MXD1375" s="53"/>
      <c r="MXE1375" s="53"/>
      <c r="MXF1375" s="53"/>
      <c r="MXG1375" s="53"/>
      <c r="MXH1375" s="53"/>
      <c r="MXI1375" s="53"/>
      <c r="MXJ1375" s="53"/>
      <c r="MXK1375" s="53"/>
      <c r="MXL1375" s="53"/>
      <c r="MXM1375" s="53"/>
      <c r="MXN1375" s="53"/>
      <c r="MXO1375" s="53"/>
      <c r="MXP1375" s="53"/>
      <c r="MXQ1375" s="53"/>
      <c r="MXR1375" s="53"/>
      <c r="MXS1375" s="53"/>
      <c r="MXT1375" s="53"/>
      <c r="MXU1375" s="53"/>
      <c r="MXV1375" s="53"/>
      <c r="MXW1375" s="53"/>
      <c r="MXX1375" s="53"/>
      <c r="MXY1375" s="53"/>
      <c r="MXZ1375" s="53"/>
      <c r="MYA1375" s="53"/>
      <c r="MYB1375" s="53"/>
      <c r="MYC1375" s="53"/>
      <c r="MYD1375" s="53"/>
      <c r="MYE1375" s="53"/>
      <c r="MYF1375" s="53"/>
      <c r="MYG1375" s="53"/>
      <c r="MYH1375" s="53"/>
      <c r="MYI1375" s="53"/>
      <c r="MYJ1375" s="53"/>
      <c r="MYK1375" s="53"/>
      <c r="MYL1375" s="53"/>
      <c r="MYM1375" s="53"/>
      <c r="MYN1375" s="53"/>
      <c r="MYO1375" s="53"/>
      <c r="MYP1375" s="53"/>
      <c r="MYQ1375" s="53"/>
      <c r="MYR1375" s="53"/>
      <c r="MYS1375" s="53"/>
      <c r="MYT1375" s="53"/>
      <c r="MYU1375" s="53"/>
      <c r="MYV1375" s="53"/>
      <c r="MYW1375" s="53"/>
      <c r="MYX1375" s="53"/>
      <c r="MYY1375" s="53"/>
      <c r="MYZ1375" s="53"/>
      <c r="MZA1375" s="53"/>
      <c r="MZB1375" s="53"/>
      <c r="MZC1375" s="53"/>
      <c r="MZD1375" s="53"/>
      <c r="MZE1375" s="53"/>
      <c r="MZF1375" s="53"/>
      <c r="MZG1375" s="53"/>
      <c r="MZH1375" s="53"/>
      <c r="MZI1375" s="53"/>
      <c r="MZJ1375" s="53"/>
      <c r="MZK1375" s="53"/>
      <c r="MZL1375" s="53"/>
      <c r="MZM1375" s="53"/>
      <c r="MZN1375" s="53"/>
      <c r="MZO1375" s="53"/>
      <c r="MZP1375" s="53"/>
      <c r="MZQ1375" s="53"/>
      <c r="MZR1375" s="53"/>
      <c r="MZS1375" s="53"/>
      <c r="MZT1375" s="53"/>
      <c r="MZU1375" s="53"/>
      <c r="MZV1375" s="53"/>
      <c r="MZW1375" s="53"/>
      <c r="MZX1375" s="53"/>
      <c r="MZY1375" s="53"/>
      <c r="MZZ1375" s="53"/>
      <c r="NAA1375" s="53"/>
      <c r="NAB1375" s="53"/>
      <c r="NAC1375" s="53"/>
      <c r="NAD1375" s="53"/>
      <c r="NAE1375" s="53"/>
      <c r="NAF1375" s="53"/>
      <c r="NAG1375" s="53"/>
      <c r="NAH1375" s="53"/>
      <c r="NAI1375" s="53"/>
      <c r="NAJ1375" s="53"/>
      <c r="NAK1375" s="53"/>
      <c r="NAL1375" s="53"/>
      <c r="NAM1375" s="53"/>
      <c r="NAN1375" s="53"/>
      <c r="NAO1375" s="53"/>
      <c r="NAP1375" s="53"/>
      <c r="NAQ1375" s="53"/>
      <c r="NAR1375" s="53"/>
      <c r="NAS1375" s="53"/>
      <c r="NAT1375" s="53"/>
      <c r="NAU1375" s="53"/>
      <c r="NAV1375" s="53"/>
      <c r="NAW1375" s="53"/>
      <c r="NAX1375" s="53"/>
      <c r="NAY1375" s="53"/>
      <c r="NAZ1375" s="53"/>
      <c r="NBA1375" s="53"/>
      <c r="NBB1375" s="53"/>
      <c r="NBC1375" s="53"/>
      <c r="NBD1375" s="53"/>
      <c r="NBE1375" s="53"/>
      <c r="NBF1375" s="53"/>
      <c r="NBG1375" s="53"/>
      <c r="NBH1375" s="53"/>
      <c r="NBI1375" s="53"/>
      <c r="NBJ1375" s="53"/>
      <c r="NBK1375" s="53"/>
      <c r="NBL1375" s="53"/>
      <c r="NBM1375" s="53"/>
      <c r="NBN1375" s="53"/>
      <c r="NBO1375" s="53"/>
      <c r="NBP1375" s="53"/>
      <c r="NBQ1375" s="53"/>
      <c r="NBR1375" s="53"/>
      <c r="NBS1375" s="53"/>
      <c r="NBT1375" s="53"/>
      <c r="NBU1375" s="53"/>
      <c r="NBV1375" s="53"/>
      <c r="NBW1375" s="53"/>
      <c r="NBX1375" s="53"/>
      <c r="NBY1375" s="53"/>
      <c r="NBZ1375" s="53"/>
      <c r="NCA1375" s="53"/>
      <c r="NCB1375" s="53"/>
      <c r="NCC1375" s="53"/>
      <c r="NCD1375" s="53"/>
      <c r="NCE1375" s="53"/>
      <c r="NCF1375" s="53"/>
      <c r="NCG1375" s="53"/>
      <c r="NCH1375" s="53"/>
      <c r="NCI1375" s="53"/>
      <c r="NCJ1375" s="53"/>
      <c r="NCK1375" s="53"/>
      <c r="NCL1375" s="53"/>
      <c r="NCM1375" s="53"/>
      <c r="NCN1375" s="53"/>
      <c r="NCO1375" s="53"/>
      <c r="NCP1375" s="53"/>
      <c r="NCQ1375" s="53"/>
      <c r="NCR1375" s="53"/>
      <c r="NCS1375" s="53"/>
      <c r="NCT1375" s="53"/>
      <c r="NCU1375" s="53"/>
      <c r="NCV1375" s="53"/>
      <c r="NCW1375" s="53"/>
      <c r="NCX1375" s="53"/>
      <c r="NCY1375" s="53"/>
      <c r="NCZ1375" s="53"/>
      <c r="NDA1375" s="53"/>
      <c r="NDB1375" s="53"/>
      <c r="NDC1375" s="53"/>
      <c r="NDD1375" s="53"/>
      <c r="NDE1375" s="53"/>
      <c r="NDF1375" s="53"/>
      <c r="NDG1375" s="53"/>
      <c r="NDH1375" s="53"/>
      <c r="NDI1375" s="53"/>
      <c r="NDJ1375" s="53"/>
      <c r="NDK1375" s="53"/>
      <c r="NDL1375" s="53"/>
      <c r="NDM1375" s="53"/>
      <c r="NDN1375" s="53"/>
      <c r="NDO1375" s="53"/>
      <c r="NDP1375" s="53"/>
      <c r="NDQ1375" s="53"/>
      <c r="NDR1375" s="53"/>
      <c r="NDS1375" s="53"/>
      <c r="NDT1375" s="53"/>
      <c r="NDU1375" s="53"/>
      <c r="NDV1375" s="53"/>
      <c r="NDW1375" s="53"/>
      <c r="NDX1375" s="53"/>
      <c r="NDY1375" s="53"/>
      <c r="NDZ1375" s="53"/>
      <c r="NEA1375" s="53"/>
      <c r="NEB1375" s="53"/>
      <c r="NEC1375" s="53"/>
      <c r="NED1375" s="53"/>
      <c r="NEE1375" s="53"/>
      <c r="NEF1375" s="53"/>
      <c r="NEG1375" s="53"/>
      <c r="NEH1375" s="53"/>
      <c r="NEI1375" s="53"/>
      <c r="NEJ1375" s="53"/>
      <c r="NEK1375" s="53"/>
      <c r="NEL1375" s="53"/>
      <c r="NEM1375" s="53"/>
      <c r="NEN1375" s="53"/>
      <c r="NEO1375" s="53"/>
      <c r="NEP1375" s="53"/>
      <c r="NEQ1375" s="53"/>
      <c r="NER1375" s="53"/>
      <c r="NES1375" s="53"/>
      <c r="NET1375" s="53"/>
      <c r="NEU1375" s="53"/>
      <c r="NEV1375" s="53"/>
      <c r="NEW1375" s="53"/>
      <c r="NEX1375" s="53"/>
      <c r="NEY1375" s="53"/>
      <c r="NEZ1375" s="53"/>
      <c r="NFA1375" s="53"/>
      <c r="NFB1375" s="53"/>
      <c r="NFC1375" s="53"/>
      <c r="NFD1375" s="53"/>
      <c r="NFE1375" s="53"/>
      <c r="NFF1375" s="53"/>
      <c r="NFG1375" s="53"/>
      <c r="NFH1375" s="53"/>
      <c r="NFI1375" s="53"/>
      <c r="NFJ1375" s="53"/>
      <c r="NFK1375" s="53"/>
      <c r="NFL1375" s="53"/>
      <c r="NFM1375" s="53"/>
      <c r="NFN1375" s="53"/>
      <c r="NFO1375" s="53"/>
      <c r="NFP1375" s="53"/>
      <c r="NFQ1375" s="53"/>
      <c r="NFR1375" s="53"/>
      <c r="NFS1375" s="53"/>
      <c r="NFT1375" s="53"/>
      <c r="NFU1375" s="53"/>
      <c r="NFV1375" s="53"/>
      <c r="NFW1375" s="53"/>
      <c r="NFX1375" s="53"/>
      <c r="NFY1375" s="53"/>
      <c r="NFZ1375" s="53"/>
      <c r="NGA1375" s="53"/>
      <c r="NGB1375" s="53"/>
      <c r="NGC1375" s="53"/>
      <c r="NGD1375" s="53"/>
      <c r="NGE1375" s="53"/>
      <c r="NGF1375" s="53"/>
      <c r="NGG1375" s="53"/>
      <c r="NGH1375" s="53"/>
      <c r="NGI1375" s="53"/>
      <c r="NGJ1375" s="53"/>
      <c r="NGK1375" s="53"/>
      <c r="NGL1375" s="53"/>
      <c r="NGM1375" s="53"/>
      <c r="NGN1375" s="53"/>
      <c r="NGO1375" s="53"/>
      <c r="NGP1375" s="53"/>
      <c r="NGQ1375" s="53"/>
      <c r="NGR1375" s="53"/>
      <c r="NGS1375" s="53"/>
      <c r="NGT1375" s="53"/>
      <c r="NGU1375" s="53"/>
      <c r="NGV1375" s="53"/>
      <c r="NGW1375" s="53"/>
      <c r="NGX1375" s="53"/>
      <c r="NGY1375" s="53"/>
      <c r="NGZ1375" s="53"/>
      <c r="NHA1375" s="53"/>
      <c r="NHB1375" s="53"/>
      <c r="NHC1375" s="53"/>
      <c r="NHD1375" s="53"/>
      <c r="NHE1375" s="53"/>
      <c r="NHF1375" s="53"/>
      <c r="NHG1375" s="53"/>
      <c r="NHH1375" s="53"/>
      <c r="NHI1375" s="53"/>
      <c r="NHJ1375" s="53"/>
      <c r="NHK1375" s="53"/>
      <c r="NHL1375" s="53"/>
      <c r="NHM1375" s="53"/>
      <c r="NHN1375" s="53"/>
      <c r="NHO1375" s="53"/>
      <c r="NHP1375" s="53"/>
      <c r="NHQ1375" s="53"/>
      <c r="NHR1375" s="53"/>
      <c r="NHS1375" s="53"/>
      <c r="NHT1375" s="53"/>
      <c r="NHU1375" s="53"/>
      <c r="NHV1375" s="53"/>
      <c r="NHW1375" s="53"/>
      <c r="NHX1375" s="53"/>
      <c r="NHY1375" s="53"/>
      <c r="NHZ1375" s="53"/>
      <c r="NIA1375" s="53"/>
      <c r="NIB1375" s="53"/>
      <c r="NIC1375" s="53"/>
      <c r="NID1375" s="53"/>
      <c r="NIE1375" s="53"/>
      <c r="NIF1375" s="53"/>
      <c r="NIG1375" s="53"/>
      <c r="NIH1375" s="53"/>
      <c r="NII1375" s="53"/>
      <c r="NIJ1375" s="53"/>
      <c r="NIK1375" s="53"/>
      <c r="NIL1375" s="53"/>
      <c r="NIM1375" s="53"/>
      <c r="NIN1375" s="53"/>
      <c r="NIO1375" s="53"/>
      <c r="NIP1375" s="53"/>
      <c r="NIQ1375" s="53"/>
      <c r="NIR1375" s="53"/>
      <c r="NIS1375" s="53"/>
      <c r="NIT1375" s="53"/>
      <c r="NIU1375" s="53"/>
      <c r="NIV1375" s="53"/>
      <c r="NIW1375" s="53"/>
      <c r="NIX1375" s="53"/>
      <c r="NIY1375" s="53"/>
      <c r="NIZ1375" s="53"/>
      <c r="NJA1375" s="53"/>
      <c r="NJB1375" s="53"/>
      <c r="NJC1375" s="53"/>
      <c r="NJD1375" s="53"/>
      <c r="NJE1375" s="53"/>
      <c r="NJF1375" s="53"/>
      <c r="NJG1375" s="53"/>
      <c r="NJH1375" s="53"/>
      <c r="NJI1375" s="53"/>
      <c r="NJJ1375" s="53"/>
      <c r="NJK1375" s="53"/>
      <c r="NJL1375" s="53"/>
      <c r="NJM1375" s="53"/>
      <c r="NJN1375" s="53"/>
      <c r="NJO1375" s="53"/>
      <c r="NJP1375" s="53"/>
      <c r="NJQ1375" s="53"/>
      <c r="NJR1375" s="53"/>
      <c r="NJS1375" s="53"/>
      <c r="NJT1375" s="53"/>
      <c r="NJU1375" s="53"/>
      <c r="NJV1375" s="53"/>
      <c r="NJW1375" s="53"/>
      <c r="NJX1375" s="53"/>
      <c r="NJY1375" s="53"/>
      <c r="NJZ1375" s="53"/>
      <c r="NKA1375" s="53"/>
      <c r="NKB1375" s="53"/>
      <c r="NKC1375" s="53"/>
      <c r="NKD1375" s="53"/>
      <c r="NKE1375" s="53"/>
      <c r="NKF1375" s="53"/>
      <c r="NKG1375" s="53"/>
      <c r="NKH1375" s="53"/>
      <c r="NKI1375" s="53"/>
      <c r="NKJ1375" s="53"/>
      <c r="NKK1375" s="53"/>
      <c r="NKL1375" s="53"/>
      <c r="NKM1375" s="53"/>
      <c r="NKN1375" s="53"/>
      <c r="NKO1375" s="53"/>
      <c r="NKP1375" s="53"/>
      <c r="NKQ1375" s="53"/>
      <c r="NKR1375" s="53"/>
      <c r="NKS1375" s="53"/>
      <c r="NKT1375" s="53"/>
      <c r="NKU1375" s="53"/>
      <c r="NKV1375" s="53"/>
      <c r="NKW1375" s="53"/>
      <c r="NKX1375" s="53"/>
      <c r="NKY1375" s="53"/>
      <c r="NKZ1375" s="53"/>
      <c r="NLA1375" s="53"/>
      <c r="NLB1375" s="53"/>
      <c r="NLC1375" s="53"/>
      <c r="NLD1375" s="53"/>
      <c r="NLE1375" s="53"/>
      <c r="NLF1375" s="53"/>
      <c r="NLG1375" s="53"/>
      <c r="NLH1375" s="53"/>
      <c r="NLI1375" s="53"/>
      <c r="NLJ1375" s="53"/>
      <c r="NLK1375" s="53"/>
      <c r="NLL1375" s="53"/>
      <c r="NLM1375" s="53"/>
      <c r="NLN1375" s="53"/>
      <c r="NLO1375" s="53"/>
      <c r="NLP1375" s="53"/>
      <c r="NLQ1375" s="53"/>
      <c r="NLR1375" s="53"/>
      <c r="NLS1375" s="53"/>
      <c r="NLT1375" s="53"/>
      <c r="NLU1375" s="53"/>
      <c r="NLV1375" s="53"/>
      <c r="NLW1375" s="53"/>
      <c r="NLX1375" s="53"/>
      <c r="NLY1375" s="53"/>
      <c r="NLZ1375" s="53"/>
      <c r="NMA1375" s="53"/>
      <c r="NMB1375" s="53"/>
      <c r="NMC1375" s="53"/>
      <c r="NMD1375" s="53"/>
      <c r="NME1375" s="53"/>
      <c r="NMF1375" s="53"/>
      <c r="NMG1375" s="53"/>
      <c r="NMH1375" s="53"/>
      <c r="NMI1375" s="53"/>
      <c r="NMJ1375" s="53"/>
      <c r="NMK1375" s="53"/>
      <c r="NML1375" s="53"/>
      <c r="NMM1375" s="53"/>
      <c r="NMN1375" s="53"/>
      <c r="NMO1375" s="53"/>
      <c r="NMP1375" s="53"/>
      <c r="NMQ1375" s="53"/>
      <c r="NMR1375" s="53"/>
      <c r="NMS1375" s="53"/>
      <c r="NMT1375" s="53"/>
      <c r="NMU1375" s="53"/>
      <c r="NMV1375" s="53"/>
      <c r="NMW1375" s="53"/>
      <c r="NMX1375" s="53"/>
      <c r="NMY1375" s="53"/>
      <c r="NMZ1375" s="53"/>
      <c r="NNA1375" s="53"/>
      <c r="NNB1375" s="53"/>
      <c r="NNC1375" s="53"/>
      <c r="NND1375" s="53"/>
      <c r="NNE1375" s="53"/>
      <c r="NNF1375" s="53"/>
      <c r="NNG1375" s="53"/>
      <c r="NNH1375" s="53"/>
      <c r="NNI1375" s="53"/>
      <c r="NNJ1375" s="53"/>
      <c r="NNK1375" s="53"/>
      <c r="NNL1375" s="53"/>
      <c r="NNM1375" s="53"/>
      <c r="NNN1375" s="53"/>
      <c r="NNO1375" s="53"/>
      <c r="NNP1375" s="53"/>
      <c r="NNQ1375" s="53"/>
      <c r="NNR1375" s="53"/>
      <c r="NNS1375" s="53"/>
      <c r="NNT1375" s="53"/>
      <c r="NNU1375" s="53"/>
      <c r="NNV1375" s="53"/>
      <c r="NNW1375" s="53"/>
      <c r="NNX1375" s="53"/>
      <c r="NNY1375" s="53"/>
      <c r="NNZ1375" s="53"/>
      <c r="NOA1375" s="53"/>
      <c r="NOB1375" s="53"/>
      <c r="NOC1375" s="53"/>
      <c r="NOD1375" s="53"/>
      <c r="NOE1375" s="53"/>
      <c r="NOF1375" s="53"/>
      <c r="NOG1375" s="53"/>
      <c r="NOH1375" s="53"/>
      <c r="NOI1375" s="53"/>
      <c r="NOJ1375" s="53"/>
      <c r="NOK1375" s="53"/>
      <c r="NOL1375" s="53"/>
      <c r="NOM1375" s="53"/>
      <c r="NON1375" s="53"/>
      <c r="NOO1375" s="53"/>
      <c r="NOP1375" s="53"/>
      <c r="NOQ1375" s="53"/>
      <c r="NOR1375" s="53"/>
      <c r="NOS1375" s="53"/>
      <c r="NOT1375" s="53"/>
      <c r="NOU1375" s="53"/>
      <c r="NOV1375" s="53"/>
      <c r="NOW1375" s="53"/>
      <c r="NOX1375" s="53"/>
      <c r="NOY1375" s="53"/>
      <c r="NOZ1375" s="53"/>
      <c r="NPA1375" s="53"/>
      <c r="NPB1375" s="53"/>
      <c r="NPC1375" s="53"/>
      <c r="NPD1375" s="53"/>
      <c r="NPE1375" s="53"/>
      <c r="NPF1375" s="53"/>
      <c r="NPG1375" s="53"/>
      <c r="NPH1375" s="53"/>
      <c r="NPI1375" s="53"/>
      <c r="NPJ1375" s="53"/>
      <c r="NPK1375" s="53"/>
      <c r="NPL1375" s="53"/>
      <c r="NPM1375" s="53"/>
      <c r="NPN1375" s="53"/>
      <c r="NPO1375" s="53"/>
      <c r="NPP1375" s="53"/>
      <c r="NPQ1375" s="53"/>
      <c r="NPR1375" s="53"/>
      <c r="NPS1375" s="53"/>
      <c r="NPT1375" s="53"/>
      <c r="NPU1375" s="53"/>
      <c r="NPV1375" s="53"/>
      <c r="NPW1375" s="53"/>
      <c r="NPX1375" s="53"/>
      <c r="NPY1375" s="53"/>
      <c r="NPZ1375" s="53"/>
      <c r="NQA1375" s="53"/>
      <c r="NQB1375" s="53"/>
      <c r="NQC1375" s="53"/>
      <c r="NQD1375" s="53"/>
      <c r="NQE1375" s="53"/>
      <c r="NQF1375" s="53"/>
      <c r="NQG1375" s="53"/>
      <c r="NQH1375" s="53"/>
      <c r="NQI1375" s="53"/>
      <c r="NQJ1375" s="53"/>
      <c r="NQK1375" s="53"/>
      <c r="NQL1375" s="53"/>
      <c r="NQM1375" s="53"/>
      <c r="NQN1375" s="53"/>
      <c r="NQO1375" s="53"/>
      <c r="NQP1375" s="53"/>
      <c r="NQQ1375" s="53"/>
      <c r="NQR1375" s="53"/>
      <c r="NQS1375" s="53"/>
      <c r="NQT1375" s="53"/>
      <c r="NQU1375" s="53"/>
      <c r="NQV1375" s="53"/>
      <c r="NQW1375" s="53"/>
      <c r="NQX1375" s="53"/>
      <c r="NQY1375" s="53"/>
      <c r="NQZ1375" s="53"/>
      <c r="NRA1375" s="53"/>
      <c r="NRB1375" s="53"/>
      <c r="NRC1375" s="53"/>
      <c r="NRD1375" s="53"/>
      <c r="NRE1375" s="53"/>
      <c r="NRF1375" s="53"/>
      <c r="NRG1375" s="53"/>
      <c r="NRH1375" s="53"/>
      <c r="NRI1375" s="53"/>
      <c r="NRJ1375" s="53"/>
      <c r="NRK1375" s="53"/>
      <c r="NRL1375" s="53"/>
      <c r="NRM1375" s="53"/>
      <c r="NRN1375" s="53"/>
      <c r="NRO1375" s="53"/>
      <c r="NRP1375" s="53"/>
      <c r="NRQ1375" s="53"/>
      <c r="NRR1375" s="53"/>
      <c r="NRS1375" s="53"/>
      <c r="NRT1375" s="53"/>
      <c r="NRU1375" s="53"/>
      <c r="NRV1375" s="53"/>
      <c r="NRW1375" s="53"/>
      <c r="NRX1375" s="53"/>
      <c r="NRY1375" s="53"/>
      <c r="NRZ1375" s="53"/>
      <c r="NSA1375" s="53"/>
      <c r="NSB1375" s="53"/>
      <c r="NSC1375" s="53"/>
      <c r="NSD1375" s="53"/>
      <c r="NSE1375" s="53"/>
      <c r="NSF1375" s="53"/>
      <c r="NSG1375" s="53"/>
      <c r="NSH1375" s="53"/>
      <c r="NSI1375" s="53"/>
      <c r="NSJ1375" s="53"/>
      <c r="NSK1375" s="53"/>
      <c r="NSL1375" s="53"/>
      <c r="NSM1375" s="53"/>
      <c r="NSN1375" s="53"/>
      <c r="NSO1375" s="53"/>
      <c r="NSP1375" s="53"/>
      <c r="NSQ1375" s="53"/>
      <c r="NSR1375" s="53"/>
      <c r="NSS1375" s="53"/>
      <c r="NST1375" s="53"/>
      <c r="NSU1375" s="53"/>
      <c r="NSV1375" s="53"/>
      <c r="NSW1375" s="53"/>
      <c r="NSX1375" s="53"/>
      <c r="NSY1375" s="53"/>
      <c r="NSZ1375" s="53"/>
      <c r="NTA1375" s="53"/>
      <c r="NTB1375" s="53"/>
      <c r="NTC1375" s="53"/>
      <c r="NTD1375" s="53"/>
      <c r="NTE1375" s="53"/>
      <c r="NTF1375" s="53"/>
      <c r="NTG1375" s="53"/>
      <c r="NTH1375" s="53"/>
      <c r="NTI1375" s="53"/>
      <c r="NTJ1375" s="53"/>
      <c r="NTK1375" s="53"/>
      <c r="NTL1375" s="53"/>
      <c r="NTM1375" s="53"/>
      <c r="NTN1375" s="53"/>
      <c r="NTO1375" s="53"/>
      <c r="NTP1375" s="53"/>
      <c r="NTQ1375" s="53"/>
      <c r="NTR1375" s="53"/>
      <c r="NTS1375" s="53"/>
      <c r="NTT1375" s="53"/>
      <c r="NTU1375" s="53"/>
      <c r="NTV1375" s="53"/>
      <c r="NTW1375" s="53"/>
      <c r="NTX1375" s="53"/>
      <c r="NTY1375" s="53"/>
      <c r="NTZ1375" s="53"/>
      <c r="NUA1375" s="53"/>
      <c r="NUB1375" s="53"/>
      <c r="NUC1375" s="53"/>
      <c r="NUD1375" s="53"/>
      <c r="NUE1375" s="53"/>
      <c r="NUF1375" s="53"/>
      <c r="NUG1375" s="53"/>
      <c r="NUH1375" s="53"/>
      <c r="NUI1375" s="53"/>
      <c r="NUJ1375" s="53"/>
      <c r="NUK1375" s="53"/>
      <c r="NUL1375" s="53"/>
      <c r="NUM1375" s="53"/>
      <c r="NUN1375" s="53"/>
      <c r="NUO1375" s="53"/>
      <c r="NUP1375" s="53"/>
      <c r="NUQ1375" s="53"/>
      <c r="NUR1375" s="53"/>
      <c r="NUS1375" s="53"/>
      <c r="NUT1375" s="53"/>
      <c r="NUU1375" s="53"/>
      <c r="NUV1375" s="53"/>
      <c r="NUW1375" s="53"/>
      <c r="NUX1375" s="53"/>
      <c r="NUY1375" s="53"/>
      <c r="NUZ1375" s="53"/>
      <c r="NVA1375" s="53"/>
      <c r="NVB1375" s="53"/>
      <c r="NVC1375" s="53"/>
      <c r="NVD1375" s="53"/>
      <c r="NVE1375" s="53"/>
      <c r="NVF1375" s="53"/>
      <c r="NVG1375" s="53"/>
      <c r="NVH1375" s="53"/>
      <c r="NVI1375" s="53"/>
      <c r="NVJ1375" s="53"/>
      <c r="NVK1375" s="53"/>
      <c r="NVL1375" s="53"/>
      <c r="NVM1375" s="53"/>
      <c r="NVN1375" s="53"/>
      <c r="NVO1375" s="53"/>
      <c r="NVP1375" s="53"/>
      <c r="NVQ1375" s="53"/>
      <c r="NVR1375" s="53"/>
      <c r="NVS1375" s="53"/>
      <c r="NVT1375" s="53"/>
      <c r="NVU1375" s="53"/>
      <c r="NVV1375" s="53"/>
      <c r="NVW1375" s="53"/>
      <c r="NVX1375" s="53"/>
      <c r="NVY1375" s="53"/>
      <c r="NVZ1375" s="53"/>
      <c r="NWA1375" s="53"/>
      <c r="NWB1375" s="53"/>
      <c r="NWC1375" s="53"/>
      <c r="NWD1375" s="53"/>
      <c r="NWE1375" s="53"/>
      <c r="NWF1375" s="53"/>
      <c r="NWG1375" s="53"/>
      <c r="NWH1375" s="53"/>
      <c r="NWI1375" s="53"/>
      <c r="NWJ1375" s="53"/>
      <c r="NWK1375" s="53"/>
      <c r="NWL1375" s="53"/>
      <c r="NWM1375" s="53"/>
      <c r="NWN1375" s="53"/>
      <c r="NWO1375" s="53"/>
      <c r="NWP1375" s="53"/>
      <c r="NWQ1375" s="53"/>
      <c r="NWR1375" s="53"/>
      <c r="NWS1375" s="53"/>
      <c r="NWT1375" s="53"/>
      <c r="NWU1375" s="53"/>
      <c r="NWV1375" s="53"/>
      <c r="NWW1375" s="53"/>
      <c r="NWX1375" s="53"/>
      <c r="NWY1375" s="53"/>
      <c r="NWZ1375" s="53"/>
      <c r="NXA1375" s="53"/>
      <c r="NXB1375" s="53"/>
      <c r="NXC1375" s="53"/>
      <c r="NXD1375" s="53"/>
      <c r="NXE1375" s="53"/>
      <c r="NXF1375" s="53"/>
      <c r="NXG1375" s="53"/>
      <c r="NXH1375" s="53"/>
      <c r="NXI1375" s="53"/>
      <c r="NXJ1375" s="53"/>
      <c r="NXK1375" s="53"/>
      <c r="NXL1375" s="53"/>
      <c r="NXM1375" s="53"/>
      <c r="NXN1375" s="53"/>
      <c r="NXO1375" s="53"/>
      <c r="NXP1375" s="53"/>
      <c r="NXQ1375" s="53"/>
      <c r="NXR1375" s="53"/>
      <c r="NXS1375" s="53"/>
      <c r="NXT1375" s="53"/>
      <c r="NXU1375" s="53"/>
      <c r="NXV1375" s="53"/>
      <c r="NXW1375" s="53"/>
      <c r="NXX1375" s="53"/>
      <c r="NXY1375" s="53"/>
      <c r="NXZ1375" s="53"/>
      <c r="NYA1375" s="53"/>
      <c r="NYB1375" s="53"/>
      <c r="NYC1375" s="53"/>
      <c r="NYD1375" s="53"/>
      <c r="NYE1375" s="53"/>
      <c r="NYF1375" s="53"/>
      <c r="NYG1375" s="53"/>
      <c r="NYH1375" s="53"/>
      <c r="NYI1375" s="53"/>
      <c r="NYJ1375" s="53"/>
      <c r="NYK1375" s="53"/>
      <c r="NYL1375" s="53"/>
      <c r="NYM1375" s="53"/>
      <c r="NYN1375" s="53"/>
      <c r="NYO1375" s="53"/>
      <c r="NYP1375" s="53"/>
      <c r="NYQ1375" s="53"/>
      <c r="NYR1375" s="53"/>
      <c r="NYS1375" s="53"/>
      <c r="NYT1375" s="53"/>
      <c r="NYU1375" s="53"/>
      <c r="NYV1375" s="53"/>
      <c r="NYW1375" s="53"/>
      <c r="NYX1375" s="53"/>
      <c r="NYY1375" s="53"/>
      <c r="NYZ1375" s="53"/>
      <c r="NZA1375" s="53"/>
      <c r="NZB1375" s="53"/>
      <c r="NZC1375" s="53"/>
      <c r="NZD1375" s="53"/>
      <c r="NZE1375" s="53"/>
      <c r="NZF1375" s="53"/>
      <c r="NZG1375" s="53"/>
      <c r="NZH1375" s="53"/>
      <c r="NZI1375" s="53"/>
      <c r="NZJ1375" s="53"/>
      <c r="NZK1375" s="53"/>
      <c r="NZL1375" s="53"/>
      <c r="NZM1375" s="53"/>
      <c r="NZN1375" s="53"/>
      <c r="NZO1375" s="53"/>
      <c r="NZP1375" s="53"/>
      <c r="NZQ1375" s="53"/>
      <c r="NZR1375" s="53"/>
      <c r="NZS1375" s="53"/>
      <c r="NZT1375" s="53"/>
      <c r="NZU1375" s="53"/>
      <c r="NZV1375" s="53"/>
      <c r="NZW1375" s="53"/>
      <c r="NZX1375" s="53"/>
      <c r="NZY1375" s="53"/>
      <c r="NZZ1375" s="53"/>
      <c r="OAA1375" s="53"/>
      <c r="OAB1375" s="53"/>
      <c r="OAC1375" s="53"/>
      <c r="OAD1375" s="53"/>
      <c r="OAE1375" s="53"/>
      <c r="OAF1375" s="53"/>
      <c r="OAG1375" s="53"/>
      <c r="OAH1375" s="53"/>
      <c r="OAI1375" s="53"/>
      <c r="OAJ1375" s="53"/>
      <c r="OAK1375" s="53"/>
      <c r="OAL1375" s="53"/>
      <c r="OAM1375" s="53"/>
      <c r="OAN1375" s="53"/>
      <c r="OAO1375" s="53"/>
      <c r="OAP1375" s="53"/>
      <c r="OAQ1375" s="53"/>
      <c r="OAR1375" s="53"/>
      <c r="OAS1375" s="53"/>
      <c r="OAT1375" s="53"/>
      <c r="OAU1375" s="53"/>
      <c r="OAV1375" s="53"/>
      <c r="OAW1375" s="53"/>
      <c r="OAX1375" s="53"/>
      <c r="OAY1375" s="53"/>
      <c r="OAZ1375" s="53"/>
      <c r="OBA1375" s="53"/>
      <c r="OBB1375" s="53"/>
      <c r="OBC1375" s="53"/>
      <c r="OBD1375" s="53"/>
      <c r="OBE1375" s="53"/>
      <c r="OBF1375" s="53"/>
      <c r="OBG1375" s="53"/>
      <c r="OBH1375" s="53"/>
      <c r="OBI1375" s="53"/>
      <c r="OBJ1375" s="53"/>
      <c r="OBK1375" s="53"/>
      <c r="OBL1375" s="53"/>
      <c r="OBM1375" s="53"/>
      <c r="OBN1375" s="53"/>
      <c r="OBO1375" s="53"/>
      <c r="OBP1375" s="53"/>
      <c r="OBQ1375" s="53"/>
      <c r="OBR1375" s="53"/>
      <c r="OBS1375" s="53"/>
      <c r="OBT1375" s="53"/>
      <c r="OBU1375" s="53"/>
      <c r="OBV1375" s="53"/>
      <c r="OBW1375" s="53"/>
      <c r="OBX1375" s="53"/>
      <c r="OBY1375" s="53"/>
      <c r="OBZ1375" s="53"/>
      <c r="OCA1375" s="53"/>
      <c r="OCB1375" s="53"/>
      <c r="OCC1375" s="53"/>
      <c r="OCD1375" s="53"/>
      <c r="OCE1375" s="53"/>
      <c r="OCF1375" s="53"/>
      <c r="OCG1375" s="53"/>
      <c r="OCH1375" s="53"/>
      <c r="OCI1375" s="53"/>
      <c r="OCJ1375" s="53"/>
      <c r="OCK1375" s="53"/>
      <c r="OCL1375" s="53"/>
      <c r="OCM1375" s="53"/>
      <c r="OCN1375" s="53"/>
      <c r="OCO1375" s="53"/>
      <c r="OCP1375" s="53"/>
      <c r="OCQ1375" s="53"/>
      <c r="OCR1375" s="53"/>
      <c r="OCS1375" s="53"/>
      <c r="OCT1375" s="53"/>
      <c r="OCU1375" s="53"/>
      <c r="OCV1375" s="53"/>
      <c r="OCW1375" s="53"/>
      <c r="OCX1375" s="53"/>
      <c r="OCY1375" s="53"/>
      <c r="OCZ1375" s="53"/>
      <c r="ODA1375" s="53"/>
      <c r="ODB1375" s="53"/>
      <c r="ODC1375" s="53"/>
      <c r="ODD1375" s="53"/>
      <c r="ODE1375" s="53"/>
      <c r="ODF1375" s="53"/>
      <c r="ODG1375" s="53"/>
      <c r="ODH1375" s="53"/>
      <c r="ODI1375" s="53"/>
      <c r="ODJ1375" s="53"/>
      <c r="ODK1375" s="53"/>
      <c r="ODL1375" s="53"/>
      <c r="ODM1375" s="53"/>
      <c r="ODN1375" s="53"/>
      <c r="ODO1375" s="53"/>
      <c r="ODP1375" s="53"/>
      <c r="ODQ1375" s="53"/>
      <c r="ODR1375" s="53"/>
      <c r="ODS1375" s="53"/>
      <c r="ODT1375" s="53"/>
      <c r="ODU1375" s="53"/>
      <c r="ODV1375" s="53"/>
      <c r="ODW1375" s="53"/>
      <c r="ODX1375" s="53"/>
      <c r="ODY1375" s="53"/>
      <c r="ODZ1375" s="53"/>
      <c r="OEA1375" s="53"/>
      <c r="OEB1375" s="53"/>
      <c r="OEC1375" s="53"/>
      <c r="OED1375" s="53"/>
      <c r="OEE1375" s="53"/>
      <c r="OEF1375" s="53"/>
      <c r="OEG1375" s="53"/>
      <c r="OEH1375" s="53"/>
      <c r="OEI1375" s="53"/>
      <c r="OEJ1375" s="53"/>
      <c r="OEK1375" s="53"/>
      <c r="OEL1375" s="53"/>
      <c r="OEM1375" s="53"/>
      <c r="OEN1375" s="53"/>
      <c r="OEO1375" s="53"/>
      <c r="OEP1375" s="53"/>
      <c r="OEQ1375" s="53"/>
      <c r="OER1375" s="53"/>
      <c r="OES1375" s="53"/>
      <c r="OET1375" s="53"/>
      <c r="OEU1375" s="53"/>
      <c r="OEV1375" s="53"/>
      <c r="OEW1375" s="53"/>
      <c r="OEX1375" s="53"/>
      <c r="OEY1375" s="53"/>
      <c r="OEZ1375" s="53"/>
      <c r="OFA1375" s="53"/>
      <c r="OFB1375" s="53"/>
      <c r="OFC1375" s="53"/>
      <c r="OFD1375" s="53"/>
      <c r="OFE1375" s="53"/>
      <c r="OFF1375" s="53"/>
      <c r="OFG1375" s="53"/>
      <c r="OFH1375" s="53"/>
      <c r="OFI1375" s="53"/>
      <c r="OFJ1375" s="53"/>
      <c r="OFK1375" s="53"/>
      <c r="OFL1375" s="53"/>
      <c r="OFM1375" s="53"/>
      <c r="OFN1375" s="53"/>
      <c r="OFO1375" s="53"/>
      <c r="OFP1375" s="53"/>
      <c r="OFQ1375" s="53"/>
      <c r="OFR1375" s="53"/>
      <c r="OFS1375" s="53"/>
      <c r="OFT1375" s="53"/>
      <c r="OFU1375" s="53"/>
      <c r="OFV1375" s="53"/>
      <c r="OFW1375" s="53"/>
      <c r="OFX1375" s="53"/>
      <c r="OFY1375" s="53"/>
      <c r="OFZ1375" s="53"/>
      <c r="OGA1375" s="53"/>
      <c r="OGB1375" s="53"/>
      <c r="OGC1375" s="53"/>
      <c r="OGD1375" s="53"/>
      <c r="OGE1375" s="53"/>
      <c r="OGF1375" s="53"/>
      <c r="OGG1375" s="53"/>
      <c r="OGH1375" s="53"/>
      <c r="OGI1375" s="53"/>
      <c r="OGJ1375" s="53"/>
      <c r="OGK1375" s="53"/>
      <c r="OGL1375" s="53"/>
      <c r="OGM1375" s="53"/>
      <c r="OGN1375" s="53"/>
      <c r="OGO1375" s="53"/>
      <c r="OGP1375" s="53"/>
      <c r="OGQ1375" s="53"/>
      <c r="OGR1375" s="53"/>
      <c r="OGS1375" s="53"/>
      <c r="OGT1375" s="53"/>
      <c r="OGU1375" s="53"/>
      <c r="OGV1375" s="53"/>
      <c r="OGW1375" s="53"/>
      <c r="OGX1375" s="53"/>
      <c r="OGY1375" s="53"/>
      <c r="OGZ1375" s="53"/>
      <c r="OHA1375" s="53"/>
      <c r="OHB1375" s="53"/>
      <c r="OHC1375" s="53"/>
      <c r="OHD1375" s="53"/>
      <c r="OHE1375" s="53"/>
      <c r="OHF1375" s="53"/>
      <c r="OHG1375" s="53"/>
      <c r="OHH1375" s="53"/>
      <c r="OHI1375" s="53"/>
      <c r="OHJ1375" s="53"/>
      <c r="OHK1375" s="53"/>
      <c r="OHL1375" s="53"/>
      <c r="OHM1375" s="53"/>
      <c r="OHN1375" s="53"/>
      <c r="OHO1375" s="53"/>
      <c r="OHP1375" s="53"/>
      <c r="OHQ1375" s="53"/>
      <c r="OHR1375" s="53"/>
      <c r="OHS1375" s="53"/>
      <c r="OHT1375" s="53"/>
      <c r="OHU1375" s="53"/>
      <c r="OHV1375" s="53"/>
      <c r="OHW1375" s="53"/>
      <c r="OHX1375" s="53"/>
      <c r="OHY1375" s="53"/>
      <c r="OHZ1375" s="53"/>
      <c r="OIA1375" s="53"/>
      <c r="OIB1375" s="53"/>
      <c r="OIC1375" s="53"/>
      <c r="OID1375" s="53"/>
      <c r="OIE1375" s="53"/>
      <c r="OIF1375" s="53"/>
      <c r="OIG1375" s="53"/>
      <c r="OIH1375" s="53"/>
      <c r="OII1375" s="53"/>
      <c r="OIJ1375" s="53"/>
      <c r="OIK1375" s="53"/>
      <c r="OIL1375" s="53"/>
      <c r="OIM1375" s="53"/>
      <c r="OIN1375" s="53"/>
      <c r="OIO1375" s="53"/>
      <c r="OIP1375" s="53"/>
      <c r="OIQ1375" s="53"/>
      <c r="OIR1375" s="53"/>
      <c r="OIS1375" s="53"/>
      <c r="OIT1375" s="53"/>
      <c r="OIU1375" s="53"/>
      <c r="OIV1375" s="53"/>
      <c r="OIW1375" s="53"/>
      <c r="OIX1375" s="53"/>
      <c r="OIY1375" s="53"/>
      <c r="OIZ1375" s="53"/>
      <c r="OJA1375" s="53"/>
      <c r="OJB1375" s="53"/>
      <c r="OJC1375" s="53"/>
      <c r="OJD1375" s="53"/>
      <c r="OJE1375" s="53"/>
      <c r="OJF1375" s="53"/>
      <c r="OJG1375" s="53"/>
      <c r="OJH1375" s="53"/>
      <c r="OJI1375" s="53"/>
      <c r="OJJ1375" s="53"/>
      <c r="OJK1375" s="53"/>
      <c r="OJL1375" s="53"/>
      <c r="OJM1375" s="53"/>
      <c r="OJN1375" s="53"/>
      <c r="OJO1375" s="53"/>
      <c r="OJP1375" s="53"/>
      <c r="OJQ1375" s="53"/>
      <c r="OJR1375" s="53"/>
      <c r="OJS1375" s="53"/>
      <c r="OJT1375" s="53"/>
      <c r="OJU1375" s="53"/>
      <c r="OJV1375" s="53"/>
      <c r="OJW1375" s="53"/>
      <c r="OJX1375" s="53"/>
      <c r="OJY1375" s="53"/>
      <c r="OJZ1375" s="53"/>
      <c r="OKA1375" s="53"/>
      <c r="OKB1375" s="53"/>
      <c r="OKC1375" s="53"/>
      <c r="OKD1375" s="53"/>
      <c r="OKE1375" s="53"/>
      <c r="OKF1375" s="53"/>
      <c r="OKG1375" s="53"/>
      <c r="OKH1375" s="53"/>
      <c r="OKI1375" s="53"/>
      <c r="OKJ1375" s="53"/>
      <c r="OKK1375" s="53"/>
      <c r="OKL1375" s="53"/>
      <c r="OKM1375" s="53"/>
      <c r="OKN1375" s="53"/>
      <c r="OKO1375" s="53"/>
      <c r="OKP1375" s="53"/>
      <c r="OKQ1375" s="53"/>
      <c r="OKR1375" s="53"/>
      <c r="OKS1375" s="53"/>
      <c r="OKT1375" s="53"/>
      <c r="OKU1375" s="53"/>
      <c r="OKV1375" s="53"/>
      <c r="OKW1375" s="53"/>
      <c r="OKX1375" s="53"/>
      <c r="OKY1375" s="53"/>
      <c r="OKZ1375" s="53"/>
      <c r="OLA1375" s="53"/>
      <c r="OLB1375" s="53"/>
      <c r="OLC1375" s="53"/>
      <c r="OLD1375" s="53"/>
      <c r="OLE1375" s="53"/>
      <c r="OLF1375" s="53"/>
      <c r="OLG1375" s="53"/>
      <c r="OLH1375" s="53"/>
      <c r="OLI1375" s="53"/>
      <c r="OLJ1375" s="53"/>
      <c r="OLK1375" s="53"/>
      <c r="OLL1375" s="53"/>
      <c r="OLM1375" s="53"/>
      <c r="OLN1375" s="53"/>
      <c r="OLO1375" s="53"/>
      <c r="OLP1375" s="53"/>
      <c r="OLQ1375" s="53"/>
      <c r="OLR1375" s="53"/>
      <c r="OLS1375" s="53"/>
      <c r="OLT1375" s="53"/>
      <c r="OLU1375" s="53"/>
      <c r="OLV1375" s="53"/>
      <c r="OLW1375" s="53"/>
      <c r="OLX1375" s="53"/>
      <c r="OLY1375" s="53"/>
      <c r="OLZ1375" s="53"/>
      <c r="OMA1375" s="53"/>
      <c r="OMB1375" s="53"/>
      <c r="OMC1375" s="53"/>
      <c r="OMD1375" s="53"/>
      <c r="OME1375" s="53"/>
      <c r="OMF1375" s="53"/>
      <c r="OMG1375" s="53"/>
      <c r="OMH1375" s="53"/>
      <c r="OMI1375" s="53"/>
      <c r="OMJ1375" s="53"/>
      <c r="OMK1375" s="53"/>
      <c r="OML1375" s="53"/>
      <c r="OMM1375" s="53"/>
      <c r="OMN1375" s="53"/>
      <c r="OMO1375" s="53"/>
      <c r="OMP1375" s="53"/>
      <c r="OMQ1375" s="53"/>
      <c r="OMR1375" s="53"/>
      <c r="OMS1375" s="53"/>
      <c r="OMT1375" s="53"/>
      <c r="OMU1375" s="53"/>
      <c r="OMV1375" s="53"/>
      <c r="OMW1375" s="53"/>
      <c r="OMX1375" s="53"/>
      <c r="OMY1375" s="53"/>
      <c r="OMZ1375" s="53"/>
      <c r="ONA1375" s="53"/>
      <c r="ONB1375" s="53"/>
      <c r="ONC1375" s="53"/>
      <c r="OND1375" s="53"/>
      <c r="ONE1375" s="53"/>
      <c r="ONF1375" s="53"/>
      <c r="ONG1375" s="53"/>
      <c r="ONH1375" s="53"/>
      <c r="ONI1375" s="53"/>
      <c r="ONJ1375" s="53"/>
      <c r="ONK1375" s="53"/>
      <c r="ONL1375" s="53"/>
      <c r="ONM1375" s="53"/>
      <c r="ONN1375" s="53"/>
      <c r="ONO1375" s="53"/>
      <c r="ONP1375" s="53"/>
      <c r="ONQ1375" s="53"/>
      <c r="ONR1375" s="53"/>
      <c r="ONS1375" s="53"/>
      <c r="ONT1375" s="53"/>
      <c r="ONU1375" s="53"/>
      <c r="ONV1375" s="53"/>
      <c r="ONW1375" s="53"/>
      <c r="ONX1375" s="53"/>
      <c r="ONY1375" s="53"/>
      <c r="ONZ1375" s="53"/>
      <c r="OOA1375" s="53"/>
      <c r="OOB1375" s="53"/>
      <c r="OOC1375" s="53"/>
      <c r="OOD1375" s="53"/>
      <c r="OOE1375" s="53"/>
      <c r="OOF1375" s="53"/>
      <c r="OOG1375" s="53"/>
      <c r="OOH1375" s="53"/>
      <c r="OOI1375" s="53"/>
      <c r="OOJ1375" s="53"/>
      <c r="OOK1375" s="53"/>
      <c r="OOL1375" s="53"/>
      <c r="OOM1375" s="53"/>
      <c r="OON1375" s="53"/>
      <c r="OOO1375" s="53"/>
      <c r="OOP1375" s="53"/>
      <c r="OOQ1375" s="53"/>
      <c r="OOR1375" s="53"/>
      <c r="OOS1375" s="53"/>
      <c r="OOT1375" s="53"/>
      <c r="OOU1375" s="53"/>
      <c r="OOV1375" s="53"/>
      <c r="OOW1375" s="53"/>
      <c r="OOX1375" s="53"/>
      <c r="OOY1375" s="53"/>
      <c r="OOZ1375" s="53"/>
      <c r="OPA1375" s="53"/>
      <c r="OPB1375" s="53"/>
      <c r="OPC1375" s="53"/>
      <c r="OPD1375" s="53"/>
      <c r="OPE1375" s="53"/>
      <c r="OPF1375" s="53"/>
      <c r="OPG1375" s="53"/>
      <c r="OPH1375" s="53"/>
      <c r="OPI1375" s="53"/>
      <c r="OPJ1375" s="53"/>
      <c r="OPK1375" s="53"/>
      <c r="OPL1375" s="53"/>
      <c r="OPM1375" s="53"/>
      <c r="OPN1375" s="53"/>
      <c r="OPO1375" s="53"/>
      <c r="OPP1375" s="53"/>
      <c r="OPQ1375" s="53"/>
      <c r="OPR1375" s="53"/>
      <c r="OPS1375" s="53"/>
      <c r="OPT1375" s="53"/>
      <c r="OPU1375" s="53"/>
      <c r="OPV1375" s="53"/>
      <c r="OPW1375" s="53"/>
      <c r="OPX1375" s="53"/>
      <c r="OPY1375" s="53"/>
      <c r="OPZ1375" s="53"/>
      <c r="OQA1375" s="53"/>
      <c r="OQB1375" s="53"/>
      <c r="OQC1375" s="53"/>
      <c r="OQD1375" s="53"/>
      <c r="OQE1375" s="53"/>
      <c r="OQF1375" s="53"/>
      <c r="OQG1375" s="53"/>
      <c r="OQH1375" s="53"/>
      <c r="OQI1375" s="53"/>
      <c r="OQJ1375" s="53"/>
      <c r="OQK1375" s="53"/>
      <c r="OQL1375" s="53"/>
      <c r="OQM1375" s="53"/>
      <c r="OQN1375" s="53"/>
      <c r="OQO1375" s="53"/>
      <c r="OQP1375" s="53"/>
      <c r="OQQ1375" s="53"/>
      <c r="OQR1375" s="53"/>
      <c r="OQS1375" s="53"/>
      <c r="OQT1375" s="53"/>
      <c r="OQU1375" s="53"/>
      <c r="OQV1375" s="53"/>
      <c r="OQW1375" s="53"/>
      <c r="OQX1375" s="53"/>
      <c r="OQY1375" s="53"/>
      <c r="OQZ1375" s="53"/>
      <c r="ORA1375" s="53"/>
      <c r="ORB1375" s="53"/>
      <c r="ORC1375" s="53"/>
      <c r="ORD1375" s="53"/>
      <c r="ORE1375" s="53"/>
      <c r="ORF1375" s="53"/>
      <c r="ORG1375" s="53"/>
      <c r="ORH1375" s="53"/>
      <c r="ORI1375" s="53"/>
      <c r="ORJ1375" s="53"/>
      <c r="ORK1375" s="53"/>
      <c r="ORL1375" s="53"/>
      <c r="ORM1375" s="53"/>
      <c r="ORN1375" s="53"/>
      <c r="ORO1375" s="53"/>
      <c r="ORP1375" s="53"/>
      <c r="ORQ1375" s="53"/>
      <c r="ORR1375" s="53"/>
      <c r="ORS1375" s="53"/>
      <c r="ORT1375" s="53"/>
      <c r="ORU1375" s="53"/>
      <c r="ORV1375" s="53"/>
      <c r="ORW1375" s="53"/>
      <c r="ORX1375" s="53"/>
      <c r="ORY1375" s="53"/>
      <c r="ORZ1375" s="53"/>
      <c r="OSA1375" s="53"/>
      <c r="OSB1375" s="53"/>
      <c r="OSC1375" s="53"/>
      <c r="OSD1375" s="53"/>
      <c r="OSE1375" s="53"/>
      <c r="OSF1375" s="53"/>
      <c r="OSG1375" s="53"/>
      <c r="OSH1375" s="53"/>
      <c r="OSI1375" s="53"/>
      <c r="OSJ1375" s="53"/>
      <c r="OSK1375" s="53"/>
      <c r="OSL1375" s="53"/>
      <c r="OSM1375" s="53"/>
      <c r="OSN1375" s="53"/>
      <c r="OSO1375" s="53"/>
      <c r="OSP1375" s="53"/>
      <c r="OSQ1375" s="53"/>
      <c r="OSR1375" s="53"/>
      <c r="OSS1375" s="53"/>
      <c r="OST1375" s="53"/>
      <c r="OSU1375" s="53"/>
      <c r="OSV1375" s="53"/>
      <c r="OSW1375" s="53"/>
      <c r="OSX1375" s="53"/>
      <c r="OSY1375" s="53"/>
      <c r="OSZ1375" s="53"/>
      <c r="OTA1375" s="53"/>
      <c r="OTB1375" s="53"/>
      <c r="OTC1375" s="53"/>
      <c r="OTD1375" s="53"/>
      <c r="OTE1375" s="53"/>
      <c r="OTF1375" s="53"/>
      <c r="OTG1375" s="53"/>
      <c r="OTH1375" s="53"/>
      <c r="OTI1375" s="53"/>
      <c r="OTJ1375" s="53"/>
      <c r="OTK1375" s="53"/>
      <c r="OTL1375" s="53"/>
      <c r="OTM1375" s="53"/>
      <c r="OTN1375" s="53"/>
      <c r="OTO1375" s="53"/>
      <c r="OTP1375" s="53"/>
      <c r="OTQ1375" s="53"/>
      <c r="OTR1375" s="53"/>
      <c r="OTS1375" s="53"/>
      <c r="OTT1375" s="53"/>
      <c r="OTU1375" s="53"/>
      <c r="OTV1375" s="53"/>
      <c r="OTW1375" s="53"/>
      <c r="OTX1375" s="53"/>
      <c r="OTY1375" s="53"/>
      <c r="OTZ1375" s="53"/>
      <c r="OUA1375" s="53"/>
      <c r="OUB1375" s="53"/>
      <c r="OUC1375" s="53"/>
      <c r="OUD1375" s="53"/>
      <c r="OUE1375" s="53"/>
      <c r="OUF1375" s="53"/>
      <c r="OUG1375" s="53"/>
      <c r="OUH1375" s="53"/>
      <c r="OUI1375" s="53"/>
      <c r="OUJ1375" s="53"/>
      <c r="OUK1375" s="53"/>
      <c r="OUL1375" s="53"/>
      <c r="OUM1375" s="53"/>
      <c r="OUN1375" s="53"/>
      <c r="OUO1375" s="53"/>
      <c r="OUP1375" s="53"/>
      <c r="OUQ1375" s="53"/>
      <c r="OUR1375" s="53"/>
      <c r="OUS1375" s="53"/>
      <c r="OUT1375" s="53"/>
      <c r="OUU1375" s="53"/>
      <c r="OUV1375" s="53"/>
      <c r="OUW1375" s="53"/>
      <c r="OUX1375" s="53"/>
      <c r="OUY1375" s="53"/>
      <c r="OUZ1375" s="53"/>
      <c r="OVA1375" s="53"/>
      <c r="OVB1375" s="53"/>
      <c r="OVC1375" s="53"/>
      <c r="OVD1375" s="53"/>
      <c r="OVE1375" s="53"/>
      <c r="OVF1375" s="53"/>
      <c r="OVG1375" s="53"/>
      <c r="OVH1375" s="53"/>
      <c r="OVI1375" s="53"/>
      <c r="OVJ1375" s="53"/>
      <c r="OVK1375" s="53"/>
      <c r="OVL1375" s="53"/>
      <c r="OVM1375" s="53"/>
      <c r="OVN1375" s="53"/>
      <c r="OVO1375" s="53"/>
      <c r="OVP1375" s="53"/>
      <c r="OVQ1375" s="53"/>
      <c r="OVR1375" s="53"/>
      <c r="OVS1375" s="53"/>
      <c r="OVT1375" s="53"/>
      <c r="OVU1375" s="53"/>
      <c r="OVV1375" s="53"/>
      <c r="OVW1375" s="53"/>
      <c r="OVX1375" s="53"/>
      <c r="OVY1375" s="53"/>
      <c r="OVZ1375" s="53"/>
      <c r="OWA1375" s="53"/>
      <c r="OWB1375" s="53"/>
      <c r="OWC1375" s="53"/>
      <c r="OWD1375" s="53"/>
      <c r="OWE1375" s="53"/>
      <c r="OWF1375" s="53"/>
      <c r="OWG1375" s="53"/>
      <c r="OWH1375" s="53"/>
      <c r="OWI1375" s="53"/>
      <c r="OWJ1375" s="53"/>
      <c r="OWK1375" s="53"/>
      <c r="OWL1375" s="53"/>
      <c r="OWM1375" s="53"/>
      <c r="OWN1375" s="53"/>
      <c r="OWO1375" s="53"/>
      <c r="OWP1375" s="53"/>
      <c r="OWQ1375" s="53"/>
      <c r="OWR1375" s="53"/>
      <c r="OWS1375" s="53"/>
      <c r="OWT1375" s="53"/>
      <c r="OWU1375" s="53"/>
      <c r="OWV1375" s="53"/>
      <c r="OWW1375" s="53"/>
      <c r="OWX1375" s="53"/>
      <c r="OWY1375" s="53"/>
      <c r="OWZ1375" s="53"/>
      <c r="OXA1375" s="53"/>
      <c r="OXB1375" s="53"/>
      <c r="OXC1375" s="53"/>
      <c r="OXD1375" s="53"/>
      <c r="OXE1375" s="53"/>
      <c r="OXF1375" s="53"/>
      <c r="OXG1375" s="53"/>
      <c r="OXH1375" s="53"/>
      <c r="OXI1375" s="53"/>
      <c r="OXJ1375" s="53"/>
      <c r="OXK1375" s="53"/>
      <c r="OXL1375" s="53"/>
      <c r="OXM1375" s="53"/>
      <c r="OXN1375" s="53"/>
      <c r="OXO1375" s="53"/>
      <c r="OXP1375" s="53"/>
      <c r="OXQ1375" s="53"/>
      <c r="OXR1375" s="53"/>
      <c r="OXS1375" s="53"/>
      <c r="OXT1375" s="53"/>
      <c r="OXU1375" s="53"/>
      <c r="OXV1375" s="53"/>
      <c r="OXW1375" s="53"/>
      <c r="OXX1375" s="53"/>
      <c r="OXY1375" s="53"/>
      <c r="OXZ1375" s="53"/>
      <c r="OYA1375" s="53"/>
      <c r="OYB1375" s="53"/>
      <c r="OYC1375" s="53"/>
      <c r="OYD1375" s="53"/>
      <c r="OYE1375" s="53"/>
      <c r="OYF1375" s="53"/>
      <c r="OYG1375" s="53"/>
      <c r="OYH1375" s="53"/>
      <c r="OYI1375" s="53"/>
      <c r="OYJ1375" s="53"/>
      <c r="OYK1375" s="53"/>
      <c r="OYL1375" s="53"/>
      <c r="OYM1375" s="53"/>
      <c r="OYN1375" s="53"/>
      <c r="OYO1375" s="53"/>
      <c r="OYP1375" s="53"/>
      <c r="OYQ1375" s="53"/>
      <c r="OYR1375" s="53"/>
      <c r="OYS1375" s="53"/>
      <c r="OYT1375" s="53"/>
      <c r="OYU1375" s="53"/>
      <c r="OYV1375" s="53"/>
      <c r="OYW1375" s="53"/>
      <c r="OYX1375" s="53"/>
      <c r="OYY1375" s="53"/>
      <c r="OYZ1375" s="53"/>
      <c r="OZA1375" s="53"/>
      <c r="OZB1375" s="53"/>
      <c r="OZC1375" s="53"/>
      <c r="OZD1375" s="53"/>
      <c r="OZE1375" s="53"/>
      <c r="OZF1375" s="53"/>
      <c r="OZG1375" s="53"/>
      <c r="OZH1375" s="53"/>
      <c r="OZI1375" s="53"/>
      <c r="OZJ1375" s="53"/>
      <c r="OZK1375" s="53"/>
      <c r="OZL1375" s="53"/>
      <c r="OZM1375" s="53"/>
      <c r="OZN1375" s="53"/>
      <c r="OZO1375" s="53"/>
      <c r="OZP1375" s="53"/>
      <c r="OZQ1375" s="53"/>
      <c r="OZR1375" s="53"/>
      <c r="OZS1375" s="53"/>
      <c r="OZT1375" s="53"/>
      <c r="OZU1375" s="53"/>
      <c r="OZV1375" s="53"/>
      <c r="OZW1375" s="53"/>
      <c r="OZX1375" s="53"/>
      <c r="OZY1375" s="53"/>
      <c r="OZZ1375" s="53"/>
      <c r="PAA1375" s="53"/>
      <c r="PAB1375" s="53"/>
      <c r="PAC1375" s="53"/>
      <c r="PAD1375" s="53"/>
      <c r="PAE1375" s="53"/>
      <c r="PAF1375" s="53"/>
      <c r="PAG1375" s="53"/>
      <c r="PAH1375" s="53"/>
      <c r="PAI1375" s="53"/>
      <c r="PAJ1375" s="53"/>
      <c r="PAK1375" s="53"/>
      <c r="PAL1375" s="53"/>
      <c r="PAM1375" s="53"/>
      <c r="PAN1375" s="53"/>
      <c r="PAO1375" s="53"/>
      <c r="PAP1375" s="53"/>
      <c r="PAQ1375" s="53"/>
      <c r="PAR1375" s="53"/>
      <c r="PAS1375" s="53"/>
      <c r="PAT1375" s="53"/>
      <c r="PAU1375" s="53"/>
      <c r="PAV1375" s="53"/>
      <c r="PAW1375" s="53"/>
      <c r="PAX1375" s="53"/>
      <c r="PAY1375" s="53"/>
      <c r="PAZ1375" s="53"/>
      <c r="PBA1375" s="53"/>
      <c r="PBB1375" s="53"/>
      <c r="PBC1375" s="53"/>
      <c r="PBD1375" s="53"/>
      <c r="PBE1375" s="53"/>
      <c r="PBF1375" s="53"/>
      <c r="PBG1375" s="53"/>
      <c r="PBH1375" s="53"/>
      <c r="PBI1375" s="53"/>
      <c r="PBJ1375" s="53"/>
      <c r="PBK1375" s="53"/>
      <c r="PBL1375" s="53"/>
      <c r="PBM1375" s="53"/>
      <c r="PBN1375" s="53"/>
      <c r="PBO1375" s="53"/>
      <c r="PBP1375" s="53"/>
      <c r="PBQ1375" s="53"/>
      <c r="PBR1375" s="53"/>
      <c r="PBS1375" s="53"/>
      <c r="PBT1375" s="53"/>
      <c r="PBU1375" s="53"/>
      <c r="PBV1375" s="53"/>
      <c r="PBW1375" s="53"/>
      <c r="PBX1375" s="53"/>
      <c r="PBY1375" s="53"/>
      <c r="PBZ1375" s="53"/>
      <c r="PCA1375" s="53"/>
      <c r="PCB1375" s="53"/>
      <c r="PCC1375" s="53"/>
      <c r="PCD1375" s="53"/>
      <c r="PCE1375" s="53"/>
      <c r="PCF1375" s="53"/>
      <c r="PCG1375" s="53"/>
      <c r="PCH1375" s="53"/>
      <c r="PCI1375" s="53"/>
      <c r="PCJ1375" s="53"/>
      <c r="PCK1375" s="53"/>
      <c r="PCL1375" s="53"/>
      <c r="PCM1375" s="53"/>
      <c r="PCN1375" s="53"/>
      <c r="PCO1375" s="53"/>
      <c r="PCP1375" s="53"/>
      <c r="PCQ1375" s="53"/>
      <c r="PCR1375" s="53"/>
      <c r="PCS1375" s="53"/>
      <c r="PCT1375" s="53"/>
      <c r="PCU1375" s="53"/>
      <c r="PCV1375" s="53"/>
      <c r="PCW1375" s="53"/>
      <c r="PCX1375" s="53"/>
      <c r="PCY1375" s="53"/>
      <c r="PCZ1375" s="53"/>
      <c r="PDA1375" s="53"/>
      <c r="PDB1375" s="53"/>
      <c r="PDC1375" s="53"/>
      <c r="PDD1375" s="53"/>
      <c r="PDE1375" s="53"/>
      <c r="PDF1375" s="53"/>
      <c r="PDG1375" s="53"/>
      <c r="PDH1375" s="53"/>
      <c r="PDI1375" s="53"/>
      <c r="PDJ1375" s="53"/>
      <c r="PDK1375" s="53"/>
      <c r="PDL1375" s="53"/>
      <c r="PDM1375" s="53"/>
      <c r="PDN1375" s="53"/>
      <c r="PDO1375" s="53"/>
      <c r="PDP1375" s="53"/>
      <c r="PDQ1375" s="53"/>
      <c r="PDR1375" s="53"/>
      <c r="PDS1375" s="53"/>
      <c r="PDT1375" s="53"/>
      <c r="PDU1375" s="53"/>
      <c r="PDV1375" s="53"/>
      <c r="PDW1375" s="53"/>
      <c r="PDX1375" s="53"/>
      <c r="PDY1375" s="53"/>
      <c r="PDZ1375" s="53"/>
      <c r="PEA1375" s="53"/>
      <c r="PEB1375" s="53"/>
      <c r="PEC1375" s="53"/>
      <c r="PED1375" s="53"/>
      <c r="PEE1375" s="53"/>
      <c r="PEF1375" s="53"/>
      <c r="PEG1375" s="53"/>
      <c r="PEH1375" s="53"/>
      <c r="PEI1375" s="53"/>
      <c r="PEJ1375" s="53"/>
      <c r="PEK1375" s="53"/>
      <c r="PEL1375" s="53"/>
      <c r="PEM1375" s="53"/>
      <c r="PEN1375" s="53"/>
      <c r="PEO1375" s="53"/>
      <c r="PEP1375" s="53"/>
      <c r="PEQ1375" s="53"/>
      <c r="PER1375" s="53"/>
      <c r="PES1375" s="53"/>
      <c r="PET1375" s="53"/>
      <c r="PEU1375" s="53"/>
      <c r="PEV1375" s="53"/>
      <c r="PEW1375" s="53"/>
      <c r="PEX1375" s="53"/>
      <c r="PEY1375" s="53"/>
      <c r="PEZ1375" s="53"/>
      <c r="PFA1375" s="53"/>
      <c r="PFB1375" s="53"/>
      <c r="PFC1375" s="53"/>
      <c r="PFD1375" s="53"/>
      <c r="PFE1375" s="53"/>
      <c r="PFF1375" s="53"/>
      <c r="PFG1375" s="53"/>
      <c r="PFH1375" s="53"/>
      <c r="PFI1375" s="53"/>
      <c r="PFJ1375" s="53"/>
      <c r="PFK1375" s="53"/>
      <c r="PFL1375" s="53"/>
      <c r="PFM1375" s="53"/>
      <c r="PFN1375" s="53"/>
      <c r="PFO1375" s="53"/>
      <c r="PFP1375" s="53"/>
      <c r="PFQ1375" s="53"/>
      <c r="PFR1375" s="53"/>
      <c r="PFS1375" s="53"/>
      <c r="PFT1375" s="53"/>
      <c r="PFU1375" s="53"/>
      <c r="PFV1375" s="53"/>
      <c r="PFW1375" s="53"/>
      <c r="PFX1375" s="53"/>
      <c r="PFY1375" s="53"/>
      <c r="PFZ1375" s="53"/>
      <c r="PGA1375" s="53"/>
      <c r="PGB1375" s="53"/>
      <c r="PGC1375" s="53"/>
      <c r="PGD1375" s="53"/>
      <c r="PGE1375" s="53"/>
      <c r="PGF1375" s="53"/>
      <c r="PGG1375" s="53"/>
      <c r="PGH1375" s="53"/>
      <c r="PGI1375" s="53"/>
      <c r="PGJ1375" s="53"/>
      <c r="PGK1375" s="53"/>
      <c r="PGL1375" s="53"/>
      <c r="PGM1375" s="53"/>
      <c r="PGN1375" s="53"/>
      <c r="PGO1375" s="53"/>
      <c r="PGP1375" s="53"/>
      <c r="PGQ1375" s="53"/>
      <c r="PGR1375" s="53"/>
      <c r="PGS1375" s="53"/>
      <c r="PGT1375" s="53"/>
      <c r="PGU1375" s="53"/>
      <c r="PGV1375" s="53"/>
      <c r="PGW1375" s="53"/>
      <c r="PGX1375" s="53"/>
      <c r="PGY1375" s="53"/>
      <c r="PGZ1375" s="53"/>
      <c r="PHA1375" s="53"/>
      <c r="PHB1375" s="53"/>
      <c r="PHC1375" s="53"/>
      <c r="PHD1375" s="53"/>
      <c r="PHE1375" s="53"/>
      <c r="PHF1375" s="53"/>
      <c r="PHG1375" s="53"/>
      <c r="PHH1375" s="53"/>
      <c r="PHI1375" s="53"/>
      <c r="PHJ1375" s="53"/>
      <c r="PHK1375" s="53"/>
      <c r="PHL1375" s="53"/>
      <c r="PHM1375" s="53"/>
      <c r="PHN1375" s="53"/>
      <c r="PHO1375" s="53"/>
      <c r="PHP1375" s="53"/>
      <c r="PHQ1375" s="53"/>
      <c r="PHR1375" s="53"/>
      <c r="PHS1375" s="53"/>
      <c r="PHT1375" s="53"/>
      <c r="PHU1375" s="53"/>
      <c r="PHV1375" s="53"/>
      <c r="PHW1375" s="53"/>
      <c r="PHX1375" s="53"/>
      <c r="PHY1375" s="53"/>
      <c r="PHZ1375" s="53"/>
      <c r="PIA1375" s="53"/>
      <c r="PIB1375" s="53"/>
      <c r="PIC1375" s="53"/>
      <c r="PID1375" s="53"/>
      <c r="PIE1375" s="53"/>
      <c r="PIF1375" s="53"/>
      <c r="PIG1375" s="53"/>
      <c r="PIH1375" s="53"/>
      <c r="PII1375" s="53"/>
      <c r="PIJ1375" s="53"/>
      <c r="PIK1375" s="53"/>
      <c r="PIL1375" s="53"/>
      <c r="PIM1375" s="53"/>
      <c r="PIN1375" s="53"/>
      <c r="PIO1375" s="53"/>
      <c r="PIP1375" s="53"/>
      <c r="PIQ1375" s="53"/>
      <c r="PIR1375" s="53"/>
      <c r="PIS1375" s="53"/>
      <c r="PIT1375" s="53"/>
      <c r="PIU1375" s="53"/>
      <c r="PIV1375" s="53"/>
      <c r="PIW1375" s="53"/>
      <c r="PIX1375" s="53"/>
      <c r="PIY1375" s="53"/>
      <c r="PIZ1375" s="53"/>
      <c r="PJA1375" s="53"/>
      <c r="PJB1375" s="53"/>
      <c r="PJC1375" s="53"/>
      <c r="PJD1375" s="53"/>
      <c r="PJE1375" s="53"/>
      <c r="PJF1375" s="53"/>
      <c r="PJG1375" s="53"/>
      <c r="PJH1375" s="53"/>
      <c r="PJI1375" s="53"/>
      <c r="PJJ1375" s="53"/>
      <c r="PJK1375" s="53"/>
      <c r="PJL1375" s="53"/>
      <c r="PJM1375" s="53"/>
      <c r="PJN1375" s="53"/>
      <c r="PJO1375" s="53"/>
      <c r="PJP1375" s="53"/>
      <c r="PJQ1375" s="53"/>
      <c r="PJR1375" s="53"/>
      <c r="PJS1375" s="53"/>
      <c r="PJT1375" s="53"/>
      <c r="PJU1375" s="53"/>
      <c r="PJV1375" s="53"/>
      <c r="PJW1375" s="53"/>
      <c r="PJX1375" s="53"/>
      <c r="PJY1375" s="53"/>
      <c r="PJZ1375" s="53"/>
      <c r="PKA1375" s="53"/>
      <c r="PKB1375" s="53"/>
      <c r="PKC1375" s="53"/>
      <c r="PKD1375" s="53"/>
      <c r="PKE1375" s="53"/>
      <c r="PKF1375" s="53"/>
      <c r="PKG1375" s="53"/>
      <c r="PKH1375" s="53"/>
      <c r="PKI1375" s="53"/>
      <c r="PKJ1375" s="53"/>
      <c r="PKK1375" s="53"/>
      <c r="PKL1375" s="53"/>
      <c r="PKM1375" s="53"/>
      <c r="PKN1375" s="53"/>
      <c r="PKO1375" s="53"/>
      <c r="PKP1375" s="53"/>
      <c r="PKQ1375" s="53"/>
      <c r="PKR1375" s="53"/>
      <c r="PKS1375" s="53"/>
      <c r="PKT1375" s="53"/>
      <c r="PKU1375" s="53"/>
      <c r="PKV1375" s="53"/>
      <c r="PKW1375" s="53"/>
      <c r="PKX1375" s="53"/>
      <c r="PKY1375" s="53"/>
      <c r="PKZ1375" s="53"/>
      <c r="PLA1375" s="53"/>
      <c r="PLB1375" s="53"/>
      <c r="PLC1375" s="53"/>
      <c r="PLD1375" s="53"/>
      <c r="PLE1375" s="53"/>
      <c r="PLF1375" s="53"/>
      <c r="PLG1375" s="53"/>
      <c r="PLH1375" s="53"/>
      <c r="PLI1375" s="53"/>
      <c r="PLJ1375" s="53"/>
      <c r="PLK1375" s="53"/>
      <c r="PLL1375" s="53"/>
      <c r="PLM1375" s="53"/>
      <c r="PLN1375" s="53"/>
      <c r="PLO1375" s="53"/>
      <c r="PLP1375" s="53"/>
      <c r="PLQ1375" s="53"/>
      <c r="PLR1375" s="53"/>
      <c r="PLS1375" s="53"/>
      <c r="PLT1375" s="53"/>
      <c r="PLU1375" s="53"/>
      <c r="PLV1375" s="53"/>
      <c r="PLW1375" s="53"/>
      <c r="PLX1375" s="53"/>
      <c r="PLY1375" s="53"/>
      <c r="PLZ1375" s="53"/>
      <c r="PMA1375" s="53"/>
      <c r="PMB1375" s="53"/>
      <c r="PMC1375" s="53"/>
      <c r="PMD1375" s="53"/>
      <c r="PME1375" s="53"/>
      <c r="PMF1375" s="53"/>
      <c r="PMG1375" s="53"/>
      <c r="PMH1375" s="53"/>
      <c r="PMI1375" s="53"/>
      <c r="PMJ1375" s="53"/>
      <c r="PMK1375" s="53"/>
      <c r="PML1375" s="53"/>
      <c r="PMM1375" s="53"/>
      <c r="PMN1375" s="53"/>
      <c r="PMO1375" s="53"/>
      <c r="PMP1375" s="53"/>
      <c r="PMQ1375" s="53"/>
      <c r="PMR1375" s="53"/>
      <c r="PMS1375" s="53"/>
      <c r="PMT1375" s="53"/>
      <c r="PMU1375" s="53"/>
      <c r="PMV1375" s="53"/>
      <c r="PMW1375" s="53"/>
      <c r="PMX1375" s="53"/>
      <c r="PMY1375" s="53"/>
      <c r="PMZ1375" s="53"/>
      <c r="PNA1375" s="53"/>
      <c r="PNB1375" s="53"/>
      <c r="PNC1375" s="53"/>
      <c r="PND1375" s="53"/>
      <c r="PNE1375" s="53"/>
      <c r="PNF1375" s="53"/>
      <c r="PNG1375" s="53"/>
      <c r="PNH1375" s="53"/>
      <c r="PNI1375" s="53"/>
      <c r="PNJ1375" s="53"/>
      <c r="PNK1375" s="53"/>
      <c r="PNL1375" s="53"/>
      <c r="PNM1375" s="53"/>
      <c r="PNN1375" s="53"/>
      <c r="PNO1375" s="53"/>
      <c r="PNP1375" s="53"/>
      <c r="PNQ1375" s="53"/>
      <c r="PNR1375" s="53"/>
      <c r="PNS1375" s="53"/>
      <c r="PNT1375" s="53"/>
      <c r="PNU1375" s="53"/>
      <c r="PNV1375" s="53"/>
      <c r="PNW1375" s="53"/>
      <c r="PNX1375" s="53"/>
      <c r="PNY1375" s="53"/>
      <c r="PNZ1375" s="53"/>
      <c r="POA1375" s="53"/>
      <c r="POB1375" s="53"/>
      <c r="POC1375" s="53"/>
      <c r="POD1375" s="53"/>
      <c r="POE1375" s="53"/>
      <c r="POF1375" s="53"/>
      <c r="POG1375" s="53"/>
      <c r="POH1375" s="53"/>
      <c r="POI1375" s="53"/>
      <c r="POJ1375" s="53"/>
      <c r="POK1375" s="53"/>
      <c r="POL1375" s="53"/>
      <c r="POM1375" s="53"/>
      <c r="PON1375" s="53"/>
      <c r="POO1375" s="53"/>
      <c r="POP1375" s="53"/>
      <c r="POQ1375" s="53"/>
      <c r="POR1375" s="53"/>
      <c r="POS1375" s="53"/>
      <c r="POT1375" s="53"/>
      <c r="POU1375" s="53"/>
      <c r="POV1375" s="53"/>
      <c r="POW1375" s="53"/>
      <c r="POX1375" s="53"/>
      <c r="POY1375" s="53"/>
      <c r="POZ1375" s="53"/>
      <c r="PPA1375" s="53"/>
      <c r="PPB1375" s="53"/>
      <c r="PPC1375" s="53"/>
      <c r="PPD1375" s="53"/>
      <c r="PPE1375" s="53"/>
      <c r="PPF1375" s="53"/>
      <c r="PPG1375" s="53"/>
      <c r="PPH1375" s="53"/>
      <c r="PPI1375" s="53"/>
      <c r="PPJ1375" s="53"/>
      <c r="PPK1375" s="53"/>
      <c r="PPL1375" s="53"/>
      <c r="PPM1375" s="53"/>
      <c r="PPN1375" s="53"/>
      <c r="PPO1375" s="53"/>
      <c r="PPP1375" s="53"/>
      <c r="PPQ1375" s="53"/>
      <c r="PPR1375" s="53"/>
      <c r="PPS1375" s="53"/>
      <c r="PPT1375" s="53"/>
      <c r="PPU1375" s="53"/>
      <c r="PPV1375" s="53"/>
      <c r="PPW1375" s="53"/>
      <c r="PPX1375" s="53"/>
      <c r="PPY1375" s="53"/>
      <c r="PPZ1375" s="53"/>
      <c r="PQA1375" s="53"/>
      <c r="PQB1375" s="53"/>
      <c r="PQC1375" s="53"/>
      <c r="PQD1375" s="53"/>
      <c r="PQE1375" s="53"/>
      <c r="PQF1375" s="53"/>
      <c r="PQG1375" s="53"/>
      <c r="PQH1375" s="53"/>
      <c r="PQI1375" s="53"/>
      <c r="PQJ1375" s="53"/>
      <c r="PQK1375" s="53"/>
      <c r="PQL1375" s="53"/>
      <c r="PQM1375" s="53"/>
      <c r="PQN1375" s="53"/>
      <c r="PQO1375" s="53"/>
      <c r="PQP1375" s="53"/>
      <c r="PQQ1375" s="53"/>
      <c r="PQR1375" s="53"/>
      <c r="PQS1375" s="53"/>
      <c r="PQT1375" s="53"/>
      <c r="PQU1375" s="53"/>
      <c r="PQV1375" s="53"/>
      <c r="PQW1375" s="53"/>
      <c r="PQX1375" s="53"/>
      <c r="PQY1375" s="53"/>
      <c r="PQZ1375" s="53"/>
      <c r="PRA1375" s="53"/>
      <c r="PRB1375" s="53"/>
      <c r="PRC1375" s="53"/>
      <c r="PRD1375" s="53"/>
      <c r="PRE1375" s="53"/>
      <c r="PRF1375" s="53"/>
      <c r="PRG1375" s="53"/>
      <c r="PRH1375" s="53"/>
      <c r="PRI1375" s="53"/>
      <c r="PRJ1375" s="53"/>
      <c r="PRK1375" s="53"/>
      <c r="PRL1375" s="53"/>
      <c r="PRM1375" s="53"/>
      <c r="PRN1375" s="53"/>
      <c r="PRO1375" s="53"/>
      <c r="PRP1375" s="53"/>
      <c r="PRQ1375" s="53"/>
      <c r="PRR1375" s="53"/>
      <c r="PRS1375" s="53"/>
      <c r="PRT1375" s="53"/>
      <c r="PRU1375" s="53"/>
      <c r="PRV1375" s="53"/>
      <c r="PRW1375" s="53"/>
      <c r="PRX1375" s="53"/>
      <c r="PRY1375" s="53"/>
      <c r="PRZ1375" s="53"/>
      <c r="PSA1375" s="53"/>
      <c r="PSB1375" s="53"/>
      <c r="PSC1375" s="53"/>
      <c r="PSD1375" s="53"/>
      <c r="PSE1375" s="53"/>
      <c r="PSF1375" s="53"/>
      <c r="PSG1375" s="53"/>
      <c r="PSH1375" s="53"/>
      <c r="PSI1375" s="53"/>
      <c r="PSJ1375" s="53"/>
      <c r="PSK1375" s="53"/>
      <c r="PSL1375" s="53"/>
      <c r="PSM1375" s="53"/>
      <c r="PSN1375" s="53"/>
      <c r="PSO1375" s="53"/>
      <c r="PSP1375" s="53"/>
      <c r="PSQ1375" s="53"/>
      <c r="PSR1375" s="53"/>
      <c r="PSS1375" s="53"/>
      <c r="PST1375" s="53"/>
      <c r="PSU1375" s="53"/>
      <c r="PSV1375" s="53"/>
      <c r="PSW1375" s="53"/>
      <c r="PSX1375" s="53"/>
      <c r="PSY1375" s="53"/>
      <c r="PSZ1375" s="53"/>
      <c r="PTA1375" s="53"/>
      <c r="PTB1375" s="53"/>
      <c r="PTC1375" s="53"/>
      <c r="PTD1375" s="53"/>
      <c r="PTE1375" s="53"/>
      <c r="PTF1375" s="53"/>
      <c r="PTG1375" s="53"/>
      <c r="PTH1375" s="53"/>
      <c r="PTI1375" s="53"/>
      <c r="PTJ1375" s="53"/>
      <c r="PTK1375" s="53"/>
      <c r="PTL1375" s="53"/>
      <c r="PTM1375" s="53"/>
      <c r="PTN1375" s="53"/>
      <c r="PTO1375" s="53"/>
      <c r="PTP1375" s="53"/>
      <c r="PTQ1375" s="53"/>
      <c r="PTR1375" s="53"/>
      <c r="PTS1375" s="53"/>
      <c r="PTT1375" s="53"/>
      <c r="PTU1375" s="53"/>
      <c r="PTV1375" s="53"/>
      <c r="PTW1375" s="53"/>
      <c r="PTX1375" s="53"/>
      <c r="PTY1375" s="53"/>
      <c r="PTZ1375" s="53"/>
      <c r="PUA1375" s="53"/>
      <c r="PUB1375" s="53"/>
      <c r="PUC1375" s="53"/>
      <c r="PUD1375" s="53"/>
      <c r="PUE1375" s="53"/>
      <c r="PUF1375" s="53"/>
      <c r="PUG1375" s="53"/>
      <c r="PUH1375" s="53"/>
      <c r="PUI1375" s="53"/>
      <c r="PUJ1375" s="53"/>
      <c r="PUK1375" s="53"/>
      <c r="PUL1375" s="53"/>
      <c r="PUM1375" s="53"/>
      <c r="PUN1375" s="53"/>
      <c r="PUO1375" s="53"/>
      <c r="PUP1375" s="53"/>
      <c r="PUQ1375" s="53"/>
      <c r="PUR1375" s="53"/>
      <c r="PUS1375" s="53"/>
      <c r="PUT1375" s="53"/>
      <c r="PUU1375" s="53"/>
      <c r="PUV1375" s="53"/>
      <c r="PUW1375" s="53"/>
      <c r="PUX1375" s="53"/>
      <c r="PUY1375" s="53"/>
      <c r="PUZ1375" s="53"/>
      <c r="PVA1375" s="53"/>
      <c r="PVB1375" s="53"/>
      <c r="PVC1375" s="53"/>
      <c r="PVD1375" s="53"/>
      <c r="PVE1375" s="53"/>
      <c r="PVF1375" s="53"/>
      <c r="PVG1375" s="53"/>
      <c r="PVH1375" s="53"/>
      <c r="PVI1375" s="53"/>
      <c r="PVJ1375" s="53"/>
      <c r="PVK1375" s="53"/>
      <c r="PVL1375" s="53"/>
      <c r="PVM1375" s="53"/>
      <c r="PVN1375" s="53"/>
      <c r="PVO1375" s="53"/>
      <c r="PVP1375" s="53"/>
      <c r="PVQ1375" s="53"/>
      <c r="PVR1375" s="53"/>
      <c r="PVS1375" s="53"/>
      <c r="PVT1375" s="53"/>
      <c r="PVU1375" s="53"/>
      <c r="PVV1375" s="53"/>
      <c r="PVW1375" s="53"/>
      <c r="PVX1375" s="53"/>
      <c r="PVY1375" s="53"/>
      <c r="PVZ1375" s="53"/>
      <c r="PWA1375" s="53"/>
      <c r="PWB1375" s="53"/>
      <c r="PWC1375" s="53"/>
      <c r="PWD1375" s="53"/>
      <c r="PWE1375" s="53"/>
      <c r="PWF1375" s="53"/>
      <c r="PWG1375" s="53"/>
      <c r="PWH1375" s="53"/>
      <c r="PWI1375" s="53"/>
      <c r="PWJ1375" s="53"/>
      <c r="PWK1375" s="53"/>
      <c r="PWL1375" s="53"/>
      <c r="PWM1375" s="53"/>
      <c r="PWN1375" s="53"/>
      <c r="PWO1375" s="53"/>
      <c r="PWP1375" s="53"/>
      <c r="PWQ1375" s="53"/>
      <c r="PWR1375" s="53"/>
      <c r="PWS1375" s="53"/>
      <c r="PWT1375" s="53"/>
      <c r="PWU1375" s="53"/>
      <c r="PWV1375" s="53"/>
      <c r="PWW1375" s="53"/>
      <c r="PWX1375" s="53"/>
      <c r="PWY1375" s="53"/>
      <c r="PWZ1375" s="53"/>
      <c r="PXA1375" s="53"/>
      <c r="PXB1375" s="53"/>
      <c r="PXC1375" s="53"/>
      <c r="PXD1375" s="53"/>
      <c r="PXE1375" s="53"/>
      <c r="PXF1375" s="53"/>
      <c r="PXG1375" s="53"/>
      <c r="PXH1375" s="53"/>
      <c r="PXI1375" s="53"/>
      <c r="PXJ1375" s="53"/>
      <c r="PXK1375" s="53"/>
      <c r="PXL1375" s="53"/>
      <c r="PXM1375" s="53"/>
      <c r="PXN1375" s="53"/>
      <c r="PXO1375" s="53"/>
      <c r="PXP1375" s="53"/>
      <c r="PXQ1375" s="53"/>
      <c r="PXR1375" s="53"/>
      <c r="PXS1375" s="53"/>
      <c r="PXT1375" s="53"/>
      <c r="PXU1375" s="53"/>
      <c r="PXV1375" s="53"/>
      <c r="PXW1375" s="53"/>
      <c r="PXX1375" s="53"/>
      <c r="PXY1375" s="53"/>
      <c r="PXZ1375" s="53"/>
      <c r="PYA1375" s="53"/>
      <c r="PYB1375" s="53"/>
      <c r="PYC1375" s="53"/>
      <c r="PYD1375" s="53"/>
      <c r="PYE1375" s="53"/>
      <c r="PYF1375" s="53"/>
      <c r="PYG1375" s="53"/>
      <c r="PYH1375" s="53"/>
      <c r="PYI1375" s="53"/>
      <c r="PYJ1375" s="53"/>
      <c r="PYK1375" s="53"/>
      <c r="PYL1375" s="53"/>
      <c r="PYM1375" s="53"/>
      <c r="PYN1375" s="53"/>
      <c r="PYO1375" s="53"/>
      <c r="PYP1375" s="53"/>
      <c r="PYQ1375" s="53"/>
      <c r="PYR1375" s="53"/>
      <c r="PYS1375" s="53"/>
      <c r="PYT1375" s="53"/>
      <c r="PYU1375" s="53"/>
      <c r="PYV1375" s="53"/>
      <c r="PYW1375" s="53"/>
      <c r="PYX1375" s="53"/>
      <c r="PYY1375" s="53"/>
      <c r="PYZ1375" s="53"/>
      <c r="PZA1375" s="53"/>
      <c r="PZB1375" s="53"/>
      <c r="PZC1375" s="53"/>
      <c r="PZD1375" s="53"/>
      <c r="PZE1375" s="53"/>
      <c r="PZF1375" s="53"/>
      <c r="PZG1375" s="53"/>
      <c r="PZH1375" s="53"/>
      <c r="PZI1375" s="53"/>
      <c r="PZJ1375" s="53"/>
      <c r="PZK1375" s="53"/>
      <c r="PZL1375" s="53"/>
      <c r="PZM1375" s="53"/>
      <c r="PZN1375" s="53"/>
      <c r="PZO1375" s="53"/>
      <c r="PZP1375" s="53"/>
      <c r="PZQ1375" s="53"/>
      <c r="PZR1375" s="53"/>
      <c r="PZS1375" s="53"/>
      <c r="PZT1375" s="53"/>
      <c r="PZU1375" s="53"/>
      <c r="PZV1375" s="53"/>
      <c r="PZW1375" s="53"/>
      <c r="PZX1375" s="53"/>
      <c r="PZY1375" s="53"/>
      <c r="PZZ1375" s="53"/>
      <c r="QAA1375" s="53"/>
      <c r="QAB1375" s="53"/>
      <c r="QAC1375" s="53"/>
      <c r="QAD1375" s="53"/>
      <c r="QAE1375" s="53"/>
      <c r="QAF1375" s="53"/>
      <c r="QAG1375" s="53"/>
      <c r="QAH1375" s="53"/>
      <c r="QAI1375" s="53"/>
      <c r="QAJ1375" s="53"/>
      <c r="QAK1375" s="53"/>
      <c r="QAL1375" s="53"/>
      <c r="QAM1375" s="53"/>
      <c r="QAN1375" s="53"/>
      <c r="QAO1375" s="53"/>
      <c r="QAP1375" s="53"/>
      <c r="QAQ1375" s="53"/>
      <c r="QAR1375" s="53"/>
      <c r="QAS1375" s="53"/>
      <c r="QAT1375" s="53"/>
      <c r="QAU1375" s="53"/>
      <c r="QAV1375" s="53"/>
      <c r="QAW1375" s="53"/>
      <c r="QAX1375" s="53"/>
      <c r="QAY1375" s="53"/>
      <c r="QAZ1375" s="53"/>
      <c r="QBA1375" s="53"/>
      <c r="QBB1375" s="53"/>
      <c r="QBC1375" s="53"/>
      <c r="QBD1375" s="53"/>
      <c r="QBE1375" s="53"/>
      <c r="QBF1375" s="53"/>
      <c r="QBG1375" s="53"/>
      <c r="QBH1375" s="53"/>
      <c r="QBI1375" s="53"/>
      <c r="QBJ1375" s="53"/>
      <c r="QBK1375" s="53"/>
      <c r="QBL1375" s="53"/>
      <c r="QBM1375" s="53"/>
      <c r="QBN1375" s="53"/>
      <c r="QBO1375" s="53"/>
      <c r="QBP1375" s="53"/>
      <c r="QBQ1375" s="53"/>
      <c r="QBR1375" s="53"/>
      <c r="QBS1375" s="53"/>
      <c r="QBT1375" s="53"/>
      <c r="QBU1375" s="53"/>
      <c r="QBV1375" s="53"/>
      <c r="QBW1375" s="53"/>
      <c r="QBX1375" s="53"/>
      <c r="QBY1375" s="53"/>
      <c r="QBZ1375" s="53"/>
      <c r="QCA1375" s="53"/>
      <c r="QCB1375" s="53"/>
      <c r="QCC1375" s="53"/>
      <c r="QCD1375" s="53"/>
      <c r="QCE1375" s="53"/>
      <c r="QCF1375" s="53"/>
      <c r="QCG1375" s="53"/>
      <c r="QCH1375" s="53"/>
      <c r="QCI1375" s="53"/>
      <c r="QCJ1375" s="53"/>
      <c r="QCK1375" s="53"/>
      <c r="QCL1375" s="53"/>
      <c r="QCM1375" s="53"/>
      <c r="QCN1375" s="53"/>
      <c r="QCO1375" s="53"/>
      <c r="QCP1375" s="53"/>
      <c r="QCQ1375" s="53"/>
      <c r="QCR1375" s="53"/>
      <c r="QCS1375" s="53"/>
      <c r="QCT1375" s="53"/>
      <c r="QCU1375" s="53"/>
      <c r="QCV1375" s="53"/>
      <c r="QCW1375" s="53"/>
      <c r="QCX1375" s="53"/>
      <c r="QCY1375" s="53"/>
      <c r="QCZ1375" s="53"/>
      <c r="QDA1375" s="53"/>
      <c r="QDB1375" s="53"/>
      <c r="QDC1375" s="53"/>
      <c r="QDD1375" s="53"/>
      <c r="QDE1375" s="53"/>
      <c r="QDF1375" s="53"/>
      <c r="QDG1375" s="53"/>
      <c r="QDH1375" s="53"/>
      <c r="QDI1375" s="53"/>
      <c r="QDJ1375" s="53"/>
      <c r="QDK1375" s="53"/>
      <c r="QDL1375" s="53"/>
      <c r="QDM1375" s="53"/>
      <c r="QDN1375" s="53"/>
      <c r="QDO1375" s="53"/>
      <c r="QDP1375" s="53"/>
      <c r="QDQ1375" s="53"/>
      <c r="QDR1375" s="53"/>
      <c r="QDS1375" s="53"/>
      <c r="QDT1375" s="53"/>
      <c r="QDU1375" s="53"/>
      <c r="QDV1375" s="53"/>
      <c r="QDW1375" s="53"/>
      <c r="QDX1375" s="53"/>
      <c r="QDY1375" s="53"/>
      <c r="QDZ1375" s="53"/>
      <c r="QEA1375" s="53"/>
      <c r="QEB1375" s="53"/>
      <c r="QEC1375" s="53"/>
      <c r="QED1375" s="53"/>
      <c r="QEE1375" s="53"/>
      <c r="QEF1375" s="53"/>
      <c r="QEG1375" s="53"/>
      <c r="QEH1375" s="53"/>
      <c r="QEI1375" s="53"/>
      <c r="QEJ1375" s="53"/>
      <c r="QEK1375" s="53"/>
      <c r="QEL1375" s="53"/>
      <c r="QEM1375" s="53"/>
      <c r="QEN1375" s="53"/>
      <c r="QEO1375" s="53"/>
      <c r="QEP1375" s="53"/>
      <c r="QEQ1375" s="53"/>
      <c r="QER1375" s="53"/>
      <c r="QES1375" s="53"/>
      <c r="QET1375" s="53"/>
      <c r="QEU1375" s="53"/>
      <c r="QEV1375" s="53"/>
      <c r="QEW1375" s="53"/>
      <c r="QEX1375" s="53"/>
      <c r="QEY1375" s="53"/>
      <c r="QEZ1375" s="53"/>
      <c r="QFA1375" s="53"/>
      <c r="QFB1375" s="53"/>
      <c r="QFC1375" s="53"/>
      <c r="QFD1375" s="53"/>
      <c r="QFE1375" s="53"/>
      <c r="QFF1375" s="53"/>
      <c r="QFG1375" s="53"/>
      <c r="QFH1375" s="53"/>
      <c r="QFI1375" s="53"/>
      <c r="QFJ1375" s="53"/>
      <c r="QFK1375" s="53"/>
      <c r="QFL1375" s="53"/>
      <c r="QFM1375" s="53"/>
      <c r="QFN1375" s="53"/>
      <c r="QFO1375" s="53"/>
      <c r="QFP1375" s="53"/>
      <c r="QFQ1375" s="53"/>
      <c r="QFR1375" s="53"/>
      <c r="QFS1375" s="53"/>
      <c r="QFT1375" s="53"/>
      <c r="QFU1375" s="53"/>
      <c r="QFV1375" s="53"/>
      <c r="QFW1375" s="53"/>
      <c r="QFX1375" s="53"/>
      <c r="QFY1375" s="53"/>
      <c r="QFZ1375" s="53"/>
      <c r="QGA1375" s="53"/>
      <c r="QGB1375" s="53"/>
      <c r="QGC1375" s="53"/>
      <c r="QGD1375" s="53"/>
      <c r="QGE1375" s="53"/>
      <c r="QGF1375" s="53"/>
      <c r="QGG1375" s="53"/>
      <c r="QGH1375" s="53"/>
      <c r="QGI1375" s="53"/>
      <c r="QGJ1375" s="53"/>
      <c r="QGK1375" s="53"/>
      <c r="QGL1375" s="53"/>
      <c r="QGM1375" s="53"/>
      <c r="QGN1375" s="53"/>
      <c r="QGO1375" s="53"/>
      <c r="QGP1375" s="53"/>
      <c r="QGQ1375" s="53"/>
      <c r="QGR1375" s="53"/>
      <c r="QGS1375" s="53"/>
      <c r="QGT1375" s="53"/>
      <c r="QGU1375" s="53"/>
      <c r="QGV1375" s="53"/>
      <c r="QGW1375" s="53"/>
      <c r="QGX1375" s="53"/>
      <c r="QGY1375" s="53"/>
      <c r="QGZ1375" s="53"/>
      <c r="QHA1375" s="53"/>
      <c r="QHB1375" s="53"/>
      <c r="QHC1375" s="53"/>
      <c r="QHD1375" s="53"/>
      <c r="QHE1375" s="53"/>
      <c r="QHF1375" s="53"/>
      <c r="QHG1375" s="53"/>
      <c r="QHH1375" s="53"/>
      <c r="QHI1375" s="53"/>
      <c r="QHJ1375" s="53"/>
      <c r="QHK1375" s="53"/>
      <c r="QHL1375" s="53"/>
      <c r="QHM1375" s="53"/>
      <c r="QHN1375" s="53"/>
      <c r="QHO1375" s="53"/>
      <c r="QHP1375" s="53"/>
      <c r="QHQ1375" s="53"/>
      <c r="QHR1375" s="53"/>
      <c r="QHS1375" s="53"/>
      <c r="QHT1375" s="53"/>
      <c r="QHU1375" s="53"/>
      <c r="QHV1375" s="53"/>
      <c r="QHW1375" s="53"/>
      <c r="QHX1375" s="53"/>
      <c r="QHY1375" s="53"/>
      <c r="QHZ1375" s="53"/>
      <c r="QIA1375" s="53"/>
      <c r="QIB1375" s="53"/>
      <c r="QIC1375" s="53"/>
      <c r="QID1375" s="53"/>
      <c r="QIE1375" s="53"/>
      <c r="QIF1375" s="53"/>
      <c r="QIG1375" s="53"/>
      <c r="QIH1375" s="53"/>
      <c r="QII1375" s="53"/>
      <c r="QIJ1375" s="53"/>
      <c r="QIK1375" s="53"/>
      <c r="QIL1375" s="53"/>
      <c r="QIM1375" s="53"/>
      <c r="QIN1375" s="53"/>
      <c r="QIO1375" s="53"/>
      <c r="QIP1375" s="53"/>
      <c r="QIQ1375" s="53"/>
      <c r="QIR1375" s="53"/>
      <c r="QIS1375" s="53"/>
      <c r="QIT1375" s="53"/>
      <c r="QIU1375" s="53"/>
      <c r="QIV1375" s="53"/>
      <c r="QIW1375" s="53"/>
      <c r="QIX1375" s="53"/>
      <c r="QIY1375" s="53"/>
      <c r="QIZ1375" s="53"/>
      <c r="QJA1375" s="53"/>
      <c r="QJB1375" s="53"/>
      <c r="QJC1375" s="53"/>
      <c r="QJD1375" s="53"/>
      <c r="QJE1375" s="53"/>
      <c r="QJF1375" s="53"/>
      <c r="QJG1375" s="53"/>
      <c r="QJH1375" s="53"/>
      <c r="QJI1375" s="53"/>
      <c r="QJJ1375" s="53"/>
      <c r="QJK1375" s="53"/>
      <c r="QJL1375" s="53"/>
      <c r="QJM1375" s="53"/>
      <c r="QJN1375" s="53"/>
      <c r="QJO1375" s="53"/>
      <c r="QJP1375" s="53"/>
      <c r="QJQ1375" s="53"/>
      <c r="QJR1375" s="53"/>
      <c r="QJS1375" s="53"/>
      <c r="QJT1375" s="53"/>
      <c r="QJU1375" s="53"/>
      <c r="QJV1375" s="53"/>
      <c r="QJW1375" s="53"/>
      <c r="QJX1375" s="53"/>
      <c r="QJY1375" s="53"/>
      <c r="QJZ1375" s="53"/>
      <c r="QKA1375" s="53"/>
      <c r="QKB1375" s="53"/>
      <c r="QKC1375" s="53"/>
      <c r="QKD1375" s="53"/>
      <c r="QKE1375" s="53"/>
      <c r="QKF1375" s="53"/>
      <c r="QKG1375" s="53"/>
      <c r="QKH1375" s="53"/>
      <c r="QKI1375" s="53"/>
      <c r="QKJ1375" s="53"/>
      <c r="QKK1375" s="53"/>
      <c r="QKL1375" s="53"/>
      <c r="QKM1375" s="53"/>
      <c r="QKN1375" s="53"/>
      <c r="QKO1375" s="53"/>
      <c r="QKP1375" s="53"/>
      <c r="QKQ1375" s="53"/>
      <c r="QKR1375" s="53"/>
      <c r="QKS1375" s="53"/>
      <c r="QKT1375" s="53"/>
      <c r="QKU1375" s="53"/>
      <c r="QKV1375" s="53"/>
      <c r="QKW1375" s="53"/>
      <c r="QKX1375" s="53"/>
      <c r="QKY1375" s="53"/>
      <c r="QKZ1375" s="53"/>
      <c r="QLA1375" s="53"/>
      <c r="QLB1375" s="53"/>
      <c r="QLC1375" s="53"/>
      <c r="QLD1375" s="53"/>
      <c r="QLE1375" s="53"/>
      <c r="QLF1375" s="53"/>
      <c r="QLG1375" s="53"/>
      <c r="QLH1375" s="53"/>
      <c r="QLI1375" s="53"/>
      <c r="QLJ1375" s="53"/>
      <c r="QLK1375" s="53"/>
      <c r="QLL1375" s="53"/>
      <c r="QLM1375" s="53"/>
      <c r="QLN1375" s="53"/>
      <c r="QLO1375" s="53"/>
      <c r="QLP1375" s="53"/>
      <c r="QLQ1375" s="53"/>
      <c r="QLR1375" s="53"/>
      <c r="QLS1375" s="53"/>
      <c r="QLT1375" s="53"/>
      <c r="QLU1375" s="53"/>
      <c r="QLV1375" s="53"/>
      <c r="QLW1375" s="53"/>
      <c r="QLX1375" s="53"/>
      <c r="QLY1375" s="53"/>
      <c r="QLZ1375" s="53"/>
      <c r="QMA1375" s="53"/>
      <c r="QMB1375" s="53"/>
      <c r="QMC1375" s="53"/>
      <c r="QMD1375" s="53"/>
      <c r="QME1375" s="53"/>
      <c r="QMF1375" s="53"/>
      <c r="QMG1375" s="53"/>
      <c r="QMH1375" s="53"/>
      <c r="QMI1375" s="53"/>
      <c r="QMJ1375" s="53"/>
      <c r="QMK1375" s="53"/>
      <c r="QML1375" s="53"/>
      <c r="QMM1375" s="53"/>
      <c r="QMN1375" s="53"/>
      <c r="QMO1375" s="53"/>
      <c r="QMP1375" s="53"/>
      <c r="QMQ1375" s="53"/>
      <c r="QMR1375" s="53"/>
      <c r="QMS1375" s="53"/>
      <c r="QMT1375" s="53"/>
      <c r="QMU1375" s="53"/>
      <c r="QMV1375" s="53"/>
      <c r="QMW1375" s="53"/>
      <c r="QMX1375" s="53"/>
      <c r="QMY1375" s="53"/>
      <c r="QMZ1375" s="53"/>
      <c r="QNA1375" s="53"/>
      <c r="QNB1375" s="53"/>
      <c r="QNC1375" s="53"/>
      <c r="QND1375" s="53"/>
      <c r="QNE1375" s="53"/>
      <c r="QNF1375" s="53"/>
      <c r="QNG1375" s="53"/>
      <c r="QNH1375" s="53"/>
      <c r="QNI1375" s="53"/>
      <c r="QNJ1375" s="53"/>
      <c r="QNK1375" s="53"/>
      <c r="QNL1375" s="53"/>
      <c r="QNM1375" s="53"/>
      <c r="QNN1375" s="53"/>
      <c r="QNO1375" s="53"/>
      <c r="QNP1375" s="53"/>
      <c r="QNQ1375" s="53"/>
      <c r="QNR1375" s="53"/>
      <c r="QNS1375" s="53"/>
      <c r="QNT1375" s="53"/>
      <c r="QNU1375" s="53"/>
      <c r="QNV1375" s="53"/>
      <c r="QNW1375" s="53"/>
      <c r="QNX1375" s="53"/>
      <c r="QNY1375" s="53"/>
      <c r="QNZ1375" s="53"/>
      <c r="QOA1375" s="53"/>
      <c r="QOB1375" s="53"/>
      <c r="QOC1375" s="53"/>
      <c r="QOD1375" s="53"/>
      <c r="QOE1375" s="53"/>
      <c r="QOF1375" s="53"/>
      <c r="QOG1375" s="53"/>
      <c r="QOH1375" s="53"/>
      <c r="QOI1375" s="53"/>
      <c r="QOJ1375" s="53"/>
      <c r="QOK1375" s="53"/>
      <c r="QOL1375" s="53"/>
      <c r="QOM1375" s="53"/>
      <c r="QON1375" s="53"/>
      <c r="QOO1375" s="53"/>
      <c r="QOP1375" s="53"/>
      <c r="QOQ1375" s="53"/>
      <c r="QOR1375" s="53"/>
      <c r="QOS1375" s="53"/>
      <c r="QOT1375" s="53"/>
      <c r="QOU1375" s="53"/>
      <c r="QOV1375" s="53"/>
      <c r="QOW1375" s="53"/>
      <c r="QOX1375" s="53"/>
      <c r="QOY1375" s="53"/>
      <c r="QOZ1375" s="53"/>
      <c r="QPA1375" s="53"/>
      <c r="QPB1375" s="53"/>
      <c r="QPC1375" s="53"/>
      <c r="QPD1375" s="53"/>
      <c r="QPE1375" s="53"/>
      <c r="QPF1375" s="53"/>
      <c r="QPG1375" s="53"/>
      <c r="QPH1375" s="53"/>
      <c r="QPI1375" s="53"/>
      <c r="QPJ1375" s="53"/>
      <c r="QPK1375" s="53"/>
      <c r="QPL1375" s="53"/>
      <c r="QPM1375" s="53"/>
      <c r="QPN1375" s="53"/>
      <c r="QPO1375" s="53"/>
      <c r="QPP1375" s="53"/>
      <c r="QPQ1375" s="53"/>
      <c r="QPR1375" s="53"/>
      <c r="QPS1375" s="53"/>
      <c r="QPT1375" s="53"/>
      <c r="QPU1375" s="53"/>
      <c r="QPV1375" s="53"/>
      <c r="QPW1375" s="53"/>
      <c r="QPX1375" s="53"/>
      <c r="QPY1375" s="53"/>
      <c r="QPZ1375" s="53"/>
      <c r="QQA1375" s="53"/>
      <c r="QQB1375" s="53"/>
      <c r="QQC1375" s="53"/>
      <c r="QQD1375" s="53"/>
      <c r="QQE1375" s="53"/>
      <c r="QQF1375" s="53"/>
      <c r="QQG1375" s="53"/>
      <c r="QQH1375" s="53"/>
      <c r="QQI1375" s="53"/>
      <c r="QQJ1375" s="53"/>
      <c r="QQK1375" s="53"/>
      <c r="QQL1375" s="53"/>
      <c r="QQM1375" s="53"/>
      <c r="QQN1375" s="53"/>
      <c r="QQO1375" s="53"/>
      <c r="QQP1375" s="53"/>
      <c r="QQQ1375" s="53"/>
      <c r="QQR1375" s="53"/>
      <c r="QQS1375" s="53"/>
      <c r="QQT1375" s="53"/>
      <c r="QQU1375" s="53"/>
      <c r="QQV1375" s="53"/>
      <c r="QQW1375" s="53"/>
      <c r="QQX1375" s="53"/>
      <c r="QQY1375" s="53"/>
      <c r="QQZ1375" s="53"/>
      <c r="QRA1375" s="53"/>
      <c r="QRB1375" s="53"/>
      <c r="QRC1375" s="53"/>
      <c r="QRD1375" s="53"/>
      <c r="QRE1375" s="53"/>
      <c r="QRF1375" s="53"/>
      <c r="QRG1375" s="53"/>
      <c r="QRH1375" s="53"/>
      <c r="QRI1375" s="53"/>
      <c r="QRJ1375" s="53"/>
      <c r="QRK1375" s="53"/>
      <c r="QRL1375" s="53"/>
      <c r="QRM1375" s="53"/>
      <c r="QRN1375" s="53"/>
      <c r="QRO1375" s="53"/>
      <c r="QRP1375" s="53"/>
      <c r="QRQ1375" s="53"/>
      <c r="QRR1375" s="53"/>
      <c r="QRS1375" s="53"/>
      <c r="QRT1375" s="53"/>
      <c r="QRU1375" s="53"/>
      <c r="QRV1375" s="53"/>
      <c r="QRW1375" s="53"/>
      <c r="QRX1375" s="53"/>
      <c r="QRY1375" s="53"/>
      <c r="QRZ1375" s="53"/>
      <c r="QSA1375" s="53"/>
      <c r="QSB1375" s="53"/>
      <c r="QSC1375" s="53"/>
      <c r="QSD1375" s="53"/>
      <c r="QSE1375" s="53"/>
      <c r="QSF1375" s="53"/>
      <c r="QSG1375" s="53"/>
      <c r="QSH1375" s="53"/>
      <c r="QSI1375" s="53"/>
      <c r="QSJ1375" s="53"/>
      <c r="QSK1375" s="53"/>
      <c r="QSL1375" s="53"/>
      <c r="QSM1375" s="53"/>
      <c r="QSN1375" s="53"/>
      <c r="QSO1375" s="53"/>
      <c r="QSP1375" s="53"/>
      <c r="QSQ1375" s="53"/>
      <c r="QSR1375" s="53"/>
      <c r="QSS1375" s="53"/>
      <c r="QST1375" s="53"/>
      <c r="QSU1375" s="53"/>
      <c r="QSV1375" s="53"/>
      <c r="QSW1375" s="53"/>
      <c r="QSX1375" s="53"/>
      <c r="QSY1375" s="53"/>
      <c r="QSZ1375" s="53"/>
      <c r="QTA1375" s="53"/>
      <c r="QTB1375" s="53"/>
      <c r="QTC1375" s="53"/>
      <c r="QTD1375" s="53"/>
      <c r="QTE1375" s="53"/>
      <c r="QTF1375" s="53"/>
      <c r="QTG1375" s="53"/>
      <c r="QTH1375" s="53"/>
      <c r="QTI1375" s="53"/>
      <c r="QTJ1375" s="53"/>
      <c r="QTK1375" s="53"/>
      <c r="QTL1375" s="53"/>
      <c r="QTM1375" s="53"/>
      <c r="QTN1375" s="53"/>
      <c r="QTO1375" s="53"/>
      <c r="QTP1375" s="53"/>
      <c r="QTQ1375" s="53"/>
      <c r="QTR1375" s="53"/>
      <c r="QTS1375" s="53"/>
      <c r="QTT1375" s="53"/>
      <c r="QTU1375" s="53"/>
      <c r="QTV1375" s="53"/>
      <c r="QTW1375" s="53"/>
      <c r="QTX1375" s="53"/>
      <c r="QTY1375" s="53"/>
      <c r="QTZ1375" s="53"/>
      <c r="QUA1375" s="53"/>
      <c r="QUB1375" s="53"/>
      <c r="QUC1375" s="53"/>
      <c r="QUD1375" s="53"/>
      <c r="QUE1375" s="53"/>
      <c r="QUF1375" s="53"/>
      <c r="QUG1375" s="53"/>
      <c r="QUH1375" s="53"/>
      <c r="QUI1375" s="53"/>
      <c r="QUJ1375" s="53"/>
      <c r="QUK1375" s="53"/>
      <c r="QUL1375" s="53"/>
      <c r="QUM1375" s="53"/>
      <c r="QUN1375" s="53"/>
      <c r="QUO1375" s="53"/>
      <c r="QUP1375" s="53"/>
      <c r="QUQ1375" s="53"/>
      <c r="QUR1375" s="53"/>
      <c r="QUS1375" s="53"/>
      <c r="QUT1375" s="53"/>
      <c r="QUU1375" s="53"/>
      <c r="QUV1375" s="53"/>
      <c r="QUW1375" s="53"/>
      <c r="QUX1375" s="53"/>
      <c r="QUY1375" s="53"/>
      <c r="QUZ1375" s="53"/>
      <c r="QVA1375" s="53"/>
      <c r="QVB1375" s="53"/>
      <c r="QVC1375" s="53"/>
      <c r="QVD1375" s="53"/>
      <c r="QVE1375" s="53"/>
      <c r="QVF1375" s="53"/>
      <c r="QVG1375" s="53"/>
      <c r="QVH1375" s="53"/>
      <c r="QVI1375" s="53"/>
      <c r="QVJ1375" s="53"/>
      <c r="QVK1375" s="53"/>
      <c r="QVL1375" s="53"/>
      <c r="QVM1375" s="53"/>
      <c r="QVN1375" s="53"/>
      <c r="QVO1375" s="53"/>
      <c r="QVP1375" s="53"/>
      <c r="QVQ1375" s="53"/>
      <c r="QVR1375" s="53"/>
      <c r="QVS1375" s="53"/>
      <c r="QVT1375" s="53"/>
      <c r="QVU1375" s="53"/>
      <c r="QVV1375" s="53"/>
      <c r="QVW1375" s="53"/>
      <c r="QVX1375" s="53"/>
      <c r="QVY1375" s="53"/>
      <c r="QVZ1375" s="53"/>
      <c r="QWA1375" s="53"/>
      <c r="QWB1375" s="53"/>
      <c r="QWC1375" s="53"/>
      <c r="QWD1375" s="53"/>
      <c r="QWE1375" s="53"/>
      <c r="QWF1375" s="53"/>
      <c r="QWG1375" s="53"/>
      <c r="QWH1375" s="53"/>
      <c r="QWI1375" s="53"/>
      <c r="QWJ1375" s="53"/>
      <c r="QWK1375" s="53"/>
      <c r="QWL1375" s="53"/>
      <c r="QWM1375" s="53"/>
      <c r="QWN1375" s="53"/>
      <c r="QWO1375" s="53"/>
      <c r="QWP1375" s="53"/>
      <c r="QWQ1375" s="53"/>
      <c r="QWR1375" s="53"/>
      <c r="QWS1375" s="53"/>
      <c r="QWT1375" s="53"/>
      <c r="QWU1375" s="53"/>
      <c r="QWV1375" s="53"/>
      <c r="QWW1375" s="53"/>
      <c r="QWX1375" s="53"/>
      <c r="QWY1375" s="53"/>
      <c r="QWZ1375" s="53"/>
      <c r="QXA1375" s="53"/>
      <c r="QXB1375" s="53"/>
      <c r="QXC1375" s="53"/>
      <c r="QXD1375" s="53"/>
      <c r="QXE1375" s="53"/>
      <c r="QXF1375" s="53"/>
      <c r="QXG1375" s="53"/>
      <c r="QXH1375" s="53"/>
      <c r="QXI1375" s="53"/>
      <c r="QXJ1375" s="53"/>
      <c r="QXK1375" s="53"/>
      <c r="QXL1375" s="53"/>
      <c r="QXM1375" s="53"/>
      <c r="QXN1375" s="53"/>
      <c r="QXO1375" s="53"/>
      <c r="QXP1375" s="53"/>
      <c r="QXQ1375" s="53"/>
      <c r="QXR1375" s="53"/>
      <c r="QXS1375" s="53"/>
      <c r="QXT1375" s="53"/>
      <c r="QXU1375" s="53"/>
      <c r="QXV1375" s="53"/>
      <c r="QXW1375" s="53"/>
      <c r="QXX1375" s="53"/>
      <c r="QXY1375" s="53"/>
      <c r="QXZ1375" s="53"/>
      <c r="QYA1375" s="53"/>
      <c r="QYB1375" s="53"/>
      <c r="QYC1375" s="53"/>
      <c r="QYD1375" s="53"/>
      <c r="QYE1375" s="53"/>
      <c r="QYF1375" s="53"/>
      <c r="QYG1375" s="53"/>
      <c r="QYH1375" s="53"/>
      <c r="QYI1375" s="53"/>
      <c r="QYJ1375" s="53"/>
      <c r="QYK1375" s="53"/>
      <c r="QYL1375" s="53"/>
      <c r="QYM1375" s="53"/>
      <c r="QYN1375" s="53"/>
      <c r="QYO1375" s="53"/>
      <c r="QYP1375" s="53"/>
      <c r="QYQ1375" s="53"/>
      <c r="QYR1375" s="53"/>
      <c r="QYS1375" s="53"/>
      <c r="QYT1375" s="53"/>
      <c r="QYU1375" s="53"/>
      <c r="QYV1375" s="53"/>
      <c r="QYW1375" s="53"/>
      <c r="QYX1375" s="53"/>
      <c r="QYY1375" s="53"/>
      <c r="QYZ1375" s="53"/>
      <c r="QZA1375" s="53"/>
      <c r="QZB1375" s="53"/>
      <c r="QZC1375" s="53"/>
      <c r="QZD1375" s="53"/>
      <c r="QZE1375" s="53"/>
      <c r="QZF1375" s="53"/>
      <c r="QZG1375" s="53"/>
      <c r="QZH1375" s="53"/>
      <c r="QZI1375" s="53"/>
      <c r="QZJ1375" s="53"/>
      <c r="QZK1375" s="53"/>
      <c r="QZL1375" s="53"/>
      <c r="QZM1375" s="53"/>
      <c r="QZN1375" s="53"/>
      <c r="QZO1375" s="53"/>
      <c r="QZP1375" s="53"/>
      <c r="QZQ1375" s="53"/>
      <c r="QZR1375" s="53"/>
      <c r="QZS1375" s="53"/>
      <c r="QZT1375" s="53"/>
      <c r="QZU1375" s="53"/>
      <c r="QZV1375" s="53"/>
      <c r="QZW1375" s="53"/>
      <c r="QZX1375" s="53"/>
      <c r="QZY1375" s="53"/>
      <c r="QZZ1375" s="53"/>
      <c r="RAA1375" s="53"/>
      <c r="RAB1375" s="53"/>
      <c r="RAC1375" s="53"/>
      <c r="RAD1375" s="53"/>
      <c r="RAE1375" s="53"/>
      <c r="RAF1375" s="53"/>
      <c r="RAG1375" s="53"/>
      <c r="RAH1375" s="53"/>
      <c r="RAI1375" s="53"/>
      <c r="RAJ1375" s="53"/>
      <c r="RAK1375" s="53"/>
      <c r="RAL1375" s="53"/>
      <c r="RAM1375" s="53"/>
      <c r="RAN1375" s="53"/>
      <c r="RAO1375" s="53"/>
      <c r="RAP1375" s="53"/>
      <c r="RAQ1375" s="53"/>
      <c r="RAR1375" s="53"/>
      <c r="RAS1375" s="53"/>
      <c r="RAT1375" s="53"/>
      <c r="RAU1375" s="53"/>
      <c r="RAV1375" s="53"/>
      <c r="RAW1375" s="53"/>
      <c r="RAX1375" s="53"/>
      <c r="RAY1375" s="53"/>
      <c r="RAZ1375" s="53"/>
      <c r="RBA1375" s="53"/>
      <c r="RBB1375" s="53"/>
      <c r="RBC1375" s="53"/>
      <c r="RBD1375" s="53"/>
      <c r="RBE1375" s="53"/>
      <c r="RBF1375" s="53"/>
      <c r="RBG1375" s="53"/>
      <c r="RBH1375" s="53"/>
      <c r="RBI1375" s="53"/>
      <c r="RBJ1375" s="53"/>
      <c r="RBK1375" s="53"/>
      <c r="RBL1375" s="53"/>
      <c r="RBM1375" s="53"/>
      <c r="RBN1375" s="53"/>
      <c r="RBO1375" s="53"/>
      <c r="RBP1375" s="53"/>
      <c r="RBQ1375" s="53"/>
      <c r="RBR1375" s="53"/>
      <c r="RBS1375" s="53"/>
      <c r="RBT1375" s="53"/>
      <c r="RBU1375" s="53"/>
      <c r="RBV1375" s="53"/>
      <c r="RBW1375" s="53"/>
      <c r="RBX1375" s="53"/>
      <c r="RBY1375" s="53"/>
      <c r="RBZ1375" s="53"/>
      <c r="RCA1375" s="53"/>
      <c r="RCB1375" s="53"/>
      <c r="RCC1375" s="53"/>
      <c r="RCD1375" s="53"/>
      <c r="RCE1375" s="53"/>
      <c r="RCF1375" s="53"/>
      <c r="RCG1375" s="53"/>
      <c r="RCH1375" s="53"/>
      <c r="RCI1375" s="53"/>
      <c r="RCJ1375" s="53"/>
      <c r="RCK1375" s="53"/>
      <c r="RCL1375" s="53"/>
      <c r="RCM1375" s="53"/>
      <c r="RCN1375" s="53"/>
      <c r="RCO1375" s="53"/>
      <c r="RCP1375" s="53"/>
      <c r="RCQ1375" s="53"/>
      <c r="RCR1375" s="53"/>
      <c r="RCS1375" s="53"/>
      <c r="RCT1375" s="53"/>
      <c r="RCU1375" s="53"/>
      <c r="RCV1375" s="53"/>
      <c r="RCW1375" s="53"/>
      <c r="RCX1375" s="53"/>
      <c r="RCY1375" s="53"/>
      <c r="RCZ1375" s="53"/>
      <c r="RDA1375" s="53"/>
      <c r="RDB1375" s="53"/>
      <c r="RDC1375" s="53"/>
      <c r="RDD1375" s="53"/>
      <c r="RDE1375" s="53"/>
      <c r="RDF1375" s="53"/>
      <c r="RDG1375" s="53"/>
      <c r="RDH1375" s="53"/>
      <c r="RDI1375" s="53"/>
      <c r="RDJ1375" s="53"/>
      <c r="RDK1375" s="53"/>
      <c r="RDL1375" s="53"/>
      <c r="RDM1375" s="53"/>
      <c r="RDN1375" s="53"/>
      <c r="RDO1375" s="53"/>
      <c r="RDP1375" s="53"/>
      <c r="RDQ1375" s="53"/>
      <c r="RDR1375" s="53"/>
      <c r="RDS1375" s="53"/>
      <c r="RDT1375" s="53"/>
      <c r="RDU1375" s="53"/>
      <c r="RDV1375" s="53"/>
      <c r="RDW1375" s="53"/>
      <c r="RDX1375" s="53"/>
      <c r="RDY1375" s="53"/>
      <c r="RDZ1375" s="53"/>
      <c r="REA1375" s="53"/>
      <c r="REB1375" s="53"/>
      <c r="REC1375" s="53"/>
      <c r="RED1375" s="53"/>
      <c r="REE1375" s="53"/>
      <c r="REF1375" s="53"/>
      <c r="REG1375" s="53"/>
      <c r="REH1375" s="53"/>
      <c r="REI1375" s="53"/>
      <c r="REJ1375" s="53"/>
      <c r="REK1375" s="53"/>
      <c r="REL1375" s="53"/>
      <c r="REM1375" s="53"/>
      <c r="REN1375" s="53"/>
      <c r="REO1375" s="53"/>
      <c r="REP1375" s="53"/>
      <c r="REQ1375" s="53"/>
      <c r="RER1375" s="53"/>
      <c r="RES1375" s="53"/>
      <c r="RET1375" s="53"/>
      <c r="REU1375" s="53"/>
      <c r="REV1375" s="53"/>
      <c r="REW1375" s="53"/>
      <c r="REX1375" s="53"/>
      <c r="REY1375" s="53"/>
      <c r="REZ1375" s="53"/>
      <c r="RFA1375" s="53"/>
      <c r="RFB1375" s="53"/>
      <c r="RFC1375" s="53"/>
      <c r="RFD1375" s="53"/>
      <c r="RFE1375" s="53"/>
      <c r="RFF1375" s="53"/>
      <c r="RFG1375" s="53"/>
      <c r="RFH1375" s="53"/>
      <c r="RFI1375" s="53"/>
      <c r="RFJ1375" s="53"/>
      <c r="RFK1375" s="53"/>
      <c r="RFL1375" s="53"/>
      <c r="RFM1375" s="53"/>
      <c r="RFN1375" s="53"/>
      <c r="RFO1375" s="53"/>
      <c r="RFP1375" s="53"/>
      <c r="RFQ1375" s="53"/>
      <c r="RFR1375" s="53"/>
      <c r="RFS1375" s="53"/>
      <c r="RFT1375" s="53"/>
      <c r="RFU1375" s="53"/>
      <c r="RFV1375" s="53"/>
      <c r="RFW1375" s="53"/>
      <c r="RFX1375" s="53"/>
      <c r="RFY1375" s="53"/>
      <c r="RFZ1375" s="53"/>
      <c r="RGA1375" s="53"/>
      <c r="RGB1375" s="53"/>
      <c r="RGC1375" s="53"/>
      <c r="RGD1375" s="53"/>
      <c r="RGE1375" s="53"/>
      <c r="RGF1375" s="53"/>
      <c r="RGG1375" s="53"/>
      <c r="RGH1375" s="53"/>
      <c r="RGI1375" s="53"/>
      <c r="RGJ1375" s="53"/>
      <c r="RGK1375" s="53"/>
      <c r="RGL1375" s="53"/>
      <c r="RGM1375" s="53"/>
      <c r="RGN1375" s="53"/>
      <c r="RGO1375" s="53"/>
      <c r="RGP1375" s="53"/>
      <c r="RGQ1375" s="53"/>
      <c r="RGR1375" s="53"/>
      <c r="RGS1375" s="53"/>
      <c r="RGT1375" s="53"/>
      <c r="RGU1375" s="53"/>
      <c r="RGV1375" s="53"/>
      <c r="RGW1375" s="53"/>
      <c r="RGX1375" s="53"/>
      <c r="RGY1375" s="53"/>
      <c r="RGZ1375" s="53"/>
      <c r="RHA1375" s="53"/>
      <c r="RHB1375" s="53"/>
      <c r="RHC1375" s="53"/>
      <c r="RHD1375" s="53"/>
      <c r="RHE1375" s="53"/>
      <c r="RHF1375" s="53"/>
      <c r="RHG1375" s="53"/>
      <c r="RHH1375" s="53"/>
      <c r="RHI1375" s="53"/>
      <c r="RHJ1375" s="53"/>
      <c r="RHK1375" s="53"/>
      <c r="RHL1375" s="53"/>
      <c r="RHM1375" s="53"/>
      <c r="RHN1375" s="53"/>
      <c r="RHO1375" s="53"/>
      <c r="RHP1375" s="53"/>
      <c r="RHQ1375" s="53"/>
      <c r="RHR1375" s="53"/>
      <c r="RHS1375" s="53"/>
      <c r="RHT1375" s="53"/>
      <c r="RHU1375" s="53"/>
      <c r="RHV1375" s="53"/>
      <c r="RHW1375" s="53"/>
      <c r="RHX1375" s="53"/>
      <c r="RHY1375" s="53"/>
      <c r="RHZ1375" s="53"/>
      <c r="RIA1375" s="53"/>
      <c r="RIB1375" s="53"/>
      <c r="RIC1375" s="53"/>
      <c r="RID1375" s="53"/>
      <c r="RIE1375" s="53"/>
      <c r="RIF1375" s="53"/>
      <c r="RIG1375" s="53"/>
      <c r="RIH1375" s="53"/>
      <c r="RII1375" s="53"/>
      <c r="RIJ1375" s="53"/>
      <c r="RIK1375" s="53"/>
      <c r="RIL1375" s="53"/>
      <c r="RIM1375" s="53"/>
      <c r="RIN1375" s="53"/>
      <c r="RIO1375" s="53"/>
      <c r="RIP1375" s="53"/>
      <c r="RIQ1375" s="53"/>
      <c r="RIR1375" s="53"/>
      <c r="RIS1375" s="53"/>
      <c r="RIT1375" s="53"/>
      <c r="RIU1375" s="53"/>
      <c r="RIV1375" s="53"/>
      <c r="RIW1375" s="53"/>
      <c r="RIX1375" s="53"/>
      <c r="RIY1375" s="53"/>
      <c r="RIZ1375" s="53"/>
      <c r="RJA1375" s="53"/>
      <c r="RJB1375" s="53"/>
      <c r="RJC1375" s="53"/>
      <c r="RJD1375" s="53"/>
      <c r="RJE1375" s="53"/>
      <c r="RJF1375" s="53"/>
      <c r="RJG1375" s="53"/>
      <c r="RJH1375" s="53"/>
      <c r="RJI1375" s="53"/>
      <c r="RJJ1375" s="53"/>
      <c r="RJK1375" s="53"/>
      <c r="RJL1375" s="53"/>
      <c r="RJM1375" s="53"/>
      <c r="RJN1375" s="53"/>
      <c r="RJO1375" s="53"/>
      <c r="RJP1375" s="53"/>
      <c r="RJQ1375" s="53"/>
      <c r="RJR1375" s="53"/>
      <c r="RJS1375" s="53"/>
      <c r="RJT1375" s="53"/>
      <c r="RJU1375" s="53"/>
      <c r="RJV1375" s="53"/>
      <c r="RJW1375" s="53"/>
      <c r="RJX1375" s="53"/>
      <c r="RJY1375" s="53"/>
      <c r="RJZ1375" s="53"/>
      <c r="RKA1375" s="53"/>
      <c r="RKB1375" s="53"/>
      <c r="RKC1375" s="53"/>
      <c r="RKD1375" s="53"/>
      <c r="RKE1375" s="53"/>
      <c r="RKF1375" s="53"/>
      <c r="RKG1375" s="53"/>
      <c r="RKH1375" s="53"/>
      <c r="RKI1375" s="53"/>
      <c r="RKJ1375" s="53"/>
      <c r="RKK1375" s="53"/>
      <c r="RKL1375" s="53"/>
      <c r="RKM1375" s="53"/>
      <c r="RKN1375" s="53"/>
      <c r="RKO1375" s="53"/>
      <c r="RKP1375" s="53"/>
      <c r="RKQ1375" s="53"/>
      <c r="RKR1375" s="53"/>
      <c r="RKS1375" s="53"/>
      <c r="RKT1375" s="53"/>
      <c r="RKU1375" s="53"/>
      <c r="RKV1375" s="53"/>
      <c r="RKW1375" s="53"/>
      <c r="RKX1375" s="53"/>
      <c r="RKY1375" s="53"/>
      <c r="RKZ1375" s="53"/>
      <c r="RLA1375" s="53"/>
      <c r="RLB1375" s="53"/>
      <c r="RLC1375" s="53"/>
      <c r="RLD1375" s="53"/>
      <c r="RLE1375" s="53"/>
      <c r="RLF1375" s="53"/>
      <c r="RLG1375" s="53"/>
      <c r="RLH1375" s="53"/>
      <c r="RLI1375" s="53"/>
      <c r="RLJ1375" s="53"/>
      <c r="RLK1375" s="53"/>
      <c r="RLL1375" s="53"/>
      <c r="RLM1375" s="53"/>
      <c r="RLN1375" s="53"/>
      <c r="RLO1375" s="53"/>
      <c r="RLP1375" s="53"/>
      <c r="RLQ1375" s="53"/>
      <c r="RLR1375" s="53"/>
      <c r="RLS1375" s="53"/>
      <c r="RLT1375" s="53"/>
      <c r="RLU1375" s="53"/>
      <c r="RLV1375" s="53"/>
      <c r="RLW1375" s="53"/>
      <c r="RLX1375" s="53"/>
      <c r="RLY1375" s="53"/>
      <c r="RLZ1375" s="53"/>
      <c r="RMA1375" s="53"/>
      <c r="RMB1375" s="53"/>
      <c r="RMC1375" s="53"/>
      <c r="RMD1375" s="53"/>
      <c r="RME1375" s="53"/>
      <c r="RMF1375" s="53"/>
      <c r="RMG1375" s="53"/>
      <c r="RMH1375" s="53"/>
      <c r="RMI1375" s="53"/>
      <c r="RMJ1375" s="53"/>
      <c r="RMK1375" s="53"/>
      <c r="RML1375" s="53"/>
      <c r="RMM1375" s="53"/>
      <c r="RMN1375" s="53"/>
      <c r="RMO1375" s="53"/>
      <c r="RMP1375" s="53"/>
      <c r="RMQ1375" s="53"/>
      <c r="RMR1375" s="53"/>
      <c r="RMS1375" s="53"/>
      <c r="RMT1375" s="53"/>
      <c r="RMU1375" s="53"/>
      <c r="RMV1375" s="53"/>
      <c r="RMW1375" s="53"/>
      <c r="RMX1375" s="53"/>
      <c r="RMY1375" s="53"/>
      <c r="RMZ1375" s="53"/>
      <c r="RNA1375" s="53"/>
      <c r="RNB1375" s="53"/>
      <c r="RNC1375" s="53"/>
      <c r="RND1375" s="53"/>
      <c r="RNE1375" s="53"/>
      <c r="RNF1375" s="53"/>
      <c r="RNG1375" s="53"/>
      <c r="RNH1375" s="53"/>
      <c r="RNI1375" s="53"/>
      <c r="RNJ1375" s="53"/>
      <c r="RNK1375" s="53"/>
      <c r="RNL1375" s="53"/>
      <c r="RNM1375" s="53"/>
      <c r="RNN1375" s="53"/>
      <c r="RNO1375" s="53"/>
      <c r="RNP1375" s="53"/>
      <c r="RNQ1375" s="53"/>
      <c r="RNR1375" s="53"/>
      <c r="RNS1375" s="53"/>
      <c r="RNT1375" s="53"/>
      <c r="RNU1375" s="53"/>
      <c r="RNV1375" s="53"/>
      <c r="RNW1375" s="53"/>
      <c r="RNX1375" s="53"/>
      <c r="RNY1375" s="53"/>
      <c r="RNZ1375" s="53"/>
      <c r="ROA1375" s="53"/>
      <c r="ROB1375" s="53"/>
      <c r="ROC1375" s="53"/>
      <c r="ROD1375" s="53"/>
      <c r="ROE1375" s="53"/>
      <c r="ROF1375" s="53"/>
      <c r="ROG1375" s="53"/>
      <c r="ROH1375" s="53"/>
      <c r="ROI1375" s="53"/>
      <c r="ROJ1375" s="53"/>
      <c r="ROK1375" s="53"/>
      <c r="ROL1375" s="53"/>
      <c r="ROM1375" s="53"/>
      <c r="RON1375" s="53"/>
      <c r="ROO1375" s="53"/>
      <c r="ROP1375" s="53"/>
      <c r="ROQ1375" s="53"/>
      <c r="ROR1375" s="53"/>
      <c r="ROS1375" s="53"/>
      <c r="ROT1375" s="53"/>
      <c r="ROU1375" s="53"/>
      <c r="ROV1375" s="53"/>
      <c r="ROW1375" s="53"/>
      <c r="ROX1375" s="53"/>
      <c r="ROY1375" s="53"/>
      <c r="ROZ1375" s="53"/>
      <c r="RPA1375" s="53"/>
      <c r="RPB1375" s="53"/>
      <c r="RPC1375" s="53"/>
      <c r="RPD1375" s="53"/>
      <c r="RPE1375" s="53"/>
      <c r="RPF1375" s="53"/>
      <c r="RPG1375" s="53"/>
      <c r="RPH1375" s="53"/>
      <c r="RPI1375" s="53"/>
      <c r="RPJ1375" s="53"/>
      <c r="RPK1375" s="53"/>
      <c r="RPL1375" s="53"/>
      <c r="RPM1375" s="53"/>
      <c r="RPN1375" s="53"/>
      <c r="RPO1375" s="53"/>
      <c r="RPP1375" s="53"/>
      <c r="RPQ1375" s="53"/>
      <c r="RPR1375" s="53"/>
      <c r="RPS1375" s="53"/>
      <c r="RPT1375" s="53"/>
      <c r="RPU1375" s="53"/>
      <c r="RPV1375" s="53"/>
      <c r="RPW1375" s="53"/>
      <c r="RPX1375" s="53"/>
      <c r="RPY1375" s="53"/>
      <c r="RPZ1375" s="53"/>
      <c r="RQA1375" s="53"/>
      <c r="RQB1375" s="53"/>
      <c r="RQC1375" s="53"/>
      <c r="RQD1375" s="53"/>
      <c r="RQE1375" s="53"/>
      <c r="RQF1375" s="53"/>
      <c r="RQG1375" s="53"/>
      <c r="RQH1375" s="53"/>
      <c r="RQI1375" s="53"/>
      <c r="RQJ1375" s="53"/>
      <c r="RQK1375" s="53"/>
      <c r="RQL1375" s="53"/>
      <c r="RQM1375" s="53"/>
      <c r="RQN1375" s="53"/>
      <c r="RQO1375" s="53"/>
      <c r="RQP1375" s="53"/>
      <c r="RQQ1375" s="53"/>
      <c r="RQR1375" s="53"/>
      <c r="RQS1375" s="53"/>
      <c r="RQT1375" s="53"/>
      <c r="RQU1375" s="53"/>
      <c r="RQV1375" s="53"/>
      <c r="RQW1375" s="53"/>
      <c r="RQX1375" s="53"/>
      <c r="RQY1375" s="53"/>
      <c r="RQZ1375" s="53"/>
      <c r="RRA1375" s="53"/>
      <c r="RRB1375" s="53"/>
      <c r="RRC1375" s="53"/>
      <c r="RRD1375" s="53"/>
      <c r="RRE1375" s="53"/>
      <c r="RRF1375" s="53"/>
      <c r="RRG1375" s="53"/>
      <c r="RRH1375" s="53"/>
      <c r="RRI1375" s="53"/>
      <c r="RRJ1375" s="53"/>
      <c r="RRK1375" s="53"/>
      <c r="RRL1375" s="53"/>
      <c r="RRM1375" s="53"/>
      <c r="RRN1375" s="53"/>
      <c r="RRO1375" s="53"/>
      <c r="RRP1375" s="53"/>
      <c r="RRQ1375" s="53"/>
      <c r="RRR1375" s="53"/>
      <c r="RRS1375" s="53"/>
      <c r="RRT1375" s="53"/>
      <c r="RRU1375" s="53"/>
      <c r="RRV1375" s="53"/>
      <c r="RRW1375" s="53"/>
      <c r="RRX1375" s="53"/>
      <c r="RRY1375" s="53"/>
      <c r="RRZ1375" s="53"/>
      <c r="RSA1375" s="53"/>
      <c r="RSB1375" s="53"/>
      <c r="RSC1375" s="53"/>
      <c r="RSD1375" s="53"/>
      <c r="RSE1375" s="53"/>
      <c r="RSF1375" s="53"/>
      <c r="RSG1375" s="53"/>
      <c r="RSH1375" s="53"/>
      <c r="RSI1375" s="53"/>
      <c r="RSJ1375" s="53"/>
      <c r="RSK1375" s="53"/>
      <c r="RSL1375" s="53"/>
      <c r="RSM1375" s="53"/>
      <c r="RSN1375" s="53"/>
      <c r="RSO1375" s="53"/>
      <c r="RSP1375" s="53"/>
      <c r="RSQ1375" s="53"/>
      <c r="RSR1375" s="53"/>
      <c r="RSS1375" s="53"/>
      <c r="RST1375" s="53"/>
      <c r="RSU1375" s="53"/>
      <c r="RSV1375" s="53"/>
      <c r="RSW1375" s="53"/>
      <c r="RSX1375" s="53"/>
      <c r="RSY1375" s="53"/>
      <c r="RSZ1375" s="53"/>
      <c r="RTA1375" s="53"/>
      <c r="RTB1375" s="53"/>
      <c r="RTC1375" s="53"/>
      <c r="RTD1375" s="53"/>
      <c r="RTE1375" s="53"/>
      <c r="RTF1375" s="53"/>
      <c r="RTG1375" s="53"/>
      <c r="RTH1375" s="53"/>
      <c r="RTI1375" s="53"/>
      <c r="RTJ1375" s="53"/>
      <c r="RTK1375" s="53"/>
      <c r="RTL1375" s="53"/>
      <c r="RTM1375" s="53"/>
      <c r="RTN1375" s="53"/>
      <c r="RTO1375" s="53"/>
      <c r="RTP1375" s="53"/>
      <c r="RTQ1375" s="53"/>
      <c r="RTR1375" s="53"/>
      <c r="RTS1375" s="53"/>
      <c r="RTT1375" s="53"/>
      <c r="RTU1375" s="53"/>
      <c r="RTV1375" s="53"/>
      <c r="RTW1375" s="53"/>
      <c r="RTX1375" s="53"/>
      <c r="RTY1375" s="53"/>
      <c r="RTZ1375" s="53"/>
      <c r="RUA1375" s="53"/>
      <c r="RUB1375" s="53"/>
      <c r="RUC1375" s="53"/>
      <c r="RUD1375" s="53"/>
      <c r="RUE1375" s="53"/>
      <c r="RUF1375" s="53"/>
      <c r="RUG1375" s="53"/>
      <c r="RUH1375" s="53"/>
      <c r="RUI1375" s="53"/>
      <c r="RUJ1375" s="53"/>
      <c r="RUK1375" s="53"/>
      <c r="RUL1375" s="53"/>
      <c r="RUM1375" s="53"/>
      <c r="RUN1375" s="53"/>
      <c r="RUO1375" s="53"/>
      <c r="RUP1375" s="53"/>
      <c r="RUQ1375" s="53"/>
      <c r="RUR1375" s="53"/>
      <c r="RUS1375" s="53"/>
      <c r="RUT1375" s="53"/>
      <c r="RUU1375" s="53"/>
      <c r="RUV1375" s="53"/>
      <c r="RUW1375" s="53"/>
      <c r="RUX1375" s="53"/>
      <c r="RUY1375" s="53"/>
      <c r="RUZ1375" s="53"/>
      <c r="RVA1375" s="53"/>
      <c r="RVB1375" s="53"/>
      <c r="RVC1375" s="53"/>
      <c r="RVD1375" s="53"/>
      <c r="RVE1375" s="53"/>
      <c r="RVF1375" s="53"/>
      <c r="RVG1375" s="53"/>
      <c r="RVH1375" s="53"/>
      <c r="RVI1375" s="53"/>
      <c r="RVJ1375" s="53"/>
      <c r="RVK1375" s="53"/>
      <c r="RVL1375" s="53"/>
      <c r="RVM1375" s="53"/>
      <c r="RVN1375" s="53"/>
      <c r="RVO1375" s="53"/>
      <c r="RVP1375" s="53"/>
      <c r="RVQ1375" s="53"/>
      <c r="RVR1375" s="53"/>
      <c r="RVS1375" s="53"/>
      <c r="RVT1375" s="53"/>
      <c r="RVU1375" s="53"/>
      <c r="RVV1375" s="53"/>
      <c r="RVW1375" s="53"/>
      <c r="RVX1375" s="53"/>
      <c r="RVY1375" s="53"/>
      <c r="RVZ1375" s="53"/>
      <c r="RWA1375" s="53"/>
      <c r="RWB1375" s="53"/>
      <c r="RWC1375" s="53"/>
      <c r="RWD1375" s="53"/>
      <c r="RWE1375" s="53"/>
      <c r="RWF1375" s="53"/>
      <c r="RWG1375" s="53"/>
      <c r="RWH1375" s="53"/>
      <c r="RWI1375" s="53"/>
      <c r="RWJ1375" s="53"/>
      <c r="RWK1375" s="53"/>
      <c r="RWL1375" s="53"/>
      <c r="RWM1375" s="53"/>
      <c r="RWN1375" s="53"/>
      <c r="RWO1375" s="53"/>
      <c r="RWP1375" s="53"/>
      <c r="RWQ1375" s="53"/>
      <c r="RWR1375" s="53"/>
      <c r="RWS1375" s="53"/>
      <c r="RWT1375" s="53"/>
      <c r="RWU1375" s="53"/>
      <c r="RWV1375" s="53"/>
      <c r="RWW1375" s="53"/>
      <c r="RWX1375" s="53"/>
      <c r="RWY1375" s="53"/>
      <c r="RWZ1375" s="53"/>
      <c r="RXA1375" s="53"/>
      <c r="RXB1375" s="53"/>
      <c r="RXC1375" s="53"/>
      <c r="RXD1375" s="53"/>
      <c r="RXE1375" s="53"/>
      <c r="RXF1375" s="53"/>
      <c r="RXG1375" s="53"/>
      <c r="RXH1375" s="53"/>
      <c r="RXI1375" s="53"/>
      <c r="RXJ1375" s="53"/>
      <c r="RXK1375" s="53"/>
      <c r="RXL1375" s="53"/>
      <c r="RXM1375" s="53"/>
      <c r="RXN1375" s="53"/>
      <c r="RXO1375" s="53"/>
      <c r="RXP1375" s="53"/>
      <c r="RXQ1375" s="53"/>
      <c r="RXR1375" s="53"/>
      <c r="RXS1375" s="53"/>
      <c r="RXT1375" s="53"/>
      <c r="RXU1375" s="53"/>
      <c r="RXV1375" s="53"/>
      <c r="RXW1375" s="53"/>
      <c r="RXX1375" s="53"/>
      <c r="RXY1375" s="53"/>
      <c r="RXZ1375" s="53"/>
      <c r="RYA1375" s="53"/>
      <c r="RYB1375" s="53"/>
      <c r="RYC1375" s="53"/>
      <c r="RYD1375" s="53"/>
      <c r="RYE1375" s="53"/>
      <c r="RYF1375" s="53"/>
      <c r="RYG1375" s="53"/>
      <c r="RYH1375" s="53"/>
      <c r="RYI1375" s="53"/>
      <c r="RYJ1375" s="53"/>
      <c r="RYK1375" s="53"/>
      <c r="RYL1375" s="53"/>
      <c r="RYM1375" s="53"/>
      <c r="RYN1375" s="53"/>
      <c r="RYO1375" s="53"/>
      <c r="RYP1375" s="53"/>
      <c r="RYQ1375" s="53"/>
      <c r="RYR1375" s="53"/>
      <c r="RYS1375" s="53"/>
      <c r="RYT1375" s="53"/>
      <c r="RYU1375" s="53"/>
      <c r="RYV1375" s="53"/>
      <c r="RYW1375" s="53"/>
      <c r="RYX1375" s="53"/>
      <c r="RYY1375" s="53"/>
      <c r="RYZ1375" s="53"/>
      <c r="RZA1375" s="53"/>
      <c r="RZB1375" s="53"/>
      <c r="RZC1375" s="53"/>
      <c r="RZD1375" s="53"/>
      <c r="RZE1375" s="53"/>
      <c r="RZF1375" s="53"/>
      <c r="RZG1375" s="53"/>
      <c r="RZH1375" s="53"/>
      <c r="RZI1375" s="53"/>
      <c r="RZJ1375" s="53"/>
      <c r="RZK1375" s="53"/>
      <c r="RZL1375" s="53"/>
      <c r="RZM1375" s="53"/>
      <c r="RZN1375" s="53"/>
      <c r="RZO1375" s="53"/>
      <c r="RZP1375" s="53"/>
      <c r="RZQ1375" s="53"/>
      <c r="RZR1375" s="53"/>
      <c r="RZS1375" s="53"/>
      <c r="RZT1375" s="53"/>
      <c r="RZU1375" s="53"/>
      <c r="RZV1375" s="53"/>
      <c r="RZW1375" s="53"/>
      <c r="RZX1375" s="53"/>
      <c r="RZY1375" s="53"/>
      <c r="RZZ1375" s="53"/>
      <c r="SAA1375" s="53"/>
      <c r="SAB1375" s="53"/>
      <c r="SAC1375" s="53"/>
      <c r="SAD1375" s="53"/>
      <c r="SAE1375" s="53"/>
      <c r="SAF1375" s="53"/>
      <c r="SAG1375" s="53"/>
      <c r="SAH1375" s="53"/>
      <c r="SAI1375" s="53"/>
      <c r="SAJ1375" s="53"/>
      <c r="SAK1375" s="53"/>
      <c r="SAL1375" s="53"/>
      <c r="SAM1375" s="53"/>
      <c r="SAN1375" s="53"/>
      <c r="SAO1375" s="53"/>
      <c r="SAP1375" s="53"/>
      <c r="SAQ1375" s="53"/>
      <c r="SAR1375" s="53"/>
      <c r="SAS1375" s="53"/>
      <c r="SAT1375" s="53"/>
      <c r="SAU1375" s="53"/>
      <c r="SAV1375" s="53"/>
      <c r="SAW1375" s="53"/>
      <c r="SAX1375" s="53"/>
      <c r="SAY1375" s="53"/>
      <c r="SAZ1375" s="53"/>
      <c r="SBA1375" s="53"/>
      <c r="SBB1375" s="53"/>
      <c r="SBC1375" s="53"/>
      <c r="SBD1375" s="53"/>
      <c r="SBE1375" s="53"/>
      <c r="SBF1375" s="53"/>
      <c r="SBG1375" s="53"/>
      <c r="SBH1375" s="53"/>
      <c r="SBI1375" s="53"/>
      <c r="SBJ1375" s="53"/>
      <c r="SBK1375" s="53"/>
      <c r="SBL1375" s="53"/>
      <c r="SBM1375" s="53"/>
      <c r="SBN1375" s="53"/>
      <c r="SBO1375" s="53"/>
      <c r="SBP1375" s="53"/>
      <c r="SBQ1375" s="53"/>
      <c r="SBR1375" s="53"/>
      <c r="SBS1375" s="53"/>
      <c r="SBT1375" s="53"/>
      <c r="SBU1375" s="53"/>
      <c r="SBV1375" s="53"/>
      <c r="SBW1375" s="53"/>
      <c r="SBX1375" s="53"/>
      <c r="SBY1375" s="53"/>
      <c r="SBZ1375" s="53"/>
      <c r="SCA1375" s="53"/>
      <c r="SCB1375" s="53"/>
      <c r="SCC1375" s="53"/>
      <c r="SCD1375" s="53"/>
      <c r="SCE1375" s="53"/>
      <c r="SCF1375" s="53"/>
      <c r="SCG1375" s="53"/>
      <c r="SCH1375" s="53"/>
      <c r="SCI1375" s="53"/>
      <c r="SCJ1375" s="53"/>
      <c r="SCK1375" s="53"/>
      <c r="SCL1375" s="53"/>
      <c r="SCM1375" s="53"/>
      <c r="SCN1375" s="53"/>
      <c r="SCO1375" s="53"/>
      <c r="SCP1375" s="53"/>
      <c r="SCQ1375" s="53"/>
      <c r="SCR1375" s="53"/>
      <c r="SCS1375" s="53"/>
      <c r="SCT1375" s="53"/>
      <c r="SCU1375" s="53"/>
      <c r="SCV1375" s="53"/>
      <c r="SCW1375" s="53"/>
      <c r="SCX1375" s="53"/>
      <c r="SCY1375" s="53"/>
      <c r="SCZ1375" s="53"/>
      <c r="SDA1375" s="53"/>
      <c r="SDB1375" s="53"/>
      <c r="SDC1375" s="53"/>
      <c r="SDD1375" s="53"/>
      <c r="SDE1375" s="53"/>
      <c r="SDF1375" s="53"/>
      <c r="SDG1375" s="53"/>
      <c r="SDH1375" s="53"/>
      <c r="SDI1375" s="53"/>
      <c r="SDJ1375" s="53"/>
      <c r="SDK1375" s="53"/>
      <c r="SDL1375" s="53"/>
      <c r="SDM1375" s="53"/>
      <c r="SDN1375" s="53"/>
      <c r="SDO1375" s="53"/>
      <c r="SDP1375" s="53"/>
      <c r="SDQ1375" s="53"/>
      <c r="SDR1375" s="53"/>
      <c r="SDS1375" s="53"/>
      <c r="SDT1375" s="53"/>
      <c r="SDU1375" s="53"/>
      <c r="SDV1375" s="53"/>
      <c r="SDW1375" s="53"/>
      <c r="SDX1375" s="53"/>
      <c r="SDY1375" s="53"/>
      <c r="SDZ1375" s="53"/>
      <c r="SEA1375" s="53"/>
      <c r="SEB1375" s="53"/>
      <c r="SEC1375" s="53"/>
      <c r="SED1375" s="53"/>
      <c r="SEE1375" s="53"/>
      <c r="SEF1375" s="53"/>
      <c r="SEG1375" s="53"/>
      <c r="SEH1375" s="53"/>
      <c r="SEI1375" s="53"/>
      <c r="SEJ1375" s="53"/>
      <c r="SEK1375" s="53"/>
      <c r="SEL1375" s="53"/>
      <c r="SEM1375" s="53"/>
      <c r="SEN1375" s="53"/>
      <c r="SEO1375" s="53"/>
      <c r="SEP1375" s="53"/>
      <c r="SEQ1375" s="53"/>
      <c r="SER1375" s="53"/>
      <c r="SES1375" s="53"/>
      <c r="SET1375" s="53"/>
      <c r="SEU1375" s="53"/>
      <c r="SEV1375" s="53"/>
      <c r="SEW1375" s="53"/>
      <c r="SEX1375" s="53"/>
      <c r="SEY1375" s="53"/>
      <c r="SEZ1375" s="53"/>
      <c r="SFA1375" s="53"/>
      <c r="SFB1375" s="53"/>
      <c r="SFC1375" s="53"/>
      <c r="SFD1375" s="53"/>
      <c r="SFE1375" s="53"/>
      <c r="SFF1375" s="53"/>
      <c r="SFG1375" s="53"/>
      <c r="SFH1375" s="53"/>
      <c r="SFI1375" s="53"/>
      <c r="SFJ1375" s="53"/>
      <c r="SFK1375" s="53"/>
      <c r="SFL1375" s="53"/>
      <c r="SFM1375" s="53"/>
      <c r="SFN1375" s="53"/>
      <c r="SFO1375" s="53"/>
      <c r="SFP1375" s="53"/>
      <c r="SFQ1375" s="53"/>
      <c r="SFR1375" s="53"/>
      <c r="SFS1375" s="53"/>
      <c r="SFT1375" s="53"/>
      <c r="SFU1375" s="53"/>
      <c r="SFV1375" s="53"/>
      <c r="SFW1375" s="53"/>
      <c r="SFX1375" s="53"/>
      <c r="SFY1375" s="53"/>
      <c r="SFZ1375" s="53"/>
      <c r="SGA1375" s="53"/>
      <c r="SGB1375" s="53"/>
      <c r="SGC1375" s="53"/>
      <c r="SGD1375" s="53"/>
      <c r="SGE1375" s="53"/>
      <c r="SGF1375" s="53"/>
      <c r="SGG1375" s="53"/>
      <c r="SGH1375" s="53"/>
      <c r="SGI1375" s="53"/>
      <c r="SGJ1375" s="53"/>
      <c r="SGK1375" s="53"/>
      <c r="SGL1375" s="53"/>
      <c r="SGM1375" s="53"/>
      <c r="SGN1375" s="53"/>
      <c r="SGO1375" s="53"/>
      <c r="SGP1375" s="53"/>
      <c r="SGQ1375" s="53"/>
      <c r="SGR1375" s="53"/>
      <c r="SGS1375" s="53"/>
      <c r="SGT1375" s="53"/>
      <c r="SGU1375" s="53"/>
      <c r="SGV1375" s="53"/>
      <c r="SGW1375" s="53"/>
      <c r="SGX1375" s="53"/>
      <c r="SGY1375" s="53"/>
      <c r="SGZ1375" s="53"/>
      <c r="SHA1375" s="53"/>
      <c r="SHB1375" s="53"/>
      <c r="SHC1375" s="53"/>
      <c r="SHD1375" s="53"/>
      <c r="SHE1375" s="53"/>
      <c r="SHF1375" s="53"/>
      <c r="SHG1375" s="53"/>
      <c r="SHH1375" s="53"/>
      <c r="SHI1375" s="53"/>
      <c r="SHJ1375" s="53"/>
      <c r="SHK1375" s="53"/>
      <c r="SHL1375" s="53"/>
      <c r="SHM1375" s="53"/>
      <c r="SHN1375" s="53"/>
      <c r="SHO1375" s="53"/>
      <c r="SHP1375" s="53"/>
      <c r="SHQ1375" s="53"/>
      <c r="SHR1375" s="53"/>
      <c r="SHS1375" s="53"/>
      <c r="SHT1375" s="53"/>
      <c r="SHU1375" s="53"/>
      <c r="SHV1375" s="53"/>
      <c r="SHW1375" s="53"/>
      <c r="SHX1375" s="53"/>
      <c r="SHY1375" s="53"/>
      <c r="SHZ1375" s="53"/>
      <c r="SIA1375" s="53"/>
      <c r="SIB1375" s="53"/>
      <c r="SIC1375" s="53"/>
      <c r="SID1375" s="53"/>
      <c r="SIE1375" s="53"/>
      <c r="SIF1375" s="53"/>
      <c r="SIG1375" s="53"/>
      <c r="SIH1375" s="53"/>
      <c r="SII1375" s="53"/>
      <c r="SIJ1375" s="53"/>
      <c r="SIK1375" s="53"/>
      <c r="SIL1375" s="53"/>
      <c r="SIM1375" s="53"/>
      <c r="SIN1375" s="53"/>
      <c r="SIO1375" s="53"/>
      <c r="SIP1375" s="53"/>
      <c r="SIQ1375" s="53"/>
      <c r="SIR1375" s="53"/>
      <c r="SIS1375" s="53"/>
      <c r="SIT1375" s="53"/>
      <c r="SIU1375" s="53"/>
      <c r="SIV1375" s="53"/>
      <c r="SIW1375" s="53"/>
      <c r="SIX1375" s="53"/>
      <c r="SIY1375" s="53"/>
      <c r="SIZ1375" s="53"/>
      <c r="SJA1375" s="53"/>
      <c r="SJB1375" s="53"/>
      <c r="SJC1375" s="53"/>
      <c r="SJD1375" s="53"/>
      <c r="SJE1375" s="53"/>
      <c r="SJF1375" s="53"/>
      <c r="SJG1375" s="53"/>
      <c r="SJH1375" s="53"/>
      <c r="SJI1375" s="53"/>
      <c r="SJJ1375" s="53"/>
      <c r="SJK1375" s="53"/>
      <c r="SJL1375" s="53"/>
      <c r="SJM1375" s="53"/>
      <c r="SJN1375" s="53"/>
      <c r="SJO1375" s="53"/>
      <c r="SJP1375" s="53"/>
      <c r="SJQ1375" s="53"/>
      <c r="SJR1375" s="53"/>
      <c r="SJS1375" s="53"/>
      <c r="SJT1375" s="53"/>
      <c r="SJU1375" s="53"/>
      <c r="SJV1375" s="53"/>
      <c r="SJW1375" s="53"/>
      <c r="SJX1375" s="53"/>
      <c r="SJY1375" s="53"/>
      <c r="SJZ1375" s="53"/>
      <c r="SKA1375" s="53"/>
      <c r="SKB1375" s="53"/>
      <c r="SKC1375" s="53"/>
      <c r="SKD1375" s="53"/>
      <c r="SKE1375" s="53"/>
      <c r="SKF1375" s="53"/>
      <c r="SKG1375" s="53"/>
      <c r="SKH1375" s="53"/>
      <c r="SKI1375" s="53"/>
      <c r="SKJ1375" s="53"/>
      <c r="SKK1375" s="53"/>
      <c r="SKL1375" s="53"/>
      <c r="SKM1375" s="53"/>
      <c r="SKN1375" s="53"/>
      <c r="SKO1375" s="53"/>
      <c r="SKP1375" s="53"/>
      <c r="SKQ1375" s="53"/>
      <c r="SKR1375" s="53"/>
      <c r="SKS1375" s="53"/>
      <c r="SKT1375" s="53"/>
      <c r="SKU1375" s="53"/>
      <c r="SKV1375" s="53"/>
      <c r="SKW1375" s="53"/>
      <c r="SKX1375" s="53"/>
      <c r="SKY1375" s="53"/>
      <c r="SKZ1375" s="53"/>
      <c r="SLA1375" s="53"/>
      <c r="SLB1375" s="53"/>
      <c r="SLC1375" s="53"/>
      <c r="SLD1375" s="53"/>
      <c r="SLE1375" s="53"/>
      <c r="SLF1375" s="53"/>
      <c r="SLG1375" s="53"/>
      <c r="SLH1375" s="53"/>
      <c r="SLI1375" s="53"/>
      <c r="SLJ1375" s="53"/>
      <c r="SLK1375" s="53"/>
      <c r="SLL1375" s="53"/>
      <c r="SLM1375" s="53"/>
      <c r="SLN1375" s="53"/>
      <c r="SLO1375" s="53"/>
      <c r="SLP1375" s="53"/>
      <c r="SLQ1375" s="53"/>
      <c r="SLR1375" s="53"/>
      <c r="SLS1375" s="53"/>
      <c r="SLT1375" s="53"/>
      <c r="SLU1375" s="53"/>
      <c r="SLV1375" s="53"/>
      <c r="SLW1375" s="53"/>
      <c r="SLX1375" s="53"/>
      <c r="SLY1375" s="53"/>
      <c r="SLZ1375" s="53"/>
      <c r="SMA1375" s="53"/>
      <c r="SMB1375" s="53"/>
      <c r="SMC1375" s="53"/>
      <c r="SMD1375" s="53"/>
      <c r="SME1375" s="53"/>
      <c r="SMF1375" s="53"/>
      <c r="SMG1375" s="53"/>
      <c r="SMH1375" s="53"/>
      <c r="SMI1375" s="53"/>
      <c r="SMJ1375" s="53"/>
      <c r="SMK1375" s="53"/>
      <c r="SML1375" s="53"/>
      <c r="SMM1375" s="53"/>
      <c r="SMN1375" s="53"/>
      <c r="SMO1375" s="53"/>
      <c r="SMP1375" s="53"/>
      <c r="SMQ1375" s="53"/>
      <c r="SMR1375" s="53"/>
      <c r="SMS1375" s="53"/>
      <c r="SMT1375" s="53"/>
      <c r="SMU1375" s="53"/>
      <c r="SMV1375" s="53"/>
      <c r="SMW1375" s="53"/>
      <c r="SMX1375" s="53"/>
      <c r="SMY1375" s="53"/>
      <c r="SMZ1375" s="53"/>
      <c r="SNA1375" s="53"/>
      <c r="SNB1375" s="53"/>
      <c r="SNC1375" s="53"/>
      <c r="SND1375" s="53"/>
      <c r="SNE1375" s="53"/>
      <c r="SNF1375" s="53"/>
      <c r="SNG1375" s="53"/>
      <c r="SNH1375" s="53"/>
      <c r="SNI1375" s="53"/>
      <c r="SNJ1375" s="53"/>
      <c r="SNK1375" s="53"/>
      <c r="SNL1375" s="53"/>
      <c r="SNM1375" s="53"/>
      <c r="SNN1375" s="53"/>
      <c r="SNO1375" s="53"/>
      <c r="SNP1375" s="53"/>
      <c r="SNQ1375" s="53"/>
      <c r="SNR1375" s="53"/>
      <c r="SNS1375" s="53"/>
      <c r="SNT1375" s="53"/>
      <c r="SNU1375" s="53"/>
      <c r="SNV1375" s="53"/>
      <c r="SNW1375" s="53"/>
      <c r="SNX1375" s="53"/>
      <c r="SNY1375" s="53"/>
      <c r="SNZ1375" s="53"/>
      <c r="SOA1375" s="53"/>
      <c r="SOB1375" s="53"/>
      <c r="SOC1375" s="53"/>
      <c r="SOD1375" s="53"/>
      <c r="SOE1375" s="53"/>
      <c r="SOF1375" s="53"/>
      <c r="SOG1375" s="53"/>
      <c r="SOH1375" s="53"/>
      <c r="SOI1375" s="53"/>
      <c r="SOJ1375" s="53"/>
      <c r="SOK1375" s="53"/>
      <c r="SOL1375" s="53"/>
      <c r="SOM1375" s="53"/>
      <c r="SON1375" s="53"/>
      <c r="SOO1375" s="53"/>
      <c r="SOP1375" s="53"/>
      <c r="SOQ1375" s="53"/>
      <c r="SOR1375" s="53"/>
      <c r="SOS1375" s="53"/>
      <c r="SOT1375" s="53"/>
      <c r="SOU1375" s="53"/>
      <c r="SOV1375" s="53"/>
      <c r="SOW1375" s="53"/>
      <c r="SOX1375" s="53"/>
      <c r="SOY1375" s="53"/>
      <c r="SOZ1375" s="53"/>
      <c r="SPA1375" s="53"/>
      <c r="SPB1375" s="53"/>
      <c r="SPC1375" s="53"/>
      <c r="SPD1375" s="53"/>
      <c r="SPE1375" s="53"/>
      <c r="SPF1375" s="53"/>
      <c r="SPG1375" s="53"/>
      <c r="SPH1375" s="53"/>
      <c r="SPI1375" s="53"/>
      <c r="SPJ1375" s="53"/>
      <c r="SPK1375" s="53"/>
      <c r="SPL1375" s="53"/>
      <c r="SPM1375" s="53"/>
      <c r="SPN1375" s="53"/>
      <c r="SPO1375" s="53"/>
      <c r="SPP1375" s="53"/>
      <c r="SPQ1375" s="53"/>
      <c r="SPR1375" s="53"/>
      <c r="SPS1375" s="53"/>
      <c r="SPT1375" s="53"/>
      <c r="SPU1375" s="53"/>
      <c r="SPV1375" s="53"/>
      <c r="SPW1375" s="53"/>
      <c r="SPX1375" s="53"/>
      <c r="SPY1375" s="53"/>
      <c r="SPZ1375" s="53"/>
      <c r="SQA1375" s="53"/>
      <c r="SQB1375" s="53"/>
      <c r="SQC1375" s="53"/>
      <c r="SQD1375" s="53"/>
      <c r="SQE1375" s="53"/>
      <c r="SQF1375" s="53"/>
      <c r="SQG1375" s="53"/>
      <c r="SQH1375" s="53"/>
      <c r="SQI1375" s="53"/>
      <c r="SQJ1375" s="53"/>
      <c r="SQK1375" s="53"/>
      <c r="SQL1375" s="53"/>
      <c r="SQM1375" s="53"/>
      <c r="SQN1375" s="53"/>
      <c r="SQO1375" s="53"/>
      <c r="SQP1375" s="53"/>
      <c r="SQQ1375" s="53"/>
      <c r="SQR1375" s="53"/>
      <c r="SQS1375" s="53"/>
      <c r="SQT1375" s="53"/>
      <c r="SQU1375" s="53"/>
      <c r="SQV1375" s="53"/>
      <c r="SQW1375" s="53"/>
      <c r="SQX1375" s="53"/>
      <c r="SQY1375" s="53"/>
      <c r="SQZ1375" s="53"/>
      <c r="SRA1375" s="53"/>
      <c r="SRB1375" s="53"/>
      <c r="SRC1375" s="53"/>
      <c r="SRD1375" s="53"/>
      <c r="SRE1375" s="53"/>
      <c r="SRF1375" s="53"/>
      <c r="SRG1375" s="53"/>
      <c r="SRH1375" s="53"/>
      <c r="SRI1375" s="53"/>
      <c r="SRJ1375" s="53"/>
      <c r="SRK1375" s="53"/>
      <c r="SRL1375" s="53"/>
      <c r="SRM1375" s="53"/>
      <c r="SRN1375" s="53"/>
      <c r="SRO1375" s="53"/>
      <c r="SRP1375" s="53"/>
      <c r="SRQ1375" s="53"/>
      <c r="SRR1375" s="53"/>
      <c r="SRS1375" s="53"/>
      <c r="SRT1375" s="53"/>
      <c r="SRU1375" s="53"/>
      <c r="SRV1375" s="53"/>
      <c r="SRW1375" s="53"/>
      <c r="SRX1375" s="53"/>
      <c r="SRY1375" s="53"/>
      <c r="SRZ1375" s="53"/>
      <c r="SSA1375" s="53"/>
      <c r="SSB1375" s="53"/>
      <c r="SSC1375" s="53"/>
      <c r="SSD1375" s="53"/>
      <c r="SSE1375" s="53"/>
      <c r="SSF1375" s="53"/>
      <c r="SSG1375" s="53"/>
      <c r="SSH1375" s="53"/>
      <c r="SSI1375" s="53"/>
      <c r="SSJ1375" s="53"/>
      <c r="SSK1375" s="53"/>
      <c r="SSL1375" s="53"/>
      <c r="SSM1375" s="53"/>
      <c r="SSN1375" s="53"/>
      <c r="SSO1375" s="53"/>
      <c r="SSP1375" s="53"/>
      <c r="SSQ1375" s="53"/>
      <c r="SSR1375" s="53"/>
      <c r="SSS1375" s="53"/>
      <c r="SST1375" s="53"/>
      <c r="SSU1375" s="53"/>
      <c r="SSV1375" s="53"/>
      <c r="SSW1375" s="53"/>
      <c r="SSX1375" s="53"/>
      <c r="SSY1375" s="53"/>
      <c r="SSZ1375" s="53"/>
      <c r="STA1375" s="53"/>
      <c r="STB1375" s="53"/>
      <c r="STC1375" s="53"/>
      <c r="STD1375" s="53"/>
      <c r="STE1375" s="53"/>
      <c r="STF1375" s="53"/>
      <c r="STG1375" s="53"/>
      <c r="STH1375" s="53"/>
      <c r="STI1375" s="53"/>
      <c r="STJ1375" s="53"/>
      <c r="STK1375" s="53"/>
      <c r="STL1375" s="53"/>
      <c r="STM1375" s="53"/>
      <c r="STN1375" s="53"/>
      <c r="STO1375" s="53"/>
      <c r="STP1375" s="53"/>
      <c r="STQ1375" s="53"/>
      <c r="STR1375" s="53"/>
      <c r="STS1375" s="53"/>
      <c r="STT1375" s="53"/>
      <c r="STU1375" s="53"/>
      <c r="STV1375" s="53"/>
      <c r="STW1375" s="53"/>
      <c r="STX1375" s="53"/>
      <c r="STY1375" s="53"/>
      <c r="STZ1375" s="53"/>
      <c r="SUA1375" s="53"/>
      <c r="SUB1375" s="53"/>
      <c r="SUC1375" s="53"/>
      <c r="SUD1375" s="53"/>
      <c r="SUE1375" s="53"/>
      <c r="SUF1375" s="53"/>
      <c r="SUG1375" s="53"/>
      <c r="SUH1375" s="53"/>
      <c r="SUI1375" s="53"/>
      <c r="SUJ1375" s="53"/>
      <c r="SUK1375" s="53"/>
      <c r="SUL1375" s="53"/>
      <c r="SUM1375" s="53"/>
      <c r="SUN1375" s="53"/>
      <c r="SUO1375" s="53"/>
      <c r="SUP1375" s="53"/>
      <c r="SUQ1375" s="53"/>
      <c r="SUR1375" s="53"/>
      <c r="SUS1375" s="53"/>
      <c r="SUT1375" s="53"/>
      <c r="SUU1375" s="53"/>
      <c r="SUV1375" s="53"/>
      <c r="SUW1375" s="53"/>
      <c r="SUX1375" s="53"/>
      <c r="SUY1375" s="53"/>
      <c r="SUZ1375" s="53"/>
      <c r="SVA1375" s="53"/>
      <c r="SVB1375" s="53"/>
      <c r="SVC1375" s="53"/>
      <c r="SVD1375" s="53"/>
      <c r="SVE1375" s="53"/>
      <c r="SVF1375" s="53"/>
      <c r="SVG1375" s="53"/>
      <c r="SVH1375" s="53"/>
      <c r="SVI1375" s="53"/>
      <c r="SVJ1375" s="53"/>
      <c r="SVK1375" s="53"/>
      <c r="SVL1375" s="53"/>
      <c r="SVM1375" s="53"/>
      <c r="SVN1375" s="53"/>
      <c r="SVO1375" s="53"/>
      <c r="SVP1375" s="53"/>
      <c r="SVQ1375" s="53"/>
      <c r="SVR1375" s="53"/>
      <c r="SVS1375" s="53"/>
      <c r="SVT1375" s="53"/>
      <c r="SVU1375" s="53"/>
      <c r="SVV1375" s="53"/>
      <c r="SVW1375" s="53"/>
      <c r="SVX1375" s="53"/>
      <c r="SVY1375" s="53"/>
      <c r="SVZ1375" s="53"/>
      <c r="SWA1375" s="53"/>
      <c r="SWB1375" s="53"/>
      <c r="SWC1375" s="53"/>
      <c r="SWD1375" s="53"/>
      <c r="SWE1375" s="53"/>
      <c r="SWF1375" s="53"/>
      <c r="SWG1375" s="53"/>
      <c r="SWH1375" s="53"/>
      <c r="SWI1375" s="53"/>
      <c r="SWJ1375" s="53"/>
      <c r="SWK1375" s="53"/>
      <c r="SWL1375" s="53"/>
      <c r="SWM1375" s="53"/>
      <c r="SWN1375" s="53"/>
      <c r="SWO1375" s="53"/>
      <c r="SWP1375" s="53"/>
      <c r="SWQ1375" s="53"/>
      <c r="SWR1375" s="53"/>
      <c r="SWS1375" s="53"/>
      <c r="SWT1375" s="53"/>
      <c r="SWU1375" s="53"/>
      <c r="SWV1375" s="53"/>
      <c r="SWW1375" s="53"/>
      <c r="SWX1375" s="53"/>
      <c r="SWY1375" s="53"/>
      <c r="SWZ1375" s="53"/>
      <c r="SXA1375" s="53"/>
      <c r="SXB1375" s="53"/>
      <c r="SXC1375" s="53"/>
      <c r="SXD1375" s="53"/>
      <c r="SXE1375" s="53"/>
      <c r="SXF1375" s="53"/>
      <c r="SXG1375" s="53"/>
      <c r="SXH1375" s="53"/>
      <c r="SXI1375" s="53"/>
      <c r="SXJ1375" s="53"/>
      <c r="SXK1375" s="53"/>
      <c r="SXL1375" s="53"/>
      <c r="SXM1375" s="53"/>
      <c r="SXN1375" s="53"/>
      <c r="SXO1375" s="53"/>
      <c r="SXP1375" s="53"/>
      <c r="SXQ1375" s="53"/>
      <c r="SXR1375" s="53"/>
      <c r="SXS1375" s="53"/>
      <c r="SXT1375" s="53"/>
      <c r="SXU1375" s="53"/>
      <c r="SXV1375" s="53"/>
      <c r="SXW1375" s="53"/>
      <c r="SXX1375" s="53"/>
      <c r="SXY1375" s="53"/>
      <c r="SXZ1375" s="53"/>
      <c r="SYA1375" s="53"/>
      <c r="SYB1375" s="53"/>
      <c r="SYC1375" s="53"/>
      <c r="SYD1375" s="53"/>
      <c r="SYE1375" s="53"/>
      <c r="SYF1375" s="53"/>
      <c r="SYG1375" s="53"/>
      <c r="SYH1375" s="53"/>
      <c r="SYI1375" s="53"/>
      <c r="SYJ1375" s="53"/>
      <c r="SYK1375" s="53"/>
      <c r="SYL1375" s="53"/>
      <c r="SYM1375" s="53"/>
      <c r="SYN1375" s="53"/>
      <c r="SYO1375" s="53"/>
      <c r="SYP1375" s="53"/>
      <c r="SYQ1375" s="53"/>
      <c r="SYR1375" s="53"/>
      <c r="SYS1375" s="53"/>
      <c r="SYT1375" s="53"/>
      <c r="SYU1375" s="53"/>
      <c r="SYV1375" s="53"/>
      <c r="SYW1375" s="53"/>
      <c r="SYX1375" s="53"/>
      <c r="SYY1375" s="53"/>
      <c r="SYZ1375" s="53"/>
      <c r="SZA1375" s="53"/>
      <c r="SZB1375" s="53"/>
      <c r="SZC1375" s="53"/>
      <c r="SZD1375" s="53"/>
      <c r="SZE1375" s="53"/>
      <c r="SZF1375" s="53"/>
      <c r="SZG1375" s="53"/>
      <c r="SZH1375" s="53"/>
      <c r="SZI1375" s="53"/>
      <c r="SZJ1375" s="53"/>
      <c r="SZK1375" s="53"/>
      <c r="SZL1375" s="53"/>
      <c r="SZM1375" s="53"/>
      <c r="SZN1375" s="53"/>
      <c r="SZO1375" s="53"/>
      <c r="SZP1375" s="53"/>
      <c r="SZQ1375" s="53"/>
      <c r="SZR1375" s="53"/>
      <c r="SZS1375" s="53"/>
      <c r="SZT1375" s="53"/>
      <c r="SZU1375" s="53"/>
      <c r="SZV1375" s="53"/>
      <c r="SZW1375" s="53"/>
      <c r="SZX1375" s="53"/>
      <c r="SZY1375" s="53"/>
      <c r="SZZ1375" s="53"/>
      <c r="TAA1375" s="53"/>
      <c r="TAB1375" s="53"/>
      <c r="TAC1375" s="53"/>
      <c r="TAD1375" s="53"/>
      <c r="TAE1375" s="53"/>
      <c r="TAF1375" s="53"/>
      <c r="TAG1375" s="53"/>
      <c r="TAH1375" s="53"/>
      <c r="TAI1375" s="53"/>
      <c r="TAJ1375" s="53"/>
      <c r="TAK1375" s="53"/>
      <c r="TAL1375" s="53"/>
      <c r="TAM1375" s="53"/>
      <c r="TAN1375" s="53"/>
      <c r="TAO1375" s="53"/>
      <c r="TAP1375" s="53"/>
      <c r="TAQ1375" s="53"/>
      <c r="TAR1375" s="53"/>
      <c r="TAS1375" s="53"/>
      <c r="TAT1375" s="53"/>
      <c r="TAU1375" s="53"/>
      <c r="TAV1375" s="53"/>
      <c r="TAW1375" s="53"/>
      <c r="TAX1375" s="53"/>
      <c r="TAY1375" s="53"/>
      <c r="TAZ1375" s="53"/>
      <c r="TBA1375" s="53"/>
      <c r="TBB1375" s="53"/>
      <c r="TBC1375" s="53"/>
      <c r="TBD1375" s="53"/>
      <c r="TBE1375" s="53"/>
      <c r="TBF1375" s="53"/>
      <c r="TBG1375" s="53"/>
      <c r="TBH1375" s="53"/>
      <c r="TBI1375" s="53"/>
      <c r="TBJ1375" s="53"/>
      <c r="TBK1375" s="53"/>
      <c r="TBL1375" s="53"/>
      <c r="TBM1375" s="53"/>
      <c r="TBN1375" s="53"/>
      <c r="TBO1375" s="53"/>
      <c r="TBP1375" s="53"/>
      <c r="TBQ1375" s="53"/>
      <c r="TBR1375" s="53"/>
      <c r="TBS1375" s="53"/>
      <c r="TBT1375" s="53"/>
      <c r="TBU1375" s="53"/>
      <c r="TBV1375" s="53"/>
      <c r="TBW1375" s="53"/>
      <c r="TBX1375" s="53"/>
      <c r="TBY1375" s="53"/>
      <c r="TBZ1375" s="53"/>
      <c r="TCA1375" s="53"/>
      <c r="TCB1375" s="53"/>
      <c r="TCC1375" s="53"/>
      <c r="TCD1375" s="53"/>
      <c r="TCE1375" s="53"/>
      <c r="TCF1375" s="53"/>
      <c r="TCG1375" s="53"/>
      <c r="TCH1375" s="53"/>
      <c r="TCI1375" s="53"/>
      <c r="TCJ1375" s="53"/>
      <c r="TCK1375" s="53"/>
      <c r="TCL1375" s="53"/>
      <c r="TCM1375" s="53"/>
      <c r="TCN1375" s="53"/>
      <c r="TCO1375" s="53"/>
      <c r="TCP1375" s="53"/>
      <c r="TCQ1375" s="53"/>
      <c r="TCR1375" s="53"/>
      <c r="TCS1375" s="53"/>
      <c r="TCT1375" s="53"/>
      <c r="TCU1375" s="53"/>
      <c r="TCV1375" s="53"/>
      <c r="TCW1375" s="53"/>
      <c r="TCX1375" s="53"/>
      <c r="TCY1375" s="53"/>
      <c r="TCZ1375" s="53"/>
      <c r="TDA1375" s="53"/>
      <c r="TDB1375" s="53"/>
      <c r="TDC1375" s="53"/>
      <c r="TDD1375" s="53"/>
      <c r="TDE1375" s="53"/>
      <c r="TDF1375" s="53"/>
      <c r="TDG1375" s="53"/>
      <c r="TDH1375" s="53"/>
      <c r="TDI1375" s="53"/>
      <c r="TDJ1375" s="53"/>
      <c r="TDK1375" s="53"/>
      <c r="TDL1375" s="53"/>
      <c r="TDM1375" s="53"/>
      <c r="TDN1375" s="53"/>
      <c r="TDO1375" s="53"/>
      <c r="TDP1375" s="53"/>
      <c r="TDQ1375" s="53"/>
      <c r="TDR1375" s="53"/>
      <c r="TDS1375" s="53"/>
      <c r="TDT1375" s="53"/>
      <c r="TDU1375" s="53"/>
      <c r="TDV1375" s="53"/>
      <c r="TDW1375" s="53"/>
      <c r="TDX1375" s="53"/>
      <c r="TDY1375" s="53"/>
      <c r="TDZ1375" s="53"/>
      <c r="TEA1375" s="53"/>
      <c r="TEB1375" s="53"/>
      <c r="TEC1375" s="53"/>
      <c r="TED1375" s="53"/>
      <c r="TEE1375" s="53"/>
      <c r="TEF1375" s="53"/>
      <c r="TEG1375" s="53"/>
      <c r="TEH1375" s="53"/>
      <c r="TEI1375" s="53"/>
      <c r="TEJ1375" s="53"/>
      <c r="TEK1375" s="53"/>
      <c r="TEL1375" s="53"/>
      <c r="TEM1375" s="53"/>
      <c r="TEN1375" s="53"/>
      <c r="TEO1375" s="53"/>
      <c r="TEP1375" s="53"/>
      <c r="TEQ1375" s="53"/>
      <c r="TER1375" s="53"/>
      <c r="TES1375" s="53"/>
      <c r="TET1375" s="53"/>
      <c r="TEU1375" s="53"/>
      <c r="TEV1375" s="53"/>
      <c r="TEW1375" s="53"/>
      <c r="TEX1375" s="53"/>
      <c r="TEY1375" s="53"/>
      <c r="TEZ1375" s="53"/>
      <c r="TFA1375" s="53"/>
      <c r="TFB1375" s="53"/>
      <c r="TFC1375" s="53"/>
      <c r="TFD1375" s="53"/>
      <c r="TFE1375" s="53"/>
      <c r="TFF1375" s="53"/>
      <c r="TFG1375" s="53"/>
      <c r="TFH1375" s="53"/>
      <c r="TFI1375" s="53"/>
      <c r="TFJ1375" s="53"/>
      <c r="TFK1375" s="53"/>
      <c r="TFL1375" s="53"/>
      <c r="TFM1375" s="53"/>
      <c r="TFN1375" s="53"/>
      <c r="TFO1375" s="53"/>
      <c r="TFP1375" s="53"/>
      <c r="TFQ1375" s="53"/>
      <c r="TFR1375" s="53"/>
      <c r="TFS1375" s="53"/>
      <c r="TFT1375" s="53"/>
      <c r="TFU1375" s="53"/>
      <c r="TFV1375" s="53"/>
      <c r="TFW1375" s="53"/>
      <c r="TFX1375" s="53"/>
      <c r="TFY1375" s="53"/>
      <c r="TFZ1375" s="53"/>
      <c r="TGA1375" s="53"/>
      <c r="TGB1375" s="53"/>
      <c r="TGC1375" s="53"/>
      <c r="TGD1375" s="53"/>
      <c r="TGE1375" s="53"/>
      <c r="TGF1375" s="53"/>
      <c r="TGG1375" s="53"/>
      <c r="TGH1375" s="53"/>
      <c r="TGI1375" s="53"/>
      <c r="TGJ1375" s="53"/>
      <c r="TGK1375" s="53"/>
      <c r="TGL1375" s="53"/>
      <c r="TGM1375" s="53"/>
      <c r="TGN1375" s="53"/>
      <c r="TGO1375" s="53"/>
      <c r="TGP1375" s="53"/>
      <c r="TGQ1375" s="53"/>
      <c r="TGR1375" s="53"/>
      <c r="TGS1375" s="53"/>
      <c r="TGT1375" s="53"/>
      <c r="TGU1375" s="53"/>
      <c r="TGV1375" s="53"/>
      <c r="TGW1375" s="53"/>
      <c r="TGX1375" s="53"/>
      <c r="TGY1375" s="53"/>
      <c r="TGZ1375" s="53"/>
      <c r="THA1375" s="53"/>
      <c r="THB1375" s="53"/>
      <c r="THC1375" s="53"/>
      <c r="THD1375" s="53"/>
      <c r="THE1375" s="53"/>
      <c r="THF1375" s="53"/>
      <c r="THG1375" s="53"/>
      <c r="THH1375" s="53"/>
      <c r="THI1375" s="53"/>
      <c r="THJ1375" s="53"/>
      <c r="THK1375" s="53"/>
      <c r="THL1375" s="53"/>
      <c r="THM1375" s="53"/>
      <c r="THN1375" s="53"/>
      <c r="THO1375" s="53"/>
      <c r="THP1375" s="53"/>
      <c r="THQ1375" s="53"/>
      <c r="THR1375" s="53"/>
      <c r="THS1375" s="53"/>
      <c r="THT1375" s="53"/>
      <c r="THU1375" s="53"/>
      <c r="THV1375" s="53"/>
      <c r="THW1375" s="53"/>
      <c r="THX1375" s="53"/>
      <c r="THY1375" s="53"/>
      <c r="THZ1375" s="53"/>
      <c r="TIA1375" s="53"/>
      <c r="TIB1375" s="53"/>
      <c r="TIC1375" s="53"/>
      <c r="TID1375" s="53"/>
      <c r="TIE1375" s="53"/>
      <c r="TIF1375" s="53"/>
      <c r="TIG1375" s="53"/>
      <c r="TIH1375" s="53"/>
      <c r="TII1375" s="53"/>
      <c r="TIJ1375" s="53"/>
      <c r="TIK1375" s="53"/>
      <c r="TIL1375" s="53"/>
      <c r="TIM1375" s="53"/>
      <c r="TIN1375" s="53"/>
      <c r="TIO1375" s="53"/>
      <c r="TIP1375" s="53"/>
      <c r="TIQ1375" s="53"/>
      <c r="TIR1375" s="53"/>
      <c r="TIS1375" s="53"/>
      <c r="TIT1375" s="53"/>
      <c r="TIU1375" s="53"/>
      <c r="TIV1375" s="53"/>
      <c r="TIW1375" s="53"/>
      <c r="TIX1375" s="53"/>
      <c r="TIY1375" s="53"/>
      <c r="TIZ1375" s="53"/>
      <c r="TJA1375" s="53"/>
      <c r="TJB1375" s="53"/>
      <c r="TJC1375" s="53"/>
      <c r="TJD1375" s="53"/>
      <c r="TJE1375" s="53"/>
      <c r="TJF1375" s="53"/>
      <c r="TJG1375" s="53"/>
      <c r="TJH1375" s="53"/>
      <c r="TJI1375" s="53"/>
      <c r="TJJ1375" s="53"/>
      <c r="TJK1375" s="53"/>
      <c r="TJL1375" s="53"/>
      <c r="TJM1375" s="53"/>
      <c r="TJN1375" s="53"/>
      <c r="TJO1375" s="53"/>
      <c r="TJP1375" s="53"/>
      <c r="TJQ1375" s="53"/>
      <c r="TJR1375" s="53"/>
      <c r="TJS1375" s="53"/>
      <c r="TJT1375" s="53"/>
      <c r="TJU1375" s="53"/>
      <c r="TJV1375" s="53"/>
      <c r="TJW1375" s="53"/>
      <c r="TJX1375" s="53"/>
      <c r="TJY1375" s="53"/>
      <c r="TJZ1375" s="53"/>
      <c r="TKA1375" s="53"/>
      <c r="TKB1375" s="53"/>
      <c r="TKC1375" s="53"/>
      <c r="TKD1375" s="53"/>
      <c r="TKE1375" s="53"/>
      <c r="TKF1375" s="53"/>
      <c r="TKG1375" s="53"/>
      <c r="TKH1375" s="53"/>
      <c r="TKI1375" s="53"/>
      <c r="TKJ1375" s="53"/>
      <c r="TKK1375" s="53"/>
      <c r="TKL1375" s="53"/>
      <c r="TKM1375" s="53"/>
      <c r="TKN1375" s="53"/>
      <c r="TKO1375" s="53"/>
      <c r="TKP1375" s="53"/>
      <c r="TKQ1375" s="53"/>
      <c r="TKR1375" s="53"/>
      <c r="TKS1375" s="53"/>
      <c r="TKT1375" s="53"/>
      <c r="TKU1375" s="53"/>
      <c r="TKV1375" s="53"/>
      <c r="TKW1375" s="53"/>
      <c r="TKX1375" s="53"/>
      <c r="TKY1375" s="53"/>
      <c r="TKZ1375" s="53"/>
      <c r="TLA1375" s="53"/>
      <c r="TLB1375" s="53"/>
      <c r="TLC1375" s="53"/>
      <c r="TLD1375" s="53"/>
      <c r="TLE1375" s="53"/>
      <c r="TLF1375" s="53"/>
      <c r="TLG1375" s="53"/>
      <c r="TLH1375" s="53"/>
      <c r="TLI1375" s="53"/>
      <c r="TLJ1375" s="53"/>
      <c r="TLK1375" s="53"/>
      <c r="TLL1375" s="53"/>
      <c r="TLM1375" s="53"/>
      <c r="TLN1375" s="53"/>
      <c r="TLO1375" s="53"/>
      <c r="TLP1375" s="53"/>
      <c r="TLQ1375" s="53"/>
      <c r="TLR1375" s="53"/>
      <c r="TLS1375" s="53"/>
      <c r="TLT1375" s="53"/>
      <c r="TLU1375" s="53"/>
      <c r="TLV1375" s="53"/>
      <c r="TLW1375" s="53"/>
      <c r="TLX1375" s="53"/>
      <c r="TLY1375" s="53"/>
      <c r="TLZ1375" s="53"/>
      <c r="TMA1375" s="53"/>
      <c r="TMB1375" s="53"/>
      <c r="TMC1375" s="53"/>
      <c r="TMD1375" s="53"/>
      <c r="TME1375" s="53"/>
      <c r="TMF1375" s="53"/>
      <c r="TMG1375" s="53"/>
      <c r="TMH1375" s="53"/>
      <c r="TMI1375" s="53"/>
      <c r="TMJ1375" s="53"/>
      <c r="TMK1375" s="53"/>
      <c r="TML1375" s="53"/>
      <c r="TMM1375" s="53"/>
      <c r="TMN1375" s="53"/>
      <c r="TMO1375" s="53"/>
      <c r="TMP1375" s="53"/>
      <c r="TMQ1375" s="53"/>
      <c r="TMR1375" s="53"/>
      <c r="TMS1375" s="53"/>
      <c r="TMT1375" s="53"/>
      <c r="TMU1375" s="53"/>
      <c r="TMV1375" s="53"/>
      <c r="TMW1375" s="53"/>
      <c r="TMX1375" s="53"/>
      <c r="TMY1375" s="53"/>
      <c r="TMZ1375" s="53"/>
      <c r="TNA1375" s="53"/>
      <c r="TNB1375" s="53"/>
      <c r="TNC1375" s="53"/>
      <c r="TND1375" s="53"/>
      <c r="TNE1375" s="53"/>
      <c r="TNF1375" s="53"/>
      <c r="TNG1375" s="53"/>
      <c r="TNH1375" s="53"/>
      <c r="TNI1375" s="53"/>
      <c r="TNJ1375" s="53"/>
      <c r="TNK1375" s="53"/>
      <c r="TNL1375" s="53"/>
      <c r="TNM1375" s="53"/>
      <c r="TNN1375" s="53"/>
      <c r="TNO1375" s="53"/>
      <c r="TNP1375" s="53"/>
      <c r="TNQ1375" s="53"/>
      <c r="TNR1375" s="53"/>
      <c r="TNS1375" s="53"/>
      <c r="TNT1375" s="53"/>
      <c r="TNU1375" s="53"/>
      <c r="TNV1375" s="53"/>
      <c r="TNW1375" s="53"/>
      <c r="TNX1375" s="53"/>
      <c r="TNY1375" s="53"/>
      <c r="TNZ1375" s="53"/>
      <c r="TOA1375" s="53"/>
      <c r="TOB1375" s="53"/>
      <c r="TOC1375" s="53"/>
      <c r="TOD1375" s="53"/>
      <c r="TOE1375" s="53"/>
      <c r="TOF1375" s="53"/>
      <c r="TOG1375" s="53"/>
      <c r="TOH1375" s="53"/>
      <c r="TOI1375" s="53"/>
      <c r="TOJ1375" s="53"/>
      <c r="TOK1375" s="53"/>
      <c r="TOL1375" s="53"/>
      <c r="TOM1375" s="53"/>
      <c r="TON1375" s="53"/>
      <c r="TOO1375" s="53"/>
      <c r="TOP1375" s="53"/>
      <c r="TOQ1375" s="53"/>
      <c r="TOR1375" s="53"/>
      <c r="TOS1375" s="53"/>
      <c r="TOT1375" s="53"/>
      <c r="TOU1375" s="53"/>
      <c r="TOV1375" s="53"/>
      <c r="TOW1375" s="53"/>
      <c r="TOX1375" s="53"/>
      <c r="TOY1375" s="53"/>
      <c r="TOZ1375" s="53"/>
      <c r="TPA1375" s="53"/>
      <c r="TPB1375" s="53"/>
      <c r="TPC1375" s="53"/>
      <c r="TPD1375" s="53"/>
      <c r="TPE1375" s="53"/>
      <c r="TPF1375" s="53"/>
      <c r="TPG1375" s="53"/>
      <c r="TPH1375" s="53"/>
      <c r="TPI1375" s="53"/>
      <c r="TPJ1375" s="53"/>
      <c r="TPK1375" s="53"/>
      <c r="TPL1375" s="53"/>
      <c r="TPM1375" s="53"/>
      <c r="TPN1375" s="53"/>
      <c r="TPO1375" s="53"/>
      <c r="TPP1375" s="53"/>
      <c r="TPQ1375" s="53"/>
      <c r="TPR1375" s="53"/>
      <c r="TPS1375" s="53"/>
      <c r="TPT1375" s="53"/>
      <c r="TPU1375" s="53"/>
      <c r="TPV1375" s="53"/>
      <c r="TPW1375" s="53"/>
      <c r="TPX1375" s="53"/>
      <c r="TPY1375" s="53"/>
      <c r="TPZ1375" s="53"/>
      <c r="TQA1375" s="53"/>
      <c r="TQB1375" s="53"/>
      <c r="TQC1375" s="53"/>
      <c r="TQD1375" s="53"/>
      <c r="TQE1375" s="53"/>
      <c r="TQF1375" s="53"/>
      <c r="TQG1375" s="53"/>
      <c r="TQH1375" s="53"/>
      <c r="TQI1375" s="53"/>
      <c r="TQJ1375" s="53"/>
      <c r="TQK1375" s="53"/>
      <c r="TQL1375" s="53"/>
      <c r="TQM1375" s="53"/>
      <c r="TQN1375" s="53"/>
      <c r="TQO1375" s="53"/>
      <c r="TQP1375" s="53"/>
      <c r="TQQ1375" s="53"/>
      <c r="TQR1375" s="53"/>
      <c r="TQS1375" s="53"/>
      <c r="TQT1375" s="53"/>
      <c r="TQU1375" s="53"/>
      <c r="TQV1375" s="53"/>
      <c r="TQW1375" s="53"/>
      <c r="TQX1375" s="53"/>
      <c r="TQY1375" s="53"/>
      <c r="TQZ1375" s="53"/>
      <c r="TRA1375" s="53"/>
      <c r="TRB1375" s="53"/>
      <c r="TRC1375" s="53"/>
      <c r="TRD1375" s="53"/>
      <c r="TRE1375" s="53"/>
      <c r="TRF1375" s="53"/>
      <c r="TRG1375" s="53"/>
      <c r="TRH1375" s="53"/>
      <c r="TRI1375" s="53"/>
      <c r="TRJ1375" s="53"/>
      <c r="TRK1375" s="53"/>
      <c r="TRL1375" s="53"/>
      <c r="TRM1375" s="53"/>
      <c r="TRN1375" s="53"/>
      <c r="TRO1375" s="53"/>
      <c r="TRP1375" s="53"/>
      <c r="TRQ1375" s="53"/>
      <c r="TRR1375" s="53"/>
      <c r="TRS1375" s="53"/>
      <c r="TRT1375" s="53"/>
      <c r="TRU1375" s="53"/>
      <c r="TRV1375" s="53"/>
      <c r="TRW1375" s="53"/>
      <c r="TRX1375" s="53"/>
      <c r="TRY1375" s="53"/>
      <c r="TRZ1375" s="53"/>
      <c r="TSA1375" s="53"/>
      <c r="TSB1375" s="53"/>
      <c r="TSC1375" s="53"/>
      <c r="TSD1375" s="53"/>
      <c r="TSE1375" s="53"/>
      <c r="TSF1375" s="53"/>
      <c r="TSG1375" s="53"/>
      <c r="TSH1375" s="53"/>
      <c r="TSI1375" s="53"/>
      <c r="TSJ1375" s="53"/>
      <c r="TSK1375" s="53"/>
      <c r="TSL1375" s="53"/>
      <c r="TSM1375" s="53"/>
      <c r="TSN1375" s="53"/>
      <c r="TSO1375" s="53"/>
      <c r="TSP1375" s="53"/>
      <c r="TSQ1375" s="53"/>
      <c r="TSR1375" s="53"/>
      <c r="TSS1375" s="53"/>
      <c r="TST1375" s="53"/>
      <c r="TSU1375" s="53"/>
      <c r="TSV1375" s="53"/>
      <c r="TSW1375" s="53"/>
      <c r="TSX1375" s="53"/>
      <c r="TSY1375" s="53"/>
      <c r="TSZ1375" s="53"/>
      <c r="TTA1375" s="53"/>
      <c r="TTB1375" s="53"/>
      <c r="TTC1375" s="53"/>
      <c r="TTD1375" s="53"/>
      <c r="TTE1375" s="53"/>
      <c r="TTF1375" s="53"/>
      <c r="TTG1375" s="53"/>
      <c r="TTH1375" s="53"/>
      <c r="TTI1375" s="53"/>
      <c r="TTJ1375" s="53"/>
      <c r="TTK1375" s="53"/>
      <c r="TTL1375" s="53"/>
      <c r="TTM1375" s="53"/>
      <c r="TTN1375" s="53"/>
      <c r="TTO1375" s="53"/>
      <c r="TTP1375" s="53"/>
      <c r="TTQ1375" s="53"/>
      <c r="TTR1375" s="53"/>
      <c r="TTS1375" s="53"/>
      <c r="TTT1375" s="53"/>
      <c r="TTU1375" s="53"/>
      <c r="TTV1375" s="53"/>
      <c r="TTW1375" s="53"/>
      <c r="TTX1375" s="53"/>
      <c r="TTY1375" s="53"/>
      <c r="TTZ1375" s="53"/>
      <c r="TUA1375" s="53"/>
      <c r="TUB1375" s="53"/>
      <c r="TUC1375" s="53"/>
      <c r="TUD1375" s="53"/>
      <c r="TUE1375" s="53"/>
      <c r="TUF1375" s="53"/>
      <c r="TUG1375" s="53"/>
      <c r="TUH1375" s="53"/>
      <c r="TUI1375" s="53"/>
      <c r="TUJ1375" s="53"/>
      <c r="TUK1375" s="53"/>
      <c r="TUL1375" s="53"/>
      <c r="TUM1375" s="53"/>
      <c r="TUN1375" s="53"/>
      <c r="TUO1375" s="53"/>
      <c r="TUP1375" s="53"/>
      <c r="TUQ1375" s="53"/>
      <c r="TUR1375" s="53"/>
      <c r="TUS1375" s="53"/>
      <c r="TUT1375" s="53"/>
      <c r="TUU1375" s="53"/>
      <c r="TUV1375" s="53"/>
      <c r="TUW1375" s="53"/>
      <c r="TUX1375" s="53"/>
      <c r="TUY1375" s="53"/>
      <c r="TUZ1375" s="53"/>
      <c r="TVA1375" s="53"/>
      <c r="TVB1375" s="53"/>
      <c r="TVC1375" s="53"/>
      <c r="TVD1375" s="53"/>
      <c r="TVE1375" s="53"/>
      <c r="TVF1375" s="53"/>
      <c r="TVG1375" s="53"/>
      <c r="TVH1375" s="53"/>
      <c r="TVI1375" s="53"/>
      <c r="TVJ1375" s="53"/>
      <c r="TVK1375" s="53"/>
      <c r="TVL1375" s="53"/>
      <c r="TVM1375" s="53"/>
      <c r="TVN1375" s="53"/>
      <c r="TVO1375" s="53"/>
      <c r="TVP1375" s="53"/>
      <c r="TVQ1375" s="53"/>
      <c r="TVR1375" s="53"/>
      <c r="TVS1375" s="53"/>
      <c r="TVT1375" s="53"/>
      <c r="TVU1375" s="53"/>
      <c r="TVV1375" s="53"/>
      <c r="TVW1375" s="53"/>
      <c r="TVX1375" s="53"/>
      <c r="TVY1375" s="53"/>
      <c r="TVZ1375" s="53"/>
      <c r="TWA1375" s="53"/>
      <c r="TWB1375" s="53"/>
      <c r="TWC1375" s="53"/>
      <c r="TWD1375" s="53"/>
      <c r="TWE1375" s="53"/>
      <c r="TWF1375" s="53"/>
      <c r="TWG1375" s="53"/>
      <c r="TWH1375" s="53"/>
      <c r="TWI1375" s="53"/>
      <c r="TWJ1375" s="53"/>
      <c r="TWK1375" s="53"/>
      <c r="TWL1375" s="53"/>
      <c r="TWM1375" s="53"/>
      <c r="TWN1375" s="53"/>
      <c r="TWO1375" s="53"/>
      <c r="TWP1375" s="53"/>
      <c r="TWQ1375" s="53"/>
      <c r="TWR1375" s="53"/>
      <c r="TWS1375" s="53"/>
      <c r="TWT1375" s="53"/>
      <c r="TWU1375" s="53"/>
      <c r="TWV1375" s="53"/>
      <c r="TWW1375" s="53"/>
      <c r="TWX1375" s="53"/>
      <c r="TWY1375" s="53"/>
      <c r="TWZ1375" s="53"/>
      <c r="TXA1375" s="53"/>
      <c r="TXB1375" s="53"/>
      <c r="TXC1375" s="53"/>
      <c r="TXD1375" s="53"/>
      <c r="TXE1375" s="53"/>
      <c r="TXF1375" s="53"/>
      <c r="TXG1375" s="53"/>
      <c r="TXH1375" s="53"/>
      <c r="TXI1375" s="53"/>
      <c r="TXJ1375" s="53"/>
      <c r="TXK1375" s="53"/>
      <c r="TXL1375" s="53"/>
      <c r="TXM1375" s="53"/>
      <c r="TXN1375" s="53"/>
      <c r="TXO1375" s="53"/>
      <c r="TXP1375" s="53"/>
      <c r="TXQ1375" s="53"/>
      <c r="TXR1375" s="53"/>
      <c r="TXS1375" s="53"/>
      <c r="TXT1375" s="53"/>
      <c r="TXU1375" s="53"/>
      <c r="TXV1375" s="53"/>
      <c r="TXW1375" s="53"/>
      <c r="TXX1375" s="53"/>
      <c r="TXY1375" s="53"/>
      <c r="TXZ1375" s="53"/>
      <c r="TYA1375" s="53"/>
      <c r="TYB1375" s="53"/>
      <c r="TYC1375" s="53"/>
      <c r="TYD1375" s="53"/>
      <c r="TYE1375" s="53"/>
      <c r="TYF1375" s="53"/>
      <c r="TYG1375" s="53"/>
      <c r="TYH1375" s="53"/>
      <c r="TYI1375" s="53"/>
      <c r="TYJ1375" s="53"/>
      <c r="TYK1375" s="53"/>
      <c r="TYL1375" s="53"/>
      <c r="TYM1375" s="53"/>
      <c r="TYN1375" s="53"/>
      <c r="TYO1375" s="53"/>
      <c r="TYP1375" s="53"/>
      <c r="TYQ1375" s="53"/>
      <c r="TYR1375" s="53"/>
      <c r="TYS1375" s="53"/>
      <c r="TYT1375" s="53"/>
      <c r="TYU1375" s="53"/>
      <c r="TYV1375" s="53"/>
      <c r="TYW1375" s="53"/>
      <c r="TYX1375" s="53"/>
      <c r="TYY1375" s="53"/>
      <c r="TYZ1375" s="53"/>
      <c r="TZA1375" s="53"/>
      <c r="TZB1375" s="53"/>
      <c r="TZC1375" s="53"/>
      <c r="TZD1375" s="53"/>
      <c r="TZE1375" s="53"/>
      <c r="TZF1375" s="53"/>
      <c r="TZG1375" s="53"/>
      <c r="TZH1375" s="53"/>
      <c r="TZI1375" s="53"/>
      <c r="TZJ1375" s="53"/>
      <c r="TZK1375" s="53"/>
      <c r="TZL1375" s="53"/>
      <c r="TZM1375" s="53"/>
      <c r="TZN1375" s="53"/>
      <c r="TZO1375" s="53"/>
      <c r="TZP1375" s="53"/>
      <c r="TZQ1375" s="53"/>
      <c r="TZR1375" s="53"/>
      <c r="TZS1375" s="53"/>
      <c r="TZT1375" s="53"/>
      <c r="TZU1375" s="53"/>
      <c r="TZV1375" s="53"/>
      <c r="TZW1375" s="53"/>
      <c r="TZX1375" s="53"/>
      <c r="TZY1375" s="53"/>
      <c r="TZZ1375" s="53"/>
      <c r="UAA1375" s="53"/>
      <c r="UAB1375" s="53"/>
      <c r="UAC1375" s="53"/>
      <c r="UAD1375" s="53"/>
      <c r="UAE1375" s="53"/>
      <c r="UAF1375" s="53"/>
      <c r="UAG1375" s="53"/>
      <c r="UAH1375" s="53"/>
      <c r="UAI1375" s="53"/>
      <c r="UAJ1375" s="53"/>
      <c r="UAK1375" s="53"/>
      <c r="UAL1375" s="53"/>
      <c r="UAM1375" s="53"/>
      <c r="UAN1375" s="53"/>
      <c r="UAO1375" s="53"/>
      <c r="UAP1375" s="53"/>
      <c r="UAQ1375" s="53"/>
      <c r="UAR1375" s="53"/>
      <c r="UAS1375" s="53"/>
      <c r="UAT1375" s="53"/>
      <c r="UAU1375" s="53"/>
      <c r="UAV1375" s="53"/>
      <c r="UAW1375" s="53"/>
      <c r="UAX1375" s="53"/>
      <c r="UAY1375" s="53"/>
      <c r="UAZ1375" s="53"/>
      <c r="UBA1375" s="53"/>
      <c r="UBB1375" s="53"/>
      <c r="UBC1375" s="53"/>
      <c r="UBD1375" s="53"/>
      <c r="UBE1375" s="53"/>
      <c r="UBF1375" s="53"/>
      <c r="UBG1375" s="53"/>
      <c r="UBH1375" s="53"/>
      <c r="UBI1375" s="53"/>
      <c r="UBJ1375" s="53"/>
      <c r="UBK1375" s="53"/>
      <c r="UBL1375" s="53"/>
      <c r="UBM1375" s="53"/>
      <c r="UBN1375" s="53"/>
      <c r="UBO1375" s="53"/>
      <c r="UBP1375" s="53"/>
      <c r="UBQ1375" s="53"/>
      <c r="UBR1375" s="53"/>
      <c r="UBS1375" s="53"/>
      <c r="UBT1375" s="53"/>
      <c r="UBU1375" s="53"/>
      <c r="UBV1375" s="53"/>
      <c r="UBW1375" s="53"/>
      <c r="UBX1375" s="53"/>
      <c r="UBY1375" s="53"/>
      <c r="UBZ1375" s="53"/>
      <c r="UCA1375" s="53"/>
      <c r="UCB1375" s="53"/>
      <c r="UCC1375" s="53"/>
      <c r="UCD1375" s="53"/>
      <c r="UCE1375" s="53"/>
      <c r="UCF1375" s="53"/>
      <c r="UCG1375" s="53"/>
      <c r="UCH1375" s="53"/>
      <c r="UCI1375" s="53"/>
      <c r="UCJ1375" s="53"/>
      <c r="UCK1375" s="53"/>
      <c r="UCL1375" s="53"/>
      <c r="UCM1375" s="53"/>
      <c r="UCN1375" s="53"/>
      <c r="UCO1375" s="53"/>
      <c r="UCP1375" s="53"/>
      <c r="UCQ1375" s="53"/>
      <c r="UCR1375" s="53"/>
      <c r="UCS1375" s="53"/>
      <c r="UCT1375" s="53"/>
      <c r="UCU1375" s="53"/>
      <c r="UCV1375" s="53"/>
      <c r="UCW1375" s="53"/>
      <c r="UCX1375" s="53"/>
      <c r="UCY1375" s="53"/>
      <c r="UCZ1375" s="53"/>
      <c r="UDA1375" s="53"/>
      <c r="UDB1375" s="53"/>
      <c r="UDC1375" s="53"/>
      <c r="UDD1375" s="53"/>
      <c r="UDE1375" s="53"/>
      <c r="UDF1375" s="53"/>
      <c r="UDG1375" s="53"/>
      <c r="UDH1375" s="53"/>
      <c r="UDI1375" s="53"/>
      <c r="UDJ1375" s="53"/>
      <c r="UDK1375" s="53"/>
      <c r="UDL1375" s="53"/>
      <c r="UDM1375" s="53"/>
      <c r="UDN1375" s="53"/>
      <c r="UDO1375" s="53"/>
      <c r="UDP1375" s="53"/>
      <c r="UDQ1375" s="53"/>
      <c r="UDR1375" s="53"/>
      <c r="UDS1375" s="53"/>
      <c r="UDT1375" s="53"/>
      <c r="UDU1375" s="53"/>
      <c r="UDV1375" s="53"/>
      <c r="UDW1375" s="53"/>
      <c r="UDX1375" s="53"/>
      <c r="UDY1375" s="53"/>
      <c r="UDZ1375" s="53"/>
      <c r="UEA1375" s="53"/>
      <c r="UEB1375" s="53"/>
      <c r="UEC1375" s="53"/>
      <c r="UED1375" s="53"/>
      <c r="UEE1375" s="53"/>
      <c r="UEF1375" s="53"/>
      <c r="UEG1375" s="53"/>
      <c r="UEH1375" s="53"/>
      <c r="UEI1375" s="53"/>
      <c r="UEJ1375" s="53"/>
      <c r="UEK1375" s="53"/>
      <c r="UEL1375" s="53"/>
      <c r="UEM1375" s="53"/>
      <c r="UEN1375" s="53"/>
      <c r="UEO1375" s="53"/>
      <c r="UEP1375" s="53"/>
      <c r="UEQ1375" s="53"/>
      <c r="UER1375" s="53"/>
      <c r="UES1375" s="53"/>
      <c r="UET1375" s="53"/>
      <c r="UEU1375" s="53"/>
      <c r="UEV1375" s="53"/>
      <c r="UEW1375" s="53"/>
      <c r="UEX1375" s="53"/>
      <c r="UEY1375" s="53"/>
      <c r="UEZ1375" s="53"/>
      <c r="UFA1375" s="53"/>
      <c r="UFB1375" s="53"/>
      <c r="UFC1375" s="53"/>
      <c r="UFD1375" s="53"/>
      <c r="UFE1375" s="53"/>
      <c r="UFF1375" s="53"/>
      <c r="UFG1375" s="53"/>
      <c r="UFH1375" s="53"/>
      <c r="UFI1375" s="53"/>
      <c r="UFJ1375" s="53"/>
      <c r="UFK1375" s="53"/>
      <c r="UFL1375" s="53"/>
      <c r="UFM1375" s="53"/>
      <c r="UFN1375" s="53"/>
      <c r="UFO1375" s="53"/>
      <c r="UFP1375" s="53"/>
      <c r="UFQ1375" s="53"/>
      <c r="UFR1375" s="53"/>
      <c r="UFS1375" s="53"/>
      <c r="UFT1375" s="53"/>
      <c r="UFU1375" s="53"/>
      <c r="UFV1375" s="53"/>
      <c r="UFW1375" s="53"/>
      <c r="UFX1375" s="53"/>
      <c r="UFY1375" s="53"/>
      <c r="UFZ1375" s="53"/>
      <c r="UGA1375" s="53"/>
      <c r="UGB1375" s="53"/>
      <c r="UGC1375" s="53"/>
      <c r="UGD1375" s="53"/>
      <c r="UGE1375" s="53"/>
      <c r="UGF1375" s="53"/>
      <c r="UGG1375" s="53"/>
      <c r="UGH1375" s="53"/>
      <c r="UGI1375" s="53"/>
      <c r="UGJ1375" s="53"/>
      <c r="UGK1375" s="53"/>
      <c r="UGL1375" s="53"/>
      <c r="UGM1375" s="53"/>
      <c r="UGN1375" s="53"/>
      <c r="UGO1375" s="53"/>
      <c r="UGP1375" s="53"/>
      <c r="UGQ1375" s="53"/>
      <c r="UGR1375" s="53"/>
      <c r="UGS1375" s="53"/>
      <c r="UGT1375" s="53"/>
      <c r="UGU1375" s="53"/>
      <c r="UGV1375" s="53"/>
      <c r="UGW1375" s="53"/>
      <c r="UGX1375" s="53"/>
      <c r="UGY1375" s="53"/>
      <c r="UGZ1375" s="53"/>
      <c r="UHA1375" s="53"/>
      <c r="UHB1375" s="53"/>
      <c r="UHC1375" s="53"/>
      <c r="UHD1375" s="53"/>
      <c r="UHE1375" s="53"/>
      <c r="UHF1375" s="53"/>
      <c r="UHG1375" s="53"/>
      <c r="UHH1375" s="53"/>
      <c r="UHI1375" s="53"/>
      <c r="UHJ1375" s="53"/>
      <c r="UHK1375" s="53"/>
      <c r="UHL1375" s="53"/>
      <c r="UHM1375" s="53"/>
      <c r="UHN1375" s="53"/>
      <c r="UHO1375" s="53"/>
      <c r="UHP1375" s="53"/>
      <c r="UHQ1375" s="53"/>
      <c r="UHR1375" s="53"/>
      <c r="UHS1375" s="53"/>
      <c r="UHT1375" s="53"/>
      <c r="UHU1375" s="53"/>
      <c r="UHV1375" s="53"/>
      <c r="UHW1375" s="53"/>
      <c r="UHX1375" s="53"/>
      <c r="UHY1375" s="53"/>
      <c r="UHZ1375" s="53"/>
      <c r="UIA1375" s="53"/>
      <c r="UIB1375" s="53"/>
      <c r="UIC1375" s="53"/>
      <c r="UID1375" s="53"/>
      <c r="UIE1375" s="53"/>
      <c r="UIF1375" s="53"/>
      <c r="UIG1375" s="53"/>
      <c r="UIH1375" s="53"/>
      <c r="UII1375" s="53"/>
      <c r="UIJ1375" s="53"/>
      <c r="UIK1375" s="53"/>
      <c r="UIL1375" s="53"/>
      <c r="UIM1375" s="53"/>
      <c r="UIN1375" s="53"/>
      <c r="UIO1375" s="53"/>
      <c r="UIP1375" s="53"/>
      <c r="UIQ1375" s="53"/>
      <c r="UIR1375" s="53"/>
      <c r="UIS1375" s="53"/>
      <c r="UIT1375" s="53"/>
      <c r="UIU1375" s="53"/>
      <c r="UIV1375" s="53"/>
      <c r="UIW1375" s="53"/>
      <c r="UIX1375" s="53"/>
      <c r="UIY1375" s="53"/>
      <c r="UIZ1375" s="53"/>
      <c r="UJA1375" s="53"/>
      <c r="UJB1375" s="53"/>
      <c r="UJC1375" s="53"/>
      <c r="UJD1375" s="53"/>
      <c r="UJE1375" s="53"/>
      <c r="UJF1375" s="53"/>
      <c r="UJG1375" s="53"/>
      <c r="UJH1375" s="53"/>
      <c r="UJI1375" s="53"/>
      <c r="UJJ1375" s="53"/>
      <c r="UJK1375" s="53"/>
      <c r="UJL1375" s="53"/>
      <c r="UJM1375" s="53"/>
      <c r="UJN1375" s="53"/>
      <c r="UJO1375" s="53"/>
      <c r="UJP1375" s="53"/>
      <c r="UJQ1375" s="53"/>
      <c r="UJR1375" s="53"/>
      <c r="UJS1375" s="53"/>
      <c r="UJT1375" s="53"/>
      <c r="UJU1375" s="53"/>
      <c r="UJV1375" s="53"/>
      <c r="UJW1375" s="53"/>
      <c r="UJX1375" s="53"/>
      <c r="UJY1375" s="53"/>
      <c r="UJZ1375" s="53"/>
      <c r="UKA1375" s="53"/>
      <c r="UKB1375" s="53"/>
      <c r="UKC1375" s="53"/>
      <c r="UKD1375" s="53"/>
      <c r="UKE1375" s="53"/>
      <c r="UKF1375" s="53"/>
      <c r="UKG1375" s="53"/>
      <c r="UKH1375" s="53"/>
      <c r="UKI1375" s="53"/>
      <c r="UKJ1375" s="53"/>
      <c r="UKK1375" s="53"/>
      <c r="UKL1375" s="53"/>
      <c r="UKM1375" s="53"/>
      <c r="UKN1375" s="53"/>
      <c r="UKO1375" s="53"/>
      <c r="UKP1375" s="53"/>
      <c r="UKQ1375" s="53"/>
      <c r="UKR1375" s="53"/>
      <c r="UKS1375" s="53"/>
      <c r="UKT1375" s="53"/>
      <c r="UKU1375" s="53"/>
      <c r="UKV1375" s="53"/>
      <c r="UKW1375" s="53"/>
      <c r="UKX1375" s="53"/>
      <c r="UKY1375" s="53"/>
      <c r="UKZ1375" s="53"/>
      <c r="ULA1375" s="53"/>
      <c r="ULB1375" s="53"/>
      <c r="ULC1375" s="53"/>
      <c r="ULD1375" s="53"/>
      <c r="ULE1375" s="53"/>
      <c r="ULF1375" s="53"/>
      <c r="ULG1375" s="53"/>
      <c r="ULH1375" s="53"/>
      <c r="ULI1375" s="53"/>
      <c r="ULJ1375" s="53"/>
      <c r="ULK1375" s="53"/>
      <c r="ULL1375" s="53"/>
      <c r="ULM1375" s="53"/>
      <c r="ULN1375" s="53"/>
      <c r="ULO1375" s="53"/>
      <c r="ULP1375" s="53"/>
      <c r="ULQ1375" s="53"/>
      <c r="ULR1375" s="53"/>
      <c r="ULS1375" s="53"/>
      <c r="ULT1375" s="53"/>
      <c r="ULU1375" s="53"/>
      <c r="ULV1375" s="53"/>
      <c r="ULW1375" s="53"/>
      <c r="ULX1375" s="53"/>
      <c r="ULY1375" s="53"/>
      <c r="ULZ1375" s="53"/>
      <c r="UMA1375" s="53"/>
      <c r="UMB1375" s="53"/>
      <c r="UMC1375" s="53"/>
      <c r="UMD1375" s="53"/>
      <c r="UME1375" s="53"/>
      <c r="UMF1375" s="53"/>
      <c r="UMG1375" s="53"/>
      <c r="UMH1375" s="53"/>
      <c r="UMI1375" s="53"/>
      <c r="UMJ1375" s="53"/>
      <c r="UMK1375" s="53"/>
      <c r="UML1375" s="53"/>
      <c r="UMM1375" s="53"/>
      <c r="UMN1375" s="53"/>
      <c r="UMO1375" s="53"/>
      <c r="UMP1375" s="53"/>
      <c r="UMQ1375" s="53"/>
      <c r="UMR1375" s="53"/>
      <c r="UMS1375" s="53"/>
      <c r="UMT1375" s="53"/>
      <c r="UMU1375" s="53"/>
      <c r="UMV1375" s="53"/>
      <c r="UMW1375" s="53"/>
      <c r="UMX1375" s="53"/>
      <c r="UMY1375" s="53"/>
      <c r="UMZ1375" s="53"/>
      <c r="UNA1375" s="53"/>
      <c r="UNB1375" s="53"/>
      <c r="UNC1375" s="53"/>
      <c r="UND1375" s="53"/>
      <c r="UNE1375" s="53"/>
      <c r="UNF1375" s="53"/>
      <c r="UNG1375" s="53"/>
      <c r="UNH1375" s="53"/>
      <c r="UNI1375" s="53"/>
      <c r="UNJ1375" s="53"/>
      <c r="UNK1375" s="53"/>
      <c r="UNL1375" s="53"/>
      <c r="UNM1375" s="53"/>
      <c r="UNN1375" s="53"/>
      <c r="UNO1375" s="53"/>
      <c r="UNP1375" s="53"/>
      <c r="UNQ1375" s="53"/>
      <c r="UNR1375" s="53"/>
      <c r="UNS1375" s="53"/>
      <c r="UNT1375" s="53"/>
      <c r="UNU1375" s="53"/>
      <c r="UNV1375" s="53"/>
      <c r="UNW1375" s="53"/>
      <c r="UNX1375" s="53"/>
      <c r="UNY1375" s="53"/>
      <c r="UNZ1375" s="53"/>
      <c r="UOA1375" s="53"/>
      <c r="UOB1375" s="53"/>
      <c r="UOC1375" s="53"/>
      <c r="UOD1375" s="53"/>
      <c r="UOE1375" s="53"/>
      <c r="UOF1375" s="53"/>
      <c r="UOG1375" s="53"/>
      <c r="UOH1375" s="53"/>
      <c r="UOI1375" s="53"/>
      <c r="UOJ1375" s="53"/>
      <c r="UOK1375" s="53"/>
      <c r="UOL1375" s="53"/>
      <c r="UOM1375" s="53"/>
      <c r="UON1375" s="53"/>
      <c r="UOO1375" s="53"/>
      <c r="UOP1375" s="53"/>
      <c r="UOQ1375" s="53"/>
      <c r="UOR1375" s="53"/>
      <c r="UOS1375" s="53"/>
      <c r="UOT1375" s="53"/>
      <c r="UOU1375" s="53"/>
      <c r="UOV1375" s="53"/>
      <c r="UOW1375" s="53"/>
      <c r="UOX1375" s="53"/>
      <c r="UOY1375" s="53"/>
      <c r="UOZ1375" s="53"/>
      <c r="UPA1375" s="53"/>
      <c r="UPB1375" s="53"/>
      <c r="UPC1375" s="53"/>
      <c r="UPD1375" s="53"/>
      <c r="UPE1375" s="53"/>
      <c r="UPF1375" s="53"/>
      <c r="UPG1375" s="53"/>
      <c r="UPH1375" s="53"/>
      <c r="UPI1375" s="53"/>
      <c r="UPJ1375" s="53"/>
      <c r="UPK1375" s="53"/>
      <c r="UPL1375" s="53"/>
      <c r="UPM1375" s="53"/>
      <c r="UPN1375" s="53"/>
      <c r="UPO1375" s="53"/>
      <c r="UPP1375" s="53"/>
      <c r="UPQ1375" s="53"/>
      <c r="UPR1375" s="53"/>
      <c r="UPS1375" s="53"/>
      <c r="UPT1375" s="53"/>
      <c r="UPU1375" s="53"/>
      <c r="UPV1375" s="53"/>
      <c r="UPW1375" s="53"/>
      <c r="UPX1375" s="53"/>
      <c r="UPY1375" s="53"/>
      <c r="UPZ1375" s="53"/>
      <c r="UQA1375" s="53"/>
      <c r="UQB1375" s="53"/>
      <c r="UQC1375" s="53"/>
      <c r="UQD1375" s="53"/>
      <c r="UQE1375" s="53"/>
      <c r="UQF1375" s="53"/>
      <c r="UQG1375" s="53"/>
      <c r="UQH1375" s="53"/>
      <c r="UQI1375" s="53"/>
      <c r="UQJ1375" s="53"/>
      <c r="UQK1375" s="53"/>
      <c r="UQL1375" s="53"/>
      <c r="UQM1375" s="53"/>
      <c r="UQN1375" s="53"/>
      <c r="UQO1375" s="53"/>
      <c r="UQP1375" s="53"/>
      <c r="UQQ1375" s="53"/>
      <c r="UQR1375" s="53"/>
      <c r="UQS1375" s="53"/>
      <c r="UQT1375" s="53"/>
      <c r="UQU1375" s="53"/>
      <c r="UQV1375" s="53"/>
      <c r="UQW1375" s="53"/>
      <c r="UQX1375" s="53"/>
      <c r="UQY1375" s="53"/>
      <c r="UQZ1375" s="53"/>
      <c r="URA1375" s="53"/>
      <c r="URB1375" s="53"/>
      <c r="URC1375" s="53"/>
      <c r="URD1375" s="53"/>
      <c r="URE1375" s="53"/>
      <c r="URF1375" s="53"/>
      <c r="URG1375" s="53"/>
      <c r="URH1375" s="53"/>
      <c r="URI1375" s="53"/>
      <c r="URJ1375" s="53"/>
      <c r="URK1375" s="53"/>
      <c r="URL1375" s="53"/>
      <c r="URM1375" s="53"/>
      <c r="URN1375" s="53"/>
      <c r="URO1375" s="53"/>
      <c r="URP1375" s="53"/>
      <c r="URQ1375" s="53"/>
      <c r="URR1375" s="53"/>
      <c r="URS1375" s="53"/>
      <c r="URT1375" s="53"/>
      <c r="URU1375" s="53"/>
      <c r="URV1375" s="53"/>
      <c r="URW1375" s="53"/>
      <c r="URX1375" s="53"/>
      <c r="URY1375" s="53"/>
      <c r="URZ1375" s="53"/>
      <c r="USA1375" s="53"/>
      <c r="USB1375" s="53"/>
      <c r="USC1375" s="53"/>
      <c r="USD1375" s="53"/>
      <c r="USE1375" s="53"/>
      <c r="USF1375" s="53"/>
      <c r="USG1375" s="53"/>
      <c r="USH1375" s="53"/>
      <c r="USI1375" s="53"/>
      <c r="USJ1375" s="53"/>
      <c r="USK1375" s="53"/>
      <c r="USL1375" s="53"/>
      <c r="USM1375" s="53"/>
      <c r="USN1375" s="53"/>
      <c r="USO1375" s="53"/>
      <c r="USP1375" s="53"/>
      <c r="USQ1375" s="53"/>
      <c r="USR1375" s="53"/>
      <c r="USS1375" s="53"/>
      <c r="UST1375" s="53"/>
      <c r="USU1375" s="53"/>
      <c r="USV1375" s="53"/>
      <c r="USW1375" s="53"/>
      <c r="USX1375" s="53"/>
      <c r="USY1375" s="53"/>
      <c r="USZ1375" s="53"/>
      <c r="UTA1375" s="53"/>
      <c r="UTB1375" s="53"/>
      <c r="UTC1375" s="53"/>
      <c r="UTD1375" s="53"/>
      <c r="UTE1375" s="53"/>
      <c r="UTF1375" s="53"/>
      <c r="UTG1375" s="53"/>
      <c r="UTH1375" s="53"/>
      <c r="UTI1375" s="53"/>
      <c r="UTJ1375" s="53"/>
      <c r="UTK1375" s="53"/>
      <c r="UTL1375" s="53"/>
      <c r="UTM1375" s="53"/>
      <c r="UTN1375" s="53"/>
      <c r="UTO1375" s="53"/>
      <c r="UTP1375" s="53"/>
      <c r="UTQ1375" s="53"/>
      <c r="UTR1375" s="53"/>
      <c r="UTS1375" s="53"/>
      <c r="UTT1375" s="53"/>
      <c r="UTU1375" s="53"/>
      <c r="UTV1375" s="53"/>
      <c r="UTW1375" s="53"/>
      <c r="UTX1375" s="53"/>
      <c r="UTY1375" s="53"/>
      <c r="UTZ1375" s="53"/>
      <c r="UUA1375" s="53"/>
      <c r="UUB1375" s="53"/>
      <c r="UUC1375" s="53"/>
      <c r="UUD1375" s="53"/>
      <c r="UUE1375" s="53"/>
      <c r="UUF1375" s="53"/>
      <c r="UUG1375" s="53"/>
      <c r="UUH1375" s="53"/>
      <c r="UUI1375" s="53"/>
      <c r="UUJ1375" s="53"/>
      <c r="UUK1375" s="53"/>
      <c r="UUL1375" s="53"/>
      <c r="UUM1375" s="53"/>
      <c r="UUN1375" s="53"/>
      <c r="UUO1375" s="53"/>
      <c r="UUP1375" s="53"/>
      <c r="UUQ1375" s="53"/>
      <c r="UUR1375" s="53"/>
      <c r="UUS1375" s="53"/>
      <c r="UUT1375" s="53"/>
      <c r="UUU1375" s="53"/>
      <c r="UUV1375" s="53"/>
      <c r="UUW1375" s="53"/>
      <c r="UUX1375" s="53"/>
      <c r="UUY1375" s="53"/>
      <c r="UUZ1375" s="53"/>
      <c r="UVA1375" s="53"/>
      <c r="UVB1375" s="53"/>
      <c r="UVC1375" s="53"/>
      <c r="UVD1375" s="53"/>
      <c r="UVE1375" s="53"/>
      <c r="UVF1375" s="53"/>
      <c r="UVG1375" s="53"/>
      <c r="UVH1375" s="53"/>
      <c r="UVI1375" s="53"/>
      <c r="UVJ1375" s="53"/>
      <c r="UVK1375" s="53"/>
      <c r="UVL1375" s="53"/>
      <c r="UVM1375" s="53"/>
      <c r="UVN1375" s="53"/>
      <c r="UVO1375" s="53"/>
      <c r="UVP1375" s="53"/>
      <c r="UVQ1375" s="53"/>
      <c r="UVR1375" s="53"/>
      <c r="UVS1375" s="53"/>
      <c r="UVT1375" s="53"/>
      <c r="UVU1375" s="53"/>
      <c r="UVV1375" s="53"/>
      <c r="UVW1375" s="53"/>
      <c r="UVX1375" s="53"/>
      <c r="UVY1375" s="53"/>
      <c r="UVZ1375" s="53"/>
      <c r="UWA1375" s="53"/>
      <c r="UWB1375" s="53"/>
      <c r="UWC1375" s="53"/>
      <c r="UWD1375" s="53"/>
      <c r="UWE1375" s="53"/>
      <c r="UWF1375" s="53"/>
      <c r="UWG1375" s="53"/>
      <c r="UWH1375" s="53"/>
      <c r="UWI1375" s="53"/>
      <c r="UWJ1375" s="53"/>
      <c r="UWK1375" s="53"/>
      <c r="UWL1375" s="53"/>
      <c r="UWM1375" s="53"/>
      <c r="UWN1375" s="53"/>
      <c r="UWO1375" s="53"/>
      <c r="UWP1375" s="53"/>
      <c r="UWQ1375" s="53"/>
      <c r="UWR1375" s="53"/>
      <c r="UWS1375" s="53"/>
      <c r="UWT1375" s="53"/>
      <c r="UWU1375" s="53"/>
      <c r="UWV1375" s="53"/>
      <c r="UWW1375" s="53"/>
      <c r="UWX1375" s="53"/>
      <c r="UWY1375" s="53"/>
      <c r="UWZ1375" s="53"/>
      <c r="UXA1375" s="53"/>
      <c r="UXB1375" s="53"/>
      <c r="UXC1375" s="53"/>
      <c r="UXD1375" s="53"/>
      <c r="UXE1375" s="53"/>
      <c r="UXF1375" s="53"/>
      <c r="UXG1375" s="53"/>
      <c r="UXH1375" s="53"/>
      <c r="UXI1375" s="53"/>
      <c r="UXJ1375" s="53"/>
      <c r="UXK1375" s="53"/>
      <c r="UXL1375" s="53"/>
      <c r="UXM1375" s="53"/>
      <c r="UXN1375" s="53"/>
      <c r="UXO1375" s="53"/>
      <c r="UXP1375" s="53"/>
      <c r="UXQ1375" s="53"/>
      <c r="UXR1375" s="53"/>
      <c r="UXS1375" s="53"/>
      <c r="UXT1375" s="53"/>
      <c r="UXU1375" s="53"/>
      <c r="UXV1375" s="53"/>
      <c r="UXW1375" s="53"/>
      <c r="UXX1375" s="53"/>
      <c r="UXY1375" s="53"/>
      <c r="UXZ1375" s="53"/>
      <c r="UYA1375" s="53"/>
      <c r="UYB1375" s="53"/>
      <c r="UYC1375" s="53"/>
      <c r="UYD1375" s="53"/>
      <c r="UYE1375" s="53"/>
      <c r="UYF1375" s="53"/>
      <c r="UYG1375" s="53"/>
      <c r="UYH1375" s="53"/>
      <c r="UYI1375" s="53"/>
      <c r="UYJ1375" s="53"/>
      <c r="UYK1375" s="53"/>
      <c r="UYL1375" s="53"/>
      <c r="UYM1375" s="53"/>
      <c r="UYN1375" s="53"/>
      <c r="UYO1375" s="53"/>
      <c r="UYP1375" s="53"/>
      <c r="UYQ1375" s="53"/>
      <c r="UYR1375" s="53"/>
      <c r="UYS1375" s="53"/>
      <c r="UYT1375" s="53"/>
      <c r="UYU1375" s="53"/>
      <c r="UYV1375" s="53"/>
      <c r="UYW1375" s="53"/>
      <c r="UYX1375" s="53"/>
      <c r="UYY1375" s="53"/>
      <c r="UYZ1375" s="53"/>
      <c r="UZA1375" s="53"/>
      <c r="UZB1375" s="53"/>
      <c r="UZC1375" s="53"/>
      <c r="UZD1375" s="53"/>
      <c r="UZE1375" s="53"/>
      <c r="UZF1375" s="53"/>
      <c r="UZG1375" s="53"/>
      <c r="UZH1375" s="53"/>
      <c r="UZI1375" s="53"/>
      <c r="UZJ1375" s="53"/>
      <c r="UZK1375" s="53"/>
      <c r="UZL1375" s="53"/>
      <c r="UZM1375" s="53"/>
      <c r="UZN1375" s="53"/>
      <c r="UZO1375" s="53"/>
      <c r="UZP1375" s="53"/>
      <c r="UZQ1375" s="53"/>
      <c r="UZR1375" s="53"/>
      <c r="UZS1375" s="53"/>
      <c r="UZT1375" s="53"/>
      <c r="UZU1375" s="53"/>
      <c r="UZV1375" s="53"/>
      <c r="UZW1375" s="53"/>
      <c r="UZX1375" s="53"/>
      <c r="UZY1375" s="53"/>
      <c r="UZZ1375" s="53"/>
      <c r="VAA1375" s="53"/>
      <c r="VAB1375" s="53"/>
      <c r="VAC1375" s="53"/>
      <c r="VAD1375" s="53"/>
      <c r="VAE1375" s="53"/>
      <c r="VAF1375" s="53"/>
      <c r="VAG1375" s="53"/>
      <c r="VAH1375" s="53"/>
      <c r="VAI1375" s="53"/>
      <c r="VAJ1375" s="53"/>
      <c r="VAK1375" s="53"/>
      <c r="VAL1375" s="53"/>
      <c r="VAM1375" s="53"/>
      <c r="VAN1375" s="53"/>
      <c r="VAO1375" s="53"/>
      <c r="VAP1375" s="53"/>
      <c r="VAQ1375" s="53"/>
      <c r="VAR1375" s="53"/>
      <c r="VAS1375" s="53"/>
      <c r="VAT1375" s="53"/>
      <c r="VAU1375" s="53"/>
      <c r="VAV1375" s="53"/>
      <c r="VAW1375" s="53"/>
      <c r="VAX1375" s="53"/>
      <c r="VAY1375" s="53"/>
      <c r="VAZ1375" s="53"/>
      <c r="VBA1375" s="53"/>
      <c r="VBB1375" s="53"/>
      <c r="VBC1375" s="53"/>
      <c r="VBD1375" s="53"/>
      <c r="VBE1375" s="53"/>
      <c r="VBF1375" s="53"/>
      <c r="VBG1375" s="53"/>
      <c r="VBH1375" s="53"/>
      <c r="VBI1375" s="53"/>
      <c r="VBJ1375" s="53"/>
      <c r="VBK1375" s="53"/>
      <c r="VBL1375" s="53"/>
      <c r="VBM1375" s="53"/>
      <c r="VBN1375" s="53"/>
      <c r="VBO1375" s="53"/>
      <c r="VBP1375" s="53"/>
      <c r="VBQ1375" s="53"/>
      <c r="VBR1375" s="53"/>
      <c r="VBS1375" s="53"/>
      <c r="VBT1375" s="53"/>
      <c r="VBU1375" s="53"/>
      <c r="VBV1375" s="53"/>
      <c r="VBW1375" s="53"/>
      <c r="VBX1375" s="53"/>
      <c r="VBY1375" s="53"/>
      <c r="VBZ1375" s="53"/>
      <c r="VCA1375" s="53"/>
      <c r="VCB1375" s="53"/>
      <c r="VCC1375" s="53"/>
      <c r="VCD1375" s="53"/>
      <c r="VCE1375" s="53"/>
      <c r="VCF1375" s="53"/>
      <c r="VCG1375" s="53"/>
      <c r="VCH1375" s="53"/>
      <c r="VCI1375" s="53"/>
      <c r="VCJ1375" s="53"/>
      <c r="VCK1375" s="53"/>
      <c r="VCL1375" s="53"/>
      <c r="VCM1375" s="53"/>
      <c r="VCN1375" s="53"/>
      <c r="VCO1375" s="53"/>
      <c r="VCP1375" s="53"/>
      <c r="VCQ1375" s="53"/>
      <c r="VCR1375" s="53"/>
      <c r="VCS1375" s="53"/>
      <c r="VCT1375" s="53"/>
      <c r="VCU1375" s="53"/>
      <c r="VCV1375" s="53"/>
      <c r="VCW1375" s="53"/>
      <c r="VCX1375" s="53"/>
      <c r="VCY1375" s="53"/>
      <c r="VCZ1375" s="53"/>
      <c r="VDA1375" s="53"/>
      <c r="VDB1375" s="53"/>
      <c r="VDC1375" s="53"/>
      <c r="VDD1375" s="53"/>
      <c r="VDE1375" s="53"/>
      <c r="VDF1375" s="53"/>
      <c r="VDG1375" s="53"/>
      <c r="VDH1375" s="53"/>
      <c r="VDI1375" s="53"/>
      <c r="VDJ1375" s="53"/>
      <c r="VDK1375" s="53"/>
      <c r="VDL1375" s="53"/>
      <c r="VDM1375" s="53"/>
      <c r="VDN1375" s="53"/>
      <c r="VDO1375" s="53"/>
      <c r="VDP1375" s="53"/>
      <c r="VDQ1375" s="53"/>
      <c r="VDR1375" s="53"/>
      <c r="VDS1375" s="53"/>
      <c r="VDT1375" s="53"/>
      <c r="VDU1375" s="53"/>
      <c r="VDV1375" s="53"/>
      <c r="VDW1375" s="53"/>
      <c r="VDX1375" s="53"/>
      <c r="VDY1375" s="53"/>
      <c r="VDZ1375" s="53"/>
      <c r="VEA1375" s="53"/>
      <c r="VEB1375" s="53"/>
      <c r="VEC1375" s="53"/>
      <c r="VED1375" s="53"/>
      <c r="VEE1375" s="53"/>
      <c r="VEF1375" s="53"/>
      <c r="VEG1375" s="53"/>
      <c r="VEH1375" s="53"/>
      <c r="VEI1375" s="53"/>
      <c r="VEJ1375" s="53"/>
      <c r="VEK1375" s="53"/>
      <c r="VEL1375" s="53"/>
      <c r="VEM1375" s="53"/>
      <c r="VEN1375" s="53"/>
      <c r="VEO1375" s="53"/>
      <c r="VEP1375" s="53"/>
      <c r="VEQ1375" s="53"/>
      <c r="VER1375" s="53"/>
      <c r="VES1375" s="53"/>
      <c r="VET1375" s="53"/>
      <c r="VEU1375" s="53"/>
      <c r="VEV1375" s="53"/>
      <c r="VEW1375" s="53"/>
      <c r="VEX1375" s="53"/>
      <c r="VEY1375" s="53"/>
      <c r="VEZ1375" s="53"/>
      <c r="VFA1375" s="53"/>
      <c r="VFB1375" s="53"/>
      <c r="VFC1375" s="53"/>
      <c r="VFD1375" s="53"/>
      <c r="VFE1375" s="53"/>
      <c r="VFF1375" s="53"/>
      <c r="VFG1375" s="53"/>
      <c r="VFH1375" s="53"/>
      <c r="VFI1375" s="53"/>
      <c r="VFJ1375" s="53"/>
      <c r="VFK1375" s="53"/>
      <c r="VFL1375" s="53"/>
      <c r="VFM1375" s="53"/>
      <c r="VFN1375" s="53"/>
      <c r="VFO1375" s="53"/>
      <c r="VFP1375" s="53"/>
      <c r="VFQ1375" s="53"/>
      <c r="VFR1375" s="53"/>
      <c r="VFS1375" s="53"/>
      <c r="VFT1375" s="53"/>
      <c r="VFU1375" s="53"/>
      <c r="VFV1375" s="53"/>
      <c r="VFW1375" s="53"/>
      <c r="VFX1375" s="53"/>
      <c r="VFY1375" s="53"/>
      <c r="VFZ1375" s="53"/>
      <c r="VGA1375" s="53"/>
      <c r="VGB1375" s="53"/>
      <c r="VGC1375" s="53"/>
      <c r="VGD1375" s="53"/>
      <c r="VGE1375" s="53"/>
      <c r="VGF1375" s="53"/>
      <c r="VGG1375" s="53"/>
      <c r="VGH1375" s="53"/>
      <c r="VGI1375" s="53"/>
      <c r="VGJ1375" s="53"/>
      <c r="VGK1375" s="53"/>
      <c r="VGL1375" s="53"/>
      <c r="VGM1375" s="53"/>
      <c r="VGN1375" s="53"/>
      <c r="VGO1375" s="53"/>
      <c r="VGP1375" s="53"/>
      <c r="VGQ1375" s="53"/>
      <c r="VGR1375" s="53"/>
      <c r="VGS1375" s="53"/>
      <c r="VGT1375" s="53"/>
      <c r="VGU1375" s="53"/>
      <c r="VGV1375" s="53"/>
      <c r="VGW1375" s="53"/>
      <c r="VGX1375" s="53"/>
      <c r="VGY1375" s="53"/>
      <c r="VGZ1375" s="53"/>
      <c r="VHA1375" s="53"/>
      <c r="VHB1375" s="53"/>
      <c r="VHC1375" s="53"/>
      <c r="VHD1375" s="53"/>
      <c r="VHE1375" s="53"/>
      <c r="VHF1375" s="53"/>
      <c r="VHG1375" s="53"/>
      <c r="VHH1375" s="53"/>
      <c r="VHI1375" s="53"/>
      <c r="VHJ1375" s="53"/>
      <c r="VHK1375" s="53"/>
      <c r="VHL1375" s="53"/>
      <c r="VHM1375" s="53"/>
      <c r="VHN1375" s="53"/>
      <c r="VHO1375" s="53"/>
      <c r="VHP1375" s="53"/>
      <c r="VHQ1375" s="53"/>
      <c r="VHR1375" s="53"/>
      <c r="VHS1375" s="53"/>
      <c r="VHT1375" s="53"/>
      <c r="VHU1375" s="53"/>
      <c r="VHV1375" s="53"/>
      <c r="VHW1375" s="53"/>
      <c r="VHX1375" s="53"/>
      <c r="VHY1375" s="53"/>
      <c r="VHZ1375" s="53"/>
      <c r="VIA1375" s="53"/>
      <c r="VIB1375" s="53"/>
      <c r="VIC1375" s="53"/>
      <c r="VID1375" s="53"/>
      <c r="VIE1375" s="53"/>
      <c r="VIF1375" s="53"/>
      <c r="VIG1375" s="53"/>
      <c r="VIH1375" s="53"/>
      <c r="VII1375" s="53"/>
      <c r="VIJ1375" s="53"/>
      <c r="VIK1375" s="53"/>
      <c r="VIL1375" s="53"/>
      <c r="VIM1375" s="53"/>
      <c r="VIN1375" s="53"/>
      <c r="VIO1375" s="53"/>
      <c r="VIP1375" s="53"/>
      <c r="VIQ1375" s="53"/>
      <c r="VIR1375" s="53"/>
      <c r="VIS1375" s="53"/>
      <c r="VIT1375" s="53"/>
      <c r="VIU1375" s="53"/>
      <c r="VIV1375" s="53"/>
      <c r="VIW1375" s="53"/>
      <c r="VIX1375" s="53"/>
      <c r="VIY1375" s="53"/>
      <c r="VIZ1375" s="53"/>
      <c r="VJA1375" s="53"/>
      <c r="VJB1375" s="53"/>
      <c r="VJC1375" s="53"/>
      <c r="VJD1375" s="53"/>
      <c r="VJE1375" s="53"/>
      <c r="VJF1375" s="53"/>
      <c r="VJG1375" s="53"/>
      <c r="VJH1375" s="53"/>
      <c r="VJI1375" s="53"/>
      <c r="VJJ1375" s="53"/>
      <c r="VJK1375" s="53"/>
      <c r="VJL1375" s="53"/>
      <c r="VJM1375" s="53"/>
      <c r="VJN1375" s="53"/>
      <c r="VJO1375" s="53"/>
      <c r="VJP1375" s="53"/>
      <c r="VJQ1375" s="53"/>
      <c r="VJR1375" s="53"/>
      <c r="VJS1375" s="53"/>
      <c r="VJT1375" s="53"/>
      <c r="VJU1375" s="53"/>
      <c r="VJV1375" s="53"/>
      <c r="VJW1375" s="53"/>
      <c r="VJX1375" s="53"/>
      <c r="VJY1375" s="53"/>
      <c r="VJZ1375" s="53"/>
      <c r="VKA1375" s="53"/>
      <c r="VKB1375" s="53"/>
      <c r="VKC1375" s="53"/>
      <c r="VKD1375" s="53"/>
      <c r="VKE1375" s="53"/>
      <c r="VKF1375" s="53"/>
      <c r="VKG1375" s="53"/>
      <c r="VKH1375" s="53"/>
      <c r="VKI1375" s="53"/>
      <c r="VKJ1375" s="53"/>
      <c r="VKK1375" s="53"/>
      <c r="VKL1375" s="53"/>
      <c r="VKM1375" s="53"/>
      <c r="VKN1375" s="53"/>
      <c r="VKO1375" s="53"/>
      <c r="VKP1375" s="53"/>
      <c r="VKQ1375" s="53"/>
      <c r="VKR1375" s="53"/>
      <c r="VKS1375" s="53"/>
      <c r="VKT1375" s="53"/>
      <c r="VKU1375" s="53"/>
      <c r="VKV1375" s="53"/>
      <c r="VKW1375" s="53"/>
      <c r="VKX1375" s="53"/>
      <c r="VKY1375" s="53"/>
      <c r="VKZ1375" s="53"/>
      <c r="VLA1375" s="53"/>
      <c r="VLB1375" s="53"/>
      <c r="VLC1375" s="53"/>
      <c r="VLD1375" s="53"/>
      <c r="VLE1375" s="53"/>
      <c r="VLF1375" s="53"/>
      <c r="VLG1375" s="53"/>
      <c r="VLH1375" s="53"/>
      <c r="VLI1375" s="53"/>
      <c r="VLJ1375" s="53"/>
      <c r="VLK1375" s="53"/>
      <c r="VLL1375" s="53"/>
      <c r="VLM1375" s="53"/>
      <c r="VLN1375" s="53"/>
      <c r="VLO1375" s="53"/>
      <c r="VLP1375" s="53"/>
      <c r="VLQ1375" s="53"/>
      <c r="VLR1375" s="53"/>
      <c r="VLS1375" s="53"/>
      <c r="VLT1375" s="53"/>
      <c r="VLU1375" s="53"/>
      <c r="VLV1375" s="53"/>
      <c r="VLW1375" s="53"/>
      <c r="VLX1375" s="53"/>
      <c r="VLY1375" s="53"/>
      <c r="VLZ1375" s="53"/>
      <c r="VMA1375" s="53"/>
      <c r="VMB1375" s="53"/>
      <c r="VMC1375" s="53"/>
      <c r="VMD1375" s="53"/>
      <c r="VME1375" s="53"/>
      <c r="VMF1375" s="53"/>
      <c r="VMG1375" s="53"/>
      <c r="VMH1375" s="53"/>
      <c r="VMI1375" s="53"/>
      <c r="VMJ1375" s="53"/>
      <c r="VMK1375" s="53"/>
      <c r="VML1375" s="53"/>
      <c r="VMM1375" s="53"/>
      <c r="VMN1375" s="53"/>
      <c r="VMO1375" s="53"/>
      <c r="VMP1375" s="53"/>
      <c r="VMQ1375" s="53"/>
      <c r="VMR1375" s="53"/>
      <c r="VMS1375" s="53"/>
      <c r="VMT1375" s="53"/>
      <c r="VMU1375" s="53"/>
      <c r="VMV1375" s="53"/>
      <c r="VMW1375" s="53"/>
      <c r="VMX1375" s="53"/>
      <c r="VMY1375" s="53"/>
      <c r="VMZ1375" s="53"/>
      <c r="VNA1375" s="53"/>
      <c r="VNB1375" s="53"/>
      <c r="VNC1375" s="53"/>
      <c r="VND1375" s="53"/>
      <c r="VNE1375" s="53"/>
      <c r="VNF1375" s="53"/>
      <c r="VNG1375" s="53"/>
      <c r="VNH1375" s="53"/>
      <c r="VNI1375" s="53"/>
      <c r="VNJ1375" s="53"/>
      <c r="VNK1375" s="53"/>
      <c r="VNL1375" s="53"/>
      <c r="VNM1375" s="53"/>
      <c r="VNN1375" s="53"/>
      <c r="VNO1375" s="53"/>
      <c r="VNP1375" s="53"/>
      <c r="VNQ1375" s="53"/>
      <c r="VNR1375" s="53"/>
      <c r="VNS1375" s="53"/>
      <c r="VNT1375" s="53"/>
      <c r="VNU1375" s="53"/>
      <c r="VNV1375" s="53"/>
      <c r="VNW1375" s="53"/>
      <c r="VNX1375" s="53"/>
      <c r="VNY1375" s="53"/>
      <c r="VNZ1375" s="53"/>
      <c r="VOA1375" s="53"/>
      <c r="VOB1375" s="53"/>
      <c r="VOC1375" s="53"/>
      <c r="VOD1375" s="53"/>
      <c r="VOE1375" s="53"/>
      <c r="VOF1375" s="53"/>
      <c r="VOG1375" s="53"/>
      <c r="VOH1375" s="53"/>
      <c r="VOI1375" s="53"/>
      <c r="VOJ1375" s="53"/>
      <c r="VOK1375" s="53"/>
      <c r="VOL1375" s="53"/>
      <c r="VOM1375" s="53"/>
      <c r="VON1375" s="53"/>
      <c r="VOO1375" s="53"/>
      <c r="VOP1375" s="53"/>
      <c r="VOQ1375" s="53"/>
      <c r="VOR1375" s="53"/>
      <c r="VOS1375" s="53"/>
      <c r="VOT1375" s="53"/>
      <c r="VOU1375" s="53"/>
      <c r="VOV1375" s="53"/>
      <c r="VOW1375" s="53"/>
      <c r="VOX1375" s="53"/>
      <c r="VOY1375" s="53"/>
      <c r="VOZ1375" s="53"/>
      <c r="VPA1375" s="53"/>
      <c r="VPB1375" s="53"/>
      <c r="VPC1375" s="53"/>
      <c r="VPD1375" s="53"/>
      <c r="VPE1375" s="53"/>
      <c r="VPF1375" s="53"/>
      <c r="VPG1375" s="53"/>
      <c r="VPH1375" s="53"/>
      <c r="VPI1375" s="53"/>
      <c r="VPJ1375" s="53"/>
      <c r="VPK1375" s="53"/>
      <c r="VPL1375" s="53"/>
      <c r="VPM1375" s="53"/>
      <c r="VPN1375" s="53"/>
      <c r="VPO1375" s="53"/>
      <c r="VPP1375" s="53"/>
      <c r="VPQ1375" s="53"/>
      <c r="VPR1375" s="53"/>
      <c r="VPS1375" s="53"/>
      <c r="VPT1375" s="53"/>
      <c r="VPU1375" s="53"/>
      <c r="VPV1375" s="53"/>
      <c r="VPW1375" s="53"/>
      <c r="VPX1375" s="53"/>
      <c r="VPY1375" s="53"/>
      <c r="VPZ1375" s="53"/>
      <c r="VQA1375" s="53"/>
      <c r="VQB1375" s="53"/>
      <c r="VQC1375" s="53"/>
      <c r="VQD1375" s="53"/>
      <c r="VQE1375" s="53"/>
      <c r="VQF1375" s="53"/>
      <c r="VQG1375" s="53"/>
      <c r="VQH1375" s="53"/>
      <c r="VQI1375" s="53"/>
      <c r="VQJ1375" s="53"/>
      <c r="VQK1375" s="53"/>
      <c r="VQL1375" s="53"/>
      <c r="VQM1375" s="53"/>
      <c r="VQN1375" s="53"/>
      <c r="VQO1375" s="53"/>
      <c r="VQP1375" s="53"/>
      <c r="VQQ1375" s="53"/>
      <c r="VQR1375" s="53"/>
      <c r="VQS1375" s="53"/>
      <c r="VQT1375" s="53"/>
      <c r="VQU1375" s="53"/>
      <c r="VQV1375" s="53"/>
      <c r="VQW1375" s="53"/>
      <c r="VQX1375" s="53"/>
      <c r="VQY1375" s="53"/>
      <c r="VQZ1375" s="53"/>
      <c r="VRA1375" s="53"/>
      <c r="VRB1375" s="53"/>
      <c r="VRC1375" s="53"/>
      <c r="VRD1375" s="53"/>
      <c r="VRE1375" s="53"/>
      <c r="VRF1375" s="53"/>
      <c r="VRG1375" s="53"/>
      <c r="VRH1375" s="53"/>
      <c r="VRI1375" s="53"/>
      <c r="VRJ1375" s="53"/>
      <c r="VRK1375" s="53"/>
      <c r="VRL1375" s="53"/>
      <c r="VRM1375" s="53"/>
      <c r="VRN1375" s="53"/>
      <c r="VRO1375" s="53"/>
      <c r="VRP1375" s="53"/>
      <c r="VRQ1375" s="53"/>
      <c r="VRR1375" s="53"/>
      <c r="VRS1375" s="53"/>
      <c r="VRT1375" s="53"/>
      <c r="VRU1375" s="53"/>
      <c r="VRV1375" s="53"/>
      <c r="VRW1375" s="53"/>
      <c r="VRX1375" s="53"/>
      <c r="VRY1375" s="53"/>
      <c r="VRZ1375" s="53"/>
      <c r="VSA1375" s="53"/>
      <c r="VSB1375" s="53"/>
      <c r="VSC1375" s="53"/>
      <c r="VSD1375" s="53"/>
      <c r="VSE1375" s="53"/>
      <c r="VSF1375" s="53"/>
      <c r="VSG1375" s="53"/>
      <c r="VSH1375" s="53"/>
      <c r="VSI1375" s="53"/>
      <c r="VSJ1375" s="53"/>
      <c r="VSK1375" s="53"/>
      <c r="VSL1375" s="53"/>
      <c r="VSM1375" s="53"/>
      <c r="VSN1375" s="53"/>
      <c r="VSO1375" s="53"/>
      <c r="VSP1375" s="53"/>
      <c r="VSQ1375" s="53"/>
      <c r="VSR1375" s="53"/>
      <c r="VSS1375" s="53"/>
      <c r="VST1375" s="53"/>
      <c r="VSU1375" s="53"/>
      <c r="VSV1375" s="53"/>
      <c r="VSW1375" s="53"/>
      <c r="VSX1375" s="53"/>
      <c r="VSY1375" s="53"/>
      <c r="VSZ1375" s="53"/>
      <c r="VTA1375" s="53"/>
      <c r="VTB1375" s="53"/>
      <c r="VTC1375" s="53"/>
      <c r="VTD1375" s="53"/>
      <c r="VTE1375" s="53"/>
      <c r="VTF1375" s="53"/>
      <c r="VTG1375" s="53"/>
      <c r="VTH1375" s="53"/>
      <c r="VTI1375" s="53"/>
      <c r="VTJ1375" s="53"/>
      <c r="VTK1375" s="53"/>
      <c r="VTL1375" s="53"/>
      <c r="VTM1375" s="53"/>
      <c r="VTN1375" s="53"/>
      <c r="VTO1375" s="53"/>
      <c r="VTP1375" s="53"/>
      <c r="VTQ1375" s="53"/>
      <c r="VTR1375" s="53"/>
      <c r="VTS1375" s="53"/>
      <c r="VTT1375" s="53"/>
      <c r="VTU1375" s="53"/>
      <c r="VTV1375" s="53"/>
      <c r="VTW1375" s="53"/>
      <c r="VTX1375" s="53"/>
      <c r="VTY1375" s="53"/>
      <c r="VTZ1375" s="53"/>
      <c r="VUA1375" s="53"/>
      <c r="VUB1375" s="53"/>
      <c r="VUC1375" s="53"/>
      <c r="VUD1375" s="53"/>
      <c r="VUE1375" s="53"/>
      <c r="VUF1375" s="53"/>
      <c r="VUG1375" s="53"/>
      <c r="VUH1375" s="53"/>
      <c r="VUI1375" s="53"/>
      <c r="VUJ1375" s="53"/>
      <c r="VUK1375" s="53"/>
      <c r="VUL1375" s="53"/>
      <c r="VUM1375" s="53"/>
      <c r="VUN1375" s="53"/>
      <c r="VUO1375" s="53"/>
      <c r="VUP1375" s="53"/>
      <c r="VUQ1375" s="53"/>
      <c r="VUR1375" s="53"/>
      <c r="VUS1375" s="53"/>
      <c r="VUT1375" s="53"/>
      <c r="VUU1375" s="53"/>
      <c r="VUV1375" s="53"/>
      <c r="VUW1375" s="53"/>
      <c r="VUX1375" s="53"/>
      <c r="VUY1375" s="53"/>
      <c r="VUZ1375" s="53"/>
      <c r="VVA1375" s="53"/>
      <c r="VVB1375" s="53"/>
      <c r="VVC1375" s="53"/>
      <c r="VVD1375" s="53"/>
      <c r="VVE1375" s="53"/>
      <c r="VVF1375" s="53"/>
      <c r="VVG1375" s="53"/>
      <c r="VVH1375" s="53"/>
      <c r="VVI1375" s="53"/>
      <c r="VVJ1375" s="53"/>
      <c r="VVK1375" s="53"/>
      <c r="VVL1375" s="53"/>
      <c r="VVM1375" s="53"/>
      <c r="VVN1375" s="53"/>
      <c r="VVO1375" s="53"/>
      <c r="VVP1375" s="53"/>
      <c r="VVQ1375" s="53"/>
      <c r="VVR1375" s="53"/>
      <c r="VVS1375" s="53"/>
      <c r="VVT1375" s="53"/>
      <c r="VVU1375" s="53"/>
      <c r="VVV1375" s="53"/>
      <c r="VVW1375" s="53"/>
      <c r="VVX1375" s="53"/>
      <c r="VVY1375" s="53"/>
      <c r="VVZ1375" s="53"/>
      <c r="VWA1375" s="53"/>
      <c r="VWB1375" s="53"/>
      <c r="VWC1375" s="53"/>
      <c r="VWD1375" s="53"/>
      <c r="VWE1375" s="53"/>
      <c r="VWF1375" s="53"/>
      <c r="VWG1375" s="53"/>
      <c r="VWH1375" s="53"/>
      <c r="VWI1375" s="53"/>
      <c r="VWJ1375" s="53"/>
      <c r="VWK1375" s="53"/>
      <c r="VWL1375" s="53"/>
      <c r="VWM1375" s="53"/>
      <c r="VWN1375" s="53"/>
      <c r="VWO1375" s="53"/>
      <c r="VWP1375" s="53"/>
      <c r="VWQ1375" s="53"/>
      <c r="VWR1375" s="53"/>
      <c r="VWS1375" s="53"/>
      <c r="VWT1375" s="53"/>
      <c r="VWU1375" s="53"/>
      <c r="VWV1375" s="53"/>
      <c r="VWW1375" s="53"/>
      <c r="VWX1375" s="53"/>
      <c r="VWY1375" s="53"/>
      <c r="VWZ1375" s="53"/>
      <c r="VXA1375" s="53"/>
      <c r="VXB1375" s="53"/>
      <c r="VXC1375" s="53"/>
      <c r="VXD1375" s="53"/>
      <c r="VXE1375" s="53"/>
      <c r="VXF1375" s="53"/>
      <c r="VXG1375" s="53"/>
      <c r="VXH1375" s="53"/>
      <c r="VXI1375" s="53"/>
      <c r="VXJ1375" s="53"/>
      <c r="VXK1375" s="53"/>
      <c r="VXL1375" s="53"/>
      <c r="VXM1375" s="53"/>
      <c r="VXN1375" s="53"/>
      <c r="VXO1375" s="53"/>
      <c r="VXP1375" s="53"/>
      <c r="VXQ1375" s="53"/>
      <c r="VXR1375" s="53"/>
      <c r="VXS1375" s="53"/>
      <c r="VXT1375" s="53"/>
      <c r="VXU1375" s="53"/>
      <c r="VXV1375" s="53"/>
      <c r="VXW1375" s="53"/>
      <c r="VXX1375" s="53"/>
      <c r="VXY1375" s="53"/>
      <c r="VXZ1375" s="53"/>
      <c r="VYA1375" s="53"/>
      <c r="VYB1375" s="53"/>
      <c r="VYC1375" s="53"/>
      <c r="VYD1375" s="53"/>
      <c r="VYE1375" s="53"/>
      <c r="VYF1375" s="53"/>
      <c r="VYG1375" s="53"/>
      <c r="VYH1375" s="53"/>
      <c r="VYI1375" s="53"/>
      <c r="VYJ1375" s="53"/>
      <c r="VYK1375" s="53"/>
      <c r="VYL1375" s="53"/>
      <c r="VYM1375" s="53"/>
      <c r="VYN1375" s="53"/>
      <c r="VYO1375" s="53"/>
      <c r="VYP1375" s="53"/>
      <c r="VYQ1375" s="53"/>
      <c r="VYR1375" s="53"/>
      <c r="VYS1375" s="53"/>
      <c r="VYT1375" s="53"/>
      <c r="VYU1375" s="53"/>
      <c r="VYV1375" s="53"/>
      <c r="VYW1375" s="53"/>
      <c r="VYX1375" s="53"/>
      <c r="VYY1375" s="53"/>
      <c r="VYZ1375" s="53"/>
      <c r="VZA1375" s="53"/>
      <c r="VZB1375" s="53"/>
      <c r="VZC1375" s="53"/>
      <c r="VZD1375" s="53"/>
      <c r="VZE1375" s="53"/>
      <c r="VZF1375" s="53"/>
      <c r="VZG1375" s="53"/>
      <c r="VZH1375" s="53"/>
      <c r="VZI1375" s="53"/>
      <c r="VZJ1375" s="53"/>
      <c r="VZK1375" s="53"/>
      <c r="VZL1375" s="53"/>
      <c r="VZM1375" s="53"/>
      <c r="VZN1375" s="53"/>
      <c r="VZO1375" s="53"/>
      <c r="VZP1375" s="53"/>
      <c r="VZQ1375" s="53"/>
      <c r="VZR1375" s="53"/>
      <c r="VZS1375" s="53"/>
      <c r="VZT1375" s="53"/>
      <c r="VZU1375" s="53"/>
      <c r="VZV1375" s="53"/>
      <c r="VZW1375" s="53"/>
      <c r="VZX1375" s="53"/>
      <c r="VZY1375" s="53"/>
      <c r="VZZ1375" s="53"/>
      <c r="WAA1375" s="53"/>
      <c r="WAB1375" s="53"/>
      <c r="WAC1375" s="53"/>
      <c r="WAD1375" s="53"/>
      <c r="WAE1375" s="53"/>
      <c r="WAF1375" s="53"/>
      <c r="WAG1375" s="53"/>
      <c r="WAH1375" s="53"/>
      <c r="WAI1375" s="53"/>
      <c r="WAJ1375" s="53"/>
      <c r="WAK1375" s="53"/>
      <c r="WAL1375" s="53"/>
      <c r="WAM1375" s="53"/>
      <c r="WAN1375" s="53"/>
      <c r="WAO1375" s="53"/>
      <c r="WAP1375" s="53"/>
      <c r="WAQ1375" s="53"/>
      <c r="WAR1375" s="53"/>
      <c r="WAS1375" s="53"/>
      <c r="WAT1375" s="53"/>
      <c r="WAU1375" s="53"/>
      <c r="WAV1375" s="53"/>
      <c r="WAW1375" s="53"/>
      <c r="WAX1375" s="53"/>
      <c r="WAY1375" s="53"/>
      <c r="WAZ1375" s="53"/>
      <c r="WBA1375" s="53"/>
      <c r="WBB1375" s="53"/>
      <c r="WBC1375" s="53"/>
      <c r="WBD1375" s="53"/>
      <c r="WBE1375" s="53"/>
      <c r="WBF1375" s="53"/>
      <c r="WBG1375" s="53"/>
      <c r="WBH1375" s="53"/>
      <c r="WBI1375" s="53"/>
      <c r="WBJ1375" s="53"/>
      <c r="WBK1375" s="53"/>
      <c r="WBL1375" s="53"/>
      <c r="WBM1375" s="53"/>
      <c r="WBN1375" s="53"/>
      <c r="WBO1375" s="53"/>
      <c r="WBP1375" s="53"/>
      <c r="WBQ1375" s="53"/>
      <c r="WBR1375" s="53"/>
      <c r="WBS1375" s="53"/>
      <c r="WBT1375" s="53"/>
      <c r="WBU1375" s="53"/>
      <c r="WBV1375" s="53"/>
      <c r="WBW1375" s="53"/>
      <c r="WBX1375" s="53"/>
      <c r="WBY1375" s="53"/>
      <c r="WBZ1375" s="53"/>
      <c r="WCA1375" s="53"/>
      <c r="WCB1375" s="53"/>
      <c r="WCC1375" s="53"/>
      <c r="WCD1375" s="53"/>
      <c r="WCE1375" s="53"/>
      <c r="WCF1375" s="53"/>
      <c r="WCG1375" s="53"/>
      <c r="WCH1375" s="53"/>
      <c r="WCI1375" s="53"/>
      <c r="WCJ1375" s="53"/>
      <c r="WCK1375" s="53"/>
      <c r="WCL1375" s="53"/>
      <c r="WCM1375" s="53"/>
      <c r="WCN1375" s="53"/>
      <c r="WCO1375" s="53"/>
      <c r="WCP1375" s="53"/>
      <c r="WCQ1375" s="53"/>
      <c r="WCR1375" s="53"/>
      <c r="WCS1375" s="53"/>
      <c r="WCT1375" s="53"/>
      <c r="WCU1375" s="53"/>
      <c r="WCV1375" s="53"/>
      <c r="WCW1375" s="53"/>
      <c r="WCX1375" s="53"/>
      <c r="WCY1375" s="53"/>
      <c r="WCZ1375" s="53"/>
      <c r="WDA1375" s="53"/>
      <c r="WDB1375" s="53"/>
      <c r="WDC1375" s="53"/>
      <c r="WDD1375" s="53"/>
      <c r="WDE1375" s="53"/>
      <c r="WDF1375" s="53"/>
      <c r="WDG1375" s="53"/>
      <c r="WDH1375" s="53"/>
      <c r="WDI1375" s="53"/>
      <c r="WDJ1375" s="53"/>
      <c r="WDK1375" s="53"/>
      <c r="WDL1375" s="53"/>
      <c r="WDM1375" s="53"/>
      <c r="WDN1375" s="53"/>
      <c r="WDO1375" s="53"/>
      <c r="WDP1375" s="53"/>
      <c r="WDQ1375" s="53"/>
      <c r="WDR1375" s="53"/>
      <c r="WDS1375" s="53"/>
      <c r="WDT1375" s="53"/>
      <c r="WDU1375" s="53"/>
      <c r="WDV1375" s="53"/>
      <c r="WDW1375" s="53"/>
      <c r="WDX1375" s="53"/>
      <c r="WDY1375" s="53"/>
      <c r="WDZ1375" s="53"/>
      <c r="WEA1375" s="53"/>
      <c r="WEB1375" s="53"/>
      <c r="WEC1375" s="53"/>
      <c r="WED1375" s="53"/>
      <c r="WEE1375" s="53"/>
      <c r="WEF1375" s="53"/>
      <c r="WEG1375" s="53"/>
      <c r="WEH1375" s="53"/>
      <c r="WEI1375" s="53"/>
      <c r="WEJ1375" s="53"/>
      <c r="WEK1375" s="53"/>
      <c r="WEL1375" s="53"/>
      <c r="WEM1375" s="53"/>
      <c r="WEN1375" s="53"/>
      <c r="WEO1375" s="53"/>
      <c r="WEP1375" s="53"/>
      <c r="WEQ1375" s="53"/>
      <c r="WER1375" s="53"/>
      <c r="WES1375" s="53"/>
      <c r="WET1375" s="53"/>
      <c r="WEU1375" s="53"/>
      <c r="WEV1375" s="53"/>
      <c r="WEW1375" s="53"/>
      <c r="WEX1375" s="53"/>
      <c r="WEY1375" s="53"/>
      <c r="WEZ1375" s="53"/>
      <c r="WFA1375" s="53"/>
      <c r="WFB1375" s="53"/>
      <c r="WFC1375" s="53"/>
      <c r="WFD1375" s="53"/>
      <c r="WFE1375" s="53"/>
      <c r="WFF1375" s="53"/>
      <c r="WFG1375" s="53"/>
      <c r="WFH1375" s="53"/>
      <c r="WFI1375" s="53"/>
      <c r="WFJ1375" s="53"/>
      <c r="WFK1375" s="53"/>
      <c r="WFL1375" s="53"/>
      <c r="WFM1375" s="53"/>
      <c r="WFN1375" s="53"/>
      <c r="WFO1375" s="53"/>
      <c r="WFP1375" s="53"/>
      <c r="WFQ1375" s="53"/>
      <c r="WFR1375" s="53"/>
      <c r="WFS1375" s="53"/>
      <c r="WFT1375" s="53"/>
      <c r="WFU1375" s="53"/>
      <c r="WFV1375" s="53"/>
      <c r="WFW1375" s="53"/>
      <c r="WFX1375" s="53"/>
      <c r="WFY1375" s="53"/>
      <c r="WFZ1375" s="53"/>
      <c r="WGA1375" s="53"/>
      <c r="WGB1375" s="53"/>
      <c r="WGC1375" s="53"/>
      <c r="WGD1375" s="53"/>
      <c r="WGE1375" s="53"/>
      <c r="WGF1375" s="53"/>
      <c r="WGG1375" s="53"/>
      <c r="WGH1375" s="53"/>
      <c r="WGI1375" s="53"/>
      <c r="WGJ1375" s="53"/>
      <c r="WGK1375" s="53"/>
      <c r="WGL1375" s="53"/>
      <c r="WGM1375" s="53"/>
      <c r="WGN1375" s="53"/>
      <c r="WGO1375" s="53"/>
      <c r="WGP1375" s="53"/>
      <c r="WGQ1375" s="53"/>
      <c r="WGR1375" s="53"/>
      <c r="WGS1375" s="53"/>
      <c r="WGT1375" s="53"/>
      <c r="WGU1375" s="53"/>
      <c r="WGV1375" s="53"/>
      <c r="WGW1375" s="53"/>
      <c r="WGX1375" s="53"/>
      <c r="WGY1375" s="53"/>
      <c r="WGZ1375" s="53"/>
      <c r="WHA1375" s="53"/>
      <c r="WHB1375" s="53"/>
      <c r="WHC1375" s="53"/>
      <c r="WHD1375" s="53"/>
      <c r="WHE1375" s="53"/>
      <c r="WHF1375" s="53"/>
      <c r="WHG1375" s="53"/>
      <c r="WHH1375" s="53"/>
      <c r="WHI1375" s="53"/>
      <c r="WHJ1375" s="53"/>
      <c r="WHK1375" s="53"/>
      <c r="WHL1375" s="53"/>
      <c r="WHM1375" s="53"/>
      <c r="WHN1375" s="53"/>
      <c r="WHO1375" s="53"/>
      <c r="WHP1375" s="53"/>
      <c r="WHQ1375" s="53"/>
      <c r="WHR1375" s="53"/>
      <c r="WHS1375" s="53"/>
      <c r="WHT1375" s="53"/>
      <c r="WHU1375" s="53"/>
      <c r="WHV1375" s="53"/>
      <c r="WHW1375" s="53"/>
      <c r="WHX1375" s="53"/>
      <c r="WHY1375" s="53"/>
      <c r="WHZ1375" s="53"/>
      <c r="WIA1375" s="53"/>
      <c r="WIB1375" s="53"/>
      <c r="WIC1375" s="53"/>
      <c r="WID1375" s="53"/>
      <c r="WIE1375" s="53"/>
      <c r="WIF1375" s="53"/>
      <c r="WIG1375" s="53"/>
      <c r="WIH1375" s="53"/>
      <c r="WII1375" s="53"/>
      <c r="WIJ1375" s="53"/>
      <c r="WIK1375" s="53"/>
      <c r="WIL1375" s="53"/>
      <c r="WIM1375" s="53"/>
      <c r="WIN1375" s="53"/>
      <c r="WIO1375" s="53"/>
      <c r="WIP1375" s="53"/>
      <c r="WIQ1375" s="53"/>
      <c r="WIR1375" s="53"/>
      <c r="WIS1375" s="53"/>
      <c r="WIT1375" s="53"/>
      <c r="WIU1375" s="53"/>
      <c r="WIV1375" s="53"/>
      <c r="WIW1375" s="53"/>
      <c r="WIX1375" s="53"/>
      <c r="WIY1375" s="53"/>
      <c r="WIZ1375" s="53"/>
      <c r="WJA1375" s="53"/>
      <c r="WJB1375" s="53"/>
      <c r="WJC1375" s="53"/>
      <c r="WJD1375" s="53"/>
      <c r="WJE1375" s="53"/>
      <c r="WJF1375" s="53"/>
      <c r="WJG1375" s="53"/>
      <c r="WJH1375" s="53"/>
      <c r="WJI1375" s="53"/>
      <c r="WJJ1375" s="53"/>
      <c r="WJK1375" s="53"/>
      <c r="WJL1375" s="53"/>
      <c r="WJM1375" s="53"/>
      <c r="WJN1375" s="53"/>
      <c r="WJO1375" s="53"/>
      <c r="WJP1375" s="53"/>
      <c r="WJQ1375" s="53"/>
      <c r="WJR1375" s="53"/>
      <c r="WJS1375" s="53"/>
      <c r="WJT1375" s="53"/>
      <c r="WJU1375" s="53"/>
      <c r="WJV1375" s="53"/>
      <c r="WJW1375" s="53"/>
      <c r="WJX1375" s="53"/>
      <c r="WJY1375" s="53"/>
      <c r="WJZ1375" s="53"/>
      <c r="WKA1375" s="53"/>
      <c r="WKB1375" s="53"/>
      <c r="WKC1375" s="53"/>
      <c r="WKD1375" s="53"/>
      <c r="WKE1375" s="53"/>
      <c r="WKF1375" s="53"/>
      <c r="WKG1375" s="53"/>
      <c r="WKH1375" s="53"/>
      <c r="WKI1375" s="53"/>
      <c r="WKJ1375" s="53"/>
      <c r="WKK1375" s="53"/>
      <c r="WKL1375" s="53"/>
      <c r="WKM1375" s="53"/>
      <c r="WKN1375" s="53"/>
      <c r="WKO1375" s="53"/>
      <c r="WKP1375" s="53"/>
      <c r="WKQ1375" s="53"/>
      <c r="WKR1375" s="53"/>
      <c r="WKS1375" s="53"/>
      <c r="WKT1375" s="53"/>
      <c r="WKU1375" s="53"/>
      <c r="WKV1375" s="53"/>
      <c r="WKW1375" s="53"/>
      <c r="WKX1375" s="53"/>
      <c r="WKY1375" s="53"/>
      <c r="WKZ1375" s="53"/>
      <c r="WLA1375" s="53"/>
      <c r="WLB1375" s="53"/>
      <c r="WLC1375" s="53"/>
      <c r="WLD1375" s="53"/>
      <c r="WLE1375" s="53"/>
      <c r="WLF1375" s="53"/>
      <c r="WLG1375" s="53"/>
      <c r="WLH1375" s="53"/>
      <c r="WLI1375" s="53"/>
      <c r="WLJ1375" s="53"/>
      <c r="WLK1375" s="53"/>
      <c r="WLL1375" s="53"/>
      <c r="WLM1375" s="53"/>
      <c r="WLN1375" s="53"/>
      <c r="WLO1375" s="53"/>
      <c r="WLP1375" s="53"/>
      <c r="WLQ1375" s="53"/>
      <c r="WLR1375" s="53"/>
      <c r="WLS1375" s="53"/>
      <c r="WLT1375" s="53"/>
      <c r="WLU1375" s="53"/>
      <c r="WLV1375" s="53"/>
      <c r="WLW1375" s="53"/>
      <c r="WLX1375" s="53"/>
      <c r="WLY1375" s="53"/>
      <c r="WLZ1375" s="53"/>
      <c r="WMA1375" s="53"/>
      <c r="WMB1375" s="53"/>
      <c r="WMC1375" s="53"/>
      <c r="WMD1375" s="53"/>
      <c r="WME1375" s="53"/>
      <c r="WMF1375" s="53"/>
      <c r="WMG1375" s="53"/>
      <c r="WMH1375" s="53"/>
      <c r="WMI1375" s="53"/>
      <c r="WMJ1375" s="53"/>
      <c r="WMK1375" s="53"/>
      <c r="WML1375" s="53"/>
      <c r="WMM1375" s="53"/>
      <c r="WMN1375" s="53"/>
      <c r="WMO1375" s="53"/>
      <c r="WMP1375" s="53"/>
      <c r="WMQ1375" s="53"/>
      <c r="WMR1375" s="53"/>
      <c r="WMS1375" s="53"/>
      <c r="WMT1375" s="53"/>
      <c r="WMU1375" s="53"/>
      <c r="WMV1375" s="53"/>
      <c r="WMW1375" s="53"/>
      <c r="WMX1375" s="53"/>
      <c r="WMY1375" s="53"/>
      <c r="WMZ1375" s="53"/>
      <c r="WNA1375" s="53"/>
      <c r="WNB1375" s="53"/>
      <c r="WNC1375" s="53"/>
      <c r="WND1375" s="53"/>
      <c r="WNE1375" s="53"/>
      <c r="WNF1375" s="53"/>
      <c r="WNG1375" s="53"/>
      <c r="WNH1375" s="53"/>
      <c r="WNI1375" s="53"/>
      <c r="WNJ1375" s="53"/>
      <c r="WNK1375" s="53"/>
      <c r="WNL1375" s="53"/>
      <c r="WNM1375" s="53"/>
      <c r="WNN1375" s="53"/>
      <c r="WNO1375" s="53"/>
      <c r="WNP1375" s="53"/>
      <c r="WNQ1375" s="53"/>
      <c r="WNR1375" s="53"/>
      <c r="WNS1375" s="53"/>
      <c r="WNT1375" s="53"/>
      <c r="WNU1375" s="53"/>
      <c r="WNV1375" s="53"/>
      <c r="WNW1375" s="53"/>
      <c r="WNX1375" s="53"/>
      <c r="WNY1375" s="53"/>
      <c r="WNZ1375" s="53"/>
      <c r="WOA1375" s="53"/>
      <c r="WOB1375" s="53"/>
      <c r="WOC1375" s="53"/>
      <c r="WOD1375" s="53"/>
      <c r="WOE1375" s="53"/>
      <c r="WOF1375" s="53"/>
      <c r="WOG1375" s="53"/>
      <c r="WOH1375" s="53"/>
      <c r="WOI1375" s="53"/>
      <c r="WOJ1375" s="53"/>
      <c r="WOK1375" s="53"/>
      <c r="WOL1375" s="53"/>
      <c r="WOM1375" s="53"/>
      <c r="WON1375" s="53"/>
      <c r="WOO1375" s="53"/>
      <c r="WOP1375" s="53"/>
      <c r="WOQ1375" s="53"/>
      <c r="WOR1375" s="53"/>
      <c r="WOS1375" s="53"/>
      <c r="WOT1375" s="53"/>
      <c r="WOU1375" s="53"/>
      <c r="WOV1375" s="53"/>
      <c r="WOW1375" s="53"/>
      <c r="WOX1375" s="53"/>
      <c r="WOY1375" s="53"/>
      <c r="WOZ1375" s="53"/>
      <c r="WPA1375" s="53"/>
      <c r="WPB1375" s="53"/>
      <c r="WPC1375" s="53"/>
      <c r="WPD1375" s="53"/>
      <c r="WPE1375" s="53"/>
      <c r="WPF1375" s="53"/>
      <c r="WPG1375" s="53"/>
      <c r="WPH1375" s="53"/>
      <c r="WPI1375" s="53"/>
      <c r="WPJ1375" s="53"/>
      <c r="WPK1375" s="53"/>
      <c r="WPL1375" s="53"/>
      <c r="WPM1375" s="53"/>
      <c r="WPN1375" s="53"/>
      <c r="WPO1375" s="53"/>
      <c r="WPP1375" s="53"/>
      <c r="WPQ1375" s="53"/>
      <c r="WPR1375" s="53"/>
      <c r="WPS1375" s="53"/>
      <c r="WPT1375" s="53"/>
      <c r="WPU1375" s="53"/>
      <c r="WPV1375" s="53"/>
      <c r="WPW1375" s="53"/>
      <c r="WPX1375" s="53"/>
      <c r="WPY1375" s="53"/>
      <c r="WPZ1375" s="53"/>
      <c r="WQA1375" s="53"/>
      <c r="WQB1375" s="53"/>
      <c r="WQC1375" s="53"/>
      <c r="WQD1375" s="53"/>
      <c r="WQE1375" s="53"/>
      <c r="WQF1375" s="53"/>
      <c r="WQG1375" s="53"/>
      <c r="WQH1375" s="53"/>
      <c r="WQI1375" s="53"/>
      <c r="WQJ1375" s="53"/>
      <c r="WQK1375" s="53"/>
      <c r="WQL1375" s="53"/>
      <c r="WQM1375" s="53"/>
      <c r="WQN1375" s="53"/>
      <c r="WQO1375" s="53"/>
      <c r="WQP1375" s="53"/>
      <c r="WQQ1375" s="53"/>
      <c r="WQR1375" s="53"/>
      <c r="WQS1375" s="53"/>
      <c r="WQT1375" s="53"/>
      <c r="WQU1375" s="53"/>
      <c r="WQV1375" s="53"/>
      <c r="WQW1375" s="53"/>
      <c r="WQX1375" s="53"/>
      <c r="WQY1375" s="53"/>
      <c r="WQZ1375" s="53"/>
      <c r="WRA1375" s="53"/>
      <c r="WRB1375" s="53"/>
      <c r="WRC1375" s="53"/>
      <c r="WRD1375" s="53"/>
      <c r="WRE1375" s="53"/>
      <c r="WRF1375" s="53"/>
      <c r="WRG1375" s="53"/>
      <c r="WRH1375" s="53"/>
      <c r="WRI1375" s="53"/>
      <c r="WRJ1375" s="53"/>
      <c r="WRK1375" s="53"/>
      <c r="WRL1375" s="53"/>
      <c r="WRM1375" s="53"/>
      <c r="WRN1375" s="53"/>
      <c r="WRO1375" s="53"/>
      <c r="WRP1375" s="53"/>
      <c r="WRQ1375" s="53"/>
      <c r="WRR1375" s="53"/>
      <c r="WRS1375" s="53"/>
      <c r="WRT1375" s="53"/>
      <c r="WRU1375" s="53"/>
      <c r="WRV1375" s="53"/>
      <c r="WRW1375" s="53"/>
      <c r="WRX1375" s="53"/>
      <c r="WRY1375" s="53"/>
      <c r="WRZ1375" s="53"/>
      <c r="WSA1375" s="53"/>
      <c r="WSB1375" s="53"/>
      <c r="WSC1375" s="53"/>
      <c r="WSD1375" s="53"/>
      <c r="WSE1375" s="53"/>
      <c r="WSF1375" s="53"/>
      <c r="WSG1375" s="53"/>
      <c r="WSH1375" s="53"/>
      <c r="WSI1375" s="53"/>
      <c r="WSJ1375" s="53"/>
      <c r="WSK1375" s="53"/>
      <c r="WSL1375" s="53"/>
      <c r="WSM1375" s="53"/>
      <c r="WSN1375" s="53"/>
      <c r="WSO1375" s="53"/>
      <c r="WSP1375" s="53"/>
      <c r="WSQ1375" s="53"/>
      <c r="WSR1375" s="53"/>
      <c r="WSS1375" s="53"/>
      <c r="WST1375" s="53"/>
      <c r="WSU1375" s="53"/>
      <c r="WSV1375" s="53"/>
      <c r="WSW1375" s="53"/>
      <c r="WSX1375" s="53"/>
      <c r="WSY1375" s="53"/>
      <c r="WSZ1375" s="53"/>
      <c r="WTA1375" s="53"/>
      <c r="WTB1375" s="53"/>
      <c r="WTC1375" s="53"/>
      <c r="WTD1375" s="53"/>
      <c r="WTE1375" s="53"/>
      <c r="WTF1375" s="53"/>
      <c r="WTG1375" s="53"/>
      <c r="WTH1375" s="53"/>
      <c r="WTI1375" s="53"/>
      <c r="WTJ1375" s="53"/>
      <c r="WTK1375" s="53"/>
      <c r="WTL1375" s="53"/>
      <c r="WTM1375" s="53"/>
      <c r="WTN1375" s="53"/>
      <c r="WTO1375" s="53"/>
      <c r="WTP1375" s="53"/>
      <c r="WTQ1375" s="53"/>
      <c r="WTR1375" s="53"/>
      <c r="WTS1375" s="53"/>
      <c r="WTT1375" s="53"/>
      <c r="WTU1375" s="53"/>
      <c r="WTV1375" s="53"/>
      <c r="WTW1375" s="53"/>
      <c r="WTX1375" s="53"/>
      <c r="WTY1375" s="53"/>
      <c r="WTZ1375" s="53"/>
      <c r="WUA1375" s="53"/>
      <c r="WUB1375" s="53"/>
      <c r="WUC1375" s="53"/>
      <c r="WUD1375" s="53"/>
      <c r="WUE1375" s="53"/>
      <c r="WUF1375" s="53"/>
      <c r="WUG1375" s="53"/>
      <c r="WUH1375" s="53"/>
      <c r="WUI1375" s="53"/>
      <c r="WUJ1375" s="53"/>
      <c r="WUK1375" s="53"/>
      <c r="WUL1375" s="53"/>
      <c r="WUM1375" s="53"/>
      <c r="WUN1375" s="53"/>
      <c r="WUO1375" s="53"/>
      <c r="WUP1375" s="53"/>
      <c r="WUQ1375" s="53"/>
      <c r="WUR1375" s="53"/>
      <c r="WUS1375" s="53"/>
      <c r="WUT1375" s="53"/>
      <c r="WUU1375" s="53"/>
      <c r="WUV1375" s="53"/>
      <c r="WUW1375" s="53"/>
      <c r="WUX1375" s="53"/>
      <c r="WUY1375" s="53"/>
      <c r="WUZ1375" s="53"/>
      <c r="WVA1375" s="53"/>
      <c r="WVB1375" s="53"/>
      <c r="WVC1375" s="53"/>
      <c r="WVD1375" s="53"/>
      <c r="WVE1375" s="53"/>
      <c r="WVF1375" s="53"/>
      <c r="WVG1375" s="53"/>
      <c r="WVH1375" s="53"/>
      <c r="WVI1375" s="53"/>
      <c r="WVJ1375" s="53"/>
      <c r="WVK1375" s="53"/>
      <c r="WVL1375" s="53"/>
      <c r="WVM1375" s="53"/>
      <c r="WVN1375" s="53"/>
      <c r="WVO1375" s="53"/>
      <c r="WVP1375" s="53"/>
      <c r="WVQ1375" s="53"/>
      <c r="WVR1375" s="53"/>
      <c r="WVS1375" s="53"/>
      <c r="WVT1375" s="53"/>
      <c r="WVU1375" s="53"/>
      <c r="WVV1375" s="53"/>
      <c r="WVW1375" s="53"/>
      <c r="WVX1375" s="53"/>
      <c r="WVY1375" s="53"/>
      <c r="WVZ1375" s="53"/>
      <c r="WWA1375" s="53"/>
      <c r="WWB1375" s="53"/>
      <c r="WWC1375" s="53"/>
      <c r="WWD1375" s="53"/>
      <c r="WWE1375" s="53"/>
      <c r="WWF1375" s="53"/>
      <c r="WWG1375" s="53"/>
      <c r="WWH1375" s="53"/>
      <c r="WWI1375" s="53"/>
      <c r="WWJ1375" s="53"/>
      <c r="WWK1375" s="53"/>
      <c r="WWL1375" s="53"/>
      <c r="WWM1375" s="53"/>
      <c r="WWN1375" s="53"/>
      <c r="WWO1375" s="53"/>
      <c r="WWP1375" s="53"/>
      <c r="WWQ1375" s="53"/>
      <c r="WWR1375" s="53"/>
      <c r="WWS1375" s="53"/>
      <c r="WWT1375" s="53"/>
      <c r="WWU1375" s="53"/>
      <c r="WWV1375" s="53"/>
      <c r="WWW1375" s="53"/>
      <c r="WWX1375" s="53"/>
      <c r="WWY1375" s="53"/>
      <c r="WWZ1375" s="53"/>
      <c r="WXA1375" s="53"/>
      <c r="WXB1375" s="53"/>
      <c r="WXC1375" s="53"/>
      <c r="WXD1375" s="53"/>
      <c r="WXE1375" s="53"/>
      <c r="WXF1375" s="53"/>
      <c r="WXG1375" s="53"/>
      <c r="WXH1375" s="53"/>
      <c r="WXI1375" s="53"/>
      <c r="WXJ1375" s="53"/>
      <c r="WXK1375" s="53"/>
      <c r="WXL1375" s="53"/>
      <c r="WXM1375" s="53"/>
      <c r="WXN1375" s="53"/>
      <c r="WXO1375" s="53"/>
      <c r="WXP1375" s="53"/>
      <c r="WXQ1375" s="53"/>
      <c r="WXR1375" s="53"/>
      <c r="WXS1375" s="53"/>
      <c r="WXT1375" s="53"/>
      <c r="WXU1375" s="53"/>
      <c r="WXV1375" s="53"/>
      <c r="WXW1375" s="53"/>
      <c r="WXX1375" s="53"/>
      <c r="WXY1375" s="53"/>
      <c r="WXZ1375" s="53"/>
      <c r="WYA1375" s="53"/>
      <c r="WYB1375" s="53"/>
      <c r="WYC1375" s="53"/>
      <c r="WYD1375" s="53"/>
      <c r="WYE1375" s="53"/>
      <c r="WYF1375" s="53"/>
      <c r="WYG1375" s="53"/>
      <c r="WYH1375" s="53"/>
      <c r="WYI1375" s="53"/>
      <c r="WYJ1375" s="53"/>
      <c r="WYK1375" s="53"/>
      <c r="WYL1375" s="53"/>
      <c r="WYM1375" s="53"/>
      <c r="WYN1375" s="53"/>
      <c r="WYO1375" s="53"/>
      <c r="WYP1375" s="53"/>
      <c r="WYQ1375" s="53"/>
      <c r="WYR1375" s="53"/>
      <c r="WYS1375" s="53"/>
      <c r="WYT1375" s="53"/>
      <c r="WYU1375" s="53"/>
      <c r="WYV1375" s="53"/>
      <c r="WYW1375" s="53"/>
      <c r="WYX1375" s="53"/>
      <c r="WYY1375" s="53"/>
      <c r="WYZ1375" s="53"/>
      <c r="WZA1375" s="53"/>
      <c r="WZB1375" s="53"/>
      <c r="WZC1375" s="53"/>
      <c r="WZD1375" s="53"/>
      <c r="WZE1375" s="53"/>
      <c r="WZF1375" s="53"/>
      <c r="WZG1375" s="53"/>
      <c r="WZH1375" s="53"/>
      <c r="WZI1375" s="53"/>
      <c r="WZJ1375" s="53"/>
      <c r="WZK1375" s="53"/>
      <c r="WZL1375" s="53"/>
      <c r="WZM1375" s="53"/>
      <c r="WZN1375" s="53"/>
      <c r="WZO1375" s="53"/>
      <c r="WZP1375" s="53"/>
      <c r="WZQ1375" s="53"/>
      <c r="WZR1375" s="53"/>
      <c r="WZS1375" s="53"/>
      <c r="WZT1375" s="53"/>
      <c r="WZU1375" s="53"/>
      <c r="WZV1375" s="53"/>
      <c r="WZW1375" s="53"/>
      <c r="WZX1375" s="53"/>
      <c r="WZY1375" s="53"/>
      <c r="WZZ1375" s="53"/>
      <c r="XAA1375" s="53"/>
      <c r="XAB1375" s="53"/>
      <c r="XAC1375" s="53"/>
      <c r="XAD1375" s="53"/>
      <c r="XAE1375" s="53"/>
      <c r="XAF1375" s="53"/>
      <c r="XAG1375" s="53"/>
      <c r="XAH1375" s="53"/>
      <c r="XAI1375" s="53"/>
      <c r="XAJ1375" s="53"/>
      <c r="XAK1375" s="53"/>
      <c r="XAL1375" s="53"/>
      <c r="XAM1375" s="53"/>
      <c r="XAN1375" s="53"/>
      <c r="XAO1375" s="53"/>
      <c r="XAP1375" s="53"/>
      <c r="XAQ1375" s="53"/>
      <c r="XAR1375" s="53"/>
      <c r="XAS1375" s="53"/>
      <c r="XAT1375" s="53"/>
      <c r="XAU1375" s="53"/>
      <c r="XAV1375" s="53"/>
      <c r="XAW1375" s="53"/>
      <c r="XAX1375" s="53"/>
      <c r="XAY1375" s="53"/>
      <c r="XAZ1375" s="53"/>
      <c r="XBA1375" s="53"/>
      <c r="XBB1375" s="53"/>
      <c r="XBC1375" s="53"/>
      <c r="XBD1375" s="53"/>
      <c r="XBE1375" s="53"/>
      <c r="XBF1375" s="53"/>
      <c r="XBG1375" s="53"/>
      <c r="XBH1375" s="53"/>
      <c r="XBI1375" s="53"/>
      <c r="XBJ1375" s="53"/>
      <c r="XBK1375" s="53"/>
      <c r="XBL1375" s="53"/>
      <c r="XBM1375" s="53"/>
      <c r="XBN1375" s="53"/>
      <c r="XBO1375" s="53"/>
      <c r="XBP1375" s="53"/>
      <c r="XBQ1375" s="53"/>
      <c r="XBR1375" s="53"/>
      <c r="XBS1375" s="53"/>
      <c r="XBT1375" s="53"/>
      <c r="XBU1375" s="53"/>
      <c r="XBV1375" s="53"/>
      <c r="XBW1375" s="53"/>
      <c r="XBX1375" s="53"/>
      <c r="XBY1375" s="53"/>
      <c r="XBZ1375" s="53"/>
      <c r="XCA1375" s="53"/>
      <c r="XCB1375" s="53"/>
      <c r="XCC1375" s="53"/>
      <c r="XCD1375" s="53"/>
      <c r="XCE1375" s="53"/>
      <c r="XCF1375" s="53"/>
      <c r="XCG1375" s="53"/>
      <c r="XCH1375" s="53"/>
      <c r="XCI1375" s="53"/>
      <c r="XCJ1375" s="53"/>
      <c r="XCK1375" s="53"/>
      <c r="XCL1375" s="53"/>
      <c r="XCM1375" s="53"/>
      <c r="XCN1375" s="53"/>
      <c r="XCO1375" s="53"/>
      <c r="XCP1375" s="53"/>
      <c r="XCQ1375" s="53"/>
      <c r="XCR1375" s="53"/>
      <c r="XCS1375" s="53"/>
      <c r="XCT1375" s="53"/>
      <c r="XCU1375" s="53"/>
      <c r="XCV1375" s="53"/>
      <c r="XCW1375" s="53"/>
      <c r="XCX1375" s="53"/>
      <c r="XCY1375" s="53"/>
      <c r="XCZ1375" s="53"/>
      <c r="XDA1375" s="53"/>
      <c r="XDB1375" s="53"/>
      <c r="XDC1375" s="53"/>
      <c r="XDD1375" s="53"/>
      <c r="XDE1375" s="53"/>
      <c r="XDF1375" s="53"/>
      <c r="XDG1375" s="53"/>
      <c r="XDH1375" s="53"/>
      <c r="XDI1375" s="53"/>
      <c r="XDJ1375" s="53"/>
      <c r="XDK1375" s="53"/>
      <c r="XDL1375" s="53"/>
      <c r="XDM1375" s="53"/>
      <c r="XDN1375" s="53"/>
      <c r="XDO1375" s="53"/>
      <c r="XDP1375" s="53"/>
      <c r="XDQ1375" s="53"/>
      <c r="XDR1375" s="53"/>
      <c r="XDS1375" s="53"/>
      <c r="XDT1375" s="53"/>
      <c r="XDU1375" s="53"/>
      <c r="XDV1375" s="53"/>
      <c r="XDW1375" s="53"/>
      <c r="XDX1375" s="53"/>
      <c r="XDY1375" s="53"/>
      <c r="XDZ1375" s="53"/>
      <c r="XEA1375" s="53"/>
      <c r="XEB1375" s="53"/>
      <c r="XEC1375" s="53"/>
      <c r="XED1375" s="53"/>
      <c r="XEE1375" s="53"/>
      <c r="XEF1375" s="53"/>
      <c r="XEG1375" s="53"/>
      <c r="XEH1375" s="53"/>
      <c r="XEI1375" s="53"/>
      <c r="XEJ1375" s="53"/>
      <c r="XEK1375" s="53"/>
      <c r="XEL1375" s="53"/>
      <c r="XEM1375" s="53"/>
      <c r="XEN1375" s="53"/>
      <c r="XEO1375" s="53"/>
      <c r="XEP1375" s="53"/>
      <c r="XEQ1375" s="53"/>
      <c r="XER1375" s="53"/>
      <c r="XES1375" s="53"/>
      <c r="XET1375" s="53"/>
      <c r="XEU1375" s="53"/>
      <c r="XEV1375" s="53"/>
      <c r="XEW1375" s="53"/>
      <c r="XEX1375" s="53"/>
      <c r="XEY1375" s="53"/>
      <c r="XEZ1375" s="53"/>
      <c r="XFA1375" s="53"/>
      <c r="XFB1375" s="53"/>
    </row>
    <row r="1376" spans="1:16382" ht="11.25" customHeight="1" x14ac:dyDescent="0.15">
      <c r="A1376" s="130"/>
      <c r="B1376" s="130"/>
      <c r="C1376" s="124"/>
      <c r="D1376" s="124"/>
      <c r="E1376" s="273"/>
      <c r="F1376" s="124"/>
      <c r="G1376" s="124"/>
      <c r="H1376" s="124"/>
      <c r="I1376" s="124"/>
      <c r="J1376" s="124"/>
      <c r="K1376" s="125"/>
      <c r="L1376" s="129"/>
      <c r="M1376" s="129"/>
      <c r="N1376" s="129"/>
      <c r="O1376" s="128"/>
      <c r="P1376" s="129"/>
      <c r="Q1376" s="124"/>
      <c r="R1376" s="117"/>
      <c r="S1376" s="117"/>
      <c r="T1376" s="117"/>
      <c r="U1376" s="117"/>
      <c r="V1376" s="117"/>
      <c r="X1376" s="45"/>
      <c r="Y1376" s="128"/>
      <c r="Z1376" s="126"/>
      <c r="AA1376" s="128"/>
      <c r="AB1376" s="129"/>
      <c r="AC1376" s="160"/>
      <c r="AD1376" s="137"/>
      <c r="AE1376" s="110"/>
      <c r="AF1376" s="110"/>
      <c r="AG1376" s="121"/>
      <c r="AH1376" s="110"/>
      <c r="AI1376" s="110"/>
      <c r="AJ1376" s="110"/>
      <c r="AK1376" s="110"/>
      <c r="AL1376" s="110"/>
      <c r="AM1376" s="110"/>
      <c r="AN1376" s="110"/>
      <c r="AO1376" s="110"/>
      <c r="AP1376" s="110"/>
      <c r="AQ1376" s="110"/>
      <c r="AR1376" s="110"/>
      <c r="AS1376" s="110"/>
      <c r="AT1376" s="110"/>
      <c r="AU1376" s="110"/>
      <c r="AV1376" s="110"/>
      <c r="AW1376" s="110"/>
      <c r="AX1376" s="110"/>
      <c r="AY1376" s="110"/>
      <c r="AZ1376" s="110"/>
      <c r="BA1376" s="110"/>
      <c r="BB1376" s="110"/>
      <c r="BC1376" s="110"/>
      <c r="BD1376" s="110"/>
      <c r="BE1376" s="110"/>
      <c r="BF1376" s="110"/>
      <c r="BG1376" s="110"/>
      <c r="BH1376" s="110"/>
      <c r="BI1376" s="110"/>
      <c r="BJ1376" s="110"/>
      <c r="BK1376" s="110"/>
      <c r="BL1376" s="110"/>
      <c r="BM1376" s="110"/>
      <c r="BN1376" s="110"/>
      <c r="BO1376" s="110"/>
      <c r="BP1376" s="110"/>
      <c r="BQ1376" s="110"/>
      <c r="BR1376" s="110"/>
      <c r="BS1376" s="110"/>
      <c r="BT1376" s="110"/>
      <c r="BU1376" s="110"/>
      <c r="BV1376" s="110"/>
      <c r="BW1376" s="110"/>
      <c r="BX1376" s="110"/>
      <c r="BY1376" s="110"/>
      <c r="BZ1376" s="110"/>
      <c r="CA1376" s="110"/>
      <c r="CB1376" s="110"/>
      <c r="CC1376" s="110"/>
      <c r="CD1376" s="110"/>
      <c r="CE1376" s="110"/>
      <c r="CF1376" s="110"/>
      <c r="CG1376" s="110"/>
      <c r="CH1376" s="110"/>
      <c r="CI1376" s="110"/>
      <c r="CJ1376" s="110"/>
      <c r="CK1376" s="110"/>
      <c r="CL1376" s="110"/>
      <c r="CM1376" s="110"/>
      <c r="CN1376" s="110"/>
      <c r="CO1376" s="110"/>
      <c r="CP1376" s="110"/>
      <c r="CQ1376" s="110"/>
      <c r="CR1376" s="110"/>
      <c r="CS1376" s="110"/>
      <c r="CT1376" s="110"/>
      <c r="CU1376" s="110"/>
      <c r="CV1376" s="110"/>
      <c r="CW1376" s="110"/>
      <c r="CX1376" s="110"/>
      <c r="CY1376" s="110"/>
      <c r="CZ1376" s="110"/>
      <c r="DA1376" s="110"/>
      <c r="DB1376" s="110"/>
      <c r="DC1376" s="110"/>
      <c r="DD1376" s="110"/>
      <c r="DE1376" s="110"/>
      <c r="DF1376" s="110"/>
      <c r="DG1376" s="110"/>
      <c r="DH1376" s="110"/>
      <c r="DI1376" s="110"/>
      <c r="DJ1376" s="110"/>
      <c r="DK1376" s="110"/>
      <c r="DL1376" s="110"/>
      <c r="DM1376" s="110"/>
      <c r="DN1376" s="110"/>
      <c r="DO1376" s="110"/>
      <c r="DP1376" s="110"/>
      <c r="DQ1376" s="110"/>
      <c r="DR1376" s="110"/>
      <c r="DS1376" s="110"/>
      <c r="DT1376" s="110"/>
      <c r="DU1376" s="110"/>
      <c r="DV1376" s="110"/>
      <c r="DW1376" s="110"/>
      <c r="DX1376" s="110"/>
      <c r="DY1376" s="110"/>
      <c r="DZ1376" s="110"/>
      <c r="EA1376" s="110"/>
      <c r="EB1376" s="110"/>
      <c r="EC1376" s="110"/>
      <c r="ED1376" s="110"/>
      <c r="EE1376" s="110"/>
      <c r="EF1376" s="110"/>
      <c r="EG1376" s="110"/>
      <c r="EH1376" s="110"/>
      <c r="EI1376" s="110"/>
      <c r="EJ1376" s="110"/>
      <c r="EK1376" s="110"/>
      <c r="EL1376" s="110"/>
      <c r="EM1376" s="110"/>
      <c r="EN1376" s="110"/>
      <c r="EO1376" s="110"/>
      <c r="EP1376" s="110"/>
      <c r="EQ1376" s="110"/>
      <c r="ER1376" s="110"/>
      <c r="ES1376" s="110"/>
      <c r="ET1376" s="110"/>
      <c r="EU1376" s="110"/>
      <c r="EV1376" s="110"/>
      <c r="EW1376" s="110"/>
      <c r="EX1376" s="110"/>
      <c r="EY1376" s="110"/>
      <c r="EZ1376" s="110"/>
      <c r="FA1376" s="110"/>
      <c r="FB1376" s="110"/>
      <c r="FC1376" s="110"/>
      <c r="FD1376" s="110"/>
      <c r="FE1376" s="110"/>
      <c r="FF1376" s="110"/>
      <c r="FG1376" s="110"/>
      <c r="FH1376" s="110"/>
      <c r="FI1376" s="110"/>
      <c r="FJ1376" s="110"/>
      <c r="FK1376" s="110"/>
      <c r="FL1376" s="110"/>
      <c r="FM1376" s="110"/>
      <c r="FN1376" s="110"/>
      <c r="FO1376" s="110"/>
      <c r="FP1376" s="110"/>
      <c r="FQ1376" s="110"/>
      <c r="FR1376" s="110"/>
      <c r="FS1376" s="110"/>
      <c r="FT1376" s="110"/>
      <c r="FU1376" s="110"/>
      <c r="FV1376" s="110"/>
      <c r="FW1376" s="110"/>
      <c r="FX1376" s="110"/>
      <c r="FY1376" s="110"/>
      <c r="FZ1376" s="110"/>
      <c r="GA1376" s="110"/>
      <c r="GB1376" s="110"/>
      <c r="GC1376" s="110"/>
      <c r="GD1376" s="110"/>
      <c r="GE1376" s="110"/>
      <c r="GF1376" s="110"/>
      <c r="GG1376" s="110"/>
      <c r="GH1376" s="110"/>
      <c r="GI1376" s="110"/>
      <c r="GJ1376" s="110"/>
      <c r="GK1376" s="110"/>
      <c r="GL1376" s="110"/>
      <c r="GM1376" s="110"/>
      <c r="GN1376" s="110"/>
      <c r="GO1376" s="110"/>
      <c r="GP1376" s="110"/>
      <c r="GQ1376" s="110"/>
      <c r="GR1376" s="110"/>
      <c r="GS1376" s="110"/>
      <c r="GT1376" s="110"/>
      <c r="GU1376" s="110"/>
      <c r="GV1376" s="110"/>
      <c r="GW1376" s="110"/>
      <c r="GX1376" s="110"/>
      <c r="GY1376" s="110"/>
      <c r="GZ1376" s="110"/>
      <c r="HA1376" s="110"/>
      <c r="HB1376" s="110"/>
      <c r="HC1376" s="110"/>
      <c r="HD1376" s="110"/>
      <c r="HE1376" s="110"/>
      <c r="HF1376" s="110"/>
      <c r="HG1376" s="110"/>
      <c r="HH1376" s="110"/>
      <c r="HI1376" s="110"/>
      <c r="HJ1376" s="110"/>
      <c r="HK1376" s="110"/>
      <c r="HL1376" s="110"/>
      <c r="HM1376" s="110"/>
      <c r="HN1376" s="110"/>
      <c r="HO1376" s="110"/>
      <c r="HP1376" s="110"/>
      <c r="HQ1376" s="110"/>
      <c r="HR1376" s="110"/>
      <c r="HS1376" s="110"/>
      <c r="HT1376" s="110"/>
      <c r="HU1376" s="110"/>
      <c r="HV1376" s="110"/>
      <c r="HW1376" s="110"/>
      <c r="HX1376" s="110"/>
      <c r="HY1376" s="110"/>
      <c r="HZ1376" s="110"/>
      <c r="IA1376" s="110"/>
      <c r="IB1376" s="110"/>
      <c r="IC1376" s="110"/>
      <c r="ID1376" s="110"/>
      <c r="IE1376" s="110"/>
      <c r="IF1376" s="110"/>
      <c r="IG1376" s="110"/>
      <c r="IH1376" s="110"/>
      <c r="II1376" s="110"/>
      <c r="IJ1376" s="110"/>
      <c r="IK1376" s="110"/>
      <c r="IL1376" s="110"/>
      <c r="IM1376" s="110"/>
      <c r="IN1376" s="110"/>
      <c r="IO1376" s="110"/>
      <c r="IP1376" s="110"/>
      <c r="IQ1376" s="110"/>
      <c r="IR1376" s="110"/>
      <c r="IS1376" s="110"/>
      <c r="IT1376" s="110"/>
      <c r="IU1376" s="110"/>
      <c r="IV1376" s="110"/>
      <c r="IW1376" s="110"/>
      <c r="IX1376" s="110"/>
      <c r="IY1376" s="110"/>
      <c r="IZ1376" s="110"/>
      <c r="JA1376" s="110"/>
      <c r="JB1376" s="110"/>
      <c r="JC1376" s="110"/>
      <c r="JD1376" s="110"/>
      <c r="JE1376" s="110"/>
      <c r="JF1376" s="110"/>
      <c r="JG1376" s="110"/>
      <c r="JH1376" s="110"/>
      <c r="JI1376" s="110"/>
      <c r="JJ1376" s="110"/>
      <c r="JK1376" s="110"/>
      <c r="JL1376" s="110"/>
      <c r="JM1376" s="110"/>
      <c r="JN1376" s="110"/>
      <c r="JO1376" s="110"/>
      <c r="JP1376" s="110"/>
      <c r="JQ1376" s="110"/>
      <c r="JR1376" s="110"/>
      <c r="JS1376" s="110"/>
      <c r="JT1376" s="110"/>
      <c r="JU1376" s="110"/>
      <c r="JV1376" s="110"/>
      <c r="JW1376" s="110"/>
      <c r="JX1376" s="110"/>
      <c r="JY1376" s="110"/>
      <c r="JZ1376" s="110"/>
      <c r="KA1376" s="110"/>
      <c r="KB1376" s="110"/>
      <c r="KC1376" s="110"/>
      <c r="KD1376" s="110"/>
      <c r="KE1376" s="110"/>
      <c r="KF1376" s="110"/>
      <c r="KG1376" s="110"/>
      <c r="KH1376" s="110"/>
      <c r="KI1376" s="110"/>
      <c r="KJ1376" s="110"/>
      <c r="KK1376" s="110"/>
      <c r="KL1376" s="110"/>
      <c r="KM1376" s="110"/>
      <c r="KN1376" s="110"/>
      <c r="KO1376" s="110"/>
      <c r="KP1376" s="110"/>
      <c r="KQ1376" s="110"/>
      <c r="KR1376" s="110"/>
      <c r="KS1376" s="110"/>
      <c r="KT1376" s="110"/>
      <c r="KU1376" s="110"/>
      <c r="KV1376" s="110"/>
      <c r="KW1376" s="110"/>
      <c r="KX1376" s="110"/>
      <c r="KY1376" s="110"/>
      <c r="KZ1376" s="110"/>
      <c r="LA1376" s="110"/>
      <c r="LB1376" s="110"/>
      <c r="LC1376" s="110"/>
      <c r="LD1376" s="110"/>
      <c r="LE1376" s="110"/>
      <c r="LF1376" s="110"/>
      <c r="LG1376" s="110"/>
      <c r="LH1376" s="110"/>
      <c r="LI1376" s="110"/>
      <c r="LJ1376" s="110"/>
      <c r="LK1376" s="110"/>
      <c r="LL1376" s="110"/>
      <c r="LM1376" s="110"/>
      <c r="LN1376" s="110"/>
      <c r="LO1376" s="110"/>
      <c r="LP1376" s="110"/>
      <c r="LQ1376" s="110"/>
      <c r="LR1376" s="110"/>
      <c r="LS1376" s="110"/>
      <c r="LT1376" s="110"/>
      <c r="LU1376" s="110"/>
      <c r="LV1376" s="110"/>
      <c r="LW1376" s="110"/>
      <c r="LX1376" s="110"/>
      <c r="LY1376" s="110"/>
      <c r="LZ1376" s="110"/>
      <c r="MA1376" s="110"/>
      <c r="MB1376" s="110"/>
      <c r="MC1376" s="110"/>
      <c r="MD1376" s="110"/>
      <c r="ME1376" s="110"/>
      <c r="MF1376" s="110"/>
      <c r="MG1376" s="110"/>
      <c r="MH1376" s="110"/>
      <c r="MI1376" s="110"/>
      <c r="MJ1376" s="110"/>
      <c r="MK1376" s="110"/>
      <c r="ML1376" s="110"/>
      <c r="MM1376" s="110"/>
      <c r="MN1376" s="110"/>
      <c r="MO1376" s="110"/>
      <c r="MP1376" s="110"/>
      <c r="MQ1376" s="110"/>
      <c r="MR1376" s="110"/>
      <c r="MS1376" s="110"/>
      <c r="MT1376" s="110"/>
      <c r="MU1376" s="110"/>
      <c r="MV1376" s="110"/>
      <c r="MW1376" s="110"/>
      <c r="MX1376" s="110"/>
      <c r="MY1376" s="110"/>
      <c r="MZ1376" s="110"/>
      <c r="NA1376" s="110"/>
      <c r="NB1376" s="110"/>
      <c r="NC1376" s="110"/>
      <c r="ND1376" s="110"/>
      <c r="NE1376" s="110"/>
      <c r="NF1376" s="110"/>
      <c r="NG1376" s="110"/>
      <c r="NH1376" s="110"/>
      <c r="NI1376" s="110"/>
      <c r="NJ1376" s="110"/>
      <c r="NK1376" s="110"/>
      <c r="NL1376" s="110"/>
      <c r="NM1376" s="110"/>
      <c r="NN1376" s="110"/>
      <c r="NO1376" s="110"/>
      <c r="NP1376" s="110"/>
      <c r="NQ1376" s="110"/>
      <c r="NR1376" s="110"/>
      <c r="NS1376" s="110"/>
      <c r="NT1376" s="110"/>
      <c r="NU1376" s="110"/>
      <c r="NV1376" s="110"/>
      <c r="NW1376" s="110"/>
      <c r="NX1376" s="110"/>
      <c r="NY1376" s="110"/>
      <c r="NZ1376" s="110"/>
      <c r="OA1376" s="110"/>
      <c r="OB1376" s="110"/>
      <c r="OC1376" s="110"/>
      <c r="OD1376" s="110"/>
      <c r="OE1376" s="110"/>
      <c r="OF1376" s="110"/>
      <c r="OG1376" s="110"/>
      <c r="OH1376" s="110"/>
      <c r="OI1376" s="110"/>
      <c r="OJ1376" s="110"/>
      <c r="OK1376" s="110"/>
      <c r="OL1376" s="110"/>
      <c r="OM1376" s="110"/>
      <c r="ON1376" s="110"/>
      <c r="OO1376" s="110"/>
      <c r="OP1376" s="110"/>
      <c r="OQ1376" s="110"/>
      <c r="OR1376" s="110"/>
      <c r="OS1376" s="110"/>
      <c r="OT1376" s="110"/>
      <c r="OU1376" s="110"/>
      <c r="OV1376" s="110"/>
      <c r="OW1376" s="110"/>
      <c r="OX1376" s="110"/>
      <c r="OY1376" s="110"/>
      <c r="OZ1376" s="110"/>
      <c r="PA1376" s="110"/>
      <c r="PB1376" s="110"/>
      <c r="PC1376" s="110"/>
      <c r="PD1376" s="110"/>
      <c r="PE1376" s="110"/>
      <c r="PF1376" s="110"/>
      <c r="PG1376" s="110"/>
      <c r="PH1376" s="110"/>
      <c r="PI1376" s="110"/>
      <c r="PJ1376" s="110"/>
      <c r="PK1376" s="110"/>
      <c r="PL1376" s="110"/>
      <c r="PM1376" s="110"/>
      <c r="PN1376" s="110"/>
      <c r="PO1376" s="110"/>
      <c r="PP1376" s="110"/>
      <c r="PQ1376" s="110"/>
      <c r="PR1376" s="110"/>
      <c r="PS1376" s="110"/>
      <c r="PT1376" s="110"/>
      <c r="PU1376" s="110"/>
      <c r="PV1376" s="110"/>
      <c r="PW1376" s="110"/>
      <c r="PX1376" s="110"/>
      <c r="PY1376" s="110"/>
      <c r="PZ1376" s="110"/>
      <c r="QA1376" s="110"/>
      <c r="QB1376" s="110"/>
      <c r="QC1376" s="110"/>
      <c r="QD1376" s="110"/>
      <c r="QE1376" s="110"/>
      <c r="QF1376" s="110"/>
      <c r="QG1376" s="110"/>
      <c r="QH1376" s="110"/>
      <c r="QI1376" s="110"/>
      <c r="QJ1376" s="110"/>
      <c r="QK1376" s="110"/>
      <c r="QL1376" s="110"/>
      <c r="QM1376" s="110"/>
      <c r="QN1376" s="110"/>
      <c r="QO1376" s="110"/>
      <c r="QP1376" s="110"/>
      <c r="QQ1376" s="110"/>
      <c r="QR1376" s="110"/>
      <c r="QS1376" s="110"/>
      <c r="QT1376" s="110"/>
      <c r="QU1376" s="110"/>
      <c r="QV1376" s="110"/>
      <c r="QW1376" s="110"/>
      <c r="QX1376" s="110"/>
      <c r="QY1376" s="110"/>
      <c r="QZ1376" s="110"/>
      <c r="RA1376" s="110"/>
      <c r="RB1376" s="110"/>
      <c r="RC1376" s="110"/>
      <c r="RD1376" s="110"/>
      <c r="RE1376" s="110"/>
      <c r="RF1376" s="110"/>
      <c r="RG1376" s="110"/>
      <c r="RH1376" s="110"/>
      <c r="RI1376" s="110"/>
      <c r="RJ1376" s="110"/>
      <c r="RK1376" s="110"/>
      <c r="RL1376" s="110"/>
      <c r="RM1376" s="110"/>
      <c r="RN1376" s="110"/>
      <c r="RO1376" s="110"/>
      <c r="RP1376" s="110"/>
      <c r="RQ1376" s="110"/>
      <c r="RR1376" s="110"/>
      <c r="RS1376" s="110"/>
      <c r="RT1376" s="110"/>
      <c r="RU1376" s="110"/>
      <c r="RV1376" s="110"/>
      <c r="RW1376" s="110"/>
      <c r="RX1376" s="110"/>
      <c r="RY1376" s="110"/>
      <c r="RZ1376" s="110"/>
      <c r="SA1376" s="110"/>
      <c r="SB1376" s="110"/>
      <c r="SC1376" s="110"/>
      <c r="SD1376" s="110"/>
      <c r="SE1376" s="110"/>
      <c r="SF1376" s="110"/>
      <c r="SG1376" s="110"/>
      <c r="SH1376" s="110"/>
      <c r="SI1376" s="110"/>
      <c r="SJ1376" s="110"/>
      <c r="SK1376" s="110"/>
      <c r="SL1376" s="110"/>
      <c r="SM1376" s="110"/>
      <c r="SN1376" s="110"/>
      <c r="SO1376" s="110"/>
      <c r="SP1376" s="110"/>
      <c r="SQ1376" s="110"/>
      <c r="SR1376" s="110"/>
      <c r="SS1376" s="110"/>
      <c r="ST1376" s="110"/>
      <c r="SU1376" s="110"/>
      <c r="SV1376" s="110"/>
      <c r="SW1376" s="110"/>
      <c r="SX1376" s="110"/>
      <c r="SY1376" s="110"/>
      <c r="SZ1376" s="110"/>
      <c r="TA1376" s="110"/>
      <c r="TB1376" s="110"/>
      <c r="TC1376" s="110"/>
      <c r="TD1376" s="110"/>
      <c r="TE1376" s="110"/>
      <c r="TF1376" s="110"/>
      <c r="TG1376" s="110"/>
      <c r="TH1376" s="110"/>
      <c r="TI1376" s="110"/>
      <c r="TJ1376" s="110"/>
      <c r="TK1376" s="110"/>
      <c r="TL1376" s="110"/>
      <c r="TM1376" s="110"/>
      <c r="TN1376" s="110"/>
      <c r="TO1376" s="110"/>
      <c r="TP1376" s="110"/>
      <c r="TQ1376" s="110"/>
      <c r="TR1376" s="110"/>
      <c r="TS1376" s="110"/>
      <c r="TT1376" s="110"/>
      <c r="TU1376" s="110"/>
      <c r="TV1376" s="110"/>
      <c r="TW1376" s="110"/>
      <c r="TX1376" s="110"/>
      <c r="TY1376" s="110"/>
      <c r="TZ1376" s="110"/>
      <c r="UA1376" s="110"/>
      <c r="UB1376" s="110"/>
      <c r="UC1376" s="110"/>
      <c r="UD1376" s="110"/>
      <c r="UE1376" s="110"/>
      <c r="UF1376" s="110"/>
      <c r="UG1376" s="110"/>
      <c r="UH1376" s="110"/>
      <c r="UI1376" s="110"/>
      <c r="UJ1376" s="110"/>
      <c r="UK1376" s="110"/>
      <c r="UL1376" s="110"/>
      <c r="UM1376" s="110"/>
      <c r="UN1376" s="110"/>
      <c r="UO1376" s="110"/>
      <c r="UP1376" s="110"/>
      <c r="UQ1376" s="110"/>
      <c r="UR1376" s="110"/>
      <c r="US1376" s="110"/>
      <c r="UT1376" s="110"/>
      <c r="UU1376" s="110"/>
      <c r="UV1376" s="110"/>
      <c r="UW1376" s="110"/>
      <c r="UX1376" s="110"/>
      <c r="UY1376" s="110"/>
      <c r="UZ1376" s="110"/>
      <c r="VA1376" s="110"/>
      <c r="VB1376" s="110"/>
      <c r="VC1376" s="110"/>
      <c r="VD1376" s="110"/>
      <c r="VE1376" s="110"/>
      <c r="VF1376" s="110"/>
      <c r="VG1376" s="110"/>
      <c r="VH1376" s="110"/>
      <c r="VI1376" s="110"/>
      <c r="VJ1376" s="110"/>
      <c r="VK1376" s="110"/>
      <c r="VL1376" s="110"/>
      <c r="VM1376" s="110"/>
      <c r="VN1376" s="110"/>
      <c r="VO1376" s="110"/>
      <c r="VP1376" s="110"/>
      <c r="VQ1376" s="110"/>
      <c r="VR1376" s="110"/>
      <c r="VS1376" s="110"/>
      <c r="VT1376" s="110"/>
      <c r="VU1376" s="110"/>
      <c r="VV1376" s="110"/>
      <c r="VW1376" s="110"/>
      <c r="VX1376" s="110"/>
      <c r="VY1376" s="110"/>
      <c r="VZ1376" s="110"/>
      <c r="WA1376" s="110"/>
      <c r="WB1376" s="110"/>
      <c r="WC1376" s="110"/>
      <c r="WD1376" s="110"/>
      <c r="WE1376" s="110"/>
      <c r="WF1376" s="110"/>
      <c r="WG1376" s="110"/>
      <c r="WH1376" s="110"/>
      <c r="WI1376" s="110"/>
      <c r="WJ1376" s="110"/>
      <c r="WK1376" s="110"/>
      <c r="WL1376" s="110"/>
      <c r="WM1376" s="110"/>
      <c r="WN1376" s="110"/>
      <c r="WO1376" s="110"/>
      <c r="WP1376" s="110"/>
      <c r="WQ1376" s="110"/>
      <c r="WR1376" s="110"/>
      <c r="WS1376" s="110"/>
      <c r="WT1376" s="110"/>
      <c r="WU1376" s="110"/>
      <c r="WV1376" s="110"/>
      <c r="WW1376" s="110"/>
      <c r="WX1376" s="110"/>
      <c r="WY1376" s="110"/>
      <c r="WZ1376" s="110"/>
      <c r="XA1376" s="110"/>
      <c r="XB1376" s="110"/>
      <c r="XC1376" s="110"/>
      <c r="XD1376" s="110"/>
      <c r="XE1376" s="110"/>
      <c r="XF1376" s="110"/>
      <c r="XG1376" s="110"/>
      <c r="XH1376" s="110"/>
      <c r="XI1376" s="110"/>
      <c r="XJ1376" s="110"/>
      <c r="XK1376" s="110"/>
      <c r="XL1376" s="110"/>
      <c r="XM1376" s="110"/>
      <c r="XN1376" s="110"/>
      <c r="XO1376" s="110"/>
      <c r="XP1376" s="110"/>
      <c r="XQ1376" s="110"/>
      <c r="XR1376" s="110"/>
      <c r="XS1376" s="110"/>
      <c r="XT1376" s="110"/>
      <c r="XU1376" s="110"/>
      <c r="XV1376" s="110"/>
      <c r="XW1376" s="110"/>
      <c r="XX1376" s="110"/>
      <c r="XY1376" s="110"/>
      <c r="XZ1376" s="110"/>
      <c r="YA1376" s="110"/>
      <c r="YB1376" s="110"/>
      <c r="YC1376" s="110"/>
      <c r="YD1376" s="110"/>
      <c r="YE1376" s="110"/>
      <c r="YF1376" s="110"/>
      <c r="YG1376" s="110"/>
      <c r="YH1376" s="110"/>
      <c r="YI1376" s="110"/>
      <c r="YJ1376" s="110"/>
      <c r="YK1376" s="110"/>
      <c r="YL1376" s="110"/>
      <c r="YM1376" s="110"/>
      <c r="YN1376" s="110"/>
      <c r="YO1376" s="110"/>
      <c r="YP1376" s="110"/>
      <c r="YQ1376" s="110"/>
      <c r="YR1376" s="110"/>
      <c r="YS1376" s="110"/>
      <c r="YT1376" s="110"/>
      <c r="YU1376" s="110"/>
      <c r="YV1376" s="110"/>
      <c r="YW1376" s="110"/>
      <c r="YX1376" s="110"/>
      <c r="YY1376" s="110"/>
      <c r="YZ1376" s="110"/>
      <c r="ZA1376" s="110"/>
      <c r="ZB1376" s="110"/>
      <c r="ZC1376" s="110"/>
      <c r="ZD1376" s="110"/>
      <c r="ZE1376" s="110"/>
      <c r="ZF1376" s="110"/>
      <c r="ZG1376" s="110"/>
      <c r="ZH1376" s="110"/>
      <c r="ZI1376" s="110"/>
      <c r="ZJ1376" s="110"/>
      <c r="ZK1376" s="110"/>
      <c r="ZL1376" s="110"/>
      <c r="ZM1376" s="110"/>
      <c r="ZN1376" s="110"/>
      <c r="ZO1376" s="110"/>
      <c r="ZP1376" s="110"/>
      <c r="ZQ1376" s="110"/>
      <c r="ZR1376" s="110"/>
      <c r="ZS1376" s="110"/>
      <c r="ZT1376" s="110"/>
      <c r="ZU1376" s="110"/>
      <c r="ZV1376" s="110"/>
      <c r="ZW1376" s="110"/>
      <c r="ZX1376" s="110"/>
      <c r="ZY1376" s="110"/>
      <c r="ZZ1376" s="110"/>
      <c r="AAA1376" s="110"/>
      <c r="AAB1376" s="110"/>
      <c r="AAC1376" s="110"/>
      <c r="AAD1376" s="110"/>
      <c r="AAE1376" s="110"/>
      <c r="AAF1376" s="110"/>
      <c r="AAG1376" s="110"/>
      <c r="AAH1376" s="110"/>
      <c r="AAI1376" s="110"/>
      <c r="AAJ1376" s="110"/>
      <c r="AAK1376" s="110"/>
      <c r="AAL1376" s="110"/>
      <c r="AAM1376" s="110"/>
      <c r="AAN1376" s="110"/>
      <c r="AAO1376" s="110"/>
      <c r="AAP1376" s="110"/>
      <c r="AAQ1376" s="110"/>
      <c r="AAR1376" s="110"/>
      <c r="AAS1376" s="110"/>
      <c r="AAT1376" s="110"/>
      <c r="AAU1376" s="110"/>
      <c r="AAV1376" s="110"/>
      <c r="AAW1376" s="110"/>
      <c r="AAX1376" s="110"/>
      <c r="AAY1376" s="110"/>
      <c r="AAZ1376" s="110"/>
      <c r="ABA1376" s="110"/>
      <c r="ABB1376" s="110"/>
      <c r="ABC1376" s="110"/>
      <c r="ABD1376" s="110"/>
      <c r="ABE1376" s="110"/>
      <c r="ABF1376" s="110"/>
      <c r="ABG1376" s="110"/>
      <c r="ABH1376" s="110"/>
      <c r="ABI1376" s="110"/>
      <c r="ABJ1376" s="110"/>
      <c r="ABK1376" s="110"/>
      <c r="ABL1376" s="110"/>
      <c r="ABM1376" s="110"/>
      <c r="ABN1376" s="110"/>
      <c r="ABO1376" s="110"/>
      <c r="ABP1376" s="110"/>
      <c r="ABQ1376" s="110"/>
      <c r="ABR1376" s="110"/>
      <c r="ABS1376" s="110"/>
      <c r="ABT1376" s="110"/>
      <c r="ABU1376" s="110"/>
      <c r="ABV1376" s="110"/>
      <c r="ABW1376" s="110"/>
      <c r="ABX1376" s="110"/>
      <c r="ABY1376" s="110"/>
      <c r="ABZ1376" s="110"/>
      <c r="ACA1376" s="110"/>
      <c r="ACB1376" s="110"/>
      <c r="ACC1376" s="110"/>
      <c r="ACD1376" s="110"/>
      <c r="ACE1376" s="110"/>
      <c r="ACF1376" s="110"/>
      <c r="ACG1376" s="110"/>
      <c r="ACH1376" s="110"/>
      <c r="ACI1376" s="110"/>
      <c r="ACJ1376" s="110"/>
      <c r="ACK1376" s="110"/>
      <c r="ACL1376" s="110"/>
      <c r="ACM1376" s="110"/>
      <c r="ACN1376" s="110"/>
      <c r="ACO1376" s="110"/>
      <c r="ACP1376" s="110"/>
      <c r="ACQ1376" s="110"/>
      <c r="ACR1376" s="110"/>
      <c r="ACS1376" s="110"/>
      <c r="ACT1376" s="110"/>
      <c r="ACU1376" s="110"/>
      <c r="ACV1376" s="110"/>
      <c r="ACW1376" s="110"/>
      <c r="ACX1376" s="110"/>
      <c r="ACY1376" s="110"/>
      <c r="ACZ1376" s="110"/>
      <c r="ADA1376" s="110"/>
      <c r="ADB1376" s="110"/>
      <c r="ADC1376" s="110"/>
      <c r="ADD1376" s="110"/>
      <c r="ADE1376" s="110"/>
      <c r="ADF1376" s="110"/>
      <c r="ADG1376" s="110"/>
      <c r="ADH1376" s="110"/>
      <c r="ADI1376" s="110"/>
      <c r="ADJ1376" s="110"/>
      <c r="ADK1376" s="110"/>
      <c r="ADL1376" s="110"/>
      <c r="ADM1376" s="110"/>
      <c r="ADN1376" s="110"/>
      <c r="ADO1376" s="110"/>
      <c r="ADP1376" s="110"/>
      <c r="ADQ1376" s="110"/>
      <c r="ADR1376" s="110"/>
      <c r="ADS1376" s="110"/>
      <c r="ADT1376" s="110"/>
      <c r="ADU1376" s="110"/>
      <c r="ADV1376" s="110"/>
      <c r="ADW1376" s="110"/>
      <c r="ADX1376" s="110"/>
      <c r="ADY1376" s="110"/>
      <c r="ADZ1376" s="110"/>
      <c r="AEA1376" s="110"/>
      <c r="AEB1376" s="110"/>
      <c r="AEC1376" s="110"/>
      <c r="AED1376" s="110"/>
      <c r="AEE1376" s="110"/>
      <c r="AEF1376" s="110"/>
      <c r="AEG1376" s="110"/>
      <c r="AEH1376" s="110"/>
      <c r="AEI1376" s="110"/>
      <c r="AEJ1376" s="110"/>
      <c r="AEK1376" s="110"/>
      <c r="AEL1376" s="110"/>
      <c r="AEM1376" s="110"/>
      <c r="AEN1376" s="110"/>
      <c r="AEO1376" s="110"/>
      <c r="AEP1376" s="110"/>
      <c r="AEQ1376" s="110"/>
      <c r="AER1376" s="110"/>
      <c r="AES1376" s="110"/>
      <c r="AET1376" s="110"/>
      <c r="AEU1376" s="110"/>
      <c r="AEV1376" s="110"/>
      <c r="AEW1376" s="110"/>
      <c r="AEX1376" s="110"/>
      <c r="AEY1376" s="110"/>
      <c r="AEZ1376" s="110"/>
      <c r="AFA1376" s="110"/>
      <c r="AFB1376" s="110"/>
      <c r="AFC1376" s="110"/>
      <c r="AFD1376" s="110"/>
      <c r="AFE1376" s="110"/>
      <c r="AFF1376" s="110"/>
      <c r="AFG1376" s="110"/>
      <c r="AFH1376" s="110"/>
      <c r="AFI1376" s="110"/>
      <c r="AFJ1376" s="110"/>
      <c r="AFK1376" s="110"/>
      <c r="AFL1376" s="110"/>
      <c r="AFM1376" s="110"/>
      <c r="AFN1376" s="110"/>
      <c r="AFO1376" s="110"/>
      <c r="AFP1376" s="110"/>
      <c r="AFQ1376" s="110"/>
      <c r="AFR1376" s="110"/>
      <c r="AFS1376" s="110"/>
      <c r="AFT1376" s="110"/>
      <c r="AFU1376" s="110"/>
      <c r="AFV1376" s="110"/>
      <c r="AFW1376" s="110"/>
      <c r="AFX1376" s="110"/>
      <c r="AFY1376" s="110"/>
      <c r="AFZ1376" s="110"/>
      <c r="AGA1376" s="110"/>
      <c r="AGB1376" s="110"/>
      <c r="AGC1376" s="110"/>
      <c r="AGD1376" s="110"/>
      <c r="AGE1376" s="110"/>
      <c r="AGF1376" s="110"/>
      <c r="AGG1376" s="110"/>
      <c r="AGH1376" s="110"/>
      <c r="AGI1376" s="110"/>
      <c r="AGJ1376" s="110"/>
      <c r="AGK1376" s="110"/>
      <c r="AGL1376" s="110"/>
      <c r="AGM1376" s="110"/>
      <c r="AGN1376" s="110"/>
      <c r="AGO1376" s="110"/>
      <c r="AGP1376" s="110"/>
      <c r="AGQ1376" s="110"/>
      <c r="AGR1376" s="110"/>
      <c r="AGS1376" s="110"/>
      <c r="AGT1376" s="110"/>
      <c r="AGU1376" s="110"/>
      <c r="AGV1376" s="110"/>
      <c r="AGW1376" s="110"/>
      <c r="AGX1376" s="110"/>
      <c r="AGY1376" s="110"/>
      <c r="AGZ1376" s="110"/>
      <c r="AHA1376" s="110"/>
      <c r="AHB1376" s="110"/>
      <c r="AHC1376" s="110"/>
      <c r="AHD1376" s="110"/>
      <c r="AHE1376" s="110"/>
      <c r="AHF1376" s="110"/>
      <c r="AHG1376" s="110"/>
      <c r="AHH1376" s="110"/>
      <c r="AHI1376" s="110"/>
      <c r="AHJ1376" s="110"/>
      <c r="AHK1376" s="110"/>
      <c r="AHL1376" s="110"/>
      <c r="AHM1376" s="110"/>
      <c r="AHN1376" s="110"/>
      <c r="AHO1376" s="110"/>
      <c r="AHP1376" s="110"/>
      <c r="AHQ1376" s="110"/>
      <c r="AHR1376" s="110"/>
      <c r="AHS1376" s="110"/>
      <c r="AHT1376" s="110"/>
      <c r="AHU1376" s="110"/>
      <c r="AHV1376" s="110"/>
      <c r="AHW1376" s="110"/>
      <c r="AHX1376" s="110"/>
      <c r="AHY1376" s="110"/>
      <c r="AHZ1376" s="110"/>
      <c r="AIA1376" s="110"/>
      <c r="AIB1376" s="110"/>
      <c r="AIC1376" s="110"/>
      <c r="AID1376" s="110"/>
      <c r="AIE1376" s="110"/>
      <c r="AIF1376" s="110"/>
      <c r="AIG1376" s="110"/>
      <c r="AIH1376" s="110"/>
      <c r="AII1376" s="110"/>
      <c r="AIJ1376" s="110"/>
      <c r="AIK1376" s="110"/>
      <c r="AIL1376" s="110"/>
      <c r="AIM1376" s="110"/>
      <c r="AIN1376" s="110"/>
      <c r="AIO1376" s="110"/>
      <c r="AIP1376" s="110"/>
      <c r="AIQ1376" s="110"/>
      <c r="AIR1376" s="110"/>
      <c r="AIS1376" s="110"/>
      <c r="AIT1376" s="110"/>
      <c r="AIU1376" s="110"/>
      <c r="AIV1376" s="110"/>
      <c r="AIW1376" s="110"/>
      <c r="AIX1376" s="110"/>
      <c r="AIY1376" s="110"/>
      <c r="AIZ1376" s="110"/>
      <c r="AJA1376" s="110"/>
      <c r="AJB1376" s="110"/>
      <c r="AJC1376" s="110"/>
      <c r="AJD1376" s="110"/>
      <c r="AJE1376" s="110"/>
      <c r="AJF1376" s="110"/>
      <c r="AJG1376" s="110"/>
      <c r="AJH1376" s="110"/>
      <c r="AJI1376" s="110"/>
      <c r="AJJ1376" s="110"/>
      <c r="AJK1376" s="110"/>
      <c r="AJL1376" s="110"/>
      <c r="AJM1376" s="110"/>
      <c r="AJN1376" s="110"/>
      <c r="AJO1376" s="110"/>
      <c r="AJP1376" s="110"/>
      <c r="AJQ1376" s="110"/>
      <c r="AJR1376" s="110"/>
      <c r="AJS1376" s="110"/>
      <c r="AJT1376" s="110"/>
      <c r="AJU1376" s="110"/>
      <c r="AJV1376" s="110"/>
      <c r="AJW1376" s="110"/>
      <c r="AJX1376" s="110"/>
      <c r="AJY1376" s="110"/>
      <c r="AJZ1376" s="110"/>
      <c r="AKA1376" s="110"/>
      <c r="AKB1376" s="110"/>
      <c r="AKC1376" s="110"/>
      <c r="AKD1376" s="110"/>
      <c r="AKE1376" s="110"/>
      <c r="AKF1376" s="110"/>
      <c r="AKG1376" s="110"/>
      <c r="AKH1376" s="110"/>
      <c r="AKI1376" s="110"/>
      <c r="AKJ1376" s="110"/>
      <c r="AKK1376" s="110"/>
      <c r="AKL1376" s="110"/>
      <c r="AKM1376" s="110"/>
      <c r="AKN1376" s="110"/>
      <c r="AKO1376" s="110"/>
      <c r="AKP1376" s="110"/>
      <c r="AKQ1376" s="110"/>
      <c r="AKR1376" s="110"/>
      <c r="AKS1376" s="110"/>
      <c r="AKT1376" s="110"/>
      <c r="AKU1376" s="110"/>
      <c r="AKV1376" s="110"/>
      <c r="AKW1376" s="110"/>
      <c r="AKX1376" s="110"/>
      <c r="AKY1376" s="110"/>
      <c r="AKZ1376" s="110"/>
      <c r="ALA1376" s="110"/>
      <c r="ALB1376" s="110"/>
      <c r="ALC1376" s="110"/>
      <c r="ALD1376" s="110"/>
      <c r="ALE1376" s="110"/>
      <c r="ALF1376" s="110"/>
      <c r="ALG1376" s="110"/>
      <c r="ALH1376" s="110"/>
      <c r="ALI1376" s="110"/>
      <c r="ALJ1376" s="110"/>
      <c r="ALK1376" s="110"/>
      <c r="ALL1376" s="110"/>
      <c r="ALM1376" s="110"/>
      <c r="ALN1376" s="110"/>
      <c r="ALO1376" s="110"/>
      <c r="ALP1376" s="110"/>
      <c r="ALQ1376" s="110"/>
      <c r="ALR1376" s="110"/>
      <c r="ALS1376" s="110"/>
      <c r="ALT1376" s="110"/>
      <c r="ALU1376" s="110"/>
      <c r="ALV1376" s="110"/>
      <c r="ALW1376" s="110"/>
      <c r="ALX1376" s="110"/>
      <c r="ALY1376" s="110"/>
      <c r="ALZ1376" s="110"/>
      <c r="AMA1376" s="110"/>
      <c r="AMB1376" s="110"/>
      <c r="AMC1376" s="110"/>
      <c r="AMD1376" s="110"/>
      <c r="AME1376" s="110"/>
      <c r="AMF1376" s="110"/>
      <c r="AMG1376" s="110"/>
      <c r="AMH1376" s="110"/>
      <c r="AMI1376" s="110"/>
      <c r="AMJ1376" s="110"/>
      <c r="AMK1376" s="110"/>
      <c r="AML1376" s="110"/>
      <c r="AMM1376" s="110"/>
      <c r="AMN1376" s="110"/>
      <c r="AMO1376" s="110"/>
      <c r="AMP1376" s="110"/>
      <c r="AMQ1376" s="110"/>
      <c r="AMR1376" s="110"/>
      <c r="AMS1376" s="110"/>
      <c r="AMT1376" s="110"/>
      <c r="AMU1376" s="110"/>
      <c r="AMV1376" s="110"/>
      <c r="AMW1376" s="110"/>
      <c r="AMX1376" s="110"/>
      <c r="AMY1376" s="110"/>
      <c r="AMZ1376" s="110"/>
      <c r="ANA1376" s="110"/>
      <c r="ANB1376" s="110"/>
      <c r="ANC1376" s="110"/>
      <c r="AND1376" s="110"/>
      <c r="ANE1376" s="110"/>
      <c r="ANF1376" s="110"/>
      <c r="ANG1376" s="110"/>
      <c r="ANH1376" s="110"/>
      <c r="ANI1376" s="110"/>
      <c r="ANJ1376" s="110"/>
      <c r="ANK1376" s="110"/>
      <c r="ANL1376" s="110"/>
      <c r="ANM1376" s="110"/>
      <c r="ANN1376" s="110"/>
      <c r="ANO1376" s="110"/>
      <c r="ANP1376" s="110"/>
      <c r="ANQ1376" s="110"/>
      <c r="ANR1376" s="110"/>
      <c r="ANS1376" s="110"/>
      <c r="ANT1376" s="110"/>
      <c r="ANU1376" s="110"/>
      <c r="ANV1376" s="110"/>
      <c r="ANW1376" s="110"/>
      <c r="ANX1376" s="110"/>
      <c r="ANY1376" s="110"/>
      <c r="ANZ1376" s="110"/>
      <c r="AOA1376" s="110"/>
      <c r="AOB1376" s="110"/>
      <c r="AOC1376" s="110"/>
      <c r="AOD1376" s="110"/>
      <c r="AOE1376" s="110"/>
      <c r="AOF1376" s="110"/>
      <c r="AOG1376" s="110"/>
      <c r="AOH1376" s="110"/>
      <c r="AOI1376" s="110"/>
      <c r="AOJ1376" s="110"/>
      <c r="AOK1376" s="110"/>
      <c r="AOL1376" s="110"/>
      <c r="AOM1376" s="110"/>
      <c r="AON1376" s="110"/>
      <c r="AOO1376" s="110"/>
      <c r="AOP1376" s="110"/>
      <c r="AOQ1376" s="110"/>
      <c r="AOR1376" s="110"/>
      <c r="AOS1376" s="110"/>
      <c r="AOT1376" s="110"/>
      <c r="AOU1376" s="110"/>
      <c r="AOV1376" s="110"/>
      <c r="AOW1376" s="110"/>
      <c r="AOX1376" s="110"/>
      <c r="AOY1376" s="110"/>
      <c r="AOZ1376" s="110"/>
      <c r="APA1376" s="110"/>
      <c r="APB1376" s="110"/>
      <c r="APC1376" s="110"/>
      <c r="APD1376" s="110"/>
      <c r="APE1376" s="110"/>
      <c r="APF1376" s="110"/>
      <c r="APG1376" s="110"/>
      <c r="APH1376" s="110"/>
      <c r="API1376" s="110"/>
      <c r="APJ1376" s="110"/>
      <c r="APK1376" s="110"/>
      <c r="APL1376" s="110"/>
      <c r="APM1376" s="110"/>
      <c r="APN1376" s="110"/>
      <c r="APO1376" s="110"/>
      <c r="APP1376" s="110"/>
      <c r="APQ1376" s="110"/>
      <c r="APR1376" s="110"/>
      <c r="APS1376" s="110"/>
      <c r="APT1376" s="110"/>
      <c r="APU1376" s="110"/>
      <c r="APV1376" s="110"/>
      <c r="APW1376" s="110"/>
      <c r="APX1376" s="110"/>
      <c r="APY1376" s="110"/>
      <c r="APZ1376" s="110"/>
      <c r="AQA1376" s="110"/>
      <c r="AQB1376" s="110"/>
      <c r="AQC1376" s="110"/>
      <c r="AQD1376" s="110"/>
      <c r="AQE1376" s="110"/>
      <c r="AQF1376" s="110"/>
      <c r="AQG1376" s="110"/>
      <c r="AQH1376" s="110"/>
      <c r="AQI1376" s="110"/>
      <c r="AQJ1376" s="110"/>
      <c r="AQK1376" s="110"/>
      <c r="AQL1376" s="110"/>
      <c r="AQM1376" s="110"/>
      <c r="AQN1376" s="110"/>
      <c r="AQO1376" s="110"/>
      <c r="AQP1376" s="110"/>
      <c r="AQQ1376" s="110"/>
      <c r="AQR1376" s="110"/>
      <c r="AQS1376" s="110"/>
      <c r="AQT1376" s="110"/>
      <c r="AQU1376" s="110"/>
      <c r="AQV1376" s="110"/>
      <c r="AQW1376" s="110"/>
      <c r="AQX1376" s="110"/>
      <c r="AQY1376" s="110"/>
      <c r="AQZ1376" s="110"/>
      <c r="ARA1376" s="110"/>
      <c r="ARB1376" s="110"/>
      <c r="ARC1376" s="110"/>
      <c r="ARD1376" s="110"/>
      <c r="ARE1376" s="110"/>
      <c r="ARF1376" s="110"/>
      <c r="ARG1376" s="110"/>
      <c r="ARH1376" s="110"/>
      <c r="ARI1376" s="110"/>
      <c r="ARJ1376" s="110"/>
      <c r="ARK1376" s="110"/>
      <c r="ARL1376" s="110"/>
      <c r="ARM1376" s="110"/>
      <c r="ARN1376" s="110"/>
      <c r="ARO1376" s="110"/>
      <c r="ARP1376" s="110"/>
      <c r="ARQ1376" s="110"/>
      <c r="ARR1376" s="110"/>
      <c r="ARS1376" s="110"/>
      <c r="ART1376" s="110"/>
      <c r="ARU1376" s="110"/>
      <c r="ARV1376" s="110"/>
      <c r="ARW1376" s="110"/>
      <c r="ARX1376" s="110"/>
      <c r="ARY1376" s="110"/>
      <c r="ARZ1376" s="110"/>
      <c r="ASA1376" s="110"/>
      <c r="ASB1376" s="110"/>
      <c r="ASC1376" s="110"/>
      <c r="ASD1376" s="110"/>
      <c r="ASE1376" s="110"/>
      <c r="ASF1376" s="110"/>
      <c r="ASG1376" s="110"/>
      <c r="ASH1376" s="110"/>
      <c r="ASI1376" s="110"/>
      <c r="ASJ1376" s="110"/>
      <c r="ASK1376" s="110"/>
      <c r="ASL1376" s="110"/>
      <c r="ASM1376" s="110"/>
      <c r="ASN1376" s="110"/>
      <c r="ASO1376" s="110"/>
      <c r="ASP1376" s="110"/>
      <c r="ASQ1376" s="110"/>
      <c r="ASR1376" s="110"/>
      <c r="ASS1376" s="110"/>
      <c r="AST1376" s="110"/>
      <c r="ASU1376" s="110"/>
      <c r="ASV1376" s="110"/>
      <c r="ASW1376" s="110"/>
      <c r="ASX1376" s="110"/>
      <c r="ASY1376" s="110"/>
      <c r="ASZ1376" s="110"/>
      <c r="ATA1376" s="110"/>
      <c r="ATB1376" s="110"/>
      <c r="ATC1376" s="110"/>
      <c r="ATD1376" s="110"/>
      <c r="ATE1376" s="110"/>
      <c r="ATF1376" s="110"/>
      <c r="ATG1376" s="110"/>
      <c r="ATH1376" s="110"/>
      <c r="ATI1376" s="110"/>
      <c r="ATJ1376" s="110"/>
      <c r="ATK1376" s="110"/>
      <c r="ATL1376" s="110"/>
      <c r="ATM1376" s="110"/>
      <c r="ATN1376" s="110"/>
      <c r="ATO1376" s="110"/>
      <c r="ATP1376" s="110"/>
      <c r="ATQ1376" s="110"/>
      <c r="ATR1376" s="110"/>
      <c r="ATS1376" s="110"/>
      <c r="ATT1376" s="110"/>
      <c r="ATU1376" s="110"/>
      <c r="ATV1376" s="110"/>
      <c r="ATW1376" s="110"/>
      <c r="ATX1376" s="110"/>
      <c r="ATY1376" s="110"/>
      <c r="ATZ1376" s="110"/>
      <c r="AUA1376" s="110"/>
      <c r="AUB1376" s="110"/>
      <c r="AUC1376" s="110"/>
      <c r="AUD1376" s="110"/>
      <c r="AUE1376" s="110"/>
      <c r="AUF1376" s="110"/>
      <c r="AUG1376" s="110"/>
      <c r="AUH1376" s="110"/>
      <c r="AUI1376" s="110"/>
      <c r="AUJ1376" s="110"/>
      <c r="AUK1376" s="110"/>
      <c r="AUL1376" s="110"/>
      <c r="AUM1376" s="110"/>
      <c r="AUN1376" s="110"/>
      <c r="AUO1376" s="110"/>
      <c r="AUP1376" s="110"/>
      <c r="AUQ1376" s="110"/>
      <c r="AUR1376" s="110"/>
      <c r="AUS1376" s="110"/>
      <c r="AUT1376" s="110"/>
      <c r="AUU1376" s="110"/>
      <c r="AUV1376" s="110"/>
      <c r="AUW1376" s="110"/>
      <c r="AUX1376" s="110"/>
      <c r="AUY1376" s="110"/>
      <c r="AUZ1376" s="110"/>
      <c r="AVA1376" s="110"/>
      <c r="AVB1376" s="110"/>
      <c r="AVC1376" s="110"/>
      <c r="AVD1376" s="110"/>
      <c r="AVE1376" s="110"/>
      <c r="AVF1376" s="110"/>
      <c r="AVG1376" s="110"/>
      <c r="AVH1376" s="110"/>
      <c r="AVI1376" s="110"/>
      <c r="AVJ1376" s="110"/>
      <c r="AVK1376" s="110"/>
      <c r="AVL1376" s="110"/>
      <c r="AVM1376" s="110"/>
      <c r="AVN1376" s="110"/>
      <c r="AVO1376" s="110"/>
      <c r="AVP1376" s="110"/>
      <c r="AVQ1376" s="110"/>
      <c r="AVR1376" s="110"/>
      <c r="AVS1376" s="110"/>
      <c r="AVT1376" s="110"/>
      <c r="AVU1376" s="110"/>
      <c r="AVV1376" s="110"/>
      <c r="AVW1376" s="110"/>
      <c r="AVX1376" s="110"/>
      <c r="AVY1376" s="110"/>
      <c r="AVZ1376" s="110"/>
      <c r="AWA1376" s="110"/>
      <c r="AWB1376" s="110"/>
      <c r="AWC1376" s="110"/>
      <c r="AWD1376" s="110"/>
      <c r="AWE1376" s="110"/>
      <c r="AWF1376" s="110"/>
      <c r="AWG1376" s="110"/>
      <c r="AWH1376" s="110"/>
      <c r="AWI1376" s="110"/>
      <c r="AWJ1376" s="110"/>
      <c r="AWK1376" s="110"/>
      <c r="AWL1376" s="110"/>
      <c r="AWM1376" s="110"/>
      <c r="AWN1376" s="110"/>
      <c r="AWO1376" s="110"/>
      <c r="AWP1376" s="110"/>
      <c r="AWQ1376" s="110"/>
      <c r="AWR1376" s="110"/>
      <c r="AWS1376" s="110"/>
      <c r="AWT1376" s="110"/>
      <c r="AWU1376" s="110"/>
      <c r="AWV1376" s="110"/>
      <c r="AWW1376" s="110"/>
      <c r="AWX1376" s="110"/>
      <c r="AWY1376" s="110"/>
      <c r="AWZ1376" s="110"/>
      <c r="AXA1376" s="110"/>
      <c r="AXB1376" s="110"/>
      <c r="AXC1376" s="110"/>
      <c r="AXD1376" s="110"/>
      <c r="AXE1376" s="110"/>
      <c r="AXF1376" s="110"/>
      <c r="AXG1376" s="110"/>
      <c r="AXH1376" s="110"/>
      <c r="AXI1376" s="110"/>
      <c r="AXJ1376" s="110"/>
      <c r="AXK1376" s="110"/>
      <c r="AXL1376" s="110"/>
      <c r="AXM1376" s="110"/>
      <c r="AXN1376" s="110"/>
      <c r="AXO1376" s="110"/>
      <c r="AXP1376" s="110"/>
      <c r="AXQ1376" s="110"/>
      <c r="AXR1376" s="110"/>
      <c r="AXS1376" s="110"/>
      <c r="AXT1376" s="110"/>
      <c r="AXU1376" s="110"/>
      <c r="AXV1376" s="110"/>
      <c r="AXW1376" s="110"/>
      <c r="AXX1376" s="110"/>
      <c r="AXY1376" s="110"/>
      <c r="AXZ1376" s="110"/>
      <c r="AYA1376" s="110"/>
      <c r="AYB1376" s="110"/>
      <c r="AYC1376" s="110"/>
      <c r="AYD1376" s="110"/>
      <c r="AYE1376" s="110"/>
      <c r="AYF1376" s="110"/>
      <c r="AYG1376" s="110"/>
      <c r="AYH1376" s="110"/>
      <c r="AYI1376" s="110"/>
      <c r="AYJ1376" s="110"/>
      <c r="AYK1376" s="110"/>
      <c r="AYL1376" s="110"/>
      <c r="AYM1376" s="110"/>
      <c r="AYN1376" s="110"/>
      <c r="AYO1376" s="110"/>
      <c r="AYP1376" s="110"/>
      <c r="AYQ1376" s="110"/>
      <c r="AYR1376" s="110"/>
      <c r="AYS1376" s="110"/>
      <c r="AYT1376" s="110"/>
      <c r="AYU1376" s="110"/>
      <c r="AYV1376" s="110"/>
      <c r="AYW1376" s="110"/>
      <c r="AYX1376" s="110"/>
      <c r="AYY1376" s="110"/>
      <c r="AYZ1376" s="110"/>
      <c r="AZA1376" s="110"/>
      <c r="AZB1376" s="110"/>
      <c r="AZC1376" s="110"/>
      <c r="AZD1376" s="110"/>
      <c r="AZE1376" s="110"/>
      <c r="AZF1376" s="110"/>
      <c r="AZG1376" s="110"/>
      <c r="AZH1376" s="110"/>
      <c r="AZI1376" s="110"/>
      <c r="AZJ1376" s="110"/>
      <c r="AZK1376" s="110"/>
      <c r="AZL1376" s="110"/>
      <c r="AZM1376" s="110"/>
      <c r="AZN1376" s="110"/>
      <c r="AZO1376" s="110"/>
      <c r="AZP1376" s="110"/>
      <c r="AZQ1376" s="110"/>
      <c r="AZR1376" s="110"/>
      <c r="AZS1376" s="110"/>
      <c r="AZT1376" s="110"/>
      <c r="AZU1376" s="110"/>
      <c r="AZV1376" s="110"/>
      <c r="AZW1376" s="110"/>
      <c r="AZX1376" s="110"/>
      <c r="AZY1376" s="110"/>
      <c r="AZZ1376" s="110"/>
      <c r="BAA1376" s="110"/>
      <c r="BAB1376" s="110"/>
      <c r="BAC1376" s="110"/>
      <c r="BAD1376" s="110"/>
      <c r="BAE1376" s="110"/>
      <c r="BAF1376" s="110"/>
      <c r="BAG1376" s="110"/>
      <c r="BAH1376" s="110"/>
      <c r="BAI1376" s="110"/>
      <c r="BAJ1376" s="110"/>
      <c r="BAK1376" s="110"/>
      <c r="BAL1376" s="110"/>
      <c r="BAM1376" s="110"/>
      <c r="BAN1376" s="110"/>
      <c r="BAO1376" s="110"/>
      <c r="BAP1376" s="110"/>
      <c r="BAQ1376" s="110"/>
      <c r="BAR1376" s="110"/>
      <c r="BAS1376" s="110"/>
      <c r="BAT1376" s="110"/>
      <c r="BAU1376" s="110"/>
      <c r="BAV1376" s="110"/>
      <c r="BAW1376" s="110"/>
      <c r="BAX1376" s="110"/>
      <c r="BAY1376" s="110"/>
      <c r="BAZ1376" s="110"/>
      <c r="BBA1376" s="110"/>
      <c r="BBB1376" s="110"/>
      <c r="BBC1376" s="110"/>
      <c r="BBD1376" s="110"/>
      <c r="BBE1376" s="110"/>
      <c r="BBF1376" s="110"/>
      <c r="BBG1376" s="110"/>
      <c r="BBH1376" s="110"/>
      <c r="BBI1376" s="110"/>
      <c r="BBJ1376" s="110"/>
      <c r="BBK1376" s="110"/>
      <c r="BBL1376" s="110"/>
      <c r="BBM1376" s="110"/>
      <c r="BBN1376" s="110"/>
      <c r="BBO1376" s="110"/>
      <c r="BBP1376" s="110"/>
      <c r="BBQ1376" s="110"/>
      <c r="BBR1376" s="110"/>
      <c r="BBS1376" s="110"/>
      <c r="BBT1376" s="110"/>
      <c r="BBU1376" s="110"/>
      <c r="BBV1376" s="110"/>
      <c r="BBW1376" s="110"/>
      <c r="BBX1376" s="110"/>
      <c r="BBY1376" s="110"/>
      <c r="BBZ1376" s="110"/>
      <c r="BCA1376" s="110"/>
      <c r="BCB1376" s="110"/>
      <c r="BCC1376" s="110"/>
      <c r="BCD1376" s="110"/>
      <c r="BCE1376" s="110"/>
      <c r="BCF1376" s="110"/>
      <c r="BCG1376" s="110"/>
      <c r="BCH1376" s="110"/>
      <c r="BCI1376" s="110"/>
      <c r="BCJ1376" s="110"/>
      <c r="BCK1376" s="110"/>
      <c r="BCL1376" s="110"/>
      <c r="BCM1376" s="110"/>
      <c r="BCN1376" s="110"/>
      <c r="BCO1376" s="110"/>
      <c r="BCP1376" s="110"/>
      <c r="BCQ1376" s="110"/>
      <c r="BCR1376" s="110"/>
      <c r="BCS1376" s="110"/>
      <c r="BCT1376" s="110"/>
      <c r="BCU1376" s="110"/>
      <c r="BCV1376" s="110"/>
      <c r="BCW1376" s="110"/>
      <c r="BCX1376" s="110"/>
      <c r="BCY1376" s="110"/>
      <c r="BCZ1376" s="110"/>
      <c r="BDA1376" s="110"/>
      <c r="BDB1376" s="110"/>
      <c r="BDC1376" s="110"/>
      <c r="BDD1376" s="110"/>
      <c r="BDE1376" s="110"/>
      <c r="BDF1376" s="110"/>
      <c r="BDG1376" s="110"/>
      <c r="BDH1376" s="110"/>
      <c r="BDI1376" s="110"/>
      <c r="BDJ1376" s="110"/>
      <c r="BDK1376" s="110"/>
      <c r="BDL1376" s="110"/>
      <c r="BDM1376" s="110"/>
      <c r="BDN1376" s="110"/>
      <c r="BDO1376" s="110"/>
      <c r="BDP1376" s="110"/>
      <c r="BDQ1376" s="110"/>
      <c r="BDR1376" s="110"/>
      <c r="BDS1376" s="110"/>
      <c r="BDT1376" s="110"/>
      <c r="BDU1376" s="110"/>
      <c r="BDV1376" s="110"/>
      <c r="BDW1376" s="110"/>
      <c r="BDX1376" s="110"/>
      <c r="BDY1376" s="110"/>
      <c r="BDZ1376" s="110"/>
      <c r="BEA1376" s="110"/>
      <c r="BEB1376" s="110"/>
      <c r="BEC1376" s="110"/>
      <c r="BED1376" s="110"/>
      <c r="BEE1376" s="110"/>
      <c r="BEF1376" s="110"/>
      <c r="BEG1376" s="110"/>
      <c r="BEH1376" s="110"/>
      <c r="BEI1376" s="110"/>
      <c r="BEJ1376" s="110"/>
      <c r="BEK1376" s="110"/>
      <c r="BEL1376" s="110"/>
      <c r="BEM1376" s="110"/>
      <c r="BEN1376" s="110"/>
      <c r="BEO1376" s="110"/>
      <c r="BEP1376" s="110"/>
      <c r="BEQ1376" s="110"/>
      <c r="BER1376" s="110"/>
      <c r="BES1376" s="110"/>
      <c r="BET1376" s="110"/>
      <c r="BEU1376" s="110"/>
      <c r="BEV1376" s="110"/>
      <c r="BEW1376" s="110"/>
      <c r="BEX1376" s="110"/>
      <c r="BEY1376" s="110"/>
      <c r="BEZ1376" s="110"/>
      <c r="BFA1376" s="110"/>
      <c r="BFB1376" s="110"/>
      <c r="BFC1376" s="110"/>
      <c r="BFD1376" s="110"/>
      <c r="BFE1376" s="110"/>
      <c r="BFF1376" s="110"/>
      <c r="BFG1376" s="110"/>
      <c r="BFH1376" s="110"/>
      <c r="BFI1376" s="110"/>
      <c r="BFJ1376" s="110"/>
      <c r="BFK1376" s="110"/>
      <c r="BFL1376" s="110"/>
      <c r="BFM1376" s="110"/>
      <c r="BFN1376" s="110"/>
      <c r="BFO1376" s="110"/>
      <c r="BFP1376" s="110"/>
      <c r="BFQ1376" s="110"/>
      <c r="BFR1376" s="110"/>
      <c r="BFS1376" s="110"/>
      <c r="BFT1376" s="110"/>
      <c r="BFU1376" s="110"/>
      <c r="BFV1376" s="110"/>
      <c r="BFW1376" s="110"/>
      <c r="BFX1376" s="110"/>
      <c r="BFY1376" s="110"/>
      <c r="BFZ1376" s="110"/>
      <c r="BGA1376" s="110"/>
      <c r="BGB1376" s="110"/>
      <c r="BGC1376" s="110"/>
      <c r="BGD1376" s="110"/>
      <c r="BGE1376" s="110"/>
      <c r="BGF1376" s="110"/>
      <c r="BGG1376" s="110"/>
      <c r="BGH1376" s="110"/>
      <c r="BGI1376" s="110"/>
      <c r="BGJ1376" s="110"/>
      <c r="BGK1376" s="110"/>
      <c r="BGL1376" s="110"/>
      <c r="BGM1376" s="110"/>
      <c r="BGN1376" s="110"/>
      <c r="BGO1376" s="110"/>
      <c r="BGP1376" s="110"/>
      <c r="BGQ1376" s="110"/>
      <c r="BGR1376" s="110"/>
      <c r="BGS1376" s="110"/>
      <c r="BGT1376" s="110"/>
      <c r="BGU1376" s="110"/>
      <c r="BGV1376" s="110"/>
      <c r="BGW1376" s="110"/>
      <c r="BGX1376" s="110"/>
      <c r="BGY1376" s="110"/>
      <c r="BGZ1376" s="110"/>
      <c r="BHA1376" s="110"/>
      <c r="BHB1376" s="110"/>
      <c r="BHC1376" s="110"/>
      <c r="BHD1376" s="110"/>
      <c r="BHE1376" s="110"/>
      <c r="BHF1376" s="110"/>
      <c r="BHG1376" s="110"/>
      <c r="BHH1376" s="110"/>
      <c r="BHI1376" s="110"/>
      <c r="BHJ1376" s="110"/>
      <c r="BHK1376" s="110"/>
      <c r="BHL1376" s="110"/>
      <c r="BHM1376" s="110"/>
      <c r="BHN1376" s="110"/>
      <c r="BHO1376" s="110"/>
      <c r="BHP1376" s="110"/>
      <c r="BHQ1376" s="110"/>
      <c r="BHR1376" s="110"/>
      <c r="BHS1376" s="110"/>
      <c r="BHT1376" s="110"/>
      <c r="BHU1376" s="110"/>
      <c r="BHV1376" s="110"/>
      <c r="BHW1376" s="110"/>
      <c r="BHX1376" s="110"/>
      <c r="BHY1376" s="110"/>
      <c r="BHZ1376" s="110"/>
      <c r="BIA1376" s="110"/>
      <c r="BIB1376" s="110"/>
      <c r="BIC1376" s="110"/>
      <c r="BID1376" s="110"/>
      <c r="BIE1376" s="110"/>
      <c r="BIF1376" s="110"/>
      <c r="BIG1376" s="110"/>
      <c r="BIH1376" s="110"/>
      <c r="BII1376" s="110"/>
      <c r="BIJ1376" s="110"/>
      <c r="BIK1376" s="110"/>
      <c r="BIL1376" s="110"/>
      <c r="BIM1376" s="110"/>
      <c r="BIN1376" s="110"/>
      <c r="BIO1376" s="110"/>
      <c r="BIP1376" s="110"/>
      <c r="BIQ1376" s="110"/>
      <c r="BIR1376" s="110"/>
      <c r="BIS1376" s="110"/>
      <c r="BIT1376" s="110"/>
      <c r="BIU1376" s="110"/>
      <c r="BIV1376" s="110"/>
      <c r="BIW1376" s="110"/>
      <c r="BIX1376" s="110"/>
      <c r="BIY1376" s="110"/>
      <c r="BIZ1376" s="110"/>
      <c r="BJA1376" s="110"/>
      <c r="BJB1376" s="110"/>
      <c r="BJC1376" s="110"/>
      <c r="BJD1376" s="110"/>
      <c r="BJE1376" s="110"/>
      <c r="BJF1376" s="110"/>
      <c r="BJG1376" s="110"/>
      <c r="BJH1376" s="110"/>
      <c r="BJI1376" s="110"/>
      <c r="BJJ1376" s="110"/>
      <c r="BJK1376" s="110"/>
      <c r="BJL1376" s="110"/>
      <c r="BJM1376" s="110"/>
      <c r="BJN1376" s="110"/>
      <c r="BJO1376" s="110"/>
      <c r="BJP1376" s="110"/>
      <c r="BJQ1376" s="110"/>
      <c r="BJR1376" s="110"/>
      <c r="BJS1376" s="110"/>
      <c r="BJT1376" s="110"/>
      <c r="BJU1376" s="110"/>
      <c r="BJV1376" s="110"/>
      <c r="BJW1376" s="110"/>
      <c r="BJX1376" s="110"/>
      <c r="BJY1376" s="110"/>
      <c r="BJZ1376" s="110"/>
      <c r="BKA1376" s="110"/>
      <c r="BKB1376" s="110"/>
      <c r="BKC1376" s="110"/>
      <c r="BKD1376" s="110"/>
      <c r="BKE1376" s="110"/>
      <c r="BKF1376" s="110"/>
      <c r="BKG1376" s="110"/>
      <c r="BKH1376" s="110"/>
      <c r="BKI1376" s="110"/>
      <c r="BKJ1376" s="110"/>
      <c r="BKK1376" s="110"/>
      <c r="BKL1376" s="110"/>
      <c r="BKM1376" s="110"/>
      <c r="BKN1376" s="110"/>
      <c r="BKO1376" s="110"/>
      <c r="BKP1376" s="110"/>
      <c r="BKQ1376" s="110"/>
      <c r="BKR1376" s="110"/>
      <c r="BKS1376" s="110"/>
      <c r="BKT1376" s="110"/>
      <c r="BKU1376" s="110"/>
      <c r="BKV1376" s="110"/>
      <c r="BKW1376" s="110"/>
      <c r="BKX1376" s="110"/>
      <c r="BKY1376" s="110"/>
      <c r="BKZ1376" s="110"/>
      <c r="BLA1376" s="110"/>
      <c r="BLB1376" s="110"/>
      <c r="BLC1376" s="110"/>
      <c r="BLD1376" s="110"/>
      <c r="BLE1376" s="110"/>
      <c r="BLF1376" s="110"/>
      <c r="BLG1376" s="110"/>
      <c r="BLH1376" s="110"/>
      <c r="BLI1376" s="110"/>
      <c r="BLJ1376" s="110"/>
      <c r="BLK1376" s="110"/>
      <c r="BLL1376" s="110"/>
      <c r="BLM1376" s="110"/>
      <c r="BLN1376" s="110"/>
      <c r="BLO1376" s="110"/>
      <c r="BLP1376" s="110"/>
      <c r="BLQ1376" s="110"/>
      <c r="BLR1376" s="110"/>
      <c r="BLS1376" s="110"/>
      <c r="BLT1376" s="110"/>
      <c r="BLU1376" s="110"/>
      <c r="BLV1376" s="110"/>
      <c r="BLW1376" s="110"/>
      <c r="BLX1376" s="110"/>
      <c r="BLY1376" s="110"/>
      <c r="BLZ1376" s="110"/>
      <c r="BMA1376" s="110"/>
      <c r="BMB1376" s="110"/>
      <c r="BMC1376" s="110"/>
      <c r="BMD1376" s="110"/>
      <c r="BME1376" s="110"/>
      <c r="BMF1376" s="110"/>
      <c r="BMG1376" s="110"/>
      <c r="BMH1376" s="110"/>
      <c r="BMI1376" s="110"/>
      <c r="BMJ1376" s="110"/>
      <c r="BMK1376" s="110"/>
      <c r="BML1376" s="110"/>
      <c r="BMM1376" s="110"/>
      <c r="BMN1376" s="110"/>
      <c r="BMO1376" s="110"/>
      <c r="BMP1376" s="110"/>
      <c r="BMQ1376" s="110"/>
      <c r="BMR1376" s="110"/>
      <c r="BMS1376" s="110"/>
      <c r="BMT1376" s="110"/>
      <c r="BMU1376" s="110"/>
      <c r="BMV1376" s="110"/>
      <c r="BMW1376" s="110"/>
      <c r="BMX1376" s="110"/>
      <c r="BMY1376" s="110"/>
      <c r="BMZ1376" s="110"/>
      <c r="BNA1376" s="110"/>
      <c r="BNB1376" s="110"/>
      <c r="BNC1376" s="110"/>
      <c r="BND1376" s="110"/>
      <c r="BNE1376" s="110"/>
      <c r="BNF1376" s="110"/>
      <c r="BNG1376" s="110"/>
      <c r="BNH1376" s="110"/>
      <c r="BNI1376" s="110"/>
      <c r="BNJ1376" s="110"/>
      <c r="BNK1376" s="110"/>
      <c r="BNL1376" s="110"/>
      <c r="BNM1376" s="110"/>
      <c r="BNN1376" s="110"/>
      <c r="BNO1376" s="110"/>
      <c r="BNP1376" s="110"/>
      <c r="BNQ1376" s="110"/>
      <c r="BNR1376" s="110"/>
      <c r="BNS1376" s="110"/>
      <c r="BNT1376" s="110"/>
      <c r="BNU1376" s="110"/>
      <c r="BNV1376" s="110"/>
      <c r="BNW1376" s="110"/>
      <c r="BNX1376" s="110"/>
      <c r="BNY1376" s="110"/>
      <c r="BNZ1376" s="110"/>
      <c r="BOA1376" s="110"/>
      <c r="BOB1376" s="110"/>
      <c r="BOC1376" s="110"/>
      <c r="BOD1376" s="110"/>
      <c r="BOE1376" s="110"/>
      <c r="BOF1376" s="110"/>
      <c r="BOG1376" s="110"/>
      <c r="BOH1376" s="110"/>
      <c r="BOI1376" s="110"/>
      <c r="BOJ1376" s="110"/>
      <c r="BOK1376" s="110"/>
      <c r="BOL1376" s="110"/>
      <c r="BOM1376" s="110"/>
      <c r="BON1376" s="110"/>
      <c r="BOO1376" s="110"/>
      <c r="BOP1376" s="110"/>
      <c r="BOQ1376" s="110"/>
      <c r="BOR1376" s="110"/>
      <c r="BOS1376" s="110"/>
      <c r="BOT1376" s="110"/>
      <c r="BOU1376" s="110"/>
      <c r="BOV1376" s="110"/>
      <c r="BOW1376" s="110"/>
      <c r="BOX1376" s="110"/>
      <c r="BOY1376" s="110"/>
      <c r="BOZ1376" s="110"/>
      <c r="BPA1376" s="110"/>
      <c r="BPB1376" s="110"/>
      <c r="BPC1376" s="110"/>
      <c r="BPD1376" s="110"/>
      <c r="BPE1376" s="110"/>
      <c r="BPF1376" s="110"/>
      <c r="BPG1376" s="110"/>
      <c r="BPH1376" s="110"/>
      <c r="BPI1376" s="110"/>
      <c r="BPJ1376" s="110"/>
      <c r="BPK1376" s="110"/>
      <c r="BPL1376" s="110"/>
      <c r="BPM1376" s="110"/>
      <c r="BPN1376" s="110"/>
      <c r="BPO1376" s="110"/>
      <c r="BPP1376" s="110"/>
      <c r="BPQ1376" s="110"/>
      <c r="BPR1376" s="110"/>
      <c r="BPS1376" s="110"/>
      <c r="BPT1376" s="110"/>
      <c r="BPU1376" s="110"/>
      <c r="BPV1376" s="110"/>
      <c r="BPW1376" s="110"/>
      <c r="BPX1376" s="110"/>
      <c r="BPY1376" s="110"/>
      <c r="BPZ1376" s="110"/>
      <c r="BQA1376" s="110"/>
      <c r="BQB1376" s="110"/>
      <c r="BQC1376" s="110"/>
      <c r="BQD1376" s="110"/>
      <c r="BQE1376" s="110"/>
      <c r="BQF1376" s="110"/>
      <c r="BQG1376" s="110"/>
      <c r="BQH1376" s="110"/>
      <c r="BQI1376" s="110"/>
      <c r="BQJ1376" s="110"/>
      <c r="BQK1376" s="110"/>
      <c r="BQL1376" s="110"/>
      <c r="BQM1376" s="110"/>
      <c r="BQN1376" s="110"/>
      <c r="BQO1376" s="110"/>
      <c r="BQP1376" s="110"/>
      <c r="BQQ1376" s="110"/>
      <c r="BQR1376" s="110"/>
      <c r="BQS1376" s="110"/>
      <c r="BQT1376" s="110"/>
      <c r="BQU1376" s="110"/>
      <c r="BQV1376" s="110"/>
      <c r="BQW1376" s="110"/>
      <c r="BQX1376" s="110"/>
      <c r="BQY1376" s="110"/>
      <c r="BQZ1376" s="110"/>
      <c r="BRA1376" s="110"/>
      <c r="BRB1376" s="110"/>
      <c r="BRC1376" s="110"/>
      <c r="BRD1376" s="110"/>
      <c r="BRE1376" s="110"/>
      <c r="BRF1376" s="110"/>
      <c r="BRG1376" s="110"/>
      <c r="BRH1376" s="110"/>
      <c r="BRI1376" s="110"/>
      <c r="BRJ1376" s="110"/>
      <c r="BRK1376" s="110"/>
      <c r="BRL1376" s="110"/>
      <c r="BRM1376" s="110"/>
      <c r="BRN1376" s="110"/>
      <c r="BRO1376" s="110"/>
      <c r="BRP1376" s="110"/>
      <c r="BRQ1376" s="110"/>
      <c r="BRR1376" s="110"/>
      <c r="BRS1376" s="110"/>
      <c r="BRT1376" s="110"/>
      <c r="BRU1376" s="110"/>
      <c r="BRV1376" s="110"/>
      <c r="BRW1376" s="110"/>
      <c r="BRX1376" s="110"/>
      <c r="BRY1376" s="110"/>
      <c r="BRZ1376" s="110"/>
      <c r="BSA1376" s="110"/>
      <c r="BSB1376" s="110"/>
      <c r="BSC1376" s="110"/>
      <c r="BSD1376" s="110"/>
      <c r="BSE1376" s="110"/>
      <c r="BSF1376" s="110"/>
      <c r="BSG1376" s="110"/>
      <c r="BSH1376" s="110"/>
      <c r="BSI1376" s="110"/>
      <c r="BSJ1376" s="110"/>
      <c r="BSK1376" s="110"/>
      <c r="BSL1376" s="110"/>
      <c r="BSM1376" s="110"/>
      <c r="BSN1376" s="110"/>
      <c r="BSO1376" s="110"/>
      <c r="BSP1376" s="110"/>
      <c r="BSQ1376" s="110"/>
      <c r="BSR1376" s="110"/>
      <c r="BSS1376" s="110"/>
      <c r="BST1376" s="110"/>
      <c r="BSU1376" s="110"/>
      <c r="BSV1376" s="110"/>
      <c r="BSW1376" s="110"/>
      <c r="BSX1376" s="110"/>
      <c r="BSY1376" s="110"/>
      <c r="BSZ1376" s="110"/>
      <c r="BTA1376" s="110"/>
      <c r="BTB1376" s="110"/>
      <c r="BTC1376" s="110"/>
      <c r="BTD1376" s="110"/>
      <c r="BTE1376" s="110"/>
      <c r="BTF1376" s="110"/>
      <c r="BTG1376" s="110"/>
      <c r="BTH1376" s="110"/>
      <c r="BTI1376" s="110"/>
      <c r="BTJ1376" s="110"/>
      <c r="BTK1376" s="110"/>
      <c r="BTL1376" s="110"/>
      <c r="BTM1376" s="110"/>
      <c r="BTN1376" s="110"/>
      <c r="BTO1376" s="110"/>
      <c r="BTP1376" s="110"/>
      <c r="BTQ1376" s="110"/>
      <c r="BTR1376" s="110"/>
      <c r="BTS1376" s="110"/>
      <c r="BTT1376" s="110"/>
      <c r="BTU1376" s="110"/>
      <c r="BTV1376" s="110"/>
      <c r="BTW1376" s="110"/>
      <c r="BTX1376" s="110"/>
      <c r="BTY1376" s="110"/>
      <c r="BTZ1376" s="110"/>
      <c r="BUA1376" s="110"/>
      <c r="BUB1376" s="110"/>
      <c r="BUC1376" s="110"/>
      <c r="BUD1376" s="110"/>
      <c r="BUE1376" s="110"/>
      <c r="BUF1376" s="110"/>
      <c r="BUG1376" s="110"/>
      <c r="BUH1376" s="110"/>
      <c r="BUI1376" s="110"/>
      <c r="BUJ1376" s="110"/>
      <c r="BUK1376" s="110"/>
      <c r="BUL1376" s="110"/>
      <c r="BUM1376" s="110"/>
      <c r="BUN1376" s="110"/>
      <c r="BUO1376" s="110"/>
      <c r="BUP1376" s="110"/>
      <c r="BUQ1376" s="110"/>
      <c r="BUR1376" s="110"/>
      <c r="BUS1376" s="110"/>
      <c r="BUT1376" s="110"/>
      <c r="BUU1376" s="110"/>
      <c r="BUV1376" s="110"/>
      <c r="BUW1376" s="110"/>
      <c r="BUX1376" s="110"/>
      <c r="BUY1376" s="110"/>
      <c r="BUZ1376" s="110"/>
      <c r="BVA1376" s="110"/>
      <c r="BVB1376" s="110"/>
      <c r="BVC1376" s="110"/>
      <c r="BVD1376" s="110"/>
      <c r="BVE1376" s="110"/>
      <c r="BVF1376" s="110"/>
      <c r="BVG1376" s="110"/>
      <c r="BVH1376" s="110"/>
      <c r="BVI1376" s="110"/>
      <c r="BVJ1376" s="110"/>
      <c r="BVK1376" s="110"/>
      <c r="BVL1376" s="110"/>
      <c r="BVM1376" s="110"/>
      <c r="BVN1376" s="110"/>
      <c r="BVO1376" s="110"/>
      <c r="BVP1376" s="110"/>
      <c r="BVQ1376" s="110"/>
      <c r="BVR1376" s="110"/>
      <c r="BVS1376" s="110"/>
      <c r="BVT1376" s="110"/>
      <c r="BVU1376" s="110"/>
      <c r="BVV1376" s="110"/>
      <c r="BVW1376" s="110"/>
      <c r="BVX1376" s="110"/>
      <c r="BVY1376" s="110"/>
      <c r="BVZ1376" s="110"/>
      <c r="BWA1376" s="110"/>
      <c r="BWB1376" s="110"/>
      <c r="BWC1376" s="110"/>
      <c r="BWD1376" s="110"/>
      <c r="BWE1376" s="110"/>
      <c r="BWF1376" s="110"/>
      <c r="BWG1376" s="110"/>
      <c r="BWH1376" s="110"/>
      <c r="BWI1376" s="110"/>
      <c r="BWJ1376" s="110"/>
      <c r="BWK1376" s="110"/>
      <c r="BWL1376" s="110"/>
      <c r="BWM1376" s="110"/>
      <c r="BWN1376" s="110"/>
      <c r="BWO1376" s="110"/>
      <c r="BWP1376" s="110"/>
      <c r="BWQ1376" s="110"/>
      <c r="BWR1376" s="110"/>
      <c r="BWS1376" s="110"/>
      <c r="BWT1376" s="110"/>
      <c r="BWU1376" s="110"/>
      <c r="BWV1376" s="110"/>
      <c r="BWW1376" s="110"/>
      <c r="BWX1376" s="110"/>
      <c r="BWY1376" s="110"/>
      <c r="BWZ1376" s="110"/>
      <c r="BXA1376" s="110"/>
      <c r="BXB1376" s="110"/>
      <c r="BXC1376" s="110"/>
      <c r="BXD1376" s="110"/>
      <c r="BXE1376" s="110"/>
      <c r="BXF1376" s="110"/>
      <c r="BXG1376" s="110"/>
      <c r="BXH1376" s="110"/>
      <c r="BXI1376" s="110"/>
      <c r="BXJ1376" s="110"/>
      <c r="BXK1376" s="110"/>
      <c r="BXL1376" s="110"/>
      <c r="BXM1376" s="110"/>
      <c r="BXN1376" s="110"/>
      <c r="BXO1376" s="110"/>
      <c r="BXP1376" s="110"/>
      <c r="BXQ1376" s="110"/>
      <c r="BXR1376" s="110"/>
      <c r="BXS1376" s="110"/>
      <c r="BXT1376" s="110"/>
      <c r="BXU1376" s="110"/>
      <c r="BXV1376" s="110"/>
      <c r="BXW1376" s="110"/>
      <c r="BXX1376" s="110"/>
      <c r="BXY1376" s="110"/>
      <c r="BXZ1376" s="110"/>
      <c r="BYA1376" s="110"/>
      <c r="BYB1376" s="110"/>
      <c r="BYC1376" s="110"/>
      <c r="BYD1376" s="110"/>
      <c r="BYE1376" s="110"/>
      <c r="BYF1376" s="110"/>
      <c r="BYG1376" s="110"/>
      <c r="BYH1376" s="110"/>
      <c r="BYI1376" s="110"/>
      <c r="BYJ1376" s="110"/>
      <c r="BYK1376" s="110"/>
      <c r="BYL1376" s="110"/>
      <c r="BYM1376" s="110"/>
      <c r="BYN1376" s="110"/>
      <c r="BYO1376" s="110"/>
      <c r="BYP1376" s="110"/>
      <c r="BYQ1376" s="110"/>
      <c r="BYR1376" s="110"/>
      <c r="BYS1376" s="110"/>
      <c r="BYT1376" s="110"/>
      <c r="BYU1376" s="110"/>
      <c r="BYV1376" s="110"/>
      <c r="BYW1376" s="110"/>
      <c r="BYX1376" s="110"/>
      <c r="BYY1376" s="110"/>
      <c r="BYZ1376" s="110"/>
      <c r="BZA1376" s="110"/>
      <c r="BZB1376" s="110"/>
      <c r="BZC1376" s="110"/>
      <c r="BZD1376" s="110"/>
      <c r="BZE1376" s="110"/>
      <c r="BZF1376" s="110"/>
      <c r="BZG1376" s="110"/>
      <c r="BZH1376" s="110"/>
      <c r="BZI1376" s="110"/>
      <c r="BZJ1376" s="110"/>
      <c r="BZK1376" s="110"/>
      <c r="BZL1376" s="110"/>
      <c r="BZM1376" s="110"/>
      <c r="BZN1376" s="110"/>
      <c r="BZO1376" s="110"/>
      <c r="BZP1376" s="110"/>
      <c r="BZQ1376" s="110"/>
      <c r="BZR1376" s="110"/>
      <c r="BZS1376" s="110"/>
      <c r="BZT1376" s="110"/>
      <c r="BZU1376" s="110"/>
      <c r="BZV1376" s="110"/>
      <c r="BZW1376" s="110"/>
      <c r="BZX1376" s="110"/>
      <c r="BZY1376" s="110"/>
      <c r="BZZ1376" s="110"/>
      <c r="CAA1376" s="110"/>
      <c r="CAB1376" s="110"/>
      <c r="CAC1376" s="110"/>
      <c r="CAD1376" s="110"/>
      <c r="CAE1376" s="110"/>
      <c r="CAF1376" s="110"/>
      <c r="CAG1376" s="110"/>
      <c r="CAH1376" s="110"/>
      <c r="CAI1376" s="110"/>
      <c r="CAJ1376" s="110"/>
      <c r="CAK1376" s="110"/>
      <c r="CAL1376" s="110"/>
      <c r="CAM1376" s="110"/>
      <c r="CAN1376" s="110"/>
      <c r="CAO1376" s="110"/>
      <c r="CAP1376" s="110"/>
      <c r="CAQ1376" s="110"/>
      <c r="CAR1376" s="110"/>
      <c r="CAS1376" s="110"/>
      <c r="CAT1376" s="110"/>
      <c r="CAU1376" s="110"/>
      <c r="CAV1376" s="110"/>
      <c r="CAW1376" s="110"/>
      <c r="CAX1376" s="110"/>
      <c r="CAY1376" s="110"/>
      <c r="CAZ1376" s="110"/>
      <c r="CBA1376" s="110"/>
      <c r="CBB1376" s="110"/>
      <c r="CBC1376" s="110"/>
      <c r="CBD1376" s="110"/>
      <c r="CBE1376" s="110"/>
      <c r="CBF1376" s="110"/>
      <c r="CBG1376" s="110"/>
      <c r="CBH1376" s="110"/>
      <c r="CBI1376" s="110"/>
      <c r="CBJ1376" s="110"/>
      <c r="CBK1376" s="110"/>
      <c r="CBL1376" s="110"/>
      <c r="CBM1376" s="110"/>
      <c r="CBN1376" s="110"/>
      <c r="CBO1376" s="110"/>
      <c r="CBP1376" s="110"/>
      <c r="CBQ1376" s="110"/>
      <c r="CBR1376" s="110"/>
      <c r="CBS1376" s="110"/>
      <c r="CBT1376" s="110"/>
      <c r="CBU1376" s="110"/>
      <c r="CBV1376" s="110"/>
      <c r="CBW1376" s="110"/>
      <c r="CBX1376" s="110"/>
      <c r="CBY1376" s="110"/>
      <c r="CBZ1376" s="110"/>
      <c r="CCA1376" s="110"/>
      <c r="CCB1376" s="110"/>
      <c r="CCC1376" s="110"/>
      <c r="CCD1376" s="110"/>
      <c r="CCE1376" s="110"/>
      <c r="CCF1376" s="110"/>
      <c r="CCG1376" s="110"/>
      <c r="CCH1376" s="110"/>
      <c r="CCI1376" s="110"/>
      <c r="CCJ1376" s="110"/>
      <c r="CCK1376" s="110"/>
      <c r="CCL1376" s="110"/>
      <c r="CCM1376" s="110"/>
      <c r="CCN1376" s="110"/>
      <c r="CCO1376" s="110"/>
      <c r="CCP1376" s="110"/>
      <c r="CCQ1376" s="110"/>
      <c r="CCR1376" s="110"/>
      <c r="CCS1376" s="110"/>
      <c r="CCT1376" s="110"/>
      <c r="CCU1376" s="110"/>
      <c r="CCV1376" s="110"/>
      <c r="CCW1376" s="110"/>
      <c r="CCX1376" s="110"/>
      <c r="CCY1376" s="110"/>
      <c r="CCZ1376" s="110"/>
      <c r="CDA1376" s="110"/>
      <c r="CDB1376" s="110"/>
      <c r="CDC1376" s="110"/>
      <c r="CDD1376" s="110"/>
      <c r="CDE1376" s="110"/>
      <c r="CDF1376" s="110"/>
      <c r="CDG1376" s="110"/>
      <c r="CDH1376" s="110"/>
      <c r="CDI1376" s="110"/>
      <c r="CDJ1376" s="110"/>
      <c r="CDK1376" s="110"/>
      <c r="CDL1376" s="110"/>
      <c r="CDM1376" s="110"/>
      <c r="CDN1376" s="110"/>
      <c r="CDO1376" s="110"/>
      <c r="CDP1376" s="110"/>
      <c r="CDQ1376" s="110"/>
      <c r="CDR1376" s="110"/>
      <c r="CDS1376" s="110"/>
      <c r="CDT1376" s="110"/>
      <c r="CDU1376" s="110"/>
      <c r="CDV1376" s="110"/>
      <c r="CDW1376" s="110"/>
      <c r="CDX1376" s="110"/>
      <c r="CDY1376" s="110"/>
      <c r="CDZ1376" s="110"/>
      <c r="CEA1376" s="110"/>
      <c r="CEB1376" s="110"/>
      <c r="CEC1376" s="110"/>
      <c r="CED1376" s="110"/>
      <c r="CEE1376" s="110"/>
      <c r="CEF1376" s="110"/>
      <c r="CEG1376" s="110"/>
      <c r="CEH1376" s="110"/>
      <c r="CEI1376" s="110"/>
      <c r="CEJ1376" s="110"/>
      <c r="CEK1376" s="110"/>
      <c r="CEL1376" s="110"/>
      <c r="CEM1376" s="110"/>
      <c r="CEN1376" s="110"/>
      <c r="CEO1376" s="110"/>
      <c r="CEP1376" s="110"/>
      <c r="CEQ1376" s="110"/>
      <c r="CER1376" s="110"/>
      <c r="CES1376" s="110"/>
      <c r="CET1376" s="110"/>
      <c r="CEU1376" s="110"/>
      <c r="CEV1376" s="110"/>
      <c r="CEW1376" s="110"/>
      <c r="CEX1376" s="110"/>
      <c r="CEY1376" s="110"/>
      <c r="CEZ1376" s="110"/>
      <c r="CFA1376" s="110"/>
      <c r="CFB1376" s="110"/>
      <c r="CFC1376" s="110"/>
      <c r="CFD1376" s="110"/>
      <c r="CFE1376" s="110"/>
      <c r="CFF1376" s="110"/>
      <c r="CFG1376" s="110"/>
      <c r="CFH1376" s="110"/>
      <c r="CFI1376" s="110"/>
      <c r="CFJ1376" s="110"/>
      <c r="CFK1376" s="110"/>
      <c r="CFL1376" s="110"/>
      <c r="CFM1376" s="110"/>
      <c r="CFN1376" s="110"/>
      <c r="CFO1376" s="110"/>
      <c r="CFP1376" s="110"/>
      <c r="CFQ1376" s="110"/>
      <c r="CFR1376" s="110"/>
      <c r="CFS1376" s="110"/>
      <c r="CFT1376" s="110"/>
      <c r="CFU1376" s="110"/>
      <c r="CFV1376" s="110"/>
      <c r="CFW1376" s="110"/>
      <c r="CFX1376" s="110"/>
      <c r="CFY1376" s="110"/>
      <c r="CFZ1376" s="110"/>
      <c r="CGA1376" s="110"/>
      <c r="CGB1376" s="110"/>
      <c r="CGC1376" s="110"/>
      <c r="CGD1376" s="110"/>
      <c r="CGE1376" s="110"/>
      <c r="CGF1376" s="110"/>
      <c r="CGG1376" s="110"/>
      <c r="CGH1376" s="110"/>
      <c r="CGI1376" s="110"/>
      <c r="CGJ1376" s="110"/>
      <c r="CGK1376" s="110"/>
      <c r="CGL1376" s="110"/>
      <c r="CGM1376" s="110"/>
      <c r="CGN1376" s="110"/>
      <c r="CGO1376" s="110"/>
      <c r="CGP1376" s="110"/>
      <c r="CGQ1376" s="110"/>
      <c r="CGR1376" s="110"/>
      <c r="CGS1376" s="110"/>
      <c r="CGT1376" s="110"/>
      <c r="CGU1376" s="110"/>
      <c r="CGV1376" s="110"/>
      <c r="CGW1376" s="110"/>
      <c r="CGX1376" s="110"/>
      <c r="CGY1376" s="110"/>
      <c r="CGZ1376" s="110"/>
      <c r="CHA1376" s="110"/>
      <c r="CHB1376" s="110"/>
      <c r="CHC1376" s="110"/>
      <c r="CHD1376" s="110"/>
      <c r="CHE1376" s="110"/>
      <c r="CHF1376" s="110"/>
      <c r="CHG1376" s="110"/>
      <c r="CHH1376" s="110"/>
      <c r="CHI1376" s="110"/>
      <c r="CHJ1376" s="110"/>
      <c r="CHK1376" s="110"/>
      <c r="CHL1376" s="110"/>
      <c r="CHM1376" s="110"/>
      <c r="CHN1376" s="110"/>
      <c r="CHO1376" s="110"/>
      <c r="CHP1376" s="110"/>
      <c r="CHQ1376" s="110"/>
      <c r="CHR1376" s="110"/>
      <c r="CHS1376" s="110"/>
      <c r="CHT1376" s="110"/>
      <c r="CHU1376" s="110"/>
      <c r="CHV1376" s="110"/>
      <c r="CHW1376" s="110"/>
      <c r="CHX1376" s="110"/>
      <c r="CHY1376" s="110"/>
      <c r="CHZ1376" s="110"/>
      <c r="CIA1376" s="110"/>
      <c r="CIB1376" s="110"/>
      <c r="CIC1376" s="110"/>
      <c r="CID1376" s="110"/>
      <c r="CIE1376" s="110"/>
      <c r="CIF1376" s="110"/>
      <c r="CIG1376" s="110"/>
      <c r="CIH1376" s="110"/>
      <c r="CII1376" s="110"/>
      <c r="CIJ1376" s="110"/>
      <c r="CIK1376" s="110"/>
      <c r="CIL1376" s="110"/>
      <c r="CIM1376" s="110"/>
      <c r="CIN1376" s="110"/>
      <c r="CIO1376" s="110"/>
      <c r="CIP1376" s="110"/>
      <c r="CIQ1376" s="110"/>
      <c r="CIR1376" s="110"/>
      <c r="CIS1376" s="110"/>
      <c r="CIT1376" s="110"/>
      <c r="CIU1376" s="110"/>
      <c r="CIV1376" s="110"/>
      <c r="CIW1376" s="110"/>
      <c r="CIX1376" s="110"/>
      <c r="CIY1376" s="110"/>
      <c r="CIZ1376" s="110"/>
      <c r="CJA1376" s="110"/>
      <c r="CJB1376" s="110"/>
      <c r="CJC1376" s="110"/>
      <c r="CJD1376" s="110"/>
      <c r="CJE1376" s="110"/>
      <c r="CJF1376" s="110"/>
      <c r="CJG1376" s="110"/>
      <c r="CJH1376" s="110"/>
      <c r="CJI1376" s="110"/>
      <c r="CJJ1376" s="110"/>
      <c r="CJK1376" s="110"/>
      <c r="CJL1376" s="110"/>
      <c r="CJM1376" s="110"/>
      <c r="CJN1376" s="110"/>
      <c r="CJO1376" s="110"/>
      <c r="CJP1376" s="110"/>
      <c r="CJQ1376" s="110"/>
      <c r="CJR1376" s="110"/>
      <c r="CJS1376" s="110"/>
      <c r="CJT1376" s="110"/>
      <c r="CJU1376" s="110"/>
      <c r="CJV1376" s="110"/>
      <c r="CJW1376" s="110"/>
      <c r="CJX1376" s="110"/>
      <c r="CJY1376" s="110"/>
      <c r="CJZ1376" s="110"/>
      <c r="CKA1376" s="110"/>
      <c r="CKB1376" s="110"/>
      <c r="CKC1376" s="110"/>
      <c r="CKD1376" s="110"/>
      <c r="CKE1376" s="110"/>
      <c r="CKF1376" s="110"/>
      <c r="CKG1376" s="110"/>
      <c r="CKH1376" s="110"/>
      <c r="CKI1376" s="110"/>
      <c r="CKJ1376" s="110"/>
      <c r="CKK1376" s="110"/>
      <c r="CKL1376" s="110"/>
      <c r="CKM1376" s="110"/>
      <c r="CKN1376" s="110"/>
      <c r="CKO1376" s="110"/>
      <c r="CKP1376" s="110"/>
      <c r="CKQ1376" s="110"/>
      <c r="CKR1376" s="110"/>
      <c r="CKS1376" s="110"/>
      <c r="CKT1376" s="110"/>
      <c r="CKU1376" s="110"/>
      <c r="CKV1376" s="110"/>
      <c r="CKW1376" s="110"/>
      <c r="CKX1376" s="110"/>
      <c r="CKY1376" s="110"/>
      <c r="CKZ1376" s="110"/>
      <c r="CLA1376" s="110"/>
      <c r="CLB1376" s="110"/>
      <c r="CLC1376" s="110"/>
      <c r="CLD1376" s="110"/>
      <c r="CLE1376" s="110"/>
      <c r="CLF1376" s="110"/>
      <c r="CLG1376" s="110"/>
      <c r="CLH1376" s="110"/>
      <c r="CLI1376" s="110"/>
      <c r="CLJ1376" s="110"/>
      <c r="CLK1376" s="110"/>
      <c r="CLL1376" s="110"/>
      <c r="CLM1376" s="110"/>
      <c r="CLN1376" s="110"/>
      <c r="CLO1376" s="110"/>
      <c r="CLP1376" s="110"/>
      <c r="CLQ1376" s="110"/>
      <c r="CLR1376" s="110"/>
      <c r="CLS1376" s="110"/>
      <c r="CLT1376" s="110"/>
      <c r="CLU1376" s="110"/>
      <c r="CLV1376" s="110"/>
      <c r="CLW1376" s="110"/>
      <c r="CLX1376" s="110"/>
      <c r="CLY1376" s="110"/>
      <c r="CLZ1376" s="110"/>
      <c r="CMA1376" s="110"/>
      <c r="CMB1376" s="110"/>
      <c r="CMC1376" s="110"/>
      <c r="CMD1376" s="110"/>
      <c r="CME1376" s="110"/>
      <c r="CMF1376" s="110"/>
      <c r="CMG1376" s="110"/>
      <c r="CMH1376" s="110"/>
      <c r="CMI1376" s="110"/>
      <c r="CMJ1376" s="110"/>
      <c r="CMK1376" s="110"/>
      <c r="CML1376" s="110"/>
      <c r="CMM1376" s="110"/>
      <c r="CMN1376" s="110"/>
      <c r="CMO1376" s="110"/>
      <c r="CMP1376" s="110"/>
      <c r="CMQ1376" s="110"/>
      <c r="CMR1376" s="110"/>
      <c r="CMS1376" s="110"/>
      <c r="CMT1376" s="110"/>
      <c r="CMU1376" s="110"/>
      <c r="CMV1376" s="110"/>
      <c r="CMW1376" s="110"/>
      <c r="CMX1376" s="110"/>
      <c r="CMY1376" s="110"/>
      <c r="CMZ1376" s="110"/>
      <c r="CNA1376" s="110"/>
      <c r="CNB1376" s="110"/>
      <c r="CNC1376" s="110"/>
      <c r="CND1376" s="110"/>
      <c r="CNE1376" s="110"/>
      <c r="CNF1376" s="110"/>
      <c r="CNG1376" s="110"/>
      <c r="CNH1376" s="110"/>
      <c r="CNI1376" s="110"/>
      <c r="CNJ1376" s="110"/>
      <c r="CNK1376" s="110"/>
      <c r="CNL1376" s="110"/>
      <c r="CNM1376" s="110"/>
      <c r="CNN1376" s="110"/>
      <c r="CNO1376" s="110"/>
      <c r="CNP1376" s="110"/>
      <c r="CNQ1376" s="110"/>
      <c r="CNR1376" s="110"/>
      <c r="CNS1376" s="110"/>
      <c r="CNT1376" s="110"/>
      <c r="CNU1376" s="110"/>
      <c r="CNV1376" s="110"/>
      <c r="CNW1376" s="110"/>
      <c r="CNX1376" s="110"/>
      <c r="CNY1376" s="110"/>
      <c r="CNZ1376" s="110"/>
      <c r="COA1376" s="110"/>
      <c r="COB1376" s="110"/>
      <c r="COC1376" s="110"/>
      <c r="COD1376" s="110"/>
      <c r="COE1376" s="110"/>
      <c r="COF1376" s="110"/>
      <c r="COG1376" s="110"/>
      <c r="COH1376" s="110"/>
      <c r="COI1376" s="110"/>
      <c r="COJ1376" s="110"/>
      <c r="COK1376" s="110"/>
      <c r="COL1376" s="110"/>
      <c r="COM1376" s="110"/>
      <c r="CON1376" s="110"/>
      <c r="COO1376" s="110"/>
      <c r="COP1376" s="110"/>
      <c r="COQ1376" s="110"/>
      <c r="COR1376" s="110"/>
      <c r="COS1376" s="110"/>
      <c r="COT1376" s="110"/>
      <c r="COU1376" s="110"/>
      <c r="COV1376" s="110"/>
      <c r="COW1376" s="110"/>
      <c r="COX1376" s="110"/>
      <c r="COY1376" s="110"/>
      <c r="COZ1376" s="110"/>
      <c r="CPA1376" s="110"/>
      <c r="CPB1376" s="110"/>
      <c r="CPC1376" s="110"/>
      <c r="CPD1376" s="110"/>
      <c r="CPE1376" s="110"/>
      <c r="CPF1376" s="110"/>
      <c r="CPG1376" s="110"/>
      <c r="CPH1376" s="110"/>
      <c r="CPI1376" s="110"/>
      <c r="CPJ1376" s="110"/>
      <c r="CPK1376" s="110"/>
      <c r="CPL1376" s="110"/>
      <c r="CPM1376" s="110"/>
      <c r="CPN1376" s="110"/>
      <c r="CPO1376" s="110"/>
      <c r="CPP1376" s="110"/>
      <c r="CPQ1376" s="110"/>
      <c r="CPR1376" s="110"/>
      <c r="CPS1376" s="110"/>
      <c r="CPT1376" s="110"/>
      <c r="CPU1376" s="110"/>
      <c r="CPV1376" s="110"/>
      <c r="CPW1376" s="110"/>
      <c r="CPX1376" s="110"/>
      <c r="CPY1376" s="110"/>
      <c r="CPZ1376" s="110"/>
      <c r="CQA1376" s="110"/>
      <c r="CQB1376" s="110"/>
      <c r="CQC1376" s="110"/>
      <c r="CQD1376" s="110"/>
      <c r="CQE1376" s="110"/>
      <c r="CQF1376" s="110"/>
      <c r="CQG1376" s="110"/>
      <c r="CQH1376" s="110"/>
      <c r="CQI1376" s="110"/>
      <c r="CQJ1376" s="110"/>
      <c r="CQK1376" s="110"/>
      <c r="CQL1376" s="110"/>
      <c r="CQM1376" s="110"/>
      <c r="CQN1376" s="110"/>
      <c r="CQO1376" s="110"/>
      <c r="CQP1376" s="110"/>
      <c r="CQQ1376" s="110"/>
      <c r="CQR1376" s="110"/>
      <c r="CQS1376" s="110"/>
      <c r="CQT1376" s="110"/>
      <c r="CQU1376" s="110"/>
      <c r="CQV1376" s="110"/>
      <c r="CQW1376" s="110"/>
      <c r="CQX1376" s="110"/>
      <c r="CQY1376" s="110"/>
      <c r="CQZ1376" s="110"/>
      <c r="CRA1376" s="110"/>
      <c r="CRB1376" s="110"/>
      <c r="CRC1376" s="110"/>
      <c r="CRD1376" s="110"/>
      <c r="CRE1376" s="110"/>
      <c r="CRF1376" s="110"/>
      <c r="CRG1376" s="110"/>
      <c r="CRH1376" s="110"/>
      <c r="CRI1376" s="110"/>
      <c r="CRJ1376" s="110"/>
      <c r="CRK1376" s="110"/>
      <c r="CRL1376" s="110"/>
      <c r="CRM1376" s="110"/>
      <c r="CRN1376" s="110"/>
      <c r="CRO1376" s="110"/>
      <c r="CRP1376" s="110"/>
      <c r="CRQ1376" s="110"/>
      <c r="CRR1376" s="110"/>
      <c r="CRS1376" s="110"/>
      <c r="CRT1376" s="110"/>
      <c r="CRU1376" s="110"/>
      <c r="CRV1376" s="110"/>
      <c r="CRW1376" s="110"/>
      <c r="CRX1376" s="110"/>
      <c r="CRY1376" s="110"/>
      <c r="CRZ1376" s="110"/>
      <c r="CSA1376" s="110"/>
      <c r="CSB1376" s="110"/>
      <c r="CSC1376" s="110"/>
      <c r="CSD1376" s="110"/>
      <c r="CSE1376" s="110"/>
      <c r="CSF1376" s="110"/>
      <c r="CSG1376" s="110"/>
      <c r="CSH1376" s="110"/>
      <c r="CSI1376" s="110"/>
      <c r="CSJ1376" s="110"/>
      <c r="CSK1376" s="110"/>
      <c r="CSL1376" s="110"/>
      <c r="CSM1376" s="110"/>
      <c r="CSN1376" s="110"/>
      <c r="CSO1376" s="110"/>
      <c r="CSP1376" s="110"/>
      <c r="CSQ1376" s="110"/>
      <c r="CSR1376" s="110"/>
      <c r="CSS1376" s="110"/>
      <c r="CST1376" s="110"/>
      <c r="CSU1376" s="110"/>
      <c r="CSV1376" s="110"/>
      <c r="CSW1376" s="110"/>
      <c r="CSX1376" s="110"/>
      <c r="CSY1376" s="110"/>
      <c r="CSZ1376" s="110"/>
      <c r="CTA1376" s="110"/>
      <c r="CTB1376" s="110"/>
      <c r="CTC1376" s="110"/>
      <c r="CTD1376" s="110"/>
      <c r="CTE1376" s="110"/>
      <c r="CTF1376" s="110"/>
      <c r="CTG1376" s="110"/>
      <c r="CTH1376" s="110"/>
      <c r="CTI1376" s="110"/>
      <c r="CTJ1376" s="110"/>
      <c r="CTK1376" s="110"/>
      <c r="CTL1376" s="110"/>
      <c r="CTM1376" s="110"/>
      <c r="CTN1376" s="110"/>
      <c r="CTO1376" s="110"/>
      <c r="CTP1376" s="110"/>
      <c r="CTQ1376" s="110"/>
      <c r="CTR1376" s="110"/>
      <c r="CTS1376" s="110"/>
      <c r="CTT1376" s="110"/>
      <c r="CTU1376" s="110"/>
      <c r="CTV1376" s="110"/>
      <c r="CTW1376" s="110"/>
      <c r="CTX1376" s="110"/>
      <c r="CTY1376" s="110"/>
      <c r="CTZ1376" s="110"/>
      <c r="CUA1376" s="110"/>
      <c r="CUB1376" s="110"/>
      <c r="CUC1376" s="110"/>
      <c r="CUD1376" s="110"/>
      <c r="CUE1376" s="110"/>
      <c r="CUF1376" s="110"/>
      <c r="CUG1376" s="110"/>
      <c r="CUH1376" s="110"/>
      <c r="CUI1376" s="110"/>
      <c r="CUJ1376" s="110"/>
      <c r="CUK1376" s="110"/>
      <c r="CUL1376" s="110"/>
      <c r="CUM1376" s="110"/>
      <c r="CUN1376" s="110"/>
      <c r="CUO1376" s="110"/>
      <c r="CUP1376" s="110"/>
      <c r="CUQ1376" s="110"/>
      <c r="CUR1376" s="110"/>
      <c r="CUS1376" s="110"/>
      <c r="CUT1376" s="110"/>
      <c r="CUU1376" s="110"/>
      <c r="CUV1376" s="110"/>
      <c r="CUW1376" s="110"/>
      <c r="CUX1376" s="110"/>
      <c r="CUY1376" s="110"/>
      <c r="CUZ1376" s="110"/>
      <c r="CVA1376" s="110"/>
      <c r="CVB1376" s="110"/>
      <c r="CVC1376" s="110"/>
      <c r="CVD1376" s="110"/>
      <c r="CVE1376" s="110"/>
      <c r="CVF1376" s="110"/>
      <c r="CVG1376" s="110"/>
      <c r="CVH1376" s="110"/>
      <c r="CVI1376" s="110"/>
      <c r="CVJ1376" s="110"/>
      <c r="CVK1376" s="110"/>
      <c r="CVL1376" s="110"/>
      <c r="CVM1376" s="110"/>
      <c r="CVN1376" s="110"/>
      <c r="CVO1376" s="110"/>
      <c r="CVP1376" s="110"/>
      <c r="CVQ1376" s="110"/>
      <c r="CVR1376" s="110"/>
      <c r="CVS1376" s="110"/>
      <c r="CVT1376" s="110"/>
      <c r="CVU1376" s="110"/>
      <c r="CVV1376" s="110"/>
      <c r="CVW1376" s="110"/>
      <c r="CVX1376" s="110"/>
      <c r="CVY1376" s="110"/>
      <c r="CVZ1376" s="110"/>
      <c r="CWA1376" s="110"/>
      <c r="CWB1376" s="110"/>
      <c r="CWC1376" s="110"/>
      <c r="CWD1376" s="110"/>
      <c r="CWE1376" s="110"/>
      <c r="CWF1376" s="110"/>
      <c r="CWG1376" s="110"/>
      <c r="CWH1376" s="110"/>
      <c r="CWI1376" s="110"/>
      <c r="CWJ1376" s="110"/>
      <c r="CWK1376" s="110"/>
      <c r="CWL1376" s="110"/>
      <c r="CWM1376" s="110"/>
      <c r="CWN1376" s="110"/>
      <c r="CWO1376" s="110"/>
      <c r="CWP1376" s="110"/>
      <c r="CWQ1376" s="110"/>
      <c r="CWR1376" s="110"/>
      <c r="CWS1376" s="110"/>
      <c r="CWT1376" s="110"/>
      <c r="CWU1376" s="110"/>
      <c r="CWV1376" s="110"/>
      <c r="CWW1376" s="110"/>
      <c r="CWX1376" s="110"/>
      <c r="CWY1376" s="110"/>
      <c r="CWZ1376" s="110"/>
      <c r="CXA1376" s="110"/>
      <c r="CXB1376" s="110"/>
      <c r="CXC1376" s="110"/>
      <c r="CXD1376" s="110"/>
      <c r="CXE1376" s="110"/>
      <c r="CXF1376" s="110"/>
      <c r="CXG1376" s="110"/>
      <c r="CXH1376" s="110"/>
      <c r="CXI1376" s="110"/>
      <c r="CXJ1376" s="110"/>
      <c r="CXK1376" s="110"/>
      <c r="CXL1376" s="110"/>
      <c r="CXM1376" s="110"/>
      <c r="CXN1376" s="110"/>
      <c r="CXO1376" s="110"/>
      <c r="CXP1376" s="110"/>
      <c r="CXQ1376" s="110"/>
      <c r="CXR1376" s="110"/>
      <c r="CXS1376" s="110"/>
      <c r="CXT1376" s="110"/>
      <c r="CXU1376" s="110"/>
      <c r="CXV1376" s="110"/>
      <c r="CXW1376" s="110"/>
      <c r="CXX1376" s="110"/>
      <c r="CXY1376" s="110"/>
      <c r="CXZ1376" s="110"/>
      <c r="CYA1376" s="110"/>
      <c r="CYB1376" s="110"/>
      <c r="CYC1376" s="110"/>
      <c r="CYD1376" s="110"/>
      <c r="CYE1376" s="110"/>
      <c r="CYF1376" s="110"/>
      <c r="CYG1376" s="110"/>
      <c r="CYH1376" s="110"/>
      <c r="CYI1376" s="110"/>
      <c r="CYJ1376" s="110"/>
      <c r="CYK1376" s="110"/>
      <c r="CYL1376" s="110"/>
      <c r="CYM1376" s="110"/>
      <c r="CYN1376" s="110"/>
      <c r="CYO1376" s="110"/>
      <c r="CYP1376" s="110"/>
      <c r="CYQ1376" s="110"/>
      <c r="CYR1376" s="110"/>
      <c r="CYS1376" s="110"/>
      <c r="CYT1376" s="110"/>
      <c r="CYU1376" s="110"/>
      <c r="CYV1376" s="110"/>
      <c r="CYW1376" s="110"/>
      <c r="CYX1376" s="110"/>
      <c r="CYY1376" s="110"/>
      <c r="CYZ1376" s="110"/>
      <c r="CZA1376" s="110"/>
      <c r="CZB1376" s="110"/>
      <c r="CZC1376" s="110"/>
      <c r="CZD1376" s="110"/>
      <c r="CZE1376" s="110"/>
      <c r="CZF1376" s="110"/>
      <c r="CZG1376" s="110"/>
      <c r="CZH1376" s="110"/>
      <c r="CZI1376" s="110"/>
      <c r="CZJ1376" s="110"/>
      <c r="CZK1376" s="110"/>
      <c r="CZL1376" s="110"/>
      <c r="CZM1376" s="110"/>
      <c r="CZN1376" s="110"/>
      <c r="CZO1376" s="110"/>
      <c r="CZP1376" s="110"/>
      <c r="CZQ1376" s="110"/>
      <c r="CZR1376" s="110"/>
      <c r="CZS1376" s="110"/>
      <c r="CZT1376" s="110"/>
      <c r="CZU1376" s="110"/>
      <c r="CZV1376" s="110"/>
      <c r="CZW1376" s="110"/>
      <c r="CZX1376" s="110"/>
      <c r="CZY1376" s="110"/>
      <c r="CZZ1376" s="110"/>
      <c r="DAA1376" s="110"/>
      <c r="DAB1376" s="110"/>
      <c r="DAC1376" s="110"/>
      <c r="DAD1376" s="110"/>
      <c r="DAE1376" s="110"/>
      <c r="DAF1376" s="110"/>
      <c r="DAG1376" s="110"/>
      <c r="DAH1376" s="110"/>
      <c r="DAI1376" s="110"/>
      <c r="DAJ1376" s="110"/>
      <c r="DAK1376" s="110"/>
      <c r="DAL1376" s="110"/>
      <c r="DAM1376" s="110"/>
      <c r="DAN1376" s="110"/>
      <c r="DAO1376" s="110"/>
      <c r="DAP1376" s="110"/>
      <c r="DAQ1376" s="110"/>
      <c r="DAR1376" s="110"/>
      <c r="DAS1376" s="110"/>
      <c r="DAT1376" s="110"/>
      <c r="DAU1376" s="110"/>
      <c r="DAV1376" s="110"/>
      <c r="DAW1376" s="110"/>
      <c r="DAX1376" s="110"/>
      <c r="DAY1376" s="110"/>
      <c r="DAZ1376" s="110"/>
      <c r="DBA1376" s="110"/>
      <c r="DBB1376" s="110"/>
      <c r="DBC1376" s="110"/>
      <c r="DBD1376" s="110"/>
      <c r="DBE1376" s="110"/>
      <c r="DBF1376" s="110"/>
      <c r="DBG1376" s="110"/>
      <c r="DBH1376" s="110"/>
      <c r="DBI1376" s="110"/>
      <c r="DBJ1376" s="110"/>
      <c r="DBK1376" s="110"/>
      <c r="DBL1376" s="110"/>
      <c r="DBM1376" s="110"/>
      <c r="DBN1376" s="110"/>
      <c r="DBO1376" s="110"/>
      <c r="DBP1376" s="110"/>
      <c r="DBQ1376" s="110"/>
      <c r="DBR1376" s="110"/>
      <c r="DBS1376" s="110"/>
      <c r="DBT1376" s="110"/>
      <c r="DBU1376" s="110"/>
      <c r="DBV1376" s="110"/>
      <c r="DBW1376" s="110"/>
      <c r="DBX1376" s="110"/>
      <c r="DBY1376" s="110"/>
      <c r="DBZ1376" s="110"/>
      <c r="DCA1376" s="110"/>
      <c r="DCB1376" s="110"/>
      <c r="DCC1376" s="110"/>
      <c r="DCD1376" s="110"/>
      <c r="DCE1376" s="110"/>
      <c r="DCF1376" s="110"/>
      <c r="DCG1376" s="110"/>
      <c r="DCH1376" s="110"/>
      <c r="DCI1376" s="110"/>
      <c r="DCJ1376" s="110"/>
      <c r="DCK1376" s="110"/>
      <c r="DCL1376" s="110"/>
      <c r="DCM1376" s="110"/>
      <c r="DCN1376" s="110"/>
      <c r="DCO1376" s="110"/>
      <c r="DCP1376" s="110"/>
      <c r="DCQ1376" s="110"/>
      <c r="DCR1376" s="110"/>
      <c r="DCS1376" s="110"/>
      <c r="DCT1376" s="110"/>
      <c r="DCU1376" s="110"/>
      <c r="DCV1376" s="110"/>
      <c r="DCW1376" s="110"/>
      <c r="DCX1376" s="110"/>
      <c r="DCY1376" s="110"/>
      <c r="DCZ1376" s="110"/>
      <c r="DDA1376" s="110"/>
      <c r="DDB1376" s="110"/>
      <c r="DDC1376" s="110"/>
      <c r="DDD1376" s="110"/>
      <c r="DDE1376" s="110"/>
      <c r="DDF1376" s="110"/>
      <c r="DDG1376" s="110"/>
      <c r="DDH1376" s="110"/>
      <c r="DDI1376" s="110"/>
      <c r="DDJ1376" s="110"/>
      <c r="DDK1376" s="110"/>
      <c r="DDL1376" s="110"/>
      <c r="DDM1376" s="110"/>
      <c r="DDN1376" s="110"/>
      <c r="DDO1376" s="110"/>
      <c r="DDP1376" s="110"/>
      <c r="DDQ1376" s="110"/>
      <c r="DDR1376" s="110"/>
      <c r="DDS1376" s="110"/>
      <c r="DDT1376" s="110"/>
      <c r="DDU1376" s="110"/>
      <c r="DDV1376" s="110"/>
      <c r="DDW1376" s="110"/>
      <c r="DDX1376" s="110"/>
      <c r="DDY1376" s="110"/>
      <c r="DDZ1376" s="110"/>
      <c r="DEA1376" s="110"/>
      <c r="DEB1376" s="110"/>
      <c r="DEC1376" s="110"/>
      <c r="DED1376" s="110"/>
      <c r="DEE1376" s="110"/>
      <c r="DEF1376" s="110"/>
      <c r="DEG1376" s="110"/>
      <c r="DEH1376" s="110"/>
      <c r="DEI1376" s="110"/>
      <c r="DEJ1376" s="110"/>
      <c r="DEK1376" s="110"/>
      <c r="DEL1376" s="110"/>
      <c r="DEM1376" s="110"/>
      <c r="DEN1376" s="110"/>
      <c r="DEO1376" s="110"/>
      <c r="DEP1376" s="110"/>
      <c r="DEQ1376" s="110"/>
      <c r="DER1376" s="110"/>
      <c r="DES1376" s="110"/>
      <c r="DET1376" s="110"/>
      <c r="DEU1376" s="110"/>
      <c r="DEV1376" s="110"/>
      <c r="DEW1376" s="110"/>
      <c r="DEX1376" s="110"/>
      <c r="DEY1376" s="110"/>
      <c r="DEZ1376" s="110"/>
      <c r="DFA1376" s="110"/>
      <c r="DFB1376" s="110"/>
      <c r="DFC1376" s="110"/>
      <c r="DFD1376" s="110"/>
      <c r="DFE1376" s="110"/>
      <c r="DFF1376" s="110"/>
      <c r="DFG1376" s="110"/>
      <c r="DFH1376" s="110"/>
      <c r="DFI1376" s="110"/>
      <c r="DFJ1376" s="110"/>
      <c r="DFK1376" s="110"/>
      <c r="DFL1376" s="110"/>
      <c r="DFM1376" s="110"/>
      <c r="DFN1376" s="110"/>
      <c r="DFO1376" s="110"/>
      <c r="DFP1376" s="110"/>
      <c r="DFQ1376" s="110"/>
      <c r="DFR1376" s="110"/>
      <c r="DFS1376" s="110"/>
      <c r="DFT1376" s="110"/>
      <c r="DFU1376" s="110"/>
      <c r="DFV1376" s="110"/>
      <c r="DFW1376" s="110"/>
      <c r="DFX1376" s="110"/>
      <c r="DFY1376" s="110"/>
      <c r="DFZ1376" s="110"/>
      <c r="DGA1376" s="110"/>
      <c r="DGB1376" s="110"/>
      <c r="DGC1376" s="110"/>
      <c r="DGD1376" s="110"/>
      <c r="DGE1376" s="110"/>
      <c r="DGF1376" s="110"/>
      <c r="DGG1376" s="110"/>
      <c r="DGH1376" s="110"/>
      <c r="DGI1376" s="110"/>
      <c r="DGJ1376" s="110"/>
      <c r="DGK1376" s="110"/>
      <c r="DGL1376" s="110"/>
      <c r="DGM1376" s="110"/>
      <c r="DGN1376" s="110"/>
      <c r="DGO1376" s="110"/>
      <c r="DGP1376" s="110"/>
      <c r="DGQ1376" s="110"/>
      <c r="DGR1376" s="110"/>
      <c r="DGS1376" s="110"/>
      <c r="DGT1376" s="110"/>
      <c r="DGU1376" s="110"/>
      <c r="DGV1376" s="110"/>
      <c r="DGW1376" s="110"/>
      <c r="DGX1376" s="110"/>
      <c r="DGY1376" s="110"/>
      <c r="DGZ1376" s="110"/>
      <c r="DHA1376" s="110"/>
      <c r="DHB1376" s="110"/>
      <c r="DHC1376" s="110"/>
      <c r="DHD1376" s="110"/>
      <c r="DHE1376" s="110"/>
      <c r="DHF1376" s="110"/>
      <c r="DHG1376" s="110"/>
      <c r="DHH1376" s="110"/>
      <c r="DHI1376" s="110"/>
      <c r="DHJ1376" s="110"/>
      <c r="DHK1376" s="110"/>
      <c r="DHL1376" s="110"/>
      <c r="DHM1376" s="110"/>
      <c r="DHN1376" s="110"/>
      <c r="DHO1376" s="110"/>
      <c r="DHP1376" s="110"/>
      <c r="DHQ1376" s="110"/>
      <c r="DHR1376" s="110"/>
      <c r="DHS1376" s="110"/>
      <c r="DHT1376" s="110"/>
      <c r="DHU1376" s="110"/>
      <c r="DHV1376" s="110"/>
      <c r="DHW1376" s="110"/>
      <c r="DHX1376" s="110"/>
      <c r="DHY1376" s="110"/>
      <c r="DHZ1376" s="110"/>
      <c r="DIA1376" s="110"/>
      <c r="DIB1376" s="110"/>
      <c r="DIC1376" s="110"/>
      <c r="DID1376" s="110"/>
      <c r="DIE1376" s="110"/>
      <c r="DIF1376" s="110"/>
      <c r="DIG1376" s="110"/>
      <c r="DIH1376" s="110"/>
      <c r="DII1376" s="110"/>
      <c r="DIJ1376" s="110"/>
      <c r="DIK1376" s="110"/>
      <c r="DIL1376" s="110"/>
      <c r="DIM1376" s="110"/>
      <c r="DIN1376" s="110"/>
      <c r="DIO1376" s="110"/>
      <c r="DIP1376" s="110"/>
      <c r="DIQ1376" s="110"/>
      <c r="DIR1376" s="110"/>
      <c r="DIS1376" s="110"/>
      <c r="DIT1376" s="110"/>
      <c r="DIU1376" s="110"/>
      <c r="DIV1376" s="110"/>
      <c r="DIW1376" s="110"/>
      <c r="DIX1376" s="110"/>
      <c r="DIY1376" s="110"/>
      <c r="DIZ1376" s="110"/>
      <c r="DJA1376" s="110"/>
      <c r="DJB1376" s="110"/>
      <c r="DJC1376" s="110"/>
      <c r="DJD1376" s="110"/>
      <c r="DJE1376" s="110"/>
      <c r="DJF1376" s="110"/>
      <c r="DJG1376" s="110"/>
      <c r="DJH1376" s="110"/>
      <c r="DJI1376" s="110"/>
      <c r="DJJ1376" s="110"/>
      <c r="DJK1376" s="110"/>
      <c r="DJL1376" s="110"/>
      <c r="DJM1376" s="110"/>
      <c r="DJN1376" s="110"/>
      <c r="DJO1376" s="110"/>
      <c r="DJP1376" s="110"/>
      <c r="DJQ1376" s="110"/>
      <c r="DJR1376" s="110"/>
      <c r="DJS1376" s="110"/>
      <c r="DJT1376" s="110"/>
      <c r="DJU1376" s="110"/>
      <c r="DJV1376" s="110"/>
      <c r="DJW1376" s="110"/>
      <c r="DJX1376" s="110"/>
      <c r="DJY1376" s="110"/>
      <c r="DJZ1376" s="110"/>
      <c r="DKA1376" s="110"/>
      <c r="DKB1376" s="110"/>
      <c r="DKC1376" s="110"/>
      <c r="DKD1376" s="110"/>
      <c r="DKE1376" s="110"/>
      <c r="DKF1376" s="110"/>
      <c r="DKG1376" s="110"/>
      <c r="DKH1376" s="110"/>
      <c r="DKI1376" s="110"/>
      <c r="DKJ1376" s="110"/>
      <c r="DKK1376" s="110"/>
      <c r="DKL1376" s="110"/>
      <c r="DKM1376" s="110"/>
      <c r="DKN1376" s="110"/>
      <c r="DKO1376" s="110"/>
      <c r="DKP1376" s="110"/>
      <c r="DKQ1376" s="110"/>
      <c r="DKR1376" s="110"/>
      <c r="DKS1376" s="110"/>
      <c r="DKT1376" s="110"/>
      <c r="DKU1376" s="110"/>
      <c r="DKV1376" s="110"/>
      <c r="DKW1376" s="110"/>
      <c r="DKX1376" s="110"/>
      <c r="DKY1376" s="110"/>
      <c r="DKZ1376" s="110"/>
      <c r="DLA1376" s="110"/>
      <c r="DLB1376" s="110"/>
      <c r="DLC1376" s="110"/>
      <c r="DLD1376" s="110"/>
      <c r="DLE1376" s="110"/>
      <c r="DLF1376" s="110"/>
      <c r="DLG1376" s="110"/>
      <c r="DLH1376" s="110"/>
      <c r="DLI1376" s="110"/>
      <c r="DLJ1376" s="110"/>
      <c r="DLK1376" s="110"/>
      <c r="DLL1376" s="110"/>
      <c r="DLM1376" s="110"/>
      <c r="DLN1376" s="110"/>
      <c r="DLO1376" s="110"/>
      <c r="DLP1376" s="110"/>
      <c r="DLQ1376" s="110"/>
      <c r="DLR1376" s="110"/>
      <c r="DLS1376" s="110"/>
      <c r="DLT1376" s="110"/>
      <c r="DLU1376" s="110"/>
      <c r="DLV1376" s="110"/>
      <c r="DLW1376" s="110"/>
      <c r="DLX1376" s="110"/>
      <c r="DLY1376" s="110"/>
      <c r="DLZ1376" s="110"/>
      <c r="DMA1376" s="110"/>
      <c r="DMB1376" s="110"/>
      <c r="DMC1376" s="110"/>
      <c r="DMD1376" s="110"/>
      <c r="DME1376" s="110"/>
      <c r="DMF1376" s="110"/>
      <c r="DMG1376" s="110"/>
      <c r="DMH1376" s="110"/>
      <c r="DMI1376" s="110"/>
      <c r="DMJ1376" s="110"/>
      <c r="DMK1376" s="110"/>
      <c r="DML1376" s="110"/>
      <c r="DMM1376" s="110"/>
      <c r="DMN1376" s="110"/>
      <c r="DMO1376" s="110"/>
      <c r="DMP1376" s="110"/>
      <c r="DMQ1376" s="110"/>
      <c r="DMR1376" s="110"/>
      <c r="DMS1376" s="110"/>
      <c r="DMT1376" s="110"/>
      <c r="DMU1376" s="110"/>
      <c r="DMV1376" s="110"/>
      <c r="DMW1376" s="110"/>
      <c r="DMX1376" s="110"/>
      <c r="DMY1376" s="110"/>
      <c r="DMZ1376" s="110"/>
      <c r="DNA1376" s="110"/>
      <c r="DNB1376" s="110"/>
      <c r="DNC1376" s="110"/>
      <c r="DND1376" s="110"/>
      <c r="DNE1376" s="110"/>
      <c r="DNF1376" s="110"/>
      <c r="DNG1376" s="110"/>
      <c r="DNH1376" s="110"/>
      <c r="DNI1376" s="110"/>
      <c r="DNJ1376" s="110"/>
      <c r="DNK1376" s="110"/>
      <c r="DNL1376" s="110"/>
      <c r="DNM1376" s="110"/>
      <c r="DNN1376" s="110"/>
      <c r="DNO1376" s="110"/>
      <c r="DNP1376" s="110"/>
      <c r="DNQ1376" s="110"/>
      <c r="DNR1376" s="110"/>
      <c r="DNS1376" s="110"/>
      <c r="DNT1376" s="110"/>
      <c r="DNU1376" s="110"/>
      <c r="DNV1376" s="110"/>
      <c r="DNW1376" s="110"/>
      <c r="DNX1376" s="110"/>
      <c r="DNY1376" s="110"/>
      <c r="DNZ1376" s="110"/>
      <c r="DOA1376" s="110"/>
      <c r="DOB1376" s="110"/>
      <c r="DOC1376" s="110"/>
      <c r="DOD1376" s="110"/>
      <c r="DOE1376" s="110"/>
      <c r="DOF1376" s="110"/>
      <c r="DOG1376" s="110"/>
      <c r="DOH1376" s="110"/>
      <c r="DOI1376" s="110"/>
      <c r="DOJ1376" s="110"/>
      <c r="DOK1376" s="110"/>
      <c r="DOL1376" s="110"/>
      <c r="DOM1376" s="110"/>
      <c r="DON1376" s="110"/>
      <c r="DOO1376" s="110"/>
      <c r="DOP1376" s="110"/>
      <c r="DOQ1376" s="110"/>
      <c r="DOR1376" s="110"/>
      <c r="DOS1376" s="110"/>
      <c r="DOT1376" s="110"/>
      <c r="DOU1376" s="110"/>
      <c r="DOV1376" s="110"/>
      <c r="DOW1376" s="110"/>
      <c r="DOX1376" s="110"/>
      <c r="DOY1376" s="110"/>
      <c r="DOZ1376" s="110"/>
      <c r="DPA1376" s="110"/>
      <c r="DPB1376" s="110"/>
      <c r="DPC1376" s="110"/>
      <c r="DPD1376" s="110"/>
      <c r="DPE1376" s="110"/>
      <c r="DPF1376" s="110"/>
      <c r="DPG1376" s="110"/>
      <c r="DPH1376" s="110"/>
      <c r="DPI1376" s="110"/>
      <c r="DPJ1376" s="110"/>
      <c r="DPK1376" s="110"/>
      <c r="DPL1376" s="110"/>
      <c r="DPM1376" s="110"/>
      <c r="DPN1376" s="110"/>
      <c r="DPO1376" s="110"/>
      <c r="DPP1376" s="110"/>
      <c r="DPQ1376" s="110"/>
      <c r="DPR1376" s="110"/>
      <c r="DPS1376" s="110"/>
      <c r="DPT1376" s="110"/>
      <c r="DPU1376" s="110"/>
      <c r="DPV1376" s="110"/>
      <c r="DPW1376" s="110"/>
      <c r="DPX1376" s="110"/>
      <c r="DPY1376" s="110"/>
      <c r="DPZ1376" s="110"/>
      <c r="DQA1376" s="110"/>
      <c r="DQB1376" s="110"/>
      <c r="DQC1376" s="110"/>
      <c r="DQD1376" s="110"/>
      <c r="DQE1376" s="110"/>
      <c r="DQF1376" s="110"/>
      <c r="DQG1376" s="110"/>
      <c r="DQH1376" s="110"/>
      <c r="DQI1376" s="110"/>
      <c r="DQJ1376" s="110"/>
      <c r="DQK1376" s="110"/>
      <c r="DQL1376" s="110"/>
      <c r="DQM1376" s="110"/>
      <c r="DQN1376" s="110"/>
      <c r="DQO1376" s="110"/>
      <c r="DQP1376" s="110"/>
      <c r="DQQ1376" s="110"/>
      <c r="DQR1376" s="110"/>
      <c r="DQS1376" s="110"/>
      <c r="DQT1376" s="110"/>
      <c r="DQU1376" s="110"/>
      <c r="DQV1376" s="110"/>
      <c r="DQW1376" s="110"/>
      <c r="DQX1376" s="110"/>
      <c r="DQY1376" s="110"/>
      <c r="DQZ1376" s="110"/>
      <c r="DRA1376" s="110"/>
      <c r="DRB1376" s="110"/>
      <c r="DRC1376" s="110"/>
      <c r="DRD1376" s="110"/>
      <c r="DRE1376" s="110"/>
      <c r="DRF1376" s="110"/>
      <c r="DRG1376" s="110"/>
      <c r="DRH1376" s="110"/>
      <c r="DRI1376" s="110"/>
      <c r="DRJ1376" s="110"/>
      <c r="DRK1376" s="110"/>
      <c r="DRL1376" s="110"/>
      <c r="DRM1376" s="110"/>
      <c r="DRN1376" s="110"/>
      <c r="DRO1376" s="110"/>
      <c r="DRP1376" s="110"/>
      <c r="DRQ1376" s="110"/>
      <c r="DRR1376" s="110"/>
      <c r="DRS1376" s="110"/>
      <c r="DRT1376" s="110"/>
      <c r="DRU1376" s="110"/>
      <c r="DRV1376" s="110"/>
      <c r="DRW1376" s="110"/>
      <c r="DRX1376" s="110"/>
      <c r="DRY1376" s="110"/>
      <c r="DRZ1376" s="110"/>
      <c r="DSA1376" s="110"/>
      <c r="DSB1376" s="110"/>
      <c r="DSC1376" s="110"/>
      <c r="DSD1376" s="110"/>
      <c r="DSE1376" s="110"/>
      <c r="DSF1376" s="110"/>
      <c r="DSG1376" s="110"/>
      <c r="DSH1376" s="110"/>
      <c r="DSI1376" s="110"/>
      <c r="DSJ1376" s="110"/>
      <c r="DSK1376" s="110"/>
      <c r="DSL1376" s="110"/>
      <c r="DSM1376" s="110"/>
      <c r="DSN1376" s="110"/>
      <c r="DSO1376" s="110"/>
      <c r="DSP1376" s="110"/>
      <c r="DSQ1376" s="110"/>
      <c r="DSR1376" s="110"/>
      <c r="DSS1376" s="110"/>
      <c r="DST1376" s="110"/>
      <c r="DSU1376" s="110"/>
      <c r="DSV1376" s="110"/>
      <c r="DSW1376" s="110"/>
      <c r="DSX1376" s="110"/>
      <c r="DSY1376" s="110"/>
      <c r="DSZ1376" s="110"/>
      <c r="DTA1376" s="110"/>
      <c r="DTB1376" s="110"/>
      <c r="DTC1376" s="110"/>
      <c r="DTD1376" s="110"/>
      <c r="DTE1376" s="110"/>
      <c r="DTF1376" s="110"/>
      <c r="DTG1376" s="110"/>
      <c r="DTH1376" s="110"/>
      <c r="DTI1376" s="110"/>
      <c r="DTJ1376" s="110"/>
      <c r="DTK1376" s="110"/>
      <c r="DTL1376" s="110"/>
      <c r="DTM1376" s="110"/>
      <c r="DTN1376" s="110"/>
      <c r="DTO1376" s="110"/>
      <c r="DTP1376" s="110"/>
      <c r="DTQ1376" s="110"/>
      <c r="DTR1376" s="110"/>
      <c r="DTS1376" s="110"/>
      <c r="DTT1376" s="110"/>
      <c r="DTU1376" s="110"/>
      <c r="DTV1376" s="110"/>
      <c r="DTW1376" s="110"/>
      <c r="DTX1376" s="110"/>
      <c r="DTY1376" s="110"/>
      <c r="DTZ1376" s="110"/>
      <c r="DUA1376" s="110"/>
      <c r="DUB1376" s="110"/>
      <c r="DUC1376" s="110"/>
      <c r="DUD1376" s="110"/>
      <c r="DUE1376" s="110"/>
      <c r="DUF1376" s="110"/>
      <c r="DUG1376" s="110"/>
      <c r="DUH1376" s="110"/>
      <c r="DUI1376" s="110"/>
      <c r="DUJ1376" s="110"/>
      <c r="DUK1376" s="110"/>
      <c r="DUL1376" s="110"/>
      <c r="DUM1376" s="110"/>
      <c r="DUN1376" s="110"/>
      <c r="DUO1376" s="110"/>
      <c r="DUP1376" s="110"/>
      <c r="DUQ1376" s="110"/>
      <c r="DUR1376" s="110"/>
      <c r="DUS1376" s="110"/>
      <c r="DUT1376" s="110"/>
      <c r="DUU1376" s="110"/>
      <c r="DUV1376" s="110"/>
      <c r="DUW1376" s="110"/>
      <c r="DUX1376" s="110"/>
      <c r="DUY1376" s="110"/>
      <c r="DUZ1376" s="110"/>
      <c r="DVA1376" s="110"/>
      <c r="DVB1376" s="110"/>
      <c r="DVC1376" s="110"/>
      <c r="DVD1376" s="110"/>
      <c r="DVE1376" s="110"/>
      <c r="DVF1376" s="110"/>
      <c r="DVG1376" s="110"/>
      <c r="DVH1376" s="110"/>
      <c r="DVI1376" s="110"/>
      <c r="DVJ1376" s="110"/>
      <c r="DVK1376" s="110"/>
      <c r="DVL1376" s="110"/>
      <c r="DVM1376" s="110"/>
      <c r="DVN1376" s="110"/>
      <c r="DVO1376" s="110"/>
      <c r="DVP1376" s="110"/>
      <c r="DVQ1376" s="110"/>
      <c r="DVR1376" s="110"/>
      <c r="DVS1376" s="110"/>
      <c r="DVT1376" s="110"/>
      <c r="DVU1376" s="110"/>
      <c r="DVV1376" s="110"/>
      <c r="DVW1376" s="110"/>
      <c r="DVX1376" s="110"/>
      <c r="DVY1376" s="110"/>
      <c r="DVZ1376" s="110"/>
      <c r="DWA1376" s="110"/>
      <c r="DWB1376" s="110"/>
      <c r="DWC1376" s="110"/>
      <c r="DWD1376" s="110"/>
      <c r="DWE1376" s="110"/>
      <c r="DWF1376" s="110"/>
      <c r="DWG1376" s="110"/>
      <c r="DWH1376" s="110"/>
      <c r="DWI1376" s="110"/>
      <c r="DWJ1376" s="110"/>
      <c r="DWK1376" s="110"/>
      <c r="DWL1376" s="110"/>
      <c r="DWM1376" s="110"/>
      <c r="DWN1376" s="110"/>
      <c r="DWO1376" s="110"/>
      <c r="DWP1376" s="110"/>
      <c r="DWQ1376" s="110"/>
      <c r="DWR1376" s="110"/>
      <c r="DWS1376" s="110"/>
      <c r="DWT1376" s="110"/>
      <c r="DWU1376" s="110"/>
      <c r="DWV1376" s="110"/>
      <c r="DWW1376" s="110"/>
      <c r="DWX1376" s="110"/>
      <c r="DWY1376" s="110"/>
      <c r="DWZ1376" s="110"/>
      <c r="DXA1376" s="110"/>
      <c r="DXB1376" s="110"/>
      <c r="DXC1376" s="110"/>
      <c r="DXD1376" s="110"/>
      <c r="DXE1376" s="110"/>
      <c r="DXF1376" s="110"/>
      <c r="DXG1376" s="110"/>
      <c r="DXH1376" s="110"/>
      <c r="DXI1376" s="110"/>
      <c r="DXJ1376" s="110"/>
      <c r="DXK1376" s="110"/>
      <c r="DXL1376" s="110"/>
      <c r="DXM1376" s="110"/>
      <c r="DXN1376" s="110"/>
      <c r="DXO1376" s="110"/>
      <c r="DXP1376" s="110"/>
      <c r="DXQ1376" s="110"/>
      <c r="DXR1376" s="110"/>
      <c r="DXS1376" s="110"/>
      <c r="DXT1376" s="110"/>
      <c r="DXU1376" s="110"/>
      <c r="DXV1376" s="110"/>
      <c r="DXW1376" s="110"/>
      <c r="DXX1376" s="110"/>
      <c r="DXY1376" s="110"/>
      <c r="DXZ1376" s="110"/>
      <c r="DYA1376" s="110"/>
      <c r="DYB1376" s="110"/>
      <c r="DYC1376" s="110"/>
      <c r="DYD1376" s="110"/>
      <c r="DYE1376" s="110"/>
      <c r="DYF1376" s="110"/>
      <c r="DYG1376" s="110"/>
      <c r="DYH1376" s="110"/>
      <c r="DYI1376" s="110"/>
      <c r="DYJ1376" s="110"/>
      <c r="DYK1376" s="110"/>
      <c r="DYL1376" s="110"/>
      <c r="DYM1376" s="110"/>
      <c r="DYN1376" s="110"/>
      <c r="DYO1376" s="110"/>
      <c r="DYP1376" s="110"/>
      <c r="DYQ1376" s="110"/>
      <c r="DYR1376" s="110"/>
      <c r="DYS1376" s="110"/>
      <c r="DYT1376" s="110"/>
      <c r="DYU1376" s="110"/>
      <c r="DYV1376" s="110"/>
      <c r="DYW1376" s="110"/>
      <c r="DYX1376" s="110"/>
      <c r="DYY1376" s="110"/>
      <c r="DYZ1376" s="110"/>
      <c r="DZA1376" s="110"/>
      <c r="DZB1376" s="110"/>
      <c r="DZC1376" s="110"/>
      <c r="DZD1376" s="110"/>
      <c r="DZE1376" s="110"/>
      <c r="DZF1376" s="110"/>
      <c r="DZG1376" s="110"/>
      <c r="DZH1376" s="110"/>
      <c r="DZI1376" s="110"/>
      <c r="DZJ1376" s="110"/>
      <c r="DZK1376" s="110"/>
      <c r="DZL1376" s="110"/>
      <c r="DZM1376" s="110"/>
      <c r="DZN1376" s="110"/>
      <c r="DZO1376" s="110"/>
      <c r="DZP1376" s="110"/>
      <c r="DZQ1376" s="110"/>
      <c r="DZR1376" s="110"/>
      <c r="DZS1376" s="110"/>
      <c r="DZT1376" s="110"/>
      <c r="DZU1376" s="110"/>
      <c r="DZV1376" s="110"/>
      <c r="DZW1376" s="110"/>
      <c r="DZX1376" s="110"/>
      <c r="DZY1376" s="110"/>
      <c r="DZZ1376" s="110"/>
      <c r="EAA1376" s="110"/>
      <c r="EAB1376" s="110"/>
      <c r="EAC1376" s="110"/>
      <c r="EAD1376" s="110"/>
      <c r="EAE1376" s="110"/>
      <c r="EAF1376" s="110"/>
      <c r="EAG1376" s="110"/>
      <c r="EAH1376" s="110"/>
      <c r="EAI1376" s="110"/>
      <c r="EAJ1376" s="110"/>
      <c r="EAK1376" s="110"/>
      <c r="EAL1376" s="110"/>
      <c r="EAM1376" s="110"/>
      <c r="EAN1376" s="110"/>
      <c r="EAO1376" s="110"/>
      <c r="EAP1376" s="110"/>
      <c r="EAQ1376" s="110"/>
      <c r="EAR1376" s="110"/>
      <c r="EAS1376" s="110"/>
      <c r="EAT1376" s="110"/>
      <c r="EAU1376" s="110"/>
      <c r="EAV1376" s="110"/>
      <c r="EAW1376" s="110"/>
      <c r="EAX1376" s="110"/>
      <c r="EAY1376" s="110"/>
      <c r="EAZ1376" s="110"/>
      <c r="EBA1376" s="110"/>
      <c r="EBB1376" s="110"/>
      <c r="EBC1376" s="110"/>
      <c r="EBD1376" s="110"/>
      <c r="EBE1376" s="110"/>
      <c r="EBF1376" s="110"/>
      <c r="EBG1376" s="110"/>
      <c r="EBH1376" s="110"/>
      <c r="EBI1376" s="110"/>
      <c r="EBJ1376" s="110"/>
      <c r="EBK1376" s="110"/>
      <c r="EBL1376" s="110"/>
      <c r="EBM1376" s="110"/>
      <c r="EBN1376" s="110"/>
      <c r="EBO1376" s="110"/>
      <c r="EBP1376" s="110"/>
      <c r="EBQ1376" s="110"/>
      <c r="EBR1376" s="110"/>
      <c r="EBS1376" s="110"/>
      <c r="EBT1376" s="110"/>
      <c r="EBU1376" s="110"/>
      <c r="EBV1376" s="110"/>
      <c r="EBW1376" s="110"/>
      <c r="EBX1376" s="110"/>
      <c r="EBY1376" s="110"/>
      <c r="EBZ1376" s="110"/>
      <c r="ECA1376" s="110"/>
      <c r="ECB1376" s="110"/>
      <c r="ECC1376" s="110"/>
      <c r="ECD1376" s="110"/>
      <c r="ECE1376" s="110"/>
      <c r="ECF1376" s="110"/>
      <c r="ECG1376" s="110"/>
      <c r="ECH1376" s="110"/>
      <c r="ECI1376" s="110"/>
      <c r="ECJ1376" s="110"/>
      <c r="ECK1376" s="110"/>
      <c r="ECL1376" s="110"/>
      <c r="ECM1376" s="110"/>
      <c r="ECN1376" s="110"/>
      <c r="ECO1376" s="110"/>
      <c r="ECP1376" s="110"/>
      <c r="ECQ1376" s="110"/>
      <c r="ECR1376" s="110"/>
      <c r="ECS1376" s="110"/>
      <c r="ECT1376" s="110"/>
      <c r="ECU1376" s="110"/>
      <c r="ECV1376" s="110"/>
      <c r="ECW1376" s="110"/>
      <c r="ECX1376" s="110"/>
      <c r="ECY1376" s="110"/>
      <c r="ECZ1376" s="110"/>
      <c r="EDA1376" s="110"/>
      <c r="EDB1376" s="110"/>
      <c r="EDC1376" s="110"/>
      <c r="EDD1376" s="110"/>
      <c r="EDE1376" s="110"/>
      <c r="EDF1376" s="110"/>
      <c r="EDG1376" s="110"/>
      <c r="EDH1376" s="110"/>
      <c r="EDI1376" s="110"/>
      <c r="EDJ1376" s="110"/>
      <c r="EDK1376" s="110"/>
      <c r="EDL1376" s="110"/>
      <c r="EDM1376" s="110"/>
      <c r="EDN1376" s="110"/>
      <c r="EDO1376" s="110"/>
      <c r="EDP1376" s="110"/>
      <c r="EDQ1376" s="110"/>
      <c r="EDR1376" s="110"/>
      <c r="EDS1376" s="110"/>
      <c r="EDT1376" s="110"/>
      <c r="EDU1376" s="110"/>
      <c r="EDV1376" s="110"/>
      <c r="EDW1376" s="110"/>
      <c r="EDX1376" s="110"/>
      <c r="EDY1376" s="110"/>
      <c r="EDZ1376" s="110"/>
      <c r="EEA1376" s="110"/>
      <c r="EEB1376" s="110"/>
      <c r="EEC1376" s="110"/>
      <c r="EED1376" s="110"/>
      <c r="EEE1376" s="110"/>
      <c r="EEF1376" s="110"/>
      <c r="EEG1376" s="110"/>
      <c r="EEH1376" s="110"/>
      <c r="EEI1376" s="110"/>
      <c r="EEJ1376" s="110"/>
      <c r="EEK1376" s="110"/>
      <c r="EEL1376" s="110"/>
      <c r="EEM1376" s="110"/>
      <c r="EEN1376" s="110"/>
      <c r="EEO1376" s="110"/>
      <c r="EEP1376" s="110"/>
      <c r="EEQ1376" s="110"/>
      <c r="EER1376" s="110"/>
      <c r="EES1376" s="110"/>
      <c r="EET1376" s="110"/>
      <c r="EEU1376" s="110"/>
      <c r="EEV1376" s="110"/>
      <c r="EEW1376" s="110"/>
      <c r="EEX1376" s="110"/>
      <c r="EEY1376" s="110"/>
      <c r="EEZ1376" s="110"/>
      <c r="EFA1376" s="110"/>
      <c r="EFB1376" s="110"/>
      <c r="EFC1376" s="110"/>
      <c r="EFD1376" s="110"/>
      <c r="EFE1376" s="110"/>
      <c r="EFF1376" s="110"/>
      <c r="EFG1376" s="110"/>
      <c r="EFH1376" s="110"/>
      <c r="EFI1376" s="110"/>
      <c r="EFJ1376" s="110"/>
      <c r="EFK1376" s="110"/>
      <c r="EFL1376" s="110"/>
      <c r="EFM1376" s="110"/>
      <c r="EFN1376" s="110"/>
      <c r="EFO1376" s="110"/>
      <c r="EFP1376" s="110"/>
      <c r="EFQ1376" s="110"/>
      <c r="EFR1376" s="110"/>
      <c r="EFS1376" s="110"/>
      <c r="EFT1376" s="110"/>
      <c r="EFU1376" s="110"/>
      <c r="EFV1376" s="110"/>
      <c r="EFW1376" s="110"/>
      <c r="EFX1376" s="110"/>
      <c r="EFY1376" s="110"/>
      <c r="EFZ1376" s="110"/>
      <c r="EGA1376" s="110"/>
      <c r="EGB1376" s="110"/>
      <c r="EGC1376" s="110"/>
      <c r="EGD1376" s="110"/>
      <c r="EGE1376" s="110"/>
      <c r="EGF1376" s="110"/>
      <c r="EGG1376" s="110"/>
      <c r="EGH1376" s="110"/>
      <c r="EGI1376" s="110"/>
      <c r="EGJ1376" s="110"/>
      <c r="EGK1376" s="110"/>
      <c r="EGL1376" s="110"/>
      <c r="EGM1376" s="110"/>
      <c r="EGN1376" s="110"/>
      <c r="EGO1376" s="110"/>
      <c r="EGP1376" s="110"/>
      <c r="EGQ1376" s="110"/>
      <c r="EGR1376" s="110"/>
      <c r="EGS1376" s="110"/>
      <c r="EGT1376" s="110"/>
      <c r="EGU1376" s="110"/>
      <c r="EGV1376" s="110"/>
      <c r="EGW1376" s="110"/>
      <c r="EGX1376" s="110"/>
      <c r="EGY1376" s="110"/>
      <c r="EGZ1376" s="110"/>
      <c r="EHA1376" s="110"/>
      <c r="EHB1376" s="110"/>
      <c r="EHC1376" s="110"/>
      <c r="EHD1376" s="110"/>
      <c r="EHE1376" s="110"/>
      <c r="EHF1376" s="110"/>
      <c r="EHG1376" s="110"/>
      <c r="EHH1376" s="110"/>
      <c r="EHI1376" s="110"/>
      <c r="EHJ1376" s="110"/>
      <c r="EHK1376" s="110"/>
      <c r="EHL1376" s="110"/>
      <c r="EHM1376" s="110"/>
      <c r="EHN1376" s="110"/>
      <c r="EHO1376" s="110"/>
      <c r="EHP1376" s="110"/>
      <c r="EHQ1376" s="110"/>
      <c r="EHR1376" s="110"/>
      <c r="EHS1376" s="110"/>
      <c r="EHT1376" s="110"/>
      <c r="EHU1376" s="110"/>
      <c r="EHV1376" s="110"/>
      <c r="EHW1376" s="110"/>
      <c r="EHX1376" s="110"/>
      <c r="EHY1376" s="110"/>
      <c r="EHZ1376" s="110"/>
      <c r="EIA1376" s="110"/>
      <c r="EIB1376" s="110"/>
      <c r="EIC1376" s="110"/>
      <c r="EID1376" s="110"/>
      <c r="EIE1376" s="110"/>
      <c r="EIF1376" s="110"/>
      <c r="EIG1376" s="110"/>
      <c r="EIH1376" s="110"/>
      <c r="EII1376" s="110"/>
      <c r="EIJ1376" s="110"/>
      <c r="EIK1376" s="110"/>
      <c r="EIL1376" s="110"/>
      <c r="EIM1376" s="110"/>
      <c r="EIN1376" s="110"/>
      <c r="EIO1376" s="110"/>
      <c r="EIP1376" s="110"/>
      <c r="EIQ1376" s="110"/>
      <c r="EIR1376" s="110"/>
      <c r="EIS1376" s="110"/>
      <c r="EIT1376" s="110"/>
      <c r="EIU1376" s="110"/>
      <c r="EIV1376" s="110"/>
      <c r="EIW1376" s="110"/>
      <c r="EIX1376" s="110"/>
      <c r="EIY1376" s="110"/>
      <c r="EIZ1376" s="110"/>
      <c r="EJA1376" s="110"/>
      <c r="EJB1376" s="110"/>
      <c r="EJC1376" s="110"/>
      <c r="EJD1376" s="110"/>
      <c r="EJE1376" s="110"/>
      <c r="EJF1376" s="110"/>
      <c r="EJG1376" s="110"/>
      <c r="EJH1376" s="110"/>
      <c r="EJI1376" s="110"/>
      <c r="EJJ1376" s="110"/>
      <c r="EJK1376" s="110"/>
      <c r="EJL1376" s="110"/>
      <c r="EJM1376" s="110"/>
      <c r="EJN1376" s="110"/>
      <c r="EJO1376" s="110"/>
      <c r="EJP1376" s="110"/>
      <c r="EJQ1376" s="110"/>
      <c r="EJR1376" s="110"/>
      <c r="EJS1376" s="110"/>
      <c r="EJT1376" s="110"/>
      <c r="EJU1376" s="110"/>
      <c r="EJV1376" s="110"/>
      <c r="EJW1376" s="110"/>
      <c r="EJX1376" s="110"/>
      <c r="EJY1376" s="110"/>
      <c r="EJZ1376" s="110"/>
      <c r="EKA1376" s="110"/>
      <c r="EKB1376" s="110"/>
      <c r="EKC1376" s="110"/>
      <c r="EKD1376" s="110"/>
      <c r="EKE1376" s="110"/>
      <c r="EKF1376" s="110"/>
      <c r="EKG1376" s="110"/>
      <c r="EKH1376" s="110"/>
      <c r="EKI1376" s="110"/>
      <c r="EKJ1376" s="110"/>
      <c r="EKK1376" s="110"/>
      <c r="EKL1376" s="110"/>
      <c r="EKM1376" s="110"/>
      <c r="EKN1376" s="110"/>
      <c r="EKO1376" s="110"/>
      <c r="EKP1376" s="110"/>
      <c r="EKQ1376" s="110"/>
      <c r="EKR1376" s="110"/>
      <c r="EKS1376" s="110"/>
      <c r="EKT1376" s="110"/>
      <c r="EKU1376" s="110"/>
      <c r="EKV1376" s="110"/>
      <c r="EKW1376" s="110"/>
      <c r="EKX1376" s="110"/>
      <c r="EKY1376" s="110"/>
      <c r="EKZ1376" s="110"/>
      <c r="ELA1376" s="110"/>
      <c r="ELB1376" s="110"/>
      <c r="ELC1376" s="110"/>
      <c r="ELD1376" s="110"/>
      <c r="ELE1376" s="110"/>
      <c r="ELF1376" s="110"/>
      <c r="ELG1376" s="110"/>
      <c r="ELH1376" s="110"/>
      <c r="ELI1376" s="110"/>
      <c r="ELJ1376" s="110"/>
      <c r="ELK1376" s="110"/>
      <c r="ELL1376" s="110"/>
      <c r="ELM1376" s="110"/>
      <c r="ELN1376" s="110"/>
      <c r="ELO1376" s="110"/>
      <c r="ELP1376" s="110"/>
      <c r="ELQ1376" s="110"/>
      <c r="ELR1376" s="110"/>
      <c r="ELS1376" s="110"/>
      <c r="ELT1376" s="110"/>
      <c r="ELU1376" s="110"/>
      <c r="ELV1376" s="110"/>
      <c r="ELW1376" s="110"/>
      <c r="ELX1376" s="110"/>
      <c r="ELY1376" s="110"/>
      <c r="ELZ1376" s="110"/>
      <c r="EMA1376" s="110"/>
      <c r="EMB1376" s="110"/>
      <c r="EMC1376" s="110"/>
      <c r="EMD1376" s="110"/>
      <c r="EME1376" s="110"/>
      <c r="EMF1376" s="110"/>
      <c r="EMG1376" s="110"/>
      <c r="EMH1376" s="110"/>
      <c r="EMI1376" s="110"/>
      <c r="EMJ1376" s="110"/>
      <c r="EMK1376" s="110"/>
      <c r="EML1376" s="110"/>
      <c r="EMM1376" s="110"/>
      <c r="EMN1376" s="110"/>
      <c r="EMO1376" s="110"/>
      <c r="EMP1376" s="110"/>
      <c r="EMQ1376" s="110"/>
      <c r="EMR1376" s="110"/>
      <c r="EMS1376" s="110"/>
      <c r="EMT1376" s="110"/>
      <c r="EMU1376" s="110"/>
      <c r="EMV1376" s="110"/>
      <c r="EMW1376" s="110"/>
      <c r="EMX1376" s="110"/>
      <c r="EMY1376" s="110"/>
      <c r="EMZ1376" s="110"/>
      <c r="ENA1376" s="110"/>
      <c r="ENB1376" s="110"/>
      <c r="ENC1376" s="110"/>
      <c r="END1376" s="110"/>
      <c r="ENE1376" s="110"/>
      <c r="ENF1376" s="110"/>
      <c r="ENG1376" s="110"/>
      <c r="ENH1376" s="110"/>
      <c r="ENI1376" s="110"/>
      <c r="ENJ1376" s="110"/>
      <c r="ENK1376" s="110"/>
      <c r="ENL1376" s="110"/>
      <c r="ENM1376" s="110"/>
      <c r="ENN1376" s="110"/>
      <c r="ENO1376" s="110"/>
      <c r="ENP1376" s="110"/>
      <c r="ENQ1376" s="110"/>
      <c r="ENR1376" s="110"/>
      <c r="ENS1376" s="110"/>
      <c r="ENT1376" s="110"/>
      <c r="ENU1376" s="110"/>
      <c r="ENV1376" s="110"/>
      <c r="ENW1376" s="110"/>
      <c r="ENX1376" s="110"/>
      <c r="ENY1376" s="110"/>
      <c r="ENZ1376" s="110"/>
      <c r="EOA1376" s="110"/>
      <c r="EOB1376" s="110"/>
      <c r="EOC1376" s="110"/>
      <c r="EOD1376" s="110"/>
      <c r="EOE1376" s="110"/>
      <c r="EOF1376" s="110"/>
      <c r="EOG1376" s="110"/>
      <c r="EOH1376" s="110"/>
      <c r="EOI1376" s="110"/>
      <c r="EOJ1376" s="110"/>
      <c r="EOK1376" s="110"/>
      <c r="EOL1376" s="110"/>
      <c r="EOM1376" s="110"/>
      <c r="EON1376" s="110"/>
      <c r="EOO1376" s="110"/>
      <c r="EOP1376" s="110"/>
      <c r="EOQ1376" s="110"/>
      <c r="EOR1376" s="110"/>
      <c r="EOS1376" s="110"/>
      <c r="EOT1376" s="110"/>
      <c r="EOU1376" s="110"/>
      <c r="EOV1376" s="110"/>
      <c r="EOW1376" s="110"/>
      <c r="EOX1376" s="110"/>
      <c r="EOY1376" s="110"/>
      <c r="EOZ1376" s="110"/>
      <c r="EPA1376" s="110"/>
      <c r="EPB1376" s="110"/>
      <c r="EPC1376" s="110"/>
      <c r="EPD1376" s="110"/>
      <c r="EPE1376" s="110"/>
      <c r="EPF1376" s="110"/>
      <c r="EPG1376" s="110"/>
      <c r="EPH1376" s="110"/>
      <c r="EPI1376" s="110"/>
      <c r="EPJ1376" s="110"/>
      <c r="EPK1376" s="110"/>
      <c r="EPL1376" s="110"/>
      <c r="EPM1376" s="110"/>
      <c r="EPN1376" s="110"/>
      <c r="EPO1376" s="110"/>
      <c r="EPP1376" s="110"/>
      <c r="EPQ1376" s="110"/>
      <c r="EPR1376" s="110"/>
      <c r="EPS1376" s="110"/>
      <c r="EPT1376" s="110"/>
      <c r="EPU1376" s="110"/>
      <c r="EPV1376" s="110"/>
      <c r="EPW1376" s="110"/>
      <c r="EPX1376" s="110"/>
      <c r="EPY1376" s="110"/>
      <c r="EPZ1376" s="110"/>
      <c r="EQA1376" s="110"/>
      <c r="EQB1376" s="110"/>
      <c r="EQC1376" s="110"/>
      <c r="EQD1376" s="110"/>
      <c r="EQE1376" s="110"/>
      <c r="EQF1376" s="110"/>
      <c r="EQG1376" s="110"/>
      <c r="EQH1376" s="110"/>
      <c r="EQI1376" s="110"/>
      <c r="EQJ1376" s="110"/>
      <c r="EQK1376" s="110"/>
      <c r="EQL1376" s="110"/>
      <c r="EQM1376" s="110"/>
      <c r="EQN1376" s="110"/>
      <c r="EQO1376" s="110"/>
      <c r="EQP1376" s="110"/>
      <c r="EQQ1376" s="110"/>
      <c r="EQR1376" s="110"/>
      <c r="EQS1376" s="110"/>
      <c r="EQT1376" s="110"/>
      <c r="EQU1376" s="110"/>
      <c r="EQV1376" s="110"/>
      <c r="EQW1376" s="110"/>
      <c r="EQX1376" s="110"/>
      <c r="EQY1376" s="110"/>
      <c r="EQZ1376" s="110"/>
      <c r="ERA1376" s="110"/>
      <c r="ERB1376" s="110"/>
      <c r="ERC1376" s="110"/>
      <c r="ERD1376" s="110"/>
      <c r="ERE1376" s="110"/>
      <c r="ERF1376" s="110"/>
      <c r="ERG1376" s="110"/>
      <c r="ERH1376" s="110"/>
      <c r="ERI1376" s="110"/>
      <c r="ERJ1376" s="110"/>
      <c r="ERK1376" s="110"/>
      <c r="ERL1376" s="110"/>
      <c r="ERM1376" s="110"/>
      <c r="ERN1376" s="110"/>
      <c r="ERO1376" s="110"/>
      <c r="ERP1376" s="110"/>
      <c r="ERQ1376" s="110"/>
      <c r="ERR1376" s="110"/>
      <c r="ERS1376" s="110"/>
      <c r="ERT1376" s="110"/>
      <c r="ERU1376" s="110"/>
      <c r="ERV1376" s="110"/>
      <c r="ERW1376" s="110"/>
      <c r="ERX1376" s="110"/>
      <c r="ERY1376" s="110"/>
      <c r="ERZ1376" s="110"/>
      <c r="ESA1376" s="110"/>
      <c r="ESB1376" s="110"/>
      <c r="ESC1376" s="110"/>
      <c r="ESD1376" s="110"/>
      <c r="ESE1376" s="110"/>
      <c r="ESF1376" s="110"/>
      <c r="ESG1376" s="110"/>
      <c r="ESH1376" s="110"/>
      <c r="ESI1376" s="110"/>
      <c r="ESJ1376" s="110"/>
      <c r="ESK1376" s="110"/>
      <c r="ESL1376" s="110"/>
      <c r="ESM1376" s="110"/>
      <c r="ESN1376" s="110"/>
      <c r="ESO1376" s="110"/>
      <c r="ESP1376" s="110"/>
      <c r="ESQ1376" s="110"/>
      <c r="ESR1376" s="110"/>
      <c r="ESS1376" s="110"/>
      <c r="EST1376" s="110"/>
      <c r="ESU1376" s="110"/>
      <c r="ESV1376" s="110"/>
      <c r="ESW1376" s="110"/>
      <c r="ESX1376" s="110"/>
      <c r="ESY1376" s="110"/>
      <c r="ESZ1376" s="110"/>
      <c r="ETA1376" s="110"/>
      <c r="ETB1376" s="110"/>
      <c r="ETC1376" s="110"/>
      <c r="ETD1376" s="110"/>
      <c r="ETE1376" s="110"/>
      <c r="ETF1376" s="110"/>
      <c r="ETG1376" s="110"/>
      <c r="ETH1376" s="110"/>
      <c r="ETI1376" s="110"/>
      <c r="ETJ1376" s="110"/>
      <c r="ETK1376" s="110"/>
      <c r="ETL1376" s="110"/>
      <c r="ETM1376" s="110"/>
      <c r="ETN1376" s="110"/>
      <c r="ETO1376" s="110"/>
      <c r="ETP1376" s="110"/>
      <c r="ETQ1376" s="110"/>
      <c r="ETR1376" s="110"/>
      <c r="ETS1376" s="110"/>
      <c r="ETT1376" s="110"/>
      <c r="ETU1376" s="110"/>
      <c r="ETV1376" s="110"/>
      <c r="ETW1376" s="110"/>
      <c r="ETX1376" s="110"/>
      <c r="ETY1376" s="110"/>
      <c r="ETZ1376" s="110"/>
      <c r="EUA1376" s="110"/>
      <c r="EUB1376" s="110"/>
      <c r="EUC1376" s="110"/>
      <c r="EUD1376" s="110"/>
      <c r="EUE1376" s="110"/>
      <c r="EUF1376" s="110"/>
      <c r="EUG1376" s="110"/>
      <c r="EUH1376" s="110"/>
      <c r="EUI1376" s="110"/>
      <c r="EUJ1376" s="110"/>
      <c r="EUK1376" s="110"/>
      <c r="EUL1376" s="110"/>
      <c r="EUM1376" s="110"/>
      <c r="EUN1376" s="110"/>
      <c r="EUO1376" s="110"/>
      <c r="EUP1376" s="110"/>
      <c r="EUQ1376" s="110"/>
      <c r="EUR1376" s="110"/>
      <c r="EUS1376" s="110"/>
      <c r="EUT1376" s="110"/>
      <c r="EUU1376" s="110"/>
      <c r="EUV1376" s="110"/>
      <c r="EUW1376" s="110"/>
      <c r="EUX1376" s="110"/>
      <c r="EUY1376" s="110"/>
      <c r="EUZ1376" s="110"/>
      <c r="EVA1376" s="110"/>
      <c r="EVB1376" s="110"/>
      <c r="EVC1376" s="110"/>
      <c r="EVD1376" s="110"/>
      <c r="EVE1376" s="110"/>
      <c r="EVF1376" s="110"/>
      <c r="EVG1376" s="110"/>
      <c r="EVH1376" s="110"/>
      <c r="EVI1376" s="110"/>
      <c r="EVJ1376" s="110"/>
      <c r="EVK1376" s="110"/>
      <c r="EVL1376" s="110"/>
      <c r="EVM1376" s="110"/>
      <c r="EVN1376" s="110"/>
      <c r="EVO1376" s="110"/>
      <c r="EVP1376" s="110"/>
      <c r="EVQ1376" s="110"/>
      <c r="EVR1376" s="110"/>
      <c r="EVS1376" s="110"/>
      <c r="EVT1376" s="110"/>
      <c r="EVU1376" s="110"/>
      <c r="EVV1376" s="110"/>
      <c r="EVW1376" s="110"/>
      <c r="EVX1376" s="110"/>
      <c r="EVY1376" s="110"/>
      <c r="EVZ1376" s="110"/>
      <c r="EWA1376" s="110"/>
      <c r="EWB1376" s="110"/>
      <c r="EWC1376" s="110"/>
      <c r="EWD1376" s="110"/>
      <c r="EWE1376" s="110"/>
      <c r="EWF1376" s="110"/>
      <c r="EWG1376" s="110"/>
      <c r="EWH1376" s="110"/>
      <c r="EWI1376" s="110"/>
      <c r="EWJ1376" s="110"/>
      <c r="EWK1376" s="110"/>
      <c r="EWL1376" s="110"/>
      <c r="EWM1376" s="110"/>
      <c r="EWN1376" s="110"/>
      <c r="EWO1376" s="110"/>
      <c r="EWP1376" s="110"/>
      <c r="EWQ1376" s="110"/>
      <c r="EWR1376" s="110"/>
      <c r="EWS1376" s="110"/>
      <c r="EWT1376" s="110"/>
      <c r="EWU1376" s="110"/>
      <c r="EWV1376" s="110"/>
      <c r="EWW1376" s="110"/>
      <c r="EWX1376" s="110"/>
      <c r="EWY1376" s="110"/>
      <c r="EWZ1376" s="110"/>
      <c r="EXA1376" s="110"/>
      <c r="EXB1376" s="110"/>
      <c r="EXC1376" s="110"/>
      <c r="EXD1376" s="110"/>
      <c r="EXE1376" s="110"/>
      <c r="EXF1376" s="110"/>
      <c r="EXG1376" s="110"/>
      <c r="EXH1376" s="110"/>
      <c r="EXI1376" s="110"/>
      <c r="EXJ1376" s="110"/>
      <c r="EXK1376" s="110"/>
      <c r="EXL1376" s="110"/>
      <c r="EXM1376" s="110"/>
      <c r="EXN1376" s="110"/>
      <c r="EXO1376" s="110"/>
      <c r="EXP1376" s="110"/>
      <c r="EXQ1376" s="110"/>
      <c r="EXR1376" s="110"/>
      <c r="EXS1376" s="110"/>
      <c r="EXT1376" s="110"/>
      <c r="EXU1376" s="110"/>
      <c r="EXV1376" s="110"/>
      <c r="EXW1376" s="110"/>
      <c r="EXX1376" s="110"/>
      <c r="EXY1376" s="110"/>
      <c r="EXZ1376" s="110"/>
      <c r="EYA1376" s="110"/>
      <c r="EYB1376" s="110"/>
      <c r="EYC1376" s="110"/>
      <c r="EYD1376" s="110"/>
      <c r="EYE1376" s="110"/>
      <c r="EYF1376" s="110"/>
      <c r="EYG1376" s="110"/>
      <c r="EYH1376" s="110"/>
      <c r="EYI1376" s="110"/>
      <c r="EYJ1376" s="110"/>
      <c r="EYK1376" s="110"/>
      <c r="EYL1376" s="110"/>
      <c r="EYM1376" s="110"/>
      <c r="EYN1376" s="110"/>
      <c r="EYO1376" s="110"/>
      <c r="EYP1376" s="110"/>
      <c r="EYQ1376" s="110"/>
      <c r="EYR1376" s="110"/>
      <c r="EYS1376" s="110"/>
      <c r="EYT1376" s="110"/>
      <c r="EYU1376" s="110"/>
      <c r="EYV1376" s="110"/>
      <c r="EYW1376" s="110"/>
      <c r="EYX1376" s="110"/>
      <c r="EYY1376" s="110"/>
      <c r="EYZ1376" s="110"/>
      <c r="EZA1376" s="110"/>
      <c r="EZB1376" s="110"/>
      <c r="EZC1376" s="110"/>
      <c r="EZD1376" s="110"/>
      <c r="EZE1376" s="110"/>
      <c r="EZF1376" s="110"/>
      <c r="EZG1376" s="110"/>
      <c r="EZH1376" s="110"/>
      <c r="EZI1376" s="110"/>
      <c r="EZJ1376" s="110"/>
      <c r="EZK1376" s="110"/>
      <c r="EZL1376" s="110"/>
      <c r="EZM1376" s="110"/>
      <c r="EZN1376" s="110"/>
      <c r="EZO1376" s="110"/>
      <c r="EZP1376" s="110"/>
      <c r="EZQ1376" s="110"/>
      <c r="EZR1376" s="110"/>
      <c r="EZS1376" s="110"/>
      <c r="EZT1376" s="110"/>
      <c r="EZU1376" s="110"/>
      <c r="EZV1376" s="110"/>
      <c r="EZW1376" s="110"/>
      <c r="EZX1376" s="110"/>
      <c r="EZY1376" s="110"/>
      <c r="EZZ1376" s="110"/>
      <c r="FAA1376" s="110"/>
      <c r="FAB1376" s="110"/>
      <c r="FAC1376" s="110"/>
      <c r="FAD1376" s="110"/>
      <c r="FAE1376" s="110"/>
      <c r="FAF1376" s="110"/>
      <c r="FAG1376" s="110"/>
      <c r="FAH1376" s="110"/>
      <c r="FAI1376" s="110"/>
      <c r="FAJ1376" s="110"/>
      <c r="FAK1376" s="110"/>
      <c r="FAL1376" s="110"/>
      <c r="FAM1376" s="110"/>
      <c r="FAN1376" s="110"/>
      <c r="FAO1376" s="110"/>
      <c r="FAP1376" s="110"/>
      <c r="FAQ1376" s="110"/>
      <c r="FAR1376" s="110"/>
      <c r="FAS1376" s="110"/>
      <c r="FAT1376" s="110"/>
      <c r="FAU1376" s="110"/>
      <c r="FAV1376" s="110"/>
      <c r="FAW1376" s="110"/>
      <c r="FAX1376" s="110"/>
      <c r="FAY1376" s="110"/>
      <c r="FAZ1376" s="110"/>
      <c r="FBA1376" s="110"/>
      <c r="FBB1376" s="110"/>
      <c r="FBC1376" s="110"/>
      <c r="FBD1376" s="110"/>
      <c r="FBE1376" s="110"/>
      <c r="FBF1376" s="110"/>
      <c r="FBG1376" s="110"/>
      <c r="FBH1376" s="110"/>
      <c r="FBI1376" s="110"/>
      <c r="FBJ1376" s="110"/>
      <c r="FBK1376" s="110"/>
      <c r="FBL1376" s="110"/>
      <c r="FBM1376" s="110"/>
      <c r="FBN1376" s="110"/>
      <c r="FBO1376" s="110"/>
      <c r="FBP1376" s="110"/>
      <c r="FBQ1376" s="110"/>
      <c r="FBR1376" s="110"/>
      <c r="FBS1376" s="110"/>
      <c r="FBT1376" s="110"/>
      <c r="FBU1376" s="110"/>
      <c r="FBV1376" s="110"/>
      <c r="FBW1376" s="110"/>
      <c r="FBX1376" s="110"/>
      <c r="FBY1376" s="110"/>
      <c r="FBZ1376" s="110"/>
      <c r="FCA1376" s="110"/>
      <c r="FCB1376" s="110"/>
      <c r="FCC1376" s="110"/>
      <c r="FCD1376" s="110"/>
      <c r="FCE1376" s="110"/>
      <c r="FCF1376" s="110"/>
      <c r="FCG1376" s="110"/>
      <c r="FCH1376" s="110"/>
      <c r="FCI1376" s="110"/>
      <c r="FCJ1376" s="110"/>
      <c r="FCK1376" s="110"/>
      <c r="FCL1376" s="110"/>
      <c r="FCM1376" s="110"/>
      <c r="FCN1376" s="110"/>
      <c r="FCO1376" s="110"/>
      <c r="FCP1376" s="110"/>
      <c r="FCQ1376" s="110"/>
      <c r="FCR1376" s="110"/>
      <c r="FCS1376" s="110"/>
      <c r="FCT1376" s="110"/>
      <c r="FCU1376" s="110"/>
      <c r="FCV1376" s="110"/>
      <c r="FCW1376" s="110"/>
      <c r="FCX1376" s="110"/>
      <c r="FCY1376" s="110"/>
      <c r="FCZ1376" s="110"/>
      <c r="FDA1376" s="110"/>
      <c r="FDB1376" s="110"/>
      <c r="FDC1376" s="110"/>
      <c r="FDD1376" s="110"/>
      <c r="FDE1376" s="110"/>
      <c r="FDF1376" s="110"/>
      <c r="FDG1376" s="110"/>
      <c r="FDH1376" s="110"/>
      <c r="FDI1376" s="110"/>
      <c r="FDJ1376" s="110"/>
      <c r="FDK1376" s="110"/>
      <c r="FDL1376" s="110"/>
      <c r="FDM1376" s="110"/>
      <c r="FDN1376" s="110"/>
      <c r="FDO1376" s="110"/>
      <c r="FDP1376" s="110"/>
      <c r="FDQ1376" s="110"/>
      <c r="FDR1376" s="110"/>
      <c r="FDS1376" s="110"/>
      <c r="FDT1376" s="110"/>
      <c r="FDU1376" s="110"/>
      <c r="FDV1376" s="110"/>
      <c r="FDW1376" s="110"/>
      <c r="FDX1376" s="110"/>
      <c r="FDY1376" s="110"/>
      <c r="FDZ1376" s="110"/>
      <c r="FEA1376" s="110"/>
      <c r="FEB1376" s="110"/>
      <c r="FEC1376" s="110"/>
      <c r="FED1376" s="110"/>
      <c r="FEE1376" s="110"/>
      <c r="FEF1376" s="110"/>
      <c r="FEG1376" s="110"/>
      <c r="FEH1376" s="110"/>
      <c r="FEI1376" s="110"/>
      <c r="FEJ1376" s="110"/>
      <c r="FEK1376" s="110"/>
      <c r="FEL1376" s="110"/>
      <c r="FEM1376" s="110"/>
      <c r="FEN1376" s="110"/>
      <c r="FEO1376" s="110"/>
      <c r="FEP1376" s="110"/>
      <c r="FEQ1376" s="110"/>
      <c r="FER1376" s="110"/>
      <c r="FES1376" s="110"/>
      <c r="FET1376" s="110"/>
      <c r="FEU1376" s="110"/>
      <c r="FEV1376" s="110"/>
      <c r="FEW1376" s="110"/>
      <c r="FEX1376" s="110"/>
      <c r="FEY1376" s="110"/>
      <c r="FEZ1376" s="110"/>
      <c r="FFA1376" s="110"/>
      <c r="FFB1376" s="110"/>
      <c r="FFC1376" s="110"/>
      <c r="FFD1376" s="110"/>
      <c r="FFE1376" s="110"/>
      <c r="FFF1376" s="110"/>
      <c r="FFG1376" s="110"/>
      <c r="FFH1376" s="110"/>
      <c r="FFI1376" s="110"/>
      <c r="FFJ1376" s="110"/>
      <c r="FFK1376" s="110"/>
      <c r="FFL1376" s="110"/>
      <c r="FFM1376" s="110"/>
      <c r="FFN1376" s="110"/>
      <c r="FFO1376" s="110"/>
      <c r="FFP1376" s="110"/>
      <c r="FFQ1376" s="110"/>
      <c r="FFR1376" s="110"/>
      <c r="FFS1376" s="110"/>
      <c r="FFT1376" s="110"/>
      <c r="FFU1376" s="110"/>
      <c r="FFV1376" s="110"/>
      <c r="FFW1376" s="110"/>
      <c r="FFX1376" s="110"/>
      <c r="FFY1376" s="110"/>
      <c r="FFZ1376" s="110"/>
      <c r="FGA1376" s="110"/>
      <c r="FGB1376" s="110"/>
      <c r="FGC1376" s="110"/>
      <c r="FGD1376" s="110"/>
      <c r="FGE1376" s="110"/>
      <c r="FGF1376" s="110"/>
      <c r="FGG1376" s="110"/>
      <c r="FGH1376" s="110"/>
      <c r="FGI1376" s="110"/>
      <c r="FGJ1376" s="110"/>
      <c r="FGK1376" s="110"/>
      <c r="FGL1376" s="110"/>
      <c r="FGM1376" s="110"/>
      <c r="FGN1376" s="110"/>
      <c r="FGO1376" s="110"/>
      <c r="FGP1376" s="110"/>
      <c r="FGQ1376" s="110"/>
      <c r="FGR1376" s="110"/>
      <c r="FGS1376" s="110"/>
      <c r="FGT1376" s="110"/>
      <c r="FGU1376" s="110"/>
      <c r="FGV1376" s="110"/>
      <c r="FGW1376" s="110"/>
      <c r="FGX1376" s="110"/>
      <c r="FGY1376" s="110"/>
      <c r="FGZ1376" s="110"/>
      <c r="FHA1376" s="110"/>
      <c r="FHB1376" s="110"/>
      <c r="FHC1376" s="110"/>
      <c r="FHD1376" s="110"/>
      <c r="FHE1376" s="110"/>
      <c r="FHF1376" s="110"/>
      <c r="FHG1376" s="110"/>
      <c r="FHH1376" s="110"/>
      <c r="FHI1376" s="110"/>
      <c r="FHJ1376" s="110"/>
      <c r="FHK1376" s="110"/>
      <c r="FHL1376" s="110"/>
      <c r="FHM1376" s="110"/>
      <c r="FHN1376" s="110"/>
      <c r="FHO1376" s="110"/>
      <c r="FHP1376" s="110"/>
      <c r="FHQ1376" s="110"/>
      <c r="FHR1376" s="110"/>
      <c r="FHS1376" s="110"/>
      <c r="FHT1376" s="110"/>
      <c r="FHU1376" s="110"/>
      <c r="FHV1376" s="110"/>
      <c r="FHW1376" s="110"/>
      <c r="FHX1376" s="110"/>
      <c r="FHY1376" s="110"/>
      <c r="FHZ1376" s="110"/>
      <c r="FIA1376" s="110"/>
      <c r="FIB1376" s="110"/>
      <c r="FIC1376" s="110"/>
      <c r="FID1376" s="110"/>
      <c r="FIE1376" s="110"/>
      <c r="FIF1376" s="110"/>
      <c r="FIG1376" s="110"/>
      <c r="FIH1376" s="110"/>
      <c r="FII1376" s="110"/>
      <c r="FIJ1376" s="110"/>
      <c r="FIK1376" s="110"/>
      <c r="FIL1376" s="110"/>
      <c r="FIM1376" s="110"/>
      <c r="FIN1376" s="110"/>
      <c r="FIO1376" s="110"/>
      <c r="FIP1376" s="110"/>
      <c r="FIQ1376" s="110"/>
      <c r="FIR1376" s="110"/>
      <c r="FIS1376" s="110"/>
      <c r="FIT1376" s="110"/>
      <c r="FIU1376" s="110"/>
      <c r="FIV1376" s="110"/>
      <c r="FIW1376" s="110"/>
      <c r="FIX1376" s="110"/>
      <c r="FIY1376" s="110"/>
      <c r="FIZ1376" s="110"/>
      <c r="FJA1376" s="110"/>
      <c r="FJB1376" s="110"/>
      <c r="FJC1376" s="110"/>
      <c r="FJD1376" s="110"/>
      <c r="FJE1376" s="110"/>
      <c r="FJF1376" s="110"/>
      <c r="FJG1376" s="110"/>
      <c r="FJH1376" s="110"/>
      <c r="FJI1376" s="110"/>
      <c r="FJJ1376" s="110"/>
      <c r="FJK1376" s="110"/>
      <c r="FJL1376" s="110"/>
      <c r="FJM1376" s="110"/>
      <c r="FJN1376" s="110"/>
      <c r="FJO1376" s="110"/>
      <c r="FJP1376" s="110"/>
      <c r="FJQ1376" s="110"/>
      <c r="FJR1376" s="110"/>
      <c r="FJS1376" s="110"/>
      <c r="FJT1376" s="110"/>
      <c r="FJU1376" s="110"/>
      <c r="FJV1376" s="110"/>
      <c r="FJW1376" s="110"/>
      <c r="FJX1376" s="110"/>
      <c r="FJY1376" s="110"/>
      <c r="FJZ1376" s="110"/>
      <c r="FKA1376" s="110"/>
      <c r="FKB1376" s="110"/>
      <c r="FKC1376" s="110"/>
      <c r="FKD1376" s="110"/>
      <c r="FKE1376" s="110"/>
      <c r="FKF1376" s="110"/>
      <c r="FKG1376" s="110"/>
      <c r="FKH1376" s="110"/>
      <c r="FKI1376" s="110"/>
      <c r="FKJ1376" s="110"/>
      <c r="FKK1376" s="110"/>
      <c r="FKL1376" s="110"/>
      <c r="FKM1376" s="110"/>
      <c r="FKN1376" s="110"/>
      <c r="FKO1376" s="110"/>
      <c r="FKP1376" s="110"/>
      <c r="FKQ1376" s="110"/>
      <c r="FKR1376" s="110"/>
      <c r="FKS1376" s="110"/>
      <c r="FKT1376" s="110"/>
      <c r="FKU1376" s="110"/>
      <c r="FKV1376" s="110"/>
      <c r="FKW1376" s="110"/>
      <c r="FKX1376" s="110"/>
      <c r="FKY1376" s="110"/>
      <c r="FKZ1376" s="110"/>
      <c r="FLA1376" s="110"/>
      <c r="FLB1376" s="110"/>
      <c r="FLC1376" s="110"/>
      <c r="FLD1376" s="110"/>
      <c r="FLE1376" s="110"/>
      <c r="FLF1376" s="110"/>
      <c r="FLG1376" s="110"/>
      <c r="FLH1376" s="110"/>
      <c r="FLI1376" s="110"/>
      <c r="FLJ1376" s="110"/>
      <c r="FLK1376" s="110"/>
      <c r="FLL1376" s="110"/>
      <c r="FLM1376" s="110"/>
      <c r="FLN1376" s="110"/>
      <c r="FLO1376" s="110"/>
      <c r="FLP1376" s="110"/>
      <c r="FLQ1376" s="110"/>
      <c r="FLR1376" s="110"/>
      <c r="FLS1376" s="110"/>
      <c r="FLT1376" s="110"/>
      <c r="FLU1376" s="110"/>
      <c r="FLV1376" s="110"/>
      <c r="FLW1376" s="110"/>
      <c r="FLX1376" s="110"/>
      <c r="FLY1376" s="110"/>
      <c r="FLZ1376" s="110"/>
      <c r="FMA1376" s="110"/>
      <c r="FMB1376" s="110"/>
      <c r="FMC1376" s="110"/>
      <c r="FMD1376" s="110"/>
      <c r="FME1376" s="110"/>
      <c r="FMF1376" s="110"/>
      <c r="FMG1376" s="110"/>
      <c r="FMH1376" s="110"/>
      <c r="FMI1376" s="110"/>
      <c r="FMJ1376" s="110"/>
      <c r="FMK1376" s="110"/>
      <c r="FML1376" s="110"/>
      <c r="FMM1376" s="110"/>
      <c r="FMN1376" s="110"/>
      <c r="FMO1376" s="110"/>
      <c r="FMP1376" s="110"/>
      <c r="FMQ1376" s="110"/>
      <c r="FMR1376" s="110"/>
      <c r="FMS1376" s="110"/>
      <c r="FMT1376" s="110"/>
      <c r="FMU1376" s="110"/>
      <c r="FMV1376" s="110"/>
      <c r="FMW1376" s="110"/>
      <c r="FMX1376" s="110"/>
      <c r="FMY1376" s="110"/>
      <c r="FMZ1376" s="110"/>
      <c r="FNA1376" s="110"/>
      <c r="FNB1376" s="110"/>
      <c r="FNC1376" s="110"/>
      <c r="FND1376" s="110"/>
      <c r="FNE1376" s="110"/>
      <c r="FNF1376" s="110"/>
      <c r="FNG1376" s="110"/>
      <c r="FNH1376" s="110"/>
      <c r="FNI1376" s="110"/>
      <c r="FNJ1376" s="110"/>
      <c r="FNK1376" s="110"/>
      <c r="FNL1376" s="110"/>
      <c r="FNM1376" s="110"/>
      <c r="FNN1376" s="110"/>
      <c r="FNO1376" s="110"/>
      <c r="FNP1376" s="110"/>
      <c r="FNQ1376" s="110"/>
      <c r="FNR1376" s="110"/>
      <c r="FNS1376" s="110"/>
      <c r="FNT1376" s="110"/>
      <c r="FNU1376" s="110"/>
      <c r="FNV1376" s="110"/>
      <c r="FNW1376" s="110"/>
      <c r="FNX1376" s="110"/>
      <c r="FNY1376" s="110"/>
      <c r="FNZ1376" s="110"/>
      <c r="FOA1376" s="110"/>
      <c r="FOB1376" s="110"/>
      <c r="FOC1376" s="110"/>
      <c r="FOD1376" s="110"/>
      <c r="FOE1376" s="110"/>
      <c r="FOF1376" s="110"/>
      <c r="FOG1376" s="110"/>
      <c r="FOH1376" s="110"/>
      <c r="FOI1376" s="110"/>
      <c r="FOJ1376" s="110"/>
      <c r="FOK1376" s="110"/>
      <c r="FOL1376" s="110"/>
      <c r="FOM1376" s="110"/>
      <c r="FON1376" s="110"/>
      <c r="FOO1376" s="110"/>
      <c r="FOP1376" s="110"/>
      <c r="FOQ1376" s="110"/>
      <c r="FOR1376" s="110"/>
      <c r="FOS1376" s="110"/>
      <c r="FOT1376" s="110"/>
      <c r="FOU1376" s="110"/>
      <c r="FOV1376" s="110"/>
      <c r="FOW1376" s="110"/>
      <c r="FOX1376" s="110"/>
      <c r="FOY1376" s="110"/>
      <c r="FOZ1376" s="110"/>
      <c r="FPA1376" s="110"/>
      <c r="FPB1376" s="110"/>
      <c r="FPC1376" s="110"/>
      <c r="FPD1376" s="110"/>
      <c r="FPE1376" s="110"/>
      <c r="FPF1376" s="110"/>
      <c r="FPG1376" s="110"/>
      <c r="FPH1376" s="110"/>
      <c r="FPI1376" s="110"/>
      <c r="FPJ1376" s="110"/>
      <c r="FPK1376" s="110"/>
      <c r="FPL1376" s="110"/>
      <c r="FPM1376" s="110"/>
      <c r="FPN1376" s="110"/>
      <c r="FPO1376" s="110"/>
      <c r="FPP1376" s="110"/>
      <c r="FPQ1376" s="110"/>
      <c r="FPR1376" s="110"/>
      <c r="FPS1376" s="110"/>
      <c r="FPT1376" s="110"/>
      <c r="FPU1376" s="110"/>
      <c r="FPV1376" s="110"/>
      <c r="FPW1376" s="110"/>
      <c r="FPX1376" s="110"/>
      <c r="FPY1376" s="110"/>
      <c r="FPZ1376" s="110"/>
      <c r="FQA1376" s="110"/>
      <c r="FQB1376" s="110"/>
      <c r="FQC1376" s="110"/>
      <c r="FQD1376" s="110"/>
      <c r="FQE1376" s="110"/>
      <c r="FQF1376" s="110"/>
      <c r="FQG1376" s="110"/>
      <c r="FQH1376" s="110"/>
      <c r="FQI1376" s="110"/>
      <c r="FQJ1376" s="110"/>
      <c r="FQK1376" s="110"/>
      <c r="FQL1376" s="110"/>
      <c r="FQM1376" s="110"/>
      <c r="FQN1376" s="110"/>
      <c r="FQO1376" s="110"/>
      <c r="FQP1376" s="110"/>
      <c r="FQQ1376" s="110"/>
      <c r="FQR1376" s="110"/>
      <c r="FQS1376" s="110"/>
      <c r="FQT1376" s="110"/>
      <c r="FQU1376" s="110"/>
      <c r="FQV1376" s="110"/>
      <c r="FQW1376" s="110"/>
      <c r="FQX1376" s="110"/>
      <c r="FQY1376" s="110"/>
      <c r="FQZ1376" s="110"/>
      <c r="FRA1376" s="110"/>
      <c r="FRB1376" s="110"/>
      <c r="FRC1376" s="110"/>
      <c r="FRD1376" s="110"/>
      <c r="FRE1376" s="110"/>
      <c r="FRF1376" s="110"/>
      <c r="FRG1376" s="110"/>
      <c r="FRH1376" s="110"/>
      <c r="FRI1376" s="110"/>
      <c r="FRJ1376" s="110"/>
      <c r="FRK1376" s="110"/>
      <c r="FRL1376" s="110"/>
      <c r="FRM1376" s="110"/>
      <c r="FRN1376" s="110"/>
      <c r="FRO1376" s="110"/>
      <c r="FRP1376" s="110"/>
      <c r="FRQ1376" s="110"/>
      <c r="FRR1376" s="110"/>
      <c r="FRS1376" s="110"/>
      <c r="FRT1376" s="110"/>
      <c r="FRU1376" s="110"/>
      <c r="FRV1376" s="110"/>
      <c r="FRW1376" s="110"/>
      <c r="FRX1376" s="110"/>
      <c r="FRY1376" s="110"/>
      <c r="FRZ1376" s="110"/>
      <c r="FSA1376" s="110"/>
      <c r="FSB1376" s="110"/>
      <c r="FSC1376" s="110"/>
      <c r="FSD1376" s="110"/>
      <c r="FSE1376" s="110"/>
      <c r="FSF1376" s="110"/>
      <c r="FSG1376" s="110"/>
      <c r="FSH1376" s="110"/>
      <c r="FSI1376" s="110"/>
      <c r="FSJ1376" s="110"/>
      <c r="FSK1376" s="110"/>
      <c r="FSL1376" s="110"/>
      <c r="FSM1376" s="110"/>
      <c r="FSN1376" s="110"/>
      <c r="FSO1376" s="110"/>
      <c r="FSP1376" s="110"/>
      <c r="FSQ1376" s="110"/>
      <c r="FSR1376" s="110"/>
      <c r="FSS1376" s="110"/>
      <c r="FST1376" s="110"/>
      <c r="FSU1376" s="110"/>
      <c r="FSV1376" s="110"/>
      <c r="FSW1376" s="110"/>
      <c r="FSX1376" s="110"/>
      <c r="FSY1376" s="110"/>
      <c r="FSZ1376" s="110"/>
      <c r="FTA1376" s="110"/>
      <c r="FTB1376" s="110"/>
      <c r="FTC1376" s="110"/>
      <c r="FTD1376" s="110"/>
      <c r="FTE1376" s="110"/>
      <c r="FTF1376" s="110"/>
      <c r="FTG1376" s="110"/>
      <c r="FTH1376" s="110"/>
      <c r="FTI1376" s="110"/>
      <c r="FTJ1376" s="110"/>
      <c r="FTK1376" s="110"/>
      <c r="FTL1376" s="110"/>
      <c r="FTM1376" s="110"/>
      <c r="FTN1376" s="110"/>
      <c r="FTO1376" s="110"/>
      <c r="FTP1376" s="110"/>
      <c r="FTQ1376" s="110"/>
      <c r="FTR1376" s="110"/>
      <c r="FTS1376" s="110"/>
      <c r="FTT1376" s="110"/>
      <c r="FTU1376" s="110"/>
      <c r="FTV1376" s="110"/>
      <c r="FTW1376" s="110"/>
      <c r="FTX1376" s="110"/>
      <c r="FTY1376" s="110"/>
      <c r="FTZ1376" s="110"/>
      <c r="FUA1376" s="110"/>
      <c r="FUB1376" s="110"/>
      <c r="FUC1376" s="110"/>
      <c r="FUD1376" s="110"/>
      <c r="FUE1376" s="110"/>
      <c r="FUF1376" s="110"/>
      <c r="FUG1376" s="110"/>
      <c r="FUH1376" s="110"/>
      <c r="FUI1376" s="110"/>
      <c r="FUJ1376" s="110"/>
      <c r="FUK1376" s="110"/>
      <c r="FUL1376" s="110"/>
      <c r="FUM1376" s="110"/>
      <c r="FUN1376" s="110"/>
      <c r="FUO1376" s="110"/>
      <c r="FUP1376" s="110"/>
      <c r="FUQ1376" s="110"/>
      <c r="FUR1376" s="110"/>
      <c r="FUS1376" s="110"/>
      <c r="FUT1376" s="110"/>
      <c r="FUU1376" s="110"/>
      <c r="FUV1376" s="110"/>
      <c r="FUW1376" s="110"/>
      <c r="FUX1376" s="110"/>
      <c r="FUY1376" s="110"/>
      <c r="FUZ1376" s="110"/>
      <c r="FVA1376" s="110"/>
      <c r="FVB1376" s="110"/>
      <c r="FVC1376" s="110"/>
      <c r="FVD1376" s="110"/>
      <c r="FVE1376" s="110"/>
      <c r="FVF1376" s="110"/>
      <c r="FVG1376" s="110"/>
      <c r="FVH1376" s="110"/>
      <c r="FVI1376" s="110"/>
      <c r="FVJ1376" s="110"/>
      <c r="FVK1376" s="110"/>
      <c r="FVL1376" s="110"/>
      <c r="FVM1376" s="110"/>
      <c r="FVN1376" s="110"/>
      <c r="FVO1376" s="110"/>
      <c r="FVP1376" s="110"/>
      <c r="FVQ1376" s="110"/>
      <c r="FVR1376" s="110"/>
      <c r="FVS1376" s="110"/>
      <c r="FVT1376" s="110"/>
      <c r="FVU1376" s="110"/>
      <c r="FVV1376" s="110"/>
      <c r="FVW1376" s="110"/>
      <c r="FVX1376" s="110"/>
      <c r="FVY1376" s="110"/>
      <c r="FVZ1376" s="110"/>
      <c r="FWA1376" s="110"/>
      <c r="FWB1376" s="110"/>
      <c r="FWC1376" s="110"/>
      <c r="FWD1376" s="110"/>
      <c r="FWE1376" s="110"/>
      <c r="FWF1376" s="110"/>
      <c r="FWG1376" s="110"/>
      <c r="FWH1376" s="110"/>
      <c r="FWI1376" s="110"/>
      <c r="FWJ1376" s="110"/>
      <c r="FWK1376" s="110"/>
      <c r="FWL1376" s="110"/>
      <c r="FWM1376" s="110"/>
      <c r="FWN1376" s="110"/>
      <c r="FWO1376" s="110"/>
      <c r="FWP1376" s="110"/>
      <c r="FWQ1376" s="110"/>
      <c r="FWR1376" s="110"/>
      <c r="FWS1376" s="110"/>
      <c r="FWT1376" s="110"/>
      <c r="FWU1376" s="110"/>
      <c r="FWV1376" s="110"/>
      <c r="FWW1376" s="110"/>
      <c r="FWX1376" s="110"/>
      <c r="FWY1376" s="110"/>
      <c r="FWZ1376" s="110"/>
      <c r="FXA1376" s="110"/>
      <c r="FXB1376" s="110"/>
      <c r="FXC1376" s="110"/>
      <c r="FXD1376" s="110"/>
      <c r="FXE1376" s="110"/>
      <c r="FXF1376" s="110"/>
      <c r="FXG1376" s="110"/>
      <c r="FXH1376" s="110"/>
      <c r="FXI1376" s="110"/>
      <c r="FXJ1376" s="110"/>
      <c r="FXK1376" s="110"/>
      <c r="FXL1376" s="110"/>
      <c r="FXM1376" s="110"/>
      <c r="FXN1376" s="110"/>
      <c r="FXO1376" s="110"/>
      <c r="FXP1376" s="110"/>
      <c r="FXQ1376" s="110"/>
      <c r="FXR1376" s="110"/>
      <c r="FXS1376" s="110"/>
      <c r="FXT1376" s="110"/>
      <c r="FXU1376" s="110"/>
      <c r="FXV1376" s="110"/>
      <c r="FXW1376" s="110"/>
      <c r="FXX1376" s="110"/>
      <c r="FXY1376" s="110"/>
      <c r="FXZ1376" s="110"/>
      <c r="FYA1376" s="110"/>
      <c r="FYB1376" s="110"/>
      <c r="FYC1376" s="110"/>
      <c r="FYD1376" s="110"/>
      <c r="FYE1376" s="110"/>
      <c r="FYF1376" s="110"/>
      <c r="FYG1376" s="110"/>
      <c r="FYH1376" s="110"/>
      <c r="FYI1376" s="110"/>
      <c r="FYJ1376" s="110"/>
      <c r="FYK1376" s="110"/>
      <c r="FYL1376" s="110"/>
      <c r="FYM1376" s="110"/>
      <c r="FYN1376" s="110"/>
      <c r="FYO1376" s="110"/>
      <c r="FYP1376" s="110"/>
      <c r="FYQ1376" s="110"/>
      <c r="FYR1376" s="110"/>
      <c r="FYS1376" s="110"/>
      <c r="FYT1376" s="110"/>
      <c r="FYU1376" s="110"/>
      <c r="FYV1376" s="110"/>
      <c r="FYW1376" s="110"/>
      <c r="FYX1376" s="110"/>
      <c r="FYY1376" s="110"/>
      <c r="FYZ1376" s="110"/>
      <c r="FZA1376" s="110"/>
      <c r="FZB1376" s="110"/>
      <c r="FZC1376" s="110"/>
      <c r="FZD1376" s="110"/>
      <c r="FZE1376" s="110"/>
      <c r="FZF1376" s="110"/>
      <c r="FZG1376" s="110"/>
      <c r="FZH1376" s="110"/>
      <c r="FZI1376" s="110"/>
      <c r="FZJ1376" s="110"/>
      <c r="FZK1376" s="110"/>
      <c r="FZL1376" s="110"/>
      <c r="FZM1376" s="110"/>
      <c r="FZN1376" s="110"/>
      <c r="FZO1376" s="110"/>
      <c r="FZP1376" s="110"/>
      <c r="FZQ1376" s="110"/>
      <c r="FZR1376" s="110"/>
      <c r="FZS1376" s="110"/>
      <c r="FZT1376" s="110"/>
      <c r="FZU1376" s="110"/>
      <c r="FZV1376" s="110"/>
      <c r="FZW1376" s="110"/>
      <c r="FZX1376" s="110"/>
      <c r="FZY1376" s="110"/>
      <c r="FZZ1376" s="110"/>
      <c r="GAA1376" s="110"/>
      <c r="GAB1376" s="110"/>
      <c r="GAC1376" s="110"/>
      <c r="GAD1376" s="110"/>
      <c r="GAE1376" s="110"/>
      <c r="GAF1376" s="110"/>
      <c r="GAG1376" s="110"/>
      <c r="GAH1376" s="110"/>
      <c r="GAI1376" s="110"/>
      <c r="GAJ1376" s="110"/>
      <c r="GAK1376" s="110"/>
      <c r="GAL1376" s="110"/>
      <c r="GAM1376" s="110"/>
      <c r="GAN1376" s="110"/>
      <c r="GAO1376" s="110"/>
      <c r="GAP1376" s="110"/>
      <c r="GAQ1376" s="110"/>
      <c r="GAR1376" s="110"/>
      <c r="GAS1376" s="110"/>
      <c r="GAT1376" s="110"/>
      <c r="GAU1376" s="110"/>
      <c r="GAV1376" s="110"/>
      <c r="GAW1376" s="110"/>
      <c r="GAX1376" s="110"/>
      <c r="GAY1376" s="110"/>
      <c r="GAZ1376" s="110"/>
      <c r="GBA1376" s="110"/>
      <c r="GBB1376" s="110"/>
      <c r="GBC1376" s="110"/>
      <c r="GBD1376" s="110"/>
      <c r="GBE1376" s="110"/>
      <c r="GBF1376" s="110"/>
      <c r="GBG1376" s="110"/>
      <c r="GBH1376" s="110"/>
      <c r="GBI1376" s="110"/>
      <c r="GBJ1376" s="110"/>
      <c r="GBK1376" s="110"/>
      <c r="GBL1376" s="110"/>
      <c r="GBM1376" s="110"/>
      <c r="GBN1376" s="110"/>
      <c r="GBO1376" s="110"/>
      <c r="GBP1376" s="110"/>
      <c r="GBQ1376" s="110"/>
      <c r="GBR1376" s="110"/>
      <c r="GBS1376" s="110"/>
      <c r="GBT1376" s="110"/>
      <c r="GBU1376" s="110"/>
      <c r="GBV1376" s="110"/>
      <c r="GBW1376" s="110"/>
      <c r="GBX1376" s="110"/>
      <c r="GBY1376" s="110"/>
      <c r="GBZ1376" s="110"/>
      <c r="GCA1376" s="110"/>
      <c r="GCB1376" s="110"/>
      <c r="GCC1376" s="110"/>
      <c r="GCD1376" s="110"/>
      <c r="GCE1376" s="110"/>
      <c r="GCF1376" s="110"/>
      <c r="GCG1376" s="110"/>
      <c r="GCH1376" s="110"/>
      <c r="GCI1376" s="110"/>
      <c r="GCJ1376" s="110"/>
      <c r="GCK1376" s="110"/>
      <c r="GCL1376" s="110"/>
      <c r="GCM1376" s="110"/>
      <c r="GCN1376" s="110"/>
      <c r="GCO1376" s="110"/>
      <c r="GCP1376" s="110"/>
      <c r="GCQ1376" s="110"/>
      <c r="GCR1376" s="110"/>
      <c r="GCS1376" s="110"/>
      <c r="GCT1376" s="110"/>
      <c r="GCU1376" s="110"/>
      <c r="GCV1376" s="110"/>
      <c r="GCW1376" s="110"/>
      <c r="GCX1376" s="110"/>
      <c r="GCY1376" s="110"/>
      <c r="GCZ1376" s="110"/>
      <c r="GDA1376" s="110"/>
      <c r="GDB1376" s="110"/>
      <c r="GDC1376" s="110"/>
      <c r="GDD1376" s="110"/>
      <c r="GDE1376" s="110"/>
      <c r="GDF1376" s="110"/>
      <c r="GDG1376" s="110"/>
      <c r="GDH1376" s="110"/>
      <c r="GDI1376" s="110"/>
      <c r="GDJ1376" s="110"/>
      <c r="GDK1376" s="110"/>
      <c r="GDL1376" s="110"/>
      <c r="GDM1376" s="110"/>
      <c r="GDN1376" s="110"/>
      <c r="GDO1376" s="110"/>
      <c r="GDP1376" s="110"/>
      <c r="GDQ1376" s="110"/>
      <c r="GDR1376" s="110"/>
      <c r="GDS1376" s="110"/>
      <c r="GDT1376" s="110"/>
      <c r="GDU1376" s="110"/>
      <c r="GDV1376" s="110"/>
      <c r="GDW1376" s="110"/>
      <c r="GDX1376" s="110"/>
      <c r="GDY1376" s="110"/>
      <c r="GDZ1376" s="110"/>
      <c r="GEA1376" s="110"/>
      <c r="GEB1376" s="110"/>
      <c r="GEC1376" s="110"/>
      <c r="GED1376" s="110"/>
      <c r="GEE1376" s="110"/>
      <c r="GEF1376" s="110"/>
      <c r="GEG1376" s="110"/>
      <c r="GEH1376" s="110"/>
      <c r="GEI1376" s="110"/>
      <c r="GEJ1376" s="110"/>
      <c r="GEK1376" s="110"/>
      <c r="GEL1376" s="110"/>
      <c r="GEM1376" s="110"/>
      <c r="GEN1376" s="110"/>
      <c r="GEO1376" s="110"/>
      <c r="GEP1376" s="110"/>
      <c r="GEQ1376" s="110"/>
      <c r="GER1376" s="110"/>
      <c r="GES1376" s="110"/>
      <c r="GET1376" s="110"/>
      <c r="GEU1376" s="110"/>
      <c r="GEV1376" s="110"/>
      <c r="GEW1376" s="110"/>
      <c r="GEX1376" s="110"/>
      <c r="GEY1376" s="110"/>
      <c r="GEZ1376" s="110"/>
      <c r="GFA1376" s="110"/>
      <c r="GFB1376" s="110"/>
      <c r="GFC1376" s="110"/>
      <c r="GFD1376" s="110"/>
      <c r="GFE1376" s="110"/>
      <c r="GFF1376" s="110"/>
      <c r="GFG1376" s="110"/>
      <c r="GFH1376" s="110"/>
      <c r="GFI1376" s="110"/>
      <c r="GFJ1376" s="110"/>
      <c r="GFK1376" s="110"/>
      <c r="GFL1376" s="110"/>
      <c r="GFM1376" s="110"/>
      <c r="GFN1376" s="110"/>
      <c r="GFO1376" s="110"/>
      <c r="GFP1376" s="110"/>
      <c r="GFQ1376" s="110"/>
      <c r="GFR1376" s="110"/>
      <c r="GFS1376" s="110"/>
      <c r="GFT1376" s="110"/>
      <c r="GFU1376" s="110"/>
      <c r="GFV1376" s="110"/>
      <c r="GFW1376" s="110"/>
      <c r="GFX1376" s="110"/>
      <c r="GFY1376" s="110"/>
      <c r="GFZ1376" s="110"/>
      <c r="GGA1376" s="110"/>
      <c r="GGB1376" s="110"/>
      <c r="GGC1376" s="110"/>
      <c r="GGD1376" s="110"/>
      <c r="GGE1376" s="110"/>
      <c r="GGF1376" s="110"/>
      <c r="GGG1376" s="110"/>
      <c r="GGH1376" s="110"/>
      <c r="GGI1376" s="110"/>
      <c r="GGJ1376" s="110"/>
      <c r="GGK1376" s="110"/>
      <c r="GGL1376" s="110"/>
      <c r="GGM1376" s="110"/>
      <c r="GGN1376" s="110"/>
      <c r="GGO1376" s="110"/>
      <c r="GGP1376" s="110"/>
      <c r="GGQ1376" s="110"/>
      <c r="GGR1376" s="110"/>
      <c r="GGS1376" s="110"/>
      <c r="GGT1376" s="110"/>
      <c r="GGU1376" s="110"/>
      <c r="GGV1376" s="110"/>
      <c r="GGW1376" s="110"/>
      <c r="GGX1376" s="110"/>
      <c r="GGY1376" s="110"/>
      <c r="GGZ1376" s="110"/>
      <c r="GHA1376" s="110"/>
      <c r="GHB1376" s="110"/>
      <c r="GHC1376" s="110"/>
      <c r="GHD1376" s="110"/>
      <c r="GHE1376" s="110"/>
      <c r="GHF1376" s="110"/>
      <c r="GHG1376" s="110"/>
      <c r="GHH1376" s="110"/>
      <c r="GHI1376" s="110"/>
      <c r="GHJ1376" s="110"/>
      <c r="GHK1376" s="110"/>
      <c r="GHL1376" s="110"/>
      <c r="GHM1376" s="110"/>
      <c r="GHN1376" s="110"/>
      <c r="GHO1376" s="110"/>
      <c r="GHP1376" s="110"/>
      <c r="GHQ1376" s="110"/>
      <c r="GHR1376" s="110"/>
      <c r="GHS1376" s="110"/>
      <c r="GHT1376" s="110"/>
      <c r="GHU1376" s="110"/>
      <c r="GHV1376" s="110"/>
      <c r="GHW1376" s="110"/>
      <c r="GHX1376" s="110"/>
      <c r="GHY1376" s="110"/>
      <c r="GHZ1376" s="110"/>
      <c r="GIA1376" s="110"/>
      <c r="GIB1376" s="110"/>
      <c r="GIC1376" s="110"/>
      <c r="GID1376" s="110"/>
      <c r="GIE1376" s="110"/>
      <c r="GIF1376" s="110"/>
      <c r="GIG1376" s="110"/>
      <c r="GIH1376" s="110"/>
      <c r="GII1376" s="110"/>
      <c r="GIJ1376" s="110"/>
      <c r="GIK1376" s="110"/>
      <c r="GIL1376" s="110"/>
      <c r="GIM1376" s="110"/>
      <c r="GIN1376" s="110"/>
      <c r="GIO1376" s="110"/>
      <c r="GIP1376" s="110"/>
      <c r="GIQ1376" s="110"/>
      <c r="GIR1376" s="110"/>
      <c r="GIS1376" s="110"/>
      <c r="GIT1376" s="110"/>
      <c r="GIU1376" s="110"/>
      <c r="GIV1376" s="110"/>
      <c r="GIW1376" s="110"/>
      <c r="GIX1376" s="110"/>
      <c r="GIY1376" s="110"/>
      <c r="GIZ1376" s="110"/>
      <c r="GJA1376" s="110"/>
      <c r="GJB1376" s="110"/>
      <c r="GJC1376" s="110"/>
      <c r="GJD1376" s="110"/>
      <c r="GJE1376" s="110"/>
      <c r="GJF1376" s="110"/>
      <c r="GJG1376" s="110"/>
      <c r="GJH1376" s="110"/>
      <c r="GJI1376" s="110"/>
      <c r="GJJ1376" s="110"/>
      <c r="GJK1376" s="110"/>
      <c r="GJL1376" s="110"/>
      <c r="GJM1376" s="110"/>
      <c r="GJN1376" s="110"/>
      <c r="GJO1376" s="110"/>
      <c r="GJP1376" s="110"/>
      <c r="GJQ1376" s="110"/>
      <c r="GJR1376" s="110"/>
      <c r="GJS1376" s="110"/>
      <c r="GJT1376" s="110"/>
      <c r="GJU1376" s="110"/>
      <c r="GJV1376" s="110"/>
      <c r="GJW1376" s="110"/>
      <c r="GJX1376" s="110"/>
      <c r="GJY1376" s="110"/>
      <c r="GJZ1376" s="110"/>
      <c r="GKA1376" s="110"/>
      <c r="GKB1376" s="110"/>
      <c r="GKC1376" s="110"/>
      <c r="GKD1376" s="110"/>
      <c r="GKE1376" s="110"/>
      <c r="GKF1376" s="110"/>
      <c r="GKG1376" s="110"/>
      <c r="GKH1376" s="110"/>
      <c r="GKI1376" s="110"/>
      <c r="GKJ1376" s="110"/>
      <c r="GKK1376" s="110"/>
      <c r="GKL1376" s="110"/>
      <c r="GKM1376" s="110"/>
      <c r="GKN1376" s="110"/>
      <c r="GKO1376" s="110"/>
      <c r="GKP1376" s="110"/>
      <c r="GKQ1376" s="110"/>
      <c r="GKR1376" s="110"/>
      <c r="GKS1376" s="110"/>
      <c r="GKT1376" s="110"/>
      <c r="GKU1376" s="110"/>
      <c r="GKV1376" s="110"/>
      <c r="GKW1376" s="110"/>
      <c r="GKX1376" s="110"/>
      <c r="GKY1376" s="110"/>
      <c r="GKZ1376" s="110"/>
      <c r="GLA1376" s="110"/>
      <c r="GLB1376" s="110"/>
      <c r="GLC1376" s="110"/>
      <c r="GLD1376" s="110"/>
      <c r="GLE1376" s="110"/>
      <c r="GLF1376" s="110"/>
      <c r="GLG1376" s="110"/>
      <c r="GLH1376" s="110"/>
      <c r="GLI1376" s="110"/>
      <c r="GLJ1376" s="110"/>
      <c r="GLK1376" s="110"/>
      <c r="GLL1376" s="110"/>
      <c r="GLM1376" s="110"/>
      <c r="GLN1376" s="110"/>
      <c r="GLO1376" s="110"/>
      <c r="GLP1376" s="110"/>
      <c r="GLQ1376" s="110"/>
      <c r="GLR1376" s="110"/>
      <c r="GLS1376" s="110"/>
      <c r="GLT1376" s="110"/>
      <c r="GLU1376" s="110"/>
      <c r="GLV1376" s="110"/>
      <c r="GLW1376" s="110"/>
      <c r="GLX1376" s="110"/>
      <c r="GLY1376" s="110"/>
      <c r="GLZ1376" s="110"/>
      <c r="GMA1376" s="110"/>
      <c r="GMB1376" s="110"/>
      <c r="GMC1376" s="110"/>
      <c r="GMD1376" s="110"/>
      <c r="GME1376" s="110"/>
      <c r="GMF1376" s="110"/>
      <c r="GMG1376" s="110"/>
      <c r="GMH1376" s="110"/>
      <c r="GMI1376" s="110"/>
      <c r="GMJ1376" s="110"/>
      <c r="GMK1376" s="110"/>
      <c r="GML1376" s="110"/>
      <c r="GMM1376" s="110"/>
      <c r="GMN1376" s="110"/>
      <c r="GMO1376" s="110"/>
      <c r="GMP1376" s="110"/>
      <c r="GMQ1376" s="110"/>
      <c r="GMR1376" s="110"/>
      <c r="GMS1376" s="110"/>
      <c r="GMT1376" s="110"/>
      <c r="GMU1376" s="110"/>
      <c r="GMV1376" s="110"/>
      <c r="GMW1376" s="110"/>
      <c r="GMX1376" s="110"/>
      <c r="GMY1376" s="110"/>
      <c r="GMZ1376" s="110"/>
      <c r="GNA1376" s="110"/>
      <c r="GNB1376" s="110"/>
      <c r="GNC1376" s="110"/>
      <c r="GND1376" s="110"/>
      <c r="GNE1376" s="110"/>
      <c r="GNF1376" s="110"/>
      <c r="GNG1376" s="110"/>
      <c r="GNH1376" s="110"/>
      <c r="GNI1376" s="110"/>
      <c r="GNJ1376" s="110"/>
      <c r="GNK1376" s="110"/>
      <c r="GNL1376" s="110"/>
      <c r="GNM1376" s="110"/>
      <c r="GNN1376" s="110"/>
      <c r="GNO1376" s="110"/>
      <c r="GNP1376" s="110"/>
      <c r="GNQ1376" s="110"/>
      <c r="GNR1376" s="110"/>
      <c r="GNS1376" s="110"/>
      <c r="GNT1376" s="110"/>
      <c r="GNU1376" s="110"/>
      <c r="GNV1376" s="110"/>
      <c r="GNW1376" s="110"/>
      <c r="GNX1376" s="110"/>
      <c r="GNY1376" s="110"/>
      <c r="GNZ1376" s="110"/>
      <c r="GOA1376" s="110"/>
      <c r="GOB1376" s="110"/>
      <c r="GOC1376" s="110"/>
      <c r="GOD1376" s="110"/>
      <c r="GOE1376" s="110"/>
      <c r="GOF1376" s="110"/>
      <c r="GOG1376" s="110"/>
      <c r="GOH1376" s="110"/>
      <c r="GOI1376" s="110"/>
      <c r="GOJ1376" s="110"/>
      <c r="GOK1376" s="110"/>
      <c r="GOL1376" s="110"/>
      <c r="GOM1376" s="110"/>
      <c r="GON1376" s="110"/>
      <c r="GOO1376" s="110"/>
      <c r="GOP1376" s="110"/>
      <c r="GOQ1376" s="110"/>
      <c r="GOR1376" s="110"/>
      <c r="GOS1376" s="110"/>
      <c r="GOT1376" s="110"/>
      <c r="GOU1376" s="110"/>
      <c r="GOV1376" s="110"/>
      <c r="GOW1376" s="110"/>
      <c r="GOX1376" s="110"/>
      <c r="GOY1376" s="110"/>
      <c r="GOZ1376" s="110"/>
      <c r="GPA1376" s="110"/>
      <c r="GPB1376" s="110"/>
      <c r="GPC1376" s="110"/>
      <c r="GPD1376" s="110"/>
      <c r="GPE1376" s="110"/>
      <c r="GPF1376" s="110"/>
      <c r="GPG1376" s="110"/>
      <c r="GPH1376" s="110"/>
      <c r="GPI1376" s="110"/>
      <c r="GPJ1376" s="110"/>
      <c r="GPK1376" s="110"/>
      <c r="GPL1376" s="110"/>
      <c r="GPM1376" s="110"/>
      <c r="GPN1376" s="110"/>
      <c r="GPO1376" s="110"/>
      <c r="GPP1376" s="110"/>
      <c r="GPQ1376" s="110"/>
      <c r="GPR1376" s="110"/>
      <c r="GPS1376" s="110"/>
      <c r="GPT1376" s="110"/>
      <c r="GPU1376" s="110"/>
      <c r="GPV1376" s="110"/>
      <c r="GPW1376" s="110"/>
      <c r="GPX1376" s="110"/>
      <c r="GPY1376" s="110"/>
      <c r="GPZ1376" s="110"/>
      <c r="GQA1376" s="110"/>
      <c r="GQB1376" s="110"/>
      <c r="GQC1376" s="110"/>
      <c r="GQD1376" s="110"/>
      <c r="GQE1376" s="110"/>
      <c r="GQF1376" s="110"/>
      <c r="GQG1376" s="110"/>
      <c r="GQH1376" s="110"/>
      <c r="GQI1376" s="110"/>
      <c r="GQJ1376" s="110"/>
      <c r="GQK1376" s="110"/>
      <c r="GQL1376" s="110"/>
      <c r="GQM1376" s="110"/>
      <c r="GQN1376" s="110"/>
      <c r="GQO1376" s="110"/>
      <c r="GQP1376" s="110"/>
      <c r="GQQ1376" s="110"/>
      <c r="GQR1376" s="110"/>
      <c r="GQS1376" s="110"/>
      <c r="GQT1376" s="110"/>
      <c r="GQU1376" s="110"/>
      <c r="GQV1376" s="110"/>
      <c r="GQW1376" s="110"/>
      <c r="GQX1376" s="110"/>
      <c r="GQY1376" s="110"/>
      <c r="GQZ1376" s="110"/>
      <c r="GRA1376" s="110"/>
      <c r="GRB1376" s="110"/>
      <c r="GRC1376" s="110"/>
      <c r="GRD1376" s="110"/>
      <c r="GRE1376" s="110"/>
      <c r="GRF1376" s="110"/>
      <c r="GRG1376" s="110"/>
      <c r="GRH1376" s="110"/>
      <c r="GRI1376" s="110"/>
      <c r="GRJ1376" s="110"/>
      <c r="GRK1376" s="110"/>
      <c r="GRL1376" s="110"/>
      <c r="GRM1376" s="110"/>
      <c r="GRN1376" s="110"/>
      <c r="GRO1376" s="110"/>
      <c r="GRP1376" s="110"/>
      <c r="GRQ1376" s="110"/>
      <c r="GRR1376" s="110"/>
      <c r="GRS1376" s="110"/>
      <c r="GRT1376" s="110"/>
      <c r="GRU1376" s="110"/>
      <c r="GRV1376" s="110"/>
      <c r="GRW1376" s="110"/>
      <c r="GRX1376" s="110"/>
      <c r="GRY1376" s="110"/>
      <c r="GRZ1376" s="110"/>
      <c r="GSA1376" s="110"/>
      <c r="GSB1376" s="110"/>
      <c r="GSC1376" s="110"/>
      <c r="GSD1376" s="110"/>
      <c r="GSE1376" s="110"/>
      <c r="GSF1376" s="110"/>
      <c r="GSG1376" s="110"/>
      <c r="GSH1376" s="110"/>
      <c r="GSI1376" s="110"/>
      <c r="GSJ1376" s="110"/>
      <c r="GSK1376" s="110"/>
      <c r="GSL1376" s="110"/>
      <c r="GSM1376" s="110"/>
      <c r="GSN1376" s="110"/>
      <c r="GSO1376" s="110"/>
      <c r="GSP1376" s="110"/>
      <c r="GSQ1376" s="110"/>
      <c r="GSR1376" s="110"/>
      <c r="GSS1376" s="110"/>
      <c r="GST1376" s="110"/>
      <c r="GSU1376" s="110"/>
      <c r="GSV1376" s="110"/>
      <c r="GSW1376" s="110"/>
      <c r="GSX1376" s="110"/>
      <c r="GSY1376" s="110"/>
      <c r="GSZ1376" s="110"/>
      <c r="GTA1376" s="110"/>
      <c r="GTB1376" s="110"/>
      <c r="GTC1376" s="110"/>
      <c r="GTD1376" s="110"/>
      <c r="GTE1376" s="110"/>
      <c r="GTF1376" s="110"/>
      <c r="GTG1376" s="110"/>
      <c r="GTH1376" s="110"/>
      <c r="GTI1376" s="110"/>
      <c r="GTJ1376" s="110"/>
      <c r="GTK1376" s="110"/>
      <c r="GTL1376" s="110"/>
      <c r="GTM1376" s="110"/>
      <c r="GTN1376" s="110"/>
      <c r="GTO1376" s="110"/>
      <c r="GTP1376" s="110"/>
      <c r="GTQ1376" s="110"/>
      <c r="GTR1376" s="110"/>
      <c r="GTS1376" s="110"/>
      <c r="GTT1376" s="110"/>
      <c r="GTU1376" s="110"/>
      <c r="GTV1376" s="110"/>
      <c r="GTW1376" s="110"/>
      <c r="GTX1376" s="110"/>
      <c r="GTY1376" s="110"/>
      <c r="GTZ1376" s="110"/>
      <c r="GUA1376" s="110"/>
      <c r="GUB1376" s="110"/>
      <c r="GUC1376" s="110"/>
      <c r="GUD1376" s="110"/>
      <c r="GUE1376" s="110"/>
      <c r="GUF1376" s="110"/>
      <c r="GUG1376" s="110"/>
      <c r="GUH1376" s="110"/>
      <c r="GUI1376" s="110"/>
      <c r="GUJ1376" s="110"/>
      <c r="GUK1376" s="110"/>
      <c r="GUL1376" s="110"/>
      <c r="GUM1376" s="110"/>
      <c r="GUN1376" s="110"/>
      <c r="GUO1376" s="110"/>
      <c r="GUP1376" s="110"/>
      <c r="GUQ1376" s="110"/>
      <c r="GUR1376" s="110"/>
      <c r="GUS1376" s="110"/>
      <c r="GUT1376" s="110"/>
      <c r="GUU1376" s="110"/>
      <c r="GUV1376" s="110"/>
      <c r="GUW1376" s="110"/>
      <c r="GUX1376" s="110"/>
      <c r="GUY1376" s="110"/>
      <c r="GUZ1376" s="110"/>
      <c r="GVA1376" s="110"/>
      <c r="GVB1376" s="110"/>
      <c r="GVC1376" s="110"/>
      <c r="GVD1376" s="110"/>
      <c r="GVE1376" s="110"/>
      <c r="GVF1376" s="110"/>
      <c r="GVG1376" s="110"/>
      <c r="GVH1376" s="110"/>
      <c r="GVI1376" s="110"/>
      <c r="GVJ1376" s="110"/>
      <c r="GVK1376" s="110"/>
      <c r="GVL1376" s="110"/>
      <c r="GVM1376" s="110"/>
      <c r="GVN1376" s="110"/>
      <c r="GVO1376" s="110"/>
      <c r="GVP1376" s="110"/>
      <c r="GVQ1376" s="110"/>
      <c r="GVR1376" s="110"/>
      <c r="GVS1376" s="110"/>
      <c r="GVT1376" s="110"/>
      <c r="GVU1376" s="110"/>
      <c r="GVV1376" s="110"/>
      <c r="GVW1376" s="110"/>
      <c r="GVX1376" s="110"/>
      <c r="GVY1376" s="110"/>
      <c r="GVZ1376" s="110"/>
      <c r="GWA1376" s="110"/>
      <c r="GWB1376" s="110"/>
      <c r="GWC1376" s="110"/>
      <c r="GWD1376" s="110"/>
      <c r="GWE1376" s="110"/>
      <c r="GWF1376" s="110"/>
      <c r="GWG1376" s="110"/>
      <c r="GWH1376" s="110"/>
      <c r="GWI1376" s="110"/>
      <c r="GWJ1376" s="110"/>
      <c r="GWK1376" s="110"/>
      <c r="GWL1376" s="110"/>
      <c r="GWM1376" s="110"/>
      <c r="GWN1376" s="110"/>
      <c r="GWO1376" s="110"/>
      <c r="GWP1376" s="110"/>
      <c r="GWQ1376" s="110"/>
      <c r="GWR1376" s="110"/>
      <c r="GWS1376" s="110"/>
      <c r="GWT1376" s="110"/>
      <c r="GWU1376" s="110"/>
      <c r="GWV1376" s="110"/>
      <c r="GWW1376" s="110"/>
      <c r="GWX1376" s="110"/>
      <c r="GWY1376" s="110"/>
      <c r="GWZ1376" s="110"/>
      <c r="GXA1376" s="110"/>
      <c r="GXB1376" s="110"/>
      <c r="GXC1376" s="110"/>
      <c r="GXD1376" s="110"/>
      <c r="GXE1376" s="110"/>
      <c r="GXF1376" s="110"/>
      <c r="GXG1376" s="110"/>
      <c r="GXH1376" s="110"/>
      <c r="GXI1376" s="110"/>
      <c r="GXJ1376" s="110"/>
      <c r="GXK1376" s="110"/>
      <c r="GXL1376" s="110"/>
      <c r="GXM1376" s="110"/>
      <c r="GXN1376" s="110"/>
      <c r="GXO1376" s="110"/>
      <c r="GXP1376" s="110"/>
      <c r="GXQ1376" s="110"/>
      <c r="GXR1376" s="110"/>
      <c r="GXS1376" s="110"/>
      <c r="GXT1376" s="110"/>
      <c r="GXU1376" s="110"/>
      <c r="GXV1376" s="110"/>
      <c r="GXW1376" s="110"/>
      <c r="GXX1376" s="110"/>
      <c r="GXY1376" s="110"/>
      <c r="GXZ1376" s="110"/>
      <c r="GYA1376" s="110"/>
      <c r="GYB1376" s="110"/>
      <c r="GYC1376" s="110"/>
      <c r="GYD1376" s="110"/>
      <c r="GYE1376" s="110"/>
      <c r="GYF1376" s="110"/>
      <c r="GYG1376" s="110"/>
      <c r="GYH1376" s="110"/>
      <c r="GYI1376" s="110"/>
      <c r="GYJ1376" s="110"/>
      <c r="GYK1376" s="110"/>
      <c r="GYL1376" s="110"/>
      <c r="GYM1376" s="110"/>
      <c r="GYN1376" s="110"/>
      <c r="GYO1376" s="110"/>
      <c r="GYP1376" s="110"/>
      <c r="GYQ1376" s="110"/>
      <c r="GYR1376" s="110"/>
      <c r="GYS1376" s="110"/>
      <c r="GYT1376" s="110"/>
      <c r="GYU1376" s="110"/>
      <c r="GYV1376" s="110"/>
      <c r="GYW1376" s="110"/>
      <c r="GYX1376" s="110"/>
      <c r="GYY1376" s="110"/>
      <c r="GYZ1376" s="110"/>
      <c r="GZA1376" s="110"/>
      <c r="GZB1376" s="110"/>
      <c r="GZC1376" s="110"/>
      <c r="GZD1376" s="110"/>
      <c r="GZE1376" s="110"/>
      <c r="GZF1376" s="110"/>
      <c r="GZG1376" s="110"/>
      <c r="GZH1376" s="110"/>
      <c r="GZI1376" s="110"/>
      <c r="GZJ1376" s="110"/>
      <c r="GZK1376" s="110"/>
      <c r="GZL1376" s="110"/>
      <c r="GZM1376" s="110"/>
      <c r="GZN1376" s="110"/>
      <c r="GZO1376" s="110"/>
      <c r="GZP1376" s="110"/>
      <c r="GZQ1376" s="110"/>
      <c r="GZR1376" s="110"/>
      <c r="GZS1376" s="110"/>
      <c r="GZT1376" s="110"/>
      <c r="GZU1376" s="110"/>
      <c r="GZV1376" s="110"/>
      <c r="GZW1376" s="110"/>
      <c r="GZX1376" s="110"/>
      <c r="GZY1376" s="110"/>
      <c r="GZZ1376" s="110"/>
      <c r="HAA1376" s="110"/>
      <c r="HAB1376" s="110"/>
      <c r="HAC1376" s="110"/>
      <c r="HAD1376" s="110"/>
      <c r="HAE1376" s="110"/>
      <c r="HAF1376" s="110"/>
      <c r="HAG1376" s="110"/>
      <c r="HAH1376" s="110"/>
      <c r="HAI1376" s="110"/>
      <c r="HAJ1376" s="110"/>
      <c r="HAK1376" s="110"/>
      <c r="HAL1376" s="110"/>
      <c r="HAM1376" s="110"/>
      <c r="HAN1376" s="110"/>
      <c r="HAO1376" s="110"/>
      <c r="HAP1376" s="110"/>
      <c r="HAQ1376" s="110"/>
      <c r="HAR1376" s="110"/>
      <c r="HAS1376" s="110"/>
      <c r="HAT1376" s="110"/>
      <c r="HAU1376" s="110"/>
      <c r="HAV1376" s="110"/>
      <c r="HAW1376" s="110"/>
      <c r="HAX1376" s="110"/>
      <c r="HAY1376" s="110"/>
      <c r="HAZ1376" s="110"/>
      <c r="HBA1376" s="110"/>
      <c r="HBB1376" s="110"/>
      <c r="HBC1376" s="110"/>
      <c r="HBD1376" s="110"/>
      <c r="HBE1376" s="110"/>
      <c r="HBF1376" s="110"/>
      <c r="HBG1376" s="110"/>
      <c r="HBH1376" s="110"/>
      <c r="HBI1376" s="110"/>
      <c r="HBJ1376" s="110"/>
      <c r="HBK1376" s="110"/>
      <c r="HBL1376" s="110"/>
      <c r="HBM1376" s="110"/>
      <c r="HBN1376" s="110"/>
      <c r="HBO1376" s="110"/>
      <c r="HBP1376" s="110"/>
      <c r="HBQ1376" s="110"/>
      <c r="HBR1376" s="110"/>
      <c r="HBS1376" s="110"/>
      <c r="HBT1376" s="110"/>
      <c r="HBU1376" s="110"/>
      <c r="HBV1376" s="110"/>
      <c r="HBW1376" s="110"/>
      <c r="HBX1376" s="110"/>
      <c r="HBY1376" s="110"/>
      <c r="HBZ1376" s="110"/>
      <c r="HCA1376" s="110"/>
      <c r="HCB1376" s="110"/>
      <c r="HCC1376" s="110"/>
      <c r="HCD1376" s="110"/>
      <c r="HCE1376" s="110"/>
      <c r="HCF1376" s="110"/>
      <c r="HCG1376" s="110"/>
      <c r="HCH1376" s="110"/>
      <c r="HCI1376" s="110"/>
      <c r="HCJ1376" s="110"/>
      <c r="HCK1376" s="110"/>
      <c r="HCL1376" s="110"/>
      <c r="HCM1376" s="110"/>
      <c r="HCN1376" s="110"/>
      <c r="HCO1376" s="110"/>
      <c r="HCP1376" s="110"/>
      <c r="HCQ1376" s="110"/>
      <c r="HCR1376" s="110"/>
      <c r="HCS1376" s="110"/>
      <c r="HCT1376" s="110"/>
      <c r="HCU1376" s="110"/>
      <c r="HCV1376" s="110"/>
      <c r="HCW1376" s="110"/>
      <c r="HCX1376" s="110"/>
      <c r="HCY1376" s="110"/>
      <c r="HCZ1376" s="110"/>
      <c r="HDA1376" s="110"/>
      <c r="HDB1376" s="110"/>
      <c r="HDC1376" s="110"/>
      <c r="HDD1376" s="110"/>
      <c r="HDE1376" s="110"/>
      <c r="HDF1376" s="110"/>
      <c r="HDG1376" s="110"/>
      <c r="HDH1376" s="110"/>
      <c r="HDI1376" s="110"/>
      <c r="HDJ1376" s="110"/>
      <c r="HDK1376" s="110"/>
      <c r="HDL1376" s="110"/>
      <c r="HDM1376" s="110"/>
      <c r="HDN1376" s="110"/>
      <c r="HDO1376" s="110"/>
      <c r="HDP1376" s="110"/>
      <c r="HDQ1376" s="110"/>
      <c r="HDR1376" s="110"/>
      <c r="HDS1376" s="110"/>
      <c r="HDT1376" s="110"/>
      <c r="HDU1376" s="110"/>
      <c r="HDV1376" s="110"/>
      <c r="HDW1376" s="110"/>
      <c r="HDX1376" s="110"/>
      <c r="HDY1376" s="110"/>
      <c r="HDZ1376" s="110"/>
      <c r="HEA1376" s="110"/>
      <c r="HEB1376" s="110"/>
      <c r="HEC1376" s="110"/>
      <c r="HED1376" s="110"/>
      <c r="HEE1376" s="110"/>
      <c r="HEF1376" s="110"/>
      <c r="HEG1376" s="110"/>
      <c r="HEH1376" s="110"/>
      <c r="HEI1376" s="110"/>
      <c r="HEJ1376" s="110"/>
      <c r="HEK1376" s="110"/>
      <c r="HEL1376" s="110"/>
      <c r="HEM1376" s="110"/>
      <c r="HEN1376" s="110"/>
      <c r="HEO1376" s="110"/>
      <c r="HEP1376" s="110"/>
      <c r="HEQ1376" s="110"/>
      <c r="HER1376" s="110"/>
      <c r="HES1376" s="110"/>
      <c r="HET1376" s="110"/>
      <c r="HEU1376" s="110"/>
      <c r="HEV1376" s="110"/>
      <c r="HEW1376" s="110"/>
      <c r="HEX1376" s="110"/>
      <c r="HEY1376" s="110"/>
      <c r="HEZ1376" s="110"/>
      <c r="HFA1376" s="110"/>
      <c r="HFB1376" s="110"/>
      <c r="HFC1376" s="110"/>
      <c r="HFD1376" s="110"/>
      <c r="HFE1376" s="110"/>
      <c r="HFF1376" s="110"/>
      <c r="HFG1376" s="110"/>
      <c r="HFH1376" s="110"/>
      <c r="HFI1376" s="110"/>
      <c r="HFJ1376" s="110"/>
      <c r="HFK1376" s="110"/>
      <c r="HFL1376" s="110"/>
      <c r="HFM1376" s="110"/>
      <c r="HFN1376" s="110"/>
      <c r="HFO1376" s="110"/>
      <c r="HFP1376" s="110"/>
      <c r="HFQ1376" s="110"/>
      <c r="HFR1376" s="110"/>
      <c r="HFS1376" s="110"/>
      <c r="HFT1376" s="110"/>
      <c r="HFU1376" s="110"/>
      <c r="HFV1376" s="110"/>
      <c r="HFW1376" s="110"/>
      <c r="HFX1376" s="110"/>
      <c r="HFY1376" s="110"/>
      <c r="HFZ1376" s="110"/>
      <c r="HGA1376" s="110"/>
      <c r="HGB1376" s="110"/>
      <c r="HGC1376" s="110"/>
      <c r="HGD1376" s="110"/>
      <c r="HGE1376" s="110"/>
      <c r="HGF1376" s="110"/>
      <c r="HGG1376" s="110"/>
      <c r="HGH1376" s="110"/>
      <c r="HGI1376" s="110"/>
      <c r="HGJ1376" s="110"/>
      <c r="HGK1376" s="110"/>
      <c r="HGL1376" s="110"/>
      <c r="HGM1376" s="110"/>
      <c r="HGN1376" s="110"/>
      <c r="HGO1376" s="110"/>
      <c r="HGP1376" s="110"/>
      <c r="HGQ1376" s="110"/>
      <c r="HGR1376" s="110"/>
      <c r="HGS1376" s="110"/>
      <c r="HGT1376" s="110"/>
      <c r="HGU1376" s="110"/>
      <c r="HGV1376" s="110"/>
      <c r="HGW1376" s="110"/>
      <c r="HGX1376" s="110"/>
      <c r="HGY1376" s="110"/>
      <c r="HGZ1376" s="110"/>
      <c r="HHA1376" s="110"/>
      <c r="HHB1376" s="110"/>
      <c r="HHC1376" s="110"/>
      <c r="HHD1376" s="110"/>
      <c r="HHE1376" s="110"/>
      <c r="HHF1376" s="110"/>
      <c r="HHG1376" s="110"/>
      <c r="HHH1376" s="110"/>
      <c r="HHI1376" s="110"/>
      <c r="HHJ1376" s="110"/>
      <c r="HHK1376" s="110"/>
      <c r="HHL1376" s="110"/>
      <c r="HHM1376" s="110"/>
      <c r="HHN1376" s="110"/>
      <c r="HHO1376" s="110"/>
      <c r="HHP1376" s="110"/>
      <c r="HHQ1376" s="110"/>
      <c r="HHR1376" s="110"/>
      <c r="HHS1376" s="110"/>
      <c r="HHT1376" s="110"/>
      <c r="HHU1376" s="110"/>
      <c r="HHV1376" s="110"/>
      <c r="HHW1376" s="110"/>
      <c r="HHX1376" s="110"/>
      <c r="HHY1376" s="110"/>
      <c r="HHZ1376" s="110"/>
      <c r="HIA1376" s="110"/>
      <c r="HIB1376" s="110"/>
      <c r="HIC1376" s="110"/>
      <c r="HID1376" s="110"/>
      <c r="HIE1376" s="110"/>
      <c r="HIF1376" s="110"/>
      <c r="HIG1376" s="110"/>
      <c r="HIH1376" s="110"/>
      <c r="HII1376" s="110"/>
      <c r="HIJ1376" s="110"/>
      <c r="HIK1376" s="110"/>
      <c r="HIL1376" s="110"/>
      <c r="HIM1376" s="110"/>
      <c r="HIN1376" s="110"/>
      <c r="HIO1376" s="110"/>
      <c r="HIP1376" s="110"/>
      <c r="HIQ1376" s="110"/>
      <c r="HIR1376" s="110"/>
      <c r="HIS1376" s="110"/>
      <c r="HIT1376" s="110"/>
      <c r="HIU1376" s="110"/>
      <c r="HIV1376" s="110"/>
      <c r="HIW1376" s="110"/>
      <c r="HIX1376" s="110"/>
      <c r="HIY1376" s="110"/>
      <c r="HIZ1376" s="110"/>
      <c r="HJA1376" s="110"/>
      <c r="HJB1376" s="110"/>
      <c r="HJC1376" s="110"/>
      <c r="HJD1376" s="110"/>
      <c r="HJE1376" s="110"/>
      <c r="HJF1376" s="110"/>
      <c r="HJG1376" s="110"/>
      <c r="HJH1376" s="110"/>
      <c r="HJI1376" s="110"/>
      <c r="HJJ1376" s="110"/>
      <c r="HJK1376" s="110"/>
      <c r="HJL1376" s="110"/>
      <c r="HJM1376" s="110"/>
      <c r="HJN1376" s="110"/>
      <c r="HJO1376" s="110"/>
      <c r="HJP1376" s="110"/>
      <c r="HJQ1376" s="110"/>
      <c r="HJR1376" s="110"/>
      <c r="HJS1376" s="110"/>
      <c r="HJT1376" s="110"/>
      <c r="HJU1376" s="110"/>
      <c r="HJV1376" s="110"/>
      <c r="HJW1376" s="110"/>
      <c r="HJX1376" s="110"/>
      <c r="HJY1376" s="110"/>
      <c r="HJZ1376" s="110"/>
      <c r="HKA1376" s="110"/>
      <c r="HKB1376" s="110"/>
      <c r="HKC1376" s="110"/>
      <c r="HKD1376" s="110"/>
      <c r="HKE1376" s="110"/>
      <c r="HKF1376" s="110"/>
      <c r="HKG1376" s="110"/>
      <c r="HKH1376" s="110"/>
      <c r="HKI1376" s="110"/>
      <c r="HKJ1376" s="110"/>
      <c r="HKK1376" s="110"/>
      <c r="HKL1376" s="110"/>
      <c r="HKM1376" s="110"/>
      <c r="HKN1376" s="110"/>
      <c r="HKO1376" s="110"/>
      <c r="HKP1376" s="110"/>
      <c r="HKQ1376" s="110"/>
      <c r="HKR1376" s="110"/>
      <c r="HKS1376" s="110"/>
      <c r="HKT1376" s="110"/>
      <c r="HKU1376" s="110"/>
      <c r="HKV1376" s="110"/>
      <c r="HKW1376" s="110"/>
      <c r="HKX1376" s="110"/>
      <c r="HKY1376" s="110"/>
      <c r="HKZ1376" s="110"/>
      <c r="HLA1376" s="110"/>
      <c r="HLB1376" s="110"/>
      <c r="HLC1376" s="110"/>
      <c r="HLD1376" s="110"/>
      <c r="HLE1376" s="110"/>
      <c r="HLF1376" s="110"/>
      <c r="HLG1376" s="110"/>
      <c r="HLH1376" s="110"/>
      <c r="HLI1376" s="110"/>
      <c r="HLJ1376" s="110"/>
      <c r="HLK1376" s="110"/>
      <c r="HLL1376" s="110"/>
      <c r="HLM1376" s="110"/>
      <c r="HLN1376" s="110"/>
      <c r="HLO1376" s="110"/>
      <c r="HLP1376" s="110"/>
      <c r="HLQ1376" s="110"/>
      <c r="HLR1376" s="110"/>
      <c r="HLS1376" s="110"/>
      <c r="HLT1376" s="110"/>
      <c r="HLU1376" s="110"/>
      <c r="HLV1376" s="110"/>
      <c r="HLW1376" s="110"/>
      <c r="HLX1376" s="110"/>
      <c r="HLY1376" s="110"/>
      <c r="HLZ1376" s="110"/>
      <c r="HMA1376" s="110"/>
      <c r="HMB1376" s="110"/>
      <c r="HMC1376" s="110"/>
      <c r="HMD1376" s="110"/>
      <c r="HME1376" s="110"/>
      <c r="HMF1376" s="110"/>
      <c r="HMG1376" s="110"/>
      <c r="HMH1376" s="110"/>
      <c r="HMI1376" s="110"/>
      <c r="HMJ1376" s="110"/>
      <c r="HMK1376" s="110"/>
      <c r="HML1376" s="110"/>
      <c r="HMM1376" s="110"/>
      <c r="HMN1376" s="110"/>
      <c r="HMO1376" s="110"/>
      <c r="HMP1376" s="110"/>
      <c r="HMQ1376" s="110"/>
      <c r="HMR1376" s="110"/>
      <c r="HMS1376" s="110"/>
      <c r="HMT1376" s="110"/>
      <c r="HMU1376" s="110"/>
      <c r="HMV1376" s="110"/>
      <c r="HMW1376" s="110"/>
      <c r="HMX1376" s="110"/>
      <c r="HMY1376" s="110"/>
      <c r="HMZ1376" s="110"/>
      <c r="HNA1376" s="110"/>
      <c r="HNB1376" s="110"/>
      <c r="HNC1376" s="110"/>
      <c r="HND1376" s="110"/>
      <c r="HNE1376" s="110"/>
      <c r="HNF1376" s="110"/>
      <c r="HNG1376" s="110"/>
      <c r="HNH1376" s="110"/>
      <c r="HNI1376" s="110"/>
      <c r="HNJ1376" s="110"/>
      <c r="HNK1376" s="110"/>
      <c r="HNL1376" s="110"/>
      <c r="HNM1376" s="110"/>
      <c r="HNN1376" s="110"/>
      <c r="HNO1376" s="110"/>
      <c r="HNP1376" s="110"/>
      <c r="HNQ1376" s="110"/>
      <c r="HNR1376" s="110"/>
      <c r="HNS1376" s="110"/>
      <c r="HNT1376" s="110"/>
      <c r="HNU1376" s="110"/>
      <c r="HNV1376" s="110"/>
      <c r="HNW1376" s="110"/>
      <c r="HNX1376" s="110"/>
      <c r="HNY1376" s="110"/>
      <c r="HNZ1376" s="110"/>
      <c r="HOA1376" s="110"/>
      <c r="HOB1376" s="110"/>
      <c r="HOC1376" s="110"/>
      <c r="HOD1376" s="110"/>
      <c r="HOE1376" s="110"/>
      <c r="HOF1376" s="110"/>
      <c r="HOG1376" s="110"/>
      <c r="HOH1376" s="110"/>
      <c r="HOI1376" s="110"/>
      <c r="HOJ1376" s="110"/>
      <c r="HOK1376" s="110"/>
      <c r="HOL1376" s="110"/>
      <c r="HOM1376" s="110"/>
      <c r="HON1376" s="110"/>
      <c r="HOO1376" s="110"/>
      <c r="HOP1376" s="110"/>
      <c r="HOQ1376" s="110"/>
      <c r="HOR1376" s="110"/>
      <c r="HOS1376" s="110"/>
      <c r="HOT1376" s="110"/>
      <c r="HOU1376" s="110"/>
      <c r="HOV1376" s="110"/>
      <c r="HOW1376" s="110"/>
      <c r="HOX1376" s="110"/>
      <c r="HOY1376" s="110"/>
      <c r="HOZ1376" s="110"/>
      <c r="HPA1376" s="110"/>
      <c r="HPB1376" s="110"/>
      <c r="HPC1376" s="110"/>
      <c r="HPD1376" s="110"/>
      <c r="HPE1376" s="110"/>
      <c r="HPF1376" s="110"/>
      <c r="HPG1376" s="110"/>
      <c r="HPH1376" s="110"/>
      <c r="HPI1376" s="110"/>
      <c r="HPJ1376" s="110"/>
      <c r="HPK1376" s="110"/>
      <c r="HPL1376" s="110"/>
      <c r="HPM1376" s="110"/>
      <c r="HPN1376" s="110"/>
      <c r="HPO1376" s="110"/>
      <c r="HPP1376" s="110"/>
      <c r="HPQ1376" s="110"/>
      <c r="HPR1376" s="110"/>
      <c r="HPS1376" s="110"/>
      <c r="HPT1376" s="110"/>
      <c r="HPU1376" s="110"/>
      <c r="HPV1376" s="110"/>
      <c r="HPW1376" s="110"/>
      <c r="HPX1376" s="110"/>
      <c r="HPY1376" s="110"/>
      <c r="HPZ1376" s="110"/>
      <c r="HQA1376" s="110"/>
      <c r="HQB1376" s="110"/>
      <c r="HQC1376" s="110"/>
      <c r="HQD1376" s="110"/>
      <c r="HQE1376" s="110"/>
      <c r="HQF1376" s="110"/>
      <c r="HQG1376" s="110"/>
      <c r="HQH1376" s="110"/>
      <c r="HQI1376" s="110"/>
      <c r="HQJ1376" s="110"/>
      <c r="HQK1376" s="110"/>
      <c r="HQL1376" s="110"/>
      <c r="HQM1376" s="110"/>
      <c r="HQN1376" s="110"/>
      <c r="HQO1376" s="110"/>
      <c r="HQP1376" s="110"/>
      <c r="HQQ1376" s="110"/>
      <c r="HQR1376" s="110"/>
      <c r="HQS1376" s="110"/>
      <c r="HQT1376" s="110"/>
      <c r="HQU1376" s="110"/>
      <c r="HQV1376" s="110"/>
      <c r="HQW1376" s="110"/>
      <c r="HQX1376" s="110"/>
      <c r="HQY1376" s="110"/>
      <c r="HQZ1376" s="110"/>
      <c r="HRA1376" s="110"/>
      <c r="HRB1376" s="110"/>
      <c r="HRC1376" s="110"/>
      <c r="HRD1376" s="110"/>
      <c r="HRE1376" s="110"/>
      <c r="HRF1376" s="110"/>
      <c r="HRG1376" s="110"/>
      <c r="HRH1376" s="110"/>
      <c r="HRI1376" s="110"/>
      <c r="HRJ1376" s="110"/>
      <c r="HRK1376" s="110"/>
      <c r="HRL1376" s="110"/>
      <c r="HRM1376" s="110"/>
      <c r="HRN1376" s="110"/>
      <c r="HRO1376" s="110"/>
      <c r="HRP1376" s="110"/>
      <c r="HRQ1376" s="110"/>
      <c r="HRR1376" s="110"/>
      <c r="HRS1376" s="110"/>
      <c r="HRT1376" s="110"/>
      <c r="HRU1376" s="110"/>
      <c r="HRV1376" s="110"/>
      <c r="HRW1376" s="110"/>
      <c r="HRX1376" s="110"/>
      <c r="HRY1376" s="110"/>
      <c r="HRZ1376" s="110"/>
      <c r="HSA1376" s="110"/>
      <c r="HSB1376" s="110"/>
      <c r="HSC1376" s="110"/>
      <c r="HSD1376" s="110"/>
      <c r="HSE1376" s="110"/>
      <c r="HSF1376" s="110"/>
      <c r="HSG1376" s="110"/>
      <c r="HSH1376" s="110"/>
      <c r="HSI1376" s="110"/>
      <c r="HSJ1376" s="110"/>
      <c r="HSK1376" s="110"/>
      <c r="HSL1376" s="110"/>
      <c r="HSM1376" s="110"/>
      <c r="HSN1376" s="110"/>
      <c r="HSO1376" s="110"/>
      <c r="HSP1376" s="110"/>
      <c r="HSQ1376" s="110"/>
      <c r="HSR1376" s="110"/>
      <c r="HSS1376" s="110"/>
      <c r="HST1376" s="110"/>
      <c r="HSU1376" s="110"/>
      <c r="HSV1376" s="110"/>
      <c r="HSW1376" s="110"/>
      <c r="HSX1376" s="110"/>
      <c r="HSY1376" s="110"/>
      <c r="HSZ1376" s="110"/>
      <c r="HTA1376" s="110"/>
      <c r="HTB1376" s="110"/>
      <c r="HTC1376" s="110"/>
      <c r="HTD1376" s="110"/>
      <c r="HTE1376" s="110"/>
      <c r="HTF1376" s="110"/>
      <c r="HTG1376" s="110"/>
      <c r="HTH1376" s="110"/>
      <c r="HTI1376" s="110"/>
      <c r="HTJ1376" s="110"/>
      <c r="HTK1376" s="110"/>
      <c r="HTL1376" s="110"/>
      <c r="HTM1376" s="110"/>
      <c r="HTN1376" s="110"/>
      <c r="HTO1376" s="110"/>
      <c r="HTP1376" s="110"/>
      <c r="HTQ1376" s="110"/>
      <c r="HTR1376" s="110"/>
      <c r="HTS1376" s="110"/>
      <c r="HTT1376" s="110"/>
      <c r="HTU1376" s="110"/>
      <c r="HTV1376" s="110"/>
      <c r="HTW1376" s="110"/>
      <c r="HTX1376" s="110"/>
      <c r="HTY1376" s="110"/>
      <c r="HTZ1376" s="110"/>
      <c r="HUA1376" s="110"/>
      <c r="HUB1376" s="110"/>
      <c r="HUC1376" s="110"/>
      <c r="HUD1376" s="110"/>
      <c r="HUE1376" s="110"/>
      <c r="HUF1376" s="110"/>
      <c r="HUG1376" s="110"/>
      <c r="HUH1376" s="110"/>
      <c r="HUI1376" s="110"/>
      <c r="HUJ1376" s="110"/>
      <c r="HUK1376" s="110"/>
      <c r="HUL1376" s="110"/>
      <c r="HUM1376" s="110"/>
      <c r="HUN1376" s="110"/>
      <c r="HUO1376" s="110"/>
      <c r="HUP1376" s="110"/>
      <c r="HUQ1376" s="110"/>
      <c r="HUR1376" s="110"/>
      <c r="HUS1376" s="110"/>
      <c r="HUT1376" s="110"/>
      <c r="HUU1376" s="110"/>
      <c r="HUV1376" s="110"/>
      <c r="HUW1376" s="110"/>
      <c r="HUX1376" s="110"/>
      <c r="HUY1376" s="110"/>
      <c r="HUZ1376" s="110"/>
      <c r="HVA1376" s="110"/>
      <c r="HVB1376" s="110"/>
      <c r="HVC1376" s="110"/>
      <c r="HVD1376" s="110"/>
      <c r="HVE1376" s="110"/>
      <c r="HVF1376" s="110"/>
      <c r="HVG1376" s="110"/>
      <c r="HVH1376" s="110"/>
      <c r="HVI1376" s="110"/>
      <c r="HVJ1376" s="110"/>
      <c r="HVK1376" s="110"/>
      <c r="HVL1376" s="110"/>
      <c r="HVM1376" s="110"/>
      <c r="HVN1376" s="110"/>
      <c r="HVO1376" s="110"/>
      <c r="HVP1376" s="110"/>
      <c r="HVQ1376" s="110"/>
      <c r="HVR1376" s="110"/>
      <c r="HVS1376" s="110"/>
      <c r="HVT1376" s="110"/>
      <c r="HVU1376" s="110"/>
      <c r="HVV1376" s="110"/>
      <c r="HVW1376" s="110"/>
      <c r="HVX1376" s="110"/>
      <c r="HVY1376" s="110"/>
      <c r="HVZ1376" s="110"/>
      <c r="HWA1376" s="110"/>
      <c r="HWB1376" s="110"/>
      <c r="HWC1376" s="110"/>
      <c r="HWD1376" s="110"/>
      <c r="HWE1376" s="110"/>
      <c r="HWF1376" s="110"/>
      <c r="HWG1376" s="110"/>
      <c r="HWH1376" s="110"/>
      <c r="HWI1376" s="110"/>
      <c r="HWJ1376" s="110"/>
      <c r="HWK1376" s="110"/>
      <c r="HWL1376" s="110"/>
      <c r="HWM1376" s="110"/>
      <c r="HWN1376" s="110"/>
      <c r="HWO1376" s="110"/>
      <c r="HWP1376" s="110"/>
      <c r="HWQ1376" s="110"/>
      <c r="HWR1376" s="110"/>
      <c r="HWS1376" s="110"/>
      <c r="HWT1376" s="110"/>
      <c r="HWU1376" s="110"/>
      <c r="HWV1376" s="110"/>
      <c r="HWW1376" s="110"/>
      <c r="HWX1376" s="110"/>
      <c r="HWY1376" s="110"/>
      <c r="HWZ1376" s="110"/>
      <c r="HXA1376" s="110"/>
      <c r="HXB1376" s="110"/>
      <c r="HXC1376" s="110"/>
      <c r="HXD1376" s="110"/>
      <c r="HXE1376" s="110"/>
      <c r="HXF1376" s="110"/>
      <c r="HXG1376" s="110"/>
      <c r="HXH1376" s="110"/>
      <c r="HXI1376" s="110"/>
      <c r="HXJ1376" s="110"/>
      <c r="HXK1376" s="110"/>
      <c r="HXL1376" s="110"/>
      <c r="HXM1376" s="110"/>
      <c r="HXN1376" s="110"/>
      <c r="HXO1376" s="110"/>
      <c r="HXP1376" s="110"/>
      <c r="HXQ1376" s="110"/>
      <c r="HXR1376" s="110"/>
      <c r="HXS1376" s="110"/>
      <c r="HXT1376" s="110"/>
      <c r="HXU1376" s="110"/>
      <c r="HXV1376" s="110"/>
      <c r="HXW1376" s="110"/>
      <c r="HXX1376" s="110"/>
      <c r="HXY1376" s="110"/>
      <c r="HXZ1376" s="110"/>
      <c r="HYA1376" s="110"/>
      <c r="HYB1376" s="110"/>
      <c r="HYC1376" s="110"/>
      <c r="HYD1376" s="110"/>
      <c r="HYE1376" s="110"/>
      <c r="HYF1376" s="110"/>
      <c r="HYG1376" s="110"/>
      <c r="HYH1376" s="110"/>
      <c r="HYI1376" s="110"/>
      <c r="HYJ1376" s="110"/>
      <c r="HYK1376" s="110"/>
      <c r="HYL1376" s="110"/>
      <c r="HYM1376" s="110"/>
      <c r="HYN1376" s="110"/>
      <c r="HYO1376" s="110"/>
      <c r="HYP1376" s="110"/>
      <c r="HYQ1376" s="110"/>
      <c r="HYR1376" s="110"/>
      <c r="HYS1376" s="110"/>
      <c r="HYT1376" s="110"/>
      <c r="HYU1376" s="110"/>
      <c r="HYV1376" s="110"/>
      <c r="HYW1376" s="110"/>
      <c r="HYX1376" s="110"/>
      <c r="HYY1376" s="110"/>
      <c r="HYZ1376" s="110"/>
      <c r="HZA1376" s="110"/>
      <c r="HZB1376" s="110"/>
      <c r="HZC1376" s="110"/>
      <c r="HZD1376" s="110"/>
      <c r="HZE1376" s="110"/>
      <c r="HZF1376" s="110"/>
      <c r="HZG1376" s="110"/>
      <c r="HZH1376" s="110"/>
      <c r="HZI1376" s="110"/>
      <c r="HZJ1376" s="110"/>
      <c r="HZK1376" s="110"/>
      <c r="HZL1376" s="110"/>
      <c r="HZM1376" s="110"/>
      <c r="HZN1376" s="110"/>
      <c r="HZO1376" s="110"/>
      <c r="HZP1376" s="110"/>
      <c r="HZQ1376" s="110"/>
      <c r="HZR1376" s="110"/>
      <c r="HZS1376" s="110"/>
      <c r="HZT1376" s="110"/>
      <c r="HZU1376" s="110"/>
      <c r="HZV1376" s="110"/>
      <c r="HZW1376" s="110"/>
      <c r="HZX1376" s="110"/>
      <c r="HZY1376" s="110"/>
      <c r="HZZ1376" s="110"/>
      <c r="IAA1376" s="110"/>
      <c r="IAB1376" s="110"/>
      <c r="IAC1376" s="110"/>
      <c r="IAD1376" s="110"/>
      <c r="IAE1376" s="110"/>
      <c r="IAF1376" s="110"/>
      <c r="IAG1376" s="110"/>
      <c r="IAH1376" s="110"/>
      <c r="IAI1376" s="110"/>
      <c r="IAJ1376" s="110"/>
      <c r="IAK1376" s="110"/>
      <c r="IAL1376" s="110"/>
      <c r="IAM1376" s="110"/>
      <c r="IAN1376" s="110"/>
      <c r="IAO1376" s="110"/>
      <c r="IAP1376" s="110"/>
      <c r="IAQ1376" s="110"/>
      <c r="IAR1376" s="110"/>
      <c r="IAS1376" s="110"/>
      <c r="IAT1376" s="110"/>
      <c r="IAU1376" s="110"/>
      <c r="IAV1376" s="110"/>
      <c r="IAW1376" s="110"/>
      <c r="IAX1376" s="110"/>
      <c r="IAY1376" s="110"/>
      <c r="IAZ1376" s="110"/>
      <c r="IBA1376" s="110"/>
      <c r="IBB1376" s="110"/>
      <c r="IBC1376" s="110"/>
      <c r="IBD1376" s="110"/>
      <c r="IBE1376" s="110"/>
      <c r="IBF1376" s="110"/>
      <c r="IBG1376" s="110"/>
      <c r="IBH1376" s="110"/>
      <c r="IBI1376" s="110"/>
      <c r="IBJ1376" s="110"/>
      <c r="IBK1376" s="110"/>
      <c r="IBL1376" s="110"/>
      <c r="IBM1376" s="110"/>
      <c r="IBN1376" s="110"/>
      <c r="IBO1376" s="110"/>
      <c r="IBP1376" s="110"/>
      <c r="IBQ1376" s="110"/>
      <c r="IBR1376" s="110"/>
      <c r="IBS1376" s="110"/>
      <c r="IBT1376" s="110"/>
      <c r="IBU1376" s="110"/>
      <c r="IBV1376" s="110"/>
      <c r="IBW1376" s="110"/>
      <c r="IBX1376" s="110"/>
      <c r="IBY1376" s="110"/>
      <c r="IBZ1376" s="110"/>
      <c r="ICA1376" s="110"/>
      <c r="ICB1376" s="110"/>
      <c r="ICC1376" s="110"/>
      <c r="ICD1376" s="110"/>
      <c r="ICE1376" s="110"/>
      <c r="ICF1376" s="110"/>
      <c r="ICG1376" s="110"/>
      <c r="ICH1376" s="110"/>
      <c r="ICI1376" s="110"/>
      <c r="ICJ1376" s="110"/>
      <c r="ICK1376" s="110"/>
      <c r="ICL1376" s="110"/>
      <c r="ICM1376" s="110"/>
      <c r="ICN1376" s="110"/>
      <c r="ICO1376" s="110"/>
      <c r="ICP1376" s="110"/>
      <c r="ICQ1376" s="110"/>
      <c r="ICR1376" s="110"/>
      <c r="ICS1376" s="110"/>
      <c r="ICT1376" s="110"/>
      <c r="ICU1376" s="110"/>
      <c r="ICV1376" s="110"/>
      <c r="ICW1376" s="110"/>
      <c r="ICX1376" s="110"/>
      <c r="ICY1376" s="110"/>
      <c r="ICZ1376" s="110"/>
      <c r="IDA1376" s="110"/>
      <c r="IDB1376" s="110"/>
      <c r="IDC1376" s="110"/>
      <c r="IDD1376" s="110"/>
      <c r="IDE1376" s="110"/>
      <c r="IDF1376" s="110"/>
      <c r="IDG1376" s="110"/>
      <c r="IDH1376" s="110"/>
      <c r="IDI1376" s="110"/>
      <c r="IDJ1376" s="110"/>
      <c r="IDK1376" s="110"/>
      <c r="IDL1376" s="110"/>
      <c r="IDM1376" s="110"/>
      <c r="IDN1376" s="110"/>
      <c r="IDO1376" s="110"/>
      <c r="IDP1376" s="110"/>
      <c r="IDQ1376" s="110"/>
      <c r="IDR1376" s="110"/>
      <c r="IDS1376" s="110"/>
      <c r="IDT1376" s="110"/>
      <c r="IDU1376" s="110"/>
      <c r="IDV1376" s="110"/>
      <c r="IDW1376" s="110"/>
      <c r="IDX1376" s="110"/>
      <c r="IDY1376" s="110"/>
      <c r="IDZ1376" s="110"/>
      <c r="IEA1376" s="110"/>
      <c r="IEB1376" s="110"/>
      <c r="IEC1376" s="110"/>
      <c r="IED1376" s="110"/>
      <c r="IEE1376" s="110"/>
      <c r="IEF1376" s="110"/>
      <c r="IEG1376" s="110"/>
      <c r="IEH1376" s="110"/>
      <c r="IEI1376" s="110"/>
      <c r="IEJ1376" s="110"/>
      <c r="IEK1376" s="110"/>
      <c r="IEL1376" s="110"/>
      <c r="IEM1376" s="110"/>
      <c r="IEN1376" s="110"/>
      <c r="IEO1376" s="110"/>
      <c r="IEP1376" s="110"/>
      <c r="IEQ1376" s="110"/>
      <c r="IER1376" s="110"/>
      <c r="IES1376" s="110"/>
      <c r="IET1376" s="110"/>
      <c r="IEU1376" s="110"/>
      <c r="IEV1376" s="110"/>
      <c r="IEW1376" s="110"/>
      <c r="IEX1376" s="110"/>
      <c r="IEY1376" s="110"/>
      <c r="IEZ1376" s="110"/>
      <c r="IFA1376" s="110"/>
      <c r="IFB1376" s="110"/>
      <c r="IFC1376" s="110"/>
      <c r="IFD1376" s="110"/>
      <c r="IFE1376" s="110"/>
      <c r="IFF1376" s="110"/>
      <c r="IFG1376" s="110"/>
      <c r="IFH1376" s="110"/>
      <c r="IFI1376" s="110"/>
      <c r="IFJ1376" s="110"/>
      <c r="IFK1376" s="110"/>
      <c r="IFL1376" s="110"/>
      <c r="IFM1376" s="110"/>
      <c r="IFN1376" s="110"/>
      <c r="IFO1376" s="110"/>
      <c r="IFP1376" s="110"/>
      <c r="IFQ1376" s="110"/>
      <c r="IFR1376" s="110"/>
      <c r="IFS1376" s="110"/>
      <c r="IFT1376" s="110"/>
      <c r="IFU1376" s="110"/>
      <c r="IFV1376" s="110"/>
      <c r="IFW1376" s="110"/>
      <c r="IFX1376" s="110"/>
      <c r="IFY1376" s="110"/>
      <c r="IFZ1376" s="110"/>
      <c r="IGA1376" s="110"/>
      <c r="IGB1376" s="110"/>
      <c r="IGC1376" s="110"/>
      <c r="IGD1376" s="110"/>
      <c r="IGE1376" s="110"/>
      <c r="IGF1376" s="110"/>
      <c r="IGG1376" s="110"/>
      <c r="IGH1376" s="110"/>
      <c r="IGI1376" s="110"/>
      <c r="IGJ1376" s="110"/>
      <c r="IGK1376" s="110"/>
      <c r="IGL1376" s="110"/>
      <c r="IGM1376" s="110"/>
      <c r="IGN1376" s="110"/>
      <c r="IGO1376" s="110"/>
      <c r="IGP1376" s="110"/>
      <c r="IGQ1376" s="110"/>
      <c r="IGR1376" s="110"/>
      <c r="IGS1376" s="110"/>
      <c r="IGT1376" s="110"/>
      <c r="IGU1376" s="110"/>
      <c r="IGV1376" s="110"/>
      <c r="IGW1376" s="110"/>
      <c r="IGX1376" s="110"/>
      <c r="IGY1376" s="110"/>
      <c r="IGZ1376" s="110"/>
      <c r="IHA1376" s="110"/>
      <c r="IHB1376" s="110"/>
      <c r="IHC1376" s="110"/>
      <c r="IHD1376" s="110"/>
      <c r="IHE1376" s="110"/>
      <c r="IHF1376" s="110"/>
      <c r="IHG1376" s="110"/>
      <c r="IHH1376" s="110"/>
      <c r="IHI1376" s="110"/>
      <c r="IHJ1376" s="110"/>
      <c r="IHK1376" s="110"/>
      <c r="IHL1376" s="110"/>
      <c r="IHM1376" s="110"/>
      <c r="IHN1376" s="110"/>
      <c r="IHO1376" s="110"/>
      <c r="IHP1376" s="110"/>
      <c r="IHQ1376" s="110"/>
      <c r="IHR1376" s="110"/>
      <c r="IHS1376" s="110"/>
      <c r="IHT1376" s="110"/>
      <c r="IHU1376" s="110"/>
      <c r="IHV1376" s="110"/>
      <c r="IHW1376" s="110"/>
      <c r="IHX1376" s="110"/>
      <c r="IHY1376" s="110"/>
      <c r="IHZ1376" s="110"/>
      <c r="IIA1376" s="110"/>
      <c r="IIB1376" s="110"/>
      <c r="IIC1376" s="110"/>
      <c r="IID1376" s="110"/>
      <c r="IIE1376" s="110"/>
      <c r="IIF1376" s="110"/>
      <c r="IIG1376" s="110"/>
      <c r="IIH1376" s="110"/>
      <c r="III1376" s="110"/>
      <c r="IIJ1376" s="110"/>
      <c r="IIK1376" s="110"/>
      <c r="IIL1376" s="110"/>
      <c r="IIM1376" s="110"/>
      <c r="IIN1376" s="110"/>
      <c r="IIO1376" s="110"/>
      <c r="IIP1376" s="110"/>
      <c r="IIQ1376" s="110"/>
      <c r="IIR1376" s="110"/>
      <c r="IIS1376" s="110"/>
      <c r="IIT1376" s="110"/>
      <c r="IIU1376" s="110"/>
      <c r="IIV1376" s="110"/>
      <c r="IIW1376" s="110"/>
      <c r="IIX1376" s="110"/>
      <c r="IIY1376" s="110"/>
      <c r="IIZ1376" s="110"/>
      <c r="IJA1376" s="110"/>
      <c r="IJB1376" s="110"/>
      <c r="IJC1376" s="110"/>
      <c r="IJD1376" s="110"/>
      <c r="IJE1376" s="110"/>
      <c r="IJF1376" s="110"/>
      <c r="IJG1376" s="110"/>
      <c r="IJH1376" s="110"/>
      <c r="IJI1376" s="110"/>
      <c r="IJJ1376" s="110"/>
      <c r="IJK1376" s="110"/>
      <c r="IJL1376" s="110"/>
      <c r="IJM1376" s="110"/>
      <c r="IJN1376" s="110"/>
      <c r="IJO1376" s="110"/>
      <c r="IJP1376" s="110"/>
      <c r="IJQ1376" s="110"/>
      <c r="IJR1376" s="110"/>
      <c r="IJS1376" s="110"/>
      <c r="IJT1376" s="110"/>
      <c r="IJU1376" s="110"/>
      <c r="IJV1376" s="110"/>
      <c r="IJW1376" s="110"/>
      <c r="IJX1376" s="110"/>
      <c r="IJY1376" s="110"/>
      <c r="IJZ1376" s="110"/>
      <c r="IKA1376" s="110"/>
      <c r="IKB1376" s="110"/>
      <c r="IKC1376" s="110"/>
      <c r="IKD1376" s="110"/>
      <c r="IKE1376" s="110"/>
      <c r="IKF1376" s="110"/>
      <c r="IKG1376" s="110"/>
      <c r="IKH1376" s="110"/>
      <c r="IKI1376" s="110"/>
      <c r="IKJ1376" s="110"/>
      <c r="IKK1376" s="110"/>
      <c r="IKL1376" s="110"/>
      <c r="IKM1376" s="110"/>
      <c r="IKN1376" s="110"/>
      <c r="IKO1376" s="110"/>
      <c r="IKP1376" s="110"/>
      <c r="IKQ1376" s="110"/>
      <c r="IKR1376" s="110"/>
      <c r="IKS1376" s="110"/>
      <c r="IKT1376" s="110"/>
      <c r="IKU1376" s="110"/>
      <c r="IKV1376" s="110"/>
      <c r="IKW1376" s="110"/>
      <c r="IKX1376" s="110"/>
      <c r="IKY1376" s="110"/>
      <c r="IKZ1376" s="110"/>
      <c r="ILA1376" s="110"/>
      <c r="ILB1376" s="110"/>
      <c r="ILC1376" s="110"/>
      <c r="ILD1376" s="110"/>
      <c r="ILE1376" s="110"/>
      <c r="ILF1376" s="110"/>
      <c r="ILG1376" s="110"/>
      <c r="ILH1376" s="110"/>
      <c r="ILI1376" s="110"/>
      <c r="ILJ1376" s="110"/>
      <c r="ILK1376" s="110"/>
      <c r="ILL1376" s="110"/>
      <c r="ILM1376" s="110"/>
      <c r="ILN1376" s="110"/>
      <c r="ILO1376" s="110"/>
      <c r="ILP1376" s="110"/>
      <c r="ILQ1376" s="110"/>
      <c r="ILR1376" s="110"/>
      <c r="ILS1376" s="110"/>
      <c r="ILT1376" s="110"/>
      <c r="ILU1376" s="110"/>
      <c r="ILV1376" s="110"/>
      <c r="ILW1376" s="110"/>
      <c r="ILX1376" s="110"/>
      <c r="ILY1376" s="110"/>
      <c r="ILZ1376" s="110"/>
      <c r="IMA1376" s="110"/>
      <c r="IMB1376" s="110"/>
      <c r="IMC1376" s="110"/>
      <c r="IMD1376" s="110"/>
      <c r="IME1376" s="110"/>
      <c r="IMF1376" s="110"/>
      <c r="IMG1376" s="110"/>
      <c r="IMH1376" s="110"/>
      <c r="IMI1376" s="110"/>
      <c r="IMJ1376" s="110"/>
      <c r="IMK1376" s="110"/>
      <c r="IML1376" s="110"/>
      <c r="IMM1376" s="110"/>
      <c r="IMN1376" s="110"/>
      <c r="IMO1376" s="110"/>
      <c r="IMP1376" s="110"/>
      <c r="IMQ1376" s="110"/>
      <c r="IMR1376" s="110"/>
      <c r="IMS1376" s="110"/>
      <c r="IMT1376" s="110"/>
      <c r="IMU1376" s="110"/>
      <c r="IMV1376" s="110"/>
      <c r="IMW1376" s="110"/>
      <c r="IMX1376" s="110"/>
      <c r="IMY1376" s="110"/>
      <c r="IMZ1376" s="110"/>
      <c r="INA1376" s="110"/>
      <c r="INB1376" s="110"/>
      <c r="INC1376" s="110"/>
      <c r="IND1376" s="110"/>
      <c r="INE1376" s="110"/>
      <c r="INF1376" s="110"/>
      <c r="ING1376" s="110"/>
      <c r="INH1376" s="110"/>
      <c r="INI1376" s="110"/>
      <c r="INJ1376" s="110"/>
      <c r="INK1376" s="110"/>
      <c r="INL1376" s="110"/>
      <c r="INM1376" s="110"/>
      <c r="INN1376" s="110"/>
      <c r="INO1376" s="110"/>
      <c r="INP1376" s="110"/>
      <c r="INQ1376" s="110"/>
      <c r="INR1376" s="110"/>
      <c r="INS1376" s="110"/>
      <c r="INT1376" s="110"/>
      <c r="INU1376" s="110"/>
      <c r="INV1376" s="110"/>
      <c r="INW1376" s="110"/>
      <c r="INX1376" s="110"/>
      <c r="INY1376" s="110"/>
      <c r="INZ1376" s="110"/>
      <c r="IOA1376" s="110"/>
      <c r="IOB1376" s="110"/>
      <c r="IOC1376" s="110"/>
      <c r="IOD1376" s="110"/>
      <c r="IOE1376" s="110"/>
      <c r="IOF1376" s="110"/>
      <c r="IOG1376" s="110"/>
      <c r="IOH1376" s="110"/>
      <c r="IOI1376" s="110"/>
      <c r="IOJ1376" s="110"/>
      <c r="IOK1376" s="110"/>
      <c r="IOL1376" s="110"/>
      <c r="IOM1376" s="110"/>
      <c r="ION1376" s="110"/>
      <c r="IOO1376" s="110"/>
      <c r="IOP1376" s="110"/>
      <c r="IOQ1376" s="110"/>
      <c r="IOR1376" s="110"/>
      <c r="IOS1376" s="110"/>
      <c r="IOT1376" s="110"/>
      <c r="IOU1376" s="110"/>
      <c r="IOV1376" s="110"/>
      <c r="IOW1376" s="110"/>
      <c r="IOX1376" s="110"/>
      <c r="IOY1376" s="110"/>
      <c r="IOZ1376" s="110"/>
      <c r="IPA1376" s="110"/>
      <c r="IPB1376" s="110"/>
      <c r="IPC1376" s="110"/>
      <c r="IPD1376" s="110"/>
      <c r="IPE1376" s="110"/>
      <c r="IPF1376" s="110"/>
      <c r="IPG1376" s="110"/>
      <c r="IPH1376" s="110"/>
      <c r="IPI1376" s="110"/>
      <c r="IPJ1376" s="110"/>
      <c r="IPK1376" s="110"/>
      <c r="IPL1376" s="110"/>
      <c r="IPM1376" s="110"/>
      <c r="IPN1376" s="110"/>
      <c r="IPO1376" s="110"/>
      <c r="IPP1376" s="110"/>
      <c r="IPQ1376" s="110"/>
      <c r="IPR1376" s="110"/>
      <c r="IPS1376" s="110"/>
      <c r="IPT1376" s="110"/>
      <c r="IPU1376" s="110"/>
      <c r="IPV1376" s="110"/>
      <c r="IPW1376" s="110"/>
      <c r="IPX1376" s="110"/>
      <c r="IPY1376" s="110"/>
      <c r="IPZ1376" s="110"/>
      <c r="IQA1376" s="110"/>
      <c r="IQB1376" s="110"/>
      <c r="IQC1376" s="110"/>
      <c r="IQD1376" s="110"/>
      <c r="IQE1376" s="110"/>
      <c r="IQF1376" s="110"/>
      <c r="IQG1376" s="110"/>
      <c r="IQH1376" s="110"/>
      <c r="IQI1376" s="110"/>
      <c r="IQJ1376" s="110"/>
      <c r="IQK1376" s="110"/>
      <c r="IQL1376" s="110"/>
      <c r="IQM1376" s="110"/>
      <c r="IQN1376" s="110"/>
      <c r="IQO1376" s="110"/>
      <c r="IQP1376" s="110"/>
      <c r="IQQ1376" s="110"/>
      <c r="IQR1376" s="110"/>
      <c r="IQS1376" s="110"/>
      <c r="IQT1376" s="110"/>
      <c r="IQU1376" s="110"/>
      <c r="IQV1376" s="110"/>
      <c r="IQW1376" s="110"/>
      <c r="IQX1376" s="110"/>
      <c r="IQY1376" s="110"/>
      <c r="IQZ1376" s="110"/>
      <c r="IRA1376" s="110"/>
      <c r="IRB1376" s="110"/>
      <c r="IRC1376" s="110"/>
      <c r="IRD1376" s="110"/>
      <c r="IRE1376" s="110"/>
      <c r="IRF1376" s="110"/>
      <c r="IRG1376" s="110"/>
      <c r="IRH1376" s="110"/>
      <c r="IRI1376" s="110"/>
      <c r="IRJ1376" s="110"/>
      <c r="IRK1376" s="110"/>
      <c r="IRL1376" s="110"/>
      <c r="IRM1376" s="110"/>
      <c r="IRN1376" s="110"/>
      <c r="IRO1376" s="110"/>
      <c r="IRP1376" s="110"/>
      <c r="IRQ1376" s="110"/>
      <c r="IRR1376" s="110"/>
      <c r="IRS1376" s="110"/>
      <c r="IRT1376" s="110"/>
      <c r="IRU1376" s="110"/>
      <c r="IRV1376" s="110"/>
      <c r="IRW1376" s="110"/>
      <c r="IRX1376" s="110"/>
      <c r="IRY1376" s="110"/>
      <c r="IRZ1376" s="110"/>
      <c r="ISA1376" s="110"/>
      <c r="ISB1376" s="110"/>
      <c r="ISC1376" s="110"/>
      <c r="ISD1376" s="110"/>
      <c r="ISE1376" s="110"/>
      <c r="ISF1376" s="110"/>
      <c r="ISG1376" s="110"/>
      <c r="ISH1376" s="110"/>
      <c r="ISI1376" s="110"/>
      <c r="ISJ1376" s="110"/>
      <c r="ISK1376" s="110"/>
      <c r="ISL1376" s="110"/>
      <c r="ISM1376" s="110"/>
      <c r="ISN1376" s="110"/>
      <c r="ISO1376" s="110"/>
      <c r="ISP1376" s="110"/>
      <c r="ISQ1376" s="110"/>
      <c r="ISR1376" s="110"/>
      <c r="ISS1376" s="110"/>
      <c r="IST1376" s="110"/>
      <c r="ISU1376" s="110"/>
      <c r="ISV1376" s="110"/>
      <c r="ISW1376" s="110"/>
      <c r="ISX1376" s="110"/>
      <c r="ISY1376" s="110"/>
      <c r="ISZ1376" s="110"/>
      <c r="ITA1376" s="110"/>
      <c r="ITB1376" s="110"/>
      <c r="ITC1376" s="110"/>
      <c r="ITD1376" s="110"/>
      <c r="ITE1376" s="110"/>
      <c r="ITF1376" s="110"/>
      <c r="ITG1376" s="110"/>
      <c r="ITH1376" s="110"/>
      <c r="ITI1376" s="110"/>
      <c r="ITJ1376" s="110"/>
      <c r="ITK1376" s="110"/>
      <c r="ITL1376" s="110"/>
      <c r="ITM1376" s="110"/>
      <c r="ITN1376" s="110"/>
      <c r="ITO1376" s="110"/>
      <c r="ITP1376" s="110"/>
      <c r="ITQ1376" s="110"/>
      <c r="ITR1376" s="110"/>
      <c r="ITS1376" s="110"/>
      <c r="ITT1376" s="110"/>
      <c r="ITU1376" s="110"/>
      <c r="ITV1376" s="110"/>
      <c r="ITW1376" s="110"/>
      <c r="ITX1376" s="110"/>
      <c r="ITY1376" s="110"/>
      <c r="ITZ1376" s="110"/>
      <c r="IUA1376" s="110"/>
      <c r="IUB1376" s="110"/>
      <c r="IUC1376" s="110"/>
      <c r="IUD1376" s="110"/>
      <c r="IUE1376" s="110"/>
      <c r="IUF1376" s="110"/>
      <c r="IUG1376" s="110"/>
      <c r="IUH1376" s="110"/>
      <c r="IUI1376" s="110"/>
      <c r="IUJ1376" s="110"/>
      <c r="IUK1376" s="110"/>
      <c r="IUL1376" s="110"/>
      <c r="IUM1376" s="110"/>
      <c r="IUN1376" s="110"/>
      <c r="IUO1376" s="110"/>
      <c r="IUP1376" s="110"/>
      <c r="IUQ1376" s="110"/>
      <c r="IUR1376" s="110"/>
      <c r="IUS1376" s="110"/>
      <c r="IUT1376" s="110"/>
      <c r="IUU1376" s="110"/>
      <c r="IUV1376" s="110"/>
      <c r="IUW1376" s="110"/>
      <c r="IUX1376" s="110"/>
      <c r="IUY1376" s="110"/>
      <c r="IUZ1376" s="110"/>
      <c r="IVA1376" s="110"/>
      <c r="IVB1376" s="110"/>
      <c r="IVC1376" s="110"/>
      <c r="IVD1376" s="110"/>
      <c r="IVE1376" s="110"/>
      <c r="IVF1376" s="110"/>
      <c r="IVG1376" s="110"/>
      <c r="IVH1376" s="110"/>
      <c r="IVI1376" s="110"/>
      <c r="IVJ1376" s="110"/>
      <c r="IVK1376" s="110"/>
      <c r="IVL1376" s="110"/>
      <c r="IVM1376" s="110"/>
      <c r="IVN1376" s="110"/>
      <c r="IVO1376" s="110"/>
      <c r="IVP1376" s="110"/>
      <c r="IVQ1376" s="110"/>
      <c r="IVR1376" s="110"/>
      <c r="IVS1376" s="110"/>
      <c r="IVT1376" s="110"/>
      <c r="IVU1376" s="110"/>
      <c r="IVV1376" s="110"/>
      <c r="IVW1376" s="110"/>
      <c r="IVX1376" s="110"/>
      <c r="IVY1376" s="110"/>
      <c r="IVZ1376" s="110"/>
      <c r="IWA1376" s="110"/>
      <c r="IWB1376" s="110"/>
      <c r="IWC1376" s="110"/>
      <c r="IWD1376" s="110"/>
      <c r="IWE1376" s="110"/>
      <c r="IWF1376" s="110"/>
      <c r="IWG1376" s="110"/>
      <c r="IWH1376" s="110"/>
      <c r="IWI1376" s="110"/>
      <c r="IWJ1376" s="110"/>
      <c r="IWK1376" s="110"/>
      <c r="IWL1376" s="110"/>
      <c r="IWM1376" s="110"/>
      <c r="IWN1376" s="110"/>
      <c r="IWO1376" s="110"/>
      <c r="IWP1376" s="110"/>
      <c r="IWQ1376" s="110"/>
      <c r="IWR1376" s="110"/>
      <c r="IWS1376" s="110"/>
      <c r="IWT1376" s="110"/>
      <c r="IWU1376" s="110"/>
      <c r="IWV1376" s="110"/>
      <c r="IWW1376" s="110"/>
      <c r="IWX1376" s="110"/>
      <c r="IWY1376" s="110"/>
      <c r="IWZ1376" s="110"/>
      <c r="IXA1376" s="110"/>
      <c r="IXB1376" s="110"/>
      <c r="IXC1376" s="110"/>
      <c r="IXD1376" s="110"/>
      <c r="IXE1376" s="110"/>
      <c r="IXF1376" s="110"/>
      <c r="IXG1376" s="110"/>
      <c r="IXH1376" s="110"/>
      <c r="IXI1376" s="110"/>
      <c r="IXJ1376" s="110"/>
      <c r="IXK1376" s="110"/>
      <c r="IXL1376" s="110"/>
      <c r="IXM1376" s="110"/>
      <c r="IXN1376" s="110"/>
      <c r="IXO1376" s="110"/>
      <c r="IXP1376" s="110"/>
      <c r="IXQ1376" s="110"/>
      <c r="IXR1376" s="110"/>
      <c r="IXS1376" s="110"/>
      <c r="IXT1376" s="110"/>
      <c r="IXU1376" s="110"/>
      <c r="IXV1376" s="110"/>
      <c r="IXW1376" s="110"/>
      <c r="IXX1376" s="110"/>
      <c r="IXY1376" s="110"/>
      <c r="IXZ1376" s="110"/>
      <c r="IYA1376" s="110"/>
      <c r="IYB1376" s="110"/>
      <c r="IYC1376" s="110"/>
      <c r="IYD1376" s="110"/>
      <c r="IYE1376" s="110"/>
      <c r="IYF1376" s="110"/>
      <c r="IYG1376" s="110"/>
      <c r="IYH1376" s="110"/>
      <c r="IYI1376" s="110"/>
      <c r="IYJ1376" s="110"/>
      <c r="IYK1376" s="110"/>
      <c r="IYL1376" s="110"/>
      <c r="IYM1376" s="110"/>
      <c r="IYN1376" s="110"/>
      <c r="IYO1376" s="110"/>
      <c r="IYP1376" s="110"/>
      <c r="IYQ1376" s="110"/>
      <c r="IYR1376" s="110"/>
      <c r="IYS1376" s="110"/>
      <c r="IYT1376" s="110"/>
      <c r="IYU1376" s="110"/>
      <c r="IYV1376" s="110"/>
      <c r="IYW1376" s="110"/>
      <c r="IYX1376" s="110"/>
      <c r="IYY1376" s="110"/>
      <c r="IYZ1376" s="110"/>
      <c r="IZA1376" s="110"/>
      <c r="IZB1376" s="110"/>
      <c r="IZC1376" s="110"/>
      <c r="IZD1376" s="110"/>
      <c r="IZE1376" s="110"/>
      <c r="IZF1376" s="110"/>
      <c r="IZG1376" s="110"/>
      <c r="IZH1376" s="110"/>
      <c r="IZI1376" s="110"/>
      <c r="IZJ1376" s="110"/>
      <c r="IZK1376" s="110"/>
      <c r="IZL1376" s="110"/>
      <c r="IZM1376" s="110"/>
      <c r="IZN1376" s="110"/>
      <c r="IZO1376" s="110"/>
      <c r="IZP1376" s="110"/>
      <c r="IZQ1376" s="110"/>
      <c r="IZR1376" s="110"/>
      <c r="IZS1376" s="110"/>
      <c r="IZT1376" s="110"/>
      <c r="IZU1376" s="110"/>
      <c r="IZV1376" s="110"/>
      <c r="IZW1376" s="110"/>
      <c r="IZX1376" s="110"/>
      <c r="IZY1376" s="110"/>
      <c r="IZZ1376" s="110"/>
      <c r="JAA1376" s="110"/>
      <c r="JAB1376" s="110"/>
      <c r="JAC1376" s="110"/>
      <c r="JAD1376" s="110"/>
      <c r="JAE1376" s="110"/>
      <c r="JAF1376" s="110"/>
      <c r="JAG1376" s="110"/>
      <c r="JAH1376" s="110"/>
      <c r="JAI1376" s="110"/>
      <c r="JAJ1376" s="110"/>
      <c r="JAK1376" s="110"/>
      <c r="JAL1376" s="110"/>
      <c r="JAM1376" s="110"/>
      <c r="JAN1376" s="110"/>
      <c r="JAO1376" s="110"/>
      <c r="JAP1376" s="110"/>
      <c r="JAQ1376" s="110"/>
      <c r="JAR1376" s="110"/>
      <c r="JAS1376" s="110"/>
      <c r="JAT1376" s="110"/>
      <c r="JAU1376" s="110"/>
      <c r="JAV1376" s="110"/>
      <c r="JAW1376" s="110"/>
      <c r="JAX1376" s="110"/>
      <c r="JAY1376" s="110"/>
      <c r="JAZ1376" s="110"/>
      <c r="JBA1376" s="110"/>
      <c r="JBB1376" s="110"/>
      <c r="JBC1376" s="110"/>
      <c r="JBD1376" s="110"/>
      <c r="JBE1376" s="110"/>
      <c r="JBF1376" s="110"/>
      <c r="JBG1376" s="110"/>
      <c r="JBH1376" s="110"/>
      <c r="JBI1376" s="110"/>
      <c r="JBJ1376" s="110"/>
      <c r="JBK1376" s="110"/>
      <c r="JBL1376" s="110"/>
      <c r="JBM1376" s="110"/>
      <c r="JBN1376" s="110"/>
      <c r="JBO1376" s="110"/>
      <c r="JBP1376" s="110"/>
      <c r="JBQ1376" s="110"/>
      <c r="JBR1376" s="110"/>
      <c r="JBS1376" s="110"/>
      <c r="JBT1376" s="110"/>
      <c r="JBU1376" s="110"/>
      <c r="JBV1376" s="110"/>
      <c r="JBW1376" s="110"/>
      <c r="JBX1376" s="110"/>
      <c r="JBY1376" s="110"/>
      <c r="JBZ1376" s="110"/>
      <c r="JCA1376" s="110"/>
      <c r="JCB1376" s="110"/>
      <c r="JCC1376" s="110"/>
      <c r="JCD1376" s="110"/>
      <c r="JCE1376" s="110"/>
      <c r="JCF1376" s="110"/>
      <c r="JCG1376" s="110"/>
      <c r="JCH1376" s="110"/>
      <c r="JCI1376" s="110"/>
      <c r="JCJ1376" s="110"/>
      <c r="JCK1376" s="110"/>
      <c r="JCL1376" s="110"/>
      <c r="JCM1376" s="110"/>
      <c r="JCN1376" s="110"/>
      <c r="JCO1376" s="110"/>
      <c r="JCP1376" s="110"/>
      <c r="JCQ1376" s="110"/>
      <c r="JCR1376" s="110"/>
      <c r="JCS1376" s="110"/>
      <c r="JCT1376" s="110"/>
      <c r="JCU1376" s="110"/>
      <c r="JCV1376" s="110"/>
      <c r="JCW1376" s="110"/>
      <c r="JCX1376" s="110"/>
      <c r="JCY1376" s="110"/>
      <c r="JCZ1376" s="110"/>
      <c r="JDA1376" s="110"/>
      <c r="JDB1376" s="110"/>
      <c r="JDC1376" s="110"/>
      <c r="JDD1376" s="110"/>
      <c r="JDE1376" s="110"/>
      <c r="JDF1376" s="110"/>
      <c r="JDG1376" s="110"/>
      <c r="JDH1376" s="110"/>
      <c r="JDI1376" s="110"/>
      <c r="JDJ1376" s="110"/>
      <c r="JDK1376" s="110"/>
      <c r="JDL1376" s="110"/>
      <c r="JDM1376" s="110"/>
      <c r="JDN1376" s="110"/>
      <c r="JDO1376" s="110"/>
      <c r="JDP1376" s="110"/>
      <c r="JDQ1376" s="110"/>
      <c r="JDR1376" s="110"/>
      <c r="JDS1376" s="110"/>
      <c r="JDT1376" s="110"/>
      <c r="JDU1376" s="110"/>
      <c r="JDV1376" s="110"/>
      <c r="JDW1376" s="110"/>
      <c r="JDX1376" s="110"/>
      <c r="JDY1376" s="110"/>
      <c r="JDZ1376" s="110"/>
      <c r="JEA1376" s="110"/>
      <c r="JEB1376" s="110"/>
      <c r="JEC1376" s="110"/>
      <c r="JED1376" s="110"/>
      <c r="JEE1376" s="110"/>
      <c r="JEF1376" s="110"/>
      <c r="JEG1376" s="110"/>
      <c r="JEH1376" s="110"/>
      <c r="JEI1376" s="110"/>
      <c r="JEJ1376" s="110"/>
      <c r="JEK1376" s="110"/>
      <c r="JEL1376" s="110"/>
      <c r="JEM1376" s="110"/>
      <c r="JEN1376" s="110"/>
      <c r="JEO1376" s="110"/>
      <c r="JEP1376" s="110"/>
      <c r="JEQ1376" s="110"/>
      <c r="JER1376" s="110"/>
      <c r="JES1376" s="110"/>
      <c r="JET1376" s="110"/>
      <c r="JEU1376" s="110"/>
      <c r="JEV1376" s="110"/>
      <c r="JEW1376" s="110"/>
      <c r="JEX1376" s="110"/>
      <c r="JEY1376" s="110"/>
      <c r="JEZ1376" s="110"/>
      <c r="JFA1376" s="110"/>
      <c r="JFB1376" s="110"/>
      <c r="JFC1376" s="110"/>
      <c r="JFD1376" s="110"/>
      <c r="JFE1376" s="110"/>
      <c r="JFF1376" s="110"/>
      <c r="JFG1376" s="110"/>
      <c r="JFH1376" s="110"/>
      <c r="JFI1376" s="110"/>
      <c r="JFJ1376" s="110"/>
      <c r="JFK1376" s="110"/>
      <c r="JFL1376" s="110"/>
      <c r="JFM1376" s="110"/>
      <c r="JFN1376" s="110"/>
      <c r="JFO1376" s="110"/>
      <c r="JFP1376" s="110"/>
      <c r="JFQ1376" s="110"/>
      <c r="JFR1376" s="110"/>
      <c r="JFS1376" s="110"/>
      <c r="JFT1376" s="110"/>
      <c r="JFU1376" s="110"/>
      <c r="JFV1376" s="110"/>
      <c r="JFW1376" s="110"/>
      <c r="JFX1376" s="110"/>
      <c r="JFY1376" s="110"/>
      <c r="JFZ1376" s="110"/>
      <c r="JGA1376" s="110"/>
      <c r="JGB1376" s="110"/>
      <c r="JGC1376" s="110"/>
      <c r="JGD1376" s="110"/>
      <c r="JGE1376" s="110"/>
      <c r="JGF1376" s="110"/>
      <c r="JGG1376" s="110"/>
      <c r="JGH1376" s="110"/>
      <c r="JGI1376" s="110"/>
      <c r="JGJ1376" s="110"/>
      <c r="JGK1376" s="110"/>
      <c r="JGL1376" s="110"/>
      <c r="JGM1376" s="110"/>
      <c r="JGN1376" s="110"/>
      <c r="JGO1376" s="110"/>
      <c r="JGP1376" s="110"/>
      <c r="JGQ1376" s="110"/>
      <c r="JGR1376" s="110"/>
      <c r="JGS1376" s="110"/>
      <c r="JGT1376" s="110"/>
      <c r="JGU1376" s="110"/>
      <c r="JGV1376" s="110"/>
      <c r="JGW1376" s="110"/>
      <c r="JGX1376" s="110"/>
      <c r="JGY1376" s="110"/>
      <c r="JGZ1376" s="110"/>
      <c r="JHA1376" s="110"/>
      <c r="JHB1376" s="110"/>
      <c r="JHC1376" s="110"/>
      <c r="JHD1376" s="110"/>
      <c r="JHE1376" s="110"/>
      <c r="JHF1376" s="110"/>
      <c r="JHG1376" s="110"/>
      <c r="JHH1376" s="110"/>
      <c r="JHI1376" s="110"/>
      <c r="JHJ1376" s="110"/>
      <c r="JHK1376" s="110"/>
      <c r="JHL1376" s="110"/>
      <c r="JHM1376" s="110"/>
      <c r="JHN1376" s="110"/>
      <c r="JHO1376" s="110"/>
      <c r="JHP1376" s="110"/>
      <c r="JHQ1376" s="110"/>
      <c r="JHR1376" s="110"/>
      <c r="JHS1376" s="110"/>
      <c r="JHT1376" s="110"/>
      <c r="JHU1376" s="110"/>
      <c r="JHV1376" s="110"/>
      <c r="JHW1376" s="110"/>
      <c r="JHX1376" s="110"/>
      <c r="JHY1376" s="110"/>
      <c r="JHZ1376" s="110"/>
      <c r="JIA1376" s="110"/>
      <c r="JIB1376" s="110"/>
      <c r="JIC1376" s="110"/>
      <c r="JID1376" s="110"/>
      <c r="JIE1376" s="110"/>
      <c r="JIF1376" s="110"/>
      <c r="JIG1376" s="110"/>
      <c r="JIH1376" s="110"/>
      <c r="JII1376" s="110"/>
      <c r="JIJ1376" s="110"/>
      <c r="JIK1376" s="110"/>
      <c r="JIL1376" s="110"/>
      <c r="JIM1376" s="110"/>
      <c r="JIN1376" s="110"/>
      <c r="JIO1376" s="110"/>
      <c r="JIP1376" s="110"/>
      <c r="JIQ1376" s="110"/>
      <c r="JIR1376" s="110"/>
      <c r="JIS1376" s="110"/>
      <c r="JIT1376" s="110"/>
      <c r="JIU1376" s="110"/>
      <c r="JIV1376" s="110"/>
      <c r="JIW1376" s="110"/>
      <c r="JIX1376" s="110"/>
      <c r="JIY1376" s="110"/>
      <c r="JIZ1376" s="110"/>
      <c r="JJA1376" s="110"/>
      <c r="JJB1376" s="110"/>
      <c r="JJC1376" s="110"/>
      <c r="JJD1376" s="110"/>
      <c r="JJE1376" s="110"/>
      <c r="JJF1376" s="110"/>
      <c r="JJG1376" s="110"/>
      <c r="JJH1376" s="110"/>
      <c r="JJI1376" s="110"/>
      <c r="JJJ1376" s="110"/>
      <c r="JJK1376" s="110"/>
      <c r="JJL1376" s="110"/>
      <c r="JJM1376" s="110"/>
      <c r="JJN1376" s="110"/>
      <c r="JJO1376" s="110"/>
      <c r="JJP1376" s="110"/>
      <c r="JJQ1376" s="110"/>
      <c r="JJR1376" s="110"/>
      <c r="JJS1376" s="110"/>
      <c r="JJT1376" s="110"/>
      <c r="JJU1376" s="110"/>
      <c r="JJV1376" s="110"/>
      <c r="JJW1376" s="110"/>
      <c r="JJX1376" s="110"/>
      <c r="JJY1376" s="110"/>
      <c r="JJZ1376" s="110"/>
      <c r="JKA1376" s="110"/>
      <c r="JKB1376" s="110"/>
      <c r="JKC1376" s="110"/>
      <c r="JKD1376" s="110"/>
      <c r="JKE1376" s="110"/>
      <c r="JKF1376" s="110"/>
      <c r="JKG1376" s="110"/>
      <c r="JKH1376" s="110"/>
      <c r="JKI1376" s="110"/>
      <c r="JKJ1376" s="110"/>
      <c r="JKK1376" s="110"/>
      <c r="JKL1376" s="110"/>
      <c r="JKM1376" s="110"/>
      <c r="JKN1376" s="110"/>
      <c r="JKO1376" s="110"/>
      <c r="JKP1376" s="110"/>
      <c r="JKQ1376" s="110"/>
      <c r="JKR1376" s="110"/>
      <c r="JKS1376" s="110"/>
      <c r="JKT1376" s="110"/>
      <c r="JKU1376" s="110"/>
      <c r="JKV1376" s="110"/>
      <c r="JKW1376" s="110"/>
      <c r="JKX1376" s="110"/>
      <c r="JKY1376" s="110"/>
      <c r="JKZ1376" s="110"/>
      <c r="JLA1376" s="110"/>
      <c r="JLB1376" s="110"/>
      <c r="JLC1376" s="110"/>
      <c r="JLD1376" s="110"/>
      <c r="JLE1376" s="110"/>
      <c r="JLF1376" s="110"/>
      <c r="JLG1376" s="110"/>
      <c r="JLH1376" s="110"/>
      <c r="JLI1376" s="110"/>
      <c r="JLJ1376" s="110"/>
      <c r="JLK1376" s="110"/>
      <c r="JLL1376" s="110"/>
      <c r="JLM1376" s="110"/>
      <c r="JLN1376" s="110"/>
      <c r="JLO1376" s="110"/>
      <c r="JLP1376" s="110"/>
      <c r="JLQ1376" s="110"/>
      <c r="JLR1376" s="110"/>
      <c r="JLS1376" s="110"/>
      <c r="JLT1376" s="110"/>
      <c r="JLU1376" s="110"/>
      <c r="JLV1376" s="110"/>
      <c r="JLW1376" s="110"/>
      <c r="JLX1376" s="110"/>
      <c r="JLY1376" s="110"/>
      <c r="JLZ1376" s="110"/>
      <c r="JMA1376" s="110"/>
      <c r="JMB1376" s="110"/>
      <c r="JMC1376" s="110"/>
      <c r="JMD1376" s="110"/>
      <c r="JME1376" s="110"/>
      <c r="JMF1376" s="110"/>
      <c r="JMG1376" s="110"/>
      <c r="JMH1376" s="110"/>
      <c r="JMI1376" s="110"/>
      <c r="JMJ1376" s="110"/>
      <c r="JMK1376" s="110"/>
      <c r="JML1376" s="110"/>
      <c r="JMM1376" s="110"/>
      <c r="JMN1376" s="110"/>
      <c r="JMO1376" s="110"/>
      <c r="JMP1376" s="110"/>
      <c r="JMQ1376" s="110"/>
      <c r="JMR1376" s="110"/>
      <c r="JMS1376" s="110"/>
      <c r="JMT1376" s="110"/>
      <c r="JMU1376" s="110"/>
      <c r="JMV1376" s="110"/>
      <c r="JMW1376" s="110"/>
      <c r="JMX1376" s="110"/>
      <c r="JMY1376" s="110"/>
      <c r="JMZ1376" s="110"/>
      <c r="JNA1376" s="110"/>
      <c r="JNB1376" s="110"/>
      <c r="JNC1376" s="110"/>
      <c r="JND1376" s="110"/>
      <c r="JNE1376" s="110"/>
      <c r="JNF1376" s="110"/>
      <c r="JNG1376" s="110"/>
      <c r="JNH1376" s="110"/>
      <c r="JNI1376" s="110"/>
      <c r="JNJ1376" s="110"/>
      <c r="JNK1376" s="110"/>
      <c r="JNL1376" s="110"/>
      <c r="JNM1376" s="110"/>
      <c r="JNN1376" s="110"/>
      <c r="JNO1376" s="110"/>
      <c r="JNP1376" s="110"/>
      <c r="JNQ1376" s="110"/>
      <c r="JNR1376" s="110"/>
      <c r="JNS1376" s="110"/>
      <c r="JNT1376" s="110"/>
      <c r="JNU1376" s="110"/>
      <c r="JNV1376" s="110"/>
      <c r="JNW1376" s="110"/>
      <c r="JNX1376" s="110"/>
      <c r="JNY1376" s="110"/>
      <c r="JNZ1376" s="110"/>
      <c r="JOA1376" s="110"/>
      <c r="JOB1376" s="110"/>
      <c r="JOC1376" s="110"/>
      <c r="JOD1376" s="110"/>
      <c r="JOE1376" s="110"/>
      <c r="JOF1376" s="110"/>
      <c r="JOG1376" s="110"/>
      <c r="JOH1376" s="110"/>
      <c r="JOI1376" s="110"/>
      <c r="JOJ1376" s="110"/>
      <c r="JOK1376" s="110"/>
      <c r="JOL1376" s="110"/>
      <c r="JOM1376" s="110"/>
      <c r="JON1376" s="110"/>
      <c r="JOO1376" s="110"/>
      <c r="JOP1376" s="110"/>
      <c r="JOQ1376" s="110"/>
      <c r="JOR1376" s="110"/>
      <c r="JOS1376" s="110"/>
      <c r="JOT1376" s="110"/>
      <c r="JOU1376" s="110"/>
      <c r="JOV1376" s="110"/>
      <c r="JOW1376" s="110"/>
      <c r="JOX1376" s="110"/>
      <c r="JOY1376" s="110"/>
      <c r="JOZ1376" s="110"/>
      <c r="JPA1376" s="110"/>
      <c r="JPB1376" s="110"/>
      <c r="JPC1376" s="110"/>
      <c r="JPD1376" s="110"/>
      <c r="JPE1376" s="110"/>
      <c r="JPF1376" s="110"/>
      <c r="JPG1376" s="110"/>
      <c r="JPH1376" s="110"/>
      <c r="JPI1376" s="110"/>
      <c r="JPJ1376" s="110"/>
      <c r="JPK1376" s="110"/>
      <c r="JPL1376" s="110"/>
      <c r="JPM1376" s="110"/>
      <c r="JPN1376" s="110"/>
      <c r="JPO1376" s="110"/>
      <c r="JPP1376" s="110"/>
      <c r="JPQ1376" s="110"/>
      <c r="JPR1376" s="110"/>
      <c r="JPS1376" s="110"/>
      <c r="JPT1376" s="110"/>
      <c r="JPU1376" s="110"/>
      <c r="JPV1376" s="110"/>
      <c r="JPW1376" s="110"/>
      <c r="JPX1376" s="110"/>
      <c r="JPY1376" s="110"/>
      <c r="JPZ1376" s="110"/>
      <c r="JQA1376" s="110"/>
      <c r="JQB1376" s="110"/>
      <c r="JQC1376" s="110"/>
      <c r="JQD1376" s="110"/>
      <c r="JQE1376" s="110"/>
      <c r="JQF1376" s="110"/>
      <c r="JQG1376" s="110"/>
      <c r="JQH1376" s="110"/>
      <c r="JQI1376" s="110"/>
      <c r="JQJ1376" s="110"/>
      <c r="JQK1376" s="110"/>
      <c r="JQL1376" s="110"/>
      <c r="JQM1376" s="110"/>
      <c r="JQN1376" s="110"/>
      <c r="JQO1376" s="110"/>
      <c r="JQP1376" s="110"/>
      <c r="JQQ1376" s="110"/>
      <c r="JQR1376" s="110"/>
      <c r="JQS1376" s="110"/>
      <c r="JQT1376" s="110"/>
      <c r="JQU1376" s="110"/>
      <c r="JQV1376" s="110"/>
      <c r="JQW1376" s="110"/>
      <c r="JQX1376" s="110"/>
      <c r="JQY1376" s="110"/>
      <c r="JQZ1376" s="110"/>
      <c r="JRA1376" s="110"/>
      <c r="JRB1376" s="110"/>
      <c r="JRC1376" s="110"/>
      <c r="JRD1376" s="110"/>
      <c r="JRE1376" s="110"/>
      <c r="JRF1376" s="110"/>
      <c r="JRG1376" s="110"/>
      <c r="JRH1376" s="110"/>
      <c r="JRI1376" s="110"/>
      <c r="JRJ1376" s="110"/>
      <c r="JRK1376" s="110"/>
      <c r="JRL1376" s="110"/>
      <c r="JRM1376" s="110"/>
      <c r="JRN1376" s="110"/>
      <c r="JRO1376" s="110"/>
      <c r="JRP1376" s="110"/>
      <c r="JRQ1376" s="110"/>
      <c r="JRR1376" s="110"/>
      <c r="JRS1376" s="110"/>
      <c r="JRT1376" s="110"/>
      <c r="JRU1376" s="110"/>
      <c r="JRV1376" s="110"/>
      <c r="JRW1376" s="110"/>
      <c r="JRX1376" s="110"/>
      <c r="JRY1376" s="110"/>
      <c r="JRZ1376" s="110"/>
      <c r="JSA1376" s="110"/>
      <c r="JSB1376" s="110"/>
      <c r="JSC1376" s="110"/>
      <c r="JSD1376" s="110"/>
      <c r="JSE1376" s="110"/>
      <c r="JSF1376" s="110"/>
      <c r="JSG1376" s="110"/>
      <c r="JSH1376" s="110"/>
      <c r="JSI1376" s="110"/>
      <c r="JSJ1376" s="110"/>
      <c r="JSK1376" s="110"/>
      <c r="JSL1376" s="110"/>
      <c r="JSM1376" s="110"/>
      <c r="JSN1376" s="110"/>
      <c r="JSO1376" s="110"/>
      <c r="JSP1376" s="110"/>
      <c r="JSQ1376" s="110"/>
      <c r="JSR1376" s="110"/>
      <c r="JSS1376" s="110"/>
      <c r="JST1376" s="110"/>
      <c r="JSU1376" s="110"/>
      <c r="JSV1376" s="110"/>
      <c r="JSW1376" s="110"/>
      <c r="JSX1376" s="110"/>
      <c r="JSY1376" s="110"/>
      <c r="JSZ1376" s="110"/>
      <c r="JTA1376" s="110"/>
      <c r="JTB1376" s="110"/>
      <c r="JTC1376" s="110"/>
      <c r="JTD1376" s="110"/>
      <c r="JTE1376" s="110"/>
      <c r="JTF1376" s="110"/>
      <c r="JTG1376" s="110"/>
      <c r="JTH1376" s="110"/>
      <c r="JTI1376" s="110"/>
      <c r="JTJ1376" s="110"/>
      <c r="JTK1376" s="110"/>
      <c r="JTL1376" s="110"/>
      <c r="JTM1376" s="110"/>
      <c r="JTN1376" s="110"/>
      <c r="JTO1376" s="110"/>
      <c r="JTP1376" s="110"/>
      <c r="JTQ1376" s="110"/>
      <c r="JTR1376" s="110"/>
      <c r="JTS1376" s="110"/>
      <c r="JTT1376" s="110"/>
      <c r="JTU1376" s="110"/>
      <c r="JTV1376" s="110"/>
      <c r="JTW1376" s="110"/>
      <c r="JTX1376" s="110"/>
      <c r="JTY1376" s="110"/>
      <c r="JTZ1376" s="110"/>
      <c r="JUA1376" s="110"/>
      <c r="JUB1376" s="110"/>
      <c r="JUC1376" s="110"/>
      <c r="JUD1376" s="110"/>
      <c r="JUE1376" s="110"/>
      <c r="JUF1376" s="110"/>
      <c r="JUG1376" s="110"/>
      <c r="JUH1376" s="110"/>
      <c r="JUI1376" s="110"/>
      <c r="JUJ1376" s="110"/>
      <c r="JUK1376" s="110"/>
      <c r="JUL1376" s="110"/>
      <c r="JUM1376" s="110"/>
      <c r="JUN1376" s="110"/>
      <c r="JUO1376" s="110"/>
      <c r="JUP1376" s="110"/>
      <c r="JUQ1376" s="110"/>
      <c r="JUR1376" s="110"/>
      <c r="JUS1376" s="110"/>
      <c r="JUT1376" s="110"/>
      <c r="JUU1376" s="110"/>
      <c r="JUV1376" s="110"/>
      <c r="JUW1376" s="110"/>
      <c r="JUX1376" s="110"/>
      <c r="JUY1376" s="110"/>
      <c r="JUZ1376" s="110"/>
      <c r="JVA1376" s="110"/>
      <c r="JVB1376" s="110"/>
      <c r="JVC1376" s="110"/>
      <c r="JVD1376" s="110"/>
      <c r="JVE1376" s="110"/>
      <c r="JVF1376" s="110"/>
      <c r="JVG1376" s="110"/>
      <c r="JVH1376" s="110"/>
      <c r="JVI1376" s="110"/>
      <c r="JVJ1376" s="110"/>
      <c r="JVK1376" s="110"/>
      <c r="JVL1376" s="110"/>
      <c r="JVM1376" s="110"/>
      <c r="JVN1376" s="110"/>
      <c r="JVO1376" s="110"/>
      <c r="JVP1376" s="110"/>
      <c r="JVQ1376" s="110"/>
      <c r="JVR1376" s="110"/>
      <c r="JVS1376" s="110"/>
      <c r="JVT1376" s="110"/>
      <c r="JVU1376" s="110"/>
      <c r="JVV1376" s="110"/>
      <c r="JVW1376" s="110"/>
      <c r="JVX1376" s="110"/>
      <c r="JVY1376" s="110"/>
      <c r="JVZ1376" s="110"/>
      <c r="JWA1376" s="110"/>
      <c r="JWB1376" s="110"/>
      <c r="JWC1376" s="110"/>
      <c r="JWD1376" s="110"/>
      <c r="JWE1376" s="110"/>
      <c r="JWF1376" s="110"/>
      <c r="JWG1376" s="110"/>
      <c r="JWH1376" s="110"/>
      <c r="JWI1376" s="110"/>
      <c r="JWJ1376" s="110"/>
      <c r="JWK1376" s="110"/>
      <c r="JWL1376" s="110"/>
      <c r="JWM1376" s="110"/>
      <c r="JWN1376" s="110"/>
      <c r="JWO1376" s="110"/>
      <c r="JWP1376" s="110"/>
      <c r="JWQ1376" s="110"/>
      <c r="JWR1376" s="110"/>
      <c r="JWS1376" s="110"/>
      <c r="JWT1376" s="110"/>
      <c r="JWU1376" s="110"/>
      <c r="JWV1376" s="110"/>
      <c r="JWW1376" s="110"/>
      <c r="JWX1376" s="110"/>
      <c r="JWY1376" s="110"/>
      <c r="JWZ1376" s="110"/>
      <c r="JXA1376" s="110"/>
      <c r="JXB1376" s="110"/>
      <c r="JXC1376" s="110"/>
      <c r="JXD1376" s="110"/>
      <c r="JXE1376" s="110"/>
      <c r="JXF1376" s="110"/>
      <c r="JXG1376" s="110"/>
      <c r="JXH1376" s="110"/>
      <c r="JXI1376" s="110"/>
      <c r="JXJ1376" s="110"/>
      <c r="JXK1376" s="110"/>
      <c r="JXL1376" s="110"/>
      <c r="JXM1376" s="110"/>
      <c r="JXN1376" s="110"/>
      <c r="JXO1376" s="110"/>
      <c r="JXP1376" s="110"/>
      <c r="JXQ1376" s="110"/>
      <c r="JXR1376" s="110"/>
      <c r="JXS1376" s="110"/>
      <c r="JXT1376" s="110"/>
      <c r="JXU1376" s="110"/>
      <c r="JXV1376" s="110"/>
      <c r="JXW1376" s="110"/>
      <c r="JXX1376" s="110"/>
      <c r="JXY1376" s="110"/>
      <c r="JXZ1376" s="110"/>
      <c r="JYA1376" s="110"/>
      <c r="JYB1376" s="110"/>
      <c r="JYC1376" s="110"/>
      <c r="JYD1376" s="110"/>
      <c r="JYE1376" s="110"/>
      <c r="JYF1376" s="110"/>
      <c r="JYG1376" s="110"/>
      <c r="JYH1376" s="110"/>
      <c r="JYI1376" s="110"/>
      <c r="JYJ1376" s="110"/>
      <c r="JYK1376" s="110"/>
      <c r="JYL1376" s="110"/>
      <c r="JYM1376" s="110"/>
      <c r="JYN1376" s="110"/>
      <c r="JYO1376" s="110"/>
      <c r="JYP1376" s="110"/>
      <c r="JYQ1376" s="110"/>
      <c r="JYR1376" s="110"/>
      <c r="JYS1376" s="110"/>
      <c r="JYT1376" s="110"/>
      <c r="JYU1376" s="110"/>
      <c r="JYV1376" s="110"/>
      <c r="JYW1376" s="110"/>
      <c r="JYX1376" s="110"/>
      <c r="JYY1376" s="110"/>
      <c r="JYZ1376" s="110"/>
      <c r="JZA1376" s="110"/>
      <c r="JZB1376" s="110"/>
      <c r="JZC1376" s="110"/>
      <c r="JZD1376" s="110"/>
      <c r="JZE1376" s="110"/>
      <c r="JZF1376" s="110"/>
      <c r="JZG1376" s="110"/>
      <c r="JZH1376" s="110"/>
      <c r="JZI1376" s="110"/>
      <c r="JZJ1376" s="110"/>
      <c r="JZK1376" s="110"/>
      <c r="JZL1376" s="110"/>
      <c r="JZM1376" s="110"/>
      <c r="JZN1376" s="110"/>
      <c r="JZO1376" s="110"/>
      <c r="JZP1376" s="110"/>
      <c r="JZQ1376" s="110"/>
      <c r="JZR1376" s="110"/>
      <c r="JZS1376" s="110"/>
      <c r="JZT1376" s="110"/>
      <c r="JZU1376" s="110"/>
      <c r="JZV1376" s="110"/>
      <c r="JZW1376" s="110"/>
      <c r="JZX1376" s="110"/>
      <c r="JZY1376" s="110"/>
      <c r="JZZ1376" s="110"/>
      <c r="KAA1376" s="110"/>
      <c r="KAB1376" s="110"/>
      <c r="KAC1376" s="110"/>
      <c r="KAD1376" s="110"/>
      <c r="KAE1376" s="110"/>
      <c r="KAF1376" s="110"/>
      <c r="KAG1376" s="110"/>
      <c r="KAH1376" s="110"/>
      <c r="KAI1376" s="110"/>
      <c r="KAJ1376" s="110"/>
      <c r="KAK1376" s="110"/>
      <c r="KAL1376" s="110"/>
      <c r="KAM1376" s="110"/>
      <c r="KAN1376" s="110"/>
      <c r="KAO1376" s="110"/>
      <c r="KAP1376" s="110"/>
      <c r="KAQ1376" s="110"/>
      <c r="KAR1376" s="110"/>
      <c r="KAS1376" s="110"/>
      <c r="KAT1376" s="110"/>
      <c r="KAU1376" s="110"/>
      <c r="KAV1376" s="110"/>
      <c r="KAW1376" s="110"/>
      <c r="KAX1376" s="110"/>
      <c r="KAY1376" s="110"/>
      <c r="KAZ1376" s="110"/>
      <c r="KBA1376" s="110"/>
      <c r="KBB1376" s="110"/>
      <c r="KBC1376" s="110"/>
      <c r="KBD1376" s="110"/>
      <c r="KBE1376" s="110"/>
      <c r="KBF1376" s="110"/>
      <c r="KBG1376" s="110"/>
      <c r="KBH1376" s="110"/>
      <c r="KBI1376" s="110"/>
      <c r="KBJ1376" s="110"/>
      <c r="KBK1376" s="110"/>
      <c r="KBL1376" s="110"/>
      <c r="KBM1376" s="110"/>
      <c r="KBN1376" s="110"/>
      <c r="KBO1376" s="110"/>
      <c r="KBP1376" s="110"/>
      <c r="KBQ1376" s="110"/>
      <c r="KBR1376" s="110"/>
      <c r="KBS1376" s="110"/>
      <c r="KBT1376" s="110"/>
      <c r="KBU1376" s="110"/>
      <c r="KBV1376" s="110"/>
      <c r="KBW1376" s="110"/>
      <c r="KBX1376" s="110"/>
      <c r="KBY1376" s="110"/>
      <c r="KBZ1376" s="110"/>
      <c r="KCA1376" s="110"/>
      <c r="KCB1376" s="110"/>
      <c r="KCC1376" s="110"/>
      <c r="KCD1376" s="110"/>
      <c r="KCE1376" s="110"/>
      <c r="KCF1376" s="110"/>
      <c r="KCG1376" s="110"/>
      <c r="KCH1376" s="110"/>
      <c r="KCI1376" s="110"/>
      <c r="KCJ1376" s="110"/>
      <c r="KCK1376" s="110"/>
      <c r="KCL1376" s="110"/>
      <c r="KCM1376" s="110"/>
      <c r="KCN1376" s="110"/>
      <c r="KCO1376" s="110"/>
      <c r="KCP1376" s="110"/>
      <c r="KCQ1376" s="110"/>
      <c r="KCR1376" s="110"/>
      <c r="KCS1376" s="110"/>
      <c r="KCT1376" s="110"/>
      <c r="KCU1376" s="110"/>
      <c r="KCV1376" s="110"/>
      <c r="KCW1376" s="110"/>
      <c r="KCX1376" s="110"/>
      <c r="KCY1376" s="110"/>
      <c r="KCZ1376" s="110"/>
      <c r="KDA1376" s="110"/>
      <c r="KDB1376" s="110"/>
      <c r="KDC1376" s="110"/>
      <c r="KDD1376" s="110"/>
      <c r="KDE1376" s="110"/>
      <c r="KDF1376" s="110"/>
      <c r="KDG1376" s="110"/>
      <c r="KDH1376" s="110"/>
      <c r="KDI1376" s="110"/>
      <c r="KDJ1376" s="110"/>
      <c r="KDK1376" s="110"/>
      <c r="KDL1376" s="110"/>
      <c r="KDM1376" s="110"/>
      <c r="KDN1376" s="110"/>
      <c r="KDO1376" s="110"/>
      <c r="KDP1376" s="110"/>
      <c r="KDQ1376" s="110"/>
      <c r="KDR1376" s="110"/>
      <c r="KDS1376" s="110"/>
      <c r="KDT1376" s="110"/>
      <c r="KDU1376" s="110"/>
      <c r="KDV1376" s="110"/>
      <c r="KDW1376" s="110"/>
      <c r="KDX1376" s="110"/>
      <c r="KDY1376" s="110"/>
      <c r="KDZ1376" s="110"/>
      <c r="KEA1376" s="110"/>
      <c r="KEB1376" s="110"/>
      <c r="KEC1376" s="110"/>
      <c r="KED1376" s="110"/>
      <c r="KEE1376" s="110"/>
      <c r="KEF1376" s="110"/>
      <c r="KEG1376" s="110"/>
      <c r="KEH1376" s="110"/>
      <c r="KEI1376" s="110"/>
      <c r="KEJ1376" s="110"/>
      <c r="KEK1376" s="110"/>
      <c r="KEL1376" s="110"/>
      <c r="KEM1376" s="110"/>
      <c r="KEN1376" s="110"/>
      <c r="KEO1376" s="110"/>
      <c r="KEP1376" s="110"/>
      <c r="KEQ1376" s="110"/>
      <c r="KER1376" s="110"/>
      <c r="KES1376" s="110"/>
      <c r="KET1376" s="110"/>
      <c r="KEU1376" s="110"/>
      <c r="KEV1376" s="110"/>
      <c r="KEW1376" s="110"/>
      <c r="KEX1376" s="110"/>
      <c r="KEY1376" s="110"/>
      <c r="KEZ1376" s="110"/>
      <c r="KFA1376" s="110"/>
      <c r="KFB1376" s="110"/>
      <c r="KFC1376" s="110"/>
      <c r="KFD1376" s="110"/>
      <c r="KFE1376" s="110"/>
      <c r="KFF1376" s="110"/>
      <c r="KFG1376" s="110"/>
      <c r="KFH1376" s="110"/>
      <c r="KFI1376" s="110"/>
      <c r="KFJ1376" s="110"/>
      <c r="KFK1376" s="110"/>
      <c r="KFL1376" s="110"/>
      <c r="KFM1376" s="110"/>
      <c r="KFN1376" s="110"/>
      <c r="KFO1376" s="110"/>
      <c r="KFP1376" s="110"/>
      <c r="KFQ1376" s="110"/>
      <c r="KFR1376" s="110"/>
      <c r="KFS1376" s="110"/>
      <c r="KFT1376" s="110"/>
      <c r="KFU1376" s="110"/>
      <c r="KFV1376" s="110"/>
      <c r="KFW1376" s="110"/>
      <c r="KFX1376" s="110"/>
      <c r="KFY1376" s="110"/>
      <c r="KFZ1376" s="110"/>
      <c r="KGA1376" s="110"/>
      <c r="KGB1376" s="110"/>
      <c r="KGC1376" s="110"/>
      <c r="KGD1376" s="110"/>
      <c r="KGE1376" s="110"/>
      <c r="KGF1376" s="110"/>
      <c r="KGG1376" s="110"/>
      <c r="KGH1376" s="110"/>
      <c r="KGI1376" s="110"/>
      <c r="KGJ1376" s="110"/>
      <c r="KGK1376" s="110"/>
      <c r="KGL1376" s="110"/>
      <c r="KGM1376" s="110"/>
      <c r="KGN1376" s="110"/>
      <c r="KGO1376" s="110"/>
      <c r="KGP1376" s="110"/>
      <c r="KGQ1376" s="110"/>
      <c r="KGR1376" s="110"/>
      <c r="KGS1376" s="110"/>
      <c r="KGT1376" s="110"/>
      <c r="KGU1376" s="110"/>
      <c r="KGV1376" s="110"/>
      <c r="KGW1376" s="110"/>
      <c r="KGX1376" s="110"/>
      <c r="KGY1376" s="110"/>
      <c r="KGZ1376" s="110"/>
      <c r="KHA1376" s="110"/>
      <c r="KHB1376" s="110"/>
      <c r="KHC1376" s="110"/>
      <c r="KHD1376" s="110"/>
      <c r="KHE1376" s="110"/>
      <c r="KHF1376" s="110"/>
      <c r="KHG1376" s="110"/>
      <c r="KHH1376" s="110"/>
      <c r="KHI1376" s="110"/>
      <c r="KHJ1376" s="110"/>
      <c r="KHK1376" s="110"/>
      <c r="KHL1376" s="110"/>
      <c r="KHM1376" s="110"/>
      <c r="KHN1376" s="110"/>
      <c r="KHO1376" s="110"/>
      <c r="KHP1376" s="110"/>
      <c r="KHQ1376" s="110"/>
      <c r="KHR1376" s="110"/>
      <c r="KHS1376" s="110"/>
      <c r="KHT1376" s="110"/>
      <c r="KHU1376" s="110"/>
      <c r="KHV1376" s="110"/>
      <c r="KHW1376" s="110"/>
      <c r="KHX1376" s="110"/>
      <c r="KHY1376" s="110"/>
      <c r="KHZ1376" s="110"/>
      <c r="KIA1376" s="110"/>
      <c r="KIB1376" s="110"/>
      <c r="KIC1376" s="110"/>
      <c r="KID1376" s="110"/>
      <c r="KIE1376" s="110"/>
      <c r="KIF1376" s="110"/>
      <c r="KIG1376" s="110"/>
      <c r="KIH1376" s="110"/>
      <c r="KII1376" s="110"/>
      <c r="KIJ1376" s="110"/>
      <c r="KIK1376" s="110"/>
      <c r="KIL1376" s="110"/>
      <c r="KIM1376" s="110"/>
      <c r="KIN1376" s="110"/>
      <c r="KIO1376" s="110"/>
      <c r="KIP1376" s="110"/>
      <c r="KIQ1376" s="110"/>
      <c r="KIR1376" s="110"/>
      <c r="KIS1376" s="110"/>
      <c r="KIT1376" s="110"/>
      <c r="KIU1376" s="110"/>
      <c r="KIV1376" s="110"/>
      <c r="KIW1376" s="110"/>
      <c r="KIX1376" s="110"/>
      <c r="KIY1376" s="110"/>
      <c r="KIZ1376" s="110"/>
      <c r="KJA1376" s="110"/>
      <c r="KJB1376" s="110"/>
      <c r="KJC1376" s="110"/>
      <c r="KJD1376" s="110"/>
      <c r="KJE1376" s="110"/>
      <c r="KJF1376" s="110"/>
      <c r="KJG1376" s="110"/>
      <c r="KJH1376" s="110"/>
      <c r="KJI1376" s="110"/>
      <c r="KJJ1376" s="110"/>
      <c r="KJK1376" s="110"/>
      <c r="KJL1376" s="110"/>
      <c r="KJM1376" s="110"/>
      <c r="KJN1376" s="110"/>
      <c r="KJO1376" s="110"/>
      <c r="KJP1376" s="110"/>
      <c r="KJQ1376" s="110"/>
      <c r="KJR1376" s="110"/>
      <c r="KJS1376" s="110"/>
      <c r="KJT1376" s="110"/>
      <c r="KJU1376" s="110"/>
      <c r="KJV1376" s="110"/>
      <c r="KJW1376" s="110"/>
      <c r="KJX1376" s="110"/>
      <c r="KJY1376" s="110"/>
      <c r="KJZ1376" s="110"/>
      <c r="KKA1376" s="110"/>
      <c r="KKB1376" s="110"/>
      <c r="KKC1376" s="110"/>
      <c r="KKD1376" s="110"/>
      <c r="KKE1376" s="110"/>
      <c r="KKF1376" s="110"/>
      <c r="KKG1376" s="110"/>
      <c r="KKH1376" s="110"/>
      <c r="KKI1376" s="110"/>
      <c r="KKJ1376" s="110"/>
      <c r="KKK1376" s="110"/>
      <c r="KKL1376" s="110"/>
      <c r="KKM1376" s="110"/>
      <c r="KKN1376" s="110"/>
      <c r="KKO1376" s="110"/>
      <c r="KKP1376" s="110"/>
      <c r="KKQ1376" s="110"/>
      <c r="KKR1376" s="110"/>
      <c r="KKS1376" s="110"/>
      <c r="KKT1376" s="110"/>
      <c r="KKU1376" s="110"/>
      <c r="KKV1376" s="110"/>
      <c r="KKW1376" s="110"/>
      <c r="KKX1376" s="110"/>
      <c r="KKY1376" s="110"/>
      <c r="KKZ1376" s="110"/>
      <c r="KLA1376" s="110"/>
      <c r="KLB1376" s="110"/>
      <c r="KLC1376" s="110"/>
      <c r="KLD1376" s="110"/>
      <c r="KLE1376" s="110"/>
      <c r="KLF1376" s="110"/>
      <c r="KLG1376" s="110"/>
      <c r="KLH1376" s="110"/>
      <c r="KLI1376" s="110"/>
      <c r="KLJ1376" s="110"/>
      <c r="KLK1376" s="110"/>
      <c r="KLL1376" s="110"/>
      <c r="KLM1376" s="110"/>
      <c r="KLN1376" s="110"/>
      <c r="KLO1376" s="110"/>
      <c r="KLP1376" s="110"/>
      <c r="KLQ1376" s="110"/>
      <c r="KLR1376" s="110"/>
      <c r="KLS1376" s="110"/>
      <c r="KLT1376" s="110"/>
      <c r="KLU1376" s="110"/>
      <c r="KLV1376" s="110"/>
      <c r="KLW1376" s="110"/>
      <c r="KLX1376" s="110"/>
      <c r="KLY1376" s="110"/>
      <c r="KLZ1376" s="110"/>
      <c r="KMA1376" s="110"/>
      <c r="KMB1376" s="110"/>
      <c r="KMC1376" s="110"/>
      <c r="KMD1376" s="110"/>
      <c r="KME1376" s="110"/>
      <c r="KMF1376" s="110"/>
      <c r="KMG1376" s="110"/>
      <c r="KMH1376" s="110"/>
      <c r="KMI1376" s="110"/>
      <c r="KMJ1376" s="110"/>
      <c r="KMK1376" s="110"/>
      <c r="KML1376" s="110"/>
      <c r="KMM1376" s="110"/>
      <c r="KMN1376" s="110"/>
      <c r="KMO1376" s="110"/>
      <c r="KMP1376" s="110"/>
      <c r="KMQ1376" s="110"/>
      <c r="KMR1376" s="110"/>
      <c r="KMS1376" s="110"/>
      <c r="KMT1376" s="110"/>
      <c r="KMU1376" s="110"/>
      <c r="KMV1376" s="110"/>
      <c r="KMW1376" s="110"/>
      <c r="KMX1376" s="110"/>
      <c r="KMY1376" s="110"/>
      <c r="KMZ1376" s="110"/>
      <c r="KNA1376" s="110"/>
      <c r="KNB1376" s="110"/>
      <c r="KNC1376" s="110"/>
      <c r="KND1376" s="110"/>
      <c r="KNE1376" s="110"/>
      <c r="KNF1376" s="110"/>
      <c r="KNG1376" s="110"/>
      <c r="KNH1376" s="110"/>
      <c r="KNI1376" s="110"/>
      <c r="KNJ1376" s="110"/>
      <c r="KNK1376" s="110"/>
      <c r="KNL1376" s="110"/>
      <c r="KNM1376" s="110"/>
      <c r="KNN1376" s="110"/>
      <c r="KNO1376" s="110"/>
      <c r="KNP1376" s="110"/>
      <c r="KNQ1376" s="110"/>
      <c r="KNR1376" s="110"/>
      <c r="KNS1376" s="110"/>
      <c r="KNT1376" s="110"/>
      <c r="KNU1376" s="110"/>
      <c r="KNV1376" s="110"/>
      <c r="KNW1376" s="110"/>
      <c r="KNX1376" s="110"/>
      <c r="KNY1376" s="110"/>
      <c r="KNZ1376" s="110"/>
      <c r="KOA1376" s="110"/>
      <c r="KOB1376" s="110"/>
      <c r="KOC1376" s="110"/>
      <c r="KOD1376" s="110"/>
      <c r="KOE1376" s="110"/>
      <c r="KOF1376" s="110"/>
      <c r="KOG1376" s="110"/>
      <c r="KOH1376" s="110"/>
      <c r="KOI1376" s="110"/>
      <c r="KOJ1376" s="110"/>
      <c r="KOK1376" s="110"/>
      <c r="KOL1376" s="110"/>
      <c r="KOM1376" s="110"/>
      <c r="KON1376" s="110"/>
      <c r="KOO1376" s="110"/>
      <c r="KOP1376" s="110"/>
      <c r="KOQ1376" s="110"/>
      <c r="KOR1376" s="110"/>
      <c r="KOS1376" s="110"/>
      <c r="KOT1376" s="110"/>
      <c r="KOU1376" s="110"/>
      <c r="KOV1376" s="110"/>
      <c r="KOW1376" s="110"/>
      <c r="KOX1376" s="110"/>
      <c r="KOY1376" s="110"/>
      <c r="KOZ1376" s="110"/>
      <c r="KPA1376" s="110"/>
      <c r="KPB1376" s="110"/>
      <c r="KPC1376" s="110"/>
      <c r="KPD1376" s="110"/>
      <c r="KPE1376" s="110"/>
      <c r="KPF1376" s="110"/>
      <c r="KPG1376" s="110"/>
      <c r="KPH1376" s="110"/>
      <c r="KPI1376" s="110"/>
      <c r="KPJ1376" s="110"/>
      <c r="KPK1376" s="110"/>
      <c r="KPL1376" s="110"/>
      <c r="KPM1376" s="110"/>
      <c r="KPN1376" s="110"/>
      <c r="KPO1376" s="110"/>
      <c r="KPP1376" s="110"/>
      <c r="KPQ1376" s="110"/>
      <c r="KPR1376" s="110"/>
      <c r="KPS1376" s="110"/>
      <c r="KPT1376" s="110"/>
      <c r="KPU1376" s="110"/>
      <c r="KPV1376" s="110"/>
      <c r="KPW1376" s="110"/>
      <c r="KPX1376" s="110"/>
      <c r="KPY1376" s="110"/>
      <c r="KPZ1376" s="110"/>
      <c r="KQA1376" s="110"/>
      <c r="KQB1376" s="110"/>
      <c r="KQC1376" s="110"/>
      <c r="KQD1376" s="110"/>
      <c r="KQE1376" s="110"/>
      <c r="KQF1376" s="110"/>
      <c r="KQG1376" s="110"/>
      <c r="KQH1376" s="110"/>
      <c r="KQI1376" s="110"/>
      <c r="KQJ1376" s="110"/>
      <c r="KQK1376" s="110"/>
      <c r="KQL1376" s="110"/>
      <c r="KQM1376" s="110"/>
      <c r="KQN1376" s="110"/>
      <c r="KQO1376" s="110"/>
      <c r="KQP1376" s="110"/>
      <c r="KQQ1376" s="110"/>
      <c r="KQR1376" s="110"/>
      <c r="KQS1376" s="110"/>
      <c r="KQT1376" s="110"/>
      <c r="KQU1376" s="110"/>
      <c r="KQV1376" s="110"/>
      <c r="KQW1376" s="110"/>
      <c r="KQX1376" s="110"/>
      <c r="KQY1376" s="110"/>
      <c r="KQZ1376" s="110"/>
      <c r="KRA1376" s="110"/>
      <c r="KRB1376" s="110"/>
      <c r="KRC1376" s="110"/>
      <c r="KRD1376" s="110"/>
      <c r="KRE1376" s="110"/>
      <c r="KRF1376" s="110"/>
      <c r="KRG1376" s="110"/>
      <c r="KRH1376" s="110"/>
      <c r="KRI1376" s="110"/>
      <c r="KRJ1376" s="110"/>
      <c r="KRK1376" s="110"/>
      <c r="KRL1376" s="110"/>
      <c r="KRM1376" s="110"/>
      <c r="KRN1376" s="110"/>
      <c r="KRO1376" s="110"/>
      <c r="KRP1376" s="110"/>
      <c r="KRQ1376" s="110"/>
      <c r="KRR1376" s="110"/>
      <c r="KRS1376" s="110"/>
      <c r="KRT1376" s="110"/>
      <c r="KRU1376" s="110"/>
      <c r="KRV1376" s="110"/>
      <c r="KRW1376" s="110"/>
      <c r="KRX1376" s="110"/>
      <c r="KRY1376" s="110"/>
      <c r="KRZ1376" s="110"/>
      <c r="KSA1376" s="110"/>
      <c r="KSB1376" s="110"/>
      <c r="KSC1376" s="110"/>
      <c r="KSD1376" s="110"/>
      <c r="KSE1376" s="110"/>
      <c r="KSF1376" s="110"/>
      <c r="KSG1376" s="110"/>
      <c r="KSH1376" s="110"/>
      <c r="KSI1376" s="110"/>
      <c r="KSJ1376" s="110"/>
      <c r="KSK1376" s="110"/>
      <c r="KSL1376" s="110"/>
      <c r="KSM1376" s="110"/>
      <c r="KSN1376" s="110"/>
      <c r="KSO1376" s="110"/>
      <c r="KSP1376" s="110"/>
      <c r="KSQ1376" s="110"/>
      <c r="KSR1376" s="110"/>
      <c r="KSS1376" s="110"/>
      <c r="KST1376" s="110"/>
      <c r="KSU1376" s="110"/>
      <c r="KSV1376" s="110"/>
      <c r="KSW1376" s="110"/>
      <c r="KSX1376" s="110"/>
      <c r="KSY1376" s="110"/>
      <c r="KSZ1376" s="110"/>
      <c r="KTA1376" s="110"/>
      <c r="KTB1376" s="110"/>
      <c r="KTC1376" s="110"/>
      <c r="KTD1376" s="110"/>
      <c r="KTE1376" s="110"/>
      <c r="KTF1376" s="110"/>
      <c r="KTG1376" s="110"/>
      <c r="KTH1376" s="110"/>
      <c r="KTI1376" s="110"/>
      <c r="KTJ1376" s="110"/>
      <c r="KTK1376" s="110"/>
      <c r="KTL1376" s="110"/>
      <c r="KTM1376" s="110"/>
      <c r="KTN1376" s="110"/>
      <c r="KTO1376" s="110"/>
      <c r="KTP1376" s="110"/>
      <c r="KTQ1376" s="110"/>
      <c r="KTR1376" s="110"/>
      <c r="KTS1376" s="110"/>
      <c r="KTT1376" s="110"/>
      <c r="KTU1376" s="110"/>
      <c r="KTV1376" s="110"/>
      <c r="KTW1376" s="110"/>
      <c r="KTX1376" s="110"/>
      <c r="KTY1376" s="110"/>
      <c r="KTZ1376" s="110"/>
      <c r="KUA1376" s="110"/>
      <c r="KUB1376" s="110"/>
      <c r="KUC1376" s="110"/>
      <c r="KUD1376" s="110"/>
      <c r="KUE1376" s="110"/>
      <c r="KUF1376" s="110"/>
      <c r="KUG1376" s="110"/>
      <c r="KUH1376" s="110"/>
      <c r="KUI1376" s="110"/>
      <c r="KUJ1376" s="110"/>
      <c r="KUK1376" s="110"/>
      <c r="KUL1376" s="110"/>
      <c r="KUM1376" s="110"/>
      <c r="KUN1376" s="110"/>
      <c r="KUO1376" s="110"/>
      <c r="KUP1376" s="110"/>
      <c r="KUQ1376" s="110"/>
      <c r="KUR1376" s="110"/>
      <c r="KUS1376" s="110"/>
      <c r="KUT1376" s="110"/>
      <c r="KUU1376" s="110"/>
      <c r="KUV1376" s="110"/>
      <c r="KUW1376" s="110"/>
      <c r="KUX1376" s="110"/>
      <c r="KUY1376" s="110"/>
      <c r="KUZ1376" s="110"/>
      <c r="KVA1376" s="110"/>
      <c r="KVB1376" s="110"/>
      <c r="KVC1376" s="110"/>
      <c r="KVD1376" s="110"/>
      <c r="KVE1376" s="110"/>
      <c r="KVF1376" s="110"/>
      <c r="KVG1376" s="110"/>
      <c r="KVH1376" s="110"/>
      <c r="KVI1376" s="110"/>
      <c r="KVJ1376" s="110"/>
      <c r="KVK1376" s="110"/>
      <c r="KVL1376" s="110"/>
      <c r="KVM1376" s="110"/>
      <c r="KVN1376" s="110"/>
      <c r="KVO1376" s="110"/>
      <c r="KVP1376" s="110"/>
      <c r="KVQ1376" s="110"/>
      <c r="KVR1376" s="110"/>
      <c r="KVS1376" s="110"/>
      <c r="KVT1376" s="110"/>
      <c r="KVU1376" s="110"/>
      <c r="KVV1376" s="110"/>
      <c r="KVW1376" s="110"/>
      <c r="KVX1376" s="110"/>
      <c r="KVY1376" s="110"/>
      <c r="KVZ1376" s="110"/>
      <c r="KWA1376" s="110"/>
      <c r="KWB1376" s="110"/>
      <c r="KWC1376" s="110"/>
      <c r="KWD1376" s="110"/>
      <c r="KWE1376" s="110"/>
      <c r="KWF1376" s="110"/>
      <c r="KWG1376" s="110"/>
      <c r="KWH1376" s="110"/>
      <c r="KWI1376" s="110"/>
      <c r="KWJ1376" s="110"/>
      <c r="KWK1376" s="110"/>
      <c r="KWL1376" s="110"/>
      <c r="KWM1376" s="110"/>
      <c r="KWN1376" s="110"/>
      <c r="KWO1376" s="110"/>
      <c r="KWP1376" s="110"/>
      <c r="KWQ1376" s="110"/>
      <c r="KWR1376" s="110"/>
      <c r="KWS1376" s="110"/>
      <c r="KWT1376" s="110"/>
      <c r="KWU1376" s="110"/>
      <c r="KWV1376" s="110"/>
      <c r="KWW1376" s="110"/>
      <c r="KWX1376" s="110"/>
      <c r="KWY1376" s="110"/>
      <c r="KWZ1376" s="110"/>
      <c r="KXA1376" s="110"/>
      <c r="KXB1376" s="110"/>
      <c r="KXC1376" s="110"/>
      <c r="KXD1376" s="110"/>
      <c r="KXE1376" s="110"/>
      <c r="KXF1376" s="110"/>
      <c r="KXG1376" s="110"/>
      <c r="KXH1376" s="110"/>
      <c r="KXI1376" s="110"/>
      <c r="KXJ1376" s="110"/>
      <c r="KXK1376" s="110"/>
      <c r="KXL1376" s="110"/>
      <c r="KXM1376" s="110"/>
      <c r="KXN1376" s="110"/>
      <c r="KXO1376" s="110"/>
      <c r="KXP1376" s="110"/>
      <c r="KXQ1376" s="110"/>
      <c r="KXR1376" s="110"/>
      <c r="KXS1376" s="110"/>
      <c r="KXT1376" s="110"/>
      <c r="KXU1376" s="110"/>
      <c r="KXV1376" s="110"/>
      <c r="KXW1376" s="110"/>
      <c r="KXX1376" s="110"/>
      <c r="KXY1376" s="110"/>
      <c r="KXZ1376" s="110"/>
      <c r="KYA1376" s="110"/>
      <c r="KYB1376" s="110"/>
      <c r="KYC1376" s="110"/>
      <c r="KYD1376" s="110"/>
      <c r="KYE1376" s="110"/>
      <c r="KYF1376" s="110"/>
      <c r="KYG1376" s="110"/>
      <c r="KYH1376" s="110"/>
      <c r="KYI1376" s="110"/>
      <c r="KYJ1376" s="110"/>
      <c r="KYK1376" s="110"/>
      <c r="KYL1376" s="110"/>
      <c r="KYM1376" s="110"/>
      <c r="KYN1376" s="110"/>
      <c r="KYO1376" s="110"/>
      <c r="KYP1376" s="110"/>
      <c r="KYQ1376" s="110"/>
      <c r="KYR1376" s="110"/>
      <c r="KYS1376" s="110"/>
      <c r="KYT1376" s="110"/>
      <c r="KYU1376" s="110"/>
      <c r="KYV1376" s="110"/>
      <c r="KYW1376" s="110"/>
      <c r="KYX1376" s="110"/>
      <c r="KYY1376" s="110"/>
      <c r="KYZ1376" s="110"/>
      <c r="KZA1376" s="110"/>
      <c r="KZB1376" s="110"/>
      <c r="KZC1376" s="110"/>
      <c r="KZD1376" s="110"/>
      <c r="KZE1376" s="110"/>
      <c r="KZF1376" s="110"/>
      <c r="KZG1376" s="110"/>
      <c r="KZH1376" s="110"/>
      <c r="KZI1376" s="110"/>
      <c r="KZJ1376" s="110"/>
      <c r="KZK1376" s="110"/>
      <c r="KZL1376" s="110"/>
      <c r="KZM1376" s="110"/>
      <c r="KZN1376" s="110"/>
      <c r="KZO1376" s="110"/>
      <c r="KZP1376" s="110"/>
      <c r="KZQ1376" s="110"/>
      <c r="KZR1376" s="110"/>
      <c r="KZS1376" s="110"/>
      <c r="KZT1376" s="110"/>
      <c r="KZU1376" s="110"/>
      <c r="KZV1376" s="110"/>
      <c r="KZW1376" s="110"/>
      <c r="KZX1376" s="110"/>
      <c r="KZY1376" s="110"/>
      <c r="KZZ1376" s="110"/>
      <c r="LAA1376" s="110"/>
      <c r="LAB1376" s="110"/>
      <c r="LAC1376" s="110"/>
      <c r="LAD1376" s="110"/>
      <c r="LAE1376" s="110"/>
      <c r="LAF1376" s="110"/>
      <c r="LAG1376" s="110"/>
      <c r="LAH1376" s="110"/>
      <c r="LAI1376" s="110"/>
      <c r="LAJ1376" s="110"/>
      <c r="LAK1376" s="110"/>
      <c r="LAL1376" s="110"/>
      <c r="LAM1376" s="110"/>
      <c r="LAN1376" s="110"/>
      <c r="LAO1376" s="110"/>
      <c r="LAP1376" s="110"/>
      <c r="LAQ1376" s="110"/>
      <c r="LAR1376" s="110"/>
      <c r="LAS1376" s="110"/>
      <c r="LAT1376" s="110"/>
      <c r="LAU1376" s="110"/>
      <c r="LAV1376" s="110"/>
      <c r="LAW1376" s="110"/>
      <c r="LAX1376" s="110"/>
      <c r="LAY1376" s="110"/>
      <c r="LAZ1376" s="110"/>
      <c r="LBA1376" s="110"/>
      <c r="LBB1376" s="110"/>
      <c r="LBC1376" s="110"/>
      <c r="LBD1376" s="110"/>
      <c r="LBE1376" s="110"/>
      <c r="LBF1376" s="110"/>
      <c r="LBG1376" s="110"/>
      <c r="LBH1376" s="110"/>
      <c r="LBI1376" s="110"/>
      <c r="LBJ1376" s="110"/>
      <c r="LBK1376" s="110"/>
      <c r="LBL1376" s="110"/>
      <c r="LBM1376" s="110"/>
      <c r="LBN1376" s="110"/>
      <c r="LBO1376" s="110"/>
      <c r="LBP1376" s="110"/>
      <c r="LBQ1376" s="110"/>
      <c r="LBR1376" s="110"/>
      <c r="LBS1376" s="110"/>
      <c r="LBT1376" s="110"/>
      <c r="LBU1376" s="110"/>
      <c r="LBV1376" s="110"/>
      <c r="LBW1376" s="110"/>
      <c r="LBX1376" s="110"/>
      <c r="LBY1376" s="110"/>
      <c r="LBZ1376" s="110"/>
      <c r="LCA1376" s="110"/>
      <c r="LCB1376" s="110"/>
      <c r="LCC1376" s="110"/>
      <c r="LCD1376" s="110"/>
      <c r="LCE1376" s="110"/>
      <c r="LCF1376" s="110"/>
      <c r="LCG1376" s="110"/>
      <c r="LCH1376" s="110"/>
      <c r="LCI1376" s="110"/>
      <c r="LCJ1376" s="110"/>
      <c r="LCK1376" s="110"/>
      <c r="LCL1376" s="110"/>
      <c r="LCM1376" s="110"/>
      <c r="LCN1376" s="110"/>
      <c r="LCO1376" s="110"/>
      <c r="LCP1376" s="110"/>
      <c r="LCQ1376" s="110"/>
      <c r="LCR1376" s="110"/>
      <c r="LCS1376" s="110"/>
      <c r="LCT1376" s="110"/>
      <c r="LCU1376" s="110"/>
      <c r="LCV1376" s="110"/>
      <c r="LCW1376" s="110"/>
      <c r="LCX1376" s="110"/>
      <c r="LCY1376" s="110"/>
      <c r="LCZ1376" s="110"/>
      <c r="LDA1376" s="110"/>
      <c r="LDB1376" s="110"/>
      <c r="LDC1376" s="110"/>
      <c r="LDD1376" s="110"/>
      <c r="LDE1376" s="110"/>
      <c r="LDF1376" s="110"/>
      <c r="LDG1376" s="110"/>
      <c r="LDH1376" s="110"/>
      <c r="LDI1376" s="110"/>
      <c r="LDJ1376" s="110"/>
      <c r="LDK1376" s="110"/>
      <c r="LDL1376" s="110"/>
      <c r="LDM1376" s="110"/>
      <c r="LDN1376" s="110"/>
      <c r="LDO1376" s="110"/>
      <c r="LDP1376" s="110"/>
      <c r="LDQ1376" s="110"/>
      <c r="LDR1376" s="110"/>
      <c r="LDS1376" s="110"/>
      <c r="LDT1376" s="110"/>
      <c r="LDU1376" s="110"/>
      <c r="LDV1376" s="110"/>
      <c r="LDW1376" s="110"/>
      <c r="LDX1376" s="110"/>
      <c r="LDY1376" s="110"/>
      <c r="LDZ1376" s="110"/>
      <c r="LEA1376" s="110"/>
      <c r="LEB1376" s="110"/>
      <c r="LEC1376" s="110"/>
      <c r="LED1376" s="110"/>
      <c r="LEE1376" s="110"/>
      <c r="LEF1376" s="110"/>
      <c r="LEG1376" s="110"/>
      <c r="LEH1376" s="110"/>
      <c r="LEI1376" s="110"/>
      <c r="LEJ1376" s="110"/>
      <c r="LEK1376" s="110"/>
      <c r="LEL1376" s="110"/>
      <c r="LEM1376" s="110"/>
      <c r="LEN1376" s="110"/>
      <c r="LEO1376" s="110"/>
      <c r="LEP1376" s="110"/>
      <c r="LEQ1376" s="110"/>
      <c r="LER1376" s="110"/>
      <c r="LES1376" s="110"/>
      <c r="LET1376" s="110"/>
      <c r="LEU1376" s="110"/>
      <c r="LEV1376" s="110"/>
      <c r="LEW1376" s="110"/>
      <c r="LEX1376" s="110"/>
      <c r="LEY1376" s="110"/>
      <c r="LEZ1376" s="110"/>
      <c r="LFA1376" s="110"/>
      <c r="LFB1376" s="110"/>
      <c r="LFC1376" s="110"/>
      <c r="LFD1376" s="110"/>
      <c r="LFE1376" s="110"/>
      <c r="LFF1376" s="110"/>
      <c r="LFG1376" s="110"/>
      <c r="LFH1376" s="110"/>
      <c r="LFI1376" s="110"/>
      <c r="LFJ1376" s="110"/>
      <c r="LFK1376" s="110"/>
      <c r="LFL1376" s="110"/>
      <c r="LFM1376" s="110"/>
      <c r="LFN1376" s="110"/>
      <c r="LFO1376" s="110"/>
      <c r="LFP1376" s="110"/>
      <c r="LFQ1376" s="110"/>
      <c r="LFR1376" s="110"/>
      <c r="LFS1376" s="110"/>
      <c r="LFT1376" s="110"/>
      <c r="LFU1376" s="110"/>
      <c r="LFV1376" s="110"/>
      <c r="LFW1376" s="110"/>
      <c r="LFX1376" s="110"/>
      <c r="LFY1376" s="110"/>
      <c r="LFZ1376" s="110"/>
      <c r="LGA1376" s="110"/>
      <c r="LGB1376" s="110"/>
      <c r="LGC1376" s="110"/>
      <c r="LGD1376" s="110"/>
      <c r="LGE1376" s="110"/>
      <c r="LGF1376" s="110"/>
      <c r="LGG1376" s="110"/>
      <c r="LGH1376" s="110"/>
      <c r="LGI1376" s="110"/>
      <c r="LGJ1376" s="110"/>
      <c r="LGK1376" s="110"/>
      <c r="LGL1376" s="110"/>
      <c r="LGM1376" s="110"/>
      <c r="LGN1376" s="110"/>
      <c r="LGO1376" s="110"/>
      <c r="LGP1376" s="110"/>
      <c r="LGQ1376" s="110"/>
      <c r="LGR1376" s="110"/>
      <c r="LGS1376" s="110"/>
      <c r="LGT1376" s="110"/>
      <c r="LGU1376" s="110"/>
      <c r="LGV1376" s="110"/>
      <c r="LGW1376" s="110"/>
      <c r="LGX1376" s="110"/>
      <c r="LGY1376" s="110"/>
      <c r="LGZ1376" s="110"/>
      <c r="LHA1376" s="110"/>
      <c r="LHB1376" s="110"/>
      <c r="LHC1376" s="110"/>
      <c r="LHD1376" s="110"/>
      <c r="LHE1376" s="110"/>
      <c r="LHF1376" s="110"/>
      <c r="LHG1376" s="110"/>
      <c r="LHH1376" s="110"/>
      <c r="LHI1376" s="110"/>
      <c r="LHJ1376" s="110"/>
      <c r="LHK1376" s="110"/>
      <c r="LHL1376" s="110"/>
      <c r="LHM1376" s="110"/>
      <c r="LHN1376" s="110"/>
      <c r="LHO1376" s="110"/>
      <c r="LHP1376" s="110"/>
      <c r="LHQ1376" s="110"/>
      <c r="LHR1376" s="110"/>
      <c r="LHS1376" s="110"/>
      <c r="LHT1376" s="110"/>
      <c r="LHU1376" s="110"/>
      <c r="LHV1376" s="110"/>
      <c r="LHW1376" s="110"/>
      <c r="LHX1376" s="110"/>
      <c r="LHY1376" s="110"/>
      <c r="LHZ1376" s="110"/>
      <c r="LIA1376" s="110"/>
      <c r="LIB1376" s="110"/>
      <c r="LIC1376" s="110"/>
      <c r="LID1376" s="110"/>
      <c r="LIE1376" s="110"/>
      <c r="LIF1376" s="110"/>
      <c r="LIG1376" s="110"/>
      <c r="LIH1376" s="110"/>
      <c r="LII1376" s="110"/>
      <c r="LIJ1376" s="110"/>
      <c r="LIK1376" s="110"/>
      <c r="LIL1376" s="110"/>
      <c r="LIM1376" s="110"/>
      <c r="LIN1376" s="110"/>
      <c r="LIO1376" s="110"/>
      <c r="LIP1376" s="110"/>
      <c r="LIQ1376" s="110"/>
      <c r="LIR1376" s="110"/>
      <c r="LIS1376" s="110"/>
      <c r="LIT1376" s="110"/>
      <c r="LIU1376" s="110"/>
      <c r="LIV1376" s="110"/>
      <c r="LIW1376" s="110"/>
      <c r="LIX1376" s="110"/>
      <c r="LIY1376" s="110"/>
      <c r="LIZ1376" s="110"/>
      <c r="LJA1376" s="110"/>
      <c r="LJB1376" s="110"/>
      <c r="LJC1376" s="110"/>
      <c r="LJD1376" s="110"/>
      <c r="LJE1376" s="110"/>
      <c r="LJF1376" s="110"/>
      <c r="LJG1376" s="110"/>
      <c r="LJH1376" s="110"/>
      <c r="LJI1376" s="110"/>
      <c r="LJJ1376" s="110"/>
      <c r="LJK1376" s="110"/>
      <c r="LJL1376" s="110"/>
      <c r="LJM1376" s="110"/>
      <c r="LJN1376" s="110"/>
      <c r="LJO1376" s="110"/>
      <c r="LJP1376" s="110"/>
      <c r="LJQ1376" s="110"/>
      <c r="LJR1376" s="110"/>
      <c r="LJS1376" s="110"/>
      <c r="LJT1376" s="110"/>
      <c r="LJU1376" s="110"/>
      <c r="LJV1376" s="110"/>
      <c r="LJW1376" s="110"/>
      <c r="LJX1376" s="110"/>
      <c r="LJY1376" s="110"/>
      <c r="LJZ1376" s="110"/>
      <c r="LKA1376" s="110"/>
      <c r="LKB1376" s="110"/>
      <c r="LKC1376" s="110"/>
      <c r="LKD1376" s="110"/>
      <c r="LKE1376" s="110"/>
      <c r="LKF1376" s="110"/>
      <c r="LKG1376" s="110"/>
      <c r="LKH1376" s="110"/>
      <c r="LKI1376" s="110"/>
      <c r="LKJ1376" s="110"/>
      <c r="LKK1376" s="110"/>
      <c r="LKL1376" s="110"/>
      <c r="LKM1376" s="110"/>
      <c r="LKN1376" s="110"/>
      <c r="LKO1376" s="110"/>
      <c r="LKP1376" s="110"/>
      <c r="LKQ1376" s="110"/>
      <c r="LKR1376" s="110"/>
      <c r="LKS1376" s="110"/>
      <c r="LKT1376" s="110"/>
      <c r="LKU1376" s="110"/>
      <c r="LKV1376" s="110"/>
      <c r="LKW1376" s="110"/>
      <c r="LKX1376" s="110"/>
      <c r="LKY1376" s="110"/>
      <c r="LKZ1376" s="110"/>
      <c r="LLA1376" s="110"/>
      <c r="LLB1376" s="110"/>
      <c r="LLC1376" s="110"/>
      <c r="LLD1376" s="110"/>
      <c r="LLE1376" s="110"/>
      <c r="LLF1376" s="110"/>
      <c r="LLG1376" s="110"/>
      <c r="LLH1376" s="110"/>
      <c r="LLI1376" s="110"/>
      <c r="LLJ1376" s="110"/>
      <c r="LLK1376" s="110"/>
      <c r="LLL1376" s="110"/>
      <c r="LLM1376" s="110"/>
      <c r="LLN1376" s="110"/>
      <c r="LLO1376" s="110"/>
      <c r="LLP1376" s="110"/>
      <c r="LLQ1376" s="110"/>
      <c r="LLR1376" s="110"/>
      <c r="LLS1376" s="110"/>
      <c r="LLT1376" s="110"/>
      <c r="LLU1376" s="110"/>
      <c r="LLV1376" s="110"/>
      <c r="LLW1376" s="110"/>
      <c r="LLX1376" s="110"/>
      <c r="LLY1376" s="110"/>
      <c r="LLZ1376" s="110"/>
      <c r="LMA1376" s="110"/>
      <c r="LMB1376" s="110"/>
      <c r="LMC1376" s="110"/>
      <c r="LMD1376" s="110"/>
      <c r="LME1376" s="110"/>
      <c r="LMF1376" s="110"/>
      <c r="LMG1376" s="110"/>
      <c r="LMH1376" s="110"/>
      <c r="LMI1376" s="110"/>
      <c r="LMJ1376" s="110"/>
      <c r="LMK1376" s="110"/>
      <c r="LML1376" s="110"/>
      <c r="LMM1376" s="110"/>
      <c r="LMN1376" s="110"/>
      <c r="LMO1376" s="110"/>
      <c r="LMP1376" s="110"/>
      <c r="LMQ1376" s="110"/>
      <c r="LMR1376" s="110"/>
      <c r="LMS1376" s="110"/>
      <c r="LMT1376" s="110"/>
      <c r="LMU1376" s="110"/>
      <c r="LMV1376" s="110"/>
      <c r="LMW1376" s="110"/>
      <c r="LMX1376" s="110"/>
      <c r="LMY1376" s="110"/>
      <c r="LMZ1376" s="110"/>
      <c r="LNA1376" s="110"/>
      <c r="LNB1376" s="110"/>
      <c r="LNC1376" s="110"/>
      <c r="LND1376" s="110"/>
      <c r="LNE1376" s="110"/>
      <c r="LNF1376" s="110"/>
      <c r="LNG1376" s="110"/>
      <c r="LNH1376" s="110"/>
      <c r="LNI1376" s="110"/>
      <c r="LNJ1376" s="110"/>
      <c r="LNK1376" s="110"/>
      <c r="LNL1376" s="110"/>
      <c r="LNM1376" s="110"/>
      <c r="LNN1376" s="110"/>
      <c r="LNO1376" s="110"/>
      <c r="LNP1376" s="110"/>
      <c r="LNQ1376" s="110"/>
      <c r="LNR1376" s="110"/>
      <c r="LNS1376" s="110"/>
      <c r="LNT1376" s="110"/>
      <c r="LNU1376" s="110"/>
      <c r="LNV1376" s="110"/>
      <c r="LNW1376" s="110"/>
      <c r="LNX1376" s="110"/>
      <c r="LNY1376" s="110"/>
      <c r="LNZ1376" s="110"/>
      <c r="LOA1376" s="110"/>
      <c r="LOB1376" s="110"/>
      <c r="LOC1376" s="110"/>
      <c r="LOD1376" s="110"/>
      <c r="LOE1376" s="110"/>
      <c r="LOF1376" s="110"/>
      <c r="LOG1376" s="110"/>
      <c r="LOH1376" s="110"/>
      <c r="LOI1376" s="110"/>
      <c r="LOJ1376" s="110"/>
      <c r="LOK1376" s="110"/>
      <c r="LOL1376" s="110"/>
      <c r="LOM1376" s="110"/>
      <c r="LON1376" s="110"/>
      <c r="LOO1376" s="110"/>
      <c r="LOP1376" s="110"/>
      <c r="LOQ1376" s="110"/>
      <c r="LOR1376" s="110"/>
      <c r="LOS1376" s="110"/>
      <c r="LOT1376" s="110"/>
      <c r="LOU1376" s="110"/>
      <c r="LOV1376" s="110"/>
      <c r="LOW1376" s="110"/>
      <c r="LOX1376" s="110"/>
      <c r="LOY1376" s="110"/>
      <c r="LOZ1376" s="110"/>
      <c r="LPA1376" s="110"/>
      <c r="LPB1376" s="110"/>
      <c r="LPC1376" s="110"/>
      <c r="LPD1376" s="110"/>
      <c r="LPE1376" s="110"/>
      <c r="LPF1376" s="110"/>
      <c r="LPG1376" s="110"/>
      <c r="LPH1376" s="110"/>
      <c r="LPI1376" s="110"/>
      <c r="LPJ1376" s="110"/>
      <c r="LPK1376" s="110"/>
      <c r="LPL1376" s="110"/>
      <c r="LPM1376" s="110"/>
      <c r="LPN1376" s="110"/>
      <c r="LPO1376" s="110"/>
      <c r="LPP1376" s="110"/>
      <c r="LPQ1376" s="110"/>
      <c r="LPR1376" s="110"/>
      <c r="LPS1376" s="110"/>
      <c r="LPT1376" s="110"/>
      <c r="LPU1376" s="110"/>
      <c r="LPV1376" s="110"/>
      <c r="LPW1376" s="110"/>
      <c r="LPX1376" s="110"/>
      <c r="LPY1376" s="110"/>
      <c r="LPZ1376" s="110"/>
      <c r="LQA1376" s="110"/>
      <c r="LQB1376" s="110"/>
      <c r="LQC1376" s="110"/>
      <c r="LQD1376" s="110"/>
      <c r="LQE1376" s="110"/>
      <c r="LQF1376" s="110"/>
      <c r="LQG1376" s="110"/>
      <c r="LQH1376" s="110"/>
      <c r="LQI1376" s="110"/>
      <c r="LQJ1376" s="110"/>
      <c r="LQK1376" s="110"/>
      <c r="LQL1376" s="110"/>
      <c r="LQM1376" s="110"/>
      <c r="LQN1376" s="110"/>
      <c r="LQO1376" s="110"/>
      <c r="LQP1376" s="110"/>
      <c r="LQQ1376" s="110"/>
      <c r="LQR1376" s="110"/>
      <c r="LQS1376" s="110"/>
      <c r="LQT1376" s="110"/>
      <c r="LQU1376" s="110"/>
      <c r="LQV1376" s="110"/>
      <c r="LQW1376" s="110"/>
      <c r="LQX1376" s="110"/>
      <c r="LQY1376" s="110"/>
      <c r="LQZ1376" s="110"/>
      <c r="LRA1376" s="110"/>
      <c r="LRB1376" s="110"/>
      <c r="LRC1376" s="110"/>
      <c r="LRD1376" s="110"/>
      <c r="LRE1376" s="110"/>
      <c r="LRF1376" s="110"/>
      <c r="LRG1376" s="110"/>
      <c r="LRH1376" s="110"/>
      <c r="LRI1376" s="110"/>
      <c r="LRJ1376" s="110"/>
      <c r="LRK1376" s="110"/>
      <c r="LRL1376" s="110"/>
      <c r="LRM1376" s="110"/>
      <c r="LRN1376" s="110"/>
      <c r="LRO1376" s="110"/>
      <c r="LRP1376" s="110"/>
      <c r="LRQ1376" s="110"/>
      <c r="LRR1376" s="110"/>
      <c r="LRS1376" s="110"/>
      <c r="LRT1376" s="110"/>
      <c r="LRU1376" s="110"/>
      <c r="LRV1376" s="110"/>
      <c r="LRW1376" s="110"/>
      <c r="LRX1376" s="110"/>
      <c r="LRY1376" s="110"/>
      <c r="LRZ1376" s="110"/>
      <c r="LSA1376" s="110"/>
      <c r="LSB1376" s="110"/>
      <c r="LSC1376" s="110"/>
      <c r="LSD1376" s="110"/>
      <c r="LSE1376" s="110"/>
      <c r="LSF1376" s="110"/>
      <c r="LSG1376" s="110"/>
      <c r="LSH1376" s="110"/>
      <c r="LSI1376" s="110"/>
      <c r="LSJ1376" s="110"/>
      <c r="LSK1376" s="110"/>
      <c r="LSL1376" s="110"/>
      <c r="LSM1376" s="110"/>
      <c r="LSN1376" s="110"/>
      <c r="LSO1376" s="110"/>
      <c r="LSP1376" s="110"/>
      <c r="LSQ1376" s="110"/>
      <c r="LSR1376" s="110"/>
      <c r="LSS1376" s="110"/>
      <c r="LST1376" s="110"/>
      <c r="LSU1376" s="110"/>
      <c r="LSV1376" s="110"/>
      <c r="LSW1376" s="110"/>
      <c r="LSX1376" s="110"/>
      <c r="LSY1376" s="110"/>
      <c r="LSZ1376" s="110"/>
      <c r="LTA1376" s="110"/>
      <c r="LTB1376" s="110"/>
      <c r="LTC1376" s="110"/>
      <c r="LTD1376" s="110"/>
      <c r="LTE1376" s="110"/>
      <c r="LTF1376" s="110"/>
      <c r="LTG1376" s="110"/>
      <c r="LTH1376" s="110"/>
      <c r="LTI1376" s="110"/>
      <c r="LTJ1376" s="110"/>
      <c r="LTK1376" s="110"/>
      <c r="LTL1376" s="110"/>
      <c r="LTM1376" s="110"/>
      <c r="LTN1376" s="110"/>
      <c r="LTO1376" s="110"/>
      <c r="LTP1376" s="110"/>
      <c r="LTQ1376" s="110"/>
      <c r="LTR1376" s="110"/>
      <c r="LTS1376" s="110"/>
      <c r="LTT1376" s="110"/>
      <c r="LTU1376" s="110"/>
      <c r="LTV1376" s="110"/>
      <c r="LTW1376" s="110"/>
      <c r="LTX1376" s="110"/>
      <c r="LTY1376" s="110"/>
      <c r="LTZ1376" s="110"/>
      <c r="LUA1376" s="110"/>
      <c r="LUB1376" s="110"/>
      <c r="LUC1376" s="110"/>
      <c r="LUD1376" s="110"/>
      <c r="LUE1376" s="110"/>
      <c r="LUF1376" s="110"/>
      <c r="LUG1376" s="110"/>
      <c r="LUH1376" s="110"/>
      <c r="LUI1376" s="110"/>
      <c r="LUJ1376" s="110"/>
      <c r="LUK1376" s="110"/>
      <c r="LUL1376" s="110"/>
      <c r="LUM1376" s="110"/>
      <c r="LUN1376" s="110"/>
      <c r="LUO1376" s="110"/>
      <c r="LUP1376" s="110"/>
      <c r="LUQ1376" s="110"/>
      <c r="LUR1376" s="110"/>
      <c r="LUS1376" s="110"/>
      <c r="LUT1376" s="110"/>
      <c r="LUU1376" s="110"/>
      <c r="LUV1376" s="110"/>
      <c r="LUW1376" s="110"/>
      <c r="LUX1376" s="110"/>
      <c r="LUY1376" s="110"/>
      <c r="LUZ1376" s="110"/>
      <c r="LVA1376" s="110"/>
      <c r="LVB1376" s="110"/>
      <c r="LVC1376" s="110"/>
      <c r="LVD1376" s="110"/>
      <c r="LVE1376" s="110"/>
      <c r="LVF1376" s="110"/>
      <c r="LVG1376" s="110"/>
      <c r="LVH1376" s="110"/>
      <c r="LVI1376" s="110"/>
      <c r="LVJ1376" s="110"/>
      <c r="LVK1376" s="110"/>
      <c r="LVL1376" s="110"/>
      <c r="LVM1376" s="110"/>
      <c r="LVN1376" s="110"/>
      <c r="LVO1376" s="110"/>
      <c r="LVP1376" s="110"/>
      <c r="LVQ1376" s="110"/>
      <c r="LVR1376" s="110"/>
      <c r="LVS1376" s="110"/>
      <c r="LVT1376" s="110"/>
      <c r="LVU1376" s="110"/>
      <c r="LVV1376" s="110"/>
      <c r="LVW1376" s="110"/>
      <c r="LVX1376" s="110"/>
      <c r="LVY1376" s="110"/>
      <c r="LVZ1376" s="110"/>
      <c r="LWA1376" s="110"/>
      <c r="LWB1376" s="110"/>
      <c r="LWC1376" s="110"/>
      <c r="LWD1376" s="110"/>
      <c r="LWE1376" s="110"/>
      <c r="LWF1376" s="110"/>
      <c r="LWG1376" s="110"/>
      <c r="LWH1376" s="110"/>
      <c r="LWI1376" s="110"/>
      <c r="LWJ1376" s="110"/>
      <c r="LWK1376" s="110"/>
      <c r="LWL1376" s="110"/>
      <c r="LWM1376" s="110"/>
      <c r="LWN1376" s="110"/>
      <c r="LWO1376" s="110"/>
      <c r="LWP1376" s="110"/>
      <c r="LWQ1376" s="110"/>
      <c r="LWR1376" s="110"/>
      <c r="LWS1376" s="110"/>
      <c r="LWT1376" s="110"/>
      <c r="LWU1376" s="110"/>
      <c r="LWV1376" s="110"/>
      <c r="LWW1376" s="110"/>
      <c r="LWX1376" s="110"/>
      <c r="LWY1376" s="110"/>
      <c r="LWZ1376" s="110"/>
      <c r="LXA1376" s="110"/>
      <c r="LXB1376" s="110"/>
      <c r="LXC1376" s="110"/>
      <c r="LXD1376" s="110"/>
      <c r="LXE1376" s="110"/>
      <c r="LXF1376" s="110"/>
      <c r="LXG1376" s="110"/>
      <c r="LXH1376" s="110"/>
      <c r="LXI1376" s="110"/>
      <c r="LXJ1376" s="110"/>
      <c r="LXK1376" s="110"/>
      <c r="LXL1376" s="110"/>
      <c r="LXM1376" s="110"/>
      <c r="LXN1376" s="110"/>
      <c r="LXO1376" s="110"/>
      <c r="LXP1376" s="110"/>
      <c r="LXQ1376" s="110"/>
      <c r="LXR1376" s="110"/>
      <c r="LXS1376" s="110"/>
      <c r="LXT1376" s="110"/>
      <c r="LXU1376" s="110"/>
      <c r="LXV1376" s="110"/>
      <c r="LXW1376" s="110"/>
      <c r="LXX1376" s="110"/>
      <c r="LXY1376" s="110"/>
      <c r="LXZ1376" s="110"/>
      <c r="LYA1376" s="110"/>
      <c r="LYB1376" s="110"/>
      <c r="LYC1376" s="110"/>
      <c r="LYD1376" s="110"/>
      <c r="LYE1376" s="110"/>
      <c r="LYF1376" s="110"/>
      <c r="LYG1376" s="110"/>
      <c r="LYH1376" s="110"/>
      <c r="LYI1376" s="110"/>
      <c r="LYJ1376" s="110"/>
      <c r="LYK1376" s="110"/>
      <c r="LYL1376" s="110"/>
      <c r="LYM1376" s="110"/>
      <c r="LYN1376" s="110"/>
      <c r="LYO1376" s="110"/>
      <c r="LYP1376" s="110"/>
      <c r="LYQ1376" s="110"/>
      <c r="LYR1376" s="110"/>
      <c r="LYS1376" s="110"/>
      <c r="LYT1376" s="110"/>
      <c r="LYU1376" s="110"/>
      <c r="LYV1376" s="110"/>
      <c r="LYW1376" s="110"/>
      <c r="LYX1376" s="110"/>
      <c r="LYY1376" s="110"/>
      <c r="LYZ1376" s="110"/>
      <c r="LZA1376" s="110"/>
      <c r="LZB1376" s="110"/>
      <c r="LZC1376" s="110"/>
      <c r="LZD1376" s="110"/>
      <c r="LZE1376" s="110"/>
      <c r="LZF1376" s="110"/>
      <c r="LZG1376" s="110"/>
      <c r="LZH1376" s="110"/>
      <c r="LZI1376" s="110"/>
      <c r="LZJ1376" s="110"/>
      <c r="LZK1376" s="110"/>
      <c r="LZL1376" s="110"/>
      <c r="LZM1376" s="110"/>
      <c r="LZN1376" s="110"/>
      <c r="LZO1376" s="110"/>
      <c r="LZP1376" s="110"/>
      <c r="LZQ1376" s="110"/>
      <c r="LZR1376" s="110"/>
      <c r="LZS1376" s="110"/>
      <c r="LZT1376" s="110"/>
      <c r="LZU1376" s="110"/>
      <c r="LZV1376" s="110"/>
      <c r="LZW1376" s="110"/>
      <c r="LZX1376" s="110"/>
      <c r="LZY1376" s="110"/>
      <c r="LZZ1376" s="110"/>
      <c r="MAA1376" s="110"/>
      <c r="MAB1376" s="110"/>
      <c r="MAC1376" s="110"/>
      <c r="MAD1376" s="110"/>
      <c r="MAE1376" s="110"/>
      <c r="MAF1376" s="110"/>
      <c r="MAG1376" s="110"/>
      <c r="MAH1376" s="110"/>
      <c r="MAI1376" s="110"/>
      <c r="MAJ1376" s="110"/>
      <c r="MAK1376" s="110"/>
      <c r="MAL1376" s="110"/>
      <c r="MAM1376" s="110"/>
      <c r="MAN1376" s="110"/>
      <c r="MAO1376" s="110"/>
      <c r="MAP1376" s="110"/>
      <c r="MAQ1376" s="110"/>
      <c r="MAR1376" s="110"/>
      <c r="MAS1376" s="110"/>
      <c r="MAT1376" s="110"/>
      <c r="MAU1376" s="110"/>
      <c r="MAV1376" s="110"/>
      <c r="MAW1376" s="110"/>
      <c r="MAX1376" s="110"/>
      <c r="MAY1376" s="110"/>
      <c r="MAZ1376" s="110"/>
      <c r="MBA1376" s="110"/>
      <c r="MBB1376" s="110"/>
      <c r="MBC1376" s="110"/>
      <c r="MBD1376" s="110"/>
      <c r="MBE1376" s="110"/>
      <c r="MBF1376" s="110"/>
      <c r="MBG1376" s="110"/>
      <c r="MBH1376" s="110"/>
      <c r="MBI1376" s="110"/>
      <c r="MBJ1376" s="110"/>
      <c r="MBK1376" s="110"/>
      <c r="MBL1376" s="110"/>
      <c r="MBM1376" s="110"/>
      <c r="MBN1376" s="110"/>
      <c r="MBO1376" s="110"/>
      <c r="MBP1376" s="110"/>
      <c r="MBQ1376" s="110"/>
      <c r="MBR1376" s="110"/>
      <c r="MBS1376" s="110"/>
      <c r="MBT1376" s="110"/>
      <c r="MBU1376" s="110"/>
      <c r="MBV1376" s="110"/>
      <c r="MBW1376" s="110"/>
      <c r="MBX1376" s="110"/>
      <c r="MBY1376" s="110"/>
      <c r="MBZ1376" s="110"/>
      <c r="MCA1376" s="110"/>
      <c r="MCB1376" s="110"/>
      <c r="MCC1376" s="110"/>
      <c r="MCD1376" s="110"/>
      <c r="MCE1376" s="110"/>
      <c r="MCF1376" s="110"/>
      <c r="MCG1376" s="110"/>
      <c r="MCH1376" s="110"/>
      <c r="MCI1376" s="110"/>
      <c r="MCJ1376" s="110"/>
      <c r="MCK1376" s="110"/>
      <c r="MCL1376" s="110"/>
      <c r="MCM1376" s="110"/>
      <c r="MCN1376" s="110"/>
      <c r="MCO1376" s="110"/>
      <c r="MCP1376" s="110"/>
      <c r="MCQ1376" s="110"/>
      <c r="MCR1376" s="110"/>
      <c r="MCS1376" s="110"/>
      <c r="MCT1376" s="110"/>
      <c r="MCU1376" s="110"/>
      <c r="MCV1376" s="110"/>
      <c r="MCW1376" s="110"/>
      <c r="MCX1376" s="110"/>
      <c r="MCY1376" s="110"/>
      <c r="MCZ1376" s="110"/>
      <c r="MDA1376" s="110"/>
      <c r="MDB1376" s="110"/>
      <c r="MDC1376" s="110"/>
      <c r="MDD1376" s="110"/>
      <c r="MDE1376" s="110"/>
      <c r="MDF1376" s="110"/>
      <c r="MDG1376" s="110"/>
      <c r="MDH1376" s="110"/>
      <c r="MDI1376" s="110"/>
      <c r="MDJ1376" s="110"/>
      <c r="MDK1376" s="110"/>
      <c r="MDL1376" s="110"/>
      <c r="MDM1376" s="110"/>
      <c r="MDN1376" s="110"/>
      <c r="MDO1376" s="110"/>
      <c r="MDP1376" s="110"/>
      <c r="MDQ1376" s="110"/>
      <c r="MDR1376" s="110"/>
      <c r="MDS1376" s="110"/>
      <c r="MDT1376" s="110"/>
      <c r="MDU1376" s="110"/>
      <c r="MDV1376" s="110"/>
      <c r="MDW1376" s="110"/>
      <c r="MDX1376" s="110"/>
      <c r="MDY1376" s="110"/>
      <c r="MDZ1376" s="110"/>
      <c r="MEA1376" s="110"/>
      <c r="MEB1376" s="110"/>
      <c r="MEC1376" s="110"/>
      <c r="MED1376" s="110"/>
      <c r="MEE1376" s="110"/>
      <c r="MEF1376" s="110"/>
      <c r="MEG1376" s="110"/>
      <c r="MEH1376" s="110"/>
      <c r="MEI1376" s="110"/>
      <c r="MEJ1376" s="110"/>
      <c r="MEK1376" s="110"/>
      <c r="MEL1376" s="110"/>
      <c r="MEM1376" s="110"/>
      <c r="MEN1376" s="110"/>
      <c r="MEO1376" s="110"/>
      <c r="MEP1376" s="110"/>
      <c r="MEQ1376" s="110"/>
      <c r="MER1376" s="110"/>
      <c r="MES1376" s="110"/>
      <c r="MET1376" s="110"/>
      <c r="MEU1376" s="110"/>
      <c r="MEV1376" s="110"/>
      <c r="MEW1376" s="110"/>
      <c r="MEX1376" s="110"/>
      <c r="MEY1376" s="110"/>
      <c r="MEZ1376" s="110"/>
      <c r="MFA1376" s="110"/>
      <c r="MFB1376" s="110"/>
      <c r="MFC1376" s="110"/>
      <c r="MFD1376" s="110"/>
      <c r="MFE1376" s="110"/>
      <c r="MFF1376" s="110"/>
      <c r="MFG1376" s="110"/>
      <c r="MFH1376" s="110"/>
      <c r="MFI1376" s="110"/>
      <c r="MFJ1376" s="110"/>
      <c r="MFK1376" s="110"/>
      <c r="MFL1376" s="110"/>
      <c r="MFM1376" s="110"/>
      <c r="MFN1376" s="110"/>
      <c r="MFO1376" s="110"/>
      <c r="MFP1376" s="110"/>
      <c r="MFQ1376" s="110"/>
      <c r="MFR1376" s="110"/>
      <c r="MFS1376" s="110"/>
      <c r="MFT1376" s="110"/>
      <c r="MFU1376" s="110"/>
      <c r="MFV1376" s="110"/>
      <c r="MFW1376" s="110"/>
      <c r="MFX1376" s="110"/>
      <c r="MFY1376" s="110"/>
      <c r="MFZ1376" s="110"/>
      <c r="MGA1376" s="110"/>
      <c r="MGB1376" s="110"/>
      <c r="MGC1376" s="110"/>
      <c r="MGD1376" s="110"/>
      <c r="MGE1376" s="110"/>
      <c r="MGF1376" s="110"/>
      <c r="MGG1376" s="110"/>
      <c r="MGH1376" s="110"/>
      <c r="MGI1376" s="110"/>
      <c r="MGJ1376" s="110"/>
      <c r="MGK1376" s="110"/>
      <c r="MGL1376" s="110"/>
      <c r="MGM1376" s="110"/>
      <c r="MGN1376" s="110"/>
      <c r="MGO1376" s="110"/>
      <c r="MGP1376" s="110"/>
      <c r="MGQ1376" s="110"/>
      <c r="MGR1376" s="110"/>
      <c r="MGS1376" s="110"/>
      <c r="MGT1376" s="110"/>
      <c r="MGU1376" s="110"/>
      <c r="MGV1376" s="110"/>
      <c r="MGW1376" s="110"/>
      <c r="MGX1376" s="110"/>
      <c r="MGY1376" s="110"/>
      <c r="MGZ1376" s="110"/>
      <c r="MHA1376" s="110"/>
      <c r="MHB1376" s="110"/>
      <c r="MHC1376" s="110"/>
      <c r="MHD1376" s="110"/>
      <c r="MHE1376" s="110"/>
      <c r="MHF1376" s="110"/>
      <c r="MHG1376" s="110"/>
      <c r="MHH1376" s="110"/>
      <c r="MHI1376" s="110"/>
      <c r="MHJ1376" s="110"/>
      <c r="MHK1376" s="110"/>
      <c r="MHL1376" s="110"/>
      <c r="MHM1376" s="110"/>
      <c r="MHN1376" s="110"/>
      <c r="MHO1376" s="110"/>
      <c r="MHP1376" s="110"/>
      <c r="MHQ1376" s="110"/>
      <c r="MHR1376" s="110"/>
      <c r="MHS1376" s="110"/>
      <c r="MHT1376" s="110"/>
      <c r="MHU1376" s="110"/>
      <c r="MHV1376" s="110"/>
      <c r="MHW1376" s="110"/>
      <c r="MHX1376" s="110"/>
      <c r="MHY1376" s="110"/>
      <c r="MHZ1376" s="110"/>
      <c r="MIA1376" s="110"/>
      <c r="MIB1376" s="110"/>
      <c r="MIC1376" s="110"/>
      <c r="MID1376" s="110"/>
      <c r="MIE1376" s="110"/>
      <c r="MIF1376" s="110"/>
      <c r="MIG1376" s="110"/>
      <c r="MIH1376" s="110"/>
      <c r="MII1376" s="110"/>
      <c r="MIJ1376" s="110"/>
      <c r="MIK1376" s="110"/>
      <c r="MIL1376" s="110"/>
      <c r="MIM1376" s="110"/>
      <c r="MIN1376" s="110"/>
      <c r="MIO1376" s="110"/>
      <c r="MIP1376" s="110"/>
      <c r="MIQ1376" s="110"/>
      <c r="MIR1376" s="110"/>
      <c r="MIS1376" s="110"/>
      <c r="MIT1376" s="110"/>
      <c r="MIU1376" s="110"/>
      <c r="MIV1376" s="110"/>
      <c r="MIW1376" s="110"/>
      <c r="MIX1376" s="110"/>
      <c r="MIY1376" s="110"/>
      <c r="MIZ1376" s="110"/>
      <c r="MJA1376" s="110"/>
      <c r="MJB1376" s="110"/>
      <c r="MJC1376" s="110"/>
      <c r="MJD1376" s="110"/>
      <c r="MJE1376" s="110"/>
      <c r="MJF1376" s="110"/>
      <c r="MJG1376" s="110"/>
      <c r="MJH1376" s="110"/>
      <c r="MJI1376" s="110"/>
      <c r="MJJ1376" s="110"/>
      <c r="MJK1376" s="110"/>
      <c r="MJL1376" s="110"/>
      <c r="MJM1376" s="110"/>
      <c r="MJN1376" s="110"/>
      <c r="MJO1376" s="110"/>
      <c r="MJP1376" s="110"/>
      <c r="MJQ1376" s="110"/>
      <c r="MJR1376" s="110"/>
      <c r="MJS1376" s="110"/>
      <c r="MJT1376" s="110"/>
      <c r="MJU1376" s="110"/>
      <c r="MJV1376" s="110"/>
      <c r="MJW1376" s="110"/>
      <c r="MJX1376" s="110"/>
      <c r="MJY1376" s="110"/>
      <c r="MJZ1376" s="110"/>
      <c r="MKA1376" s="110"/>
      <c r="MKB1376" s="110"/>
      <c r="MKC1376" s="110"/>
      <c r="MKD1376" s="110"/>
      <c r="MKE1376" s="110"/>
      <c r="MKF1376" s="110"/>
      <c r="MKG1376" s="110"/>
      <c r="MKH1376" s="110"/>
      <c r="MKI1376" s="110"/>
      <c r="MKJ1376" s="110"/>
      <c r="MKK1376" s="110"/>
      <c r="MKL1376" s="110"/>
      <c r="MKM1376" s="110"/>
      <c r="MKN1376" s="110"/>
      <c r="MKO1376" s="110"/>
      <c r="MKP1376" s="110"/>
      <c r="MKQ1376" s="110"/>
      <c r="MKR1376" s="110"/>
      <c r="MKS1376" s="110"/>
      <c r="MKT1376" s="110"/>
      <c r="MKU1376" s="110"/>
      <c r="MKV1376" s="110"/>
      <c r="MKW1376" s="110"/>
      <c r="MKX1376" s="110"/>
      <c r="MKY1376" s="110"/>
      <c r="MKZ1376" s="110"/>
      <c r="MLA1376" s="110"/>
      <c r="MLB1376" s="110"/>
      <c r="MLC1376" s="110"/>
      <c r="MLD1376" s="110"/>
      <c r="MLE1376" s="110"/>
      <c r="MLF1376" s="110"/>
      <c r="MLG1376" s="110"/>
      <c r="MLH1376" s="110"/>
      <c r="MLI1376" s="110"/>
      <c r="MLJ1376" s="110"/>
      <c r="MLK1376" s="110"/>
      <c r="MLL1376" s="110"/>
      <c r="MLM1376" s="110"/>
      <c r="MLN1376" s="110"/>
      <c r="MLO1376" s="110"/>
      <c r="MLP1376" s="110"/>
      <c r="MLQ1376" s="110"/>
      <c r="MLR1376" s="110"/>
      <c r="MLS1376" s="110"/>
      <c r="MLT1376" s="110"/>
      <c r="MLU1376" s="110"/>
      <c r="MLV1376" s="110"/>
      <c r="MLW1376" s="110"/>
      <c r="MLX1376" s="110"/>
      <c r="MLY1376" s="110"/>
      <c r="MLZ1376" s="110"/>
      <c r="MMA1376" s="110"/>
      <c r="MMB1376" s="110"/>
      <c r="MMC1376" s="110"/>
      <c r="MMD1376" s="110"/>
      <c r="MME1376" s="110"/>
      <c r="MMF1376" s="110"/>
      <c r="MMG1376" s="110"/>
      <c r="MMH1376" s="110"/>
      <c r="MMI1376" s="110"/>
      <c r="MMJ1376" s="110"/>
      <c r="MMK1376" s="110"/>
      <c r="MML1376" s="110"/>
      <c r="MMM1376" s="110"/>
      <c r="MMN1376" s="110"/>
      <c r="MMO1376" s="110"/>
      <c r="MMP1376" s="110"/>
      <c r="MMQ1376" s="110"/>
      <c r="MMR1376" s="110"/>
      <c r="MMS1376" s="110"/>
      <c r="MMT1376" s="110"/>
      <c r="MMU1376" s="110"/>
      <c r="MMV1376" s="110"/>
      <c r="MMW1376" s="110"/>
      <c r="MMX1376" s="110"/>
      <c r="MMY1376" s="110"/>
      <c r="MMZ1376" s="110"/>
      <c r="MNA1376" s="110"/>
      <c r="MNB1376" s="110"/>
      <c r="MNC1376" s="110"/>
      <c r="MND1376" s="110"/>
      <c r="MNE1376" s="110"/>
      <c r="MNF1376" s="110"/>
      <c r="MNG1376" s="110"/>
      <c r="MNH1376" s="110"/>
      <c r="MNI1376" s="110"/>
      <c r="MNJ1376" s="110"/>
      <c r="MNK1376" s="110"/>
      <c r="MNL1376" s="110"/>
      <c r="MNM1376" s="110"/>
      <c r="MNN1376" s="110"/>
      <c r="MNO1376" s="110"/>
      <c r="MNP1376" s="110"/>
      <c r="MNQ1376" s="110"/>
      <c r="MNR1376" s="110"/>
      <c r="MNS1376" s="110"/>
      <c r="MNT1376" s="110"/>
      <c r="MNU1376" s="110"/>
      <c r="MNV1376" s="110"/>
      <c r="MNW1376" s="110"/>
      <c r="MNX1376" s="110"/>
      <c r="MNY1376" s="110"/>
      <c r="MNZ1376" s="110"/>
      <c r="MOA1376" s="110"/>
      <c r="MOB1376" s="110"/>
      <c r="MOC1376" s="110"/>
      <c r="MOD1376" s="110"/>
      <c r="MOE1376" s="110"/>
      <c r="MOF1376" s="110"/>
      <c r="MOG1376" s="110"/>
      <c r="MOH1376" s="110"/>
      <c r="MOI1376" s="110"/>
      <c r="MOJ1376" s="110"/>
      <c r="MOK1376" s="110"/>
      <c r="MOL1376" s="110"/>
      <c r="MOM1376" s="110"/>
      <c r="MON1376" s="110"/>
      <c r="MOO1376" s="110"/>
      <c r="MOP1376" s="110"/>
      <c r="MOQ1376" s="110"/>
      <c r="MOR1376" s="110"/>
      <c r="MOS1376" s="110"/>
      <c r="MOT1376" s="110"/>
      <c r="MOU1376" s="110"/>
      <c r="MOV1376" s="110"/>
      <c r="MOW1376" s="110"/>
      <c r="MOX1376" s="110"/>
      <c r="MOY1376" s="110"/>
      <c r="MOZ1376" s="110"/>
      <c r="MPA1376" s="110"/>
      <c r="MPB1376" s="110"/>
      <c r="MPC1376" s="110"/>
      <c r="MPD1376" s="110"/>
      <c r="MPE1376" s="110"/>
      <c r="MPF1376" s="110"/>
      <c r="MPG1376" s="110"/>
      <c r="MPH1376" s="110"/>
      <c r="MPI1376" s="110"/>
      <c r="MPJ1376" s="110"/>
      <c r="MPK1376" s="110"/>
      <c r="MPL1376" s="110"/>
      <c r="MPM1376" s="110"/>
      <c r="MPN1376" s="110"/>
      <c r="MPO1376" s="110"/>
      <c r="MPP1376" s="110"/>
      <c r="MPQ1376" s="110"/>
      <c r="MPR1376" s="110"/>
      <c r="MPS1376" s="110"/>
      <c r="MPT1376" s="110"/>
      <c r="MPU1376" s="110"/>
      <c r="MPV1376" s="110"/>
      <c r="MPW1376" s="110"/>
      <c r="MPX1376" s="110"/>
      <c r="MPY1376" s="110"/>
      <c r="MPZ1376" s="110"/>
      <c r="MQA1376" s="110"/>
      <c r="MQB1376" s="110"/>
      <c r="MQC1376" s="110"/>
      <c r="MQD1376" s="110"/>
      <c r="MQE1376" s="110"/>
      <c r="MQF1376" s="110"/>
      <c r="MQG1376" s="110"/>
      <c r="MQH1376" s="110"/>
      <c r="MQI1376" s="110"/>
      <c r="MQJ1376" s="110"/>
      <c r="MQK1376" s="110"/>
      <c r="MQL1376" s="110"/>
      <c r="MQM1376" s="110"/>
      <c r="MQN1376" s="110"/>
      <c r="MQO1376" s="110"/>
      <c r="MQP1376" s="110"/>
      <c r="MQQ1376" s="110"/>
      <c r="MQR1376" s="110"/>
      <c r="MQS1376" s="110"/>
      <c r="MQT1376" s="110"/>
      <c r="MQU1376" s="110"/>
      <c r="MQV1376" s="110"/>
      <c r="MQW1376" s="110"/>
      <c r="MQX1376" s="110"/>
      <c r="MQY1376" s="110"/>
      <c r="MQZ1376" s="110"/>
      <c r="MRA1376" s="110"/>
      <c r="MRB1376" s="110"/>
      <c r="MRC1376" s="110"/>
      <c r="MRD1376" s="110"/>
      <c r="MRE1376" s="110"/>
      <c r="MRF1376" s="110"/>
      <c r="MRG1376" s="110"/>
      <c r="MRH1376" s="110"/>
      <c r="MRI1376" s="110"/>
      <c r="MRJ1376" s="110"/>
      <c r="MRK1376" s="110"/>
      <c r="MRL1376" s="110"/>
      <c r="MRM1376" s="110"/>
      <c r="MRN1376" s="110"/>
      <c r="MRO1376" s="110"/>
      <c r="MRP1376" s="110"/>
      <c r="MRQ1376" s="110"/>
      <c r="MRR1376" s="110"/>
      <c r="MRS1376" s="110"/>
      <c r="MRT1376" s="110"/>
      <c r="MRU1376" s="110"/>
      <c r="MRV1376" s="110"/>
      <c r="MRW1376" s="110"/>
      <c r="MRX1376" s="110"/>
      <c r="MRY1376" s="110"/>
      <c r="MRZ1376" s="110"/>
      <c r="MSA1376" s="110"/>
      <c r="MSB1376" s="110"/>
      <c r="MSC1376" s="110"/>
      <c r="MSD1376" s="110"/>
      <c r="MSE1376" s="110"/>
      <c r="MSF1376" s="110"/>
      <c r="MSG1376" s="110"/>
      <c r="MSH1376" s="110"/>
      <c r="MSI1376" s="110"/>
      <c r="MSJ1376" s="110"/>
      <c r="MSK1376" s="110"/>
      <c r="MSL1376" s="110"/>
      <c r="MSM1376" s="110"/>
      <c r="MSN1376" s="110"/>
      <c r="MSO1376" s="110"/>
      <c r="MSP1376" s="110"/>
      <c r="MSQ1376" s="110"/>
      <c r="MSR1376" s="110"/>
      <c r="MSS1376" s="110"/>
      <c r="MST1376" s="110"/>
      <c r="MSU1376" s="110"/>
      <c r="MSV1376" s="110"/>
      <c r="MSW1376" s="110"/>
      <c r="MSX1376" s="110"/>
      <c r="MSY1376" s="110"/>
      <c r="MSZ1376" s="110"/>
      <c r="MTA1376" s="110"/>
      <c r="MTB1376" s="110"/>
      <c r="MTC1376" s="110"/>
      <c r="MTD1376" s="110"/>
      <c r="MTE1376" s="110"/>
      <c r="MTF1376" s="110"/>
      <c r="MTG1376" s="110"/>
      <c r="MTH1376" s="110"/>
      <c r="MTI1376" s="110"/>
      <c r="MTJ1376" s="110"/>
      <c r="MTK1376" s="110"/>
      <c r="MTL1376" s="110"/>
      <c r="MTM1376" s="110"/>
      <c r="MTN1376" s="110"/>
      <c r="MTO1376" s="110"/>
      <c r="MTP1376" s="110"/>
      <c r="MTQ1376" s="110"/>
      <c r="MTR1376" s="110"/>
      <c r="MTS1376" s="110"/>
      <c r="MTT1376" s="110"/>
      <c r="MTU1376" s="110"/>
      <c r="MTV1376" s="110"/>
      <c r="MTW1376" s="110"/>
      <c r="MTX1376" s="110"/>
      <c r="MTY1376" s="110"/>
      <c r="MTZ1376" s="110"/>
      <c r="MUA1376" s="110"/>
      <c r="MUB1376" s="110"/>
      <c r="MUC1376" s="110"/>
      <c r="MUD1376" s="110"/>
      <c r="MUE1376" s="110"/>
      <c r="MUF1376" s="110"/>
      <c r="MUG1376" s="110"/>
      <c r="MUH1376" s="110"/>
      <c r="MUI1376" s="110"/>
      <c r="MUJ1376" s="110"/>
      <c r="MUK1376" s="110"/>
      <c r="MUL1376" s="110"/>
      <c r="MUM1376" s="110"/>
      <c r="MUN1376" s="110"/>
      <c r="MUO1376" s="110"/>
      <c r="MUP1376" s="110"/>
      <c r="MUQ1376" s="110"/>
      <c r="MUR1376" s="110"/>
      <c r="MUS1376" s="110"/>
      <c r="MUT1376" s="110"/>
      <c r="MUU1376" s="110"/>
      <c r="MUV1376" s="110"/>
      <c r="MUW1376" s="110"/>
      <c r="MUX1376" s="110"/>
      <c r="MUY1376" s="110"/>
      <c r="MUZ1376" s="110"/>
      <c r="MVA1376" s="110"/>
      <c r="MVB1376" s="110"/>
      <c r="MVC1376" s="110"/>
      <c r="MVD1376" s="110"/>
      <c r="MVE1376" s="110"/>
      <c r="MVF1376" s="110"/>
      <c r="MVG1376" s="110"/>
      <c r="MVH1376" s="110"/>
      <c r="MVI1376" s="110"/>
      <c r="MVJ1376" s="110"/>
      <c r="MVK1376" s="110"/>
      <c r="MVL1376" s="110"/>
      <c r="MVM1376" s="110"/>
      <c r="MVN1376" s="110"/>
      <c r="MVO1376" s="110"/>
      <c r="MVP1376" s="110"/>
      <c r="MVQ1376" s="110"/>
      <c r="MVR1376" s="110"/>
      <c r="MVS1376" s="110"/>
      <c r="MVT1376" s="110"/>
      <c r="MVU1376" s="110"/>
      <c r="MVV1376" s="110"/>
      <c r="MVW1376" s="110"/>
      <c r="MVX1376" s="110"/>
      <c r="MVY1376" s="110"/>
      <c r="MVZ1376" s="110"/>
      <c r="MWA1376" s="110"/>
      <c r="MWB1376" s="110"/>
      <c r="MWC1376" s="110"/>
      <c r="MWD1376" s="110"/>
      <c r="MWE1376" s="110"/>
      <c r="MWF1376" s="110"/>
      <c r="MWG1376" s="110"/>
      <c r="MWH1376" s="110"/>
      <c r="MWI1376" s="110"/>
      <c r="MWJ1376" s="110"/>
      <c r="MWK1376" s="110"/>
      <c r="MWL1376" s="110"/>
      <c r="MWM1376" s="110"/>
      <c r="MWN1376" s="110"/>
      <c r="MWO1376" s="110"/>
      <c r="MWP1376" s="110"/>
      <c r="MWQ1376" s="110"/>
      <c r="MWR1376" s="110"/>
      <c r="MWS1376" s="110"/>
      <c r="MWT1376" s="110"/>
      <c r="MWU1376" s="110"/>
      <c r="MWV1376" s="110"/>
      <c r="MWW1376" s="110"/>
      <c r="MWX1376" s="110"/>
      <c r="MWY1376" s="110"/>
      <c r="MWZ1376" s="110"/>
      <c r="MXA1376" s="110"/>
      <c r="MXB1376" s="110"/>
      <c r="MXC1376" s="110"/>
      <c r="MXD1376" s="110"/>
      <c r="MXE1376" s="110"/>
      <c r="MXF1376" s="110"/>
      <c r="MXG1376" s="110"/>
      <c r="MXH1376" s="110"/>
      <c r="MXI1376" s="110"/>
      <c r="MXJ1376" s="110"/>
      <c r="MXK1376" s="110"/>
      <c r="MXL1376" s="110"/>
      <c r="MXM1376" s="110"/>
      <c r="MXN1376" s="110"/>
      <c r="MXO1376" s="110"/>
      <c r="MXP1376" s="110"/>
      <c r="MXQ1376" s="110"/>
      <c r="MXR1376" s="110"/>
      <c r="MXS1376" s="110"/>
      <c r="MXT1376" s="110"/>
      <c r="MXU1376" s="110"/>
      <c r="MXV1376" s="110"/>
      <c r="MXW1376" s="110"/>
      <c r="MXX1376" s="110"/>
      <c r="MXY1376" s="110"/>
      <c r="MXZ1376" s="110"/>
      <c r="MYA1376" s="110"/>
      <c r="MYB1376" s="110"/>
      <c r="MYC1376" s="110"/>
      <c r="MYD1376" s="110"/>
      <c r="MYE1376" s="110"/>
      <c r="MYF1376" s="110"/>
      <c r="MYG1376" s="110"/>
      <c r="MYH1376" s="110"/>
      <c r="MYI1376" s="110"/>
      <c r="MYJ1376" s="110"/>
      <c r="MYK1376" s="110"/>
      <c r="MYL1376" s="110"/>
      <c r="MYM1376" s="110"/>
      <c r="MYN1376" s="110"/>
      <c r="MYO1376" s="110"/>
      <c r="MYP1376" s="110"/>
      <c r="MYQ1376" s="110"/>
      <c r="MYR1376" s="110"/>
      <c r="MYS1376" s="110"/>
      <c r="MYT1376" s="110"/>
      <c r="MYU1376" s="110"/>
      <c r="MYV1376" s="110"/>
      <c r="MYW1376" s="110"/>
      <c r="MYX1376" s="110"/>
      <c r="MYY1376" s="110"/>
      <c r="MYZ1376" s="110"/>
      <c r="MZA1376" s="110"/>
      <c r="MZB1376" s="110"/>
      <c r="MZC1376" s="110"/>
      <c r="MZD1376" s="110"/>
      <c r="MZE1376" s="110"/>
      <c r="MZF1376" s="110"/>
      <c r="MZG1376" s="110"/>
      <c r="MZH1376" s="110"/>
      <c r="MZI1376" s="110"/>
      <c r="MZJ1376" s="110"/>
      <c r="MZK1376" s="110"/>
      <c r="MZL1376" s="110"/>
      <c r="MZM1376" s="110"/>
      <c r="MZN1376" s="110"/>
      <c r="MZO1376" s="110"/>
      <c r="MZP1376" s="110"/>
      <c r="MZQ1376" s="110"/>
      <c r="MZR1376" s="110"/>
      <c r="MZS1376" s="110"/>
      <c r="MZT1376" s="110"/>
      <c r="MZU1376" s="110"/>
      <c r="MZV1376" s="110"/>
      <c r="MZW1376" s="110"/>
      <c r="MZX1376" s="110"/>
      <c r="MZY1376" s="110"/>
      <c r="MZZ1376" s="110"/>
      <c r="NAA1376" s="110"/>
      <c r="NAB1376" s="110"/>
      <c r="NAC1376" s="110"/>
      <c r="NAD1376" s="110"/>
      <c r="NAE1376" s="110"/>
      <c r="NAF1376" s="110"/>
      <c r="NAG1376" s="110"/>
      <c r="NAH1376" s="110"/>
      <c r="NAI1376" s="110"/>
      <c r="NAJ1376" s="110"/>
      <c r="NAK1376" s="110"/>
      <c r="NAL1376" s="110"/>
      <c r="NAM1376" s="110"/>
      <c r="NAN1376" s="110"/>
      <c r="NAO1376" s="110"/>
      <c r="NAP1376" s="110"/>
      <c r="NAQ1376" s="110"/>
      <c r="NAR1376" s="110"/>
      <c r="NAS1376" s="110"/>
      <c r="NAT1376" s="110"/>
      <c r="NAU1376" s="110"/>
      <c r="NAV1376" s="110"/>
      <c r="NAW1376" s="110"/>
      <c r="NAX1376" s="110"/>
      <c r="NAY1376" s="110"/>
      <c r="NAZ1376" s="110"/>
      <c r="NBA1376" s="110"/>
      <c r="NBB1376" s="110"/>
      <c r="NBC1376" s="110"/>
      <c r="NBD1376" s="110"/>
      <c r="NBE1376" s="110"/>
      <c r="NBF1376" s="110"/>
      <c r="NBG1376" s="110"/>
      <c r="NBH1376" s="110"/>
      <c r="NBI1376" s="110"/>
      <c r="NBJ1376" s="110"/>
      <c r="NBK1376" s="110"/>
      <c r="NBL1376" s="110"/>
      <c r="NBM1376" s="110"/>
      <c r="NBN1376" s="110"/>
      <c r="NBO1376" s="110"/>
      <c r="NBP1376" s="110"/>
      <c r="NBQ1376" s="110"/>
      <c r="NBR1376" s="110"/>
      <c r="NBS1376" s="110"/>
      <c r="NBT1376" s="110"/>
      <c r="NBU1376" s="110"/>
      <c r="NBV1376" s="110"/>
      <c r="NBW1376" s="110"/>
      <c r="NBX1376" s="110"/>
      <c r="NBY1376" s="110"/>
      <c r="NBZ1376" s="110"/>
      <c r="NCA1376" s="110"/>
      <c r="NCB1376" s="110"/>
      <c r="NCC1376" s="110"/>
      <c r="NCD1376" s="110"/>
      <c r="NCE1376" s="110"/>
      <c r="NCF1376" s="110"/>
      <c r="NCG1376" s="110"/>
      <c r="NCH1376" s="110"/>
      <c r="NCI1376" s="110"/>
      <c r="NCJ1376" s="110"/>
      <c r="NCK1376" s="110"/>
      <c r="NCL1376" s="110"/>
      <c r="NCM1376" s="110"/>
      <c r="NCN1376" s="110"/>
      <c r="NCO1376" s="110"/>
      <c r="NCP1376" s="110"/>
      <c r="NCQ1376" s="110"/>
      <c r="NCR1376" s="110"/>
      <c r="NCS1376" s="110"/>
      <c r="NCT1376" s="110"/>
      <c r="NCU1376" s="110"/>
      <c r="NCV1376" s="110"/>
      <c r="NCW1376" s="110"/>
      <c r="NCX1376" s="110"/>
      <c r="NCY1376" s="110"/>
      <c r="NCZ1376" s="110"/>
      <c r="NDA1376" s="110"/>
      <c r="NDB1376" s="110"/>
      <c r="NDC1376" s="110"/>
      <c r="NDD1376" s="110"/>
      <c r="NDE1376" s="110"/>
      <c r="NDF1376" s="110"/>
      <c r="NDG1376" s="110"/>
      <c r="NDH1376" s="110"/>
      <c r="NDI1376" s="110"/>
      <c r="NDJ1376" s="110"/>
      <c r="NDK1376" s="110"/>
      <c r="NDL1376" s="110"/>
      <c r="NDM1376" s="110"/>
      <c r="NDN1376" s="110"/>
      <c r="NDO1376" s="110"/>
      <c r="NDP1376" s="110"/>
      <c r="NDQ1376" s="110"/>
      <c r="NDR1376" s="110"/>
      <c r="NDS1376" s="110"/>
      <c r="NDT1376" s="110"/>
      <c r="NDU1376" s="110"/>
      <c r="NDV1376" s="110"/>
      <c r="NDW1376" s="110"/>
      <c r="NDX1376" s="110"/>
      <c r="NDY1376" s="110"/>
      <c r="NDZ1376" s="110"/>
      <c r="NEA1376" s="110"/>
      <c r="NEB1376" s="110"/>
      <c r="NEC1376" s="110"/>
      <c r="NED1376" s="110"/>
      <c r="NEE1376" s="110"/>
      <c r="NEF1376" s="110"/>
      <c r="NEG1376" s="110"/>
      <c r="NEH1376" s="110"/>
      <c r="NEI1376" s="110"/>
      <c r="NEJ1376" s="110"/>
      <c r="NEK1376" s="110"/>
      <c r="NEL1376" s="110"/>
      <c r="NEM1376" s="110"/>
      <c r="NEN1376" s="110"/>
      <c r="NEO1376" s="110"/>
      <c r="NEP1376" s="110"/>
      <c r="NEQ1376" s="110"/>
      <c r="NER1376" s="110"/>
      <c r="NES1376" s="110"/>
      <c r="NET1376" s="110"/>
      <c r="NEU1376" s="110"/>
      <c r="NEV1376" s="110"/>
      <c r="NEW1376" s="110"/>
      <c r="NEX1376" s="110"/>
      <c r="NEY1376" s="110"/>
      <c r="NEZ1376" s="110"/>
      <c r="NFA1376" s="110"/>
      <c r="NFB1376" s="110"/>
      <c r="NFC1376" s="110"/>
      <c r="NFD1376" s="110"/>
      <c r="NFE1376" s="110"/>
      <c r="NFF1376" s="110"/>
      <c r="NFG1376" s="110"/>
      <c r="NFH1376" s="110"/>
      <c r="NFI1376" s="110"/>
      <c r="NFJ1376" s="110"/>
      <c r="NFK1376" s="110"/>
      <c r="NFL1376" s="110"/>
      <c r="NFM1376" s="110"/>
      <c r="NFN1376" s="110"/>
      <c r="NFO1376" s="110"/>
      <c r="NFP1376" s="110"/>
      <c r="NFQ1376" s="110"/>
      <c r="NFR1376" s="110"/>
      <c r="NFS1376" s="110"/>
      <c r="NFT1376" s="110"/>
      <c r="NFU1376" s="110"/>
      <c r="NFV1376" s="110"/>
      <c r="NFW1376" s="110"/>
      <c r="NFX1376" s="110"/>
      <c r="NFY1376" s="110"/>
      <c r="NFZ1376" s="110"/>
      <c r="NGA1376" s="110"/>
      <c r="NGB1376" s="110"/>
      <c r="NGC1376" s="110"/>
      <c r="NGD1376" s="110"/>
      <c r="NGE1376" s="110"/>
      <c r="NGF1376" s="110"/>
      <c r="NGG1376" s="110"/>
      <c r="NGH1376" s="110"/>
      <c r="NGI1376" s="110"/>
      <c r="NGJ1376" s="110"/>
      <c r="NGK1376" s="110"/>
      <c r="NGL1376" s="110"/>
      <c r="NGM1376" s="110"/>
      <c r="NGN1376" s="110"/>
      <c r="NGO1376" s="110"/>
      <c r="NGP1376" s="110"/>
      <c r="NGQ1376" s="110"/>
      <c r="NGR1376" s="110"/>
      <c r="NGS1376" s="110"/>
      <c r="NGT1376" s="110"/>
      <c r="NGU1376" s="110"/>
      <c r="NGV1376" s="110"/>
      <c r="NGW1376" s="110"/>
      <c r="NGX1376" s="110"/>
      <c r="NGY1376" s="110"/>
      <c r="NGZ1376" s="110"/>
      <c r="NHA1376" s="110"/>
      <c r="NHB1376" s="110"/>
      <c r="NHC1376" s="110"/>
      <c r="NHD1376" s="110"/>
      <c r="NHE1376" s="110"/>
      <c r="NHF1376" s="110"/>
      <c r="NHG1376" s="110"/>
      <c r="NHH1376" s="110"/>
      <c r="NHI1376" s="110"/>
      <c r="NHJ1376" s="110"/>
      <c r="NHK1376" s="110"/>
      <c r="NHL1376" s="110"/>
      <c r="NHM1376" s="110"/>
      <c r="NHN1376" s="110"/>
      <c r="NHO1376" s="110"/>
      <c r="NHP1376" s="110"/>
      <c r="NHQ1376" s="110"/>
      <c r="NHR1376" s="110"/>
      <c r="NHS1376" s="110"/>
      <c r="NHT1376" s="110"/>
      <c r="NHU1376" s="110"/>
      <c r="NHV1376" s="110"/>
      <c r="NHW1376" s="110"/>
      <c r="NHX1376" s="110"/>
      <c r="NHY1376" s="110"/>
      <c r="NHZ1376" s="110"/>
      <c r="NIA1376" s="110"/>
      <c r="NIB1376" s="110"/>
      <c r="NIC1376" s="110"/>
      <c r="NID1376" s="110"/>
      <c r="NIE1376" s="110"/>
      <c r="NIF1376" s="110"/>
      <c r="NIG1376" s="110"/>
      <c r="NIH1376" s="110"/>
      <c r="NII1376" s="110"/>
      <c r="NIJ1376" s="110"/>
      <c r="NIK1376" s="110"/>
      <c r="NIL1376" s="110"/>
      <c r="NIM1376" s="110"/>
      <c r="NIN1376" s="110"/>
      <c r="NIO1376" s="110"/>
      <c r="NIP1376" s="110"/>
      <c r="NIQ1376" s="110"/>
      <c r="NIR1376" s="110"/>
      <c r="NIS1376" s="110"/>
      <c r="NIT1376" s="110"/>
      <c r="NIU1376" s="110"/>
      <c r="NIV1376" s="110"/>
      <c r="NIW1376" s="110"/>
      <c r="NIX1376" s="110"/>
      <c r="NIY1376" s="110"/>
      <c r="NIZ1376" s="110"/>
      <c r="NJA1376" s="110"/>
      <c r="NJB1376" s="110"/>
      <c r="NJC1376" s="110"/>
      <c r="NJD1376" s="110"/>
      <c r="NJE1376" s="110"/>
      <c r="NJF1376" s="110"/>
      <c r="NJG1376" s="110"/>
      <c r="NJH1376" s="110"/>
      <c r="NJI1376" s="110"/>
      <c r="NJJ1376" s="110"/>
      <c r="NJK1376" s="110"/>
      <c r="NJL1376" s="110"/>
      <c r="NJM1376" s="110"/>
      <c r="NJN1376" s="110"/>
      <c r="NJO1376" s="110"/>
      <c r="NJP1376" s="110"/>
      <c r="NJQ1376" s="110"/>
      <c r="NJR1376" s="110"/>
      <c r="NJS1376" s="110"/>
      <c r="NJT1376" s="110"/>
      <c r="NJU1376" s="110"/>
      <c r="NJV1376" s="110"/>
      <c r="NJW1376" s="110"/>
      <c r="NJX1376" s="110"/>
      <c r="NJY1376" s="110"/>
      <c r="NJZ1376" s="110"/>
      <c r="NKA1376" s="110"/>
      <c r="NKB1376" s="110"/>
      <c r="NKC1376" s="110"/>
      <c r="NKD1376" s="110"/>
      <c r="NKE1376" s="110"/>
      <c r="NKF1376" s="110"/>
      <c r="NKG1376" s="110"/>
      <c r="NKH1376" s="110"/>
      <c r="NKI1376" s="110"/>
      <c r="NKJ1376" s="110"/>
      <c r="NKK1376" s="110"/>
      <c r="NKL1376" s="110"/>
      <c r="NKM1376" s="110"/>
      <c r="NKN1376" s="110"/>
      <c r="NKO1376" s="110"/>
      <c r="NKP1376" s="110"/>
      <c r="NKQ1376" s="110"/>
      <c r="NKR1376" s="110"/>
      <c r="NKS1376" s="110"/>
      <c r="NKT1376" s="110"/>
      <c r="NKU1376" s="110"/>
      <c r="NKV1376" s="110"/>
      <c r="NKW1376" s="110"/>
      <c r="NKX1376" s="110"/>
      <c r="NKY1376" s="110"/>
      <c r="NKZ1376" s="110"/>
      <c r="NLA1376" s="110"/>
      <c r="NLB1376" s="110"/>
      <c r="NLC1376" s="110"/>
      <c r="NLD1376" s="110"/>
      <c r="NLE1376" s="110"/>
      <c r="NLF1376" s="110"/>
      <c r="NLG1376" s="110"/>
      <c r="NLH1376" s="110"/>
      <c r="NLI1376" s="110"/>
      <c r="NLJ1376" s="110"/>
      <c r="NLK1376" s="110"/>
      <c r="NLL1376" s="110"/>
      <c r="NLM1376" s="110"/>
      <c r="NLN1376" s="110"/>
      <c r="NLO1376" s="110"/>
      <c r="NLP1376" s="110"/>
      <c r="NLQ1376" s="110"/>
      <c r="NLR1376" s="110"/>
      <c r="NLS1376" s="110"/>
      <c r="NLT1376" s="110"/>
      <c r="NLU1376" s="110"/>
      <c r="NLV1376" s="110"/>
      <c r="NLW1376" s="110"/>
      <c r="NLX1376" s="110"/>
      <c r="NLY1376" s="110"/>
      <c r="NLZ1376" s="110"/>
      <c r="NMA1376" s="110"/>
      <c r="NMB1376" s="110"/>
      <c r="NMC1376" s="110"/>
      <c r="NMD1376" s="110"/>
      <c r="NME1376" s="110"/>
      <c r="NMF1376" s="110"/>
      <c r="NMG1376" s="110"/>
      <c r="NMH1376" s="110"/>
      <c r="NMI1376" s="110"/>
      <c r="NMJ1376" s="110"/>
      <c r="NMK1376" s="110"/>
      <c r="NML1376" s="110"/>
      <c r="NMM1376" s="110"/>
      <c r="NMN1376" s="110"/>
      <c r="NMO1376" s="110"/>
      <c r="NMP1376" s="110"/>
      <c r="NMQ1376" s="110"/>
      <c r="NMR1376" s="110"/>
      <c r="NMS1376" s="110"/>
      <c r="NMT1376" s="110"/>
      <c r="NMU1376" s="110"/>
      <c r="NMV1376" s="110"/>
      <c r="NMW1376" s="110"/>
      <c r="NMX1376" s="110"/>
      <c r="NMY1376" s="110"/>
      <c r="NMZ1376" s="110"/>
      <c r="NNA1376" s="110"/>
      <c r="NNB1376" s="110"/>
      <c r="NNC1376" s="110"/>
      <c r="NND1376" s="110"/>
      <c r="NNE1376" s="110"/>
      <c r="NNF1376" s="110"/>
      <c r="NNG1376" s="110"/>
      <c r="NNH1376" s="110"/>
      <c r="NNI1376" s="110"/>
      <c r="NNJ1376" s="110"/>
      <c r="NNK1376" s="110"/>
      <c r="NNL1376" s="110"/>
      <c r="NNM1376" s="110"/>
      <c r="NNN1376" s="110"/>
      <c r="NNO1376" s="110"/>
      <c r="NNP1376" s="110"/>
      <c r="NNQ1376" s="110"/>
      <c r="NNR1376" s="110"/>
      <c r="NNS1376" s="110"/>
      <c r="NNT1376" s="110"/>
      <c r="NNU1376" s="110"/>
      <c r="NNV1376" s="110"/>
      <c r="NNW1376" s="110"/>
      <c r="NNX1376" s="110"/>
      <c r="NNY1376" s="110"/>
      <c r="NNZ1376" s="110"/>
      <c r="NOA1376" s="110"/>
      <c r="NOB1376" s="110"/>
      <c r="NOC1376" s="110"/>
      <c r="NOD1376" s="110"/>
      <c r="NOE1376" s="110"/>
      <c r="NOF1376" s="110"/>
      <c r="NOG1376" s="110"/>
      <c r="NOH1376" s="110"/>
      <c r="NOI1376" s="110"/>
      <c r="NOJ1376" s="110"/>
      <c r="NOK1376" s="110"/>
      <c r="NOL1376" s="110"/>
      <c r="NOM1376" s="110"/>
      <c r="NON1376" s="110"/>
      <c r="NOO1376" s="110"/>
      <c r="NOP1376" s="110"/>
      <c r="NOQ1376" s="110"/>
      <c r="NOR1376" s="110"/>
      <c r="NOS1376" s="110"/>
      <c r="NOT1376" s="110"/>
      <c r="NOU1376" s="110"/>
      <c r="NOV1376" s="110"/>
      <c r="NOW1376" s="110"/>
      <c r="NOX1376" s="110"/>
      <c r="NOY1376" s="110"/>
      <c r="NOZ1376" s="110"/>
      <c r="NPA1376" s="110"/>
      <c r="NPB1376" s="110"/>
      <c r="NPC1376" s="110"/>
      <c r="NPD1376" s="110"/>
      <c r="NPE1376" s="110"/>
      <c r="NPF1376" s="110"/>
      <c r="NPG1376" s="110"/>
      <c r="NPH1376" s="110"/>
      <c r="NPI1376" s="110"/>
      <c r="NPJ1376" s="110"/>
      <c r="NPK1376" s="110"/>
      <c r="NPL1376" s="110"/>
      <c r="NPM1376" s="110"/>
      <c r="NPN1376" s="110"/>
      <c r="NPO1376" s="110"/>
      <c r="NPP1376" s="110"/>
      <c r="NPQ1376" s="110"/>
      <c r="NPR1376" s="110"/>
      <c r="NPS1376" s="110"/>
      <c r="NPT1376" s="110"/>
      <c r="NPU1376" s="110"/>
      <c r="NPV1376" s="110"/>
      <c r="NPW1376" s="110"/>
      <c r="NPX1376" s="110"/>
      <c r="NPY1376" s="110"/>
      <c r="NPZ1376" s="110"/>
      <c r="NQA1376" s="110"/>
      <c r="NQB1376" s="110"/>
      <c r="NQC1376" s="110"/>
      <c r="NQD1376" s="110"/>
      <c r="NQE1376" s="110"/>
      <c r="NQF1376" s="110"/>
      <c r="NQG1376" s="110"/>
      <c r="NQH1376" s="110"/>
      <c r="NQI1376" s="110"/>
      <c r="NQJ1376" s="110"/>
      <c r="NQK1376" s="110"/>
      <c r="NQL1376" s="110"/>
      <c r="NQM1376" s="110"/>
      <c r="NQN1376" s="110"/>
      <c r="NQO1376" s="110"/>
      <c r="NQP1376" s="110"/>
      <c r="NQQ1376" s="110"/>
      <c r="NQR1376" s="110"/>
      <c r="NQS1376" s="110"/>
      <c r="NQT1376" s="110"/>
      <c r="NQU1376" s="110"/>
      <c r="NQV1376" s="110"/>
      <c r="NQW1376" s="110"/>
      <c r="NQX1376" s="110"/>
      <c r="NQY1376" s="110"/>
      <c r="NQZ1376" s="110"/>
      <c r="NRA1376" s="110"/>
      <c r="NRB1376" s="110"/>
      <c r="NRC1376" s="110"/>
      <c r="NRD1376" s="110"/>
      <c r="NRE1376" s="110"/>
      <c r="NRF1376" s="110"/>
      <c r="NRG1376" s="110"/>
      <c r="NRH1376" s="110"/>
      <c r="NRI1376" s="110"/>
      <c r="NRJ1376" s="110"/>
      <c r="NRK1376" s="110"/>
      <c r="NRL1376" s="110"/>
      <c r="NRM1376" s="110"/>
      <c r="NRN1376" s="110"/>
      <c r="NRO1376" s="110"/>
      <c r="NRP1376" s="110"/>
      <c r="NRQ1376" s="110"/>
      <c r="NRR1376" s="110"/>
      <c r="NRS1376" s="110"/>
      <c r="NRT1376" s="110"/>
      <c r="NRU1376" s="110"/>
      <c r="NRV1376" s="110"/>
      <c r="NRW1376" s="110"/>
      <c r="NRX1376" s="110"/>
      <c r="NRY1376" s="110"/>
      <c r="NRZ1376" s="110"/>
      <c r="NSA1376" s="110"/>
      <c r="NSB1376" s="110"/>
      <c r="NSC1376" s="110"/>
      <c r="NSD1376" s="110"/>
      <c r="NSE1376" s="110"/>
      <c r="NSF1376" s="110"/>
      <c r="NSG1376" s="110"/>
      <c r="NSH1376" s="110"/>
      <c r="NSI1376" s="110"/>
      <c r="NSJ1376" s="110"/>
      <c r="NSK1376" s="110"/>
      <c r="NSL1376" s="110"/>
      <c r="NSM1376" s="110"/>
      <c r="NSN1376" s="110"/>
      <c r="NSO1376" s="110"/>
      <c r="NSP1376" s="110"/>
      <c r="NSQ1376" s="110"/>
      <c r="NSR1376" s="110"/>
      <c r="NSS1376" s="110"/>
      <c r="NST1376" s="110"/>
      <c r="NSU1376" s="110"/>
      <c r="NSV1376" s="110"/>
      <c r="NSW1376" s="110"/>
      <c r="NSX1376" s="110"/>
      <c r="NSY1376" s="110"/>
      <c r="NSZ1376" s="110"/>
      <c r="NTA1376" s="110"/>
      <c r="NTB1376" s="110"/>
      <c r="NTC1376" s="110"/>
      <c r="NTD1376" s="110"/>
      <c r="NTE1376" s="110"/>
      <c r="NTF1376" s="110"/>
      <c r="NTG1376" s="110"/>
      <c r="NTH1376" s="110"/>
      <c r="NTI1376" s="110"/>
      <c r="NTJ1376" s="110"/>
      <c r="NTK1376" s="110"/>
      <c r="NTL1376" s="110"/>
      <c r="NTM1376" s="110"/>
      <c r="NTN1376" s="110"/>
      <c r="NTO1376" s="110"/>
      <c r="NTP1376" s="110"/>
      <c r="NTQ1376" s="110"/>
      <c r="NTR1376" s="110"/>
      <c r="NTS1376" s="110"/>
      <c r="NTT1376" s="110"/>
      <c r="NTU1376" s="110"/>
      <c r="NTV1376" s="110"/>
      <c r="NTW1376" s="110"/>
      <c r="NTX1376" s="110"/>
      <c r="NTY1376" s="110"/>
      <c r="NTZ1376" s="110"/>
      <c r="NUA1376" s="110"/>
      <c r="NUB1376" s="110"/>
      <c r="NUC1376" s="110"/>
      <c r="NUD1376" s="110"/>
      <c r="NUE1376" s="110"/>
      <c r="NUF1376" s="110"/>
      <c r="NUG1376" s="110"/>
      <c r="NUH1376" s="110"/>
      <c r="NUI1376" s="110"/>
      <c r="NUJ1376" s="110"/>
      <c r="NUK1376" s="110"/>
      <c r="NUL1376" s="110"/>
      <c r="NUM1376" s="110"/>
      <c r="NUN1376" s="110"/>
      <c r="NUO1376" s="110"/>
      <c r="NUP1376" s="110"/>
      <c r="NUQ1376" s="110"/>
      <c r="NUR1376" s="110"/>
      <c r="NUS1376" s="110"/>
      <c r="NUT1376" s="110"/>
      <c r="NUU1376" s="110"/>
      <c r="NUV1376" s="110"/>
      <c r="NUW1376" s="110"/>
      <c r="NUX1376" s="110"/>
      <c r="NUY1376" s="110"/>
      <c r="NUZ1376" s="110"/>
      <c r="NVA1376" s="110"/>
      <c r="NVB1376" s="110"/>
      <c r="NVC1376" s="110"/>
      <c r="NVD1376" s="110"/>
      <c r="NVE1376" s="110"/>
      <c r="NVF1376" s="110"/>
      <c r="NVG1376" s="110"/>
      <c r="NVH1376" s="110"/>
      <c r="NVI1376" s="110"/>
      <c r="NVJ1376" s="110"/>
      <c r="NVK1376" s="110"/>
      <c r="NVL1376" s="110"/>
      <c r="NVM1376" s="110"/>
      <c r="NVN1376" s="110"/>
      <c r="NVO1376" s="110"/>
      <c r="NVP1376" s="110"/>
      <c r="NVQ1376" s="110"/>
      <c r="NVR1376" s="110"/>
      <c r="NVS1376" s="110"/>
      <c r="NVT1376" s="110"/>
      <c r="NVU1376" s="110"/>
      <c r="NVV1376" s="110"/>
      <c r="NVW1376" s="110"/>
      <c r="NVX1376" s="110"/>
      <c r="NVY1376" s="110"/>
      <c r="NVZ1376" s="110"/>
      <c r="NWA1376" s="110"/>
      <c r="NWB1376" s="110"/>
      <c r="NWC1376" s="110"/>
      <c r="NWD1376" s="110"/>
      <c r="NWE1376" s="110"/>
      <c r="NWF1376" s="110"/>
      <c r="NWG1376" s="110"/>
      <c r="NWH1376" s="110"/>
      <c r="NWI1376" s="110"/>
      <c r="NWJ1376" s="110"/>
      <c r="NWK1376" s="110"/>
      <c r="NWL1376" s="110"/>
      <c r="NWM1376" s="110"/>
      <c r="NWN1376" s="110"/>
      <c r="NWO1376" s="110"/>
      <c r="NWP1376" s="110"/>
      <c r="NWQ1376" s="110"/>
      <c r="NWR1376" s="110"/>
      <c r="NWS1376" s="110"/>
      <c r="NWT1376" s="110"/>
      <c r="NWU1376" s="110"/>
      <c r="NWV1376" s="110"/>
      <c r="NWW1376" s="110"/>
      <c r="NWX1376" s="110"/>
      <c r="NWY1376" s="110"/>
      <c r="NWZ1376" s="110"/>
      <c r="NXA1376" s="110"/>
      <c r="NXB1376" s="110"/>
      <c r="NXC1376" s="110"/>
      <c r="NXD1376" s="110"/>
      <c r="NXE1376" s="110"/>
      <c r="NXF1376" s="110"/>
      <c r="NXG1376" s="110"/>
      <c r="NXH1376" s="110"/>
      <c r="NXI1376" s="110"/>
      <c r="NXJ1376" s="110"/>
      <c r="NXK1376" s="110"/>
      <c r="NXL1376" s="110"/>
      <c r="NXM1376" s="110"/>
      <c r="NXN1376" s="110"/>
      <c r="NXO1376" s="110"/>
      <c r="NXP1376" s="110"/>
      <c r="NXQ1376" s="110"/>
      <c r="NXR1376" s="110"/>
      <c r="NXS1376" s="110"/>
      <c r="NXT1376" s="110"/>
      <c r="NXU1376" s="110"/>
      <c r="NXV1376" s="110"/>
      <c r="NXW1376" s="110"/>
      <c r="NXX1376" s="110"/>
      <c r="NXY1376" s="110"/>
      <c r="NXZ1376" s="110"/>
      <c r="NYA1376" s="110"/>
      <c r="NYB1376" s="110"/>
      <c r="NYC1376" s="110"/>
      <c r="NYD1376" s="110"/>
      <c r="NYE1376" s="110"/>
      <c r="NYF1376" s="110"/>
      <c r="NYG1376" s="110"/>
      <c r="NYH1376" s="110"/>
      <c r="NYI1376" s="110"/>
      <c r="NYJ1376" s="110"/>
      <c r="NYK1376" s="110"/>
      <c r="NYL1376" s="110"/>
      <c r="NYM1376" s="110"/>
      <c r="NYN1376" s="110"/>
      <c r="NYO1376" s="110"/>
      <c r="NYP1376" s="110"/>
      <c r="NYQ1376" s="110"/>
      <c r="NYR1376" s="110"/>
      <c r="NYS1376" s="110"/>
      <c r="NYT1376" s="110"/>
      <c r="NYU1376" s="110"/>
      <c r="NYV1376" s="110"/>
      <c r="NYW1376" s="110"/>
      <c r="NYX1376" s="110"/>
      <c r="NYY1376" s="110"/>
      <c r="NYZ1376" s="110"/>
      <c r="NZA1376" s="110"/>
      <c r="NZB1376" s="110"/>
      <c r="NZC1376" s="110"/>
      <c r="NZD1376" s="110"/>
      <c r="NZE1376" s="110"/>
      <c r="NZF1376" s="110"/>
      <c r="NZG1376" s="110"/>
      <c r="NZH1376" s="110"/>
      <c r="NZI1376" s="110"/>
      <c r="NZJ1376" s="110"/>
      <c r="NZK1376" s="110"/>
      <c r="NZL1376" s="110"/>
      <c r="NZM1376" s="110"/>
      <c r="NZN1376" s="110"/>
      <c r="NZO1376" s="110"/>
      <c r="NZP1376" s="110"/>
      <c r="NZQ1376" s="110"/>
      <c r="NZR1376" s="110"/>
      <c r="NZS1376" s="110"/>
      <c r="NZT1376" s="110"/>
      <c r="NZU1376" s="110"/>
      <c r="NZV1376" s="110"/>
      <c r="NZW1376" s="110"/>
      <c r="NZX1376" s="110"/>
      <c r="NZY1376" s="110"/>
      <c r="NZZ1376" s="110"/>
      <c r="OAA1376" s="110"/>
      <c r="OAB1376" s="110"/>
      <c r="OAC1376" s="110"/>
      <c r="OAD1376" s="110"/>
      <c r="OAE1376" s="110"/>
      <c r="OAF1376" s="110"/>
      <c r="OAG1376" s="110"/>
      <c r="OAH1376" s="110"/>
      <c r="OAI1376" s="110"/>
      <c r="OAJ1376" s="110"/>
      <c r="OAK1376" s="110"/>
      <c r="OAL1376" s="110"/>
      <c r="OAM1376" s="110"/>
      <c r="OAN1376" s="110"/>
      <c r="OAO1376" s="110"/>
      <c r="OAP1376" s="110"/>
      <c r="OAQ1376" s="110"/>
      <c r="OAR1376" s="110"/>
      <c r="OAS1376" s="110"/>
      <c r="OAT1376" s="110"/>
      <c r="OAU1376" s="110"/>
      <c r="OAV1376" s="110"/>
      <c r="OAW1376" s="110"/>
      <c r="OAX1376" s="110"/>
      <c r="OAY1376" s="110"/>
      <c r="OAZ1376" s="110"/>
      <c r="OBA1376" s="110"/>
      <c r="OBB1376" s="110"/>
      <c r="OBC1376" s="110"/>
      <c r="OBD1376" s="110"/>
      <c r="OBE1376" s="110"/>
      <c r="OBF1376" s="110"/>
      <c r="OBG1376" s="110"/>
      <c r="OBH1376" s="110"/>
      <c r="OBI1376" s="110"/>
      <c r="OBJ1376" s="110"/>
      <c r="OBK1376" s="110"/>
      <c r="OBL1376" s="110"/>
      <c r="OBM1376" s="110"/>
      <c r="OBN1376" s="110"/>
      <c r="OBO1376" s="110"/>
      <c r="OBP1376" s="110"/>
      <c r="OBQ1376" s="110"/>
      <c r="OBR1376" s="110"/>
      <c r="OBS1376" s="110"/>
      <c r="OBT1376" s="110"/>
      <c r="OBU1376" s="110"/>
      <c r="OBV1376" s="110"/>
      <c r="OBW1376" s="110"/>
      <c r="OBX1376" s="110"/>
      <c r="OBY1376" s="110"/>
      <c r="OBZ1376" s="110"/>
      <c r="OCA1376" s="110"/>
      <c r="OCB1376" s="110"/>
      <c r="OCC1376" s="110"/>
      <c r="OCD1376" s="110"/>
      <c r="OCE1376" s="110"/>
      <c r="OCF1376" s="110"/>
      <c r="OCG1376" s="110"/>
      <c r="OCH1376" s="110"/>
      <c r="OCI1376" s="110"/>
      <c r="OCJ1376" s="110"/>
      <c r="OCK1376" s="110"/>
      <c r="OCL1376" s="110"/>
      <c r="OCM1376" s="110"/>
      <c r="OCN1376" s="110"/>
      <c r="OCO1376" s="110"/>
      <c r="OCP1376" s="110"/>
      <c r="OCQ1376" s="110"/>
      <c r="OCR1376" s="110"/>
      <c r="OCS1376" s="110"/>
      <c r="OCT1376" s="110"/>
      <c r="OCU1376" s="110"/>
      <c r="OCV1376" s="110"/>
      <c r="OCW1376" s="110"/>
      <c r="OCX1376" s="110"/>
      <c r="OCY1376" s="110"/>
      <c r="OCZ1376" s="110"/>
      <c r="ODA1376" s="110"/>
      <c r="ODB1376" s="110"/>
      <c r="ODC1376" s="110"/>
      <c r="ODD1376" s="110"/>
      <c r="ODE1376" s="110"/>
      <c r="ODF1376" s="110"/>
      <c r="ODG1376" s="110"/>
      <c r="ODH1376" s="110"/>
      <c r="ODI1376" s="110"/>
      <c r="ODJ1376" s="110"/>
      <c r="ODK1376" s="110"/>
      <c r="ODL1376" s="110"/>
      <c r="ODM1376" s="110"/>
      <c r="ODN1376" s="110"/>
      <c r="ODO1376" s="110"/>
      <c r="ODP1376" s="110"/>
      <c r="ODQ1376" s="110"/>
      <c r="ODR1376" s="110"/>
      <c r="ODS1376" s="110"/>
      <c r="ODT1376" s="110"/>
      <c r="ODU1376" s="110"/>
      <c r="ODV1376" s="110"/>
      <c r="ODW1376" s="110"/>
      <c r="ODX1376" s="110"/>
      <c r="ODY1376" s="110"/>
      <c r="ODZ1376" s="110"/>
      <c r="OEA1376" s="110"/>
      <c r="OEB1376" s="110"/>
      <c r="OEC1376" s="110"/>
      <c r="OED1376" s="110"/>
      <c r="OEE1376" s="110"/>
      <c r="OEF1376" s="110"/>
      <c r="OEG1376" s="110"/>
      <c r="OEH1376" s="110"/>
      <c r="OEI1376" s="110"/>
      <c r="OEJ1376" s="110"/>
      <c r="OEK1376" s="110"/>
      <c r="OEL1376" s="110"/>
      <c r="OEM1376" s="110"/>
      <c r="OEN1376" s="110"/>
      <c r="OEO1376" s="110"/>
      <c r="OEP1376" s="110"/>
      <c r="OEQ1376" s="110"/>
      <c r="OER1376" s="110"/>
      <c r="OES1376" s="110"/>
      <c r="OET1376" s="110"/>
      <c r="OEU1376" s="110"/>
      <c r="OEV1376" s="110"/>
      <c r="OEW1376" s="110"/>
      <c r="OEX1376" s="110"/>
      <c r="OEY1376" s="110"/>
      <c r="OEZ1376" s="110"/>
      <c r="OFA1376" s="110"/>
      <c r="OFB1376" s="110"/>
      <c r="OFC1376" s="110"/>
      <c r="OFD1376" s="110"/>
      <c r="OFE1376" s="110"/>
      <c r="OFF1376" s="110"/>
      <c r="OFG1376" s="110"/>
      <c r="OFH1376" s="110"/>
      <c r="OFI1376" s="110"/>
      <c r="OFJ1376" s="110"/>
      <c r="OFK1376" s="110"/>
      <c r="OFL1376" s="110"/>
      <c r="OFM1376" s="110"/>
      <c r="OFN1376" s="110"/>
      <c r="OFO1376" s="110"/>
      <c r="OFP1376" s="110"/>
      <c r="OFQ1376" s="110"/>
      <c r="OFR1376" s="110"/>
      <c r="OFS1376" s="110"/>
      <c r="OFT1376" s="110"/>
      <c r="OFU1376" s="110"/>
      <c r="OFV1376" s="110"/>
      <c r="OFW1376" s="110"/>
      <c r="OFX1376" s="110"/>
      <c r="OFY1376" s="110"/>
      <c r="OFZ1376" s="110"/>
      <c r="OGA1376" s="110"/>
      <c r="OGB1376" s="110"/>
      <c r="OGC1376" s="110"/>
      <c r="OGD1376" s="110"/>
      <c r="OGE1376" s="110"/>
      <c r="OGF1376" s="110"/>
      <c r="OGG1376" s="110"/>
      <c r="OGH1376" s="110"/>
      <c r="OGI1376" s="110"/>
      <c r="OGJ1376" s="110"/>
      <c r="OGK1376" s="110"/>
      <c r="OGL1376" s="110"/>
      <c r="OGM1376" s="110"/>
      <c r="OGN1376" s="110"/>
      <c r="OGO1376" s="110"/>
      <c r="OGP1376" s="110"/>
      <c r="OGQ1376" s="110"/>
      <c r="OGR1376" s="110"/>
      <c r="OGS1376" s="110"/>
      <c r="OGT1376" s="110"/>
      <c r="OGU1376" s="110"/>
      <c r="OGV1376" s="110"/>
      <c r="OGW1376" s="110"/>
      <c r="OGX1376" s="110"/>
      <c r="OGY1376" s="110"/>
      <c r="OGZ1376" s="110"/>
      <c r="OHA1376" s="110"/>
      <c r="OHB1376" s="110"/>
      <c r="OHC1376" s="110"/>
      <c r="OHD1376" s="110"/>
      <c r="OHE1376" s="110"/>
      <c r="OHF1376" s="110"/>
      <c r="OHG1376" s="110"/>
      <c r="OHH1376" s="110"/>
      <c r="OHI1376" s="110"/>
      <c r="OHJ1376" s="110"/>
      <c r="OHK1376" s="110"/>
      <c r="OHL1376" s="110"/>
      <c r="OHM1376" s="110"/>
      <c r="OHN1376" s="110"/>
      <c r="OHO1376" s="110"/>
      <c r="OHP1376" s="110"/>
      <c r="OHQ1376" s="110"/>
      <c r="OHR1376" s="110"/>
      <c r="OHS1376" s="110"/>
      <c r="OHT1376" s="110"/>
      <c r="OHU1376" s="110"/>
      <c r="OHV1376" s="110"/>
      <c r="OHW1376" s="110"/>
      <c r="OHX1376" s="110"/>
      <c r="OHY1376" s="110"/>
      <c r="OHZ1376" s="110"/>
      <c r="OIA1376" s="110"/>
      <c r="OIB1376" s="110"/>
      <c r="OIC1376" s="110"/>
      <c r="OID1376" s="110"/>
      <c r="OIE1376" s="110"/>
      <c r="OIF1376" s="110"/>
      <c r="OIG1376" s="110"/>
      <c r="OIH1376" s="110"/>
      <c r="OII1376" s="110"/>
      <c r="OIJ1376" s="110"/>
      <c r="OIK1376" s="110"/>
      <c r="OIL1376" s="110"/>
      <c r="OIM1376" s="110"/>
      <c r="OIN1376" s="110"/>
      <c r="OIO1376" s="110"/>
      <c r="OIP1376" s="110"/>
      <c r="OIQ1376" s="110"/>
      <c r="OIR1376" s="110"/>
      <c r="OIS1376" s="110"/>
      <c r="OIT1376" s="110"/>
      <c r="OIU1376" s="110"/>
      <c r="OIV1376" s="110"/>
      <c r="OIW1376" s="110"/>
      <c r="OIX1376" s="110"/>
      <c r="OIY1376" s="110"/>
      <c r="OIZ1376" s="110"/>
      <c r="OJA1376" s="110"/>
      <c r="OJB1376" s="110"/>
      <c r="OJC1376" s="110"/>
      <c r="OJD1376" s="110"/>
      <c r="OJE1376" s="110"/>
      <c r="OJF1376" s="110"/>
      <c r="OJG1376" s="110"/>
      <c r="OJH1376" s="110"/>
      <c r="OJI1376" s="110"/>
      <c r="OJJ1376" s="110"/>
      <c r="OJK1376" s="110"/>
      <c r="OJL1376" s="110"/>
      <c r="OJM1376" s="110"/>
      <c r="OJN1376" s="110"/>
      <c r="OJO1376" s="110"/>
      <c r="OJP1376" s="110"/>
      <c r="OJQ1376" s="110"/>
      <c r="OJR1376" s="110"/>
      <c r="OJS1376" s="110"/>
      <c r="OJT1376" s="110"/>
      <c r="OJU1376" s="110"/>
      <c r="OJV1376" s="110"/>
      <c r="OJW1376" s="110"/>
      <c r="OJX1376" s="110"/>
      <c r="OJY1376" s="110"/>
      <c r="OJZ1376" s="110"/>
      <c r="OKA1376" s="110"/>
      <c r="OKB1376" s="110"/>
      <c r="OKC1376" s="110"/>
      <c r="OKD1376" s="110"/>
      <c r="OKE1376" s="110"/>
      <c r="OKF1376" s="110"/>
      <c r="OKG1376" s="110"/>
      <c r="OKH1376" s="110"/>
      <c r="OKI1376" s="110"/>
      <c r="OKJ1376" s="110"/>
      <c r="OKK1376" s="110"/>
      <c r="OKL1376" s="110"/>
      <c r="OKM1376" s="110"/>
      <c r="OKN1376" s="110"/>
      <c r="OKO1376" s="110"/>
      <c r="OKP1376" s="110"/>
      <c r="OKQ1376" s="110"/>
      <c r="OKR1376" s="110"/>
      <c r="OKS1376" s="110"/>
      <c r="OKT1376" s="110"/>
      <c r="OKU1376" s="110"/>
      <c r="OKV1376" s="110"/>
      <c r="OKW1376" s="110"/>
      <c r="OKX1376" s="110"/>
      <c r="OKY1376" s="110"/>
      <c r="OKZ1376" s="110"/>
      <c r="OLA1376" s="110"/>
      <c r="OLB1376" s="110"/>
      <c r="OLC1376" s="110"/>
      <c r="OLD1376" s="110"/>
      <c r="OLE1376" s="110"/>
      <c r="OLF1376" s="110"/>
      <c r="OLG1376" s="110"/>
      <c r="OLH1376" s="110"/>
      <c r="OLI1376" s="110"/>
      <c r="OLJ1376" s="110"/>
      <c r="OLK1376" s="110"/>
      <c r="OLL1376" s="110"/>
      <c r="OLM1376" s="110"/>
      <c r="OLN1376" s="110"/>
      <c r="OLO1376" s="110"/>
      <c r="OLP1376" s="110"/>
      <c r="OLQ1376" s="110"/>
      <c r="OLR1376" s="110"/>
      <c r="OLS1376" s="110"/>
      <c r="OLT1376" s="110"/>
      <c r="OLU1376" s="110"/>
      <c r="OLV1376" s="110"/>
      <c r="OLW1376" s="110"/>
      <c r="OLX1376" s="110"/>
      <c r="OLY1376" s="110"/>
      <c r="OLZ1376" s="110"/>
      <c r="OMA1376" s="110"/>
      <c r="OMB1376" s="110"/>
      <c r="OMC1376" s="110"/>
      <c r="OMD1376" s="110"/>
      <c r="OME1376" s="110"/>
      <c r="OMF1376" s="110"/>
      <c r="OMG1376" s="110"/>
      <c r="OMH1376" s="110"/>
      <c r="OMI1376" s="110"/>
      <c r="OMJ1376" s="110"/>
      <c r="OMK1376" s="110"/>
      <c r="OML1376" s="110"/>
      <c r="OMM1376" s="110"/>
      <c r="OMN1376" s="110"/>
      <c r="OMO1376" s="110"/>
      <c r="OMP1376" s="110"/>
      <c r="OMQ1376" s="110"/>
      <c r="OMR1376" s="110"/>
      <c r="OMS1376" s="110"/>
      <c r="OMT1376" s="110"/>
      <c r="OMU1376" s="110"/>
      <c r="OMV1376" s="110"/>
      <c r="OMW1376" s="110"/>
      <c r="OMX1376" s="110"/>
      <c r="OMY1376" s="110"/>
      <c r="OMZ1376" s="110"/>
      <c r="ONA1376" s="110"/>
      <c r="ONB1376" s="110"/>
      <c r="ONC1376" s="110"/>
      <c r="OND1376" s="110"/>
      <c r="ONE1376" s="110"/>
      <c r="ONF1376" s="110"/>
      <c r="ONG1376" s="110"/>
      <c r="ONH1376" s="110"/>
      <c r="ONI1376" s="110"/>
      <c r="ONJ1376" s="110"/>
      <c r="ONK1376" s="110"/>
      <c r="ONL1376" s="110"/>
      <c r="ONM1376" s="110"/>
      <c r="ONN1376" s="110"/>
      <c r="ONO1376" s="110"/>
      <c r="ONP1376" s="110"/>
      <c r="ONQ1376" s="110"/>
      <c r="ONR1376" s="110"/>
      <c r="ONS1376" s="110"/>
      <c r="ONT1376" s="110"/>
      <c r="ONU1376" s="110"/>
      <c r="ONV1376" s="110"/>
      <c r="ONW1376" s="110"/>
      <c r="ONX1376" s="110"/>
      <c r="ONY1376" s="110"/>
      <c r="ONZ1376" s="110"/>
      <c r="OOA1376" s="110"/>
      <c r="OOB1376" s="110"/>
      <c r="OOC1376" s="110"/>
      <c r="OOD1376" s="110"/>
      <c r="OOE1376" s="110"/>
      <c r="OOF1376" s="110"/>
      <c r="OOG1376" s="110"/>
      <c r="OOH1376" s="110"/>
      <c r="OOI1376" s="110"/>
      <c r="OOJ1376" s="110"/>
      <c r="OOK1376" s="110"/>
      <c r="OOL1376" s="110"/>
      <c r="OOM1376" s="110"/>
      <c r="OON1376" s="110"/>
      <c r="OOO1376" s="110"/>
      <c r="OOP1376" s="110"/>
      <c r="OOQ1376" s="110"/>
      <c r="OOR1376" s="110"/>
      <c r="OOS1376" s="110"/>
      <c r="OOT1376" s="110"/>
      <c r="OOU1376" s="110"/>
      <c r="OOV1376" s="110"/>
      <c r="OOW1376" s="110"/>
      <c r="OOX1376" s="110"/>
      <c r="OOY1376" s="110"/>
      <c r="OOZ1376" s="110"/>
      <c r="OPA1376" s="110"/>
      <c r="OPB1376" s="110"/>
      <c r="OPC1376" s="110"/>
      <c r="OPD1376" s="110"/>
      <c r="OPE1376" s="110"/>
      <c r="OPF1376" s="110"/>
      <c r="OPG1376" s="110"/>
      <c r="OPH1376" s="110"/>
      <c r="OPI1376" s="110"/>
      <c r="OPJ1376" s="110"/>
      <c r="OPK1376" s="110"/>
      <c r="OPL1376" s="110"/>
      <c r="OPM1376" s="110"/>
      <c r="OPN1376" s="110"/>
      <c r="OPO1376" s="110"/>
      <c r="OPP1376" s="110"/>
      <c r="OPQ1376" s="110"/>
      <c r="OPR1376" s="110"/>
      <c r="OPS1376" s="110"/>
      <c r="OPT1376" s="110"/>
      <c r="OPU1376" s="110"/>
      <c r="OPV1376" s="110"/>
      <c r="OPW1376" s="110"/>
      <c r="OPX1376" s="110"/>
      <c r="OPY1376" s="110"/>
      <c r="OPZ1376" s="110"/>
      <c r="OQA1376" s="110"/>
      <c r="OQB1376" s="110"/>
      <c r="OQC1376" s="110"/>
      <c r="OQD1376" s="110"/>
      <c r="OQE1376" s="110"/>
      <c r="OQF1376" s="110"/>
      <c r="OQG1376" s="110"/>
      <c r="OQH1376" s="110"/>
      <c r="OQI1376" s="110"/>
      <c r="OQJ1376" s="110"/>
      <c r="OQK1376" s="110"/>
      <c r="OQL1376" s="110"/>
      <c r="OQM1376" s="110"/>
      <c r="OQN1376" s="110"/>
      <c r="OQO1376" s="110"/>
      <c r="OQP1376" s="110"/>
      <c r="OQQ1376" s="110"/>
      <c r="OQR1376" s="110"/>
      <c r="OQS1376" s="110"/>
      <c r="OQT1376" s="110"/>
      <c r="OQU1376" s="110"/>
      <c r="OQV1376" s="110"/>
      <c r="OQW1376" s="110"/>
      <c r="OQX1376" s="110"/>
      <c r="OQY1376" s="110"/>
      <c r="OQZ1376" s="110"/>
      <c r="ORA1376" s="110"/>
      <c r="ORB1376" s="110"/>
      <c r="ORC1376" s="110"/>
      <c r="ORD1376" s="110"/>
      <c r="ORE1376" s="110"/>
      <c r="ORF1376" s="110"/>
      <c r="ORG1376" s="110"/>
      <c r="ORH1376" s="110"/>
      <c r="ORI1376" s="110"/>
      <c r="ORJ1376" s="110"/>
      <c r="ORK1376" s="110"/>
      <c r="ORL1376" s="110"/>
      <c r="ORM1376" s="110"/>
      <c r="ORN1376" s="110"/>
      <c r="ORO1376" s="110"/>
      <c r="ORP1376" s="110"/>
      <c r="ORQ1376" s="110"/>
      <c r="ORR1376" s="110"/>
      <c r="ORS1376" s="110"/>
      <c r="ORT1376" s="110"/>
      <c r="ORU1376" s="110"/>
      <c r="ORV1376" s="110"/>
      <c r="ORW1376" s="110"/>
      <c r="ORX1376" s="110"/>
      <c r="ORY1376" s="110"/>
      <c r="ORZ1376" s="110"/>
      <c r="OSA1376" s="110"/>
      <c r="OSB1376" s="110"/>
      <c r="OSC1376" s="110"/>
      <c r="OSD1376" s="110"/>
      <c r="OSE1376" s="110"/>
      <c r="OSF1376" s="110"/>
      <c r="OSG1376" s="110"/>
      <c r="OSH1376" s="110"/>
      <c r="OSI1376" s="110"/>
      <c r="OSJ1376" s="110"/>
      <c r="OSK1376" s="110"/>
      <c r="OSL1376" s="110"/>
      <c r="OSM1376" s="110"/>
      <c r="OSN1376" s="110"/>
      <c r="OSO1376" s="110"/>
      <c r="OSP1376" s="110"/>
      <c r="OSQ1376" s="110"/>
      <c r="OSR1376" s="110"/>
      <c r="OSS1376" s="110"/>
      <c r="OST1376" s="110"/>
      <c r="OSU1376" s="110"/>
      <c r="OSV1376" s="110"/>
      <c r="OSW1376" s="110"/>
      <c r="OSX1376" s="110"/>
      <c r="OSY1376" s="110"/>
      <c r="OSZ1376" s="110"/>
      <c r="OTA1376" s="110"/>
      <c r="OTB1376" s="110"/>
      <c r="OTC1376" s="110"/>
      <c r="OTD1376" s="110"/>
      <c r="OTE1376" s="110"/>
      <c r="OTF1376" s="110"/>
      <c r="OTG1376" s="110"/>
      <c r="OTH1376" s="110"/>
      <c r="OTI1376" s="110"/>
      <c r="OTJ1376" s="110"/>
      <c r="OTK1376" s="110"/>
      <c r="OTL1376" s="110"/>
      <c r="OTM1376" s="110"/>
      <c r="OTN1376" s="110"/>
      <c r="OTO1376" s="110"/>
      <c r="OTP1376" s="110"/>
      <c r="OTQ1376" s="110"/>
      <c r="OTR1376" s="110"/>
      <c r="OTS1376" s="110"/>
      <c r="OTT1376" s="110"/>
      <c r="OTU1376" s="110"/>
      <c r="OTV1376" s="110"/>
      <c r="OTW1376" s="110"/>
      <c r="OTX1376" s="110"/>
      <c r="OTY1376" s="110"/>
      <c r="OTZ1376" s="110"/>
      <c r="OUA1376" s="110"/>
      <c r="OUB1376" s="110"/>
      <c r="OUC1376" s="110"/>
      <c r="OUD1376" s="110"/>
      <c r="OUE1376" s="110"/>
      <c r="OUF1376" s="110"/>
      <c r="OUG1376" s="110"/>
      <c r="OUH1376" s="110"/>
      <c r="OUI1376" s="110"/>
      <c r="OUJ1376" s="110"/>
      <c r="OUK1376" s="110"/>
      <c r="OUL1376" s="110"/>
      <c r="OUM1376" s="110"/>
      <c r="OUN1376" s="110"/>
      <c r="OUO1376" s="110"/>
      <c r="OUP1376" s="110"/>
      <c r="OUQ1376" s="110"/>
      <c r="OUR1376" s="110"/>
      <c r="OUS1376" s="110"/>
      <c r="OUT1376" s="110"/>
      <c r="OUU1376" s="110"/>
      <c r="OUV1376" s="110"/>
      <c r="OUW1376" s="110"/>
      <c r="OUX1376" s="110"/>
      <c r="OUY1376" s="110"/>
      <c r="OUZ1376" s="110"/>
      <c r="OVA1376" s="110"/>
      <c r="OVB1376" s="110"/>
      <c r="OVC1376" s="110"/>
      <c r="OVD1376" s="110"/>
      <c r="OVE1376" s="110"/>
      <c r="OVF1376" s="110"/>
      <c r="OVG1376" s="110"/>
      <c r="OVH1376" s="110"/>
      <c r="OVI1376" s="110"/>
      <c r="OVJ1376" s="110"/>
      <c r="OVK1376" s="110"/>
      <c r="OVL1376" s="110"/>
      <c r="OVM1376" s="110"/>
      <c r="OVN1376" s="110"/>
      <c r="OVO1376" s="110"/>
      <c r="OVP1376" s="110"/>
      <c r="OVQ1376" s="110"/>
      <c r="OVR1376" s="110"/>
      <c r="OVS1376" s="110"/>
      <c r="OVT1376" s="110"/>
      <c r="OVU1376" s="110"/>
      <c r="OVV1376" s="110"/>
      <c r="OVW1376" s="110"/>
      <c r="OVX1376" s="110"/>
      <c r="OVY1376" s="110"/>
      <c r="OVZ1376" s="110"/>
      <c r="OWA1376" s="110"/>
      <c r="OWB1376" s="110"/>
      <c r="OWC1376" s="110"/>
      <c r="OWD1376" s="110"/>
      <c r="OWE1376" s="110"/>
      <c r="OWF1376" s="110"/>
      <c r="OWG1376" s="110"/>
      <c r="OWH1376" s="110"/>
      <c r="OWI1376" s="110"/>
      <c r="OWJ1376" s="110"/>
      <c r="OWK1376" s="110"/>
      <c r="OWL1376" s="110"/>
      <c r="OWM1376" s="110"/>
      <c r="OWN1376" s="110"/>
      <c r="OWO1376" s="110"/>
      <c r="OWP1376" s="110"/>
      <c r="OWQ1376" s="110"/>
      <c r="OWR1376" s="110"/>
      <c r="OWS1376" s="110"/>
      <c r="OWT1376" s="110"/>
      <c r="OWU1376" s="110"/>
      <c r="OWV1376" s="110"/>
      <c r="OWW1376" s="110"/>
      <c r="OWX1376" s="110"/>
      <c r="OWY1376" s="110"/>
      <c r="OWZ1376" s="110"/>
      <c r="OXA1376" s="110"/>
      <c r="OXB1376" s="110"/>
      <c r="OXC1376" s="110"/>
      <c r="OXD1376" s="110"/>
      <c r="OXE1376" s="110"/>
      <c r="OXF1376" s="110"/>
      <c r="OXG1376" s="110"/>
      <c r="OXH1376" s="110"/>
      <c r="OXI1376" s="110"/>
      <c r="OXJ1376" s="110"/>
      <c r="OXK1376" s="110"/>
      <c r="OXL1376" s="110"/>
      <c r="OXM1376" s="110"/>
      <c r="OXN1376" s="110"/>
      <c r="OXO1376" s="110"/>
      <c r="OXP1376" s="110"/>
      <c r="OXQ1376" s="110"/>
      <c r="OXR1376" s="110"/>
      <c r="OXS1376" s="110"/>
      <c r="OXT1376" s="110"/>
      <c r="OXU1376" s="110"/>
      <c r="OXV1376" s="110"/>
      <c r="OXW1376" s="110"/>
      <c r="OXX1376" s="110"/>
      <c r="OXY1376" s="110"/>
      <c r="OXZ1376" s="110"/>
      <c r="OYA1376" s="110"/>
      <c r="OYB1376" s="110"/>
      <c r="OYC1376" s="110"/>
      <c r="OYD1376" s="110"/>
      <c r="OYE1376" s="110"/>
      <c r="OYF1376" s="110"/>
      <c r="OYG1376" s="110"/>
      <c r="OYH1376" s="110"/>
      <c r="OYI1376" s="110"/>
      <c r="OYJ1376" s="110"/>
      <c r="OYK1376" s="110"/>
      <c r="OYL1376" s="110"/>
      <c r="OYM1376" s="110"/>
      <c r="OYN1376" s="110"/>
      <c r="OYO1376" s="110"/>
      <c r="OYP1376" s="110"/>
      <c r="OYQ1376" s="110"/>
      <c r="OYR1376" s="110"/>
      <c r="OYS1376" s="110"/>
      <c r="OYT1376" s="110"/>
      <c r="OYU1376" s="110"/>
      <c r="OYV1376" s="110"/>
      <c r="OYW1376" s="110"/>
      <c r="OYX1376" s="110"/>
      <c r="OYY1376" s="110"/>
      <c r="OYZ1376" s="110"/>
      <c r="OZA1376" s="110"/>
      <c r="OZB1376" s="110"/>
      <c r="OZC1376" s="110"/>
      <c r="OZD1376" s="110"/>
      <c r="OZE1376" s="110"/>
      <c r="OZF1376" s="110"/>
      <c r="OZG1376" s="110"/>
      <c r="OZH1376" s="110"/>
      <c r="OZI1376" s="110"/>
      <c r="OZJ1376" s="110"/>
      <c r="OZK1376" s="110"/>
      <c r="OZL1376" s="110"/>
      <c r="OZM1376" s="110"/>
      <c r="OZN1376" s="110"/>
      <c r="OZO1376" s="110"/>
      <c r="OZP1376" s="110"/>
      <c r="OZQ1376" s="110"/>
      <c r="OZR1376" s="110"/>
      <c r="OZS1376" s="110"/>
      <c r="OZT1376" s="110"/>
      <c r="OZU1376" s="110"/>
      <c r="OZV1376" s="110"/>
      <c r="OZW1376" s="110"/>
      <c r="OZX1376" s="110"/>
      <c r="OZY1376" s="110"/>
      <c r="OZZ1376" s="110"/>
      <c r="PAA1376" s="110"/>
      <c r="PAB1376" s="110"/>
      <c r="PAC1376" s="110"/>
      <c r="PAD1376" s="110"/>
      <c r="PAE1376" s="110"/>
      <c r="PAF1376" s="110"/>
      <c r="PAG1376" s="110"/>
      <c r="PAH1376" s="110"/>
      <c r="PAI1376" s="110"/>
      <c r="PAJ1376" s="110"/>
      <c r="PAK1376" s="110"/>
      <c r="PAL1376" s="110"/>
      <c r="PAM1376" s="110"/>
      <c r="PAN1376" s="110"/>
      <c r="PAO1376" s="110"/>
      <c r="PAP1376" s="110"/>
      <c r="PAQ1376" s="110"/>
      <c r="PAR1376" s="110"/>
      <c r="PAS1376" s="110"/>
      <c r="PAT1376" s="110"/>
      <c r="PAU1376" s="110"/>
      <c r="PAV1376" s="110"/>
      <c r="PAW1376" s="110"/>
      <c r="PAX1376" s="110"/>
      <c r="PAY1376" s="110"/>
      <c r="PAZ1376" s="110"/>
      <c r="PBA1376" s="110"/>
      <c r="PBB1376" s="110"/>
      <c r="PBC1376" s="110"/>
      <c r="PBD1376" s="110"/>
      <c r="PBE1376" s="110"/>
      <c r="PBF1376" s="110"/>
      <c r="PBG1376" s="110"/>
      <c r="PBH1376" s="110"/>
      <c r="PBI1376" s="110"/>
      <c r="PBJ1376" s="110"/>
      <c r="PBK1376" s="110"/>
      <c r="PBL1376" s="110"/>
      <c r="PBM1376" s="110"/>
      <c r="PBN1376" s="110"/>
      <c r="PBO1376" s="110"/>
      <c r="PBP1376" s="110"/>
      <c r="PBQ1376" s="110"/>
      <c r="PBR1376" s="110"/>
      <c r="PBS1376" s="110"/>
      <c r="PBT1376" s="110"/>
      <c r="PBU1376" s="110"/>
      <c r="PBV1376" s="110"/>
      <c r="PBW1376" s="110"/>
      <c r="PBX1376" s="110"/>
      <c r="PBY1376" s="110"/>
      <c r="PBZ1376" s="110"/>
      <c r="PCA1376" s="110"/>
      <c r="PCB1376" s="110"/>
      <c r="PCC1376" s="110"/>
      <c r="PCD1376" s="110"/>
      <c r="PCE1376" s="110"/>
      <c r="PCF1376" s="110"/>
      <c r="PCG1376" s="110"/>
      <c r="PCH1376" s="110"/>
      <c r="PCI1376" s="110"/>
      <c r="PCJ1376" s="110"/>
      <c r="PCK1376" s="110"/>
      <c r="PCL1376" s="110"/>
      <c r="PCM1376" s="110"/>
      <c r="PCN1376" s="110"/>
      <c r="PCO1376" s="110"/>
      <c r="PCP1376" s="110"/>
      <c r="PCQ1376" s="110"/>
      <c r="PCR1376" s="110"/>
      <c r="PCS1376" s="110"/>
      <c r="PCT1376" s="110"/>
      <c r="PCU1376" s="110"/>
      <c r="PCV1376" s="110"/>
      <c r="PCW1376" s="110"/>
      <c r="PCX1376" s="110"/>
      <c r="PCY1376" s="110"/>
      <c r="PCZ1376" s="110"/>
      <c r="PDA1376" s="110"/>
      <c r="PDB1376" s="110"/>
      <c r="PDC1376" s="110"/>
      <c r="PDD1376" s="110"/>
      <c r="PDE1376" s="110"/>
      <c r="PDF1376" s="110"/>
      <c r="PDG1376" s="110"/>
      <c r="PDH1376" s="110"/>
      <c r="PDI1376" s="110"/>
      <c r="PDJ1376" s="110"/>
      <c r="PDK1376" s="110"/>
      <c r="PDL1376" s="110"/>
      <c r="PDM1376" s="110"/>
      <c r="PDN1376" s="110"/>
      <c r="PDO1376" s="110"/>
      <c r="PDP1376" s="110"/>
      <c r="PDQ1376" s="110"/>
      <c r="PDR1376" s="110"/>
      <c r="PDS1376" s="110"/>
      <c r="PDT1376" s="110"/>
      <c r="PDU1376" s="110"/>
      <c r="PDV1376" s="110"/>
      <c r="PDW1376" s="110"/>
      <c r="PDX1376" s="110"/>
      <c r="PDY1376" s="110"/>
      <c r="PDZ1376" s="110"/>
      <c r="PEA1376" s="110"/>
      <c r="PEB1376" s="110"/>
      <c r="PEC1376" s="110"/>
      <c r="PED1376" s="110"/>
      <c r="PEE1376" s="110"/>
      <c r="PEF1376" s="110"/>
      <c r="PEG1376" s="110"/>
      <c r="PEH1376" s="110"/>
      <c r="PEI1376" s="110"/>
      <c r="PEJ1376" s="110"/>
      <c r="PEK1376" s="110"/>
      <c r="PEL1376" s="110"/>
      <c r="PEM1376" s="110"/>
      <c r="PEN1376" s="110"/>
      <c r="PEO1376" s="110"/>
      <c r="PEP1376" s="110"/>
      <c r="PEQ1376" s="110"/>
      <c r="PER1376" s="110"/>
      <c r="PES1376" s="110"/>
      <c r="PET1376" s="110"/>
      <c r="PEU1376" s="110"/>
      <c r="PEV1376" s="110"/>
      <c r="PEW1376" s="110"/>
      <c r="PEX1376" s="110"/>
      <c r="PEY1376" s="110"/>
      <c r="PEZ1376" s="110"/>
      <c r="PFA1376" s="110"/>
      <c r="PFB1376" s="110"/>
      <c r="PFC1376" s="110"/>
      <c r="PFD1376" s="110"/>
      <c r="PFE1376" s="110"/>
      <c r="PFF1376" s="110"/>
      <c r="PFG1376" s="110"/>
      <c r="PFH1376" s="110"/>
      <c r="PFI1376" s="110"/>
      <c r="PFJ1376" s="110"/>
      <c r="PFK1376" s="110"/>
      <c r="PFL1376" s="110"/>
      <c r="PFM1376" s="110"/>
      <c r="PFN1376" s="110"/>
      <c r="PFO1376" s="110"/>
      <c r="PFP1376" s="110"/>
      <c r="PFQ1376" s="110"/>
      <c r="PFR1376" s="110"/>
      <c r="PFS1376" s="110"/>
      <c r="PFT1376" s="110"/>
      <c r="PFU1376" s="110"/>
      <c r="PFV1376" s="110"/>
      <c r="PFW1376" s="110"/>
      <c r="PFX1376" s="110"/>
      <c r="PFY1376" s="110"/>
      <c r="PFZ1376" s="110"/>
      <c r="PGA1376" s="110"/>
      <c r="PGB1376" s="110"/>
      <c r="PGC1376" s="110"/>
      <c r="PGD1376" s="110"/>
      <c r="PGE1376" s="110"/>
      <c r="PGF1376" s="110"/>
      <c r="PGG1376" s="110"/>
      <c r="PGH1376" s="110"/>
      <c r="PGI1376" s="110"/>
      <c r="PGJ1376" s="110"/>
      <c r="PGK1376" s="110"/>
      <c r="PGL1376" s="110"/>
      <c r="PGM1376" s="110"/>
      <c r="PGN1376" s="110"/>
      <c r="PGO1376" s="110"/>
      <c r="PGP1376" s="110"/>
      <c r="PGQ1376" s="110"/>
      <c r="PGR1376" s="110"/>
      <c r="PGS1376" s="110"/>
      <c r="PGT1376" s="110"/>
      <c r="PGU1376" s="110"/>
      <c r="PGV1376" s="110"/>
      <c r="PGW1376" s="110"/>
      <c r="PGX1376" s="110"/>
      <c r="PGY1376" s="110"/>
      <c r="PGZ1376" s="110"/>
      <c r="PHA1376" s="110"/>
      <c r="PHB1376" s="110"/>
      <c r="PHC1376" s="110"/>
      <c r="PHD1376" s="110"/>
      <c r="PHE1376" s="110"/>
      <c r="PHF1376" s="110"/>
      <c r="PHG1376" s="110"/>
      <c r="PHH1376" s="110"/>
      <c r="PHI1376" s="110"/>
      <c r="PHJ1376" s="110"/>
      <c r="PHK1376" s="110"/>
      <c r="PHL1376" s="110"/>
      <c r="PHM1376" s="110"/>
      <c r="PHN1376" s="110"/>
      <c r="PHO1376" s="110"/>
      <c r="PHP1376" s="110"/>
      <c r="PHQ1376" s="110"/>
      <c r="PHR1376" s="110"/>
      <c r="PHS1376" s="110"/>
      <c r="PHT1376" s="110"/>
      <c r="PHU1376" s="110"/>
      <c r="PHV1376" s="110"/>
      <c r="PHW1376" s="110"/>
      <c r="PHX1376" s="110"/>
      <c r="PHY1376" s="110"/>
      <c r="PHZ1376" s="110"/>
      <c r="PIA1376" s="110"/>
      <c r="PIB1376" s="110"/>
      <c r="PIC1376" s="110"/>
      <c r="PID1376" s="110"/>
      <c r="PIE1376" s="110"/>
      <c r="PIF1376" s="110"/>
      <c r="PIG1376" s="110"/>
      <c r="PIH1376" s="110"/>
      <c r="PII1376" s="110"/>
      <c r="PIJ1376" s="110"/>
      <c r="PIK1376" s="110"/>
      <c r="PIL1376" s="110"/>
      <c r="PIM1376" s="110"/>
      <c r="PIN1376" s="110"/>
      <c r="PIO1376" s="110"/>
      <c r="PIP1376" s="110"/>
      <c r="PIQ1376" s="110"/>
      <c r="PIR1376" s="110"/>
      <c r="PIS1376" s="110"/>
      <c r="PIT1376" s="110"/>
      <c r="PIU1376" s="110"/>
      <c r="PIV1376" s="110"/>
      <c r="PIW1376" s="110"/>
      <c r="PIX1376" s="110"/>
      <c r="PIY1376" s="110"/>
      <c r="PIZ1376" s="110"/>
      <c r="PJA1376" s="110"/>
      <c r="PJB1376" s="110"/>
      <c r="PJC1376" s="110"/>
      <c r="PJD1376" s="110"/>
      <c r="PJE1376" s="110"/>
      <c r="PJF1376" s="110"/>
      <c r="PJG1376" s="110"/>
      <c r="PJH1376" s="110"/>
      <c r="PJI1376" s="110"/>
      <c r="PJJ1376" s="110"/>
      <c r="PJK1376" s="110"/>
      <c r="PJL1376" s="110"/>
      <c r="PJM1376" s="110"/>
      <c r="PJN1376" s="110"/>
      <c r="PJO1376" s="110"/>
      <c r="PJP1376" s="110"/>
      <c r="PJQ1376" s="110"/>
      <c r="PJR1376" s="110"/>
      <c r="PJS1376" s="110"/>
      <c r="PJT1376" s="110"/>
      <c r="PJU1376" s="110"/>
      <c r="PJV1376" s="110"/>
      <c r="PJW1376" s="110"/>
      <c r="PJX1376" s="110"/>
      <c r="PJY1376" s="110"/>
      <c r="PJZ1376" s="110"/>
      <c r="PKA1376" s="110"/>
      <c r="PKB1376" s="110"/>
      <c r="PKC1376" s="110"/>
      <c r="PKD1376" s="110"/>
      <c r="PKE1376" s="110"/>
      <c r="PKF1376" s="110"/>
      <c r="PKG1376" s="110"/>
      <c r="PKH1376" s="110"/>
      <c r="PKI1376" s="110"/>
      <c r="PKJ1376" s="110"/>
      <c r="PKK1376" s="110"/>
      <c r="PKL1376" s="110"/>
      <c r="PKM1376" s="110"/>
      <c r="PKN1376" s="110"/>
      <c r="PKO1376" s="110"/>
      <c r="PKP1376" s="110"/>
      <c r="PKQ1376" s="110"/>
      <c r="PKR1376" s="110"/>
      <c r="PKS1376" s="110"/>
      <c r="PKT1376" s="110"/>
      <c r="PKU1376" s="110"/>
      <c r="PKV1376" s="110"/>
      <c r="PKW1376" s="110"/>
      <c r="PKX1376" s="110"/>
      <c r="PKY1376" s="110"/>
      <c r="PKZ1376" s="110"/>
      <c r="PLA1376" s="110"/>
      <c r="PLB1376" s="110"/>
      <c r="PLC1376" s="110"/>
      <c r="PLD1376" s="110"/>
      <c r="PLE1376" s="110"/>
      <c r="PLF1376" s="110"/>
      <c r="PLG1376" s="110"/>
      <c r="PLH1376" s="110"/>
      <c r="PLI1376" s="110"/>
      <c r="PLJ1376" s="110"/>
      <c r="PLK1376" s="110"/>
      <c r="PLL1376" s="110"/>
      <c r="PLM1376" s="110"/>
      <c r="PLN1376" s="110"/>
      <c r="PLO1376" s="110"/>
      <c r="PLP1376" s="110"/>
      <c r="PLQ1376" s="110"/>
      <c r="PLR1376" s="110"/>
      <c r="PLS1376" s="110"/>
      <c r="PLT1376" s="110"/>
      <c r="PLU1376" s="110"/>
      <c r="PLV1376" s="110"/>
      <c r="PLW1376" s="110"/>
      <c r="PLX1376" s="110"/>
      <c r="PLY1376" s="110"/>
      <c r="PLZ1376" s="110"/>
      <c r="PMA1376" s="110"/>
      <c r="PMB1376" s="110"/>
      <c r="PMC1376" s="110"/>
      <c r="PMD1376" s="110"/>
      <c r="PME1376" s="110"/>
      <c r="PMF1376" s="110"/>
      <c r="PMG1376" s="110"/>
      <c r="PMH1376" s="110"/>
      <c r="PMI1376" s="110"/>
      <c r="PMJ1376" s="110"/>
      <c r="PMK1376" s="110"/>
      <c r="PML1376" s="110"/>
      <c r="PMM1376" s="110"/>
      <c r="PMN1376" s="110"/>
      <c r="PMO1376" s="110"/>
      <c r="PMP1376" s="110"/>
      <c r="PMQ1376" s="110"/>
      <c r="PMR1376" s="110"/>
      <c r="PMS1376" s="110"/>
      <c r="PMT1376" s="110"/>
      <c r="PMU1376" s="110"/>
      <c r="PMV1376" s="110"/>
      <c r="PMW1376" s="110"/>
      <c r="PMX1376" s="110"/>
      <c r="PMY1376" s="110"/>
      <c r="PMZ1376" s="110"/>
      <c r="PNA1376" s="110"/>
      <c r="PNB1376" s="110"/>
      <c r="PNC1376" s="110"/>
      <c r="PND1376" s="110"/>
      <c r="PNE1376" s="110"/>
      <c r="PNF1376" s="110"/>
      <c r="PNG1376" s="110"/>
      <c r="PNH1376" s="110"/>
      <c r="PNI1376" s="110"/>
      <c r="PNJ1376" s="110"/>
      <c r="PNK1376" s="110"/>
      <c r="PNL1376" s="110"/>
      <c r="PNM1376" s="110"/>
      <c r="PNN1376" s="110"/>
      <c r="PNO1376" s="110"/>
      <c r="PNP1376" s="110"/>
      <c r="PNQ1376" s="110"/>
      <c r="PNR1376" s="110"/>
      <c r="PNS1376" s="110"/>
      <c r="PNT1376" s="110"/>
      <c r="PNU1376" s="110"/>
      <c r="PNV1376" s="110"/>
      <c r="PNW1376" s="110"/>
      <c r="PNX1376" s="110"/>
      <c r="PNY1376" s="110"/>
      <c r="PNZ1376" s="110"/>
      <c r="POA1376" s="110"/>
      <c r="POB1376" s="110"/>
      <c r="POC1376" s="110"/>
      <c r="POD1376" s="110"/>
      <c r="POE1376" s="110"/>
      <c r="POF1376" s="110"/>
      <c r="POG1376" s="110"/>
      <c r="POH1376" s="110"/>
      <c r="POI1376" s="110"/>
      <c r="POJ1376" s="110"/>
      <c r="POK1376" s="110"/>
      <c r="POL1376" s="110"/>
      <c r="POM1376" s="110"/>
      <c r="PON1376" s="110"/>
      <c r="POO1376" s="110"/>
      <c r="POP1376" s="110"/>
      <c r="POQ1376" s="110"/>
      <c r="POR1376" s="110"/>
      <c r="POS1376" s="110"/>
      <c r="POT1376" s="110"/>
      <c r="POU1376" s="110"/>
      <c r="POV1376" s="110"/>
      <c r="POW1376" s="110"/>
      <c r="POX1376" s="110"/>
      <c r="POY1376" s="110"/>
      <c r="POZ1376" s="110"/>
      <c r="PPA1376" s="110"/>
      <c r="PPB1376" s="110"/>
      <c r="PPC1376" s="110"/>
      <c r="PPD1376" s="110"/>
      <c r="PPE1376" s="110"/>
      <c r="PPF1376" s="110"/>
      <c r="PPG1376" s="110"/>
      <c r="PPH1376" s="110"/>
      <c r="PPI1376" s="110"/>
      <c r="PPJ1376" s="110"/>
      <c r="PPK1376" s="110"/>
      <c r="PPL1376" s="110"/>
      <c r="PPM1376" s="110"/>
      <c r="PPN1376" s="110"/>
      <c r="PPO1376" s="110"/>
      <c r="PPP1376" s="110"/>
      <c r="PPQ1376" s="110"/>
      <c r="PPR1376" s="110"/>
      <c r="PPS1376" s="110"/>
      <c r="PPT1376" s="110"/>
      <c r="PPU1376" s="110"/>
      <c r="PPV1376" s="110"/>
      <c r="PPW1376" s="110"/>
      <c r="PPX1376" s="110"/>
      <c r="PPY1376" s="110"/>
      <c r="PPZ1376" s="110"/>
      <c r="PQA1376" s="110"/>
      <c r="PQB1376" s="110"/>
      <c r="PQC1376" s="110"/>
      <c r="PQD1376" s="110"/>
      <c r="PQE1376" s="110"/>
      <c r="PQF1376" s="110"/>
      <c r="PQG1376" s="110"/>
      <c r="PQH1376" s="110"/>
      <c r="PQI1376" s="110"/>
      <c r="PQJ1376" s="110"/>
      <c r="PQK1376" s="110"/>
      <c r="PQL1376" s="110"/>
      <c r="PQM1376" s="110"/>
      <c r="PQN1376" s="110"/>
      <c r="PQO1376" s="110"/>
      <c r="PQP1376" s="110"/>
      <c r="PQQ1376" s="110"/>
      <c r="PQR1376" s="110"/>
      <c r="PQS1376" s="110"/>
      <c r="PQT1376" s="110"/>
      <c r="PQU1376" s="110"/>
      <c r="PQV1376" s="110"/>
      <c r="PQW1376" s="110"/>
      <c r="PQX1376" s="110"/>
      <c r="PQY1376" s="110"/>
      <c r="PQZ1376" s="110"/>
      <c r="PRA1376" s="110"/>
      <c r="PRB1376" s="110"/>
      <c r="PRC1376" s="110"/>
      <c r="PRD1376" s="110"/>
      <c r="PRE1376" s="110"/>
      <c r="PRF1376" s="110"/>
      <c r="PRG1376" s="110"/>
      <c r="PRH1376" s="110"/>
      <c r="PRI1376" s="110"/>
      <c r="PRJ1376" s="110"/>
      <c r="PRK1376" s="110"/>
      <c r="PRL1376" s="110"/>
      <c r="PRM1376" s="110"/>
      <c r="PRN1376" s="110"/>
      <c r="PRO1376" s="110"/>
      <c r="PRP1376" s="110"/>
      <c r="PRQ1376" s="110"/>
      <c r="PRR1376" s="110"/>
      <c r="PRS1376" s="110"/>
      <c r="PRT1376" s="110"/>
      <c r="PRU1376" s="110"/>
      <c r="PRV1376" s="110"/>
      <c r="PRW1376" s="110"/>
      <c r="PRX1376" s="110"/>
      <c r="PRY1376" s="110"/>
      <c r="PRZ1376" s="110"/>
      <c r="PSA1376" s="110"/>
      <c r="PSB1376" s="110"/>
      <c r="PSC1376" s="110"/>
      <c r="PSD1376" s="110"/>
      <c r="PSE1376" s="110"/>
      <c r="PSF1376" s="110"/>
      <c r="PSG1376" s="110"/>
      <c r="PSH1376" s="110"/>
      <c r="PSI1376" s="110"/>
      <c r="PSJ1376" s="110"/>
      <c r="PSK1376" s="110"/>
      <c r="PSL1376" s="110"/>
      <c r="PSM1376" s="110"/>
      <c r="PSN1376" s="110"/>
      <c r="PSO1376" s="110"/>
      <c r="PSP1376" s="110"/>
      <c r="PSQ1376" s="110"/>
      <c r="PSR1376" s="110"/>
      <c r="PSS1376" s="110"/>
      <c r="PST1376" s="110"/>
      <c r="PSU1376" s="110"/>
      <c r="PSV1376" s="110"/>
      <c r="PSW1376" s="110"/>
      <c r="PSX1376" s="110"/>
      <c r="PSY1376" s="110"/>
      <c r="PSZ1376" s="110"/>
      <c r="PTA1376" s="110"/>
      <c r="PTB1376" s="110"/>
      <c r="PTC1376" s="110"/>
      <c r="PTD1376" s="110"/>
      <c r="PTE1376" s="110"/>
      <c r="PTF1376" s="110"/>
      <c r="PTG1376" s="110"/>
      <c r="PTH1376" s="110"/>
      <c r="PTI1376" s="110"/>
      <c r="PTJ1376" s="110"/>
      <c r="PTK1376" s="110"/>
      <c r="PTL1376" s="110"/>
      <c r="PTM1376" s="110"/>
      <c r="PTN1376" s="110"/>
      <c r="PTO1376" s="110"/>
      <c r="PTP1376" s="110"/>
      <c r="PTQ1376" s="110"/>
      <c r="PTR1376" s="110"/>
      <c r="PTS1376" s="110"/>
      <c r="PTT1376" s="110"/>
      <c r="PTU1376" s="110"/>
      <c r="PTV1376" s="110"/>
      <c r="PTW1376" s="110"/>
      <c r="PTX1376" s="110"/>
      <c r="PTY1376" s="110"/>
      <c r="PTZ1376" s="110"/>
      <c r="PUA1376" s="110"/>
      <c r="PUB1376" s="110"/>
      <c r="PUC1376" s="110"/>
      <c r="PUD1376" s="110"/>
      <c r="PUE1376" s="110"/>
      <c r="PUF1376" s="110"/>
      <c r="PUG1376" s="110"/>
      <c r="PUH1376" s="110"/>
      <c r="PUI1376" s="110"/>
      <c r="PUJ1376" s="110"/>
      <c r="PUK1376" s="110"/>
      <c r="PUL1376" s="110"/>
      <c r="PUM1376" s="110"/>
      <c r="PUN1376" s="110"/>
      <c r="PUO1376" s="110"/>
      <c r="PUP1376" s="110"/>
      <c r="PUQ1376" s="110"/>
      <c r="PUR1376" s="110"/>
      <c r="PUS1376" s="110"/>
      <c r="PUT1376" s="110"/>
      <c r="PUU1376" s="110"/>
      <c r="PUV1376" s="110"/>
      <c r="PUW1376" s="110"/>
      <c r="PUX1376" s="110"/>
      <c r="PUY1376" s="110"/>
      <c r="PUZ1376" s="110"/>
      <c r="PVA1376" s="110"/>
      <c r="PVB1376" s="110"/>
      <c r="PVC1376" s="110"/>
      <c r="PVD1376" s="110"/>
      <c r="PVE1376" s="110"/>
      <c r="PVF1376" s="110"/>
      <c r="PVG1376" s="110"/>
      <c r="PVH1376" s="110"/>
      <c r="PVI1376" s="110"/>
      <c r="PVJ1376" s="110"/>
      <c r="PVK1376" s="110"/>
      <c r="PVL1376" s="110"/>
      <c r="PVM1376" s="110"/>
      <c r="PVN1376" s="110"/>
      <c r="PVO1376" s="110"/>
      <c r="PVP1376" s="110"/>
      <c r="PVQ1376" s="110"/>
      <c r="PVR1376" s="110"/>
      <c r="PVS1376" s="110"/>
      <c r="PVT1376" s="110"/>
      <c r="PVU1376" s="110"/>
      <c r="PVV1376" s="110"/>
      <c r="PVW1376" s="110"/>
      <c r="PVX1376" s="110"/>
      <c r="PVY1376" s="110"/>
      <c r="PVZ1376" s="110"/>
      <c r="PWA1376" s="110"/>
      <c r="PWB1376" s="110"/>
      <c r="PWC1376" s="110"/>
      <c r="PWD1376" s="110"/>
      <c r="PWE1376" s="110"/>
      <c r="PWF1376" s="110"/>
      <c r="PWG1376" s="110"/>
      <c r="PWH1376" s="110"/>
      <c r="PWI1376" s="110"/>
      <c r="PWJ1376" s="110"/>
      <c r="PWK1376" s="110"/>
      <c r="PWL1376" s="110"/>
      <c r="PWM1376" s="110"/>
      <c r="PWN1376" s="110"/>
      <c r="PWO1376" s="110"/>
      <c r="PWP1376" s="110"/>
      <c r="PWQ1376" s="110"/>
      <c r="PWR1376" s="110"/>
      <c r="PWS1376" s="110"/>
      <c r="PWT1376" s="110"/>
      <c r="PWU1376" s="110"/>
      <c r="PWV1376" s="110"/>
      <c r="PWW1376" s="110"/>
      <c r="PWX1376" s="110"/>
      <c r="PWY1376" s="110"/>
      <c r="PWZ1376" s="110"/>
      <c r="PXA1376" s="110"/>
      <c r="PXB1376" s="110"/>
      <c r="PXC1376" s="110"/>
      <c r="PXD1376" s="110"/>
      <c r="PXE1376" s="110"/>
      <c r="PXF1376" s="110"/>
      <c r="PXG1376" s="110"/>
      <c r="PXH1376" s="110"/>
      <c r="PXI1376" s="110"/>
      <c r="PXJ1376" s="110"/>
      <c r="PXK1376" s="110"/>
      <c r="PXL1376" s="110"/>
      <c r="PXM1376" s="110"/>
      <c r="PXN1376" s="110"/>
      <c r="PXO1376" s="110"/>
      <c r="PXP1376" s="110"/>
      <c r="PXQ1376" s="110"/>
      <c r="PXR1376" s="110"/>
      <c r="PXS1376" s="110"/>
      <c r="PXT1376" s="110"/>
      <c r="PXU1376" s="110"/>
      <c r="PXV1376" s="110"/>
      <c r="PXW1376" s="110"/>
      <c r="PXX1376" s="110"/>
      <c r="PXY1376" s="110"/>
      <c r="PXZ1376" s="110"/>
      <c r="PYA1376" s="110"/>
      <c r="PYB1376" s="110"/>
      <c r="PYC1376" s="110"/>
      <c r="PYD1376" s="110"/>
      <c r="PYE1376" s="110"/>
      <c r="PYF1376" s="110"/>
      <c r="PYG1376" s="110"/>
      <c r="PYH1376" s="110"/>
      <c r="PYI1376" s="110"/>
      <c r="PYJ1376" s="110"/>
      <c r="PYK1376" s="110"/>
      <c r="PYL1376" s="110"/>
      <c r="PYM1376" s="110"/>
      <c r="PYN1376" s="110"/>
      <c r="PYO1376" s="110"/>
      <c r="PYP1376" s="110"/>
      <c r="PYQ1376" s="110"/>
      <c r="PYR1376" s="110"/>
      <c r="PYS1376" s="110"/>
      <c r="PYT1376" s="110"/>
      <c r="PYU1376" s="110"/>
      <c r="PYV1376" s="110"/>
      <c r="PYW1376" s="110"/>
      <c r="PYX1376" s="110"/>
      <c r="PYY1376" s="110"/>
      <c r="PYZ1376" s="110"/>
      <c r="PZA1376" s="110"/>
      <c r="PZB1376" s="110"/>
      <c r="PZC1376" s="110"/>
      <c r="PZD1376" s="110"/>
      <c r="PZE1376" s="110"/>
      <c r="PZF1376" s="110"/>
      <c r="PZG1376" s="110"/>
      <c r="PZH1376" s="110"/>
      <c r="PZI1376" s="110"/>
      <c r="PZJ1376" s="110"/>
      <c r="PZK1376" s="110"/>
      <c r="PZL1376" s="110"/>
      <c r="PZM1376" s="110"/>
      <c r="PZN1376" s="110"/>
      <c r="PZO1376" s="110"/>
      <c r="PZP1376" s="110"/>
      <c r="PZQ1376" s="110"/>
      <c r="PZR1376" s="110"/>
      <c r="PZS1376" s="110"/>
      <c r="PZT1376" s="110"/>
      <c r="PZU1376" s="110"/>
      <c r="PZV1376" s="110"/>
      <c r="PZW1376" s="110"/>
      <c r="PZX1376" s="110"/>
      <c r="PZY1376" s="110"/>
      <c r="PZZ1376" s="110"/>
      <c r="QAA1376" s="110"/>
      <c r="QAB1376" s="110"/>
      <c r="QAC1376" s="110"/>
      <c r="QAD1376" s="110"/>
      <c r="QAE1376" s="110"/>
      <c r="QAF1376" s="110"/>
      <c r="QAG1376" s="110"/>
      <c r="QAH1376" s="110"/>
      <c r="QAI1376" s="110"/>
      <c r="QAJ1376" s="110"/>
      <c r="QAK1376" s="110"/>
      <c r="QAL1376" s="110"/>
      <c r="QAM1376" s="110"/>
      <c r="QAN1376" s="110"/>
      <c r="QAO1376" s="110"/>
      <c r="QAP1376" s="110"/>
      <c r="QAQ1376" s="110"/>
      <c r="QAR1376" s="110"/>
      <c r="QAS1376" s="110"/>
      <c r="QAT1376" s="110"/>
      <c r="QAU1376" s="110"/>
      <c r="QAV1376" s="110"/>
      <c r="QAW1376" s="110"/>
      <c r="QAX1376" s="110"/>
      <c r="QAY1376" s="110"/>
      <c r="QAZ1376" s="110"/>
      <c r="QBA1376" s="110"/>
      <c r="QBB1376" s="110"/>
      <c r="QBC1376" s="110"/>
      <c r="QBD1376" s="110"/>
      <c r="QBE1376" s="110"/>
      <c r="QBF1376" s="110"/>
      <c r="QBG1376" s="110"/>
      <c r="QBH1376" s="110"/>
      <c r="QBI1376" s="110"/>
      <c r="QBJ1376" s="110"/>
      <c r="QBK1376" s="110"/>
      <c r="QBL1376" s="110"/>
      <c r="QBM1376" s="110"/>
      <c r="QBN1376" s="110"/>
      <c r="QBO1376" s="110"/>
      <c r="QBP1376" s="110"/>
      <c r="QBQ1376" s="110"/>
      <c r="QBR1376" s="110"/>
      <c r="QBS1376" s="110"/>
      <c r="QBT1376" s="110"/>
      <c r="QBU1376" s="110"/>
      <c r="QBV1376" s="110"/>
      <c r="QBW1376" s="110"/>
      <c r="QBX1376" s="110"/>
      <c r="QBY1376" s="110"/>
      <c r="QBZ1376" s="110"/>
      <c r="QCA1376" s="110"/>
      <c r="QCB1376" s="110"/>
      <c r="QCC1376" s="110"/>
      <c r="QCD1376" s="110"/>
      <c r="QCE1376" s="110"/>
      <c r="QCF1376" s="110"/>
      <c r="QCG1376" s="110"/>
      <c r="QCH1376" s="110"/>
      <c r="QCI1376" s="110"/>
      <c r="QCJ1376" s="110"/>
      <c r="QCK1376" s="110"/>
      <c r="QCL1376" s="110"/>
      <c r="QCM1376" s="110"/>
      <c r="QCN1376" s="110"/>
      <c r="QCO1376" s="110"/>
      <c r="QCP1376" s="110"/>
      <c r="QCQ1376" s="110"/>
      <c r="QCR1376" s="110"/>
      <c r="QCS1376" s="110"/>
      <c r="QCT1376" s="110"/>
      <c r="QCU1376" s="110"/>
      <c r="QCV1376" s="110"/>
      <c r="QCW1376" s="110"/>
      <c r="QCX1376" s="110"/>
      <c r="QCY1376" s="110"/>
      <c r="QCZ1376" s="110"/>
      <c r="QDA1376" s="110"/>
      <c r="QDB1376" s="110"/>
      <c r="QDC1376" s="110"/>
      <c r="QDD1376" s="110"/>
      <c r="QDE1376" s="110"/>
      <c r="QDF1376" s="110"/>
      <c r="QDG1376" s="110"/>
      <c r="QDH1376" s="110"/>
      <c r="QDI1376" s="110"/>
      <c r="QDJ1376" s="110"/>
      <c r="QDK1376" s="110"/>
      <c r="QDL1376" s="110"/>
      <c r="QDM1376" s="110"/>
      <c r="QDN1376" s="110"/>
      <c r="QDO1376" s="110"/>
      <c r="QDP1376" s="110"/>
      <c r="QDQ1376" s="110"/>
      <c r="QDR1376" s="110"/>
      <c r="QDS1376" s="110"/>
      <c r="QDT1376" s="110"/>
      <c r="QDU1376" s="110"/>
      <c r="QDV1376" s="110"/>
      <c r="QDW1376" s="110"/>
      <c r="QDX1376" s="110"/>
      <c r="QDY1376" s="110"/>
      <c r="QDZ1376" s="110"/>
      <c r="QEA1376" s="110"/>
      <c r="QEB1376" s="110"/>
      <c r="QEC1376" s="110"/>
      <c r="QED1376" s="110"/>
      <c r="QEE1376" s="110"/>
      <c r="QEF1376" s="110"/>
      <c r="QEG1376" s="110"/>
      <c r="QEH1376" s="110"/>
      <c r="QEI1376" s="110"/>
      <c r="QEJ1376" s="110"/>
      <c r="QEK1376" s="110"/>
      <c r="QEL1376" s="110"/>
      <c r="QEM1376" s="110"/>
      <c r="QEN1376" s="110"/>
      <c r="QEO1376" s="110"/>
      <c r="QEP1376" s="110"/>
      <c r="QEQ1376" s="110"/>
      <c r="QER1376" s="110"/>
      <c r="QES1376" s="110"/>
      <c r="QET1376" s="110"/>
      <c r="QEU1376" s="110"/>
      <c r="QEV1376" s="110"/>
      <c r="QEW1376" s="110"/>
      <c r="QEX1376" s="110"/>
      <c r="QEY1376" s="110"/>
      <c r="QEZ1376" s="110"/>
      <c r="QFA1376" s="110"/>
      <c r="QFB1376" s="110"/>
      <c r="QFC1376" s="110"/>
      <c r="QFD1376" s="110"/>
      <c r="QFE1376" s="110"/>
      <c r="QFF1376" s="110"/>
      <c r="QFG1376" s="110"/>
      <c r="QFH1376" s="110"/>
      <c r="QFI1376" s="110"/>
      <c r="QFJ1376" s="110"/>
      <c r="QFK1376" s="110"/>
      <c r="QFL1376" s="110"/>
      <c r="QFM1376" s="110"/>
      <c r="QFN1376" s="110"/>
      <c r="QFO1376" s="110"/>
      <c r="QFP1376" s="110"/>
      <c r="QFQ1376" s="110"/>
      <c r="QFR1376" s="110"/>
      <c r="QFS1376" s="110"/>
      <c r="QFT1376" s="110"/>
      <c r="QFU1376" s="110"/>
      <c r="QFV1376" s="110"/>
      <c r="QFW1376" s="110"/>
      <c r="QFX1376" s="110"/>
      <c r="QFY1376" s="110"/>
      <c r="QFZ1376" s="110"/>
      <c r="QGA1376" s="110"/>
      <c r="QGB1376" s="110"/>
      <c r="QGC1376" s="110"/>
      <c r="QGD1376" s="110"/>
      <c r="QGE1376" s="110"/>
      <c r="QGF1376" s="110"/>
      <c r="QGG1376" s="110"/>
      <c r="QGH1376" s="110"/>
      <c r="QGI1376" s="110"/>
      <c r="QGJ1376" s="110"/>
      <c r="QGK1376" s="110"/>
      <c r="QGL1376" s="110"/>
      <c r="QGM1376" s="110"/>
      <c r="QGN1376" s="110"/>
      <c r="QGO1376" s="110"/>
      <c r="QGP1376" s="110"/>
      <c r="QGQ1376" s="110"/>
      <c r="QGR1376" s="110"/>
      <c r="QGS1376" s="110"/>
      <c r="QGT1376" s="110"/>
      <c r="QGU1376" s="110"/>
      <c r="QGV1376" s="110"/>
      <c r="QGW1376" s="110"/>
      <c r="QGX1376" s="110"/>
      <c r="QGY1376" s="110"/>
      <c r="QGZ1376" s="110"/>
      <c r="QHA1376" s="110"/>
      <c r="QHB1376" s="110"/>
      <c r="QHC1376" s="110"/>
      <c r="QHD1376" s="110"/>
      <c r="QHE1376" s="110"/>
      <c r="QHF1376" s="110"/>
      <c r="QHG1376" s="110"/>
      <c r="QHH1376" s="110"/>
      <c r="QHI1376" s="110"/>
      <c r="QHJ1376" s="110"/>
      <c r="QHK1376" s="110"/>
      <c r="QHL1376" s="110"/>
      <c r="QHM1376" s="110"/>
      <c r="QHN1376" s="110"/>
      <c r="QHO1376" s="110"/>
      <c r="QHP1376" s="110"/>
      <c r="QHQ1376" s="110"/>
      <c r="QHR1376" s="110"/>
      <c r="QHS1376" s="110"/>
      <c r="QHT1376" s="110"/>
      <c r="QHU1376" s="110"/>
      <c r="QHV1376" s="110"/>
      <c r="QHW1376" s="110"/>
      <c r="QHX1376" s="110"/>
      <c r="QHY1376" s="110"/>
      <c r="QHZ1376" s="110"/>
      <c r="QIA1376" s="110"/>
      <c r="QIB1376" s="110"/>
      <c r="QIC1376" s="110"/>
      <c r="QID1376" s="110"/>
      <c r="QIE1376" s="110"/>
      <c r="QIF1376" s="110"/>
      <c r="QIG1376" s="110"/>
      <c r="QIH1376" s="110"/>
      <c r="QII1376" s="110"/>
      <c r="QIJ1376" s="110"/>
      <c r="QIK1376" s="110"/>
      <c r="QIL1376" s="110"/>
      <c r="QIM1376" s="110"/>
      <c r="QIN1376" s="110"/>
      <c r="QIO1376" s="110"/>
      <c r="QIP1376" s="110"/>
      <c r="QIQ1376" s="110"/>
      <c r="QIR1376" s="110"/>
      <c r="QIS1376" s="110"/>
      <c r="QIT1376" s="110"/>
      <c r="QIU1376" s="110"/>
      <c r="QIV1376" s="110"/>
      <c r="QIW1376" s="110"/>
      <c r="QIX1376" s="110"/>
      <c r="QIY1376" s="110"/>
      <c r="QIZ1376" s="110"/>
      <c r="QJA1376" s="110"/>
      <c r="QJB1376" s="110"/>
      <c r="QJC1376" s="110"/>
      <c r="QJD1376" s="110"/>
      <c r="QJE1376" s="110"/>
      <c r="QJF1376" s="110"/>
      <c r="QJG1376" s="110"/>
      <c r="QJH1376" s="110"/>
      <c r="QJI1376" s="110"/>
      <c r="QJJ1376" s="110"/>
      <c r="QJK1376" s="110"/>
      <c r="QJL1376" s="110"/>
      <c r="QJM1376" s="110"/>
      <c r="QJN1376" s="110"/>
      <c r="QJO1376" s="110"/>
      <c r="QJP1376" s="110"/>
      <c r="QJQ1376" s="110"/>
      <c r="QJR1376" s="110"/>
      <c r="QJS1376" s="110"/>
      <c r="QJT1376" s="110"/>
      <c r="QJU1376" s="110"/>
      <c r="QJV1376" s="110"/>
      <c r="QJW1376" s="110"/>
      <c r="QJX1376" s="110"/>
      <c r="QJY1376" s="110"/>
      <c r="QJZ1376" s="110"/>
      <c r="QKA1376" s="110"/>
      <c r="QKB1376" s="110"/>
      <c r="QKC1376" s="110"/>
      <c r="QKD1376" s="110"/>
      <c r="QKE1376" s="110"/>
      <c r="QKF1376" s="110"/>
      <c r="QKG1376" s="110"/>
      <c r="QKH1376" s="110"/>
      <c r="QKI1376" s="110"/>
      <c r="QKJ1376" s="110"/>
      <c r="QKK1376" s="110"/>
      <c r="QKL1376" s="110"/>
      <c r="QKM1376" s="110"/>
      <c r="QKN1376" s="110"/>
      <c r="QKO1376" s="110"/>
      <c r="QKP1376" s="110"/>
      <c r="QKQ1376" s="110"/>
      <c r="QKR1376" s="110"/>
      <c r="QKS1376" s="110"/>
      <c r="QKT1376" s="110"/>
      <c r="QKU1376" s="110"/>
      <c r="QKV1376" s="110"/>
      <c r="QKW1376" s="110"/>
      <c r="QKX1376" s="110"/>
      <c r="QKY1376" s="110"/>
      <c r="QKZ1376" s="110"/>
      <c r="QLA1376" s="110"/>
      <c r="QLB1376" s="110"/>
      <c r="QLC1376" s="110"/>
      <c r="QLD1376" s="110"/>
      <c r="QLE1376" s="110"/>
      <c r="QLF1376" s="110"/>
      <c r="QLG1376" s="110"/>
      <c r="QLH1376" s="110"/>
      <c r="QLI1376" s="110"/>
      <c r="QLJ1376" s="110"/>
      <c r="QLK1376" s="110"/>
      <c r="QLL1376" s="110"/>
      <c r="QLM1376" s="110"/>
      <c r="QLN1376" s="110"/>
      <c r="QLO1376" s="110"/>
      <c r="QLP1376" s="110"/>
      <c r="QLQ1376" s="110"/>
      <c r="QLR1376" s="110"/>
      <c r="QLS1376" s="110"/>
      <c r="QLT1376" s="110"/>
      <c r="QLU1376" s="110"/>
      <c r="QLV1376" s="110"/>
      <c r="QLW1376" s="110"/>
      <c r="QLX1376" s="110"/>
      <c r="QLY1376" s="110"/>
      <c r="QLZ1376" s="110"/>
      <c r="QMA1376" s="110"/>
      <c r="QMB1376" s="110"/>
      <c r="QMC1376" s="110"/>
      <c r="QMD1376" s="110"/>
      <c r="QME1376" s="110"/>
      <c r="QMF1376" s="110"/>
      <c r="QMG1376" s="110"/>
      <c r="QMH1376" s="110"/>
      <c r="QMI1376" s="110"/>
      <c r="QMJ1376" s="110"/>
      <c r="QMK1376" s="110"/>
      <c r="QML1376" s="110"/>
      <c r="QMM1376" s="110"/>
      <c r="QMN1376" s="110"/>
      <c r="QMO1376" s="110"/>
      <c r="QMP1376" s="110"/>
      <c r="QMQ1376" s="110"/>
      <c r="QMR1376" s="110"/>
      <c r="QMS1376" s="110"/>
      <c r="QMT1376" s="110"/>
      <c r="QMU1376" s="110"/>
      <c r="QMV1376" s="110"/>
      <c r="QMW1376" s="110"/>
      <c r="QMX1376" s="110"/>
      <c r="QMY1376" s="110"/>
      <c r="QMZ1376" s="110"/>
      <c r="QNA1376" s="110"/>
      <c r="QNB1376" s="110"/>
      <c r="QNC1376" s="110"/>
      <c r="QND1376" s="110"/>
      <c r="QNE1376" s="110"/>
      <c r="QNF1376" s="110"/>
      <c r="QNG1376" s="110"/>
      <c r="QNH1376" s="110"/>
      <c r="QNI1376" s="110"/>
      <c r="QNJ1376" s="110"/>
      <c r="QNK1376" s="110"/>
      <c r="QNL1376" s="110"/>
      <c r="QNM1376" s="110"/>
      <c r="QNN1376" s="110"/>
      <c r="QNO1376" s="110"/>
      <c r="QNP1376" s="110"/>
      <c r="QNQ1376" s="110"/>
      <c r="QNR1376" s="110"/>
      <c r="QNS1376" s="110"/>
      <c r="QNT1376" s="110"/>
      <c r="QNU1376" s="110"/>
      <c r="QNV1376" s="110"/>
      <c r="QNW1376" s="110"/>
      <c r="QNX1376" s="110"/>
      <c r="QNY1376" s="110"/>
      <c r="QNZ1376" s="110"/>
      <c r="QOA1376" s="110"/>
      <c r="QOB1376" s="110"/>
      <c r="QOC1376" s="110"/>
      <c r="QOD1376" s="110"/>
      <c r="QOE1376" s="110"/>
      <c r="QOF1376" s="110"/>
      <c r="QOG1376" s="110"/>
      <c r="QOH1376" s="110"/>
      <c r="QOI1376" s="110"/>
      <c r="QOJ1376" s="110"/>
      <c r="QOK1376" s="110"/>
      <c r="QOL1376" s="110"/>
      <c r="QOM1376" s="110"/>
      <c r="QON1376" s="110"/>
      <c r="QOO1376" s="110"/>
      <c r="QOP1376" s="110"/>
      <c r="QOQ1376" s="110"/>
      <c r="QOR1376" s="110"/>
      <c r="QOS1376" s="110"/>
      <c r="QOT1376" s="110"/>
      <c r="QOU1376" s="110"/>
      <c r="QOV1376" s="110"/>
      <c r="QOW1376" s="110"/>
      <c r="QOX1376" s="110"/>
      <c r="QOY1376" s="110"/>
      <c r="QOZ1376" s="110"/>
      <c r="QPA1376" s="110"/>
      <c r="QPB1376" s="110"/>
      <c r="QPC1376" s="110"/>
      <c r="QPD1376" s="110"/>
      <c r="QPE1376" s="110"/>
      <c r="QPF1376" s="110"/>
      <c r="QPG1376" s="110"/>
      <c r="QPH1376" s="110"/>
      <c r="QPI1376" s="110"/>
      <c r="QPJ1376" s="110"/>
      <c r="QPK1376" s="110"/>
      <c r="QPL1376" s="110"/>
      <c r="QPM1376" s="110"/>
      <c r="QPN1376" s="110"/>
      <c r="QPO1376" s="110"/>
      <c r="QPP1376" s="110"/>
      <c r="QPQ1376" s="110"/>
      <c r="QPR1376" s="110"/>
      <c r="QPS1376" s="110"/>
      <c r="QPT1376" s="110"/>
      <c r="QPU1376" s="110"/>
      <c r="QPV1376" s="110"/>
      <c r="QPW1376" s="110"/>
      <c r="QPX1376" s="110"/>
      <c r="QPY1376" s="110"/>
      <c r="QPZ1376" s="110"/>
      <c r="QQA1376" s="110"/>
      <c r="QQB1376" s="110"/>
      <c r="QQC1376" s="110"/>
      <c r="QQD1376" s="110"/>
      <c r="QQE1376" s="110"/>
      <c r="QQF1376" s="110"/>
      <c r="QQG1376" s="110"/>
      <c r="QQH1376" s="110"/>
      <c r="QQI1376" s="110"/>
      <c r="QQJ1376" s="110"/>
      <c r="QQK1376" s="110"/>
      <c r="QQL1376" s="110"/>
      <c r="QQM1376" s="110"/>
      <c r="QQN1376" s="110"/>
      <c r="QQO1376" s="110"/>
      <c r="QQP1376" s="110"/>
      <c r="QQQ1376" s="110"/>
      <c r="QQR1376" s="110"/>
      <c r="QQS1376" s="110"/>
      <c r="QQT1376" s="110"/>
      <c r="QQU1376" s="110"/>
      <c r="QQV1376" s="110"/>
      <c r="QQW1376" s="110"/>
      <c r="QQX1376" s="110"/>
      <c r="QQY1376" s="110"/>
      <c r="QQZ1376" s="110"/>
      <c r="QRA1376" s="110"/>
      <c r="QRB1376" s="110"/>
      <c r="QRC1376" s="110"/>
      <c r="QRD1376" s="110"/>
      <c r="QRE1376" s="110"/>
      <c r="QRF1376" s="110"/>
      <c r="QRG1376" s="110"/>
      <c r="QRH1376" s="110"/>
      <c r="QRI1376" s="110"/>
      <c r="QRJ1376" s="110"/>
      <c r="QRK1376" s="110"/>
      <c r="QRL1376" s="110"/>
      <c r="QRM1376" s="110"/>
      <c r="QRN1376" s="110"/>
      <c r="QRO1376" s="110"/>
      <c r="QRP1376" s="110"/>
      <c r="QRQ1376" s="110"/>
      <c r="QRR1376" s="110"/>
      <c r="QRS1376" s="110"/>
      <c r="QRT1376" s="110"/>
      <c r="QRU1376" s="110"/>
      <c r="QRV1376" s="110"/>
      <c r="QRW1376" s="110"/>
      <c r="QRX1376" s="110"/>
      <c r="QRY1376" s="110"/>
      <c r="QRZ1376" s="110"/>
      <c r="QSA1376" s="110"/>
      <c r="QSB1376" s="110"/>
      <c r="QSC1376" s="110"/>
      <c r="QSD1376" s="110"/>
      <c r="QSE1376" s="110"/>
      <c r="QSF1376" s="110"/>
      <c r="QSG1376" s="110"/>
      <c r="QSH1376" s="110"/>
      <c r="QSI1376" s="110"/>
      <c r="QSJ1376" s="110"/>
      <c r="QSK1376" s="110"/>
      <c r="QSL1376" s="110"/>
      <c r="QSM1376" s="110"/>
      <c r="QSN1376" s="110"/>
      <c r="QSO1376" s="110"/>
      <c r="QSP1376" s="110"/>
      <c r="QSQ1376" s="110"/>
      <c r="QSR1376" s="110"/>
      <c r="QSS1376" s="110"/>
      <c r="QST1376" s="110"/>
      <c r="QSU1376" s="110"/>
      <c r="QSV1376" s="110"/>
      <c r="QSW1376" s="110"/>
      <c r="QSX1376" s="110"/>
      <c r="QSY1376" s="110"/>
      <c r="QSZ1376" s="110"/>
      <c r="QTA1376" s="110"/>
      <c r="QTB1376" s="110"/>
      <c r="QTC1376" s="110"/>
      <c r="QTD1376" s="110"/>
      <c r="QTE1376" s="110"/>
      <c r="QTF1376" s="110"/>
      <c r="QTG1376" s="110"/>
      <c r="QTH1376" s="110"/>
      <c r="QTI1376" s="110"/>
      <c r="QTJ1376" s="110"/>
      <c r="QTK1376" s="110"/>
      <c r="QTL1376" s="110"/>
      <c r="QTM1376" s="110"/>
      <c r="QTN1376" s="110"/>
      <c r="QTO1376" s="110"/>
      <c r="QTP1376" s="110"/>
      <c r="QTQ1376" s="110"/>
      <c r="QTR1376" s="110"/>
      <c r="QTS1376" s="110"/>
      <c r="QTT1376" s="110"/>
      <c r="QTU1376" s="110"/>
      <c r="QTV1376" s="110"/>
      <c r="QTW1376" s="110"/>
      <c r="QTX1376" s="110"/>
      <c r="QTY1376" s="110"/>
      <c r="QTZ1376" s="110"/>
      <c r="QUA1376" s="110"/>
      <c r="QUB1376" s="110"/>
      <c r="QUC1376" s="110"/>
      <c r="QUD1376" s="110"/>
      <c r="QUE1376" s="110"/>
      <c r="QUF1376" s="110"/>
      <c r="QUG1376" s="110"/>
      <c r="QUH1376" s="110"/>
      <c r="QUI1376" s="110"/>
      <c r="QUJ1376" s="110"/>
      <c r="QUK1376" s="110"/>
      <c r="QUL1376" s="110"/>
      <c r="QUM1376" s="110"/>
      <c r="QUN1376" s="110"/>
      <c r="QUO1376" s="110"/>
      <c r="QUP1376" s="110"/>
      <c r="QUQ1376" s="110"/>
      <c r="QUR1376" s="110"/>
      <c r="QUS1376" s="110"/>
      <c r="QUT1376" s="110"/>
      <c r="QUU1376" s="110"/>
      <c r="QUV1376" s="110"/>
      <c r="QUW1376" s="110"/>
      <c r="QUX1376" s="110"/>
      <c r="QUY1376" s="110"/>
      <c r="QUZ1376" s="110"/>
      <c r="QVA1376" s="110"/>
      <c r="QVB1376" s="110"/>
      <c r="QVC1376" s="110"/>
      <c r="QVD1376" s="110"/>
      <c r="QVE1376" s="110"/>
      <c r="QVF1376" s="110"/>
      <c r="QVG1376" s="110"/>
      <c r="QVH1376" s="110"/>
      <c r="QVI1376" s="110"/>
      <c r="QVJ1376" s="110"/>
      <c r="QVK1376" s="110"/>
      <c r="QVL1376" s="110"/>
      <c r="QVM1376" s="110"/>
      <c r="QVN1376" s="110"/>
      <c r="QVO1376" s="110"/>
      <c r="QVP1376" s="110"/>
      <c r="QVQ1376" s="110"/>
      <c r="QVR1376" s="110"/>
      <c r="QVS1376" s="110"/>
      <c r="QVT1376" s="110"/>
      <c r="QVU1376" s="110"/>
      <c r="QVV1376" s="110"/>
      <c r="QVW1376" s="110"/>
      <c r="QVX1376" s="110"/>
      <c r="QVY1376" s="110"/>
      <c r="QVZ1376" s="110"/>
      <c r="QWA1376" s="110"/>
      <c r="QWB1376" s="110"/>
      <c r="QWC1376" s="110"/>
      <c r="QWD1376" s="110"/>
      <c r="QWE1376" s="110"/>
      <c r="QWF1376" s="110"/>
      <c r="QWG1376" s="110"/>
      <c r="QWH1376" s="110"/>
      <c r="QWI1376" s="110"/>
      <c r="QWJ1376" s="110"/>
      <c r="QWK1376" s="110"/>
      <c r="QWL1376" s="110"/>
      <c r="QWM1376" s="110"/>
      <c r="QWN1376" s="110"/>
      <c r="QWO1376" s="110"/>
      <c r="QWP1376" s="110"/>
      <c r="QWQ1376" s="110"/>
      <c r="QWR1376" s="110"/>
      <c r="QWS1376" s="110"/>
      <c r="QWT1376" s="110"/>
      <c r="QWU1376" s="110"/>
      <c r="QWV1376" s="110"/>
      <c r="QWW1376" s="110"/>
      <c r="QWX1376" s="110"/>
      <c r="QWY1376" s="110"/>
      <c r="QWZ1376" s="110"/>
      <c r="QXA1376" s="110"/>
      <c r="QXB1376" s="110"/>
      <c r="QXC1376" s="110"/>
      <c r="QXD1376" s="110"/>
      <c r="QXE1376" s="110"/>
      <c r="QXF1376" s="110"/>
      <c r="QXG1376" s="110"/>
      <c r="QXH1376" s="110"/>
      <c r="QXI1376" s="110"/>
      <c r="QXJ1376" s="110"/>
      <c r="QXK1376" s="110"/>
      <c r="QXL1376" s="110"/>
      <c r="QXM1376" s="110"/>
      <c r="QXN1376" s="110"/>
      <c r="QXO1376" s="110"/>
      <c r="QXP1376" s="110"/>
      <c r="QXQ1376" s="110"/>
      <c r="QXR1376" s="110"/>
      <c r="QXS1376" s="110"/>
      <c r="QXT1376" s="110"/>
      <c r="QXU1376" s="110"/>
      <c r="QXV1376" s="110"/>
      <c r="QXW1376" s="110"/>
      <c r="QXX1376" s="110"/>
      <c r="QXY1376" s="110"/>
      <c r="QXZ1376" s="110"/>
      <c r="QYA1376" s="110"/>
      <c r="QYB1376" s="110"/>
      <c r="QYC1376" s="110"/>
      <c r="QYD1376" s="110"/>
      <c r="QYE1376" s="110"/>
      <c r="QYF1376" s="110"/>
      <c r="QYG1376" s="110"/>
      <c r="QYH1376" s="110"/>
      <c r="QYI1376" s="110"/>
      <c r="QYJ1376" s="110"/>
      <c r="QYK1376" s="110"/>
      <c r="QYL1376" s="110"/>
      <c r="QYM1376" s="110"/>
      <c r="QYN1376" s="110"/>
      <c r="QYO1376" s="110"/>
      <c r="QYP1376" s="110"/>
      <c r="QYQ1376" s="110"/>
      <c r="QYR1376" s="110"/>
      <c r="QYS1376" s="110"/>
      <c r="QYT1376" s="110"/>
      <c r="QYU1376" s="110"/>
      <c r="QYV1376" s="110"/>
      <c r="QYW1376" s="110"/>
      <c r="QYX1376" s="110"/>
      <c r="QYY1376" s="110"/>
      <c r="QYZ1376" s="110"/>
      <c r="QZA1376" s="110"/>
      <c r="QZB1376" s="110"/>
      <c r="QZC1376" s="110"/>
      <c r="QZD1376" s="110"/>
      <c r="QZE1376" s="110"/>
      <c r="QZF1376" s="110"/>
      <c r="QZG1376" s="110"/>
      <c r="QZH1376" s="110"/>
      <c r="QZI1376" s="110"/>
      <c r="QZJ1376" s="110"/>
      <c r="QZK1376" s="110"/>
      <c r="QZL1376" s="110"/>
      <c r="QZM1376" s="110"/>
      <c r="QZN1376" s="110"/>
      <c r="QZO1376" s="110"/>
      <c r="QZP1376" s="110"/>
      <c r="QZQ1376" s="110"/>
      <c r="QZR1376" s="110"/>
      <c r="QZS1376" s="110"/>
      <c r="QZT1376" s="110"/>
      <c r="QZU1376" s="110"/>
      <c r="QZV1376" s="110"/>
      <c r="QZW1376" s="110"/>
      <c r="QZX1376" s="110"/>
      <c r="QZY1376" s="110"/>
      <c r="QZZ1376" s="110"/>
      <c r="RAA1376" s="110"/>
      <c r="RAB1376" s="110"/>
      <c r="RAC1376" s="110"/>
      <c r="RAD1376" s="110"/>
      <c r="RAE1376" s="110"/>
      <c r="RAF1376" s="110"/>
      <c r="RAG1376" s="110"/>
      <c r="RAH1376" s="110"/>
      <c r="RAI1376" s="110"/>
      <c r="RAJ1376" s="110"/>
      <c r="RAK1376" s="110"/>
      <c r="RAL1376" s="110"/>
      <c r="RAM1376" s="110"/>
      <c r="RAN1376" s="110"/>
      <c r="RAO1376" s="110"/>
      <c r="RAP1376" s="110"/>
      <c r="RAQ1376" s="110"/>
      <c r="RAR1376" s="110"/>
      <c r="RAS1376" s="110"/>
      <c r="RAT1376" s="110"/>
      <c r="RAU1376" s="110"/>
      <c r="RAV1376" s="110"/>
      <c r="RAW1376" s="110"/>
      <c r="RAX1376" s="110"/>
      <c r="RAY1376" s="110"/>
      <c r="RAZ1376" s="110"/>
      <c r="RBA1376" s="110"/>
      <c r="RBB1376" s="110"/>
      <c r="RBC1376" s="110"/>
      <c r="RBD1376" s="110"/>
      <c r="RBE1376" s="110"/>
      <c r="RBF1376" s="110"/>
      <c r="RBG1376" s="110"/>
      <c r="RBH1376" s="110"/>
      <c r="RBI1376" s="110"/>
      <c r="RBJ1376" s="110"/>
      <c r="RBK1376" s="110"/>
      <c r="RBL1376" s="110"/>
      <c r="RBM1376" s="110"/>
      <c r="RBN1376" s="110"/>
      <c r="RBO1376" s="110"/>
      <c r="RBP1376" s="110"/>
      <c r="RBQ1376" s="110"/>
      <c r="RBR1376" s="110"/>
      <c r="RBS1376" s="110"/>
      <c r="RBT1376" s="110"/>
      <c r="RBU1376" s="110"/>
      <c r="RBV1376" s="110"/>
      <c r="RBW1376" s="110"/>
      <c r="RBX1376" s="110"/>
      <c r="RBY1376" s="110"/>
      <c r="RBZ1376" s="110"/>
      <c r="RCA1376" s="110"/>
      <c r="RCB1376" s="110"/>
      <c r="RCC1376" s="110"/>
      <c r="RCD1376" s="110"/>
      <c r="RCE1376" s="110"/>
      <c r="RCF1376" s="110"/>
      <c r="RCG1376" s="110"/>
      <c r="RCH1376" s="110"/>
      <c r="RCI1376" s="110"/>
      <c r="RCJ1376" s="110"/>
      <c r="RCK1376" s="110"/>
      <c r="RCL1376" s="110"/>
      <c r="RCM1376" s="110"/>
      <c r="RCN1376" s="110"/>
      <c r="RCO1376" s="110"/>
      <c r="RCP1376" s="110"/>
      <c r="RCQ1376" s="110"/>
      <c r="RCR1376" s="110"/>
      <c r="RCS1376" s="110"/>
      <c r="RCT1376" s="110"/>
      <c r="RCU1376" s="110"/>
      <c r="RCV1376" s="110"/>
      <c r="RCW1376" s="110"/>
      <c r="RCX1376" s="110"/>
      <c r="RCY1376" s="110"/>
      <c r="RCZ1376" s="110"/>
      <c r="RDA1376" s="110"/>
      <c r="RDB1376" s="110"/>
      <c r="RDC1376" s="110"/>
      <c r="RDD1376" s="110"/>
      <c r="RDE1376" s="110"/>
      <c r="RDF1376" s="110"/>
      <c r="RDG1376" s="110"/>
      <c r="RDH1376" s="110"/>
      <c r="RDI1376" s="110"/>
      <c r="RDJ1376" s="110"/>
      <c r="RDK1376" s="110"/>
      <c r="RDL1376" s="110"/>
      <c r="RDM1376" s="110"/>
      <c r="RDN1376" s="110"/>
      <c r="RDO1376" s="110"/>
      <c r="RDP1376" s="110"/>
      <c r="RDQ1376" s="110"/>
      <c r="RDR1376" s="110"/>
      <c r="RDS1376" s="110"/>
      <c r="RDT1376" s="110"/>
      <c r="RDU1376" s="110"/>
      <c r="RDV1376" s="110"/>
      <c r="RDW1376" s="110"/>
      <c r="RDX1376" s="110"/>
      <c r="RDY1376" s="110"/>
      <c r="RDZ1376" s="110"/>
      <c r="REA1376" s="110"/>
      <c r="REB1376" s="110"/>
      <c r="REC1376" s="110"/>
      <c r="RED1376" s="110"/>
      <c r="REE1376" s="110"/>
      <c r="REF1376" s="110"/>
      <c r="REG1376" s="110"/>
      <c r="REH1376" s="110"/>
      <c r="REI1376" s="110"/>
      <c r="REJ1376" s="110"/>
      <c r="REK1376" s="110"/>
      <c r="REL1376" s="110"/>
      <c r="REM1376" s="110"/>
      <c r="REN1376" s="110"/>
      <c r="REO1376" s="110"/>
      <c r="REP1376" s="110"/>
      <c r="REQ1376" s="110"/>
      <c r="RER1376" s="110"/>
      <c r="RES1376" s="110"/>
      <c r="RET1376" s="110"/>
      <c r="REU1376" s="110"/>
      <c r="REV1376" s="110"/>
      <c r="REW1376" s="110"/>
      <c r="REX1376" s="110"/>
      <c r="REY1376" s="110"/>
      <c r="REZ1376" s="110"/>
      <c r="RFA1376" s="110"/>
      <c r="RFB1376" s="110"/>
      <c r="RFC1376" s="110"/>
      <c r="RFD1376" s="110"/>
      <c r="RFE1376" s="110"/>
      <c r="RFF1376" s="110"/>
      <c r="RFG1376" s="110"/>
      <c r="RFH1376" s="110"/>
      <c r="RFI1376" s="110"/>
      <c r="RFJ1376" s="110"/>
      <c r="RFK1376" s="110"/>
      <c r="RFL1376" s="110"/>
      <c r="RFM1376" s="110"/>
      <c r="RFN1376" s="110"/>
      <c r="RFO1376" s="110"/>
      <c r="RFP1376" s="110"/>
      <c r="RFQ1376" s="110"/>
      <c r="RFR1376" s="110"/>
      <c r="RFS1376" s="110"/>
      <c r="RFT1376" s="110"/>
      <c r="RFU1376" s="110"/>
      <c r="RFV1376" s="110"/>
      <c r="RFW1376" s="110"/>
      <c r="RFX1376" s="110"/>
      <c r="RFY1376" s="110"/>
      <c r="RFZ1376" s="110"/>
      <c r="RGA1376" s="110"/>
      <c r="RGB1376" s="110"/>
      <c r="RGC1376" s="110"/>
      <c r="RGD1376" s="110"/>
      <c r="RGE1376" s="110"/>
      <c r="RGF1376" s="110"/>
      <c r="RGG1376" s="110"/>
      <c r="RGH1376" s="110"/>
      <c r="RGI1376" s="110"/>
      <c r="RGJ1376" s="110"/>
      <c r="RGK1376" s="110"/>
      <c r="RGL1376" s="110"/>
      <c r="RGM1376" s="110"/>
      <c r="RGN1376" s="110"/>
      <c r="RGO1376" s="110"/>
      <c r="RGP1376" s="110"/>
      <c r="RGQ1376" s="110"/>
      <c r="RGR1376" s="110"/>
      <c r="RGS1376" s="110"/>
      <c r="RGT1376" s="110"/>
      <c r="RGU1376" s="110"/>
      <c r="RGV1376" s="110"/>
      <c r="RGW1376" s="110"/>
      <c r="RGX1376" s="110"/>
      <c r="RGY1376" s="110"/>
      <c r="RGZ1376" s="110"/>
      <c r="RHA1376" s="110"/>
      <c r="RHB1376" s="110"/>
      <c r="RHC1376" s="110"/>
      <c r="RHD1376" s="110"/>
      <c r="RHE1376" s="110"/>
      <c r="RHF1376" s="110"/>
      <c r="RHG1376" s="110"/>
      <c r="RHH1376" s="110"/>
      <c r="RHI1376" s="110"/>
      <c r="RHJ1376" s="110"/>
      <c r="RHK1376" s="110"/>
      <c r="RHL1376" s="110"/>
      <c r="RHM1376" s="110"/>
      <c r="RHN1376" s="110"/>
      <c r="RHO1376" s="110"/>
      <c r="RHP1376" s="110"/>
      <c r="RHQ1376" s="110"/>
      <c r="RHR1376" s="110"/>
      <c r="RHS1376" s="110"/>
      <c r="RHT1376" s="110"/>
      <c r="RHU1376" s="110"/>
      <c r="RHV1376" s="110"/>
      <c r="RHW1376" s="110"/>
      <c r="RHX1376" s="110"/>
      <c r="RHY1376" s="110"/>
      <c r="RHZ1376" s="110"/>
      <c r="RIA1376" s="110"/>
      <c r="RIB1376" s="110"/>
      <c r="RIC1376" s="110"/>
      <c r="RID1376" s="110"/>
      <c r="RIE1376" s="110"/>
      <c r="RIF1376" s="110"/>
      <c r="RIG1376" s="110"/>
      <c r="RIH1376" s="110"/>
      <c r="RII1376" s="110"/>
      <c r="RIJ1376" s="110"/>
      <c r="RIK1376" s="110"/>
      <c r="RIL1376" s="110"/>
      <c r="RIM1376" s="110"/>
      <c r="RIN1376" s="110"/>
      <c r="RIO1376" s="110"/>
      <c r="RIP1376" s="110"/>
      <c r="RIQ1376" s="110"/>
      <c r="RIR1376" s="110"/>
      <c r="RIS1376" s="110"/>
      <c r="RIT1376" s="110"/>
      <c r="RIU1376" s="110"/>
      <c r="RIV1376" s="110"/>
      <c r="RIW1376" s="110"/>
      <c r="RIX1376" s="110"/>
      <c r="RIY1376" s="110"/>
      <c r="RIZ1376" s="110"/>
      <c r="RJA1376" s="110"/>
      <c r="RJB1376" s="110"/>
      <c r="RJC1376" s="110"/>
      <c r="RJD1376" s="110"/>
      <c r="RJE1376" s="110"/>
      <c r="RJF1376" s="110"/>
      <c r="RJG1376" s="110"/>
      <c r="RJH1376" s="110"/>
      <c r="RJI1376" s="110"/>
      <c r="RJJ1376" s="110"/>
      <c r="RJK1376" s="110"/>
      <c r="RJL1376" s="110"/>
      <c r="RJM1376" s="110"/>
      <c r="RJN1376" s="110"/>
      <c r="RJO1376" s="110"/>
      <c r="RJP1376" s="110"/>
      <c r="RJQ1376" s="110"/>
      <c r="RJR1376" s="110"/>
      <c r="RJS1376" s="110"/>
      <c r="RJT1376" s="110"/>
      <c r="RJU1376" s="110"/>
      <c r="RJV1376" s="110"/>
      <c r="RJW1376" s="110"/>
      <c r="RJX1376" s="110"/>
      <c r="RJY1376" s="110"/>
      <c r="RJZ1376" s="110"/>
      <c r="RKA1376" s="110"/>
      <c r="RKB1376" s="110"/>
      <c r="RKC1376" s="110"/>
      <c r="RKD1376" s="110"/>
      <c r="RKE1376" s="110"/>
      <c r="RKF1376" s="110"/>
      <c r="RKG1376" s="110"/>
      <c r="RKH1376" s="110"/>
      <c r="RKI1376" s="110"/>
      <c r="RKJ1376" s="110"/>
      <c r="RKK1376" s="110"/>
      <c r="RKL1376" s="110"/>
      <c r="RKM1376" s="110"/>
      <c r="RKN1376" s="110"/>
      <c r="RKO1376" s="110"/>
      <c r="RKP1376" s="110"/>
      <c r="RKQ1376" s="110"/>
      <c r="RKR1376" s="110"/>
      <c r="RKS1376" s="110"/>
      <c r="RKT1376" s="110"/>
      <c r="RKU1376" s="110"/>
      <c r="RKV1376" s="110"/>
      <c r="RKW1376" s="110"/>
      <c r="RKX1376" s="110"/>
      <c r="RKY1376" s="110"/>
      <c r="RKZ1376" s="110"/>
      <c r="RLA1376" s="110"/>
      <c r="RLB1376" s="110"/>
      <c r="RLC1376" s="110"/>
      <c r="RLD1376" s="110"/>
      <c r="RLE1376" s="110"/>
      <c r="RLF1376" s="110"/>
      <c r="RLG1376" s="110"/>
      <c r="RLH1376" s="110"/>
      <c r="RLI1376" s="110"/>
      <c r="RLJ1376" s="110"/>
      <c r="RLK1376" s="110"/>
      <c r="RLL1376" s="110"/>
      <c r="RLM1376" s="110"/>
      <c r="RLN1376" s="110"/>
      <c r="RLO1376" s="110"/>
      <c r="RLP1376" s="110"/>
      <c r="RLQ1376" s="110"/>
      <c r="RLR1376" s="110"/>
      <c r="RLS1376" s="110"/>
      <c r="RLT1376" s="110"/>
      <c r="RLU1376" s="110"/>
      <c r="RLV1376" s="110"/>
      <c r="RLW1376" s="110"/>
      <c r="RLX1376" s="110"/>
      <c r="RLY1376" s="110"/>
      <c r="RLZ1376" s="110"/>
      <c r="RMA1376" s="110"/>
      <c r="RMB1376" s="110"/>
      <c r="RMC1376" s="110"/>
      <c r="RMD1376" s="110"/>
      <c r="RME1376" s="110"/>
      <c r="RMF1376" s="110"/>
      <c r="RMG1376" s="110"/>
      <c r="RMH1376" s="110"/>
      <c r="RMI1376" s="110"/>
      <c r="RMJ1376" s="110"/>
      <c r="RMK1376" s="110"/>
      <c r="RML1376" s="110"/>
      <c r="RMM1376" s="110"/>
      <c r="RMN1376" s="110"/>
      <c r="RMO1376" s="110"/>
      <c r="RMP1376" s="110"/>
      <c r="RMQ1376" s="110"/>
      <c r="RMR1376" s="110"/>
      <c r="RMS1376" s="110"/>
      <c r="RMT1376" s="110"/>
      <c r="RMU1376" s="110"/>
      <c r="RMV1376" s="110"/>
      <c r="RMW1376" s="110"/>
      <c r="RMX1376" s="110"/>
      <c r="RMY1376" s="110"/>
      <c r="RMZ1376" s="110"/>
      <c r="RNA1376" s="110"/>
      <c r="RNB1376" s="110"/>
      <c r="RNC1376" s="110"/>
      <c r="RND1376" s="110"/>
      <c r="RNE1376" s="110"/>
      <c r="RNF1376" s="110"/>
      <c r="RNG1376" s="110"/>
      <c r="RNH1376" s="110"/>
      <c r="RNI1376" s="110"/>
      <c r="RNJ1376" s="110"/>
      <c r="RNK1376" s="110"/>
      <c r="RNL1376" s="110"/>
      <c r="RNM1376" s="110"/>
      <c r="RNN1376" s="110"/>
      <c r="RNO1376" s="110"/>
      <c r="RNP1376" s="110"/>
      <c r="RNQ1376" s="110"/>
      <c r="RNR1376" s="110"/>
      <c r="RNS1376" s="110"/>
      <c r="RNT1376" s="110"/>
      <c r="RNU1376" s="110"/>
      <c r="RNV1376" s="110"/>
      <c r="RNW1376" s="110"/>
      <c r="RNX1376" s="110"/>
      <c r="RNY1376" s="110"/>
      <c r="RNZ1376" s="110"/>
      <c r="ROA1376" s="110"/>
      <c r="ROB1376" s="110"/>
      <c r="ROC1376" s="110"/>
      <c r="ROD1376" s="110"/>
      <c r="ROE1376" s="110"/>
      <c r="ROF1376" s="110"/>
      <c r="ROG1376" s="110"/>
      <c r="ROH1376" s="110"/>
      <c r="ROI1376" s="110"/>
      <c r="ROJ1376" s="110"/>
      <c r="ROK1376" s="110"/>
      <c r="ROL1376" s="110"/>
      <c r="ROM1376" s="110"/>
      <c r="RON1376" s="110"/>
      <c r="ROO1376" s="110"/>
      <c r="ROP1376" s="110"/>
      <c r="ROQ1376" s="110"/>
      <c r="ROR1376" s="110"/>
      <c r="ROS1376" s="110"/>
      <c r="ROT1376" s="110"/>
      <c r="ROU1376" s="110"/>
      <c r="ROV1376" s="110"/>
      <c r="ROW1376" s="110"/>
      <c r="ROX1376" s="110"/>
      <c r="ROY1376" s="110"/>
      <c r="ROZ1376" s="110"/>
      <c r="RPA1376" s="110"/>
      <c r="RPB1376" s="110"/>
      <c r="RPC1376" s="110"/>
      <c r="RPD1376" s="110"/>
      <c r="RPE1376" s="110"/>
      <c r="RPF1376" s="110"/>
      <c r="RPG1376" s="110"/>
      <c r="RPH1376" s="110"/>
      <c r="RPI1376" s="110"/>
      <c r="RPJ1376" s="110"/>
      <c r="RPK1376" s="110"/>
      <c r="RPL1376" s="110"/>
      <c r="RPM1376" s="110"/>
      <c r="RPN1376" s="110"/>
      <c r="RPO1376" s="110"/>
      <c r="RPP1376" s="110"/>
      <c r="RPQ1376" s="110"/>
      <c r="RPR1376" s="110"/>
      <c r="RPS1376" s="110"/>
      <c r="RPT1376" s="110"/>
      <c r="RPU1376" s="110"/>
      <c r="RPV1376" s="110"/>
      <c r="RPW1376" s="110"/>
      <c r="RPX1376" s="110"/>
      <c r="RPY1376" s="110"/>
      <c r="RPZ1376" s="110"/>
      <c r="RQA1376" s="110"/>
      <c r="RQB1376" s="110"/>
      <c r="RQC1376" s="110"/>
      <c r="RQD1376" s="110"/>
      <c r="RQE1376" s="110"/>
      <c r="RQF1376" s="110"/>
      <c r="RQG1376" s="110"/>
      <c r="RQH1376" s="110"/>
      <c r="RQI1376" s="110"/>
      <c r="RQJ1376" s="110"/>
      <c r="RQK1376" s="110"/>
      <c r="RQL1376" s="110"/>
      <c r="RQM1376" s="110"/>
      <c r="RQN1376" s="110"/>
      <c r="RQO1376" s="110"/>
      <c r="RQP1376" s="110"/>
      <c r="RQQ1376" s="110"/>
      <c r="RQR1376" s="110"/>
      <c r="RQS1376" s="110"/>
      <c r="RQT1376" s="110"/>
      <c r="RQU1376" s="110"/>
      <c r="RQV1376" s="110"/>
      <c r="RQW1376" s="110"/>
      <c r="RQX1376" s="110"/>
      <c r="RQY1376" s="110"/>
      <c r="RQZ1376" s="110"/>
      <c r="RRA1376" s="110"/>
      <c r="RRB1376" s="110"/>
      <c r="RRC1376" s="110"/>
      <c r="RRD1376" s="110"/>
      <c r="RRE1376" s="110"/>
      <c r="RRF1376" s="110"/>
      <c r="RRG1376" s="110"/>
      <c r="RRH1376" s="110"/>
      <c r="RRI1376" s="110"/>
      <c r="RRJ1376" s="110"/>
      <c r="RRK1376" s="110"/>
      <c r="RRL1376" s="110"/>
      <c r="RRM1376" s="110"/>
      <c r="RRN1376" s="110"/>
      <c r="RRO1376" s="110"/>
      <c r="RRP1376" s="110"/>
      <c r="RRQ1376" s="110"/>
      <c r="RRR1376" s="110"/>
      <c r="RRS1376" s="110"/>
      <c r="RRT1376" s="110"/>
      <c r="RRU1376" s="110"/>
      <c r="RRV1376" s="110"/>
      <c r="RRW1376" s="110"/>
      <c r="RRX1376" s="110"/>
      <c r="RRY1376" s="110"/>
      <c r="RRZ1376" s="110"/>
      <c r="RSA1376" s="110"/>
      <c r="RSB1376" s="110"/>
      <c r="RSC1376" s="110"/>
      <c r="RSD1376" s="110"/>
      <c r="RSE1376" s="110"/>
      <c r="RSF1376" s="110"/>
      <c r="RSG1376" s="110"/>
      <c r="RSH1376" s="110"/>
      <c r="RSI1376" s="110"/>
      <c r="RSJ1376" s="110"/>
      <c r="RSK1376" s="110"/>
      <c r="RSL1376" s="110"/>
      <c r="RSM1376" s="110"/>
      <c r="RSN1376" s="110"/>
      <c r="RSO1376" s="110"/>
      <c r="RSP1376" s="110"/>
      <c r="RSQ1376" s="110"/>
      <c r="RSR1376" s="110"/>
      <c r="RSS1376" s="110"/>
      <c r="RST1376" s="110"/>
      <c r="RSU1376" s="110"/>
      <c r="RSV1376" s="110"/>
      <c r="RSW1376" s="110"/>
      <c r="RSX1376" s="110"/>
      <c r="RSY1376" s="110"/>
      <c r="RSZ1376" s="110"/>
      <c r="RTA1376" s="110"/>
      <c r="RTB1376" s="110"/>
      <c r="RTC1376" s="110"/>
      <c r="RTD1376" s="110"/>
      <c r="RTE1376" s="110"/>
      <c r="RTF1376" s="110"/>
      <c r="RTG1376" s="110"/>
      <c r="RTH1376" s="110"/>
      <c r="RTI1376" s="110"/>
      <c r="RTJ1376" s="110"/>
      <c r="RTK1376" s="110"/>
      <c r="RTL1376" s="110"/>
      <c r="RTM1376" s="110"/>
      <c r="RTN1376" s="110"/>
      <c r="RTO1376" s="110"/>
      <c r="RTP1376" s="110"/>
      <c r="RTQ1376" s="110"/>
      <c r="RTR1376" s="110"/>
      <c r="RTS1376" s="110"/>
      <c r="RTT1376" s="110"/>
      <c r="RTU1376" s="110"/>
      <c r="RTV1376" s="110"/>
      <c r="RTW1376" s="110"/>
      <c r="RTX1376" s="110"/>
      <c r="RTY1376" s="110"/>
      <c r="RTZ1376" s="110"/>
      <c r="RUA1376" s="110"/>
      <c r="RUB1376" s="110"/>
      <c r="RUC1376" s="110"/>
      <c r="RUD1376" s="110"/>
      <c r="RUE1376" s="110"/>
      <c r="RUF1376" s="110"/>
      <c r="RUG1376" s="110"/>
      <c r="RUH1376" s="110"/>
      <c r="RUI1376" s="110"/>
      <c r="RUJ1376" s="110"/>
      <c r="RUK1376" s="110"/>
      <c r="RUL1376" s="110"/>
      <c r="RUM1376" s="110"/>
      <c r="RUN1376" s="110"/>
      <c r="RUO1376" s="110"/>
      <c r="RUP1376" s="110"/>
      <c r="RUQ1376" s="110"/>
      <c r="RUR1376" s="110"/>
      <c r="RUS1376" s="110"/>
      <c r="RUT1376" s="110"/>
      <c r="RUU1376" s="110"/>
      <c r="RUV1376" s="110"/>
      <c r="RUW1376" s="110"/>
      <c r="RUX1376" s="110"/>
      <c r="RUY1376" s="110"/>
      <c r="RUZ1376" s="110"/>
      <c r="RVA1376" s="110"/>
      <c r="RVB1376" s="110"/>
      <c r="RVC1376" s="110"/>
      <c r="RVD1376" s="110"/>
      <c r="RVE1376" s="110"/>
      <c r="RVF1376" s="110"/>
      <c r="RVG1376" s="110"/>
      <c r="RVH1376" s="110"/>
      <c r="RVI1376" s="110"/>
      <c r="RVJ1376" s="110"/>
      <c r="RVK1376" s="110"/>
      <c r="RVL1376" s="110"/>
      <c r="RVM1376" s="110"/>
      <c r="RVN1376" s="110"/>
      <c r="RVO1376" s="110"/>
      <c r="RVP1376" s="110"/>
      <c r="RVQ1376" s="110"/>
      <c r="RVR1376" s="110"/>
      <c r="RVS1376" s="110"/>
      <c r="RVT1376" s="110"/>
      <c r="RVU1376" s="110"/>
      <c r="RVV1376" s="110"/>
      <c r="RVW1376" s="110"/>
      <c r="RVX1376" s="110"/>
      <c r="RVY1376" s="110"/>
      <c r="RVZ1376" s="110"/>
      <c r="RWA1376" s="110"/>
      <c r="RWB1376" s="110"/>
      <c r="RWC1376" s="110"/>
      <c r="RWD1376" s="110"/>
      <c r="RWE1376" s="110"/>
      <c r="RWF1376" s="110"/>
      <c r="RWG1376" s="110"/>
      <c r="RWH1376" s="110"/>
      <c r="RWI1376" s="110"/>
      <c r="RWJ1376" s="110"/>
      <c r="RWK1376" s="110"/>
      <c r="RWL1376" s="110"/>
      <c r="RWM1376" s="110"/>
      <c r="RWN1376" s="110"/>
      <c r="RWO1376" s="110"/>
      <c r="RWP1376" s="110"/>
      <c r="RWQ1376" s="110"/>
      <c r="RWR1376" s="110"/>
      <c r="RWS1376" s="110"/>
      <c r="RWT1376" s="110"/>
      <c r="RWU1376" s="110"/>
      <c r="RWV1376" s="110"/>
      <c r="RWW1376" s="110"/>
      <c r="RWX1376" s="110"/>
      <c r="RWY1376" s="110"/>
      <c r="RWZ1376" s="110"/>
      <c r="RXA1376" s="110"/>
      <c r="RXB1376" s="110"/>
      <c r="RXC1376" s="110"/>
      <c r="RXD1376" s="110"/>
      <c r="RXE1376" s="110"/>
      <c r="RXF1376" s="110"/>
      <c r="RXG1376" s="110"/>
      <c r="RXH1376" s="110"/>
      <c r="RXI1376" s="110"/>
      <c r="RXJ1376" s="110"/>
      <c r="RXK1376" s="110"/>
      <c r="RXL1376" s="110"/>
      <c r="RXM1376" s="110"/>
      <c r="RXN1376" s="110"/>
      <c r="RXO1376" s="110"/>
      <c r="RXP1376" s="110"/>
      <c r="RXQ1376" s="110"/>
      <c r="RXR1376" s="110"/>
      <c r="RXS1376" s="110"/>
      <c r="RXT1376" s="110"/>
      <c r="RXU1376" s="110"/>
      <c r="RXV1376" s="110"/>
      <c r="RXW1376" s="110"/>
      <c r="RXX1376" s="110"/>
      <c r="RXY1376" s="110"/>
      <c r="RXZ1376" s="110"/>
      <c r="RYA1376" s="110"/>
      <c r="RYB1376" s="110"/>
      <c r="RYC1376" s="110"/>
      <c r="RYD1376" s="110"/>
      <c r="RYE1376" s="110"/>
      <c r="RYF1376" s="110"/>
      <c r="RYG1376" s="110"/>
      <c r="RYH1376" s="110"/>
      <c r="RYI1376" s="110"/>
      <c r="RYJ1376" s="110"/>
      <c r="RYK1376" s="110"/>
      <c r="RYL1376" s="110"/>
      <c r="RYM1376" s="110"/>
      <c r="RYN1376" s="110"/>
      <c r="RYO1376" s="110"/>
      <c r="RYP1376" s="110"/>
      <c r="RYQ1376" s="110"/>
      <c r="RYR1376" s="110"/>
      <c r="RYS1376" s="110"/>
      <c r="RYT1376" s="110"/>
      <c r="RYU1376" s="110"/>
      <c r="RYV1376" s="110"/>
      <c r="RYW1376" s="110"/>
      <c r="RYX1376" s="110"/>
      <c r="RYY1376" s="110"/>
      <c r="RYZ1376" s="110"/>
      <c r="RZA1376" s="110"/>
      <c r="RZB1376" s="110"/>
      <c r="RZC1376" s="110"/>
      <c r="RZD1376" s="110"/>
      <c r="RZE1376" s="110"/>
      <c r="RZF1376" s="110"/>
      <c r="RZG1376" s="110"/>
      <c r="RZH1376" s="110"/>
      <c r="RZI1376" s="110"/>
      <c r="RZJ1376" s="110"/>
      <c r="RZK1376" s="110"/>
      <c r="RZL1376" s="110"/>
      <c r="RZM1376" s="110"/>
      <c r="RZN1376" s="110"/>
      <c r="RZO1376" s="110"/>
      <c r="RZP1376" s="110"/>
      <c r="RZQ1376" s="110"/>
      <c r="RZR1376" s="110"/>
      <c r="RZS1376" s="110"/>
      <c r="RZT1376" s="110"/>
      <c r="RZU1376" s="110"/>
      <c r="RZV1376" s="110"/>
      <c r="RZW1376" s="110"/>
      <c r="RZX1376" s="110"/>
      <c r="RZY1376" s="110"/>
      <c r="RZZ1376" s="110"/>
      <c r="SAA1376" s="110"/>
      <c r="SAB1376" s="110"/>
      <c r="SAC1376" s="110"/>
      <c r="SAD1376" s="110"/>
      <c r="SAE1376" s="110"/>
      <c r="SAF1376" s="110"/>
      <c r="SAG1376" s="110"/>
      <c r="SAH1376" s="110"/>
      <c r="SAI1376" s="110"/>
      <c r="SAJ1376" s="110"/>
      <c r="SAK1376" s="110"/>
      <c r="SAL1376" s="110"/>
      <c r="SAM1376" s="110"/>
      <c r="SAN1376" s="110"/>
      <c r="SAO1376" s="110"/>
      <c r="SAP1376" s="110"/>
      <c r="SAQ1376" s="110"/>
      <c r="SAR1376" s="110"/>
      <c r="SAS1376" s="110"/>
      <c r="SAT1376" s="110"/>
      <c r="SAU1376" s="110"/>
      <c r="SAV1376" s="110"/>
      <c r="SAW1376" s="110"/>
      <c r="SAX1376" s="110"/>
      <c r="SAY1376" s="110"/>
      <c r="SAZ1376" s="110"/>
      <c r="SBA1376" s="110"/>
      <c r="SBB1376" s="110"/>
      <c r="SBC1376" s="110"/>
      <c r="SBD1376" s="110"/>
      <c r="SBE1376" s="110"/>
      <c r="SBF1376" s="110"/>
      <c r="SBG1376" s="110"/>
      <c r="SBH1376" s="110"/>
      <c r="SBI1376" s="110"/>
      <c r="SBJ1376" s="110"/>
      <c r="SBK1376" s="110"/>
      <c r="SBL1376" s="110"/>
      <c r="SBM1376" s="110"/>
      <c r="SBN1376" s="110"/>
      <c r="SBO1376" s="110"/>
      <c r="SBP1376" s="110"/>
      <c r="SBQ1376" s="110"/>
      <c r="SBR1376" s="110"/>
      <c r="SBS1376" s="110"/>
      <c r="SBT1376" s="110"/>
      <c r="SBU1376" s="110"/>
      <c r="SBV1376" s="110"/>
      <c r="SBW1376" s="110"/>
      <c r="SBX1376" s="110"/>
      <c r="SBY1376" s="110"/>
      <c r="SBZ1376" s="110"/>
      <c r="SCA1376" s="110"/>
      <c r="SCB1376" s="110"/>
      <c r="SCC1376" s="110"/>
      <c r="SCD1376" s="110"/>
      <c r="SCE1376" s="110"/>
      <c r="SCF1376" s="110"/>
      <c r="SCG1376" s="110"/>
      <c r="SCH1376" s="110"/>
      <c r="SCI1376" s="110"/>
      <c r="SCJ1376" s="110"/>
      <c r="SCK1376" s="110"/>
      <c r="SCL1376" s="110"/>
      <c r="SCM1376" s="110"/>
      <c r="SCN1376" s="110"/>
      <c r="SCO1376" s="110"/>
      <c r="SCP1376" s="110"/>
      <c r="SCQ1376" s="110"/>
      <c r="SCR1376" s="110"/>
      <c r="SCS1376" s="110"/>
      <c r="SCT1376" s="110"/>
      <c r="SCU1376" s="110"/>
      <c r="SCV1376" s="110"/>
      <c r="SCW1376" s="110"/>
      <c r="SCX1376" s="110"/>
      <c r="SCY1376" s="110"/>
      <c r="SCZ1376" s="110"/>
      <c r="SDA1376" s="110"/>
      <c r="SDB1376" s="110"/>
      <c r="SDC1376" s="110"/>
      <c r="SDD1376" s="110"/>
      <c r="SDE1376" s="110"/>
      <c r="SDF1376" s="110"/>
      <c r="SDG1376" s="110"/>
      <c r="SDH1376" s="110"/>
      <c r="SDI1376" s="110"/>
      <c r="SDJ1376" s="110"/>
      <c r="SDK1376" s="110"/>
      <c r="SDL1376" s="110"/>
      <c r="SDM1376" s="110"/>
      <c r="SDN1376" s="110"/>
      <c r="SDO1376" s="110"/>
      <c r="SDP1376" s="110"/>
      <c r="SDQ1376" s="110"/>
      <c r="SDR1376" s="110"/>
      <c r="SDS1376" s="110"/>
      <c r="SDT1376" s="110"/>
      <c r="SDU1376" s="110"/>
      <c r="SDV1376" s="110"/>
      <c r="SDW1376" s="110"/>
      <c r="SDX1376" s="110"/>
      <c r="SDY1376" s="110"/>
      <c r="SDZ1376" s="110"/>
      <c r="SEA1376" s="110"/>
      <c r="SEB1376" s="110"/>
      <c r="SEC1376" s="110"/>
      <c r="SED1376" s="110"/>
      <c r="SEE1376" s="110"/>
      <c r="SEF1376" s="110"/>
      <c r="SEG1376" s="110"/>
      <c r="SEH1376" s="110"/>
      <c r="SEI1376" s="110"/>
      <c r="SEJ1376" s="110"/>
      <c r="SEK1376" s="110"/>
      <c r="SEL1376" s="110"/>
      <c r="SEM1376" s="110"/>
      <c r="SEN1376" s="110"/>
      <c r="SEO1376" s="110"/>
      <c r="SEP1376" s="110"/>
      <c r="SEQ1376" s="110"/>
      <c r="SER1376" s="110"/>
      <c r="SES1376" s="110"/>
      <c r="SET1376" s="110"/>
      <c r="SEU1376" s="110"/>
      <c r="SEV1376" s="110"/>
      <c r="SEW1376" s="110"/>
      <c r="SEX1376" s="110"/>
      <c r="SEY1376" s="110"/>
      <c r="SEZ1376" s="110"/>
      <c r="SFA1376" s="110"/>
      <c r="SFB1376" s="110"/>
      <c r="SFC1376" s="110"/>
      <c r="SFD1376" s="110"/>
      <c r="SFE1376" s="110"/>
      <c r="SFF1376" s="110"/>
      <c r="SFG1376" s="110"/>
      <c r="SFH1376" s="110"/>
      <c r="SFI1376" s="110"/>
      <c r="SFJ1376" s="110"/>
      <c r="SFK1376" s="110"/>
      <c r="SFL1376" s="110"/>
      <c r="SFM1376" s="110"/>
      <c r="SFN1376" s="110"/>
      <c r="SFO1376" s="110"/>
      <c r="SFP1376" s="110"/>
      <c r="SFQ1376" s="110"/>
      <c r="SFR1376" s="110"/>
      <c r="SFS1376" s="110"/>
      <c r="SFT1376" s="110"/>
      <c r="SFU1376" s="110"/>
      <c r="SFV1376" s="110"/>
      <c r="SFW1376" s="110"/>
      <c r="SFX1376" s="110"/>
      <c r="SFY1376" s="110"/>
      <c r="SFZ1376" s="110"/>
      <c r="SGA1376" s="110"/>
      <c r="SGB1376" s="110"/>
      <c r="SGC1376" s="110"/>
      <c r="SGD1376" s="110"/>
      <c r="SGE1376" s="110"/>
      <c r="SGF1376" s="110"/>
      <c r="SGG1376" s="110"/>
      <c r="SGH1376" s="110"/>
      <c r="SGI1376" s="110"/>
      <c r="SGJ1376" s="110"/>
      <c r="SGK1376" s="110"/>
      <c r="SGL1376" s="110"/>
      <c r="SGM1376" s="110"/>
      <c r="SGN1376" s="110"/>
      <c r="SGO1376" s="110"/>
      <c r="SGP1376" s="110"/>
      <c r="SGQ1376" s="110"/>
      <c r="SGR1376" s="110"/>
      <c r="SGS1376" s="110"/>
      <c r="SGT1376" s="110"/>
      <c r="SGU1376" s="110"/>
      <c r="SGV1376" s="110"/>
      <c r="SGW1376" s="110"/>
      <c r="SGX1376" s="110"/>
      <c r="SGY1376" s="110"/>
      <c r="SGZ1376" s="110"/>
      <c r="SHA1376" s="110"/>
      <c r="SHB1376" s="110"/>
      <c r="SHC1376" s="110"/>
      <c r="SHD1376" s="110"/>
      <c r="SHE1376" s="110"/>
      <c r="SHF1376" s="110"/>
      <c r="SHG1376" s="110"/>
      <c r="SHH1376" s="110"/>
      <c r="SHI1376" s="110"/>
      <c r="SHJ1376" s="110"/>
      <c r="SHK1376" s="110"/>
      <c r="SHL1376" s="110"/>
      <c r="SHM1376" s="110"/>
      <c r="SHN1376" s="110"/>
      <c r="SHO1376" s="110"/>
      <c r="SHP1376" s="110"/>
      <c r="SHQ1376" s="110"/>
      <c r="SHR1376" s="110"/>
      <c r="SHS1376" s="110"/>
      <c r="SHT1376" s="110"/>
      <c r="SHU1376" s="110"/>
      <c r="SHV1376" s="110"/>
      <c r="SHW1376" s="110"/>
      <c r="SHX1376" s="110"/>
      <c r="SHY1376" s="110"/>
      <c r="SHZ1376" s="110"/>
      <c r="SIA1376" s="110"/>
      <c r="SIB1376" s="110"/>
      <c r="SIC1376" s="110"/>
      <c r="SID1376" s="110"/>
      <c r="SIE1376" s="110"/>
      <c r="SIF1376" s="110"/>
      <c r="SIG1376" s="110"/>
      <c r="SIH1376" s="110"/>
      <c r="SII1376" s="110"/>
      <c r="SIJ1376" s="110"/>
      <c r="SIK1376" s="110"/>
      <c r="SIL1376" s="110"/>
      <c r="SIM1376" s="110"/>
      <c r="SIN1376" s="110"/>
      <c r="SIO1376" s="110"/>
      <c r="SIP1376" s="110"/>
      <c r="SIQ1376" s="110"/>
      <c r="SIR1376" s="110"/>
      <c r="SIS1376" s="110"/>
      <c r="SIT1376" s="110"/>
      <c r="SIU1376" s="110"/>
      <c r="SIV1376" s="110"/>
      <c r="SIW1376" s="110"/>
      <c r="SIX1376" s="110"/>
      <c r="SIY1376" s="110"/>
      <c r="SIZ1376" s="110"/>
      <c r="SJA1376" s="110"/>
      <c r="SJB1376" s="110"/>
      <c r="SJC1376" s="110"/>
      <c r="SJD1376" s="110"/>
      <c r="SJE1376" s="110"/>
      <c r="SJF1376" s="110"/>
      <c r="SJG1376" s="110"/>
      <c r="SJH1376" s="110"/>
      <c r="SJI1376" s="110"/>
      <c r="SJJ1376" s="110"/>
      <c r="SJK1376" s="110"/>
      <c r="SJL1376" s="110"/>
      <c r="SJM1376" s="110"/>
      <c r="SJN1376" s="110"/>
      <c r="SJO1376" s="110"/>
      <c r="SJP1376" s="110"/>
      <c r="SJQ1376" s="110"/>
      <c r="SJR1376" s="110"/>
      <c r="SJS1376" s="110"/>
      <c r="SJT1376" s="110"/>
      <c r="SJU1376" s="110"/>
      <c r="SJV1376" s="110"/>
      <c r="SJW1376" s="110"/>
      <c r="SJX1376" s="110"/>
      <c r="SJY1376" s="110"/>
      <c r="SJZ1376" s="110"/>
      <c r="SKA1376" s="110"/>
      <c r="SKB1376" s="110"/>
      <c r="SKC1376" s="110"/>
      <c r="SKD1376" s="110"/>
      <c r="SKE1376" s="110"/>
      <c r="SKF1376" s="110"/>
      <c r="SKG1376" s="110"/>
      <c r="SKH1376" s="110"/>
      <c r="SKI1376" s="110"/>
      <c r="SKJ1376" s="110"/>
      <c r="SKK1376" s="110"/>
      <c r="SKL1376" s="110"/>
      <c r="SKM1376" s="110"/>
      <c r="SKN1376" s="110"/>
      <c r="SKO1376" s="110"/>
      <c r="SKP1376" s="110"/>
      <c r="SKQ1376" s="110"/>
      <c r="SKR1376" s="110"/>
      <c r="SKS1376" s="110"/>
      <c r="SKT1376" s="110"/>
      <c r="SKU1376" s="110"/>
      <c r="SKV1376" s="110"/>
      <c r="SKW1376" s="110"/>
      <c r="SKX1376" s="110"/>
      <c r="SKY1376" s="110"/>
      <c r="SKZ1376" s="110"/>
      <c r="SLA1376" s="110"/>
      <c r="SLB1376" s="110"/>
      <c r="SLC1376" s="110"/>
      <c r="SLD1376" s="110"/>
      <c r="SLE1376" s="110"/>
      <c r="SLF1376" s="110"/>
      <c r="SLG1376" s="110"/>
      <c r="SLH1376" s="110"/>
      <c r="SLI1376" s="110"/>
      <c r="SLJ1376" s="110"/>
      <c r="SLK1376" s="110"/>
      <c r="SLL1376" s="110"/>
      <c r="SLM1376" s="110"/>
      <c r="SLN1376" s="110"/>
      <c r="SLO1376" s="110"/>
      <c r="SLP1376" s="110"/>
      <c r="SLQ1376" s="110"/>
      <c r="SLR1376" s="110"/>
      <c r="SLS1376" s="110"/>
      <c r="SLT1376" s="110"/>
      <c r="SLU1376" s="110"/>
      <c r="SLV1376" s="110"/>
      <c r="SLW1376" s="110"/>
      <c r="SLX1376" s="110"/>
      <c r="SLY1376" s="110"/>
      <c r="SLZ1376" s="110"/>
      <c r="SMA1376" s="110"/>
      <c r="SMB1376" s="110"/>
      <c r="SMC1376" s="110"/>
      <c r="SMD1376" s="110"/>
      <c r="SME1376" s="110"/>
      <c r="SMF1376" s="110"/>
      <c r="SMG1376" s="110"/>
      <c r="SMH1376" s="110"/>
      <c r="SMI1376" s="110"/>
      <c r="SMJ1376" s="110"/>
      <c r="SMK1376" s="110"/>
      <c r="SML1376" s="110"/>
      <c r="SMM1376" s="110"/>
      <c r="SMN1376" s="110"/>
      <c r="SMO1376" s="110"/>
      <c r="SMP1376" s="110"/>
      <c r="SMQ1376" s="110"/>
      <c r="SMR1376" s="110"/>
      <c r="SMS1376" s="110"/>
      <c r="SMT1376" s="110"/>
      <c r="SMU1376" s="110"/>
      <c r="SMV1376" s="110"/>
      <c r="SMW1376" s="110"/>
      <c r="SMX1376" s="110"/>
      <c r="SMY1376" s="110"/>
      <c r="SMZ1376" s="110"/>
      <c r="SNA1376" s="110"/>
      <c r="SNB1376" s="110"/>
      <c r="SNC1376" s="110"/>
      <c r="SND1376" s="110"/>
      <c r="SNE1376" s="110"/>
      <c r="SNF1376" s="110"/>
      <c r="SNG1376" s="110"/>
      <c r="SNH1376" s="110"/>
      <c r="SNI1376" s="110"/>
      <c r="SNJ1376" s="110"/>
      <c r="SNK1376" s="110"/>
      <c r="SNL1376" s="110"/>
      <c r="SNM1376" s="110"/>
      <c r="SNN1376" s="110"/>
      <c r="SNO1376" s="110"/>
      <c r="SNP1376" s="110"/>
      <c r="SNQ1376" s="110"/>
      <c r="SNR1376" s="110"/>
      <c r="SNS1376" s="110"/>
      <c r="SNT1376" s="110"/>
      <c r="SNU1376" s="110"/>
      <c r="SNV1376" s="110"/>
      <c r="SNW1376" s="110"/>
      <c r="SNX1376" s="110"/>
      <c r="SNY1376" s="110"/>
      <c r="SNZ1376" s="110"/>
      <c r="SOA1376" s="110"/>
      <c r="SOB1376" s="110"/>
      <c r="SOC1376" s="110"/>
      <c r="SOD1376" s="110"/>
      <c r="SOE1376" s="110"/>
      <c r="SOF1376" s="110"/>
      <c r="SOG1376" s="110"/>
      <c r="SOH1376" s="110"/>
      <c r="SOI1376" s="110"/>
      <c r="SOJ1376" s="110"/>
      <c r="SOK1376" s="110"/>
      <c r="SOL1376" s="110"/>
      <c r="SOM1376" s="110"/>
      <c r="SON1376" s="110"/>
      <c r="SOO1376" s="110"/>
      <c r="SOP1376" s="110"/>
      <c r="SOQ1376" s="110"/>
      <c r="SOR1376" s="110"/>
      <c r="SOS1376" s="110"/>
      <c r="SOT1376" s="110"/>
      <c r="SOU1376" s="110"/>
      <c r="SOV1376" s="110"/>
      <c r="SOW1376" s="110"/>
      <c r="SOX1376" s="110"/>
      <c r="SOY1376" s="110"/>
      <c r="SOZ1376" s="110"/>
      <c r="SPA1376" s="110"/>
      <c r="SPB1376" s="110"/>
      <c r="SPC1376" s="110"/>
      <c r="SPD1376" s="110"/>
      <c r="SPE1376" s="110"/>
      <c r="SPF1376" s="110"/>
      <c r="SPG1376" s="110"/>
      <c r="SPH1376" s="110"/>
      <c r="SPI1376" s="110"/>
      <c r="SPJ1376" s="110"/>
      <c r="SPK1376" s="110"/>
      <c r="SPL1376" s="110"/>
      <c r="SPM1376" s="110"/>
      <c r="SPN1376" s="110"/>
      <c r="SPO1376" s="110"/>
      <c r="SPP1376" s="110"/>
      <c r="SPQ1376" s="110"/>
      <c r="SPR1376" s="110"/>
      <c r="SPS1376" s="110"/>
      <c r="SPT1376" s="110"/>
      <c r="SPU1376" s="110"/>
      <c r="SPV1376" s="110"/>
      <c r="SPW1376" s="110"/>
      <c r="SPX1376" s="110"/>
      <c r="SPY1376" s="110"/>
      <c r="SPZ1376" s="110"/>
      <c r="SQA1376" s="110"/>
      <c r="SQB1376" s="110"/>
      <c r="SQC1376" s="110"/>
      <c r="SQD1376" s="110"/>
      <c r="SQE1376" s="110"/>
      <c r="SQF1376" s="110"/>
      <c r="SQG1376" s="110"/>
      <c r="SQH1376" s="110"/>
      <c r="SQI1376" s="110"/>
      <c r="SQJ1376" s="110"/>
      <c r="SQK1376" s="110"/>
      <c r="SQL1376" s="110"/>
      <c r="SQM1376" s="110"/>
      <c r="SQN1376" s="110"/>
      <c r="SQO1376" s="110"/>
      <c r="SQP1376" s="110"/>
      <c r="SQQ1376" s="110"/>
      <c r="SQR1376" s="110"/>
      <c r="SQS1376" s="110"/>
      <c r="SQT1376" s="110"/>
      <c r="SQU1376" s="110"/>
      <c r="SQV1376" s="110"/>
      <c r="SQW1376" s="110"/>
      <c r="SQX1376" s="110"/>
      <c r="SQY1376" s="110"/>
      <c r="SQZ1376" s="110"/>
      <c r="SRA1376" s="110"/>
      <c r="SRB1376" s="110"/>
      <c r="SRC1376" s="110"/>
      <c r="SRD1376" s="110"/>
      <c r="SRE1376" s="110"/>
      <c r="SRF1376" s="110"/>
      <c r="SRG1376" s="110"/>
      <c r="SRH1376" s="110"/>
      <c r="SRI1376" s="110"/>
      <c r="SRJ1376" s="110"/>
      <c r="SRK1376" s="110"/>
      <c r="SRL1376" s="110"/>
      <c r="SRM1376" s="110"/>
      <c r="SRN1376" s="110"/>
      <c r="SRO1376" s="110"/>
      <c r="SRP1376" s="110"/>
      <c r="SRQ1376" s="110"/>
      <c r="SRR1376" s="110"/>
      <c r="SRS1376" s="110"/>
      <c r="SRT1376" s="110"/>
      <c r="SRU1376" s="110"/>
      <c r="SRV1376" s="110"/>
      <c r="SRW1376" s="110"/>
      <c r="SRX1376" s="110"/>
      <c r="SRY1376" s="110"/>
      <c r="SRZ1376" s="110"/>
      <c r="SSA1376" s="110"/>
      <c r="SSB1376" s="110"/>
      <c r="SSC1376" s="110"/>
      <c r="SSD1376" s="110"/>
      <c r="SSE1376" s="110"/>
      <c r="SSF1376" s="110"/>
      <c r="SSG1376" s="110"/>
      <c r="SSH1376" s="110"/>
      <c r="SSI1376" s="110"/>
      <c r="SSJ1376" s="110"/>
      <c r="SSK1376" s="110"/>
      <c r="SSL1376" s="110"/>
      <c r="SSM1376" s="110"/>
      <c r="SSN1376" s="110"/>
      <c r="SSO1376" s="110"/>
      <c r="SSP1376" s="110"/>
      <c r="SSQ1376" s="110"/>
      <c r="SSR1376" s="110"/>
      <c r="SSS1376" s="110"/>
      <c r="SST1376" s="110"/>
      <c r="SSU1376" s="110"/>
      <c r="SSV1376" s="110"/>
      <c r="SSW1376" s="110"/>
      <c r="SSX1376" s="110"/>
      <c r="SSY1376" s="110"/>
      <c r="SSZ1376" s="110"/>
      <c r="STA1376" s="110"/>
      <c r="STB1376" s="110"/>
      <c r="STC1376" s="110"/>
      <c r="STD1376" s="110"/>
      <c r="STE1376" s="110"/>
      <c r="STF1376" s="110"/>
      <c r="STG1376" s="110"/>
      <c r="STH1376" s="110"/>
      <c r="STI1376" s="110"/>
      <c r="STJ1376" s="110"/>
      <c r="STK1376" s="110"/>
      <c r="STL1376" s="110"/>
      <c r="STM1376" s="110"/>
      <c r="STN1376" s="110"/>
      <c r="STO1376" s="110"/>
      <c r="STP1376" s="110"/>
      <c r="STQ1376" s="110"/>
      <c r="STR1376" s="110"/>
      <c r="STS1376" s="110"/>
      <c r="STT1376" s="110"/>
      <c r="STU1376" s="110"/>
      <c r="STV1376" s="110"/>
      <c r="STW1376" s="110"/>
      <c r="STX1376" s="110"/>
      <c r="STY1376" s="110"/>
      <c r="STZ1376" s="110"/>
      <c r="SUA1376" s="110"/>
      <c r="SUB1376" s="110"/>
      <c r="SUC1376" s="110"/>
      <c r="SUD1376" s="110"/>
      <c r="SUE1376" s="110"/>
      <c r="SUF1376" s="110"/>
      <c r="SUG1376" s="110"/>
      <c r="SUH1376" s="110"/>
      <c r="SUI1376" s="110"/>
      <c r="SUJ1376" s="110"/>
      <c r="SUK1376" s="110"/>
      <c r="SUL1376" s="110"/>
      <c r="SUM1376" s="110"/>
      <c r="SUN1376" s="110"/>
      <c r="SUO1376" s="110"/>
      <c r="SUP1376" s="110"/>
      <c r="SUQ1376" s="110"/>
      <c r="SUR1376" s="110"/>
      <c r="SUS1376" s="110"/>
      <c r="SUT1376" s="110"/>
      <c r="SUU1376" s="110"/>
      <c r="SUV1376" s="110"/>
      <c r="SUW1376" s="110"/>
      <c r="SUX1376" s="110"/>
      <c r="SUY1376" s="110"/>
      <c r="SUZ1376" s="110"/>
      <c r="SVA1376" s="110"/>
      <c r="SVB1376" s="110"/>
      <c r="SVC1376" s="110"/>
      <c r="SVD1376" s="110"/>
      <c r="SVE1376" s="110"/>
      <c r="SVF1376" s="110"/>
      <c r="SVG1376" s="110"/>
      <c r="SVH1376" s="110"/>
      <c r="SVI1376" s="110"/>
      <c r="SVJ1376" s="110"/>
      <c r="SVK1376" s="110"/>
      <c r="SVL1376" s="110"/>
      <c r="SVM1376" s="110"/>
      <c r="SVN1376" s="110"/>
      <c r="SVO1376" s="110"/>
      <c r="SVP1376" s="110"/>
      <c r="SVQ1376" s="110"/>
      <c r="SVR1376" s="110"/>
      <c r="SVS1376" s="110"/>
      <c r="SVT1376" s="110"/>
      <c r="SVU1376" s="110"/>
      <c r="SVV1376" s="110"/>
      <c r="SVW1376" s="110"/>
      <c r="SVX1376" s="110"/>
      <c r="SVY1376" s="110"/>
      <c r="SVZ1376" s="110"/>
      <c r="SWA1376" s="110"/>
      <c r="SWB1376" s="110"/>
      <c r="SWC1376" s="110"/>
      <c r="SWD1376" s="110"/>
      <c r="SWE1376" s="110"/>
      <c r="SWF1376" s="110"/>
      <c r="SWG1376" s="110"/>
      <c r="SWH1376" s="110"/>
      <c r="SWI1376" s="110"/>
      <c r="SWJ1376" s="110"/>
      <c r="SWK1376" s="110"/>
      <c r="SWL1376" s="110"/>
      <c r="SWM1376" s="110"/>
      <c r="SWN1376" s="110"/>
      <c r="SWO1376" s="110"/>
      <c r="SWP1376" s="110"/>
      <c r="SWQ1376" s="110"/>
      <c r="SWR1376" s="110"/>
      <c r="SWS1376" s="110"/>
      <c r="SWT1376" s="110"/>
      <c r="SWU1376" s="110"/>
      <c r="SWV1376" s="110"/>
      <c r="SWW1376" s="110"/>
      <c r="SWX1376" s="110"/>
      <c r="SWY1376" s="110"/>
      <c r="SWZ1376" s="110"/>
      <c r="SXA1376" s="110"/>
      <c r="SXB1376" s="110"/>
      <c r="SXC1376" s="110"/>
      <c r="SXD1376" s="110"/>
      <c r="SXE1376" s="110"/>
      <c r="SXF1376" s="110"/>
      <c r="SXG1376" s="110"/>
      <c r="SXH1376" s="110"/>
      <c r="SXI1376" s="110"/>
      <c r="SXJ1376" s="110"/>
      <c r="SXK1376" s="110"/>
      <c r="SXL1376" s="110"/>
      <c r="SXM1376" s="110"/>
      <c r="SXN1376" s="110"/>
      <c r="SXO1376" s="110"/>
      <c r="SXP1376" s="110"/>
      <c r="SXQ1376" s="110"/>
      <c r="SXR1376" s="110"/>
      <c r="SXS1376" s="110"/>
      <c r="SXT1376" s="110"/>
      <c r="SXU1376" s="110"/>
      <c r="SXV1376" s="110"/>
      <c r="SXW1376" s="110"/>
      <c r="SXX1376" s="110"/>
      <c r="SXY1376" s="110"/>
      <c r="SXZ1376" s="110"/>
      <c r="SYA1376" s="110"/>
      <c r="SYB1376" s="110"/>
      <c r="SYC1376" s="110"/>
      <c r="SYD1376" s="110"/>
      <c r="SYE1376" s="110"/>
      <c r="SYF1376" s="110"/>
      <c r="SYG1376" s="110"/>
      <c r="SYH1376" s="110"/>
      <c r="SYI1376" s="110"/>
      <c r="SYJ1376" s="110"/>
      <c r="SYK1376" s="110"/>
      <c r="SYL1376" s="110"/>
      <c r="SYM1376" s="110"/>
      <c r="SYN1376" s="110"/>
      <c r="SYO1376" s="110"/>
      <c r="SYP1376" s="110"/>
      <c r="SYQ1376" s="110"/>
      <c r="SYR1376" s="110"/>
      <c r="SYS1376" s="110"/>
      <c r="SYT1376" s="110"/>
      <c r="SYU1376" s="110"/>
      <c r="SYV1376" s="110"/>
      <c r="SYW1376" s="110"/>
      <c r="SYX1376" s="110"/>
      <c r="SYY1376" s="110"/>
      <c r="SYZ1376" s="110"/>
      <c r="SZA1376" s="110"/>
      <c r="SZB1376" s="110"/>
      <c r="SZC1376" s="110"/>
      <c r="SZD1376" s="110"/>
      <c r="SZE1376" s="110"/>
      <c r="SZF1376" s="110"/>
      <c r="SZG1376" s="110"/>
      <c r="SZH1376" s="110"/>
      <c r="SZI1376" s="110"/>
      <c r="SZJ1376" s="110"/>
      <c r="SZK1376" s="110"/>
      <c r="SZL1376" s="110"/>
      <c r="SZM1376" s="110"/>
      <c r="SZN1376" s="110"/>
      <c r="SZO1376" s="110"/>
      <c r="SZP1376" s="110"/>
      <c r="SZQ1376" s="110"/>
      <c r="SZR1376" s="110"/>
      <c r="SZS1376" s="110"/>
      <c r="SZT1376" s="110"/>
      <c r="SZU1376" s="110"/>
      <c r="SZV1376" s="110"/>
      <c r="SZW1376" s="110"/>
      <c r="SZX1376" s="110"/>
      <c r="SZY1376" s="110"/>
      <c r="SZZ1376" s="110"/>
      <c r="TAA1376" s="110"/>
      <c r="TAB1376" s="110"/>
      <c r="TAC1376" s="110"/>
      <c r="TAD1376" s="110"/>
      <c r="TAE1376" s="110"/>
      <c r="TAF1376" s="110"/>
      <c r="TAG1376" s="110"/>
      <c r="TAH1376" s="110"/>
      <c r="TAI1376" s="110"/>
      <c r="TAJ1376" s="110"/>
      <c r="TAK1376" s="110"/>
      <c r="TAL1376" s="110"/>
      <c r="TAM1376" s="110"/>
      <c r="TAN1376" s="110"/>
      <c r="TAO1376" s="110"/>
      <c r="TAP1376" s="110"/>
      <c r="TAQ1376" s="110"/>
      <c r="TAR1376" s="110"/>
      <c r="TAS1376" s="110"/>
      <c r="TAT1376" s="110"/>
      <c r="TAU1376" s="110"/>
      <c r="TAV1376" s="110"/>
      <c r="TAW1376" s="110"/>
      <c r="TAX1376" s="110"/>
      <c r="TAY1376" s="110"/>
      <c r="TAZ1376" s="110"/>
      <c r="TBA1376" s="110"/>
      <c r="TBB1376" s="110"/>
      <c r="TBC1376" s="110"/>
      <c r="TBD1376" s="110"/>
      <c r="TBE1376" s="110"/>
      <c r="TBF1376" s="110"/>
      <c r="TBG1376" s="110"/>
      <c r="TBH1376" s="110"/>
      <c r="TBI1376" s="110"/>
      <c r="TBJ1376" s="110"/>
      <c r="TBK1376" s="110"/>
      <c r="TBL1376" s="110"/>
      <c r="TBM1376" s="110"/>
      <c r="TBN1376" s="110"/>
      <c r="TBO1376" s="110"/>
      <c r="TBP1376" s="110"/>
      <c r="TBQ1376" s="110"/>
      <c r="TBR1376" s="110"/>
      <c r="TBS1376" s="110"/>
      <c r="TBT1376" s="110"/>
      <c r="TBU1376" s="110"/>
      <c r="TBV1376" s="110"/>
      <c r="TBW1376" s="110"/>
      <c r="TBX1376" s="110"/>
      <c r="TBY1376" s="110"/>
      <c r="TBZ1376" s="110"/>
      <c r="TCA1376" s="110"/>
      <c r="TCB1376" s="110"/>
      <c r="TCC1376" s="110"/>
      <c r="TCD1376" s="110"/>
      <c r="TCE1376" s="110"/>
      <c r="TCF1376" s="110"/>
      <c r="TCG1376" s="110"/>
      <c r="TCH1376" s="110"/>
      <c r="TCI1376" s="110"/>
      <c r="TCJ1376" s="110"/>
      <c r="TCK1376" s="110"/>
      <c r="TCL1376" s="110"/>
      <c r="TCM1376" s="110"/>
      <c r="TCN1376" s="110"/>
      <c r="TCO1376" s="110"/>
      <c r="TCP1376" s="110"/>
      <c r="TCQ1376" s="110"/>
      <c r="TCR1376" s="110"/>
      <c r="TCS1376" s="110"/>
      <c r="TCT1376" s="110"/>
      <c r="TCU1376" s="110"/>
      <c r="TCV1376" s="110"/>
      <c r="TCW1376" s="110"/>
      <c r="TCX1376" s="110"/>
      <c r="TCY1376" s="110"/>
      <c r="TCZ1376" s="110"/>
      <c r="TDA1376" s="110"/>
      <c r="TDB1376" s="110"/>
      <c r="TDC1376" s="110"/>
      <c r="TDD1376" s="110"/>
      <c r="TDE1376" s="110"/>
      <c r="TDF1376" s="110"/>
      <c r="TDG1376" s="110"/>
      <c r="TDH1376" s="110"/>
      <c r="TDI1376" s="110"/>
      <c r="TDJ1376" s="110"/>
      <c r="TDK1376" s="110"/>
      <c r="TDL1376" s="110"/>
      <c r="TDM1376" s="110"/>
      <c r="TDN1376" s="110"/>
      <c r="TDO1376" s="110"/>
      <c r="TDP1376" s="110"/>
      <c r="TDQ1376" s="110"/>
      <c r="TDR1376" s="110"/>
      <c r="TDS1376" s="110"/>
      <c r="TDT1376" s="110"/>
      <c r="TDU1376" s="110"/>
      <c r="TDV1376" s="110"/>
      <c r="TDW1376" s="110"/>
      <c r="TDX1376" s="110"/>
      <c r="TDY1376" s="110"/>
      <c r="TDZ1376" s="110"/>
      <c r="TEA1376" s="110"/>
      <c r="TEB1376" s="110"/>
      <c r="TEC1376" s="110"/>
      <c r="TED1376" s="110"/>
      <c r="TEE1376" s="110"/>
      <c r="TEF1376" s="110"/>
      <c r="TEG1376" s="110"/>
      <c r="TEH1376" s="110"/>
      <c r="TEI1376" s="110"/>
      <c r="TEJ1376" s="110"/>
      <c r="TEK1376" s="110"/>
      <c r="TEL1376" s="110"/>
      <c r="TEM1376" s="110"/>
      <c r="TEN1376" s="110"/>
      <c r="TEO1376" s="110"/>
      <c r="TEP1376" s="110"/>
      <c r="TEQ1376" s="110"/>
      <c r="TER1376" s="110"/>
      <c r="TES1376" s="110"/>
      <c r="TET1376" s="110"/>
      <c r="TEU1376" s="110"/>
      <c r="TEV1376" s="110"/>
      <c r="TEW1376" s="110"/>
      <c r="TEX1376" s="110"/>
      <c r="TEY1376" s="110"/>
      <c r="TEZ1376" s="110"/>
      <c r="TFA1376" s="110"/>
      <c r="TFB1376" s="110"/>
      <c r="TFC1376" s="110"/>
      <c r="TFD1376" s="110"/>
      <c r="TFE1376" s="110"/>
      <c r="TFF1376" s="110"/>
      <c r="TFG1376" s="110"/>
      <c r="TFH1376" s="110"/>
      <c r="TFI1376" s="110"/>
      <c r="TFJ1376" s="110"/>
      <c r="TFK1376" s="110"/>
      <c r="TFL1376" s="110"/>
      <c r="TFM1376" s="110"/>
      <c r="TFN1376" s="110"/>
      <c r="TFO1376" s="110"/>
      <c r="TFP1376" s="110"/>
      <c r="TFQ1376" s="110"/>
      <c r="TFR1376" s="110"/>
      <c r="TFS1376" s="110"/>
      <c r="TFT1376" s="110"/>
      <c r="TFU1376" s="110"/>
      <c r="TFV1376" s="110"/>
      <c r="TFW1376" s="110"/>
      <c r="TFX1376" s="110"/>
      <c r="TFY1376" s="110"/>
      <c r="TFZ1376" s="110"/>
      <c r="TGA1376" s="110"/>
      <c r="TGB1376" s="110"/>
      <c r="TGC1376" s="110"/>
      <c r="TGD1376" s="110"/>
      <c r="TGE1376" s="110"/>
      <c r="TGF1376" s="110"/>
      <c r="TGG1376" s="110"/>
      <c r="TGH1376" s="110"/>
      <c r="TGI1376" s="110"/>
      <c r="TGJ1376" s="110"/>
      <c r="TGK1376" s="110"/>
      <c r="TGL1376" s="110"/>
      <c r="TGM1376" s="110"/>
      <c r="TGN1376" s="110"/>
      <c r="TGO1376" s="110"/>
      <c r="TGP1376" s="110"/>
      <c r="TGQ1376" s="110"/>
      <c r="TGR1376" s="110"/>
      <c r="TGS1376" s="110"/>
      <c r="TGT1376" s="110"/>
      <c r="TGU1376" s="110"/>
      <c r="TGV1376" s="110"/>
      <c r="TGW1376" s="110"/>
      <c r="TGX1376" s="110"/>
      <c r="TGY1376" s="110"/>
      <c r="TGZ1376" s="110"/>
      <c r="THA1376" s="110"/>
      <c r="THB1376" s="110"/>
      <c r="THC1376" s="110"/>
      <c r="THD1376" s="110"/>
      <c r="THE1376" s="110"/>
      <c r="THF1376" s="110"/>
      <c r="THG1376" s="110"/>
      <c r="THH1376" s="110"/>
      <c r="THI1376" s="110"/>
      <c r="THJ1376" s="110"/>
      <c r="THK1376" s="110"/>
      <c r="THL1376" s="110"/>
      <c r="THM1376" s="110"/>
      <c r="THN1376" s="110"/>
      <c r="THO1376" s="110"/>
      <c r="THP1376" s="110"/>
      <c r="THQ1376" s="110"/>
      <c r="THR1376" s="110"/>
      <c r="THS1376" s="110"/>
      <c r="THT1376" s="110"/>
      <c r="THU1376" s="110"/>
      <c r="THV1376" s="110"/>
      <c r="THW1376" s="110"/>
      <c r="THX1376" s="110"/>
      <c r="THY1376" s="110"/>
      <c r="THZ1376" s="110"/>
      <c r="TIA1376" s="110"/>
      <c r="TIB1376" s="110"/>
      <c r="TIC1376" s="110"/>
      <c r="TID1376" s="110"/>
      <c r="TIE1376" s="110"/>
      <c r="TIF1376" s="110"/>
      <c r="TIG1376" s="110"/>
      <c r="TIH1376" s="110"/>
      <c r="TII1376" s="110"/>
      <c r="TIJ1376" s="110"/>
      <c r="TIK1376" s="110"/>
      <c r="TIL1376" s="110"/>
      <c r="TIM1376" s="110"/>
      <c r="TIN1376" s="110"/>
      <c r="TIO1376" s="110"/>
      <c r="TIP1376" s="110"/>
      <c r="TIQ1376" s="110"/>
      <c r="TIR1376" s="110"/>
      <c r="TIS1376" s="110"/>
      <c r="TIT1376" s="110"/>
      <c r="TIU1376" s="110"/>
      <c r="TIV1376" s="110"/>
      <c r="TIW1376" s="110"/>
      <c r="TIX1376" s="110"/>
      <c r="TIY1376" s="110"/>
      <c r="TIZ1376" s="110"/>
      <c r="TJA1376" s="110"/>
      <c r="TJB1376" s="110"/>
      <c r="TJC1376" s="110"/>
      <c r="TJD1376" s="110"/>
      <c r="TJE1376" s="110"/>
      <c r="TJF1376" s="110"/>
      <c r="TJG1376" s="110"/>
      <c r="TJH1376" s="110"/>
      <c r="TJI1376" s="110"/>
      <c r="TJJ1376" s="110"/>
      <c r="TJK1376" s="110"/>
      <c r="TJL1376" s="110"/>
      <c r="TJM1376" s="110"/>
      <c r="TJN1376" s="110"/>
      <c r="TJO1376" s="110"/>
      <c r="TJP1376" s="110"/>
      <c r="TJQ1376" s="110"/>
      <c r="TJR1376" s="110"/>
      <c r="TJS1376" s="110"/>
      <c r="TJT1376" s="110"/>
      <c r="TJU1376" s="110"/>
      <c r="TJV1376" s="110"/>
      <c r="TJW1376" s="110"/>
      <c r="TJX1376" s="110"/>
      <c r="TJY1376" s="110"/>
      <c r="TJZ1376" s="110"/>
      <c r="TKA1376" s="110"/>
      <c r="TKB1376" s="110"/>
      <c r="TKC1376" s="110"/>
      <c r="TKD1376" s="110"/>
      <c r="TKE1376" s="110"/>
      <c r="TKF1376" s="110"/>
      <c r="TKG1376" s="110"/>
      <c r="TKH1376" s="110"/>
      <c r="TKI1376" s="110"/>
      <c r="TKJ1376" s="110"/>
      <c r="TKK1376" s="110"/>
      <c r="TKL1376" s="110"/>
      <c r="TKM1376" s="110"/>
      <c r="TKN1376" s="110"/>
      <c r="TKO1376" s="110"/>
      <c r="TKP1376" s="110"/>
      <c r="TKQ1376" s="110"/>
      <c r="TKR1376" s="110"/>
      <c r="TKS1376" s="110"/>
      <c r="TKT1376" s="110"/>
      <c r="TKU1376" s="110"/>
      <c r="TKV1376" s="110"/>
      <c r="TKW1376" s="110"/>
      <c r="TKX1376" s="110"/>
      <c r="TKY1376" s="110"/>
      <c r="TKZ1376" s="110"/>
      <c r="TLA1376" s="110"/>
      <c r="TLB1376" s="110"/>
      <c r="TLC1376" s="110"/>
      <c r="TLD1376" s="110"/>
      <c r="TLE1376" s="110"/>
      <c r="TLF1376" s="110"/>
      <c r="TLG1376" s="110"/>
      <c r="TLH1376" s="110"/>
      <c r="TLI1376" s="110"/>
      <c r="TLJ1376" s="110"/>
      <c r="TLK1376" s="110"/>
      <c r="TLL1376" s="110"/>
      <c r="TLM1376" s="110"/>
      <c r="TLN1376" s="110"/>
      <c r="TLO1376" s="110"/>
      <c r="TLP1376" s="110"/>
      <c r="TLQ1376" s="110"/>
      <c r="TLR1376" s="110"/>
      <c r="TLS1376" s="110"/>
      <c r="TLT1376" s="110"/>
      <c r="TLU1376" s="110"/>
      <c r="TLV1376" s="110"/>
      <c r="TLW1376" s="110"/>
      <c r="TLX1376" s="110"/>
      <c r="TLY1376" s="110"/>
      <c r="TLZ1376" s="110"/>
      <c r="TMA1376" s="110"/>
      <c r="TMB1376" s="110"/>
      <c r="TMC1376" s="110"/>
      <c r="TMD1376" s="110"/>
      <c r="TME1376" s="110"/>
      <c r="TMF1376" s="110"/>
      <c r="TMG1376" s="110"/>
      <c r="TMH1376" s="110"/>
      <c r="TMI1376" s="110"/>
      <c r="TMJ1376" s="110"/>
      <c r="TMK1376" s="110"/>
      <c r="TML1376" s="110"/>
      <c r="TMM1376" s="110"/>
      <c r="TMN1376" s="110"/>
      <c r="TMO1376" s="110"/>
      <c r="TMP1376" s="110"/>
      <c r="TMQ1376" s="110"/>
      <c r="TMR1376" s="110"/>
      <c r="TMS1376" s="110"/>
      <c r="TMT1376" s="110"/>
      <c r="TMU1376" s="110"/>
      <c r="TMV1376" s="110"/>
      <c r="TMW1376" s="110"/>
      <c r="TMX1376" s="110"/>
      <c r="TMY1376" s="110"/>
      <c r="TMZ1376" s="110"/>
      <c r="TNA1376" s="110"/>
      <c r="TNB1376" s="110"/>
      <c r="TNC1376" s="110"/>
      <c r="TND1376" s="110"/>
      <c r="TNE1376" s="110"/>
      <c r="TNF1376" s="110"/>
      <c r="TNG1376" s="110"/>
      <c r="TNH1376" s="110"/>
      <c r="TNI1376" s="110"/>
      <c r="TNJ1376" s="110"/>
      <c r="TNK1376" s="110"/>
      <c r="TNL1376" s="110"/>
      <c r="TNM1376" s="110"/>
      <c r="TNN1376" s="110"/>
      <c r="TNO1376" s="110"/>
      <c r="TNP1376" s="110"/>
      <c r="TNQ1376" s="110"/>
      <c r="TNR1376" s="110"/>
      <c r="TNS1376" s="110"/>
      <c r="TNT1376" s="110"/>
      <c r="TNU1376" s="110"/>
      <c r="TNV1376" s="110"/>
      <c r="TNW1376" s="110"/>
      <c r="TNX1376" s="110"/>
      <c r="TNY1376" s="110"/>
      <c r="TNZ1376" s="110"/>
      <c r="TOA1376" s="110"/>
      <c r="TOB1376" s="110"/>
      <c r="TOC1376" s="110"/>
      <c r="TOD1376" s="110"/>
      <c r="TOE1376" s="110"/>
      <c r="TOF1376" s="110"/>
      <c r="TOG1376" s="110"/>
      <c r="TOH1376" s="110"/>
      <c r="TOI1376" s="110"/>
      <c r="TOJ1376" s="110"/>
      <c r="TOK1376" s="110"/>
      <c r="TOL1376" s="110"/>
      <c r="TOM1376" s="110"/>
      <c r="TON1376" s="110"/>
      <c r="TOO1376" s="110"/>
      <c r="TOP1376" s="110"/>
      <c r="TOQ1376" s="110"/>
      <c r="TOR1376" s="110"/>
      <c r="TOS1376" s="110"/>
      <c r="TOT1376" s="110"/>
      <c r="TOU1376" s="110"/>
      <c r="TOV1376" s="110"/>
      <c r="TOW1376" s="110"/>
      <c r="TOX1376" s="110"/>
      <c r="TOY1376" s="110"/>
      <c r="TOZ1376" s="110"/>
      <c r="TPA1376" s="110"/>
      <c r="TPB1376" s="110"/>
      <c r="TPC1376" s="110"/>
      <c r="TPD1376" s="110"/>
      <c r="TPE1376" s="110"/>
      <c r="TPF1376" s="110"/>
      <c r="TPG1376" s="110"/>
      <c r="TPH1376" s="110"/>
      <c r="TPI1376" s="110"/>
      <c r="TPJ1376" s="110"/>
      <c r="TPK1376" s="110"/>
      <c r="TPL1376" s="110"/>
      <c r="TPM1376" s="110"/>
      <c r="TPN1376" s="110"/>
      <c r="TPO1376" s="110"/>
      <c r="TPP1376" s="110"/>
      <c r="TPQ1376" s="110"/>
      <c r="TPR1376" s="110"/>
      <c r="TPS1376" s="110"/>
      <c r="TPT1376" s="110"/>
      <c r="TPU1376" s="110"/>
      <c r="TPV1376" s="110"/>
      <c r="TPW1376" s="110"/>
      <c r="TPX1376" s="110"/>
      <c r="TPY1376" s="110"/>
      <c r="TPZ1376" s="110"/>
      <c r="TQA1376" s="110"/>
      <c r="TQB1376" s="110"/>
      <c r="TQC1376" s="110"/>
      <c r="TQD1376" s="110"/>
      <c r="TQE1376" s="110"/>
      <c r="TQF1376" s="110"/>
      <c r="TQG1376" s="110"/>
      <c r="TQH1376" s="110"/>
      <c r="TQI1376" s="110"/>
      <c r="TQJ1376" s="110"/>
      <c r="TQK1376" s="110"/>
      <c r="TQL1376" s="110"/>
      <c r="TQM1376" s="110"/>
      <c r="TQN1376" s="110"/>
      <c r="TQO1376" s="110"/>
      <c r="TQP1376" s="110"/>
      <c r="TQQ1376" s="110"/>
      <c r="TQR1376" s="110"/>
      <c r="TQS1376" s="110"/>
      <c r="TQT1376" s="110"/>
      <c r="TQU1376" s="110"/>
      <c r="TQV1376" s="110"/>
      <c r="TQW1376" s="110"/>
      <c r="TQX1376" s="110"/>
      <c r="TQY1376" s="110"/>
      <c r="TQZ1376" s="110"/>
      <c r="TRA1376" s="110"/>
      <c r="TRB1376" s="110"/>
      <c r="TRC1376" s="110"/>
      <c r="TRD1376" s="110"/>
      <c r="TRE1376" s="110"/>
      <c r="TRF1376" s="110"/>
      <c r="TRG1376" s="110"/>
      <c r="TRH1376" s="110"/>
      <c r="TRI1376" s="110"/>
      <c r="TRJ1376" s="110"/>
      <c r="TRK1376" s="110"/>
      <c r="TRL1376" s="110"/>
      <c r="TRM1376" s="110"/>
      <c r="TRN1376" s="110"/>
      <c r="TRO1376" s="110"/>
      <c r="TRP1376" s="110"/>
      <c r="TRQ1376" s="110"/>
      <c r="TRR1376" s="110"/>
      <c r="TRS1376" s="110"/>
      <c r="TRT1376" s="110"/>
      <c r="TRU1376" s="110"/>
      <c r="TRV1376" s="110"/>
      <c r="TRW1376" s="110"/>
      <c r="TRX1376" s="110"/>
      <c r="TRY1376" s="110"/>
      <c r="TRZ1376" s="110"/>
      <c r="TSA1376" s="110"/>
      <c r="TSB1376" s="110"/>
      <c r="TSC1376" s="110"/>
      <c r="TSD1376" s="110"/>
      <c r="TSE1376" s="110"/>
      <c r="TSF1376" s="110"/>
      <c r="TSG1376" s="110"/>
      <c r="TSH1376" s="110"/>
      <c r="TSI1376" s="110"/>
      <c r="TSJ1376" s="110"/>
      <c r="TSK1376" s="110"/>
      <c r="TSL1376" s="110"/>
      <c r="TSM1376" s="110"/>
      <c r="TSN1376" s="110"/>
      <c r="TSO1376" s="110"/>
      <c r="TSP1376" s="110"/>
      <c r="TSQ1376" s="110"/>
      <c r="TSR1376" s="110"/>
      <c r="TSS1376" s="110"/>
      <c r="TST1376" s="110"/>
      <c r="TSU1376" s="110"/>
      <c r="TSV1376" s="110"/>
      <c r="TSW1376" s="110"/>
      <c r="TSX1376" s="110"/>
      <c r="TSY1376" s="110"/>
      <c r="TSZ1376" s="110"/>
      <c r="TTA1376" s="110"/>
      <c r="TTB1376" s="110"/>
      <c r="TTC1376" s="110"/>
      <c r="TTD1376" s="110"/>
      <c r="TTE1376" s="110"/>
      <c r="TTF1376" s="110"/>
      <c r="TTG1376" s="110"/>
      <c r="TTH1376" s="110"/>
      <c r="TTI1376" s="110"/>
      <c r="TTJ1376" s="110"/>
      <c r="TTK1376" s="110"/>
      <c r="TTL1376" s="110"/>
      <c r="TTM1376" s="110"/>
      <c r="TTN1376" s="110"/>
      <c r="TTO1376" s="110"/>
      <c r="TTP1376" s="110"/>
      <c r="TTQ1376" s="110"/>
      <c r="TTR1376" s="110"/>
      <c r="TTS1376" s="110"/>
      <c r="TTT1376" s="110"/>
      <c r="TTU1376" s="110"/>
      <c r="TTV1376" s="110"/>
      <c r="TTW1376" s="110"/>
      <c r="TTX1376" s="110"/>
      <c r="TTY1376" s="110"/>
      <c r="TTZ1376" s="110"/>
      <c r="TUA1376" s="110"/>
      <c r="TUB1376" s="110"/>
      <c r="TUC1376" s="110"/>
      <c r="TUD1376" s="110"/>
      <c r="TUE1376" s="110"/>
      <c r="TUF1376" s="110"/>
      <c r="TUG1376" s="110"/>
      <c r="TUH1376" s="110"/>
      <c r="TUI1376" s="110"/>
      <c r="TUJ1376" s="110"/>
      <c r="TUK1376" s="110"/>
      <c r="TUL1376" s="110"/>
      <c r="TUM1376" s="110"/>
      <c r="TUN1376" s="110"/>
      <c r="TUO1376" s="110"/>
      <c r="TUP1376" s="110"/>
      <c r="TUQ1376" s="110"/>
      <c r="TUR1376" s="110"/>
      <c r="TUS1376" s="110"/>
      <c r="TUT1376" s="110"/>
      <c r="TUU1376" s="110"/>
      <c r="TUV1376" s="110"/>
      <c r="TUW1376" s="110"/>
      <c r="TUX1376" s="110"/>
      <c r="TUY1376" s="110"/>
      <c r="TUZ1376" s="110"/>
      <c r="TVA1376" s="110"/>
      <c r="TVB1376" s="110"/>
      <c r="TVC1376" s="110"/>
      <c r="TVD1376" s="110"/>
      <c r="TVE1376" s="110"/>
      <c r="TVF1376" s="110"/>
      <c r="TVG1376" s="110"/>
      <c r="TVH1376" s="110"/>
      <c r="TVI1376" s="110"/>
      <c r="TVJ1376" s="110"/>
      <c r="TVK1376" s="110"/>
      <c r="TVL1376" s="110"/>
      <c r="TVM1376" s="110"/>
      <c r="TVN1376" s="110"/>
      <c r="TVO1376" s="110"/>
      <c r="TVP1376" s="110"/>
      <c r="TVQ1376" s="110"/>
      <c r="TVR1376" s="110"/>
      <c r="TVS1376" s="110"/>
      <c r="TVT1376" s="110"/>
      <c r="TVU1376" s="110"/>
      <c r="TVV1376" s="110"/>
      <c r="TVW1376" s="110"/>
      <c r="TVX1376" s="110"/>
      <c r="TVY1376" s="110"/>
      <c r="TVZ1376" s="110"/>
      <c r="TWA1376" s="110"/>
      <c r="TWB1376" s="110"/>
      <c r="TWC1376" s="110"/>
      <c r="TWD1376" s="110"/>
      <c r="TWE1376" s="110"/>
      <c r="TWF1376" s="110"/>
      <c r="TWG1376" s="110"/>
      <c r="TWH1376" s="110"/>
      <c r="TWI1376" s="110"/>
      <c r="TWJ1376" s="110"/>
      <c r="TWK1376" s="110"/>
      <c r="TWL1376" s="110"/>
      <c r="TWM1376" s="110"/>
      <c r="TWN1376" s="110"/>
      <c r="TWO1376" s="110"/>
      <c r="TWP1376" s="110"/>
      <c r="TWQ1376" s="110"/>
      <c r="TWR1376" s="110"/>
      <c r="TWS1376" s="110"/>
      <c r="TWT1376" s="110"/>
      <c r="TWU1376" s="110"/>
      <c r="TWV1376" s="110"/>
      <c r="TWW1376" s="110"/>
      <c r="TWX1376" s="110"/>
      <c r="TWY1376" s="110"/>
      <c r="TWZ1376" s="110"/>
      <c r="TXA1376" s="110"/>
      <c r="TXB1376" s="110"/>
      <c r="TXC1376" s="110"/>
      <c r="TXD1376" s="110"/>
      <c r="TXE1376" s="110"/>
      <c r="TXF1376" s="110"/>
      <c r="TXG1376" s="110"/>
      <c r="TXH1376" s="110"/>
      <c r="TXI1376" s="110"/>
      <c r="TXJ1376" s="110"/>
      <c r="TXK1376" s="110"/>
      <c r="TXL1376" s="110"/>
      <c r="TXM1376" s="110"/>
      <c r="TXN1376" s="110"/>
      <c r="TXO1376" s="110"/>
      <c r="TXP1376" s="110"/>
      <c r="TXQ1376" s="110"/>
      <c r="TXR1376" s="110"/>
      <c r="TXS1376" s="110"/>
      <c r="TXT1376" s="110"/>
      <c r="TXU1376" s="110"/>
      <c r="TXV1376" s="110"/>
      <c r="TXW1376" s="110"/>
      <c r="TXX1376" s="110"/>
      <c r="TXY1376" s="110"/>
      <c r="TXZ1376" s="110"/>
      <c r="TYA1376" s="110"/>
      <c r="TYB1376" s="110"/>
      <c r="TYC1376" s="110"/>
      <c r="TYD1376" s="110"/>
      <c r="TYE1376" s="110"/>
      <c r="TYF1376" s="110"/>
      <c r="TYG1376" s="110"/>
      <c r="TYH1376" s="110"/>
      <c r="TYI1376" s="110"/>
      <c r="TYJ1376" s="110"/>
      <c r="TYK1376" s="110"/>
      <c r="TYL1376" s="110"/>
      <c r="TYM1376" s="110"/>
      <c r="TYN1376" s="110"/>
      <c r="TYO1376" s="110"/>
      <c r="TYP1376" s="110"/>
      <c r="TYQ1376" s="110"/>
      <c r="TYR1376" s="110"/>
      <c r="TYS1376" s="110"/>
      <c r="TYT1376" s="110"/>
      <c r="TYU1376" s="110"/>
      <c r="TYV1376" s="110"/>
      <c r="TYW1376" s="110"/>
      <c r="TYX1376" s="110"/>
      <c r="TYY1376" s="110"/>
      <c r="TYZ1376" s="110"/>
      <c r="TZA1376" s="110"/>
      <c r="TZB1376" s="110"/>
      <c r="TZC1376" s="110"/>
      <c r="TZD1376" s="110"/>
      <c r="TZE1376" s="110"/>
      <c r="TZF1376" s="110"/>
      <c r="TZG1376" s="110"/>
      <c r="TZH1376" s="110"/>
      <c r="TZI1376" s="110"/>
      <c r="TZJ1376" s="110"/>
      <c r="TZK1376" s="110"/>
      <c r="TZL1376" s="110"/>
      <c r="TZM1376" s="110"/>
      <c r="TZN1376" s="110"/>
      <c r="TZO1376" s="110"/>
      <c r="TZP1376" s="110"/>
      <c r="TZQ1376" s="110"/>
      <c r="TZR1376" s="110"/>
      <c r="TZS1376" s="110"/>
      <c r="TZT1376" s="110"/>
      <c r="TZU1376" s="110"/>
      <c r="TZV1376" s="110"/>
      <c r="TZW1376" s="110"/>
      <c r="TZX1376" s="110"/>
      <c r="TZY1376" s="110"/>
      <c r="TZZ1376" s="110"/>
      <c r="UAA1376" s="110"/>
      <c r="UAB1376" s="110"/>
      <c r="UAC1376" s="110"/>
      <c r="UAD1376" s="110"/>
      <c r="UAE1376" s="110"/>
      <c r="UAF1376" s="110"/>
      <c r="UAG1376" s="110"/>
      <c r="UAH1376" s="110"/>
      <c r="UAI1376" s="110"/>
      <c r="UAJ1376" s="110"/>
      <c r="UAK1376" s="110"/>
      <c r="UAL1376" s="110"/>
      <c r="UAM1376" s="110"/>
      <c r="UAN1376" s="110"/>
      <c r="UAO1376" s="110"/>
      <c r="UAP1376" s="110"/>
      <c r="UAQ1376" s="110"/>
      <c r="UAR1376" s="110"/>
      <c r="UAS1376" s="110"/>
      <c r="UAT1376" s="110"/>
      <c r="UAU1376" s="110"/>
      <c r="UAV1376" s="110"/>
      <c r="UAW1376" s="110"/>
      <c r="UAX1376" s="110"/>
      <c r="UAY1376" s="110"/>
      <c r="UAZ1376" s="110"/>
      <c r="UBA1376" s="110"/>
      <c r="UBB1376" s="110"/>
      <c r="UBC1376" s="110"/>
      <c r="UBD1376" s="110"/>
      <c r="UBE1376" s="110"/>
      <c r="UBF1376" s="110"/>
      <c r="UBG1376" s="110"/>
      <c r="UBH1376" s="110"/>
      <c r="UBI1376" s="110"/>
      <c r="UBJ1376" s="110"/>
      <c r="UBK1376" s="110"/>
      <c r="UBL1376" s="110"/>
      <c r="UBM1376" s="110"/>
      <c r="UBN1376" s="110"/>
      <c r="UBO1376" s="110"/>
      <c r="UBP1376" s="110"/>
      <c r="UBQ1376" s="110"/>
      <c r="UBR1376" s="110"/>
      <c r="UBS1376" s="110"/>
      <c r="UBT1376" s="110"/>
      <c r="UBU1376" s="110"/>
      <c r="UBV1376" s="110"/>
      <c r="UBW1376" s="110"/>
      <c r="UBX1376" s="110"/>
      <c r="UBY1376" s="110"/>
      <c r="UBZ1376" s="110"/>
      <c r="UCA1376" s="110"/>
      <c r="UCB1376" s="110"/>
      <c r="UCC1376" s="110"/>
      <c r="UCD1376" s="110"/>
      <c r="UCE1376" s="110"/>
      <c r="UCF1376" s="110"/>
      <c r="UCG1376" s="110"/>
      <c r="UCH1376" s="110"/>
      <c r="UCI1376" s="110"/>
      <c r="UCJ1376" s="110"/>
      <c r="UCK1376" s="110"/>
      <c r="UCL1376" s="110"/>
      <c r="UCM1376" s="110"/>
      <c r="UCN1376" s="110"/>
      <c r="UCO1376" s="110"/>
      <c r="UCP1376" s="110"/>
      <c r="UCQ1376" s="110"/>
      <c r="UCR1376" s="110"/>
      <c r="UCS1376" s="110"/>
      <c r="UCT1376" s="110"/>
      <c r="UCU1376" s="110"/>
      <c r="UCV1376" s="110"/>
      <c r="UCW1376" s="110"/>
      <c r="UCX1376" s="110"/>
      <c r="UCY1376" s="110"/>
      <c r="UCZ1376" s="110"/>
      <c r="UDA1376" s="110"/>
      <c r="UDB1376" s="110"/>
      <c r="UDC1376" s="110"/>
      <c r="UDD1376" s="110"/>
      <c r="UDE1376" s="110"/>
      <c r="UDF1376" s="110"/>
      <c r="UDG1376" s="110"/>
      <c r="UDH1376" s="110"/>
      <c r="UDI1376" s="110"/>
      <c r="UDJ1376" s="110"/>
      <c r="UDK1376" s="110"/>
      <c r="UDL1376" s="110"/>
      <c r="UDM1376" s="110"/>
      <c r="UDN1376" s="110"/>
      <c r="UDO1376" s="110"/>
      <c r="UDP1376" s="110"/>
      <c r="UDQ1376" s="110"/>
      <c r="UDR1376" s="110"/>
      <c r="UDS1376" s="110"/>
      <c r="UDT1376" s="110"/>
      <c r="UDU1376" s="110"/>
      <c r="UDV1376" s="110"/>
      <c r="UDW1376" s="110"/>
      <c r="UDX1376" s="110"/>
      <c r="UDY1376" s="110"/>
      <c r="UDZ1376" s="110"/>
      <c r="UEA1376" s="110"/>
      <c r="UEB1376" s="110"/>
      <c r="UEC1376" s="110"/>
      <c r="UED1376" s="110"/>
      <c r="UEE1376" s="110"/>
      <c r="UEF1376" s="110"/>
      <c r="UEG1376" s="110"/>
      <c r="UEH1376" s="110"/>
      <c r="UEI1376" s="110"/>
      <c r="UEJ1376" s="110"/>
      <c r="UEK1376" s="110"/>
      <c r="UEL1376" s="110"/>
      <c r="UEM1376" s="110"/>
      <c r="UEN1376" s="110"/>
      <c r="UEO1376" s="110"/>
      <c r="UEP1376" s="110"/>
      <c r="UEQ1376" s="110"/>
      <c r="UER1376" s="110"/>
      <c r="UES1376" s="110"/>
      <c r="UET1376" s="110"/>
      <c r="UEU1376" s="110"/>
      <c r="UEV1376" s="110"/>
      <c r="UEW1376" s="110"/>
      <c r="UEX1376" s="110"/>
      <c r="UEY1376" s="110"/>
      <c r="UEZ1376" s="110"/>
      <c r="UFA1376" s="110"/>
      <c r="UFB1376" s="110"/>
      <c r="UFC1376" s="110"/>
      <c r="UFD1376" s="110"/>
      <c r="UFE1376" s="110"/>
      <c r="UFF1376" s="110"/>
      <c r="UFG1376" s="110"/>
      <c r="UFH1376" s="110"/>
      <c r="UFI1376" s="110"/>
      <c r="UFJ1376" s="110"/>
      <c r="UFK1376" s="110"/>
      <c r="UFL1376" s="110"/>
      <c r="UFM1376" s="110"/>
      <c r="UFN1376" s="110"/>
      <c r="UFO1376" s="110"/>
      <c r="UFP1376" s="110"/>
      <c r="UFQ1376" s="110"/>
      <c r="UFR1376" s="110"/>
      <c r="UFS1376" s="110"/>
      <c r="UFT1376" s="110"/>
      <c r="UFU1376" s="110"/>
      <c r="UFV1376" s="110"/>
      <c r="UFW1376" s="110"/>
      <c r="UFX1376" s="110"/>
      <c r="UFY1376" s="110"/>
      <c r="UFZ1376" s="110"/>
      <c r="UGA1376" s="110"/>
      <c r="UGB1376" s="110"/>
      <c r="UGC1376" s="110"/>
      <c r="UGD1376" s="110"/>
      <c r="UGE1376" s="110"/>
      <c r="UGF1376" s="110"/>
      <c r="UGG1376" s="110"/>
      <c r="UGH1376" s="110"/>
      <c r="UGI1376" s="110"/>
      <c r="UGJ1376" s="110"/>
      <c r="UGK1376" s="110"/>
      <c r="UGL1376" s="110"/>
      <c r="UGM1376" s="110"/>
      <c r="UGN1376" s="110"/>
      <c r="UGO1376" s="110"/>
      <c r="UGP1376" s="110"/>
      <c r="UGQ1376" s="110"/>
      <c r="UGR1376" s="110"/>
      <c r="UGS1376" s="110"/>
      <c r="UGT1376" s="110"/>
      <c r="UGU1376" s="110"/>
      <c r="UGV1376" s="110"/>
      <c r="UGW1376" s="110"/>
      <c r="UGX1376" s="110"/>
      <c r="UGY1376" s="110"/>
      <c r="UGZ1376" s="110"/>
      <c r="UHA1376" s="110"/>
      <c r="UHB1376" s="110"/>
      <c r="UHC1376" s="110"/>
      <c r="UHD1376" s="110"/>
      <c r="UHE1376" s="110"/>
      <c r="UHF1376" s="110"/>
      <c r="UHG1376" s="110"/>
      <c r="UHH1376" s="110"/>
      <c r="UHI1376" s="110"/>
      <c r="UHJ1376" s="110"/>
      <c r="UHK1376" s="110"/>
      <c r="UHL1376" s="110"/>
      <c r="UHM1376" s="110"/>
      <c r="UHN1376" s="110"/>
      <c r="UHO1376" s="110"/>
      <c r="UHP1376" s="110"/>
      <c r="UHQ1376" s="110"/>
      <c r="UHR1376" s="110"/>
      <c r="UHS1376" s="110"/>
      <c r="UHT1376" s="110"/>
      <c r="UHU1376" s="110"/>
      <c r="UHV1376" s="110"/>
      <c r="UHW1376" s="110"/>
      <c r="UHX1376" s="110"/>
      <c r="UHY1376" s="110"/>
      <c r="UHZ1376" s="110"/>
      <c r="UIA1376" s="110"/>
      <c r="UIB1376" s="110"/>
      <c r="UIC1376" s="110"/>
      <c r="UID1376" s="110"/>
      <c r="UIE1376" s="110"/>
      <c r="UIF1376" s="110"/>
      <c r="UIG1376" s="110"/>
      <c r="UIH1376" s="110"/>
      <c r="UII1376" s="110"/>
      <c r="UIJ1376" s="110"/>
      <c r="UIK1376" s="110"/>
      <c r="UIL1376" s="110"/>
      <c r="UIM1376" s="110"/>
      <c r="UIN1376" s="110"/>
      <c r="UIO1376" s="110"/>
      <c r="UIP1376" s="110"/>
      <c r="UIQ1376" s="110"/>
      <c r="UIR1376" s="110"/>
      <c r="UIS1376" s="110"/>
      <c r="UIT1376" s="110"/>
      <c r="UIU1376" s="110"/>
      <c r="UIV1376" s="110"/>
      <c r="UIW1376" s="110"/>
      <c r="UIX1376" s="110"/>
      <c r="UIY1376" s="110"/>
      <c r="UIZ1376" s="110"/>
      <c r="UJA1376" s="110"/>
      <c r="UJB1376" s="110"/>
      <c r="UJC1376" s="110"/>
      <c r="UJD1376" s="110"/>
      <c r="UJE1376" s="110"/>
      <c r="UJF1376" s="110"/>
      <c r="UJG1376" s="110"/>
      <c r="UJH1376" s="110"/>
      <c r="UJI1376" s="110"/>
      <c r="UJJ1376" s="110"/>
      <c r="UJK1376" s="110"/>
      <c r="UJL1376" s="110"/>
      <c r="UJM1376" s="110"/>
      <c r="UJN1376" s="110"/>
      <c r="UJO1376" s="110"/>
      <c r="UJP1376" s="110"/>
      <c r="UJQ1376" s="110"/>
      <c r="UJR1376" s="110"/>
      <c r="UJS1376" s="110"/>
      <c r="UJT1376" s="110"/>
      <c r="UJU1376" s="110"/>
      <c r="UJV1376" s="110"/>
      <c r="UJW1376" s="110"/>
      <c r="UJX1376" s="110"/>
      <c r="UJY1376" s="110"/>
      <c r="UJZ1376" s="110"/>
      <c r="UKA1376" s="110"/>
      <c r="UKB1376" s="110"/>
      <c r="UKC1376" s="110"/>
      <c r="UKD1376" s="110"/>
      <c r="UKE1376" s="110"/>
      <c r="UKF1376" s="110"/>
      <c r="UKG1376" s="110"/>
      <c r="UKH1376" s="110"/>
      <c r="UKI1376" s="110"/>
      <c r="UKJ1376" s="110"/>
      <c r="UKK1376" s="110"/>
      <c r="UKL1376" s="110"/>
      <c r="UKM1376" s="110"/>
      <c r="UKN1376" s="110"/>
      <c r="UKO1376" s="110"/>
      <c r="UKP1376" s="110"/>
      <c r="UKQ1376" s="110"/>
      <c r="UKR1376" s="110"/>
      <c r="UKS1376" s="110"/>
      <c r="UKT1376" s="110"/>
      <c r="UKU1376" s="110"/>
      <c r="UKV1376" s="110"/>
      <c r="UKW1376" s="110"/>
      <c r="UKX1376" s="110"/>
      <c r="UKY1376" s="110"/>
      <c r="UKZ1376" s="110"/>
      <c r="ULA1376" s="110"/>
      <c r="ULB1376" s="110"/>
      <c r="ULC1376" s="110"/>
      <c r="ULD1376" s="110"/>
      <c r="ULE1376" s="110"/>
      <c r="ULF1376" s="110"/>
      <c r="ULG1376" s="110"/>
      <c r="ULH1376" s="110"/>
      <c r="ULI1376" s="110"/>
      <c r="ULJ1376" s="110"/>
      <c r="ULK1376" s="110"/>
      <c r="ULL1376" s="110"/>
      <c r="ULM1376" s="110"/>
      <c r="ULN1376" s="110"/>
      <c r="ULO1376" s="110"/>
      <c r="ULP1376" s="110"/>
      <c r="ULQ1376" s="110"/>
      <c r="ULR1376" s="110"/>
      <c r="ULS1376" s="110"/>
      <c r="ULT1376" s="110"/>
      <c r="ULU1376" s="110"/>
      <c r="ULV1376" s="110"/>
      <c r="ULW1376" s="110"/>
      <c r="ULX1376" s="110"/>
      <c r="ULY1376" s="110"/>
      <c r="ULZ1376" s="110"/>
      <c r="UMA1376" s="110"/>
      <c r="UMB1376" s="110"/>
      <c r="UMC1376" s="110"/>
      <c r="UMD1376" s="110"/>
      <c r="UME1376" s="110"/>
      <c r="UMF1376" s="110"/>
      <c r="UMG1376" s="110"/>
      <c r="UMH1376" s="110"/>
      <c r="UMI1376" s="110"/>
      <c r="UMJ1376" s="110"/>
      <c r="UMK1376" s="110"/>
      <c r="UML1376" s="110"/>
      <c r="UMM1376" s="110"/>
      <c r="UMN1376" s="110"/>
      <c r="UMO1376" s="110"/>
      <c r="UMP1376" s="110"/>
      <c r="UMQ1376" s="110"/>
      <c r="UMR1376" s="110"/>
      <c r="UMS1376" s="110"/>
      <c r="UMT1376" s="110"/>
      <c r="UMU1376" s="110"/>
      <c r="UMV1376" s="110"/>
      <c r="UMW1376" s="110"/>
      <c r="UMX1376" s="110"/>
      <c r="UMY1376" s="110"/>
      <c r="UMZ1376" s="110"/>
      <c r="UNA1376" s="110"/>
      <c r="UNB1376" s="110"/>
      <c r="UNC1376" s="110"/>
      <c r="UND1376" s="110"/>
      <c r="UNE1376" s="110"/>
      <c r="UNF1376" s="110"/>
      <c r="UNG1376" s="110"/>
      <c r="UNH1376" s="110"/>
      <c r="UNI1376" s="110"/>
      <c r="UNJ1376" s="110"/>
      <c r="UNK1376" s="110"/>
      <c r="UNL1376" s="110"/>
      <c r="UNM1376" s="110"/>
      <c r="UNN1376" s="110"/>
      <c r="UNO1376" s="110"/>
      <c r="UNP1376" s="110"/>
      <c r="UNQ1376" s="110"/>
      <c r="UNR1376" s="110"/>
      <c r="UNS1376" s="110"/>
      <c r="UNT1376" s="110"/>
      <c r="UNU1376" s="110"/>
      <c r="UNV1376" s="110"/>
      <c r="UNW1376" s="110"/>
      <c r="UNX1376" s="110"/>
      <c r="UNY1376" s="110"/>
      <c r="UNZ1376" s="110"/>
      <c r="UOA1376" s="110"/>
      <c r="UOB1376" s="110"/>
      <c r="UOC1376" s="110"/>
      <c r="UOD1376" s="110"/>
      <c r="UOE1376" s="110"/>
      <c r="UOF1376" s="110"/>
      <c r="UOG1376" s="110"/>
      <c r="UOH1376" s="110"/>
      <c r="UOI1376" s="110"/>
      <c r="UOJ1376" s="110"/>
      <c r="UOK1376" s="110"/>
      <c r="UOL1376" s="110"/>
      <c r="UOM1376" s="110"/>
      <c r="UON1376" s="110"/>
      <c r="UOO1376" s="110"/>
      <c r="UOP1376" s="110"/>
      <c r="UOQ1376" s="110"/>
      <c r="UOR1376" s="110"/>
      <c r="UOS1376" s="110"/>
      <c r="UOT1376" s="110"/>
      <c r="UOU1376" s="110"/>
      <c r="UOV1376" s="110"/>
      <c r="UOW1376" s="110"/>
      <c r="UOX1376" s="110"/>
      <c r="UOY1376" s="110"/>
      <c r="UOZ1376" s="110"/>
      <c r="UPA1376" s="110"/>
      <c r="UPB1376" s="110"/>
      <c r="UPC1376" s="110"/>
      <c r="UPD1376" s="110"/>
      <c r="UPE1376" s="110"/>
      <c r="UPF1376" s="110"/>
      <c r="UPG1376" s="110"/>
      <c r="UPH1376" s="110"/>
      <c r="UPI1376" s="110"/>
      <c r="UPJ1376" s="110"/>
      <c r="UPK1376" s="110"/>
      <c r="UPL1376" s="110"/>
      <c r="UPM1376" s="110"/>
      <c r="UPN1376" s="110"/>
      <c r="UPO1376" s="110"/>
      <c r="UPP1376" s="110"/>
      <c r="UPQ1376" s="110"/>
      <c r="UPR1376" s="110"/>
      <c r="UPS1376" s="110"/>
      <c r="UPT1376" s="110"/>
      <c r="UPU1376" s="110"/>
      <c r="UPV1376" s="110"/>
      <c r="UPW1376" s="110"/>
      <c r="UPX1376" s="110"/>
      <c r="UPY1376" s="110"/>
      <c r="UPZ1376" s="110"/>
      <c r="UQA1376" s="110"/>
      <c r="UQB1376" s="110"/>
      <c r="UQC1376" s="110"/>
      <c r="UQD1376" s="110"/>
      <c r="UQE1376" s="110"/>
      <c r="UQF1376" s="110"/>
      <c r="UQG1376" s="110"/>
      <c r="UQH1376" s="110"/>
      <c r="UQI1376" s="110"/>
      <c r="UQJ1376" s="110"/>
      <c r="UQK1376" s="110"/>
      <c r="UQL1376" s="110"/>
      <c r="UQM1376" s="110"/>
      <c r="UQN1376" s="110"/>
      <c r="UQO1376" s="110"/>
      <c r="UQP1376" s="110"/>
      <c r="UQQ1376" s="110"/>
      <c r="UQR1376" s="110"/>
      <c r="UQS1376" s="110"/>
      <c r="UQT1376" s="110"/>
      <c r="UQU1376" s="110"/>
      <c r="UQV1376" s="110"/>
      <c r="UQW1376" s="110"/>
      <c r="UQX1376" s="110"/>
      <c r="UQY1376" s="110"/>
      <c r="UQZ1376" s="110"/>
      <c r="URA1376" s="110"/>
      <c r="URB1376" s="110"/>
      <c r="URC1376" s="110"/>
      <c r="URD1376" s="110"/>
      <c r="URE1376" s="110"/>
      <c r="URF1376" s="110"/>
      <c r="URG1376" s="110"/>
      <c r="URH1376" s="110"/>
      <c r="URI1376" s="110"/>
      <c r="URJ1376" s="110"/>
      <c r="URK1376" s="110"/>
      <c r="URL1376" s="110"/>
      <c r="URM1376" s="110"/>
      <c r="URN1376" s="110"/>
      <c r="URO1376" s="110"/>
      <c r="URP1376" s="110"/>
      <c r="URQ1376" s="110"/>
      <c r="URR1376" s="110"/>
      <c r="URS1376" s="110"/>
      <c r="URT1376" s="110"/>
      <c r="URU1376" s="110"/>
      <c r="URV1376" s="110"/>
      <c r="URW1376" s="110"/>
      <c r="URX1376" s="110"/>
      <c r="URY1376" s="110"/>
      <c r="URZ1376" s="110"/>
      <c r="USA1376" s="110"/>
      <c r="USB1376" s="110"/>
      <c r="USC1376" s="110"/>
      <c r="USD1376" s="110"/>
      <c r="USE1376" s="110"/>
      <c r="USF1376" s="110"/>
      <c r="USG1376" s="110"/>
      <c r="USH1376" s="110"/>
      <c r="USI1376" s="110"/>
      <c r="USJ1376" s="110"/>
      <c r="USK1376" s="110"/>
      <c r="USL1376" s="110"/>
      <c r="USM1376" s="110"/>
      <c r="USN1376" s="110"/>
      <c r="USO1376" s="110"/>
      <c r="USP1376" s="110"/>
      <c r="USQ1376" s="110"/>
      <c r="USR1376" s="110"/>
      <c r="USS1376" s="110"/>
      <c r="UST1376" s="110"/>
      <c r="USU1376" s="110"/>
      <c r="USV1376" s="110"/>
      <c r="USW1376" s="110"/>
      <c r="USX1376" s="110"/>
      <c r="USY1376" s="110"/>
      <c r="USZ1376" s="110"/>
      <c r="UTA1376" s="110"/>
      <c r="UTB1376" s="110"/>
      <c r="UTC1376" s="110"/>
      <c r="UTD1376" s="110"/>
      <c r="UTE1376" s="110"/>
      <c r="UTF1376" s="110"/>
      <c r="UTG1376" s="110"/>
      <c r="UTH1376" s="110"/>
      <c r="UTI1376" s="110"/>
      <c r="UTJ1376" s="110"/>
      <c r="UTK1376" s="110"/>
      <c r="UTL1376" s="110"/>
      <c r="UTM1376" s="110"/>
      <c r="UTN1376" s="110"/>
      <c r="UTO1376" s="110"/>
      <c r="UTP1376" s="110"/>
      <c r="UTQ1376" s="110"/>
      <c r="UTR1376" s="110"/>
      <c r="UTS1376" s="110"/>
      <c r="UTT1376" s="110"/>
      <c r="UTU1376" s="110"/>
      <c r="UTV1376" s="110"/>
      <c r="UTW1376" s="110"/>
      <c r="UTX1376" s="110"/>
      <c r="UTY1376" s="110"/>
      <c r="UTZ1376" s="110"/>
      <c r="UUA1376" s="110"/>
      <c r="UUB1376" s="110"/>
      <c r="UUC1376" s="110"/>
      <c r="UUD1376" s="110"/>
      <c r="UUE1376" s="110"/>
      <c r="UUF1376" s="110"/>
      <c r="UUG1376" s="110"/>
      <c r="UUH1376" s="110"/>
      <c r="UUI1376" s="110"/>
      <c r="UUJ1376" s="110"/>
      <c r="UUK1376" s="110"/>
      <c r="UUL1376" s="110"/>
      <c r="UUM1376" s="110"/>
      <c r="UUN1376" s="110"/>
      <c r="UUO1376" s="110"/>
      <c r="UUP1376" s="110"/>
      <c r="UUQ1376" s="110"/>
      <c r="UUR1376" s="110"/>
      <c r="UUS1376" s="110"/>
      <c r="UUT1376" s="110"/>
      <c r="UUU1376" s="110"/>
      <c r="UUV1376" s="110"/>
      <c r="UUW1376" s="110"/>
      <c r="UUX1376" s="110"/>
      <c r="UUY1376" s="110"/>
      <c r="UUZ1376" s="110"/>
      <c r="UVA1376" s="110"/>
      <c r="UVB1376" s="110"/>
      <c r="UVC1376" s="110"/>
      <c r="UVD1376" s="110"/>
      <c r="UVE1376" s="110"/>
      <c r="UVF1376" s="110"/>
      <c r="UVG1376" s="110"/>
      <c r="UVH1376" s="110"/>
      <c r="UVI1376" s="110"/>
      <c r="UVJ1376" s="110"/>
      <c r="UVK1376" s="110"/>
      <c r="UVL1376" s="110"/>
      <c r="UVM1376" s="110"/>
      <c r="UVN1376" s="110"/>
      <c r="UVO1376" s="110"/>
      <c r="UVP1376" s="110"/>
      <c r="UVQ1376" s="110"/>
      <c r="UVR1376" s="110"/>
      <c r="UVS1376" s="110"/>
      <c r="UVT1376" s="110"/>
      <c r="UVU1376" s="110"/>
      <c r="UVV1376" s="110"/>
      <c r="UVW1376" s="110"/>
      <c r="UVX1376" s="110"/>
      <c r="UVY1376" s="110"/>
      <c r="UVZ1376" s="110"/>
      <c r="UWA1376" s="110"/>
      <c r="UWB1376" s="110"/>
      <c r="UWC1376" s="110"/>
      <c r="UWD1376" s="110"/>
      <c r="UWE1376" s="110"/>
      <c r="UWF1376" s="110"/>
      <c r="UWG1376" s="110"/>
      <c r="UWH1376" s="110"/>
      <c r="UWI1376" s="110"/>
      <c r="UWJ1376" s="110"/>
      <c r="UWK1376" s="110"/>
      <c r="UWL1376" s="110"/>
      <c r="UWM1376" s="110"/>
      <c r="UWN1376" s="110"/>
      <c r="UWO1376" s="110"/>
      <c r="UWP1376" s="110"/>
      <c r="UWQ1376" s="110"/>
      <c r="UWR1376" s="110"/>
      <c r="UWS1376" s="110"/>
      <c r="UWT1376" s="110"/>
      <c r="UWU1376" s="110"/>
      <c r="UWV1376" s="110"/>
      <c r="UWW1376" s="110"/>
      <c r="UWX1376" s="110"/>
      <c r="UWY1376" s="110"/>
      <c r="UWZ1376" s="110"/>
      <c r="UXA1376" s="110"/>
      <c r="UXB1376" s="110"/>
      <c r="UXC1376" s="110"/>
      <c r="UXD1376" s="110"/>
      <c r="UXE1376" s="110"/>
      <c r="UXF1376" s="110"/>
      <c r="UXG1376" s="110"/>
      <c r="UXH1376" s="110"/>
      <c r="UXI1376" s="110"/>
      <c r="UXJ1376" s="110"/>
      <c r="UXK1376" s="110"/>
      <c r="UXL1376" s="110"/>
      <c r="UXM1376" s="110"/>
      <c r="UXN1376" s="110"/>
      <c r="UXO1376" s="110"/>
      <c r="UXP1376" s="110"/>
      <c r="UXQ1376" s="110"/>
      <c r="UXR1376" s="110"/>
      <c r="UXS1376" s="110"/>
      <c r="UXT1376" s="110"/>
      <c r="UXU1376" s="110"/>
      <c r="UXV1376" s="110"/>
      <c r="UXW1376" s="110"/>
      <c r="UXX1376" s="110"/>
      <c r="UXY1376" s="110"/>
      <c r="UXZ1376" s="110"/>
      <c r="UYA1376" s="110"/>
      <c r="UYB1376" s="110"/>
      <c r="UYC1376" s="110"/>
      <c r="UYD1376" s="110"/>
      <c r="UYE1376" s="110"/>
      <c r="UYF1376" s="110"/>
      <c r="UYG1376" s="110"/>
      <c r="UYH1376" s="110"/>
      <c r="UYI1376" s="110"/>
      <c r="UYJ1376" s="110"/>
      <c r="UYK1376" s="110"/>
      <c r="UYL1376" s="110"/>
      <c r="UYM1376" s="110"/>
      <c r="UYN1376" s="110"/>
      <c r="UYO1376" s="110"/>
      <c r="UYP1376" s="110"/>
      <c r="UYQ1376" s="110"/>
      <c r="UYR1376" s="110"/>
      <c r="UYS1376" s="110"/>
      <c r="UYT1376" s="110"/>
      <c r="UYU1376" s="110"/>
      <c r="UYV1376" s="110"/>
      <c r="UYW1376" s="110"/>
      <c r="UYX1376" s="110"/>
      <c r="UYY1376" s="110"/>
      <c r="UYZ1376" s="110"/>
      <c r="UZA1376" s="110"/>
      <c r="UZB1376" s="110"/>
      <c r="UZC1376" s="110"/>
      <c r="UZD1376" s="110"/>
      <c r="UZE1376" s="110"/>
      <c r="UZF1376" s="110"/>
      <c r="UZG1376" s="110"/>
      <c r="UZH1376" s="110"/>
      <c r="UZI1376" s="110"/>
      <c r="UZJ1376" s="110"/>
      <c r="UZK1376" s="110"/>
      <c r="UZL1376" s="110"/>
      <c r="UZM1376" s="110"/>
      <c r="UZN1376" s="110"/>
      <c r="UZO1376" s="110"/>
      <c r="UZP1376" s="110"/>
      <c r="UZQ1376" s="110"/>
      <c r="UZR1376" s="110"/>
      <c r="UZS1376" s="110"/>
      <c r="UZT1376" s="110"/>
      <c r="UZU1376" s="110"/>
      <c r="UZV1376" s="110"/>
      <c r="UZW1376" s="110"/>
      <c r="UZX1376" s="110"/>
      <c r="UZY1376" s="110"/>
      <c r="UZZ1376" s="110"/>
      <c r="VAA1376" s="110"/>
      <c r="VAB1376" s="110"/>
      <c r="VAC1376" s="110"/>
      <c r="VAD1376" s="110"/>
      <c r="VAE1376" s="110"/>
      <c r="VAF1376" s="110"/>
      <c r="VAG1376" s="110"/>
      <c r="VAH1376" s="110"/>
      <c r="VAI1376" s="110"/>
      <c r="VAJ1376" s="110"/>
      <c r="VAK1376" s="110"/>
      <c r="VAL1376" s="110"/>
      <c r="VAM1376" s="110"/>
      <c r="VAN1376" s="110"/>
      <c r="VAO1376" s="110"/>
      <c r="VAP1376" s="110"/>
      <c r="VAQ1376" s="110"/>
      <c r="VAR1376" s="110"/>
      <c r="VAS1376" s="110"/>
      <c r="VAT1376" s="110"/>
      <c r="VAU1376" s="110"/>
      <c r="VAV1376" s="110"/>
      <c r="VAW1376" s="110"/>
      <c r="VAX1376" s="110"/>
      <c r="VAY1376" s="110"/>
      <c r="VAZ1376" s="110"/>
      <c r="VBA1376" s="110"/>
      <c r="VBB1376" s="110"/>
      <c r="VBC1376" s="110"/>
      <c r="VBD1376" s="110"/>
      <c r="VBE1376" s="110"/>
      <c r="VBF1376" s="110"/>
      <c r="VBG1376" s="110"/>
      <c r="VBH1376" s="110"/>
      <c r="VBI1376" s="110"/>
      <c r="VBJ1376" s="110"/>
      <c r="VBK1376" s="110"/>
      <c r="VBL1376" s="110"/>
      <c r="VBM1376" s="110"/>
      <c r="VBN1376" s="110"/>
      <c r="VBO1376" s="110"/>
      <c r="VBP1376" s="110"/>
      <c r="VBQ1376" s="110"/>
      <c r="VBR1376" s="110"/>
      <c r="VBS1376" s="110"/>
      <c r="VBT1376" s="110"/>
      <c r="VBU1376" s="110"/>
      <c r="VBV1376" s="110"/>
      <c r="VBW1376" s="110"/>
      <c r="VBX1376" s="110"/>
      <c r="VBY1376" s="110"/>
      <c r="VBZ1376" s="110"/>
      <c r="VCA1376" s="110"/>
      <c r="VCB1376" s="110"/>
      <c r="VCC1376" s="110"/>
      <c r="VCD1376" s="110"/>
      <c r="VCE1376" s="110"/>
      <c r="VCF1376" s="110"/>
      <c r="VCG1376" s="110"/>
      <c r="VCH1376" s="110"/>
      <c r="VCI1376" s="110"/>
      <c r="VCJ1376" s="110"/>
      <c r="VCK1376" s="110"/>
      <c r="VCL1376" s="110"/>
      <c r="VCM1376" s="110"/>
      <c r="VCN1376" s="110"/>
      <c r="VCO1376" s="110"/>
      <c r="VCP1376" s="110"/>
      <c r="VCQ1376" s="110"/>
      <c r="VCR1376" s="110"/>
      <c r="VCS1376" s="110"/>
      <c r="VCT1376" s="110"/>
      <c r="VCU1376" s="110"/>
      <c r="VCV1376" s="110"/>
      <c r="VCW1376" s="110"/>
      <c r="VCX1376" s="110"/>
      <c r="VCY1376" s="110"/>
      <c r="VCZ1376" s="110"/>
      <c r="VDA1376" s="110"/>
      <c r="VDB1376" s="110"/>
      <c r="VDC1376" s="110"/>
      <c r="VDD1376" s="110"/>
      <c r="VDE1376" s="110"/>
      <c r="VDF1376" s="110"/>
      <c r="VDG1376" s="110"/>
      <c r="VDH1376" s="110"/>
      <c r="VDI1376" s="110"/>
      <c r="VDJ1376" s="110"/>
      <c r="VDK1376" s="110"/>
      <c r="VDL1376" s="110"/>
      <c r="VDM1376" s="110"/>
      <c r="VDN1376" s="110"/>
      <c r="VDO1376" s="110"/>
      <c r="VDP1376" s="110"/>
      <c r="VDQ1376" s="110"/>
      <c r="VDR1376" s="110"/>
      <c r="VDS1376" s="110"/>
      <c r="VDT1376" s="110"/>
      <c r="VDU1376" s="110"/>
      <c r="VDV1376" s="110"/>
      <c r="VDW1376" s="110"/>
      <c r="VDX1376" s="110"/>
      <c r="VDY1376" s="110"/>
      <c r="VDZ1376" s="110"/>
      <c r="VEA1376" s="110"/>
      <c r="VEB1376" s="110"/>
      <c r="VEC1376" s="110"/>
      <c r="VED1376" s="110"/>
      <c r="VEE1376" s="110"/>
      <c r="VEF1376" s="110"/>
      <c r="VEG1376" s="110"/>
      <c r="VEH1376" s="110"/>
      <c r="VEI1376" s="110"/>
      <c r="VEJ1376" s="110"/>
      <c r="VEK1376" s="110"/>
      <c r="VEL1376" s="110"/>
      <c r="VEM1376" s="110"/>
      <c r="VEN1376" s="110"/>
      <c r="VEO1376" s="110"/>
      <c r="VEP1376" s="110"/>
      <c r="VEQ1376" s="110"/>
      <c r="VER1376" s="110"/>
      <c r="VES1376" s="110"/>
      <c r="VET1376" s="110"/>
      <c r="VEU1376" s="110"/>
      <c r="VEV1376" s="110"/>
      <c r="VEW1376" s="110"/>
      <c r="VEX1376" s="110"/>
      <c r="VEY1376" s="110"/>
      <c r="VEZ1376" s="110"/>
      <c r="VFA1376" s="110"/>
      <c r="VFB1376" s="110"/>
      <c r="VFC1376" s="110"/>
      <c r="VFD1376" s="110"/>
      <c r="VFE1376" s="110"/>
      <c r="VFF1376" s="110"/>
      <c r="VFG1376" s="110"/>
      <c r="VFH1376" s="110"/>
      <c r="VFI1376" s="110"/>
      <c r="VFJ1376" s="110"/>
      <c r="VFK1376" s="110"/>
      <c r="VFL1376" s="110"/>
      <c r="VFM1376" s="110"/>
      <c r="VFN1376" s="110"/>
      <c r="VFO1376" s="110"/>
      <c r="VFP1376" s="110"/>
      <c r="VFQ1376" s="110"/>
      <c r="VFR1376" s="110"/>
      <c r="VFS1376" s="110"/>
      <c r="VFT1376" s="110"/>
      <c r="VFU1376" s="110"/>
      <c r="VFV1376" s="110"/>
      <c r="VFW1376" s="110"/>
      <c r="VFX1376" s="110"/>
      <c r="VFY1376" s="110"/>
      <c r="VFZ1376" s="110"/>
      <c r="VGA1376" s="110"/>
      <c r="VGB1376" s="110"/>
      <c r="VGC1376" s="110"/>
      <c r="VGD1376" s="110"/>
      <c r="VGE1376" s="110"/>
      <c r="VGF1376" s="110"/>
      <c r="VGG1376" s="110"/>
      <c r="VGH1376" s="110"/>
      <c r="VGI1376" s="110"/>
      <c r="VGJ1376" s="110"/>
      <c r="VGK1376" s="110"/>
      <c r="VGL1376" s="110"/>
      <c r="VGM1376" s="110"/>
      <c r="VGN1376" s="110"/>
      <c r="VGO1376" s="110"/>
      <c r="VGP1376" s="110"/>
      <c r="VGQ1376" s="110"/>
      <c r="VGR1376" s="110"/>
      <c r="VGS1376" s="110"/>
      <c r="VGT1376" s="110"/>
      <c r="VGU1376" s="110"/>
      <c r="VGV1376" s="110"/>
      <c r="VGW1376" s="110"/>
      <c r="VGX1376" s="110"/>
      <c r="VGY1376" s="110"/>
      <c r="VGZ1376" s="110"/>
      <c r="VHA1376" s="110"/>
      <c r="VHB1376" s="110"/>
      <c r="VHC1376" s="110"/>
      <c r="VHD1376" s="110"/>
      <c r="VHE1376" s="110"/>
      <c r="VHF1376" s="110"/>
      <c r="VHG1376" s="110"/>
      <c r="VHH1376" s="110"/>
      <c r="VHI1376" s="110"/>
      <c r="VHJ1376" s="110"/>
      <c r="VHK1376" s="110"/>
      <c r="VHL1376" s="110"/>
      <c r="VHM1376" s="110"/>
      <c r="VHN1376" s="110"/>
      <c r="VHO1376" s="110"/>
      <c r="VHP1376" s="110"/>
      <c r="VHQ1376" s="110"/>
      <c r="VHR1376" s="110"/>
      <c r="VHS1376" s="110"/>
      <c r="VHT1376" s="110"/>
      <c r="VHU1376" s="110"/>
      <c r="VHV1376" s="110"/>
      <c r="VHW1376" s="110"/>
      <c r="VHX1376" s="110"/>
      <c r="VHY1376" s="110"/>
      <c r="VHZ1376" s="110"/>
      <c r="VIA1376" s="110"/>
      <c r="VIB1376" s="110"/>
      <c r="VIC1376" s="110"/>
      <c r="VID1376" s="110"/>
      <c r="VIE1376" s="110"/>
      <c r="VIF1376" s="110"/>
      <c r="VIG1376" s="110"/>
      <c r="VIH1376" s="110"/>
      <c r="VII1376" s="110"/>
      <c r="VIJ1376" s="110"/>
      <c r="VIK1376" s="110"/>
      <c r="VIL1376" s="110"/>
      <c r="VIM1376" s="110"/>
      <c r="VIN1376" s="110"/>
      <c r="VIO1376" s="110"/>
      <c r="VIP1376" s="110"/>
      <c r="VIQ1376" s="110"/>
      <c r="VIR1376" s="110"/>
      <c r="VIS1376" s="110"/>
      <c r="VIT1376" s="110"/>
      <c r="VIU1376" s="110"/>
      <c r="VIV1376" s="110"/>
      <c r="VIW1376" s="110"/>
      <c r="VIX1376" s="110"/>
      <c r="VIY1376" s="110"/>
      <c r="VIZ1376" s="110"/>
      <c r="VJA1376" s="110"/>
      <c r="VJB1376" s="110"/>
      <c r="VJC1376" s="110"/>
      <c r="VJD1376" s="110"/>
      <c r="VJE1376" s="110"/>
      <c r="VJF1376" s="110"/>
      <c r="VJG1376" s="110"/>
      <c r="VJH1376" s="110"/>
      <c r="VJI1376" s="110"/>
      <c r="VJJ1376" s="110"/>
      <c r="VJK1376" s="110"/>
      <c r="VJL1376" s="110"/>
      <c r="VJM1376" s="110"/>
      <c r="VJN1376" s="110"/>
      <c r="VJO1376" s="110"/>
      <c r="VJP1376" s="110"/>
      <c r="VJQ1376" s="110"/>
      <c r="VJR1376" s="110"/>
      <c r="VJS1376" s="110"/>
      <c r="VJT1376" s="110"/>
      <c r="VJU1376" s="110"/>
      <c r="VJV1376" s="110"/>
      <c r="VJW1376" s="110"/>
      <c r="VJX1376" s="110"/>
      <c r="VJY1376" s="110"/>
      <c r="VJZ1376" s="110"/>
      <c r="VKA1376" s="110"/>
      <c r="VKB1376" s="110"/>
      <c r="VKC1376" s="110"/>
      <c r="VKD1376" s="110"/>
      <c r="VKE1376" s="110"/>
      <c r="VKF1376" s="110"/>
      <c r="VKG1376" s="110"/>
      <c r="VKH1376" s="110"/>
      <c r="VKI1376" s="110"/>
      <c r="VKJ1376" s="110"/>
      <c r="VKK1376" s="110"/>
      <c r="VKL1376" s="110"/>
      <c r="VKM1376" s="110"/>
      <c r="VKN1376" s="110"/>
      <c r="VKO1376" s="110"/>
      <c r="VKP1376" s="110"/>
      <c r="VKQ1376" s="110"/>
      <c r="VKR1376" s="110"/>
      <c r="VKS1376" s="110"/>
      <c r="VKT1376" s="110"/>
      <c r="VKU1376" s="110"/>
      <c r="VKV1376" s="110"/>
      <c r="VKW1376" s="110"/>
      <c r="VKX1376" s="110"/>
      <c r="VKY1376" s="110"/>
      <c r="VKZ1376" s="110"/>
      <c r="VLA1376" s="110"/>
      <c r="VLB1376" s="110"/>
      <c r="VLC1376" s="110"/>
      <c r="VLD1376" s="110"/>
      <c r="VLE1376" s="110"/>
      <c r="VLF1376" s="110"/>
      <c r="VLG1376" s="110"/>
      <c r="VLH1376" s="110"/>
      <c r="VLI1376" s="110"/>
      <c r="VLJ1376" s="110"/>
      <c r="VLK1376" s="110"/>
      <c r="VLL1376" s="110"/>
      <c r="VLM1376" s="110"/>
      <c r="VLN1376" s="110"/>
      <c r="VLO1376" s="110"/>
      <c r="VLP1376" s="110"/>
      <c r="VLQ1376" s="110"/>
      <c r="VLR1376" s="110"/>
      <c r="VLS1376" s="110"/>
      <c r="VLT1376" s="110"/>
      <c r="VLU1376" s="110"/>
      <c r="VLV1376" s="110"/>
      <c r="VLW1376" s="110"/>
      <c r="VLX1376" s="110"/>
      <c r="VLY1376" s="110"/>
      <c r="VLZ1376" s="110"/>
      <c r="VMA1376" s="110"/>
      <c r="VMB1376" s="110"/>
      <c r="VMC1376" s="110"/>
      <c r="VMD1376" s="110"/>
      <c r="VME1376" s="110"/>
      <c r="VMF1376" s="110"/>
      <c r="VMG1376" s="110"/>
      <c r="VMH1376" s="110"/>
      <c r="VMI1376" s="110"/>
      <c r="VMJ1376" s="110"/>
      <c r="VMK1376" s="110"/>
      <c r="VML1376" s="110"/>
      <c r="VMM1376" s="110"/>
      <c r="VMN1376" s="110"/>
      <c r="VMO1376" s="110"/>
      <c r="VMP1376" s="110"/>
      <c r="VMQ1376" s="110"/>
      <c r="VMR1376" s="110"/>
      <c r="VMS1376" s="110"/>
      <c r="VMT1376" s="110"/>
      <c r="VMU1376" s="110"/>
      <c r="VMV1376" s="110"/>
      <c r="VMW1376" s="110"/>
      <c r="VMX1376" s="110"/>
      <c r="VMY1376" s="110"/>
      <c r="VMZ1376" s="110"/>
      <c r="VNA1376" s="110"/>
      <c r="VNB1376" s="110"/>
      <c r="VNC1376" s="110"/>
      <c r="VND1376" s="110"/>
      <c r="VNE1376" s="110"/>
      <c r="VNF1376" s="110"/>
      <c r="VNG1376" s="110"/>
      <c r="VNH1376" s="110"/>
      <c r="VNI1376" s="110"/>
      <c r="VNJ1376" s="110"/>
      <c r="VNK1376" s="110"/>
      <c r="VNL1376" s="110"/>
      <c r="VNM1376" s="110"/>
      <c r="VNN1376" s="110"/>
      <c r="VNO1376" s="110"/>
      <c r="VNP1376" s="110"/>
      <c r="VNQ1376" s="110"/>
      <c r="VNR1376" s="110"/>
      <c r="VNS1376" s="110"/>
      <c r="VNT1376" s="110"/>
      <c r="VNU1376" s="110"/>
      <c r="VNV1376" s="110"/>
      <c r="VNW1376" s="110"/>
      <c r="VNX1376" s="110"/>
      <c r="VNY1376" s="110"/>
      <c r="VNZ1376" s="110"/>
      <c r="VOA1376" s="110"/>
      <c r="VOB1376" s="110"/>
      <c r="VOC1376" s="110"/>
      <c r="VOD1376" s="110"/>
      <c r="VOE1376" s="110"/>
      <c r="VOF1376" s="110"/>
      <c r="VOG1376" s="110"/>
      <c r="VOH1376" s="110"/>
      <c r="VOI1376" s="110"/>
      <c r="VOJ1376" s="110"/>
      <c r="VOK1376" s="110"/>
      <c r="VOL1376" s="110"/>
      <c r="VOM1376" s="110"/>
      <c r="VON1376" s="110"/>
      <c r="VOO1376" s="110"/>
      <c r="VOP1376" s="110"/>
      <c r="VOQ1376" s="110"/>
      <c r="VOR1376" s="110"/>
      <c r="VOS1376" s="110"/>
      <c r="VOT1376" s="110"/>
      <c r="VOU1376" s="110"/>
      <c r="VOV1376" s="110"/>
      <c r="VOW1376" s="110"/>
      <c r="VOX1376" s="110"/>
      <c r="VOY1376" s="110"/>
      <c r="VOZ1376" s="110"/>
      <c r="VPA1376" s="110"/>
      <c r="VPB1376" s="110"/>
      <c r="VPC1376" s="110"/>
      <c r="VPD1376" s="110"/>
      <c r="VPE1376" s="110"/>
      <c r="VPF1376" s="110"/>
      <c r="VPG1376" s="110"/>
      <c r="VPH1376" s="110"/>
      <c r="VPI1376" s="110"/>
      <c r="VPJ1376" s="110"/>
      <c r="VPK1376" s="110"/>
      <c r="VPL1376" s="110"/>
      <c r="VPM1376" s="110"/>
      <c r="VPN1376" s="110"/>
      <c r="VPO1376" s="110"/>
      <c r="VPP1376" s="110"/>
      <c r="VPQ1376" s="110"/>
      <c r="VPR1376" s="110"/>
      <c r="VPS1376" s="110"/>
      <c r="VPT1376" s="110"/>
      <c r="VPU1376" s="110"/>
      <c r="VPV1376" s="110"/>
      <c r="VPW1376" s="110"/>
      <c r="VPX1376" s="110"/>
      <c r="VPY1376" s="110"/>
      <c r="VPZ1376" s="110"/>
      <c r="VQA1376" s="110"/>
      <c r="VQB1376" s="110"/>
      <c r="VQC1376" s="110"/>
      <c r="VQD1376" s="110"/>
      <c r="VQE1376" s="110"/>
      <c r="VQF1376" s="110"/>
      <c r="VQG1376" s="110"/>
      <c r="VQH1376" s="110"/>
      <c r="VQI1376" s="110"/>
      <c r="VQJ1376" s="110"/>
      <c r="VQK1376" s="110"/>
      <c r="VQL1376" s="110"/>
      <c r="VQM1376" s="110"/>
      <c r="VQN1376" s="110"/>
      <c r="VQO1376" s="110"/>
      <c r="VQP1376" s="110"/>
      <c r="VQQ1376" s="110"/>
      <c r="VQR1376" s="110"/>
      <c r="VQS1376" s="110"/>
      <c r="VQT1376" s="110"/>
      <c r="VQU1376" s="110"/>
      <c r="VQV1376" s="110"/>
      <c r="VQW1376" s="110"/>
      <c r="VQX1376" s="110"/>
      <c r="VQY1376" s="110"/>
      <c r="VQZ1376" s="110"/>
      <c r="VRA1376" s="110"/>
      <c r="VRB1376" s="110"/>
      <c r="VRC1376" s="110"/>
      <c r="VRD1376" s="110"/>
      <c r="VRE1376" s="110"/>
      <c r="VRF1376" s="110"/>
      <c r="VRG1376" s="110"/>
      <c r="VRH1376" s="110"/>
      <c r="VRI1376" s="110"/>
      <c r="VRJ1376" s="110"/>
      <c r="VRK1376" s="110"/>
      <c r="VRL1376" s="110"/>
      <c r="VRM1376" s="110"/>
      <c r="VRN1376" s="110"/>
      <c r="VRO1376" s="110"/>
      <c r="VRP1376" s="110"/>
      <c r="VRQ1376" s="110"/>
      <c r="VRR1376" s="110"/>
      <c r="VRS1376" s="110"/>
      <c r="VRT1376" s="110"/>
      <c r="VRU1376" s="110"/>
      <c r="VRV1376" s="110"/>
      <c r="VRW1376" s="110"/>
      <c r="VRX1376" s="110"/>
      <c r="VRY1376" s="110"/>
      <c r="VRZ1376" s="110"/>
      <c r="VSA1376" s="110"/>
      <c r="VSB1376" s="110"/>
      <c r="VSC1376" s="110"/>
      <c r="VSD1376" s="110"/>
      <c r="VSE1376" s="110"/>
      <c r="VSF1376" s="110"/>
      <c r="VSG1376" s="110"/>
      <c r="VSH1376" s="110"/>
      <c r="VSI1376" s="110"/>
      <c r="VSJ1376" s="110"/>
      <c r="VSK1376" s="110"/>
      <c r="VSL1376" s="110"/>
      <c r="VSM1376" s="110"/>
      <c r="VSN1376" s="110"/>
      <c r="VSO1376" s="110"/>
      <c r="VSP1376" s="110"/>
      <c r="VSQ1376" s="110"/>
      <c r="VSR1376" s="110"/>
      <c r="VSS1376" s="110"/>
      <c r="VST1376" s="110"/>
      <c r="VSU1376" s="110"/>
      <c r="VSV1376" s="110"/>
      <c r="VSW1376" s="110"/>
      <c r="VSX1376" s="110"/>
      <c r="VSY1376" s="110"/>
      <c r="VSZ1376" s="110"/>
      <c r="VTA1376" s="110"/>
      <c r="VTB1376" s="110"/>
      <c r="VTC1376" s="110"/>
      <c r="VTD1376" s="110"/>
      <c r="VTE1376" s="110"/>
      <c r="VTF1376" s="110"/>
      <c r="VTG1376" s="110"/>
      <c r="VTH1376" s="110"/>
      <c r="VTI1376" s="110"/>
      <c r="VTJ1376" s="110"/>
      <c r="VTK1376" s="110"/>
      <c r="VTL1376" s="110"/>
      <c r="VTM1376" s="110"/>
      <c r="VTN1376" s="110"/>
      <c r="VTO1376" s="110"/>
      <c r="VTP1376" s="110"/>
      <c r="VTQ1376" s="110"/>
      <c r="VTR1376" s="110"/>
      <c r="VTS1376" s="110"/>
      <c r="VTT1376" s="110"/>
      <c r="VTU1376" s="110"/>
      <c r="VTV1376" s="110"/>
      <c r="VTW1376" s="110"/>
      <c r="VTX1376" s="110"/>
      <c r="VTY1376" s="110"/>
      <c r="VTZ1376" s="110"/>
      <c r="VUA1376" s="110"/>
      <c r="VUB1376" s="110"/>
      <c r="VUC1376" s="110"/>
      <c r="VUD1376" s="110"/>
      <c r="VUE1376" s="110"/>
      <c r="VUF1376" s="110"/>
      <c r="VUG1376" s="110"/>
      <c r="VUH1376" s="110"/>
      <c r="VUI1376" s="110"/>
      <c r="VUJ1376" s="110"/>
      <c r="VUK1376" s="110"/>
      <c r="VUL1376" s="110"/>
      <c r="VUM1376" s="110"/>
      <c r="VUN1376" s="110"/>
      <c r="VUO1376" s="110"/>
      <c r="VUP1376" s="110"/>
      <c r="VUQ1376" s="110"/>
      <c r="VUR1376" s="110"/>
      <c r="VUS1376" s="110"/>
      <c r="VUT1376" s="110"/>
      <c r="VUU1376" s="110"/>
      <c r="VUV1376" s="110"/>
      <c r="VUW1376" s="110"/>
      <c r="VUX1376" s="110"/>
      <c r="VUY1376" s="110"/>
      <c r="VUZ1376" s="110"/>
      <c r="VVA1376" s="110"/>
      <c r="VVB1376" s="110"/>
      <c r="VVC1376" s="110"/>
      <c r="VVD1376" s="110"/>
      <c r="VVE1376" s="110"/>
      <c r="VVF1376" s="110"/>
      <c r="VVG1376" s="110"/>
      <c r="VVH1376" s="110"/>
      <c r="VVI1376" s="110"/>
      <c r="VVJ1376" s="110"/>
      <c r="VVK1376" s="110"/>
      <c r="VVL1376" s="110"/>
      <c r="VVM1376" s="110"/>
      <c r="VVN1376" s="110"/>
      <c r="VVO1376" s="110"/>
      <c r="VVP1376" s="110"/>
      <c r="VVQ1376" s="110"/>
      <c r="VVR1376" s="110"/>
      <c r="VVS1376" s="110"/>
      <c r="VVT1376" s="110"/>
      <c r="VVU1376" s="110"/>
      <c r="VVV1376" s="110"/>
      <c r="VVW1376" s="110"/>
      <c r="VVX1376" s="110"/>
      <c r="VVY1376" s="110"/>
      <c r="VVZ1376" s="110"/>
      <c r="VWA1376" s="110"/>
      <c r="VWB1376" s="110"/>
      <c r="VWC1376" s="110"/>
      <c r="VWD1376" s="110"/>
      <c r="VWE1376" s="110"/>
      <c r="VWF1376" s="110"/>
      <c r="VWG1376" s="110"/>
      <c r="VWH1376" s="110"/>
      <c r="VWI1376" s="110"/>
      <c r="VWJ1376" s="110"/>
      <c r="VWK1376" s="110"/>
      <c r="VWL1376" s="110"/>
      <c r="VWM1376" s="110"/>
      <c r="VWN1376" s="110"/>
      <c r="VWO1376" s="110"/>
      <c r="VWP1376" s="110"/>
      <c r="VWQ1376" s="110"/>
      <c r="VWR1376" s="110"/>
      <c r="VWS1376" s="110"/>
      <c r="VWT1376" s="110"/>
      <c r="VWU1376" s="110"/>
      <c r="VWV1376" s="110"/>
      <c r="VWW1376" s="110"/>
      <c r="VWX1376" s="110"/>
      <c r="VWY1376" s="110"/>
      <c r="VWZ1376" s="110"/>
      <c r="VXA1376" s="110"/>
      <c r="VXB1376" s="110"/>
      <c r="VXC1376" s="110"/>
      <c r="VXD1376" s="110"/>
      <c r="VXE1376" s="110"/>
      <c r="VXF1376" s="110"/>
      <c r="VXG1376" s="110"/>
      <c r="VXH1376" s="110"/>
      <c r="VXI1376" s="110"/>
      <c r="VXJ1376" s="110"/>
      <c r="VXK1376" s="110"/>
      <c r="VXL1376" s="110"/>
      <c r="VXM1376" s="110"/>
      <c r="VXN1376" s="110"/>
      <c r="VXO1376" s="110"/>
      <c r="VXP1376" s="110"/>
      <c r="VXQ1376" s="110"/>
      <c r="VXR1376" s="110"/>
      <c r="VXS1376" s="110"/>
      <c r="VXT1376" s="110"/>
      <c r="VXU1376" s="110"/>
      <c r="VXV1376" s="110"/>
      <c r="VXW1376" s="110"/>
      <c r="VXX1376" s="110"/>
      <c r="VXY1376" s="110"/>
      <c r="VXZ1376" s="110"/>
      <c r="VYA1376" s="110"/>
      <c r="VYB1376" s="110"/>
      <c r="VYC1376" s="110"/>
      <c r="VYD1376" s="110"/>
      <c r="VYE1376" s="110"/>
      <c r="VYF1376" s="110"/>
      <c r="VYG1376" s="110"/>
      <c r="VYH1376" s="110"/>
      <c r="VYI1376" s="110"/>
      <c r="VYJ1376" s="110"/>
      <c r="VYK1376" s="110"/>
      <c r="VYL1376" s="110"/>
      <c r="VYM1376" s="110"/>
      <c r="VYN1376" s="110"/>
      <c r="VYO1376" s="110"/>
      <c r="VYP1376" s="110"/>
      <c r="VYQ1376" s="110"/>
      <c r="VYR1376" s="110"/>
      <c r="VYS1376" s="110"/>
      <c r="VYT1376" s="110"/>
      <c r="VYU1376" s="110"/>
      <c r="VYV1376" s="110"/>
      <c r="VYW1376" s="110"/>
      <c r="VYX1376" s="110"/>
      <c r="VYY1376" s="110"/>
      <c r="VYZ1376" s="110"/>
      <c r="VZA1376" s="110"/>
      <c r="VZB1376" s="110"/>
      <c r="VZC1376" s="110"/>
      <c r="VZD1376" s="110"/>
      <c r="VZE1376" s="110"/>
      <c r="VZF1376" s="110"/>
      <c r="VZG1376" s="110"/>
      <c r="VZH1376" s="110"/>
      <c r="VZI1376" s="110"/>
      <c r="VZJ1376" s="110"/>
      <c r="VZK1376" s="110"/>
      <c r="VZL1376" s="110"/>
      <c r="VZM1376" s="110"/>
      <c r="VZN1376" s="110"/>
      <c r="VZO1376" s="110"/>
      <c r="VZP1376" s="110"/>
      <c r="VZQ1376" s="110"/>
      <c r="VZR1376" s="110"/>
      <c r="VZS1376" s="110"/>
      <c r="VZT1376" s="110"/>
      <c r="VZU1376" s="110"/>
      <c r="VZV1376" s="110"/>
      <c r="VZW1376" s="110"/>
      <c r="VZX1376" s="110"/>
      <c r="VZY1376" s="110"/>
      <c r="VZZ1376" s="110"/>
      <c r="WAA1376" s="110"/>
      <c r="WAB1376" s="110"/>
      <c r="WAC1376" s="110"/>
      <c r="WAD1376" s="110"/>
      <c r="WAE1376" s="110"/>
      <c r="WAF1376" s="110"/>
      <c r="WAG1376" s="110"/>
      <c r="WAH1376" s="110"/>
      <c r="WAI1376" s="110"/>
      <c r="WAJ1376" s="110"/>
      <c r="WAK1376" s="110"/>
      <c r="WAL1376" s="110"/>
      <c r="WAM1376" s="110"/>
      <c r="WAN1376" s="110"/>
      <c r="WAO1376" s="110"/>
      <c r="WAP1376" s="110"/>
      <c r="WAQ1376" s="110"/>
      <c r="WAR1376" s="110"/>
      <c r="WAS1376" s="110"/>
      <c r="WAT1376" s="110"/>
      <c r="WAU1376" s="110"/>
      <c r="WAV1376" s="110"/>
      <c r="WAW1376" s="110"/>
      <c r="WAX1376" s="110"/>
      <c r="WAY1376" s="110"/>
      <c r="WAZ1376" s="110"/>
      <c r="WBA1376" s="110"/>
      <c r="WBB1376" s="110"/>
      <c r="WBC1376" s="110"/>
      <c r="WBD1376" s="110"/>
      <c r="WBE1376" s="110"/>
      <c r="WBF1376" s="110"/>
      <c r="WBG1376" s="110"/>
      <c r="WBH1376" s="110"/>
      <c r="WBI1376" s="110"/>
      <c r="WBJ1376" s="110"/>
      <c r="WBK1376" s="110"/>
      <c r="WBL1376" s="110"/>
      <c r="WBM1376" s="110"/>
      <c r="WBN1376" s="110"/>
      <c r="WBO1376" s="110"/>
      <c r="WBP1376" s="110"/>
      <c r="WBQ1376" s="110"/>
      <c r="WBR1376" s="110"/>
      <c r="WBS1376" s="110"/>
      <c r="WBT1376" s="110"/>
      <c r="WBU1376" s="110"/>
      <c r="WBV1376" s="110"/>
      <c r="WBW1376" s="110"/>
      <c r="WBX1376" s="110"/>
      <c r="WBY1376" s="110"/>
      <c r="WBZ1376" s="110"/>
      <c r="WCA1376" s="110"/>
      <c r="WCB1376" s="110"/>
      <c r="WCC1376" s="110"/>
      <c r="WCD1376" s="110"/>
      <c r="WCE1376" s="110"/>
      <c r="WCF1376" s="110"/>
      <c r="WCG1376" s="110"/>
      <c r="WCH1376" s="110"/>
      <c r="WCI1376" s="110"/>
      <c r="WCJ1376" s="110"/>
      <c r="WCK1376" s="110"/>
      <c r="WCL1376" s="110"/>
      <c r="WCM1376" s="110"/>
      <c r="WCN1376" s="110"/>
      <c r="WCO1376" s="110"/>
      <c r="WCP1376" s="110"/>
      <c r="WCQ1376" s="110"/>
      <c r="WCR1376" s="110"/>
      <c r="WCS1376" s="110"/>
      <c r="WCT1376" s="110"/>
      <c r="WCU1376" s="110"/>
      <c r="WCV1376" s="110"/>
      <c r="WCW1376" s="110"/>
      <c r="WCX1376" s="110"/>
      <c r="WCY1376" s="110"/>
      <c r="WCZ1376" s="110"/>
      <c r="WDA1376" s="110"/>
      <c r="WDB1376" s="110"/>
      <c r="WDC1376" s="110"/>
      <c r="WDD1376" s="110"/>
      <c r="WDE1376" s="110"/>
      <c r="WDF1376" s="110"/>
      <c r="WDG1376" s="110"/>
      <c r="WDH1376" s="110"/>
      <c r="WDI1376" s="110"/>
      <c r="WDJ1376" s="110"/>
      <c r="WDK1376" s="110"/>
      <c r="WDL1376" s="110"/>
      <c r="WDM1376" s="110"/>
      <c r="WDN1376" s="110"/>
      <c r="WDO1376" s="110"/>
      <c r="WDP1376" s="110"/>
      <c r="WDQ1376" s="110"/>
      <c r="WDR1376" s="110"/>
      <c r="WDS1376" s="110"/>
      <c r="WDT1376" s="110"/>
      <c r="WDU1376" s="110"/>
      <c r="WDV1376" s="110"/>
      <c r="WDW1376" s="110"/>
      <c r="WDX1376" s="110"/>
      <c r="WDY1376" s="110"/>
      <c r="WDZ1376" s="110"/>
      <c r="WEA1376" s="110"/>
      <c r="WEB1376" s="110"/>
      <c r="WEC1376" s="110"/>
      <c r="WED1376" s="110"/>
      <c r="WEE1376" s="110"/>
      <c r="WEF1376" s="110"/>
      <c r="WEG1376" s="110"/>
      <c r="WEH1376" s="110"/>
      <c r="WEI1376" s="110"/>
      <c r="WEJ1376" s="110"/>
      <c r="WEK1376" s="110"/>
      <c r="WEL1376" s="110"/>
      <c r="WEM1376" s="110"/>
      <c r="WEN1376" s="110"/>
      <c r="WEO1376" s="110"/>
      <c r="WEP1376" s="110"/>
      <c r="WEQ1376" s="110"/>
      <c r="WER1376" s="110"/>
      <c r="WES1376" s="110"/>
      <c r="WET1376" s="110"/>
      <c r="WEU1376" s="110"/>
      <c r="WEV1376" s="110"/>
      <c r="WEW1376" s="110"/>
      <c r="WEX1376" s="110"/>
      <c r="WEY1376" s="110"/>
      <c r="WEZ1376" s="110"/>
      <c r="WFA1376" s="110"/>
      <c r="WFB1376" s="110"/>
      <c r="WFC1376" s="110"/>
      <c r="WFD1376" s="110"/>
      <c r="WFE1376" s="110"/>
      <c r="WFF1376" s="110"/>
      <c r="WFG1376" s="110"/>
      <c r="WFH1376" s="110"/>
      <c r="WFI1376" s="110"/>
      <c r="WFJ1376" s="110"/>
      <c r="WFK1376" s="110"/>
      <c r="WFL1376" s="110"/>
      <c r="WFM1376" s="110"/>
      <c r="WFN1376" s="110"/>
      <c r="WFO1376" s="110"/>
      <c r="WFP1376" s="110"/>
      <c r="WFQ1376" s="110"/>
      <c r="WFR1376" s="110"/>
      <c r="WFS1376" s="110"/>
      <c r="WFT1376" s="110"/>
      <c r="WFU1376" s="110"/>
      <c r="WFV1376" s="110"/>
      <c r="WFW1376" s="110"/>
      <c r="WFX1376" s="110"/>
      <c r="WFY1376" s="110"/>
      <c r="WFZ1376" s="110"/>
      <c r="WGA1376" s="110"/>
      <c r="WGB1376" s="110"/>
      <c r="WGC1376" s="110"/>
      <c r="WGD1376" s="110"/>
      <c r="WGE1376" s="110"/>
      <c r="WGF1376" s="110"/>
      <c r="WGG1376" s="110"/>
      <c r="WGH1376" s="110"/>
      <c r="WGI1376" s="110"/>
      <c r="WGJ1376" s="110"/>
      <c r="WGK1376" s="110"/>
      <c r="WGL1376" s="110"/>
      <c r="WGM1376" s="110"/>
      <c r="WGN1376" s="110"/>
      <c r="WGO1376" s="110"/>
      <c r="WGP1376" s="110"/>
      <c r="WGQ1376" s="110"/>
      <c r="WGR1376" s="110"/>
      <c r="WGS1376" s="110"/>
      <c r="WGT1376" s="110"/>
      <c r="WGU1376" s="110"/>
      <c r="WGV1376" s="110"/>
      <c r="WGW1376" s="110"/>
      <c r="WGX1376" s="110"/>
      <c r="WGY1376" s="110"/>
      <c r="WGZ1376" s="110"/>
      <c r="WHA1376" s="110"/>
      <c r="WHB1376" s="110"/>
      <c r="WHC1376" s="110"/>
      <c r="WHD1376" s="110"/>
      <c r="WHE1376" s="110"/>
      <c r="WHF1376" s="110"/>
      <c r="WHG1376" s="110"/>
      <c r="WHH1376" s="110"/>
      <c r="WHI1376" s="110"/>
      <c r="WHJ1376" s="110"/>
      <c r="WHK1376" s="110"/>
      <c r="WHL1376" s="110"/>
      <c r="WHM1376" s="110"/>
      <c r="WHN1376" s="110"/>
      <c r="WHO1376" s="110"/>
      <c r="WHP1376" s="110"/>
      <c r="WHQ1376" s="110"/>
      <c r="WHR1376" s="110"/>
      <c r="WHS1376" s="110"/>
      <c r="WHT1376" s="110"/>
      <c r="WHU1376" s="110"/>
      <c r="WHV1376" s="110"/>
      <c r="WHW1376" s="110"/>
      <c r="WHX1376" s="110"/>
      <c r="WHY1376" s="110"/>
      <c r="WHZ1376" s="110"/>
      <c r="WIA1376" s="110"/>
      <c r="WIB1376" s="110"/>
      <c r="WIC1376" s="110"/>
      <c r="WID1376" s="110"/>
      <c r="WIE1376" s="110"/>
      <c r="WIF1376" s="110"/>
      <c r="WIG1376" s="110"/>
      <c r="WIH1376" s="110"/>
      <c r="WII1376" s="110"/>
      <c r="WIJ1376" s="110"/>
      <c r="WIK1376" s="110"/>
      <c r="WIL1376" s="110"/>
      <c r="WIM1376" s="110"/>
      <c r="WIN1376" s="110"/>
      <c r="WIO1376" s="110"/>
      <c r="WIP1376" s="110"/>
      <c r="WIQ1376" s="110"/>
      <c r="WIR1376" s="110"/>
      <c r="WIS1376" s="110"/>
      <c r="WIT1376" s="110"/>
      <c r="WIU1376" s="110"/>
      <c r="WIV1376" s="110"/>
      <c r="WIW1376" s="110"/>
      <c r="WIX1376" s="110"/>
      <c r="WIY1376" s="110"/>
      <c r="WIZ1376" s="110"/>
      <c r="WJA1376" s="110"/>
      <c r="WJB1376" s="110"/>
      <c r="WJC1376" s="110"/>
      <c r="WJD1376" s="110"/>
      <c r="WJE1376" s="110"/>
      <c r="WJF1376" s="110"/>
      <c r="WJG1376" s="110"/>
      <c r="WJH1376" s="110"/>
      <c r="WJI1376" s="110"/>
      <c r="WJJ1376" s="110"/>
      <c r="WJK1376" s="110"/>
      <c r="WJL1376" s="110"/>
      <c r="WJM1376" s="110"/>
      <c r="WJN1376" s="110"/>
      <c r="WJO1376" s="110"/>
      <c r="WJP1376" s="110"/>
      <c r="WJQ1376" s="110"/>
      <c r="WJR1376" s="110"/>
      <c r="WJS1376" s="110"/>
      <c r="WJT1376" s="110"/>
      <c r="WJU1376" s="110"/>
      <c r="WJV1376" s="110"/>
      <c r="WJW1376" s="110"/>
      <c r="WJX1376" s="110"/>
      <c r="WJY1376" s="110"/>
      <c r="WJZ1376" s="110"/>
      <c r="WKA1376" s="110"/>
      <c r="WKB1376" s="110"/>
      <c r="WKC1376" s="110"/>
      <c r="WKD1376" s="110"/>
      <c r="WKE1376" s="110"/>
      <c r="WKF1376" s="110"/>
      <c r="WKG1376" s="110"/>
      <c r="WKH1376" s="110"/>
      <c r="WKI1376" s="110"/>
      <c r="WKJ1376" s="110"/>
      <c r="WKK1376" s="110"/>
      <c r="WKL1376" s="110"/>
      <c r="WKM1376" s="110"/>
      <c r="WKN1376" s="110"/>
      <c r="WKO1376" s="110"/>
      <c r="WKP1376" s="110"/>
      <c r="WKQ1376" s="110"/>
      <c r="WKR1376" s="110"/>
      <c r="WKS1376" s="110"/>
      <c r="WKT1376" s="110"/>
      <c r="WKU1376" s="110"/>
      <c r="WKV1376" s="110"/>
      <c r="WKW1376" s="110"/>
      <c r="WKX1376" s="110"/>
      <c r="WKY1376" s="110"/>
      <c r="WKZ1376" s="110"/>
      <c r="WLA1376" s="110"/>
      <c r="WLB1376" s="110"/>
      <c r="WLC1376" s="110"/>
      <c r="WLD1376" s="110"/>
      <c r="WLE1376" s="110"/>
      <c r="WLF1376" s="110"/>
      <c r="WLG1376" s="110"/>
      <c r="WLH1376" s="110"/>
      <c r="WLI1376" s="110"/>
      <c r="WLJ1376" s="110"/>
      <c r="WLK1376" s="110"/>
      <c r="WLL1376" s="110"/>
      <c r="WLM1376" s="110"/>
      <c r="WLN1376" s="110"/>
      <c r="WLO1376" s="110"/>
      <c r="WLP1376" s="110"/>
      <c r="WLQ1376" s="110"/>
      <c r="WLR1376" s="110"/>
      <c r="WLS1376" s="110"/>
      <c r="WLT1376" s="110"/>
      <c r="WLU1376" s="110"/>
      <c r="WLV1376" s="110"/>
      <c r="WLW1376" s="110"/>
      <c r="WLX1376" s="110"/>
      <c r="WLY1376" s="110"/>
      <c r="WLZ1376" s="110"/>
      <c r="WMA1376" s="110"/>
      <c r="WMB1376" s="110"/>
      <c r="WMC1376" s="110"/>
      <c r="WMD1376" s="110"/>
      <c r="WME1376" s="110"/>
      <c r="WMF1376" s="110"/>
      <c r="WMG1376" s="110"/>
      <c r="WMH1376" s="110"/>
      <c r="WMI1376" s="110"/>
      <c r="WMJ1376" s="110"/>
      <c r="WMK1376" s="110"/>
      <c r="WML1376" s="110"/>
      <c r="WMM1376" s="110"/>
      <c r="WMN1376" s="110"/>
      <c r="WMO1376" s="110"/>
      <c r="WMP1376" s="110"/>
      <c r="WMQ1376" s="110"/>
      <c r="WMR1376" s="110"/>
      <c r="WMS1376" s="110"/>
      <c r="WMT1376" s="110"/>
      <c r="WMU1376" s="110"/>
      <c r="WMV1376" s="110"/>
      <c r="WMW1376" s="110"/>
      <c r="WMX1376" s="110"/>
      <c r="WMY1376" s="110"/>
      <c r="WMZ1376" s="110"/>
      <c r="WNA1376" s="110"/>
      <c r="WNB1376" s="110"/>
      <c r="WNC1376" s="110"/>
      <c r="WND1376" s="110"/>
      <c r="WNE1376" s="110"/>
      <c r="WNF1376" s="110"/>
      <c r="WNG1376" s="110"/>
      <c r="WNH1376" s="110"/>
      <c r="WNI1376" s="110"/>
      <c r="WNJ1376" s="110"/>
      <c r="WNK1376" s="110"/>
      <c r="WNL1376" s="110"/>
      <c r="WNM1376" s="110"/>
      <c r="WNN1376" s="110"/>
      <c r="WNO1376" s="110"/>
      <c r="WNP1376" s="110"/>
      <c r="WNQ1376" s="110"/>
      <c r="WNR1376" s="110"/>
      <c r="WNS1376" s="110"/>
      <c r="WNT1376" s="110"/>
      <c r="WNU1376" s="110"/>
      <c r="WNV1376" s="110"/>
      <c r="WNW1376" s="110"/>
      <c r="WNX1376" s="110"/>
      <c r="WNY1376" s="110"/>
      <c r="WNZ1376" s="110"/>
      <c r="WOA1376" s="110"/>
      <c r="WOB1376" s="110"/>
      <c r="WOC1376" s="110"/>
      <c r="WOD1376" s="110"/>
      <c r="WOE1376" s="110"/>
      <c r="WOF1376" s="110"/>
      <c r="WOG1376" s="110"/>
      <c r="WOH1376" s="110"/>
      <c r="WOI1376" s="110"/>
      <c r="WOJ1376" s="110"/>
      <c r="WOK1376" s="110"/>
      <c r="WOL1376" s="110"/>
      <c r="WOM1376" s="110"/>
      <c r="WON1376" s="110"/>
      <c r="WOO1376" s="110"/>
      <c r="WOP1376" s="110"/>
      <c r="WOQ1376" s="110"/>
      <c r="WOR1376" s="110"/>
      <c r="WOS1376" s="110"/>
      <c r="WOT1376" s="110"/>
      <c r="WOU1376" s="110"/>
      <c r="WOV1376" s="110"/>
      <c r="WOW1376" s="110"/>
      <c r="WOX1376" s="110"/>
      <c r="WOY1376" s="110"/>
      <c r="WOZ1376" s="110"/>
      <c r="WPA1376" s="110"/>
      <c r="WPB1376" s="110"/>
      <c r="WPC1376" s="110"/>
      <c r="WPD1376" s="110"/>
      <c r="WPE1376" s="110"/>
      <c r="WPF1376" s="110"/>
      <c r="WPG1376" s="110"/>
      <c r="WPH1376" s="110"/>
      <c r="WPI1376" s="110"/>
      <c r="WPJ1376" s="110"/>
      <c r="WPK1376" s="110"/>
      <c r="WPL1376" s="110"/>
      <c r="WPM1376" s="110"/>
      <c r="WPN1376" s="110"/>
      <c r="WPO1376" s="110"/>
      <c r="WPP1376" s="110"/>
      <c r="WPQ1376" s="110"/>
      <c r="WPR1376" s="110"/>
      <c r="WPS1376" s="110"/>
      <c r="WPT1376" s="110"/>
      <c r="WPU1376" s="110"/>
      <c r="WPV1376" s="110"/>
      <c r="WPW1376" s="110"/>
      <c r="WPX1376" s="110"/>
      <c r="WPY1376" s="110"/>
      <c r="WPZ1376" s="110"/>
      <c r="WQA1376" s="110"/>
      <c r="WQB1376" s="110"/>
      <c r="WQC1376" s="110"/>
      <c r="WQD1376" s="110"/>
      <c r="WQE1376" s="110"/>
      <c r="WQF1376" s="110"/>
      <c r="WQG1376" s="110"/>
      <c r="WQH1376" s="110"/>
      <c r="WQI1376" s="110"/>
      <c r="WQJ1376" s="110"/>
      <c r="WQK1376" s="110"/>
      <c r="WQL1376" s="110"/>
      <c r="WQM1376" s="110"/>
      <c r="WQN1376" s="110"/>
      <c r="WQO1376" s="110"/>
      <c r="WQP1376" s="110"/>
      <c r="WQQ1376" s="110"/>
      <c r="WQR1376" s="110"/>
      <c r="WQS1376" s="110"/>
      <c r="WQT1376" s="110"/>
      <c r="WQU1376" s="110"/>
      <c r="WQV1376" s="110"/>
      <c r="WQW1376" s="110"/>
      <c r="WQX1376" s="110"/>
      <c r="WQY1376" s="110"/>
      <c r="WQZ1376" s="110"/>
      <c r="WRA1376" s="110"/>
      <c r="WRB1376" s="110"/>
      <c r="WRC1376" s="110"/>
      <c r="WRD1376" s="110"/>
      <c r="WRE1376" s="110"/>
      <c r="WRF1376" s="110"/>
      <c r="WRG1376" s="110"/>
      <c r="WRH1376" s="110"/>
      <c r="WRI1376" s="110"/>
      <c r="WRJ1376" s="110"/>
      <c r="WRK1376" s="110"/>
      <c r="WRL1376" s="110"/>
      <c r="WRM1376" s="110"/>
      <c r="WRN1376" s="110"/>
      <c r="WRO1376" s="110"/>
      <c r="WRP1376" s="110"/>
      <c r="WRQ1376" s="110"/>
      <c r="WRR1376" s="110"/>
      <c r="WRS1376" s="110"/>
      <c r="WRT1376" s="110"/>
      <c r="WRU1376" s="110"/>
      <c r="WRV1376" s="110"/>
      <c r="WRW1376" s="110"/>
      <c r="WRX1376" s="110"/>
      <c r="WRY1376" s="110"/>
      <c r="WRZ1376" s="110"/>
      <c r="WSA1376" s="110"/>
      <c r="WSB1376" s="110"/>
      <c r="WSC1376" s="110"/>
      <c r="WSD1376" s="110"/>
      <c r="WSE1376" s="110"/>
      <c r="WSF1376" s="110"/>
      <c r="WSG1376" s="110"/>
      <c r="WSH1376" s="110"/>
      <c r="WSI1376" s="110"/>
      <c r="WSJ1376" s="110"/>
      <c r="WSK1376" s="110"/>
      <c r="WSL1376" s="110"/>
      <c r="WSM1376" s="110"/>
      <c r="WSN1376" s="110"/>
      <c r="WSO1376" s="110"/>
      <c r="WSP1376" s="110"/>
      <c r="WSQ1376" s="110"/>
      <c r="WSR1376" s="110"/>
      <c r="WSS1376" s="110"/>
      <c r="WST1376" s="110"/>
      <c r="WSU1376" s="110"/>
      <c r="WSV1376" s="110"/>
      <c r="WSW1376" s="110"/>
      <c r="WSX1376" s="110"/>
      <c r="WSY1376" s="110"/>
      <c r="WSZ1376" s="110"/>
      <c r="WTA1376" s="110"/>
      <c r="WTB1376" s="110"/>
      <c r="WTC1376" s="110"/>
      <c r="WTD1376" s="110"/>
      <c r="WTE1376" s="110"/>
      <c r="WTF1376" s="110"/>
      <c r="WTG1376" s="110"/>
      <c r="WTH1376" s="110"/>
      <c r="WTI1376" s="110"/>
      <c r="WTJ1376" s="110"/>
      <c r="WTK1376" s="110"/>
      <c r="WTL1376" s="110"/>
      <c r="WTM1376" s="110"/>
      <c r="WTN1376" s="110"/>
      <c r="WTO1376" s="110"/>
      <c r="WTP1376" s="110"/>
      <c r="WTQ1376" s="110"/>
      <c r="WTR1376" s="110"/>
      <c r="WTS1376" s="110"/>
      <c r="WTT1376" s="110"/>
      <c r="WTU1376" s="110"/>
      <c r="WTV1376" s="110"/>
      <c r="WTW1376" s="110"/>
      <c r="WTX1376" s="110"/>
      <c r="WTY1376" s="110"/>
      <c r="WTZ1376" s="110"/>
      <c r="WUA1376" s="110"/>
      <c r="WUB1376" s="110"/>
      <c r="WUC1376" s="110"/>
      <c r="WUD1376" s="110"/>
      <c r="WUE1376" s="110"/>
      <c r="WUF1376" s="110"/>
      <c r="WUG1376" s="110"/>
      <c r="WUH1376" s="110"/>
      <c r="WUI1376" s="110"/>
      <c r="WUJ1376" s="110"/>
      <c r="WUK1376" s="110"/>
      <c r="WUL1376" s="110"/>
      <c r="WUM1376" s="110"/>
      <c r="WUN1376" s="110"/>
      <c r="WUO1376" s="110"/>
      <c r="WUP1376" s="110"/>
      <c r="WUQ1376" s="110"/>
      <c r="WUR1376" s="110"/>
      <c r="WUS1376" s="110"/>
      <c r="WUT1376" s="110"/>
      <c r="WUU1376" s="110"/>
      <c r="WUV1376" s="110"/>
      <c r="WUW1376" s="110"/>
      <c r="WUX1376" s="110"/>
      <c r="WUY1376" s="110"/>
      <c r="WUZ1376" s="110"/>
      <c r="WVA1376" s="110"/>
      <c r="WVB1376" s="110"/>
      <c r="WVC1376" s="110"/>
      <c r="WVD1376" s="110"/>
      <c r="WVE1376" s="110"/>
      <c r="WVF1376" s="110"/>
      <c r="WVG1376" s="110"/>
      <c r="WVH1376" s="110"/>
      <c r="WVI1376" s="110"/>
      <c r="WVJ1376" s="110"/>
      <c r="WVK1376" s="110"/>
      <c r="WVL1376" s="110"/>
      <c r="WVM1376" s="110"/>
      <c r="WVN1376" s="110"/>
      <c r="WVO1376" s="110"/>
      <c r="WVP1376" s="110"/>
      <c r="WVQ1376" s="110"/>
      <c r="WVR1376" s="110"/>
      <c r="WVS1376" s="110"/>
      <c r="WVT1376" s="110"/>
      <c r="WVU1376" s="110"/>
      <c r="WVV1376" s="110"/>
      <c r="WVW1376" s="110"/>
      <c r="WVX1376" s="110"/>
      <c r="WVY1376" s="110"/>
      <c r="WVZ1376" s="110"/>
      <c r="WWA1376" s="110"/>
      <c r="WWB1376" s="110"/>
      <c r="WWC1376" s="110"/>
      <c r="WWD1376" s="110"/>
      <c r="WWE1376" s="110"/>
      <c r="WWF1376" s="110"/>
      <c r="WWG1376" s="110"/>
      <c r="WWH1376" s="110"/>
      <c r="WWI1376" s="110"/>
      <c r="WWJ1376" s="110"/>
      <c r="WWK1376" s="110"/>
      <c r="WWL1376" s="110"/>
      <c r="WWM1376" s="110"/>
      <c r="WWN1376" s="110"/>
      <c r="WWO1376" s="110"/>
      <c r="WWP1376" s="110"/>
      <c r="WWQ1376" s="110"/>
      <c r="WWR1376" s="110"/>
      <c r="WWS1376" s="110"/>
      <c r="WWT1376" s="110"/>
      <c r="WWU1376" s="110"/>
      <c r="WWV1376" s="110"/>
      <c r="WWW1376" s="110"/>
      <c r="WWX1376" s="110"/>
      <c r="WWY1376" s="110"/>
      <c r="WWZ1376" s="110"/>
      <c r="WXA1376" s="110"/>
      <c r="WXB1376" s="110"/>
      <c r="WXC1376" s="110"/>
      <c r="WXD1376" s="110"/>
      <c r="WXE1376" s="110"/>
      <c r="WXF1376" s="110"/>
      <c r="WXG1376" s="110"/>
      <c r="WXH1376" s="110"/>
      <c r="WXI1376" s="110"/>
      <c r="WXJ1376" s="110"/>
      <c r="WXK1376" s="110"/>
      <c r="WXL1376" s="110"/>
      <c r="WXM1376" s="110"/>
      <c r="WXN1376" s="110"/>
      <c r="WXO1376" s="110"/>
      <c r="WXP1376" s="110"/>
      <c r="WXQ1376" s="110"/>
      <c r="WXR1376" s="110"/>
      <c r="WXS1376" s="110"/>
      <c r="WXT1376" s="110"/>
      <c r="WXU1376" s="110"/>
      <c r="WXV1376" s="110"/>
      <c r="WXW1376" s="110"/>
      <c r="WXX1376" s="110"/>
      <c r="WXY1376" s="110"/>
      <c r="WXZ1376" s="110"/>
      <c r="WYA1376" s="110"/>
      <c r="WYB1376" s="110"/>
      <c r="WYC1376" s="110"/>
      <c r="WYD1376" s="110"/>
      <c r="WYE1376" s="110"/>
      <c r="WYF1376" s="110"/>
      <c r="WYG1376" s="110"/>
      <c r="WYH1376" s="110"/>
      <c r="WYI1376" s="110"/>
      <c r="WYJ1376" s="110"/>
      <c r="WYK1376" s="110"/>
      <c r="WYL1376" s="110"/>
      <c r="WYM1376" s="110"/>
      <c r="WYN1376" s="110"/>
      <c r="WYO1376" s="110"/>
      <c r="WYP1376" s="110"/>
      <c r="WYQ1376" s="110"/>
      <c r="WYR1376" s="110"/>
      <c r="WYS1376" s="110"/>
      <c r="WYT1376" s="110"/>
      <c r="WYU1376" s="110"/>
      <c r="WYV1376" s="110"/>
      <c r="WYW1376" s="110"/>
      <c r="WYX1376" s="110"/>
      <c r="WYY1376" s="110"/>
      <c r="WYZ1376" s="110"/>
      <c r="WZA1376" s="110"/>
      <c r="WZB1376" s="110"/>
      <c r="WZC1376" s="110"/>
      <c r="WZD1376" s="110"/>
      <c r="WZE1376" s="110"/>
      <c r="WZF1376" s="110"/>
      <c r="WZG1376" s="110"/>
      <c r="WZH1376" s="110"/>
      <c r="WZI1376" s="110"/>
      <c r="WZJ1376" s="110"/>
      <c r="WZK1376" s="110"/>
      <c r="WZL1376" s="110"/>
      <c r="WZM1376" s="110"/>
      <c r="WZN1376" s="110"/>
      <c r="WZO1376" s="110"/>
      <c r="WZP1376" s="110"/>
      <c r="WZQ1376" s="110"/>
      <c r="WZR1376" s="110"/>
      <c r="WZS1376" s="110"/>
      <c r="WZT1376" s="110"/>
      <c r="WZU1376" s="110"/>
      <c r="WZV1376" s="110"/>
      <c r="WZW1376" s="110"/>
      <c r="WZX1376" s="110"/>
      <c r="WZY1376" s="110"/>
      <c r="WZZ1376" s="110"/>
      <c r="XAA1376" s="110"/>
      <c r="XAB1376" s="110"/>
      <c r="XAC1376" s="110"/>
      <c r="XAD1376" s="110"/>
      <c r="XAE1376" s="110"/>
      <c r="XAF1376" s="110"/>
      <c r="XAG1376" s="110"/>
      <c r="XAH1376" s="110"/>
      <c r="XAI1376" s="110"/>
      <c r="XAJ1376" s="110"/>
      <c r="XAK1376" s="110"/>
      <c r="XAL1376" s="110"/>
      <c r="XAM1376" s="110"/>
      <c r="XAN1376" s="110"/>
      <c r="XAO1376" s="110"/>
      <c r="XAP1376" s="110"/>
      <c r="XAQ1376" s="110"/>
      <c r="XAR1376" s="110"/>
      <c r="XAS1376" s="110"/>
      <c r="XAT1376" s="110"/>
      <c r="XAU1376" s="110"/>
      <c r="XAV1376" s="110"/>
      <c r="XAW1376" s="110"/>
      <c r="XAX1376" s="110"/>
      <c r="XAY1376" s="110"/>
      <c r="XAZ1376" s="110"/>
      <c r="XBA1376" s="110"/>
      <c r="XBB1376" s="110"/>
      <c r="XBC1376" s="110"/>
      <c r="XBD1376" s="110"/>
      <c r="XBE1376" s="110"/>
      <c r="XBF1376" s="110"/>
      <c r="XBG1376" s="110"/>
      <c r="XBH1376" s="110"/>
      <c r="XBI1376" s="110"/>
      <c r="XBJ1376" s="110"/>
      <c r="XBK1376" s="110"/>
      <c r="XBL1376" s="110"/>
      <c r="XBM1376" s="110"/>
      <c r="XBN1376" s="110"/>
      <c r="XBO1376" s="110"/>
      <c r="XBP1376" s="110"/>
      <c r="XBQ1376" s="110"/>
      <c r="XBR1376" s="110"/>
      <c r="XBS1376" s="110"/>
      <c r="XBT1376" s="110"/>
      <c r="XBU1376" s="110"/>
      <c r="XBV1376" s="110"/>
      <c r="XBW1376" s="110"/>
      <c r="XBX1376" s="110"/>
      <c r="XBY1376" s="110"/>
      <c r="XBZ1376" s="110"/>
      <c r="XCA1376" s="110"/>
      <c r="XCB1376" s="110"/>
      <c r="XCC1376" s="110"/>
      <c r="XCD1376" s="110"/>
      <c r="XCE1376" s="110"/>
      <c r="XCF1376" s="110"/>
      <c r="XCG1376" s="110"/>
      <c r="XCH1376" s="110"/>
      <c r="XCI1376" s="110"/>
      <c r="XCJ1376" s="110"/>
      <c r="XCK1376" s="110"/>
      <c r="XCL1376" s="110"/>
      <c r="XCM1376" s="110"/>
      <c r="XCN1376" s="110"/>
      <c r="XCO1376" s="110"/>
      <c r="XCP1376" s="110"/>
      <c r="XCQ1376" s="110"/>
      <c r="XCR1376" s="110"/>
      <c r="XCS1376" s="110"/>
      <c r="XCT1376" s="110"/>
      <c r="XCU1376" s="110"/>
      <c r="XCV1376" s="110"/>
      <c r="XCW1376" s="110"/>
      <c r="XCX1376" s="110"/>
      <c r="XCY1376" s="110"/>
      <c r="XCZ1376" s="110"/>
      <c r="XDA1376" s="110"/>
      <c r="XDB1376" s="110"/>
      <c r="XDC1376" s="110"/>
      <c r="XDD1376" s="110"/>
      <c r="XDE1376" s="110"/>
      <c r="XDF1376" s="110"/>
      <c r="XDG1376" s="110"/>
      <c r="XDH1376" s="110"/>
      <c r="XDI1376" s="110"/>
      <c r="XDJ1376" s="110"/>
      <c r="XDK1376" s="110"/>
      <c r="XDL1376" s="110"/>
      <c r="XDM1376" s="110"/>
      <c r="XDN1376" s="110"/>
      <c r="XDO1376" s="110"/>
      <c r="XDP1376" s="110"/>
      <c r="XDQ1376" s="110"/>
      <c r="XDR1376" s="110"/>
      <c r="XDS1376" s="110"/>
      <c r="XDT1376" s="110"/>
      <c r="XDU1376" s="110"/>
      <c r="XDV1376" s="110"/>
      <c r="XDW1376" s="110"/>
      <c r="XDX1376" s="110"/>
      <c r="XDY1376" s="110"/>
      <c r="XDZ1376" s="110"/>
      <c r="XEA1376" s="110"/>
      <c r="XEB1376" s="110"/>
      <c r="XEC1376" s="110"/>
      <c r="XED1376" s="110"/>
      <c r="XEE1376" s="110"/>
      <c r="XEF1376" s="110"/>
      <c r="XEG1376" s="110"/>
      <c r="XEH1376" s="110"/>
      <c r="XEI1376" s="110"/>
      <c r="XEJ1376" s="110"/>
      <c r="XEK1376" s="110"/>
      <c r="XEL1376" s="110"/>
      <c r="XEM1376" s="110"/>
      <c r="XEN1376" s="110"/>
      <c r="XEO1376" s="110"/>
      <c r="XEP1376" s="110"/>
      <c r="XEQ1376" s="110"/>
      <c r="XER1376" s="110"/>
      <c r="XES1376" s="110"/>
      <c r="XET1376" s="110"/>
      <c r="XEU1376" s="110"/>
      <c r="XEV1376" s="110"/>
      <c r="XEW1376" s="110"/>
      <c r="XEX1376" s="110"/>
      <c r="XEY1376" s="110"/>
      <c r="XEZ1376" s="110"/>
      <c r="XFA1376" s="110"/>
      <c r="XFB1376" s="110"/>
    </row>
    <row r="1377" spans="1:16382" ht="11.25" customHeight="1" x14ac:dyDescent="0.15">
      <c r="A1377" s="110" t="s">
        <v>137</v>
      </c>
      <c r="B1377" s="110"/>
      <c r="C1377" s="111" t="s">
        <v>175</v>
      </c>
      <c r="D1377" s="111">
        <v>2024</v>
      </c>
      <c r="E1377" s="146">
        <v>45322</v>
      </c>
      <c r="F1377" s="111"/>
      <c r="G1377" s="111">
        <v>81110110</v>
      </c>
      <c r="H1377" s="111">
        <v>4101</v>
      </c>
      <c r="I1377" s="111" t="str">
        <f>MID(G1377,2,1)</f>
        <v>1</v>
      </c>
      <c r="J1377" s="111" t="str">
        <f>IF(I1377="1","Small/Medium","Large")</f>
        <v>Small/Medium</v>
      </c>
      <c r="K1377" s="147" t="s">
        <v>145</v>
      </c>
      <c r="L1377" s="120">
        <v>19684.86</v>
      </c>
      <c r="M1377" s="120">
        <f>L1377*0.3</f>
        <v>5905.4579999999996</v>
      </c>
      <c r="N1377" s="120">
        <f>L1377-M1377</f>
        <v>13779.402000000002</v>
      </c>
      <c r="O1377" s="119">
        <f>IFERROR(N1377/L1377,"")</f>
        <v>0.70000000000000007</v>
      </c>
      <c r="P1377" s="120">
        <v>19684.86</v>
      </c>
      <c r="Q1377" s="111">
        <v>2645</v>
      </c>
      <c r="R1377" s="117">
        <v>43</v>
      </c>
      <c r="S1377" s="117">
        <v>1929.84</v>
      </c>
      <c r="T1377" s="117">
        <v>2683.02</v>
      </c>
      <c r="U1377" s="117">
        <v>1160.25</v>
      </c>
      <c r="V1377" s="117"/>
      <c r="W1377" s="26">
        <f>SUM(S1377:V1377)</f>
        <v>5773.11</v>
      </c>
      <c r="X1377" s="118">
        <f t="shared" ref="X1377:X1379" si="966">IFERROR(S1377/R1377,"")</f>
        <v>44.879999999999995</v>
      </c>
      <c r="Y1377" s="119">
        <f t="shared" ref="Y1377:Y1379" si="967">U1377/P1377</f>
        <v>5.8941237072552201E-2</v>
      </c>
      <c r="Z1377" s="117">
        <f t="shared" ref="Z1377:Z1379" si="968">P1377-W1377</f>
        <v>13911.75</v>
      </c>
      <c r="AA1377" s="119">
        <f t="shared" ref="AA1377:AA1379" si="969">Z1377/P1377</f>
        <v>0.70672333966307099</v>
      </c>
      <c r="AB1377" s="120">
        <f t="shared" ref="AB1377:AB1379" si="970">M1377-W1377</f>
        <v>132.34799999999996</v>
      </c>
      <c r="AC1377" s="119">
        <f t="shared" ref="AC1377:AC1379" si="971">IFERROR(AA1377-O1377,"")</f>
        <v>6.7233396630709263E-3</v>
      </c>
      <c r="AD1377" s="110" t="s">
        <v>713</v>
      </c>
      <c r="AE1377" s="110"/>
      <c r="AF1377" s="110"/>
      <c r="AG1377" s="158"/>
      <c r="AH1377" s="110"/>
      <c r="AI1377" s="110"/>
      <c r="AJ1377" s="110"/>
      <c r="AK1377" s="110"/>
      <c r="AL1377" s="110"/>
      <c r="AM1377" s="110"/>
      <c r="AN1377" s="110"/>
      <c r="AO1377" s="110"/>
      <c r="AP1377" s="110"/>
      <c r="AQ1377" s="110"/>
      <c r="AR1377" s="110"/>
      <c r="AS1377" s="110"/>
      <c r="AT1377" s="110"/>
      <c r="AU1377" s="110"/>
      <c r="AV1377" s="110"/>
      <c r="AW1377" s="110"/>
      <c r="AX1377" s="110"/>
      <c r="AY1377" s="110"/>
      <c r="AZ1377" s="110"/>
      <c r="BA1377" s="110"/>
      <c r="BB1377" s="110"/>
      <c r="BC1377" s="110"/>
      <c r="BD1377" s="110"/>
      <c r="BE1377" s="110"/>
      <c r="BF1377" s="110"/>
      <c r="BG1377" s="110"/>
      <c r="BH1377" s="110"/>
      <c r="BI1377" s="110"/>
      <c r="BJ1377" s="110"/>
      <c r="BK1377" s="110"/>
      <c r="BL1377" s="110"/>
      <c r="BM1377" s="110"/>
      <c r="BN1377" s="110"/>
      <c r="BO1377" s="110"/>
      <c r="BP1377" s="110"/>
      <c r="BQ1377" s="110"/>
      <c r="BR1377" s="110"/>
      <c r="BS1377" s="110"/>
      <c r="BT1377" s="110"/>
      <c r="BU1377" s="110"/>
      <c r="BV1377" s="110"/>
      <c r="BW1377" s="110"/>
      <c r="BX1377" s="110"/>
      <c r="BY1377" s="110"/>
      <c r="BZ1377" s="110"/>
      <c r="CA1377" s="110"/>
      <c r="CB1377" s="110"/>
      <c r="CC1377" s="110"/>
      <c r="CD1377" s="110"/>
      <c r="CE1377" s="110"/>
      <c r="CF1377" s="110"/>
      <c r="CG1377" s="110"/>
      <c r="CH1377" s="110"/>
      <c r="CI1377" s="110"/>
      <c r="CJ1377" s="110"/>
      <c r="CK1377" s="110"/>
      <c r="CL1377" s="110"/>
      <c r="CM1377" s="110"/>
      <c r="CN1377" s="110"/>
      <c r="CO1377" s="110"/>
      <c r="CP1377" s="110"/>
      <c r="CQ1377" s="110"/>
      <c r="CR1377" s="110"/>
      <c r="CS1377" s="110"/>
      <c r="CT1377" s="110"/>
      <c r="CU1377" s="110"/>
      <c r="CV1377" s="110"/>
      <c r="CW1377" s="110"/>
      <c r="CX1377" s="110"/>
      <c r="CY1377" s="110"/>
      <c r="CZ1377" s="110"/>
      <c r="DA1377" s="110"/>
      <c r="DB1377" s="110"/>
      <c r="DC1377" s="110"/>
      <c r="DD1377" s="110"/>
      <c r="DE1377" s="110"/>
      <c r="DF1377" s="110"/>
      <c r="DG1377" s="110"/>
      <c r="DH1377" s="110"/>
      <c r="DI1377" s="110"/>
      <c r="DJ1377" s="110"/>
      <c r="DK1377" s="110"/>
      <c r="DL1377" s="110"/>
      <c r="DM1377" s="110"/>
      <c r="DN1377" s="110"/>
      <c r="DO1377" s="110"/>
      <c r="DP1377" s="110"/>
      <c r="DQ1377" s="110"/>
      <c r="DR1377" s="110"/>
      <c r="DS1377" s="110"/>
      <c r="DT1377" s="110"/>
      <c r="DU1377" s="110"/>
      <c r="DV1377" s="110"/>
      <c r="DW1377" s="110"/>
      <c r="DX1377" s="110"/>
      <c r="DY1377" s="110"/>
      <c r="DZ1377" s="110"/>
      <c r="EA1377" s="110"/>
      <c r="EB1377" s="110"/>
      <c r="EC1377" s="110"/>
      <c r="ED1377" s="110"/>
      <c r="EE1377" s="110"/>
      <c r="EF1377" s="110"/>
      <c r="EG1377" s="110"/>
      <c r="EH1377" s="110"/>
      <c r="EI1377" s="110"/>
      <c r="EJ1377" s="110"/>
      <c r="EK1377" s="110"/>
      <c r="EL1377" s="110"/>
      <c r="EM1377" s="110"/>
      <c r="EN1377" s="110"/>
      <c r="EO1377" s="110"/>
      <c r="EP1377" s="110"/>
      <c r="EQ1377" s="110"/>
      <c r="ER1377" s="110"/>
      <c r="ES1377" s="110"/>
      <c r="ET1377" s="110"/>
      <c r="EU1377" s="110"/>
      <c r="EV1377" s="110"/>
      <c r="EW1377" s="110"/>
      <c r="EX1377" s="110"/>
      <c r="EY1377" s="110"/>
      <c r="EZ1377" s="110"/>
      <c r="FA1377" s="110"/>
      <c r="FB1377" s="110"/>
      <c r="FC1377" s="110"/>
      <c r="FD1377" s="110"/>
      <c r="FE1377" s="110"/>
      <c r="FF1377" s="110"/>
      <c r="FG1377" s="110"/>
      <c r="FH1377" s="110"/>
      <c r="FI1377" s="110"/>
      <c r="FJ1377" s="110"/>
      <c r="FK1377" s="110"/>
      <c r="FL1377" s="110"/>
      <c r="FM1377" s="110"/>
      <c r="FN1377" s="110"/>
      <c r="FO1377" s="110"/>
      <c r="FP1377" s="110"/>
      <c r="FQ1377" s="110"/>
      <c r="FR1377" s="110"/>
      <c r="FS1377" s="110"/>
      <c r="FT1377" s="110"/>
      <c r="FU1377" s="110"/>
      <c r="FV1377" s="110"/>
      <c r="FW1377" s="110"/>
      <c r="FX1377" s="110"/>
      <c r="FY1377" s="110"/>
      <c r="FZ1377" s="110"/>
      <c r="GA1377" s="110"/>
      <c r="GB1377" s="110"/>
      <c r="GC1377" s="110"/>
      <c r="GD1377" s="110"/>
      <c r="GE1377" s="110"/>
      <c r="GF1377" s="110"/>
      <c r="GG1377" s="110"/>
      <c r="GH1377" s="110"/>
      <c r="GI1377" s="110"/>
      <c r="GJ1377" s="110"/>
      <c r="GK1377" s="110"/>
      <c r="GL1377" s="110"/>
      <c r="GM1377" s="110"/>
      <c r="GN1377" s="110"/>
      <c r="GO1377" s="110"/>
      <c r="GP1377" s="110"/>
      <c r="GQ1377" s="110"/>
      <c r="GR1377" s="110"/>
      <c r="GS1377" s="110"/>
      <c r="GT1377" s="110"/>
      <c r="GU1377" s="110"/>
      <c r="GV1377" s="110"/>
      <c r="GW1377" s="110"/>
      <c r="GX1377" s="110"/>
      <c r="GY1377" s="110"/>
      <c r="GZ1377" s="110"/>
      <c r="HA1377" s="110"/>
      <c r="HB1377" s="110"/>
      <c r="HC1377" s="110"/>
      <c r="HD1377" s="110"/>
      <c r="HE1377" s="110"/>
      <c r="HF1377" s="110"/>
      <c r="HG1377" s="110"/>
      <c r="HH1377" s="110"/>
      <c r="HI1377" s="110"/>
      <c r="HJ1377" s="110"/>
      <c r="HK1377" s="110"/>
      <c r="HL1377" s="110"/>
      <c r="HM1377" s="110"/>
      <c r="HN1377" s="110"/>
      <c r="HO1377" s="110"/>
      <c r="HP1377" s="110"/>
      <c r="HQ1377" s="110"/>
      <c r="HR1377" s="110"/>
      <c r="HS1377" s="110"/>
      <c r="HT1377" s="110"/>
      <c r="HU1377" s="110"/>
      <c r="HV1377" s="110"/>
      <c r="HW1377" s="110"/>
      <c r="HX1377" s="110"/>
      <c r="HY1377" s="110"/>
      <c r="HZ1377" s="110"/>
      <c r="IA1377" s="110"/>
      <c r="IB1377" s="110"/>
      <c r="IC1377" s="110"/>
      <c r="ID1377" s="110"/>
      <c r="IE1377" s="110"/>
      <c r="IF1377" s="110"/>
      <c r="IG1377" s="110"/>
      <c r="IH1377" s="110"/>
      <c r="II1377" s="110"/>
      <c r="IJ1377" s="110"/>
      <c r="IK1377" s="110"/>
      <c r="IL1377" s="110"/>
      <c r="IM1377" s="110"/>
      <c r="IN1377" s="110"/>
      <c r="IO1377" s="110"/>
      <c r="IP1377" s="110"/>
      <c r="IQ1377" s="110"/>
      <c r="IR1377" s="110"/>
      <c r="IS1377" s="110"/>
      <c r="IT1377" s="110"/>
      <c r="IU1377" s="110"/>
      <c r="IV1377" s="110"/>
      <c r="IW1377" s="110"/>
      <c r="IX1377" s="110"/>
      <c r="IY1377" s="110"/>
      <c r="IZ1377" s="110"/>
      <c r="JA1377" s="110"/>
      <c r="JB1377" s="110"/>
      <c r="JC1377" s="110"/>
      <c r="JD1377" s="110"/>
      <c r="JE1377" s="110"/>
      <c r="JF1377" s="110"/>
      <c r="JG1377" s="110"/>
      <c r="JH1377" s="110"/>
      <c r="JI1377" s="110"/>
      <c r="JJ1377" s="110"/>
      <c r="JK1377" s="110"/>
      <c r="JL1377" s="110"/>
      <c r="JM1377" s="110"/>
      <c r="JN1377" s="110"/>
      <c r="JO1377" s="110"/>
      <c r="JP1377" s="110"/>
      <c r="JQ1377" s="110"/>
      <c r="JR1377" s="110"/>
      <c r="JS1377" s="110"/>
      <c r="JT1377" s="110"/>
      <c r="JU1377" s="110"/>
      <c r="JV1377" s="110"/>
      <c r="JW1377" s="110"/>
      <c r="JX1377" s="110"/>
      <c r="JY1377" s="110"/>
      <c r="JZ1377" s="110"/>
      <c r="KA1377" s="110"/>
      <c r="KB1377" s="110"/>
      <c r="KC1377" s="110"/>
      <c r="KD1377" s="110"/>
      <c r="KE1377" s="110"/>
      <c r="KF1377" s="110"/>
      <c r="KG1377" s="110"/>
      <c r="KH1377" s="110"/>
      <c r="KI1377" s="110"/>
      <c r="KJ1377" s="110"/>
      <c r="KK1377" s="110"/>
      <c r="KL1377" s="110"/>
      <c r="KM1377" s="110"/>
      <c r="KN1377" s="110"/>
      <c r="KO1377" s="110"/>
      <c r="KP1377" s="110"/>
      <c r="KQ1377" s="110"/>
      <c r="KR1377" s="110"/>
      <c r="KS1377" s="110"/>
      <c r="KT1377" s="110"/>
      <c r="KU1377" s="110"/>
      <c r="KV1377" s="110"/>
      <c r="KW1377" s="110"/>
      <c r="KX1377" s="110"/>
      <c r="KY1377" s="110"/>
      <c r="KZ1377" s="110"/>
      <c r="LA1377" s="110"/>
      <c r="LB1377" s="110"/>
      <c r="LC1377" s="110"/>
      <c r="LD1377" s="110"/>
      <c r="LE1377" s="110"/>
      <c r="LF1377" s="110"/>
      <c r="LG1377" s="110"/>
      <c r="LH1377" s="110"/>
      <c r="LI1377" s="110"/>
      <c r="LJ1377" s="110"/>
      <c r="LK1377" s="110"/>
      <c r="LL1377" s="110"/>
      <c r="LM1377" s="110"/>
      <c r="LN1377" s="110"/>
      <c r="LO1377" s="110"/>
      <c r="LP1377" s="110"/>
      <c r="LQ1377" s="110"/>
      <c r="LR1377" s="110"/>
      <c r="LS1377" s="110"/>
      <c r="LT1377" s="110"/>
      <c r="LU1377" s="110"/>
      <c r="LV1377" s="110"/>
      <c r="LW1377" s="110"/>
      <c r="LX1377" s="110"/>
      <c r="LY1377" s="110"/>
      <c r="LZ1377" s="110"/>
      <c r="MA1377" s="110"/>
      <c r="MB1377" s="110"/>
      <c r="MC1377" s="110"/>
      <c r="MD1377" s="110"/>
      <c r="ME1377" s="110"/>
      <c r="MF1377" s="110"/>
      <c r="MG1377" s="110"/>
      <c r="MH1377" s="110"/>
      <c r="MI1377" s="110"/>
      <c r="MJ1377" s="110"/>
      <c r="MK1377" s="110"/>
      <c r="ML1377" s="110"/>
      <c r="MM1377" s="110"/>
      <c r="MN1377" s="110"/>
      <c r="MO1377" s="110"/>
      <c r="MP1377" s="110"/>
      <c r="MQ1377" s="110"/>
      <c r="MR1377" s="110"/>
      <c r="MS1377" s="110"/>
      <c r="MT1377" s="110"/>
      <c r="MU1377" s="110"/>
      <c r="MV1377" s="110"/>
      <c r="MW1377" s="110"/>
      <c r="MX1377" s="110"/>
      <c r="MY1377" s="110"/>
      <c r="MZ1377" s="110"/>
      <c r="NA1377" s="110"/>
      <c r="NB1377" s="110"/>
      <c r="NC1377" s="110"/>
      <c r="ND1377" s="110"/>
      <c r="NE1377" s="110"/>
      <c r="NF1377" s="110"/>
      <c r="NG1377" s="110"/>
      <c r="NH1377" s="110"/>
      <c r="NI1377" s="110"/>
      <c r="NJ1377" s="110"/>
      <c r="NK1377" s="110"/>
      <c r="NL1377" s="110"/>
      <c r="NM1377" s="110"/>
      <c r="NN1377" s="110"/>
      <c r="NO1377" s="110"/>
      <c r="NP1377" s="110"/>
      <c r="NQ1377" s="110"/>
      <c r="NR1377" s="110"/>
      <c r="NS1377" s="110"/>
      <c r="NT1377" s="110"/>
      <c r="NU1377" s="110"/>
      <c r="NV1377" s="110"/>
      <c r="NW1377" s="110"/>
      <c r="NX1377" s="110"/>
      <c r="NY1377" s="110"/>
      <c r="NZ1377" s="110"/>
      <c r="OA1377" s="110"/>
      <c r="OB1377" s="110"/>
      <c r="OC1377" s="110"/>
      <c r="OD1377" s="110"/>
      <c r="OE1377" s="110"/>
      <c r="OF1377" s="110"/>
      <c r="OG1377" s="110"/>
      <c r="OH1377" s="110"/>
      <c r="OI1377" s="110"/>
      <c r="OJ1377" s="110"/>
      <c r="OK1377" s="110"/>
      <c r="OL1377" s="110"/>
      <c r="OM1377" s="110"/>
      <c r="ON1377" s="110"/>
      <c r="OO1377" s="110"/>
      <c r="OP1377" s="110"/>
      <c r="OQ1377" s="110"/>
      <c r="OR1377" s="110"/>
      <c r="OS1377" s="110"/>
      <c r="OT1377" s="110"/>
      <c r="OU1377" s="110"/>
      <c r="OV1377" s="110"/>
      <c r="OW1377" s="110"/>
      <c r="OX1377" s="110"/>
      <c r="OY1377" s="110"/>
      <c r="OZ1377" s="110"/>
      <c r="PA1377" s="110"/>
      <c r="PB1377" s="110"/>
      <c r="PC1377" s="110"/>
      <c r="PD1377" s="110"/>
      <c r="PE1377" s="110"/>
      <c r="PF1377" s="110"/>
      <c r="PG1377" s="110"/>
      <c r="PH1377" s="110"/>
      <c r="PI1377" s="110"/>
      <c r="PJ1377" s="110"/>
      <c r="PK1377" s="110"/>
      <c r="PL1377" s="110"/>
      <c r="PM1377" s="110"/>
      <c r="PN1377" s="110"/>
      <c r="PO1377" s="110"/>
      <c r="PP1377" s="110"/>
      <c r="PQ1377" s="110"/>
      <c r="PR1377" s="110"/>
      <c r="PS1377" s="110"/>
      <c r="PT1377" s="110"/>
      <c r="PU1377" s="110"/>
      <c r="PV1377" s="110"/>
      <c r="PW1377" s="110"/>
      <c r="PX1377" s="110"/>
      <c r="PY1377" s="110"/>
      <c r="PZ1377" s="110"/>
      <c r="QA1377" s="110"/>
      <c r="QB1377" s="110"/>
      <c r="QC1377" s="110"/>
      <c r="QD1377" s="110"/>
      <c r="QE1377" s="110"/>
      <c r="QF1377" s="110"/>
      <c r="QG1377" s="110"/>
      <c r="QH1377" s="110"/>
      <c r="QI1377" s="110"/>
      <c r="QJ1377" s="110"/>
      <c r="QK1377" s="110"/>
      <c r="QL1377" s="110"/>
      <c r="QM1377" s="110"/>
      <c r="QN1377" s="110"/>
      <c r="QO1377" s="110"/>
      <c r="QP1377" s="110"/>
      <c r="QQ1377" s="110"/>
      <c r="QR1377" s="110"/>
      <c r="QS1377" s="110"/>
      <c r="QT1377" s="110"/>
      <c r="QU1377" s="110"/>
      <c r="QV1377" s="110"/>
      <c r="QW1377" s="110"/>
      <c r="QX1377" s="110"/>
      <c r="QY1377" s="110"/>
      <c r="QZ1377" s="110"/>
      <c r="RA1377" s="110"/>
      <c r="RB1377" s="110"/>
      <c r="RC1377" s="110"/>
      <c r="RD1377" s="110"/>
      <c r="RE1377" s="110"/>
      <c r="RF1377" s="110"/>
      <c r="RG1377" s="110"/>
      <c r="RH1377" s="110"/>
      <c r="RI1377" s="110"/>
      <c r="RJ1377" s="110"/>
      <c r="RK1377" s="110"/>
      <c r="RL1377" s="110"/>
      <c r="RM1377" s="110"/>
      <c r="RN1377" s="110"/>
      <c r="RO1377" s="110"/>
      <c r="RP1377" s="110"/>
      <c r="RQ1377" s="110"/>
      <c r="RR1377" s="110"/>
      <c r="RS1377" s="110"/>
      <c r="RT1377" s="110"/>
      <c r="RU1377" s="110"/>
      <c r="RV1377" s="110"/>
      <c r="RW1377" s="110"/>
      <c r="RX1377" s="110"/>
      <c r="RY1377" s="110"/>
      <c r="RZ1377" s="110"/>
      <c r="SA1377" s="110"/>
      <c r="SB1377" s="110"/>
      <c r="SC1377" s="110"/>
      <c r="SD1377" s="110"/>
      <c r="SE1377" s="110"/>
      <c r="SF1377" s="110"/>
      <c r="SG1377" s="110"/>
      <c r="SH1377" s="110"/>
      <c r="SI1377" s="110"/>
      <c r="SJ1377" s="110"/>
      <c r="SK1377" s="110"/>
      <c r="SL1377" s="110"/>
      <c r="SM1377" s="110"/>
      <c r="SN1377" s="110"/>
      <c r="SO1377" s="110"/>
      <c r="SP1377" s="110"/>
      <c r="SQ1377" s="110"/>
      <c r="SR1377" s="110"/>
      <c r="SS1377" s="110"/>
      <c r="ST1377" s="110"/>
      <c r="SU1377" s="110"/>
      <c r="SV1377" s="110"/>
      <c r="SW1377" s="110"/>
      <c r="SX1377" s="110"/>
      <c r="SY1377" s="110"/>
      <c r="SZ1377" s="110"/>
      <c r="TA1377" s="110"/>
      <c r="TB1377" s="110"/>
      <c r="TC1377" s="110"/>
      <c r="TD1377" s="110"/>
      <c r="TE1377" s="110"/>
      <c r="TF1377" s="110"/>
      <c r="TG1377" s="110"/>
      <c r="TH1377" s="110"/>
      <c r="TI1377" s="110"/>
      <c r="TJ1377" s="110"/>
      <c r="TK1377" s="110"/>
      <c r="TL1377" s="110"/>
      <c r="TM1377" s="110"/>
      <c r="TN1377" s="110"/>
      <c r="TO1377" s="110"/>
      <c r="TP1377" s="110"/>
      <c r="TQ1377" s="110"/>
      <c r="TR1377" s="110"/>
      <c r="TS1377" s="110"/>
      <c r="TT1377" s="110"/>
      <c r="TU1377" s="110"/>
      <c r="TV1377" s="110"/>
      <c r="TW1377" s="110"/>
      <c r="TX1377" s="110"/>
      <c r="TY1377" s="110"/>
      <c r="TZ1377" s="110"/>
      <c r="UA1377" s="110"/>
      <c r="UB1377" s="110"/>
      <c r="UC1377" s="110"/>
      <c r="UD1377" s="110"/>
      <c r="UE1377" s="110"/>
      <c r="UF1377" s="110"/>
      <c r="UG1377" s="110"/>
      <c r="UH1377" s="110"/>
      <c r="UI1377" s="110"/>
      <c r="UJ1377" s="110"/>
      <c r="UK1377" s="110"/>
      <c r="UL1377" s="110"/>
      <c r="UM1377" s="110"/>
      <c r="UN1377" s="110"/>
      <c r="UO1377" s="110"/>
      <c r="UP1377" s="110"/>
      <c r="UQ1377" s="110"/>
      <c r="UR1377" s="110"/>
      <c r="US1377" s="110"/>
      <c r="UT1377" s="110"/>
      <c r="UU1377" s="110"/>
      <c r="UV1377" s="110"/>
      <c r="UW1377" s="110"/>
      <c r="UX1377" s="110"/>
      <c r="UY1377" s="110"/>
      <c r="UZ1377" s="110"/>
      <c r="VA1377" s="110"/>
      <c r="VB1377" s="110"/>
      <c r="VC1377" s="110"/>
      <c r="VD1377" s="110"/>
      <c r="VE1377" s="110"/>
      <c r="VF1377" s="110"/>
      <c r="VG1377" s="110"/>
      <c r="VH1377" s="110"/>
      <c r="VI1377" s="110"/>
      <c r="VJ1377" s="110"/>
      <c r="VK1377" s="110"/>
      <c r="VL1377" s="110"/>
      <c r="VM1377" s="110"/>
      <c r="VN1377" s="110"/>
      <c r="VO1377" s="110"/>
      <c r="VP1377" s="110"/>
      <c r="VQ1377" s="110"/>
      <c r="VR1377" s="110"/>
      <c r="VS1377" s="110"/>
      <c r="VT1377" s="110"/>
      <c r="VU1377" s="110"/>
      <c r="VV1377" s="110"/>
      <c r="VW1377" s="110"/>
      <c r="VX1377" s="110"/>
      <c r="VY1377" s="110"/>
      <c r="VZ1377" s="110"/>
      <c r="WA1377" s="110"/>
      <c r="WB1377" s="110"/>
      <c r="WC1377" s="110"/>
      <c r="WD1377" s="110"/>
      <c r="WE1377" s="110"/>
      <c r="WF1377" s="110"/>
      <c r="WG1377" s="110"/>
      <c r="WH1377" s="110"/>
      <c r="WI1377" s="110"/>
      <c r="WJ1377" s="110"/>
      <c r="WK1377" s="110"/>
      <c r="WL1377" s="110"/>
      <c r="WM1377" s="110"/>
      <c r="WN1377" s="110"/>
      <c r="WO1377" s="110"/>
      <c r="WP1377" s="110"/>
      <c r="WQ1377" s="110"/>
      <c r="WR1377" s="110"/>
      <c r="WS1377" s="110"/>
      <c r="WT1377" s="110"/>
      <c r="WU1377" s="110"/>
      <c r="WV1377" s="110"/>
      <c r="WW1377" s="110"/>
      <c r="WX1377" s="110"/>
      <c r="WY1377" s="110"/>
      <c r="WZ1377" s="110"/>
      <c r="XA1377" s="110"/>
      <c r="XB1377" s="110"/>
      <c r="XC1377" s="110"/>
      <c r="XD1377" s="110"/>
      <c r="XE1377" s="110"/>
      <c r="XF1377" s="110"/>
      <c r="XG1377" s="110"/>
      <c r="XH1377" s="110"/>
      <c r="XI1377" s="110"/>
      <c r="XJ1377" s="110"/>
      <c r="XK1377" s="110"/>
      <c r="XL1377" s="110"/>
      <c r="XM1377" s="110"/>
      <c r="XN1377" s="110"/>
      <c r="XO1377" s="110"/>
      <c r="XP1377" s="110"/>
      <c r="XQ1377" s="110"/>
      <c r="XR1377" s="110"/>
      <c r="XS1377" s="110"/>
      <c r="XT1377" s="110"/>
      <c r="XU1377" s="110"/>
      <c r="XV1377" s="110"/>
      <c r="XW1377" s="110"/>
      <c r="XX1377" s="110"/>
      <c r="XY1377" s="110"/>
      <c r="XZ1377" s="110"/>
      <c r="YA1377" s="110"/>
      <c r="YB1377" s="110"/>
      <c r="YC1377" s="110"/>
      <c r="YD1377" s="110"/>
      <c r="YE1377" s="110"/>
      <c r="YF1377" s="110"/>
      <c r="YG1377" s="110"/>
      <c r="YH1377" s="110"/>
      <c r="YI1377" s="110"/>
      <c r="YJ1377" s="110"/>
      <c r="YK1377" s="110"/>
      <c r="YL1377" s="110"/>
      <c r="YM1377" s="110"/>
      <c r="YN1377" s="110"/>
      <c r="YO1377" s="110"/>
      <c r="YP1377" s="110"/>
      <c r="YQ1377" s="110"/>
      <c r="YR1377" s="110"/>
      <c r="YS1377" s="110"/>
      <c r="YT1377" s="110"/>
      <c r="YU1377" s="110"/>
      <c r="YV1377" s="110"/>
      <c r="YW1377" s="110"/>
      <c r="YX1377" s="110"/>
      <c r="YY1377" s="110"/>
      <c r="YZ1377" s="110"/>
      <c r="ZA1377" s="110"/>
      <c r="ZB1377" s="110"/>
      <c r="ZC1377" s="110"/>
      <c r="ZD1377" s="110"/>
      <c r="ZE1377" s="110"/>
      <c r="ZF1377" s="110"/>
      <c r="ZG1377" s="110"/>
      <c r="ZH1377" s="110"/>
      <c r="ZI1377" s="110"/>
      <c r="ZJ1377" s="110"/>
      <c r="ZK1377" s="110"/>
      <c r="ZL1377" s="110"/>
      <c r="ZM1377" s="110"/>
      <c r="ZN1377" s="110"/>
      <c r="ZO1377" s="110"/>
      <c r="ZP1377" s="110"/>
      <c r="ZQ1377" s="110"/>
      <c r="ZR1377" s="110"/>
      <c r="ZS1377" s="110"/>
      <c r="ZT1377" s="110"/>
      <c r="ZU1377" s="110"/>
      <c r="ZV1377" s="110"/>
      <c r="ZW1377" s="110"/>
      <c r="ZX1377" s="110"/>
      <c r="ZY1377" s="110"/>
      <c r="ZZ1377" s="110"/>
      <c r="AAA1377" s="110"/>
      <c r="AAB1377" s="110"/>
      <c r="AAC1377" s="110"/>
      <c r="AAD1377" s="110"/>
      <c r="AAE1377" s="110"/>
      <c r="AAF1377" s="110"/>
      <c r="AAG1377" s="110"/>
      <c r="AAH1377" s="110"/>
      <c r="AAI1377" s="110"/>
      <c r="AAJ1377" s="110"/>
      <c r="AAK1377" s="110"/>
      <c r="AAL1377" s="110"/>
      <c r="AAM1377" s="110"/>
      <c r="AAN1377" s="110"/>
      <c r="AAO1377" s="110"/>
      <c r="AAP1377" s="110"/>
      <c r="AAQ1377" s="110"/>
      <c r="AAR1377" s="110"/>
      <c r="AAS1377" s="110"/>
      <c r="AAT1377" s="110"/>
      <c r="AAU1377" s="110"/>
      <c r="AAV1377" s="110"/>
      <c r="AAW1377" s="110"/>
      <c r="AAX1377" s="110"/>
      <c r="AAY1377" s="110"/>
      <c r="AAZ1377" s="110"/>
      <c r="ABA1377" s="110"/>
      <c r="ABB1377" s="110"/>
      <c r="ABC1377" s="110"/>
      <c r="ABD1377" s="110"/>
      <c r="ABE1377" s="110"/>
      <c r="ABF1377" s="110"/>
      <c r="ABG1377" s="110"/>
      <c r="ABH1377" s="110"/>
      <c r="ABI1377" s="110"/>
      <c r="ABJ1377" s="110"/>
      <c r="ABK1377" s="110"/>
      <c r="ABL1377" s="110"/>
      <c r="ABM1377" s="110"/>
      <c r="ABN1377" s="110"/>
      <c r="ABO1377" s="110"/>
      <c r="ABP1377" s="110"/>
      <c r="ABQ1377" s="110"/>
      <c r="ABR1377" s="110"/>
      <c r="ABS1377" s="110"/>
      <c r="ABT1377" s="110"/>
      <c r="ABU1377" s="110"/>
      <c r="ABV1377" s="110"/>
      <c r="ABW1377" s="110"/>
      <c r="ABX1377" s="110"/>
      <c r="ABY1377" s="110"/>
      <c r="ABZ1377" s="110"/>
      <c r="ACA1377" s="110"/>
      <c r="ACB1377" s="110"/>
      <c r="ACC1377" s="110"/>
      <c r="ACD1377" s="110"/>
      <c r="ACE1377" s="110"/>
      <c r="ACF1377" s="110"/>
      <c r="ACG1377" s="110"/>
      <c r="ACH1377" s="110"/>
      <c r="ACI1377" s="110"/>
      <c r="ACJ1377" s="110"/>
      <c r="ACK1377" s="110"/>
      <c r="ACL1377" s="110"/>
      <c r="ACM1377" s="110"/>
      <c r="ACN1377" s="110"/>
      <c r="ACO1377" s="110"/>
      <c r="ACP1377" s="110"/>
      <c r="ACQ1377" s="110"/>
      <c r="ACR1377" s="110"/>
      <c r="ACS1377" s="110"/>
      <c r="ACT1377" s="110"/>
      <c r="ACU1377" s="110"/>
      <c r="ACV1377" s="110"/>
      <c r="ACW1377" s="110"/>
      <c r="ACX1377" s="110"/>
      <c r="ACY1377" s="110"/>
      <c r="ACZ1377" s="110"/>
      <c r="ADA1377" s="110"/>
      <c r="ADB1377" s="110"/>
      <c r="ADC1377" s="110"/>
      <c r="ADD1377" s="110"/>
      <c r="ADE1377" s="110"/>
      <c r="ADF1377" s="110"/>
      <c r="ADG1377" s="110"/>
      <c r="ADH1377" s="110"/>
      <c r="ADI1377" s="110"/>
      <c r="ADJ1377" s="110"/>
      <c r="ADK1377" s="110"/>
      <c r="ADL1377" s="110"/>
      <c r="ADM1377" s="110"/>
      <c r="ADN1377" s="110"/>
      <c r="ADO1377" s="110"/>
      <c r="ADP1377" s="110"/>
      <c r="ADQ1377" s="110"/>
      <c r="ADR1377" s="110"/>
      <c r="ADS1377" s="110"/>
      <c r="ADT1377" s="110"/>
      <c r="ADU1377" s="110"/>
      <c r="ADV1377" s="110"/>
      <c r="ADW1377" s="110"/>
      <c r="ADX1377" s="110"/>
      <c r="ADY1377" s="110"/>
      <c r="ADZ1377" s="110"/>
      <c r="AEA1377" s="110"/>
      <c r="AEB1377" s="110"/>
      <c r="AEC1377" s="110"/>
      <c r="AED1377" s="110"/>
      <c r="AEE1377" s="110"/>
      <c r="AEF1377" s="110"/>
      <c r="AEG1377" s="110"/>
      <c r="AEH1377" s="110"/>
      <c r="AEI1377" s="110"/>
      <c r="AEJ1377" s="110"/>
      <c r="AEK1377" s="110"/>
      <c r="AEL1377" s="110"/>
      <c r="AEM1377" s="110"/>
      <c r="AEN1377" s="110"/>
      <c r="AEO1377" s="110"/>
      <c r="AEP1377" s="110"/>
      <c r="AEQ1377" s="110"/>
      <c r="AER1377" s="110"/>
      <c r="AES1377" s="110"/>
      <c r="AET1377" s="110"/>
      <c r="AEU1377" s="110"/>
      <c r="AEV1377" s="110"/>
      <c r="AEW1377" s="110"/>
      <c r="AEX1377" s="110"/>
      <c r="AEY1377" s="110"/>
      <c r="AEZ1377" s="110"/>
      <c r="AFA1377" s="110"/>
      <c r="AFB1377" s="110"/>
      <c r="AFC1377" s="110"/>
      <c r="AFD1377" s="110"/>
      <c r="AFE1377" s="110"/>
      <c r="AFF1377" s="110"/>
      <c r="AFG1377" s="110"/>
      <c r="AFH1377" s="110"/>
      <c r="AFI1377" s="110"/>
      <c r="AFJ1377" s="110"/>
      <c r="AFK1377" s="110"/>
      <c r="AFL1377" s="110"/>
      <c r="AFM1377" s="110"/>
      <c r="AFN1377" s="110"/>
      <c r="AFO1377" s="110"/>
      <c r="AFP1377" s="110"/>
      <c r="AFQ1377" s="110"/>
      <c r="AFR1377" s="110"/>
      <c r="AFS1377" s="110"/>
      <c r="AFT1377" s="110"/>
      <c r="AFU1377" s="110"/>
      <c r="AFV1377" s="110"/>
      <c r="AFW1377" s="110"/>
      <c r="AFX1377" s="110"/>
      <c r="AFY1377" s="110"/>
      <c r="AFZ1377" s="110"/>
      <c r="AGA1377" s="110"/>
      <c r="AGB1377" s="110"/>
      <c r="AGC1377" s="110"/>
      <c r="AGD1377" s="110"/>
      <c r="AGE1377" s="110"/>
      <c r="AGF1377" s="110"/>
      <c r="AGG1377" s="110"/>
      <c r="AGH1377" s="110"/>
      <c r="AGI1377" s="110"/>
      <c r="AGJ1377" s="110"/>
      <c r="AGK1377" s="110"/>
      <c r="AGL1377" s="110"/>
      <c r="AGM1377" s="110"/>
      <c r="AGN1377" s="110"/>
      <c r="AGO1377" s="110"/>
      <c r="AGP1377" s="110"/>
      <c r="AGQ1377" s="110"/>
      <c r="AGR1377" s="110"/>
      <c r="AGS1377" s="110"/>
      <c r="AGT1377" s="110"/>
      <c r="AGU1377" s="110"/>
      <c r="AGV1377" s="110"/>
      <c r="AGW1377" s="110"/>
      <c r="AGX1377" s="110"/>
      <c r="AGY1377" s="110"/>
      <c r="AGZ1377" s="110"/>
      <c r="AHA1377" s="110"/>
      <c r="AHB1377" s="110"/>
      <c r="AHC1377" s="110"/>
      <c r="AHD1377" s="110"/>
      <c r="AHE1377" s="110"/>
      <c r="AHF1377" s="110"/>
      <c r="AHG1377" s="110"/>
      <c r="AHH1377" s="110"/>
      <c r="AHI1377" s="110"/>
      <c r="AHJ1377" s="110"/>
      <c r="AHK1377" s="110"/>
      <c r="AHL1377" s="110"/>
      <c r="AHM1377" s="110"/>
      <c r="AHN1377" s="110"/>
      <c r="AHO1377" s="110"/>
      <c r="AHP1377" s="110"/>
      <c r="AHQ1377" s="110"/>
      <c r="AHR1377" s="110"/>
      <c r="AHS1377" s="110"/>
      <c r="AHT1377" s="110"/>
      <c r="AHU1377" s="110"/>
      <c r="AHV1377" s="110"/>
      <c r="AHW1377" s="110"/>
      <c r="AHX1377" s="110"/>
      <c r="AHY1377" s="110"/>
      <c r="AHZ1377" s="110"/>
      <c r="AIA1377" s="110"/>
      <c r="AIB1377" s="110"/>
      <c r="AIC1377" s="110"/>
      <c r="AID1377" s="110"/>
      <c r="AIE1377" s="110"/>
      <c r="AIF1377" s="110"/>
      <c r="AIG1377" s="110"/>
      <c r="AIH1377" s="110"/>
      <c r="AII1377" s="110"/>
      <c r="AIJ1377" s="110"/>
      <c r="AIK1377" s="110"/>
      <c r="AIL1377" s="110"/>
      <c r="AIM1377" s="110"/>
      <c r="AIN1377" s="110"/>
      <c r="AIO1377" s="110"/>
      <c r="AIP1377" s="110"/>
      <c r="AIQ1377" s="110"/>
      <c r="AIR1377" s="110"/>
      <c r="AIS1377" s="110"/>
      <c r="AIT1377" s="110"/>
      <c r="AIU1377" s="110"/>
      <c r="AIV1377" s="110"/>
      <c r="AIW1377" s="110"/>
      <c r="AIX1377" s="110"/>
      <c r="AIY1377" s="110"/>
      <c r="AIZ1377" s="110"/>
      <c r="AJA1377" s="110"/>
      <c r="AJB1377" s="110"/>
      <c r="AJC1377" s="110"/>
      <c r="AJD1377" s="110"/>
      <c r="AJE1377" s="110"/>
      <c r="AJF1377" s="110"/>
      <c r="AJG1377" s="110"/>
      <c r="AJH1377" s="110"/>
      <c r="AJI1377" s="110"/>
      <c r="AJJ1377" s="110"/>
      <c r="AJK1377" s="110"/>
      <c r="AJL1377" s="110"/>
      <c r="AJM1377" s="110"/>
      <c r="AJN1377" s="110"/>
      <c r="AJO1377" s="110"/>
      <c r="AJP1377" s="110"/>
      <c r="AJQ1377" s="110"/>
      <c r="AJR1377" s="110"/>
      <c r="AJS1377" s="110"/>
      <c r="AJT1377" s="110"/>
      <c r="AJU1377" s="110"/>
      <c r="AJV1377" s="110"/>
      <c r="AJW1377" s="110"/>
      <c r="AJX1377" s="110"/>
      <c r="AJY1377" s="110"/>
      <c r="AJZ1377" s="110"/>
      <c r="AKA1377" s="110"/>
      <c r="AKB1377" s="110"/>
      <c r="AKC1377" s="110"/>
      <c r="AKD1377" s="110"/>
      <c r="AKE1377" s="110"/>
      <c r="AKF1377" s="110"/>
      <c r="AKG1377" s="110"/>
      <c r="AKH1377" s="110"/>
      <c r="AKI1377" s="110"/>
      <c r="AKJ1377" s="110"/>
      <c r="AKK1377" s="110"/>
      <c r="AKL1377" s="110"/>
      <c r="AKM1377" s="110"/>
      <c r="AKN1377" s="110"/>
      <c r="AKO1377" s="110"/>
      <c r="AKP1377" s="110"/>
      <c r="AKQ1377" s="110"/>
      <c r="AKR1377" s="110"/>
      <c r="AKS1377" s="110"/>
      <c r="AKT1377" s="110"/>
      <c r="AKU1377" s="110"/>
      <c r="AKV1377" s="110"/>
      <c r="AKW1377" s="110"/>
      <c r="AKX1377" s="110"/>
      <c r="AKY1377" s="110"/>
      <c r="AKZ1377" s="110"/>
      <c r="ALA1377" s="110"/>
      <c r="ALB1377" s="110"/>
      <c r="ALC1377" s="110"/>
      <c r="ALD1377" s="110"/>
      <c r="ALE1377" s="110"/>
      <c r="ALF1377" s="110"/>
      <c r="ALG1377" s="110"/>
      <c r="ALH1377" s="110"/>
      <c r="ALI1377" s="110"/>
      <c r="ALJ1377" s="110"/>
      <c r="ALK1377" s="110"/>
      <c r="ALL1377" s="110"/>
      <c r="ALM1377" s="110"/>
      <c r="ALN1377" s="110"/>
      <c r="ALO1377" s="110"/>
      <c r="ALP1377" s="110"/>
      <c r="ALQ1377" s="110"/>
      <c r="ALR1377" s="110"/>
      <c r="ALS1377" s="110"/>
      <c r="ALT1377" s="110"/>
      <c r="ALU1377" s="110"/>
      <c r="ALV1377" s="110"/>
      <c r="ALW1377" s="110"/>
      <c r="ALX1377" s="110"/>
      <c r="ALY1377" s="110"/>
      <c r="ALZ1377" s="110"/>
      <c r="AMA1377" s="110"/>
      <c r="AMB1377" s="110"/>
      <c r="AMC1377" s="110"/>
      <c r="AMD1377" s="110"/>
      <c r="AME1377" s="110"/>
      <c r="AMF1377" s="110"/>
      <c r="AMG1377" s="110"/>
      <c r="AMH1377" s="110"/>
      <c r="AMI1377" s="110"/>
      <c r="AMJ1377" s="110"/>
      <c r="AMK1377" s="110"/>
      <c r="AML1377" s="110"/>
      <c r="AMM1377" s="110"/>
      <c r="AMN1377" s="110"/>
      <c r="AMO1377" s="110"/>
      <c r="AMP1377" s="110"/>
      <c r="AMQ1377" s="110"/>
      <c r="AMR1377" s="110"/>
      <c r="AMS1377" s="110"/>
      <c r="AMT1377" s="110"/>
      <c r="AMU1377" s="110"/>
      <c r="AMV1377" s="110"/>
      <c r="AMW1377" s="110"/>
      <c r="AMX1377" s="110"/>
      <c r="AMY1377" s="110"/>
      <c r="AMZ1377" s="110"/>
      <c r="ANA1377" s="110"/>
      <c r="ANB1377" s="110"/>
      <c r="ANC1377" s="110"/>
      <c r="AND1377" s="110"/>
      <c r="ANE1377" s="110"/>
      <c r="ANF1377" s="110"/>
      <c r="ANG1377" s="110"/>
      <c r="ANH1377" s="110"/>
      <c r="ANI1377" s="110"/>
      <c r="ANJ1377" s="110"/>
      <c r="ANK1377" s="110"/>
      <c r="ANL1377" s="110"/>
      <c r="ANM1377" s="110"/>
      <c r="ANN1377" s="110"/>
      <c r="ANO1377" s="110"/>
      <c r="ANP1377" s="110"/>
      <c r="ANQ1377" s="110"/>
      <c r="ANR1377" s="110"/>
      <c r="ANS1377" s="110"/>
      <c r="ANT1377" s="110"/>
      <c r="ANU1377" s="110"/>
      <c r="ANV1377" s="110"/>
      <c r="ANW1377" s="110"/>
      <c r="ANX1377" s="110"/>
      <c r="ANY1377" s="110"/>
      <c r="ANZ1377" s="110"/>
      <c r="AOA1377" s="110"/>
      <c r="AOB1377" s="110"/>
      <c r="AOC1377" s="110"/>
      <c r="AOD1377" s="110"/>
      <c r="AOE1377" s="110"/>
      <c r="AOF1377" s="110"/>
      <c r="AOG1377" s="110"/>
      <c r="AOH1377" s="110"/>
      <c r="AOI1377" s="110"/>
      <c r="AOJ1377" s="110"/>
      <c r="AOK1377" s="110"/>
      <c r="AOL1377" s="110"/>
      <c r="AOM1377" s="110"/>
      <c r="AON1377" s="110"/>
      <c r="AOO1377" s="110"/>
      <c r="AOP1377" s="110"/>
      <c r="AOQ1377" s="110"/>
      <c r="AOR1377" s="110"/>
      <c r="AOS1377" s="110"/>
      <c r="AOT1377" s="110"/>
      <c r="AOU1377" s="110"/>
      <c r="AOV1377" s="110"/>
      <c r="AOW1377" s="110"/>
      <c r="AOX1377" s="110"/>
      <c r="AOY1377" s="110"/>
      <c r="AOZ1377" s="110"/>
      <c r="APA1377" s="110"/>
      <c r="APB1377" s="110"/>
      <c r="APC1377" s="110"/>
      <c r="APD1377" s="110"/>
      <c r="APE1377" s="110"/>
      <c r="APF1377" s="110"/>
      <c r="APG1377" s="110"/>
      <c r="APH1377" s="110"/>
      <c r="API1377" s="110"/>
      <c r="APJ1377" s="110"/>
      <c r="APK1377" s="110"/>
      <c r="APL1377" s="110"/>
      <c r="APM1377" s="110"/>
      <c r="APN1377" s="110"/>
      <c r="APO1377" s="110"/>
      <c r="APP1377" s="110"/>
      <c r="APQ1377" s="110"/>
      <c r="APR1377" s="110"/>
      <c r="APS1377" s="110"/>
      <c r="APT1377" s="110"/>
      <c r="APU1377" s="110"/>
      <c r="APV1377" s="110"/>
      <c r="APW1377" s="110"/>
      <c r="APX1377" s="110"/>
      <c r="APY1377" s="110"/>
      <c r="APZ1377" s="110"/>
      <c r="AQA1377" s="110"/>
      <c r="AQB1377" s="110"/>
      <c r="AQC1377" s="110"/>
      <c r="AQD1377" s="110"/>
      <c r="AQE1377" s="110"/>
      <c r="AQF1377" s="110"/>
      <c r="AQG1377" s="110"/>
      <c r="AQH1377" s="110"/>
      <c r="AQI1377" s="110"/>
      <c r="AQJ1377" s="110"/>
      <c r="AQK1377" s="110"/>
      <c r="AQL1377" s="110"/>
      <c r="AQM1377" s="110"/>
      <c r="AQN1377" s="110"/>
      <c r="AQO1377" s="110"/>
      <c r="AQP1377" s="110"/>
      <c r="AQQ1377" s="110"/>
      <c r="AQR1377" s="110"/>
      <c r="AQS1377" s="110"/>
      <c r="AQT1377" s="110"/>
      <c r="AQU1377" s="110"/>
      <c r="AQV1377" s="110"/>
      <c r="AQW1377" s="110"/>
      <c r="AQX1377" s="110"/>
      <c r="AQY1377" s="110"/>
      <c r="AQZ1377" s="110"/>
      <c r="ARA1377" s="110"/>
      <c r="ARB1377" s="110"/>
      <c r="ARC1377" s="110"/>
      <c r="ARD1377" s="110"/>
      <c r="ARE1377" s="110"/>
      <c r="ARF1377" s="110"/>
      <c r="ARG1377" s="110"/>
      <c r="ARH1377" s="110"/>
      <c r="ARI1377" s="110"/>
      <c r="ARJ1377" s="110"/>
      <c r="ARK1377" s="110"/>
      <c r="ARL1377" s="110"/>
      <c r="ARM1377" s="110"/>
      <c r="ARN1377" s="110"/>
      <c r="ARO1377" s="110"/>
      <c r="ARP1377" s="110"/>
      <c r="ARQ1377" s="110"/>
      <c r="ARR1377" s="110"/>
      <c r="ARS1377" s="110"/>
      <c r="ART1377" s="110"/>
      <c r="ARU1377" s="110"/>
      <c r="ARV1377" s="110"/>
      <c r="ARW1377" s="110"/>
      <c r="ARX1377" s="110"/>
      <c r="ARY1377" s="110"/>
      <c r="ARZ1377" s="110"/>
      <c r="ASA1377" s="110"/>
      <c r="ASB1377" s="110"/>
      <c r="ASC1377" s="110"/>
      <c r="ASD1377" s="110"/>
      <c r="ASE1377" s="110"/>
      <c r="ASF1377" s="110"/>
      <c r="ASG1377" s="110"/>
      <c r="ASH1377" s="110"/>
      <c r="ASI1377" s="110"/>
      <c r="ASJ1377" s="110"/>
      <c r="ASK1377" s="110"/>
      <c r="ASL1377" s="110"/>
      <c r="ASM1377" s="110"/>
      <c r="ASN1377" s="110"/>
      <c r="ASO1377" s="110"/>
      <c r="ASP1377" s="110"/>
      <c r="ASQ1377" s="110"/>
      <c r="ASR1377" s="110"/>
      <c r="ASS1377" s="110"/>
      <c r="AST1377" s="110"/>
      <c r="ASU1377" s="110"/>
      <c r="ASV1377" s="110"/>
      <c r="ASW1377" s="110"/>
      <c r="ASX1377" s="110"/>
      <c r="ASY1377" s="110"/>
      <c r="ASZ1377" s="110"/>
      <c r="ATA1377" s="110"/>
      <c r="ATB1377" s="110"/>
      <c r="ATC1377" s="110"/>
      <c r="ATD1377" s="110"/>
      <c r="ATE1377" s="110"/>
      <c r="ATF1377" s="110"/>
      <c r="ATG1377" s="110"/>
      <c r="ATH1377" s="110"/>
      <c r="ATI1377" s="110"/>
      <c r="ATJ1377" s="110"/>
      <c r="ATK1377" s="110"/>
      <c r="ATL1377" s="110"/>
      <c r="ATM1377" s="110"/>
      <c r="ATN1377" s="110"/>
      <c r="ATO1377" s="110"/>
      <c r="ATP1377" s="110"/>
      <c r="ATQ1377" s="110"/>
      <c r="ATR1377" s="110"/>
      <c r="ATS1377" s="110"/>
      <c r="ATT1377" s="110"/>
      <c r="ATU1377" s="110"/>
      <c r="ATV1377" s="110"/>
      <c r="ATW1377" s="110"/>
      <c r="ATX1377" s="110"/>
      <c r="ATY1377" s="110"/>
      <c r="ATZ1377" s="110"/>
      <c r="AUA1377" s="110"/>
      <c r="AUB1377" s="110"/>
      <c r="AUC1377" s="110"/>
      <c r="AUD1377" s="110"/>
      <c r="AUE1377" s="110"/>
      <c r="AUF1377" s="110"/>
      <c r="AUG1377" s="110"/>
      <c r="AUH1377" s="110"/>
      <c r="AUI1377" s="110"/>
      <c r="AUJ1377" s="110"/>
      <c r="AUK1377" s="110"/>
      <c r="AUL1377" s="110"/>
      <c r="AUM1377" s="110"/>
      <c r="AUN1377" s="110"/>
      <c r="AUO1377" s="110"/>
      <c r="AUP1377" s="110"/>
      <c r="AUQ1377" s="110"/>
      <c r="AUR1377" s="110"/>
      <c r="AUS1377" s="110"/>
      <c r="AUT1377" s="110"/>
      <c r="AUU1377" s="110"/>
      <c r="AUV1377" s="110"/>
      <c r="AUW1377" s="110"/>
      <c r="AUX1377" s="110"/>
      <c r="AUY1377" s="110"/>
      <c r="AUZ1377" s="110"/>
      <c r="AVA1377" s="110"/>
      <c r="AVB1377" s="110"/>
      <c r="AVC1377" s="110"/>
      <c r="AVD1377" s="110"/>
      <c r="AVE1377" s="110"/>
      <c r="AVF1377" s="110"/>
      <c r="AVG1377" s="110"/>
      <c r="AVH1377" s="110"/>
      <c r="AVI1377" s="110"/>
      <c r="AVJ1377" s="110"/>
      <c r="AVK1377" s="110"/>
      <c r="AVL1377" s="110"/>
      <c r="AVM1377" s="110"/>
      <c r="AVN1377" s="110"/>
      <c r="AVO1377" s="110"/>
      <c r="AVP1377" s="110"/>
      <c r="AVQ1377" s="110"/>
      <c r="AVR1377" s="110"/>
      <c r="AVS1377" s="110"/>
      <c r="AVT1377" s="110"/>
      <c r="AVU1377" s="110"/>
      <c r="AVV1377" s="110"/>
      <c r="AVW1377" s="110"/>
      <c r="AVX1377" s="110"/>
      <c r="AVY1377" s="110"/>
      <c r="AVZ1377" s="110"/>
      <c r="AWA1377" s="110"/>
      <c r="AWB1377" s="110"/>
      <c r="AWC1377" s="110"/>
      <c r="AWD1377" s="110"/>
      <c r="AWE1377" s="110"/>
      <c r="AWF1377" s="110"/>
      <c r="AWG1377" s="110"/>
      <c r="AWH1377" s="110"/>
      <c r="AWI1377" s="110"/>
      <c r="AWJ1377" s="110"/>
      <c r="AWK1377" s="110"/>
      <c r="AWL1377" s="110"/>
      <c r="AWM1377" s="110"/>
      <c r="AWN1377" s="110"/>
      <c r="AWO1377" s="110"/>
      <c r="AWP1377" s="110"/>
      <c r="AWQ1377" s="110"/>
      <c r="AWR1377" s="110"/>
      <c r="AWS1377" s="110"/>
      <c r="AWT1377" s="110"/>
      <c r="AWU1377" s="110"/>
      <c r="AWV1377" s="110"/>
      <c r="AWW1377" s="110"/>
      <c r="AWX1377" s="110"/>
      <c r="AWY1377" s="110"/>
      <c r="AWZ1377" s="110"/>
      <c r="AXA1377" s="110"/>
      <c r="AXB1377" s="110"/>
      <c r="AXC1377" s="110"/>
      <c r="AXD1377" s="110"/>
      <c r="AXE1377" s="110"/>
      <c r="AXF1377" s="110"/>
      <c r="AXG1377" s="110"/>
      <c r="AXH1377" s="110"/>
      <c r="AXI1377" s="110"/>
      <c r="AXJ1377" s="110"/>
      <c r="AXK1377" s="110"/>
      <c r="AXL1377" s="110"/>
      <c r="AXM1377" s="110"/>
      <c r="AXN1377" s="110"/>
      <c r="AXO1377" s="110"/>
      <c r="AXP1377" s="110"/>
      <c r="AXQ1377" s="110"/>
      <c r="AXR1377" s="110"/>
      <c r="AXS1377" s="110"/>
      <c r="AXT1377" s="110"/>
      <c r="AXU1377" s="110"/>
      <c r="AXV1377" s="110"/>
      <c r="AXW1377" s="110"/>
      <c r="AXX1377" s="110"/>
      <c r="AXY1377" s="110"/>
      <c r="AXZ1377" s="110"/>
      <c r="AYA1377" s="110"/>
      <c r="AYB1377" s="110"/>
      <c r="AYC1377" s="110"/>
      <c r="AYD1377" s="110"/>
      <c r="AYE1377" s="110"/>
      <c r="AYF1377" s="110"/>
      <c r="AYG1377" s="110"/>
      <c r="AYH1377" s="110"/>
      <c r="AYI1377" s="110"/>
      <c r="AYJ1377" s="110"/>
      <c r="AYK1377" s="110"/>
      <c r="AYL1377" s="110"/>
      <c r="AYM1377" s="110"/>
      <c r="AYN1377" s="110"/>
      <c r="AYO1377" s="110"/>
      <c r="AYP1377" s="110"/>
      <c r="AYQ1377" s="110"/>
      <c r="AYR1377" s="110"/>
      <c r="AYS1377" s="110"/>
      <c r="AYT1377" s="110"/>
      <c r="AYU1377" s="110"/>
      <c r="AYV1377" s="110"/>
      <c r="AYW1377" s="110"/>
      <c r="AYX1377" s="110"/>
      <c r="AYY1377" s="110"/>
      <c r="AYZ1377" s="110"/>
      <c r="AZA1377" s="110"/>
      <c r="AZB1377" s="110"/>
      <c r="AZC1377" s="110"/>
      <c r="AZD1377" s="110"/>
      <c r="AZE1377" s="110"/>
      <c r="AZF1377" s="110"/>
      <c r="AZG1377" s="110"/>
      <c r="AZH1377" s="110"/>
      <c r="AZI1377" s="110"/>
      <c r="AZJ1377" s="110"/>
      <c r="AZK1377" s="110"/>
      <c r="AZL1377" s="110"/>
      <c r="AZM1377" s="110"/>
      <c r="AZN1377" s="110"/>
      <c r="AZO1377" s="110"/>
      <c r="AZP1377" s="110"/>
      <c r="AZQ1377" s="110"/>
      <c r="AZR1377" s="110"/>
      <c r="AZS1377" s="110"/>
      <c r="AZT1377" s="110"/>
      <c r="AZU1377" s="110"/>
      <c r="AZV1377" s="110"/>
      <c r="AZW1377" s="110"/>
      <c r="AZX1377" s="110"/>
      <c r="AZY1377" s="110"/>
      <c r="AZZ1377" s="110"/>
      <c r="BAA1377" s="110"/>
      <c r="BAB1377" s="110"/>
      <c r="BAC1377" s="110"/>
      <c r="BAD1377" s="110"/>
      <c r="BAE1377" s="110"/>
      <c r="BAF1377" s="110"/>
      <c r="BAG1377" s="110"/>
      <c r="BAH1377" s="110"/>
      <c r="BAI1377" s="110"/>
      <c r="BAJ1377" s="110"/>
      <c r="BAK1377" s="110"/>
      <c r="BAL1377" s="110"/>
      <c r="BAM1377" s="110"/>
      <c r="BAN1377" s="110"/>
      <c r="BAO1377" s="110"/>
      <c r="BAP1377" s="110"/>
      <c r="BAQ1377" s="110"/>
      <c r="BAR1377" s="110"/>
      <c r="BAS1377" s="110"/>
      <c r="BAT1377" s="110"/>
      <c r="BAU1377" s="110"/>
      <c r="BAV1377" s="110"/>
      <c r="BAW1377" s="110"/>
      <c r="BAX1377" s="110"/>
      <c r="BAY1377" s="110"/>
      <c r="BAZ1377" s="110"/>
      <c r="BBA1377" s="110"/>
      <c r="BBB1377" s="110"/>
      <c r="BBC1377" s="110"/>
      <c r="BBD1377" s="110"/>
      <c r="BBE1377" s="110"/>
      <c r="BBF1377" s="110"/>
      <c r="BBG1377" s="110"/>
      <c r="BBH1377" s="110"/>
      <c r="BBI1377" s="110"/>
      <c r="BBJ1377" s="110"/>
      <c r="BBK1377" s="110"/>
      <c r="BBL1377" s="110"/>
      <c r="BBM1377" s="110"/>
      <c r="BBN1377" s="110"/>
      <c r="BBO1377" s="110"/>
      <c r="BBP1377" s="110"/>
      <c r="BBQ1377" s="110"/>
      <c r="BBR1377" s="110"/>
      <c r="BBS1377" s="110"/>
      <c r="BBT1377" s="110"/>
      <c r="BBU1377" s="110"/>
      <c r="BBV1377" s="110"/>
      <c r="BBW1377" s="110"/>
      <c r="BBX1377" s="110"/>
      <c r="BBY1377" s="110"/>
      <c r="BBZ1377" s="110"/>
      <c r="BCA1377" s="110"/>
      <c r="BCB1377" s="110"/>
      <c r="BCC1377" s="110"/>
      <c r="BCD1377" s="110"/>
      <c r="BCE1377" s="110"/>
      <c r="BCF1377" s="110"/>
      <c r="BCG1377" s="110"/>
      <c r="BCH1377" s="110"/>
      <c r="BCI1377" s="110"/>
      <c r="BCJ1377" s="110"/>
      <c r="BCK1377" s="110"/>
      <c r="BCL1377" s="110"/>
      <c r="BCM1377" s="110"/>
      <c r="BCN1377" s="110"/>
      <c r="BCO1377" s="110"/>
      <c r="BCP1377" s="110"/>
      <c r="BCQ1377" s="110"/>
      <c r="BCR1377" s="110"/>
      <c r="BCS1377" s="110"/>
      <c r="BCT1377" s="110"/>
      <c r="BCU1377" s="110"/>
      <c r="BCV1377" s="110"/>
      <c r="BCW1377" s="110"/>
      <c r="BCX1377" s="110"/>
      <c r="BCY1377" s="110"/>
      <c r="BCZ1377" s="110"/>
      <c r="BDA1377" s="110"/>
      <c r="BDB1377" s="110"/>
      <c r="BDC1377" s="110"/>
      <c r="BDD1377" s="110"/>
      <c r="BDE1377" s="110"/>
      <c r="BDF1377" s="110"/>
      <c r="BDG1377" s="110"/>
      <c r="BDH1377" s="110"/>
      <c r="BDI1377" s="110"/>
      <c r="BDJ1377" s="110"/>
      <c r="BDK1377" s="110"/>
      <c r="BDL1377" s="110"/>
      <c r="BDM1377" s="110"/>
      <c r="BDN1377" s="110"/>
      <c r="BDO1377" s="110"/>
      <c r="BDP1377" s="110"/>
      <c r="BDQ1377" s="110"/>
      <c r="BDR1377" s="110"/>
      <c r="BDS1377" s="110"/>
      <c r="BDT1377" s="110"/>
      <c r="BDU1377" s="110"/>
      <c r="BDV1377" s="110"/>
      <c r="BDW1377" s="110"/>
      <c r="BDX1377" s="110"/>
      <c r="BDY1377" s="110"/>
      <c r="BDZ1377" s="110"/>
      <c r="BEA1377" s="110"/>
      <c r="BEB1377" s="110"/>
      <c r="BEC1377" s="110"/>
      <c r="BED1377" s="110"/>
      <c r="BEE1377" s="110"/>
      <c r="BEF1377" s="110"/>
      <c r="BEG1377" s="110"/>
      <c r="BEH1377" s="110"/>
      <c r="BEI1377" s="110"/>
      <c r="BEJ1377" s="110"/>
      <c r="BEK1377" s="110"/>
      <c r="BEL1377" s="110"/>
      <c r="BEM1377" s="110"/>
      <c r="BEN1377" s="110"/>
      <c r="BEO1377" s="110"/>
      <c r="BEP1377" s="110"/>
      <c r="BEQ1377" s="110"/>
      <c r="BER1377" s="110"/>
      <c r="BES1377" s="110"/>
      <c r="BET1377" s="110"/>
      <c r="BEU1377" s="110"/>
      <c r="BEV1377" s="110"/>
      <c r="BEW1377" s="110"/>
      <c r="BEX1377" s="110"/>
      <c r="BEY1377" s="110"/>
      <c r="BEZ1377" s="110"/>
      <c r="BFA1377" s="110"/>
      <c r="BFB1377" s="110"/>
      <c r="BFC1377" s="110"/>
      <c r="BFD1377" s="110"/>
      <c r="BFE1377" s="110"/>
      <c r="BFF1377" s="110"/>
      <c r="BFG1377" s="110"/>
      <c r="BFH1377" s="110"/>
      <c r="BFI1377" s="110"/>
      <c r="BFJ1377" s="110"/>
      <c r="BFK1377" s="110"/>
      <c r="BFL1377" s="110"/>
      <c r="BFM1377" s="110"/>
      <c r="BFN1377" s="110"/>
      <c r="BFO1377" s="110"/>
      <c r="BFP1377" s="110"/>
      <c r="BFQ1377" s="110"/>
      <c r="BFR1377" s="110"/>
      <c r="BFS1377" s="110"/>
      <c r="BFT1377" s="110"/>
      <c r="BFU1377" s="110"/>
      <c r="BFV1377" s="110"/>
      <c r="BFW1377" s="110"/>
      <c r="BFX1377" s="110"/>
      <c r="BFY1377" s="110"/>
      <c r="BFZ1377" s="110"/>
      <c r="BGA1377" s="110"/>
      <c r="BGB1377" s="110"/>
      <c r="BGC1377" s="110"/>
      <c r="BGD1377" s="110"/>
      <c r="BGE1377" s="110"/>
      <c r="BGF1377" s="110"/>
      <c r="BGG1377" s="110"/>
      <c r="BGH1377" s="110"/>
      <c r="BGI1377" s="110"/>
      <c r="BGJ1377" s="110"/>
      <c r="BGK1377" s="110"/>
      <c r="BGL1377" s="110"/>
      <c r="BGM1377" s="110"/>
      <c r="BGN1377" s="110"/>
      <c r="BGO1377" s="110"/>
      <c r="BGP1377" s="110"/>
      <c r="BGQ1377" s="110"/>
      <c r="BGR1377" s="110"/>
      <c r="BGS1377" s="110"/>
      <c r="BGT1377" s="110"/>
      <c r="BGU1377" s="110"/>
      <c r="BGV1377" s="110"/>
      <c r="BGW1377" s="110"/>
      <c r="BGX1377" s="110"/>
      <c r="BGY1377" s="110"/>
      <c r="BGZ1377" s="110"/>
      <c r="BHA1377" s="110"/>
      <c r="BHB1377" s="110"/>
      <c r="BHC1377" s="110"/>
      <c r="BHD1377" s="110"/>
      <c r="BHE1377" s="110"/>
      <c r="BHF1377" s="110"/>
      <c r="BHG1377" s="110"/>
      <c r="BHH1377" s="110"/>
      <c r="BHI1377" s="110"/>
      <c r="BHJ1377" s="110"/>
      <c r="BHK1377" s="110"/>
      <c r="BHL1377" s="110"/>
      <c r="BHM1377" s="110"/>
      <c r="BHN1377" s="110"/>
      <c r="BHO1377" s="110"/>
      <c r="BHP1377" s="110"/>
      <c r="BHQ1377" s="110"/>
      <c r="BHR1377" s="110"/>
      <c r="BHS1377" s="110"/>
      <c r="BHT1377" s="110"/>
      <c r="BHU1377" s="110"/>
      <c r="BHV1377" s="110"/>
      <c r="BHW1377" s="110"/>
      <c r="BHX1377" s="110"/>
      <c r="BHY1377" s="110"/>
      <c r="BHZ1377" s="110"/>
      <c r="BIA1377" s="110"/>
      <c r="BIB1377" s="110"/>
      <c r="BIC1377" s="110"/>
      <c r="BID1377" s="110"/>
      <c r="BIE1377" s="110"/>
      <c r="BIF1377" s="110"/>
      <c r="BIG1377" s="110"/>
      <c r="BIH1377" s="110"/>
      <c r="BII1377" s="110"/>
      <c r="BIJ1377" s="110"/>
      <c r="BIK1377" s="110"/>
      <c r="BIL1377" s="110"/>
      <c r="BIM1377" s="110"/>
      <c r="BIN1377" s="110"/>
      <c r="BIO1377" s="110"/>
      <c r="BIP1377" s="110"/>
      <c r="BIQ1377" s="110"/>
      <c r="BIR1377" s="110"/>
      <c r="BIS1377" s="110"/>
      <c r="BIT1377" s="110"/>
      <c r="BIU1377" s="110"/>
      <c r="BIV1377" s="110"/>
      <c r="BIW1377" s="110"/>
      <c r="BIX1377" s="110"/>
      <c r="BIY1377" s="110"/>
      <c r="BIZ1377" s="110"/>
      <c r="BJA1377" s="110"/>
      <c r="BJB1377" s="110"/>
      <c r="BJC1377" s="110"/>
      <c r="BJD1377" s="110"/>
      <c r="BJE1377" s="110"/>
      <c r="BJF1377" s="110"/>
      <c r="BJG1377" s="110"/>
      <c r="BJH1377" s="110"/>
      <c r="BJI1377" s="110"/>
      <c r="BJJ1377" s="110"/>
      <c r="BJK1377" s="110"/>
      <c r="BJL1377" s="110"/>
      <c r="BJM1377" s="110"/>
      <c r="BJN1377" s="110"/>
      <c r="BJO1377" s="110"/>
      <c r="BJP1377" s="110"/>
      <c r="BJQ1377" s="110"/>
      <c r="BJR1377" s="110"/>
      <c r="BJS1377" s="110"/>
      <c r="BJT1377" s="110"/>
      <c r="BJU1377" s="110"/>
      <c r="BJV1377" s="110"/>
      <c r="BJW1377" s="110"/>
      <c r="BJX1377" s="110"/>
      <c r="BJY1377" s="110"/>
      <c r="BJZ1377" s="110"/>
      <c r="BKA1377" s="110"/>
      <c r="BKB1377" s="110"/>
      <c r="BKC1377" s="110"/>
      <c r="BKD1377" s="110"/>
      <c r="BKE1377" s="110"/>
      <c r="BKF1377" s="110"/>
      <c r="BKG1377" s="110"/>
      <c r="BKH1377" s="110"/>
      <c r="BKI1377" s="110"/>
      <c r="BKJ1377" s="110"/>
      <c r="BKK1377" s="110"/>
      <c r="BKL1377" s="110"/>
      <c r="BKM1377" s="110"/>
      <c r="BKN1377" s="110"/>
      <c r="BKO1377" s="110"/>
      <c r="BKP1377" s="110"/>
      <c r="BKQ1377" s="110"/>
      <c r="BKR1377" s="110"/>
      <c r="BKS1377" s="110"/>
      <c r="BKT1377" s="110"/>
      <c r="BKU1377" s="110"/>
      <c r="BKV1377" s="110"/>
      <c r="BKW1377" s="110"/>
      <c r="BKX1377" s="110"/>
      <c r="BKY1377" s="110"/>
      <c r="BKZ1377" s="110"/>
      <c r="BLA1377" s="110"/>
      <c r="BLB1377" s="110"/>
      <c r="BLC1377" s="110"/>
      <c r="BLD1377" s="110"/>
      <c r="BLE1377" s="110"/>
      <c r="BLF1377" s="110"/>
      <c r="BLG1377" s="110"/>
      <c r="BLH1377" s="110"/>
      <c r="BLI1377" s="110"/>
      <c r="BLJ1377" s="110"/>
      <c r="BLK1377" s="110"/>
      <c r="BLL1377" s="110"/>
      <c r="BLM1377" s="110"/>
      <c r="BLN1377" s="110"/>
      <c r="BLO1377" s="110"/>
      <c r="BLP1377" s="110"/>
      <c r="BLQ1377" s="110"/>
      <c r="BLR1377" s="110"/>
      <c r="BLS1377" s="110"/>
      <c r="BLT1377" s="110"/>
      <c r="BLU1377" s="110"/>
      <c r="BLV1377" s="110"/>
      <c r="BLW1377" s="110"/>
      <c r="BLX1377" s="110"/>
      <c r="BLY1377" s="110"/>
      <c r="BLZ1377" s="110"/>
      <c r="BMA1377" s="110"/>
      <c r="BMB1377" s="110"/>
      <c r="BMC1377" s="110"/>
      <c r="BMD1377" s="110"/>
      <c r="BME1377" s="110"/>
      <c r="BMF1377" s="110"/>
      <c r="BMG1377" s="110"/>
      <c r="BMH1377" s="110"/>
      <c r="BMI1377" s="110"/>
      <c r="BMJ1377" s="110"/>
      <c r="BMK1377" s="110"/>
      <c r="BML1377" s="110"/>
      <c r="BMM1377" s="110"/>
      <c r="BMN1377" s="110"/>
      <c r="BMO1377" s="110"/>
      <c r="BMP1377" s="110"/>
      <c r="BMQ1377" s="110"/>
      <c r="BMR1377" s="110"/>
      <c r="BMS1377" s="110"/>
      <c r="BMT1377" s="110"/>
      <c r="BMU1377" s="110"/>
      <c r="BMV1377" s="110"/>
      <c r="BMW1377" s="110"/>
      <c r="BMX1377" s="110"/>
      <c r="BMY1377" s="110"/>
      <c r="BMZ1377" s="110"/>
      <c r="BNA1377" s="110"/>
      <c r="BNB1377" s="110"/>
      <c r="BNC1377" s="110"/>
      <c r="BND1377" s="110"/>
      <c r="BNE1377" s="110"/>
      <c r="BNF1377" s="110"/>
      <c r="BNG1377" s="110"/>
      <c r="BNH1377" s="110"/>
      <c r="BNI1377" s="110"/>
      <c r="BNJ1377" s="110"/>
      <c r="BNK1377" s="110"/>
      <c r="BNL1377" s="110"/>
      <c r="BNM1377" s="110"/>
      <c r="BNN1377" s="110"/>
      <c r="BNO1377" s="110"/>
      <c r="BNP1377" s="110"/>
      <c r="BNQ1377" s="110"/>
      <c r="BNR1377" s="110"/>
      <c r="BNS1377" s="110"/>
      <c r="BNT1377" s="110"/>
      <c r="BNU1377" s="110"/>
      <c r="BNV1377" s="110"/>
      <c r="BNW1377" s="110"/>
      <c r="BNX1377" s="110"/>
      <c r="BNY1377" s="110"/>
      <c r="BNZ1377" s="110"/>
      <c r="BOA1377" s="110"/>
      <c r="BOB1377" s="110"/>
      <c r="BOC1377" s="110"/>
      <c r="BOD1377" s="110"/>
      <c r="BOE1377" s="110"/>
      <c r="BOF1377" s="110"/>
      <c r="BOG1377" s="110"/>
      <c r="BOH1377" s="110"/>
      <c r="BOI1377" s="110"/>
      <c r="BOJ1377" s="110"/>
      <c r="BOK1377" s="110"/>
      <c r="BOL1377" s="110"/>
      <c r="BOM1377" s="110"/>
      <c r="BON1377" s="110"/>
      <c r="BOO1377" s="110"/>
      <c r="BOP1377" s="110"/>
      <c r="BOQ1377" s="110"/>
      <c r="BOR1377" s="110"/>
      <c r="BOS1377" s="110"/>
      <c r="BOT1377" s="110"/>
      <c r="BOU1377" s="110"/>
      <c r="BOV1377" s="110"/>
      <c r="BOW1377" s="110"/>
      <c r="BOX1377" s="110"/>
      <c r="BOY1377" s="110"/>
      <c r="BOZ1377" s="110"/>
      <c r="BPA1377" s="110"/>
      <c r="BPB1377" s="110"/>
      <c r="BPC1377" s="110"/>
      <c r="BPD1377" s="110"/>
      <c r="BPE1377" s="110"/>
      <c r="BPF1377" s="110"/>
      <c r="BPG1377" s="110"/>
      <c r="BPH1377" s="110"/>
      <c r="BPI1377" s="110"/>
      <c r="BPJ1377" s="110"/>
      <c r="BPK1377" s="110"/>
      <c r="BPL1377" s="110"/>
      <c r="BPM1377" s="110"/>
      <c r="BPN1377" s="110"/>
      <c r="BPO1377" s="110"/>
      <c r="BPP1377" s="110"/>
      <c r="BPQ1377" s="110"/>
      <c r="BPR1377" s="110"/>
      <c r="BPS1377" s="110"/>
      <c r="BPT1377" s="110"/>
      <c r="BPU1377" s="110"/>
      <c r="BPV1377" s="110"/>
      <c r="BPW1377" s="110"/>
      <c r="BPX1377" s="110"/>
      <c r="BPY1377" s="110"/>
      <c r="BPZ1377" s="110"/>
      <c r="BQA1377" s="110"/>
      <c r="BQB1377" s="110"/>
      <c r="BQC1377" s="110"/>
      <c r="BQD1377" s="110"/>
      <c r="BQE1377" s="110"/>
      <c r="BQF1377" s="110"/>
      <c r="BQG1377" s="110"/>
      <c r="BQH1377" s="110"/>
      <c r="BQI1377" s="110"/>
      <c r="BQJ1377" s="110"/>
      <c r="BQK1377" s="110"/>
      <c r="BQL1377" s="110"/>
      <c r="BQM1377" s="110"/>
      <c r="BQN1377" s="110"/>
      <c r="BQO1377" s="110"/>
      <c r="BQP1377" s="110"/>
      <c r="BQQ1377" s="110"/>
      <c r="BQR1377" s="110"/>
      <c r="BQS1377" s="110"/>
      <c r="BQT1377" s="110"/>
      <c r="BQU1377" s="110"/>
      <c r="BQV1377" s="110"/>
      <c r="BQW1377" s="110"/>
      <c r="BQX1377" s="110"/>
      <c r="BQY1377" s="110"/>
      <c r="BQZ1377" s="110"/>
      <c r="BRA1377" s="110"/>
      <c r="BRB1377" s="110"/>
      <c r="BRC1377" s="110"/>
      <c r="BRD1377" s="110"/>
      <c r="BRE1377" s="110"/>
      <c r="BRF1377" s="110"/>
      <c r="BRG1377" s="110"/>
      <c r="BRH1377" s="110"/>
      <c r="BRI1377" s="110"/>
      <c r="BRJ1377" s="110"/>
      <c r="BRK1377" s="110"/>
      <c r="BRL1377" s="110"/>
      <c r="BRM1377" s="110"/>
      <c r="BRN1377" s="110"/>
      <c r="BRO1377" s="110"/>
      <c r="BRP1377" s="110"/>
      <c r="BRQ1377" s="110"/>
      <c r="BRR1377" s="110"/>
      <c r="BRS1377" s="110"/>
      <c r="BRT1377" s="110"/>
      <c r="BRU1377" s="110"/>
      <c r="BRV1377" s="110"/>
      <c r="BRW1377" s="110"/>
      <c r="BRX1377" s="110"/>
      <c r="BRY1377" s="110"/>
      <c r="BRZ1377" s="110"/>
      <c r="BSA1377" s="110"/>
      <c r="BSB1377" s="110"/>
      <c r="BSC1377" s="110"/>
      <c r="BSD1377" s="110"/>
      <c r="BSE1377" s="110"/>
      <c r="BSF1377" s="110"/>
      <c r="BSG1377" s="110"/>
      <c r="BSH1377" s="110"/>
      <c r="BSI1377" s="110"/>
      <c r="BSJ1377" s="110"/>
      <c r="BSK1377" s="110"/>
      <c r="BSL1377" s="110"/>
      <c r="BSM1377" s="110"/>
      <c r="BSN1377" s="110"/>
      <c r="BSO1377" s="110"/>
      <c r="BSP1377" s="110"/>
      <c r="BSQ1377" s="110"/>
      <c r="BSR1377" s="110"/>
      <c r="BSS1377" s="110"/>
      <c r="BST1377" s="110"/>
      <c r="BSU1377" s="110"/>
      <c r="BSV1377" s="110"/>
      <c r="BSW1377" s="110"/>
      <c r="BSX1377" s="110"/>
      <c r="BSY1377" s="110"/>
      <c r="BSZ1377" s="110"/>
      <c r="BTA1377" s="110"/>
      <c r="BTB1377" s="110"/>
      <c r="BTC1377" s="110"/>
      <c r="BTD1377" s="110"/>
      <c r="BTE1377" s="110"/>
      <c r="BTF1377" s="110"/>
      <c r="BTG1377" s="110"/>
      <c r="BTH1377" s="110"/>
      <c r="BTI1377" s="110"/>
      <c r="BTJ1377" s="110"/>
      <c r="BTK1377" s="110"/>
      <c r="BTL1377" s="110"/>
      <c r="BTM1377" s="110"/>
      <c r="BTN1377" s="110"/>
      <c r="BTO1377" s="110"/>
      <c r="BTP1377" s="110"/>
      <c r="BTQ1377" s="110"/>
      <c r="BTR1377" s="110"/>
      <c r="BTS1377" s="110"/>
      <c r="BTT1377" s="110"/>
      <c r="BTU1377" s="110"/>
      <c r="BTV1377" s="110"/>
      <c r="BTW1377" s="110"/>
      <c r="BTX1377" s="110"/>
      <c r="BTY1377" s="110"/>
      <c r="BTZ1377" s="110"/>
      <c r="BUA1377" s="110"/>
      <c r="BUB1377" s="110"/>
      <c r="BUC1377" s="110"/>
      <c r="BUD1377" s="110"/>
      <c r="BUE1377" s="110"/>
      <c r="BUF1377" s="110"/>
      <c r="BUG1377" s="110"/>
      <c r="BUH1377" s="110"/>
      <c r="BUI1377" s="110"/>
      <c r="BUJ1377" s="110"/>
      <c r="BUK1377" s="110"/>
      <c r="BUL1377" s="110"/>
      <c r="BUM1377" s="110"/>
      <c r="BUN1377" s="110"/>
      <c r="BUO1377" s="110"/>
      <c r="BUP1377" s="110"/>
      <c r="BUQ1377" s="110"/>
      <c r="BUR1377" s="110"/>
      <c r="BUS1377" s="110"/>
      <c r="BUT1377" s="110"/>
      <c r="BUU1377" s="110"/>
      <c r="BUV1377" s="110"/>
      <c r="BUW1377" s="110"/>
      <c r="BUX1377" s="110"/>
      <c r="BUY1377" s="110"/>
      <c r="BUZ1377" s="110"/>
      <c r="BVA1377" s="110"/>
      <c r="BVB1377" s="110"/>
      <c r="BVC1377" s="110"/>
      <c r="BVD1377" s="110"/>
      <c r="BVE1377" s="110"/>
      <c r="BVF1377" s="110"/>
      <c r="BVG1377" s="110"/>
      <c r="BVH1377" s="110"/>
      <c r="BVI1377" s="110"/>
      <c r="BVJ1377" s="110"/>
      <c r="BVK1377" s="110"/>
      <c r="BVL1377" s="110"/>
      <c r="BVM1377" s="110"/>
      <c r="BVN1377" s="110"/>
      <c r="BVO1377" s="110"/>
      <c r="BVP1377" s="110"/>
      <c r="BVQ1377" s="110"/>
      <c r="BVR1377" s="110"/>
      <c r="BVS1377" s="110"/>
      <c r="BVT1377" s="110"/>
      <c r="BVU1377" s="110"/>
      <c r="BVV1377" s="110"/>
      <c r="BVW1377" s="110"/>
      <c r="BVX1377" s="110"/>
      <c r="BVY1377" s="110"/>
      <c r="BVZ1377" s="110"/>
      <c r="BWA1377" s="110"/>
      <c r="BWB1377" s="110"/>
      <c r="BWC1377" s="110"/>
      <c r="BWD1377" s="110"/>
      <c r="BWE1377" s="110"/>
      <c r="BWF1377" s="110"/>
      <c r="BWG1377" s="110"/>
      <c r="BWH1377" s="110"/>
      <c r="BWI1377" s="110"/>
      <c r="BWJ1377" s="110"/>
      <c r="BWK1377" s="110"/>
      <c r="BWL1377" s="110"/>
      <c r="BWM1377" s="110"/>
      <c r="BWN1377" s="110"/>
      <c r="BWO1377" s="110"/>
      <c r="BWP1377" s="110"/>
      <c r="BWQ1377" s="110"/>
      <c r="BWR1377" s="110"/>
      <c r="BWS1377" s="110"/>
      <c r="BWT1377" s="110"/>
      <c r="BWU1377" s="110"/>
      <c r="BWV1377" s="110"/>
      <c r="BWW1377" s="110"/>
      <c r="BWX1377" s="110"/>
      <c r="BWY1377" s="110"/>
      <c r="BWZ1377" s="110"/>
      <c r="BXA1377" s="110"/>
      <c r="BXB1377" s="110"/>
      <c r="BXC1377" s="110"/>
      <c r="BXD1377" s="110"/>
      <c r="BXE1377" s="110"/>
      <c r="BXF1377" s="110"/>
      <c r="BXG1377" s="110"/>
      <c r="BXH1377" s="110"/>
      <c r="BXI1377" s="110"/>
      <c r="BXJ1377" s="110"/>
      <c r="BXK1377" s="110"/>
      <c r="BXL1377" s="110"/>
      <c r="BXM1377" s="110"/>
      <c r="BXN1377" s="110"/>
      <c r="BXO1377" s="110"/>
      <c r="BXP1377" s="110"/>
      <c r="BXQ1377" s="110"/>
      <c r="BXR1377" s="110"/>
      <c r="BXS1377" s="110"/>
      <c r="BXT1377" s="110"/>
      <c r="BXU1377" s="110"/>
      <c r="BXV1377" s="110"/>
      <c r="BXW1377" s="110"/>
      <c r="BXX1377" s="110"/>
      <c r="BXY1377" s="110"/>
      <c r="BXZ1377" s="110"/>
      <c r="BYA1377" s="110"/>
      <c r="BYB1377" s="110"/>
      <c r="BYC1377" s="110"/>
      <c r="BYD1377" s="110"/>
      <c r="BYE1377" s="110"/>
      <c r="BYF1377" s="110"/>
      <c r="BYG1377" s="110"/>
      <c r="BYH1377" s="110"/>
      <c r="BYI1377" s="110"/>
      <c r="BYJ1377" s="110"/>
      <c r="BYK1377" s="110"/>
      <c r="BYL1377" s="110"/>
      <c r="BYM1377" s="110"/>
      <c r="BYN1377" s="110"/>
      <c r="BYO1377" s="110"/>
      <c r="BYP1377" s="110"/>
      <c r="BYQ1377" s="110"/>
      <c r="BYR1377" s="110"/>
      <c r="BYS1377" s="110"/>
      <c r="BYT1377" s="110"/>
      <c r="BYU1377" s="110"/>
      <c r="BYV1377" s="110"/>
      <c r="BYW1377" s="110"/>
      <c r="BYX1377" s="110"/>
      <c r="BYY1377" s="110"/>
      <c r="BYZ1377" s="110"/>
      <c r="BZA1377" s="110"/>
      <c r="BZB1377" s="110"/>
      <c r="BZC1377" s="110"/>
      <c r="BZD1377" s="110"/>
      <c r="BZE1377" s="110"/>
      <c r="BZF1377" s="110"/>
      <c r="BZG1377" s="110"/>
      <c r="BZH1377" s="110"/>
      <c r="BZI1377" s="110"/>
      <c r="BZJ1377" s="110"/>
      <c r="BZK1377" s="110"/>
      <c r="BZL1377" s="110"/>
      <c r="BZM1377" s="110"/>
      <c r="BZN1377" s="110"/>
      <c r="BZO1377" s="110"/>
      <c r="BZP1377" s="110"/>
      <c r="BZQ1377" s="110"/>
      <c r="BZR1377" s="110"/>
      <c r="BZS1377" s="110"/>
      <c r="BZT1377" s="110"/>
      <c r="BZU1377" s="110"/>
      <c r="BZV1377" s="110"/>
      <c r="BZW1377" s="110"/>
      <c r="BZX1377" s="110"/>
      <c r="BZY1377" s="110"/>
      <c r="BZZ1377" s="110"/>
      <c r="CAA1377" s="110"/>
      <c r="CAB1377" s="110"/>
      <c r="CAC1377" s="110"/>
      <c r="CAD1377" s="110"/>
      <c r="CAE1377" s="110"/>
      <c r="CAF1377" s="110"/>
      <c r="CAG1377" s="110"/>
      <c r="CAH1377" s="110"/>
      <c r="CAI1377" s="110"/>
      <c r="CAJ1377" s="110"/>
      <c r="CAK1377" s="110"/>
      <c r="CAL1377" s="110"/>
      <c r="CAM1377" s="110"/>
      <c r="CAN1377" s="110"/>
      <c r="CAO1377" s="110"/>
      <c r="CAP1377" s="110"/>
      <c r="CAQ1377" s="110"/>
      <c r="CAR1377" s="110"/>
      <c r="CAS1377" s="110"/>
      <c r="CAT1377" s="110"/>
      <c r="CAU1377" s="110"/>
      <c r="CAV1377" s="110"/>
      <c r="CAW1377" s="110"/>
      <c r="CAX1377" s="110"/>
      <c r="CAY1377" s="110"/>
      <c r="CAZ1377" s="110"/>
      <c r="CBA1377" s="110"/>
      <c r="CBB1377" s="110"/>
      <c r="CBC1377" s="110"/>
      <c r="CBD1377" s="110"/>
      <c r="CBE1377" s="110"/>
      <c r="CBF1377" s="110"/>
      <c r="CBG1377" s="110"/>
      <c r="CBH1377" s="110"/>
      <c r="CBI1377" s="110"/>
      <c r="CBJ1377" s="110"/>
      <c r="CBK1377" s="110"/>
      <c r="CBL1377" s="110"/>
      <c r="CBM1377" s="110"/>
      <c r="CBN1377" s="110"/>
      <c r="CBO1377" s="110"/>
      <c r="CBP1377" s="110"/>
      <c r="CBQ1377" s="110"/>
      <c r="CBR1377" s="110"/>
      <c r="CBS1377" s="110"/>
      <c r="CBT1377" s="110"/>
      <c r="CBU1377" s="110"/>
      <c r="CBV1377" s="110"/>
      <c r="CBW1377" s="110"/>
      <c r="CBX1377" s="110"/>
      <c r="CBY1377" s="110"/>
      <c r="CBZ1377" s="110"/>
      <c r="CCA1377" s="110"/>
      <c r="CCB1377" s="110"/>
      <c r="CCC1377" s="110"/>
      <c r="CCD1377" s="110"/>
      <c r="CCE1377" s="110"/>
      <c r="CCF1377" s="110"/>
      <c r="CCG1377" s="110"/>
      <c r="CCH1377" s="110"/>
      <c r="CCI1377" s="110"/>
      <c r="CCJ1377" s="110"/>
      <c r="CCK1377" s="110"/>
      <c r="CCL1377" s="110"/>
      <c r="CCM1377" s="110"/>
      <c r="CCN1377" s="110"/>
      <c r="CCO1377" s="110"/>
      <c r="CCP1377" s="110"/>
      <c r="CCQ1377" s="110"/>
      <c r="CCR1377" s="110"/>
      <c r="CCS1377" s="110"/>
      <c r="CCT1377" s="110"/>
      <c r="CCU1377" s="110"/>
      <c r="CCV1377" s="110"/>
      <c r="CCW1377" s="110"/>
      <c r="CCX1377" s="110"/>
      <c r="CCY1377" s="110"/>
      <c r="CCZ1377" s="110"/>
      <c r="CDA1377" s="110"/>
      <c r="CDB1377" s="110"/>
      <c r="CDC1377" s="110"/>
      <c r="CDD1377" s="110"/>
      <c r="CDE1377" s="110"/>
      <c r="CDF1377" s="110"/>
      <c r="CDG1377" s="110"/>
      <c r="CDH1377" s="110"/>
      <c r="CDI1377" s="110"/>
      <c r="CDJ1377" s="110"/>
      <c r="CDK1377" s="110"/>
      <c r="CDL1377" s="110"/>
      <c r="CDM1377" s="110"/>
      <c r="CDN1377" s="110"/>
      <c r="CDO1377" s="110"/>
      <c r="CDP1377" s="110"/>
      <c r="CDQ1377" s="110"/>
      <c r="CDR1377" s="110"/>
      <c r="CDS1377" s="110"/>
      <c r="CDT1377" s="110"/>
      <c r="CDU1377" s="110"/>
      <c r="CDV1377" s="110"/>
      <c r="CDW1377" s="110"/>
      <c r="CDX1377" s="110"/>
      <c r="CDY1377" s="110"/>
      <c r="CDZ1377" s="110"/>
      <c r="CEA1377" s="110"/>
      <c r="CEB1377" s="110"/>
      <c r="CEC1377" s="110"/>
      <c r="CED1377" s="110"/>
      <c r="CEE1377" s="110"/>
      <c r="CEF1377" s="110"/>
      <c r="CEG1377" s="110"/>
      <c r="CEH1377" s="110"/>
      <c r="CEI1377" s="110"/>
      <c r="CEJ1377" s="110"/>
      <c r="CEK1377" s="110"/>
      <c r="CEL1377" s="110"/>
      <c r="CEM1377" s="110"/>
      <c r="CEN1377" s="110"/>
      <c r="CEO1377" s="110"/>
      <c r="CEP1377" s="110"/>
      <c r="CEQ1377" s="110"/>
      <c r="CER1377" s="110"/>
      <c r="CES1377" s="110"/>
      <c r="CET1377" s="110"/>
      <c r="CEU1377" s="110"/>
      <c r="CEV1377" s="110"/>
      <c r="CEW1377" s="110"/>
      <c r="CEX1377" s="110"/>
      <c r="CEY1377" s="110"/>
      <c r="CEZ1377" s="110"/>
      <c r="CFA1377" s="110"/>
      <c r="CFB1377" s="110"/>
      <c r="CFC1377" s="110"/>
      <c r="CFD1377" s="110"/>
      <c r="CFE1377" s="110"/>
      <c r="CFF1377" s="110"/>
      <c r="CFG1377" s="110"/>
      <c r="CFH1377" s="110"/>
      <c r="CFI1377" s="110"/>
      <c r="CFJ1377" s="110"/>
      <c r="CFK1377" s="110"/>
      <c r="CFL1377" s="110"/>
      <c r="CFM1377" s="110"/>
      <c r="CFN1377" s="110"/>
      <c r="CFO1377" s="110"/>
      <c r="CFP1377" s="110"/>
      <c r="CFQ1377" s="110"/>
      <c r="CFR1377" s="110"/>
      <c r="CFS1377" s="110"/>
      <c r="CFT1377" s="110"/>
      <c r="CFU1377" s="110"/>
      <c r="CFV1377" s="110"/>
      <c r="CFW1377" s="110"/>
      <c r="CFX1377" s="110"/>
      <c r="CFY1377" s="110"/>
      <c r="CFZ1377" s="110"/>
      <c r="CGA1377" s="110"/>
      <c r="CGB1377" s="110"/>
      <c r="CGC1377" s="110"/>
      <c r="CGD1377" s="110"/>
      <c r="CGE1377" s="110"/>
      <c r="CGF1377" s="110"/>
      <c r="CGG1377" s="110"/>
      <c r="CGH1377" s="110"/>
      <c r="CGI1377" s="110"/>
      <c r="CGJ1377" s="110"/>
      <c r="CGK1377" s="110"/>
      <c r="CGL1377" s="110"/>
      <c r="CGM1377" s="110"/>
      <c r="CGN1377" s="110"/>
      <c r="CGO1377" s="110"/>
      <c r="CGP1377" s="110"/>
      <c r="CGQ1377" s="110"/>
      <c r="CGR1377" s="110"/>
      <c r="CGS1377" s="110"/>
      <c r="CGT1377" s="110"/>
      <c r="CGU1377" s="110"/>
      <c r="CGV1377" s="110"/>
      <c r="CGW1377" s="110"/>
      <c r="CGX1377" s="110"/>
      <c r="CGY1377" s="110"/>
      <c r="CGZ1377" s="110"/>
      <c r="CHA1377" s="110"/>
      <c r="CHB1377" s="110"/>
      <c r="CHC1377" s="110"/>
      <c r="CHD1377" s="110"/>
      <c r="CHE1377" s="110"/>
      <c r="CHF1377" s="110"/>
      <c r="CHG1377" s="110"/>
      <c r="CHH1377" s="110"/>
      <c r="CHI1377" s="110"/>
      <c r="CHJ1377" s="110"/>
      <c r="CHK1377" s="110"/>
      <c r="CHL1377" s="110"/>
      <c r="CHM1377" s="110"/>
      <c r="CHN1377" s="110"/>
      <c r="CHO1377" s="110"/>
      <c r="CHP1377" s="110"/>
      <c r="CHQ1377" s="110"/>
      <c r="CHR1377" s="110"/>
      <c r="CHS1377" s="110"/>
      <c r="CHT1377" s="110"/>
      <c r="CHU1377" s="110"/>
      <c r="CHV1377" s="110"/>
      <c r="CHW1377" s="110"/>
      <c r="CHX1377" s="110"/>
      <c r="CHY1377" s="110"/>
      <c r="CHZ1377" s="110"/>
      <c r="CIA1377" s="110"/>
      <c r="CIB1377" s="110"/>
      <c r="CIC1377" s="110"/>
      <c r="CID1377" s="110"/>
      <c r="CIE1377" s="110"/>
      <c r="CIF1377" s="110"/>
      <c r="CIG1377" s="110"/>
      <c r="CIH1377" s="110"/>
      <c r="CII1377" s="110"/>
      <c r="CIJ1377" s="110"/>
      <c r="CIK1377" s="110"/>
      <c r="CIL1377" s="110"/>
      <c r="CIM1377" s="110"/>
      <c r="CIN1377" s="110"/>
      <c r="CIO1377" s="110"/>
      <c r="CIP1377" s="110"/>
      <c r="CIQ1377" s="110"/>
      <c r="CIR1377" s="110"/>
      <c r="CIS1377" s="110"/>
      <c r="CIT1377" s="110"/>
      <c r="CIU1377" s="110"/>
      <c r="CIV1377" s="110"/>
      <c r="CIW1377" s="110"/>
      <c r="CIX1377" s="110"/>
      <c r="CIY1377" s="110"/>
      <c r="CIZ1377" s="110"/>
      <c r="CJA1377" s="110"/>
      <c r="CJB1377" s="110"/>
      <c r="CJC1377" s="110"/>
      <c r="CJD1377" s="110"/>
      <c r="CJE1377" s="110"/>
      <c r="CJF1377" s="110"/>
      <c r="CJG1377" s="110"/>
      <c r="CJH1377" s="110"/>
      <c r="CJI1377" s="110"/>
      <c r="CJJ1377" s="110"/>
      <c r="CJK1377" s="110"/>
      <c r="CJL1377" s="110"/>
      <c r="CJM1377" s="110"/>
      <c r="CJN1377" s="110"/>
      <c r="CJO1377" s="110"/>
      <c r="CJP1377" s="110"/>
      <c r="CJQ1377" s="110"/>
      <c r="CJR1377" s="110"/>
      <c r="CJS1377" s="110"/>
      <c r="CJT1377" s="110"/>
      <c r="CJU1377" s="110"/>
      <c r="CJV1377" s="110"/>
      <c r="CJW1377" s="110"/>
      <c r="CJX1377" s="110"/>
      <c r="CJY1377" s="110"/>
      <c r="CJZ1377" s="110"/>
      <c r="CKA1377" s="110"/>
      <c r="CKB1377" s="110"/>
      <c r="CKC1377" s="110"/>
      <c r="CKD1377" s="110"/>
      <c r="CKE1377" s="110"/>
      <c r="CKF1377" s="110"/>
      <c r="CKG1377" s="110"/>
      <c r="CKH1377" s="110"/>
      <c r="CKI1377" s="110"/>
      <c r="CKJ1377" s="110"/>
      <c r="CKK1377" s="110"/>
      <c r="CKL1377" s="110"/>
      <c r="CKM1377" s="110"/>
      <c r="CKN1377" s="110"/>
      <c r="CKO1377" s="110"/>
      <c r="CKP1377" s="110"/>
      <c r="CKQ1377" s="110"/>
      <c r="CKR1377" s="110"/>
      <c r="CKS1377" s="110"/>
      <c r="CKT1377" s="110"/>
      <c r="CKU1377" s="110"/>
      <c r="CKV1377" s="110"/>
      <c r="CKW1377" s="110"/>
      <c r="CKX1377" s="110"/>
      <c r="CKY1377" s="110"/>
      <c r="CKZ1377" s="110"/>
      <c r="CLA1377" s="110"/>
      <c r="CLB1377" s="110"/>
      <c r="CLC1377" s="110"/>
      <c r="CLD1377" s="110"/>
      <c r="CLE1377" s="110"/>
      <c r="CLF1377" s="110"/>
      <c r="CLG1377" s="110"/>
      <c r="CLH1377" s="110"/>
      <c r="CLI1377" s="110"/>
      <c r="CLJ1377" s="110"/>
      <c r="CLK1377" s="110"/>
      <c r="CLL1377" s="110"/>
      <c r="CLM1377" s="110"/>
      <c r="CLN1377" s="110"/>
      <c r="CLO1377" s="110"/>
      <c r="CLP1377" s="110"/>
      <c r="CLQ1377" s="110"/>
      <c r="CLR1377" s="110"/>
      <c r="CLS1377" s="110"/>
      <c r="CLT1377" s="110"/>
      <c r="CLU1377" s="110"/>
      <c r="CLV1377" s="110"/>
      <c r="CLW1377" s="110"/>
      <c r="CLX1377" s="110"/>
      <c r="CLY1377" s="110"/>
      <c r="CLZ1377" s="110"/>
      <c r="CMA1377" s="110"/>
      <c r="CMB1377" s="110"/>
      <c r="CMC1377" s="110"/>
      <c r="CMD1377" s="110"/>
      <c r="CME1377" s="110"/>
      <c r="CMF1377" s="110"/>
      <c r="CMG1377" s="110"/>
      <c r="CMH1377" s="110"/>
      <c r="CMI1377" s="110"/>
      <c r="CMJ1377" s="110"/>
      <c r="CMK1377" s="110"/>
      <c r="CML1377" s="110"/>
      <c r="CMM1377" s="110"/>
      <c r="CMN1377" s="110"/>
      <c r="CMO1377" s="110"/>
      <c r="CMP1377" s="110"/>
      <c r="CMQ1377" s="110"/>
      <c r="CMR1377" s="110"/>
      <c r="CMS1377" s="110"/>
      <c r="CMT1377" s="110"/>
      <c r="CMU1377" s="110"/>
      <c r="CMV1377" s="110"/>
      <c r="CMW1377" s="110"/>
      <c r="CMX1377" s="110"/>
      <c r="CMY1377" s="110"/>
      <c r="CMZ1377" s="110"/>
      <c r="CNA1377" s="110"/>
      <c r="CNB1377" s="110"/>
      <c r="CNC1377" s="110"/>
      <c r="CND1377" s="110"/>
      <c r="CNE1377" s="110"/>
      <c r="CNF1377" s="110"/>
      <c r="CNG1377" s="110"/>
      <c r="CNH1377" s="110"/>
      <c r="CNI1377" s="110"/>
      <c r="CNJ1377" s="110"/>
      <c r="CNK1377" s="110"/>
      <c r="CNL1377" s="110"/>
      <c r="CNM1377" s="110"/>
      <c r="CNN1377" s="110"/>
      <c r="CNO1377" s="110"/>
      <c r="CNP1377" s="110"/>
      <c r="CNQ1377" s="110"/>
      <c r="CNR1377" s="110"/>
      <c r="CNS1377" s="110"/>
      <c r="CNT1377" s="110"/>
      <c r="CNU1377" s="110"/>
      <c r="CNV1377" s="110"/>
      <c r="CNW1377" s="110"/>
      <c r="CNX1377" s="110"/>
      <c r="CNY1377" s="110"/>
      <c r="CNZ1377" s="110"/>
      <c r="COA1377" s="110"/>
      <c r="COB1377" s="110"/>
      <c r="COC1377" s="110"/>
      <c r="COD1377" s="110"/>
      <c r="COE1377" s="110"/>
      <c r="COF1377" s="110"/>
      <c r="COG1377" s="110"/>
      <c r="COH1377" s="110"/>
      <c r="COI1377" s="110"/>
      <c r="COJ1377" s="110"/>
      <c r="COK1377" s="110"/>
      <c r="COL1377" s="110"/>
      <c r="COM1377" s="110"/>
      <c r="CON1377" s="110"/>
      <c r="COO1377" s="110"/>
      <c r="COP1377" s="110"/>
      <c r="COQ1377" s="110"/>
      <c r="COR1377" s="110"/>
      <c r="COS1377" s="110"/>
      <c r="COT1377" s="110"/>
      <c r="COU1377" s="110"/>
      <c r="COV1377" s="110"/>
      <c r="COW1377" s="110"/>
      <c r="COX1377" s="110"/>
      <c r="COY1377" s="110"/>
      <c r="COZ1377" s="110"/>
      <c r="CPA1377" s="110"/>
      <c r="CPB1377" s="110"/>
      <c r="CPC1377" s="110"/>
      <c r="CPD1377" s="110"/>
      <c r="CPE1377" s="110"/>
      <c r="CPF1377" s="110"/>
      <c r="CPG1377" s="110"/>
      <c r="CPH1377" s="110"/>
      <c r="CPI1377" s="110"/>
      <c r="CPJ1377" s="110"/>
      <c r="CPK1377" s="110"/>
      <c r="CPL1377" s="110"/>
      <c r="CPM1377" s="110"/>
      <c r="CPN1377" s="110"/>
      <c r="CPO1377" s="110"/>
      <c r="CPP1377" s="110"/>
      <c r="CPQ1377" s="110"/>
      <c r="CPR1377" s="110"/>
      <c r="CPS1377" s="110"/>
      <c r="CPT1377" s="110"/>
      <c r="CPU1377" s="110"/>
      <c r="CPV1377" s="110"/>
      <c r="CPW1377" s="110"/>
      <c r="CPX1377" s="110"/>
      <c r="CPY1377" s="110"/>
      <c r="CPZ1377" s="110"/>
      <c r="CQA1377" s="110"/>
      <c r="CQB1377" s="110"/>
      <c r="CQC1377" s="110"/>
      <c r="CQD1377" s="110"/>
      <c r="CQE1377" s="110"/>
      <c r="CQF1377" s="110"/>
      <c r="CQG1377" s="110"/>
      <c r="CQH1377" s="110"/>
      <c r="CQI1377" s="110"/>
      <c r="CQJ1377" s="110"/>
      <c r="CQK1377" s="110"/>
      <c r="CQL1377" s="110"/>
      <c r="CQM1377" s="110"/>
      <c r="CQN1377" s="110"/>
      <c r="CQO1377" s="110"/>
      <c r="CQP1377" s="110"/>
      <c r="CQQ1377" s="110"/>
      <c r="CQR1377" s="110"/>
      <c r="CQS1377" s="110"/>
      <c r="CQT1377" s="110"/>
      <c r="CQU1377" s="110"/>
      <c r="CQV1377" s="110"/>
      <c r="CQW1377" s="110"/>
      <c r="CQX1377" s="110"/>
      <c r="CQY1377" s="110"/>
      <c r="CQZ1377" s="110"/>
      <c r="CRA1377" s="110"/>
      <c r="CRB1377" s="110"/>
      <c r="CRC1377" s="110"/>
      <c r="CRD1377" s="110"/>
      <c r="CRE1377" s="110"/>
      <c r="CRF1377" s="110"/>
      <c r="CRG1377" s="110"/>
      <c r="CRH1377" s="110"/>
      <c r="CRI1377" s="110"/>
      <c r="CRJ1377" s="110"/>
      <c r="CRK1377" s="110"/>
      <c r="CRL1377" s="110"/>
      <c r="CRM1377" s="110"/>
      <c r="CRN1377" s="110"/>
      <c r="CRO1377" s="110"/>
      <c r="CRP1377" s="110"/>
      <c r="CRQ1377" s="110"/>
      <c r="CRR1377" s="110"/>
      <c r="CRS1377" s="110"/>
      <c r="CRT1377" s="110"/>
      <c r="CRU1377" s="110"/>
      <c r="CRV1377" s="110"/>
      <c r="CRW1377" s="110"/>
      <c r="CRX1377" s="110"/>
      <c r="CRY1377" s="110"/>
      <c r="CRZ1377" s="110"/>
      <c r="CSA1377" s="110"/>
      <c r="CSB1377" s="110"/>
      <c r="CSC1377" s="110"/>
      <c r="CSD1377" s="110"/>
      <c r="CSE1377" s="110"/>
      <c r="CSF1377" s="110"/>
      <c r="CSG1377" s="110"/>
      <c r="CSH1377" s="110"/>
      <c r="CSI1377" s="110"/>
      <c r="CSJ1377" s="110"/>
      <c r="CSK1377" s="110"/>
      <c r="CSL1377" s="110"/>
      <c r="CSM1377" s="110"/>
      <c r="CSN1377" s="110"/>
      <c r="CSO1377" s="110"/>
      <c r="CSP1377" s="110"/>
      <c r="CSQ1377" s="110"/>
      <c r="CSR1377" s="110"/>
      <c r="CSS1377" s="110"/>
      <c r="CST1377" s="110"/>
      <c r="CSU1377" s="110"/>
      <c r="CSV1377" s="110"/>
      <c r="CSW1377" s="110"/>
      <c r="CSX1377" s="110"/>
      <c r="CSY1377" s="110"/>
      <c r="CSZ1377" s="110"/>
      <c r="CTA1377" s="110"/>
      <c r="CTB1377" s="110"/>
      <c r="CTC1377" s="110"/>
      <c r="CTD1377" s="110"/>
      <c r="CTE1377" s="110"/>
      <c r="CTF1377" s="110"/>
      <c r="CTG1377" s="110"/>
      <c r="CTH1377" s="110"/>
      <c r="CTI1377" s="110"/>
      <c r="CTJ1377" s="110"/>
      <c r="CTK1377" s="110"/>
      <c r="CTL1377" s="110"/>
      <c r="CTM1377" s="110"/>
      <c r="CTN1377" s="110"/>
      <c r="CTO1377" s="110"/>
      <c r="CTP1377" s="110"/>
      <c r="CTQ1377" s="110"/>
      <c r="CTR1377" s="110"/>
      <c r="CTS1377" s="110"/>
      <c r="CTT1377" s="110"/>
      <c r="CTU1377" s="110"/>
      <c r="CTV1377" s="110"/>
      <c r="CTW1377" s="110"/>
      <c r="CTX1377" s="110"/>
      <c r="CTY1377" s="110"/>
      <c r="CTZ1377" s="110"/>
      <c r="CUA1377" s="110"/>
      <c r="CUB1377" s="110"/>
      <c r="CUC1377" s="110"/>
      <c r="CUD1377" s="110"/>
      <c r="CUE1377" s="110"/>
      <c r="CUF1377" s="110"/>
      <c r="CUG1377" s="110"/>
      <c r="CUH1377" s="110"/>
      <c r="CUI1377" s="110"/>
      <c r="CUJ1377" s="110"/>
      <c r="CUK1377" s="110"/>
      <c r="CUL1377" s="110"/>
      <c r="CUM1377" s="110"/>
      <c r="CUN1377" s="110"/>
      <c r="CUO1377" s="110"/>
      <c r="CUP1377" s="110"/>
      <c r="CUQ1377" s="110"/>
      <c r="CUR1377" s="110"/>
      <c r="CUS1377" s="110"/>
      <c r="CUT1377" s="110"/>
      <c r="CUU1377" s="110"/>
      <c r="CUV1377" s="110"/>
      <c r="CUW1377" s="110"/>
      <c r="CUX1377" s="110"/>
      <c r="CUY1377" s="110"/>
      <c r="CUZ1377" s="110"/>
      <c r="CVA1377" s="110"/>
      <c r="CVB1377" s="110"/>
      <c r="CVC1377" s="110"/>
      <c r="CVD1377" s="110"/>
      <c r="CVE1377" s="110"/>
      <c r="CVF1377" s="110"/>
      <c r="CVG1377" s="110"/>
      <c r="CVH1377" s="110"/>
      <c r="CVI1377" s="110"/>
      <c r="CVJ1377" s="110"/>
      <c r="CVK1377" s="110"/>
      <c r="CVL1377" s="110"/>
      <c r="CVM1377" s="110"/>
      <c r="CVN1377" s="110"/>
      <c r="CVO1377" s="110"/>
      <c r="CVP1377" s="110"/>
      <c r="CVQ1377" s="110"/>
      <c r="CVR1377" s="110"/>
      <c r="CVS1377" s="110"/>
      <c r="CVT1377" s="110"/>
      <c r="CVU1377" s="110"/>
      <c r="CVV1377" s="110"/>
      <c r="CVW1377" s="110"/>
      <c r="CVX1377" s="110"/>
      <c r="CVY1377" s="110"/>
      <c r="CVZ1377" s="110"/>
      <c r="CWA1377" s="110"/>
      <c r="CWB1377" s="110"/>
      <c r="CWC1377" s="110"/>
      <c r="CWD1377" s="110"/>
      <c r="CWE1377" s="110"/>
      <c r="CWF1377" s="110"/>
      <c r="CWG1377" s="110"/>
      <c r="CWH1377" s="110"/>
      <c r="CWI1377" s="110"/>
      <c r="CWJ1377" s="110"/>
      <c r="CWK1377" s="110"/>
      <c r="CWL1377" s="110"/>
      <c r="CWM1377" s="110"/>
      <c r="CWN1377" s="110"/>
      <c r="CWO1377" s="110"/>
      <c r="CWP1377" s="110"/>
      <c r="CWQ1377" s="110"/>
      <c r="CWR1377" s="110"/>
      <c r="CWS1377" s="110"/>
      <c r="CWT1377" s="110"/>
      <c r="CWU1377" s="110"/>
      <c r="CWV1377" s="110"/>
      <c r="CWW1377" s="110"/>
      <c r="CWX1377" s="110"/>
      <c r="CWY1377" s="110"/>
      <c r="CWZ1377" s="110"/>
      <c r="CXA1377" s="110"/>
      <c r="CXB1377" s="110"/>
      <c r="CXC1377" s="110"/>
      <c r="CXD1377" s="110"/>
      <c r="CXE1377" s="110"/>
      <c r="CXF1377" s="110"/>
      <c r="CXG1377" s="110"/>
      <c r="CXH1377" s="110"/>
      <c r="CXI1377" s="110"/>
      <c r="CXJ1377" s="110"/>
      <c r="CXK1377" s="110"/>
      <c r="CXL1377" s="110"/>
      <c r="CXM1377" s="110"/>
      <c r="CXN1377" s="110"/>
      <c r="CXO1377" s="110"/>
      <c r="CXP1377" s="110"/>
      <c r="CXQ1377" s="110"/>
      <c r="CXR1377" s="110"/>
      <c r="CXS1377" s="110"/>
      <c r="CXT1377" s="110"/>
      <c r="CXU1377" s="110"/>
      <c r="CXV1377" s="110"/>
      <c r="CXW1377" s="110"/>
      <c r="CXX1377" s="110"/>
      <c r="CXY1377" s="110"/>
      <c r="CXZ1377" s="110"/>
      <c r="CYA1377" s="110"/>
      <c r="CYB1377" s="110"/>
      <c r="CYC1377" s="110"/>
      <c r="CYD1377" s="110"/>
      <c r="CYE1377" s="110"/>
      <c r="CYF1377" s="110"/>
      <c r="CYG1377" s="110"/>
      <c r="CYH1377" s="110"/>
      <c r="CYI1377" s="110"/>
      <c r="CYJ1377" s="110"/>
      <c r="CYK1377" s="110"/>
      <c r="CYL1377" s="110"/>
      <c r="CYM1377" s="110"/>
      <c r="CYN1377" s="110"/>
      <c r="CYO1377" s="110"/>
      <c r="CYP1377" s="110"/>
      <c r="CYQ1377" s="110"/>
      <c r="CYR1377" s="110"/>
      <c r="CYS1377" s="110"/>
      <c r="CYT1377" s="110"/>
      <c r="CYU1377" s="110"/>
      <c r="CYV1377" s="110"/>
      <c r="CYW1377" s="110"/>
      <c r="CYX1377" s="110"/>
      <c r="CYY1377" s="110"/>
      <c r="CYZ1377" s="110"/>
      <c r="CZA1377" s="110"/>
      <c r="CZB1377" s="110"/>
      <c r="CZC1377" s="110"/>
      <c r="CZD1377" s="110"/>
      <c r="CZE1377" s="110"/>
      <c r="CZF1377" s="110"/>
      <c r="CZG1377" s="110"/>
      <c r="CZH1377" s="110"/>
      <c r="CZI1377" s="110"/>
      <c r="CZJ1377" s="110"/>
      <c r="CZK1377" s="110"/>
      <c r="CZL1377" s="110"/>
      <c r="CZM1377" s="110"/>
      <c r="CZN1377" s="110"/>
      <c r="CZO1377" s="110"/>
      <c r="CZP1377" s="110"/>
      <c r="CZQ1377" s="110"/>
      <c r="CZR1377" s="110"/>
      <c r="CZS1377" s="110"/>
      <c r="CZT1377" s="110"/>
      <c r="CZU1377" s="110"/>
      <c r="CZV1377" s="110"/>
      <c r="CZW1377" s="110"/>
      <c r="CZX1377" s="110"/>
      <c r="CZY1377" s="110"/>
      <c r="CZZ1377" s="110"/>
      <c r="DAA1377" s="110"/>
      <c r="DAB1377" s="110"/>
      <c r="DAC1377" s="110"/>
      <c r="DAD1377" s="110"/>
      <c r="DAE1377" s="110"/>
      <c r="DAF1377" s="110"/>
      <c r="DAG1377" s="110"/>
      <c r="DAH1377" s="110"/>
      <c r="DAI1377" s="110"/>
      <c r="DAJ1377" s="110"/>
      <c r="DAK1377" s="110"/>
      <c r="DAL1377" s="110"/>
      <c r="DAM1377" s="110"/>
      <c r="DAN1377" s="110"/>
      <c r="DAO1377" s="110"/>
      <c r="DAP1377" s="110"/>
      <c r="DAQ1377" s="110"/>
      <c r="DAR1377" s="110"/>
      <c r="DAS1377" s="110"/>
      <c r="DAT1377" s="110"/>
      <c r="DAU1377" s="110"/>
      <c r="DAV1377" s="110"/>
      <c r="DAW1377" s="110"/>
      <c r="DAX1377" s="110"/>
      <c r="DAY1377" s="110"/>
      <c r="DAZ1377" s="110"/>
      <c r="DBA1377" s="110"/>
      <c r="DBB1377" s="110"/>
      <c r="DBC1377" s="110"/>
      <c r="DBD1377" s="110"/>
      <c r="DBE1377" s="110"/>
      <c r="DBF1377" s="110"/>
      <c r="DBG1377" s="110"/>
      <c r="DBH1377" s="110"/>
      <c r="DBI1377" s="110"/>
      <c r="DBJ1377" s="110"/>
      <c r="DBK1377" s="110"/>
      <c r="DBL1377" s="110"/>
      <c r="DBM1377" s="110"/>
      <c r="DBN1377" s="110"/>
      <c r="DBO1377" s="110"/>
      <c r="DBP1377" s="110"/>
      <c r="DBQ1377" s="110"/>
      <c r="DBR1377" s="110"/>
      <c r="DBS1377" s="110"/>
      <c r="DBT1377" s="110"/>
      <c r="DBU1377" s="110"/>
      <c r="DBV1377" s="110"/>
      <c r="DBW1377" s="110"/>
      <c r="DBX1377" s="110"/>
      <c r="DBY1377" s="110"/>
      <c r="DBZ1377" s="110"/>
      <c r="DCA1377" s="110"/>
      <c r="DCB1377" s="110"/>
      <c r="DCC1377" s="110"/>
      <c r="DCD1377" s="110"/>
      <c r="DCE1377" s="110"/>
      <c r="DCF1377" s="110"/>
      <c r="DCG1377" s="110"/>
      <c r="DCH1377" s="110"/>
      <c r="DCI1377" s="110"/>
      <c r="DCJ1377" s="110"/>
      <c r="DCK1377" s="110"/>
      <c r="DCL1377" s="110"/>
      <c r="DCM1377" s="110"/>
      <c r="DCN1377" s="110"/>
      <c r="DCO1377" s="110"/>
      <c r="DCP1377" s="110"/>
      <c r="DCQ1377" s="110"/>
      <c r="DCR1377" s="110"/>
      <c r="DCS1377" s="110"/>
      <c r="DCT1377" s="110"/>
      <c r="DCU1377" s="110"/>
      <c r="DCV1377" s="110"/>
      <c r="DCW1377" s="110"/>
      <c r="DCX1377" s="110"/>
      <c r="DCY1377" s="110"/>
      <c r="DCZ1377" s="110"/>
      <c r="DDA1377" s="110"/>
      <c r="DDB1377" s="110"/>
      <c r="DDC1377" s="110"/>
      <c r="DDD1377" s="110"/>
      <c r="DDE1377" s="110"/>
      <c r="DDF1377" s="110"/>
      <c r="DDG1377" s="110"/>
      <c r="DDH1377" s="110"/>
      <c r="DDI1377" s="110"/>
      <c r="DDJ1377" s="110"/>
      <c r="DDK1377" s="110"/>
      <c r="DDL1377" s="110"/>
      <c r="DDM1377" s="110"/>
      <c r="DDN1377" s="110"/>
      <c r="DDO1377" s="110"/>
      <c r="DDP1377" s="110"/>
      <c r="DDQ1377" s="110"/>
      <c r="DDR1377" s="110"/>
      <c r="DDS1377" s="110"/>
      <c r="DDT1377" s="110"/>
      <c r="DDU1377" s="110"/>
      <c r="DDV1377" s="110"/>
      <c r="DDW1377" s="110"/>
      <c r="DDX1377" s="110"/>
      <c r="DDY1377" s="110"/>
      <c r="DDZ1377" s="110"/>
      <c r="DEA1377" s="110"/>
      <c r="DEB1377" s="110"/>
      <c r="DEC1377" s="110"/>
      <c r="DED1377" s="110"/>
      <c r="DEE1377" s="110"/>
      <c r="DEF1377" s="110"/>
      <c r="DEG1377" s="110"/>
      <c r="DEH1377" s="110"/>
      <c r="DEI1377" s="110"/>
      <c r="DEJ1377" s="110"/>
      <c r="DEK1377" s="110"/>
      <c r="DEL1377" s="110"/>
      <c r="DEM1377" s="110"/>
      <c r="DEN1377" s="110"/>
      <c r="DEO1377" s="110"/>
      <c r="DEP1377" s="110"/>
      <c r="DEQ1377" s="110"/>
      <c r="DER1377" s="110"/>
      <c r="DES1377" s="110"/>
      <c r="DET1377" s="110"/>
      <c r="DEU1377" s="110"/>
      <c r="DEV1377" s="110"/>
      <c r="DEW1377" s="110"/>
      <c r="DEX1377" s="110"/>
      <c r="DEY1377" s="110"/>
      <c r="DEZ1377" s="110"/>
      <c r="DFA1377" s="110"/>
      <c r="DFB1377" s="110"/>
      <c r="DFC1377" s="110"/>
      <c r="DFD1377" s="110"/>
      <c r="DFE1377" s="110"/>
      <c r="DFF1377" s="110"/>
      <c r="DFG1377" s="110"/>
      <c r="DFH1377" s="110"/>
      <c r="DFI1377" s="110"/>
      <c r="DFJ1377" s="110"/>
      <c r="DFK1377" s="110"/>
      <c r="DFL1377" s="110"/>
      <c r="DFM1377" s="110"/>
      <c r="DFN1377" s="110"/>
      <c r="DFO1377" s="110"/>
      <c r="DFP1377" s="110"/>
      <c r="DFQ1377" s="110"/>
      <c r="DFR1377" s="110"/>
      <c r="DFS1377" s="110"/>
      <c r="DFT1377" s="110"/>
      <c r="DFU1377" s="110"/>
      <c r="DFV1377" s="110"/>
      <c r="DFW1377" s="110"/>
      <c r="DFX1377" s="110"/>
      <c r="DFY1377" s="110"/>
      <c r="DFZ1377" s="110"/>
      <c r="DGA1377" s="110"/>
      <c r="DGB1377" s="110"/>
      <c r="DGC1377" s="110"/>
      <c r="DGD1377" s="110"/>
      <c r="DGE1377" s="110"/>
      <c r="DGF1377" s="110"/>
      <c r="DGG1377" s="110"/>
      <c r="DGH1377" s="110"/>
      <c r="DGI1377" s="110"/>
      <c r="DGJ1377" s="110"/>
      <c r="DGK1377" s="110"/>
      <c r="DGL1377" s="110"/>
      <c r="DGM1377" s="110"/>
      <c r="DGN1377" s="110"/>
      <c r="DGO1377" s="110"/>
      <c r="DGP1377" s="110"/>
      <c r="DGQ1377" s="110"/>
      <c r="DGR1377" s="110"/>
      <c r="DGS1377" s="110"/>
      <c r="DGT1377" s="110"/>
      <c r="DGU1377" s="110"/>
      <c r="DGV1377" s="110"/>
      <c r="DGW1377" s="110"/>
      <c r="DGX1377" s="110"/>
      <c r="DGY1377" s="110"/>
      <c r="DGZ1377" s="110"/>
      <c r="DHA1377" s="110"/>
      <c r="DHB1377" s="110"/>
      <c r="DHC1377" s="110"/>
      <c r="DHD1377" s="110"/>
      <c r="DHE1377" s="110"/>
      <c r="DHF1377" s="110"/>
      <c r="DHG1377" s="110"/>
      <c r="DHH1377" s="110"/>
      <c r="DHI1377" s="110"/>
      <c r="DHJ1377" s="110"/>
      <c r="DHK1377" s="110"/>
      <c r="DHL1377" s="110"/>
      <c r="DHM1377" s="110"/>
      <c r="DHN1377" s="110"/>
      <c r="DHO1377" s="110"/>
      <c r="DHP1377" s="110"/>
      <c r="DHQ1377" s="110"/>
      <c r="DHR1377" s="110"/>
      <c r="DHS1377" s="110"/>
      <c r="DHT1377" s="110"/>
      <c r="DHU1377" s="110"/>
      <c r="DHV1377" s="110"/>
      <c r="DHW1377" s="110"/>
      <c r="DHX1377" s="110"/>
      <c r="DHY1377" s="110"/>
      <c r="DHZ1377" s="110"/>
      <c r="DIA1377" s="110"/>
      <c r="DIB1377" s="110"/>
      <c r="DIC1377" s="110"/>
      <c r="DID1377" s="110"/>
      <c r="DIE1377" s="110"/>
      <c r="DIF1377" s="110"/>
      <c r="DIG1377" s="110"/>
      <c r="DIH1377" s="110"/>
      <c r="DII1377" s="110"/>
      <c r="DIJ1377" s="110"/>
      <c r="DIK1377" s="110"/>
      <c r="DIL1377" s="110"/>
      <c r="DIM1377" s="110"/>
      <c r="DIN1377" s="110"/>
      <c r="DIO1377" s="110"/>
      <c r="DIP1377" s="110"/>
      <c r="DIQ1377" s="110"/>
      <c r="DIR1377" s="110"/>
      <c r="DIS1377" s="110"/>
      <c r="DIT1377" s="110"/>
      <c r="DIU1377" s="110"/>
      <c r="DIV1377" s="110"/>
      <c r="DIW1377" s="110"/>
      <c r="DIX1377" s="110"/>
      <c r="DIY1377" s="110"/>
      <c r="DIZ1377" s="110"/>
      <c r="DJA1377" s="110"/>
      <c r="DJB1377" s="110"/>
      <c r="DJC1377" s="110"/>
      <c r="DJD1377" s="110"/>
      <c r="DJE1377" s="110"/>
      <c r="DJF1377" s="110"/>
      <c r="DJG1377" s="110"/>
      <c r="DJH1377" s="110"/>
      <c r="DJI1377" s="110"/>
      <c r="DJJ1377" s="110"/>
      <c r="DJK1377" s="110"/>
      <c r="DJL1377" s="110"/>
      <c r="DJM1377" s="110"/>
      <c r="DJN1377" s="110"/>
      <c r="DJO1377" s="110"/>
      <c r="DJP1377" s="110"/>
      <c r="DJQ1377" s="110"/>
      <c r="DJR1377" s="110"/>
      <c r="DJS1377" s="110"/>
      <c r="DJT1377" s="110"/>
      <c r="DJU1377" s="110"/>
      <c r="DJV1377" s="110"/>
      <c r="DJW1377" s="110"/>
      <c r="DJX1377" s="110"/>
      <c r="DJY1377" s="110"/>
      <c r="DJZ1377" s="110"/>
      <c r="DKA1377" s="110"/>
      <c r="DKB1377" s="110"/>
      <c r="DKC1377" s="110"/>
      <c r="DKD1377" s="110"/>
      <c r="DKE1377" s="110"/>
      <c r="DKF1377" s="110"/>
      <c r="DKG1377" s="110"/>
      <c r="DKH1377" s="110"/>
      <c r="DKI1377" s="110"/>
      <c r="DKJ1377" s="110"/>
      <c r="DKK1377" s="110"/>
      <c r="DKL1377" s="110"/>
      <c r="DKM1377" s="110"/>
      <c r="DKN1377" s="110"/>
      <c r="DKO1377" s="110"/>
      <c r="DKP1377" s="110"/>
      <c r="DKQ1377" s="110"/>
      <c r="DKR1377" s="110"/>
      <c r="DKS1377" s="110"/>
      <c r="DKT1377" s="110"/>
      <c r="DKU1377" s="110"/>
      <c r="DKV1377" s="110"/>
      <c r="DKW1377" s="110"/>
      <c r="DKX1377" s="110"/>
      <c r="DKY1377" s="110"/>
      <c r="DKZ1377" s="110"/>
      <c r="DLA1377" s="110"/>
      <c r="DLB1377" s="110"/>
      <c r="DLC1377" s="110"/>
      <c r="DLD1377" s="110"/>
      <c r="DLE1377" s="110"/>
      <c r="DLF1377" s="110"/>
      <c r="DLG1377" s="110"/>
      <c r="DLH1377" s="110"/>
      <c r="DLI1377" s="110"/>
      <c r="DLJ1377" s="110"/>
      <c r="DLK1377" s="110"/>
      <c r="DLL1377" s="110"/>
      <c r="DLM1377" s="110"/>
      <c r="DLN1377" s="110"/>
      <c r="DLO1377" s="110"/>
      <c r="DLP1377" s="110"/>
      <c r="DLQ1377" s="110"/>
      <c r="DLR1377" s="110"/>
      <c r="DLS1377" s="110"/>
      <c r="DLT1377" s="110"/>
      <c r="DLU1377" s="110"/>
      <c r="DLV1377" s="110"/>
      <c r="DLW1377" s="110"/>
      <c r="DLX1377" s="110"/>
      <c r="DLY1377" s="110"/>
      <c r="DLZ1377" s="110"/>
      <c r="DMA1377" s="110"/>
      <c r="DMB1377" s="110"/>
      <c r="DMC1377" s="110"/>
      <c r="DMD1377" s="110"/>
      <c r="DME1377" s="110"/>
      <c r="DMF1377" s="110"/>
      <c r="DMG1377" s="110"/>
      <c r="DMH1377" s="110"/>
      <c r="DMI1377" s="110"/>
      <c r="DMJ1377" s="110"/>
      <c r="DMK1377" s="110"/>
      <c r="DML1377" s="110"/>
      <c r="DMM1377" s="110"/>
      <c r="DMN1377" s="110"/>
      <c r="DMO1377" s="110"/>
      <c r="DMP1377" s="110"/>
      <c r="DMQ1377" s="110"/>
      <c r="DMR1377" s="110"/>
      <c r="DMS1377" s="110"/>
      <c r="DMT1377" s="110"/>
      <c r="DMU1377" s="110"/>
      <c r="DMV1377" s="110"/>
      <c r="DMW1377" s="110"/>
      <c r="DMX1377" s="110"/>
      <c r="DMY1377" s="110"/>
      <c r="DMZ1377" s="110"/>
      <c r="DNA1377" s="110"/>
      <c r="DNB1377" s="110"/>
      <c r="DNC1377" s="110"/>
      <c r="DND1377" s="110"/>
      <c r="DNE1377" s="110"/>
      <c r="DNF1377" s="110"/>
      <c r="DNG1377" s="110"/>
      <c r="DNH1377" s="110"/>
      <c r="DNI1377" s="110"/>
      <c r="DNJ1377" s="110"/>
      <c r="DNK1377" s="110"/>
      <c r="DNL1377" s="110"/>
      <c r="DNM1377" s="110"/>
      <c r="DNN1377" s="110"/>
      <c r="DNO1377" s="110"/>
      <c r="DNP1377" s="110"/>
      <c r="DNQ1377" s="110"/>
      <c r="DNR1377" s="110"/>
      <c r="DNS1377" s="110"/>
      <c r="DNT1377" s="110"/>
      <c r="DNU1377" s="110"/>
      <c r="DNV1377" s="110"/>
      <c r="DNW1377" s="110"/>
      <c r="DNX1377" s="110"/>
      <c r="DNY1377" s="110"/>
      <c r="DNZ1377" s="110"/>
      <c r="DOA1377" s="110"/>
      <c r="DOB1377" s="110"/>
      <c r="DOC1377" s="110"/>
      <c r="DOD1377" s="110"/>
      <c r="DOE1377" s="110"/>
      <c r="DOF1377" s="110"/>
      <c r="DOG1377" s="110"/>
      <c r="DOH1377" s="110"/>
      <c r="DOI1377" s="110"/>
      <c r="DOJ1377" s="110"/>
      <c r="DOK1377" s="110"/>
      <c r="DOL1377" s="110"/>
      <c r="DOM1377" s="110"/>
      <c r="DON1377" s="110"/>
      <c r="DOO1377" s="110"/>
      <c r="DOP1377" s="110"/>
      <c r="DOQ1377" s="110"/>
      <c r="DOR1377" s="110"/>
      <c r="DOS1377" s="110"/>
      <c r="DOT1377" s="110"/>
      <c r="DOU1377" s="110"/>
      <c r="DOV1377" s="110"/>
      <c r="DOW1377" s="110"/>
      <c r="DOX1377" s="110"/>
      <c r="DOY1377" s="110"/>
      <c r="DOZ1377" s="110"/>
      <c r="DPA1377" s="110"/>
      <c r="DPB1377" s="110"/>
      <c r="DPC1377" s="110"/>
      <c r="DPD1377" s="110"/>
      <c r="DPE1377" s="110"/>
      <c r="DPF1377" s="110"/>
      <c r="DPG1377" s="110"/>
      <c r="DPH1377" s="110"/>
      <c r="DPI1377" s="110"/>
      <c r="DPJ1377" s="110"/>
      <c r="DPK1377" s="110"/>
      <c r="DPL1377" s="110"/>
      <c r="DPM1377" s="110"/>
      <c r="DPN1377" s="110"/>
      <c r="DPO1377" s="110"/>
      <c r="DPP1377" s="110"/>
      <c r="DPQ1377" s="110"/>
      <c r="DPR1377" s="110"/>
      <c r="DPS1377" s="110"/>
      <c r="DPT1377" s="110"/>
      <c r="DPU1377" s="110"/>
      <c r="DPV1377" s="110"/>
      <c r="DPW1377" s="110"/>
      <c r="DPX1377" s="110"/>
      <c r="DPY1377" s="110"/>
      <c r="DPZ1377" s="110"/>
      <c r="DQA1377" s="110"/>
      <c r="DQB1377" s="110"/>
      <c r="DQC1377" s="110"/>
      <c r="DQD1377" s="110"/>
      <c r="DQE1377" s="110"/>
      <c r="DQF1377" s="110"/>
      <c r="DQG1377" s="110"/>
      <c r="DQH1377" s="110"/>
      <c r="DQI1377" s="110"/>
      <c r="DQJ1377" s="110"/>
      <c r="DQK1377" s="110"/>
      <c r="DQL1377" s="110"/>
      <c r="DQM1377" s="110"/>
      <c r="DQN1377" s="110"/>
      <c r="DQO1377" s="110"/>
      <c r="DQP1377" s="110"/>
      <c r="DQQ1377" s="110"/>
      <c r="DQR1377" s="110"/>
      <c r="DQS1377" s="110"/>
      <c r="DQT1377" s="110"/>
      <c r="DQU1377" s="110"/>
      <c r="DQV1377" s="110"/>
      <c r="DQW1377" s="110"/>
      <c r="DQX1377" s="110"/>
      <c r="DQY1377" s="110"/>
      <c r="DQZ1377" s="110"/>
      <c r="DRA1377" s="110"/>
      <c r="DRB1377" s="110"/>
      <c r="DRC1377" s="110"/>
      <c r="DRD1377" s="110"/>
      <c r="DRE1377" s="110"/>
      <c r="DRF1377" s="110"/>
      <c r="DRG1377" s="110"/>
      <c r="DRH1377" s="110"/>
      <c r="DRI1377" s="110"/>
      <c r="DRJ1377" s="110"/>
      <c r="DRK1377" s="110"/>
      <c r="DRL1377" s="110"/>
      <c r="DRM1377" s="110"/>
      <c r="DRN1377" s="110"/>
      <c r="DRO1377" s="110"/>
      <c r="DRP1377" s="110"/>
      <c r="DRQ1377" s="110"/>
      <c r="DRR1377" s="110"/>
      <c r="DRS1377" s="110"/>
      <c r="DRT1377" s="110"/>
      <c r="DRU1377" s="110"/>
      <c r="DRV1377" s="110"/>
      <c r="DRW1377" s="110"/>
      <c r="DRX1377" s="110"/>
      <c r="DRY1377" s="110"/>
      <c r="DRZ1377" s="110"/>
      <c r="DSA1377" s="110"/>
      <c r="DSB1377" s="110"/>
      <c r="DSC1377" s="110"/>
      <c r="DSD1377" s="110"/>
      <c r="DSE1377" s="110"/>
      <c r="DSF1377" s="110"/>
      <c r="DSG1377" s="110"/>
      <c r="DSH1377" s="110"/>
      <c r="DSI1377" s="110"/>
      <c r="DSJ1377" s="110"/>
      <c r="DSK1377" s="110"/>
      <c r="DSL1377" s="110"/>
      <c r="DSM1377" s="110"/>
      <c r="DSN1377" s="110"/>
      <c r="DSO1377" s="110"/>
      <c r="DSP1377" s="110"/>
      <c r="DSQ1377" s="110"/>
      <c r="DSR1377" s="110"/>
      <c r="DSS1377" s="110"/>
      <c r="DST1377" s="110"/>
      <c r="DSU1377" s="110"/>
      <c r="DSV1377" s="110"/>
      <c r="DSW1377" s="110"/>
      <c r="DSX1377" s="110"/>
      <c r="DSY1377" s="110"/>
      <c r="DSZ1377" s="110"/>
      <c r="DTA1377" s="110"/>
      <c r="DTB1377" s="110"/>
      <c r="DTC1377" s="110"/>
      <c r="DTD1377" s="110"/>
      <c r="DTE1377" s="110"/>
      <c r="DTF1377" s="110"/>
      <c r="DTG1377" s="110"/>
      <c r="DTH1377" s="110"/>
      <c r="DTI1377" s="110"/>
      <c r="DTJ1377" s="110"/>
      <c r="DTK1377" s="110"/>
      <c r="DTL1377" s="110"/>
      <c r="DTM1377" s="110"/>
      <c r="DTN1377" s="110"/>
      <c r="DTO1377" s="110"/>
      <c r="DTP1377" s="110"/>
      <c r="DTQ1377" s="110"/>
      <c r="DTR1377" s="110"/>
      <c r="DTS1377" s="110"/>
      <c r="DTT1377" s="110"/>
      <c r="DTU1377" s="110"/>
      <c r="DTV1377" s="110"/>
      <c r="DTW1377" s="110"/>
      <c r="DTX1377" s="110"/>
      <c r="DTY1377" s="110"/>
      <c r="DTZ1377" s="110"/>
      <c r="DUA1377" s="110"/>
      <c r="DUB1377" s="110"/>
      <c r="DUC1377" s="110"/>
      <c r="DUD1377" s="110"/>
      <c r="DUE1377" s="110"/>
      <c r="DUF1377" s="110"/>
      <c r="DUG1377" s="110"/>
      <c r="DUH1377" s="110"/>
      <c r="DUI1377" s="110"/>
      <c r="DUJ1377" s="110"/>
      <c r="DUK1377" s="110"/>
      <c r="DUL1377" s="110"/>
      <c r="DUM1377" s="110"/>
      <c r="DUN1377" s="110"/>
      <c r="DUO1377" s="110"/>
      <c r="DUP1377" s="110"/>
      <c r="DUQ1377" s="110"/>
      <c r="DUR1377" s="110"/>
      <c r="DUS1377" s="110"/>
      <c r="DUT1377" s="110"/>
      <c r="DUU1377" s="110"/>
      <c r="DUV1377" s="110"/>
      <c r="DUW1377" s="110"/>
      <c r="DUX1377" s="110"/>
      <c r="DUY1377" s="110"/>
      <c r="DUZ1377" s="110"/>
      <c r="DVA1377" s="110"/>
      <c r="DVB1377" s="110"/>
      <c r="DVC1377" s="110"/>
      <c r="DVD1377" s="110"/>
      <c r="DVE1377" s="110"/>
      <c r="DVF1377" s="110"/>
      <c r="DVG1377" s="110"/>
      <c r="DVH1377" s="110"/>
      <c r="DVI1377" s="110"/>
      <c r="DVJ1377" s="110"/>
      <c r="DVK1377" s="110"/>
      <c r="DVL1377" s="110"/>
      <c r="DVM1377" s="110"/>
      <c r="DVN1377" s="110"/>
      <c r="DVO1377" s="110"/>
      <c r="DVP1377" s="110"/>
      <c r="DVQ1377" s="110"/>
      <c r="DVR1377" s="110"/>
      <c r="DVS1377" s="110"/>
      <c r="DVT1377" s="110"/>
      <c r="DVU1377" s="110"/>
      <c r="DVV1377" s="110"/>
      <c r="DVW1377" s="110"/>
      <c r="DVX1377" s="110"/>
      <c r="DVY1377" s="110"/>
      <c r="DVZ1377" s="110"/>
      <c r="DWA1377" s="110"/>
      <c r="DWB1377" s="110"/>
      <c r="DWC1377" s="110"/>
      <c r="DWD1377" s="110"/>
      <c r="DWE1377" s="110"/>
      <c r="DWF1377" s="110"/>
      <c r="DWG1377" s="110"/>
      <c r="DWH1377" s="110"/>
      <c r="DWI1377" s="110"/>
      <c r="DWJ1377" s="110"/>
      <c r="DWK1377" s="110"/>
      <c r="DWL1377" s="110"/>
      <c r="DWM1377" s="110"/>
      <c r="DWN1377" s="110"/>
      <c r="DWO1377" s="110"/>
      <c r="DWP1377" s="110"/>
      <c r="DWQ1377" s="110"/>
      <c r="DWR1377" s="110"/>
      <c r="DWS1377" s="110"/>
      <c r="DWT1377" s="110"/>
      <c r="DWU1377" s="110"/>
      <c r="DWV1377" s="110"/>
      <c r="DWW1377" s="110"/>
      <c r="DWX1377" s="110"/>
      <c r="DWY1377" s="110"/>
      <c r="DWZ1377" s="110"/>
      <c r="DXA1377" s="110"/>
      <c r="DXB1377" s="110"/>
      <c r="DXC1377" s="110"/>
      <c r="DXD1377" s="110"/>
      <c r="DXE1377" s="110"/>
      <c r="DXF1377" s="110"/>
      <c r="DXG1377" s="110"/>
      <c r="DXH1377" s="110"/>
      <c r="DXI1377" s="110"/>
      <c r="DXJ1377" s="110"/>
      <c r="DXK1377" s="110"/>
      <c r="DXL1377" s="110"/>
      <c r="DXM1377" s="110"/>
      <c r="DXN1377" s="110"/>
      <c r="DXO1377" s="110"/>
      <c r="DXP1377" s="110"/>
      <c r="DXQ1377" s="110"/>
      <c r="DXR1377" s="110"/>
      <c r="DXS1377" s="110"/>
      <c r="DXT1377" s="110"/>
      <c r="DXU1377" s="110"/>
      <c r="DXV1377" s="110"/>
      <c r="DXW1377" s="110"/>
      <c r="DXX1377" s="110"/>
      <c r="DXY1377" s="110"/>
      <c r="DXZ1377" s="110"/>
      <c r="DYA1377" s="110"/>
      <c r="DYB1377" s="110"/>
      <c r="DYC1377" s="110"/>
      <c r="DYD1377" s="110"/>
      <c r="DYE1377" s="110"/>
      <c r="DYF1377" s="110"/>
      <c r="DYG1377" s="110"/>
      <c r="DYH1377" s="110"/>
      <c r="DYI1377" s="110"/>
      <c r="DYJ1377" s="110"/>
      <c r="DYK1377" s="110"/>
      <c r="DYL1377" s="110"/>
      <c r="DYM1377" s="110"/>
      <c r="DYN1377" s="110"/>
      <c r="DYO1377" s="110"/>
      <c r="DYP1377" s="110"/>
      <c r="DYQ1377" s="110"/>
      <c r="DYR1377" s="110"/>
      <c r="DYS1377" s="110"/>
      <c r="DYT1377" s="110"/>
      <c r="DYU1377" s="110"/>
      <c r="DYV1377" s="110"/>
      <c r="DYW1377" s="110"/>
      <c r="DYX1377" s="110"/>
      <c r="DYY1377" s="110"/>
      <c r="DYZ1377" s="110"/>
      <c r="DZA1377" s="110"/>
      <c r="DZB1377" s="110"/>
      <c r="DZC1377" s="110"/>
      <c r="DZD1377" s="110"/>
      <c r="DZE1377" s="110"/>
      <c r="DZF1377" s="110"/>
      <c r="DZG1377" s="110"/>
      <c r="DZH1377" s="110"/>
      <c r="DZI1377" s="110"/>
      <c r="DZJ1377" s="110"/>
      <c r="DZK1377" s="110"/>
      <c r="DZL1377" s="110"/>
      <c r="DZM1377" s="110"/>
      <c r="DZN1377" s="110"/>
      <c r="DZO1377" s="110"/>
      <c r="DZP1377" s="110"/>
      <c r="DZQ1377" s="110"/>
      <c r="DZR1377" s="110"/>
      <c r="DZS1377" s="110"/>
      <c r="DZT1377" s="110"/>
      <c r="DZU1377" s="110"/>
      <c r="DZV1377" s="110"/>
      <c r="DZW1377" s="110"/>
      <c r="DZX1377" s="110"/>
      <c r="DZY1377" s="110"/>
      <c r="DZZ1377" s="110"/>
      <c r="EAA1377" s="110"/>
      <c r="EAB1377" s="110"/>
      <c r="EAC1377" s="110"/>
      <c r="EAD1377" s="110"/>
      <c r="EAE1377" s="110"/>
      <c r="EAF1377" s="110"/>
      <c r="EAG1377" s="110"/>
      <c r="EAH1377" s="110"/>
      <c r="EAI1377" s="110"/>
      <c r="EAJ1377" s="110"/>
      <c r="EAK1377" s="110"/>
      <c r="EAL1377" s="110"/>
      <c r="EAM1377" s="110"/>
      <c r="EAN1377" s="110"/>
      <c r="EAO1377" s="110"/>
      <c r="EAP1377" s="110"/>
      <c r="EAQ1377" s="110"/>
      <c r="EAR1377" s="110"/>
      <c r="EAS1377" s="110"/>
      <c r="EAT1377" s="110"/>
      <c r="EAU1377" s="110"/>
      <c r="EAV1377" s="110"/>
      <c r="EAW1377" s="110"/>
      <c r="EAX1377" s="110"/>
      <c r="EAY1377" s="110"/>
      <c r="EAZ1377" s="110"/>
      <c r="EBA1377" s="110"/>
      <c r="EBB1377" s="110"/>
      <c r="EBC1377" s="110"/>
      <c r="EBD1377" s="110"/>
      <c r="EBE1377" s="110"/>
      <c r="EBF1377" s="110"/>
      <c r="EBG1377" s="110"/>
      <c r="EBH1377" s="110"/>
      <c r="EBI1377" s="110"/>
      <c r="EBJ1377" s="110"/>
      <c r="EBK1377" s="110"/>
      <c r="EBL1377" s="110"/>
      <c r="EBM1377" s="110"/>
      <c r="EBN1377" s="110"/>
      <c r="EBO1377" s="110"/>
      <c r="EBP1377" s="110"/>
      <c r="EBQ1377" s="110"/>
      <c r="EBR1377" s="110"/>
      <c r="EBS1377" s="110"/>
      <c r="EBT1377" s="110"/>
      <c r="EBU1377" s="110"/>
      <c r="EBV1377" s="110"/>
      <c r="EBW1377" s="110"/>
      <c r="EBX1377" s="110"/>
      <c r="EBY1377" s="110"/>
      <c r="EBZ1377" s="110"/>
      <c r="ECA1377" s="110"/>
      <c r="ECB1377" s="110"/>
      <c r="ECC1377" s="110"/>
      <c r="ECD1377" s="110"/>
      <c r="ECE1377" s="110"/>
      <c r="ECF1377" s="110"/>
      <c r="ECG1377" s="110"/>
      <c r="ECH1377" s="110"/>
      <c r="ECI1377" s="110"/>
      <c r="ECJ1377" s="110"/>
      <c r="ECK1377" s="110"/>
      <c r="ECL1377" s="110"/>
      <c r="ECM1377" s="110"/>
      <c r="ECN1377" s="110"/>
      <c r="ECO1377" s="110"/>
      <c r="ECP1377" s="110"/>
      <c r="ECQ1377" s="110"/>
      <c r="ECR1377" s="110"/>
      <c r="ECS1377" s="110"/>
      <c r="ECT1377" s="110"/>
      <c r="ECU1377" s="110"/>
      <c r="ECV1377" s="110"/>
      <c r="ECW1377" s="110"/>
      <c r="ECX1377" s="110"/>
      <c r="ECY1377" s="110"/>
      <c r="ECZ1377" s="110"/>
      <c r="EDA1377" s="110"/>
      <c r="EDB1377" s="110"/>
      <c r="EDC1377" s="110"/>
      <c r="EDD1377" s="110"/>
      <c r="EDE1377" s="110"/>
      <c r="EDF1377" s="110"/>
      <c r="EDG1377" s="110"/>
      <c r="EDH1377" s="110"/>
      <c r="EDI1377" s="110"/>
      <c r="EDJ1377" s="110"/>
      <c r="EDK1377" s="110"/>
      <c r="EDL1377" s="110"/>
      <c r="EDM1377" s="110"/>
      <c r="EDN1377" s="110"/>
      <c r="EDO1377" s="110"/>
      <c r="EDP1377" s="110"/>
      <c r="EDQ1377" s="110"/>
      <c r="EDR1377" s="110"/>
      <c r="EDS1377" s="110"/>
      <c r="EDT1377" s="110"/>
      <c r="EDU1377" s="110"/>
      <c r="EDV1377" s="110"/>
      <c r="EDW1377" s="110"/>
      <c r="EDX1377" s="110"/>
      <c r="EDY1377" s="110"/>
      <c r="EDZ1377" s="110"/>
      <c r="EEA1377" s="110"/>
      <c r="EEB1377" s="110"/>
      <c r="EEC1377" s="110"/>
      <c r="EED1377" s="110"/>
      <c r="EEE1377" s="110"/>
      <c r="EEF1377" s="110"/>
      <c r="EEG1377" s="110"/>
      <c r="EEH1377" s="110"/>
      <c r="EEI1377" s="110"/>
      <c r="EEJ1377" s="110"/>
      <c r="EEK1377" s="110"/>
      <c r="EEL1377" s="110"/>
      <c r="EEM1377" s="110"/>
      <c r="EEN1377" s="110"/>
      <c r="EEO1377" s="110"/>
      <c r="EEP1377" s="110"/>
      <c r="EEQ1377" s="110"/>
      <c r="EER1377" s="110"/>
      <c r="EES1377" s="110"/>
      <c r="EET1377" s="110"/>
      <c r="EEU1377" s="110"/>
      <c r="EEV1377" s="110"/>
      <c r="EEW1377" s="110"/>
      <c r="EEX1377" s="110"/>
      <c r="EEY1377" s="110"/>
      <c r="EEZ1377" s="110"/>
      <c r="EFA1377" s="110"/>
      <c r="EFB1377" s="110"/>
      <c r="EFC1377" s="110"/>
      <c r="EFD1377" s="110"/>
      <c r="EFE1377" s="110"/>
      <c r="EFF1377" s="110"/>
      <c r="EFG1377" s="110"/>
      <c r="EFH1377" s="110"/>
      <c r="EFI1377" s="110"/>
      <c r="EFJ1377" s="110"/>
      <c r="EFK1377" s="110"/>
      <c r="EFL1377" s="110"/>
      <c r="EFM1377" s="110"/>
      <c r="EFN1377" s="110"/>
      <c r="EFO1377" s="110"/>
      <c r="EFP1377" s="110"/>
      <c r="EFQ1377" s="110"/>
      <c r="EFR1377" s="110"/>
      <c r="EFS1377" s="110"/>
      <c r="EFT1377" s="110"/>
      <c r="EFU1377" s="110"/>
      <c r="EFV1377" s="110"/>
      <c r="EFW1377" s="110"/>
      <c r="EFX1377" s="110"/>
      <c r="EFY1377" s="110"/>
      <c r="EFZ1377" s="110"/>
      <c r="EGA1377" s="110"/>
      <c r="EGB1377" s="110"/>
      <c r="EGC1377" s="110"/>
      <c r="EGD1377" s="110"/>
      <c r="EGE1377" s="110"/>
      <c r="EGF1377" s="110"/>
      <c r="EGG1377" s="110"/>
      <c r="EGH1377" s="110"/>
      <c r="EGI1377" s="110"/>
      <c r="EGJ1377" s="110"/>
      <c r="EGK1377" s="110"/>
      <c r="EGL1377" s="110"/>
      <c r="EGM1377" s="110"/>
      <c r="EGN1377" s="110"/>
      <c r="EGO1377" s="110"/>
      <c r="EGP1377" s="110"/>
      <c r="EGQ1377" s="110"/>
      <c r="EGR1377" s="110"/>
      <c r="EGS1377" s="110"/>
      <c r="EGT1377" s="110"/>
      <c r="EGU1377" s="110"/>
      <c r="EGV1377" s="110"/>
      <c r="EGW1377" s="110"/>
      <c r="EGX1377" s="110"/>
      <c r="EGY1377" s="110"/>
      <c r="EGZ1377" s="110"/>
      <c r="EHA1377" s="110"/>
      <c r="EHB1377" s="110"/>
      <c r="EHC1377" s="110"/>
      <c r="EHD1377" s="110"/>
      <c r="EHE1377" s="110"/>
      <c r="EHF1377" s="110"/>
      <c r="EHG1377" s="110"/>
      <c r="EHH1377" s="110"/>
      <c r="EHI1377" s="110"/>
      <c r="EHJ1377" s="110"/>
      <c r="EHK1377" s="110"/>
      <c r="EHL1377" s="110"/>
      <c r="EHM1377" s="110"/>
      <c r="EHN1377" s="110"/>
      <c r="EHO1377" s="110"/>
      <c r="EHP1377" s="110"/>
      <c r="EHQ1377" s="110"/>
      <c r="EHR1377" s="110"/>
      <c r="EHS1377" s="110"/>
      <c r="EHT1377" s="110"/>
      <c r="EHU1377" s="110"/>
      <c r="EHV1377" s="110"/>
      <c r="EHW1377" s="110"/>
      <c r="EHX1377" s="110"/>
      <c r="EHY1377" s="110"/>
      <c r="EHZ1377" s="110"/>
      <c r="EIA1377" s="110"/>
      <c r="EIB1377" s="110"/>
      <c r="EIC1377" s="110"/>
      <c r="EID1377" s="110"/>
      <c r="EIE1377" s="110"/>
      <c r="EIF1377" s="110"/>
      <c r="EIG1377" s="110"/>
      <c r="EIH1377" s="110"/>
      <c r="EII1377" s="110"/>
      <c r="EIJ1377" s="110"/>
      <c r="EIK1377" s="110"/>
      <c r="EIL1377" s="110"/>
      <c r="EIM1377" s="110"/>
      <c r="EIN1377" s="110"/>
      <c r="EIO1377" s="110"/>
      <c r="EIP1377" s="110"/>
      <c r="EIQ1377" s="110"/>
      <c r="EIR1377" s="110"/>
      <c r="EIS1377" s="110"/>
      <c r="EIT1377" s="110"/>
      <c r="EIU1377" s="110"/>
      <c r="EIV1377" s="110"/>
      <c r="EIW1377" s="110"/>
      <c r="EIX1377" s="110"/>
      <c r="EIY1377" s="110"/>
      <c r="EIZ1377" s="110"/>
      <c r="EJA1377" s="110"/>
      <c r="EJB1377" s="110"/>
      <c r="EJC1377" s="110"/>
      <c r="EJD1377" s="110"/>
      <c r="EJE1377" s="110"/>
      <c r="EJF1377" s="110"/>
      <c r="EJG1377" s="110"/>
      <c r="EJH1377" s="110"/>
      <c r="EJI1377" s="110"/>
      <c r="EJJ1377" s="110"/>
      <c r="EJK1377" s="110"/>
      <c r="EJL1377" s="110"/>
      <c r="EJM1377" s="110"/>
      <c r="EJN1377" s="110"/>
      <c r="EJO1377" s="110"/>
      <c r="EJP1377" s="110"/>
      <c r="EJQ1377" s="110"/>
      <c r="EJR1377" s="110"/>
      <c r="EJS1377" s="110"/>
      <c r="EJT1377" s="110"/>
      <c r="EJU1377" s="110"/>
      <c r="EJV1377" s="110"/>
      <c r="EJW1377" s="110"/>
      <c r="EJX1377" s="110"/>
      <c r="EJY1377" s="110"/>
      <c r="EJZ1377" s="110"/>
      <c r="EKA1377" s="110"/>
      <c r="EKB1377" s="110"/>
      <c r="EKC1377" s="110"/>
      <c r="EKD1377" s="110"/>
      <c r="EKE1377" s="110"/>
      <c r="EKF1377" s="110"/>
      <c r="EKG1377" s="110"/>
      <c r="EKH1377" s="110"/>
      <c r="EKI1377" s="110"/>
      <c r="EKJ1377" s="110"/>
      <c r="EKK1377" s="110"/>
      <c r="EKL1377" s="110"/>
      <c r="EKM1377" s="110"/>
      <c r="EKN1377" s="110"/>
      <c r="EKO1377" s="110"/>
      <c r="EKP1377" s="110"/>
      <c r="EKQ1377" s="110"/>
      <c r="EKR1377" s="110"/>
      <c r="EKS1377" s="110"/>
      <c r="EKT1377" s="110"/>
      <c r="EKU1377" s="110"/>
      <c r="EKV1377" s="110"/>
      <c r="EKW1377" s="110"/>
      <c r="EKX1377" s="110"/>
      <c r="EKY1377" s="110"/>
      <c r="EKZ1377" s="110"/>
      <c r="ELA1377" s="110"/>
      <c r="ELB1377" s="110"/>
      <c r="ELC1377" s="110"/>
      <c r="ELD1377" s="110"/>
      <c r="ELE1377" s="110"/>
      <c r="ELF1377" s="110"/>
      <c r="ELG1377" s="110"/>
      <c r="ELH1377" s="110"/>
      <c r="ELI1377" s="110"/>
      <c r="ELJ1377" s="110"/>
      <c r="ELK1377" s="110"/>
      <c r="ELL1377" s="110"/>
      <c r="ELM1377" s="110"/>
      <c r="ELN1377" s="110"/>
      <c r="ELO1377" s="110"/>
      <c r="ELP1377" s="110"/>
      <c r="ELQ1377" s="110"/>
      <c r="ELR1377" s="110"/>
      <c r="ELS1377" s="110"/>
      <c r="ELT1377" s="110"/>
      <c r="ELU1377" s="110"/>
      <c r="ELV1377" s="110"/>
      <c r="ELW1377" s="110"/>
      <c r="ELX1377" s="110"/>
      <c r="ELY1377" s="110"/>
      <c r="ELZ1377" s="110"/>
      <c r="EMA1377" s="110"/>
      <c r="EMB1377" s="110"/>
      <c r="EMC1377" s="110"/>
      <c r="EMD1377" s="110"/>
      <c r="EME1377" s="110"/>
      <c r="EMF1377" s="110"/>
      <c r="EMG1377" s="110"/>
      <c r="EMH1377" s="110"/>
      <c r="EMI1377" s="110"/>
      <c r="EMJ1377" s="110"/>
      <c r="EMK1377" s="110"/>
      <c r="EML1377" s="110"/>
      <c r="EMM1377" s="110"/>
      <c r="EMN1377" s="110"/>
      <c r="EMO1377" s="110"/>
      <c r="EMP1377" s="110"/>
      <c r="EMQ1377" s="110"/>
      <c r="EMR1377" s="110"/>
      <c r="EMS1377" s="110"/>
      <c r="EMT1377" s="110"/>
      <c r="EMU1377" s="110"/>
      <c r="EMV1377" s="110"/>
      <c r="EMW1377" s="110"/>
      <c r="EMX1377" s="110"/>
      <c r="EMY1377" s="110"/>
      <c r="EMZ1377" s="110"/>
      <c r="ENA1377" s="110"/>
      <c r="ENB1377" s="110"/>
      <c r="ENC1377" s="110"/>
      <c r="END1377" s="110"/>
      <c r="ENE1377" s="110"/>
      <c r="ENF1377" s="110"/>
      <c r="ENG1377" s="110"/>
      <c r="ENH1377" s="110"/>
      <c r="ENI1377" s="110"/>
      <c r="ENJ1377" s="110"/>
      <c r="ENK1377" s="110"/>
      <c r="ENL1377" s="110"/>
      <c r="ENM1377" s="110"/>
      <c r="ENN1377" s="110"/>
      <c r="ENO1377" s="110"/>
      <c r="ENP1377" s="110"/>
      <c r="ENQ1377" s="110"/>
      <c r="ENR1377" s="110"/>
      <c r="ENS1377" s="110"/>
      <c r="ENT1377" s="110"/>
      <c r="ENU1377" s="110"/>
      <c r="ENV1377" s="110"/>
      <c r="ENW1377" s="110"/>
      <c r="ENX1377" s="110"/>
      <c r="ENY1377" s="110"/>
      <c r="ENZ1377" s="110"/>
      <c r="EOA1377" s="110"/>
      <c r="EOB1377" s="110"/>
      <c r="EOC1377" s="110"/>
      <c r="EOD1377" s="110"/>
      <c r="EOE1377" s="110"/>
      <c r="EOF1377" s="110"/>
      <c r="EOG1377" s="110"/>
      <c r="EOH1377" s="110"/>
      <c r="EOI1377" s="110"/>
      <c r="EOJ1377" s="110"/>
      <c r="EOK1377" s="110"/>
      <c r="EOL1377" s="110"/>
      <c r="EOM1377" s="110"/>
      <c r="EON1377" s="110"/>
      <c r="EOO1377" s="110"/>
      <c r="EOP1377" s="110"/>
      <c r="EOQ1377" s="110"/>
      <c r="EOR1377" s="110"/>
      <c r="EOS1377" s="110"/>
      <c r="EOT1377" s="110"/>
      <c r="EOU1377" s="110"/>
      <c r="EOV1377" s="110"/>
      <c r="EOW1377" s="110"/>
      <c r="EOX1377" s="110"/>
      <c r="EOY1377" s="110"/>
      <c r="EOZ1377" s="110"/>
      <c r="EPA1377" s="110"/>
      <c r="EPB1377" s="110"/>
      <c r="EPC1377" s="110"/>
      <c r="EPD1377" s="110"/>
      <c r="EPE1377" s="110"/>
      <c r="EPF1377" s="110"/>
      <c r="EPG1377" s="110"/>
      <c r="EPH1377" s="110"/>
      <c r="EPI1377" s="110"/>
      <c r="EPJ1377" s="110"/>
      <c r="EPK1377" s="110"/>
      <c r="EPL1377" s="110"/>
      <c r="EPM1377" s="110"/>
      <c r="EPN1377" s="110"/>
      <c r="EPO1377" s="110"/>
      <c r="EPP1377" s="110"/>
      <c r="EPQ1377" s="110"/>
      <c r="EPR1377" s="110"/>
      <c r="EPS1377" s="110"/>
      <c r="EPT1377" s="110"/>
      <c r="EPU1377" s="110"/>
      <c r="EPV1377" s="110"/>
      <c r="EPW1377" s="110"/>
      <c r="EPX1377" s="110"/>
      <c r="EPY1377" s="110"/>
      <c r="EPZ1377" s="110"/>
      <c r="EQA1377" s="110"/>
      <c r="EQB1377" s="110"/>
      <c r="EQC1377" s="110"/>
      <c r="EQD1377" s="110"/>
      <c r="EQE1377" s="110"/>
      <c r="EQF1377" s="110"/>
      <c r="EQG1377" s="110"/>
      <c r="EQH1377" s="110"/>
      <c r="EQI1377" s="110"/>
      <c r="EQJ1377" s="110"/>
      <c r="EQK1377" s="110"/>
      <c r="EQL1377" s="110"/>
      <c r="EQM1377" s="110"/>
      <c r="EQN1377" s="110"/>
      <c r="EQO1377" s="110"/>
      <c r="EQP1377" s="110"/>
      <c r="EQQ1377" s="110"/>
      <c r="EQR1377" s="110"/>
      <c r="EQS1377" s="110"/>
      <c r="EQT1377" s="110"/>
      <c r="EQU1377" s="110"/>
      <c r="EQV1377" s="110"/>
      <c r="EQW1377" s="110"/>
      <c r="EQX1377" s="110"/>
      <c r="EQY1377" s="110"/>
      <c r="EQZ1377" s="110"/>
      <c r="ERA1377" s="110"/>
      <c r="ERB1377" s="110"/>
      <c r="ERC1377" s="110"/>
      <c r="ERD1377" s="110"/>
      <c r="ERE1377" s="110"/>
      <c r="ERF1377" s="110"/>
      <c r="ERG1377" s="110"/>
      <c r="ERH1377" s="110"/>
      <c r="ERI1377" s="110"/>
      <c r="ERJ1377" s="110"/>
      <c r="ERK1377" s="110"/>
      <c r="ERL1377" s="110"/>
      <c r="ERM1377" s="110"/>
      <c r="ERN1377" s="110"/>
      <c r="ERO1377" s="110"/>
      <c r="ERP1377" s="110"/>
      <c r="ERQ1377" s="110"/>
      <c r="ERR1377" s="110"/>
      <c r="ERS1377" s="110"/>
      <c r="ERT1377" s="110"/>
      <c r="ERU1377" s="110"/>
      <c r="ERV1377" s="110"/>
      <c r="ERW1377" s="110"/>
      <c r="ERX1377" s="110"/>
      <c r="ERY1377" s="110"/>
      <c r="ERZ1377" s="110"/>
      <c r="ESA1377" s="110"/>
      <c r="ESB1377" s="110"/>
      <c r="ESC1377" s="110"/>
      <c r="ESD1377" s="110"/>
      <c r="ESE1377" s="110"/>
      <c r="ESF1377" s="110"/>
      <c r="ESG1377" s="110"/>
      <c r="ESH1377" s="110"/>
      <c r="ESI1377" s="110"/>
      <c r="ESJ1377" s="110"/>
      <c r="ESK1377" s="110"/>
      <c r="ESL1377" s="110"/>
      <c r="ESM1377" s="110"/>
      <c r="ESN1377" s="110"/>
      <c r="ESO1377" s="110"/>
      <c r="ESP1377" s="110"/>
      <c r="ESQ1377" s="110"/>
      <c r="ESR1377" s="110"/>
      <c r="ESS1377" s="110"/>
      <c r="EST1377" s="110"/>
      <c r="ESU1377" s="110"/>
      <c r="ESV1377" s="110"/>
      <c r="ESW1377" s="110"/>
      <c r="ESX1377" s="110"/>
      <c r="ESY1377" s="110"/>
      <c r="ESZ1377" s="110"/>
      <c r="ETA1377" s="110"/>
      <c r="ETB1377" s="110"/>
      <c r="ETC1377" s="110"/>
      <c r="ETD1377" s="110"/>
      <c r="ETE1377" s="110"/>
      <c r="ETF1377" s="110"/>
      <c r="ETG1377" s="110"/>
      <c r="ETH1377" s="110"/>
      <c r="ETI1377" s="110"/>
      <c r="ETJ1377" s="110"/>
      <c r="ETK1377" s="110"/>
      <c r="ETL1377" s="110"/>
      <c r="ETM1377" s="110"/>
      <c r="ETN1377" s="110"/>
      <c r="ETO1377" s="110"/>
      <c r="ETP1377" s="110"/>
      <c r="ETQ1377" s="110"/>
      <c r="ETR1377" s="110"/>
      <c r="ETS1377" s="110"/>
      <c r="ETT1377" s="110"/>
      <c r="ETU1377" s="110"/>
      <c r="ETV1377" s="110"/>
      <c r="ETW1377" s="110"/>
      <c r="ETX1377" s="110"/>
      <c r="ETY1377" s="110"/>
      <c r="ETZ1377" s="110"/>
      <c r="EUA1377" s="110"/>
      <c r="EUB1377" s="110"/>
      <c r="EUC1377" s="110"/>
      <c r="EUD1377" s="110"/>
      <c r="EUE1377" s="110"/>
      <c r="EUF1377" s="110"/>
      <c r="EUG1377" s="110"/>
      <c r="EUH1377" s="110"/>
      <c r="EUI1377" s="110"/>
      <c r="EUJ1377" s="110"/>
      <c r="EUK1377" s="110"/>
      <c r="EUL1377" s="110"/>
      <c r="EUM1377" s="110"/>
      <c r="EUN1377" s="110"/>
      <c r="EUO1377" s="110"/>
      <c r="EUP1377" s="110"/>
      <c r="EUQ1377" s="110"/>
      <c r="EUR1377" s="110"/>
      <c r="EUS1377" s="110"/>
      <c r="EUT1377" s="110"/>
      <c r="EUU1377" s="110"/>
      <c r="EUV1377" s="110"/>
      <c r="EUW1377" s="110"/>
      <c r="EUX1377" s="110"/>
      <c r="EUY1377" s="110"/>
      <c r="EUZ1377" s="110"/>
      <c r="EVA1377" s="110"/>
      <c r="EVB1377" s="110"/>
      <c r="EVC1377" s="110"/>
      <c r="EVD1377" s="110"/>
      <c r="EVE1377" s="110"/>
      <c r="EVF1377" s="110"/>
      <c r="EVG1377" s="110"/>
      <c r="EVH1377" s="110"/>
      <c r="EVI1377" s="110"/>
      <c r="EVJ1377" s="110"/>
      <c r="EVK1377" s="110"/>
      <c r="EVL1377" s="110"/>
      <c r="EVM1377" s="110"/>
      <c r="EVN1377" s="110"/>
      <c r="EVO1377" s="110"/>
      <c r="EVP1377" s="110"/>
      <c r="EVQ1377" s="110"/>
      <c r="EVR1377" s="110"/>
      <c r="EVS1377" s="110"/>
      <c r="EVT1377" s="110"/>
      <c r="EVU1377" s="110"/>
      <c r="EVV1377" s="110"/>
      <c r="EVW1377" s="110"/>
      <c r="EVX1377" s="110"/>
      <c r="EVY1377" s="110"/>
      <c r="EVZ1377" s="110"/>
      <c r="EWA1377" s="110"/>
      <c r="EWB1377" s="110"/>
      <c r="EWC1377" s="110"/>
      <c r="EWD1377" s="110"/>
      <c r="EWE1377" s="110"/>
      <c r="EWF1377" s="110"/>
      <c r="EWG1377" s="110"/>
      <c r="EWH1377" s="110"/>
      <c r="EWI1377" s="110"/>
      <c r="EWJ1377" s="110"/>
      <c r="EWK1377" s="110"/>
      <c r="EWL1377" s="110"/>
      <c r="EWM1377" s="110"/>
      <c r="EWN1377" s="110"/>
      <c r="EWO1377" s="110"/>
      <c r="EWP1377" s="110"/>
      <c r="EWQ1377" s="110"/>
      <c r="EWR1377" s="110"/>
      <c r="EWS1377" s="110"/>
      <c r="EWT1377" s="110"/>
      <c r="EWU1377" s="110"/>
      <c r="EWV1377" s="110"/>
      <c r="EWW1377" s="110"/>
      <c r="EWX1377" s="110"/>
      <c r="EWY1377" s="110"/>
      <c r="EWZ1377" s="110"/>
      <c r="EXA1377" s="110"/>
      <c r="EXB1377" s="110"/>
      <c r="EXC1377" s="110"/>
      <c r="EXD1377" s="110"/>
      <c r="EXE1377" s="110"/>
      <c r="EXF1377" s="110"/>
      <c r="EXG1377" s="110"/>
      <c r="EXH1377" s="110"/>
      <c r="EXI1377" s="110"/>
      <c r="EXJ1377" s="110"/>
      <c r="EXK1377" s="110"/>
      <c r="EXL1377" s="110"/>
      <c r="EXM1377" s="110"/>
      <c r="EXN1377" s="110"/>
      <c r="EXO1377" s="110"/>
      <c r="EXP1377" s="110"/>
      <c r="EXQ1377" s="110"/>
      <c r="EXR1377" s="110"/>
      <c r="EXS1377" s="110"/>
      <c r="EXT1377" s="110"/>
      <c r="EXU1377" s="110"/>
      <c r="EXV1377" s="110"/>
      <c r="EXW1377" s="110"/>
      <c r="EXX1377" s="110"/>
      <c r="EXY1377" s="110"/>
      <c r="EXZ1377" s="110"/>
      <c r="EYA1377" s="110"/>
      <c r="EYB1377" s="110"/>
      <c r="EYC1377" s="110"/>
      <c r="EYD1377" s="110"/>
      <c r="EYE1377" s="110"/>
      <c r="EYF1377" s="110"/>
      <c r="EYG1377" s="110"/>
      <c r="EYH1377" s="110"/>
      <c r="EYI1377" s="110"/>
      <c r="EYJ1377" s="110"/>
      <c r="EYK1377" s="110"/>
      <c r="EYL1377" s="110"/>
      <c r="EYM1377" s="110"/>
      <c r="EYN1377" s="110"/>
      <c r="EYO1377" s="110"/>
      <c r="EYP1377" s="110"/>
      <c r="EYQ1377" s="110"/>
      <c r="EYR1377" s="110"/>
      <c r="EYS1377" s="110"/>
      <c r="EYT1377" s="110"/>
      <c r="EYU1377" s="110"/>
      <c r="EYV1377" s="110"/>
      <c r="EYW1377" s="110"/>
      <c r="EYX1377" s="110"/>
      <c r="EYY1377" s="110"/>
      <c r="EYZ1377" s="110"/>
      <c r="EZA1377" s="110"/>
      <c r="EZB1377" s="110"/>
      <c r="EZC1377" s="110"/>
      <c r="EZD1377" s="110"/>
      <c r="EZE1377" s="110"/>
      <c r="EZF1377" s="110"/>
      <c r="EZG1377" s="110"/>
      <c r="EZH1377" s="110"/>
      <c r="EZI1377" s="110"/>
      <c r="EZJ1377" s="110"/>
      <c r="EZK1377" s="110"/>
      <c r="EZL1377" s="110"/>
      <c r="EZM1377" s="110"/>
      <c r="EZN1377" s="110"/>
      <c r="EZO1377" s="110"/>
      <c r="EZP1377" s="110"/>
      <c r="EZQ1377" s="110"/>
      <c r="EZR1377" s="110"/>
      <c r="EZS1377" s="110"/>
      <c r="EZT1377" s="110"/>
      <c r="EZU1377" s="110"/>
      <c r="EZV1377" s="110"/>
      <c r="EZW1377" s="110"/>
      <c r="EZX1377" s="110"/>
      <c r="EZY1377" s="110"/>
      <c r="EZZ1377" s="110"/>
      <c r="FAA1377" s="110"/>
      <c r="FAB1377" s="110"/>
      <c r="FAC1377" s="110"/>
      <c r="FAD1377" s="110"/>
      <c r="FAE1377" s="110"/>
      <c r="FAF1377" s="110"/>
      <c r="FAG1377" s="110"/>
      <c r="FAH1377" s="110"/>
      <c r="FAI1377" s="110"/>
      <c r="FAJ1377" s="110"/>
      <c r="FAK1377" s="110"/>
      <c r="FAL1377" s="110"/>
      <c r="FAM1377" s="110"/>
      <c r="FAN1377" s="110"/>
      <c r="FAO1377" s="110"/>
      <c r="FAP1377" s="110"/>
      <c r="FAQ1377" s="110"/>
      <c r="FAR1377" s="110"/>
      <c r="FAS1377" s="110"/>
      <c r="FAT1377" s="110"/>
      <c r="FAU1377" s="110"/>
      <c r="FAV1377" s="110"/>
      <c r="FAW1377" s="110"/>
      <c r="FAX1377" s="110"/>
      <c r="FAY1377" s="110"/>
      <c r="FAZ1377" s="110"/>
      <c r="FBA1377" s="110"/>
      <c r="FBB1377" s="110"/>
      <c r="FBC1377" s="110"/>
      <c r="FBD1377" s="110"/>
      <c r="FBE1377" s="110"/>
      <c r="FBF1377" s="110"/>
      <c r="FBG1377" s="110"/>
      <c r="FBH1377" s="110"/>
      <c r="FBI1377" s="110"/>
      <c r="FBJ1377" s="110"/>
      <c r="FBK1377" s="110"/>
      <c r="FBL1377" s="110"/>
      <c r="FBM1377" s="110"/>
      <c r="FBN1377" s="110"/>
      <c r="FBO1377" s="110"/>
      <c r="FBP1377" s="110"/>
      <c r="FBQ1377" s="110"/>
      <c r="FBR1377" s="110"/>
      <c r="FBS1377" s="110"/>
      <c r="FBT1377" s="110"/>
      <c r="FBU1377" s="110"/>
      <c r="FBV1377" s="110"/>
      <c r="FBW1377" s="110"/>
      <c r="FBX1377" s="110"/>
      <c r="FBY1377" s="110"/>
      <c r="FBZ1377" s="110"/>
      <c r="FCA1377" s="110"/>
      <c r="FCB1377" s="110"/>
      <c r="FCC1377" s="110"/>
      <c r="FCD1377" s="110"/>
      <c r="FCE1377" s="110"/>
      <c r="FCF1377" s="110"/>
      <c r="FCG1377" s="110"/>
      <c r="FCH1377" s="110"/>
      <c r="FCI1377" s="110"/>
      <c r="FCJ1377" s="110"/>
      <c r="FCK1377" s="110"/>
      <c r="FCL1377" s="110"/>
      <c r="FCM1377" s="110"/>
      <c r="FCN1377" s="110"/>
      <c r="FCO1377" s="110"/>
      <c r="FCP1377" s="110"/>
      <c r="FCQ1377" s="110"/>
      <c r="FCR1377" s="110"/>
      <c r="FCS1377" s="110"/>
      <c r="FCT1377" s="110"/>
      <c r="FCU1377" s="110"/>
      <c r="FCV1377" s="110"/>
      <c r="FCW1377" s="110"/>
      <c r="FCX1377" s="110"/>
      <c r="FCY1377" s="110"/>
      <c r="FCZ1377" s="110"/>
      <c r="FDA1377" s="110"/>
      <c r="FDB1377" s="110"/>
      <c r="FDC1377" s="110"/>
      <c r="FDD1377" s="110"/>
      <c r="FDE1377" s="110"/>
      <c r="FDF1377" s="110"/>
      <c r="FDG1377" s="110"/>
      <c r="FDH1377" s="110"/>
      <c r="FDI1377" s="110"/>
      <c r="FDJ1377" s="110"/>
      <c r="FDK1377" s="110"/>
      <c r="FDL1377" s="110"/>
      <c r="FDM1377" s="110"/>
      <c r="FDN1377" s="110"/>
      <c r="FDO1377" s="110"/>
      <c r="FDP1377" s="110"/>
      <c r="FDQ1377" s="110"/>
      <c r="FDR1377" s="110"/>
      <c r="FDS1377" s="110"/>
      <c r="FDT1377" s="110"/>
      <c r="FDU1377" s="110"/>
      <c r="FDV1377" s="110"/>
      <c r="FDW1377" s="110"/>
      <c r="FDX1377" s="110"/>
      <c r="FDY1377" s="110"/>
      <c r="FDZ1377" s="110"/>
      <c r="FEA1377" s="110"/>
      <c r="FEB1377" s="110"/>
      <c r="FEC1377" s="110"/>
      <c r="FED1377" s="110"/>
      <c r="FEE1377" s="110"/>
      <c r="FEF1377" s="110"/>
      <c r="FEG1377" s="110"/>
      <c r="FEH1377" s="110"/>
      <c r="FEI1377" s="110"/>
      <c r="FEJ1377" s="110"/>
      <c r="FEK1377" s="110"/>
      <c r="FEL1377" s="110"/>
      <c r="FEM1377" s="110"/>
      <c r="FEN1377" s="110"/>
      <c r="FEO1377" s="110"/>
      <c r="FEP1377" s="110"/>
      <c r="FEQ1377" s="110"/>
      <c r="FER1377" s="110"/>
      <c r="FES1377" s="110"/>
      <c r="FET1377" s="110"/>
      <c r="FEU1377" s="110"/>
      <c r="FEV1377" s="110"/>
      <c r="FEW1377" s="110"/>
      <c r="FEX1377" s="110"/>
      <c r="FEY1377" s="110"/>
      <c r="FEZ1377" s="110"/>
      <c r="FFA1377" s="110"/>
      <c r="FFB1377" s="110"/>
      <c r="FFC1377" s="110"/>
      <c r="FFD1377" s="110"/>
      <c r="FFE1377" s="110"/>
      <c r="FFF1377" s="110"/>
      <c r="FFG1377" s="110"/>
      <c r="FFH1377" s="110"/>
      <c r="FFI1377" s="110"/>
      <c r="FFJ1377" s="110"/>
      <c r="FFK1377" s="110"/>
      <c r="FFL1377" s="110"/>
      <c r="FFM1377" s="110"/>
      <c r="FFN1377" s="110"/>
      <c r="FFO1377" s="110"/>
      <c r="FFP1377" s="110"/>
      <c r="FFQ1377" s="110"/>
      <c r="FFR1377" s="110"/>
      <c r="FFS1377" s="110"/>
      <c r="FFT1377" s="110"/>
      <c r="FFU1377" s="110"/>
      <c r="FFV1377" s="110"/>
      <c r="FFW1377" s="110"/>
      <c r="FFX1377" s="110"/>
      <c r="FFY1377" s="110"/>
      <c r="FFZ1377" s="110"/>
      <c r="FGA1377" s="110"/>
      <c r="FGB1377" s="110"/>
      <c r="FGC1377" s="110"/>
      <c r="FGD1377" s="110"/>
      <c r="FGE1377" s="110"/>
      <c r="FGF1377" s="110"/>
      <c r="FGG1377" s="110"/>
      <c r="FGH1377" s="110"/>
      <c r="FGI1377" s="110"/>
      <c r="FGJ1377" s="110"/>
      <c r="FGK1377" s="110"/>
      <c r="FGL1377" s="110"/>
      <c r="FGM1377" s="110"/>
      <c r="FGN1377" s="110"/>
      <c r="FGO1377" s="110"/>
      <c r="FGP1377" s="110"/>
      <c r="FGQ1377" s="110"/>
      <c r="FGR1377" s="110"/>
      <c r="FGS1377" s="110"/>
      <c r="FGT1377" s="110"/>
      <c r="FGU1377" s="110"/>
      <c r="FGV1377" s="110"/>
      <c r="FGW1377" s="110"/>
      <c r="FGX1377" s="110"/>
      <c r="FGY1377" s="110"/>
      <c r="FGZ1377" s="110"/>
      <c r="FHA1377" s="110"/>
      <c r="FHB1377" s="110"/>
      <c r="FHC1377" s="110"/>
      <c r="FHD1377" s="110"/>
      <c r="FHE1377" s="110"/>
      <c r="FHF1377" s="110"/>
      <c r="FHG1377" s="110"/>
      <c r="FHH1377" s="110"/>
      <c r="FHI1377" s="110"/>
      <c r="FHJ1377" s="110"/>
      <c r="FHK1377" s="110"/>
      <c r="FHL1377" s="110"/>
      <c r="FHM1377" s="110"/>
      <c r="FHN1377" s="110"/>
      <c r="FHO1377" s="110"/>
      <c r="FHP1377" s="110"/>
      <c r="FHQ1377" s="110"/>
      <c r="FHR1377" s="110"/>
      <c r="FHS1377" s="110"/>
      <c r="FHT1377" s="110"/>
      <c r="FHU1377" s="110"/>
      <c r="FHV1377" s="110"/>
      <c r="FHW1377" s="110"/>
      <c r="FHX1377" s="110"/>
      <c r="FHY1377" s="110"/>
      <c r="FHZ1377" s="110"/>
      <c r="FIA1377" s="110"/>
      <c r="FIB1377" s="110"/>
      <c r="FIC1377" s="110"/>
      <c r="FID1377" s="110"/>
      <c r="FIE1377" s="110"/>
      <c r="FIF1377" s="110"/>
      <c r="FIG1377" s="110"/>
      <c r="FIH1377" s="110"/>
      <c r="FII1377" s="110"/>
      <c r="FIJ1377" s="110"/>
      <c r="FIK1377" s="110"/>
      <c r="FIL1377" s="110"/>
      <c r="FIM1377" s="110"/>
      <c r="FIN1377" s="110"/>
      <c r="FIO1377" s="110"/>
      <c r="FIP1377" s="110"/>
      <c r="FIQ1377" s="110"/>
      <c r="FIR1377" s="110"/>
      <c r="FIS1377" s="110"/>
      <c r="FIT1377" s="110"/>
      <c r="FIU1377" s="110"/>
      <c r="FIV1377" s="110"/>
      <c r="FIW1377" s="110"/>
      <c r="FIX1377" s="110"/>
      <c r="FIY1377" s="110"/>
      <c r="FIZ1377" s="110"/>
      <c r="FJA1377" s="110"/>
      <c r="FJB1377" s="110"/>
      <c r="FJC1377" s="110"/>
      <c r="FJD1377" s="110"/>
      <c r="FJE1377" s="110"/>
      <c r="FJF1377" s="110"/>
      <c r="FJG1377" s="110"/>
      <c r="FJH1377" s="110"/>
      <c r="FJI1377" s="110"/>
      <c r="FJJ1377" s="110"/>
      <c r="FJK1377" s="110"/>
      <c r="FJL1377" s="110"/>
      <c r="FJM1377" s="110"/>
      <c r="FJN1377" s="110"/>
      <c r="FJO1377" s="110"/>
      <c r="FJP1377" s="110"/>
      <c r="FJQ1377" s="110"/>
      <c r="FJR1377" s="110"/>
      <c r="FJS1377" s="110"/>
      <c r="FJT1377" s="110"/>
      <c r="FJU1377" s="110"/>
      <c r="FJV1377" s="110"/>
      <c r="FJW1377" s="110"/>
      <c r="FJX1377" s="110"/>
      <c r="FJY1377" s="110"/>
      <c r="FJZ1377" s="110"/>
      <c r="FKA1377" s="110"/>
      <c r="FKB1377" s="110"/>
      <c r="FKC1377" s="110"/>
      <c r="FKD1377" s="110"/>
      <c r="FKE1377" s="110"/>
      <c r="FKF1377" s="110"/>
      <c r="FKG1377" s="110"/>
      <c r="FKH1377" s="110"/>
      <c r="FKI1377" s="110"/>
      <c r="FKJ1377" s="110"/>
      <c r="FKK1377" s="110"/>
      <c r="FKL1377" s="110"/>
      <c r="FKM1377" s="110"/>
      <c r="FKN1377" s="110"/>
      <c r="FKO1377" s="110"/>
      <c r="FKP1377" s="110"/>
      <c r="FKQ1377" s="110"/>
      <c r="FKR1377" s="110"/>
      <c r="FKS1377" s="110"/>
      <c r="FKT1377" s="110"/>
      <c r="FKU1377" s="110"/>
      <c r="FKV1377" s="110"/>
      <c r="FKW1377" s="110"/>
      <c r="FKX1377" s="110"/>
      <c r="FKY1377" s="110"/>
      <c r="FKZ1377" s="110"/>
      <c r="FLA1377" s="110"/>
      <c r="FLB1377" s="110"/>
      <c r="FLC1377" s="110"/>
      <c r="FLD1377" s="110"/>
      <c r="FLE1377" s="110"/>
      <c r="FLF1377" s="110"/>
      <c r="FLG1377" s="110"/>
      <c r="FLH1377" s="110"/>
      <c r="FLI1377" s="110"/>
      <c r="FLJ1377" s="110"/>
      <c r="FLK1377" s="110"/>
      <c r="FLL1377" s="110"/>
      <c r="FLM1377" s="110"/>
      <c r="FLN1377" s="110"/>
      <c r="FLO1377" s="110"/>
      <c r="FLP1377" s="110"/>
      <c r="FLQ1377" s="110"/>
      <c r="FLR1377" s="110"/>
      <c r="FLS1377" s="110"/>
      <c r="FLT1377" s="110"/>
      <c r="FLU1377" s="110"/>
      <c r="FLV1377" s="110"/>
      <c r="FLW1377" s="110"/>
      <c r="FLX1377" s="110"/>
      <c r="FLY1377" s="110"/>
      <c r="FLZ1377" s="110"/>
      <c r="FMA1377" s="110"/>
      <c r="FMB1377" s="110"/>
      <c r="FMC1377" s="110"/>
      <c r="FMD1377" s="110"/>
      <c r="FME1377" s="110"/>
      <c r="FMF1377" s="110"/>
      <c r="FMG1377" s="110"/>
      <c r="FMH1377" s="110"/>
      <c r="FMI1377" s="110"/>
      <c r="FMJ1377" s="110"/>
      <c r="FMK1377" s="110"/>
      <c r="FML1377" s="110"/>
      <c r="FMM1377" s="110"/>
      <c r="FMN1377" s="110"/>
      <c r="FMO1377" s="110"/>
      <c r="FMP1377" s="110"/>
      <c r="FMQ1377" s="110"/>
      <c r="FMR1377" s="110"/>
      <c r="FMS1377" s="110"/>
      <c r="FMT1377" s="110"/>
      <c r="FMU1377" s="110"/>
      <c r="FMV1377" s="110"/>
      <c r="FMW1377" s="110"/>
      <c r="FMX1377" s="110"/>
      <c r="FMY1377" s="110"/>
      <c r="FMZ1377" s="110"/>
      <c r="FNA1377" s="110"/>
      <c r="FNB1377" s="110"/>
      <c r="FNC1377" s="110"/>
      <c r="FND1377" s="110"/>
      <c r="FNE1377" s="110"/>
      <c r="FNF1377" s="110"/>
      <c r="FNG1377" s="110"/>
      <c r="FNH1377" s="110"/>
      <c r="FNI1377" s="110"/>
      <c r="FNJ1377" s="110"/>
      <c r="FNK1377" s="110"/>
      <c r="FNL1377" s="110"/>
      <c r="FNM1377" s="110"/>
      <c r="FNN1377" s="110"/>
      <c r="FNO1377" s="110"/>
      <c r="FNP1377" s="110"/>
      <c r="FNQ1377" s="110"/>
      <c r="FNR1377" s="110"/>
      <c r="FNS1377" s="110"/>
      <c r="FNT1377" s="110"/>
      <c r="FNU1377" s="110"/>
      <c r="FNV1377" s="110"/>
      <c r="FNW1377" s="110"/>
      <c r="FNX1377" s="110"/>
      <c r="FNY1377" s="110"/>
      <c r="FNZ1377" s="110"/>
      <c r="FOA1377" s="110"/>
      <c r="FOB1377" s="110"/>
      <c r="FOC1377" s="110"/>
      <c r="FOD1377" s="110"/>
      <c r="FOE1377" s="110"/>
      <c r="FOF1377" s="110"/>
      <c r="FOG1377" s="110"/>
      <c r="FOH1377" s="110"/>
      <c r="FOI1377" s="110"/>
      <c r="FOJ1377" s="110"/>
      <c r="FOK1377" s="110"/>
      <c r="FOL1377" s="110"/>
      <c r="FOM1377" s="110"/>
      <c r="FON1377" s="110"/>
      <c r="FOO1377" s="110"/>
      <c r="FOP1377" s="110"/>
      <c r="FOQ1377" s="110"/>
      <c r="FOR1377" s="110"/>
      <c r="FOS1377" s="110"/>
      <c r="FOT1377" s="110"/>
      <c r="FOU1377" s="110"/>
      <c r="FOV1377" s="110"/>
      <c r="FOW1377" s="110"/>
      <c r="FOX1377" s="110"/>
      <c r="FOY1377" s="110"/>
      <c r="FOZ1377" s="110"/>
      <c r="FPA1377" s="110"/>
      <c r="FPB1377" s="110"/>
      <c r="FPC1377" s="110"/>
      <c r="FPD1377" s="110"/>
      <c r="FPE1377" s="110"/>
      <c r="FPF1377" s="110"/>
      <c r="FPG1377" s="110"/>
      <c r="FPH1377" s="110"/>
      <c r="FPI1377" s="110"/>
      <c r="FPJ1377" s="110"/>
      <c r="FPK1377" s="110"/>
      <c r="FPL1377" s="110"/>
      <c r="FPM1377" s="110"/>
      <c r="FPN1377" s="110"/>
      <c r="FPO1377" s="110"/>
      <c r="FPP1377" s="110"/>
      <c r="FPQ1377" s="110"/>
      <c r="FPR1377" s="110"/>
      <c r="FPS1377" s="110"/>
      <c r="FPT1377" s="110"/>
      <c r="FPU1377" s="110"/>
      <c r="FPV1377" s="110"/>
      <c r="FPW1377" s="110"/>
      <c r="FPX1377" s="110"/>
      <c r="FPY1377" s="110"/>
      <c r="FPZ1377" s="110"/>
      <c r="FQA1377" s="110"/>
      <c r="FQB1377" s="110"/>
      <c r="FQC1377" s="110"/>
      <c r="FQD1377" s="110"/>
      <c r="FQE1377" s="110"/>
      <c r="FQF1377" s="110"/>
      <c r="FQG1377" s="110"/>
      <c r="FQH1377" s="110"/>
      <c r="FQI1377" s="110"/>
      <c r="FQJ1377" s="110"/>
      <c r="FQK1377" s="110"/>
      <c r="FQL1377" s="110"/>
      <c r="FQM1377" s="110"/>
      <c r="FQN1377" s="110"/>
      <c r="FQO1377" s="110"/>
      <c r="FQP1377" s="110"/>
      <c r="FQQ1377" s="110"/>
      <c r="FQR1377" s="110"/>
      <c r="FQS1377" s="110"/>
      <c r="FQT1377" s="110"/>
      <c r="FQU1377" s="110"/>
      <c r="FQV1377" s="110"/>
      <c r="FQW1377" s="110"/>
      <c r="FQX1377" s="110"/>
      <c r="FQY1377" s="110"/>
      <c r="FQZ1377" s="110"/>
      <c r="FRA1377" s="110"/>
      <c r="FRB1377" s="110"/>
      <c r="FRC1377" s="110"/>
      <c r="FRD1377" s="110"/>
      <c r="FRE1377" s="110"/>
      <c r="FRF1377" s="110"/>
      <c r="FRG1377" s="110"/>
      <c r="FRH1377" s="110"/>
      <c r="FRI1377" s="110"/>
      <c r="FRJ1377" s="110"/>
      <c r="FRK1377" s="110"/>
      <c r="FRL1377" s="110"/>
      <c r="FRM1377" s="110"/>
      <c r="FRN1377" s="110"/>
      <c r="FRO1377" s="110"/>
      <c r="FRP1377" s="110"/>
      <c r="FRQ1377" s="110"/>
      <c r="FRR1377" s="110"/>
      <c r="FRS1377" s="110"/>
      <c r="FRT1377" s="110"/>
      <c r="FRU1377" s="110"/>
      <c r="FRV1377" s="110"/>
      <c r="FRW1377" s="110"/>
      <c r="FRX1377" s="110"/>
      <c r="FRY1377" s="110"/>
      <c r="FRZ1377" s="110"/>
      <c r="FSA1377" s="110"/>
      <c r="FSB1377" s="110"/>
      <c r="FSC1377" s="110"/>
      <c r="FSD1377" s="110"/>
      <c r="FSE1377" s="110"/>
      <c r="FSF1377" s="110"/>
      <c r="FSG1377" s="110"/>
      <c r="FSH1377" s="110"/>
      <c r="FSI1377" s="110"/>
      <c r="FSJ1377" s="110"/>
      <c r="FSK1377" s="110"/>
      <c r="FSL1377" s="110"/>
      <c r="FSM1377" s="110"/>
      <c r="FSN1377" s="110"/>
      <c r="FSO1377" s="110"/>
      <c r="FSP1377" s="110"/>
      <c r="FSQ1377" s="110"/>
      <c r="FSR1377" s="110"/>
      <c r="FSS1377" s="110"/>
      <c r="FST1377" s="110"/>
      <c r="FSU1377" s="110"/>
      <c r="FSV1377" s="110"/>
      <c r="FSW1377" s="110"/>
      <c r="FSX1377" s="110"/>
      <c r="FSY1377" s="110"/>
      <c r="FSZ1377" s="110"/>
      <c r="FTA1377" s="110"/>
      <c r="FTB1377" s="110"/>
      <c r="FTC1377" s="110"/>
      <c r="FTD1377" s="110"/>
      <c r="FTE1377" s="110"/>
      <c r="FTF1377" s="110"/>
      <c r="FTG1377" s="110"/>
      <c r="FTH1377" s="110"/>
      <c r="FTI1377" s="110"/>
      <c r="FTJ1377" s="110"/>
      <c r="FTK1377" s="110"/>
      <c r="FTL1377" s="110"/>
      <c r="FTM1377" s="110"/>
      <c r="FTN1377" s="110"/>
      <c r="FTO1377" s="110"/>
      <c r="FTP1377" s="110"/>
      <c r="FTQ1377" s="110"/>
      <c r="FTR1377" s="110"/>
      <c r="FTS1377" s="110"/>
      <c r="FTT1377" s="110"/>
      <c r="FTU1377" s="110"/>
      <c r="FTV1377" s="110"/>
      <c r="FTW1377" s="110"/>
      <c r="FTX1377" s="110"/>
      <c r="FTY1377" s="110"/>
      <c r="FTZ1377" s="110"/>
      <c r="FUA1377" s="110"/>
      <c r="FUB1377" s="110"/>
      <c r="FUC1377" s="110"/>
      <c r="FUD1377" s="110"/>
      <c r="FUE1377" s="110"/>
      <c r="FUF1377" s="110"/>
      <c r="FUG1377" s="110"/>
      <c r="FUH1377" s="110"/>
      <c r="FUI1377" s="110"/>
      <c r="FUJ1377" s="110"/>
      <c r="FUK1377" s="110"/>
      <c r="FUL1377" s="110"/>
      <c r="FUM1377" s="110"/>
      <c r="FUN1377" s="110"/>
      <c r="FUO1377" s="110"/>
      <c r="FUP1377" s="110"/>
      <c r="FUQ1377" s="110"/>
      <c r="FUR1377" s="110"/>
      <c r="FUS1377" s="110"/>
      <c r="FUT1377" s="110"/>
      <c r="FUU1377" s="110"/>
      <c r="FUV1377" s="110"/>
      <c r="FUW1377" s="110"/>
      <c r="FUX1377" s="110"/>
      <c r="FUY1377" s="110"/>
      <c r="FUZ1377" s="110"/>
      <c r="FVA1377" s="110"/>
      <c r="FVB1377" s="110"/>
      <c r="FVC1377" s="110"/>
      <c r="FVD1377" s="110"/>
      <c r="FVE1377" s="110"/>
      <c r="FVF1377" s="110"/>
      <c r="FVG1377" s="110"/>
      <c r="FVH1377" s="110"/>
      <c r="FVI1377" s="110"/>
      <c r="FVJ1377" s="110"/>
      <c r="FVK1377" s="110"/>
      <c r="FVL1377" s="110"/>
      <c r="FVM1377" s="110"/>
      <c r="FVN1377" s="110"/>
      <c r="FVO1377" s="110"/>
      <c r="FVP1377" s="110"/>
      <c r="FVQ1377" s="110"/>
      <c r="FVR1377" s="110"/>
      <c r="FVS1377" s="110"/>
      <c r="FVT1377" s="110"/>
      <c r="FVU1377" s="110"/>
      <c r="FVV1377" s="110"/>
      <c r="FVW1377" s="110"/>
      <c r="FVX1377" s="110"/>
      <c r="FVY1377" s="110"/>
      <c r="FVZ1377" s="110"/>
      <c r="FWA1377" s="110"/>
      <c r="FWB1377" s="110"/>
      <c r="FWC1377" s="110"/>
      <c r="FWD1377" s="110"/>
      <c r="FWE1377" s="110"/>
      <c r="FWF1377" s="110"/>
      <c r="FWG1377" s="110"/>
      <c r="FWH1377" s="110"/>
      <c r="FWI1377" s="110"/>
      <c r="FWJ1377" s="110"/>
      <c r="FWK1377" s="110"/>
      <c r="FWL1377" s="110"/>
      <c r="FWM1377" s="110"/>
      <c r="FWN1377" s="110"/>
      <c r="FWO1377" s="110"/>
      <c r="FWP1377" s="110"/>
      <c r="FWQ1377" s="110"/>
      <c r="FWR1377" s="110"/>
      <c r="FWS1377" s="110"/>
      <c r="FWT1377" s="110"/>
      <c r="FWU1377" s="110"/>
      <c r="FWV1377" s="110"/>
      <c r="FWW1377" s="110"/>
      <c r="FWX1377" s="110"/>
      <c r="FWY1377" s="110"/>
      <c r="FWZ1377" s="110"/>
      <c r="FXA1377" s="110"/>
      <c r="FXB1377" s="110"/>
      <c r="FXC1377" s="110"/>
      <c r="FXD1377" s="110"/>
      <c r="FXE1377" s="110"/>
      <c r="FXF1377" s="110"/>
      <c r="FXG1377" s="110"/>
      <c r="FXH1377" s="110"/>
      <c r="FXI1377" s="110"/>
      <c r="FXJ1377" s="110"/>
      <c r="FXK1377" s="110"/>
      <c r="FXL1377" s="110"/>
      <c r="FXM1377" s="110"/>
      <c r="FXN1377" s="110"/>
      <c r="FXO1377" s="110"/>
      <c r="FXP1377" s="110"/>
      <c r="FXQ1377" s="110"/>
      <c r="FXR1377" s="110"/>
      <c r="FXS1377" s="110"/>
      <c r="FXT1377" s="110"/>
      <c r="FXU1377" s="110"/>
      <c r="FXV1377" s="110"/>
      <c r="FXW1377" s="110"/>
      <c r="FXX1377" s="110"/>
      <c r="FXY1377" s="110"/>
      <c r="FXZ1377" s="110"/>
      <c r="FYA1377" s="110"/>
      <c r="FYB1377" s="110"/>
      <c r="FYC1377" s="110"/>
      <c r="FYD1377" s="110"/>
      <c r="FYE1377" s="110"/>
      <c r="FYF1377" s="110"/>
      <c r="FYG1377" s="110"/>
      <c r="FYH1377" s="110"/>
      <c r="FYI1377" s="110"/>
      <c r="FYJ1377" s="110"/>
      <c r="FYK1377" s="110"/>
      <c r="FYL1377" s="110"/>
      <c r="FYM1377" s="110"/>
      <c r="FYN1377" s="110"/>
      <c r="FYO1377" s="110"/>
      <c r="FYP1377" s="110"/>
      <c r="FYQ1377" s="110"/>
      <c r="FYR1377" s="110"/>
      <c r="FYS1377" s="110"/>
      <c r="FYT1377" s="110"/>
      <c r="FYU1377" s="110"/>
      <c r="FYV1377" s="110"/>
      <c r="FYW1377" s="110"/>
      <c r="FYX1377" s="110"/>
      <c r="FYY1377" s="110"/>
      <c r="FYZ1377" s="110"/>
      <c r="FZA1377" s="110"/>
      <c r="FZB1377" s="110"/>
      <c r="FZC1377" s="110"/>
      <c r="FZD1377" s="110"/>
      <c r="FZE1377" s="110"/>
      <c r="FZF1377" s="110"/>
      <c r="FZG1377" s="110"/>
      <c r="FZH1377" s="110"/>
      <c r="FZI1377" s="110"/>
      <c r="FZJ1377" s="110"/>
      <c r="FZK1377" s="110"/>
      <c r="FZL1377" s="110"/>
      <c r="FZM1377" s="110"/>
      <c r="FZN1377" s="110"/>
      <c r="FZO1377" s="110"/>
      <c r="FZP1377" s="110"/>
      <c r="FZQ1377" s="110"/>
      <c r="FZR1377" s="110"/>
      <c r="FZS1377" s="110"/>
      <c r="FZT1377" s="110"/>
      <c r="FZU1377" s="110"/>
      <c r="FZV1377" s="110"/>
      <c r="FZW1377" s="110"/>
      <c r="FZX1377" s="110"/>
      <c r="FZY1377" s="110"/>
      <c r="FZZ1377" s="110"/>
      <c r="GAA1377" s="110"/>
      <c r="GAB1377" s="110"/>
      <c r="GAC1377" s="110"/>
      <c r="GAD1377" s="110"/>
      <c r="GAE1377" s="110"/>
      <c r="GAF1377" s="110"/>
      <c r="GAG1377" s="110"/>
      <c r="GAH1377" s="110"/>
      <c r="GAI1377" s="110"/>
      <c r="GAJ1377" s="110"/>
      <c r="GAK1377" s="110"/>
      <c r="GAL1377" s="110"/>
      <c r="GAM1377" s="110"/>
      <c r="GAN1377" s="110"/>
      <c r="GAO1377" s="110"/>
      <c r="GAP1377" s="110"/>
      <c r="GAQ1377" s="110"/>
      <c r="GAR1377" s="110"/>
      <c r="GAS1377" s="110"/>
      <c r="GAT1377" s="110"/>
      <c r="GAU1377" s="110"/>
      <c r="GAV1377" s="110"/>
      <c r="GAW1377" s="110"/>
      <c r="GAX1377" s="110"/>
      <c r="GAY1377" s="110"/>
      <c r="GAZ1377" s="110"/>
      <c r="GBA1377" s="110"/>
      <c r="GBB1377" s="110"/>
      <c r="GBC1377" s="110"/>
      <c r="GBD1377" s="110"/>
      <c r="GBE1377" s="110"/>
      <c r="GBF1377" s="110"/>
      <c r="GBG1377" s="110"/>
      <c r="GBH1377" s="110"/>
      <c r="GBI1377" s="110"/>
      <c r="GBJ1377" s="110"/>
      <c r="GBK1377" s="110"/>
      <c r="GBL1377" s="110"/>
      <c r="GBM1377" s="110"/>
      <c r="GBN1377" s="110"/>
      <c r="GBO1377" s="110"/>
      <c r="GBP1377" s="110"/>
      <c r="GBQ1377" s="110"/>
      <c r="GBR1377" s="110"/>
      <c r="GBS1377" s="110"/>
      <c r="GBT1377" s="110"/>
      <c r="GBU1377" s="110"/>
      <c r="GBV1377" s="110"/>
      <c r="GBW1377" s="110"/>
      <c r="GBX1377" s="110"/>
      <c r="GBY1377" s="110"/>
      <c r="GBZ1377" s="110"/>
      <c r="GCA1377" s="110"/>
      <c r="GCB1377" s="110"/>
      <c r="GCC1377" s="110"/>
      <c r="GCD1377" s="110"/>
      <c r="GCE1377" s="110"/>
      <c r="GCF1377" s="110"/>
      <c r="GCG1377" s="110"/>
      <c r="GCH1377" s="110"/>
      <c r="GCI1377" s="110"/>
      <c r="GCJ1377" s="110"/>
      <c r="GCK1377" s="110"/>
      <c r="GCL1377" s="110"/>
      <c r="GCM1377" s="110"/>
      <c r="GCN1377" s="110"/>
      <c r="GCO1377" s="110"/>
      <c r="GCP1377" s="110"/>
      <c r="GCQ1377" s="110"/>
      <c r="GCR1377" s="110"/>
      <c r="GCS1377" s="110"/>
      <c r="GCT1377" s="110"/>
      <c r="GCU1377" s="110"/>
      <c r="GCV1377" s="110"/>
      <c r="GCW1377" s="110"/>
      <c r="GCX1377" s="110"/>
      <c r="GCY1377" s="110"/>
      <c r="GCZ1377" s="110"/>
      <c r="GDA1377" s="110"/>
      <c r="GDB1377" s="110"/>
      <c r="GDC1377" s="110"/>
      <c r="GDD1377" s="110"/>
      <c r="GDE1377" s="110"/>
      <c r="GDF1377" s="110"/>
      <c r="GDG1377" s="110"/>
      <c r="GDH1377" s="110"/>
      <c r="GDI1377" s="110"/>
      <c r="GDJ1377" s="110"/>
      <c r="GDK1377" s="110"/>
      <c r="GDL1377" s="110"/>
      <c r="GDM1377" s="110"/>
      <c r="GDN1377" s="110"/>
      <c r="GDO1377" s="110"/>
      <c r="GDP1377" s="110"/>
      <c r="GDQ1377" s="110"/>
      <c r="GDR1377" s="110"/>
      <c r="GDS1377" s="110"/>
      <c r="GDT1377" s="110"/>
      <c r="GDU1377" s="110"/>
      <c r="GDV1377" s="110"/>
      <c r="GDW1377" s="110"/>
      <c r="GDX1377" s="110"/>
      <c r="GDY1377" s="110"/>
      <c r="GDZ1377" s="110"/>
      <c r="GEA1377" s="110"/>
      <c r="GEB1377" s="110"/>
      <c r="GEC1377" s="110"/>
      <c r="GED1377" s="110"/>
      <c r="GEE1377" s="110"/>
      <c r="GEF1377" s="110"/>
      <c r="GEG1377" s="110"/>
      <c r="GEH1377" s="110"/>
      <c r="GEI1377" s="110"/>
      <c r="GEJ1377" s="110"/>
      <c r="GEK1377" s="110"/>
      <c r="GEL1377" s="110"/>
      <c r="GEM1377" s="110"/>
      <c r="GEN1377" s="110"/>
      <c r="GEO1377" s="110"/>
      <c r="GEP1377" s="110"/>
      <c r="GEQ1377" s="110"/>
      <c r="GER1377" s="110"/>
      <c r="GES1377" s="110"/>
      <c r="GET1377" s="110"/>
      <c r="GEU1377" s="110"/>
      <c r="GEV1377" s="110"/>
      <c r="GEW1377" s="110"/>
      <c r="GEX1377" s="110"/>
      <c r="GEY1377" s="110"/>
      <c r="GEZ1377" s="110"/>
      <c r="GFA1377" s="110"/>
      <c r="GFB1377" s="110"/>
      <c r="GFC1377" s="110"/>
      <c r="GFD1377" s="110"/>
      <c r="GFE1377" s="110"/>
      <c r="GFF1377" s="110"/>
      <c r="GFG1377" s="110"/>
      <c r="GFH1377" s="110"/>
      <c r="GFI1377" s="110"/>
      <c r="GFJ1377" s="110"/>
      <c r="GFK1377" s="110"/>
      <c r="GFL1377" s="110"/>
      <c r="GFM1377" s="110"/>
      <c r="GFN1377" s="110"/>
      <c r="GFO1377" s="110"/>
      <c r="GFP1377" s="110"/>
      <c r="GFQ1377" s="110"/>
      <c r="GFR1377" s="110"/>
      <c r="GFS1377" s="110"/>
      <c r="GFT1377" s="110"/>
      <c r="GFU1377" s="110"/>
      <c r="GFV1377" s="110"/>
      <c r="GFW1377" s="110"/>
      <c r="GFX1377" s="110"/>
      <c r="GFY1377" s="110"/>
      <c r="GFZ1377" s="110"/>
      <c r="GGA1377" s="110"/>
      <c r="GGB1377" s="110"/>
      <c r="GGC1377" s="110"/>
      <c r="GGD1377" s="110"/>
      <c r="GGE1377" s="110"/>
      <c r="GGF1377" s="110"/>
      <c r="GGG1377" s="110"/>
      <c r="GGH1377" s="110"/>
      <c r="GGI1377" s="110"/>
      <c r="GGJ1377" s="110"/>
      <c r="GGK1377" s="110"/>
      <c r="GGL1377" s="110"/>
      <c r="GGM1377" s="110"/>
      <c r="GGN1377" s="110"/>
      <c r="GGO1377" s="110"/>
      <c r="GGP1377" s="110"/>
      <c r="GGQ1377" s="110"/>
      <c r="GGR1377" s="110"/>
      <c r="GGS1377" s="110"/>
      <c r="GGT1377" s="110"/>
      <c r="GGU1377" s="110"/>
      <c r="GGV1377" s="110"/>
      <c r="GGW1377" s="110"/>
      <c r="GGX1377" s="110"/>
      <c r="GGY1377" s="110"/>
      <c r="GGZ1377" s="110"/>
      <c r="GHA1377" s="110"/>
      <c r="GHB1377" s="110"/>
      <c r="GHC1377" s="110"/>
      <c r="GHD1377" s="110"/>
      <c r="GHE1377" s="110"/>
      <c r="GHF1377" s="110"/>
      <c r="GHG1377" s="110"/>
      <c r="GHH1377" s="110"/>
      <c r="GHI1377" s="110"/>
      <c r="GHJ1377" s="110"/>
      <c r="GHK1377" s="110"/>
      <c r="GHL1377" s="110"/>
      <c r="GHM1377" s="110"/>
      <c r="GHN1377" s="110"/>
      <c r="GHO1377" s="110"/>
      <c r="GHP1377" s="110"/>
      <c r="GHQ1377" s="110"/>
      <c r="GHR1377" s="110"/>
      <c r="GHS1377" s="110"/>
      <c r="GHT1377" s="110"/>
      <c r="GHU1377" s="110"/>
      <c r="GHV1377" s="110"/>
      <c r="GHW1377" s="110"/>
      <c r="GHX1377" s="110"/>
      <c r="GHY1377" s="110"/>
      <c r="GHZ1377" s="110"/>
      <c r="GIA1377" s="110"/>
      <c r="GIB1377" s="110"/>
      <c r="GIC1377" s="110"/>
      <c r="GID1377" s="110"/>
      <c r="GIE1377" s="110"/>
      <c r="GIF1377" s="110"/>
      <c r="GIG1377" s="110"/>
      <c r="GIH1377" s="110"/>
      <c r="GII1377" s="110"/>
      <c r="GIJ1377" s="110"/>
      <c r="GIK1377" s="110"/>
      <c r="GIL1377" s="110"/>
      <c r="GIM1377" s="110"/>
      <c r="GIN1377" s="110"/>
      <c r="GIO1377" s="110"/>
      <c r="GIP1377" s="110"/>
      <c r="GIQ1377" s="110"/>
      <c r="GIR1377" s="110"/>
      <c r="GIS1377" s="110"/>
      <c r="GIT1377" s="110"/>
      <c r="GIU1377" s="110"/>
      <c r="GIV1377" s="110"/>
      <c r="GIW1377" s="110"/>
      <c r="GIX1377" s="110"/>
      <c r="GIY1377" s="110"/>
      <c r="GIZ1377" s="110"/>
      <c r="GJA1377" s="110"/>
      <c r="GJB1377" s="110"/>
      <c r="GJC1377" s="110"/>
      <c r="GJD1377" s="110"/>
      <c r="GJE1377" s="110"/>
      <c r="GJF1377" s="110"/>
      <c r="GJG1377" s="110"/>
      <c r="GJH1377" s="110"/>
      <c r="GJI1377" s="110"/>
      <c r="GJJ1377" s="110"/>
      <c r="GJK1377" s="110"/>
      <c r="GJL1377" s="110"/>
      <c r="GJM1377" s="110"/>
      <c r="GJN1377" s="110"/>
      <c r="GJO1377" s="110"/>
      <c r="GJP1377" s="110"/>
      <c r="GJQ1377" s="110"/>
      <c r="GJR1377" s="110"/>
      <c r="GJS1377" s="110"/>
      <c r="GJT1377" s="110"/>
      <c r="GJU1377" s="110"/>
      <c r="GJV1377" s="110"/>
      <c r="GJW1377" s="110"/>
      <c r="GJX1377" s="110"/>
      <c r="GJY1377" s="110"/>
      <c r="GJZ1377" s="110"/>
      <c r="GKA1377" s="110"/>
      <c r="GKB1377" s="110"/>
      <c r="GKC1377" s="110"/>
      <c r="GKD1377" s="110"/>
      <c r="GKE1377" s="110"/>
      <c r="GKF1377" s="110"/>
      <c r="GKG1377" s="110"/>
      <c r="GKH1377" s="110"/>
      <c r="GKI1377" s="110"/>
      <c r="GKJ1377" s="110"/>
      <c r="GKK1377" s="110"/>
      <c r="GKL1377" s="110"/>
      <c r="GKM1377" s="110"/>
      <c r="GKN1377" s="110"/>
      <c r="GKO1377" s="110"/>
      <c r="GKP1377" s="110"/>
      <c r="GKQ1377" s="110"/>
      <c r="GKR1377" s="110"/>
      <c r="GKS1377" s="110"/>
      <c r="GKT1377" s="110"/>
      <c r="GKU1377" s="110"/>
      <c r="GKV1377" s="110"/>
      <c r="GKW1377" s="110"/>
      <c r="GKX1377" s="110"/>
      <c r="GKY1377" s="110"/>
      <c r="GKZ1377" s="110"/>
      <c r="GLA1377" s="110"/>
      <c r="GLB1377" s="110"/>
      <c r="GLC1377" s="110"/>
      <c r="GLD1377" s="110"/>
      <c r="GLE1377" s="110"/>
      <c r="GLF1377" s="110"/>
      <c r="GLG1377" s="110"/>
      <c r="GLH1377" s="110"/>
      <c r="GLI1377" s="110"/>
      <c r="GLJ1377" s="110"/>
      <c r="GLK1377" s="110"/>
      <c r="GLL1377" s="110"/>
      <c r="GLM1377" s="110"/>
      <c r="GLN1377" s="110"/>
      <c r="GLO1377" s="110"/>
      <c r="GLP1377" s="110"/>
      <c r="GLQ1377" s="110"/>
      <c r="GLR1377" s="110"/>
      <c r="GLS1377" s="110"/>
      <c r="GLT1377" s="110"/>
      <c r="GLU1377" s="110"/>
      <c r="GLV1377" s="110"/>
      <c r="GLW1377" s="110"/>
      <c r="GLX1377" s="110"/>
      <c r="GLY1377" s="110"/>
      <c r="GLZ1377" s="110"/>
      <c r="GMA1377" s="110"/>
      <c r="GMB1377" s="110"/>
      <c r="GMC1377" s="110"/>
      <c r="GMD1377" s="110"/>
      <c r="GME1377" s="110"/>
      <c r="GMF1377" s="110"/>
      <c r="GMG1377" s="110"/>
      <c r="GMH1377" s="110"/>
      <c r="GMI1377" s="110"/>
      <c r="GMJ1377" s="110"/>
      <c r="GMK1377" s="110"/>
      <c r="GML1377" s="110"/>
      <c r="GMM1377" s="110"/>
      <c r="GMN1377" s="110"/>
      <c r="GMO1377" s="110"/>
      <c r="GMP1377" s="110"/>
      <c r="GMQ1377" s="110"/>
      <c r="GMR1377" s="110"/>
      <c r="GMS1377" s="110"/>
      <c r="GMT1377" s="110"/>
      <c r="GMU1377" s="110"/>
      <c r="GMV1377" s="110"/>
      <c r="GMW1377" s="110"/>
      <c r="GMX1377" s="110"/>
      <c r="GMY1377" s="110"/>
      <c r="GMZ1377" s="110"/>
      <c r="GNA1377" s="110"/>
      <c r="GNB1377" s="110"/>
      <c r="GNC1377" s="110"/>
      <c r="GND1377" s="110"/>
      <c r="GNE1377" s="110"/>
      <c r="GNF1377" s="110"/>
      <c r="GNG1377" s="110"/>
      <c r="GNH1377" s="110"/>
      <c r="GNI1377" s="110"/>
      <c r="GNJ1377" s="110"/>
      <c r="GNK1377" s="110"/>
      <c r="GNL1377" s="110"/>
      <c r="GNM1377" s="110"/>
      <c r="GNN1377" s="110"/>
      <c r="GNO1377" s="110"/>
      <c r="GNP1377" s="110"/>
      <c r="GNQ1377" s="110"/>
      <c r="GNR1377" s="110"/>
      <c r="GNS1377" s="110"/>
      <c r="GNT1377" s="110"/>
      <c r="GNU1377" s="110"/>
      <c r="GNV1377" s="110"/>
      <c r="GNW1377" s="110"/>
      <c r="GNX1377" s="110"/>
      <c r="GNY1377" s="110"/>
      <c r="GNZ1377" s="110"/>
      <c r="GOA1377" s="110"/>
      <c r="GOB1377" s="110"/>
      <c r="GOC1377" s="110"/>
      <c r="GOD1377" s="110"/>
      <c r="GOE1377" s="110"/>
      <c r="GOF1377" s="110"/>
      <c r="GOG1377" s="110"/>
      <c r="GOH1377" s="110"/>
      <c r="GOI1377" s="110"/>
      <c r="GOJ1377" s="110"/>
      <c r="GOK1377" s="110"/>
      <c r="GOL1377" s="110"/>
      <c r="GOM1377" s="110"/>
      <c r="GON1377" s="110"/>
      <c r="GOO1377" s="110"/>
      <c r="GOP1377" s="110"/>
      <c r="GOQ1377" s="110"/>
      <c r="GOR1377" s="110"/>
      <c r="GOS1377" s="110"/>
      <c r="GOT1377" s="110"/>
      <c r="GOU1377" s="110"/>
      <c r="GOV1377" s="110"/>
      <c r="GOW1377" s="110"/>
      <c r="GOX1377" s="110"/>
      <c r="GOY1377" s="110"/>
      <c r="GOZ1377" s="110"/>
      <c r="GPA1377" s="110"/>
      <c r="GPB1377" s="110"/>
      <c r="GPC1377" s="110"/>
      <c r="GPD1377" s="110"/>
      <c r="GPE1377" s="110"/>
      <c r="GPF1377" s="110"/>
      <c r="GPG1377" s="110"/>
      <c r="GPH1377" s="110"/>
      <c r="GPI1377" s="110"/>
      <c r="GPJ1377" s="110"/>
      <c r="GPK1377" s="110"/>
      <c r="GPL1377" s="110"/>
      <c r="GPM1377" s="110"/>
      <c r="GPN1377" s="110"/>
      <c r="GPO1377" s="110"/>
      <c r="GPP1377" s="110"/>
      <c r="GPQ1377" s="110"/>
      <c r="GPR1377" s="110"/>
      <c r="GPS1377" s="110"/>
      <c r="GPT1377" s="110"/>
      <c r="GPU1377" s="110"/>
      <c r="GPV1377" s="110"/>
      <c r="GPW1377" s="110"/>
      <c r="GPX1377" s="110"/>
      <c r="GPY1377" s="110"/>
      <c r="GPZ1377" s="110"/>
      <c r="GQA1377" s="110"/>
      <c r="GQB1377" s="110"/>
      <c r="GQC1377" s="110"/>
      <c r="GQD1377" s="110"/>
      <c r="GQE1377" s="110"/>
      <c r="GQF1377" s="110"/>
      <c r="GQG1377" s="110"/>
      <c r="GQH1377" s="110"/>
      <c r="GQI1377" s="110"/>
      <c r="GQJ1377" s="110"/>
      <c r="GQK1377" s="110"/>
      <c r="GQL1377" s="110"/>
      <c r="GQM1377" s="110"/>
      <c r="GQN1377" s="110"/>
      <c r="GQO1377" s="110"/>
      <c r="GQP1377" s="110"/>
      <c r="GQQ1377" s="110"/>
      <c r="GQR1377" s="110"/>
      <c r="GQS1377" s="110"/>
      <c r="GQT1377" s="110"/>
      <c r="GQU1377" s="110"/>
      <c r="GQV1377" s="110"/>
      <c r="GQW1377" s="110"/>
      <c r="GQX1377" s="110"/>
      <c r="GQY1377" s="110"/>
      <c r="GQZ1377" s="110"/>
      <c r="GRA1377" s="110"/>
      <c r="GRB1377" s="110"/>
      <c r="GRC1377" s="110"/>
      <c r="GRD1377" s="110"/>
      <c r="GRE1377" s="110"/>
      <c r="GRF1377" s="110"/>
      <c r="GRG1377" s="110"/>
      <c r="GRH1377" s="110"/>
      <c r="GRI1377" s="110"/>
      <c r="GRJ1377" s="110"/>
      <c r="GRK1377" s="110"/>
      <c r="GRL1377" s="110"/>
      <c r="GRM1377" s="110"/>
      <c r="GRN1377" s="110"/>
      <c r="GRO1377" s="110"/>
      <c r="GRP1377" s="110"/>
      <c r="GRQ1377" s="110"/>
      <c r="GRR1377" s="110"/>
      <c r="GRS1377" s="110"/>
      <c r="GRT1377" s="110"/>
      <c r="GRU1377" s="110"/>
      <c r="GRV1377" s="110"/>
      <c r="GRW1377" s="110"/>
      <c r="GRX1377" s="110"/>
      <c r="GRY1377" s="110"/>
      <c r="GRZ1377" s="110"/>
      <c r="GSA1377" s="110"/>
      <c r="GSB1377" s="110"/>
      <c r="GSC1377" s="110"/>
      <c r="GSD1377" s="110"/>
      <c r="GSE1377" s="110"/>
      <c r="GSF1377" s="110"/>
      <c r="GSG1377" s="110"/>
      <c r="GSH1377" s="110"/>
      <c r="GSI1377" s="110"/>
      <c r="GSJ1377" s="110"/>
      <c r="GSK1377" s="110"/>
      <c r="GSL1377" s="110"/>
      <c r="GSM1377" s="110"/>
      <c r="GSN1377" s="110"/>
      <c r="GSO1377" s="110"/>
      <c r="GSP1377" s="110"/>
      <c r="GSQ1377" s="110"/>
      <c r="GSR1377" s="110"/>
      <c r="GSS1377" s="110"/>
      <c r="GST1377" s="110"/>
      <c r="GSU1377" s="110"/>
      <c r="GSV1377" s="110"/>
      <c r="GSW1377" s="110"/>
      <c r="GSX1377" s="110"/>
      <c r="GSY1377" s="110"/>
      <c r="GSZ1377" s="110"/>
      <c r="GTA1377" s="110"/>
      <c r="GTB1377" s="110"/>
      <c r="GTC1377" s="110"/>
      <c r="GTD1377" s="110"/>
      <c r="GTE1377" s="110"/>
      <c r="GTF1377" s="110"/>
      <c r="GTG1377" s="110"/>
      <c r="GTH1377" s="110"/>
      <c r="GTI1377" s="110"/>
      <c r="GTJ1377" s="110"/>
      <c r="GTK1377" s="110"/>
      <c r="GTL1377" s="110"/>
      <c r="GTM1377" s="110"/>
      <c r="GTN1377" s="110"/>
      <c r="GTO1377" s="110"/>
      <c r="GTP1377" s="110"/>
      <c r="GTQ1377" s="110"/>
      <c r="GTR1377" s="110"/>
      <c r="GTS1377" s="110"/>
      <c r="GTT1377" s="110"/>
      <c r="GTU1377" s="110"/>
      <c r="GTV1377" s="110"/>
      <c r="GTW1377" s="110"/>
      <c r="GTX1377" s="110"/>
      <c r="GTY1377" s="110"/>
      <c r="GTZ1377" s="110"/>
      <c r="GUA1377" s="110"/>
      <c r="GUB1377" s="110"/>
      <c r="GUC1377" s="110"/>
      <c r="GUD1377" s="110"/>
      <c r="GUE1377" s="110"/>
      <c r="GUF1377" s="110"/>
      <c r="GUG1377" s="110"/>
      <c r="GUH1377" s="110"/>
      <c r="GUI1377" s="110"/>
      <c r="GUJ1377" s="110"/>
      <c r="GUK1377" s="110"/>
      <c r="GUL1377" s="110"/>
      <c r="GUM1377" s="110"/>
      <c r="GUN1377" s="110"/>
      <c r="GUO1377" s="110"/>
      <c r="GUP1377" s="110"/>
      <c r="GUQ1377" s="110"/>
      <c r="GUR1377" s="110"/>
      <c r="GUS1377" s="110"/>
      <c r="GUT1377" s="110"/>
      <c r="GUU1377" s="110"/>
      <c r="GUV1377" s="110"/>
      <c r="GUW1377" s="110"/>
      <c r="GUX1377" s="110"/>
      <c r="GUY1377" s="110"/>
      <c r="GUZ1377" s="110"/>
      <c r="GVA1377" s="110"/>
      <c r="GVB1377" s="110"/>
      <c r="GVC1377" s="110"/>
      <c r="GVD1377" s="110"/>
      <c r="GVE1377" s="110"/>
      <c r="GVF1377" s="110"/>
      <c r="GVG1377" s="110"/>
      <c r="GVH1377" s="110"/>
      <c r="GVI1377" s="110"/>
      <c r="GVJ1377" s="110"/>
      <c r="GVK1377" s="110"/>
      <c r="GVL1377" s="110"/>
      <c r="GVM1377" s="110"/>
      <c r="GVN1377" s="110"/>
      <c r="GVO1377" s="110"/>
      <c r="GVP1377" s="110"/>
      <c r="GVQ1377" s="110"/>
      <c r="GVR1377" s="110"/>
      <c r="GVS1377" s="110"/>
      <c r="GVT1377" s="110"/>
      <c r="GVU1377" s="110"/>
      <c r="GVV1377" s="110"/>
      <c r="GVW1377" s="110"/>
      <c r="GVX1377" s="110"/>
      <c r="GVY1377" s="110"/>
      <c r="GVZ1377" s="110"/>
      <c r="GWA1377" s="110"/>
      <c r="GWB1377" s="110"/>
      <c r="GWC1377" s="110"/>
      <c r="GWD1377" s="110"/>
      <c r="GWE1377" s="110"/>
      <c r="GWF1377" s="110"/>
      <c r="GWG1377" s="110"/>
      <c r="GWH1377" s="110"/>
      <c r="GWI1377" s="110"/>
      <c r="GWJ1377" s="110"/>
      <c r="GWK1377" s="110"/>
      <c r="GWL1377" s="110"/>
      <c r="GWM1377" s="110"/>
      <c r="GWN1377" s="110"/>
      <c r="GWO1377" s="110"/>
      <c r="GWP1377" s="110"/>
      <c r="GWQ1377" s="110"/>
      <c r="GWR1377" s="110"/>
      <c r="GWS1377" s="110"/>
      <c r="GWT1377" s="110"/>
      <c r="GWU1377" s="110"/>
      <c r="GWV1377" s="110"/>
      <c r="GWW1377" s="110"/>
      <c r="GWX1377" s="110"/>
      <c r="GWY1377" s="110"/>
      <c r="GWZ1377" s="110"/>
      <c r="GXA1377" s="110"/>
      <c r="GXB1377" s="110"/>
      <c r="GXC1377" s="110"/>
      <c r="GXD1377" s="110"/>
      <c r="GXE1377" s="110"/>
      <c r="GXF1377" s="110"/>
      <c r="GXG1377" s="110"/>
      <c r="GXH1377" s="110"/>
      <c r="GXI1377" s="110"/>
      <c r="GXJ1377" s="110"/>
      <c r="GXK1377" s="110"/>
      <c r="GXL1377" s="110"/>
      <c r="GXM1377" s="110"/>
      <c r="GXN1377" s="110"/>
      <c r="GXO1377" s="110"/>
      <c r="GXP1377" s="110"/>
      <c r="GXQ1377" s="110"/>
      <c r="GXR1377" s="110"/>
      <c r="GXS1377" s="110"/>
      <c r="GXT1377" s="110"/>
      <c r="GXU1377" s="110"/>
      <c r="GXV1377" s="110"/>
      <c r="GXW1377" s="110"/>
      <c r="GXX1377" s="110"/>
      <c r="GXY1377" s="110"/>
      <c r="GXZ1377" s="110"/>
      <c r="GYA1377" s="110"/>
      <c r="GYB1377" s="110"/>
      <c r="GYC1377" s="110"/>
      <c r="GYD1377" s="110"/>
      <c r="GYE1377" s="110"/>
      <c r="GYF1377" s="110"/>
      <c r="GYG1377" s="110"/>
      <c r="GYH1377" s="110"/>
      <c r="GYI1377" s="110"/>
      <c r="GYJ1377" s="110"/>
      <c r="GYK1377" s="110"/>
      <c r="GYL1377" s="110"/>
      <c r="GYM1377" s="110"/>
      <c r="GYN1377" s="110"/>
      <c r="GYO1377" s="110"/>
      <c r="GYP1377" s="110"/>
      <c r="GYQ1377" s="110"/>
      <c r="GYR1377" s="110"/>
      <c r="GYS1377" s="110"/>
      <c r="GYT1377" s="110"/>
      <c r="GYU1377" s="110"/>
      <c r="GYV1377" s="110"/>
      <c r="GYW1377" s="110"/>
      <c r="GYX1377" s="110"/>
      <c r="GYY1377" s="110"/>
      <c r="GYZ1377" s="110"/>
      <c r="GZA1377" s="110"/>
      <c r="GZB1377" s="110"/>
      <c r="GZC1377" s="110"/>
      <c r="GZD1377" s="110"/>
      <c r="GZE1377" s="110"/>
      <c r="GZF1377" s="110"/>
      <c r="GZG1377" s="110"/>
      <c r="GZH1377" s="110"/>
      <c r="GZI1377" s="110"/>
      <c r="GZJ1377" s="110"/>
      <c r="GZK1377" s="110"/>
      <c r="GZL1377" s="110"/>
      <c r="GZM1377" s="110"/>
      <c r="GZN1377" s="110"/>
      <c r="GZO1377" s="110"/>
      <c r="GZP1377" s="110"/>
      <c r="GZQ1377" s="110"/>
      <c r="GZR1377" s="110"/>
      <c r="GZS1377" s="110"/>
      <c r="GZT1377" s="110"/>
      <c r="GZU1377" s="110"/>
      <c r="GZV1377" s="110"/>
      <c r="GZW1377" s="110"/>
      <c r="GZX1377" s="110"/>
      <c r="GZY1377" s="110"/>
      <c r="GZZ1377" s="110"/>
      <c r="HAA1377" s="110"/>
      <c r="HAB1377" s="110"/>
      <c r="HAC1377" s="110"/>
      <c r="HAD1377" s="110"/>
      <c r="HAE1377" s="110"/>
      <c r="HAF1377" s="110"/>
      <c r="HAG1377" s="110"/>
      <c r="HAH1377" s="110"/>
      <c r="HAI1377" s="110"/>
      <c r="HAJ1377" s="110"/>
      <c r="HAK1377" s="110"/>
      <c r="HAL1377" s="110"/>
      <c r="HAM1377" s="110"/>
      <c r="HAN1377" s="110"/>
      <c r="HAO1377" s="110"/>
      <c r="HAP1377" s="110"/>
      <c r="HAQ1377" s="110"/>
      <c r="HAR1377" s="110"/>
      <c r="HAS1377" s="110"/>
      <c r="HAT1377" s="110"/>
      <c r="HAU1377" s="110"/>
      <c r="HAV1377" s="110"/>
      <c r="HAW1377" s="110"/>
      <c r="HAX1377" s="110"/>
      <c r="HAY1377" s="110"/>
      <c r="HAZ1377" s="110"/>
      <c r="HBA1377" s="110"/>
      <c r="HBB1377" s="110"/>
      <c r="HBC1377" s="110"/>
      <c r="HBD1377" s="110"/>
      <c r="HBE1377" s="110"/>
      <c r="HBF1377" s="110"/>
      <c r="HBG1377" s="110"/>
      <c r="HBH1377" s="110"/>
      <c r="HBI1377" s="110"/>
      <c r="HBJ1377" s="110"/>
      <c r="HBK1377" s="110"/>
      <c r="HBL1377" s="110"/>
      <c r="HBM1377" s="110"/>
      <c r="HBN1377" s="110"/>
      <c r="HBO1377" s="110"/>
      <c r="HBP1377" s="110"/>
      <c r="HBQ1377" s="110"/>
      <c r="HBR1377" s="110"/>
      <c r="HBS1377" s="110"/>
      <c r="HBT1377" s="110"/>
      <c r="HBU1377" s="110"/>
      <c r="HBV1377" s="110"/>
      <c r="HBW1377" s="110"/>
      <c r="HBX1377" s="110"/>
      <c r="HBY1377" s="110"/>
      <c r="HBZ1377" s="110"/>
      <c r="HCA1377" s="110"/>
      <c r="HCB1377" s="110"/>
      <c r="HCC1377" s="110"/>
      <c r="HCD1377" s="110"/>
      <c r="HCE1377" s="110"/>
      <c r="HCF1377" s="110"/>
      <c r="HCG1377" s="110"/>
      <c r="HCH1377" s="110"/>
      <c r="HCI1377" s="110"/>
      <c r="HCJ1377" s="110"/>
      <c r="HCK1377" s="110"/>
      <c r="HCL1377" s="110"/>
      <c r="HCM1377" s="110"/>
      <c r="HCN1377" s="110"/>
      <c r="HCO1377" s="110"/>
      <c r="HCP1377" s="110"/>
      <c r="HCQ1377" s="110"/>
      <c r="HCR1377" s="110"/>
      <c r="HCS1377" s="110"/>
      <c r="HCT1377" s="110"/>
      <c r="HCU1377" s="110"/>
      <c r="HCV1377" s="110"/>
      <c r="HCW1377" s="110"/>
      <c r="HCX1377" s="110"/>
      <c r="HCY1377" s="110"/>
      <c r="HCZ1377" s="110"/>
      <c r="HDA1377" s="110"/>
      <c r="HDB1377" s="110"/>
      <c r="HDC1377" s="110"/>
      <c r="HDD1377" s="110"/>
      <c r="HDE1377" s="110"/>
      <c r="HDF1377" s="110"/>
      <c r="HDG1377" s="110"/>
      <c r="HDH1377" s="110"/>
      <c r="HDI1377" s="110"/>
      <c r="HDJ1377" s="110"/>
      <c r="HDK1377" s="110"/>
      <c r="HDL1377" s="110"/>
      <c r="HDM1377" s="110"/>
      <c r="HDN1377" s="110"/>
      <c r="HDO1377" s="110"/>
      <c r="HDP1377" s="110"/>
      <c r="HDQ1377" s="110"/>
      <c r="HDR1377" s="110"/>
      <c r="HDS1377" s="110"/>
      <c r="HDT1377" s="110"/>
      <c r="HDU1377" s="110"/>
      <c r="HDV1377" s="110"/>
      <c r="HDW1377" s="110"/>
      <c r="HDX1377" s="110"/>
      <c r="HDY1377" s="110"/>
      <c r="HDZ1377" s="110"/>
      <c r="HEA1377" s="110"/>
      <c r="HEB1377" s="110"/>
      <c r="HEC1377" s="110"/>
      <c r="HED1377" s="110"/>
      <c r="HEE1377" s="110"/>
      <c r="HEF1377" s="110"/>
      <c r="HEG1377" s="110"/>
      <c r="HEH1377" s="110"/>
      <c r="HEI1377" s="110"/>
      <c r="HEJ1377" s="110"/>
      <c r="HEK1377" s="110"/>
      <c r="HEL1377" s="110"/>
      <c r="HEM1377" s="110"/>
      <c r="HEN1377" s="110"/>
      <c r="HEO1377" s="110"/>
      <c r="HEP1377" s="110"/>
      <c r="HEQ1377" s="110"/>
      <c r="HER1377" s="110"/>
      <c r="HES1377" s="110"/>
      <c r="HET1377" s="110"/>
      <c r="HEU1377" s="110"/>
      <c r="HEV1377" s="110"/>
      <c r="HEW1377" s="110"/>
      <c r="HEX1377" s="110"/>
      <c r="HEY1377" s="110"/>
      <c r="HEZ1377" s="110"/>
      <c r="HFA1377" s="110"/>
      <c r="HFB1377" s="110"/>
      <c r="HFC1377" s="110"/>
      <c r="HFD1377" s="110"/>
      <c r="HFE1377" s="110"/>
      <c r="HFF1377" s="110"/>
      <c r="HFG1377" s="110"/>
      <c r="HFH1377" s="110"/>
      <c r="HFI1377" s="110"/>
      <c r="HFJ1377" s="110"/>
      <c r="HFK1377" s="110"/>
      <c r="HFL1377" s="110"/>
      <c r="HFM1377" s="110"/>
      <c r="HFN1377" s="110"/>
      <c r="HFO1377" s="110"/>
      <c r="HFP1377" s="110"/>
      <c r="HFQ1377" s="110"/>
      <c r="HFR1377" s="110"/>
      <c r="HFS1377" s="110"/>
      <c r="HFT1377" s="110"/>
      <c r="HFU1377" s="110"/>
      <c r="HFV1377" s="110"/>
      <c r="HFW1377" s="110"/>
      <c r="HFX1377" s="110"/>
      <c r="HFY1377" s="110"/>
      <c r="HFZ1377" s="110"/>
      <c r="HGA1377" s="110"/>
      <c r="HGB1377" s="110"/>
      <c r="HGC1377" s="110"/>
      <c r="HGD1377" s="110"/>
      <c r="HGE1377" s="110"/>
      <c r="HGF1377" s="110"/>
      <c r="HGG1377" s="110"/>
      <c r="HGH1377" s="110"/>
      <c r="HGI1377" s="110"/>
      <c r="HGJ1377" s="110"/>
      <c r="HGK1377" s="110"/>
      <c r="HGL1377" s="110"/>
      <c r="HGM1377" s="110"/>
      <c r="HGN1377" s="110"/>
      <c r="HGO1377" s="110"/>
      <c r="HGP1377" s="110"/>
      <c r="HGQ1377" s="110"/>
      <c r="HGR1377" s="110"/>
      <c r="HGS1377" s="110"/>
      <c r="HGT1377" s="110"/>
      <c r="HGU1377" s="110"/>
      <c r="HGV1377" s="110"/>
      <c r="HGW1377" s="110"/>
      <c r="HGX1377" s="110"/>
      <c r="HGY1377" s="110"/>
      <c r="HGZ1377" s="110"/>
      <c r="HHA1377" s="110"/>
      <c r="HHB1377" s="110"/>
      <c r="HHC1377" s="110"/>
      <c r="HHD1377" s="110"/>
      <c r="HHE1377" s="110"/>
      <c r="HHF1377" s="110"/>
      <c r="HHG1377" s="110"/>
      <c r="HHH1377" s="110"/>
      <c r="HHI1377" s="110"/>
      <c r="HHJ1377" s="110"/>
      <c r="HHK1377" s="110"/>
      <c r="HHL1377" s="110"/>
      <c r="HHM1377" s="110"/>
      <c r="HHN1377" s="110"/>
      <c r="HHO1377" s="110"/>
      <c r="HHP1377" s="110"/>
      <c r="HHQ1377" s="110"/>
      <c r="HHR1377" s="110"/>
      <c r="HHS1377" s="110"/>
      <c r="HHT1377" s="110"/>
      <c r="HHU1377" s="110"/>
      <c r="HHV1377" s="110"/>
      <c r="HHW1377" s="110"/>
      <c r="HHX1377" s="110"/>
      <c r="HHY1377" s="110"/>
      <c r="HHZ1377" s="110"/>
      <c r="HIA1377" s="110"/>
      <c r="HIB1377" s="110"/>
      <c r="HIC1377" s="110"/>
      <c r="HID1377" s="110"/>
      <c r="HIE1377" s="110"/>
      <c r="HIF1377" s="110"/>
      <c r="HIG1377" s="110"/>
      <c r="HIH1377" s="110"/>
      <c r="HII1377" s="110"/>
      <c r="HIJ1377" s="110"/>
      <c r="HIK1377" s="110"/>
      <c r="HIL1377" s="110"/>
      <c r="HIM1377" s="110"/>
      <c r="HIN1377" s="110"/>
      <c r="HIO1377" s="110"/>
      <c r="HIP1377" s="110"/>
      <c r="HIQ1377" s="110"/>
      <c r="HIR1377" s="110"/>
      <c r="HIS1377" s="110"/>
      <c r="HIT1377" s="110"/>
      <c r="HIU1377" s="110"/>
      <c r="HIV1377" s="110"/>
      <c r="HIW1377" s="110"/>
      <c r="HIX1377" s="110"/>
      <c r="HIY1377" s="110"/>
      <c r="HIZ1377" s="110"/>
      <c r="HJA1377" s="110"/>
      <c r="HJB1377" s="110"/>
      <c r="HJC1377" s="110"/>
      <c r="HJD1377" s="110"/>
      <c r="HJE1377" s="110"/>
      <c r="HJF1377" s="110"/>
      <c r="HJG1377" s="110"/>
      <c r="HJH1377" s="110"/>
      <c r="HJI1377" s="110"/>
      <c r="HJJ1377" s="110"/>
      <c r="HJK1377" s="110"/>
      <c r="HJL1377" s="110"/>
      <c r="HJM1377" s="110"/>
      <c r="HJN1377" s="110"/>
      <c r="HJO1377" s="110"/>
      <c r="HJP1377" s="110"/>
      <c r="HJQ1377" s="110"/>
      <c r="HJR1377" s="110"/>
      <c r="HJS1377" s="110"/>
      <c r="HJT1377" s="110"/>
      <c r="HJU1377" s="110"/>
      <c r="HJV1377" s="110"/>
      <c r="HJW1377" s="110"/>
      <c r="HJX1377" s="110"/>
      <c r="HJY1377" s="110"/>
      <c r="HJZ1377" s="110"/>
      <c r="HKA1377" s="110"/>
      <c r="HKB1377" s="110"/>
      <c r="HKC1377" s="110"/>
      <c r="HKD1377" s="110"/>
      <c r="HKE1377" s="110"/>
      <c r="HKF1377" s="110"/>
      <c r="HKG1377" s="110"/>
      <c r="HKH1377" s="110"/>
      <c r="HKI1377" s="110"/>
      <c r="HKJ1377" s="110"/>
      <c r="HKK1377" s="110"/>
      <c r="HKL1377" s="110"/>
      <c r="HKM1377" s="110"/>
      <c r="HKN1377" s="110"/>
      <c r="HKO1377" s="110"/>
      <c r="HKP1377" s="110"/>
      <c r="HKQ1377" s="110"/>
      <c r="HKR1377" s="110"/>
      <c r="HKS1377" s="110"/>
      <c r="HKT1377" s="110"/>
      <c r="HKU1377" s="110"/>
      <c r="HKV1377" s="110"/>
      <c r="HKW1377" s="110"/>
      <c r="HKX1377" s="110"/>
      <c r="HKY1377" s="110"/>
      <c r="HKZ1377" s="110"/>
      <c r="HLA1377" s="110"/>
      <c r="HLB1377" s="110"/>
      <c r="HLC1377" s="110"/>
      <c r="HLD1377" s="110"/>
      <c r="HLE1377" s="110"/>
      <c r="HLF1377" s="110"/>
      <c r="HLG1377" s="110"/>
      <c r="HLH1377" s="110"/>
      <c r="HLI1377" s="110"/>
      <c r="HLJ1377" s="110"/>
      <c r="HLK1377" s="110"/>
      <c r="HLL1377" s="110"/>
      <c r="HLM1377" s="110"/>
      <c r="HLN1377" s="110"/>
      <c r="HLO1377" s="110"/>
      <c r="HLP1377" s="110"/>
      <c r="HLQ1377" s="110"/>
      <c r="HLR1377" s="110"/>
      <c r="HLS1377" s="110"/>
      <c r="HLT1377" s="110"/>
      <c r="HLU1377" s="110"/>
      <c r="HLV1377" s="110"/>
      <c r="HLW1377" s="110"/>
      <c r="HLX1377" s="110"/>
      <c r="HLY1377" s="110"/>
      <c r="HLZ1377" s="110"/>
      <c r="HMA1377" s="110"/>
      <c r="HMB1377" s="110"/>
      <c r="HMC1377" s="110"/>
      <c r="HMD1377" s="110"/>
      <c r="HME1377" s="110"/>
      <c r="HMF1377" s="110"/>
      <c r="HMG1377" s="110"/>
      <c r="HMH1377" s="110"/>
      <c r="HMI1377" s="110"/>
      <c r="HMJ1377" s="110"/>
      <c r="HMK1377" s="110"/>
      <c r="HML1377" s="110"/>
      <c r="HMM1377" s="110"/>
      <c r="HMN1377" s="110"/>
      <c r="HMO1377" s="110"/>
      <c r="HMP1377" s="110"/>
      <c r="HMQ1377" s="110"/>
      <c r="HMR1377" s="110"/>
      <c r="HMS1377" s="110"/>
      <c r="HMT1377" s="110"/>
      <c r="HMU1377" s="110"/>
      <c r="HMV1377" s="110"/>
      <c r="HMW1377" s="110"/>
      <c r="HMX1377" s="110"/>
      <c r="HMY1377" s="110"/>
      <c r="HMZ1377" s="110"/>
      <c r="HNA1377" s="110"/>
      <c r="HNB1377" s="110"/>
      <c r="HNC1377" s="110"/>
      <c r="HND1377" s="110"/>
      <c r="HNE1377" s="110"/>
      <c r="HNF1377" s="110"/>
      <c r="HNG1377" s="110"/>
      <c r="HNH1377" s="110"/>
      <c r="HNI1377" s="110"/>
      <c r="HNJ1377" s="110"/>
      <c r="HNK1377" s="110"/>
      <c r="HNL1377" s="110"/>
      <c r="HNM1377" s="110"/>
      <c r="HNN1377" s="110"/>
      <c r="HNO1377" s="110"/>
      <c r="HNP1377" s="110"/>
      <c r="HNQ1377" s="110"/>
      <c r="HNR1377" s="110"/>
      <c r="HNS1377" s="110"/>
      <c r="HNT1377" s="110"/>
      <c r="HNU1377" s="110"/>
      <c r="HNV1377" s="110"/>
      <c r="HNW1377" s="110"/>
      <c r="HNX1377" s="110"/>
      <c r="HNY1377" s="110"/>
      <c r="HNZ1377" s="110"/>
      <c r="HOA1377" s="110"/>
      <c r="HOB1377" s="110"/>
      <c r="HOC1377" s="110"/>
      <c r="HOD1377" s="110"/>
      <c r="HOE1377" s="110"/>
      <c r="HOF1377" s="110"/>
      <c r="HOG1377" s="110"/>
      <c r="HOH1377" s="110"/>
      <c r="HOI1377" s="110"/>
      <c r="HOJ1377" s="110"/>
      <c r="HOK1377" s="110"/>
      <c r="HOL1377" s="110"/>
      <c r="HOM1377" s="110"/>
      <c r="HON1377" s="110"/>
      <c r="HOO1377" s="110"/>
      <c r="HOP1377" s="110"/>
      <c r="HOQ1377" s="110"/>
      <c r="HOR1377" s="110"/>
      <c r="HOS1377" s="110"/>
      <c r="HOT1377" s="110"/>
      <c r="HOU1377" s="110"/>
      <c r="HOV1377" s="110"/>
      <c r="HOW1377" s="110"/>
      <c r="HOX1377" s="110"/>
      <c r="HOY1377" s="110"/>
      <c r="HOZ1377" s="110"/>
      <c r="HPA1377" s="110"/>
      <c r="HPB1377" s="110"/>
      <c r="HPC1377" s="110"/>
      <c r="HPD1377" s="110"/>
      <c r="HPE1377" s="110"/>
      <c r="HPF1377" s="110"/>
      <c r="HPG1377" s="110"/>
      <c r="HPH1377" s="110"/>
      <c r="HPI1377" s="110"/>
      <c r="HPJ1377" s="110"/>
      <c r="HPK1377" s="110"/>
      <c r="HPL1377" s="110"/>
      <c r="HPM1377" s="110"/>
      <c r="HPN1377" s="110"/>
      <c r="HPO1377" s="110"/>
      <c r="HPP1377" s="110"/>
      <c r="HPQ1377" s="110"/>
      <c r="HPR1377" s="110"/>
      <c r="HPS1377" s="110"/>
      <c r="HPT1377" s="110"/>
      <c r="HPU1377" s="110"/>
      <c r="HPV1377" s="110"/>
      <c r="HPW1377" s="110"/>
      <c r="HPX1377" s="110"/>
      <c r="HPY1377" s="110"/>
      <c r="HPZ1377" s="110"/>
      <c r="HQA1377" s="110"/>
      <c r="HQB1377" s="110"/>
      <c r="HQC1377" s="110"/>
      <c r="HQD1377" s="110"/>
      <c r="HQE1377" s="110"/>
      <c r="HQF1377" s="110"/>
      <c r="HQG1377" s="110"/>
      <c r="HQH1377" s="110"/>
      <c r="HQI1377" s="110"/>
      <c r="HQJ1377" s="110"/>
      <c r="HQK1377" s="110"/>
      <c r="HQL1377" s="110"/>
      <c r="HQM1377" s="110"/>
      <c r="HQN1377" s="110"/>
      <c r="HQO1377" s="110"/>
      <c r="HQP1377" s="110"/>
      <c r="HQQ1377" s="110"/>
      <c r="HQR1377" s="110"/>
      <c r="HQS1377" s="110"/>
      <c r="HQT1377" s="110"/>
      <c r="HQU1377" s="110"/>
      <c r="HQV1377" s="110"/>
      <c r="HQW1377" s="110"/>
      <c r="HQX1377" s="110"/>
      <c r="HQY1377" s="110"/>
      <c r="HQZ1377" s="110"/>
      <c r="HRA1377" s="110"/>
      <c r="HRB1377" s="110"/>
      <c r="HRC1377" s="110"/>
      <c r="HRD1377" s="110"/>
      <c r="HRE1377" s="110"/>
      <c r="HRF1377" s="110"/>
      <c r="HRG1377" s="110"/>
      <c r="HRH1377" s="110"/>
      <c r="HRI1377" s="110"/>
      <c r="HRJ1377" s="110"/>
      <c r="HRK1377" s="110"/>
      <c r="HRL1377" s="110"/>
      <c r="HRM1377" s="110"/>
      <c r="HRN1377" s="110"/>
      <c r="HRO1377" s="110"/>
      <c r="HRP1377" s="110"/>
      <c r="HRQ1377" s="110"/>
      <c r="HRR1377" s="110"/>
      <c r="HRS1377" s="110"/>
      <c r="HRT1377" s="110"/>
      <c r="HRU1377" s="110"/>
      <c r="HRV1377" s="110"/>
      <c r="HRW1377" s="110"/>
      <c r="HRX1377" s="110"/>
      <c r="HRY1377" s="110"/>
      <c r="HRZ1377" s="110"/>
      <c r="HSA1377" s="110"/>
      <c r="HSB1377" s="110"/>
      <c r="HSC1377" s="110"/>
      <c r="HSD1377" s="110"/>
      <c r="HSE1377" s="110"/>
      <c r="HSF1377" s="110"/>
      <c r="HSG1377" s="110"/>
      <c r="HSH1377" s="110"/>
      <c r="HSI1377" s="110"/>
      <c r="HSJ1377" s="110"/>
      <c r="HSK1377" s="110"/>
      <c r="HSL1377" s="110"/>
      <c r="HSM1377" s="110"/>
      <c r="HSN1377" s="110"/>
      <c r="HSO1377" s="110"/>
      <c r="HSP1377" s="110"/>
      <c r="HSQ1377" s="110"/>
      <c r="HSR1377" s="110"/>
      <c r="HSS1377" s="110"/>
      <c r="HST1377" s="110"/>
      <c r="HSU1377" s="110"/>
      <c r="HSV1377" s="110"/>
      <c r="HSW1377" s="110"/>
      <c r="HSX1377" s="110"/>
      <c r="HSY1377" s="110"/>
      <c r="HSZ1377" s="110"/>
      <c r="HTA1377" s="110"/>
      <c r="HTB1377" s="110"/>
      <c r="HTC1377" s="110"/>
      <c r="HTD1377" s="110"/>
      <c r="HTE1377" s="110"/>
      <c r="HTF1377" s="110"/>
      <c r="HTG1377" s="110"/>
      <c r="HTH1377" s="110"/>
      <c r="HTI1377" s="110"/>
      <c r="HTJ1377" s="110"/>
      <c r="HTK1377" s="110"/>
      <c r="HTL1377" s="110"/>
      <c r="HTM1377" s="110"/>
      <c r="HTN1377" s="110"/>
      <c r="HTO1377" s="110"/>
      <c r="HTP1377" s="110"/>
      <c r="HTQ1377" s="110"/>
      <c r="HTR1377" s="110"/>
      <c r="HTS1377" s="110"/>
      <c r="HTT1377" s="110"/>
      <c r="HTU1377" s="110"/>
      <c r="HTV1377" s="110"/>
      <c r="HTW1377" s="110"/>
      <c r="HTX1377" s="110"/>
      <c r="HTY1377" s="110"/>
      <c r="HTZ1377" s="110"/>
      <c r="HUA1377" s="110"/>
      <c r="HUB1377" s="110"/>
      <c r="HUC1377" s="110"/>
      <c r="HUD1377" s="110"/>
      <c r="HUE1377" s="110"/>
      <c r="HUF1377" s="110"/>
      <c r="HUG1377" s="110"/>
      <c r="HUH1377" s="110"/>
      <c r="HUI1377" s="110"/>
      <c r="HUJ1377" s="110"/>
      <c r="HUK1377" s="110"/>
      <c r="HUL1377" s="110"/>
      <c r="HUM1377" s="110"/>
      <c r="HUN1377" s="110"/>
      <c r="HUO1377" s="110"/>
      <c r="HUP1377" s="110"/>
      <c r="HUQ1377" s="110"/>
      <c r="HUR1377" s="110"/>
      <c r="HUS1377" s="110"/>
      <c r="HUT1377" s="110"/>
      <c r="HUU1377" s="110"/>
      <c r="HUV1377" s="110"/>
      <c r="HUW1377" s="110"/>
      <c r="HUX1377" s="110"/>
      <c r="HUY1377" s="110"/>
      <c r="HUZ1377" s="110"/>
      <c r="HVA1377" s="110"/>
      <c r="HVB1377" s="110"/>
      <c r="HVC1377" s="110"/>
      <c r="HVD1377" s="110"/>
      <c r="HVE1377" s="110"/>
      <c r="HVF1377" s="110"/>
      <c r="HVG1377" s="110"/>
      <c r="HVH1377" s="110"/>
      <c r="HVI1377" s="110"/>
      <c r="HVJ1377" s="110"/>
      <c r="HVK1377" s="110"/>
      <c r="HVL1377" s="110"/>
      <c r="HVM1377" s="110"/>
      <c r="HVN1377" s="110"/>
      <c r="HVO1377" s="110"/>
      <c r="HVP1377" s="110"/>
      <c r="HVQ1377" s="110"/>
      <c r="HVR1377" s="110"/>
      <c r="HVS1377" s="110"/>
      <c r="HVT1377" s="110"/>
      <c r="HVU1377" s="110"/>
      <c r="HVV1377" s="110"/>
      <c r="HVW1377" s="110"/>
      <c r="HVX1377" s="110"/>
      <c r="HVY1377" s="110"/>
      <c r="HVZ1377" s="110"/>
      <c r="HWA1377" s="110"/>
      <c r="HWB1377" s="110"/>
      <c r="HWC1377" s="110"/>
      <c r="HWD1377" s="110"/>
      <c r="HWE1377" s="110"/>
      <c r="HWF1377" s="110"/>
      <c r="HWG1377" s="110"/>
      <c r="HWH1377" s="110"/>
      <c r="HWI1377" s="110"/>
      <c r="HWJ1377" s="110"/>
      <c r="HWK1377" s="110"/>
      <c r="HWL1377" s="110"/>
      <c r="HWM1377" s="110"/>
      <c r="HWN1377" s="110"/>
      <c r="HWO1377" s="110"/>
      <c r="HWP1377" s="110"/>
      <c r="HWQ1377" s="110"/>
      <c r="HWR1377" s="110"/>
      <c r="HWS1377" s="110"/>
      <c r="HWT1377" s="110"/>
      <c r="HWU1377" s="110"/>
      <c r="HWV1377" s="110"/>
      <c r="HWW1377" s="110"/>
      <c r="HWX1377" s="110"/>
      <c r="HWY1377" s="110"/>
      <c r="HWZ1377" s="110"/>
      <c r="HXA1377" s="110"/>
      <c r="HXB1377" s="110"/>
      <c r="HXC1377" s="110"/>
      <c r="HXD1377" s="110"/>
      <c r="HXE1377" s="110"/>
      <c r="HXF1377" s="110"/>
      <c r="HXG1377" s="110"/>
      <c r="HXH1377" s="110"/>
      <c r="HXI1377" s="110"/>
      <c r="HXJ1377" s="110"/>
      <c r="HXK1377" s="110"/>
      <c r="HXL1377" s="110"/>
      <c r="HXM1377" s="110"/>
      <c r="HXN1377" s="110"/>
      <c r="HXO1377" s="110"/>
      <c r="HXP1377" s="110"/>
      <c r="HXQ1377" s="110"/>
      <c r="HXR1377" s="110"/>
      <c r="HXS1377" s="110"/>
      <c r="HXT1377" s="110"/>
      <c r="HXU1377" s="110"/>
      <c r="HXV1377" s="110"/>
      <c r="HXW1377" s="110"/>
      <c r="HXX1377" s="110"/>
      <c r="HXY1377" s="110"/>
      <c r="HXZ1377" s="110"/>
      <c r="HYA1377" s="110"/>
      <c r="HYB1377" s="110"/>
      <c r="HYC1377" s="110"/>
      <c r="HYD1377" s="110"/>
      <c r="HYE1377" s="110"/>
      <c r="HYF1377" s="110"/>
      <c r="HYG1377" s="110"/>
      <c r="HYH1377" s="110"/>
      <c r="HYI1377" s="110"/>
      <c r="HYJ1377" s="110"/>
      <c r="HYK1377" s="110"/>
      <c r="HYL1377" s="110"/>
      <c r="HYM1377" s="110"/>
      <c r="HYN1377" s="110"/>
      <c r="HYO1377" s="110"/>
      <c r="HYP1377" s="110"/>
      <c r="HYQ1377" s="110"/>
      <c r="HYR1377" s="110"/>
      <c r="HYS1377" s="110"/>
      <c r="HYT1377" s="110"/>
      <c r="HYU1377" s="110"/>
      <c r="HYV1377" s="110"/>
      <c r="HYW1377" s="110"/>
      <c r="HYX1377" s="110"/>
      <c r="HYY1377" s="110"/>
      <c r="HYZ1377" s="110"/>
      <c r="HZA1377" s="110"/>
      <c r="HZB1377" s="110"/>
      <c r="HZC1377" s="110"/>
      <c r="HZD1377" s="110"/>
      <c r="HZE1377" s="110"/>
      <c r="HZF1377" s="110"/>
      <c r="HZG1377" s="110"/>
      <c r="HZH1377" s="110"/>
      <c r="HZI1377" s="110"/>
      <c r="HZJ1377" s="110"/>
      <c r="HZK1377" s="110"/>
      <c r="HZL1377" s="110"/>
      <c r="HZM1377" s="110"/>
      <c r="HZN1377" s="110"/>
      <c r="HZO1377" s="110"/>
      <c r="HZP1377" s="110"/>
      <c r="HZQ1377" s="110"/>
      <c r="HZR1377" s="110"/>
      <c r="HZS1377" s="110"/>
      <c r="HZT1377" s="110"/>
      <c r="HZU1377" s="110"/>
      <c r="HZV1377" s="110"/>
      <c r="HZW1377" s="110"/>
      <c r="HZX1377" s="110"/>
      <c r="HZY1377" s="110"/>
      <c r="HZZ1377" s="110"/>
      <c r="IAA1377" s="110"/>
      <c r="IAB1377" s="110"/>
      <c r="IAC1377" s="110"/>
      <c r="IAD1377" s="110"/>
      <c r="IAE1377" s="110"/>
      <c r="IAF1377" s="110"/>
      <c r="IAG1377" s="110"/>
      <c r="IAH1377" s="110"/>
      <c r="IAI1377" s="110"/>
      <c r="IAJ1377" s="110"/>
      <c r="IAK1377" s="110"/>
      <c r="IAL1377" s="110"/>
      <c r="IAM1377" s="110"/>
      <c r="IAN1377" s="110"/>
      <c r="IAO1377" s="110"/>
      <c r="IAP1377" s="110"/>
      <c r="IAQ1377" s="110"/>
      <c r="IAR1377" s="110"/>
      <c r="IAS1377" s="110"/>
      <c r="IAT1377" s="110"/>
      <c r="IAU1377" s="110"/>
      <c r="IAV1377" s="110"/>
      <c r="IAW1377" s="110"/>
      <c r="IAX1377" s="110"/>
      <c r="IAY1377" s="110"/>
      <c r="IAZ1377" s="110"/>
      <c r="IBA1377" s="110"/>
      <c r="IBB1377" s="110"/>
      <c r="IBC1377" s="110"/>
      <c r="IBD1377" s="110"/>
      <c r="IBE1377" s="110"/>
      <c r="IBF1377" s="110"/>
      <c r="IBG1377" s="110"/>
      <c r="IBH1377" s="110"/>
      <c r="IBI1377" s="110"/>
      <c r="IBJ1377" s="110"/>
      <c r="IBK1377" s="110"/>
      <c r="IBL1377" s="110"/>
      <c r="IBM1377" s="110"/>
      <c r="IBN1377" s="110"/>
      <c r="IBO1377" s="110"/>
      <c r="IBP1377" s="110"/>
      <c r="IBQ1377" s="110"/>
      <c r="IBR1377" s="110"/>
      <c r="IBS1377" s="110"/>
      <c r="IBT1377" s="110"/>
      <c r="IBU1377" s="110"/>
      <c r="IBV1377" s="110"/>
      <c r="IBW1377" s="110"/>
      <c r="IBX1377" s="110"/>
      <c r="IBY1377" s="110"/>
      <c r="IBZ1377" s="110"/>
      <c r="ICA1377" s="110"/>
      <c r="ICB1377" s="110"/>
      <c r="ICC1377" s="110"/>
      <c r="ICD1377" s="110"/>
      <c r="ICE1377" s="110"/>
      <c r="ICF1377" s="110"/>
      <c r="ICG1377" s="110"/>
      <c r="ICH1377" s="110"/>
      <c r="ICI1377" s="110"/>
      <c r="ICJ1377" s="110"/>
      <c r="ICK1377" s="110"/>
      <c r="ICL1377" s="110"/>
      <c r="ICM1377" s="110"/>
      <c r="ICN1377" s="110"/>
      <c r="ICO1377" s="110"/>
      <c r="ICP1377" s="110"/>
      <c r="ICQ1377" s="110"/>
      <c r="ICR1377" s="110"/>
      <c r="ICS1377" s="110"/>
      <c r="ICT1377" s="110"/>
      <c r="ICU1377" s="110"/>
      <c r="ICV1377" s="110"/>
      <c r="ICW1377" s="110"/>
      <c r="ICX1377" s="110"/>
      <c r="ICY1377" s="110"/>
      <c r="ICZ1377" s="110"/>
      <c r="IDA1377" s="110"/>
      <c r="IDB1377" s="110"/>
      <c r="IDC1377" s="110"/>
      <c r="IDD1377" s="110"/>
      <c r="IDE1377" s="110"/>
      <c r="IDF1377" s="110"/>
      <c r="IDG1377" s="110"/>
      <c r="IDH1377" s="110"/>
      <c r="IDI1377" s="110"/>
      <c r="IDJ1377" s="110"/>
      <c r="IDK1377" s="110"/>
      <c r="IDL1377" s="110"/>
      <c r="IDM1377" s="110"/>
      <c r="IDN1377" s="110"/>
      <c r="IDO1377" s="110"/>
      <c r="IDP1377" s="110"/>
      <c r="IDQ1377" s="110"/>
      <c r="IDR1377" s="110"/>
      <c r="IDS1377" s="110"/>
      <c r="IDT1377" s="110"/>
      <c r="IDU1377" s="110"/>
      <c r="IDV1377" s="110"/>
      <c r="IDW1377" s="110"/>
      <c r="IDX1377" s="110"/>
      <c r="IDY1377" s="110"/>
      <c r="IDZ1377" s="110"/>
      <c r="IEA1377" s="110"/>
      <c r="IEB1377" s="110"/>
      <c r="IEC1377" s="110"/>
      <c r="IED1377" s="110"/>
      <c r="IEE1377" s="110"/>
      <c r="IEF1377" s="110"/>
      <c r="IEG1377" s="110"/>
      <c r="IEH1377" s="110"/>
      <c r="IEI1377" s="110"/>
      <c r="IEJ1377" s="110"/>
      <c r="IEK1377" s="110"/>
      <c r="IEL1377" s="110"/>
      <c r="IEM1377" s="110"/>
      <c r="IEN1377" s="110"/>
      <c r="IEO1377" s="110"/>
      <c r="IEP1377" s="110"/>
      <c r="IEQ1377" s="110"/>
      <c r="IER1377" s="110"/>
      <c r="IES1377" s="110"/>
      <c r="IET1377" s="110"/>
      <c r="IEU1377" s="110"/>
      <c r="IEV1377" s="110"/>
      <c r="IEW1377" s="110"/>
      <c r="IEX1377" s="110"/>
      <c r="IEY1377" s="110"/>
      <c r="IEZ1377" s="110"/>
      <c r="IFA1377" s="110"/>
      <c r="IFB1377" s="110"/>
      <c r="IFC1377" s="110"/>
      <c r="IFD1377" s="110"/>
      <c r="IFE1377" s="110"/>
      <c r="IFF1377" s="110"/>
      <c r="IFG1377" s="110"/>
      <c r="IFH1377" s="110"/>
      <c r="IFI1377" s="110"/>
      <c r="IFJ1377" s="110"/>
      <c r="IFK1377" s="110"/>
      <c r="IFL1377" s="110"/>
      <c r="IFM1377" s="110"/>
      <c r="IFN1377" s="110"/>
      <c r="IFO1377" s="110"/>
      <c r="IFP1377" s="110"/>
      <c r="IFQ1377" s="110"/>
      <c r="IFR1377" s="110"/>
      <c r="IFS1377" s="110"/>
      <c r="IFT1377" s="110"/>
      <c r="IFU1377" s="110"/>
      <c r="IFV1377" s="110"/>
      <c r="IFW1377" s="110"/>
      <c r="IFX1377" s="110"/>
      <c r="IFY1377" s="110"/>
      <c r="IFZ1377" s="110"/>
      <c r="IGA1377" s="110"/>
      <c r="IGB1377" s="110"/>
      <c r="IGC1377" s="110"/>
      <c r="IGD1377" s="110"/>
      <c r="IGE1377" s="110"/>
      <c r="IGF1377" s="110"/>
      <c r="IGG1377" s="110"/>
      <c r="IGH1377" s="110"/>
      <c r="IGI1377" s="110"/>
      <c r="IGJ1377" s="110"/>
      <c r="IGK1377" s="110"/>
      <c r="IGL1377" s="110"/>
      <c r="IGM1377" s="110"/>
      <c r="IGN1377" s="110"/>
      <c r="IGO1377" s="110"/>
      <c r="IGP1377" s="110"/>
      <c r="IGQ1377" s="110"/>
      <c r="IGR1377" s="110"/>
      <c r="IGS1377" s="110"/>
      <c r="IGT1377" s="110"/>
      <c r="IGU1377" s="110"/>
      <c r="IGV1377" s="110"/>
      <c r="IGW1377" s="110"/>
      <c r="IGX1377" s="110"/>
      <c r="IGY1377" s="110"/>
      <c r="IGZ1377" s="110"/>
      <c r="IHA1377" s="110"/>
      <c r="IHB1377" s="110"/>
      <c r="IHC1377" s="110"/>
      <c r="IHD1377" s="110"/>
      <c r="IHE1377" s="110"/>
      <c r="IHF1377" s="110"/>
      <c r="IHG1377" s="110"/>
      <c r="IHH1377" s="110"/>
      <c r="IHI1377" s="110"/>
      <c r="IHJ1377" s="110"/>
      <c r="IHK1377" s="110"/>
      <c r="IHL1377" s="110"/>
      <c r="IHM1377" s="110"/>
      <c r="IHN1377" s="110"/>
      <c r="IHO1377" s="110"/>
      <c r="IHP1377" s="110"/>
      <c r="IHQ1377" s="110"/>
      <c r="IHR1377" s="110"/>
      <c r="IHS1377" s="110"/>
      <c r="IHT1377" s="110"/>
      <c r="IHU1377" s="110"/>
      <c r="IHV1377" s="110"/>
      <c r="IHW1377" s="110"/>
      <c r="IHX1377" s="110"/>
      <c r="IHY1377" s="110"/>
      <c r="IHZ1377" s="110"/>
      <c r="IIA1377" s="110"/>
      <c r="IIB1377" s="110"/>
      <c r="IIC1377" s="110"/>
      <c r="IID1377" s="110"/>
      <c r="IIE1377" s="110"/>
      <c r="IIF1377" s="110"/>
      <c r="IIG1377" s="110"/>
      <c r="IIH1377" s="110"/>
      <c r="III1377" s="110"/>
      <c r="IIJ1377" s="110"/>
      <c r="IIK1377" s="110"/>
      <c r="IIL1377" s="110"/>
      <c r="IIM1377" s="110"/>
      <c r="IIN1377" s="110"/>
      <c r="IIO1377" s="110"/>
      <c r="IIP1377" s="110"/>
      <c r="IIQ1377" s="110"/>
      <c r="IIR1377" s="110"/>
      <c r="IIS1377" s="110"/>
      <c r="IIT1377" s="110"/>
      <c r="IIU1377" s="110"/>
      <c r="IIV1377" s="110"/>
      <c r="IIW1377" s="110"/>
      <c r="IIX1377" s="110"/>
      <c r="IIY1377" s="110"/>
      <c r="IIZ1377" s="110"/>
      <c r="IJA1377" s="110"/>
      <c r="IJB1377" s="110"/>
      <c r="IJC1377" s="110"/>
      <c r="IJD1377" s="110"/>
      <c r="IJE1377" s="110"/>
      <c r="IJF1377" s="110"/>
      <c r="IJG1377" s="110"/>
      <c r="IJH1377" s="110"/>
      <c r="IJI1377" s="110"/>
      <c r="IJJ1377" s="110"/>
      <c r="IJK1377" s="110"/>
      <c r="IJL1377" s="110"/>
      <c r="IJM1377" s="110"/>
      <c r="IJN1377" s="110"/>
      <c r="IJO1377" s="110"/>
      <c r="IJP1377" s="110"/>
      <c r="IJQ1377" s="110"/>
      <c r="IJR1377" s="110"/>
      <c r="IJS1377" s="110"/>
      <c r="IJT1377" s="110"/>
      <c r="IJU1377" s="110"/>
      <c r="IJV1377" s="110"/>
      <c r="IJW1377" s="110"/>
      <c r="IJX1377" s="110"/>
      <c r="IJY1377" s="110"/>
      <c r="IJZ1377" s="110"/>
      <c r="IKA1377" s="110"/>
      <c r="IKB1377" s="110"/>
      <c r="IKC1377" s="110"/>
      <c r="IKD1377" s="110"/>
      <c r="IKE1377" s="110"/>
      <c r="IKF1377" s="110"/>
      <c r="IKG1377" s="110"/>
      <c r="IKH1377" s="110"/>
      <c r="IKI1377" s="110"/>
      <c r="IKJ1377" s="110"/>
      <c r="IKK1377" s="110"/>
      <c r="IKL1377" s="110"/>
      <c r="IKM1377" s="110"/>
      <c r="IKN1377" s="110"/>
      <c r="IKO1377" s="110"/>
      <c r="IKP1377" s="110"/>
      <c r="IKQ1377" s="110"/>
      <c r="IKR1377" s="110"/>
      <c r="IKS1377" s="110"/>
      <c r="IKT1377" s="110"/>
      <c r="IKU1377" s="110"/>
      <c r="IKV1377" s="110"/>
      <c r="IKW1377" s="110"/>
      <c r="IKX1377" s="110"/>
      <c r="IKY1377" s="110"/>
      <c r="IKZ1377" s="110"/>
      <c r="ILA1377" s="110"/>
      <c r="ILB1377" s="110"/>
      <c r="ILC1377" s="110"/>
      <c r="ILD1377" s="110"/>
      <c r="ILE1377" s="110"/>
      <c r="ILF1377" s="110"/>
      <c r="ILG1377" s="110"/>
      <c r="ILH1377" s="110"/>
      <c r="ILI1377" s="110"/>
      <c r="ILJ1377" s="110"/>
      <c r="ILK1377" s="110"/>
      <c r="ILL1377" s="110"/>
      <c r="ILM1377" s="110"/>
      <c r="ILN1377" s="110"/>
      <c r="ILO1377" s="110"/>
      <c r="ILP1377" s="110"/>
      <c r="ILQ1377" s="110"/>
      <c r="ILR1377" s="110"/>
      <c r="ILS1377" s="110"/>
      <c r="ILT1377" s="110"/>
      <c r="ILU1377" s="110"/>
      <c r="ILV1377" s="110"/>
      <c r="ILW1377" s="110"/>
      <c r="ILX1377" s="110"/>
      <c r="ILY1377" s="110"/>
      <c r="ILZ1377" s="110"/>
      <c r="IMA1377" s="110"/>
      <c r="IMB1377" s="110"/>
      <c r="IMC1377" s="110"/>
      <c r="IMD1377" s="110"/>
      <c r="IME1377" s="110"/>
      <c r="IMF1377" s="110"/>
      <c r="IMG1377" s="110"/>
      <c r="IMH1377" s="110"/>
      <c r="IMI1377" s="110"/>
      <c r="IMJ1377" s="110"/>
      <c r="IMK1377" s="110"/>
      <c r="IML1377" s="110"/>
      <c r="IMM1377" s="110"/>
      <c r="IMN1377" s="110"/>
      <c r="IMO1377" s="110"/>
      <c r="IMP1377" s="110"/>
      <c r="IMQ1377" s="110"/>
      <c r="IMR1377" s="110"/>
      <c r="IMS1377" s="110"/>
      <c r="IMT1377" s="110"/>
      <c r="IMU1377" s="110"/>
      <c r="IMV1377" s="110"/>
      <c r="IMW1377" s="110"/>
      <c r="IMX1377" s="110"/>
      <c r="IMY1377" s="110"/>
      <c r="IMZ1377" s="110"/>
      <c r="INA1377" s="110"/>
      <c r="INB1377" s="110"/>
      <c r="INC1377" s="110"/>
      <c r="IND1377" s="110"/>
      <c r="INE1377" s="110"/>
      <c r="INF1377" s="110"/>
      <c r="ING1377" s="110"/>
      <c r="INH1377" s="110"/>
      <c r="INI1377" s="110"/>
      <c r="INJ1377" s="110"/>
      <c r="INK1377" s="110"/>
      <c r="INL1377" s="110"/>
      <c r="INM1377" s="110"/>
      <c r="INN1377" s="110"/>
      <c r="INO1377" s="110"/>
      <c r="INP1377" s="110"/>
      <c r="INQ1377" s="110"/>
      <c r="INR1377" s="110"/>
      <c r="INS1377" s="110"/>
      <c r="INT1377" s="110"/>
      <c r="INU1377" s="110"/>
      <c r="INV1377" s="110"/>
      <c r="INW1377" s="110"/>
      <c r="INX1377" s="110"/>
      <c r="INY1377" s="110"/>
      <c r="INZ1377" s="110"/>
      <c r="IOA1377" s="110"/>
      <c r="IOB1377" s="110"/>
      <c r="IOC1377" s="110"/>
      <c r="IOD1377" s="110"/>
      <c r="IOE1377" s="110"/>
      <c r="IOF1377" s="110"/>
      <c r="IOG1377" s="110"/>
      <c r="IOH1377" s="110"/>
      <c r="IOI1377" s="110"/>
      <c r="IOJ1377" s="110"/>
      <c r="IOK1377" s="110"/>
      <c r="IOL1377" s="110"/>
      <c r="IOM1377" s="110"/>
      <c r="ION1377" s="110"/>
      <c r="IOO1377" s="110"/>
      <c r="IOP1377" s="110"/>
      <c r="IOQ1377" s="110"/>
      <c r="IOR1377" s="110"/>
      <c r="IOS1377" s="110"/>
      <c r="IOT1377" s="110"/>
      <c r="IOU1377" s="110"/>
      <c r="IOV1377" s="110"/>
      <c r="IOW1377" s="110"/>
      <c r="IOX1377" s="110"/>
      <c r="IOY1377" s="110"/>
      <c r="IOZ1377" s="110"/>
      <c r="IPA1377" s="110"/>
      <c r="IPB1377" s="110"/>
      <c r="IPC1377" s="110"/>
      <c r="IPD1377" s="110"/>
      <c r="IPE1377" s="110"/>
      <c r="IPF1377" s="110"/>
      <c r="IPG1377" s="110"/>
      <c r="IPH1377" s="110"/>
      <c r="IPI1377" s="110"/>
      <c r="IPJ1377" s="110"/>
      <c r="IPK1377" s="110"/>
      <c r="IPL1377" s="110"/>
      <c r="IPM1377" s="110"/>
      <c r="IPN1377" s="110"/>
      <c r="IPO1377" s="110"/>
      <c r="IPP1377" s="110"/>
      <c r="IPQ1377" s="110"/>
      <c r="IPR1377" s="110"/>
      <c r="IPS1377" s="110"/>
      <c r="IPT1377" s="110"/>
      <c r="IPU1377" s="110"/>
      <c r="IPV1377" s="110"/>
      <c r="IPW1377" s="110"/>
      <c r="IPX1377" s="110"/>
      <c r="IPY1377" s="110"/>
      <c r="IPZ1377" s="110"/>
      <c r="IQA1377" s="110"/>
      <c r="IQB1377" s="110"/>
      <c r="IQC1377" s="110"/>
      <c r="IQD1377" s="110"/>
      <c r="IQE1377" s="110"/>
      <c r="IQF1377" s="110"/>
      <c r="IQG1377" s="110"/>
      <c r="IQH1377" s="110"/>
      <c r="IQI1377" s="110"/>
      <c r="IQJ1377" s="110"/>
      <c r="IQK1377" s="110"/>
      <c r="IQL1377" s="110"/>
      <c r="IQM1377" s="110"/>
      <c r="IQN1377" s="110"/>
      <c r="IQO1377" s="110"/>
      <c r="IQP1377" s="110"/>
      <c r="IQQ1377" s="110"/>
      <c r="IQR1377" s="110"/>
      <c r="IQS1377" s="110"/>
      <c r="IQT1377" s="110"/>
      <c r="IQU1377" s="110"/>
      <c r="IQV1377" s="110"/>
      <c r="IQW1377" s="110"/>
      <c r="IQX1377" s="110"/>
      <c r="IQY1377" s="110"/>
      <c r="IQZ1377" s="110"/>
      <c r="IRA1377" s="110"/>
      <c r="IRB1377" s="110"/>
      <c r="IRC1377" s="110"/>
      <c r="IRD1377" s="110"/>
      <c r="IRE1377" s="110"/>
      <c r="IRF1377" s="110"/>
      <c r="IRG1377" s="110"/>
      <c r="IRH1377" s="110"/>
      <c r="IRI1377" s="110"/>
      <c r="IRJ1377" s="110"/>
      <c r="IRK1377" s="110"/>
      <c r="IRL1377" s="110"/>
      <c r="IRM1377" s="110"/>
      <c r="IRN1377" s="110"/>
      <c r="IRO1377" s="110"/>
      <c r="IRP1377" s="110"/>
      <c r="IRQ1377" s="110"/>
      <c r="IRR1377" s="110"/>
      <c r="IRS1377" s="110"/>
      <c r="IRT1377" s="110"/>
      <c r="IRU1377" s="110"/>
      <c r="IRV1377" s="110"/>
      <c r="IRW1377" s="110"/>
      <c r="IRX1377" s="110"/>
      <c r="IRY1377" s="110"/>
      <c r="IRZ1377" s="110"/>
      <c r="ISA1377" s="110"/>
      <c r="ISB1377" s="110"/>
      <c r="ISC1377" s="110"/>
      <c r="ISD1377" s="110"/>
      <c r="ISE1377" s="110"/>
      <c r="ISF1377" s="110"/>
      <c r="ISG1377" s="110"/>
      <c r="ISH1377" s="110"/>
      <c r="ISI1377" s="110"/>
      <c r="ISJ1377" s="110"/>
      <c r="ISK1377" s="110"/>
      <c r="ISL1377" s="110"/>
      <c r="ISM1377" s="110"/>
      <c r="ISN1377" s="110"/>
      <c r="ISO1377" s="110"/>
      <c r="ISP1377" s="110"/>
      <c r="ISQ1377" s="110"/>
      <c r="ISR1377" s="110"/>
      <c r="ISS1377" s="110"/>
      <c r="IST1377" s="110"/>
      <c r="ISU1377" s="110"/>
      <c r="ISV1377" s="110"/>
      <c r="ISW1377" s="110"/>
      <c r="ISX1377" s="110"/>
      <c r="ISY1377" s="110"/>
      <c r="ISZ1377" s="110"/>
      <c r="ITA1377" s="110"/>
      <c r="ITB1377" s="110"/>
      <c r="ITC1377" s="110"/>
      <c r="ITD1377" s="110"/>
      <c r="ITE1377" s="110"/>
      <c r="ITF1377" s="110"/>
      <c r="ITG1377" s="110"/>
      <c r="ITH1377" s="110"/>
      <c r="ITI1377" s="110"/>
      <c r="ITJ1377" s="110"/>
      <c r="ITK1377" s="110"/>
      <c r="ITL1377" s="110"/>
      <c r="ITM1377" s="110"/>
      <c r="ITN1377" s="110"/>
      <c r="ITO1377" s="110"/>
      <c r="ITP1377" s="110"/>
      <c r="ITQ1377" s="110"/>
      <c r="ITR1377" s="110"/>
      <c r="ITS1377" s="110"/>
      <c r="ITT1377" s="110"/>
      <c r="ITU1377" s="110"/>
      <c r="ITV1377" s="110"/>
      <c r="ITW1377" s="110"/>
      <c r="ITX1377" s="110"/>
      <c r="ITY1377" s="110"/>
      <c r="ITZ1377" s="110"/>
      <c r="IUA1377" s="110"/>
      <c r="IUB1377" s="110"/>
      <c r="IUC1377" s="110"/>
      <c r="IUD1377" s="110"/>
      <c r="IUE1377" s="110"/>
      <c r="IUF1377" s="110"/>
      <c r="IUG1377" s="110"/>
      <c r="IUH1377" s="110"/>
      <c r="IUI1377" s="110"/>
      <c r="IUJ1377" s="110"/>
      <c r="IUK1377" s="110"/>
      <c r="IUL1377" s="110"/>
      <c r="IUM1377" s="110"/>
      <c r="IUN1377" s="110"/>
      <c r="IUO1377" s="110"/>
      <c r="IUP1377" s="110"/>
      <c r="IUQ1377" s="110"/>
      <c r="IUR1377" s="110"/>
      <c r="IUS1377" s="110"/>
      <c r="IUT1377" s="110"/>
      <c r="IUU1377" s="110"/>
      <c r="IUV1377" s="110"/>
      <c r="IUW1377" s="110"/>
      <c r="IUX1377" s="110"/>
      <c r="IUY1377" s="110"/>
      <c r="IUZ1377" s="110"/>
      <c r="IVA1377" s="110"/>
      <c r="IVB1377" s="110"/>
      <c r="IVC1377" s="110"/>
      <c r="IVD1377" s="110"/>
      <c r="IVE1377" s="110"/>
      <c r="IVF1377" s="110"/>
      <c r="IVG1377" s="110"/>
      <c r="IVH1377" s="110"/>
      <c r="IVI1377" s="110"/>
      <c r="IVJ1377" s="110"/>
      <c r="IVK1377" s="110"/>
      <c r="IVL1377" s="110"/>
      <c r="IVM1377" s="110"/>
      <c r="IVN1377" s="110"/>
      <c r="IVO1377" s="110"/>
      <c r="IVP1377" s="110"/>
      <c r="IVQ1377" s="110"/>
      <c r="IVR1377" s="110"/>
      <c r="IVS1377" s="110"/>
      <c r="IVT1377" s="110"/>
      <c r="IVU1377" s="110"/>
      <c r="IVV1377" s="110"/>
      <c r="IVW1377" s="110"/>
      <c r="IVX1377" s="110"/>
      <c r="IVY1377" s="110"/>
      <c r="IVZ1377" s="110"/>
      <c r="IWA1377" s="110"/>
      <c r="IWB1377" s="110"/>
      <c r="IWC1377" s="110"/>
      <c r="IWD1377" s="110"/>
      <c r="IWE1377" s="110"/>
      <c r="IWF1377" s="110"/>
      <c r="IWG1377" s="110"/>
      <c r="IWH1377" s="110"/>
      <c r="IWI1377" s="110"/>
      <c r="IWJ1377" s="110"/>
      <c r="IWK1377" s="110"/>
      <c r="IWL1377" s="110"/>
      <c r="IWM1377" s="110"/>
      <c r="IWN1377" s="110"/>
      <c r="IWO1377" s="110"/>
      <c r="IWP1377" s="110"/>
      <c r="IWQ1377" s="110"/>
      <c r="IWR1377" s="110"/>
      <c r="IWS1377" s="110"/>
      <c r="IWT1377" s="110"/>
      <c r="IWU1377" s="110"/>
      <c r="IWV1377" s="110"/>
      <c r="IWW1377" s="110"/>
      <c r="IWX1377" s="110"/>
      <c r="IWY1377" s="110"/>
      <c r="IWZ1377" s="110"/>
      <c r="IXA1377" s="110"/>
      <c r="IXB1377" s="110"/>
      <c r="IXC1377" s="110"/>
      <c r="IXD1377" s="110"/>
      <c r="IXE1377" s="110"/>
      <c r="IXF1377" s="110"/>
      <c r="IXG1377" s="110"/>
      <c r="IXH1377" s="110"/>
      <c r="IXI1377" s="110"/>
      <c r="IXJ1377" s="110"/>
      <c r="IXK1377" s="110"/>
      <c r="IXL1377" s="110"/>
      <c r="IXM1377" s="110"/>
      <c r="IXN1377" s="110"/>
      <c r="IXO1377" s="110"/>
      <c r="IXP1377" s="110"/>
      <c r="IXQ1377" s="110"/>
      <c r="IXR1377" s="110"/>
      <c r="IXS1377" s="110"/>
      <c r="IXT1377" s="110"/>
      <c r="IXU1377" s="110"/>
      <c r="IXV1377" s="110"/>
      <c r="IXW1377" s="110"/>
      <c r="IXX1377" s="110"/>
      <c r="IXY1377" s="110"/>
      <c r="IXZ1377" s="110"/>
      <c r="IYA1377" s="110"/>
      <c r="IYB1377" s="110"/>
      <c r="IYC1377" s="110"/>
      <c r="IYD1377" s="110"/>
      <c r="IYE1377" s="110"/>
      <c r="IYF1377" s="110"/>
      <c r="IYG1377" s="110"/>
      <c r="IYH1377" s="110"/>
      <c r="IYI1377" s="110"/>
      <c r="IYJ1377" s="110"/>
      <c r="IYK1377" s="110"/>
      <c r="IYL1377" s="110"/>
      <c r="IYM1377" s="110"/>
      <c r="IYN1377" s="110"/>
      <c r="IYO1377" s="110"/>
      <c r="IYP1377" s="110"/>
      <c r="IYQ1377" s="110"/>
      <c r="IYR1377" s="110"/>
      <c r="IYS1377" s="110"/>
      <c r="IYT1377" s="110"/>
      <c r="IYU1377" s="110"/>
      <c r="IYV1377" s="110"/>
      <c r="IYW1377" s="110"/>
      <c r="IYX1377" s="110"/>
      <c r="IYY1377" s="110"/>
      <c r="IYZ1377" s="110"/>
      <c r="IZA1377" s="110"/>
      <c r="IZB1377" s="110"/>
      <c r="IZC1377" s="110"/>
      <c r="IZD1377" s="110"/>
      <c r="IZE1377" s="110"/>
      <c r="IZF1377" s="110"/>
      <c r="IZG1377" s="110"/>
      <c r="IZH1377" s="110"/>
      <c r="IZI1377" s="110"/>
      <c r="IZJ1377" s="110"/>
      <c r="IZK1377" s="110"/>
      <c r="IZL1377" s="110"/>
      <c r="IZM1377" s="110"/>
      <c r="IZN1377" s="110"/>
      <c r="IZO1377" s="110"/>
      <c r="IZP1377" s="110"/>
      <c r="IZQ1377" s="110"/>
      <c r="IZR1377" s="110"/>
      <c r="IZS1377" s="110"/>
      <c r="IZT1377" s="110"/>
      <c r="IZU1377" s="110"/>
      <c r="IZV1377" s="110"/>
      <c r="IZW1377" s="110"/>
      <c r="IZX1377" s="110"/>
      <c r="IZY1377" s="110"/>
      <c r="IZZ1377" s="110"/>
      <c r="JAA1377" s="110"/>
      <c r="JAB1377" s="110"/>
      <c r="JAC1377" s="110"/>
      <c r="JAD1377" s="110"/>
      <c r="JAE1377" s="110"/>
      <c r="JAF1377" s="110"/>
      <c r="JAG1377" s="110"/>
      <c r="JAH1377" s="110"/>
      <c r="JAI1377" s="110"/>
      <c r="JAJ1377" s="110"/>
      <c r="JAK1377" s="110"/>
      <c r="JAL1377" s="110"/>
      <c r="JAM1377" s="110"/>
      <c r="JAN1377" s="110"/>
      <c r="JAO1377" s="110"/>
      <c r="JAP1377" s="110"/>
      <c r="JAQ1377" s="110"/>
      <c r="JAR1377" s="110"/>
      <c r="JAS1377" s="110"/>
      <c r="JAT1377" s="110"/>
      <c r="JAU1377" s="110"/>
      <c r="JAV1377" s="110"/>
      <c r="JAW1377" s="110"/>
      <c r="JAX1377" s="110"/>
      <c r="JAY1377" s="110"/>
      <c r="JAZ1377" s="110"/>
      <c r="JBA1377" s="110"/>
      <c r="JBB1377" s="110"/>
      <c r="JBC1377" s="110"/>
      <c r="JBD1377" s="110"/>
      <c r="JBE1377" s="110"/>
      <c r="JBF1377" s="110"/>
      <c r="JBG1377" s="110"/>
      <c r="JBH1377" s="110"/>
      <c r="JBI1377" s="110"/>
      <c r="JBJ1377" s="110"/>
      <c r="JBK1377" s="110"/>
      <c r="JBL1377" s="110"/>
      <c r="JBM1377" s="110"/>
      <c r="JBN1377" s="110"/>
      <c r="JBO1377" s="110"/>
      <c r="JBP1377" s="110"/>
      <c r="JBQ1377" s="110"/>
      <c r="JBR1377" s="110"/>
      <c r="JBS1377" s="110"/>
      <c r="JBT1377" s="110"/>
      <c r="JBU1377" s="110"/>
      <c r="JBV1377" s="110"/>
      <c r="JBW1377" s="110"/>
      <c r="JBX1377" s="110"/>
      <c r="JBY1377" s="110"/>
      <c r="JBZ1377" s="110"/>
      <c r="JCA1377" s="110"/>
      <c r="JCB1377" s="110"/>
      <c r="JCC1377" s="110"/>
      <c r="JCD1377" s="110"/>
      <c r="JCE1377" s="110"/>
      <c r="JCF1377" s="110"/>
      <c r="JCG1377" s="110"/>
      <c r="JCH1377" s="110"/>
      <c r="JCI1377" s="110"/>
      <c r="JCJ1377" s="110"/>
      <c r="JCK1377" s="110"/>
      <c r="JCL1377" s="110"/>
      <c r="JCM1377" s="110"/>
      <c r="JCN1377" s="110"/>
      <c r="JCO1377" s="110"/>
      <c r="JCP1377" s="110"/>
      <c r="JCQ1377" s="110"/>
      <c r="JCR1377" s="110"/>
      <c r="JCS1377" s="110"/>
      <c r="JCT1377" s="110"/>
      <c r="JCU1377" s="110"/>
      <c r="JCV1377" s="110"/>
      <c r="JCW1377" s="110"/>
      <c r="JCX1377" s="110"/>
      <c r="JCY1377" s="110"/>
      <c r="JCZ1377" s="110"/>
      <c r="JDA1377" s="110"/>
      <c r="JDB1377" s="110"/>
      <c r="JDC1377" s="110"/>
      <c r="JDD1377" s="110"/>
      <c r="JDE1377" s="110"/>
      <c r="JDF1377" s="110"/>
      <c r="JDG1377" s="110"/>
      <c r="JDH1377" s="110"/>
      <c r="JDI1377" s="110"/>
      <c r="JDJ1377" s="110"/>
      <c r="JDK1377" s="110"/>
      <c r="JDL1377" s="110"/>
      <c r="JDM1377" s="110"/>
      <c r="JDN1377" s="110"/>
      <c r="JDO1377" s="110"/>
      <c r="JDP1377" s="110"/>
      <c r="JDQ1377" s="110"/>
      <c r="JDR1377" s="110"/>
      <c r="JDS1377" s="110"/>
      <c r="JDT1377" s="110"/>
      <c r="JDU1377" s="110"/>
      <c r="JDV1377" s="110"/>
      <c r="JDW1377" s="110"/>
      <c r="JDX1377" s="110"/>
      <c r="JDY1377" s="110"/>
      <c r="JDZ1377" s="110"/>
      <c r="JEA1377" s="110"/>
      <c r="JEB1377" s="110"/>
      <c r="JEC1377" s="110"/>
      <c r="JED1377" s="110"/>
      <c r="JEE1377" s="110"/>
      <c r="JEF1377" s="110"/>
      <c r="JEG1377" s="110"/>
      <c r="JEH1377" s="110"/>
      <c r="JEI1377" s="110"/>
      <c r="JEJ1377" s="110"/>
      <c r="JEK1377" s="110"/>
      <c r="JEL1377" s="110"/>
      <c r="JEM1377" s="110"/>
      <c r="JEN1377" s="110"/>
      <c r="JEO1377" s="110"/>
      <c r="JEP1377" s="110"/>
      <c r="JEQ1377" s="110"/>
      <c r="JER1377" s="110"/>
      <c r="JES1377" s="110"/>
      <c r="JET1377" s="110"/>
      <c r="JEU1377" s="110"/>
      <c r="JEV1377" s="110"/>
      <c r="JEW1377" s="110"/>
      <c r="JEX1377" s="110"/>
      <c r="JEY1377" s="110"/>
      <c r="JEZ1377" s="110"/>
      <c r="JFA1377" s="110"/>
      <c r="JFB1377" s="110"/>
      <c r="JFC1377" s="110"/>
      <c r="JFD1377" s="110"/>
      <c r="JFE1377" s="110"/>
      <c r="JFF1377" s="110"/>
      <c r="JFG1377" s="110"/>
      <c r="JFH1377" s="110"/>
      <c r="JFI1377" s="110"/>
      <c r="JFJ1377" s="110"/>
      <c r="JFK1377" s="110"/>
      <c r="JFL1377" s="110"/>
      <c r="JFM1377" s="110"/>
      <c r="JFN1377" s="110"/>
      <c r="JFO1377" s="110"/>
      <c r="JFP1377" s="110"/>
      <c r="JFQ1377" s="110"/>
      <c r="JFR1377" s="110"/>
      <c r="JFS1377" s="110"/>
      <c r="JFT1377" s="110"/>
      <c r="JFU1377" s="110"/>
      <c r="JFV1377" s="110"/>
      <c r="JFW1377" s="110"/>
      <c r="JFX1377" s="110"/>
      <c r="JFY1377" s="110"/>
      <c r="JFZ1377" s="110"/>
      <c r="JGA1377" s="110"/>
      <c r="JGB1377" s="110"/>
      <c r="JGC1377" s="110"/>
      <c r="JGD1377" s="110"/>
      <c r="JGE1377" s="110"/>
      <c r="JGF1377" s="110"/>
      <c r="JGG1377" s="110"/>
      <c r="JGH1377" s="110"/>
      <c r="JGI1377" s="110"/>
      <c r="JGJ1377" s="110"/>
      <c r="JGK1377" s="110"/>
      <c r="JGL1377" s="110"/>
      <c r="JGM1377" s="110"/>
      <c r="JGN1377" s="110"/>
      <c r="JGO1377" s="110"/>
      <c r="JGP1377" s="110"/>
      <c r="JGQ1377" s="110"/>
      <c r="JGR1377" s="110"/>
      <c r="JGS1377" s="110"/>
      <c r="JGT1377" s="110"/>
      <c r="JGU1377" s="110"/>
      <c r="JGV1377" s="110"/>
      <c r="JGW1377" s="110"/>
      <c r="JGX1377" s="110"/>
      <c r="JGY1377" s="110"/>
      <c r="JGZ1377" s="110"/>
      <c r="JHA1377" s="110"/>
      <c r="JHB1377" s="110"/>
      <c r="JHC1377" s="110"/>
      <c r="JHD1377" s="110"/>
      <c r="JHE1377" s="110"/>
      <c r="JHF1377" s="110"/>
      <c r="JHG1377" s="110"/>
      <c r="JHH1377" s="110"/>
      <c r="JHI1377" s="110"/>
      <c r="JHJ1377" s="110"/>
      <c r="JHK1377" s="110"/>
      <c r="JHL1377" s="110"/>
      <c r="JHM1377" s="110"/>
      <c r="JHN1377" s="110"/>
      <c r="JHO1377" s="110"/>
      <c r="JHP1377" s="110"/>
      <c r="JHQ1377" s="110"/>
      <c r="JHR1377" s="110"/>
      <c r="JHS1377" s="110"/>
      <c r="JHT1377" s="110"/>
      <c r="JHU1377" s="110"/>
      <c r="JHV1377" s="110"/>
      <c r="JHW1377" s="110"/>
      <c r="JHX1377" s="110"/>
      <c r="JHY1377" s="110"/>
      <c r="JHZ1377" s="110"/>
      <c r="JIA1377" s="110"/>
      <c r="JIB1377" s="110"/>
      <c r="JIC1377" s="110"/>
      <c r="JID1377" s="110"/>
      <c r="JIE1377" s="110"/>
      <c r="JIF1377" s="110"/>
      <c r="JIG1377" s="110"/>
      <c r="JIH1377" s="110"/>
      <c r="JII1377" s="110"/>
      <c r="JIJ1377" s="110"/>
      <c r="JIK1377" s="110"/>
      <c r="JIL1377" s="110"/>
      <c r="JIM1377" s="110"/>
      <c r="JIN1377" s="110"/>
      <c r="JIO1377" s="110"/>
      <c r="JIP1377" s="110"/>
      <c r="JIQ1377" s="110"/>
      <c r="JIR1377" s="110"/>
      <c r="JIS1377" s="110"/>
      <c r="JIT1377" s="110"/>
      <c r="JIU1377" s="110"/>
      <c r="JIV1377" s="110"/>
      <c r="JIW1377" s="110"/>
      <c r="JIX1377" s="110"/>
      <c r="JIY1377" s="110"/>
      <c r="JIZ1377" s="110"/>
      <c r="JJA1377" s="110"/>
      <c r="JJB1377" s="110"/>
      <c r="JJC1377" s="110"/>
      <c r="JJD1377" s="110"/>
      <c r="JJE1377" s="110"/>
      <c r="JJF1377" s="110"/>
      <c r="JJG1377" s="110"/>
      <c r="JJH1377" s="110"/>
      <c r="JJI1377" s="110"/>
      <c r="JJJ1377" s="110"/>
      <c r="JJK1377" s="110"/>
      <c r="JJL1377" s="110"/>
      <c r="JJM1377" s="110"/>
      <c r="JJN1377" s="110"/>
      <c r="JJO1377" s="110"/>
      <c r="JJP1377" s="110"/>
      <c r="JJQ1377" s="110"/>
      <c r="JJR1377" s="110"/>
      <c r="JJS1377" s="110"/>
      <c r="JJT1377" s="110"/>
      <c r="JJU1377" s="110"/>
      <c r="JJV1377" s="110"/>
      <c r="JJW1377" s="110"/>
      <c r="JJX1377" s="110"/>
      <c r="JJY1377" s="110"/>
      <c r="JJZ1377" s="110"/>
      <c r="JKA1377" s="110"/>
      <c r="JKB1377" s="110"/>
      <c r="JKC1377" s="110"/>
      <c r="JKD1377" s="110"/>
      <c r="JKE1377" s="110"/>
      <c r="JKF1377" s="110"/>
      <c r="JKG1377" s="110"/>
      <c r="JKH1377" s="110"/>
      <c r="JKI1377" s="110"/>
      <c r="JKJ1377" s="110"/>
      <c r="JKK1377" s="110"/>
      <c r="JKL1377" s="110"/>
      <c r="JKM1377" s="110"/>
      <c r="JKN1377" s="110"/>
      <c r="JKO1377" s="110"/>
      <c r="JKP1377" s="110"/>
      <c r="JKQ1377" s="110"/>
      <c r="JKR1377" s="110"/>
      <c r="JKS1377" s="110"/>
      <c r="JKT1377" s="110"/>
      <c r="JKU1377" s="110"/>
      <c r="JKV1377" s="110"/>
      <c r="JKW1377" s="110"/>
      <c r="JKX1377" s="110"/>
      <c r="JKY1377" s="110"/>
      <c r="JKZ1377" s="110"/>
      <c r="JLA1377" s="110"/>
      <c r="JLB1377" s="110"/>
      <c r="JLC1377" s="110"/>
      <c r="JLD1377" s="110"/>
      <c r="JLE1377" s="110"/>
      <c r="JLF1377" s="110"/>
      <c r="JLG1377" s="110"/>
      <c r="JLH1377" s="110"/>
      <c r="JLI1377" s="110"/>
      <c r="JLJ1377" s="110"/>
      <c r="JLK1377" s="110"/>
      <c r="JLL1377" s="110"/>
      <c r="JLM1377" s="110"/>
      <c r="JLN1377" s="110"/>
      <c r="JLO1377" s="110"/>
      <c r="JLP1377" s="110"/>
      <c r="JLQ1377" s="110"/>
      <c r="JLR1377" s="110"/>
      <c r="JLS1377" s="110"/>
      <c r="JLT1377" s="110"/>
      <c r="JLU1377" s="110"/>
      <c r="JLV1377" s="110"/>
      <c r="JLW1377" s="110"/>
      <c r="JLX1377" s="110"/>
      <c r="JLY1377" s="110"/>
      <c r="JLZ1377" s="110"/>
      <c r="JMA1377" s="110"/>
      <c r="JMB1377" s="110"/>
      <c r="JMC1377" s="110"/>
      <c r="JMD1377" s="110"/>
      <c r="JME1377" s="110"/>
      <c r="JMF1377" s="110"/>
      <c r="JMG1377" s="110"/>
      <c r="JMH1377" s="110"/>
      <c r="JMI1377" s="110"/>
      <c r="JMJ1377" s="110"/>
      <c r="JMK1377" s="110"/>
      <c r="JML1377" s="110"/>
      <c r="JMM1377" s="110"/>
      <c r="JMN1377" s="110"/>
      <c r="JMO1377" s="110"/>
      <c r="JMP1377" s="110"/>
      <c r="JMQ1377" s="110"/>
      <c r="JMR1377" s="110"/>
      <c r="JMS1377" s="110"/>
      <c r="JMT1377" s="110"/>
      <c r="JMU1377" s="110"/>
      <c r="JMV1377" s="110"/>
      <c r="JMW1377" s="110"/>
      <c r="JMX1377" s="110"/>
      <c r="JMY1377" s="110"/>
      <c r="JMZ1377" s="110"/>
      <c r="JNA1377" s="110"/>
      <c r="JNB1377" s="110"/>
      <c r="JNC1377" s="110"/>
      <c r="JND1377" s="110"/>
      <c r="JNE1377" s="110"/>
      <c r="JNF1377" s="110"/>
      <c r="JNG1377" s="110"/>
      <c r="JNH1377" s="110"/>
      <c r="JNI1377" s="110"/>
      <c r="JNJ1377" s="110"/>
      <c r="JNK1377" s="110"/>
      <c r="JNL1377" s="110"/>
      <c r="JNM1377" s="110"/>
      <c r="JNN1377" s="110"/>
      <c r="JNO1377" s="110"/>
      <c r="JNP1377" s="110"/>
      <c r="JNQ1377" s="110"/>
      <c r="JNR1377" s="110"/>
      <c r="JNS1377" s="110"/>
      <c r="JNT1377" s="110"/>
      <c r="JNU1377" s="110"/>
      <c r="JNV1377" s="110"/>
      <c r="JNW1377" s="110"/>
      <c r="JNX1377" s="110"/>
      <c r="JNY1377" s="110"/>
      <c r="JNZ1377" s="110"/>
      <c r="JOA1377" s="110"/>
      <c r="JOB1377" s="110"/>
      <c r="JOC1377" s="110"/>
      <c r="JOD1377" s="110"/>
      <c r="JOE1377" s="110"/>
      <c r="JOF1377" s="110"/>
      <c r="JOG1377" s="110"/>
      <c r="JOH1377" s="110"/>
      <c r="JOI1377" s="110"/>
      <c r="JOJ1377" s="110"/>
      <c r="JOK1377" s="110"/>
      <c r="JOL1377" s="110"/>
      <c r="JOM1377" s="110"/>
      <c r="JON1377" s="110"/>
      <c r="JOO1377" s="110"/>
      <c r="JOP1377" s="110"/>
      <c r="JOQ1377" s="110"/>
      <c r="JOR1377" s="110"/>
      <c r="JOS1377" s="110"/>
      <c r="JOT1377" s="110"/>
      <c r="JOU1377" s="110"/>
      <c r="JOV1377" s="110"/>
      <c r="JOW1377" s="110"/>
      <c r="JOX1377" s="110"/>
      <c r="JOY1377" s="110"/>
      <c r="JOZ1377" s="110"/>
      <c r="JPA1377" s="110"/>
      <c r="JPB1377" s="110"/>
      <c r="JPC1377" s="110"/>
      <c r="JPD1377" s="110"/>
      <c r="JPE1377" s="110"/>
      <c r="JPF1377" s="110"/>
      <c r="JPG1377" s="110"/>
      <c r="JPH1377" s="110"/>
      <c r="JPI1377" s="110"/>
      <c r="JPJ1377" s="110"/>
      <c r="JPK1377" s="110"/>
      <c r="JPL1377" s="110"/>
      <c r="JPM1377" s="110"/>
      <c r="JPN1377" s="110"/>
      <c r="JPO1377" s="110"/>
      <c r="JPP1377" s="110"/>
      <c r="JPQ1377" s="110"/>
      <c r="JPR1377" s="110"/>
      <c r="JPS1377" s="110"/>
      <c r="JPT1377" s="110"/>
      <c r="JPU1377" s="110"/>
      <c r="JPV1377" s="110"/>
      <c r="JPW1377" s="110"/>
      <c r="JPX1377" s="110"/>
      <c r="JPY1377" s="110"/>
      <c r="JPZ1377" s="110"/>
      <c r="JQA1377" s="110"/>
      <c r="JQB1377" s="110"/>
      <c r="JQC1377" s="110"/>
      <c r="JQD1377" s="110"/>
      <c r="JQE1377" s="110"/>
      <c r="JQF1377" s="110"/>
      <c r="JQG1377" s="110"/>
      <c r="JQH1377" s="110"/>
      <c r="JQI1377" s="110"/>
      <c r="JQJ1377" s="110"/>
      <c r="JQK1377" s="110"/>
      <c r="JQL1377" s="110"/>
      <c r="JQM1377" s="110"/>
      <c r="JQN1377" s="110"/>
      <c r="JQO1377" s="110"/>
      <c r="JQP1377" s="110"/>
      <c r="JQQ1377" s="110"/>
      <c r="JQR1377" s="110"/>
      <c r="JQS1377" s="110"/>
      <c r="JQT1377" s="110"/>
      <c r="JQU1377" s="110"/>
      <c r="JQV1377" s="110"/>
      <c r="JQW1377" s="110"/>
      <c r="JQX1377" s="110"/>
      <c r="JQY1377" s="110"/>
      <c r="JQZ1377" s="110"/>
      <c r="JRA1377" s="110"/>
      <c r="JRB1377" s="110"/>
      <c r="JRC1377" s="110"/>
      <c r="JRD1377" s="110"/>
      <c r="JRE1377" s="110"/>
      <c r="JRF1377" s="110"/>
      <c r="JRG1377" s="110"/>
      <c r="JRH1377" s="110"/>
      <c r="JRI1377" s="110"/>
      <c r="JRJ1377" s="110"/>
      <c r="JRK1377" s="110"/>
      <c r="JRL1377" s="110"/>
      <c r="JRM1377" s="110"/>
      <c r="JRN1377" s="110"/>
      <c r="JRO1377" s="110"/>
      <c r="JRP1377" s="110"/>
      <c r="JRQ1377" s="110"/>
      <c r="JRR1377" s="110"/>
      <c r="JRS1377" s="110"/>
      <c r="JRT1377" s="110"/>
      <c r="JRU1377" s="110"/>
      <c r="JRV1377" s="110"/>
      <c r="JRW1377" s="110"/>
      <c r="JRX1377" s="110"/>
      <c r="JRY1377" s="110"/>
      <c r="JRZ1377" s="110"/>
      <c r="JSA1377" s="110"/>
      <c r="JSB1377" s="110"/>
      <c r="JSC1377" s="110"/>
      <c r="JSD1377" s="110"/>
      <c r="JSE1377" s="110"/>
      <c r="JSF1377" s="110"/>
      <c r="JSG1377" s="110"/>
      <c r="JSH1377" s="110"/>
      <c r="JSI1377" s="110"/>
      <c r="JSJ1377" s="110"/>
      <c r="JSK1377" s="110"/>
      <c r="JSL1377" s="110"/>
      <c r="JSM1377" s="110"/>
      <c r="JSN1377" s="110"/>
      <c r="JSO1377" s="110"/>
      <c r="JSP1377" s="110"/>
      <c r="JSQ1377" s="110"/>
      <c r="JSR1377" s="110"/>
      <c r="JSS1377" s="110"/>
      <c r="JST1377" s="110"/>
      <c r="JSU1377" s="110"/>
      <c r="JSV1377" s="110"/>
      <c r="JSW1377" s="110"/>
      <c r="JSX1377" s="110"/>
      <c r="JSY1377" s="110"/>
      <c r="JSZ1377" s="110"/>
      <c r="JTA1377" s="110"/>
      <c r="JTB1377" s="110"/>
      <c r="JTC1377" s="110"/>
      <c r="JTD1377" s="110"/>
      <c r="JTE1377" s="110"/>
      <c r="JTF1377" s="110"/>
      <c r="JTG1377" s="110"/>
      <c r="JTH1377" s="110"/>
      <c r="JTI1377" s="110"/>
      <c r="JTJ1377" s="110"/>
      <c r="JTK1377" s="110"/>
      <c r="JTL1377" s="110"/>
      <c r="JTM1377" s="110"/>
      <c r="JTN1377" s="110"/>
      <c r="JTO1377" s="110"/>
      <c r="JTP1377" s="110"/>
      <c r="JTQ1377" s="110"/>
      <c r="JTR1377" s="110"/>
      <c r="JTS1377" s="110"/>
      <c r="JTT1377" s="110"/>
      <c r="JTU1377" s="110"/>
      <c r="JTV1377" s="110"/>
      <c r="JTW1377" s="110"/>
      <c r="JTX1377" s="110"/>
      <c r="JTY1377" s="110"/>
      <c r="JTZ1377" s="110"/>
      <c r="JUA1377" s="110"/>
      <c r="JUB1377" s="110"/>
      <c r="JUC1377" s="110"/>
      <c r="JUD1377" s="110"/>
      <c r="JUE1377" s="110"/>
      <c r="JUF1377" s="110"/>
      <c r="JUG1377" s="110"/>
      <c r="JUH1377" s="110"/>
      <c r="JUI1377" s="110"/>
      <c r="JUJ1377" s="110"/>
      <c r="JUK1377" s="110"/>
      <c r="JUL1377" s="110"/>
      <c r="JUM1377" s="110"/>
      <c r="JUN1377" s="110"/>
      <c r="JUO1377" s="110"/>
      <c r="JUP1377" s="110"/>
      <c r="JUQ1377" s="110"/>
      <c r="JUR1377" s="110"/>
      <c r="JUS1377" s="110"/>
      <c r="JUT1377" s="110"/>
      <c r="JUU1377" s="110"/>
      <c r="JUV1377" s="110"/>
      <c r="JUW1377" s="110"/>
      <c r="JUX1377" s="110"/>
      <c r="JUY1377" s="110"/>
      <c r="JUZ1377" s="110"/>
      <c r="JVA1377" s="110"/>
      <c r="JVB1377" s="110"/>
      <c r="JVC1377" s="110"/>
      <c r="JVD1377" s="110"/>
      <c r="JVE1377" s="110"/>
      <c r="JVF1377" s="110"/>
      <c r="JVG1377" s="110"/>
      <c r="JVH1377" s="110"/>
      <c r="JVI1377" s="110"/>
      <c r="JVJ1377" s="110"/>
      <c r="JVK1377" s="110"/>
      <c r="JVL1377" s="110"/>
      <c r="JVM1377" s="110"/>
      <c r="JVN1377" s="110"/>
      <c r="JVO1377" s="110"/>
      <c r="JVP1377" s="110"/>
      <c r="JVQ1377" s="110"/>
      <c r="JVR1377" s="110"/>
      <c r="JVS1377" s="110"/>
      <c r="JVT1377" s="110"/>
      <c r="JVU1377" s="110"/>
      <c r="JVV1377" s="110"/>
      <c r="JVW1377" s="110"/>
      <c r="JVX1377" s="110"/>
      <c r="JVY1377" s="110"/>
      <c r="JVZ1377" s="110"/>
      <c r="JWA1377" s="110"/>
      <c r="JWB1377" s="110"/>
      <c r="JWC1377" s="110"/>
      <c r="JWD1377" s="110"/>
      <c r="JWE1377" s="110"/>
      <c r="JWF1377" s="110"/>
      <c r="JWG1377" s="110"/>
      <c r="JWH1377" s="110"/>
      <c r="JWI1377" s="110"/>
      <c r="JWJ1377" s="110"/>
      <c r="JWK1377" s="110"/>
      <c r="JWL1377" s="110"/>
      <c r="JWM1377" s="110"/>
      <c r="JWN1377" s="110"/>
      <c r="JWO1377" s="110"/>
      <c r="JWP1377" s="110"/>
      <c r="JWQ1377" s="110"/>
      <c r="JWR1377" s="110"/>
      <c r="JWS1377" s="110"/>
      <c r="JWT1377" s="110"/>
      <c r="JWU1377" s="110"/>
      <c r="JWV1377" s="110"/>
      <c r="JWW1377" s="110"/>
      <c r="JWX1377" s="110"/>
      <c r="JWY1377" s="110"/>
      <c r="JWZ1377" s="110"/>
      <c r="JXA1377" s="110"/>
      <c r="JXB1377" s="110"/>
      <c r="JXC1377" s="110"/>
      <c r="JXD1377" s="110"/>
      <c r="JXE1377" s="110"/>
      <c r="JXF1377" s="110"/>
      <c r="JXG1377" s="110"/>
      <c r="JXH1377" s="110"/>
      <c r="JXI1377" s="110"/>
      <c r="JXJ1377" s="110"/>
      <c r="JXK1377" s="110"/>
      <c r="JXL1377" s="110"/>
      <c r="JXM1377" s="110"/>
      <c r="JXN1377" s="110"/>
      <c r="JXO1377" s="110"/>
      <c r="JXP1377" s="110"/>
      <c r="JXQ1377" s="110"/>
      <c r="JXR1377" s="110"/>
      <c r="JXS1377" s="110"/>
      <c r="JXT1377" s="110"/>
      <c r="JXU1377" s="110"/>
      <c r="JXV1377" s="110"/>
      <c r="JXW1377" s="110"/>
      <c r="JXX1377" s="110"/>
      <c r="JXY1377" s="110"/>
      <c r="JXZ1377" s="110"/>
      <c r="JYA1377" s="110"/>
      <c r="JYB1377" s="110"/>
      <c r="JYC1377" s="110"/>
      <c r="JYD1377" s="110"/>
      <c r="JYE1377" s="110"/>
      <c r="JYF1377" s="110"/>
      <c r="JYG1377" s="110"/>
      <c r="JYH1377" s="110"/>
      <c r="JYI1377" s="110"/>
      <c r="JYJ1377" s="110"/>
      <c r="JYK1377" s="110"/>
      <c r="JYL1377" s="110"/>
      <c r="JYM1377" s="110"/>
      <c r="JYN1377" s="110"/>
      <c r="JYO1377" s="110"/>
      <c r="JYP1377" s="110"/>
      <c r="JYQ1377" s="110"/>
      <c r="JYR1377" s="110"/>
      <c r="JYS1377" s="110"/>
      <c r="JYT1377" s="110"/>
      <c r="JYU1377" s="110"/>
      <c r="JYV1377" s="110"/>
      <c r="JYW1377" s="110"/>
      <c r="JYX1377" s="110"/>
      <c r="JYY1377" s="110"/>
      <c r="JYZ1377" s="110"/>
      <c r="JZA1377" s="110"/>
      <c r="JZB1377" s="110"/>
      <c r="JZC1377" s="110"/>
      <c r="JZD1377" s="110"/>
      <c r="JZE1377" s="110"/>
      <c r="JZF1377" s="110"/>
      <c r="JZG1377" s="110"/>
      <c r="JZH1377" s="110"/>
      <c r="JZI1377" s="110"/>
      <c r="JZJ1377" s="110"/>
      <c r="JZK1377" s="110"/>
      <c r="JZL1377" s="110"/>
      <c r="JZM1377" s="110"/>
      <c r="JZN1377" s="110"/>
      <c r="JZO1377" s="110"/>
      <c r="JZP1377" s="110"/>
      <c r="JZQ1377" s="110"/>
      <c r="JZR1377" s="110"/>
      <c r="JZS1377" s="110"/>
      <c r="JZT1377" s="110"/>
      <c r="JZU1377" s="110"/>
      <c r="JZV1377" s="110"/>
      <c r="JZW1377" s="110"/>
      <c r="JZX1377" s="110"/>
      <c r="JZY1377" s="110"/>
      <c r="JZZ1377" s="110"/>
      <c r="KAA1377" s="110"/>
      <c r="KAB1377" s="110"/>
      <c r="KAC1377" s="110"/>
      <c r="KAD1377" s="110"/>
      <c r="KAE1377" s="110"/>
      <c r="KAF1377" s="110"/>
      <c r="KAG1377" s="110"/>
      <c r="KAH1377" s="110"/>
      <c r="KAI1377" s="110"/>
      <c r="KAJ1377" s="110"/>
      <c r="KAK1377" s="110"/>
      <c r="KAL1377" s="110"/>
      <c r="KAM1377" s="110"/>
      <c r="KAN1377" s="110"/>
      <c r="KAO1377" s="110"/>
      <c r="KAP1377" s="110"/>
      <c r="KAQ1377" s="110"/>
      <c r="KAR1377" s="110"/>
      <c r="KAS1377" s="110"/>
      <c r="KAT1377" s="110"/>
      <c r="KAU1377" s="110"/>
      <c r="KAV1377" s="110"/>
      <c r="KAW1377" s="110"/>
      <c r="KAX1377" s="110"/>
      <c r="KAY1377" s="110"/>
      <c r="KAZ1377" s="110"/>
      <c r="KBA1377" s="110"/>
      <c r="KBB1377" s="110"/>
      <c r="KBC1377" s="110"/>
      <c r="KBD1377" s="110"/>
      <c r="KBE1377" s="110"/>
      <c r="KBF1377" s="110"/>
      <c r="KBG1377" s="110"/>
      <c r="KBH1377" s="110"/>
      <c r="KBI1377" s="110"/>
      <c r="KBJ1377" s="110"/>
      <c r="KBK1377" s="110"/>
      <c r="KBL1377" s="110"/>
      <c r="KBM1377" s="110"/>
      <c r="KBN1377" s="110"/>
      <c r="KBO1377" s="110"/>
      <c r="KBP1377" s="110"/>
      <c r="KBQ1377" s="110"/>
      <c r="KBR1377" s="110"/>
      <c r="KBS1377" s="110"/>
      <c r="KBT1377" s="110"/>
      <c r="KBU1377" s="110"/>
      <c r="KBV1377" s="110"/>
      <c r="KBW1377" s="110"/>
      <c r="KBX1377" s="110"/>
      <c r="KBY1377" s="110"/>
      <c r="KBZ1377" s="110"/>
      <c r="KCA1377" s="110"/>
      <c r="KCB1377" s="110"/>
      <c r="KCC1377" s="110"/>
      <c r="KCD1377" s="110"/>
      <c r="KCE1377" s="110"/>
      <c r="KCF1377" s="110"/>
      <c r="KCG1377" s="110"/>
      <c r="KCH1377" s="110"/>
      <c r="KCI1377" s="110"/>
      <c r="KCJ1377" s="110"/>
      <c r="KCK1377" s="110"/>
      <c r="KCL1377" s="110"/>
      <c r="KCM1377" s="110"/>
      <c r="KCN1377" s="110"/>
      <c r="KCO1377" s="110"/>
      <c r="KCP1377" s="110"/>
      <c r="KCQ1377" s="110"/>
      <c r="KCR1377" s="110"/>
      <c r="KCS1377" s="110"/>
      <c r="KCT1377" s="110"/>
      <c r="KCU1377" s="110"/>
      <c r="KCV1377" s="110"/>
      <c r="KCW1377" s="110"/>
      <c r="KCX1377" s="110"/>
      <c r="KCY1377" s="110"/>
      <c r="KCZ1377" s="110"/>
      <c r="KDA1377" s="110"/>
      <c r="KDB1377" s="110"/>
      <c r="KDC1377" s="110"/>
      <c r="KDD1377" s="110"/>
      <c r="KDE1377" s="110"/>
      <c r="KDF1377" s="110"/>
      <c r="KDG1377" s="110"/>
      <c r="KDH1377" s="110"/>
      <c r="KDI1377" s="110"/>
      <c r="KDJ1377" s="110"/>
      <c r="KDK1377" s="110"/>
      <c r="KDL1377" s="110"/>
      <c r="KDM1377" s="110"/>
      <c r="KDN1377" s="110"/>
      <c r="KDO1377" s="110"/>
      <c r="KDP1377" s="110"/>
      <c r="KDQ1377" s="110"/>
      <c r="KDR1377" s="110"/>
      <c r="KDS1377" s="110"/>
      <c r="KDT1377" s="110"/>
      <c r="KDU1377" s="110"/>
      <c r="KDV1377" s="110"/>
      <c r="KDW1377" s="110"/>
      <c r="KDX1377" s="110"/>
      <c r="KDY1377" s="110"/>
      <c r="KDZ1377" s="110"/>
      <c r="KEA1377" s="110"/>
      <c r="KEB1377" s="110"/>
      <c r="KEC1377" s="110"/>
      <c r="KED1377" s="110"/>
      <c r="KEE1377" s="110"/>
      <c r="KEF1377" s="110"/>
      <c r="KEG1377" s="110"/>
      <c r="KEH1377" s="110"/>
      <c r="KEI1377" s="110"/>
      <c r="KEJ1377" s="110"/>
      <c r="KEK1377" s="110"/>
      <c r="KEL1377" s="110"/>
      <c r="KEM1377" s="110"/>
      <c r="KEN1377" s="110"/>
      <c r="KEO1377" s="110"/>
      <c r="KEP1377" s="110"/>
      <c r="KEQ1377" s="110"/>
      <c r="KER1377" s="110"/>
      <c r="KES1377" s="110"/>
      <c r="KET1377" s="110"/>
      <c r="KEU1377" s="110"/>
      <c r="KEV1377" s="110"/>
      <c r="KEW1377" s="110"/>
      <c r="KEX1377" s="110"/>
      <c r="KEY1377" s="110"/>
      <c r="KEZ1377" s="110"/>
      <c r="KFA1377" s="110"/>
      <c r="KFB1377" s="110"/>
      <c r="KFC1377" s="110"/>
      <c r="KFD1377" s="110"/>
      <c r="KFE1377" s="110"/>
      <c r="KFF1377" s="110"/>
      <c r="KFG1377" s="110"/>
      <c r="KFH1377" s="110"/>
      <c r="KFI1377" s="110"/>
      <c r="KFJ1377" s="110"/>
      <c r="KFK1377" s="110"/>
      <c r="KFL1377" s="110"/>
      <c r="KFM1377" s="110"/>
      <c r="KFN1377" s="110"/>
      <c r="KFO1377" s="110"/>
      <c r="KFP1377" s="110"/>
      <c r="KFQ1377" s="110"/>
      <c r="KFR1377" s="110"/>
      <c r="KFS1377" s="110"/>
      <c r="KFT1377" s="110"/>
      <c r="KFU1377" s="110"/>
      <c r="KFV1377" s="110"/>
      <c r="KFW1377" s="110"/>
      <c r="KFX1377" s="110"/>
      <c r="KFY1377" s="110"/>
      <c r="KFZ1377" s="110"/>
      <c r="KGA1377" s="110"/>
      <c r="KGB1377" s="110"/>
      <c r="KGC1377" s="110"/>
      <c r="KGD1377" s="110"/>
      <c r="KGE1377" s="110"/>
      <c r="KGF1377" s="110"/>
      <c r="KGG1377" s="110"/>
      <c r="KGH1377" s="110"/>
      <c r="KGI1377" s="110"/>
      <c r="KGJ1377" s="110"/>
      <c r="KGK1377" s="110"/>
      <c r="KGL1377" s="110"/>
      <c r="KGM1377" s="110"/>
      <c r="KGN1377" s="110"/>
      <c r="KGO1377" s="110"/>
      <c r="KGP1377" s="110"/>
      <c r="KGQ1377" s="110"/>
      <c r="KGR1377" s="110"/>
      <c r="KGS1377" s="110"/>
      <c r="KGT1377" s="110"/>
      <c r="KGU1377" s="110"/>
      <c r="KGV1377" s="110"/>
      <c r="KGW1377" s="110"/>
      <c r="KGX1377" s="110"/>
      <c r="KGY1377" s="110"/>
      <c r="KGZ1377" s="110"/>
      <c r="KHA1377" s="110"/>
      <c r="KHB1377" s="110"/>
      <c r="KHC1377" s="110"/>
      <c r="KHD1377" s="110"/>
      <c r="KHE1377" s="110"/>
      <c r="KHF1377" s="110"/>
      <c r="KHG1377" s="110"/>
      <c r="KHH1377" s="110"/>
      <c r="KHI1377" s="110"/>
      <c r="KHJ1377" s="110"/>
      <c r="KHK1377" s="110"/>
      <c r="KHL1377" s="110"/>
      <c r="KHM1377" s="110"/>
      <c r="KHN1377" s="110"/>
      <c r="KHO1377" s="110"/>
      <c r="KHP1377" s="110"/>
      <c r="KHQ1377" s="110"/>
      <c r="KHR1377" s="110"/>
      <c r="KHS1377" s="110"/>
      <c r="KHT1377" s="110"/>
      <c r="KHU1377" s="110"/>
      <c r="KHV1377" s="110"/>
      <c r="KHW1377" s="110"/>
      <c r="KHX1377" s="110"/>
      <c r="KHY1377" s="110"/>
      <c r="KHZ1377" s="110"/>
      <c r="KIA1377" s="110"/>
      <c r="KIB1377" s="110"/>
      <c r="KIC1377" s="110"/>
      <c r="KID1377" s="110"/>
      <c r="KIE1377" s="110"/>
      <c r="KIF1377" s="110"/>
      <c r="KIG1377" s="110"/>
      <c r="KIH1377" s="110"/>
      <c r="KII1377" s="110"/>
      <c r="KIJ1377" s="110"/>
      <c r="KIK1377" s="110"/>
      <c r="KIL1377" s="110"/>
      <c r="KIM1377" s="110"/>
      <c r="KIN1377" s="110"/>
      <c r="KIO1377" s="110"/>
      <c r="KIP1377" s="110"/>
      <c r="KIQ1377" s="110"/>
      <c r="KIR1377" s="110"/>
      <c r="KIS1377" s="110"/>
      <c r="KIT1377" s="110"/>
      <c r="KIU1377" s="110"/>
      <c r="KIV1377" s="110"/>
      <c r="KIW1377" s="110"/>
      <c r="KIX1377" s="110"/>
      <c r="KIY1377" s="110"/>
      <c r="KIZ1377" s="110"/>
      <c r="KJA1377" s="110"/>
      <c r="KJB1377" s="110"/>
      <c r="KJC1377" s="110"/>
      <c r="KJD1377" s="110"/>
      <c r="KJE1377" s="110"/>
      <c r="KJF1377" s="110"/>
      <c r="KJG1377" s="110"/>
      <c r="KJH1377" s="110"/>
      <c r="KJI1377" s="110"/>
      <c r="KJJ1377" s="110"/>
      <c r="KJK1377" s="110"/>
      <c r="KJL1377" s="110"/>
      <c r="KJM1377" s="110"/>
      <c r="KJN1377" s="110"/>
      <c r="KJO1377" s="110"/>
      <c r="KJP1377" s="110"/>
      <c r="KJQ1377" s="110"/>
      <c r="KJR1377" s="110"/>
      <c r="KJS1377" s="110"/>
      <c r="KJT1377" s="110"/>
      <c r="KJU1377" s="110"/>
      <c r="KJV1377" s="110"/>
      <c r="KJW1377" s="110"/>
      <c r="KJX1377" s="110"/>
      <c r="KJY1377" s="110"/>
      <c r="KJZ1377" s="110"/>
      <c r="KKA1377" s="110"/>
      <c r="KKB1377" s="110"/>
      <c r="KKC1377" s="110"/>
      <c r="KKD1377" s="110"/>
      <c r="KKE1377" s="110"/>
      <c r="KKF1377" s="110"/>
      <c r="KKG1377" s="110"/>
      <c r="KKH1377" s="110"/>
      <c r="KKI1377" s="110"/>
      <c r="KKJ1377" s="110"/>
      <c r="KKK1377" s="110"/>
      <c r="KKL1377" s="110"/>
      <c r="KKM1377" s="110"/>
      <c r="KKN1377" s="110"/>
      <c r="KKO1377" s="110"/>
      <c r="KKP1377" s="110"/>
      <c r="KKQ1377" s="110"/>
      <c r="KKR1377" s="110"/>
      <c r="KKS1377" s="110"/>
      <c r="KKT1377" s="110"/>
      <c r="KKU1377" s="110"/>
      <c r="KKV1377" s="110"/>
      <c r="KKW1377" s="110"/>
      <c r="KKX1377" s="110"/>
      <c r="KKY1377" s="110"/>
      <c r="KKZ1377" s="110"/>
      <c r="KLA1377" s="110"/>
      <c r="KLB1377" s="110"/>
      <c r="KLC1377" s="110"/>
      <c r="KLD1377" s="110"/>
      <c r="KLE1377" s="110"/>
      <c r="KLF1377" s="110"/>
      <c r="KLG1377" s="110"/>
      <c r="KLH1377" s="110"/>
      <c r="KLI1377" s="110"/>
      <c r="KLJ1377" s="110"/>
      <c r="KLK1377" s="110"/>
      <c r="KLL1377" s="110"/>
      <c r="KLM1377" s="110"/>
      <c r="KLN1377" s="110"/>
      <c r="KLO1377" s="110"/>
      <c r="KLP1377" s="110"/>
      <c r="KLQ1377" s="110"/>
      <c r="KLR1377" s="110"/>
      <c r="KLS1377" s="110"/>
      <c r="KLT1377" s="110"/>
      <c r="KLU1377" s="110"/>
      <c r="KLV1377" s="110"/>
      <c r="KLW1377" s="110"/>
      <c r="KLX1377" s="110"/>
      <c r="KLY1377" s="110"/>
      <c r="KLZ1377" s="110"/>
      <c r="KMA1377" s="110"/>
      <c r="KMB1377" s="110"/>
      <c r="KMC1377" s="110"/>
      <c r="KMD1377" s="110"/>
      <c r="KME1377" s="110"/>
      <c r="KMF1377" s="110"/>
      <c r="KMG1377" s="110"/>
      <c r="KMH1377" s="110"/>
      <c r="KMI1377" s="110"/>
      <c r="KMJ1377" s="110"/>
      <c r="KMK1377" s="110"/>
      <c r="KML1377" s="110"/>
      <c r="KMM1377" s="110"/>
      <c r="KMN1377" s="110"/>
      <c r="KMO1377" s="110"/>
      <c r="KMP1377" s="110"/>
      <c r="KMQ1377" s="110"/>
      <c r="KMR1377" s="110"/>
      <c r="KMS1377" s="110"/>
      <c r="KMT1377" s="110"/>
      <c r="KMU1377" s="110"/>
      <c r="KMV1377" s="110"/>
      <c r="KMW1377" s="110"/>
      <c r="KMX1377" s="110"/>
      <c r="KMY1377" s="110"/>
      <c r="KMZ1377" s="110"/>
      <c r="KNA1377" s="110"/>
      <c r="KNB1377" s="110"/>
      <c r="KNC1377" s="110"/>
      <c r="KND1377" s="110"/>
      <c r="KNE1377" s="110"/>
      <c r="KNF1377" s="110"/>
      <c r="KNG1377" s="110"/>
      <c r="KNH1377" s="110"/>
      <c r="KNI1377" s="110"/>
      <c r="KNJ1377" s="110"/>
      <c r="KNK1377" s="110"/>
      <c r="KNL1377" s="110"/>
      <c r="KNM1377" s="110"/>
      <c r="KNN1377" s="110"/>
      <c r="KNO1377" s="110"/>
      <c r="KNP1377" s="110"/>
      <c r="KNQ1377" s="110"/>
      <c r="KNR1377" s="110"/>
      <c r="KNS1377" s="110"/>
      <c r="KNT1377" s="110"/>
      <c r="KNU1377" s="110"/>
      <c r="KNV1377" s="110"/>
      <c r="KNW1377" s="110"/>
      <c r="KNX1377" s="110"/>
      <c r="KNY1377" s="110"/>
      <c r="KNZ1377" s="110"/>
      <c r="KOA1377" s="110"/>
      <c r="KOB1377" s="110"/>
      <c r="KOC1377" s="110"/>
      <c r="KOD1377" s="110"/>
      <c r="KOE1377" s="110"/>
      <c r="KOF1377" s="110"/>
      <c r="KOG1377" s="110"/>
      <c r="KOH1377" s="110"/>
      <c r="KOI1377" s="110"/>
      <c r="KOJ1377" s="110"/>
      <c r="KOK1377" s="110"/>
      <c r="KOL1377" s="110"/>
      <c r="KOM1377" s="110"/>
      <c r="KON1377" s="110"/>
      <c r="KOO1377" s="110"/>
      <c r="KOP1377" s="110"/>
      <c r="KOQ1377" s="110"/>
      <c r="KOR1377" s="110"/>
      <c r="KOS1377" s="110"/>
      <c r="KOT1377" s="110"/>
      <c r="KOU1377" s="110"/>
      <c r="KOV1377" s="110"/>
      <c r="KOW1377" s="110"/>
      <c r="KOX1377" s="110"/>
      <c r="KOY1377" s="110"/>
      <c r="KOZ1377" s="110"/>
      <c r="KPA1377" s="110"/>
      <c r="KPB1377" s="110"/>
      <c r="KPC1377" s="110"/>
      <c r="KPD1377" s="110"/>
      <c r="KPE1377" s="110"/>
      <c r="KPF1377" s="110"/>
      <c r="KPG1377" s="110"/>
      <c r="KPH1377" s="110"/>
      <c r="KPI1377" s="110"/>
      <c r="KPJ1377" s="110"/>
      <c r="KPK1377" s="110"/>
      <c r="KPL1377" s="110"/>
      <c r="KPM1377" s="110"/>
      <c r="KPN1377" s="110"/>
      <c r="KPO1377" s="110"/>
      <c r="KPP1377" s="110"/>
      <c r="KPQ1377" s="110"/>
      <c r="KPR1377" s="110"/>
      <c r="KPS1377" s="110"/>
      <c r="KPT1377" s="110"/>
      <c r="KPU1377" s="110"/>
      <c r="KPV1377" s="110"/>
      <c r="KPW1377" s="110"/>
      <c r="KPX1377" s="110"/>
      <c r="KPY1377" s="110"/>
      <c r="KPZ1377" s="110"/>
      <c r="KQA1377" s="110"/>
      <c r="KQB1377" s="110"/>
      <c r="KQC1377" s="110"/>
      <c r="KQD1377" s="110"/>
      <c r="KQE1377" s="110"/>
      <c r="KQF1377" s="110"/>
      <c r="KQG1377" s="110"/>
      <c r="KQH1377" s="110"/>
      <c r="KQI1377" s="110"/>
      <c r="KQJ1377" s="110"/>
      <c r="KQK1377" s="110"/>
      <c r="KQL1377" s="110"/>
      <c r="KQM1377" s="110"/>
      <c r="KQN1377" s="110"/>
      <c r="KQO1377" s="110"/>
      <c r="KQP1377" s="110"/>
      <c r="KQQ1377" s="110"/>
      <c r="KQR1377" s="110"/>
      <c r="KQS1377" s="110"/>
      <c r="KQT1377" s="110"/>
      <c r="KQU1377" s="110"/>
      <c r="KQV1377" s="110"/>
      <c r="KQW1377" s="110"/>
      <c r="KQX1377" s="110"/>
      <c r="KQY1377" s="110"/>
      <c r="KQZ1377" s="110"/>
      <c r="KRA1377" s="110"/>
      <c r="KRB1377" s="110"/>
      <c r="KRC1377" s="110"/>
      <c r="KRD1377" s="110"/>
      <c r="KRE1377" s="110"/>
      <c r="KRF1377" s="110"/>
      <c r="KRG1377" s="110"/>
      <c r="KRH1377" s="110"/>
      <c r="KRI1377" s="110"/>
      <c r="KRJ1377" s="110"/>
      <c r="KRK1377" s="110"/>
      <c r="KRL1377" s="110"/>
      <c r="KRM1377" s="110"/>
      <c r="KRN1377" s="110"/>
      <c r="KRO1377" s="110"/>
      <c r="KRP1377" s="110"/>
      <c r="KRQ1377" s="110"/>
      <c r="KRR1377" s="110"/>
      <c r="KRS1377" s="110"/>
      <c r="KRT1377" s="110"/>
      <c r="KRU1377" s="110"/>
      <c r="KRV1377" s="110"/>
      <c r="KRW1377" s="110"/>
      <c r="KRX1377" s="110"/>
      <c r="KRY1377" s="110"/>
      <c r="KRZ1377" s="110"/>
      <c r="KSA1377" s="110"/>
      <c r="KSB1377" s="110"/>
      <c r="KSC1377" s="110"/>
      <c r="KSD1377" s="110"/>
      <c r="KSE1377" s="110"/>
      <c r="KSF1377" s="110"/>
      <c r="KSG1377" s="110"/>
      <c r="KSH1377" s="110"/>
      <c r="KSI1377" s="110"/>
      <c r="KSJ1377" s="110"/>
      <c r="KSK1377" s="110"/>
      <c r="KSL1377" s="110"/>
      <c r="KSM1377" s="110"/>
      <c r="KSN1377" s="110"/>
      <c r="KSO1377" s="110"/>
      <c r="KSP1377" s="110"/>
      <c r="KSQ1377" s="110"/>
      <c r="KSR1377" s="110"/>
      <c r="KSS1377" s="110"/>
      <c r="KST1377" s="110"/>
      <c r="KSU1377" s="110"/>
      <c r="KSV1377" s="110"/>
      <c r="KSW1377" s="110"/>
      <c r="KSX1377" s="110"/>
      <c r="KSY1377" s="110"/>
      <c r="KSZ1377" s="110"/>
      <c r="KTA1377" s="110"/>
      <c r="KTB1377" s="110"/>
      <c r="KTC1377" s="110"/>
      <c r="KTD1377" s="110"/>
      <c r="KTE1377" s="110"/>
      <c r="KTF1377" s="110"/>
      <c r="KTG1377" s="110"/>
      <c r="KTH1377" s="110"/>
      <c r="KTI1377" s="110"/>
      <c r="KTJ1377" s="110"/>
      <c r="KTK1377" s="110"/>
      <c r="KTL1377" s="110"/>
      <c r="KTM1377" s="110"/>
      <c r="KTN1377" s="110"/>
      <c r="KTO1377" s="110"/>
      <c r="KTP1377" s="110"/>
      <c r="KTQ1377" s="110"/>
      <c r="KTR1377" s="110"/>
      <c r="KTS1377" s="110"/>
      <c r="KTT1377" s="110"/>
      <c r="KTU1377" s="110"/>
      <c r="KTV1377" s="110"/>
      <c r="KTW1377" s="110"/>
      <c r="KTX1377" s="110"/>
      <c r="KTY1377" s="110"/>
      <c r="KTZ1377" s="110"/>
      <c r="KUA1377" s="110"/>
      <c r="KUB1377" s="110"/>
      <c r="KUC1377" s="110"/>
      <c r="KUD1377" s="110"/>
      <c r="KUE1377" s="110"/>
      <c r="KUF1377" s="110"/>
      <c r="KUG1377" s="110"/>
      <c r="KUH1377" s="110"/>
      <c r="KUI1377" s="110"/>
      <c r="KUJ1377" s="110"/>
      <c r="KUK1377" s="110"/>
      <c r="KUL1377" s="110"/>
      <c r="KUM1377" s="110"/>
      <c r="KUN1377" s="110"/>
      <c r="KUO1377" s="110"/>
      <c r="KUP1377" s="110"/>
      <c r="KUQ1377" s="110"/>
      <c r="KUR1377" s="110"/>
      <c r="KUS1377" s="110"/>
      <c r="KUT1377" s="110"/>
      <c r="KUU1377" s="110"/>
      <c r="KUV1377" s="110"/>
      <c r="KUW1377" s="110"/>
      <c r="KUX1377" s="110"/>
      <c r="KUY1377" s="110"/>
      <c r="KUZ1377" s="110"/>
      <c r="KVA1377" s="110"/>
      <c r="KVB1377" s="110"/>
      <c r="KVC1377" s="110"/>
      <c r="KVD1377" s="110"/>
      <c r="KVE1377" s="110"/>
      <c r="KVF1377" s="110"/>
      <c r="KVG1377" s="110"/>
      <c r="KVH1377" s="110"/>
      <c r="KVI1377" s="110"/>
      <c r="KVJ1377" s="110"/>
      <c r="KVK1377" s="110"/>
      <c r="KVL1377" s="110"/>
      <c r="KVM1377" s="110"/>
      <c r="KVN1377" s="110"/>
      <c r="KVO1377" s="110"/>
      <c r="KVP1377" s="110"/>
      <c r="KVQ1377" s="110"/>
      <c r="KVR1377" s="110"/>
      <c r="KVS1377" s="110"/>
      <c r="KVT1377" s="110"/>
      <c r="KVU1377" s="110"/>
      <c r="KVV1377" s="110"/>
      <c r="KVW1377" s="110"/>
      <c r="KVX1377" s="110"/>
      <c r="KVY1377" s="110"/>
      <c r="KVZ1377" s="110"/>
      <c r="KWA1377" s="110"/>
      <c r="KWB1377" s="110"/>
      <c r="KWC1377" s="110"/>
      <c r="KWD1377" s="110"/>
      <c r="KWE1377" s="110"/>
      <c r="KWF1377" s="110"/>
      <c r="KWG1377" s="110"/>
      <c r="KWH1377" s="110"/>
      <c r="KWI1377" s="110"/>
      <c r="KWJ1377" s="110"/>
      <c r="KWK1377" s="110"/>
      <c r="KWL1377" s="110"/>
      <c r="KWM1377" s="110"/>
      <c r="KWN1377" s="110"/>
      <c r="KWO1377" s="110"/>
      <c r="KWP1377" s="110"/>
      <c r="KWQ1377" s="110"/>
      <c r="KWR1377" s="110"/>
      <c r="KWS1377" s="110"/>
      <c r="KWT1377" s="110"/>
      <c r="KWU1377" s="110"/>
      <c r="KWV1377" s="110"/>
      <c r="KWW1377" s="110"/>
      <c r="KWX1377" s="110"/>
      <c r="KWY1377" s="110"/>
      <c r="KWZ1377" s="110"/>
      <c r="KXA1377" s="110"/>
      <c r="KXB1377" s="110"/>
      <c r="KXC1377" s="110"/>
      <c r="KXD1377" s="110"/>
      <c r="KXE1377" s="110"/>
      <c r="KXF1377" s="110"/>
      <c r="KXG1377" s="110"/>
      <c r="KXH1377" s="110"/>
      <c r="KXI1377" s="110"/>
      <c r="KXJ1377" s="110"/>
      <c r="KXK1377" s="110"/>
      <c r="KXL1377" s="110"/>
      <c r="KXM1377" s="110"/>
      <c r="KXN1377" s="110"/>
      <c r="KXO1377" s="110"/>
      <c r="KXP1377" s="110"/>
      <c r="KXQ1377" s="110"/>
      <c r="KXR1377" s="110"/>
      <c r="KXS1377" s="110"/>
      <c r="KXT1377" s="110"/>
      <c r="KXU1377" s="110"/>
      <c r="KXV1377" s="110"/>
      <c r="KXW1377" s="110"/>
      <c r="KXX1377" s="110"/>
      <c r="KXY1377" s="110"/>
      <c r="KXZ1377" s="110"/>
      <c r="KYA1377" s="110"/>
      <c r="KYB1377" s="110"/>
      <c r="KYC1377" s="110"/>
      <c r="KYD1377" s="110"/>
      <c r="KYE1377" s="110"/>
      <c r="KYF1377" s="110"/>
      <c r="KYG1377" s="110"/>
      <c r="KYH1377" s="110"/>
      <c r="KYI1377" s="110"/>
      <c r="KYJ1377" s="110"/>
      <c r="KYK1377" s="110"/>
      <c r="KYL1377" s="110"/>
      <c r="KYM1377" s="110"/>
      <c r="KYN1377" s="110"/>
      <c r="KYO1377" s="110"/>
      <c r="KYP1377" s="110"/>
      <c r="KYQ1377" s="110"/>
      <c r="KYR1377" s="110"/>
      <c r="KYS1377" s="110"/>
      <c r="KYT1377" s="110"/>
      <c r="KYU1377" s="110"/>
      <c r="KYV1377" s="110"/>
      <c r="KYW1377" s="110"/>
      <c r="KYX1377" s="110"/>
      <c r="KYY1377" s="110"/>
      <c r="KYZ1377" s="110"/>
      <c r="KZA1377" s="110"/>
      <c r="KZB1377" s="110"/>
      <c r="KZC1377" s="110"/>
      <c r="KZD1377" s="110"/>
      <c r="KZE1377" s="110"/>
      <c r="KZF1377" s="110"/>
      <c r="KZG1377" s="110"/>
      <c r="KZH1377" s="110"/>
      <c r="KZI1377" s="110"/>
      <c r="KZJ1377" s="110"/>
      <c r="KZK1377" s="110"/>
      <c r="KZL1377" s="110"/>
      <c r="KZM1377" s="110"/>
      <c r="KZN1377" s="110"/>
      <c r="KZO1377" s="110"/>
      <c r="KZP1377" s="110"/>
      <c r="KZQ1377" s="110"/>
      <c r="KZR1377" s="110"/>
      <c r="KZS1377" s="110"/>
      <c r="KZT1377" s="110"/>
      <c r="KZU1377" s="110"/>
      <c r="KZV1377" s="110"/>
      <c r="KZW1377" s="110"/>
      <c r="KZX1377" s="110"/>
      <c r="KZY1377" s="110"/>
      <c r="KZZ1377" s="110"/>
      <c r="LAA1377" s="110"/>
      <c r="LAB1377" s="110"/>
      <c r="LAC1377" s="110"/>
      <c r="LAD1377" s="110"/>
      <c r="LAE1377" s="110"/>
      <c r="LAF1377" s="110"/>
      <c r="LAG1377" s="110"/>
      <c r="LAH1377" s="110"/>
      <c r="LAI1377" s="110"/>
      <c r="LAJ1377" s="110"/>
      <c r="LAK1377" s="110"/>
      <c r="LAL1377" s="110"/>
      <c r="LAM1377" s="110"/>
      <c r="LAN1377" s="110"/>
      <c r="LAO1377" s="110"/>
      <c r="LAP1377" s="110"/>
      <c r="LAQ1377" s="110"/>
      <c r="LAR1377" s="110"/>
      <c r="LAS1377" s="110"/>
      <c r="LAT1377" s="110"/>
      <c r="LAU1377" s="110"/>
      <c r="LAV1377" s="110"/>
      <c r="LAW1377" s="110"/>
      <c r="LAX1377" s="110"/>
      <c r="LAY1377" s="110"/>
      <c r="LAZ1377" s="110"/>
      <c r="LBA1377" s="110"/>
      <c r="LBB1377" s="110"/>
      <c r="LBC1377" s="110"/>
      <c r="LBD1377" s="110"/>
      <c r="LBE1377" s="110"/>
      <c r="LBF1377" s="110"/>
      <c r="LBG1377" s="110"/>
      <c r="LBH1377" s="110"/>
      <c r="LBI1377" s="110"/>
      <c r="LBJ1377" s="110"/>
      <c r="LBK1377" s="110"/>
      <c r="LBL1377" s="110"/>
      <c r="LBM1377" s="110"/>
      <c r="LBN1377" s="110"/>
      <c r="LBO1377" s="110"/>
      <c r="LBP1377" s="110"/>
      <c r="LBQ1377" s="110"/>
      <c r="LBR1377" s="110"/>
      <c r="LBS1377" s="110"/>
      <c r="LBT1377" s="110"/>
      <c r="LBU1377" s="110"/>
      <c r="LBV1377" s="110"/>
      <c r="LBW1377" s="110"/>
      <c r="LBX1377" s="110"/>
      <c r="LBY1377" s="110"/>
      <c r="LBZ1377" s="110"/>
      <c r="LCA1377" s="110"/>
      <c r="LCB1377" s="110"/>
      <c r="LCC1377" s="110"/>
      <c r="LCD1377" s="110"/>
      <c r="LCE1377" s="110"/>
      <c r="LCF1377" s="110"/>
      <c r="LCG1377" s="110"/>
      <c r="LCH1377" s="110"/>
      <c r="LCI1377" s="110"/>
      <c r="LCJ1377" s="110"/>
      <c r="LCK1377" s="110"/>
      <c r="LCL1377" s="110"/>
      <c r="LCM1377" s="110"/>
      <c r="LCN1377" s="110"/>
      <c r="LCO1377" s="110"/>
      <c r="LCP1377" s="110"/>
      <c r="LCQ1377" s="110"/>
      <c r="LCR1377" s="110"/>
      <c r="LCS1377" s="110"/>
      <c r="LCT1377" s="110"/>
      <c r="LCU1377" s="110"/>
      <c r="LCV1377" s="110"/>
      <c r="LCW1377" s="110"/>
      <c r="LCX1377" s="110"/>
      <c r="LCY1377" s="110"/>
      <c r="LCZ1377" s="110"/>
      <c r="LDA1377" s="110"/>
      <c r="LDB1377" s="110"/>
      <c r="LDC1377" s="110"/>
      <c r="LDD1377" s="110"/>
      <c r="LDE1377" s="110"/>
      <c r="LDF1377" s="110"/>
      <c r="LDG1377" s="110"/>
      <c r="LDH1377" s="110"/>
      <c r="LDI1377" s="110"/>
      <c r="LDJ1377" s="110"/>
      <c r="LDK1377" s="110"/>
      <c r="LDL1377" s="110"/>
      <c r="LDM1377" s="110"/>
      <c r="LDN1377" s="110"/>
      <c r="LDO1377" s="110"/>
      <c r="LDP1377" s="110"/>
      <c r="LDQ1377" s="110"/>
      <c r="LDR1377" s="110"/>
      <c r="LDS1377" s="110"/>
      <c r="LDT1377" s="110"/>
      <c r="LDU1377" s="110"/>
      <c r="LDV1377" s="110"/>
      <c r="LDW1377" s="110"/>
      <c r="LDX1377" s="110"/>
      <c r="LDY1377" s="110"/>
      <c r="LDZ1377" s="110"/>
      <c r="LEA1377" s="110"/>
      <c r="LEB1377" s="110"/>
      <c r="LEC1377" s="110"/>
      <c r="LED1377" s="110"/>
      <c r="LEE1377" s="110"/>
      <c r="LEF1377" s="110"/>
      <c r="LEG1377" s="110"/>
      <c r="LEH1377" s="110"/>
      <c r="LEI1377" s="110"/>
      <c r="LEJ1377" s="110"/>
      <c r="LEK1377" s="110"/>
      <c r="LEL1377" s="110"/>
      <c r="LEM1377" s="110"/>
      <c r="LEN1377" s="110"/>
      <c r="LEO1377" s="110"/>
      <c r="LEP1377" s="110"/>
      <c r="LEQ1377" s="110"/>
      <c r="LER1377" s="110"/>
      <c r="LES1377" s="110"/>
      <c r="LET1377" s="110"/>
      <c r="LEU1377" s="110"/>
      <c r="LEV1377" s="110"/>
      <c r="LEW1377" s="110"/>
      <c r="LEX1377" s="110"/>
      <c r="LEY1377" s="110"/>
      <c r="LEZ1377" s="110"/>
      <c r="LFA1377" s="110"/>
      <c r="LFB1377" s="110"/>
      <c r="LFC1377" s="110"/>
      <c r="LFD1377" s="110"/>
      <c r="LFE1377" s="110"/>
      <c r="LFF1377" s="110"/>
      <c r="LFG1377" s="110"/>
      <c r="LFH1377" s="110"/>
      <c r="LFI1377" s="110"/>
      <c r="LFJ1377" s="110"/>
      <c r="LFK1377" s="110"/>
      <c r="LFL1377" s="110"/>
      <c r="LFM1377" s="110"/>
      <c r="LFN1377" s="110"/>
      <c r="LFO1377" s="110"/>
      <c r="LFP1377" s="110"/>
      <c r="LFQ1377" s="110"/>
      <c r="LFR1377" s="110"/>
      <c r="LFS1377" s="110"/>
      <c r="LFT1377" s="110"/>
      <c r="LFU1377" s="110"/>
      <c r="LFV1377" s="110"/>
      <c r="LFW1377" s="110"/>
      <c r="LFX1377" s="110"/>
      <c r="LFY1377" s="110"/>
      <c r="LFZ1377" s="110"/>
      <c r="LGA1377" s="110"/>
      <c r="LGB1377" s="110"/>
      <c r="LGC1377" s="110"/>
      <c r="LGD1377" s="110"/>
      <c r="LGE1377" s="110"/>
      <c r="LGF1377" s="110"/>
      <c r="LGG1377" s="110"/>
      <c r="LGH1377" s="110"/>
      <c r="LGI1377" s="110"/>
      <c r="LGJ1377" s="110"/>
      <c r="LGK1377" s="110"/>
      <c r="LGL1377" s="110"/>
      <c r="LGM1377" s="110"/>
      <c r="LGN1377" s="110"/>
      <c r="LGO1377" s="110"/>
      <c r="LGP1377" s="110"/>
      <c r="LGQ1377" s="110"/>
      <c r="LGR1377" s="110"/>
      <c r="LGS1377" s="110"/>
      <c r="LGT1377" s="110"/>
      <c r="LGU1377" s="110"/>
      <c r="LGV1377" s="110"/>
      <c r="LGW1377" s="110"/>
      <c r="LGX1377" s="110"/>
      <c r="LGY1377" s="110"/>
      <c r="LGZ1377" s="110"/>
      <c r="LHA1377" s="110"/>
      <c r="LHB1377" s="110"/>
      <c r="LHC1377" s="110"/>
      <c r="LHD1377" s="110"/>
      <c r="LHE1377" s="110"/>
      <c r="LHF1377" s="110"/>
      <c r="LHG1377" s="110"/>
      <c r="LHH1377" s="110"/>
      <c r="LHI1377" s="110"/>
      <c r="LHJ1377" s="110"/>
      <c r="LHK1377" s="110"/>
      <c r="LHL1377" s="110"/>
      <c r="LHM1377" s="110"/>
      <c r="LHN1377" s="110"/>
      <c r="LHO1377" s="110"/>
      <c r="LHP1377" s="110"/>
      <c r="LHQ1377" s="110"/>
      <c r="LHR1377" s="110"/>
      <c r="LHS1377" s="110"/>
      <c r="LHT1377" s="110"/>
      <c r="LHU1377" s="110"/>
      <c r="LHV1377" s="110"/>
      <c r="LHW1377" s="110"/>
      <c r="LHX1377" s="110"/>
      <c r="LHY1377" s="110"/>
      <c r="LHZ1377" s="110"/>
      <c r="LIA1377" s="110"/>
      <c r="LIB1377" s="110"/>
      <c r="LIC1377" s="110"/>
      <c r="LID1377" s="110"/>
      <c r="LIE1377" s="110"/>
      <c r="LIF1377" s="110"/>
      <c r="LIG1377" s="110"/>
      <c r="LIH1377" s="110"/>
      <c r="LII1377" s="110"/>
      <c r="LIJ1377" s="110"/>
      <c r="LIK1377" s="110"/>
      <c r="LIL1377" s="110"/>
      <c r="LIM1377" s="110"/>
      <c r="LIN1377" s="110"/>
      <c r="LIO1377" s="110"/>
      <c r="LIP1377" s="110"/>
      <c r="LIQ1377" s="110"/>
      <c r="LIR1377" s="110"/>
      <c r="LIS1377" s="110"/>
      <c r="LIT1377" s="110"/>
      <c r="LIU1377" s="110"/>
      <c r="LIV1377" s="110"/>
      <c r="LIW1377" s="110"/>
      <c r="LIX1377" s="110"/>
      <c r="LIY1377" s="110"/>
      <c r="LIZ1377" s="110"/>
      <c r="LJA1377" s="110"/>
      <c r="LJB1377" s="110"/>
      <c r="LJC1377" s="110"/>
      <c r="LJD1377" s="110"/>
      <c r="LJE1377" s="110"/>
      <c r="LJF1377" s="110"/>
      <c r="LJG1377" s="110"/>
      <c r="LJH1377" s="110"/>
      <c r="LJI1377" s="110"/>
      <c r="LJJ1377" s="110"/>
      <c r="LJK1377" s="110"/>
      <c r="LJL1377" s="110"/>
      <c r="LJM1377" s="110"/>
      <c r="LJN1377" s="110"/>
      <c r="LJO1377" s="110"/>
      <c r="LJP1377" s="110"/>
      <c r="LJQ1377" s="110"/>
      <c r="LJR1377" s="110"/>
      <c r="LJS1377" s="110"/>
      <c r="LJT1377" s="110"/>
      <c r="LJU1377" s="110"/>
      <c r="LJV1377" s="110"/>
      <c r="LJW1377" s="110"/>
      <c r="LJX1377" s="110"/>
      <c r="LJY1377" s="110"/>
      <c r="LJZ1377" s="110"/>
      <c r="LKA1377" s="110"/>
      <c r="LKB1377" s="110"/>
      <c r="LKC1377" s="110"/>
      <c r="LKD1377" s="110"/>
      <c r="LKE1377" s="110"/>
      <c r="LKF1377" s="110"/>
      <c r="LKG1377" s="110"/>
      <c r="LKH1377" s="110"/>
      <c r="LKI1377" s="110"/>
      <c r="LKJ1377" s="110"/>
      <c r="LKK1377" s="110"/>
      <c r="LKL1377" s="110"/>
      <c r="LKM1377" s="110"/>
      <c r="LKN1377" s="110"/>
      <c r="LKO1377" s="110"/>
      <c r="LKP1377" s="110"/>
      <c r="LKQ1377" s="110"/>
      <c r="LKR1377" s="110"/>
      <c r="LKS1377" s="110"/>
      <c r="LKT1377" s="110"/>
      <c r="LKU1377" s="110"/>
      <c r="LKV1377" s="110"/>
      <c r="LKW1377" s="110"/>
      <c r="LKX1377" s="110"/>
      <c r="LKY1377" s="110"/>
      <c r="LKZ1377" s="110"/>
      <c r="LLA1377" s="110"/>
      <c r="LLB1377" s="110"/>
      <c r="LLC1377" s="110"/>
      <c r="LLD1377" s="110"/>
      <c r="LLE1377" s="110"/>
      <c r="LLF1377" s="110"/>
      <c r="LLG1377" s="110"/>
      <c r="LLH1377" s="110"/>
      <c r="LLI1377" s="110"/>
      <c r="LLJ1377" s="110"/>
      <c r="LLK1377" s="110"/>
      <c r="LLL1377" s="110"/>
      <c r="LLM1377" s="110"/>
      <c r="LLN1377" s="110"/>
      <c r="LLO1377" s="110"/>
      <c r="LLP1377" s="110"/>
      <c r="LLQ1377" s="110"/>
      <c r="LLR1377" s="110"/>
      <c r="LLS1377" s="110"/>
      <c r="LLT1377" s="110"/>
      <c r="LLU1377" s="110"/>
      <c r="LLV1377" s="110"/>
      <c r="LLW1377" s="110"/>
      <c r="LLX1377" s="110"/>
      <c r="LLY1377" s="110"/>
      <c r="LLZ1377" s="110"/>
      <c r="LMA1377" s="110"/>
      <c r="LMB1377" s="110"/>
      <c r="LMC1377" s="110"/>
      <c r="LMD1377" s="110"/>
      <c r="LME1377" s="110"/>
      <c r="LMF1377" s="110"/>
      <c r="LMG1377" s="110"/>
      <c r="LMH1377" s="110"/>
      <c r="LMI1377" s="110"/>
      <c r="LMJ1377" s="110"/>
      <c r="LMK1377" s="110"/>
      <c r="LML1377" s="110"/>
      <c r="LMM1377" s="110"/>
      <c r="LMN1377" s="110"/>
      <c r="LMO1377" s="110"/>
      <c r="LMP1377" s="110"/>
      <c r="LMQ1377" s="110"/>
      <c r="LMR1377" s="110"/>
      <c r="LMS1377" s="110"/>
      <c r="LMT1377" s="110"/>
      <c r="LMU1377" s="110"/>
      <c r="LMV1377" s="110"/>
      <c r="LMW1377" s="110"/>
      <c r="LMX1377" s="110"/>
      <c r="LMY1377" s="110"/>
      <c r="LMZ1377" s="110"/>
      <c r="LNA1377" s="110"/>
      <c r="LNB1377" s="110"/>
      <c r="LNC1377" s="110"/>
      <c r="LND1377" s="110"/>
      <c r="LNE1377" s="110"/>
      <c r="LNF1377" s="110"/>
      <c r="LNG1377" s="110"/>
      <c r="LNH1377" s="110"/>
      <c r="LNI1377" s="110"/>
      <c r="LNJ1377" s="110"/>
      <c r="LNK1377" s="110"/>
      <c r="LNL1377" s="110"/>
      <c r="LNM1377" s="110"/>
      <c r="LNN1377" s="110"/>
      <c r="LNO1377" s="110"/>
      <c r="LNP1377" s="110"/>
      <c r="LNQ1377" s="110"/>
      <c r="LNR1377" s="110"/>
      <c r="LNS1377" s="110"/>
      <c r="LNT1377" s="110"/>
      <c r="LNU1377" s="110"/>
      <c r="LNV1377" s="110"/>
      <c r="LNW1377" s="110"/>
      <c r="LNX1377" s="110"/>
      <c r="LNY1377" s="110"/>
      <c r="LNZ1377" s="110"/>
      <c r="LOA1377" s="110"/>
      <c r="LOB1377" s="110"/>
      <c r="LOC1377" s="110"/>
      <c r="LOD1377" s="110"/>
      <c r="LOE1377" s="110"/>
      <c r="LOF1377" s="110"/>
      <c r="LOG1377" s="110"/>
      <c r="LOH1377" s="110"/>
      <c r="LOI1377" s="110"/>
      <c r="LOJ1377" s="110"/>
      <c r="LOK1377" s="110"/>
      <c r="LOL1377" s="110"/>
      <c r="LOM1377" s="110"/>
      <c r="LON1377" s="110"/>
      <c r="LOO1377" s="110"/>
      <c r="LOP1377" s="110"/>
      <c r="LOQ1377" s="110"/>
      <c r="LOR1377" s="110"/>
      <c r="LOS1377" s="110"/>
      <c r="LOT1377" s="110"/>
      <c r="LOU1377" s="110"/>
      <c r="LOV1377" s="110"/>
      <c r="LOW1377" s="110"/>
      <c r="LOX1377" s="110"/>
      <c r="LOY1377" s="110"/>
      <c r="LOZ1377" s="110"/>
      <c r="LPA1377" s="110"/>
      <c r="LPB1377" s="110"/>
      <c r="LPC1377" s="110"/>
      <c r="LPD1377" s="110"/>
      <c r="LPE1377" s="110"/>
      <c r="LPF1377" s="110"/>
      <c r="LPG1377" s="110"/>
      <c r="LPH1377" s="110"/>
      <c r="LPI1377" s="110"/>
      <c r="LPJ1377" s="110"/>
      <c r="LPK1377" s="110"/>
      <c r="LPL1377" s="110"/>
      <c r="LPM1377" s="110"/>
      <c r="LPN1377" s="110"/>
      <c r="LPO1377" s="110"/>
      <c r="LPP1377" s="110"/>
      <c r="LPQ1377" s="110"/>
      <c r="LPR1377" s="110"/>
      <c r="LPS1377" s="110"/>
      <c r="LPT1377" s="110"/>
      <c r="LPU1377" s="110"/>
      <c r="LPV1377" s="110"/>
      <c r="LPW1377" s="110"/>
      <c r="LPX1377" s="110"/>
      <c r="LPY1377" s="110"/>
      <c r="LPZ1377" s="110"/>
      <c r="LQA1377" s="110"/>
      <c r="LQB1377" s="110"/>
      <c r="LQC1377" s="110"/>
      <c r="LQD1377" s="110"/>
      <c r="LQE1377" s="110"/>
      <c r="LQF1377" s="110"/>
      <c r="LQG1377" s="110"/>
      <c r="LQH1377" s="110"/>
      <c r="LQI1377" s="110"/>
      <c r="LQJ1377" s="110"/>
      <c r="LQK1377" s="110"/>
      <c r="LQL1377" s="110"/>
      <c r="LQM1377" s="110"/>
      <c r="LQN1377" s="110"/>
      <c r="LQO1377" s="110"/>
      <c r="LQP1377" s="110"/>
      <c r="LQQ1377" s="110"/>
      <c r="LQR1377" s="110"/>
      <c r="LQS1377" s="110"/>
      <c r="LQT1377" s="110"/>
      <c r="LQU1377" s="110"/>
      <c r="LQV1377" s="110"/>
      <c r="LQW1377" s="110"/>
      <c r="LQX1377" s="110"/>
      <c r="LQY1377" s="110"/>
      <c r="LQZ1377" s="110"/>
      <c r="LRA1377" s="110"/>
      <c r="LRB1377" s="110"/>
      <c r="LRC1377" s="110"/>
      <c r="LRD1377" s="110"/>
      <c r="LRE1377" s="110"/>
      <c r="LRF1377" s="110"/>
      <c r="LRG1377" s="110"/>
      <c r="LRH1377" s="110"/>
      <c r="LRI1377" s="110"/>
      <c r="LRJ1377" s="110"/>
      <c r="LRK1377" s="110"/>
      <c r="LRL1377" s="110"/>
      <c r="LRM1377" s="110"/>
      <c r="LRN1377" s="110"/>
      <c r="LRO1377" s="110"/>
      <c r="LRP1377" s="110"/>
      <c r="LRQ1377" s="110"/>
      <c r="LRR1377" s="110"/>
      <c r="LRS1377" s="110"/>
      <c r="LRT1377" s="110"/>
      <c r="LRU1377" s="110"/>
      <c r="LRV1377" s="110"/>
      <c r="LRW1377" s="110"/>
      <c r="LRX1377" s="110"/>
      <c r="LRY1377" s="110"/>
      <c r="LRZ1377" s="110"/>
      <c r="LSA1377" s="110"/>
      <c r="LSB1377" s="110"/>
      <c r="LSC1377" s="110"/>
      <c r="LSD1377" s="110"/>
      <c r="LSE1377" s="110"/>
      <c r="LSF1377" s="110"/>
      <c r="LSG1377" s="110"/>
      <c r="LSH1377" s="110"/>
      <c r="LSI1377" s="110"/>
      <c r="LSJ1377" s="110"/>
      <c r="LSK1377" s="110"/>
      <c r="LSL1377" s="110"/>
      <c r="LSM1377" s="110"/>
      <c r="LSN1377" s="110"/>
      <c r="LSO1377" s="110"/>
      <c r="LSP1377" s="110"/>
      <c r="LSQ1377" s="110"/>
      <c r="LSR1377" s="110"/>
      <c r="LSS1377" s="110"/>
      <c r="LST1377" s="110"/>
      <c r="LSU1377" s="110"/>
      <c r="LSV1377" s="110"/>
      <c r="LSW1377" s="110"/>
      <c r="LSX1377" s="110"/>
      <c r="LSY1377" s="110"/>
      <c r="LSZ1377" s="110"/>
      <c r="LTA1377" s="110"/>
      <c r="LTB1377" s="110"/>
      <c r="LTC1377" s="110"/>
      <c r="LTD1377" s="110"/>
      <c r="LTE1377" s="110"/>
      <c r="LTF1377" s="110"/>
      <c r="LTG1377" s="110"/>
      <c r="LTH1377" s="110"/>
      <c r="LTI1377" s="110"/>
      <c r="LTJ1377" s="110"/>
      <c r="LTK1377" s="110"/>
      <c r="LTL1377" s="110"/>
      <c r="LTM1377" s="110"/>
      <c r="LTN1377" s="110"/>
      <c r="LTO1377" s="110"/>
      <c r="LTP1377" s="110"/>
      <c r="LTQ1377" s="110"/>
      <c r="LTR1377" s="110"/>
      <c r="LTS1377" s="110"/>
      <c r="LTT1377" s="110"/>
      <c r="LTU1377" s="110"/>
      <c r="LTV1377" s="110"/>
      <c r="LTW1377" s="110"/>
      <c r="LTX1377" s="110"/>
      <c r="LTY1377" s="110"/>
      <c r="LTZ1377" s="110"/>
      <c r="LUA1377" s="110"/>
      <c r="LUB1377" s="110"/>
      <c r="LUC1377" s="110"/>
      <c r="LUD1377" s="110"/>
      <c r="LUE1377" s="110"/>
      <c r="LUF1377" s="110"/>
      <c r="LUG1377" s="110"/>
      <c r="LUH1377" s="110"/>
      <c r="LUI1377" s="110"/>
      <c r="LUJ1377" s="110"/>
      <c r="LUK1377" s="110"/>
      <c r="LUL1377" s="110"/>
      <c r="LUM1377" s="110"/>
      <c r="LUN1377" s="110"/>
      <c r="LUO1377" s="110"/>
      <c r="LUP1377" s="110"/>
      <c r="LUQ1377" s="110"/>
      <c r="LUR1377" s="110"/>
      <c r="LUS1377" s="110"/>
      <c r="LUT1377" s="110"/>
      <c r="LUU1377" s="110"/>
      <c r="LUV1377" s="110"/>
      <c r="LUW1377" s="110"/>
      <c r="LUX1377" s="110"/>
      <c r="LUY1377" s="110"/>
      <c r="LUZ1377" s="110"/>
      <c r="LVA1377" s="110"/>
      <c r="LVB1377" s="110"/>
      <c r="LVC1377" s="110"/>
      <c r="LVD1377" s="110"/>
      <c r="LVE1377" s="110"/>
      <c r="LVF1377" s="110"/>
      <c r="LVG1377" s="110"/>
      <c r="LVH1377" s="110"/>
      <c r="LVI1377" s="110"/>
      <c r="LVJ1377" s="110"/>
      <c r="LVK1377" s="110"/>
      <c r="LVL1377" s="110"/>
      <c r="LVM1377" s="110"/>
      <c r="LVN1377" s="110"/>
      <c r="LVO1377" s="110"/>
      <c r="LVP1377" s="110"/>
      <c r="LVQ1377" s="110"/>
      <c r="LVR1377" s="110"/>
      <c r="LVS1377" s="110"/>
      <c r="LVT1377" s="110"/>
      <c r="LVU1377" s="110"/>
      <c r="LVV1377" s="110"/>
      <c r="LVW1377" s="110"/>
      <c r="LVX1377" s="110"/>
      <c r="LVY1377" s="110"/>
      <c r="LVZ1377" s="110"/>
      <c r="LWA1377" s="110"/>
      <c r="LWB1377" s="110"/>
      <c r="LWC1377" s="110"/>
      <c r="LWD1377" s="110"/>
      <c r="LWE1377" s="110"/>
      <c r="LWF1377" s="110"/>
      <c r="LWG1377" s="110"/>
      <c r="LWH1377" s="110"/>
      <c r="LWI1377" s="110"/>
      <c r="LWJ1377" s="110"/>
      <c r="LWK1377" s="110"/>
      <c r="LWL1377" s="110"/>
      <c r="LWM1377" s="110"/>
      <c r="LWN1377" s="110"/>
      <c r="LWO1377" s="110"/>
      <c r="LWP1377" s="110"/>
      <c r="LWQ1377" s="110"/>
      <c r="LWR1377" s="110"/>
      <c r="LWS1377" s="110"/>
      <c r="LWT1377" s="110"/>
      <c r="LWU1377" s="110"/>
      <c r="LWV1377" s="110"/>
      <c r="LWW1377" s="110"/>
      <c r="LWX1377" s="110"/>
      <c r="LWY1377" s="110"/>
      <c r="LWZ1377" s="110"/>
      <c r="LXA1377" s="110"/>
      <c r="LXB1377" s="110"/>
      <c r="LXC1377" s="110"/>
      <c r="LXD1377" s="110"/>
      <c r="LXE1377" s="110"/>
      <c r="LXF1377" s="110"/>
      <c r="LXG1377" s="110"/>
      <c r="LXH1377" s="110"/>
      <c r="LXI1377" s="110"/>
      <c r="LXJ1377" s="110"/>
      <c r="LXK1377" s="110"/>
      <c r="LXL1377" s="110"/>
      <c r="LXM1377" s="110"/>
      <c r="LXN1377" s="110"/>
      <c r="LXO1377" s="110"/>
      <c r="LXP1377" s="110"/>
      <c r="LXQ1377" s="110"/>
      <c r="LXR1377" s="110"/>
      <c r="LXS1377" s="110"/>
      <c r="LXT1377" s="110"/>
      <c r="LXU1377" s="110"/>
      <c r="LXV1377" s="110"/>
      <c r="LXW1377" s="110"/>
      <c r="LXX1377" s="110"/>
      <c r="LXY1377" s="110"/>
      <c r="LXZ1377" s="110"/>
      <c r="LYA1377" s="110"/>
      <c r="LYB1377" s="110"/>
      <c r="LYC1377" s="110"/>
      <c r="LYD1377" s="110"/>
      <c r="LYE1377" s="110"/>
      <c r="LYF1377" s="110"/>
      <c r="LYG1377" s="110"/>
      <c r="LYH1377" s="110"/>
      <c r="LYI1377" s="110"/>
      <c r="LYJ1377" s="110"/>
      <c r="LYK1377" s="110"/>
      <c r="LYL1377" s="110"/>
      <c r="LYM1377" s="110"/>
      <c r="LYN1377" s="110"/>
      <c r="LYO1377" s="110"/>
      <c r="LYP1377" s="110"/>
      <c r="LYQ1377" s="110"/>
      <c r="LYR1377" s="110"/>
      <c r="LYS1377" s="110"/>
      <c r="LYT1377" s="110"/>
      <c r="LYU1377" s="110"/>
      <c r="LYV1377" s="110"/>
      <c r="LYW1377" s="110"/>
      <c r="LYX1377" s="110"/>
      <c r="LYY1377" s="110"/>
      <c r="LYZ1377" s="110"/>
      <c r="LZA1377" s="110"/>
      <c r="LZB1377" s="110"/>
      <c r="LZC1377" s="110"/>
      <c r="LZD1377" s="110"/>
      <c r="LZE1377" s="110"/>
      <c r="LZF1377" s="110"/>
      <c r="LZG1377" s="110"/>
      <c r="LZH1377" s="110"/>
      <c r="LZI1377" s="110"/>
      <c r="LZJ1377" s="110"/>
      <c r="LZK1377" s="110"/>
      <c r="LZL1377" s="110"/>
      <c r="LZM1377" s="110"/>
      <c r="LZN1377" s="110"/>
      <c r="LZO1377" s="110"/>
      <c r="LZP1377" s="110"/>
      <c r="LZQ1377" s="110"/>
      <c r="LZR1377" s="110"/>
      <c r="LZS1377" s="110"/>
      <c r="LZT1377" s="110"/>
      <c r="LZU1377" s="110"/>
      <c r="LZV1377" s="110"/>
      <c r="LZW1377" s="110"/>
      <c r="LZX1377" s="110"/>
      <c r="LZY1377" s="110"/>
      <c r="LZZ1377" s="110"/>
      <c r="MAA1377" s="110"/>
      <c r="MAB1377" s="110"/>
      <c r="MAC1377" s="110"/>
      <c r="MAD1377" s="110"/>
      <c r="MAE1377" s="110"/>
      <c r="MAF1377" s="110"/>
      <c r="MAG1377" s="110"/>
      <c r="MAH1377" s="110"/>
      <c r="MAI1377" s="110"/>
      <c r="MAJ1377" s="110"/>
      <c r="MAK1377" s="110"/>
      <c r="MAL1377" s="110"/>
      <c r="MAM1377" s="110"/>
      <c r="MAN1377" s="110"/>
      <c r="MAO1377" s="110"/>
      <c r="MAP1377" s="110"/>
      <c r="MAQ1377" s="110"/>
      <c r="MAR1377" s="110"/>
      <c r="MAS1377" s="110"/>
      <c r="MAT1377" s="110"/>
      <c r="MAU1377" s="110"/>
      <c r="MAV1377" s="110"/>
      <c r="MAW1377" s="110"/>
      <c r="MAX1377" s="110"/>
      <c r="MAY1377" s="110"/>
      <c r="MAZ1377" s="110"/>
      <c r="MBA1377" s="110"/>
      <c r="MBB1377" s="110"/>
      <c r="MBC1377" s="110"/>
      <c r="MBD1377" s="110"/>
      <c r="MBE1377" s="110"/>
      <c r="MBF1377" s="110"/>
      <c r="MBG1377" s="110"/>
      <c r="MBH1377" s="110"/>
      <c r="MBI1377" s="110"/>
      <c r="MBJ1377" s="110"/>
      <c r="MBK1377" s="110"/>
      <c r="MBL1377" s="110"/>
      <c r="MBM1377" s="110"/>
      <c r="MBN1377" s="110"/>
      <c r="MBO1377" s="110"/>
      <c r="MBP1377" s="110"/>
      <c r="MBQ1377" s="110"/>
      <c r="MBR1377" s="110"/>
      <c r="MBS1377" s="110"/>
      <c r="MBT1377" s="110"/>
      <c r="MBU1377" s="110"/>
      <c r="MBV1377" s="110"/>
      <c r="MBW1377" s="110"/>
      <c r="MBX1377" s="110"/>
      <c r="MBY1377" s="110"/>
      <c r="MBZ1377" s="110"/>
      <c r="MCA1377" s="110"/>
      <c r="MCB1377" s="110"/>
      <c r="MCC1377" s="110"/>
      <c r="MCD1377" s="110"/>
      <c r="MCE1377" s="110"/>
      <c r="MCF1377" s="110"/>
      <c r="MCG1377" s="110"/>
      <c r="MCH1377" s="110"/>
      <c r="MCI1377" s="110"/>
      <c r="MCJ1377" s="110"/>
      <c r="MCK1377" s="110"/>
      <c r="MCL1377" s="110"/>
      <c r="MCM1377" s="110"/>
      <c r="MCN1377" s="110"/>
      <c r="MCO1377" s="110"/>
      <c r="MCP1377" s="110"/>
      <c r="MCQ1377" s="110"/>
      <c r="MCR1377" s="110"/>
      <c r="MCS1377" s="110"/>
      <c r="MCT1377" s="110"/>
      <c r="MCU1377" s="110"/>
      <c r="MCV1377" s="110"/>
      <c r="MCW1377" s="110"/>
      <c r="MCX1377" s="110"/>
      <c r="MCY1377" s="110"/>
      <c r="MCZ1377" s="110"/>
      <c r="MDA1377" s="110"/>
      <c r="MDB1377" s="110"/>
      <c r="MDC1377" s="110"/>
      <c r="MDD1377" s="110"/>
      <c r="MDE1377" s="110"/>
      <c r="MDF1377" s="110"/>
      <c r="MDG1377" s="110"/>
      <c r="MDH1377" s="110"/>
      <c r="MDI1377" s="110"/>
      <c r="MDJ1377" s="110"/>
      <c r="MDK1377" s="110"/>
      <c r="MDL1377" s="110"/>
      <c r="MDM1377" s="110"/>
      <c r="MDN1377" s="110"/>
      <c r="MDO1377" s="110"/>
      <c r="MDP1377" s="110"/>
      <c r="MDQ1377" s="110"/>
      <c r="MDR1377" s="110"/>
      <c r="MDS1377" s="110"/>
      <c r="MDT1377" s="110"/>
      <c r="MDU1377" s="110"/>
      <c r="MDV1377" s="110"/>
      <c r="MDW1377" s="110"/>
      <c r="MDX1377" s="110"/>
      <c r="MDY1377" s="110"/>
      <c r="MDZ1377" s="110"/>
      <c r="MEA1377" s="110"/>
      <c r="MEB1377" s="110"/>
      <c r="MEC1377" s="110"/>
      <c r="MED1377" s="110"/>
      <c r="MEE1377" s="110"/>
      <c r="MEF1377" s="110"/>
      <c r="MEG1377" s="110"/>
      <c r="MEH1377" s="110"/>
      <c r="MEI1377" s="110"/>
      <c r="MEJ1377" s="110"/>
      <c r="MEK1377" s="110"/>
      <c r="MEL1377" s="110"/>
      <c r="MEM1377" s="110"/>
      <c r="MEN1377" s="110"/>
      <c r="MEO1377" s="110"/>
      <c r="MEP1377" s="110"/>
      <c r="MEQ1377" s="110"/>
      <c r="MER1377" s="110"/>
      <c r="MES1377" s="110"/>
      <c r="MET1377" s="110"/>
      <c r="MEU1377" s="110"/>
      <c r="MEV1377" s="110"/>
      <c r="MEW1377" s="110"/>
      <c r="MEX1377" s="110"/>
      <c r="MEY1377" s="110"/>
      <c r="MEZ1377" s="110"/>
      <c r="MFA1377" s="110"/>
      <c r="MFB1377" s="110"/>
      <c r="MFC1377" s="110"/>
      <c r="MFD1377" s="110"/>
      <c r="MFE1377" s="110"/>
      <c r="MFF1377" s="110"/>
      <c r="MFG1377" s="110"/>
      <c r="MFH1377" s="110"/>
      <c r="MFI1377" s="110"/>
      <c r="MFJ1377" s="110"/>
      <c r="MFK1377" s="110"/>
      <c r="MFL1377" s="110"/>
      <c r="MFM1377" s="110"/>
      <c r="MFN1377" s="110"/>
      <c r="MFO1377" s="110"/>
      <c r="MFP1377" s="110"/>
      <c r="MFQ1377" s="110"/>
      <c r="MFR1377" s="110"/>
      <c r="MFS1377" s="110"/>
      <c r="MFT1377" s="110"/>
      <c r="MFU1377" s="110"/>
      <c r="MFV1377" s="110"/>
      <c r="MFW1377" s="110"/>
      <c r="MFX1377" s="110"/>
      <c r="MFY1377" s="110"/>
      <c r="MFZ1377" s="110"/>
      <c r="MGA1377" s="110"/>
      <c r="MGB1377" s="110"/>
      <c r="MGC1377" s="110"/>
      <c r="MGD1377" s="110"/>
      <c r="MGE1377" s="110"/>
      <c r="MGF1377" s="110"/>
      <c r="MGG1377" s="110"/>
      <c r="MGH1377" s="110"/>
      <c r="MGI1377" s="110"/>
      <c r="MGJ1377" s="110"/>
      <c r="MGK1377" s="110"/>
      <c r="MGL1377" s="110"/>
      <c r="MGM1377" s="110"/>
      <c r="MGN1377" s="110"/>
      <c r="MGO1377" s="110"/>
      <c r="MGP1377" s="110"/>
      <c r="MGQ1377" s="110"/>
      <c r="MGR1377" s="110"/>
      <c r="MGS1377" s="110"/>
      <c r="MGT1377" s="110"/>
      <c r="MGU1377" s="110"/>
      <c r="MGV1377" s="110"/>
      <c r="MGW1377" s="110"/>
      <c r="MGX1377" s="110"/>
      <c r="MGY1377" s="110"/>
      <c r="MGZ1377" s="110"/>
      <c r="MHA1377" s="110"/>
      <c r="MHB1377" s="110"/>
      <c r="MHC1377" s="110"/>
      <c r="MHD1377" s="110"/>
      <c r="MHE1377" s="110"/>
      <c r="MHF1377" s="110"/>
      <c r="MHG1377" s="110"/>
      <c r="MHH1377" s="110"/>
      <c r="MHI1377" s="110"/>
      <c r="MHJ1377" s="110"/>
      <c r="MHK1377" s="110"/>
      <c r="MHL1377" s="110"/>
      <c r="MHM1377" s="110"/>
      <c r="MHN1377" s="110"/>
      <c r="MHO1377" s="110"/>
      <c r="MHP1377" s="110"/>
      <c r="MHQ1377" s="110"/>
      <c r="MHR1377" s="110"/>
      <c r="MHS1377" s="110"/>
      <c r="MHT1377" s="110"/>
      <c r="MHU1377" s="110"/>
      <c r="MHV1377" s="110"/>
      <c r="MHW1377" s="110"/>
      <c r="MHX1377" s="110"/>
      <c r="MHY1377" s="110"/>
      <c r="MHZ1377" s="110"/>
      <c r="MIA1377" s="110"/>
      <c r="MIB1377" s="110"/>
      <c r="MIC1377" s="110"/>
      <c r="MID1377" s="110"/>
      <c r="MIE1377" s="110"/>
      <c r="MIF1377" s="110"/>
      <c r="MIG1377" s="110"/>
      <c r="MIH1377" s="110"/>
      <c r="MII1377" s="110"/>
      <c r="MIJ1377" s="110"/>
      <c r="MIK1377" s="110"/>
      <c r="MIL1377" s="110"/>
      <c r="MIM1377" s="110"/>
      <c r="MIN1377" s="110"/>
      <c r="MIO1377" s="110"/>
      <c r="MIP1377" s="110"/>
      <c r="MIQ1377" s="110"/>
      <c r="MIR1377" s="110"/>
      <c r="MIS1377" s="110"/>
      <c r="MIT1377" s="110"/>
      <c r="MIU1377" s="110"/>
      <c r="MIV1377" s="110"/>
      <c r="MIW1377" s="110"/>
      <c r="MIX1377" s="110"/>
      <c r="MIY1377" s="110"/>
      <c r="MIZ1377" s="110"/>
      <c r="MJA1377" s="110"/>
      <c r="MJB1377" s="110"/>
      <c r="MJC1377" s="110"/>
      <c r="MJD1377" s="110"/>
      <c r="MJE1377" s="110"/>
      <c r="MJF1377" s="110"/>
      <c r="MJG1377" s="110"/>
      <c r="MJH1377" s="110"/>
      <c r="MJI1377" s="110"/>
      <c r="MJJ1377" s="110"/>
      <c r="MJK1377" s="110"/>
      <c r="MJL1377" s="110"/>
      <c r="MJM1377" s="110"/>
      <c r="MJN1377" s="110"/>
      <c r="MJO1377" s="110"/>
      <c r="MJP1377" s="110"/>
      <c r="MJQ1377" s="110"/>
      <c r="MJR1377" s="110"/>
      <c r="MJS1377" s="110"/>
      <c r="MJT1377" s="110"/>
      <c r="MJU1377" s="110"/>
      <c r="MJV1377" s="110"/>
      <c r="MJW1377" s="110"/>
      <c r="MJX1377" s="110"/>
      <c r="MJY1377" s="110"/>
      <c r="MJZ1377" s="110"/>
      <c r="MKA1377" s="110"/>
      <c r="MKB1377" s="110"/>
      <c r="MKC1377" s="110"/>
      <c r="MKD1377" s="110"/>
      <c r="MKE1377" s="110"/>
      <c r="MKF1377" s="110"/>
      <c r="MKG1377" s="110"/>
      <c r="MKH1377" s="110"/>
      <c r="MKI1377" s="110"/>
      <c r="MKJ1377" s="110"/>
      <c r="MKK1377" s="110"/>
      <c r="MKL1377" s="110"/>
      <c r="MKM1377" s="110"/>
      <c r="MKN1377" s="110"/>
      <c r="MKO1377" s="110"/>
      <c r="MKP1377" s="110"/>
      <c r="MKQ1377" s="110"/>
      <c r="MKR1377" s="110"/>
      <c r="MKS1377" s="110"/>
      <c r="MKT1377" s="110"/>
      <c r="MKU1377" s="110"/>
      <c r="MKV1377" s="110"/>
      <c r="MKW1377" s="110"/>
      <c r="MKX1377" s="110"/>
      <c r="MKY1377" s="110"/>
      <c r="MKZ1377" s="110"/>
      <c r="MLA1377" s="110"/>
      <c r="MLB1377" s="110"/>
      <c r="MLC1377" s="110"/>
      <c r="MLD1377" s="110"/>
      <c r="MLE1377" s="110"/>
      <c r="MLF1377" s="110"/>
      <c r="MLG1377" s="110"/>
      <c r="MLH1377" s="110"/>
      <c r="MLI1377" s="110"/>
      <c r="MLJ1377" s="110"/>
      <c r="MLK1377" s="110"/>
      <c r="MLL1377" s="110"/>
      <c r="MLM1377" s="110"/>
      <c r="MLN1377" s="110"/>
      <c r="MLO1377" s="110"/>
      <c r="MLP1377" s="110"/>
      <c r="MLQ1377" s="110"/>
      <c r="MLR1377" s="110"/>
      <c r="MLS1377" s="110"/>
      <c r="MLT1377" s="110"/>
      <c r="MLU1377" s="110"/>
      <c r="MLV1377" s="110"/>
      <c r="MLW1377" s="110"/>
      <c r="MLX1377" s="110"/>
      <c r="MLY1377" s="110"/>
      <c r="MLZ1377" s="110"/>
      <c r="MMA1377" s="110"/>
      <c r="MMB1377" s="110"/>
      <c r="MMC1377" s="110"/>
      <c r="MMD1377" s="110"/>
      <c r="MME1377" s="110"/>
      <c r="MMF1377" s="110"/>
      <c r="MMG1377" s="110"/>
      <c r="MMH1377" s="110"/>
      <c r="MMI1377" s="110"/>
      <c r="MMJ1377" s="110"/>
      <c r="MMK1377" s="110"/>
      <c r="MML1377" s="110"/>
      <c r="MMM1377" s="110"/>
      <c r="MMN1377" s="110"/>
      <c r="MMO1377" s="110"/>
      <c r="MMP1377" s="110"/>
      <c r="MMQ1377" s="110"/>
      <c r="MMR1377" s="110"/>
      <c r="MMS1377" s="110"/>
      <c r="MMT1377" s="110"/>
      <c r="MMU1377" s="110"/>
      <c r="MMV1377" s="110"/>
      <c r="MMW1377" s="110"/>
      <c r="MMX1377" s="110"/>
      <c r="MMY1377" s="110"/>
      <c r="MMZ1377" s="110"/>
      <c r="MNA1377" s="110"/>
      <c r="MNB1377" s="110"/>
      <c r="MNC1377" s="110"/>
      <c r="MND1377" s="110"/>
      <c r="MNE1377" s="110"/>
      <c r="MNF1377" s="110"/>
      <c r="MNG1377" s="110"/>
      <c r="MNH1377" s="110"/>
      <c r="MNI1377" s="110"/>
      <c r="MNJ1377" s="110"/>
      <c r="MNK1377" s="110"/>
      <c r="MNL1377" s="110"/>
      <c r="MNM1377" s="110"/>
      <c r="MNN1377" s="110"/>
      <c r="MNO1377" s="110"/>
      <c r="MNP1377" s="110"/>
      <c r="MNQ1377" s="110"/>
      <c r="MNR1377" s="110"/>
      <c r="MNS1377" s="110"/>
      <c r="MNT1377" s="110"/>
      <c r="MNU1377" s="110"/>
      <c r="MNV1377" s="110"/>
      <c r="MNW1377" s="110"/>
      <c r="MNX1377" s="110"/>
      <c r="MNY1377" s="110"/>
      <c r="MNZ1377" s="110"/>
      <c r="MOA1377" s="110"/>
      <c r="MOB1377" s="110"/>
      <c r="MOC1377" s="110"/>
      <c r="MOD1377" s="110"/>
      <c r="MOE1377" s="110"/>
      <c r="MOF1377" s="110"/>
      <c r="MOG1377" s="110"/>
      <c r="MOH1377" s="110"/>
      <c r="MOI1377" s="110"/>
      <c r="MOJ1377" s="110"/>
      <c r="MOK1377" s="110"/>
      <c r="MOL1377" s="110"/>
      <c r="MOM1377" s="110"/>
      <c r="MON1377" s="110"/>
      <c r="MOO1377" s="110"/>
      <c r="MOP1377" s="110"/>
      <c r="MOQ1377" s="110"/>
      <c r="MOR1377" s="110"/>
      <c r="MOS1377" s="110"/>
      <c r="MOT1377" s="110"/>
      <c r="MOU1377" s="110"/>
      <c r="MOV1377" s="110"/>
      <c r="MOW1377" s="110"/>
      <c r="MOX1377" s="110"/>
      <c r="MOY1377" s="110"/>
      <c r="MOZ1377" s="110"/>
      <c r="MPA1377" s="110"/>
      <c r="MPB1377" s="110"/>
      <c r="MPC1377" s="110"/>
      <c r="MPD1377" s="110"/>
      <c r="MPE1377" s="110"/>
      <c r="MPF1377" s="110"/>
      <c r="MPG1377" s="110"/>
      <c r="MPH1377" s="110"/>
      <c r="MPI1377" s="110"/>
      <c r="MPJ1377" s="110"/>
      <c r="MPK1377" s="110"/>
      <c r="MPL1377" s="110"/>
      <c r="MPM1377" s="110"/>
      <c r="MPN1377" s="110"/>
      <c r="MPO1377" s="110"/>
      <c r="MPP1377" s="110"/>
      <c r="MPQ1377" s="110"/>
      <c r="MPR1377" s="110"/>
      <c r="MPS1377" s="110"/>
      <c r="MPT1377" s="110"/>
      <c r="MPU1377" s="110"/>
      <c r="MPV1377" s="110"/>
      <c r="MPW1377" s="110"/>
      <c r="MPX1377" s="110"/>
      <c r="MPY1377" s="110"/>
      <c r="MPZ1377" s="110"/>
      <c r="MQA1377" s="110"/>
      <c r="MQB1377" s="110"/>
      <c r="MQC1377" s="110"/>
      <c r="MQD1377" s="110"/>
      <c r="MQE1377" s="110"/>
      <c r="MQF1377" s="110"/>
      <c r="MQG1377" s="110"/>
      <c r="MQH1377" s="110"/>
      <c r="MQI1377" s="110"/>
      <c r="MQJ1377" s="110"/>
      <c r="MQK1377" s="110"/>
      <c r="MQL1377" s="110"/>
      <c r="MQM1377" s="110"/>
      <c r="MQN1377" s="110"/>
      <c r="MQO1377" s="110"/>
      <c r="MQP1377" s="110"/>
      <c r="MQQ1377" s="110"/>
      <c r="MQR1377" s="110"/>
      <c r="MQS1377" s="110"/>
      <c r="MQT1377" s="110"/>
      <c r="MQU1377" s="110"/>
      <c r="MQV1377" s="110"/>
      <c r="MQW1377" s="110"/>
      <c r="MQX1377" s="110"/>
      <c r="MQY1377" s="110"/>
      <c r="MQZ1377" s="110"/>
      <c r="MRA1377" s="110"/>
      <c r="MRB1377" s="110"/>
      <c r="MRC1377" s="110"/>
      <c r="MRD1377" s="110"/>
      <c r="MRE1377" s="110"/>
      <c r="MRF1377" s="110"/>
      <c r="MRG1377" s="110"/>
      <c r="MRH1377" s="110"/>
      <c r="MRI1377" s="110"/>
      <c r="MRJ1377" s="110"/>
      <c r="MRK1377" s="110"/>
      <c r="MRL1377" s="110"/>
      <c r="MRM1377" s="110"/>
      <c r="MRN1377" s="110"/>
      <c r="MRO1377" s="110"/>
      <c r="MRP1377" s="110"/>
      <c r="MRQ1377" s="110"/>
      <c r="MRR1377" s="110"/>
      <c r="MRS1377" s="110"/>
      <c r="MRT1377" s="110"/>
      <c r="MRU1377" s="110"/>
      <c r="MRV1377" s="110"/>
      <c r="MRW1377" s="110"/>
      <c r="MRX1377" s="110"/>
      <c r="MRY1377" s="110"/>
      <c r="MRZ1377" s="110"/>
      <c r="MSA1377" s="110"/>
      <c r="MSB1377" s="110"/>
      <c r="MSC1377" s="110"/>
      <c r="MSD1377" s="110"/>
      <c r="MSE1377" s="110"/>
      <c r="MSF1377" s="110"/>
      <c r="MSG1377" s="110"/>
      <c r="MSH1377" s="110"/>
      <c r="MSI1377" s="110"/>
      <c r="MSJ1377" s="110"/>
      <c r="MSK1377" s="110"/>
      <c r="MSL1377" s="110"/>
      <c r="MSM1377" s="110"/>
      <c r="MSN1377" s="110"/>
      <c r="MSO1377" s="110"/>
      <c r="MSP1377" s="110"/>
      <c r="MSQ1377" s="110"/>
      <c r="MSR1377" s="110"/>
      <c r="MSS1377" s="110"/>
      <c r="MST1377" s="110"/>
      <c r="MSU1377" s="110"/>
      <c r="MSV1377" s="110"/>
      <c r="MSW1377" s="110"/>
      <c r="MSX1377" s="110"/>
      <c r="MSY1377" s="110"/>
      <c r="MSZ1377" s="110"/>
      <c r="MTA1377" s="110"/>
      <c r="MTB1377" s="110"/>
      <c r="MTC1377" s="110"/>
      <c r="MTD1377" s="110"/>
      <c r="MTE1377" s="110"/>
      <c r="MTF1377" s="110"/>
      <c r="MTG1377" s="110"/>
      <c r="MTH1377" s="110"/>
      <c r="MTI1377" s="110"/>
      <c r="MTJ1377" s="110"/>
      <c r="MTK1377" s="110"/>
      <c r="MTL1377" s="110"/>
      <c r="MTM1377" s="110"/>
      <c r="MTN1377" s="110"/>
      <c r="MTO1377" s="110"/>
      <c r="MTP1377" s="110"/>
      <c r="MTQ1377" s="110"/>
      <c r="MTR1377" s="110"/>
      <c r="MTS1377" s="110"/>
      <c r="MTT1377" s="110"/>
      <c r="MTU1377" s="110"/>
      <c r="MTV1377" s="110"/>
      <c r="MTW1377" s="110"/>
      <c r="MTX1377" s="110"/>
      <c r="MTY1377" s="110"/>
      <c r="MTZ1377" s="110"/>
      <c r="MUA1377" s="110"/>
      <c r="MUB1377" s="110"/>
      <c r="MUC1377" s="110"/>
      <c r="MUD1377" s="110"/>
      <c r="MUE1377" s="110"/>
      <c r="MUF1377" s="110"/>
      <c r="MUG1377" s="110"/>
      <c r="MUH1377" s="110"/>
      <c r="MUI1377" s="110"/>
      <c r="MUJ1377" s="110"/>
      <c r="MUK1377" s="110"/>
      <c r="MUL1377" s="110"/>
      <c r="MUM1377" s="110"/>
      <c r="MUN1377" s="110"/>
      <c r="MUO1377" s="110"/>
      <c r="MUP1377" s="110"/>
      <c r="MUQ1377" s="110"/>
      <c r="MUR1377" s="110"/>
      <c r="MUS1377" s="110"/>
      <c r="MUT1377" s="110"/>
      <c r="MUU1377" s="110"/>
      <c r="MUV1377" s="110"/>
      <c r="MUW1377" s="110"/>
      <c r="MUX1377" s="110"/>
      <c r="MUY1377" s="110"/>
      <c r="MUZ1377" s="110"/>
      <c r="MVA1377" s="110"/>
      <c r="MVB1377" s="110"/>
      <c r="MVC1377" s="110"/>
      <c r="MVD1377" s="110"/>
      <c r="MVE1377" s="110"/>
      <c r="MVF1377" s="110"/>
      <c r="MVG1377" s="110"/>
      <c r="MVH1377" s="110"/>
      <c r="MVI1377" s="110"/>
      <c r="MVJ1377" s="110"/>
      <c r="MVK1377" s="110"/>
      <c r="MVL1377" s="110"/>
      <c r="MVM1377" s="110"/>
      <c r="MVN1377" s="110"/>
      <c r="MVO1377" s="110"/>
      <c r="MVP1377" s="110"/>
      <c r="MVQ1377" s="110"/>
      <c r="MVR1377" s="110"/>
      <c r="MVS1377" s="110"/>
      <c r="MVT1377" s="110"/>
      <c r="MVU1377" s="110"/>
      <c r="MVV1377" s="110"/>
      <c r="MVW1377" s="110"/>
      <c r="MVX1377" s="110"/>
      <c r="MVY1377" s="110"/>
      <c r="MVZ1377" s="110"/>
      <c r="MWA1377" s="110"/>
      <c r="MWB1377" s="110"/>
      <c r="MWC1377" s="110"/>
      <c r="MWD1377" s="110"/>
      <c r="MWE1377" s="110"/>
      <c r="MWF1377" s="110"/>
      <c r="MWG1377" s="110"/>
      <c r="MWH1377" s="110"/>
      <c r="MWI1377" s="110"/>
      <c r="MWJ1377" s="110"/>
      <c r="MWK1377" s="110"/>
      <c r="MWL1377" s="110"/>
      <c r="MWM1377" s="110"/>
      <c r="MWN1377" s="110"/>
      <c r="MWO1377" s="110"/>
      <c r="MWP1377" s="110"/>
      <c r="MWQ1377" s="110"/>
      <c r="MWR1377" s="110"/>
      <c r="MWS1377" s="110"/>
      <c r="MWT1377" s="110"/>
      <c r="MWU1377" s="110"/>
      <c r="MWV1377" s="110"/>
      <c r="MWW1377" s="110"/>
      <c r="MWX1377" s="110"/>
      <c r="MWY1377" s="110"/>
      <c r="MWZ1377" s="110"/>
      <c r="MXA1377" s="110"/>
      <c r="MXB1377" s="110"/>
      <c r="MXC1377" s="110"/>
      <c r="MXD1377" s="110"/>
      <c r="MXE1377" s="110"/>
      <c r="MXF1377" s="110"/>
      <c r="MXG1377" s="110"/>
      <c r="MXH1377" s="110"/>
      <c r="MXI1377" s="110"/>
      <c r="MXJ1377" s="110"/>
      <c r="MXK1377" s="110"/>
      <c r="MXL1377" s="110"/>
      <c r="MXM1377" s="110"/>
      <c r="MXN1377" s="110"/>
      <c r="MXO1377" s="110"/>
      <c r="MXP1377" s="110"/>
      <c r="MXQ1377" s="110"/>
      <c r="MXR1377" s="110"/>
      <c r="MXS1377" s="110"/>
      <c r="MXT1377" s="110"/>
      <c r="MXU1377" s="110"/>
      <c r="MXV1377" s="110"/>
      <c r="MXW1377" s="110"/>
      <c r="MXX1377" s="110"/>
      <c r="MXY1377" s="110"/>
      <c r="MXZ1377" s="110"/>
      <c r="MYA1377" s="110"/>
      <c r="MYB1377" s="110"/>
      <c r="MYC1377" s="110"/>
      <c r="MYD1377" s="110"/>
      <c r="MYE1377" s="110"/>
      <c r="MYF1377" s="110"/>
      <c r="MYG1377" s="110"/>
      <c r="MYH1377" s="110"/>
      <c r="MYI1377" s="110"/>
      <c r="MYJ1377" s="110"/>
      <c r="MYK1377" s="110"/>
      <c r="MYL1377" s="110"/>
      <c r="MYM1377" s="110"/>
      <c r="MYN1377" s="110"/>
      <c r="MYO1377" s="110"/>
      <c r="MYP1377" s="110"/>
      <c r="MYQ1377" s="110"/>
      <c r="MYR1377" s="110"/>
      <c r="MYS1377" s="110"/>
      <c r="MYT1377" s="110"/>
      <c r="MYU1377" s="110"/>
      <c r="MYV1377" s="110"/>
      <c r="MYW1377" s="110"/>
      <c r="MYX1377" s="110"/>
      <c r="MYY1377" s="110"/>
      <c r="MYZ1377" s="110"/>
      <c r="MZA1377" s="110"/>
      <c r="MZB1377" s="110"/>
      <c r="MZC1377" s="110"/>
      <c r="MZD1377" s="110"/>
      <c r="MZE1377" s="110"/>
      <c r="MZF1377" s="110"/>
      <c r="MZG1377" s="110"/>
      <c r="MZH1377" s="110"/>
      <c r="MZI1377" s="110"/>
      <c r="MZJ1377" s="110"/>
      <c r="MZK1377" s="110"/>
      <c r="MZL1377" s="110"/>
      <c r="MZM1377" s="110"/>
      <c r="MZN1377" s="110"/>
      <c r="MZO1377" s="110"/>
      <c r="MZP1377" s="110"/>
      <c r="MZQ1377" s="110"/>
      <c r="MZR1377" s="110"/>
      <c r="MZS1377" s="110"/>
      <c r="MZT1377" s="110"/>
      <c r="MZU1377" s="110"/>
      <c r="MZV1377" s="110"/>
      <c r="MZW1377" s="110"/>
      <c r="MZX1377" s="110"/>
      <c r="MZY1377" s="110"/>
      <c r="MZZ1377" s="110"/>
      <c r="NAA1377" s="110"/>
      <c r="NAB1377" s="110"/>
      <c r="NAC1377" s="110"/>
      <c r="NAD1377" s="110"/>
      <c r="NAE1377" s="110"/>
      <c r="NAF1377" s="110"/>
      <c r="NAG1377" s="110"/>
      <c r="NAH1377" s="110"/>
      <c r="NAI1377" s="110"/>
      <c r="NAJ1377" s="110"/>
      <c r="NAK1377" s="110"/>
      <c r="NAL1377" s="110"/>
      <c r="NAM1377" s="110"/>
      <c r="NAN1377" s="110"/>
      <c r="NAO1377" s="110"/>
      <c r="NAP1377" s="110"/>
      <c r="NAQ1377" s="110"/>
      <c r="NAR1377" s="110"/>
      <c r="NAS1377" s="110"/>
      <c r="NAT1377" s="110"/>
      <c r="NAU1377" s="110"/>
      <c r="NAV1377" s="110"/>
      <c r="NAW1377" s="110"/>
      <c r="NAX1377" s="110"/>
      <c r="NAY1377" s="110"/>
      <c r="NAZ1377" s="110"/>
      <c r="NBA1377" s="110"/>
      <c r="NBB1377" s="110"/>
      <c r="NBC1377" s="110"/>
      <c r="NBD1377" s="110"/>
      <c r="NBE1377" s="110"/>
      <c r="NBF1377" s="110"/>
      <c r="NBG1377" s="110"/>
      <c r="NBH1377" s="110"/>
      <c r="NBI1377" s="110"/>
      <c r="NBJ1377" s="110"/>
      <c r="NBK1377" s="110"/>
      <c r="NBL1377" s="110"/>
      <c r="NBM1377" s="110"/>
      <c r="NBN1377" s="110"/>
      <c r="NBO1377" s="110"/>
      <c r="NBP1377" s="110"/>
      <c r="NBQ1377" s="110"/>
      <c r="NBR1377" s="110"/>
      <c r="NBS1377" s="110"/>
      <c r="NBT1377" s="110"/>
      <c r="NBU1377" s="110"/>
      <c r="NBV1377" s="110"/>
      <c r="NBW1377" s="110"/>
      <c r="NBX1377" s="110"/>
      <c r="NBY1377" s="110"/>
      <c r="NBZ1377" s="110"/>
      <c r="NCA1377" s="110"/>
      <c r="NCB1377" s="110"/>
      <c r="NCC1377" s="110"/>
      <c r="NCD1377" s="110"/>
      <c r="NCE1377" s="110"/>
      <c r="NCF1377" s="110"/>
      <c r="NCG1377" s="110"/>
      <c r="NCH1377" s="110"/>
      <c r="NCI1377" s="110"/>
      <c r="NCJ1377" s="110"/>
      <c r="NCK1377" s="110"/>
      <c r="NCL1377" s="110"/>
      <c r="NCM1377" s="110"/>
      <c r="NCN1377" s="110"/>
      <c r="NCO1377" s="110"/>
      <c r="NCP1377" s="110"/>
      <c r="NCQ1377" s="110"/>
      <c r="NCR1377" s="110"/>
      <c r="NCS1377" s="110"/>
      <c r="NCT1377" s="110"/>
      <c r="NCU1377" s="110"/>
      <c r="NCV1377" s="110"/>
      <c r="NCW1377" s="110"/>
      <c r="NCX1377" s="110"/>
      <c r="NCY1377" s="110"/>
      <c r="NCZ1377" s="110"/>
      <c r="NDA1377" s="110"/>
      <c r="NDB1377" s="110"/>
      <c r="NDC1377" s="110"/>
      <c r="NDD1377" s="110"/>
      <c r="NDE1377" s="110"/>
      <c r="NDF1377" s="110"/>
      <c r="NDG1377" s="110"/>
      <c r="NDH1377" s="110"/>
      <c r="NDI1377" s="110"/>
      <c r="NDJ1377" s="110"/>
      <c r="NDK1377" s="110"/>
      <c r="NDL1377" s="110"/>
      <c r="NDM1377" s="110"/>
      <c r="NDN1377" s="110"/>
      <c r="NDO1377" s="110"/>
      <c r="NDP1377" s="110"/>
      <c r="NDQ1377" s="110"/>
      <c r="NDR1377" s="110"/>
      <c r="NDS1377" s="110"/>
      <c r="NDT1377" s="110"/>
      <c r="NDU1377" s="110"/>
      <c r="NDV1377" s="110"/>
      <c r="NDW1377" s="110"/>
      <c r="NDX1377" s="110"/>
      <c r="NDY1377" s="110"/>
      <c r="NDZ1377" s="110"/>
      <c r="NEA1377" s="110"/>
      <c r="NEB1377" s="110"/>
      <c r="NEC1377" s="110"/>
      <c r="NED1377" s="110"/>
      <c r="NEE1377" s="110"/>
      <c r="NEF1377" s="110"/>
      <c r="NEG1377" s="110"/>
      <c r="NEH1377" s="110"/>
      <c r="NEI1377" s="110"/>
      <c r="NEJ1377" s="110"/>
      <c r="NEK1377" s="110"/>
      <c r="NEL1377" s="110"/>
      <c r="NEM1377" s="110"/>
      <c r="NEN1377" s="110"/>
      <c r="NEO1377" s="110"/>
      <c r="NEP1377" s="110"/>
      <c r="NEQ1377" s="110"/>
      <c r="NER1377" s="110"/>
      <c r="NES1377" s="110"/>
      <c r="NET1377" s="110"/>
      <c r="NEU1377" s="110"/>
      <c r="NEV1377" s="110"/>
      <c r="NEW1377" s="110"/>
      <c r="NEX1377" s="110"/>
      <c r="NEY1377" s="110"/>
      <c r="NEZ1377" s="110"/>
      <c r="NFA1377" s="110"/>
      <c r="NFB1377" s="110"/>
      <c r="NFC1377" s="110"/>
      <c r="NFD1377" s="110"/>
      <c r="NFE1377" s="110"/>
      <c r="NFF1377" s="110"/>
      <c r="NFG1377" s="110"/>
      <c r="NFH1377" s="110"/>
      <c r="NFI1377" s="110"/>
      <c r="NFJ1377" s="110"/>
      <c r="NFK1377" s="110"/>
      <c r="NFL1377" s="110"/>
      <c r="NFM1377" s="110"/>
      <c r="NFN1377" s="110"/>
      <c r="NFO1377" s="110"/>
      <c r="NFP1377" s="110"/>
      <c r="NFQ1377" s="110"/>
      <c r="NFR1377" s="110"/>
      <c r="NFS1377" s="110"/>
      <c r="NFT1377" s="110"/>
      <c r="NFU1377" s="110"/>
      <c r="NFV1377" s="110"/>
      <c r="NFW1377" s="110"/>
      <c r="NFX1377" s="110"/>
      <c r="NFY1377" s="110"/>
      <c r="NFZ1377" s="110"/>
      <c r="NGA1377" s="110"/>
      <c r="NGB1377" s="110"/>
      <c r="NGC1377" s="110"/>
      <c r="NGD1377" s="110"/>
      <c r="NGE1377" s="110"/>
      <c r="NGF1377" s="110"/>
      <c r="NGG1377" s="110"/>
      <c r="NGH1377" s="110"/>
      <c r="NGI1377" s="110"/>
      <c r="NGJ1377" s="110"/>
      <c r="NGK1377" s="110"/>
      <c r="NGL1377" s="110"/>
      <c r="NGM1377" s="110"/>
      <c r="NGN1377" s="110"/>
      <c r="NGO1377" s="110"/>
      <c r="NGP1377" s="110"/>
      <c r="NGQ1377" s="110"/>
      <c r="NGR1377" s="110"/>
      <c r="NGS1377" s="110"/>
      <c r="NGT1377" s="110"/>
      <c r="NGU1377" s="110"/>
      <c r="NGV1377" s="110"/>
      <c r="NGW1377" s="110"/>
      <c r="NGX1377" s="110"/>
      <c r="NGY1377" s="110"/>
      <c r="NGZ1377" s="110"/>
      <c r="NHA1377" s="110"/>
      <c r="NHB1377" s="110"/>
      <c r="NHC1377" s="110"/>
      <c r="NHD1377" s="110"/>
      <c r="NHE1377" s="110"/>
      <c r="NHF1377" s="110"/>
      <c r="NHG1377" s="110"/>
      <c r="NHH1377" s="110"/>
      <c r="NHI1377" s="110"/>
      <c r="NHJ1377" s="110"/>
      <c r="NHK1377" s="110"/>
      <c r="NHL1377" s="110"/>
      <c r="NHM1377" s="110"/>
      <c r="NHN1377" s="110"/>
      <c r="NHO1377" s="110"/>
      <c r="NHP1377" s="110"/>
      <c r="NHQ1377" s="110"/>
      <c r="NHR1377" s="110"/>
      <c r="NHS1377" s="110"/>
      <c r="NHT1377" s="110"/>
      <c r="NHU1377" s="110"/>
      <c r="NHV1377" s="110"/>
      <c r="NHW1377" s="110"/>
      <c r="NHX1377" s="110"/>
      <c r="NHY1377" s="110"/>
      <c r="NHZ1377" s="110"/>
      <c r="NIA1377" s="110"/>
      <c r="NIB1377" s="110"/>
      <c r="NIC1377" s="110"/>
      <c r="NID1377" s="110"/>
      <c r="NIE1377" s="110"/>
      <c r="NIF1377" s="110"/>
      <c r="NIG1377" s="110"/>
      <c r="NIH1377" s="110"/>
      <c r="NII1377" s="110"/>
      <c r="NIJ1377" s="110"/>
      <c r="NIK1377" s="110"/>
      <c r="NIL1377" s="110"/>
      <c r="NIM1377" s="110"/>
      <c r="NIN1377" s="110"/>
      <c r="NIO1377" s="110"/>
      <c r="NIP1377" s="110"/>
      <c r="NIQ1377" s="110"/>
      <c r="NIR1377" s="110"/>
      <c r="NIS1377" s="110"/>
      <c r="NIT1377" s="110"/>
      <c r="NIU1377" s="110"/>
      <c r="NIV1377" s="110"/>
      <c r="NIW1377" s="110"/>
      <c r="NIX1377" s="110"/>
      <c r="NIY1377" s="110"/>
      <c r="NIZ1377" s="110"/>
      <c r="NJA1377" s="110"/>
      <c r="NJB1377" s="110"/>
      <c r="NJC1377" s="110"/>
      <c r="NJD1377" s="110"/>
      <c r="NJE1377" s="110"/>
      <c r="NJF1377" s="110"/>
      <c r="NJG1377" s="110"/>
      <c r="NJH1377" s="110"/>
      <c r="NJI1377" s="110"/>
      <c r="NJJ1377" s="110"/>
      <c r="NJK1377" s="110"/>
      <c r="NJL1377" s="110"/>
      <c r="NJM1377" s="110"/>
      <c r="NJN1377" s="110"/>
      <c r="NJO1377" s="110"/>
      <c r="NJP1377" s="110"/>
      <c r="NJQ1377" s="110"/>
      <c r="NJR1377" s="110"/>
      <c r="NJS1377" s="110"/>
      <c r="NJT1377" s="110"/>
      <c r="NJU1377" s="110"/>
      <c r="NJV1377" s="110"/>
      <c r="NJW1377" s="110"/>
      <c r="NJX1377" s="110"/>
      <c r="NJY1377" s="110"/>
      <c r="NJZ1377" s="110"/>
      <c r="NKA1377" s="110"/>
      <c r="NKB1377" s="110"/>
      <c r="NKC1377" s="110"/>
      <c r="NKD1377" s="110"/>
      <c r="NKE1377" s="110"/>
      <c r="NKF1377" s="110"/>
      <c r="NKG1377" s="110"/>
      <c r="NKH1377" s="110"/>
      <c r="NKI1377" s="110"/>
      <c r="NKJ1377" s="110"/>
      <c r="NKK1377" s="110"/>
      <c r="NKL1377" s="110"/>
      <c r="NKM1377" s="110"/>
      <c r="NKN1377" s="110"/>
      <c r="NKO1377" s="110"/>
      <c r="NKP1377" s="110"/>
      <c r="NKQ1377" s="110"/>
      <c r="NKR1377" s="110"/>
      <c r="NKS1377" s="110"/>
      <c r="NKT1377" s="110"/>
      <c r="NKU1377" s="110"/>
      <c r="NKV1377" s="110"/>
      <c r="NKW1377" s="110"/>
      <c r="NKX1377" s="110"/>
      <c r="NKY1377" s="110"/>
      <c r="NKZ1377" s="110"/>
      <c r="NLA1377" s="110"/>
      <c r="NLB1377" s="110"/>
      <c r="NLC1377" s="110"/>
      <c r="NLD1377" s="110"/>
      <c r="NLE1377" s="110"/>
      <c r="NLF1377" s="110"/>
      <c r="NLG1377" s="110"/>
      <c r="NLH1377" s="110"/>
      <c r="NLI1377" s="110"/>
      <c r="NLJ1377" s="110"/>
      <c r="NLK1377" s="110"/>
      <c r="NLL1377" s="110"/>
      <c r="NLM1377" s="110"/>
      <c r="NLN1377" s="110"/>
      <c r="NLO1377" s="110"/>
      <c r="NLP1377" s="110"/>
      <c r="NLQ1377" s="110"/>
      <c r="NLR1377" s="110"/>
      <c r="NLS1377" s="110"/>
      <c r="NLT1377" s="110"/>
      <c r="NLU1377" s="110"/>
      <c r="NLV1377" s="110"/>
      <c r="NLW1377" s="110"/>
      <c r="NLX1377" s="110"/>
      <c r="NLY1377" s="110"/>
      <c r="NLZ1377" s="110"/>
      <c r="NMA1377" s="110"/>
      <c r="NMB1377" s="110"/>
      <c r="NMC1377" s="110"/>
      <c r="NMD1377" s="110"/>
      <c r="NME1377" s="110"/>
      <c r="NMF1377" s="110"/>
      <c r="NMG1377" s="110"/>
      <c r="NMH1377" s="110"/>
      <c r="NMI1377" s="110"/>
      <c r="NMJ1377" s="110"/>
      <c r="NMK1377" s="110"/>
      <c r="NML1377" s="110"/>
      <c r="NMM1377" s="110"/>
      <c r="NMN1377" s="110"/>
      <c r="NMO1377" s="110"/>
      <c r="NMP1377" s="110"/>
      <c r="NMQ1377" s="110"/>
      <c r="NMR1377" s="110"/>
      <c r="NMS1377" s="110"/>
      <c r="NMT1377" s="110"/>
      <c r="NMU1377" s="110"/>
      <c r="NMV1377" s="110"/>
      <c r="NMW1377" s="110"/>
      <c r="NMX1377" s="110"/>
      <c r="NMY1377" s="110"/>
      <c r="NMZ1377" s="110"/>
      <c r="NNA1377" s="110"/>
      <c r="NNB1377" s="110"/>
      <c r="NNC1377" s="110"/>
      <c r="NND1377" s="110"/>
      <c r="NNE1377" s="110"/>
      <c r="NNF1377" s="110"/>
      <c r="NNG1377" s="110"/>
      <c r="NNH1377" s="110"/>
      <c r="NNI1377" s="110"/>
      <c r="NNJ1377" s="110"/>
      <c r="NNK1377" s="110"/>
      <c r="NNL1377" s="110"/>
      <c r="NNM1377" s="110"/>
      <c r="NNN1377" s="110"/>
      <c r="NNO1377" s="110"/>
      <c r="NNP1377" s="110"/>
      <c r="NNQ1377" s="110"/>
      <c r="NNR1377" s="110"/>
      <c r="NNS1377" s="110"/>
      <c r="NNT1377" s="110"/>
      <c r="NNU1377" s="110"/>
      <c r="NNV1377" s="110"/>
      <c r="NNW1377" s="110"/>
      <c r="NNX1377" s="110"/>
      <c r="NNY1377" s="110"/>
      <c r="NNZ1377" s="110"/>
      <c r="NOA1377" s="110"/>
      <c r="NOB1377" s="110"/>
      <c r="NOC1377" s="110"/>
      <c r="NOD1377" s="110"/>
      <c r="NOE1377" s="110"/>
      <c r="NOF1377" s="110"/>
      <c r="NOG1377" s="110"/>
      <c r="NOH1377" s="110"/>
      <c r="NOI1377" s="110"/>
      <c r="NOJ1377" s="110"/>
      <c r="NOK1377" s="110"/>
      <c r="NOL1377" s="110"/>
      <c r="NOM1377" s="110"/>
      <c r="NON1377" s="110"/>
      <c r="NOO1377" s="110"/>
      <c r="NOP1377" s="110"/>
      <c r="NOQ1377" s="110"/>
      <c r="NOR1377" s="110"/>
      <c r="NOS1377" s="110"/>
      <c r="NOT1377" s="110"/>
      <c r="NOU1377" s="110"/>
      <c r="NOV1377" s="110"/>
      <c r="NOW1377" s="110"/>
      <c r="NOX1377" s="110"/>
      <c r="NOY1377" s="110"/>
      <c r="NOZ1377" s="110"/>
      <c r="NPA1377" s="110"/>
      <c r="NPB1377" s="110"/>
      <c r="NPC1377" s="110"/>
      <c r="NPD1377" s="110"/>
      <c r="NPE1377" s="110"/>
      <c r="NPF1377" s="110"/>
      <c r="NPG1377" s="110"/>
      <c r="NPH1377" s="110"/>
      <c r="NPI1377" s="110"/>
      <c r="NPJ1377" s="110"/>
      <c r="NPK1377" s="110"/>
      <c r="NPL1377" s="110"/>
      <c r="NPM1377" s="110"/>
      <c r="NPN1377" s="110"/>
      <c r="NPO1377" s="110"/>
      <c r="NPP1377" s="110"/>
      <c r="NPQ1377" s="110"/>
      <c r="NPR1377" s="110"/>
      <c r="NPS1377" s="110"/>
      <c r="NPT1377" s="110"/>
      <c r="NPU1377" s="110"/>
      <c r="NPV1377" s="110"/>
      <c r="NPW1377" s="110"/>
      <c r="NPX1377" s="110"/>
      <c r="NPY1377" s="110"/>
      <c r="NPZ1377" s="110"/>
      <c r="NQA1377" s="110"/>
      <c r="NQB1377" s="110"/>
      <c r="NQC1377" s="110"/>
      <c r="NQD1377" s="110"/>
      <c r="NQE1377" s="110"/>
      <c r="NQF1377" s="110"/>
      <c r="NQG1377" s="110"/>
      <c r="NQH1377" s="110"/>
      <c r="NQI1377" s="110"/>
      <c r="NQJ1377" s="110"/>
      <c r="NQK1377" s="110"/>
      <c r="NQL1377" s="110"/>
      <c r="NQM1377" s="110"/>
      <c r="NQN1377" s="110"/>
      <c r="NQO1377" s="110"/>
      <c r="NQP1377" s="110"/>
      <c r="NQQ1377" s="110"/>
      <c r="NQR1377" s="110"/>
      <c r="NQS1377" s="110"/>
      <c r="NQT1377" s="110"/>
      <c r="NQU1377" s="110"/>
      <c r="NQV1377" s="110"/>
      <c r="NQW1377" s="110"/>
      <c r="NQX1377" s="110"/>
      <c r="NQY1377" s="110"/>
      <c r="NQZ1377" s="110"/>
      <c r="NRA1377" s="110"/>
      <c r="NRB1377" s="110"/>
      <c r="NRC1377" s="110"/>
      <c r="NRD1377" s="110"/>
      <c r="NRE1377" s="110"/>
      <c r="NRF1377" s="110"/>
      <c r="NRG1377" s="110"/>
      <c r="NRH1377" s="110"/>
      <c r="NRI1377" s="110"/>
      <c r="NRJ1377" s="110"/>
      <c r="NRK1377" s="110"/>
      <c r="NRL1377" s="110"/>
      <c r="NRM1377" s="110"/>
      <c r="NRN1377" s="110"/>
      <c r="NRO1377" s="110"/>
      <c r="NRP1377" s="110"/>
      <c r="NRQ1377" s="110"/>
      <c r="NRR1377" s="110"/>
      <c r="NRS1377" s="110"/>
      <c r="NRT1377" s="110"/>
      <c r="NRU1377" s="110"/>
      <c r="NRV1377" s="110"/>
      <c r="NRW1377" s="110"/>
      <c r="NRX1377" s="110"/>
      <c r="NRY1377" s="110"/>
      <c r="NRZ1377" s="110"/>
      <c r="NSA1377" s="110"/>
      <c r="NSB1377" s="110"/>
      <c r="NSC1377" s="110"/>
      <c r="NSD1377" s="110"/>
      <c r="NSE1377" s="110"/>
      <c r="NSF1377" s="110"/>
      <c r="NSG1377" s="110"/>
      <c r="NSH1377" s="110"/>
      <c r="NSI1377" s="110"/>
      <c r="NSJ1377" s="110"/>
      <c r="NSK1377" s="110"/>
      <c r="NSL1377" s="110"/>
      <c r="NSM1377" s="110"/>
      <c r="NSN1377" s="110"/>
      <c r="NSO1377" s="110"/>
      <c r="NSP1377" s="110"/>
      <c r="NSQ1377" s="110"/>
      <c r="NSR1377" s="110"/>
      <c r="NSS1377" s="110"/>
      <c r="NST1377" s="110"/>
      <c r="NSU1377" s="110"/>
      <c r="NSV1377" s="110"/>
      <c r="NSW1377" s="110"/>
      <c r="NSX1377" s="110"/>
      <c r="NSY1377" s="110"/>
      <c r="NSZ1377" s="110"/>
      <c r="NTA1377" s="110"/>
      <c r="NTB1377" s="110"/>
      <c r="NTC1377" s="110"/>
      <c r="NTD1377" s="110"/>
      <c r="NTE1377" s="110"/>
      <c r="NTF1377" s="110"/>
      <c r="NTG1377" s="110"/>
      <c r="NTH1377" s="110"/>
      <c r="NTI1377" s="110"/>
      <c r="NTJ1377" s="110"/>
      <c r="NTK1377" s="110"/>
      <c r="NTL1377" s="110"/>
      <c r="NTM1377" s="110"/>
      <c r="NTN1377" s="110"/>
      <c r="NTO1377" s="110"/>
      <c r="NTP1377" s="110"/>
      <c r="NTQ1377" s="110"/>
      <c r="NTR1377" s="110"/>
      <c r="NTS1377" s="110"/>
      <c r="NTT1377" s="110"/>
      <c r="NTU1377" s="110"/>
      <c r="NTV1377" s="110"/>
      <c r="NTW1377" s="110"/>
      <c r="NTX1377" s="110"/>
      <c r="NTY1377" s="110"/>
      <c r="NTZ1377" s="110"/>
      <c r="NUA1377" s="110"/>
      <c r="NUB1377" s="110"/>
      <c r="NUC1377" s="110"/>
      <c r="NUD1377" s="110"/>
      <c r="NUE1377" s="110"/>
      <c r="NUF1377" s="110"/>
      <c r="NUG1377" s="110"/>
      <c r="NUH1377" s="110"/>
      <c r="NUI1377" s="110"/>
      <c r="NUJ1377" s="110"/>
      <c r="NUK1377" s="110"/>
      <c r="NUL1377" s="110"/>
      <c r="NUM1377" s="110"/>
      <c r="NUN1377" s="110"/>
      <c r="NUO1377" s="110"/>
      <c r="NUP1377" s="110"/>
      <c r="NUQ1377" s="110"/>
      <c r="NUR1377" s="110"/>
      <c r="NUS1377" s="110"/>
      <c r="NUT1377" s="110"/>
      <c r="NUU1377" s="110"/>
      <c r="NUV1377" s="110"/>
      <c r="NUW1377" s="110"/>
      <c r="NUX1377" s="110"/>
      <c r="NUY1377" s="110"/>
      <c r="NUZ1377" s="110"/>
      <c r="NVA1377" s="110"/>
      <c r="NVB1377" s="110"/>
      <c r="NVC1377" s="110"/>
      <c r="NVD1377" s="110"/>
      <c r="NVE1377" s="110"/>
      <c r="NVF1377" s="110"/>
      <c r="NVG1377" s="110"/>
      <c r="NVH1377" s="110"/>
      <c r="NVI1377" s="110"/>
      <c r="NVJ1377" s="110"/>
      <c r="NVK1377" s="110"/>
      <c r="NVL1377" s="110"/>
      <c r="NVM1377" s="110"/>
      <c r="NVN1377" s="110"/>
      <c r="NVO1377" s="110"/>
      <c r="NVP1377" s="110"/>
      <c r="NVQ1377" s="110"/>
      <c r="NVR1377" s="110"/>
      <c r="NVS1377" s="110"/>
      <c r="NVT1377" s="110"/>
      <c r="NVU1377" s="110"/>
      <c r="NVV1377" s="110"/>
      <c r="NVW1377" s="110"/>
      <c r="NVX1377" s="110"/>
      <c r="NVY1377" s="110"/>
      <c r="NVZ1377" s="110"/>
      <c r="NWA1377" s="110"/>
      <c r="NWB1377" s="110"/>
      <c r="NWC1377" s="110"/>
      <c r="NWD1377" s="110"/>
      <c r="NWE1377" s="110"/>
      <c r="NWF1377" s="110"/>
      <c r="NWG1377" s="110"/>
      <c r="NWH1377" s="110"/>
      <c r="NWI1377" s="110"/>
      <c r="NWJ1377" s="110"/>
      <c r="NWK1377" s="110"/>
      <c r="NWL1377" s="110"/>
      <c r="NWM1377" s="110"/>
      <c r="NWN1377" s="110"/>
      <c r="NWO1377" s="110"/>
      <c r="NWP1377" s="110"/>
      <c r="NWQ1377" s="110"/>
      <c r="NWR1377" s="110"/>
      <c r="NWS1377" s="110"/>
      <c r="NWT1377" s="110"/>
      <c r="NWU1377" s="110"/>
      <c r="NWV1377" s="110"/>
      <c r="NWW1377" s="110"/>
      <c r="NWX1377" s="110"/>
      <c r="NWY1377" s="110"/>
      <c r="NWZ1377" s="110"/>
      <c r="NXA1377" s="110"/>
      <c r="NXB1377" s="110"/>
      <c r="NXC1377" s="110"/>
      <c r="NXD1377" s="110"/>
      <c r="NXE1377" s="110"/>
      <c r="NXF1377" s="110"/>
      <c r="NXG1377" s="110"/>
      <c r="NXH1377" s="110"/>
      <c r="NXI1377" s="110"/>
      <c r="NXJ1377" s="110"/>
      <c r="NXK1377" s="110"/>
      <c r="NXL1377" s="110"/>
      <c r="NXM1377" s="110"/>
      <c r="NXN1377" s="110"/>
      <c r="NXO1377" s="110"/>
      <c r="NXP1377" s="110"/>
      <c r="NXQ1377" s="110"/>
      <c r="NXR1377" s="110"/>
      <c r="NXS1377" s="110"/>
      <c r="NXT1377" s="110"/>
      <c r="NXU1377" s="110"/>
      <c r="NXV1377" s="110"/>
      <c r="NXW1377" s="110"/>
      <c r="NXX1377" s="110"/>
      <c r="NXY1377" s="110"/>
      <c r="NXZ1377" s="110"/>
      <c r="NYA1377" s="110"/>
      <c r="NYB1377" s="110"/>
      <c r="NYC1377" s="110"/>
      <c r="NYD1377" s="110"/>
      <c r="NYE1377" s="110"/>
      <c r="NYF1377" s="110"/>
      <c r="NYG1377" s="110"/>
      <c r="NYH1377" s="110"/>
      <c r="NYI1377" s="110"/>
      <c r="NYJ1377" s="110"/>
      <c r="NYK1377" s="110"/>
      <c r="NYL1377" s="110"/>
      <c r="NYM1377" s="110"/>
      <c r="NYN1377" s="110"/>
      <c r="NYO1377" s="110"/>
      <c r="NYP1377" s="110"/>
      <c r="NYQ1377" s="110"/>
      <c r="NYR1377" s="110"/>
      <c r="NYS1377" s="110"/>
      <c r="NYT1377" s="110"/>
      <c r="NYU1377" s="110"/>
      <c r="NYV1377" s="110"/>
      <c r="NYW1377" s="110"/>
      <c r="NYX1377" s="110"/>
      <c r="NYY1377" s="110"/>
      <c r="NYZ1377" s="110"/>
      <c r="NZA1377" s="110"/>
      <c r="NZB1377" s="110"/>
      <c r="NZC1377" s="110"/>
      <c r="NZD1377" s="110"/>
      <c r="NZE1377" s="110"/>
      <c r="NZF1377" s="110"/>
      <c r="NZG1377" s="110"/>
      <c r="NZH1377" s="110"/>
      <c r="NZI1377" s="110"/>
      <c r="NZJ1377" s="110"/>
      <c r="NZK1377" s="110"/>
      <c r="NZL1377" s="110"/>
      <c r="NZM1377" s="110"/>
      <c r="NZN1377" s="110"/>
      <c r="NZO1377" s="110"/>
      <c r="NZP1377" s="110"/>
      <c r="NZQ1377" s="110"/>
      <c r="NZR1377" s="110"/>
      <c r="NZS1377" s="110"/>
      <c r="NZT1377" s="110"/>
      <c r="NZU1377" s="110"/>
      <c r="NZV1377" s="110"/>
      <c r="NZW1377" s="110"/>
      <c r="NZX1377" s="110"/>
      <c r="NZY1377" s="110"/>
      <c r="NZZ1377" s="110"/>
      <c r="OAA1377" s="110"/>
      <c r="OAB1377" s="110"/>
      <c r="OAC1377" s="110"/>
      <c r="OAD1377" s="110"/>
      <c r="OAE1377" s="110"/>
      <c r="OAF1377" s="110"/>
      <c r="OAG1377" s="110"/>
      <c r="OAH1377" s="110"/>
      <c r="OAI1377" s="110"/>
      <c r="OAJ1377" s="110"/>
      <c r="OAK1377" s="110"/>
      <c r="OAL1377" s="110"/>
      <c r="OAM1377" s="110"/>
      <c r="OAN1377" s="110"/>
      <c r="OAO1377" s="110"/>
      <c r="OAP1377" s="110"/>
      <c r="OAQ1377" s="110"/>
      <c r="OAR1377" s="110"/>
      <c r="OAS1377" s="110"/>
      <c r="OAT1377" s="110"/>
      <c r="OAU1377" s="110"/>
      <c r="OAV1377" s="110"/>
      <c r="OAW1377" s="110"/>
      <c r="OAX1377" s="110"/>
      <c r="OAY1377" s="110"/>
      <c r="OAZ1377" s="110"/>
      <c r="OBA1377" s="110"/>
      <c r="OBB1377" s="110"/>
      <c r="OBC1377" s="110"/>
      <c r="OBD1377" s="110"/>
      <c r="OBE1377" s="110"/>
      <c r="OBF1377" s="110"/>
      <c r="OBG1377" s="110"/>
      <c r="OBH1377" s="110"/>
      <c r="OBI1377" s="110"/>
      <c r="OBJ1377" s="110"/>
      <c r="OBK1377" s="110"/>
      <c r="OBL1377" s="110"/>
      <c r="OBM1377" s="110"/>
      <c r="OBN1377" s="110"/>
      <c r="OBO1377" s="110"/>
      <c r="OBP1377" s="110"/>
      <c r="OBQ1377" s="110"/>
      <c r="OBR1377" s="110"/>
      <c r="OBS1377" s="110"/>
      <c r="OBT1377" s="110"/>
      <c r="OBU1377" s="110"/>
      <c r="OBV1377" s="110"/>
      <c r="OBW1377" s="110"/>
      <c r="OBX1377" s="110"/>
      <c r="OBY1377" s="110"/>
      <c r="OBZ1377" s="110"/>
      <c r="OCA1377" s="110"/>
      <c r="OCB1377" s="110"/>
      <c r="OCC1377" s="110"/>
      <c r="OCD1377" s="110"/>
      <c r="OCE1377" s="110"/>
      <c r="OCF1377" s="110"/>
      <c r="OCG1377" s="110"/>
      <c r="OCH1377" s="110"/>
      <c r="OCI1377" s="110"/>
      <c r="OCJ1377" s="110"/>
      <c r="OCK1377" s="110"/>
      <c r="OCL1377" s="110"/>
      <c r="OCM1377" s="110"/>
      <c r="OCN1377" s="110"/>
      <c r="OCO1377" s="110"/>
      <c r="OCP1377" s="110"/>
      <c r="OCQ1377" s="110"/>
      <c r="OCR1377" s="110"/>
      <c r="OCS1377" s="110"/>
      <c r="OCT1377" s="110"/>
      <c r="OCU1377" s="110"/>
      <c r="OCV1377" s="110"/>
      <c r="OCW1377" s="110"/>
      <c r="OCX1377" s="110"/>
      <c r="OCY1377" s="110"/>
      <c r="OCZ1377" s="110"/>
      <c r="ODA1377" s="110"/>
      <c r="ODB1377" s="110"/>
      <c r="ODC1377" s="110"/>
      <c r="ODD1377" s="110"/>
      <c r="ODE1377" s="110"/>
      <c r="ODF1377" s="110"/>
      <c r="ODG1377" s="110"/>
      <c r="ODH1377" s="110"/>
      <c r="ODI1377" s="110"/>
      <c r="ODJ1377" s="110"/>
      <c r="ODK1377" s="110"/>
      <c r="ODL1377" s="110"/>
      <c r="ODM1377" s="110"/>
      <c r="ODN1377" s="110"/>
      <c r="ODO1377" s="110"/>
      <c r="ODP1377" s="110"/>
      <c r="ODQ1377" s="110"/>
      <c r="ODR1377" s="110"/>
      <c r="ODS1377" s="110"/>
      <c r="ODT1377" s="110"/>
      <c r="ODU1377" s="110"/>
      <c r="ODV1377" s="110"/>
      <c r="ODW1377" s="110"/>
      <c r="ODX1377" s="110"/>
      <c r="ODY1377" s="110"/>
      <c r="ODZ1377" s="110"/>
      <c r="OEA1377" s="110"/>
      <c r="OEB1377" s="110"/>
      <c r="OEC1377" s="110"/>
      <c r="OED1377" s="110"/>
      <c r="OEE1377" s="110"/>
      <c r="OEF1377" s="110"/>
      <c r="OEG1377" s="110"/>
      <c r="OEH1377" s="110"/>
      <c r="OEI1377" s="110"/>
      <c r="OEJ1377" s="110"/>
      <c r="OEK1377" s="110"/>
      <c r="OEL1377" s="110"/>
      <c r="OEM1377" s="110"/>
      <c r="OEN1377" s="110"/>
      <c r="OEO1377" s="110"/>
      <c r="OEP1377" s="110"/>
      <c r="OEQ1377" s="110"/>
      <c r="OER1377" s="110"/>
      <c r="OES1377" s="110"/>
      <c r="OET1377" s="110"/>
      <c r="OEU1377" s="110"/>
      <c r="OEV1377" s="110"/>
      <c r="OEW1377" s="110"/>
      <c r="OEX1377" s="110"/>
      <c r="OEY1377" s="110"/>
      <c r="OEZ1377" s="110"/>
      <c r="OFA1377" s="110"/>
      <c r="OFB1377" s="110"/>
      <c r="OFC1377" s="110"/>
      <c r="OFD1377" s="110"/>
      <c r="OFE1377" s="110"/>
      <c r="OFF1377" s="110"/>
      <c r="OFG1377" s="110"/>
      <c r="OFH1377" s="110"/>
      <c r="OFI1377" s="110"/>
      <c r="OFJ1377" s="110"/>
      <c r="OFK1377" s="110"/>
      <c r="OFL1377" s="110"/>
      <c r="OFM1377" s="110"/>
      <c r="OFN1377" s="110"/>
      <c r="OFO1377" s="110"/>
      <c r="OFP1377" s="110"/>
      <c r="OFQ1377" s="110"/>
      <c r="OFR1377" s="110"/>
      <c r="OFS1377" s="110"/>
      <c r="OFT1377" s="110"/>
      <c r="OFU1377" s="110"/>
      <c r="OFV1377" s="110"/>
      <c r="OFW1377" s="110"/>
      <c r="OFX1377" s="110"/>
      <c r="OFY1377" s="110"/>
      <c r="OFZ1377" s="110"/>
      <c r="OGA1377" s="110"/>
      <c r="OGB1377" s="110"/>
      <c r="OGC1377" s="110"/>
      <c r="OGD1377" s="110"/>
      <c r="OGE1377" s="110"/>
      <c r="OGF1377" s="110"/>
      <c r="OGG1377" s="110"/>
      <c r="OGH1377" s="110"/>
      <c r="OGI1377" s="110"/>
      <c r="OGJ1377" s="110"/>
      <c r="OGK1377" s="110"/>
      <c r="OGL1377" s="110"/>
      <c r="OGM1377" s="110"/>
      <c r="OGN1377" s="110"/>
      <c r="OGO1377" s="110"/>
      <c r="OGP1377" s="110"/>
      <c r="OGQ1377" s="110"/>
      <c r="OGR1377" s="110"/>
      <c r="OGS1377" s="110"/>
      <c r="OGT1377" s="110"/>
      <c r="OGU1377" s="110"/>
      <c r="OGV1377" s="110"/>
      <c r="OGW1377" s="110"/>
      <c r="OGX1377" s="110"/>
      <c r="OGY1377" s="110"/>
      <c r="OGZ1377" s="110"/>
      <c r="OHA1377" s="110"/>
      <c r="OHB1377" s="110"/>
      <c r="OHC1377" s="110"/>
      <c r="OHD1377" s="110"/>
      <c r="OHE1377" s="110"/>
      <c r="OHF1377" s="110"/>
      <c r="OHG1377" s="110"/>
      <c r="OHH1377" s="110"/>
      <c r="OHI1377" s="110"/>
      <c r="OHJ1377" s="110"/>
      <c r="OHK1377" s="110"/>
      <c r="OHL1377" s="110"/>
      <c r="OHM1377" s="110"/>
      <c r="OHN1377" s="110"/>
      <c r="OHO1377" s="110"/>
      <c r="OHP1377" s="110"/>
      <c r="OHQ1377" s="110"/>
      <c r="OHR1377" s="110"/>
      <c r="OHS1377" s="110"/>
      <c r="OHT1377" s="110"/>
      <c r="OHU1377" s="110"/>
      <c r="OHV1377" s="110"/>
      <c r="OHW1377" s="110"/>
      <c r="OHX1377" s="110"/>
      <c r="OHY1377" s="110"/>
      <c r="OHZ1377" s="110"/>
      <c r="OIA1377" s="110"/>
      <c r="OIB1377" s="110"/>
      <c r="OIC1377" s="110"/>
      <c r="OID1377" s="110"/>
      <c r="OIE1377" s="110"/>
      <c r="OIF1377" s="110"/>
      <c r="OIG1377" s="110"/>
      <c r="OIH1377" s="110"/>
      <c r="OII1377" s="110"/>
      <c r="OIJ1377" s="110"/>
      <c r="OIK1377" s="110"/>
      <c r="OIL1377" s="110"/>
      <c r="OIM1377" s="110"/>
      <c r="OIN1377" s="110"/>
      <c r="OIO1377" s="110"/>
      <c r="OIP1377" s="110"/>
      <c r="OIQ1377" s="110"/>
      <c r="OIR1377" s="110"/>
      <c r="OIS1377" s="110"/>
      <c r="OIT1377" s="110"/>
      <c r="OIU1377" s="110"/>
      <c r="OIV1377" s="110"/>
      <c r="OIW1377" s="110"/>
      <c r="OIX1377" s="110"/>
      <c r="OIY1377" s="110"/>
      <c r="OIZ1377" s="110"/>
      <c r="OJA1377" s="110"/>
      <c r="OJB1377" s="110"/>
      <c r="OJC1377" s="110"/>
      <c r="OJD1377" s="110"/>
      <c r="OJE1377" s="110"/>
      <c r="OJF1377" s="110"/>
      <c r="OJG1377" s="110"/>
      <c r="OJH1377" s="110"/>
      <c r="OJI1377" s="110"/>
      <c r="OJJ1377" s="110"/>
      <c r="OJK1377" s="110"/>
      <c r="OJL1377" s="110"/>
      <c r="OJM1377" s="110"/>
      <c r="OJN1377" s="110"/>
      <c r="OJO1377" s="110"/>
      <c r="OJP1377" s="110"/>
      <c r="OJQ1377" s="110"/>
      <c r="OJR1377" s="110"/>
      <c r="OJS1377" s="110"/>
      <c r="OJT1377" s="110"/>
      <c r="OJU1377" s="110"/>
      <c r="OJV1377" s="110"/>
      <c r="OJW1377" s="110"/>
      <c r="OJX1377" s="110"/>
      <c r="OJY1377" s="110"/>
      <c r="OJZ1377" s="110"/>
      <c r="OKA1377" s="110"/>
      <c r="OKB1377" s="110"/>
      <c r="OKC1377" s="110"/>
      <c r="OKD1377" s="110"/>
      <c r="OKE1377" s="110"/>
      <c r="OKF1377" s="110"/>
      <c r="OKG1377" s="110"/>
      <c r="OKH1377" s="110"/>
      <c r="OKI1377" s="110"/>
      <c r="OKJ1377" s="110"/>
      <c r="OKK1377" s="110"/>
      <c r="OKL1377" s="110"/>
      <c r="OKM1377" s="110"/>
      <c r="OKN1377" s="110"/>
      <c r="OKO1377" s="110"/>
      <c r="OKP1377" s="110"/>
      <c r="OKQ1377" s="110"/>
      <c r="OKR1377" s="110"/>
      <c r="OKS1377" s="110"/>
      <c r="OKT1377" s="110"/>
      <c r="OKU1377" s="110"/>
      <c r="OKV1377" s="110"/>
      <c r="OKW1377" s="110"/>
      <c r="OKX1377" s="110"/>
      <c r="OKY1377" s="110"/>
      <c r="OKZ1377" s="110"/>
      <c r="OLA1377" s="110"/>
      <c r="OLB1377" s="110"/>
      <c r="OLC1377" s="110"/>
      <c r="OLD1377" s="110"/>
      <c r="OLE1377" s="110"/>
      <c r="OLF1377" s="110"/>
      <c r="OLG1377" s="110"/>
      <c r="OLH1377" s="110"/>
      <c r="OLI1377" s="110"/>
      <c r="OLJ1377" s="110"/>
      <c r="OLK1377" s="110"/>
      <c r="OLL1377" s="110"/>
      <c r="OLM1377" s="110"/>
      <c r="OLN1377" s="110"/>
      <c r="OLO1377" s="110"/>
      <c r="OLP1377" s="110"/>
      <c r="OLQ1377" s="110"/>
      <c r="OLR1377" s="110"/>
      <c r="OLS1377" s="110"/>
      <c r="OLT1377" s="110"/>
      <c r="OLU1377" s="110"/>
      <c r="OLV1377" s="110"/>
      <c r="OLW1377" s="110"/>
      <c r="OLX1377" s="110"/>
      <c r="OLY1377" s="110"/>
      <c r="OLZ1377" s="110"/>
      <c r="OMA1377" s="110"/>
      <c r="OMB1377" s="110"/>
      <c r="OMC1377" s="110"/>
      <c r="OMD1377" s="110"/>
      <c r="OME1377" s="110"/>
      <c r="OMF1377" s="110"/>
      <c r="OMG1377" s="110"/>
      <c r="OMH1377" s="110"/>
      <c r="OMI1377" s="110"/>
      <c r="OMJ1377" s="110"/>
      <c r="OMK1377" s="110"/>
      <c r="OML1377" s="110"/>
      <c r="OMM1377" s="110"/>
      <c r="OMN1377" s="110"/>
      <c r="OMO1377" s="110"/>
      <c r="OMP1377" s="110"/>
      <c r="OMQ1377" s="110"/>
      <c r="OMR1377" s="110"/>
      <c r="OMS1377" s="110"/>
      <c r="OMT1377" s="110"/>
      <c r="OMU1377" s="110"/>
      <c r="OMV1377" s="110"/>
      <c r="OMW1377" s="110"/>
      <c r="OMX1377" s="110"/>
      <c r="OMY1377" s="110"/>
      <c r="OMZ1377" s="110"/>
      <c r="ONA1377" s="110"/>
      <c r="ONB1377" s="110"/>
      <c r="ONC1377" s="110"/>
      <c r="OND1377" s="110"/>
      <c r="ONE1377" s="110"/>
      <c r="ONF1377" s="110"/>
      <c r="ONG1377" s="110"/>
      <c r="ONH1377" s="110"/>
      <c r="ONI1377" s="110"/>
      <c r="ONJ1377" s="110"/>
      <c r="ONK1377" s="110"/>
      <c r="ONL1377" s="110"/>
      <c r="ONM1377" s="110"/>
      <c r="ONN1377" s="110"/>
      <c r="ONO1377" s="110"/>
      <c r="ONP1377" s="110"/>
      <c r="ONQ1377" s="110"/>
      <c r="ONR1377" s="110"/>
      <c r="ONS1377" s="110"/>
      <c r="ONT1377" s="110"/>
      <c r="ONU1377" s="110"/>
      <c r="ONV1377" s="110"/>
      <c r="ONW1377" s="110"/>
      <c r="ONX1377" s="110"/>
      <c r="ONY1377" s="110"/>
      <c r="ONZ1377" s="110"/>
      <c r="OOA1377" s="110"/>
      <c r="OOB1377" s="110"/>
      <c r="OOC1377" s="110"/>
      <c r="OOD1377" s="110"/>
      <c r="OOE1377" s="110"/>
      <c r="OOF1377" s="110"/>
      <c r="OOG1377" s="110"/>
      <c r="OOH1377" s="110"/>
      <c r="OOI1377" s="110"/>
      <c r="OOJ1377" s="110"/>
      <c r="OOK1377" s="110"/>
      <c r="OOL1377" s="110"/>
      <c r="OOM1377" s="110"/>
      <c r="OON1377" s="110"/>
      <c r="OOO1377" s="110"/>
      <c r="OOP1377" s="110"/>
      <c r="OOQ1377" s="110"/>
      <c r="OOR1377" s="110"/>
      <c r="OOS1377" s="110"/>
      <c r="OOT1377" s="110"/>
      <c r="OOU1377" s="110"/>
      <c r="OOV1377" s="110"/>
      <c r="OOW1377" s="110"/>
      <c r="OOX1377" s="110"/>
      <c r="OOY1377" s="110"/>
      <c r="OOZ1377" s="110"/>
      <c r="OPA1377" s="110"/>
      <c r="OPB1377" s="110"/>
      <c r="OPC1377" s="110"/>
      <c r="OPD1377" s="110"/>
      <c r="OPE1377" s="110"/>
      <c r="OPF1377" s="110"/>
      <c r="OPG1377" s="110"/>
      <c r="OPH1377" s="110"/>
      <c r="OPI1377" s="110"/>
      <c r="OPJ1377" s="110"/>
      <c r="OPK1377" s="110"/>
      <c r="OPL1377" s="110"/>
      <c r="OPM1377" s="110"/>
      <c r="OPN1377" s="110"/>
      <c r="OPO1377" s="110"/>
      <c r="OPP1377" s="110"/>
      <c r="OPQ1377" s="110"/>
      <c r="OPR1377" s="110"/>
      <c r="OPS1377" s="110"/>
      <c r="OPT1377" s="110"/>
      <c r="OPU1377" s="110"/>
      <c r="OPV1377" s="110"/>
      <c r="OPW1377" s="110"/>
      <c r="OPX1377" s="110"/>
      <c r="OPY1377" s="110"/>
      <c r="OPZ1377" s="110"/>
      <c r="OQA1377" s="110"/>
      <c r="OQB1377" s="110"/>
      <c r="OQC1377" s="110"/>
      <c r="OQD1377" s="110"/>
      <c r="OQE1377" s="110"/>
      <c r="OQF1377" s="110"/>
      <c r="OQG1377" s="110"/>
      <c r="OQH1377" s="110"/>
      <c r="OQI1377" s="110"/>
      <c r="OQJ1377" s="110"/>
      <c r="OQK1377" s="110"/>
      <c r="OQL1377" s="110"/>
      <c r="OQM1377" s="110"/>
      <c r="OQN1377" s="110"/>
      <c r="OQO1377" s="110"/>
      <c r="OQP1377" s="110"/>
      <c r="OQQ1377" s="110"/>
      <c r="OQR1377" s="110"/>
      <c r="OQS1377" s="110"/>
      <c r="OQT1377" s="110"/>
      <c r="OQU1377" s="110"/>
      <c r="OQV1377" s="110"/>
      <c r="OQW1377" s="110"/>
      <c r="OQX1377" s="110"/>
      <c r="OQY1377" s="110"/>
      <c r="OQZ1377" s="110"/>
      <c r="ORA1377" s="110"/>
      <c r="ORB1377" s="110"/>
      <c r="ORC1377" s="110"/>
      <c r="ORD1377" s="110"/>
      <c r="ORE1377" s="110"/>
      <c r="ORF1377" s="110"/>
      <c r="ORG1377" s="110"/>
      <c r="ORH1377" s="110"/>
      <c r="ORI1377" s="110"/>
      <c r="ORJ1377" s="110"/>
      <c r="ORK1377" s="110"/>
      <c r="ORL1377" s="110"/>
      <c r="ORM1377" s="110"/>
      <c r="ORN1377" s="110"/>
      <c r="ORO1377" s="110"/>
      <c r="ORP1377" s="110"/>
      <c r="ORQ1377" s="110"/>
      <c r="ORR1377" s="110"/>
      <c r="ORS1377" s="110"/>
      <c r="ORT1377" s="110"/>
      <c r="ORU1377" s="110"/>
      <c r="ORV1377" s="110"/>
      <c r="ORW1377" s="110"/>
      <c r="ORX1377" s="110"/>
      <c r="ORY1377" s="110"/>
      <c r="ORZ1377" s="110"/>
      <c r="OSA1377" s="110"/>
      <c r="OSB1377" s="110"/>
      <c r="OSC1377" s="110"/>
      <c r="OSD1377" s="110"/>
      <c r="OSE1377" s="110"/>
      <c r="OSF1377" s="110"/>
      <c r="OSG1377" s="110"/>
      <c r="OSH1377" s="110"/>
      <c r="OSI1377" s="110"/>
      <c r="OSJ1377" s="110"/>
      <c r="OSK1377" s="110"/>
      <c r="OSL1377" s="110"/>
      <c r="OSM1377" s="110"/>
      <c r="OSN1377" s="110"/>
      <c r="OSO1377" s="110"/>
      <c r="OSP1377" s="110"/>
      <c r="OSQ1377" s="110"/>
      <c r="OSR1377" s="110"/>
      <c r="OSS1377" s="110"/>
      <c r="OST1377" s="110"/>
      <c r="OSU1377" s="110"/>
      <c r="OSV1377" s="110"/>
      <c r="OSW1377" s="110"/>
      <c r="OSX1377" s="110"/>
      <c r="OSY1377" s="110"/>
      <c r="OSZ1377" s="110"/>
      <c r="OTA1377" s="110"/>
      <c r="OTB1377" s="110"/>
      <c r="OTC1377" s="110"/>
      <c r="OTD1377" s="110"/>
      <c r="OTE1377" s="110"/>
      <c r="OTF1377" s="110"/>
      <c r="OTG1377" s="110"/>
      <c r="OTH1377" s="110"/>
      <c r="OTI1377" s="110"/>
      <c r="OTJ1377" s="110"/>
      <c r="OTK1377" s="110"/>
      <c r="OTL1377" s="110"/>
      <c r="OTM1377" s="110"/>
      <c r="OTN1377" s="110"/>
      <c r="OTO1377" s="110"/>
      <c r="OTP1377" s="110"/>
      <c r="OTQ1377" s="110"/>
      <c r="OTR1377" s="110"/>
      <c r="OTS1377" s="110"/>
      <c r="OTT1377" s="110"/>
      <c r="OTU1377" s="110"/>
      <c r="OTV1377" s="110"/>
      <c r="OTW1377" s="110"/>
      <c r="OTX1377" s="110"/>
      <c r="OTY1377" s="110"/>
      <c r="OTZ1377" s="110"/>
      <c r="OUA1377" s="110"/>
      <c r="OUB1377" s="110"/>
      <c r="OUC1377" s="110"/>
      <c r="OUD1377" s="110"/>
      <c r="OUE1377" s="110"/>
      <c r="OUF1377" s="110"/>
      <c r="OUG1377" s="110"/>
      <c r="OUH1377" s="110"/>
      <c r="OUI1377" s="110"/>
      <c r="OUJ1377" s="110"/>
      <c r="OUK1377" s="110"/>
      <c r="OUL1377" s="110"/>
      <c r="OUM1377" s="110"/>
      <c r="OUN1377" s="110"/>
      <c r="OUO1377" s="110"/>
      <c r="OUP1377" s="110"/>
      <c r="OUQ1377" s="110"/>
      <c r="OUR1377" s="110"/>
      <c r="OUS1377" s="110"/>
      <c r="OUT1377" s="110"/>
      <c r="OUU1377" s="110"/>
      <c r="OUV1377" s="110"/>
      <c r="OUW1377" s="110"/>
      <c r="OUX1377" s="110"/>
      <c r="OUY1377" s="110"/>
      <c r="OUZ1377" s="110"/>
      <c r="OVA1377" s="110"/>
      <c r="OVB1377" s="110"/>
      <c r="OVC1377" s="110"/>
      <c r="OVD1377" s="110"/>
      <c r="OVE1377" s="110"/>
      <c r="OVF1377" s="110"/>
      <c r="OVG1377" s="110"/>
      <c r="OVH1377" s="110"/>
      <c r="OVI1377" s="110"/>
      <c r="OVJ1377" s="110"/>
      <c r="OVK1377" s="110"/>
      <c r="OVL1377" s="110"/>
      <c r="OVM1377" s="110"/>
      <c r="OVN1377" s="110"/>
      <c r="OVO1377" s="110"/>
      <c r="OVP1377" s="110"/>
      <c r="OVQ1377" s="110"/>
      <c r="OVR1377" s="110"/>
      <c r="OVS1377" s="110"/>
      <c r="OVT1377" s="110"/>
      <c r="OVU1377" s="110"/>
      <c r="OVV1377" s="110"/>
      <c r="OVW1377" s="110"/>
      <c r="OVX1377" s="110"/>
      <c r="OVY1377" s="110"/>
      <c r="OVZ1377" s="110"/>
      <c r="OWA1377" s="110"/>
      <c r="OWB1377" s="110"/>
      <c r="OWC1377" s="110"/>
      <c r="OWD1377" s="110"/>
      <c r="OWE1377" s="110"/>
      <c r="OWF1377" s="110"/>
      <c r="OWG1377" s="110"/>
      <c r="OWH1377" s="110"/>
      <c r="OWI1377" s="110"/>
      <c r="OWJ1377" s="110"/>
      <c r="OWK1377" s="110"/>
      <c r="OWL1377" s="110"/>
      <c r="OWM1377" s="110"/>
      <c r="OWN1377" s="110"/>
      <c r="OWO1377" s="110"/>
      <c r="OWP1377" s="110"/>
      <c r="OWQ1377" s="110"/>
      <c r="OWR1377" s="110"/>
      <c r="OWS1377" s="110"/>
      <c r="OWT1377" s="110"/>
      <c r="OWU1377" s="110"/>
      <c r="OWV1377" s="110"/>
      <c r="OWW1377" s="110"/>
      <c r="OWX1377" s="110"/>
      <c r="OWY1377" s="110"/>
      <c r="OWZ1377" s="110"/>
      <c r="OXA1377" s="110"/>
      <c r="OXB1377" s="110"/>
      <c r="OXC1377" s="110"/>
      <c r="OXD1377" s="110"/>
      <c r="OXE1377" s="110"/>
      <c r="OXF1377" s="110"/>
      <c r="OXG1377" s="110"/>
      <c r="OXH1377" s="110"/>
      <c r="OXI1377" s="110"/>
      <c r="OXJ1377" s="110"/>
      <c r="OXK1377" s="110"/>
      <c r="OXL1377" s="110"/>
      <c r="OXM1377" s="110"/>
      <c r="OXN1377" s="110"/>
      <c r="OXO1377" s="110"/>
      <c r="OXP1377" s="110"/>
      <c r="OXQ1377" s="110"/>
      <c r="OXR1377" s="110"/>
      <c r="OXS1377" s="110"/>
      <c r="OXT1377" s="110"/>
      <c r="OXU1377" s="110"/>
      <c r="OXV1377" s="110"/>
      <c r="OXW1377" s="110"/>
      <c r="OXX1377" s="110"/>
      <c r="OXY1377" s="110"/>
      <c r="OXZ1377" s="110"/>
      <c r="OYA1377" s="110"/>
      <c r="OYB1377" s="110"/>
      <c r="OYC1377" s="110"/>
      <c r="OYD1377" s="110"/>
      <c r="OYE1377" s="110"/>
      <c r="OYF1377" s="110"/>
      <c r="OYG1377" s="110"/>
      <c r="OYH1377" s="110"/>
      <c r="OYI1377" s="110"/>
      <c r="OYJ1377" s="110"/>
      <c r="OYK1377" s="110"/>
      <c r="OYL1377" s="110"/>
      <c r="OYM1377" s="110"/>
      <c r="OYN1377" s="110"/>
      <c r="OYO1377" s="110"/>
      <c r="OYP1377" s="110"/>
      <c r="OYQ1377" s="110"/>
      <c r="OYR1377" s="110"/>
      <c r="OYS1377" s="110"/>
      <c r="OYT1377" s="110"/>
      <c r="OYU1377" s="110"/>
      <c r="OYV1377" s="110"/>
      <c r="OYW1377" s="110"/>
      <c r="OYX1377" s="110"/>
      <c r="OYY1377" s="110"/>
      <c r="OYZ1377" s="110"/>
      <c r="OZA1377" s="110"/>
      <c r="OZB1377" s="110"/>
      <c r="OZC1377" s="110"/>
      <c r="OZD1377" s="110"/>
      <c r="OZE1377" s="110"/>
      <c r="OZF1377" s="110"/>
      <c r="OZG1377" s="110"/>
      <c r="OZH1377" s="110"/>
      <c r="OZI1377" s="110"/>
      <c r="OZJ1377" s="110"/>
      <c r="OZK1377" s="110"/>
      <c r="OZL1377" s="110"/>
      <c r="OZM1377" s="110"/>
      <c r="OZN1377" s="110"/>
      <c r="OZO1377" s="110"/>
      <c r="OZP1377" s="110"/>
      <c r="OZQ1377" s="110"/>
      <c r="OZR1377" s="110"/>
      <c r="OZS1377" s="110"/>
      <c r="OZT1377" s="110"/>
      <c r="OZU1377" s="110"/>
      <c r="OZV1377" s="110"/>
      <c r="OZW1377" s="110"/>
      <c r="OZX1377" s="110"/>
      <c r="OZY1377" s="110"/>
      <c r="OZZ1377" s="110"/>
      <c r="PAA1377" s="110"/>
      <c r="PAB1377" s="110"/>
      <c r="PAC1377" s="110"/>
      <c r="PAD1377" s="110"/>
      <c r="PAE1377" s="110"/>
      <c r="PAF1377" s="110"/>
      <c r="PAG1377" s="110"/>
      <c r="PAH1377" s="110"/>
      <c r="PAI1377" s="110"/>
      <c r="PAJ1377" s="110"/>
      <c r="PAK1377" s="110"/>
      <c r="PAL1377" s="110"/>
      <c r="PAM1377" s="110"/>
      <c r="PAN1377" s="110"/>
      <c r="PAO1377" s="110"/>
      <c r="PAP1377" s="110"/>
      <c r="PAQ1377" s="110"/>
      <c r="PAR1377" s="110"/>
      <c r="PAS1377" s="110"/>
      <c r="PAT1377" s="110"/>
      <c r="PAU1377" s="110"/>
      <c r="PAV1377" s="110"/>
      <c r="PAW1377" s="110"/>
      <c r="PAX1377" s="110"/>
      <c r="PAY1377" s="110"/>
      <c r="PAZ1377" s="110"/>
      <c r="PBA1377" s="110"/>
      <c r="PBB1377" s="110"/>
      <c r="PBC1377" s="110"/>
      <c r="PBD1377" s="110"/>
      <c r="PBE1377" s="110"/>
      <c r="PBF1377" s="110"/>
      <c r="PBG1377" s="110"/>
      <c r="PBH1377" s="110"/>
      <c r="PBI1377" s="110"/>
      <c r="PBJ1377" s="110"/>
      <c r="PBK1377" s="110"/>
      <c r="PBL1377" s="110"/>
      <c r="PBM1377" s="110"/>
      <c r="PBN1377" s="110"/>
      <c r="PBO1377" s="110"/>
      <c r="PBP1377" s="110"/>
      <c r="PBQ1377" s="110"/>
      <c r="PBR1377" s="110"/>
      <c r="PBS1377" s="110"/>
      <c r="PBT1377" s="110"/>
      <c r="PBU1377" s="110"/>
      <c r="PBV1377" s="110"/>
      <c r="PBW1377" s="110"/>
      <c r="PBX1377" s="110"/>
      <c r="PBY1377" s="110"/>
      <c r="PBZ1377" s="110"/>
      <c r="PCA1377" s="110"/>
      <c r="PCB1377" s="110"/>
      <c r="PCC1377" s="110"/>
      <c r="PCD1377" s="110"/>
      <c r="PCE1377" s="110"/>
      <c r="PCF1377" s="110"/>
      <c r="PCG1377" s="110"/>
      <c r="PCH1377" s="110"/>
      <c r="PCI1377" s="110"/>
      <c r="PCJ1377" s="110"/>
      <c r="PCK1377" s="110"/>
      <c r="PCL1377" s="110"/>
      <c r="PCM1377" s="110"/>
      <c r="PCN1377" s="110"/>
      <c r="PCO1377" s="110"/>
      <c r="PCP1377" s="110"/>
      <c r="PCQ1377" s="110"/>
      <c r="PCR1377" s="110"/>
      <c r="PCS1377" s="110"/>
      <c r="PCT1377" s="110"/>
      <c r="PCU1377" s="110"/>
      <c r="PCV1377" s="110"/>
      <c r="PCW1377" s="110"/>
      <c r="PCX1377" s="110"/>
      <c r="PCY1377" s="110"/>
      <c r="PCZ1377" s="110"/>
      <c r="PDA1377" s="110"/>
      <c r="PDB1377" s="110"/>
      <c r="PDC1377" s="110"/>
      <c r="PDD1377" s="110"/>
      <c r="PDE1377" s="110"/>
      <c r="PDF1377" s="110"/>
      <c r="PDG1377" s="110"/>
      <c r="PDH1377" s="110"/>
      <c r="PDI1377" s="110"/>
      <c r="PDJ1377" s="110"/>
      <c r="PDK1377" s="110"/>
      <c r="PDL1377" s="110"/>
      <c r="PDM1377" s="110"/>
      <c r="PDN1377" s="110"/>
      <c r="PDO1377" s="110"/>
      <c r="PDP1377" s="110"/>
      <c r="PDQ1377" s="110"/>
      <c r="PDR1377" s="110"/>
      <c r="PDS1377" s="110"/>
      <c r="PDT1377" s="110"/>
      <c r="PDU1377" s="110"/>
      <c r="PDV1377" s="110"/>
      <c r="PDW1377" s="110"/>
      <c r="PDX1377" s="110"/>
      <c r="PDY1377" s="110"/>
      <c r="PDZ1377" s="110"/>
      <c r="PEA1377" s="110"/>
      <c r="PEB1377" s="110"/>
      <c r="PEC1377" s="110"/>
      <c r="PED1377" s="110"/>
      <c r="PEE1377" s="110"/>
      <c r="PEF1377" s="110"/>
      <c r="PEG1377" s="110"/>
      <c r="PEH1377" s="110"/>
      <c r="PEI1377" s="110"/>
      <c r="PEJ1377" s="110"/>
      <c r="PEK1377" s="110"/>
      <c r="PEL1377" s="110"/>
      <c r="PEM1377" s="110"/>
      <c r="PEN1377" s="110"/>
      <c r="PEO1377" s="110"/>
      <c r="PEP1377" s="110"/>
      <c r="PEQ1377" s="110"/>
      <c r="PER1377" s="110"/>
      <c r="PES1377" s="110"/>
      <c r="PET1377" s="110"/>
      <c r="PEU1377" s="110"/>
      <c r="PEV1377" s="110"/>
      <c r="PEW1377" s="110"/>
      <c r="PEX1377" s="110"/>
      <c r="PEY1377" s="110"/>
      <c r="PEZ1377" s="110"/>
      <c r="PFA1377" s="110"/>
      <c r="PFB1377" s="110"/>
      <c r="PFC1377" s="110"/>
      <c r="PFD1377" s="110"/>
      <c r="PFE1377" s="110"/>
      <c r="PFF1377" s="110"/>
      <c r="PFG1377" s="110"/>
      <c r="PFH1377" s="110"/>
      <c r="PFI1377" s="110"/>
      <c r="PFJ1377" s="110"/>
      <c r="PFK1377" s="110"/>
      <c r="PFL1377" s="110"/>
      <c r="PFM1377" s="110"/>
      <c r="PFN1377" s="110"/>
      <c r="PFO1377" s="110"/>
      <c r="PFP1377" s="110"/>
      <c r="PFQ1377" s="110"/>
      <c r="PFR1377" s="110"/>
      <c r="PFS1377" s="110"/>
      <c r="PFT1377" s="110"/>
      <c r="PFU1377" s="110"/>
      <c r="PFV1377" s="110"/>
      <c r="PFW1377" s="110"/>
      <c r="PFX1377" s="110"/>
      <c r="PFY1377" s="110"/>
      <c r="PFZ1377" s="110"/>
      <c r="PGA1377" s="110"/>
      <c r="PGB1377" s="110"/>
      <c r="PGC1377" s="110"/>
      <c r="PGD1377" s="110"/>
      <c r="PGE1377" s="110"/>
      <c r="PGF1377" s="110"/>
      <c r="PGG1377" s="110"/>
      <c r="PGH1377" s="110"/>
      <c r="PGI1377" s="110"/>
      <c r="PGJ1377" s="110"/>
      <c r="PGK1377" s="110"/>
      <c r="PGL1377" s="110"/>
      <c r="PGM1377" s="110"/>
      <c r="PGN1377" s="110"/>
      <c r="PGO1377" s="110"/>
      <c r="PGP1377" s="110"/>
      <c r="PGQ1377" s="110"/>
      <c r="PGR1377" s="110"/>
      <c r="PGS1377" s="110"/>
      <c r="PGT1377" s="110"/>
      <c r="PGU1377" s="110"/>
      <c r="PGV1377" s="110"/>
      <c r="PGW1377" s="110"/>
      <c r="PGX1377" s="110"/>
      <c r="PGY1377" s="110"/>
      <c r="PGZ1377" s="110"/>
      <c r="PHA1377" s="110"/>
      <c r="PHB1377" s="110"/>
      <c r="PHC1377" s="110"/>
      <c r="PHD1377" s="110"/>
      <c r="PHE1377" s="110"/>
      <c r="PHF1377" s="110"/>
      <c r="PHG1377" s="110"/>
      <c r="PHH1377" s="110"/>
      <c r="PHI1377" s="110"/>
      <c r="PHJ1377" s="110"/>
      <c r="PHK1377" s="110"/>
      <c r="PHL1377" s="110"/>
      <c r="PHM1377" s="110"/>
      <c r="PHN1377" s="110"/>
      <c r="PHO1377" s="110"/>
      <c r="PHP1377" s="110"/>
      <c r="PHQ1377" s="110"/>
      <c r="PHR1377" s="110"/>
      <c r="PHS1377" s="110"/>
      <c r="PHT1377" s="110"/>
      <c r="PHU1377" s="110"/>
      <c r="PHV1377" s="110"/>
      <c r="PHW1377" s="110"/>
      <c r="PHX1377" s="110"/>
      <c r="PHY1377" s="110"/>
      <c r="PHZ1377" s="110"/>
      <c r="PIA1377" s="110"/>
      <c r="PIB1377" s="110"/>
      <c r="PIC1377" s="110"/>
      <c r="PID1377" s="110"/>
      <c r="PIE1377" s="110"/>
      <c r="PIF1377" s="110"/>
      <c r="PIG1377" s="110"/>
      <c r="PIH1377" s="110"/>
      <c r="PII1377" s="110"/>
      <c r="PIJ1377" s="110"/>
      <c r="PIK1377" s="110"/>
      <c r="PIL1377" s="110"/>
      <c r="PIM1377" s="110"/>
      <c r="PIN1377" s="110"/>
      <c r="PIO1377" s="110"/>
      <c r="PIP1377" s="110"/>
      <c r="PIQ1377" s="110"/>
      <c r="PIR1377" s="110"/>
      <c r="PIS1377" s="110"/>
      <c r="PIT1377" s="110"/>
      <c r="PIU1377" s="110"/>
      <c r="PIV1377" s="110"/>
      <c r="PIW1377" s="110"/>
      <c r="PIX1377" s="110"/>
      <c r="PIY1377" s="110"/>
      <c r="PIZ1377" s="110"/>
      <c r="PJA1377" s="110"/>
      <c r="PJB1377" s="110"/>
      <c r="PJC1377" s="110"/>
      <c r="PJD1377" s="110"/>
      <c r="PJE1377" s="110"/>
      <c r="PJF1377" s="110"/>
      <c r="PJG1377" s="110"/>
      <c r="PJH1377" s="110"/>
      <c r="PJI1377" s="110"/>
      <c r="PJJ1377" s="110"/>
      <c r="PJK1377" s="110"/>
      <c r="PJL1377" s="110"/>
      <c r="PJM1377" s="110"/>
      <c r="PJN1377" s="110"/>
      <c r="PJO1377" s="110"/>
      <c r="PJP1377" s="110"/>
      <c r="PJQ1377" s="110"/>
      <c r="PJR1377" s="110"/>
      <c r="PJS1377" s="110"/>
      <c r="PJT1377" s="110"/>
      <c r="PJU1377" s="110"/>
      <c r="PJV1377" s="110"/>
      <c r="PJW1377" s="110"/>
      <c r="PJX1377" s="110"/>
      <c r="PJY1377" s="110"/>
      <c r="PJZ1377" s="110"/>
      <c r="PKA1377" s="110"/>
      <c r="PKB1377" s="110"/>
      <c r="PKC1377" s="110"/>
      <c r="PKD1377" s="110"/>
      <c r="PKE1377" s="110"/>
      <c r="PKF1377" s="110"/>
      <c r="PKG1377" s="110"/>
      <c r="PKH1377" s="110"/>
      <c r="PKI1377" s="110"/>
      <c r="PKJ1377" s="110"/>
      <c r="PKK1377" s="110"/>
      <c r="PKL1377" s="110"/>
      <c r="PKM1377" s="110"/>
      <c r="PKN1377" s="110"/>
      <c r="PKO1377" s="110"/>
      <c r="PKP1377" s="110"/>
      <c r="PKQ1377" s="110"/>
      <c r="PKR1377" s="110"/>
      <c r="PKS1377" s="110"/>
      <c r="PKT1377" s="110"/>
      <c r="PKU1377" s="110"/>
      <c r="PKV1377" s="110"/>
      <c r="PKW1377" s="110"/>
      <c r="PKX1377" s="110"/>
      <c r="PKY1377" s="110"/>
      <c r="PKZ1377" s="110"/>
      <c r="PLA1377" s="110"/>
      <c r="PLB1377" s="110"/>
      <c r="PLC1377" s="110"/>
      <c r="PLD1377" s="110"/>
      <c r="PLE1377" s="110"/>
      <c r="PLF1377" s="110"/>
      <c r="PLG1377" s="110"/>
      <c r="PLH1377" s="110"/>
      <c r="PLI1377" s="110"/>
      <c r="PLJ1377" s="110"/>
      <c r="PLK1377" s="110"/>
      <c r="PLL1377" s="110"/>
      <c r="PLM1377" s="110"/>
      <c r="PLN1377" s="110"/>
      <c r="PLO1377" s="110"/>
      <c r="PLP1377" s="110"/>
      <c r="PLQ1377" s="110"/>
      <c r="PLR1377" s="110"/>
      <c r="PLS1377" s="110"/>
      <c r="PLT1377" s="110"/>
      <c r="PLU1377" s="110"/>
      <c r="PLV1377" s="110"/>
      <c r="PLW1377" s="110"/>
      <c r="PLX1377" s="110"/>
      <c r="PLY1377" s="110"/>
      <c r="PLZ1377" s="110"/>
      <c r="PMA1377" s="110"/>
      <c r="PMB1377" s="110"/>
      <c r="PMC1377" s="110"/>
      <c r="PMD1377" s="110"/>
      <c r="PME1377" s="110"/>
      <c r="PMF1377" s="110"/>
      <c r="PMG1377" s="110"/>
      <c r="PMH1377" s="110"/>
      <c r="PMI1377" s="110"/>
      <c r="PMJ1377" s="110"/>
      <c r="PMK1377" s="110"/>
      <c r="PML1377" s="110"/>
      <c r="PMM1377" s="110"/>
      <c r="PMN1377" s="110"/>
      <c r="PMO1377" s="110"/>
      <c r="PMP1377" s="110"/>
      <c r="PMQ1377" s="110"/>
      <c r="PMR1377" s="110"/>
      <c r="PMS1377" s="110"/>
      <c r="PMT1377" s="110"/>
      <c r="PMU1377" s="110"/>
      <c r="PMV1377" s="110"/>
      <c r="PMW1377" s="110"/>
      <c r="PMX1377" s="110"/>
      <c r="PMY1377" s="110"/>
      <c r="PMZ1377" s="110"/>
      <c r="PNA1377" s="110"/>
      <c r="PNB1377" s="110"/>
      <c r="PNC1377" s="110"/>
      <c r="PND1377" s="110"/>
      <c r="PNE1377" s="110"/>
      <c r="PNF1377" s="110"/>
      <c r="PNG1377" s="110"/>
      <c r="PNH1377" s="110"/>
      <c r="PNI1377" s="110"/>
      <c r="PNJ1377" s="110"/>
      <c r="PNK1377" s="110"/>
      <c r="PNL1377" s="110"/>
      <c r="PNM1377" s="110"/>
      <c r="PNN1377" s="110"/>
      <c r="PNO1377" s="110"/>
      <c r="PNP1377" s="110"/>
      <c r="PNQ1377" s="110"/>
      <c r="PNR1377" s="110"/>
      <c r="PNS1377" s="110"/>
      <c r="PNT1377" s="110"/>
      <c r="PNU1377" s="110"/>
      <c r="PNV1377" s="110"/>
      <c r="PNW1377" s="110"/>
      <c r="PNX1377" s="110"/>
      <c r="PNY1377" s="110"/>
      <c r="PNZ1377" s="110"/>
      <c r="POA1377" s="110"/>
      <c r="POB1377" s="110"/>
      <c r="POC1377" s="110"/>
      <c r="POD1377" s="110"/>
      <c r="POE1377" s="110"/>
      <c r="POF1377" s="110"/>
      <c r="POG1377" s="110"/>
      <c r="POH1377" s="110"/>
      <c r="POI1377" s="110"/>
      <c r="POJ1377" s="110"/>
      <c r="POK1377" s="110"/>
      <c r="POL1377" s="110"/>
      <c r="POM1377" s="110"/>
      <c r="PON1377" s="110"/>
      <c r="POO1377" s="110"/>
      <c r="POP1377" s="110"/>
      <c r="POQ1377" s="110"/>
      <c r="POR1377" s="110"/>
      <c r="POS1377" s="110"/>
      <c r="POT1377" s="110"/>
      <c r="POU1377" s="110"/>
      <c r="POV1377" s="110"/>
      <c r="POW1377" s="110"/>
      <c r="POX1377" s="110"/>
      <c r="POY1377" s="110"/>
      <c r="POZ1377" s="110"/>
      <c r="PPA1377" s="110"/>
      <c r="PPB1377" s="110"/>
      <c r="PPC1377" s="110"/>
      <c r="PPD1377" s="110"/>
      <c r="PPE1377" s="110"/>
      <c r="PPF1377" s="110"/>
      <c r="PPG1377" s="110"/>
      <c r="PPH1377" s="110"/>
      <c r="PPI1377" s="110"/>
      <c r="PPJ1377" s="110"/>
      <c r="PPK1377" s="110"/>
      <c r="PPL1377" s="110"/>
      <c r="PPM1377" s="110"/>
      <c r="PPN1377" s="110"/>
      <c r="PPO1377" s="110"/>
      <c r="PPP1377" s="110"/>
      <c r="PPQ1377" s="110"/>
      <c r="PPR1377" s="110"/>
      <c r="PPS1377" s="110"/>
      <c r="PPT1377" s="110"/>
      <c r="PPU1377" s="110"/>
      <c r="PPV1377" s="110"/>
      <c r="PPW1377" s="110"/>
      <c r="PPX1377" s="110"/>
      <c r="PPY1377" s="110"/>
      <c r="PPZ1377" s="110"/>
      <c r="PQA1377" s="110"/>
      <c r="PQB1377" s="110"/>
      <c r="PQC1377" s="110"/>
      <c r="PQD1377" s="110"/>
      <c r="PQE1377" s="110"/>
      <c r="PQF1377" s="110"/>
      <c r="PQG1377" s="110"/>
      <c r="PQH1377" s="110"/>
      <c r="PQI1377" s="110"/>
      <c r="PQJ1377" s="110"/>
      <c r="PQK1377" s="110"/>
      <c r="PQL1377" s="110"/>
      <c r="PQM1377" s="110"/>
      <c r="PQN1377" s="110"/>
      <c r="PQO1377" s="110"/>
      <c r="PQP1377" s="110"/>
      <c r="PQQ1377" s="110"/>
      <c r="PQR1377" s="110"/>
      <c r="PQS1377" s="110"/>
      <c r="PQT1377" s="110"/>
      <c r="PQU1377" s="110"/>
      <c r="PQV1377" s="110"/>
      <c r="PQW1377" s="110"/>
      <c r="PQX1377" s="110"/>
      <c r="PQY1377" s="110"/>
      <c r="PQZ1377" s="110"/>
      <c r="PRA1377" s="110"/>
      <c r="PRB1377" s="110"/>
      <c r="PRC1377" s="110"/>
      <c r="PRD1377" s="110"/>
      <c r="PRE1377" s="110"/>
      <c r="PRF1377" s="110"/>
      <c r="PRG1377" s="110"/>
      <c r="PRH1377" s="110"/>
      <c r="PRI1377" s="110"/>
      <c r="PRJ1377" s="110"/>
      <c r="PRK1377" s="110"/>
      <c r="PRL1377" s="110"/>
      <c r="PRM1377" s="110"/>
      <c r="PRN1377" s="110"/>
      <c r="PRO1377" s="110"/>
      <c r="PRP1377" s="110"/>
      <c r="PRQ1377" s="110"/>
      <c r="PRR1377" s="110"/>
      <c r="PRS1377" s="110"/>
      <c r="PRT1377" s="110"/>
      <c r="PRU1377" s="110"/>
      <c r="PRV1377" s="110"/>
      <c r="PRW1377" s="110"/>
      <c r="PRX1377" s="110"/>
      <c r="PRY1377" s="110"/>
      <c r="PRZ1377" s="110"/>
      <c r="PSA1377" s="110"/>
      <c r="PSB1377" s="110"/>
      <c r="PSC1377" s="110"/>
      <c r="PSD1377" s="110"/>
      <c r="PSE1377" s="110"/>
      <c r="PSF1377" s="110"/>
      <c r="PSG1377" s="110"/>
      <c r="PSH1377" s="110"/>
      <c r="PSI1377" s="110"/>
      <c r="PSJ1377" s="110"/>
      <c r="PSK1377" s="110"/>
      <c r="PSL1377" s="110"/>
      <c r="PSM1377" s="110"/>
      <c r="PSN1377" s="110"/>
      <c r="PSO1377" s="110"/>
      <c r="PSP1377" s="110"/>
      <c r="PSQ1377" s="110"/>
      <c r="PSR1377" s="110"/>
      <c r="PSS1377" s="110"/>
      <c r="PST1377" s="110"/>
      <c r="PSU1377" s="110"/>
      <c r="PSV1377" s="110"/>
      <c r="PSW1377" s="110"/>
      <c r="PSX1377" s="110"/>
      <c r="PSY1377" s="110"/>
      <c r="PSZ1377" s="110"/>
      <c r="PTA1377" s="110"/>
      <c r="PTB1377" s="110"/>
      <c r="PTC1377" s="110"/>
      <c r="PTD1377" s="110"/>
      <c r="PTE1377" s="110"/>
      <c r="PTF1377" s="110"/>
      <c r="PTG1377" s="110"/>
      <c r="PTH1377" s="110"/>
      <c r="PTI1377" s="110"/>
      <c r="PTJ1377" s="110"/>
      <c r="PTK1377" s="110"/>
      <c r="PTL1377" s="110"/>
      <c r="PTM1377" s="110"/>
      <c r="PTN1377" s="110"/>
      <c r="PTO1377" s="110"/>
      <c r="PTP1377" s="110"/>
      <c r="PTQ1377" s="110"/>
      <c r="PTR1377" s="110"/>
      <c r="PTS1377" s="110"/>
      <c r="PTT1377" s="110"/>
      <c r="PTU1377" s="110"/>
      <c r="PTV1377" s="110"/>
      <c r="PTW1377" s="110"/>
      <c r="PTX1377" s="110"/>
      <c r="PTY1377" s="110"/>
      <c r="PTZ1377" s="110"/>
      <c r="PUA1377" s="110"/>
      <c r="PUB1377" s="110"/>
      <c r="PUC1377" s="110"/>
      <c r="PUD1377" s="110"/>
      <c r="PUE1377" s="110"/>
      <c r="PUF1377" s="110"/>
      <c r="PUG1377" s="110"/>
      <c r="PUH1377" s="110"/>
      <c r="PUI1377" s="110"/>
      <c r="PUJ1377" s="110"/>
      <c r="PUK1377" s="110"/>
      <c r="PUL1377" s="110"/>
      <c r="PUM1377" s="110"/>
      <c r="PUN1377" s="110"/>
      <c r="PUO1377" s="110"/>
      <c r="PUP1377" s="110"/>
      <c r="PUQ1377" s="110"/>
      <c r="PUR1377" s="110"/>
      <c r="PUS1377" s="110"/>
      <c r="PUT1377" s="110"/>
      <c r="PUU1377" s="110"/>
      <c r="PUV1377" s="110"/>
      <c r="PUW1377" s="110"/>
      <c r="PUX1377" s="110"/>
      <c r="PUY1377" s="110"/>
      <c r="PUZ1377" s="110"/>
      <c r="PVA1377" s="110"/>
      <c r="PVB1377" s="110"/>
      <c r="PVC1377" s="110"/>
      <c r="PVD1377" s="110"/>
      <c r="PVE1377" s="110"/>
      <c r="PVF1377" s="110"/>
      <c r="PVG1377" s="110"/>
      <c r="PVH1377" s="110"/>
      <c r="PVI1377" s="110"/>
      <c r="PVJ1377" s="110"/>
      <c r="PVK1377" s="110"/>
      <c r="PVL1377" s="110"/>
      <c r="PVM1377" s="110"/>
      <c r="PVN1377" s="110"/>
      <c r="PVO1377" s="110"/>
      <c r="PVP1377" s="110"/>
      <c r="PVQ1377" s="110"/>
      <c r="PVR1377" s="110"/>
      <c r="PVS1377" s="110"/>
      <c r="PVT1377" s="110"/>
      <c r="PVU1377" s="110"/>
      <c r="PVV1377" s="110"/>
      <c r="PVW1377" s="110"/>
      <c r="PVX1377" s="110"/>
      <c r="PVY1377" s="110"/>
      <c r="PVZ1377" s="110"/>
      <c r="PWA1377" s="110"/>
      <c r="PWB1377" s="110"/>
      <c r="PWC1377" s="110"/>
      <c r="PWD1377" s="110"/>
      <c r="PWE1377" s="110"/>
      <c r="PWF1377" s="110"/>
      <c r="PWG1377" s="110"/>
      <c r="PWH1377" s="110"/>
      <c r="PWI1377" s="110"/>
      <c r="PWJ1377" s="110"/>
      <c r="PWK1377" s="110"/>
      <c r="PWL1377" s="110"/>
      <c r="PWM1377" s="110"/>
      <c r="PWN1377" s="110"/>
      <c r="PWO1377" s="110"/>
      <c r="PWP1377" s="110"/>
      <c r="PWQ1377" s="110"/>
      <c r="PWR1377" s="110"/>
      <c r="PWS1377" s="110"/>
      <c r="PWT1377" s="110"/>
      <c r="PWU1377" s="110"/>
      <c r="PWV1377" s="110"/>
      <c r="PWW1377" s="110"/>
      <c r="PWX1377" s="110"/>
      <c r="PWY1377" s="110"/>
      <c r="PWZ1377" s="110"/>
      <c r="PXA1377" s="110"/>
      <c r="PXB1377" s="110"/>
      <c r="PXC1377" s="110"/>
      <c r="PXD1377" s="110"/>
      <c r="PXE1377" s="110"/>
      <c r="PXF1377" s="110"/>
      <c r="PXG1377" s="110"/>
      <c r="PXH1377" s="110"/>
      <c r="PXI1377" s="110"/>
      <c r="PXJ1377" s="110"/>
      <c r="PXK1377" s="110"/>
      <c r="PXL1377" s="110"/>
      <c r="PXM1377" s="110"/>
      <c r="PXN1377" s="110"/>
      <c r="PXO1377" s="110"/>
      <c r="PXP1377" s="110"/>
      <c r="PXQ1377" s="110"/>
      <c r="PXR1377" s="110"/>
      <c r="PXS1377" s="110"/>
      <c r="PXT1377" s="110"/>
      <c r="PXU1377" s="110"/>
      <c r="PXV1377" s="110"/>
      <c r="PXW1377" s="110"/>
      <c r="PXX1377" s="110"/>
      <c r="PXY1377" s="110"/>
      <c r="PXZ1377" s="110"/>
      <c r="PYA1377" s="110"/>
      <c r="PYB1377" s="110"/>
      <c r="PYC1377" s="110"/>
      <c r="PYD1377" s="110"/>
      <c r="PYE1377" s="110"/>
      <c r="PYF1377" s="110"/>
      <c r="PYG1377" s="110"/>
      <c r="PYH1377" s="110"/>
      <c r="PYI1377" s="110"/>
      <c r="PYJ1377" s="110"/>
      <c r="PYK1377" s="110"/>
      <c r="PYL1377" s="110"/>
      <c r="PYM1377" s="110"/>
      <c r="PYN1377" s="110"/>
      <c r="PYO1377" s="110"/>
      <c r="PYP1377" s="110"/>
      <c r="PYQ1377" s="110"/>
      <c r="PYR1377" s="110"/>
      <c r="PYS1377" s="110"/>
      <c r="PYT1377" s="110"/>
      <c r="PYU1377" s="110"/>
      <c r="PYV1377" s="110"/>
      <c r="PYW1377" s="110"/>
      <c r="PYX1377" s="110"/>
      <c r="PYY1377" s="110"/>
      <c r="PYZ1377" s="110"/>
      <c r="PZA1377" s="110"/>
      <c r="PZB1377" s="110"/>
      <c r="PZC1377" s="110"/>
      <c r="PZD1377" s="110"/>
      <c r="PZE1377" s="110"/>
      <c r="PZF1377" s="110"/>
      <c r="PZG1377" s="110"/>
      <c r="PZH1377" s="110"/>
      <c r="PZI1377" s="110"/>
      <c r="PZJ1377" s="110"/>
      <c r="PZK1377" s="110"/>
      <c r="PZL1377" s="110"/>
      <c r="PZM1377" s="110"/>
      <c r="PZN1377" s="110"/>
      <c r="PZO1377" s="110"/>
      <c r="PZP1377" s="110"/>
      <c r="PZQ1377" s="110"/>
      <c r="PZR1377" s="110"/>
      <c r="PZS1377" s="110"/>
      <c r="PZT1377" s="110"/>
      <c r="PZU1377" s="110"/>
      <c r="PZV1377" s="110"/>
      <c r="PZW1377" s="110"/>
      <c r="PZX1377" s="110"/>
      <c r="PZY1377" s="110"/>
      <c r="PZZ1377" s="110"/>
      <c r="QAA1377" s="110"/>
      <c r="QAB1377" s="110"/>
      <c r="QAC1377" s="110"/>
      <c r="QAD1377" s="110"/>
      <c r="QAE1377" s="110"/>
      <c r="QAF1377" s="110"/>
      <c r="QAG1377" s="110"/>
      <c r="QAH1377" s="110"/>
      <c r="QAI1377" s="110"/>
      <c r="QAJ1377" s="110"/>
      <c r="QAK1377" s="110"/>
      <c r="QAL1377" s="110"/>
      <c r="QAM1377" s="110"/>
      <c r="QAN1377" s="110"/>
      <c r="QAO1377" s="110"/>
      <c r="QAP1377" s="110"/>
      <c r="QAQ1377" s="110"/>
      <c r="QAR1377" s="110"/>
      <c r="QAS1377" s="110"/>
      <c r="QAT1377" s="110"/>
      <c r="QAU1377" s="110"/>
      <c r="QAV1377" s="110"/>
      <c r="QAW1377" s="110"/>
      <c r="QAX1377" s="110"/>
      <c r="QAY1377" s="110"/>
      <c r="QAZ1377" s="110"/>
      <c r="QBA1377" s="110"/>
      <c r="QBB1377" s="110"/>
      <c r="QBC1377" s="110"/>
      <c r="QBD1377" s="110"/>
      <c r="QBE1377" s="110"/>
      <c r="QBF1377" s="110"/>
      <c r="QBG1377" s="110"/>
      <c r="QBH1377" s="110"/>
      <c r="QBI1377" s="110"/>
      <c r="QBJ1377" s="110"/>
      <c r="QBK1377" s="110"/>
      <c r="QBL1377" s="110"/>
      <c r="QBM1377" s="110"/>
      <c r="QBN1377" s="110"/>
      <c r="QBO1377" s="110"/>
      <c r="QBP1377" s="110"/>
      <c r="QBQ1377" s="110"/>
      <c r="QBR1377" s="110"/>
      <c r="QBS1377" s="110"/>
      <c r="QBT1377" s="110"/>
      <c r="QBU1377" s="110"/>
      <c r="QBV1377" s="110"/>
      <c r="QBW1377" s="110"/>
      <c r="QBX1377" s="110"/>
      <c r="QBY1377" s="110"/>
      <c r="QBZ1377" s="110"/>
      <c r="QCA1377" s="110"/>
      <c r="QCB1377" s="110"/>
      <c r="QCC1377" s="110"/>
      <c r="QCD1377" s="110"/>
      <c r="QCE1377" s="110"/>
      <c r="QCF1377" s="110"/>
      <c r="QCG1377" s="110"/>
      <c r="QCH1377" s="110"/>
      <c r="QCI1377" s="110"/>
      <c r="QCJ1377" s="110"/>
      <c r="QCK1377" s="110"/>
      <c r="QCL1377" s="110"/>
      <c r="QCM1377" s="110"/>
      <c r="QCN1377" s="110"/>
      <c r="QCO1377" s="110"/>
      <c r="QCP1377" s="110"/>
      <c r="QCQ1377" s="110"/>
      <c r="QCR1377" s="110"/>
      <c r="QCS1377" s="110"/>
      <c r="QCT1377" s="110"/>
      <c r="QCU1377" s="110"/>
      <c r="QCV1377" s="110"/>
      <c r="QCW1377" s="110"/>
      <c r="QCX1377" s="110"/>
      <c r="QCY1377" s="110"/>
      <c r="QCZ1377" s="110"/>
      <c r="QDA1377" s="110"/>
      <c r="QDB1377" s="110"/>
      <c r="QDC1377" s="110"/>
      <c r="QDD1377" s="110"/>
      <c r="QDE1377" s="110"/>
      <c r="QDF1377" s="110"/>
      <c r="QDG1377" s="110"/>
      <c r="QDH1377" s="110"/>
      <c r="QDI1377" s="110"/>
      <c r="QDJ1377" s="110"/>
      <c r="QDK1377" s="110"/>
      <c r="QDL1377" s="110"/>
      <c r="QDM1377" s="110"/>
      <c r="QDN1377" s="110"/>
      <c r="QDO1377" s="110"/>
      <c r="QDP1377" s="110"/>
      <c r="QDQ1377" s="110"/>
      <c r="QDR1377" s="110"/>
      <c r="QDS1377" s="110"/>
      <c r="QDT1377" s="110"/>
      <c r="QDU1377" s="110"/>
      <c r="QDV1377" s="110"/>
      <c r="QDW1377" s="110"/>
      <c r="QDX1377" s="110"/>
      <c r="QDY1377" s="110"/>
      <c r="QDZ1377" s="110"/>
      <c r="QEA1377" s="110"/>
      <c r="QEB1377" s="110"/>
      <c r="QEC1377" s="110"/>
      <c r="QED1377" s="110"/>
      <c r="QEE1377" s="110"/>
      <c r="QEF1377" s="110"/>
      <c r="QEG1377" s="110"/>
      <c r="QEH1377" s="110"/>
      <c r="QEI1377" s="110"/>
      <c r="QEJ1377" s="110"/>
      <c r="QEK1377" s="110"/>
      <c r="QEL1377" s="110"/>
      <c r="QEM1377" s="110"/>
      <c r="QEN1377" s="110"/>
      <c r="QEO1377" s="110"/>
      <c r="QEP1377" s="110"/>
      <c r="QEQ1377" s="110"/>
      <c r="QER1377" s="110"/>
      <c r="QES1377" s="110"/>
      <c r="QET1377" s="110"/>
      <c r="QEU1377" s="110"/>
      <c r="QEV1377" s="110"/>
      <c r="QEW1377" s="110"/>
      <c r="QEX1377" s="110"/>
      <c r="QEY1377" s="110"/>
      <c r="QEZ1377" s="110"/>
      <c r="QFA1377" s="110"/>
      <c r="QFB1377" s="110"/>
      <c r="QFC1377" s="110"/>
      <c r="QFD1377" s="110"/>
      <c r="QFE1377" s="110"/>
      <c r="QFF1377" s="110"/>
      <c r="QFG1377" s="110"/>
      <c r="QFH1377" s="110"/>
      <c r="QFI1377" s="110"/>
      <c r="QFJ1377" s="110"/>
      <c r="QFK1377" s="110"/>
      <c r="QFL1377" s="110"/>
      <c r="QFM1377" s="110"/>
      <c r="QFN1377" s="110"/>
      <c r="QFO1377" s="110"/>
      <c r="QFP1377" s="110"/>
      <c r="QFQ1377" s="110"/>
      <c r="QFR1377" s="110"/>
      <c r="QFS1377" s="110"/>
      <c r="QFT1377" s="110"/>
      <c r="QFU1377" s="110"/>
      <c r="QFV1377" s="110"/>
      <c r="QFW1377" s="110"/>
      <c r="QFX1377" s="110"/>
      <c r="QFY1377" s="110"/>
      <c r="QFZ1377" s="110"/>
      <c r="QGA1377" s="110"/>
      <c r="QGB1377" s="110"/>
      <c r="QGC1377" s="110"/>
      <c r="QGD1377" s="110"/>
      <c r="QGE1377" s="110"/>
      <c r="QGF1377" s="110"/>
      <c r="QGG1377" s="110"/>
      <c r="QGH1377" s="110"/>
      <c r="QGI1377" s="110"/>
      <c r="QGJ1377" s="110"/>
      <c r="QGK1377" s="110"/>
      <c r="QGL1377" s="110"/>
      <c r="QGM1377" s="110"/>
      <c r="QGN1377" s="110"/>
      <c r="QGO1377" s="110"/>
      <c r="QGP1377" s="110"/>
      <c r="QGQ1377" s="110"/>
      <c r="QGR1377" s="110"/>
      <c r="QGS1377" s="110"/>
      <c r="QGT1377" s="110"/>
      <c r="QGU1377" s="110"/>
      <c r="QGV1377" s="110"/>
      <c r="QGW1377" s="110"/>
      <c r="QGX1377" s="110"/>
      <c r="QGY1377" s="110"/>
      <c r="QGZ1377" s="110"/>
      <c r="QHA1377" s="110"/>
      <c r="QHB1377" s="110"/>
      <c r="QHC1377" s="110"/>
      <c r="QHD1377" s="110"/>
      <c r="QHE1377" s="110"/>
      <c r="QHF1377" s="110"/>
      <c r="QHG1377" s="110"/>
      <c r="QHH1377" s="110"/>
      <c r="QHI1377" s="110"/>
      <c r="QHJ1377" s="110"/>
      <c r="QHK1377" s="110"/>
      <c r="QHL1377" s="110"/>
      <c r="QHM1377" s="110"/>
      <c r="QHN1377" s="110"/>
      <c r="QHO1377" s="110"/>
      <c r="QHP1377" s="110"/>
      <c r="QHQ1377" s="110"/>
      <c r="QHR1377" s="110"/>
      <c r="QHS1377" s="110"/>
      <c r="QHT1377" s="110"/>
      <c r="QHU1377" s="110"/>
      <c r="QHV1377" s="110"/>
      <c r="QHW1377" s="110"/>
      <c r="QHX1377" s="110"/>
      <c r="QHY1377" s="110"/>
      <c r="QHZ1377" s="110"/>
      <c r="QIA1377" s="110"/>
      <c r="QIB1377" s="110"/>
      <c r="QIC1377" s="110"/>
      <c r="QID1377" s="110"/>
      <c r="QIE1377" s="110"/>
      <c r="QIF1377" s="110"/>
      <c r="QIG1377" s="110"/>
      <c r="QIH1377" s="110"/>
      <c r="QII1377" s="110"/>
      <c r="QIJ1377" s="110"/>
      <c r="QIK1377" s="110"/>
      <c r="QIL1377" s="110"/>
      <c r="QIM1377" s="110"/>
      <c r="QIN1377" s="110"/>
      <c r="QIO1377" s="110"/>
      <c r="QIP1377" s="110"/>
      <c r="QIQ1377" s="110"/>
      <c r="QIR1377" s="110"/>
      <c r="QIS1377" s="110"/>
      <c r="QIT1377" s="110"/>
      <c r="QIU1377" s="110"/>
      <c r="QIV1377" s="110"/>
      <c r="QIW1377" s="110"/>
      <c r="QIX1377" s="110"/>
      <c r="QIY1377" s="110"/>
      <c r="QIZ1377" s="110"/>
      <c r="QJA1377" s="110"/>
      <c r="QJB1377" s="110"/>
      <c r="QJC1377" s="110"/>
      <c r="QJD1377" s="110"/>
      <c r="QJE1377" s="110"/>
      <c r="QJF1377" s="110"/>
      <c r="QJG1377" s="110"/>
      <c r="QJH1377" s="110"/>
      <c r="QJI1377" s="110"/>
      <c r="QJJ1377" s="110"/>
      <c r="QJK1377" s="110"/>
      <c r="QJL1377" s="110"/>
      <c r="QJM1377" s="110"/>
      <c r="QJN1377" s="110"/>
      <c r="QJO1377" s="110"/>
      <c r="QJP1377" s="110"/>
      <c r="QJQ1377" s="110"/>
      <c r="QJR1377" s="110"/>
      <c r="QJS1377" s="110"/>
      <c r="QJT1377" s="110"/>
      <c r="QJU1377" s="110"/>
      <c r="QJV1377" s="110"/>
      <c r="QJW1377" s="110"/>
      <c r="QJX1377" s="110"/>
      <c r="QJY1377" s="110"/>
      <c r="QJZ1377" s="110"/>
      <c r="QKA1377" s="110"/>
      <c r="QKB1377" s="110"/>
      <c r="QKC1377" s="110"/>
      <c r="QKD1377" s="110"/>
      <c r="QKE1377" s="110"/>
      <c r="QKF1377" s="110"/>
      <c r="QKG1377" s="110"/>
      <c r="QKH1377" s="110"/>
      <c r="QKI1377" s="110"/>
      <c r="QKJ1377" s="110"/>
      <c r="QKK1377" s="110"/>
      <c r="QKL1377" s="110"/>
      <c r="QKM1377" s="110"/>
      <c r="QKN1377" s="110"/>
      <c r="QKO1377" s="110"/>
      <c r="QKP1377" s="110"/>
      <c r="QKQ1377" s="110"/>
      <c r="QKR1377" s="110"/>
      <c r="QKS1377" s="110"/>
      <c r="QKT1377" s="110"/>
      <c r="QKU1377" s="110"/>
      <c r="QKV1377" s="110"/>
      <c r="QKW1377" s="110"/>
      <c r="QKX1377" s="110"/>
      <c r="QKY1377" s="110"/>
      <c r="QKZ1377" s="110"/>
      <c r="QLA1377" s="110"/>
      <c r="QLB1377" s="110"/>
      <c r="QLC1377" s="110"/>
      <c r="QLD1377" s="110"/>
      <c r="QLE1377" s="110"/>
      <c r="QLF1377" s="110"/>
      <c r="QLG1377" s="110"/>
      <c r="QLH1377" s="110"/>
      <c r="QLI1377" s="110"/>
      <c r="QLJ1377" s="110"/>
      <c r="QLK1377" s="110"/>
      <c r="QLL1377" s="110"/>
      <c r="QLM1377" s="110"/>
      <c r="QLN1377" s="110"/>
      <c r="QLO1377" s="110"/>
      <c r="QLP1377" s="110"/>
      <c r="QLQ1377" s="110"/>
      <c r="QLR1377" s="110"/>
      <c r="QLS1377" s="110"/>
      <c r="QLT1377" s="110"/>
      <c r="QLU1377" s="110"/>
      <c r="QLV1377" s="110"/>
      <c r="QLW1377" s="110"/>
      <c r="QLX1377" s="110"/>
      <c r="QLY1377" s="110"/>
      <c r="QLZ1377" s="110"/>
      <c r="QMA1377" s="110"/>
      <c r="QMB1377" s="110"/>
      <c r="QMC1377" s="110"/>
      <c r="QMD1377" s="110"/>
      <c r="QME1377" s="110"/>
      <c r="QMF1377" s="110"/>
      <c r="QMG1377" s="110"/>
      <c r="QMH1377" s="110"/>
      <c r="QMI1377" s="110"/>
      <c r="QMJ1377" s="110"/>
      <c r="QMK1377" s="110"/>
      <c r="QML1377" s="110"/>
      <c r="QMM1377" s="110"/>
      <c r="QMN1377" s="110"/>
      <c r="QMO1377" s="110"/>
      <c r="QMP1377" s="110"/>
      <c r="QMQ1377" s="110"/>
      <c r="QMR1377" s="110"/>
      <c r="QMS1377" s="110"/>
      <c r="QMT1377" s="110"/>
      <c r="QMU1377" s="110"/>
      <c r="QMV1377" s="110"/>
      <c r="QMW1377" s="110"/>
      <c r="QMX1377" s="110"/>
      <c r="QMY1377" s="110"/>
      <c r="QMZ1377" s="110"/>
      <c r="QNA1377" s="110"/>
      <c r="QNB1377" s="110"/>
      <c r="QNC1377" s="110"/>
      <c r="QND1377" s="110"/>
      <c r="QNE1377" s="110"/>
      <c r="QNF1377" s="110"/>
      <c r="QNG1377" s="110"/>
      <c r="QNH1377" s="110"/>
      <c r="QNI1377" s="110"/>
      <c r="QNJ1377" s="110"/>
      <c r="QNK1377" s="110"/>
      <c r="QNL1377" s="110"/>
      <c r="QNM1377" s="110"/>
      <c r="QNN1377" s="110"/>
      <c r="QNO1377" s="110"/>
      <c r="QNP1377" s="110"/>
      <c r="QNQ1377" s="110"/>
      <c r="QNR1377" s="110"/>
      <c r="QNS1377" s="110"/>
      <c r="QNT1377" s="110"/>
      <c r="QNU1377" s="110"/>
      <c r="QNV1377" s="110"/>
      <c r="QNW1377" s="110"/>
      <c r="QNX1377" s="110"/>
      <c r="QNY1377" s="110"/>
      <c r="QNZ1377" s="110"/>
      <c r="QOA1377" s="110"/>
      <c r="QOB1377" s="110"/>
      <c r="QOC1377" s="110"/>
      <c r="QOD1377" s="110"/>
      <c r="QOE1377" s="110"/>
      <c r="QOF1377" s="110"/>
      <c r="QOG1377" s="110"/>
      <c r="QOH1377" s="110"/>
      <c r="QOI1377" s="110"/>
      <c r="QOJ1377" s="110"/>
      <c r="QOK1377" s="110"/>
      <c r="QOL1377" s="110"/>
      <c r="QOM1377" s="110"/>
      <c r="QON1377" s="110"/>
      <c r="QOO1377" s="110"/>
      <c r="QOP1377" s="110"/>
      <c r="QOQ1377" s="110"/>
      <c r="QOR1377" s="110"/>
      <c r="QOS1377" s="110"/>
      <c r="QOT1377" s="110"/>
      <c r="QOU1377" s="110"/>
      <c r="QOV1377" s="110"/>
      <c r="QOW1377" s="110"/>
      <c r="QOX1377" s="110"/>
      <c r="QOY1377" s="110"/>
      <c r="QOZ1377" s="110"/>
      <c r="QPA1377" s="110"/>
      <c r="QPB1377" s="110"/>
      <c r="QPC1377" s="110"/>
      <c r="QPD1377" s="110"/>
      <c r="QPE1377" s="110"/>
      <c r="QPF1377" s="110"/>
      <c r="QPG1377" s="110"/>
      <c r="QPH1377" s="110"/>
      <c r="QPI1377" s="110"/>
      <c r="QPJ1377" s="110"/>
      <c r="QPK1377" s="110"/>
      <c r="QPL1377" s="110"/>
      <c r="QPM1377" s="110"/>
      <c r="QPN1377" s="110"/>
      <c r="QPO1377" s="110"/>
      <c r="QPP1377" s="110"/>
      <c r="QPQ1377" s="110"/>
      <c r="QPR1377" s="110"/>
      <c r="QPS1377" s="110"/>
      <c r="QPT1377" s="110"/>
      <c r="QPU1377" s="110"/>
      <c r="QPV1377" s="110"/>
      <c r="QPW1377" s="110"/>
      <c r="QPX1377" s="110"/>
      <c r="QPY1377" s="110"/>
      <c r="QPZ1377" s="110"/>
      <c r="QQA1377" s="110"/>
      <c r="QQB1377" s="110"/>
      <c r="QQC1377" s="110"/>
      <c r="QQD1377" s="110"/>
      <c r="QQE1377" s="110"/>
      <c r="QQF1377" s="110"/>
      <c r="QQG1377" s="110"/>
      <c r="QQH1377" s="110"/>
      <c r="QQI1377" s="110"/>
      <c r="QQJ1377" s="110"/>
      <c r="QQK1377" s="110"/>
      <c r="QQL1377" s="110"/>
      <c r="QQM1377" s="110"/>
      <c r="QQN1377" s="110"/>
      <c r="QQO1377" s="110"/>
      <c r="QQP1377" s="110"/>
      <c r="QQQ1377" s="110"/>
      <c r="QQR1377" s="110"/>
      <c r="QQS1377" s="110"/>
      <c r="QQT1377" s="110"/>
      <c r="QQU1377" s="110"/>
      <c r="QQV1377" s="110"/>
      <c r="QQW1377" s="110"/>
      <c r="QQX1377" s="110"/>
      <c r="QQY1377" s="110"/>
      <c r="QQZ1377" s="110"/>
      <c r="QRA1377" s="110"/>
      <c r="QRB1377" s="110"/>
      <c r="QRC1377" s="110"/>
      <c r="QRD1377" s="110"/>
      <c r="QRE1377" s="110"/>
      <c r="QRF1377" s="110"/>
      <c r="QRG1377" s="110"/>
      <c r="QRH1377" s="110"/>
      <c r="QRI1377" s="110"/>
      <c r="QRJ1377" s="110"/>
      <c r="QRK1377" s="110"/>
      <c r="QRL1377" s="110"/>
      <c r="QRM1377" s="110"/>
      <c r="QRN1377" s="110"/>
      <c r="QRO1377" s="110"/>
      <c r="QRP1377" s="110"/>
      <c r="QRQ1377" s="110"/>
      <c r="QRR1377" s="110"/>
      <c r="QRS1377" s="110"/>
      <c r="QRT1377" s="110"/>
      <c r="QRU1377" s="110"/>
      <c r="QRV1377" s="110"/>
      <c r="QRW1377" s="110"/>
      <c r="QRX1377" s="110"/>
      <c r="QRY1377" s="110"/>
      <c r="QRZ1377" s="110"/>
      <c r="QSA1377" s="110"/>
      <c r="QSB1377" s="110"/>
      <c r="QSC1377" s="110"/>
      <c r="QSD1377" s="110"/>
      <c r="QSE1377" s="110"/>
      <c r="QSF1377" s="110"/>
      <c r="QSG1377" s="110"/>
      <c r="QSH1377" s="110"/>
      <c r="QSI1377" s="110"/>
      <c r="QSJ1377" s="110"/>
      <c r="QSK1377" s="110"/>
      <c r="QSL1377" s="110"/>
      <c r="QSM1377" s="110"/>
      <c r="QSN1377" s="110"/>
      <c r="QSO1377" s="110"/>
      <c r="QSP1377" s="110"/>
      <c r="QSQ1377" s="110"/>
      <c r="QSR1377" s="110"/>
      <c r="QSS1377" s="110"/>
      <c r="QST1377" s="110"/>
      <c r="QSU1377" s="110"/>
      <c r="QSV1377" s="110"/>
      <c r="QSW1377" s="110"/>
      <c r="QSX1377" s="110"/>
      <c r="QSY1377" s="110"/>
      <c r="QSZ1377" s="110"/>
      <c r="QTA1377" s="110"/>
      <c r="QTB1377" s="110"/>
      <c r="QTC1377" s="110"/>
      <c r="QTD1377" s="110"/>
      <c r="QTE1377" s="110"/>
      <c r="QTF1377" s="110"/>
      <c r="QTG1377" s="110"/>
      <c r="QTH1377" s="110"/>
      <c r="QTI1377" s="110"/>
      <c r="QTJ1377" s="110"/>
      <c r="QTK1377" s="110"/>
      <c r="QTL1377" s="110"/>
      <c r="QTM1377" s="110"/>
      <c r="QTN1377" s="110"/>
      <c r="QTO1377" s="110"/>
      <c r="QTP1377" s="110"/>
      <c r="QTQ1377" s="110"/>
      <c r="QTR1377" s="110"/>
      <c r="QTS1377" s="110"/>
      <c r="QTT1377" s="110"/>
      <c r="QTU1377" s="110"/>
      <c r="QTV1377" s="110"/>
      <c r="QTW1377" s="110"/>
      <c r="QTX1377" s="110"/>
      <c r="QTY1377" s="110"/>
      <c r="QTZ1377" s="110"/>
      <c r="QUA1377" s="110"/>
      <c r="QUB1377" s="110"/>
      <c r="QUC1377" s="110"/>
      <c r="QUD1377" s="110"/>
      <c r="QUE1377" s="110"/>
      <c r="QUF1377" s="110"/>
      <c r="QUG1377" s="110"/>
      <c r="QUH1377" s="110"/>
      <c r="QUI1377" s="110"/>
      <c r="QUJ1377" s="110"/>
      <c r="QUK1377" s="110"/>
      <c r="QUL1377" s="110"/>
      <c r="QUM1377" s="110"/>
      <c r="QUN1377" s="110"/>
      <c r="QUO1377" s="110"/>
      <c r="QUP1377" s="110"/>
      <c r="QUQ1377" s="110"/>
      <c r="QUR1377" s="110"/>
      <c r="QUS1377" s="110"/>
      <c r="QUT1377" s="110"/>
      <c r="QUU1377" s="110"/>
      <c r="QUV1377" s="110"/>
      <c r="QUW1377" s="110"/>
      <c r="QUX1377" s="110"/>
      <c r="QUY1377" s="110"/>
      <c r="QUZ1377" s="110"/>
      <c r="QVA1377" s="110"/>
      <c r="QVB1377" s="110"/>
      <c r="QVC1377" s="110"/>
      <c r="QVD1377" s="110"/>
      <c r="QVE1377" s="110"/>
      <c r="QVF1377" s="110"/>
      <c r="QVG1377" s="110"/>
      <c r="QVH1377" s="110"/>
      <c r="QVI1377" s="110"/>
      <c r="QVJ1377" s="110"/>
      <c r="QVK1377" s="110"/>
      <c r="QVL1377" s="110"/>
      <c r="QVM1377" s="110"/>
      <c r="QVN1377" s="110"/>
      <c r="QVO1377" s="110"/>
      <c r="QVP1377" s="110"/>
      <c r="QVQ1377" s="110"/>
      <c r="QVR1377" s="110"/>
      <c r="QVS1377" s="110"/>
      <c r="QVT1377" s="110"/>
      <c r="QVU1377" s="110"/>
      <c r="QVV1377" s="110"/>
      <c r="QVW1377" s="110"/>
      <c r="QVX1377" s="110"/>
      <c r="QVY1377" s="110"/>
      <c r="QVZ1377" s="110"/>
      <c r="QWA1377" s="110"/>
      <c r="QWB1377" s="110"/>
      <c r="QWC1377" s="110"/>
      <c r="QWD1377" s="110"/>
      <c r="QWE1377" s="110"/>
      <c r="QWF1377" s="110"/>
      <c r="QWG1377" s="110"/>
      <c r="QWH1377" s="110"/>
      <c r="QWI1377" s="110"/>
      <c r="QWJ1377" s="110"/>
      <c r="QWK1377" s="110"/>
      <c r="QWL1377" s="110"/>
      <c r="QWM1377" s="110"/>
      <c r="QWN1377" s="110"/>
      <c r="QWO1377" s="110"/>
      <c r="QWP1377" s="110"/>
      <c r="QWQ1377" s="110"/>
      <c r="QWR1377" s="110"/>
      <c r="QWS1377" s="110"/>
      <c r="QWT1377" s="110"/>
      <c r="QWU1377" s="110"/>
      <c r="QWV1377" s="110"/>
      <c r="QWW1377" s="110"/>
      <c r="QWX1377" s="110"/>
      <c r="QWY1377" s="110"/>
      <c r="QWZ1377" s="110"/>
      <c r="QXA1377" s="110"/>
      <c r="QXB1377" s="110"/>
      <c r="QXC1377" s="110"/>
      <c r="QXD1377" s="110"/>
      <c r="QXE1377" s="110"/>
      <c r="QXF1377" s="110"/>
      <c r="QXG1377" s="110"/>
      <c r="QXH1377" s="110"/>
      <c r="QXI1377" s="110"/>
      <c r="QXJ1377" s="110"/>
      <c r="QXK1377" s="110"/>
      <c r="QXL1377" s="110"/>
      <c r="QXM1377" s="110"/>
      <c r="QXN1377" s="110"/>
      <c r="QXO1377" s="110"/>
      <c r="QXP1377" s="110"/>
      <c r="QXQ1377" s="110"/>
      <c r="QXR1377" s="110"/>
      <c r="QXS1377" s="110"/>
      <c r="QXT1377" s="110"/>
      <c r="QXU1377" s="110"/>
      <c r="QXV1377" s="110"/>
      <c r="QXW1377" s="110"/>
      <c r="QXX1377" s="110"/>
      <c r="QXY1377" s="110"/>
      <c r="QXZ1377" s="110"/>
      <c r="QYA1377" s="110"/>
      <c r="QYB1377" s="110"/>
      <c r="QYC1377" s="110"/>
      <c r="QYD1377" s="110"/>
      <c r="QYE1377" s="110"/>
      <c r="QYF1377" s="110"/>
      <c r="QYG1377" s="110"/>
      <c r="QYH1377" s="110"/>
      <c r="QYI1377" s="110"/>
      <c r="QYJ1377" s="110"/>
      <c r="QYK1377" s="110"/>
      <c r="QYL1377" s="110"/>
      <c r="QYM1377" s="110"/>
      <c r="QYN1377" s="110"/>
      <c r="QYO1377" s="110"/>
      <c r="QYP1377" s="110"/>
      <c r="QYQ1377" s="110"/>
      <c r="QYR1377" s="110"/>
      <c r="QYS1377" s="110"/>
      <c r="QYT1377" s="110"/>
      <c r="QYU1377" s="110"/>
      <c r="QYV1377" s="110"/>
      <c r="QYW1377" s="110"/>
      <c r="QYX1377" s="110"/>
      <c r="QYY1377" s="110"/>
      <c r="QYZ1377" s="110"/>
      <c r="QZA1377" s="110"/>
      <c r="QZB1377" s="110"/>
      <c r="QZC1377" s="110"/>
      <c r="QZD1377" s="110"/>
      <c r="QZE1377" s="110"/>
      <c r="QZF1377" s="110"/>
      <c r="QZG1377" s="110"/>
      <c r="QZH1377" s="110"/>
      <c r="QZI1377" s="110"/>
      <c r="QZJ1377" s="110"/>
      <c r="QZK1377" s="110"/>
      <c r="QZL1377" s="110"/>
      <c r="QZM1377" s="110"/>
      <c r="QZN1377" s="110"/>
      <c r="QZO1377" s="110"/>
      <c r="QZP1377" s="110"/>
      <c r="QZQ1377" s="110"/>
      <c r="QZR1377" s="110"/>
      <c r="QZS1377" s="110"/>
      <c r="QZT1377" s="110"/>
      <c r="QZU1377" s="110"/>
      <c r="QZV1377" s="110"/>
      <c r="QZW1377" s="110"/>
      <c r="QZX1377" s="110"/>
      <c r="QZY1377" s="110"/>
      <c r="QZZ1377" s="110"/>
      <c r="RAA1377" s="110"/>
      <c r="RAB1377" s="110"/>
      <c r="RAC1377" s="110"/>
      <c r="RAD1377" s="110"/>
      <c r="RAE1377" s="110"/>
      <c r="RAF1377" s="110"/>
      <c r="RAG1377" s="110"/>
      <c r="RAH1377" s="110"/>
      <c r="RAI1377" s="110"/>
      <c r="RAJ1377" s="110"/>
      <c r="RAK1377" s="110"/>
      <c r="RAL1377" s="110"/>
      <c r="RAM1377" s="110"/>
      <c r="RAN1377" s="110"/>
      <c r="RAO1377" s="110"/>
      <c r="RAP1377" s="110"/>
      <c r="RAQ1377" s="110"/>
      <c r="RAR1377" s="110"/>
      <c r="RAS1377" s="110"/>
      <c r="RAT1377" s="110"/>
      <c r="RAU1377" s="110"/>
      <c r="RAV1377" s="110"/>
      <c r="RAW1377" s="110"/>
      <c r="RAX1377" s="110"/>
      <c r="RAY1377" s="110"/>
      <c r="RAZ1377" s="110"/>
      <c r="RBA1377" s="110"/>
      <c r="RBB1377" s="110"/>
      <c r="RBC1377" s="110"/>
      <c r="RBD1377" s="110"/>
      <c r="RBE1377" s="110"/>
      <c r="RBF1377" s="110"/>
      <c r="RBG1377" s="110"/>
      <c r="RBH1377" s="110"/>
      <c r="RBI1377" s="110"/>
      <c r="RBJ1377" s="110"/>
      <c r="RBK1377" s="110"/>
      <c r="RBL1377" s="110"/>
      <c r="RBM1377" s="110"/>
      <c r="RBN1377" s="110"/>
      <c r="RBO1377" s="110"/>
      <c r="RBP1377" s="110"/>
      <c r="RBQ1377" s="110"/>
      <c r="RBR1377" s="110"/>
      <c r="RBS1377" s="110"/>
      <c r="RBT1377" s="110"/>
      <c r="RBU1377" s="110"/>
      <c r="RBV1377" s="110"/>
      <c r="RBW1377" s="110"/>
      <c r="RBX1377" s="110"/>
      <c r="RBY1377" s="110"/>
      <c r="RBZ1377" s="110"/>
      <c r="RCA1377" s="110"/>
      <c r="RCB1377" s="110"/>
      <c r="RCC1377" s="110"/>
      <c r="RCD1377" s="110"/>
      <c r="RCE1377" s="110"/>
      <c r="RCF1377" s="110"/>
      <c r="RCG1377" s="110"/>
      <c r="RCH1377" s="110"/>
      <c r="RCI1377" s="110"/>
      <c r="RCJ1377" s="110"/>
      <c r="RCK1377" s="110"/>
      <c r="RCL1377" s="110"/>
      <c r="RCM1377" s="110"/>
      <c r="RCN1377" s="110"/>
      <c r="RCO1377" s="110"/>
      <c r="RCP1377" s="110"/>
      <c r="RCQ1377" s="110"/>
      <c r="RCR1377" s="110"/>
      <c r="RCS1377" s="110"/>
      <c r="RCT1377" s="110"/>
      <c r="RCU1377" s="110"/>
      <c r="RCV1377" s="110"/>
      <c r="RCW1377" s="110"/>
      <c r="RCX1377" s="110"/>
      <c r="RCY1377" s="110"/>
      <c r="RCZ1377" s="110"/>
      <c r="RDA1377" s="110"/>
      <c r="RDB1377" s="110"/>
      <c r="RDC1377" s="110"/>
      <c r="RDD1377" s="110"/>
      <c r="RDE1377" s="110"/>
      <c r="RDF1377" s="110"/>
      <c r="RDG1377" s="110"/>
      <c r="RDH1377" s="110"/>
      <c r="RDI1377" s="110"/>
      <c r="RDJ1377" s="110"/>
      <c r="RDK1377" s="110"/>
      <c r="RDL1377" s="110"/>
      <c r="RDM1377" s="110"/>
      <c r="RDN1377" s="110"/>
      <c r="RDO1377" s="110"/>
      <c r="RDP1377" s="110"/>
      <c r="RDQ1377" s="110"/>
      <c r="RDR1377" s="110"/>
      <c r="RDS1377" s="110"/>
      <c r="RDT1377" s="110"/>
      <c r="RDU1377" s="110"/>
      <c r="RDV1377" s="110"/>
      <c r="RDW1377" s="110"/>
      <c r="RDX1377" s="110"/>
      <c r="RDY1377" s="110"/>
      <c r="RDZ1377" s="110"/>
      <c r="REA1377" s="110"/>
      <c r="REB1377" s="110"/>
      <c r="REC1377" s="110"/>
      <c r="RED1377" s="110"/>
      <c r="REE1377" s="110"/>
      <c r="REF1377" s="110"/>
      <c r="REG1377" s="110"/>
      <c r="REH1377" s="110"/>
      <c r="REI1377" s="110"/>
      <c r="REJ1377" s="110"/>
      <c r="REK1377" s="110"/>
      <c r="REL1377" s="110"/>
      <c r="REM1377" s="110"/>
      <c r="REN1377" s="110"/>
      <c r="REO1377" s="110"/>
      <c r="REP1377" s="110"/>
      <c r="REQ1377" s="110"/>
      <c r="RER1377" s="110"/>
      <c r="RES1377" s="110"/>
      <c r="RET1377" s="110"/>
      <c r="REU1377" s="110"/>
      <c r="REV1377" s="110"/>
      <c r="REW1377" s="110"/>
      <c r="REX1377" s="110"/>
      <c r="REY1377" s="110"/>
      <c r="REZ1377" s="110"/>
      <c r="RFA1377" s="110"/>
      <c r="RFB1377" s="110"/>
      <c r="RFC1377" s="110"/>
      <c r="RFD1377" s="110"/>
      <c r="RFE1377" s="110"/>
      <c r="RFF1377" s="110"/>
      <c r="RFG1377" s="110"/>
      <c r="RFH1377" s="110"/>
      <c r="RFI1377" s="110"/>
      <c r="RFJ1377" s="110"/>
      <c r="RFK1377" s="110"/>
      <c r="RFL1377" s="110"/>
      <c r="RFM1377" s="110"/>
      <c r="RFN1377" s="110"/>
      <c r="RFO1377" s="110"/>
      <c r="RFP1377" s="110"/>
      <c r="RFQ1377" s="110"/>
      <c r="RFR1377" s="110"/>
      <c r="RFS1377" s="110"/>
      <c r="RFT1377" s="110"/>
      <c r="RFU1377" s="110"/>
      <c r="RFV1377" s="110"/>
      <c r="RFW1377" s="110"/>
      <c r="RFX1377" s="110"/>
      <c r="RFY1377" s="110"/>
      <c r="RFZ1377" s="110"/>
      <c r="RGA1377" s="110"/>
      <c r="RGB1377" s="110"/>
      <c r="RGC1377" s="110"/>
      <c r="RGD1377" s="110"/>
      <c r="RGE1377" s="110"/>
      <c r="RGF1377" s="110"/>
      <c r="RGG1377" s="110"/>
      <c r="RGH1377" s="110"/>
      <c r="RGI1377" s="110"/>
      <c r="RGJ1377" s="110"/>
      <c r="RGK1377" s="110"/>
      <c r="RGL1377" s="110"/>
      <c r="RGM1377" s="110"/>
      <c r="RGN1377" s="110"/>
      <c r="RGO1377" s="110"/>
      <c r="RGP1377" s="110"/>
      <c r="RGQ1377" s="110"/>
      <c r="RGR1377" s="110"/>
      <c r="RGS1377" s="110"/>
      <c r="RGT1377" s="110"/>
      <c r="RGU1377" s="110"/>
      <c r="RGV1377" s="110"/>
      <c r="RGW1377" s="110"/>
      <c r="RGX1377" s="110"/>
      <c r="RGY1377" s="110"/>
      <c r="RGZ1377" s="110"/>
      <c r="RHA1377" s="110"/>
      <c r="RHB1377" s="110"/>
      <c r="RHC1377" s="110"/>
      <c r="RHD1377" s="110"/>
      <c r="RHE1377" s="110"/>
      <c r="RHF1377" s="110"/>
      <c r="RHG1377" s="110"/>
      <c r="RHH1377" s="110"/>
      <c r="RHI1377" s="110"/>
      <c r="RHJ1377" s="110"/>
      <c r="RHK1377" s="110"/>
      <c r="RHL1377" s="110"/>
      <c r="RHM1377" s="110"/>
      <c r="RHN1377" s="110"/>
      <c r="RHO1377" s="110"/>
      <c r="RHP1377" s="110"/>
      <c r="RHQ1377" s="110"/>
      <c r="RHR1377" s="110"/>
      <c r="RHS1377" s="110"/>
      <c r="RHT1377" s="110"/>
      <c r="RHU1377" s="110"/>
      <c r="RHV1377" s="110"/>
      <c r="RHW1377" s="110"/>
      <c r="RHX1377" s="110"/>
      <c r="RHY1377" s="110"/>
      <c r="RHZ1377" s="110"/>
      <c r="RIA1377" s="110"/>
      <c r="RIB1377" s="110"/>
      <c r="RIC1377" s="110"/>
      <c r="RID1377" s="110"/>
      <c r="RIE1377" s="110"/>
      <c r="RIF1377" s="110"/>
      <c r="RIG1377" s="110"/>
      <c r="RIH1377" s="110"/>
      <c r="RII1377" s="110"/>
      <c r="RIJ1377" s="110"/>
      <c r="RIK1377" s="110"/>
      <c r="RIL1377" s="110"/>
      <c r="RIM1377" s="110"/>
      <c r="RIN1377" s="110"/>
      <c r="RIO1377" s="110"/>
      <c r="RIP1377" s="110"/>
      <c r="RIQ1377" s="110"/>
      <c r="RIR1377" s="110"/>
      <c r="RIS1377" s="110"/>
      <c r="RIT1377" s="110"/>
      <c r="RIU1377" s="110"/>
      <c r="RIV1377" s="110"/>
      <c r="RIW1377" s="110"/>
      <c r="RIX1377" s="110"/>
      <c r="RIY1377" s="110"/>
      <c r="RIZ1377" s="110"/>
      <c r="RJA1377" s="110"/>
      <c r="RJB1377" s="110"/>
      <c r="RJC1377" s="110"/>
      <c r="RJD1377" s="110"/>
      <c r="RJE1377" s="110"/>
      <c r="RJF1377" s="110"/>
      <c r="RJG1377" s="110"/>
      <c r="RJH1377" s="110"/>
      <c r="RJI1377" s="110"/>
      <c r="RJJ1377" s="110"/>
      <c r="RJK1377" s="110"/>
      <c r="RJL1377" s="110"/>
      <c r="RJM1377" s="110"/>
      <c r="RJN1377" s="110"/>
      <c r="RJO1377" s="110"/>
      <c r="RJP1377" s="110"/>
      <c r="RJQ1377" s="110"/>
      <c r="RJR1377" s="110"/>
      <c r="RJS1377" s="110"/>
      <c r="RJT1377" s="110"/>
      <c r="RJU1377" s="110"/>
      <c r="RJV1377" s="110"/>
      <c r="RJW1377" s="110"/>
      <c r="RJX1377" s="110"/>
      <c r="RJY1377" s="110"/>
      <c r="RJZ1377" s="110"/>
      <c r="RKA1377" s="110"/>
      <c r="RKB1377" s="110"/>
      <c r="RKC1377" s="110"/>
      <c r="RKD1377" s="110"/>
      <c r="RKE1377" s="110"/>
      <c r="RKF1377" s="110"/>
      <c r="RKG1377" s="110"/>
      <c r="RKH1377" s="110"/>
      <c r="RKI1377" s="110"/>
      <c r="RKJ1377" s="110"/>
      <c r="RKK1377" s="110"/>
      <c r="RKL1377" s="110"/>
      <c r="RKM1377" s="110"/>
      <c r="RKN1377" s="110"/>
      <c r="RKO1377" s="110"/>
      <c r="RKP1377" s="110"/>
      <c r="RKQ1377" s="110"/>
      <c r="RKR1377" s="110"/>
      <c r="RKS1377" s="110"/>
      <c r="RKT1377" s="110"/>
      <c r="RKU1377" s="110"/>
      <c r="RKV1377" s="110"/>
      <c r="RKW1377" s="110"/>
      <c r="RKX1377" s="110"/>
      <c r="RKY1377" s="110"/>
      <c r="RKZ1377" s="110"/>
      <c r="RLA1377" s="110"/>
      <c r="RLB1377" s="110"/>
      <c r="RLC1377" s="110"/>
      <c r="RLD1377" s="110"/>
      <c r="RLE1377" s="110"/>
      <c r="RLF1377" s="110"/>
      <c r="RLG1377" s="110"/>
      <c r="RLH1377" s="110"/>
      <c r="RLI1377" s="110"/>
      <c r="RLJ1377" s="110"/>
      <c r="RLK1377" s="110"/>
      <c r="RLL1377" s="110"/>
      <c r="RLM1377" s="110"/>
      <c r="RLN1377" s="110"/>
      <c r="RLO1377" s="110"/>
      <c r="RLP1377" s="110"/>
      <c r="RLQ1377" s="110"/>
      <c r="RLR1377" s="110"/>
      <c r="RLS1377" s="110"/>
      <c r="RLT1377" s="110"/>
      <c r="RLU1377" s="110"/>
      <c r="RLV1377" s="110"/>
      <c r="RLW1377" s="110"/>
      <c r="RLX1377" s="110"/>
      <c r="RLY1377" s="110"/>
      <c r="RLZ1377" s="110"/>
      <c r="RMA1377" s="110"/>
      <c r="RMB1377" s="110"/>
      <c r="RMC1377" s="110"/>
      <c r="RMD1377" s="110"/>
      <c r="RME1377" s="110"/>
      <c r="RMF1377" s="110"/>
      <c r="RMG1377" s="110"/>
      <c r="RMH1377" s="110"/>
      <c r="RMI1377" s="110"/>
      <c r="RMJ1377" s="110"/>
      <c r="RMK1377" s="110"/>
      <c r="RML1377" s="110"/>
      <c r="RMM1377" s="110"/>
      <c r="RMN1377" s="110"/>
      <c r="RMO1377" s="110"/>
      <c r="RMP1377" s="110"/>
      <c r="RMQ1377" s="110"/>
      <c r="RMR1377" s="110"/>
      <c r="RMS1377" s="110"/>
      <c r="RMT1377" s="110"/>
      <c r="RMU1377" s="110"/>
      <c r="RMV1377" s="110"/>
      <c r="RMW1377" s="110"/>
      <c r="RMX1377" s="110"/>
      <c r="RMY1377" s="110"/>
      <c r="RMZ1377" s="110"/>
      <c r="RNA1377" s="110"/>
      <c r="RNB1377" s="110"/>
      <c r="RNC1377" s="110"/>
      <c r="RND1377" s="110"/>
      <c r="RNE1377" s="110"/>
      <c r="RNF1377" s="110"/>
      <c r="RNG1377" s="110"/>
      <c r="RNH1377" s="110"/>
      <c r="RNI1377" s="110"/>
      <c r="RNJ1377" s="110"/>
      <c r="RNK1377" s="110"/>
      <c r="RNL1377" s="110"/>
      <c r="RNM1377" s="110"/>
      <c r="RNN1377" s="110"/>
      <c r="RNO1377" s="110"/>
      <c r="RNP1377" s="110"/>
      <c r="RNQ1377" s="110"/>
      <c r="RNR1377" s="110"/>
      <c r="RNS1377" s="110"/>
      <c r="RNT1377" s="110"/>
      <c r="RNU1377" s="110"/>
      <c r="RNV1377" s="110"/>
      <c r="RNW1377" s="110"/>
      <c r="RNX1377" s="110"/>
      <c r="RNY1377" s="110"/>
      <c r="RNZ1377" s="110"/>
      <c r="ROA1377" s="110"/>
      <c r="ROB1377" s="110"/>
      <c r="ROC1377" s="110"/>
      <c r="ROD1377" s="110"/>
      <c r="ROE1377" s="110"/>
      <c r="ROF1377" s="110"/>
      <c r="ROG1377" s="110"/>
      <c r="ROH1377" s="110"/>
      <c r="ROI1377" s="110"/>
      <c r="ROJ1377" s="110"/>
      <c r="ROK1377" s="110"/>
      <c r="ROL1377" s="110"/>
      <c r="ROM1377" s="110"/>
      <c r="RON1377" s="110"/>
      <c r="ROO1377" s="110"/>
      <c r="ROP1377" s="110"/>
      <c r="ROQ1377" s="110"/>
      <c r="ROR1377" s="110"/>
      <c r="ROS1377" s="110"/>
      <c r="ROT1377" s="110"/>
      <c r="ROU1377" s="110"/>
      <c r="ROV1377" s="110"/>
      <c r="ROW1377" s="110"/>
      <c r="ROX1377" s="110"/>
      <c r="ROY1377" s="110"/>
      <c r="ROZ1377" s="110"/>
      <c r="RPA1377" s="110"/>
      <c r="RPB1377" s="110"/>
      <c r="RPC1377" s="110"/>
      <c r="RPD1377" s="110"/>
      <c r="RPE1377" s="110"/>
      <c r="RPF1377" s="110"/>
      <c r="RPG1377" s="110"/>
      <c r="RPH1377" s="110"/>
      <c r="RPI1377" s="110"/>
      <c r="RPJ1377" s="110"/>
      <c r="RPK1377" s="110"/>
      <c r="RPL1377" s="110"/>
      <c r="RPM1377" s="110"/>
      <c r="RPN1377" s="110"/>
      <c r="RPO1377" s="110"/>
      <c r="RPP1377" s="110"/>
      <c r="RPQ1377" s="110"/>
      <c r="RPR1377" s="110"/>
      <c r="RPS1377" s="110"/>
      <c r="RPT1377" s="110"/>
      <c r="RPU1377" s="110"/>
      <c r="RPV1377" s="110"/>
      <c r="RPW1377" s="110"/>
      <c r="RPX1377" s="110"/>
      <c r="RPY1377" s="110"/>
      <c r="RPZ1377" s="110"/>
      <c r="RQA1377" s="110"/>
      <c r="RQB1377" s="110"/>
      <c r="RQC1377" s="110"/>
      <c r="RQD1377" s="110"/>
      <c r="RQE1377" s="110"/>
      <c r="RQF1377" s="110"/>
      <c r="RQG1377" s="110"/>
      <c r="RQH1377" s="110"/>
      <c r="RQI1377" s="110"/>
      <c r="RQJ1377" s="110"/>
      <c r="RQK1377" s="110"/>
      <c r="RQL1377" s="110"/>
      <c r="RQM1377" s="110"/>
      <c r="RQN1377" s="110"/>
      <c r="RQO1377" s="110"/>
      <c r="RQP1377" s="110"/>
      <c r="RQQ1377" s="110"/>
      <c r="RQR1377" s="110"/>
      <c r="RQS1377" s="110"/>
      <c r="RQT1377" s="110"/>
      <c r="RQU1377" s="110"/>
      <c r="RQV1377" s="110"/>
      <c r="RQW1377" s="110"/>
      <c r="RQX1377" s="110"/>
      <c r="RQY1377" s="110"/>
      <c r="RQZ1377" s="110"/>
      <c r="RRA1377" s="110"/>
      <c r="RRB1377" s="110"/>
      <c r="RRC1377" s="110"/>
      <c r="RRD1377" s="110"/>
      <c r="RRE1377" s="110"/>
      <c r="RRF1377" s="110"/>
      <c r="RRG1377" s="110"/>
      <c r="RRH1377" s="110"/>
      <c r="RRI1377" s="110"/>
      <c r="RRJ1377" s="110"/>
      <c r="RRK1377" s="110"/>
      <c r="RRL1377" s="110"/>
      <c r="RRM1377" s="110"/>
      <c r="RRN1377" s="110"/>
      <c r="RRO1377" s="110"/>
      <c r="RRP1377" s="110"/>
      <c r="RRQ1377" s="110"/>
      <c r="RRR1377" s="110"/>
      <c r="RRS1377" s="110"/>
      <c r="RRT1377" s="110"/>
      <c r="RRU1377" s="110"/>
      <c r="RRV1377" s="110"/>
      <c r="RRW1377" s="110"/>
      <c r="RRX1377" s="110"/>
      <c r="RRY1377" s="110"/>
      <c r="RRZ1377" s="110"/>
      <c r="RSA1377" s="110"/>
      <c r="RSB1377" s="110"/>
      <c r="RSC1377" s="110"/>
      <c r="RSD1377" s="110"/>
      <c r="RSE1377" s="110"/>
      <c r="RSF1377" s="110"/>
      <c r="RSG1377" s="110"/>
      <c r="RSH1377" s="110"/>
      <c r="RSI1377" s="110"/>
      <c r="RSJ1377" s="110"/>
      <c r="RSK1377" s="110"/>
      <c r="RSL1377" s="110"/>
      <c r="RSM1377" s="110"/>
      <c r="RSN1377" s="110"/>
      <c r="RSO1377" s="110"/>
      <c r="RSP1377" s="110"/>
      <c r="RSQ1377" s="110"/>
      <c r="RSR1377" s="110"/>
      <c r="RSS1377" s="110"/>
      <c r="RST1377" s="110"/>
      <c r="RSU1377" s="110"/>
      <c r="RSV1377" s="110"/>
      <c r="RSW1377" s="110"/>
      <c r="RSX1377" s="110"/>
      <c r="RSY1377" s="110"/>
      <c r="RSZ1377" s="110"/>
      <c r="RTA1377" s="110"/>
      <c r="RTB1377" s="110"/>
      <c r="RTC1377" s="110"/>
      <c r="RTD1377" s="110"/>
      <c r="RTE1377" s="110"/>
      <c r="RTF1377" s="110"/>
      <c r="RTG1377" s="110"/>
      <c r="RTH1377" s="110"/>
      <c r="RTI1377" s="110"/>
      <c r="RTJ1377" s="110"/>
      <c r="RTK1377" s="110"/>
      <c r="RTL1377" s="110"/>
      <c r="RTM1377" s="110"/>
      <c r="RTN1377" s="110"/>
      <c r="RTO1377" s="110"/>
      <c r="RTP1377" s="110"/>
      <c r="RTQ1377" s="110"/>
      <c r="RTR1377" s="110"/>
      <c r="RTS1377" s="110"/>
      <c r="RTT1377" s="110"/>
      <c r="RTU1377" s="110"/>
      <c r="RTV1377" s="110"/>
      <c r="RTW1377" s="110"/>
      <c r="RTX1377" s="110"/>
      <c r="RTY1377" s="110"/>
      <c r="RTZ1377" s="110"/>
      <c r="RUA1377" s="110"/>
      <c r="RUB1377" s="110"/>
      <c r="RUC1377" s="110"/>
      <c r="RUD1377" s="110"/>
      <c r="RUE1377" s="110"/>
      <c r="RUF1377" s="110"/>
      <c r="RUG1377" s="110"/>
      <c r="RUH1377" s="110"/>
      <c r="RUI1377" s="110"/>
      <c r="RUJ1377" s="110"/>
      <c r="RUK1377" s="110"/>
      <c r="RUL1377" s="110"/>
      <c r="RUM1377" s="110"/>
      <c r="RUN1377" s="110"/>
      <c r="RUO1377" s="110"/>
      <c r="RUP1377" s="110"/>
      <c r="RUQ1377" s="110"/>
      <c r="RUR1377" s="110"/>
      <c r="RUS1377" s="110"/>
      <c r="RUT1377" s="110"/>
      <c r="RUU1377" s="110"/>
      <c r="RUV1377" s="110"/>
      <c r="RUW1377" s="110"/>
      <c r="RUX1377" s="110"/>
      <c r="RUY1377" s="110"/>
      <c r="RUZ1377" s="110"/>
      <c r="RVA1377" s="110"/>
      <c r="RVB1377" s="110"/>
      <c r="RVC1377" s="110"/>
      <c r="RVD1377" s="110"/>
      <c r="RVE1377" s="110"/>
      <c r="RVF1377" s="110"/>
      <c r="RVG1377" s="110"/>
      <c r="RVH1377" s="110"/>
      <c r="RVI1377" s="110"/>
      <c r="RVJ1377" s="110"/>
      <c r="RVK1377" s="110"/>
      <c r="RVL1377" s="110"/>
      <c r="RVM1377" s="110"/>
      <c r="RVN1377" s="110"/>
      <c r="RVO1377" s="110"/>
      <c r="RVP1377" s="110"/>
      <c r="RVQ1377" s="110"/>
      <c r="RVR1377" s="110"/>
      <c r="RVS1377" s="110"/>
      <c r="RVT1377" s="110"/>
      <c r="RVU1377" s="110"/>
      <c r="RVV1377" s="110"/>
      <c r="RVW1377" s="110"/>
      <c r="RVX1377" s="110"/>
      <c r="RVY1377" s="110"/>
      <c r="RVZ1377" s="110"/>
      <c r="RWA1377" s="110"/>
      <c r="RWB1377" s="110"/>
      <c r="RWC1377" s="110"/>
      <c r="RWD1377" s="110"/>
      <c r="RWE1377" s="110"/>
      <c r="RWF1377" s="110"/>
      <c r="RWG1377" s="110"/>
      <c r="RWH1377" s="110"/>
      <c r="RWI1377" s="110"/>
      <c r="RWJ1377" s="110"/>
      <c r="RWK1377" s="110"/>
      <c r="RWL1377" s="110"/>
      <c r="RWM1377" s="110"/>
      <c r="RWN1377" s="110"/>
      <c r="RWO1377" s="110"/>
      <c r="RWP1377" s="110"/>
      <c r="RWQ1377" s="110"/>
      <c r="RWR1377" s="110"/>
      <c r="RWS1377" s="110"/>
      <c r="RWT1377" s="110"/>
      <c r="RWU1377" s="110"/>
      <c r="RWV1377" s="110"/>
      <c r="RWW1377" s="110"/>
      <c r="RWX1377" s="110"/>
      <c r="RWY1377" s="110"/>
      <c r="RWZ1377" s="110"/>
      <c r="RXA1377" s="110"/>
      <c r="RXB1377" s="110"/>
      <c r="RXC1377" s="110"/>
      <c r="RXD1377" s="110"/>
      <c r="RXE1377" s="110"/>
      <c r="RXF1377" s="110"/>
      <c r="RXG1377" s="110"/>
      <c r="RXH1377" s="110"/>
      <c r="RXI1377" s="110"/>
      <c r="RXJ1377" s="110"/>
      <c r="RXK1377" s="110"/>
      <c r="RXL1377" s="110"/>
      <c r="RXM1377" s="110"/>
      <c r="RXN1377" s="110"/>
      <c r="RXO1377" s="110"/>
      <c r="RXP1377" s="110"/>
      <c r="RXQ1377" s="110"/>
      <c r="RXR1377" s="110"/>
      <c r="RXS1377" s="110"/>
      <c r="RXT1377" s="110"/>
      <c r="RXU1377" s="110"/>
      <c r="RXV1377" s="110"/>
      <c r="RXW1377" s="110"/>
      <c r="RXX1377" s="110"/>
      <c r="RXY1377" s="110"/>
      <c r="RXZ1377" s="110"/>
      <c r="RYA1377" s="110"/>
      <c r="RYB1377" s="110"/>
      <c r="RYC1377" s="110"/>
      <c r="RYD1377" s="110"/>
      <c r="RYE1377" s="110"/>
      <c r="RYF1377" s="110"/>
      <c r="RYG1377" s="110"/>
      <c r="RYH1377" s="110"/>
      <c r="RYI1377" s="110"/>
      <c r="RYJ1377" s="110"/>
      <c r="RYK1377" s="110"/>
      <c r="RYL1377" s="110"/>
      <c r="RYM1377" s="110"/>
      <c r="RYN1377" s="110"/>
      <c r="RYO1377" s="110"/>
      <c r="RYP1377" s="110"/>
      <c r="RYQ1377" s="110"/>
      <c r="RYR1377" s="110"/>
      <c r="RYS1377" s="110"/>
      <c r="RYT1377" s="110"/>
      <c r="RYU1377" s="110"/>
      <c r="RYV1377" s="110"/>
      <c r="RYW1377" s="110"/>
      <c r="RYX1377" s="110"/>
      <c r="RYY1377" s="110"/>
      <c r="RYZ1377" s="110"/>
      <c r="RZA1377" s="110"/>
      <c r="RZB1377" s="110"/>
      <c r="RZC1377" s="110"/>
      <c r="RZD1377" s="110"/>
      <c r="RZE1377" s="110"/>
      <c r="RZF1377" s="110"/>
      <c r="RZG1377" s="110"/>
      <c r="RZH1377" s="110"/>
      <c r="RZI1377" s="110"/>
      <c r="RZJ1377" s="110"/>
      <c r="RZK1377" s="110"/>
      <c r="RZL1377" s="110"/>
      <c r="RZM1377" s="110"/>
      <c r="RZN1377" s="110"/>
      <c r="RZO1377" s="110"/>
      <c r="RZP1377" s="110"/>
      <c r="RZQ1377" s="110"/>
      <c r="RZR1377" s="110"/>
      <c r="RZS1377" s="110"/>
      <c r="RZT1377" s="110"/>
      <c r="RZU1377" s="110"/>
      <c r="RZV1377" s="110"/>
      <c r="RZW1377" s="110"/>
      <c r="RZX1377" s="110"/>
      <c r="RZY1377" s="110"/>
      <c r="RZZ1377" s="110"/>
      <c r="SAA1377" s="110"/>
      <c r="SAB1377" s="110"/>
      <c r="SAC1377" s="110"/>
      <c r="SAD1377" s="110"/>
      <c r="SAE1377" s="110"/>
      <c r="SAF1377" s="110"/>
      <c r="SAG1377" s="110"/>
      <c r="SAH1377" s="110"/>
      <c r="SAI1377" s="110"/>
      <c r="SAJ1377" s="110"/>
      <c r="SAK1377" s="110"/>
      <c r="SAL1377" s="110"/>
      <c r="SAM1377" s="110"/>
      <c r="SAN1377" s="110"/>
      <c r="SAO1377" s="110"/>
      <c r="SAP1377" s="110"/>
      <c r="SAQ1377" s="110"/>
      <c r="SAR1377" s="110"/>
      <c r="SAS1377" s="110"/>
      <c r="SAT1377" s="110"/>
      <c r="SAU1377" s="110"/>
      <c r="SAV1377" s="110"/>
      <c r="SAW1377" s="110"/>
      <c r="SAX1377" s="110"/>
      <c r="SAY1377" s="110"/>
      <c r="SAZ1377" s="110"/>
      <c r="SBA1377" s="110"/>
      <c r="SBB1377" s="110"/>
      <c r="SBC1377" s="110"/>
      <c r="SBD1377" s="110"/>
      <c r="SBE1377" s="110"/>
      <c r="SBF1377" s="110"/>
      <c r="SBG1377" s="110"/>
      <c r="SBH1377" s="110"/>
      <c r="SBI1377" s="110"/>
      <c r="SBJ1377" s="110"/>
      <c r="SBK1377" s="110"/>
      <c r="SBL1377" s="110"/>
      <c r="SBM1377" s="110"/>
      <c r="SBN1377" s="110"/>
      <c r="SBO1377" s="110"/>
      <c r="SBP1377" s="110"/>
      <c r="SBQ1377" s="110"/>
      <c r="SBR1377" s="110"/>
      <c r="SBS1377" s="110"/>
      <c r="SBT1377" s="110"/>
      <c r="SBU1377" s="110"/>
      <c r="SBV1377" s="110"/>
      <c r="SBW1377" s="110"/>
      <c r="SBX1377" s="110"/>
      <c r="SBY1377" s="110"/>
      <c r="SBZ1377" s="110"/>
      <c r="SCA1377" s="110"/>
      <c r="SCB1377" s="110"/>
      <c r="SCC1377" s="110"/>
      <c r="SCD1377" s="110"/>
      <c r="SCE1377" s="110"/>
      <c r="SCF1377" s="110"/>
      <c r="SCG1377" s="110"/>
      <c r="SCH1377" s="110"/>
      <c r="SCI1377" s="110"/>
      <c r="SCJ1377" s="110"/>
      <c r="SCK1377" s="110"/>
      <c r="SCL1377" s="110"/>
      <c r="SCM1377" s="110"/>
      <c r="SCN1377" s="110"/>
      <c r="SCO1377" s="110"/>
      <c r="SCP1377" s="110"/>
      <c r="SCQ1377" s="110"/>
      <c r="SCR1377" s="110"/>
      <c r="SCS1377" s="110"/>
      <c r="SCT1377" s="110"/>
      <c r="SCU1377" s="110"/>
      <c r="SCV1377" s="110"/>
      <c r="SCW1377" s="110"/>
      <c r="SCX1377" s="110"/>
      <c r="SCY1377" s="110"/>
      <c r="SCZ1377" s="110"/>
      <c r="SDA1377" s="110"/>
      <c r="SDB1377" s="110"/>
      <c r="SDC1377" s="110"/>
      <c r="SDD1377" s="110"/>
      <c r="SDE1377" s="110"/>
      <c r="SDF1377" s="110"/>
      <c r="SDG1377" s="110"/>
      <c r="SDH1377" s="110"/>
      <c r="SDI1377" s="110"/>
      <c r="SDJ1377" s="110"/>
      <c r="SDK1377" s="110"/>
      <c r="SDL1377" s="110"/>
      <c r="SDM1377" s="110"/>
      <c r="SDN1377" s="110"/>
      <c r="SDO1377" s="110"/>
      <c r="SDP1377" s="110"/>
      <c r="SDQ1377" s="110"/>
      <c r="SDR1377" s="110"/>
      <c r="SDS1377" s="110"/>
      <c r="SDT1377" s="110"/>
      <c r="SDU1377" s="110"/>
      <c r="SDV1377" s="110"/>
      <c r="SDW1377" s="110"/>
      <c r="SDX1377" s="110"/>
      <c r="SDY1377" s="110"/>
      <c r="SDZ1377" s="110"/>
      <c r="SEA1377" s="110"/>
      <c r="SEB1377" s="110"/>
      <c r="SEC1377" s="110"/>
      <c r="SED1377" s="110"/>
      <c r="SEE1377" s="110"/>
      <c r="SEF1377" s="110"/>
      <c r="SEG1377" s="110"/>
      <c r="SEH1377" s="110"/>
      <c r="SEI1377" s="110"/>
      <c r="SEJ1377" s="110"/>
      <c r="SEK1377" s="110"/>
      <c r="SEL1377" s="110"/>
      <c r="SEM1377" s="110"/>
      <c r="SEN1377" s="110"/>
      <c r="SEO1377" s="110"/>
      <c r="SEP1377" s="110"/>
      <c r="SEQ1377" s="110"/>
      <c r="SER1377" s="110"/>
      <c r="SES1377" s="110"/>
      <c r="SET1377" s="110"/>
      <c r="SEU1377" s="110"/>
      <c r="SEV1377" s="110"/>
      <c r="SEW1377" s="110"/>
      <c r="SEX1377" s="110"/>
      <c r="SEY1377" s="110"/>
      <c r="SEZ1377" s="110"/>
      <c r="SFA1377" s="110"/>
      <c r="SFB1377" s="110"/>
      <c r="SFC1377" s="110"/>
      <c r="SFD1377" s="110"/>
      <c r="SFE1377" s="110"/>
      <c r="SFF1377" s="110"/>
      <c r="SFG1377" s="110"/>
      <c r="SFH1377" s="110"/>
      <c r="SFI1377" s="110"/>
      <c r="SFJ1377" s="110"/>
      <c r="SFK1377" s="110"/>
      <c r="SFL1377" s="110"/>
      <c r="SFM1377" s="110"/>
      <c r="SFN1377" s="110"/>
      <c r="SFO1377" s="110"/>
      <c r="SFP1377" s="110"/>
      <c r="SFQ1377" s="110"/>
      <c r="SFR1377" s="110"/>
      <c r="SFS1377" s="110"/>
      <c r="SFT1377" s="110"/>
      <c r="SFU1377" s="110"/>
      <c r="SFV1377" s="110"/>
      <c r="SFW1377" s="110"/>
      <c r="SFX1377" s="110"/>
      <c r="SFY1377" s="110"/>
      <c r="SFZ1377" s="110"/>
      <c r="SGA1377" s="110"/>
      <c r="SGB1377" s="110"/>
      <c r="SGC1377" s="110"/>
      <c r="SGD1377" s="110"/>
      <c r="SGE1377" s="110"/>
      <c r="SGF1377" s="110"/>
      <c r="SGG1377" s="110"/>
      <c r="SGH1377" s="110"/>
      <c r="SGI1377" s="110"/>
      <c r="SGJ1377" s="110"/>
      <c r="SGK1377" s="110"/>
      <c r="SGL1377" s="110"/>
      <c r="SGM1377" s="110"/>
      <c r="SGN1377" s="110"/>
      <c r="SGO1377" s="110"/>
      <c r="SGP1377" s="110"/>
      <c r="SGQ1377" s="110"/>
      <c r="SGR1377" s="110"/>
      <c r="SGS1377" s="110"/>
      <c r="SGT1377" s="110"/>
      <c r="SGU1377" s="110"/>
      <c r="SGV1377" s="110"/>
      <c r="SGW1377" s="110"/>
      <c r="SGX1377" s="110"/>
      <c r="SGY1377" s="110"/>
      <c r="SGZ1377" s="110"/>
      <c r="SHA1377" s="110"/>
      <c r="SHB1377" s="110"/>
      <c r="SHC1377" s="110"/>
      <c r="SHD1377" s="110"/>
      <c r="SHE1377" s="110"/>
      <c r="SHF1377" s="110"/>
      <c r="SHG1377" s="110"/>
      <c r="SHH1377" s="110"/>
      <c r="SHI1377" s="110"/>
      <c r="SHJ1377" s="110"/>
      <c r="SHK1377" s="110"/>
      <c r="SHL1377" s="110"/>
      <c r="SHM1377" s="110"/>
      <c r="SHN1377" s="110"/>
      <c r="SHO1377" s="110"/>
      <c r="SHP1377" s="110"/>
      <c r="SHQ1377" s="110"/>
      <c r="SHR1377" s="110"/>
      <c r="SHS1377" s="110"/>
      <c r="SHT1377" s="110"/>
      <c r="SHU1377" s="110"/>
      <c r="SHV1377" s="110"/>
      <c r="SHW1377" s="110"/>
      <c r="SHX1377" s="110"/>
      <c r="SHY1377" s="110"/>
      <c r="SHZ1377" s="110"/>
      <c r="SIA1377" s="110"/>
      <c r="SIB1377" s="110"/>
      <c r="SIC1377" s="110"/>
      <c r="SID1377" s="110"/>
      <c r="SIE1377" s="110"/>
      <c r="SIF1377" s="110"/>
      <c r="SIG1377" s="110"/>
      <c r="SIH1377" s="110"/>
      <c r="SII1377" s="110"/>
      <c r="SIJ1377" s="110"/>
      <c r="SIK1377" s="110"/>
      <c r="SIL1377" s="110"/>
      <c r="SIM1377" s="110"/>
      <c r="SIN1377" s="110"/>
      <c r="SIO1377" s="110"/>
      <c r="SIP1377" s="110"/>
      <c r="SIQ1377" s="110"/>
      <c r="SIR1377" s="110"/>
      <c r="SIS1377" s="110"/>
      <c r="SIT1377" s="110"/>
      <c r="SIU1377" s="110"/>
      <c r="SIV1377" s="110"/>
      <c r="SIW1377" s="110"/>
      <c r="SIX1377" s="110"/>
      <c r="SIY1377" s="110"/>
      <c r="SIZ1377" s="110"/>
      <c r="SJA1377" s="110"/>
      <c r="SJB1377" s="110"/>
      <c r="SJC1377" s="110"/>
      <c r="SJD1377" s="110"/>
      <c r="SJE1377" s="110"/>
      <c r="SJF1377" s="110"/>
      <c r="SJG1377" s="110"/>
      <c r="SJH1377" s="110"/>
      <c r="SJI1377" s="110"/>
      <c r="SJJ1377" s="110"/>
      <c r="SJK1377" s="110"/>
      <c r="SJL1377" s="110"/>
      <c r="SJM1377" s="110"/>
      <c r="SJN1377" s="110"/>
      <c r="SJO1377" s="110"/>
      <c r="SJP1377" s="110"/>
      <c r="SJQ1377" s="110"/>
      <c r="SJR1377" s="110"/>
      <c r="SJS1377" s="110"/>
      <c r="SJT1377" s="110"/>
      <c r="SJU1377" s="110"/>
      <c r="SJV1377" s="110"/>
      <c r="SJW1377" s="110"/>
      <c r="SJX1377" s="110"/>
      <c r="SJY1377" s="110"/>
      <c r="SJZ1377" s="110"/>
      <c r="SKA1377" s="110"/>
      <c r="SKB1377" s="110"/>
      <c r="SKC1377" s="110"/>
      <c r="SKD1377" s="110"/>
      <c r="SKE1377" s="110"/>
      <c r="SKF1377" s="110"/>
      <c r="SKG1377" s="110"/>
      <c r="SKH1377" s="110"/>
      <c r="SKI1377" s="110"/>
      <c r="SKJ1377" s="110"/>
      <c r="SKK1377" s="110"/>
      <c r="SKL1377" s="110"/>
      <c r="SKM1377" s="110"/>
      <c r="SKN1377" s="110"/>
      <c r="SKO1377" s="110"/>
      <c r="SKP1377" s="110"/>
      <c r="SKQ1377" s="110"/>
      <c r="SKR1377" s="110"/>
      <c r="SKS1377" s="110"/>
      <c r="SKT1377" s="110"/>
      <c r="SKU1377" s="110"/>
      <c r="SKV1377" s="110"/>
      <c r="SKW1377" s="110"/>
      <c r="SKX1377" s="110"/>
      <c r="SKY1377" s="110"/>
      <c r="SKZ1377" s="110"/>
      <c r="SLA1377" s="110"/>
      <c r="SLB1377" s="110"/>
      <c r="SLC1377" s="110"/>
      <c r="SLD1377" s="110"/>
      <c r="SLE1377" s="110"/>
      <c r="SLF1377" s="110"/>
      <c r="SLG1377" s="110"/>
      <c r="SLH1377" s="110"/>
      <c r="SLI1377" s="110"/>
      <c r="SLJ1377" s="110"/>
      <c r="SLK1377" s="110"/>
      <c r="SLL1377" s="110"/>
      <c r="SLM1377" s="110"/>
      <c r="SLN1377" s="110"/>
      <c r="SLO1377" s="110"/>
      <c r="SLP1377" s="110"/>
      <c r="SLQ1377" s="110"/>
      <c r="SLR1377" s="110"/>
      <c r="SLS1377" s="110"/>
      <c r="SLT1377" s="110"/>
      <c r="SLU1377" s="110"/>
      <c r="SLV1377" s="110"/>
      <c r="SLW1377" s="110"/>
      <c r="SLX1377" s="110"/>
      <c r="SLY1377" s="110"/>
      <c r="SLZ1377" s="110"/>
      <c r="SMA1377" s="110"/>
      <c r="SMB1377" s="110"/>
      <c r="SMC1377" s="110"/>
      <c r="SMD1377" s="110"/>
      <c r="SME1377" s="110"/>
      <c r="SMF1377" s="110"/>
      <c r="SMG1377" s="110"/>
      <c r="SMH1377" s="110"/>
      <c r="SMI1377" s="110"/>
      <c r="SMJ1377" s="110"/>
      <c r="SMK1377" s="110"/>
      <c r="SML1377" s="110"/>
      <c r="SMM1377" s="110"/>
      <c r="SMN1377" s="110"/>
      <c r="SMO1377" s="110"/>
      <c r="SMP1377" s="110"/>
      <c r="SMQ1377" s="110"/>
      <c r="SMR1377" s="110"/>
      <c r="SMS1377" s="110"/>
      <c r="SMT1377" s="110"/>
      <c r="SMU1377" s="110"/>
      <c r="SMV1377" s="110"/>
      <c r="SMW1377" s="110"/>
      <c r="SMX1377" s="110"/>
      <c r="SMY1377" s="110"/>
      <c r="SMZ1377" s="110"/>
      <c r="SNA1377" s="110"/>
      <c r="SNB1377" s="110"/>
      <c r="SNC1377" s="110"/>
      <c r="SND1377" s="110"/>
      <c r="SNE1377" s="110"/>
      <c r="SNF1377" s="110"/>
      <c r="SNG1377" s="110"/>
      <c r="SNH1377" s="110"/>
      <c r="SNI1377" s="110"/>
      <c r="SNJ1377" s="110"/>
      <c r="SNK1377" s="110"/>
      <c r="SNL1377" s="110"/>
      <c r="SNM1377" s="110"/>
      <c r="SNN1377" s="110"/>
      <c r="SNO1377" s="110"/>
      <c r="SNP1377" s="110"/>
      <c r="SNQ1377" s="110"/>
      <c r="SNR1377" s="110"/>
      <c r="SNS1377" s="110"/>
      <c r="SNT1377" s="110"/>
      <c r="SNU1377" s="110"/>
      <c r="SNV1377" s="110"/>
      <c r="SNW1377" s="110"/>
      <c r="SNX1377" s="110"/>
      <c r="SNY1377" s="110"/>
      <c r="SNZ1377" s="110"/>
      <c r="SOA1377" s="110"/>
      <c r="SOB1377" s="110"/>
      <c r="SOC1377" s="110"/>
      <c r="SOD1377" s="110"/>
      <c r="SOE1377" s="110"/>
      <c r="SOF1377" s="110"/>
      <c r="SOG1377" s="110"/>
      <c r="SOH1377" s="110"/>
      <c r="SOI1377" s="110"/>
      <c r="SOJ1377" s="110"/>
      <c r="SOK1377" s="110"/>
      <c r="SOL1377" s="110"/>
      <c r="SOM1377" s="110"/>
      <c r="SON1377" s="110"/>
      <c r="SOO1377" s="110"/>
      <c r="SOP1377" s="110"/>
      <c r="SOQ1377" s="110"/>
      <c r="SOR1377" s="110"/>
      <c r="SOS1377" s="110"/>
      <c r="SOT1377" s="110"/>
      <c r="SOU1377" s="110"/>
      <c r="SOV1377" s="110"/>
      <c r="SOW1377" s="110"/>
      <c r="SOX1377" s="110"/>
      <c r="SOY1377" s="110"/>
      <c r="SOZ1377" s="110"/>
      <c r="SPA1377" s="110"/>
      <c r="SPB1377" s="110"/>
      <c r="SPC1377" s="110"/>
      <c r="SPD1377" s="110"/>
      <c r="SPE1377" s="110"/>
      <c r="SPF1377" s="110"/>
      <c r="SPG1377" s="110"/>
      <c r="SPH1377" s="110"/>
      <c r="SPI1377" s="110"/>
      <c r="SPJ1377" s="110"/>
      <c r="SPK1377" s="110"/>
      <c r="SPL1377" s="110"/>
      <c r="SPM1377" s="110"/>
      <c r="SPN1377" s="110"/>
      <c r="SPO1377" s="110"/>
      <c r="SPP1377" s="110"/>
      <c r="SPQ1377" s="110"/>
      <c r="SPR1377" s="110"/>
      <c r="SPS1377" s="110"/>
      <c r="SPT1377" s="110"/>
      <c r="SPU1377" s="110"/>
      <c r="SPV1377" s="110"/>
      <c r="SPW1377" s="110"/>
      <c r="SPX1377" s="110"/>
      <c r="SPY1377" s="110"/>
      <c r="SPZ1377" s="110"/>
      <c r="SQA1377" s="110"/>
      <c r="SQB1377" s="110"/>
      <c r="SQC1377" s="110"/>
      <c r="SQD1377" s="110"/>
      <c r="SQE1377" s="110"/>
      <c r="SQF1377" s="110"/>
      <c r="SQG1377" s="110"/>
      <c r="SQH1377" s="110"/>
      <c r="SQI1377" s="110"/>
      <c r="SQJ1377" s="110"/>
      <c r="SQK1377" s="110"/>
      <c r="SQL1377" s="110"/>
      <c r="SQM1377" s="110"/>
      <c r="SQN1377" s="110"/>
      <c r="SQO1377" s="110"/>
      <c r="SQP1377" s="110"/>
      <c r="SQQ1377" s="110"/>
      <c r="SQR1377" s="110"/>
      <c r="SQS1377" s="110"/>
      <c r="SQT1377" s="110"/>
      <c r="SQU1377" s="110"/>
      <c r="SQV1377" s="110"/>
      <c r="SQW1377" s="110"/>
      <c r="SQX1377" s="110"/>
      <c r="SQY1377" s="110"/>
      <c r="SQZ1377" s="110"/>
      <c r="SRA1377" s="110"/>
      <c r="SRB1377" s="110"/>
      <c r="SRC1377" s="110"/>
      <c r="SRD1377" s="110"/>
      <c r="SRE1377" s="110"/>
      <c r="SRF1377" s="110"/>
      <c r="SRG1377" s="110"/>
      <c r="SRH1377" s="110"/>
      <c r="SRI1377" s="110"/>
      <c r="SRJ1377" s="110"/>
      <c r="SRK1377" s="110"/>
      <c r="SRL1377" s="110"/>
      <c r="SRM1377" s="110"/>
      <c r="SRN1377" s="110"/>
      <c r="SRO1377" s="110"/>
      <c r="SRP1377" s="110"/>
      <c r="SRQ1377" s="110"/>
      <c r="SRR1377" s="110"/>
      <c r="SRS1377" s="110"/>
      <c r="SRT1377" s="110"/>
      <c r="SRU1377" s="110"/>
      <c r="SRV1377" s="110"/>
      <c r="SRW1377" s="110"/>
      <c r="SRX1377" s="110"/>
      <c r="SRY1377" s="110"/>
      <c r="SRZ1377" s="110"/>
      <c r="SSA1377" s="110"/>
      <c r="SSB1377" s="110"/>
      <c r="SSC1377" s="110"/>
      <c r="SSD1377" s="110"/>
      <c r="SSE1377" s="110"/>
      <c r="SSF1377" s="110"/>
      <c r="SSG1377" s="110"/>
      <c r="SSH1377" s="110"/>
      <c r="SSI1377" s="110"/>
      <c r="SSJ1377" s="110"/>
      <c r="SSK1377" s="110"/>
      <c r="SSL1377" s="110"/>
      <c r="SSM1377" s="110"/>
      <c r="SSN1377" s="110"/>
      <c r="SSO1377" s="110"/>
      <c r="SSP1377" s="110"/>
      <c r="SSQ1377" s="110"/>
      <c r="SSR1377" s="110"/>
      <c r="SSS1377" s="110"/>
      <c r="SST1377" s="110"/>
      <c r="SSU1377" s="110"/>
      <c r="SSV1377" s="110"/>
      <c r="SSW1377" s="110"/>
      <c r="SSX1377" s="110"/>
      <c r="SSY1377" s="110"/>
      <c r="SSZ1377" s="110"/>
      <c r="STA1377" s="110"/>
      <c r="STB1377" s="110"/>
      <c r="STC1377" s="110"/>
      <c r="STD1377" s="110"/>
      <c r="STE1377" s="110"/>
      <c r="STF1377" s="110"/>
      <c r="STG1377" s="110"/>
      <c r="STH1377" s="110"/>
      <c r="STI1377" s="110"/>
      <c r="STJ1377" s="110"/>
      <c r="STK1377" s="110"/>
      <c r="STL1377" s="110"/>
      <c r="STM1377" s="110"/>
      <c r="STN1377" s="110"/>
      <c r="STO1377" s="110"/>
      <c r="STP1377" s="110"/>
      <c r="STQ1377" s="110"/>
      <c r="STR1377" s="110"/>
      <c r="STS1377" s="110"/>
      <c r="STT1377" s="110"/>
      <c r="STU1377" s="110"/>
      <c r="STV1377" s="110"/>
      <c r="STW1377" s="110"/>
      <c r="STX1377" s="110"/>
      <c r="STY1377" s="110"/>
      <c r="STZ1377" s="110"/>
      <c r="SUA1377" s="110"/>
      <c r="SUB1377" s="110"/>
      <c r="SUC1377" s="110"/>
      <c r="SUD1377" s="110"/>
      <c r="SUE1377" s="110"/>
      <c r="SUF1377" s="110"/>
      <c r="SUG1377" s="110"/>
      <c r="SUH1377" s="110"/>
      <c r="SUI1377" s="110"/>
      <c r="SUJ1377" s="110"/>
      <c r="SUK1377" s="110"/>
      <c r="SUL1377" s="110"/>
      <c r="SUM1377" s="110"/>
      <c r="SUN1377" s="110"/>
      <c r="SUO1377" s="110"/>
      <c r="SUP1377" s="110"/>
      <c r="SUQ1377" s="110"/>
      <c r="SUR1377" s="110"/>
      <c r="SUS1377" s="110"/>
      <c r="SUT1377" s="110"/>
      <c r="SUU1377" s="110"/>
      <c r="SUV1377" s="110"/>
      <c r="SUW1377" s="110"/>
      <c r="SUX1377" s="110"/>
      <c r="SUY1377" s="110"/>
      <c r="SUZ1377" s="110"/>
      <c r="SVA1377" s="110"/>
      <c r="SVB1377" s="110"/>
      <c r="SVC1377" s="110"/>
      <c r="SVD1377" s="110"/>
      <c r="SVE1377" s="110"/>
      <c r="SVF1377" s="110"/>
      <c r="SVG1377" s="110"/>
      <c r="SVH1377" s="110"/>
      <c r="SVI1377" s="110"/>
      <c r="SVJ1377" s="110"/>
      <c r="SVK1377" s="110"/>
      <c r="SVL1377" s="110"/>
      <c r="SVM1377" s="110"/>
      <c r="SVN1377" s="110"/>
      <c r="SVO1377" s="110"/>
      <c r="SVP1377" s="110"/>
      <c r="SVQ1377" s="110"/>
      <c r="SVR1377" s="110"/>
      <c r="SVS1377" s="110"/>
      <c r="SVT1377" s="110"/>
      <c r="SVU1377" s="110"/>
      <c r="SVV1377" s="110"/>
      <c r="SVW1377" s="110"/>
      <c r="SVX1377" s="110"/>
      <c r="SVY1377" s="110"/>
      <c r="SVZ1377" s="110"/>
      <c r="SWA1377" s="110"/>
      <c r="SWB1377" s="110"/>
      <c r="SWC1377" s="110"/>
      <c r="SWD1377" s="110"/>
      <c r="SWE1377" s="110"/>
      <c r="SWF1377" s="110"/>
      <c r="SWG1377" s="110"/>
      <c r="SWH1377" s="110"/>
      <c r="SWI1377" s="110"/>
      <c r="SWJ1377" s="110"/>
      <c r="SWK1377" s="110"/>
      <c r="SWL1377" s="110"/>
      <c r="SWM1377" s="110"/>
      <c r="SWN1377" s="110"/>
      <c r="SWO1377" s="110"/>
      <c r="SWP1377" s="110"/>
      <c r="SWQ1377" s="110"/>
      <c r="SWR1377" s="110"/>
      <c r="SWS1377" s="110"/>
      <c r="SWT1377" s="110"/>
      <c r="SWU1377" s="110"/>
      <c r="SWV1377" s="110"/>
      <c r="SWW1377" s="110"/>
      <c r="SWX1377" s="110"/>
      <c r="SWY1377" s="110"/>
      <c r="SWZ1377" s="110"/>
      <c r="SXA1377" s="110"/>
      <c r="SXB1377" s="110"/>
      <c r="SXC1377" s="110"/>
      <c r="SXD1377" s="110"/>
      <c r="SXE1377" s="110"/>
      <c r="SXF1377" s="110"/>
      <c r="SXG1377" s="110"/>
      <c r="SXH1377" s="110"/>
      <c r="SXI1377" s="110"/>
      <c r="SXJ1377" s="110"/>
      <c r="SXK1377" s="110"/>
      <c r="SXL1377" s="110"/>
      <c r="SXM1377" s="110"/>
      <c r="SXN1377" s="110"/>
      <c r="SXO1377" s="110"/>
      <c r="SXP1377" s="110"/>
      <c r="SXQ1377" s="110"/>
      <c r="SXR1377" s="110"/>
      <c r="SXS1377" s="110"/>
      <c r="SXT1377" s="110"/>
      <c r="SXU1377" s="110"/>
      <c r="SXV1377" s="110"/>
      <c r="SXW1377" s="110"/>
      <c r="SXX1377" s="110"/>
      <c r="SXY1377" s="110"/>
      <c r="SXZ1377" s="110"/>
      <c r="SYA1377" s="110"/>
      <c r="SYB1377" s="110"/>
      <c r="SYC1377" s="110"/>
      <c r="SYD1377" s="110"/>
      <c r="SYE1377" s="110"/>
      <c r="SYF1377" s="110"/>
      <c r="SYG1377" s="110"/>
      <c r="SYH1377" s="110"/>
      <c r="SYI1377" s="110"/>
      <c r="SYJ1377" s="110"/>
      <c r="SYK1377" s="110"/>
      <c r="SYL1377" s="110"/>
      <c r="SYM1377" s="110"/>
      <c r="SYN1377" s="110"/>
      <c r="SYO1377" s="110"/>
      <c r="SYP1377" s="110"/>
      <c r="SYQ1377" s="110"/>
      <c r="SYR1377" s="110"/>
      <c r="SYS1377" s="110"/>
      <c r="SYT1377" s="110"/>
      <c r="SYU1377" s="110"/>
      <c r="SYV1377" s="110"/>
      <c r="SYW1377" s="110"/>
      <c r="SYX1377" s="110"/>
      <c r="SYY1377" s="110"/>
      <c r="SYZ1377" s="110"/>
      <c r="SZA1377" s="110"/>
      <c r="SZB1377" s="110"/>
      <c r="SZC1377" s="110"/>
      <c r="SZD1377" s="110"/>
      <c r="SZE1377" s="110"/>
      <c r="SZF1377" s="110"/>
      <c r="SZG1377" s="110"/>
      <c r="SZH1377" s="110"/>
      <c r="SZI1377" s="110"/>
      <c r="SZJ1377" s="110"/>
      <c r="SZK1377" s="110"/>
      <c r="SZL1377" s="110"/>
      <c r="SZM1377" s="110"/>
      <c r="SZN1377" s="110"/>
      <c r="SZO1377" s="110"/>
      <c r="SZP1377" s="110"/>
      <c r="SZQ1377" s="110"/>
      <c r="SZR1377" s="110"/>
      <c r="SZS1377" s="110"/>
      <c r="SZT1377" s="110"/>
      <c r="SZU1377" s="110"/>
      <c r="SZV1377" s="110"/>
      <c r="SZW1377" s="110"/>
      <c r="SZX1377" s="110"/>
      <c r="SZY1377" s="110"/>
      <c r="SZZ1377" s="110"/>
      <c r="TAA1377" s="110"/>
      <c r="TAB1377" s="110"/>
      <c r="TAC1377" s="110"/>
      <c r="TAD1377" s="110"/>
      <c r="TAE1377" s="110"/>
      <c r="TAF1377" s="110"/>
      <c r="TAG1377" s="110"/>
      <c r="TAH1377" s="110"/>
      <c r="TAI1377" s="110"/>
      <c r="TAJ1377" s="110"/>
      <c r="TAK1377" s="110"/>
      <c r="TAL1377" s="110"/>
      <c r="TAM1377" s="110"/>
      <c r="TAN1377" s="110"/>
      <c r="TAO1377" s="110"/>
      <c r="TAP1377" s="110"/>
      <c r="TAQ1377" s="110"/>
      <c r="TAR1377" s="110"/>
      <c r="TAS1377" s="110"/>
      <c r="TAT1377" s="110"/>
      <c r="TAU1377" s="110"/>
      <c r="TAV1377" s="110"/>
      <c r="TAW1377" s="110"/>
      <c r="TAX1377" s="110"/>
      <c r="TAY1377" s="110"/>
      <c r="TAZ1377" s="110"/>
      <c r="TBA1377" s="110"/>
      <c r="TBB1377" s="110"/>
      <c r="TBC1377" s="110"/>
      <c r="TBD1377" s="110"/>
      <c r="TBE1377" s="110"/>
      <c r="TBF1377" s="110"/>
      <c r="TBG1377" s="110"/>
      <c r="TBH1377" s="110"/>
      <c r="TBI1377" s="110"/>
      <c r="TBJ1377" s="110"/>
      <c r="TBK1377" s="110"/>
      <c r="TBL1377" s="110"/>
      <c r="TBM1377" s="110"/>
      <c r="TBN1377" s="110"/>
      <c r="TBO1377" s="110"/>
      <c r="TBP1377" s="110"/>
      <c r="TBQ1377" s="110"/>
      <c r="TBR1377" s="110"/>
      <c r="TBS1377" s="110"/>
      <c r="TBT1377" s="110"/>
      <c r="TBU1377" s="110"/>
      <c r="TBV1377" s="110"/>
      <c r="TBW1377" s="110"/>
      <c r="TBX1377" s="110"/>
      <c r="TBY1377" s="110"/>
      <c r="TBZ1377" s="110"/>
      <c r="TCA1377" s="110"/>
      <c r="TCB1377" s="110"/>
      <c r="TCC1377" s="110"/>
      <c r="TCD1377" s="110"/>
      <c r="TCE1377" s="110"/>
      <c r="TCF1377" s="110"/>
      <c r="TCG1377" s="110"/>
      <c r="TCH1377" s="110"/>
      <c r="TCI1377" s="110"/>
      <c r="TCJ1377" s="110"/>
      <c r="TCK1377" s="110"/>
      <c r="TCL1377" s="110"/>
      <c r="TCM1377" s="110"/>
      <c r="TCN1377" s="110"/>
      <c r="TCO1377" s="110"/>
      <c r="TCP1377" s="110"/>
      <c r="TCQ1377" s="110"/>
      <c r="TCR1377" s="110"/>
      <c r="TCS1377" s="110"/>
      <c r="TCT1377" s="110"/>
      <c r="TCU1377" s="110"/>
      <c r="TCV1377" s="110"/>
      <c r="TCW1377" s="110"/>
      <c r="TCX1377" s="110"/>
      <c r="TCY1377" s="110"/>
      <c r="TCZ1377" s="110"/>
      <c r="TDA1377" s="110"/>
      <c r="TDB1377" s="110"/>
      <c r="TDC1377" s="110"/>
      <c r="TDD1377" s="110"/>
      <c r="TDE1377" s="110"/>
      <c r="TDF1377" s="110"/>
      <c r="TDG1377" s="110"/>
      <c r="TDH1377" s="110"/>
      <c r="TDI1377" s="110"/>
      <c r="TDJ1377" s="110"/>
      <c r="TDK1377" s="110"/>
      <c r="TDL1377" s="110"/>
      <c r="TDM1377" s="110"/>
      <c r="TDN1377" s="110"/>
      <c r="TDO1377" s="110"/>
      <c r="TDP1377" s="110"/>
      <c r="TDQ1377" s="110"/>
      <c r="TDR1377" s="110"/>
      <c r="TDS1377" s="110"/>
      <c r="TDT1377" s="110"/>
      <c r="TDU1377" s="110"/>
      <c r="TDV1377" s="110"/>
      <c r="TDW1377" s="110"/>
      <c r="TDX1377" s="110"/>
      <c r="TDY1377" s="110"/>
      <c r="TDZ1377" s="110"/>
      <c r="TEA1377" s="110"/>
      <c r="TEB1377" s="110"/>
      <c r="TEC1377" s="110"/>
      <c r="TED1377" s="110"/>
      <c r="TEE1377" s="110"/>
      <c r="TEF1377" s="110"/>
      <c r="TEG1377" s="110"/>
      <c r="TEH1377" s="110"/>
      <c r="TEI1377" s="110"/>
      <c r="TEJ1377" s="110"/>
      <c r="TEK1377" s="110"/>
      <c r="TEL1377" s="110"/>
      <c r="TEM1377" s="110"/>
      <c r="TEN1377" s="110"/>
      <c r="TEO1377" s="110"/>
      <c r="TEP1377" s="110"/>
      <c r="TEQ1377" s="110"/>
      <c r="TER1377" s="110"/>
      <c r="TES1377" s="110"/>
      <c r="TET1377" s="110"/>
      <c r="TEU1377" s="110"/>
      <c r="TEV1377" s="110"/>
      <c r="TEW1377" s="110"/>
      <c r="TEX1377" s="110"/>
      <c r="TEY1377" s="110"/>
      <c r="TEZ1377" s="110"/>
      <c r="TFA1377" s="110"/>
      <c r="TFB1377" s="110"/>
      <c r="TFC1377" s="110"/>
      <c r="TFD1377" s="110"/>
      <c r="TFE1377" s="110"/>
      <c r="TFF1377" s="110"/>
      <c r="TFG1377" s="110"/>
      <c r="TFH1377" s="110"/>
      <c r="TFI1377" s="110"/>
      <c r="TFJ1377" s="110"/>
      <c r="TFK1377" s="110"/>
      <c r="TFL1377" s="110"/>
      <c r="TFM1377" s="110"/>
      <c r="TFN1377" s="110"/>
      <c r="TFO1377" s="110"/>
      <c r="TFP1377" s="110"/>
      <c r="TFQ1377" s="110"/>
      <c r="TFR1377" s="110"/>
      <c r="TFS1377" s="110"/>
      <c r="TFT1377" s="110"/>
      <c r="TFU1377" s="110"/>
      <c r="TFV1377" s="110"/>
      <c r="TFW1377" s="110"/>
      <c r="TFX1377" s="110"/>
      <c r="TFY1377" s="110"/>
      <c r="TFZ1377" s="110"/>
      <c r="TGA1377" s="110"/>
      <c r="TGB1377" s="110"/>
      <c r="TGC1377" s="110"/>
      <c r="TGD1377" s="110"/>
      <c r="TGE1377" s="110"/>
      <c r="TGF1377" s="110"/>
      <c r="TGG1377" s="110"/>
      <c r="TGH1377" s="110"/>
      <c r="TGI1377" s="110"/>
      <c r="TGJ1377" s="110"/>
      <c r="TGK1377" s="110"/>
      <c r="TGL1377" s="110"/>
      <c r="TGM1377" s="110"/>
      <c r="TGN1377" s="110"/>
      <c r="TGO1377" s="110"/>
      <c r="TGP1377" s="110"/>
      <c r="TGQ1377" s="110"/>
      <c r="TGR1377" s="110"/>
      <c r="TGS1377" s="110"/>
      <c r="TGT1377" s="110"/>
      <c r="TGU1377" s="110"/>
      <c r="TGV1377" s="110"/>
      <c r="TGW1377" s="110"/>
      <c r="TGX1377" s="110"/>
      <c r="TGY1377" s="110"/>
      <c r="TGZ1377" s="110"/>
      <c r="THA1377" s="110"/>
      <c r="THB1377" s="110"/>
      <c r="THC1377" s="110"/>
      <c r="THD1377" s="110"/>
      <c r="THE1377" s="110"/>
      <c r="THF1377" s="110"/>
      <c r="THG1377" s="110"/>
      <c r="THH1377" s="110"/>
      <c r="THI1377" s="110"/>
      <c r="THJ1377" s="110"/>
      <c r="THK1377" s="110"/>
      <c r="THL1377" s="110"/>
      <c r="THM1377" s="110"/>
      <c r="THN1377" s="110"/>
      <c r="THO1377" s="110"/>
      <c r="THP1377" s="110"/>
      <c r="THQ1377" s="110"/>
      <c r="THR1377" s="110"/>
      <c r="THS1377" s="110"/>
      <c r="THT1377" s="110"/>
      <c r="THU1377" s="110"/>
      <c r="THV1377" s="110"/>
      <c r="THW1377" s="110"/>
      <c r="THX1377" s="110"/>
      <c r="THY1377" s="110"/>
      <c r="THZ1377" s="110"/>
      <c r="TIA1377" s="110"/>
      <c r="TIB1377" s="110"/>
      <c r="TIC1377" s="110"/>
      <c r="TID1377" s="110"/>
      <c r="TIE1377" s="110"/>
      <c r="TIF1377" s="110"/>
      <c r="TIG1377" s="110"/>
      <c r="TIH1377" s="110"/>
      <c r="TII1377" s="110"/>
      <c r="TIJ1377" s="110"/>
      <c r="TIK1377" s="110"/>
      <c r="TIL1377" s="110"/>
      <c r="TIM1377" s="110"/>
      <c r="TIN1377" s="110"/>
      <c r="TIO1377" s="110"/>
      <c r="TIP1377" s="110"/>
      <c r="TIQ1377" s="110"/>
      <c r="TIR1377" s="110"/>
      <c r="TIS1377" s="110"/>
      <c r="TIT1377" s="110"/>
      <c r="TIU1377" s="110"/>
      <c r="TIV1377" s="110"/>
      <c r="TIW1377" s="110"/>
      <c r="TIX1377" s="110"/>
      <c r="TIY1377" s="110"/>
      <c r="TIZ1377" s="110"/>
      <c r="TJA1377" s="110"/>
      <c r="TJB1377" s="110"/>
      <c r="TJC1377" s="110"/>
      <c r="TJD1377" s="110"/>
      <c r="TJE1377" s="110"/>
      <c r="TJF1377" s="110"/>
      <c r="TJG1377" s="110"/>
      <c r="TJH1377" s="110"/>
      <c r="TJI1377" s="110"/>
      <c r="TJJ1377" s="110"/>
      <c r="TJK1377" s="110"/>
      <c r="TJL1377" s="110"/>
      <c r="TJM1377" s="110"/>
      <c r="TJN1377" s="110"/>
      <c r="TJO1377" s="110"/>
      <c r="TJP1377" s="110"/>
      <c r="TJQ1377" s="110"/>
      <c r="TJR1377" s="110"/>
      <c r="TJS1377" s="110"/>
      <c r="TJT1377" s="110"/>
      <c r="TJU1377" s="110"/>
      <c r="TJV1377" s="110"/>
      <c r="TJW1377" s="110"/>
      <c r="TJX1377" s="110"/>
      <c r="TJY1377" s="110"/>
      <c r="TJZ1377" s="110"/>
      <c r="TKA1377" s="110"/>
      <c r="TKB1377" s="110"/>
      <c r="TKC1377" s="110"/>
      <c r="TKD1377" s="110"/>
      <c r="TKE1377" s="110"/>
      <c r="TKF1377" s="110"/>
      <c r="TKG1377" s="110"/>
      <c r="TKH1377" s="110"/>
      <c r="TKI1377" s="110"/>
      <c r="TKJ1377" s="110"/>
      <c r="TKK1377" s="110"/>
      <c r="TKL1377" s="110"/>
      <c r="TKM1377" s="110"/>
      <c r="TKN1377" s="110"/>
      <c r="TKO1377" s="110"/>
      <c r="TKP1377" s="110"/>
      <c r="TKQ1377" s="110"/>
      <c r="TKR1377" s="110"/>
      <c r="TKS1377" s="110"/>
      <c r="TKT1377" s="110"/>
      <c r="TKU1377" s="110"/>
      <c r="TKV1377" s="110"/>
      <c r="TKW1377" s="110"/>
      <c r="TKX1377" s="110"/>
      <c r="TKY1377" s="110"/>
      <c r="TKZ1377" s="110"/>
      <c r="TLA1377" s="110"/>
      <c r="TLB1377" s="110"/>
      <c r="TLC1377" s="110"/>
      <c r="TLD1377" s="110"/>
      <c r="TLE1377" s="110"/>
      <c r="TLF1377" s="110"/>
      <c r="TLG1377" s="110"/>
      <c r="TLH1377" s="110"/>
      <c r="TLI1377" s="110"/>
      <c r="TLJ1377" s="110"/>
      <c r="TLK1377" s="110"/>
      <c r="TLL1377" s="110"/>
      <c r="TLM1377" s="110"/>
      <c r="TLN1377" s="110"/>
      <c r="TLO1377" s="110"/>
      <c r="TLP1377" s="110"/>
      <c r="TLQ1377" s="110"/>
      <c r="TLR1377" s="110"/>
      <c r="TLS1377" s="110"/>
      <c r="TLT1377" s="110"/>
      <c r="TLU1377" s="110"/>
      <c r="TLV1377" s="110"/>
      <c r="TLW1377" s="110"/>
      <c r="TLX1377" s="110"/>
      <c r="TLY1377" s="110"/>
      <c r="TLZ1377" s="110"/>
      <c r="TMA1377" s="110"/>
      <c r="TMB1377" s="110"/>
      <c r="TMC1377" s="110"/>
      <c r="TMD1377" s="110"/>
      <c r="TME1377" s="110"/>
      <c r="TMF1377" s="110"/>
      <c r="TMG1377" s="110"/>
      <c r="TMH1377" s="110"/>
      <c r="TMI1377" s="110"/>
      <c r="TMJ1377" s="110"/>
      <c r="TMK1377" s="110"/>
      <c r="TML1377" s="110"/>
      <c r="TMM1377" s="110"/>
      <c r="TMN1377" s="110"/>
      <c r="TMO1377" s="110"/>
      <c r="TMP1377" s="110"/>
      <c r="TMQ1377" s="110"/>
      <c r="TMR1377" s="110"/>
      <c r="TMS1377" s="110"/>
      <c r="TMT1377" s="110"/>
      <c r="TMU1377" s="110"/>
      <c r="TMV1377" s="110"/>
      <c r="TMW1377" s="110"/>
      <c r="TMX1377" s="110"/>
      <c r="TMY1377" s="110"/>
      <c r="TMZ1377" s="110"/>
      <c r="TNA1377" s="110"/>
      <c r="TNB1377" s="110"/>
      <c r="TNC1377" s="110"/>
      <c r="TND1377" s="110"/>
      <c r="TNE1377" s="110"/>
      <c r="TNF1377" s="110"/>
      <c r="TNG1377" s="110"/>
      <c r="TNH1377" s="110"/>
      <c r="TNI1377" s="110"/>
      <c r="TNJ1377" s="110"/>
      <c r="TNK1377" s="110"/>
      <c r="TNL1377" s="110"/>
      <c r="TNM1377" s="110"/>
      <c r="TNN1377" s="110"/>
      <c r="TNO1377" s="110"/>
      <c r="TNP1377" s="110"/>
      <c r="TNQ1377" s="110"/>
      <c r="TNR1377" s="110"/>
      <c r="TNS1377" s="110"/>
      <c r="TNT1377" s="110"/>
      <c r="TNU1377" s="110"/>
      <c r="TNV1377" s="110"/>
      <c r="TNW1377" s="110"/>
      <c r="TNX1377" s="110"/>
      <c r="TNY1377" s="110"/>
      <c r="TNZ1377" s="110"/>
      <c r="TOA1377" s="110"/>
      <c r="TOB1377" s="110"/>
      <c r="TOC1377" s="110"/>
      <c r="TOD1377" s="110"/>
      <c r="TOE1377" s="110"/>
      <c r="TOF1377" s="110"/>
      <c r="TOG1377" s="110"/>
      <c r="TOH1377" s="110"/>
      <c r="TOI1377" s="110"/>
      <c r="TOJ1377" s="110"/>
      <c r="TOK1377" s="110"/>
      <c r="TOL1377" s="110"/>
      <c r="TOM1377" s="110"/>
      <c r="TON1377" s="110"/>
      <c r="TOO1377" s="110"/>
      <c r="TOP1377" s="110"/>
      <c r="TOQ1377" s="110"/>
      <c r="TOR1377" s="110"/>
      <c r="TOS1377" s="110"/>
      <c r="TOT1377" s="110"/>
      <c r="TOU1377" s="110"/>
      <c r="TOV1377" s="110"/>
      <c r="TOW1377" s="110"/>
      <c r="TOX1377" s="110"/>
      <c r="TOY1377" s="110"/>
      <c r="TOZ1377" s="110"/>
      <c r="TPA1377" s="110"/>
      <c r="TPB1377" s="110"/>
      <c r="TPC1377" s="110"/>
      <c r="TPD1377" s="110"/>
      <c r="TPE1377" s="110"/>
      <c r="TPF1377" s="110"/>
      <c r="TPG1377" s="110"/>
      <c r="TPH1377" s="110"/>
      <c r="TPI1377" s="110"/>
      <c r="TPJ1377" s="110"/>
      <c r="TPK1377" s="110"/>
      <c r="TPL1377" s="110"/>
      <c r="TPM1377" s="110"/>
      <c r="TPN1377" s="110"/>
      <c r="TPO1377" s="110"/>
      <c r="TPP1377" s="110"/>
      <c r="TPQ1377" s="110"/>
      <c r="TPR1377" s="110"/>
      <c r="TPS1377" s="110"/>
      <c r="TPT1377" s="110"/>
      <c r="TPU1377" s="110"/>
      <c r="TPV1377" s="110"/>
      <c r="TPW1377" s="110"/>
      <c r="TPX1377" s="110"/>
      <c r="TPY1377" s="110"/>
      <c r="TPZ1377" s="110"/>
      <c r="TQA1377" s="110"/>
      <c r="TQB1377" s="110"/>
      <c r="TQC1377" s="110"/>
      <c r="TQD1377" s="110"/>
      <c r="TQE1377" s="110"/>
      <c r="TQF1377" s="110"/>
      <c r="TQG1377" s="110"/>
      <c r="TQH1377" s="110"/>
      <c r="TQI1377" s="110"/>
      <c r="TQJ1377" s="110"/>
      <c r="TQK1377" s="110"/>
      <c r="TQL1377" s="110"/>
      <c r="TQM1377" s="110"/>
      <c r="TQN1377" s="110"/>
      <c r="TQO1377" s="110"/>
      <c r="TQP1377" s="110"/>
      <c r="TQQ1377" s="110"/>
      <c r="TQR1377" s="110"/>
      <c r="TQS1377" s="110"/>
      <c r="TQT1377" s="110"/>
      <c r="TQU1377" s="110"/>
      <c r="TQV1377" s="110"/>
      <c r="TQW1377" s="110"/>
      <c r="TQX1377" s="110"/>
      <c r="TQY1377" s="110"/>
      <c r="TQZ1377" s="110"/>
      <c r="TRA1377" s="110"/>
      <c r="TRB1377" s="110"/>
      <c r="TRC1377" s="110"/>
      <c r="TRD1377" s="110"/>
      <c r="TRE1377" s="110"/>
      <c r="TRF1377" s="110"/>
      <c r="TRG1377" s="110"/>
      <c r="TRH1377" s="110"/>
      <c r="TRI1377" s="110"/>
      <c r="TRJ1377" s="110"/>
      <c r="TRK1377" s="110"/>
      <c r="TRL1377" s="110"/>
      <c r="TRM1377" s="110"/>
      <c r="TRN1377" s="110"/>
      <c r="TRO1377" s="110"/>
      <c r="TRP1377" s="110"/>
      <c r="TRQ1377" s="110"/>
      <c r="TRR1377" s="110"/>
      <c r="TRS1377" s="110"/>
      <c r="TRT1377" s="110"/>
      <c r="TRU1377" s="110"/>
      <c r="TRV1377" s="110"/>
      <c r="TRW1377" s="110"/>
      <c r="TRX1377" s="110"/>
      <c r="TRY1377" s="110"/>
      <c r="TRZ1377" s="110"/>
      <c r="TSA1377" s="110"/>
      <c r="TSB1377" s="110"/>
      <c r="TSC1377" s="110"/>
      <c r="TSD1377" s="110"/>
      <c r="TSE1377" s="110"/>
      <c r="TSF1377" s="110"/>
      <c r="TSG1377" s="110"/>
      <c r="TSH1377" s="110"/>
      <c r="TSI1377" s="110"/>
      <c r="TSJ1377" s="110"/>
      <c r="TSK1377" s="110"/>
      <c r="TSL1377" s="110"/>
      <c r="TSM1377" s="110"/>
      <c r="TSN1377" s="110"/>
      <c r="TSO1377" s="110"/>
      <c r="TSP1377" s="110"/>
      <c r="TSQ1377" s="110"/>
      <c r="TSR1377" s="110"/>
      <c r="TSS1377" s="110"/>
      <c r="TST1377" s="110"/>
      <c r="TSU1377" s="110"/>
      <c r="TSV1377" s="110"/>
      <c r="TSW1377" s="110"/>
      <c r="TSX1377" s="110"/>
      <c r="TSY1377" s="110"/>
      <c r="TSZ1377" s="110"/>
      <c r="TTA1377" s="110"/>
      <c r="TTB1377" s="110"/>
      <c r="TTC1377" s="110"/>
      <c r="TTD1377" s="110"/>
      <c r="TTE1377" s="110"/>
      <c r="TTF1377" s="110"/>
      <c r="TTG1377" s="110"/>
      <c r="TTH1377" s="110"/>
      <c r="TTI1377" s="110"/>
      <c r="TTJ1377" s="110"/>
      <c r="TTK1377" s="110"/>
      <c r="TTL1377" s="110"/>
      <c r="TTM1377" s="110"/>
      <c r="TTN1377" s="110"/>
      <c r="TTO1377" s="110"/>
      <c r="TTP1377" s="110"/>
      <c r="TTQ1377" s="110"/>
      <c r="TTR1377" s="110"/>
      <c r="TTS1377" s="110"/>
      <c r="TTT1377" s="110"/>
      <c r="TTU1377" s="110"/>
      <c r="TTV1377" s="110"/>
      <c r="TTW1377" s="110"/>
      <c r="TTX1377" s="110"/>
      <c r="TTY1377" s="110"/>
      <c r="TTZ1377" s="110"/>
      <c r="TUA1377" s="110"/>
      <c r="TUB1377" s="110"/>
      <c r="TUC1377" s="110"/>
      <c r="TUD1377" s="110"/>
      <c r="TUE1377" s="110"/>
      <c r="TUF1377" s="110"/>
      <c r="TUG1377" s="110"/>
      <c r="TUH1377" s="110"/>
      <c r="TUI1377" s="110"/>
      <c r="TUJ1377" s="110"/>
      <c r="TUK1377" s="110"/>
      <c r="TUL1377" s="110"/>
      <c r="TUM1377" s="110"/>
      <c r="TUN1377" s="110"/>
      <c r="TUO1377" s="110"/>
      <c r="TUP1377" s="110"/>
      <c r="TUQ1377" s="110"/>
      <c r="TUR1377" s="110"/>
      <c r="TUS1377" s="110"/>
      <c r="TUT1377" s="110"/>
      <c r="TUU1377" s="110"/>
      <c r="TUV1377" s="110"/>
      <c r="TUW1377" s="110"/>
      <c r="TUX1377" s="110"/>
      <c r="TUY1377" s="110"/>
      <c r="TUZ1377" s="110"/>
      <c r="TVA1377" s="110"/>
      <c r="TVB1377" s="110"/>
      <c r="TVC1377" s="110"/>
      <c r="TVD1377" s="110"/>
      <c r="TVE1377" s="110"/>
      <c r="TVF1377" s="110"/>
      <c r="TVG1377" s="110"/>
      <c r="TVH1377" s="110"/>
      <c r="TVI1377" s="110"/>
      <c r="TVJ1377" s="110"/>
      <c r="TVK1377" s="110"/>
      <c r="TVL1377" s="110"/>
      <c r="TVM1377" s="110"/>
      <c r="TVN1377" s="110"/>
      <c r="TVO1377" s="110"/>
      <c r="TVP1377" s="110"/>
      <c r="TVQ1377" s="110"/>
      <c r="TVR1377" s="110"/>
      <c r="TVS1377" s="110"/>
      <c r="TVT1377" s="110"/>
      <c r="TVU1377" s="110"/>
      <c r="TVV1377" s="110"/>
      <c r="TVW1377" s="110"/>
      <c r="TVX1377" s="110"/>
      <c r="TVY1377" s="110"/>
      <c r="TVZ1377" s="110"/>
      <c r="TWA1377" s="110"/>
      <c r="TWB1377" s="110"/>
      <c r="TWC1377" s="110"/>
      <c r="TWD1377" s="110"/>
      <c r="TWE1377" s="110"/>
      <c r="TWF1377" s="110"/>
      <c r="TWG1377" s="110"/>
      <c r="TWH1377" s="110"/>
      <c r="TWI1377" s="110"/>
      <c r="TWJ1377" s="110"/>
      <c r="TWK1377" s="110"/>
      <c r="TWL1377" s="110"/>
      <c r="TWM1377" s="110"/>
      <c r="TWN1377" s="110"/>
      <c r="TWO1377" s="110"/>
      <c r="TWP1377" s="110"/>
      <c r="TWQ1377" s="110"/>
      <c r="TWR1377" s="110"/>
      <c r="TWS1377" s="110"/>
      <c r="TWT1377" s="110"/>
      <c r="TWU1377" s="110"/>
      <c r="TWV1377" s="110"/>
      <c r="TWW1377" s="110"/>
      <c r="TWX1377" s="110"/>
      <c r="TWY1377" s="110"/>
      <c r="TWZ1377" s="110"/>
      <c r="TXA1377" s="110"/>
      <c r="TXB1377" s="110"/>
      <c r="TXC1377" s="110"/>
      <c r="TXD1377" s="110"/>
      <c r="TXE1377" s="110"/>
      <c r="TXF1377" s="110"/>
      <c r="TXG1377" s="110"/>
      <c r="TXH1377" s="110"/>
      <c r="TXI1377" s="110"/>
      <c r="TXJ1377" s="110"/>
      <c r="TXK1377" s="110"/>
      <c r="TXL1377" s="110"/>
      <c r="TXM1377" s="110"/>
      <c r="TXN1377" s="110"/>
      <c r="TXO1377" s="110"/>
      <c r="TXP1377" s="110"/>
      <c r="TXQ1377" s="110"/>
      <c r="TXR1377" s="110"/>
      <c r="TXS1377" s="110"/>
      <c r="TXT1377" s="110"/>
      <c r="TXU1377" s="110"/>
      <c r="TXV1377" s="110"/>
      <c r="TXW1377" s="110"/>
      <c r="TXX1377" s="110"/>
      <c r="TXY1377" s="110"/>
      <c r="TXZ1377" s="110"/>
      <c r="TYA1377" s="110"/>
      <c r="TYB1377" s="110"/>
      <c r="TYC1377" s="110"/>
      <c r="TYD1377" s="110"/>
      <c r="TYE1377" s="110"/>
      <c r="TYF1377" s="110"/>
      <c r="TYG1377" s="110"/>
      <c r="TYH1377" s="110"/>
      <c r="TYI1377" s="110"/>
      <c r="TYJ1377" s="110"/>
      <c r="TYK1377" s="110"/>
      <c r="TYL1377" s="110"/>
      <c r="TYM1377" s="110"/>
      <c r="TYN1377" s="110"/>
      <c r="TYO1377" s="110"/>
      <c r="TYP1377" s="110"/>
      <c r="TYQ1377" s="110"/>
      <c r="TYR1377" s="110"/>
      <c r="TYS1377" s="110"/>
      <c r="TYT1377" s="110"/>
      <c r="TYU1377" s="110"/>
      <c r="TYV1377" s="110"/>
      <c r="TYW1377" s="110"/>
      <c r="TYX1377" s="110"/>
      <c r="TYY1377" s="110"/>
      <c r="TYZ1377" s="110"/>
      <c r="TZA1377" s="110"/>
      <c r="TZB1377" s="110"/>
      <c r="TZC1377" s="110"/>
      <c r="TZD1377" s="110"/>
      <c r="TZE1377" s="110"/>
      <c r="TZF1377" s="110"/>
      <c r="TZG1377" s="110"/>
      <c r="TZH1377" s="110"/>
      <c r="TZI1377" s="110"/>
      <c r="TZJ1377" s="110"/>
      <c r="TZK1377" s="110"/>
      <c r="TZL1377" s="110"/>
      <c r="TZM1377" s="110"/>
      <c r="TZN1377" s="110"/>
      <c r="TZO1377" s="110"/>
      <c r="TZP1377" s="110"/>
      <c r="TZQ1377" s="110"/>
      <c r="TZR1377" s="110"/>
      <c r="TZS1377" s="110"/>
      <c r="TZT1377" s="110"/>
      <c r="TZU1377" s="110"/>
      <c r="TZV1377" s="110"/>
      <c r="TZW1377" s="110"/>
      <c r="TZX1377" s="110"/>
      <c r="TZY1377" s="110"/>
      <c r="TZZ1377" s="110"/>
      <c r="UAA1377" s="110"/>
      <c r="UAB1377" s="110"/>
      <c r="UAC1377" s="110"/>
      <c r="UAD1377" s="110"/>
      <c r="UAE1377" s="110"/>
      <c r="UAF1377" s="110"/>
      <c r="UAG1377" s="110"/>
      <c r="UAH1377" s="110"/>
      <c r="UAI1377" s="110"/>
      <c r="UAJ1377" s="110"/>
      <c r="UAK1377" s="110"/>
      <c r="UAL1377" s="110"/>
      <c r="UAM1377" s="110"/>
      <c r="UAN1377" s="110"/>
      <c r="UAO1377" s="110"/>
      <c r="UAP1377" s="110"/>
      <c r="UAQ1377" s="110"/>
      <c r="UAR1377" s="110"/>
      <c r="UAS1377" s="110"/>
      <c r="UAT1377" s="110"/>
      <c r="UAU1377" s="110"/>
      <c r="UAV1377" s="110"/>
      <c r="UAW1377" s="110"/>
      <c r="UAX1377" s="110"/>
      <c r="UAY1377" s="110"/>
      <c r="UAZ1377" s="110"/>
      <c r="UBA1377" s="110"/>
      <c r="UBB1377" s="110"/>
      <c r="UBC1377" s="110"/>
      <c r="UBD1377" s="110"/>
      <c r="UBE1377" s="110"/>
      <c r="UBF1377" s="110"/>
      <c r="UBG1377" s="110"/>
      <c r="UBH1377" s="110"/>
      <c r="UBI1377" s="110"/>
      <c r="UBJ1377" s="110"/>
      <c r="UBK1377" s="110"/>
      <c r="UBL1377" s="110"/>
      <c r="UBM1377" s="110"/>
      <c r="UBN1377" s="110"/>
      <c r="UBO1377" s="110"/>
      <c r="UBP1377" s="110"/>
      <c r="UBQ1377" s="110"/>
      <c r="UBR1377" s="110"/>
      <c r="UBS1377" s="110"/>
      <c r="UBT1377" s="110"/>
      <c r="UBU1377" s="110"/>
      <c r="UBV1377" s="110"/>
      <c r="UBW1377" s="110"/>
      <c r="UBX1377" s="110"/>
      <c r="UBY1377" s="110"/>
      <c r="UBZ1377" s="110"/>
      <c r="UCA1377" s="110"/>
      <c r="UCB1377" s="110"/>
      <c r="UCC1377" s="110"/>
      <c r="UCD1377" s="110"/>
      <c r="UCE1377" s="110"/>
      <c r="UCF1377" s="110"/>
      <c r="UCG1377" s="110"/>
      <c r="UCH1377" s="110"/>
      <c r="UCI1377" s="110"/>
      <c r="UCJ1377" s="110"/>
      <c r="UCK1377" s="110"/>
      <c r="UCL1377" s="110"/>
      <c r="UCM1377" s="110"/>
      <c r="UCN1377" s="110"/>
      <c r="UCO1377" s="110"/>
      <c r="UCP1377" s="110"/>
      <c r="UCQ1377" s="110"/>
      <c r="UCR1377" s="110"/>
      <c r="UCS1377" s="110"/>
      <c r="UCT1377" s="110"/>
      <c r="UCU1377" s="110"/>
      <c r="UCV1377" s="110"/>
      <c r="UCW1377" s="110"/>
      <c r="UCX1377" s="110"/>
      <c r="UCY1377" s="110"/>
      <c r="UCZ1377" s="110"/>
      <c r="UDA1377" s="110"/>
      <c r="UDB1377" s="110"/>
      <c r="UDC1377" s="110"/>
      <c r="UDD1377" s="110"/>
      <c r="UDE1377" s="110"/>
      <c r="UDF1377" s="110"/>
      <c r="UDG1377" s="110"/>
      <c r="UDH1377" s="110"/>
      <c r="UDI1377" s="110"/>
      <c r="UDJ1377" s="110"/>
      <c r="UDK1377" s="110"/>
      <c r="UDL1377" s="110"/>
      <c r="UDM1377" s="110"/>
      <c r="UDN1377" s="110"/>
      <c r="UDO1377" s="110"/>
      <c r="UDP1377" s="110"/>
      <c r="UDQ1377" s="110"/>
      <c r="UDR1377" s="110"/>
      <c r="UDS1377" s="110"/>
      <c r="UDT1377" s="110"/>
      <c r="UDU1377" s="110"/>
      <c r="UDV1377" s="110"/>
      <c r="UDW1377" s="110"/>
      <c r="UDX1377" s="110"/>
      <c r="UDY1377" s="110"/>
      <c r="UDZ1377" s="110"/>
      <c r="UEA1377" s="110"/>
      <c r="UEB1377" s="110"/>
      <c r="UEC1377" s="110"/>
      <c r="UED1377" s="110"/>
      <c r="UEE1377" s="110"/>
      <c r="UEF1377" s="110"/>
      <c r="UEG1377" s="110"/>
      <c r="UEH1377" s="110"/>
      <c r="UEI1377" s="110"/>
      <c r="UEJ1377" s="110"/>
      <c r="UEK1377" s="110"/>
      <c r="UEL1377" s="110"/>
      <c r="UEM1377" s="110"/>
      <c r="UEN1377" s="110"/>
      <c r="UEO1377" s="110"/>
      <c r="UEP1377" s="110"/>
      <c r="UEQ1377" s="110"/>
      <c r="UER1377" s="110"/>
      <c r="UES1377" s="110"/>
      <c r="UET1377" s="110"/>
      <c r="UEU1377" s="110"/>
      <c r="UEV1377" s="110"/>
      <c r="UEW1377" s="110"/>
      <c r="UEX1377" s="110"/>
      <c r="UEY1377" s="110"/>
      <c r="UEZ1377" s="110"/>
      <c r="UFA1377" s="110"/>
      <c r="UFB1377" s="110"/>
      <c r="UFC1377" s="110"/>
      <c r="UFD1377" s="110"/>
      <c r="UFE1377" s="110"/>
      <c r="UFF1377" s="110"/>
      <c r="UFG1377" s="110"/>
      <c r="UFH1377" s="110"/>
      <c r="UFI1377" s="110"/>
      <c r="UFJ1377" s="110"/>
      <c r="UFK1377" s="110"/>
      <c r="UFL1377" s="110"/>
      <c r="UFM1377" s="110"/>
      <c r="UFN1377" s="110"/>
      <c r="UFO1377" s="110"/>
      <c r="UFP1377" s="110"/>
      <c r="UFQ1377" s="110"/>
      <c r="UFR1377" s="110"/>
      <c r="UFS1377" s="110"/>
      <c r="UFT1377" s="110"/>
      <c r="UFU1377" s="110"/>
      <c r="UFV1377" s="110"/>
      <c r="UFW1377" s="110"/>
      <c r="UFX1377" s="110"/>
      <c r="UFY1377" s="110"/>
      <c r="UFZ1377" s="110"/>
      <c r="UGA1377" s="110"/>
      <c r="UGB1377" s="110"/>
      <c r="UGC1377" s="110"/>
      <c r="UGD1377" s="110"/>
      <c r="UGE1377" s="110"/>
      <c r="UGF1377" s="110"/>
      <c r="UGG1377" s="110"/>
      <c r="UGH1377" s="110"/>
      <c r="UGI1377" s="110"/>
      <c r="UGJ1377" s="110"/>
      <c r="UGK1377" s="110"/>
      <c r="UGL1377" s="110"/>
      <c r="UGM1377" s="110"/>
      <c r="UGN1377" s="110"/>
      <c r="UGO1377" s="110"/>
      <c r="UGP1377" s="110"/>
      <c r="UGQ1377" s="110"/>
      <c r="UGR1377" s="110"/>
      <c r="UGS1377" s="110"/>
      <c r="UGT1377" s="110"/>
      <c r="UGU1377" s="110"/>
      <c r="UGV1377" s="110"/>
      <c r="UGW1377" s="110"/>
      <c r="UGX1377" s="110"/>
      <c r="UGY1377" s="110"/>
      <c r="UGZ1377" s="110"/>
      <c r="UHA1377" s="110"/>
      <c r="UHB1377" s="110"/>
      <c r="UHC1377" s="110"/>
      <c r="UHD1377" s="110"/>
      <c r="UHE1377" s="110"/>
      <c r="UHF1377" s="110"/>
      <c r="UHG1377" s="110"/>
      <c r="UHH1377" s="110"/>
      <c r="UHI1377" s="110"/>
      <c r="UHJ1377" s="110"/>
      <c r="UHK1377" s="110"/>
      <c r="UHL1377" s="110"/>
      <c r="UHM1377" s="110"/>
      <c r="UHN1377" s="110"/>
      <c r="UHO1377" s="110"/>
      <c r="UHP1377" s="110"/>
      <c r="UHQ1377" s="110"/>
      <c r="UHR1377" s="110"/>
      <c r="UHS1377" s="110"/>
      <c r="UHT1377" s="110"/>
      <c r="UHU1377" s="110"/>
      <c r="UHV1377" s="110"/>
      <c r="UHW1377" s="110"/>
      <c r="UHX1377" s="110"/>
      <c r="UHY1377" s="110"/>
      <c r="UHZ1377" s="110"/>
      <c r="UIA1377" s="110"/>
      <c r="UIB1377" s="110"/>
      <c r="UIC1377" s="110"/>
      <c r="UID1377" s="110"/>
      <c r="UIE1377" s="110"/>
      <c r="UIF1377" s="110"/>
      <c r="UIG1377" s="110"/>
      <c r="UIH1377" s="110"/>
      <c r="UII1377" s="110"/>
      <c r="UIJ1377" s="110"/>
      <c r="UIK1377" s="110"/>
      <c r="UIL1377" s="110"/>
      <c r="UIM1377" s="110"/>
      <c r="UIN1377" s="110"/>
      <c r="UIO1377" s="110"/>
      <c r="UIP1377" s="110"/>
      <c r="UIQ1377" s="110"/>
      <c r="UIR1377" s="110"/>
      <c r="UIS1377" s="110"/>
      <c r="UIT1377" s="110"/>
      <c r="UIU1377" s="110"/>
      <c r="UIV1377" s="110"/>
      <c r="UIW1377" s="110"/>
      <c r="UIX1377" s="110"/>
      <c r="UIY1377" s="110"/>
      <c r="UIZ1377" s="110"/>
      <c r="UJA1377" s="110"/>
      <c r="UJB1377" s="110"/>
      <c r="UJC1377" s="110"/>
      <c r="UJD1377" s="110"/>
      <c r="UJE1377" s="110"/>
      <c r="UJF1377" s="110"/>
      <c r="UJG1377" s="110"/>
      <c r="UJH1377" s="110"/>
      <c r="UJI1377" s="110"/>
      <c r="UJJ1377" s="110"/>
      <c r="UJK1377" s="110"/>
      <c r="UJL1377" s="110"/>
      <c r="UJM1377" s="110"/>
      <c r="UJN1377" s="110"/>
      <c r="UJO1377" s="110"/>
      <c r="UJP1377" s="110"/>
      <c r="UJQ1377" s="110"/>
      <c r="UJR1377" s="110"/>
      <c r="UJS1377" s="110"/>
      <c r="UJT1377" s="110"/>
      <c r="UJU1377" s="110"/>
      <c r="UJV1377" s="110"/>
      <c r="UJW1377" s="110"/>
      <c r="UJX1377" s="110"/>
      <c r="UJY1377" s="110"/>
      <c r="UJZ1377" s="110"/>
      <c r="UKA1377" s="110"/>
      <c r="UKB1377" s="110"/>
      <c r="UKC1377" s="110"/>
      <c r="UKD1377" s="110"/>
      <c r="UKE1377" s="110"/>
      <c r="UKF1377" s="110"/>
      <c r="UKG1377" s="110"/>
      <c r="UKH1377" s="110"/>
      <c r="UKI1377" s="110"/>
      <c r="UKJ1377" s="110"/>
      <c r="UKK1377" s="110"/>
      <c r="UKL1377" s="110"/>
      <c r="UKM1377" s="110"/>
      <c r="UKN1377" s="110"/>
      <c r="UKO1377" s="110"/>
      <c r="UKP1377" s="110"/>
      <c r="UKQ1377" s="110"/>
      <c r="UKR1377" s="110"/>
      <c r="UKS1377" s="110"/>
      <c r="UKT1377" s="110"/>
      <c r="UKU1377" s="110"/>
      <c r="UKV1377" s="110"/>
      <c r="UKW1377" s="110"/>
      <c r="UKX1377" s="110"/>
      <c r="UKY1377" s="110"/>
      <c r="UKZ1377" s="110"/>
      <c r="ULA1377" s="110"/>
      <c r="ULB1377" s="110"/>
      <c r="ULC1377" s="110"/>
      <c r="ULD1377" s="110"/>
      <c r="ULE1377" s="110"/>
      <c r="ULF1377" s="110"/>
      <c r="ULG1377" s="110"/>
      <c r="ULH1377" s="110"/>
      <c r="ULI1377" s="110"/>
      <c r="ULJ1377" s="110"/>
      <c r="ULK1377" s="110"/>
      <c r="ULL1377" s="110"/>
      <c r="ULM1377" s="110"/>
      <c r="ULN1377" s="110"/>
      <c r="ULO1377" s="110"/>
      <c r="ULP1377" s="110"/>
      <c r="ULQ1377" s="110"/>
      <c r="ULR1377" s="110"/>
      <c r="ULS1377" s="110"/>
      <c r="ULT1377" s="110"/>
      <c r="ULU1377" s="110"/>
      <c r="ULV1377" s="110"/>
      <c r="ULW1377" s="110"/>
      <c r="ULX1377" s="110"/>
      <c r="ULY1377" s="110"/>
      <c r="ULZ1377" s="110"/>
      <c r="UMA1377" s="110"/>
      <c r="UMB1377" s="110"/>
      <c r="UMC1377" s="110"/>
      <c r="UMD1377" s="110"/>
      <c r="UME1377" s="110"/>
      <c r="UMF1377" s="110"/>
      <c r="UMG1377" s="110"/>
      <c r="UMH1377" s="110"/>
      <c r="UMI1377" s="110"/>
      <c r="UMJ1377" s="110"/>
      <c r="UMK1377" s="110"/>
      <c r="UML1377" s="110"/>
      <c r="UMM1377" s="110"/>
      <c r="UMN1377" s="110"/>
      <c r="UMO1377" s="110"/>
      <c r="UMP1377" s="110"/>
      <c r="UMQ1377" s="110"/>
      <c r="UMR1377" s="110"/>
      <c r="UMS1377" s="110"/>
      <c r="UMT1377" s="110"/>
      <c r="UMU1377" s="110"/>
      <c r="UMV1377" s="110"/>
      <c r="UMW1377" s="110"/>
      <c r="UMX1377" s="110"/>
      <c r="UMY1377" s="110"/>
      <c r="UMZ1377" s="110"/>
      <c r="UNA1377" s="110"/>
      <c r="UNB1377" s="110"/>
      <c r="UNC1377" s="110"/>
      <c r="UND1377" s="110"/>
      <c r="UNE1377" s="110"/>
      <c r="UNF1377" s="110"/>
      <c r="UNG1377" s="110"/>
      <c r="UNH1377" s="110"/>
      <c r="UNI1377" s="110"/>
      <c r="UNJ1377" s="110"/>
      <c r="UNK1377" s="110"/>
      <c r="UNL1377" s="110"/>
      <c r="UNM1377" s="110"/>
      <c r="UNN1377" s="110"/>
      <c r="UNO1377" s="110"/>
      <c r="UNP1377" s="110"/>
      <c r="UNQ1377" s="110"/>
      <c r="UNR1377" s="110"/>
      <c r="UNS1377" s="110"/>
      <c r="UNT1377" s="110"/>
      <c r="UNU1377" s="110"/>
      <c r="UNV1377" s="110"/>
      <c r="UNW1377" s="110"/>
      <c r="UNX1377" s="110"/>
      <c r="UNY1377" s="110"/>
      <c r="UNZ1377" s="110"/>
      <c r="UOA1377" s="110"/>
      <c r="UOB1377" s="110"/>
      <c r="UOC1377" s="110"/>
      <c r="UOD1377" s="110"/>
      <c r="UOE1377" s="110"/>
      <c r="UOF1377" s="110"/>
      <c r="UOG1377" s="110"/>
      <c r="UOH1377" s="110"/>
      <c r="UOI1377" s="110"/>
      <c r="UOJ1377" s="110"/>
      <c r="UOK1377" s="110"/>
      <c r="UOL1377" s="110"/>
      <c r="UOM1377" s="110"/>
      <c r="UON1377" s="110"/>
      <c r="UOO1377" s="110"/>
      <c r="UOP1377" s="110"/>
      <c r="UOQ1377" s="110"/>
      <c r="UOR1377" s="110"/>
      <c r="UOS1377" s="110"/>
      <c r="UOT1377" s="110"/>
      <c r="UOU1377" s="110"/>
      <c r="UOV1377" s="110"/>
      <c r="UOW1377" s="110"/>
      <c r="UOX1377" s="110"/>
      <c r="UOY1377" s="110"/>
      <c r="UOZ1377" s="110"/>
      <c r="UPA1377" s="110"/>
      <c r="UPB1377" s="110"/>
      <c r="UPC1377" s="110"/>
      <c r="UPD1377" s="110"/>
      <c r="UPE1377" s="110"/>
      <c r="UPF1377" s="110"/>
      <c r="UPG1377" s="110"/>
      <c r="UPH1377" s="110"/>
      <c r="UPI1377" s="110"/>
      <c r="UPJ1377" s="110"/>
      <c r="UPK1377" s="110"/>
      <c r="UPL1377" s="110"/>
      <c r="UPM1377" s="110"/>
      <c r="UPN1377" s="110"/>
      <c r="UPO1377" s="110"/>
      <c r="UPP1377" s="110"/>
      <c r="UPQ1377" s="110"/>
      <c r="UPR1377" s="110"/>
      <c r="UPS1377" s="110"/>
      <c r="UPT1377" s="110"/>
      <c r="UPU1377" s="110"/>
      <c r="UPV1377" s="110"/>
      <c r="UPW1377" s="110"/>
      <c r="UPX1377" s="110"/>
      <c r="UPY1377" s="110"/>
      <c r="UPZ1377" s="110"/>
      <c r="UQA1377" s="110"/>
      <c r="UQB1377" s="110"/>
      <c r="UQC1377" s="110"/>
      <c r="UQD1377" s="110"/>
      <c r="UQE1377" s="110"/>
      <c r="UQF1377" s="110"/>
      <c r="UQG1377" s="110"/>
      <c r="UQH1377" s="110"/>
      <c r="UQI1377" s="110"/>
      <c r="UQJ1377" s="110"/>
      <c r="UQK1377" s="110"/>
      <c r="UQL1377" s="110"/>
      <c r="UQM1377" s="110"/>
      <c r="UQN1377" s="110"/>
      <c r="UQO1377" s="110"/>
      <c r="UQP1377" s="110"/>
      <c r="UQQ1377" s="110"/>
      <c r="UQR1377" s="110"/>
      <c r="UQS1377" s="110"/>
      <c r="UQT1377" s="110"/>
      <c r="UQU1377" s="110"/>
      <c r="UQV1377" s="110"/>
      <c r="UQW1377" s="110"/>
      <c r="UQX1377" s="110"/>
      <c r="UQY1377" s="110"/>
      <c r="UQZ1377" s="110"/>
      <c r="URA1377" s="110"/>
      <c r="URB1377" s="110"/>
      <c r="URC1377" s="110"/>
      <c r="URD1377" s="110"/>
      <c r="URE1377" s="110"/>
      <c r="URF1377" s="110"/>
      <c r="URG1377" s="110"/>
      <c r="URH1377" s="110"/>
      <c r="URI1377" s="110"/>
      <c r="URJ1377" s="110"/>
      <c r="URK1377" s="110"/>
      <c r="URL1377" s="110"/>
      <c r="URM1377" s="110"/>
      <c r="URN1377" s="110"/>
      <c r="URO1377" s="110"/>
      <c r="URP1377" s="110"/>
      <c r="URQ1377" s="110"/>
      <c r="URR1377" s="110"/>
      <c r="URS1377" s="110"/>
      <c r="URT1377" s="110"/>
      <c r="URU1377" s="110"/>
      <c r="URV1377" s="110"/>
      <c r="URW1377" s="110"/>
      <c r="URX1377" s="110"/>
      <c r="URY1377" s="110"/>
      <c r="URZ1377" s="110"/>
      <c r="USA1377" s="110"/>
      <c r="USB1377" s="110"/>
      <c r="USC1377" s="110"/>
      <c r="USD1377" s="110"/>
      <c r="USE1377" s="110"/>
      <c r="USF1377" s="110"/>
      <c r="USG1377" s="110"/>
      <c r="USH1377" s="110"/>
      <c r="USI1377" s="110"/>
      <c r="USJ1377" s="110"/>
      <c r="USK1377" s="110"/>
      <c r="USL1377" s="110"/>
      <c r="USM1377" s="110"/>
      <c r="USN1377" s="110"/>
      <c r="USO1377" s="110"/>
      <c r="USP1377" s="110"/>
      <c r="USQ1377" s="110"/>
      <c r="USR1377" s="110"/>
      <c r="USS1377" s="110"/>
      <c r="UST1377" s="110"/>
      <c r="USU1377" s="110"/>
      <c r="USV1377" s="110"/>
      <c r="USW1377" s="110"/>
      <c r="USX1377" s="110"/>
      <c r="USY1377" s="110"/>
      <c r="USZ1377" s="110"/>
      <c r="UTA1377" s="110"/>
      <c r="UTB1377" s="110"/>
      <c r="UTC1377" s="110"/>
      <c r="UTD1377" s="110"/>
      <c r="UTE1377" s="110"/>
      <c r="UTF1377" s="110"/>
      <c r="UTG1377" s="110"/>
      <c r="UTH1377" s="110"/>
      <c r="UTI1377" s="110"/>
      <c r="UTJ1377" s="110"/>
      <c r="UTK1377" s="110"/>
      <c r="UTL1377" s="110"/>
      <c r="UTM1377" s="110"/>
      <c r="UTN1377" s="110"/>
      <c r="UTO1377" s="110"/>
      <c r="UTP1377" s="110"/>
      <c r="UTQ1377" s="110"/>
      <c r="UTR1377" s="110"/>
      <c r="UTS1377" s="110"/>
      <c r="UTT1377" s="110"/>
      <c r="UTU1377" s="110"/>
      <c r="UTV1377" s="110"/>
      <c r="UTW1377" s="110"/>
      <c r="UTX1377" s="110"/>
      <c r="UTY1377" s="110"/>
      <c r="UTZ1377" s="110"/>
      <c r="UUA1377" s="110"/>
      <c r="UUB1377" s="110"/>
      <c r="UUC1377" s="110"/>
      <c r="UUD1377" s="110"/>
      <c r="UUE1377" s="110"/>
      <c r="UUF1377" s="110"/>
      <c r="UUG1377" s="110"/>
      <c r="UUH1377" s="110"/>
      <c r="UUI1377" s="110"/>
      <c r="UUJ1377" s="110"/>
      <c r="UUK1377" s="110"/>
      <c r="UUL1377" s="110"/>
      <c r="UUM1377" s="110"/>
      <c r="UUN1377" s="110"/>
      <c r="UUO1377" s="110"/>
      <c r="UUP1377" s="110"/>
      <c r="UUQ1377" s="110"/>
      <c r="UUR1377" s="110"/>
      <c r="UUS1377" s="110"/>
      <c r="UUT1377" s="110"/>
      <c r="UUU1377" s="110"/>
      <c r="UUV1377" s="110"/>
      <c r="UUW1377" s="110"/>
      <c r="UUX1377" s="110"/>
      <c r="UUY1377" s="110"/>
      <c r="UUZ1377" s="110"/>
      <c r="UVA1377" s="110"/>
      <c r="UVB1377" s="110"/>
      <c r="UVC1377" s="110"/>
      <c r="UVD1377" s="110"/>
      <c r="UVE1377" s="110"/>
      <c r="UVF1377" s="110"/>
      <c r="UVG1377" s="110"/>
      <c r="UVH1377" s="110"/>
      <c r="UVI1377" s="110"/>
      <c r="UVJ1377" s="110"/>
      <c r="UVK1377" s="110"/>
      <c r="UVL1377" s="110"/>
      <c r="UVM1377" s="110"/>
      <c r="UVN1377" s="110"/>
      <c r="UVO1377" s="110"/>
      <c r="UVP1377" s="110"/>
      <c r="UVQ1377" s="110"/>
      <c r="UVR1377" s="110"/>
      <c r="UVS1377" s="110"/>
      <c r="UVT1377" s="110"/>
      <c r="UVU1377" s="110"/>
      <c r="UVV1377" s="110"/>
      <c r="UVW1377" s="110"/>
      <c r="UVX1377" s="110"/>
      <c r="UVY1377" s="110"/>
      <c r="UVZ1377" s="110"/>
      <c r="UWA1377" s="110"/>
      <c r="UWB1377" s="110"/>
      <c r="UWC1377" s="110"/>
      <c r="UWD1377" s="110"/>
      <c r="UWE1377" s="110"/>
      <c r="UWF1377" s="110"/>
      <c r="UWG1377" s="110"/>
      <c r="UWH1377" s="110"/>
      <c r="UWI1377" s="110"/>
      <c r="UWJ1377" s="110"/>
      <c r="UWK1377" s="110"/>
      <c r="UWL1377" s="110"/>
      <c r="UWM1377" s="110"/>
      <c r="UWN1377" s="110"/>
      <c r="UWO1377" s="110"/>
      <c r="UWP1377" s="110"/>
      <c r="UWQ1377" s="110"/>
      <c r="UWR1377" s="110"/>
      <c r="UWS1377" s="110"/>
      <c r="UWT1377" s="110"/>
      <c r="UWU1377" s="110"/>
      <c r="UWV1377" s="110"/>
      <c r="UWW1377" s="110"/>
      <c r="UWX1377" s="110"/>
      <c r="UWY1377" s="110"/>
      <c r="UWZ1377" s="110"/>
      <c r="UXA1377" s="110"/>
      <c r="UXB1377" s="110"/>
      <c r="UXC1377" s="110"/>
      <c r="UXD1377" s="110"/>
      <c r="UXE1377" s="110"/>
      <c r="UXF1377" s="110"/>
      <c r="UXG1377" s="110"/>
      <c r="UXH1377" s="110"/>
      <c r="UXI1377" s="110"/>
      <c r="UXJ1377" s="110"/>
      <c r="UXK1377" s="110"/>
      <c r="UXL1377" s="110"/>
      <c r="UXM1377" s="110"/>
      <c r="UXN1377" s="110"/>
      <c r="UXO1377" s="110"/>
      <c r="UXP1377" s="110"/>
      <c r="UXQ1377" s="110"/>
      <c r="UXR1377" s="110"/>
      <c r="UXS1377" s="110"/>
      <c r="UXT1377" s="110"/>
      <c r="UXU1377" s="110"/>
      <c r="UXV1377" s="110"/>
      <c r="UXW1377" s="110"/>
      <c r="UXX1377" s="110"/>
      <c r="UXY1377" s="110"/>
      <c r="UXZ1377" s="110"/>
      <c r="UYA1377" s="110"/>
      <c r="UYB1377" s="110"/>
      <c r="UYC1377" s="110"/>
      <c r="UYD1377" s="110"/>
      <c r="UYE1377" s="110"/>
      <c r="UYF1377" s="110"/>
      <c r="UYG1377" s="110"/>
      <c r="UYH1377" s="110"/>
      <c r="UYI1377" s="110"/>
      <c r="UYJ1377" s="110"/>
      <c r="UYK1377" s="110"/>
      <c r="UYL1377" s="110"/>
      <c r="UYM1377" s="110"/>
      <c r="UYN1377" s="110"/>
      <c r="UYO1377" s="110"/>
      <c r="UYP1377" s="110"/>
      <c r="UYQ1377" s="110"/>
      <c r="UYR1377" s="110"/>
      <c r="UYS1377" s="110"/>
      <c r="UYT1377" s="110"/>
      <c r="UYU1377" s="110"/>
      <c r="UYV1377" s="110"/>
      <c r="UYW1377" s="110"/>
      <c r="UYX1377" s="110"/>
      <c r="UYY1377" s="110"/>
      <c r="UYZ1377" s="110"/>
      <c r="UZA1377" s="110"/>
      <c r="UZB1377" s="110"/>
      <c r="UZC1377" s="110"/>
      <c r="UZD1377" s="110"/>
      <c r="UZE1377" s="110"/>
      <c r="UZF1377" s="110"/>
      <c r="UZG1377" s="110"/>
      <c r="UZH1377" s="110"/>
      <c r="UZI1377" s="110"/>
      <c r="UZJ1377" s="110"/>
      <c r="UZK1377" s="110"/>
      <c r="UZL1377" s="110"/>
      <c r="UZM1377" s="110"/>
      <c r="UZN1377" s="110"/>
      <c r="UZO1377" s="110"/>
      <c r="UZP1377" s="110"/>
      <c r="UZQ1377" s="110"/>
      <c r="UZR1377" s="110"/>
      <c r="UZS1377" s="110"/>
      <c r="UZT1377" s="110"/>
      <c r="UZU1377" s="110"/>
      <c r="UZV1377" s="110"/>
      <c r="UZW1377" s="110"/>
      <c r="UZX1377" s="110"/>
      <c r="UZY1377" s="110"/>
      <c r="UZZ1377" s="110"/>
      <c r="VAA1377" s="110"/>
      <c r="VAB1377" s="110"/>
      <c r="VAC1377" s="110"/>
      <c r="VAD1377" s="110"/>
      <c r="VAE1377" s="110"/>
      <c r="VAF1377" s="110"/>
      <c r="VAG1377" s="110"/>
      <c r="VAH1377" s="110"/>
      <c r="VAI1377" s="110"/>
      <c r="VAJ1377" s="110"/>
      <c r="VAK1377" s="110"/>
      <c r="VAL1377" s="110"/>
      <c r="VAM1377" s="110"/>
      <c r="VAN1377" s="110"/>
      <c r="VAO1377" s="110"/>
      <c r="VAP1377" s="110"/>
      <c r="VAQ1377" s="110"/>
      <c r="VAR1377" s="110"/>
      <c r="VAS1377" s="110"/>
      <c r="VAT1377" s="110"/>
      <c r="VAU1377" s="110"/>
      <c r="VAV1377" s="110"/>
      <c r="VAW1377" s="110"/>
      <c r="VAX1377" s="110"/>
      <c r="VAY1377" s="110"/>
      <c r="VAZ1377" s="110"/>
      <c r="VBA1377" s="110"/>
      <c r="VBB1377" s="110"/>
      <c r="VBC1377" s="110"/>
      <c r="VBD1377" s="110"/>
      <c r="VBE1377" s="110"/>
      <c r="VBF1377" s="110"/>
      <c r="VBG1377" s="110"/>
      <c r="VBH1377" s="110"/>
      <c r="VBI1377" s="110"/>
      <c r="VBJ1377" s="110"/>
      <c r="VBK1377" s="110"/>
      <c r="VBL1377" s="110"/>
      <c r="VBM1377" s="110"/>
      <c r="VBN1377" s="110"/>
      <c r="VBO1377" s="110"/>
      <c r="VBP1377" s="110"/>
      <c r="VBQ1377" s="110"/>
      <c r="VBR1377" s="110"/>
      <c r="VBS1377" s="110"/>
      <c r="VBT1377" s="110"/>
      <c r="VBU1377" s="110"/>
      <c r="VBV1377" s="110"/>
      <c r="VBW1377" s="110"/>
      <c r="VBX1377" s="110"/>
      <c r="VBY1377" s="110"/>
      <c r="VBZ1377" s="110"/>
      <c r="VCA1377" s="110"/>
      <c r="VCB1377" s="110"/>
      <c r="VCC1377" s="110"/>
      <c r="VCD1377" s="110"/>
      <c r="VCE1377" s="110"/>
      <c r="VCF1377" s="110"/>
      <c r="VCG1377" s="110"/>
      <c r="VCH1377" s="110"/>
      <c r="VCI1377" s="110"/>
      <c r="VCJ1377" s="110"/>
      <c r="VCK1377" s="110"/>
      <c r="VCL1377" s="110"/>
      <c r="VCM1377" s="110"/>
      <c r="VCN1377" s="110"/>
      <c r="VCO1377" s="110"/>
      <c r="VCP1377" s="110"/>
      <c r="VCQ1377" s="110"/>
      <c r="VCR1377" s="110"/>
      <c r="VCS1377" s="110"/>
      <c r="VCT1377" s="110"/>
      <c r="VCU1377" s="110"/>
      <c r="VCV1377" s="110"/>
      <c r="VCW1377" s="110"/>
      <c r="VCX1377" s="110"/>
      <c r="VCY1377" s="110"/>
      <c r="VCZ1377" s="110"/>
      <c r="VDA1377" s="110"/>
      <c r="VDB1377" s="110"/>
      <c r="VDC1377" s="110"/>
      <c r="VDD1377" s="110"/>
      <c r="VDE1377" s="110"/>
      <c r="VDF1377" s="110"/>
      <c r="VDG1377" s="110"/>
      <c r="VDH1377" s="110"/>
      <c r="VDI1377" s="110"/>
      <c r="VDJ1377" s="110"/>
      <c r="VDK1377" s="110"/>
      <c r="VDL1377" s="110"/>
      <c r="VDM1377" s="110"/>
      <c r="VDN1377" s="110"/>
      <c r="VDO1377" s="110"/>
      <c r="VDP1377" s="110"/>
      <c r="VDQ1377" s="110"/>
      <c r="VDR1377" s="110"/>
      <c r="VDS1377" s="110"/>
      <c r="VDT1377" s="110"/>
      <c r="VDU1377" s="110"/>
      <c r="VDV1377" s="110"/>
      <c r="VDW1377" s="110"/>
      <c r="VDX1377" s="110"/>
      <c r="VDY1377" s="110"/>
      <c r="VDZ1377" s="110"/>
      <c r="VEA1377" s="110"/>
      <c r="VEB1377" s="110"/>
      <c r="VEC1377" s="110"/>
      <c r="VED1377" s="110"/>
      <c r="VEE1377" s="110"/>
      <c r="VEF1377" s="110"/>
      <c r="VEG1377" s="110"/>
      <c r="VEH1377" s="110"/>
      <c r="VEI1377" s="110"/>
      <c r="VEJ1377" s="110"/>
      <c r="VEK1377" s="110"/>
      <c r="VEL1377" s="110"/>
      <c r="VEM1377" s="110"/>
      <c r="VEN1377" s="110"/>
      <c r="VEO1377" s="110"/>
      <c r="VEP1377" s="110"/>
      <c r="VEQ1377" s="110"/>
      <c r="VER1377" s="110"/>
      <c r="VES1377" s="110"/>
      <c r="VET1377" s="110"/>
      <c r="VEU1377" s="110"/>
      <c r="VEV1377" s="110"/>
      <c r="VEW1377" s="110"/>
      <c r="VEX1377" s="110"/>
      <c r="VEY1377" s="110"/>
      <c r="VEZ1377" s="110"/>
      <c r="VFA1377" s="110"/>
      <c r="VFB1377" s="110"/>
      <c r="VFC1377" s="110"/>
      <c r="VFD1377" s="110"/>
      <c r="VFE1377" s="110"/>
      <c r="VFF1377" s="110"/>
      <c r="VFG1377" s="110"/>
      <c r="VFH1377" s="110"/>
      <c r="VFI1377" s="110"/>
      <c r="VFJ1377" s="110"/>
      <c r="VFK1377" s="110"/>
      <c r="VFL1377" s="110"/>
      <c r="VFM1377" s="110"/>
      <c r="VFN1377" s="110"/>
      <c r="VFO1377" s="110"/>
      <c r="VFP1377" s="110"/>
      <c r="VFQ1377" s="110"/>
      <c r="VFR1377" s="110"/>
      <c r="VFS1377" s="110"/>
      <c r="VFT1377" s="110"/>
      <c r="VFU1377" s="110"/>
      <c r="VFV1377" s="110"/>
      <c r="VFW1377" s="110"/>
      <c r="VFX1377" s="110"/>
      <c r="VFY1377" s="110"/>
      <c r="VFZ1377" s="110"/>
      <c r="VGA1377" s="110"/>
      <c r="VGB1377" s="110"/>
      <c r="VGC1377" s="110"/>
      <c r="VGD1377" s="110"/>
      <c r="VGE1377" s="110"/>
      <c r="VGF1377" s="110"/>
      <c r="VGG1377" s="110"/>
      <c r="VGH1377" s="110"/>
      <c r="VGI1377" s="110"/>
      <c r="VGJ1377" s="110"/>
      <c r="VGK1377" s="110"/>
      <c r="VGL1377" s="110"/>
      <c r="VGM1377" s="110"/>
      <c r="VGN1377" s="110"/>
      <c r="VGO1377" s="110"/>
      <c r="VGP1377" s="110"/>
      <c r="VGQ1377" s="110"/>
      <c r="VGR1377" s="110"/>
      <c r="VGS1377" s="110"/>
      <c r="VGT1377" s="110"/>
      <c r="VGU1377" s="110"/>
      <c r="VGV1377" s="110"/>
      <c r="VGW1377" s="110"/>
      <c r="VGX1377" s="110"/>
      <c r="VGY1377" s="110"/>
      <c r="VGZ1377" s="110"/>
      <c r="VHA1377" s="110"/>
      <c r="VHB1377" s="110"/>
      <c r="VHC1377" s="110"/>
      <c r="VHD1377" s="110"/>
      <c r="VHE1377" s="110"/>
      <c r="VHF1377" s="110"/>
      <c r="VHG1377" s="110"/>
      <c r="VHH1377" s="110"/>
      <c r="VHI1377" s="110"/>
      <c r="VHJ1377" s="110"/>
      <c r="VHK1377" s="110"/>
      <c r="VHL1377" s="110"/>
      <c r="VHM1377" s="110"/>
      <c r="VHN1377" s="110"/>
      <c r="VHO1377" s="110"/>
      <c r="VHP1377" s="110"/>
      <c r="VHQ1377" s="110"/>
      <c r="VHR1377" s="110"/>
      <c r="VHS1377" s="110"/>
      <c r="VHT1377" s="110"/>
      <c r="VHU1377" s="110"/>
      <c r="VHV1377" s="110"/>
      <c r="VHW1377" s="110"/>
      <c r="VHX1377" s="110"/>
      <c r="VHY1377" s="110"/>
      <c r="VHZ1377" s="110"/>
      <c r="VIA1377" s="110"/>
      <c r="VIB1377" s="110"/>
      <c r="VIC1377" s="110"/>
      <c r="VID1377" s="110"/>
      <c r="VIE1377" s="110"/>
      <c r="VIF1377" s="110"/>
      <c r="VIG1377" s="110"/>
      <c r="VIH1377" s="110"/>
      <c r="VII1377" s="110"/>
      <c r="VIJ1377" s="110"/>
      <c r="VIK1377" s="110"/>
      <c r="VIL1377" s="110"/>
      <c r="VIM1377" s="110"/>
      <c r="VIN1377" s="110"/>
      <c r="VIO1377" s="110"/>
      <c r="VIP1377" s="110"/>
      <c r="VIQ1377" s="110"/>
      <c r="VIR1377" s="110"/>
      <c r="VIS1377" s="110"/>
      <c r="VIT1377" s="110"/>
      <c r="VIU1377" s="110"/>
      <c r="VIV1377" s="110"/>
      <c r="VIW1377" s="110"/>
      <c r="VIX1377" s="110"/>
      <c r="VIY1377" s="110"/>
      <c r="VIZ1377" s="110"/>
      <c r="VJA1377" s="110"/>
      <c r="VJB1377" s="110"/>
      <c r="VJC1377" s="110"/>
      <c r="VJD1377" s="110"/>
      <c r="VJE1377" s="110"/>
      <c r="VJF1377" s="110"/>
      <c r="VJG1377" s="110"/>
      <c r="VJH1377" s="110"/>
      <c r="VJI1377" s="110"/>
      <c r="VJJ1377" s="110"/>
      <c r="VJK1377" s="110"/>
      <c r="VJL1377" s="110"/>
      <c r="VJM1377" s="110"/>
      <c r="VJN1377" s="110"/>
      <c r="VJO1377" s="110"/>
      <c r="VJP1377" s="110"/>
      <c r="VJQ1377" s="110"/>
      <c r="VJR1377" s="110"/>
      <c r="VJS1377" s="110"/>
      <c r="VJT1377" s="110"/>
      <c r="VJU1377" s="110"/>
      <c r="VJV1377" s="110"/>
      <c r="VJW1377" s="110"/>
      <c r="VJX1377" s="110"/>
      <c r="VJY1377" s="110"/>
      <c r="VJZ1377" s="110"/>
      <c r="VKA1377" s="110"/>
      <c r="VKB1377" s="110"/>
      <c r="VKC1377" s="110"/>
      <c r="VKD1377" s="110"/>
      <c r="VKE1377" s="110"/>
      <c r="VKF1377" s="110"/>
      <c r="VKG1377" s="110"/>
      <c r="VKH1377" s="110"/>
      <c r="VKI1377" s="110"/>
      <c r="VKJ1377" s="110"/>
      <c r="VKK1377" s="110"/>
      <c r="VKL1377" s="110"/>
      <c r="VKM1377" s="110"/>
      <c r="VKN1377" s="110"/>
      <c r="VKO1377" s="110"/>
      <c r="VKP1377" s="110"/>
      <c r="VKQ1377" s="110"/>
      <c r="VKR1377" s="110"/>
      <c r="VKS1377" s="110"/>
      <c r="VKT1377" s="110"/>
      <c r="VKU1377" s="110"/>
      <c r="VKV1377" s="110"/>
      <c r="VKW1377" s="110"/>
      <c r="VKX1377" s="110"/>
      <c r="VKY1377" s="110"/>
      <c r="VKZ1377" s="110"/>
      <c r="VLA1377" s="110"/>
      <c r="VLB1377" s="110"/>
      <c r="VLC1377" s="110"/>
      <c r="VLD1377" s="110"/>
      <c r="VLE1377" s="110"/>
      <c r="VLF1377" s="110"/>
      <c r="VLG1377" s="110"/>
      <c r="VLH1377" s="110"/>
      <c r="VLI1377" s="110"/>
      <c r="VLJ1377" s="110"/>
      <c r="VLK1377" s="110"/>
      <c r="VLL1377" s="110"/>
      <c r="VLM1377" s="110"/>
      <c r="VLN1377" s="110"/>
      <c r="VLO1377" s="110"/>
      <c r="VLP1377" s="110"/>
      <c r="VLQ1377" s="110"/>
      <c r="VLR1377" s="110"/>
      <c r="VLS1377" s="110"/>
      <c r="VLT1377" s="110"/>
      <c r="VLU1377" s="110"/>
      <c r="VLV1377" s="110"/>
      <c r="VLW1377" s="110"/>
      <c r="VLX1377" s="110"/>
      <c r="VLY1377" s="110"/>
      <c r="VLZ1377" s="110"/>
      <c r="VMA1377" s="110"/>
      <c r="VMB1377" s="110"/>
      <c r="VMC1377" s="110"/>
      <c r="VMD1377" s="110"/>
      <c r="VME1377" s="110"/>
      <c r="VMF1377" s="110"/>
      <c r="VMG1377" s="110"/>
      <c r="VMH1377" s="110"/>
      <c r="VMI1377" s="110"/>
      <c r="VMJ1377" s="110"/>
      <c r="VMK1377" s="110"/>
      <c r="VML1377" s="110"/>
      <c r="VMM1377" s="110"/>
      <c r="VMN1377" s="110"/>
      <c r="VMO1377" s="110"/>
      <c r="VMP1377" s="110"/>
      <c r="VMQ1377" s="110"/>
      <c r="VMR1377" s="110"/>
      <c r="VMS1377" s="110"/>
      <c r="VMT1377" s="110"/>
      <c r="VMU1377" s="110"/>
      <c r="VMV1377" s="110"/>
      <c r="VMW1377" s="110"/>
      <c r="VMX1377" s="110"/>
      <c r="VMY1377" s="110"/>
      <c r="VMZ1377" s="110"/>
      <c r="VNA1377" s="110"/>
      <c r="VNB1377" s="110"/>
      <c r="VNC1377" s="110"/>
      <c r="VND1377" s="110"/>
      <c r="VNE1377" s="110"/>
      <c r="VNF1377" s="110"/>
      <c r="VNG1377" s="110"/>
      <c r="VNH1377" s="110"/>
      <c r="VNI1377" s="110"/>
      <c r="VNJ1377" s="110"/>
      <c r="VNK1377" s="110"/>
      <c r="VNL1377" s="110"/>
      <c r="VNM1377" s="110"/>
      <c r="VNN1377" s="110"/>
      <c r="VNO1377" s="110"/>
      <c r="VNP1377" s="110"/>
      <c r="VNQ1377" s="110"/>
      <c r="VNR1377" s="110"/>
      <c r="VNS1377" s="110"/>
      <c r="VNT1377" s="110"/>
      <c r="VNU1377" s="110"/>
      <c r="VNV1377" s="110"/>
      <c r="VNW1377" s="110"/>
      <c r="VNX1377" s="110"/>
      <c r="VNY1377" s="110"/>
      <c r="VNZ1377" s="110"/>
      <c r="VOA1377" s="110"/>
      <c r="VOB1377" s="110"/>
      <c r="VOC1377" s="110"/>
      <c r="VOD1377" s="110"/>
      <c r="VOE1377" s="110"/>
      <c r="VOF1377" s="110"/>
      <c r="VOG1377" s="110"/>
      <c r="VOH1377" s="110"/>
      <c r="VOI1377" s="110"/>
      <c r="VOJ1377" s="110"/>
      <c r="VOK1377" s="110"/>
      <c r="VOL1377" s="110"/>
      <c r="VOM1377" s="110"/>
      <c r="VON1377" s="110"/>
      <c r="VOO1377" s="110"/>
      <c r="VOP1377" s="110"/>
      <c r="VOQ1377" s="110"/>
      <c r="VOR1377" s="110"/>
      <c r="VOS1377" s="110"/>
      <c r="VOT1377" s="110"/>
      <c r="VOU1377" s="110"/>
      <c r="VOV1377" s="110"/>
      <c r="VOW1377" s="110"/>
      <c r="VOX1377" s="110"/>
      <c r="VOY1377" s="110"/>
      <c r="VOZ1377" s="110"/>
      <c r="VPA1377" s="110"/>
      <c r="VPB1377" s="110"/>
      <c r="VPC1377" s="110"/>
      <c r="VPD1377" s="110"/>
      <c r="VPE1377" s="110"/>
      <c r="VPF1377" s="110"/>
      <c r="VPG1377" s="110"/>
      <c r="VPH1377" s="110"/>
      <c r="VPI1377" s="110"/>
      <c r="VPJ1377" s="110"/>
      <c r="VPK1377" s="110"/>
      <c r="VPL1377" s="110"/>
      <c r="VPM1377" s="110"/>
      <c r="VPN1377" s="110"/>
      <c r="VPO1377" s="110"/>
      <c r="VPP1377" s="110"/>
      <c r="VPQ1377" s="110"/>
      <c r="VPR1377" s="110"/>
      <c r="VPS1377" s="110"/>
      <c r="VPT1377" s="110"/>
      <c r="VPU1377" s="110"/>
      <c r="VPV1377" s="110"/>
      <c r="VPW1377" s="110"/>
      <c r="VPX1377" s="110"/>
      <c r="VPY1377" s="110"/>
      <c r="VPZ1377" s="110"/>
      <c r="VQA1377" s="110"/>
      <c r="VQB1377" s="110"/>
      <c r="VQC1377" s="110"/>
      <c r="VQD1377" s="110"/>
      <c r="VQE1377" s="110"/>
      <c r="VQF1377" s="110"/>
      <c r="VQG1377" s="110"/>
      <c r="VQH1377" s="110"/>
      <c r="VQI1377" s="110"/>
      <c r="VQJ1377" s="110"/>
      <c r="VQK1377" s="110"/>
      <c r="VQL1377" s="110"/>
      <c r="VQM1377" s="110"/>
      <c r="VQN1377" s="110"/>
      <c r="VQO1377" s="110"/>
      <c r="VQP1377" s="110"/>
      <c r="VQQ1377" s="110"/>
      <c r="VQR1377" s="110"/>
      <c r="VQS1377" s="110"/>
      <c r="VQT1377" s="110"/>
      <c r="VQU1377" s="110"/>
      <c r="VQV1377" s="110"/>
      <c r="VQW1377" s="110"/>
      <c r="VQX1377" s="110"/>
      <c r="VQY1377" s="110"/>
      <c r="VQZ1377" s="110"/>
      <c r="VRA1377" s="110"/>
      <c r="VRB1377" s="110"/>
      <c r="VRC1377" s="110"/>
      <c r="VRD1377" s="110"/>
      <c r="VRE1377" s="110"/>
      <c r="VRF1377" s="110"/>
      <c r="VRG1377" s="110"/>
      <c r="VRH1377" s="110"/>
      <c r="VRI1377" s="110"/>
      <c r="VRJ1377" s="110"/>
      <c r="VRK1377" s="110"/>
      <c r="VRL1377" s="110"/>
      <c r="VRM1377" s="110"/>
      <c r="VRN1377" s="110"/>
      <c r="VRO1377" s="110"/>
      <c r="VRP1377" s="110"/>
      <c r="VRQ1377" s="110"/>
      <c r="VRR1377" s="110"/>
      <c r="VRS1377" s="110"/>
      <c r="VRT1377" s="110"/>
      <c r="VRU1377" s="110"/>
      <c r="VRV1377" s="110"/>
      <c r="VRW1377" s="110"/>
      <c r="VRX1377" s="110"/>
      <c r="VRY1377" s="110"/>
      <c r="VRZ1377" s="110"/>
      <c r="VSA1377" s="110"/>
      <c r="VSB1377" s="110"/>
      <c r="VSC1377" s="110"/>
      <c r="VSD1377" s="110"/>
      <c r="VSE1377" s="110"/>
      <c r="VSF1377" s="110"/>
      <c r="VSG1377" s="110"/>
      <c r="VSH1377" s="110"/>
      <c r="VSI1377" s="110"/>
      <c r="VSJ1377" s="110"/>
      <c r="VSK1377" s="110"/>
      <c r="VSL1377" s="110"/>
      <c r="VSM1377" s="110"/>
      <c r="VSN1377" s="110"/>
      <c r="VSO1377" s="110"/>
      <c r="VSP1377" s="110"/>
      <c r="VSQ1377" s="110"/>
      <c r="VSR1377" s="110"/>
      <c r="VSS1377" s="110"/>
      <c r="VST1377" s="110"/>
      <c r="VSU1377" s="110"/>
      <c r="VSV1377" s="110"/>
      <c r="VSW1377" s="110"/>
      <c r="VSX1377" s="110"/>
      <c r="VSY1377" s="110"/>
      <c r="VSZ1377" s="110"/>
      <c r="VTA1377" s="110"/>
      <c r="VTB1377" s="110"/>
      <c r="VTC1377" s="110"/>
      <c r="VTD1377" s="110"/>
      <c r="VTE1377" s="110"/>
      <c r="VTF1377" s="110"/>
      <c r="VTG1377" s="110"/>
      <c r="VTH1377" s="110"/>
      <c r="VTI1377" s="110"/>
      <c r="VTJ1377" s="110"/>
      <c r="VTK1377" s="110"/>
      <c r="VTL1377" s="110"/>
      <c r="VTM1377" s="110"/>
      <c r="VTN1377" s="110"/>
      <c r="VTO1377" s="110"/>
      <c r="VTP1377" s="110"/>
      <c r="VTQ1377" s="110"/>
      <c r="VTR1377" s="110"/>
      <c r="VTS1377" s="110"/>
      <c r="VTT1377" s="110"/>
      <c r="VTU1377" s="110"/>
      <c r="VTV1377" s="110"/>
      <c r="VTW1377" s="110"/>
      <c r="VTX1377" s="110"/>
      <c r="VTY1377" s="110"/>
      <c r="VTZ1377" s="110"/>
      <c r="VUA1377" s="110"/>
      <c r="VUB1377" s="110"/>
      <c r="VUC1377" s="110"/>
      <c r="VUD1377" s="110"/>
      <c r="VUE1377" s="110"/>
      <c r="VUF1377" s="110"/>
      <c r="VUG1377" s="110"/>
      <c r="VUH1377" s="110"/>
      <c r="VUI1377" s="110"/>
      <c r="VUJ1377" s="110"/>
      <c r="VUK1377" s="110"/>
      <c r="VUL1377" s="110"/>
      <c r="VUM1377" s="110"/>
      <c r="VUN1377" s="110"/>
      <c r="VUO1377" s="110"/>
      <c r="VUP1377" s="110"/>
      <c r="VUQ1377" s="110"/>
      <c r="VUR1377" s="110"/>
      <c r="VUS1377" s="110"/>
      <c r="VUT1377" s="110"/>
      <c r="VUU1377" s="110"/>
      <c r="VUV1377" s="110"/>
      <c r="VUW1377" s="110"/>
      <c r="VUX1377" s="110"/>
      <c r="VUY1377" s="110"/>
      <c r="VUZ1377" s="110"/>
      <c r="VVA1377" s="110"/>
      <c r="VVB1377" s="110"/>
      <c r="VVC1377" s="110"/>
      <c r="VVD1377" s="110"/>
      <c r="VVE1377" s="110"/>
      <c r="VVF1377" s="110"/>
      <c r="VVG1377" s="110"/>
      <c r="VVH1377" s="110"/>
      <c r="VVI1377" s="110"/>
      <c r="VVJ1377" s="110"/>
      <c r="VVK1377" s="110"/>
      <c r="VVL1377" s="110"/>
      <c r="VVM1377" s="110"/>
      <c r="VVN1377" s="110"/>
      <c r="VVO1377" s="110"/>
      <c r="VVP1377" s="110"/>
      <c r="VVQ1377" s="110"/>
      <c r="VVR1377" s="110"/>
      <c r="VVS1377" s="110"/>
      <c r="VVT1377" s="110"/>
      <c r="VVU1377" s="110"/>
      <c r="VVV1377" s="110"/>
      <c r="VVW1377" s="110"/>
      <c r="VVX1377" s="110"/>
      <c r="VVY1377" s="110"/>
      <c r="VVZ1377" s="110"/>
      <c r="VWA1377" s="110"/>
      <c r="VWB1377" s="110"/>
      <c r="VWC1377" s="110"/>
      <c r="VWD1377" s="110"/>
      <c r="VWE1377" s="110"/>
      <c r="VWF1377" s="110"/>
      <c r="VWG1377" s="110"/>
      <c r="VWH1377" s="110"/>
      <c r="VWI1377" s="110"/>
      <c r="VWJ1377" s="110"/>
      <c r="VWK1377" s="110"/>
      <c r="VWL1377" s="110"/>
      <c r="VWM1377" s="110"/>
      <c r="VWN1377" s="110"/>
      <c r="VWO1377" s="110"/>
      <c r="VWP1377" s="110"/>
      <c r="VWQ1377" s="110"/>
      <c r="VWR1377" s="110"/>
      <c r="VWS1377" s="110"/>
      <c r="VWT1377" s="110"/>
      <c r="VWU1377" s="110"/>
      <c r="VWV1377" s="110"/>
      <c r="VWW1377" s="110"/>
      <c r="VWX1377" s="110"/>
      <c r="VWY1377" s="110"/>
      <c r="VWZ1377" s="110"/>
      <c r="VXA1377" s="110"/>
      <c r="VXB1377" s="110"/>
      <c r="VXC1377" s="110"/>
      <c r="VXD1377" s="110"/>
      <c r="VXE1377" s="110"/>
      <c r="VXF1377" s="110"/>
      <c r="VXG1377" s="110"/>
      <c r="VXH1377" s="110"/>
      <c r="VXI1377" s="110"/>
      <c r="VXJ1377" s="110"/>
      <c r="VXK1377" s="110"/>
      <c r="VXL1377" s="110"/>
      <c r="VXM1377" s="110"/>
      <c r="VXN1377" s="110"/>
      <c r="VXO1377" s="110"/>
      <c r="VXP1377" s="110"/>
      <c r="VXQ1377" s="110"/>
      <c r="VXR1377" s="110"/>
      <c r="VXS1377" s="110"/>
      <c r="VXT1377" s="110"/>
      <c r="VXU1377" s="110"/>
      <c r="VXV1377" s="110"/>
      <c r="VXW1377" s="110"/>
      <c r="VXX1377" s="110"/>
      <c r="VXY1377" s="110"/>
      <c r="VXZ1377" s="110"/>
      <c r="VYA1377" s="110"/>
      <c r="VYB1377" s="110"/>
      <c r="VYC1377" s="110"/>
      <c r="VYD1377" s="110"/>
      <c r="VYE1377" s="110"/>
      <c r="VYF1377" s="110"/>
      <c r="VYG1377" s="110"/>
      <c r="VYH1377" s="110"/>
      <c r="VYI1377" s="110"/>
      <c r="VYJ1377" s="110"/>
      <c r="VYK1377" s="110"/>
      <c r="VYL1377" s="110"/>
      <c r="VYM1377" s="110"/>
      <c r="VYN1377" s="110"/>
      <c r="VYO1377" s="110"/>
      <c r="VYP1377" s="110"/>
      <c r="VYQ1377" s="110"/>
      <c r="VYR1377" s="110"/>
      <c r="VYS1377" s="110"/>
      <c r="VYT1377" s="110"/>
      <c r="VYU1377" s="110"/>
      <c r="VYV1377" s="110"/>
      <c r="VYW1377" s="110"/>
      <c r="VYX1377" s="110"/>
      <c r="VYY1377" s="110"/>
      <c r="VYZ1377" s="110"/>
      <c r="VZA1377" s="110"/>
      <c r="VZB1377" s="110"/>
      <c r="VZC1377" s="110"/>
      <c r="VZD1377" s="110"/>
      <c r="VZE1377" s="110"/>
      <c r="VZF1377" s="110"/>
      <c r="VZG1377" s="110"/>
      <c r="VZH1377" s="110"/>
      <c r="VZI1377" s="110"/>
      <c r="VZJ1377" s="110"/>
      <c r="VZK1377" s="110"/>
      <c r="VZL1377" s="110"/>
      <c r="VZM1377" s="110"/>
      <c r="VZN1377" s="110"/>
      <c r="VZO1377" s="110"/>
      <c r="VZP1377" s="110"/>
      <c r="VZQ1377" s="110"/>
      <c r="VZR1377" s="110"/>
      <c r="VZS1377" s="110"/>
      <c r="VZT1377" s="110"/>
      <c r="VZU1377" s="110"/>
      <c r="VZV1377" s="110"/>
      <c r="VZW1377" s="110"/>
      <c r="VZX1377" s="110"/>
      <c r="VZY1377" s="110"/>
      <c r="VZZ1377" s="110"/>
      <c r="WAA1377" s="110"/>
      <c r="WAB1377" s="110"/>
      <c r="WAC1377" s="110"/>
      <c r="WAD1377" s="110"/>
      <c r="WAE1377" s="110"/>
      <c r="WAF1377" s="110"/>
      <c r="WAG1377" s="110"/>
      <c r="WAH1377" s="110"/>
      <c r="WAI1377" s="110"/>
      <c r="WAJ1377" s="110"/>
      <c r="WAK1377" s="110"/>
      <c r="WAL1377" s="110"/>
      <c r="WAM1377" s="110"/>
      <c r="WAN1377" s="110"/>
      <c r="WAO1377" s="110"/>
      <c r="WAP1377" s="110"/>
      <c r="WAQ1377" s="110"/>
      <c r="WAR1377" s="110"/>
      <c r="WAS1377" s="110"/>
      <c r="WAT1377" s="110"/>
      <c r="WAU1377" s="110"/>
      <c r="WAV1377" s="110"/>
      <c r="WAW1377" s="110"/>
      <c r="WAX1377" s="110"/>
      <c r="WAY1377" s="110"/>
      <c r="WAZ1377" s="110"/>
      <c r="WBA1377" s="110"/>
      <c r="WBB1377" s="110"/>
      <c r="WBC1377" s="110"/>
      <c r="WBD1377" s="110"/>
      <c r="WBE1377" s="110"/>
      <c r="WBF1377" s="110"/>
      <c r="WBG1377" s="110"/>
      <c r="WBH1377" s="110"/>
      <c r="WBI1377" s="110"/>
      <c r="WBJ1377" s="110"/>
      <c r="WBK1377" s="110"/>
      <c r="WBL1377" s="110"/>
      <c r="WBM1377" s="110"/>
      <c r="WBN1377" s="110"/>
      <c r="WBO1377" s="110"/>
      <c r="WBP1377" s="110"/>
      <c r="WBQ1377" s="110"/>
      <c r="WBR1377" s="110"/>
      <c r="WBS1377" s="110"/>
      <c r="WBT1377" s="110"/>
      <c r="WBU1377" s="110"/>
      <c r="WBV1377" s="110"/>
      <c r="WBW1377" s="110"/>
      <c r="WBX1377" s="110"/>
      <c r="WBY1377" s="110"/>
      <c r="WBZ1377" s="110"/>
      <c r="WCA1377" s="110"/>
      <c r="WCB1377" s="110"/>
      <c r="WCC1377" s="110"/>
      <c r="WCD1377" s="110"/>
      <c r="WCE1377" s="110"/>
      <c r="WCF1377" s="110"/>
      <c r="WCG1377" s="110"/>
      <c r="WCH1377" s="110"/>
      <c r="WCI1377" s="110"/>
      <c r="WCJ1377" s="110"/>
      <c r="WCK1377" s="110"/>
      <c r="WCL1377" s="110"/>
      <c r="WCM1377" s="110"/>
      <c r="WCN1377" s="110"/>
      <c r="WCO1377" s="110"/>
      <c r="WCP1377" s="110"/>
      <c r="WCQ1377" s="110"/>
      <c r="WCR1377" s="110"/>
      <c r="WCS1377" s="110"/>
      <c r="WCT1377" s="110"/>
      <c r="WCU1377" s="110"/>
      <c r="WCV1377" s="110"/>
      <c r="WCW1377" s="110"/>
      <c r="WCX1377" s="110"/>
      <c r="WCY1377" s="110"/>
      <c r="WCZ1377" s="110"/>
      <c r="WDA1377" s="110"/>
      <c r="WDB1377" s="110"/>
      <c r="WDC1377" s="110"/>
      <c r="WDD1377" s="110"/>
      <c r="WDE1377" s="110"/>
      <c r="WDF1377" s="110"/>
      <c r="WDG1377" s="110"/>
      <c r="WDH1377" s="110"/>
      <c r="WDI1377" s="110"/>
      <c r="WDJ1377" s="110"/>
      <c r="WDK1377" s="110"/>
      <c r="WDL1377" s="110"/>
      <c r="WDM1377" s="110"/>
      <c r="WDN1377" s="110"/>
      <c r="WDO1377" s="110"/>
      <c r="WDP1377" s="110"/>
      <c r="WDQ1377" s="110"/>
      <c r="WDR1377" s="110"/>
      <c r="WDS1377" s="110"/>
      <c r="WDT1377" s="110"/>
      <c r="WDU1377" s="110"/>
      <c r="WDV1377" s="110"/>
      <c r="WDW1377" s="110"/>
      <c r="WDX1377" s="110"/>
      <c r="WDY1377" s="110"/>
      <c r="WDZ1377" s="110"/>
      <c r="WEA1377" s="110"/>
      <c r="WEB1377" s="110"/>
      <c r="WEC1377" s="110"/>
      <c r="WED1377" s="110"/>
      <c r="WEE1377" s="110"/>
      <c r="WEF1377" s="110"/>
      <c r="WEG1377" s="110"/>
      <c r="WEH1377" s="110"/>
      <c r="WEI1377" s="110"/>
      <c r="WEJ1377" s="110"/>
      <c r="WEK1377" s="110"/>
      <c r="WEL1377" s="110"/>
      <c r="WEM1377" s="110"/>
      <c r="WEN1377" s="110"/>
      <c r="WEO1377" s="110"/>
      <c r="WEP1377" s="110"/>
      <c r="WEQ1377" s="110"/>
      <c r="WER1377" s="110"/>
      <c r="WES1377" s="110"/>
      <c r="WET1377" s="110"/>
      <c r="WEU1377" s="110"/>
      <c r="WEV1377" s="110"/>
      <c r="WEW1377" s="110"/>
      <c r="WEX1377" s="110"/>
      <c r="WEY1377" s="110"/>
      <c r="WEZ1377" s="110"/>
      <c r="WFA1377" s="110"/>
      <c r="WFB1377" s="110"/>
      <c r="WFC1377" s="110"/>
      <c r="WFD1377" s="110"/>
      <c r="WFE1377" s="110"/>
      <c r="WFF1377" s="110"/>
      <c r="WFG1377" s="110"/>
      <c r="WFH1377" s="110"/>
      <c r="WFI1377" s="110"/>
      <c r="WFJ1377" s="110"/>
      <c r="WFK1377" s="110"/>
      <c r="WFL1377" s="110"/>
      <c r="WFM1377" s="110"/>
      <c r="WFN1377" s="110"/>
      <c r="WFO1377" s="110"/>
      <c r="WFP1377" s="110"/>
      <c r="WFQ1377" s="110"/>
      <c r="WFR1377" s="110"/>
      <c r="WFS1377" s="110"/>
      <c r="WFT1377" s="110"/>
      <c r="WFU1377" s="110"/>
      <c r="WFV1377" s="110"/>
      <c r="WFW1377" s="110"/>
      <c r="WFX1377" s="110"/>
      <c r="WFY1377" s="110"/>
      <c r="WFZ1377" s="110"/>
      <c r="WGA1377" s="110"/>
      <c r="WGB1377" s="110"/>
      <c r="WGC1377" s="110"/>
      <c r="WGD1377" s="110"/>
      <c r="WGE1377" s="110"/>
      <c r="WGF1377" s="110"/>
      <c r="WGG1377" s="110"/>
      <c r="WGH1377" s="110"/>
      <c r="WGI1377" s="110"/>
      <c r="WGJ1377" s="110"/>
      <c r="WGK1377" s="110"/>
      <c r="WGL1377" s="110"/>
      <c r="WGM1377" s="110"/>
      <c r="WGN1377" s="110"/>
      <c r="WGO1377" s="110"/>
      <c r="WGP1377" s="110"/>
      <c r="WGQ1377" s="110"/>
      <c r="WGR1377" s="110"/>
      <c r="WGS1377" s="110"/>
      <c r="WGT1377" s="110"/>
      <c r="WGU1377" s="110"/>
      <c r="WGV1377" s="110"/>
      <c r="WGW1377" s="110"/>
      <c r="WGX1377" s="110"/>
      <c r="WGY1377" s="110"/>
      <c r="WGZ1377" s="110"/>
      <c r="WHA1377" s="110"/>
      <c r="WHB1377" s="110"/>
      <c r="WHC1377" s="110"/>
      <c r="WHD1377" s="110"/>
      <c r="WHE1377" s="110"/>
      <c r="WHF1377" s="110"/>
      <c r="WHG1377" s="110"/>
      <c r="WHH1377" s="110"/>
      <c r="WHI1377" s="110"/>
      <c r="WHJ1377" s="110"/>
      <c r="WHK1377" s="110"/>
      <c r="WHL1377" s="110"/>
      <c r="WHM1377" s="110"/>
      <c r="WHN1377" s="110"/>
      <c r="WHO1377" s="110"/>
      <c r="WHP1377" s="110"/>
      <c r="WHQ1377" s="110"/>
      <c r="WHR1377" s="110"/>
      <c r="WHS1377" s="110"/>
      <c r="WHT1377" s="110"/>
      <c r="WHU1377" s="110"/>
      <c r="WHV1377" s="110"/>
      <c r="WHW1377" s="110"/>
      <c r="WHX1377" s="110"/>
      <c r="WHY1377" s="110"/>
      <c r="WHZ1377" s="110"/>
      <c r="WIA1377" s="110"/>
      <c r="WIB1377" s="110"/>
      <c r="WIC1377" s="110"/>
      <c r="WID1377" s="110"/>
      <c r="WIE1377" s="110"/>
      <c r="WIF1377" s="110"/>
      <c r="WIG1377" s="110"/>
      <c r="WIH1377" s="110"/>
      <c r="WII1377" s="110"/>
      <c r="WIJ1377" s="110"/>
      <c r="WIK1377" s="110"/>
      <c r="WIL1377" s="110"/>
      <c r="WIM1377" s="110"/>
      <c r="WIN1377" s="110"/>
      <c r="WIO1377" s="110"/>
      <c r="WIP1377" s="110"/>
      <c r="WIQ1377" s="110"/>
      <c r="WIR1377" s="110"/>
      <c r="WIS1377" s="110"/>
      <c r="WIT1377" s="110"/>
      <c r="WIU1377" s="110"/>
      <c r="WIV1377" s="110"/>
      <c r="WIW1377" s="110"/>
      <c r="WIX1377" s="110"/>
      <c r="WIY1377" s="110"/>
      <c r="WIZ1377" s="110"/>
      <c r="WJA1377" s="110"/>
      <c r="WJB1377" s="110"/>
      <c r="WJC1377" s="110"/>
      <c r="WJD1377" s="110"/>
      <c r="WJE1377" s="110"/>
      <c r="WJF1377" s="110"/>
      <c r="WJG1377" s="110"/>
      <c r="WJH1377" s="110"/>
      <c r="WJI1377" s="110"/>
      <c r="WJJ1377" s="110"/>
      <c r="WJK1377" s="110"/>
      <c r="WJL1377" s="110"/>
      <c r="WJM1377" s="110"/>
      <c r="WJN1377" s="110"/>
      <c r="WJO1377" s="110"/>
      <c r="WJP1377" s="110"/>
      <c r="WJQ1377" s="110"/>
      <c r="WJR1377" s="110"/>
      <c r="WJS1377" s="110"/>
      <c r="WJT1377" s="110"/>
      <c r="WJU1377" s="110"/>
      <c r="WJV1377" s="110"/>
      <c r="WJW1377" s="110"/>
      <c r="WJX1377" s="110"/>
      <c r="WJY1377" s="110"/>
      <c r="WJZ1377" s="110"/>
      <c r="WKA1377" s="110"/>
      <c r="WKB1377" s="110"/>
      <c r="WKC1377" s="110"/>
      <c r="WKD1377" s="110"/>
      <c r="WKE1377" s="110"/>
      <c r="WKF1377" s="110"/>
      <c r="WKG1377" s="110"/>
      <c r="WKH1377" s="110"/>
      <c r="WKI1377" s="110"/>
      <c r="WKJ1377" s="110"/>
      <c r="WKK1377" s="110"/>
      <c r="WKL1377" s="110"/>
      <c r="WKM1377" s="110"/>
      <c r="WKN1377" s="110"/>
      <c r="WKO1377" s="110"/>
      <c r="WKP1377" s="110"/>
      <c r="WKQ1377" s="110"/>
      <c r="WKR1377" s="110"/>
      <c r="WKS1377" s="110"/>
      <c r="WKT1377" s="110"/>
      <c r="WKU1377" s="110"/>
      <c r="WKV1377" s="110"/>
      <c r="WKW1377" s="110"/>
      <c r="WKX1377" s="110"/>
      <c r="WKY1377" s="110"/>
      <c r="WKZ1377" s="110"/>
      <c r="WLA1377" s="110"/>
      <c r="WLB1377" s="110"/>
      <c r="WLC1377" s="110"/>
      <c r="WLD1377" s="110"/>
      <c r="WLE1377" s="110"/>
      <c r="WLF1377" s="110"/>
      <c r="WLG1377" s="110"/>
      <c r="WLH1377" s="110"/>
      <c r="WLI1377" s="110"/>
      <c r="WLJ1377" s="110"/>
      <c r="WLK1377" s="110"/>
      <c r="WLL1377" s="110"/>
      <c r="WLM1377" s="110"/>
      <c r="WLN1377" s="110"/>
      <c r="WLO1377" s="110"/>
      <c r="WLP1377" s="110"/>
      <c r="WLQ1377" s="110"/>
      <c r="WLR1377" s="110"/>
      <c r="WLS1377" s="110"/>
      <c r="WLT1377" s="110"/>
      <c r="WLU1377" s="110"/>
      <c r="WLV1377" s="110"/>
      <c r="WLW1377" s="110"/>
      <c r="WLX1377" s="110"/>
      <c r="WLY1377" s="110"/>
      <c r="WLZ1377" s="110"/>
      <c r="WMA1377" s="110"/>
      <c r="WMB1377" s="110"/>
      <c r="WMC1377" s="110"/>
      <c r="WMD1377" s="110"/>
      <c r="WME1377" s="110"/>
      <c r="WMF1377" s="110"/>
      <c r="WMG1377" s="110"/>
      <c r="WMH1377" s="110"/>
      <c r="WMI1377" s="110"/>
      <c r="WMJ1377" s="110"/>
      <c r="WMK1377" s="110"/>
      <c r="WML1377" s="110"/>
      <c r="WMM1377" s="110"/>
      <c r="WMN1377" s="110"/>
      <c r="WMO1377" s="110"/>
      <c r="WMP1377" s="110"/>
      <c r="WMQ1377" s="110"/>
      <c r="WMR1377" s="110"/>
      <c r="WMS1377" s="110"/>
      <c r="WMT1377" s="110"/>
      <c r="WMU1377" s="110"/>
      <c r="WMV1377" s="110"/>
      <c r="WMW1377" s="110"/>
      <c r="WMX1377" s="110"/>
      <c r="WMY1377" s="110"/>
      <c r="WMZ1377" s="110"/>
      <c r="WNA1377" s="110"/>
      <c r="WNB1377" s="110"/>
      <c r="WNC1377" s="110"/>
      <c r="WND1377" s="110"/>
      <c r="WNE1377" s="110"/>
      <c r="WNF1377" s="110"/>
      <c r="WNG1377" s="110"/>
      <c r="WNH1377" s="110"/>
      <c r="WNI1377" s="110"/>
      <c r="WNJ1377" s="110"/>
      <c r="WNK1377" s="110"/>
      <c r="WNL1377" s="110"/>
      <c r="WNM1377" s="110"/>
      <c r="WNN1377" s="110"/>
      <c r="WNO1377" s="110"/>
      <c r="WNP1377" s="110"/>
      <c r="WNQ1377" s="110"/>
      <c r="WNR1377" s="110"/>
      <c r="WNS1377" s="110"/>
      <c r="WNT1377" s="110"/>
      <c r="WNU1377" s="110"/>
      <c r="WNV1377" s="110"/>
      <c r="WNW1377" s="110"/>
      <c r="WNX1377" s="110"/>
      <c r="WNY1377" s="110"/>
      <c r="WNZ1377" s="110"/>
      <c r="WOA1377" s="110"/>
      <c r="WOB1377" s="110"/>
      <c r="WOC1377" s="110"/>
      <c r="WOD1377" s="110"/>
      <c r="WOE1377" s="110"/>
      <c r="WOF1377" s="110"/>
      <c r="WOG1377" s="110"/>
      <c r="WOH1377" s="110"/>
      <c r="WOI1377" s="110"/>
      <c r="WOJ1377" s="110"/>
      <c r="WOK1377" s="110"/>
      <c r="WOL1377" s="110"/>
      <c r="WOM1377" s="110"/>
      <c r="WON1377" s="110"/>
      <c r="WOO1377" s="110"/>
      <c r="WOP1377" s="110"/>
      <c r="WOQ1377" s="110"/>
      <c r="WOR1377" s="110"/>
      <c r="WOS1377" s="110"/>
      <c r="WOT1377" s="110"/>
      <c r="WOU1377" s="110"/>
      <c r="WOV1377" s="110"/>
      <c r="WOW1377" s="110"/>
      <c r="WOX1377" s="110"/>
      <c r="WOY1377" s="110"/>
      <c r="WOZ1377" s="110"/>
      <c r="WPA1377" s="110"/>
      <c r="WPB1377" s="110"/>
      <c r="WPC1377" s="110"/>
      <c r="WPD1377" s="110"/>
      <c r="WPE1377" s="110"/>
      <c r="WPF1377" s="110"/>
      <c r="WPG1377" s="110"/>
      <c r="WPH1377" s="110"/>
      <c r="WPI1377" s="110"/>
      <c r="WPJ1377" s="110"/>
      <c r="WPK1377" s="110"/>
      <c r="WPL1377" s="110"/>
      <c r="WPM1377" s="110"/>
      <c r="WPN1377" s="110"/>
      <c r="WPO1377" s="110"/>
      <c r="WPP1377" s="110"/>
      <c r="WPQ1377" s="110"/>
      <c r="WPR1377" s="110"/>
      <c r="WPS1377" s="110"/>
      <c r="WPT1377" s="110"/>
      <c r="WPU1377" s="110"/>
      <c r="WPV1377" s="110"/>
      <c r="WPW1377" s="110"/>
      <c r="WPX1377" s="110"/>
      <c r="WPY1377" s="110"/>
      <c r="WPZ1377" s="110"/>
      <c r="WQA1377" s="110"/>
      <c r="WQB1377" s="110"/>
      <c r="WQC1377" s="110"/>
      <c r="WQD1377" s="110"/>
      <c r="WQE1377" s="110"/>
      <c r="WQF1377" s="110"/>
      <c r="WQG1377" s="110"/>
      <c r="WQH1377" s="110"/>
      <c r="WQI1377" s="110"/>
      <c r="WQJ1377" s="110"/>
      <c r="WQK1377" s="110"/>
      <c r="WQL1377" s="110"/>
      <c r="WQM1377" s="110"/>
      <c r="WQN1377" s="110"/>
      <c r="WQO1377" s="110"/>
      <c r="WQP1377" s="110"/>
      <c r="WQQ1377" s="110"/>
      <c r="WQR1377" s="110"/>
      <c r="WQS1377" s="110"/>
      <c r="WQT1377" s="110"/>
      <c r="WQU1377" s="110"/>
      <c r="WQV1377" s="110"/>
      <c r="WQW1377" s="110"/>
      <c r="WQX1377" s="110"/>
      <c r="WQY1377" s="110"/>
      <c r="WQZ1377" s="110"/>
      <c r="WRA1377" s="110"/>
      <c r="WRB1377" s="110"/>
      <c r="WRC1377" s="110"/>
      <c r="WRD1377" s="110"/>
      <c r="WRE1377" s="110"/>
      <c r="WRF1377" s="110"/>
      <c r="WRG1377" s="110"/>
      <c r="WRH1377" s="110"/>
      <c r="WRI1377" s="110"/>
      <c r="WRJ1377" s="110"/>
      <c r="WRK1377" s="110"/>
      <c r="WRL1377" s="110"/>
      <c r="WRM1377" s="110"/>
      <c r="WRN1377" s="110"/>
      <c r="WRO1377" s="110"/>
      <c r="WRP1377" s="110"/>
      <c r="WRQ1377" s="110"/>
      <c r="WRR1377" s="110"/>
      <c r="WRS1377" s="110"/>
      <c r="WRT1377" s="110"/>
      <c r="WRU1377" s="110"/>
      <c r="WRV1377" s="110"/>
      <c r="WRW1377" s="110"/>
      <c r="WRX1377" s="110"/>
      <c r="WRY1377" s="110"/>
      <c r="WRZ1377" s="110"/>
      <c r="WSA1377" s="110"/>
      <c r="WSB1377" s="110"/>
      <c r="WSC1377" s="110"/>
      <c r="WSD1377" s="110"/>
      <c r="WSE1377" s="110"/>
      <c r="WSF1377" s="110"/>
      <c r="WSG1377" s="110"/>
      <c r="WSH1377" s="110"/>
      <c r="WSI1377" s="110"/>
      <c r="WSJ1377" s="110"/>
      <c r="WSK1377" s="110"/>
      <c r="WSL1377" s="110"/>
      <c r="WSM1377" s="110"/>
      <c r="WSN1377" s="110"/>
      <c r="WSO1377" s="110"/>
      <c r="WSP1377" s="110"/>
      <c r="WSQ1377" s="110"/>
      <c r="WSR1377" s="110"/>
      <c r="WSS1377" s="110"/>
      <c r="WST1377" s="110"/>
      <c r="WSU1377" s="110"/>
      <c r="WSV1377" s="110"/>
      <c r="WSW1377" s="110"/>
      <c r="WSX1377" s="110"/>
      <c r="WSY1377" s="110"/>
      <c r="WSZ1377" s="110"/>
      <c r="WTA1377" s="110"/>
      <c r="WTB1377" s="110"/>
      <c r="WTC1377" s="110"/>
      <c r="WTD1377" s="110"/>
      <c r="WTE1377" s="110"/>
      <c r="WTF1377" s="110"/>
      <c r="WTG1377" s="110"/>
      <c r="WTH1377" s="110"/>
      <c r="WTI1377" s="110"/>
      <c r="WTJ1377" s="110"/>
      <c r="WTK1377" s="110"/>
      <c r="WTL1377" s="110"/>
      <c r="WTM1377" s="110"/>
      <c r="WTN1377" s="110"/>
      <c r="WTO1377" s="110"/>
      <c r="WTP1377" s="110"/>
      <c r="WTQ1377" s="110"/>
      <c r="WTR1377" s="110"/>
      <c r="WTS1377" s="110"/>
      <c r="WTT1377" s="110"/>
      <c r="WTU1377" s="110"/>
      <c r="WTV1377" s="110"/>
      <c r="WTW1377" s="110"/>
      <c r="WTX1377" s="110"/>
      <c r="WTY1377" s="110"/>
      <c r="WTZ1377" s="110"/>
      <c r="WUA1377" s="110"/>
      <c r="WUB1377" s="110"/>
      <c r="WUC1377" s="110"/>
      <c r="WUD1377" s="110"/>
      <c r="WUE1377" s="110"/>
      <c r="WUF1377" s="110"/>
      <c r="WUG1377" s="110"/>
      <c r="WUH1377" s="110"/>
      <c r="WUI1377" s="110"/>
      <c r="WUJ1377" s="110"/>
      <c r="WUK1377" s="110"/>
      <c r="WUL1377" s="110"/>
      <c r="WUM1377" s="110"/>
      <c r="WUN1377" s="110"/>
      <c r="WUO1377" s="110"/>
      <c r="WUP1377" s="110"/>
      <c r="WUQ1377" s="110"/>
      <c r="WUR1377" s="110"/>
      <c r="WUS1377" s="110"/>
      <c r="WUT1377" s="110"/>
      <c r="WUU1377" s="110"/>
      <c r="WUV1377" s="110"/>
      <c r="WUW1377" s="110"/>
      <c r="WUX1377" s="110"/>
      <c r="WUY1377" s="110"/>
      <c r="WUZ1377" s="110"/>
      <c r="WVA1377" s="110"/>
      <c r="WVB1377" s="110"/>
      <c r="WVC1377" s="110"/>
      <c r="WVD1377" s="110"/>
      <c r="WVE1377" s="110"/>
      <c r="WVF1377" s="110"/>
      <c r="WVG1377" s="110"/>
      <c r="WVH1377" s="110"/>
      <c r="WVI1377" s="110"/>
      <c r="WVJ1377" s="110"/>
      <c r="WVK1377" s="110"/>
      <c r="WVL1377" s="110"/>
      <c r="WVM1377" s="110"/>
      <c r="WVN1377" s="110"/>
      <c r="WVO1377" s="110"/>
      <c r="WVP1377" s="110"/>
      <c r="WVQ1377" s="110"/>
      <c r="WVR1377" s="110"/>
      <c r="WVS1377" s="110"/>
      <c r="WVT1377" s="110"/>
      <c r="WVU1377" s="110"/>
      <c r="WVV1377" s="110"/>
      <c r="WVW1377" s="110"/>
      <c r="WVX1377" s="110"/>
      <c r="WVY1377" s="110"/>
      <c r="WVZ1377" s="110"/>
      <c r="WWA1377" s="110"/>
      <c r="WWB1377" s="110"/>
      <c r="WWC1377" s="110"/>
      <c r="WWD1377" s="110"/>
      <c r="WWE1377" s="110"/>
      <c r="WWF1377" s="110"/>
      <c r="WWG1377" s="110"/>
      <c r="WWH1377" s="110"/>
      <c r="WWI1377" s="110"/>
      <c r="WWJ1377" s="110"/>
      <c r="WWK1377" s="110"/>
      <c r="WWL1377" s="110"/>
      <c r="WWM1377" s="110"/>
      <c r="WWN1377" s="110"/>
      <c r="WWO1377" s="110"/>
      <c r="WWP1377" s="110"/>
      <c r="WWQ1377" s="110"/>
      <c r="WWR1377" s="110"/>
      <c r="WWS1377" s="110"/>
      <c r="WWT1377" s="110"/>
      <c r="WWU1377" s="110"/>
      <c r="WWV1377" s="110"/>
      <c r="WWW1377" s="110"/>
      <c r="WWX1377" s="110"/>
      <c r="WWY1377" s="110"/>
      <c r="WWZ1377" s="110"/>
      <c r="WXA1377" s="110"/>
      <c r="WXB1377" s="110"/>
      <c r="WXC1377" s="110"/>
      <c r="WXD1377" s="110"/>
      <c r="WXE1377" s="110"/>
      <c r="WXF1377" s="110"/>
      <c r="WXG1377" s="110"/>
      <c r="WXH1377" s="110"/>
      <c r="WXI1377" s="110"/>
      <c r="WXJ1377" s="110"/>
      <c r="WXK1377" s="110"/>
      <c r="WXL1377" s="110"/>
      <c r="WXM1377" s="110"/>
      <c r="WXN1377" s="110"/>
      <c r="WXO1377" s="110"/>
      <c r="WXP1377" s="110"/>
      <c r="WXQ1377" s="110"/>
      <c r="WXR1377" s="110"/>
      <c r="WXS1377" s="110"/>
      <c r="WXT1377" s="110"/>
      <c r="WXU1377" s="110"/>
      <c r="WXV1377" s="110"/>
      <c r="WXW1377" s="110"/>
      <c r="WXX1377" s="110"/>
      <c r="WXY1377" s="110"/>
      <c r="WXZ1377" s="110"/>
      <c r="WYA1377" s="110"/>
      <c r="WYB1377" s="110"/>
      <c r="WYC1377" s="110"/>
      <c r="WYD1377" s="110"/>
      <c r="WYE1377" s="110"/>
      <c r="WYF1377" s="110"/>
      <c r="WYG1377" s="110"/>
      <c r="WYH1377" s="110"/>
      <c r="WYI1377" s="110"/>
      <c r="WYJ1377" s="110"/>
      <c r="WYK1377" s="110"/>
      <c r="WYL1377" s="110"/>
      <c r="WYM1377" s="110"/>
      <c r="WYN1377" s="110"/>
      <c r="WYO1377" s="110"/>
      <c r="WYP1377" s="110"/>
      <c r="WYQ1377" s="110"/>
      <c r="WYR1377" s="110"/>
      <c r="WYS1377" s="110"/>
      <c r="WYT1377" s="110"/>
      <c r="WYU1377" s="110"/>
      <c r="WYV1377" s="110"/>
      <c r="WYW1377" s="110"/>
      <c r="WYX1377" s="110"/>
      <c r="WYY1377" s="110"/>
      <c r="WYZ1377" s="110"/>
      <c r="WZA1377" s="110"/>
      <c r="WZB1377" s="110"/>
      <c r="WZC1377" s="110"/>
      <c r="WZD1377" s="110"/>
      <c r="WZE1377" s="110"/>
      <c r="WZF1377" s="110"/>
      <c r="WZG1377" s="110"/>
      <c r="WZH1377" s="110"/>
      <c r="WZI1377" s="110"/>
      <c r="WZJ1377" s="110"/>
      <c r="WZK1377" s="110"/>
      <c r="WZL1377" s="110"/>
      <c r="WZM1377" s="110"/>
      <c r="WZN1377" s="110"/>
      <c r="WZO1377" s="110"/>
      <c r="WZP1377" s="110"/>
      <c r="WZQ1377" s="110"/>
      <c r="WZR1377" s="110"/>
      <c r="WZS1377" s="110"/>
      <c r="WZT1377" s="110"/>
      <c r="WZU1377" s="110"/>
      <c r="WZV1377" s="110"/>
      <c r="WZW1377" s="110"/>
      <c r="WZX1377" s="110"/>
      <c r="WZY1377" s="110"/>
      <c r="WZZ1377" s="110"/>
      <c r="XAA1377" s="110"/>
      <c r="XAB1377" s="110"/>
      <c r="XAC1377" s="110"/>
      <c r="XAD1377" s="110"/>
      <c r="XAE1377" s="110"/>
      <c r="XAF1377" s="110"/>
      <c r="XAG1377" s="110"/>
      <c r="XAH1377" s="110"/>
      <c r="XAI1377" s="110"/>
      <c r="XAJ1377" s="110"/>
      <c r="XAK1377" s="110"/>
      <c r="XAL1377" s="110"/>
      <c r="XAM1377" s="110"/>
      <c r="XAN1377" s="110"/>
      <c r="XAO1377" s="110"/>
      <c r="XAP1377" s="110"/>
      <c r="XAQ1377" s="110"/>
      <c r="XAR1377" s="110"/>
      <c r="XAS1377" s="110"/>
      <c r="XAT1377" s="110"/>
      <c r="XAU1377" s="110"/>
      <c r="XAV1377" s="110"/>
      <c r="XAW1377" s="110"/>
      <c r="XAX1377" s="110"/>
      <c r="XAY1377" s="110"/>
      <c r="XAZ1377" s="110"/>
      <c r="XBA1377" s="110"/>
      <c r="XBB1377" s="110"/>
      <c r="XBC1377" s="110"/>
      <c r="XBD1377" s="110"/>
      <c r="XBE1377" s="110"/>
      <c r="XBF1377" s="110"/>
      <c r="XBG1377" s="110"/>
      <c r="XBH1377" s="110"/>
      <c r="XBI1377" s="110"/>
      <c r="XBJ1377" s="110"/>
      <c r="XBK1377" s="110"/>
      <c r="XBL1377" s="110"/>
      <c r="XBM1377" s="110"/>
      <c r="XBN1377" s="110"/>
      <c r="XBO1377" s="110"/>
      <c r="XBP1377" s="110"/>
      <c r="XBQ1377" s="110"/>
      <c r="XBR1377" s="110"/>
      <c r="XBS1377" s="110"/>
      <c r="XBT1377" s="110"/>
      <c r="XBU1377" s="110"/>
      <c r="XBV1377" s="110"/>
      <c r="XBW1377" s="110"/>
      <c r="XBX1377" s="110"/>
      <c r="XBY1377" s="110"/>
      <c r="XBZ1377" s="110"/>
      <c r="XCA1377" s="110"/>
      <c r="XCB1377" s="110"/>
      <c r="XCC1377" s="110"/>
      <c r="XCD1377" s="110"/>
      <c r="XCE1377" s="110"/>
      <c r="XCF1377" s="110"/>
      <c r="XCG1377" s="110"/>
      <c r="XCH1377" s="110"/>
      <c r="XCI1377" s="110"/>
      <c r="XCJ1377" s="110"/>
      <c r="XCK1377" s="110"/>
      <c r="XCL1377" s="110"/>
      <c r="XCM1377" s="110"/>
      <c r="XCN1377" s="110"/>
      <c r="XCO1377" s="110"/>
      <c r="XCP1377" s="110"/>
      <c r="XCQ1377" s="110"/>
      <c r="XCR1377" s="110"/>
      <c r="XCS1377" s="110"/>
      <c r="XCT1377" s="110"/>
      <c r="XCU1377" s="110"/>
      <c r="XCV1377" s="110"/>
      <c r="XCW1377" s="110"/>
      <c r="XCX1377" s="110"/>
      <c r="XCY1377" s="110"/>
      <c r="XCZ1377" s="110"/>
      <c r="XDA1377" s="110"/>
      <c r="XDB1377" s="110"/>
      <c r="XDC1377" s="110"/>
      <c r="XDD1377" s="110"/>
      <c r="XDE1377" s="110"/>
      <c r="XDF1377" s="110"/>
      <c r="XDG1377" s="110"/>
      <c r="XDH1377" s="110"/>
      <c r="XDI1377" s="110"/>
      <c r="XDJ1377" s="110"/>
      <c r="XDK1377" s="110"/>
      <c r="XDL1377" s="110"/>
      <c r="XDM1377" s="110"/>
      <c r="XDN1377" s="110"/>
      <c r="XDO1377" s="110"/>
      <c r="XDP1377" s="110"/>
      <c r="XDQ1377" s="110"/>
      <c r="XDR1377" s="110"/>
      <c r="XDS1377" s="110"/>
      <c r="XDT1377" s="110"/>
      <c r="XDU1377" s="110"/>
      <c r="XDV1377" s="110"/>
      <c r="XDW1377" s="110"/>
      <c r="XDX1377" s="110"/>
      <c r="XDY1377" s="110"/>
      <c r="XDZ1377" s="110"/>
      <c r="XEA1377" s="110"/>
      <c r="XEB1377" s="110"/>
      <c r="XEC1377" s="110"/>
      <c r="XED1377" s="110"/>
      <c r="XEE1377" s="110"/>
      <c r="XEF1377" s="110"/>
      <c r="XEG1377" s="110"/>
      <c r="XEH1377" s="110"/>
      <c r="XEI1377" s="110"/>
      <c r="XEJ1377" s="110"/>
      <c r="XEK1377" s="110"/>
      <c r="XEL1377" s="110"/>
      <c r="XEM1377" s="110"/>
      <c r="XEN1377" s="110"/>
      <c r="XEO1377" s="110"/>
      <c r="XEP1377" s="110"/>
      <c r="XEQ1377" s="110"/>
      <c r="XER1377" s="110"/>
      <c r="XES1377" s="110"/>
      <c r="XET1377" s="110"/>
      <c r="XEU1377" s="110"/>
      <c r="XEV1377" s="110"/>
      <c r="XEW1377" s="110"/>
      <c r="XEX1377" s="110"/>
      <c r="XEY1377" s="110"/>
      <c r="XEZ1377" s="110"/>
      <c r="XFA1377" s="110"/>
      <c r="XFB1377" s="110"/>
    </row>
    <row r="1378" spans="1:16382" s="216" customFormat="1" ht="11.25" customHeight="1" x14ac:dyDescent="0.15">
      <c r="A1378" s="110" t="s">
        <v>137</v>
      </c>
      <c r="B1378" s="110"/>
      <c r="C1378" s="111" t="s">
        <v>175</v>
      </c>
      <c r="D1378" s="111">
        <v>2024</v>
      </c>
      <c r="E1378" s="146">
        <v>45322</v>
      </c>
      <c r="F1378" s="54"/>
      <c r="G1378" s="111">
        <v>82110110</v>
      </c>
      <c r="H1378" s="111">
        <v>4101</v>
      </c>
      <c r="I1378" s="111" t="str">
        <f>MID(G1378,2,1)</f>
        <v>2</v>
      </c>
      <c r="J1378" s="111" t="str">
        <f>IF(I1378="1","Small/Medium","Large")</f>
        <v>Large</v>
      </c>
      <c r="K1378" s="147" t="s">
        <v>176</v>
      </c>
      <c r="L1378" s="120">
        <v>20320.62</v>
      </c>
      <c r="M1378" s="120">
        <f>L1378*0.3</f>
        <v>6096.1859999999997</v>
      </c>
      <c r="N1378" s="120">
        <f>L1378-M1378</f>
        <v>14224.433999999999</v>
      </c>
      <c r="O1378" s="119">
        <f>IFERROR(N1378/L1378,"")</f>
        <v>0.7</v>
      </c>
      <c r="P1378" s="120">
        <v>20320.62</v>
      </c>
      <c r="Q1378" s="111">
        <v>2646</v>
      </c>
      <c r="R1378" s="117">
        <v>18.5</v>
      </c>
      <c r="S1378" s="117">
        <v>830.28</v>
      </c>
      <c r="T1378" s="117">
        <v>1444.71</v>
      </c>
      <c r="U1378" s="117">
        <v>624.75</v>
      </c>
      <c r="V1378" s="117">
        <v>171.09</v>
      </c>
      <c r="W1378" s="26">
        <f>SUM(S1378:V1378)</f>
        <v>3070.83</v>
      </c>
      <c r="X1378" s="118">
        <f t="shared" si="966"/>
        <v>44.879999999999995</v>
      </c>
      <c r="Y1378" s="119">
        <f t="shared" si="967"/>
        <v>3.0744632791716003E-2</v>
      </c>
      <c r="Z1378" s="117">
        <f t="shared" si="968"/>
        <v>17249.79</v>
      </c>
      <c r="AA1378" s="119">
        <f t="shared" si="969"/>
        <v>0.84888108728965961</v>
      </c>
      <c r="AB1378" s="120">
        <f t="shared" si="970"/>
        <v>3025.3559999999998</v>
      </c>
      <c r="AC1378" s="119">
        <f t="shared" si="971"/>
        <v>0.14888108728965965</v>
      </c>
      <c r="AD1378" s="110" t="s">
        <v>713</v>
      </c>
      <c r="AE1378" s="53"/>
      <c r="AF1378" s="53"/>
      <c r="AG1378" s="96"/>
      <c r="AH1378" s="53"/>
      <c r="AI1378" s="53"/>
      <c r="AJ1378" s="53"/>
      <c r="AK1378" s="53"/>
      <c r="AL1378" s="53"/>
      <c r="AM1378" s="53"/>
      <c r="AN1378" s="53"/>
      <c r="AO1378" s="53"/>
      <c r="AP1378" s="53"/>
      <c r="AQ1378" s="53"/>
      <c r="AR1378" s="53"/>
      <c r="AS1378" s="53"/>
      <c r="AT1378" s="53"/>
      <c r="AU1378" s="53"/>
      <c r="AV1378" s="53"/>
      <c r="AW1378" s="53"/>
      <c r="AX1378" s="53"/>
      <c r="AY1378" s="53"/>
      <c r="AZ1378" s="53"/>
      <c r="BA1378" s="53"/>
      <c r="BB1378" s="53"/>
      <c r="BC1378" s="53"/>
      <c r="BD1378" s="53"/>
      <c r="BE1378" s="53"/>
      <c r="BF1378" s="53"/>
      <c r="BG1378" s="53"/>
      <c r="BH1378" s="53"/>
      <c r="BI1378" s="53"/>
      <c r="BJ1378" s="53"/>
      <c r="BK1378" s="53"/>
      <c r="BL1378" s="53"/>
      <c r="BM1378" s="53"/>
      <c r="BN1378" s="53"/>
      <c r="BO1378" s="53"/>
      <c r="BP1378" s="53"/>
      <c r="BQ1378" s="53"/>
      <c r="BR1378" s="53"/>
      <c r="BS1378" s="53"/>
      <c r="BT1378" s="53"/>
      <c r="BU1378" s="53"/>
      <c r="BV1378" s="53"/>
      <c r="BW1378" s="53"/>
      <c r="BX1378" s="53"/>
      <c r="BY1378" s="53"/>
      <c r="BZ1378" s="53"/>
      <c r="CA1378" s="53"/>
      <c r="CB1378" s="53"/>
      <c r="CC1378" s="53"/>
      <c r="CD1378" s="53"/>
      <c r="CE1378" s="53"/>
      <c r="CF1378" s="53"/>
      <c r="CG1378" s="53"/>
      <c r="CH1378" s="53"/>
      <c r="CI1378" s="53"/>
      <c r="CJ1378" s="53"/>
      <c r="CK1378" s="53"/>
      <c r="CL1378" s="53"/>
      <c r="CM1378" s="53"/>
      <c r="CN1378" s="53"/>
      <c r="CO1378" s="53"/>
      <c r="CP1378" s="53"/>
      <c r="CQ1378" s="53"/>
      <c r="CR1378" s="53"/>
      <c r="CS1378" s="53"/>
      <c r="CT1378" s="53"/>
      <c r="CU1378" s="53"/>
      <c r="CV1378" s="53"/>
      <c r="CW1378" s="53"/>
      <c r="CX1378" s="53"/>
      <c r="CY1378" s="53"/>
      <c r="CZ1378" s="53"/>
      <c r="DA1378" s="53"/>
      <c r="DB1378" s="53"/>
      <c r="DC1378" s="53"/>
      <c r="DD1378" s="53"/>
      <c r="DE1378" s="53"/>
      <c r="DF1378" s="53"/>
      <c r="DG1378" s="53"/>
      <c r="DH1378" s="53"/>
      <c r="DI1378" s="53"/>
      <c r="DJ1378" s="53"/>
      <c r="DK1378" s="53"/>
      <c r="DL1378" s="53"/>
      <c r="DM1378" s="53"/>
      <c r="DN1378" s="53"/>
      <c r="DO1378" s="53"/>
      <c r="DP1378" s="53"/>
      <c r="DQ1378" s="53"/>
      <c r="DR1378" s="53"/>
      <c r="DS1378" s="53"/>
      <c r="DT1378" s="53"/>
      <c r="DU1378" s="53"/>
      <c r="DV1378" s="53"/>
      <c r="DW1378" s="53"/>
      <c r="DX1378" s="53"/>
      <c r="DY1378" s="53"/>
      <c r="DZ1378" s="53"/>
      <c r="EA1378" s="53"/>
      <c r="EB1378" s="53"/>
      <c r="EC1378" s="53"/>
      <c r="ED1378" s="53"/>
      <c r="EE1378" s="53"/>
      <c r="EF1378" s="53"/>
      <c r="EG1378" s="53"/>
      <c r="EH1378" s="53"/>
      <c r="EI1378" s="53"/>
      <c r="EJ1378" s="53"/>
      <c r="EK1378" s="53"/>
      <c r="EL1378" s="53"/>
      <c r="EM1378" s="53"/>
      <c r="EN1378" s="53"/>
      <c r="EO1378" s="53"/>
      <c r="EP1378" s="53"/>
      <c r="EQ1378" s="53"/>
      <c r="ER1378" s="53"/>
      <c r="ES1378" s="53"/>
      <c r="ET1378" s="53"/>
      <c r="EU1378" s="53"/>
      <c r="EV1378" s="53"/>
      <c r="EW1378" s="53"/>
      <c r="EX1378" s="53"/>
      <c r="EY1378" s="53"/>
      <c r="EZ1378" s="53"/>
      <c r="FA1378" s="53"/>
      <c r="FB1378" s="53"/>
      <c r="FC1378" s="53"/>
      <c r="FD1378" s="53"/>
      <c r="FE1378" s="53"/>
      <c r="FF1378" s="53"/>
      <c r="FG1378" s="53"/>
      <c r="FH1378" s="53"/>
      <c r="FI1378" s="53"/>
      <c r="FJ1378" s="53"/>
      <c r="FK1378" s="53"/>
      <c r="FL1378" s="53"/>
      <c r="FM1378" s="53"/>
      <c r="FN1378" s="53"/>
      <c r="FO1378" s="53"/>
      <c r="FP1378" s="53"/>
      <c r="FQ1378" s="53"/>
      <c r="FR1378" s="53"/>
      <c r="FS1378" s="53"/>
      <c r="FT1378" s="53"/>
      <c r="FU1378" s="53"/>
      <c r="FV1378" s="53"/>
      <c r="FW1378" s="53"/>
      <c r="FX1378" s="53"/>
      <c r="FY1378" s="53"/>
      <c r="FZ1378" s="53"/>
      <c r="GA1378" s="53"/>
      <c r="GB1378" s="53"/>
      <c r="GC1378" s="53"/>
      <c r="GD1378" s="53"/>
      <c r="GE1378" s="53"/>
      <c r="GF1378" s="53"/>
      <c r="GG1378" s="53"/>
      <c r="GH1378" s="53"/>
      <c r="GI1378" s="53"/>
      <c r="GJ1378" s="53"/>
      <c r="GK1378" s="53"/>
      <c r="GL1378" s="53"/>
      <c r="GM1378" s="53"/>
      <c r="GN1378" s="53"/>
      <c r="GO1378" s="53"/>
      <c r="GP1378" s="53"/>
      <c r="GQ1378" s="53"/>
      <c r="GR1378" s="53"/>
      <c r="GS1378" s="53"/>
      <c r="GT1378" s="53"/>
      <c r="GU1378" s="53"/>
      <c r="GV1378" s="53"/>
      <c r="GW1378" s="53"/>
      <c r="GX1378" s="53"/>
      <c r="GY1378" s="53"/>
      <c r="GZ1378" s="53"/>
      <c r="HA1378" s="53"/>
      <c r="HB1378" s="53"/>
      <c r="HC1378" s="53"/>
      <c r="HD1378" s="53"/>
      <c r="HE1378" s="53"/>
      <c r="HF1378" s="53"/>
      <c r="HG1378" s="53"/>
      <c r="HH1378" s="53"/>
      <c r="HI1378" s="53"/>
      <c r="HJ1378" s="53"/>
      <c r="HK1378" s="53"/>
      <c r="HL1378" s="53"/>
      <c r="HM1378" s="53"/>
      <c r="HN1378" s="53"/>
      <c r="HO1378" s="53"/>
      <c r="HP1378" s="53"/>
      <c r="HQ1378" s="53"/>
      <c r="HR1378" s="53"/>
      <c r="HS1378" s="53"/>
      <c r="HT1378" s="53"/>
      <c r="HU1378" s="53"/>
      <c r="HV1378" s="53"/>
      <c r="HW1378" s="53"/>
      <c r="HX1378" s="53"/>
      <c r="HY1378" s="53"/>
      <c r="HZ1378" s="53"/>
      <c r="IA1378" s="53"/>
      <c r="IB1378" s="53"/>
      <c r="IC1378" s="53"/>
      <c r="ID1378" s="53"/>
      <c r="IE1378" s="53"/>
      <c r="IF1378" s="53"/>
      <c r="IG1378" s="53"/>
      <c r="IH1378" s="53"/>
      <c r="II1378" s="53"/>
      <c r="IJ1378" s="53"/>
      <c r="IK1378" s="53"/>
      <c r="IL1378" s="53"/>
      <c r="IM1378" s="53"/>
      <c r="IN1378" s="53"/>
      <c r="IO1378" s="53"/>
      <c r="IP1378" s="53"/>
      <c r="IQ1378" s="53"/>
      <c r="IR1378" s="53"/>
      <c r="IS1378" s="53"/>
      <c r="IT1378" s="53"/>
      <c r="IU1378" s="53"/>
      <c r="IV1378" s="53"/>
      <c r="IW1378" s="53"/>
      <c r="IX1378" s="53"/>
      <c r="IY1378" s="53"/>
      <c r="IZ1378" s="53"/>
      <c r="JA1378" s="53"/>
      <c r="JB1378" s="53"/>
      <c r="JC1378" s="53"/>
      <c r="JD1378" s="53"/>
      <c r="JE1378" s="53"/>
      <c r="JF1378" s="53"/>
      <c r="JG1378" s="53"/>
      <c r="JH1378" s="53"/>
      <c r="JI1378" s="53"/>
      <c r="JJ1378" s="53"/>
      <c r="JK1378" s="53"/>
      <c r="JL1378" s="53"/>
      <c r="JM1378" s="53"/>
      <c r="JN1378" s="53"/>
      <c r="JO1378" s="53"/>
      <c r="JP1378" s="53"/>
      <c r="JQ1378" s="53"/>
      <c r="JR1378" s="53"/>
      <c r="JS1378" s="53"/>
      <c r="JT1378" s="53"/>
      <c r="JU1378" s="53"/>
      <c r="JV1378" s="53"/>
      <c r="JW1378" s="53"/>
      <c r="JX1378" s="53"/>
      <c r="JY1378" s="53"/>
      <c r="JZ1378" s="53"/>
      <c r="KA1378" s="53"/>
      <c r="KB1378" s="53"/>
      <c r="KC1378" s="53"/>
      <c r="KD1378" s="53"/>
      <c r="KE1378" s="53"/>
      <c r="KF1378" s="53"/>
      <c r="KG1378" s="53"/>
      <c r="KH1378" s="53"/>
      <c r="KI1378" s="53"/>
      <c r="KJ1378" s="53"/>
      <c r="KK1378" s="53"/>
      <c r="KL1378" s="53"/>
      <c r="KM1378" s="53"/>
      <c r="KN1378" s="53"/>
      <c r="KO1378" s="53"/>
      <c r="KP1378" s="53"/>
      <c r="KQ1378" s="53"/>
      <c r="KR1378" s="53"/>
      <c r="KS1378" s="53"/>
      <c r="KT1378" s="53"/>
      <c r="KU1378" s="53"/>
      <c r="KV1378" s="53"/>
      <c r="KW1378" s="53"/>
      <c r="KX1378" s="53"/>
      <c r="KY1378" s="53"/>
      <c r="KZ1378" s="53"/>
      <c r="LA1378" s="53"/>
      <c r="LB1378" s="53"/>
      <c r="LC1378" s="53"/>
      <c r="LD1378" s="53"/>
      <c r="LE1378" s="53"/>
      <c r="LF1378" s="53"/>
      <c r="LG1378" s="53"/>
      <c r="LH1378" s="53"/>
      <c r="LI1378" s="53"/>
      <c r="LJ1378" s="53"/>
      <c r="LK1378" s="53"/>
      <c r="LL1378" s="53"/>
      <c r="LM1378" s="53"/>
      <c r="LN1378" s="53"/>
      <c r="LO1378" s="53"/>
      <c r="LP1378" s="53"/>
      <c r="LQ1378" s="53"/>
      <c r="LR1378" s="53"/>
      <c r="LS1378" s="53"/>
      <c r="LT1378" s="53"/>
      <c r="LU1378" s="53"/>
      <c r="LV1378" s="53"/>
      <c r="LW1378" s="53"/>
      <c r="LX1378" s="53"/>
      <c r="LY1378" s="53"/>
      <c r="LZ1378" s="53"/>
      <c r="MA1378" s="53"/>
      <c r="MB1378" s="53"/>
      <c r="MC1378" s="53"/>
      <c r="MD1378" s="53"/>
      <c r="ME1378" s="53"/>
      <c r="MF1378" s="53"/>
      <c r="MG1378" s="53"/>
      <c r="MH1378" s="53"/>
      <c r="MI1378" s="53"/>
      <c r="MJ1378" s="53"/>
      <c r="MK1378" s="53"/>
      <c r="ML1378" s="53"/>
      <c r="MM1378" s="53"/>
      <c r="MN1378" s="53"/>
      <c r="MO1378" s="53"/>
      <c r="MP1378" s="53"/>
      <c r="MQ1378" s="53"/>
      <c r="MR1378" s="53"/>
      <c r="MS1378" s="53"/>
      <c r="MT1378" s="53"/>
      <c r="MU1378" s="53"/>
      <c r="MV1378" s="53"/>
      <c r="MW1378" s="53"/>
      <c r="MX1378" s="53"/>
      <c r="MY1378" s="53"/>
      <c r="MZ1378" s="53"/>
      <c r="NA1378" s="53"/>
      <c r="NB1378" s="53"/>
      <c r="NC1378" s="53"/>
      <c r="ND1378" s="53"/>
      <c r="NE1378" s="53"/>
      <c r="NF1378" s="53"/>
      <c r="NG1378" s="53"/>
      <c r="NH1378" s="53"/>
      <c r="NI1378" s="53"/>
      <c r="NJ1378" s="53"/>
      <c r="NK1378" s="53"/>
      <c r="NL1378" s="53"/>
      <c r="NM1378" s="53"/>
      <c r="NN1378" s="53"/>
      <c r="NO1378" s="53"/>
      <c r="NP1378" s="53"/>
      <c r="NQ1378" s="53"/>
      <c r="NR1378" s="53"/>
      <c r="NS1378" s="53"/>
      <c r="NT1378" s="53"/>
      <c r="NU1378" s="53"/>
      <c r="NV1378" s="53"/>
      <c r="NW1378" s="53"/>
      <c r="NX1378" s="53"/>
      <c r="NY1378" s="53"/>
      <c r="NZ1378" s="53"/>
      <c r="OA1378" s="53"/>
      <c r="OB1378" s="53"/>
      <c r="OC1378" s="53"/>
      <c r="OD1378" s="53"/>
      <c r="OE1378" s="53"/>
      <c r="OF1378" s="53"/>
      <c r="OG1378" s="53"/>
      <c r="OH1378" s="53"/>
      <c r="OI1378" s="53"/>
      <c r="OJ1378" s="53"/>
      <c r="OK1378" s="53"/>
      <c r="OL1378" s="53"/>
      <c r="OM1378" s="53"/>
      <c r="ON1378" s="53"/>
      <c r="OO1378" s="53"/>
      <c r="OP1378" s="53"/>
      <c r="OQ1378" s="53"/>
      <c r="OR1378" s="53"/>
      <c r="OS1378" s="53"/>
      <c r="OT1378" s="53"/>
      <c r="OU1378" s="53"/>
      <c r="OV1378" s="53"/>
      <c r="OW1378" s="53"/>
      <c r="OX1378" s="53"/>
      <c r="OY1378" s="53"/>
      <c r="OZ1378" s="53"/>
      <c r="PA1378" s="53"/>
      <c r="PB1378" s="53"/>
      <c r="PC1378" s="53"/>
      <c r="PD1378" s="53"/>
      <c r="PE1378" s="53"/>
      <c r="PF1378" s="53"/>
      <c r="PG1378" s="53"/>
      <c r="PH1378" s="53"/>
      <c r="PI1378" s="53"/>
      <c r="PJ1378" s="53"/>
      <c r="PK1378" s="53"/>
      <c r="PL1378" s="53"/>
      <c r="PM1378" s="53"/>
      <c r="PN1378" s="53"/>
      <c r="PO1378" s="53"/>
      <c r="PP1378" s="53"/>
      <c r="PQ1378" s="53"/>
      <c r="PR1378" s="53"/>
      <c r="PS1378" s="53"/>
      <c r="PT1378" s="53"/>
      <c r="PU1378" s="53"/>
      <c r="PV1378" s="53"/>
      <c r="PW1378" s="53"/>
      <c r="PX1378" s="53"/>
      <c r="PY1378" s="53"/>
      <c r="PZ1378" s="53"/>
      <c r="QA1378" s="53"/>
      <c r="QB1378" s="53"/>
      <c r="QC1378" s="53"/>
      <c r="QD1378" s="53"/>
      <c r="QE1378" s="53"/>
      <c r="QF1378" s="53"/>
      <c r="QG1378" s="53"/>
      <c r="QH1378" s="53"/>
      <c r="QI1378" s="53"/>
      <c r="QJ1378" s="53"/>
      <c r="QK1378" s="53"/>
      <c r="QL1378" s="53"/>
      <c r="QM1378" s="53"/>
      <c r="QN1378" s="53"/>
      <c r="QO1378" s="53"/>
      <c r="QP1378" s="53"/>
      <c r="QQ1378" s="53"/>
      <c r="QR1378" s="53"/>
      <c r="QS1378" s="53"/>
      <c r="QT1378" s="53"/>
      <c r="QU1378" s="53"/>
      <c r="QV1378" s="53"/>
      <c r="QW1378" s="53"/>
      <c r="QX1378" s="53"/>
      <c r="QY1378" s="53"/>
      <c r="QZ1378" s="53"/>
      <c r="RA1378" s="53"/>
      <c r="RB1378" s="53"/>
      <c r="RC1378" s="53"/>
      <c r="RD1378" s="53"/>
      <c r="RE1378" s="53"/>
      <c r="RF1378" s="53"/>
      <c r="RG1378" s="53"/>
      <c r="RH1378" s="53"/>
      <c r="RI1378" s="53"/>
      <c r="RJ1378" s="53"/>
      <c r="RK1378" s="53"/>
      <c r="RL1378" s="53"/>
      <c r="RM1378" s="53"/>
      <c r="RN1378" s="53"/>
      <c r="RO1378" s="53"/>
      <c r="RP1378" s="53"/>
      <c r="RQ1378" s="53"/>
      <c r="RR1378" s="53"/>
      <c r="RS1378" s="53"/>
      <c r="RT1378" s="53"/>
      <c r="RU1378" s="53"/>
      <c r="RV1378" s="53"/>
      <c r="RW1378" s="53"/>
      <c r="RX1378" s="53"/>
      <c r="RY1378" s="53"/>
      <c r="RZ1378" s="53"/>
      <c r="SA1378" s="53"/>
      <c r="SB1378" s="53"/>
      <c r="SC1378" s="53"/>
      <c r="SD1378" s="53"/>
      <c r="SE1378" s="53"/>
      <c r="SF1378" s="53"/>
      <c r="SG1378" s="53"/>
      <c r="SH1378" s="53"/>
      <c r="SI1378" s="53"/>
      <c r="SJ1378" s="53"/>
      <c r="SK1378" s="53"/>
      <c r="SL1378" s="53"/>
      <c r="SM1378" s="53"/>
      <c r="SN1378" s="53"/>
      <c r="SO1378" s="53"/>
      <c r="SP1378" s="53"/>
      <c r="SQ1378" s="53"/>
      <c r="SR1378" s="53"/>
      <c r="SS1378" s="53"/>
      <c r="ST1378" s="53"/>
      <c r="SU1378" s="53"/>
      <c r="SV1378" s="53"/>
      <c r="SW1378" s="53"/>
      <c r="SX1378" s="53"/>
      <c r="SY1378" s="53"/>
      <c r="SZ1378" s="53"/>
      <c r="TA1378" s="53"/>
      <c r="TB1378" s="53"/>
      <c r="TC1378" s="53"/>
      <c r="TD1378" s="53"/>
      <c r="TE1378" s="53"/>
      <c r="TF1378" s="53"/>
      <c r="TG1378" s="53"/>
      <c r="TH1378" s="53"/>
      <c r="TI1378" s="53"/>
      <c r="TJ1378" s="53"/>
      <c r="TK1378" s="53"/>
      <c r="TL1378" s="53"/>
      <c r="TM1378" s="53"/>
      <c r="TN1378" s="53"/>
      <c r="TO1378" s="53"/>
      <c r="TP1378" s="53"/>
      <c r="TQ1378" s="53"/>
      <c r="TR1378" s="53"/>
      <c r="TS1378" s="53"/>
      <c r="TT1378" s="53"/>
      <c r="TU1378" s="53"/>
      <c r="TV1378" s="53"/>
      <c r="TW1378" s="53"/>
      <c r="TX1378" s="53"/>
      <c r="TY1378" s="53"/>
      <c r="TZ1378" s="53"/>
      <c r="UA1378" s="53"/>
      <c r="UB1378" s="53"/>
      <c r="UC1378" s="53"/>
      <c r="UD1378" s="53"/>
      <c r="UE1378" s="53"/>
      <c r="UF1378" s="53"/>
      <c r="UG1378" s="53"/>
      <c r="UH1378" s="53"/>
      <c r="UI1378" s="53"/>
      <c r="UJ1378" s="53"/>
      <c r="UK1378" s="53"/>
      <c r="UL1378" s="53"/>
      <c r="UM1378" s="53"/>
      <c r="UN1378" s="53"/>
      <c r="UO1378" s="53"/>
      <c r="UP1378" s="53"/>
      <c r="UQ1378" s="53"/>
      <c r="UR1378" s="53"/>
      <c r="US1378" s="53"/>
      <c r="UT1378" s="53"/>
      <c r="UU1378" s="53"/>
      <c r="UV1378" s="53"/>
      <c r="UW1378" s="53"/>
      <c r="UX1378" s="53"/>
      <c r="UY1378" s="53"/>
      <c r="UZ1378" s="53"/>
      <c r="VA1378" s="53"/>
      <c r="VB1378" s="53"/>
      <c r="VC1378" s="53"/>
      <c r="VD1378" s="53"/>
      <c r="VE1378" s="53"/>
      <c r="VF1378" s="53"/>
      <c r="VG1378" s="53"/>
      <c r="VH1378" s="53"/>
      <c r="VI1378" s="53"/>
      <c r="VJ1378" s="53"/>
      <c r="VK1378" s="53"/>
      <c r="VL1378" s="53"/>
      <c r="VM1378" s="53"/>
      <c r="VN1378" s="53"/>
      <c r="VO1378" s="53"/>
      <c r="VP1378" s="53"/>
      <c r="VQ1378" s="53"/>
      <c r="VR1378" s="53"/>
      <c r="VS1378" s="53"/>
      <c r="VT1378" s="53"/>
      <c r="VU1378" s="53"/>
      <c r="VV1378" s="53"/>
      <c r="VW1378" s="53"/>
      <c r="VX1378" s="53"/>
      <c r="VY1378" s="53"/>
      <c r="VZ1378" s="53"/>
      <c r="WA1378" s="53"/>
      <c r="WB1378" s="53"/>
      <c r="WC1378" s="53"/>
      <c r="WD1378" s="53"/>
      <c r="WE1378" s="53"/>
      <c r="WF1378" s="53"/>
      <c r="WG1378" s="53"/>
      <c r="WH1378" s="53"/>
      <c r="WI1378" s="53"/>
      <c r="WJ1378" s="53"/>
      <c r="WK1378" s="53"/>
      <c r="WL1378" s="53"/>
      <c r="WM1378" s="53"/>
      <c r="WN1378" s="53"/>
      <c r="WO1378" s="53"/>
      <c r="WP1378" s="53"/>
      <c r="WQ1378" s="53"/>
      <c r="WR1378" s="53"/>
      <c r="WS1378" s="53"/>
      <c r="WT1378" s="53"/>
      <c r="WU1378" s="53"/>
      <c r="WV1378" s="53"/>
      <c r="WW1378" s="53"/>
      <c r="WX1378" s="53"/>
      <c r="WY1378" s="53"/>
      <c r="WZ1378" s="53"/>
      <c r="XA1378" s="53"/>
      <c r="XB1378" s="53"/>
      <c r="XC1378" s="53"/>
      <c r="XD1378" s="53"/>
      <c r="XE1378" s="53"/>
      <c r="XF1378" s="53"/>
      <c r="XG1378" s="53"/>
      <c r="XH1378" s="53"/>
      <c r="XI1378" s="53"/>
      <c r="XJ1378" s="53"/>
      <c r="XK1378" s="53"/>
      <c r="XL1378" s="53"/>
      <c r="XM1378" s="53"/>
      <c r="XN1378" s="53"/>
      <c r="XO1378" s="53"/>
      <c r="XP1378" s="53"/>
      <c r="XQ1378" s="53"/>
      <c r="XR1378" s="53"/>
      <c r="XS1378" s="53"/>
      <c r="XT1378" s="53"/>
      <c r="XU1378" s="53"/>
      <c r="XV1378" s="53"/>
      <c r="XW1378" s="53"/>
      <c r="XX1378" s="53"/>
      <c r="XY1378" s="53"/>
      <c r="XZ1378" s="53"/>
      <c r="YA1378" s="53"/>
      <c r="YB1378" s="53"/>
      <c r="YC1378" s="53"/>
      <c r="YD1378" s="53"/>
      <c r="YE1378" s="53"/>
      <c r="YF1378" s="53"/>
      <c r="YG1378" s="53"/>
      <c r="YH1378" s="53"/>
      <c r="YI1378" s="53"/>
      <c r="YJ1378" s="53"/>
      <c r="YK1378" s="53"/>
      <c r="YL1378" s="53"/>
      <c r="YM1378" s="53"/>
      <c r="YN1378" s="53"/>
      <c r="YO1378" s="53"/>
      <c r="YP1378" s="53"/>
      <c r="YQ1378" s="53"/>
      <c r="YR1378" s="53"/>
      <c r="YS1378" s="53"/>
      <c r="YT1378" s="53"/>
      <c r="YU1378" s="53"/>
      <c r="YV1378" s="53"/>
      <c r="YW1378" s="53"/>
      <c r="YX1378" s="53"/>
      <c r="YY1378" s="53"/>
      <c r="YZ1378" s="53"/>
      <c r="ZA1378" s="53"/>
      <c r="ZB1378" s="53"/>
      <c r="ZC1378" s="53"/>
      <c r="ZD1378" s="53"/>
      <c r="ZE1378" s="53"/>
      <c r="ZF1378" s="53"/>
      <c r="ZG1378" s="53"/>
      <c r="ZH1378" s="53"/>
      <c r="ZI1378" s="53"/>
      <c r="ZJ1378" s="53"/>
      <c r="ZK1378" s="53"/>
      <c r="ZL1378" s="53"/>
      <c r="ZM1378" s="53"/>
      <c r="ZN1378" s="53"/>
      <c r="ZO1378" s="53"/>
      <c r="ZP1378" s="53"/>
      <c r="ZQ1378" s="53"/>
      <c r="ZR1378" s="53"/>
      <c r="ZS1378" s="53"/>
      <c r="ZT1378" s="53"/>
      <c r="ZU1378" s="53"/>
      <c r="ZV1378" s="53"/>
      <c r="ZW1378" s="53"/>
      <c r="ZX1378" s="53"/>
      <c r="ZY1378" s="53"/>
      <c r="ZZ1378" s="53"/>
      <c r="AAA1378" s="53"/>
      <c r="AAB1378" s="53"/>
      <c r="AAC1378" s="53"/>
      <c r="AAD1378" s="53"/>
      <c r="AAE1378" s="53"/>
      <c r="AAF1378" s="53"/>
      <c r="AAG1378" s="53"/>
      <c r="AAH1378" s="53"/>
      <c r="AAI1378" s="53"/>
      <c r="AAJ1378" s="53"/>
      <c r="AAK1378" s="53"/>
      <c r="AAL1378" s="53"/>
      <c r="AAM1378" s="53"/>
      <c r="AAN1378" s="53"/>
      <c r="AAO1378" s="53"/>
      <c r="AAP1378" s="53"/>
      <c r="AAQ1378" s="53"/>
      <c r="AAR1378" s="53"/>
      <c r="AAS1378" s="53"/>
      <c r="AAT1378" s="53"/>
      <c r="AAU1378" s="53"/>
      <c r="AAV1378" s="53"/>
      <c r="AAW1378" s="53"/>
      <c r="AAX1378" s="53"/>
      <c r="AAY1378" s="53"/>
      <c r="AAZ1378" s="53"/>
      <c r="ABA1378" s="53"/>
      <c r="ABB1378" s="53"/>
      <c r="ABC1378" s="53"/>
      <c r="ABD1378" s="53"/>
      <c r="ABE1378" s="53"/>
      <c r="ABF1378" s="53"/>
      <c r="ABG1378" s="53"/>
      <c r="ABH1378" s="53"/>
      <c r="ABI1378" s="53"/>
      <c r="ABJ1378" s="53"/>
      <c r="ABK1378" s="53"/>
      <c r="ABL1378" s="53"/>
      <c r="ABM1378" s="53"/>
      <c r="ABN1378" s="53"/>
      <c r="ABO1378" s="53"/>
      <c r="ABP1378" s="53"/>
      <c r="ABQ1378" s="53"/>
      <c r="ABR1378" s="53"/>
      <c r="ABS1378" s="53"/>
      <c r="ABT1378" s="53"/>
      <c r="ABU1378" s="53"/>
      <c r="ABV1378" s="53"/>
      <c r="ABW1378" s="53"/>
      <c r="ABX1378" s="53"/>
      <c r="ABY1378" s="53"/>
      <c r="ABZ1378" s="53"/>
      <c r="ACA1378" s="53"/>
      <c r="ACB1378" s="53"/>
      <c r="ACC1378" s="53"/>
      <c r="ACD1378" s="53"/>
      <c r="ACE1378" s="53"/>
      <c r="ACF1378" s="53"/>
      <c r="ACG1378" s="53"/>
      <c r="ACH1378" s="53"/>
      <c r="ACI1378" s="53"/>
      <c r="ACJ1378" s="53"/>
      <c r="ACK1378" s="53"/>
      <c r="ACL1378" s="53"/>
      <c r="ACM1378" s="53"/>
      <c r="ACN1378" s="53"/>
      <c r="ACO1378" s="53"/>
      <c r="ACP1378" s="53"/>
      <c r="ACQ1378" s="53"/>
      <c r="ACR1378" s="53"/>
      <c r="ACS1378" s="53"/>
      <c r="ACT1378" s="53"/>
      <c r="ACU1378" s="53"/>
      <c r="ACV1378" s="53"/>
      <c r="ACW1378" s="53"/>
      <c r="ACX1378" s="53"/>
      <c r="ACY1378" s="53"/>
      <c r="ACZ1378" s="53"/>
      <c r="ADA1378" s="53"/>
      <c r="ADB1378" s="53"/>
      <c r="ADC1378" s="53"/>
      <c r="ADD1378" s="53"/>
      <c r="ADE1378" s="53"/>
      <c r="ADF1378" s="53"/>
      <c r="ADG1378" s="53"/>
      <c r="ADH1378" s="53"/>
      <c r="ADI1378" s="53"/>
      <c r="ADJ1378" s="53"/>
      <c r="ADK1378" s="53"/>
      <c r="ADL1378" s="53"/>
      <c r="ADM1378" s="53"/>
      <c r="ADN1378" s="53"/>
      <c r="ADO1378" s="53"/>
      <c r="ADP1378" s="53"/>
      <c r="ADQ1378" s="53"/>
      <c r="ADR1378" s="53"/>
      <c r="ADS1378" s="53"/>
      <c r="ADT1378" s="53"/>
      <c r="ADU1378" s="53"/>
      <c r="ADV1378" s="53"/>
      <c r="ADW1378" s="53"/>
      <c r="ADX1378" s="53"/>
      <c r="ADY1378" s="53"/>
      <c r="ADZ1378" s="53"/>
      <c r="AEA1378" s="53"/>
      <c r="AEB1378" s="53"/>
      <c r="AEC1378" s="53"/>
      <c r="AED1378" s="53"/>
      <c r="AEE1378" s="53"/>
      <c r="AEF1378" s="53"/>
      <c r="AEG1378" s="53"/>
      <c r="AEH1378" s="53"/>
      <c r="AEI1378" s="53"/>
      <c r="AEJ1378" s="53"/>
      <c r="AEK1378" s="53"/>
      <c r="AEL1378" s="53"/>
      <c r="AEM1378" s="53"/>
      <c r="AEN1378" s="53"/>
      <c r="AEO1378" s="53"/>
      <c r="AEP1378" s="53"/>
      <c r="AEQ1378" s="53"/>
      <c r="AER1378" s="53"/>
      <c r="AES1378" s="53"/>
      <c r="AET1378" s="53"/>
      <c r="AEU1378" s="53"/>
      <c r="AEV1378" s="53"/>
      <c r="AEW1378" s="53"/>
      <c r="AEX1378" s="53"/>
      <c r="AEY1378" s="53"/>
      <c r="AEZ1378" s="53"/>
      <c r="AFA1378" s="53"/>
      <c r="AFB1378" s="53"/>
      <c r="AFC1378" s="53"/>
      <c r="AFD1378" s="53"/>
      <c r="AFE1378" s="53"/>
      <c r="AFF1378" s="53"/>
      <c r="AFG1378" s="53"/>
      <c r="AFH1378" s="53"/>
      <c r="AFI1378" s="53"/>
      <c r="AFJ1378" s="53"/>
      <c r="AFK1378" s="53"/>
      <c r="AFL1378" s="53"/>
      <c r="AFM1378" s="53"/>
      <c r="AFN1378" s="53"/>
      <c r="AFO1378" s="53"/>
      <c r="AFP1378" s="53"/>
      <c r="AFQ1378" s="53"/>
      <c r="AFR1378" s="53"/>
      <c r="AFS1378" s="53"/>
      <c r="AFT1378" s="53"/>
      <c r="AFU1378" s="53"/>
      <c r="AFV1378" s="53"/>
      <c r="AFW1378" s="53"/>
      <c r="AFX1378" s="53"/>
      <c r="AFY1378" s="53"/>
      <c r="AFZ1378" s="53"/>
      <c r="AGA1378" s="53"/>
      <c r="AGB1378" s="53"/>
      <c r="AGC1378" s="53"/>
      <c r="AGD1378" s="53"/>
      <c r="AGE1378" s="53"/>
      <c r="AGF1378" s="53"/>
      <c r="AGG1378" s="53"/>
      <c r="AGH1378" s="53"/>
      <c r="AGI1378" s="53"/>
      <c r="AGJ1378" s="53"/>
      <c r="AGK1378" s="53"/>
      <c r="AGL1378" s="53"/>
      <c r="AGM1378" s="53"/>
      <c r="AGN1378" s="53"/>
      <c r="AGO1378" s="53"/>
      <c r="AGP1378" s="53"/>
      <c r="AGQ1378" s="53"/>
      <c r="AGR1378" s="53"/>
      <c r="AGS1378" s="53"/>
      <c r="AGT1378" s="53"/>
      <c r="AGU1378" s="53"/>
      <c r="AGV1378" s="53"/>
      <c r="AGW1378" s="53"/>
      <c r="AGX1378" s="53"/>
      <c r="AGY1378" s="53"/>
      <c r="AGZ1378" s="53"/>
      <c r="AHA1378" s="53"/>
      <c r="AHB1378" s="53"/>
      <c r="AHC1378" s="53"/>
      <c r="AHD1378" s="53"/>
      <c r="AHE1378" s="53"/>
      <c r="AHF1378" s="53"/>
      <c r="AHG1378" s="53"/>
      <c r="AHH1378" s="53"/>
      <c r="AHI1378" s="53"/>
      <c r="AHJ1378" s="53"/>
      <c r="AHK1378" s="53"/>
      <c r="AHL1378" s="53"/>
      <c r="AHM1378" s="53"/>
      <c r="AHN1378" s="53"/>
      <c r="AHO1378" s="53"/>
      <c r="AHP1378" s="53"/>
      <c r="AHQ1378" s="53"/>
      <c r="AHR1378" s="53"/>
      <c r="AHS1378" s="53"/>
      <c r="AHT1378" s="53"/>
      <c r="AHU1378" s="53"/>
      <c r="AHV1378" s="53"/>
      <c r="AHW1378" s="53"/>
      <c r="AHX1378" s="53"/>
      <c r="AHY1378" s="53"/>
      <c r="AHZ1378" s="53"/>
      <c r="AIA1378" s="53"/>
      <c r="AIB1378" s="53"/>
      <c r="AIC1378" s="53"/>
      <c r="AID1378" s="53"/>
      <c r="AIE1378" s="53"/>
      <c r="AIF1378" s="53"/>
      <c r="AIG1378" s="53"/>
      <c r="AIH1378" s="53"/>
      <c r="AII1378" s="53"/>
      <c r="AIJ1378" s="53"/>
      <c r="AIK1378" s="53"/>
      <c r="AIL1378" s="53"/>
      <c r="AIM1378" s="53"/>
      <c r="AIN1378" s="53"/>
      <c r="AIO1378" s="53"/>
      <c r="AIP1378" s="53"/>
      <c r="AIQ1378" s="53"/>
      <c r="AIR1378" s="53"/>
      <c r="AIS1378" s="53"/>
      <c r="AIT1378" s="53"/>
      <c r="AIU1378" s="53"/>
      <c r="AIV1378" s="53"/>
      <c r="AIW1378" s="53"/>
      <c r="AIX1378" s="53"/>
      <c r="AIY1378" s="53"/>
      <c r="AIZ1378" s="53"/>
      <c r="AJA1378" s="53"/>
      <c r="AJB1378" s="53"/>
      <c r="AJC1378" s="53"/>
      <c r="AJD1378" s="53"/>
      <c r="AJE1378" s="53"/>
      <c r="AJF1378" s="53"/>
      <c r="AJG1378" s="53"/>
      <c r="AJH1378" s="53"/>
      <c r="AJI1378" s="53"/>
      <c r="AJJ1378" s="53"/>
      <c r="AJK1378" s="53"/>
      <c r="AJL1378" s="53"/>
      <c r="AJM1378" s="53"/>
      <c r="AJN1378" s="53"/>
      <c r="AJO1378" s="53"/>
      <c r="AJP1378" s="53"/>
      <c r="AJQ1378" s="53"/>
      <c r="AJR1378" s="53"/>
      <c r="AJS1378" s="53"/>
      <c r="AJT1378" s="53"/>
      <c r="AJU1378" s="53"/>
      <c r="AJV1378" s="53"/>
      <c r="AJW1378" s="53"/>
      <c r="AJX1378" s="53"/>
      <c r="AJY1378" s="53"/>
      <c r="AJZ1378" s="53"/>
      <c r="AKA1378" s="53"/>
      <c r="AKB1378" s="53"/>
      <c r="AKC1378" s="53"/>
      <c r="AKD1378" s="53"/>
      <c r="AKE1378" s="53"/>
      <c r="AKF1378" s="53"/>
      <c r="AKG1378" s="53"/>
      <c r="AKH1378" s="53"/>
      <c r="AKI1378" s="53"/>
      <c r="AKJ1378" s="53"/>
      <c r="AKK1378" s="53"/>
      <c r="AKL1378" s="53"/>
      <c r="AKM1378" s="53"/>
      <c r="AKN1378" s="53"/>
      <c r="AKO1378" s="53"/>
      <c r="AKP1378" s="53"/>
      <c r="AKQ1378" s="53"/>
      <c r="AKR1378" s="53"/>
      <c r="AKS1378" s="53"/>
      <c r="AKT1378" s="53"/>
      <c r="AKU1378" s="53"/>
      <c r="AKV1378" s="53"/>
      <c r="AKW1378" s="53"/>
      <c r="AKX1378" s="53"/>
      <c r="AKY1378" s="53"/>
      <c r="AKZ1378" s="53"/>
      <c r="ALA1378" s="53"/>
      <c r="ALB1378" s="53"/>
      <c r="ALC1378" s="53"/>
      <c r="ALD1378" s="53"/>
      <c r="ALE1378" s="53"/>
      <c r="ALF1378" s="53"/>
      <c r="ALG1378" s="53"/>
      <c r="ALH1378" s="53"/>
      <c r="ALI1378" s="53"/>
      <c r="ALJ1378" s="53"/>
      <c r="ALK1378" s="53"/>
      <c r="ALL1378" s="53"/>
      <c r="ALM1378" s="53"/>
      <c r="ALN1378" s="53"/>
      <c r="ALO1378" s="53"/>
      <c r="ALP1378" s="53"/>
      <c r="ALQ1378" s="53"/>
      <c r="ALR1378" s="53"/>
      <c r="ALS1378" s="53"/>
      <c r="ALT1378" s="53"/>
      <c r="ALU1378" s="53"/>
      <c r="ALV1378" s="53"/>
      <c r="ALW1378" s="53"/>
      <c r="ALX1378" s="53"/>
      <c r="ALY1378" s="53"/>
      <c r="ALZ1378" s="53"/>
      <c r="AMA1378" s="53"/>
      <c r="AMB1378" s="53"/>
      <c r="AMC1378" s="53"/>
      <c r="AMD1378" s="53"/>
      <c r="AME1378" s="53"/>
      <c r="AMF1378" s="53"/>
      <c r="AMG1378" s="53"/>
      <c r="AMH1378" s="53"/>
      <c r="AMI1378" s="53"/>
      <c r="AMJ1378" s="53"/>
      <c r="AMK1378" s="53"/>
      <c r="AML1378" s="53"/>
      <c r="AMM1378" s="53"/>
      <c r="AMN1378" s="53"/>
      <c r="AMO1378" s="53"/>
      <c r="AMP1378" s="53"/>
      <c r="AMQ1378" s="53"/>
      <c r="AMR1378" s="53"/>
      <c r="AMS1378" s="53"/>
      <c r="AMT1378" s="53"/>
      <c r="AMU1378" s="53"/>
      <c r="AMV1378" s="53"/>
      <c r="AMW1378" s="53"/>
      <c r="AMX1378" s="53"/>
      <c r="AMY1378" s="53"/>
      <c r="AMZ1378" s="53"/>
      <c r="ANA1378" s="53"/>
      <c r="ANB1378" s="53"/>
      <c r="ANC1378" s="53"/>
      <c r="AND1378" s="53"/>
      <c r="ANE1378" s="53"/>
      <c r="ANF1378" s="53"/>
      <c r="ANG1378" s="53"/>
      <c r="ANH1378" s="53"/>
      <c r="ANI1378" s="53"/>
      <c r="ANJ1378" s="53"/>
      <c r="ANK1378" s="53"/>
      <c r="ANL1378" s="53"/>
      <c r="ANM1378" s="53"/>
      <c r="ANN1378" s="53"/>
      <c r="ANO1378" s="53"/>
      <c r="ANP1378" s="53"/>
      <c r="ANQ1378" s="53"/>
      <c r="ANR1378" s="53"/>
      <c r="ANS1378" s="53"/>
      <c r="ANT1378" s="53"/>
      <c r="ANU1378" s="53"/>
      <c r="ANV1378" s="53"/>
      <c r="ANW1378" s="53"/>
      <c r="ANX1378" s="53"/>
      <c r="ANY1378" s="53"/>
      <c r="ANZ1378" s="53"/>
      <c r="AOA1378" s="53"/>
      <c r="AOB1378" s="53"/>
      <c r="AOC1378" s="53"/>
      <c r="AOD1378" s="53"/>
      <c r="AOE1378" s="53"/>
      <c r="AOF1378" s="53"/>
      <c r="AOG1378" s="53"/>
      <c r="AOH1378" s="53"/>
      <c r="AOI1378" s="53"/>
      <c r="AOJ1378" s="53"/>
      <c r="AOK1378" s="53"/>
      <c r="AOL1378" s="53"/>
      <c r="AOM1378" s="53"/>
      <c r="AON1378" s="53"/>
      <c r="AOO1378" s="53"/>
      <c r="AOP1378" s="53"/>
      <c r="AOQ1378" s="53"/>
      <c r="AOR1378" s="53"/>
      <c r="AOS1378" s="53"/>
      <c r="AOT1378" s="53"/>
      <c r="AOU1378" s="53"/>
      <c r="AOV1378" s="53"/>
      <c r="AOW1378" s="53"/>
      <c r="AOX1378" s="53"/>
      <c r="AOY1378" s="53"/>
      <c r="AOZ1378" s="53"/>
      <c r="APA1378" s="53"/>
      <c r="APB1378" s="53"/>
      <c r="APC1378" s="53"/>
      <c r="APD1378" s="53"/>
      <c r="APE1378" s="53"/>
      <c r="APF1378" s="53"/>
      <c r="APG1378" s="53"/>
      <c r="APH1378" s="53"/>
      <c r="API1378" s="53"/>
      <c r="APJ1378" s="53"/>
      <c r="APK1378" s="53"/>
      <c r="APL1378" s="53"/>
      <c r="APM1378" s="53"/>
      <c r="APN1378" s="53"/>
      <c r="APO1378" s="53"/>
      <c r="APP1378" s="53"/>
      <c r="APQ1378" s="53"/>
      <c r="APR1378" s="53"/>
      <c r="APS1378" s="53"/>
      <c r="APT1378" s="53"/>
      <c r="APU1378" s="53"/>
      <c r="APV1378" s="53"/>
      <c r="APW1378" s="53"/>
      <c r="APX1378" s="53"/>
      <c r="APY1378" s="53"/>
      <c r="APZ1378" s="53"/>
      <c r="AQA1378" s="53"/>
      <c r="AQB1378" s="53"/>
      <c r="AQC1378" s="53"/>
      <c r="AQD1378" s="53"/>
      <c r="AQE1378" s="53"/>
      <c r="AQF1378" s="53"/>
      <c r="AQG1378" s="53"/>
      <c r="AQH1378" s="53"/>
      <c r="AQI1378" s="53"/>
      <c r="AQJ1378" s="53"/>
      <c r="AQK1378" s="53"/>
      <c r="AQL1378" s="53"/>
      <c r="AQM1378" s="53"/>
      <c r="AQN1378" s="53"/>
      <c r="AQO1378" s="53"/>
      <c r="AQP1378" s="53"/>
      <c r="AQQ1378" s="53"/>
      <c r="AQR1378" s="53"/>
      <c r="AQS1378" s="53"/>
      <c r="AQT1378" s="53"/>
      <c r="AQU1378" s="53"/>
      <c r="AQV1378" s="53"/>
      <c r="AQW1378" s="53"/>
      <c r="AQX1378" s="53"/>
      <c r="AQY1378" s="53"/>
      <c r="AQZ1378" s="53"/>
      <c r="ARA1378" s="53"/>
      <c r="ARB1378" s="53"/>
      <c r="ARC1378" s="53"/>
      <c r="ARD1378" s="53"/>
      <c r="ARE1378" s="53"/>
      <c r="ARF1378" s="53"/>
      <c r="ARG1378" s="53"/>
      <c r="ARH1378" s="53"/>
      <c r="ARI1378" s="53"/>
      <c r="ARJ1378" s="53"/>
      <c r="ARK1378" s="53"/>
      <c r="ARL1378" s="53"/>
      <c r="ARM1378" s="53"/>
      <c r="ARN1378" s="53"/>
      <c r="ARO1378" s="53"/>
      <c r="ARP1378" s="53"/>
      <c r="ARQ1378" s="53"/>
      <c r="ARR1378" s="53"/>
      <c r="ARS1378" s="53"/>
      <c r="ART1378" s="53"/>
      <c r="ARU1378" s="53"/>
      <c r="ARV1378" s="53"/>
      <c r="ARW1378" s="53"/>
      <c r="ARX1378" s="53"/>
      <c r="ARY1378" s="53"/>
      <c r="ARZ1378" s="53"/>
      <c r="ASA1378" s="53"/>
      <c r="ASB1378" s="53"/>
      <c r="ASC1378" s="53"/>
      <c r="ASD1378" s="53"/>
      <c r="ASE1378" s="53"/>
      <c r="ASF1378" s="53"/>
      <c r="ASG1378" s="53"/>
      <c r="ASH1378" s="53"/>
      <c r="ASI1378" s="53"/>
      <c r="ASJ1378" s="53"/>
      <c r="ASK1378" s="53"/>
      <c r="ASL1378" s="53"/>
      <c r="ASM1378" s="53"/>
      <c r="ASN1378" s="53"/>
      <c r="ASO1378" s="53"/>
      <c r="ASP1378" s="53"/>
      <c r="ASQ1378" s="53"/>
      <c r="ASR1378" s="53"/>
      <c r="ASS1378" s="53"/>
      <c r="AST1378" s="53"/>
      <c r="ASU1378" s="53"/>
      <c r="ASV1378" s="53"/>
      <c r="ASW1378" s="53"/>
      <c r="ASX1378" s="53"/>
      <c r="ASY1378" s="53"/>
      <c r="ASZ1378" s="53"/>
      <c r="ATA1378" s="53"/>
      <c r="ATB1378" s="53"/>
      <c r="ATC1378" s="53"/>
      <c r="ATD1378" s="53"/>
      <c r="ATE1378" s="53"/>
      <c r="ATF1378" s="53"/>
      <c r="ATG1378" s="53"/>
      <c r="ATH1378" s="53"/>
      <c r="ATI1378" s="53"/>
      <c r="ATJ1378" s="53"/>
      <c r="ATK1378" s="53"/>
      <c r="ATL1378" s="53"/>
      <c r="ATM1378" s="53"/>
      <c r="ATN1378" s="53"/>
      <c r="ATO1378" s="53"/>
      <c r="ATP1378" s="53"/>
      <c r="ATQ1378" s="53"/>
      <c r="ATR1378" s="53"/>
      <c r="ATS1378" s="53"/>
      <c r="ATT1378" s="53"/>
      <c r="ATU1378" s="53"/>
      <c r="ATV1378" s="53"/>
      <c r="ATW1378" s="53"/>
      <c r="ATX1378" s="53"/>
      <c r="ATY1378" s="53"/>
      <c r="ATZ1378" s="53"/>
      <c r="AUA1378" s="53"/>
      <c r="AUB1378" s="53"/>
      <c r="AUC1378" s="53"/>
      <c r="AUD1378" s="53"/>
      <c r="AUE1378" s="53"/>
      <c r="AUF1378" s="53"/>
      <c r="AUG1378" s="53"/>
      <c r="AUH1378" s="53"/>
      <c r="AUI1378" s="53"/>
      <c r="AUJ1378" s="53"/>
      <c r="AUK1378" s="53"/>
      <c r="AUL1378" s="53"/>
      <c r="AUM1378" s="53"/>
      <c r="AUN1378" s="53"/>
      <c r="AUO1378" s="53"/>
      <c r="AUP1378" s="53"/>
      <c r="AUQ1378" s="53"/>
      <c r="AUR1378" s="53"/>
      <c r="AUS1378" s="53"/>
      <c r="AUT1378" s="53"/>
      <c r="AUU1378" s="53"/>
      <c r="AUV1378" s="53"/>
      <c r="AUW1378" s="53"/>
      <c r="AUX1378" s="53"/>
      <c r="AUY1378" s="53"/>
      <c r="AUZ1378" s="53"/>
      <c r="AVA1378" s="53"/>
      <c r="AVB1378" s="53"/>
      <c r="AVC1378" s="53"/>
      <c r="AVD1378" s="53"/>
      <c r="AVE1378" s="53"/>
      <c r="AVF1378" s="53"/>
      <c r="AVG1378" s="53"/>
      <c r="AVH1378" s="53"/>
      <c r="AVI1378" s="53"/>
      <c r="AVJ1378" s="53"/>
      <c r="AVK1378" s="53"/>
      <c r="AVL1378" s="53"/>
      <c r="AVM1378" s="53"/>
      <c r="AVN1378" s="53"/>
      <c r="AVO1378" s="53"/>
      <c r="AVP1378" s="53"/>
      <c r="AVQ1378" s="53"/>
      <c r="AVR1378" s="53"/>
      <c r="AVS1378" s="53"/>
      <c r="AVT1378" s="53"/>
      <c r="AVU1378" s="53"/>
      <c r="AVV1378" s="53"/>
      <c r="AVW1378" s="53"/>
      <c r="AVX1378" s="53"/>
      <c r="AVY1378" s="53"/>
      <c r="AVZ1378" s="53"/>
      <c r="AWA1378" s="53"/>
      <c r="AWB1378" s="53"/>
      <c r="AWC1378" s="53"/>
      <c r="AWD1378" s="53"/>
      <c r="AWE1378" s="53"/>
      <c r="AWF1378" s="53"/>
      <c r="AWG1378" s="53"/>
      <c r="AWH1378" s="53"/>
      <c r="AWI1378" s="53"/>
      <c r="AWJ1378" s="53"/>
      <c r="AWK1378" s="53"/>
      <c r="AWL1378" s="53"/>
      <c r="AWM1378" s="53"/>
      <c r="AWN1378" s="53"/>
      <c r="AWO1378" s="53"/>
      <c r="AWP1378" s="53"/>
      <c r="AWQ1378" s="53"/>
      <c r="AWR1378" s="53"/>
      <c r="AWS1378" s="53"/>
      <c r="AWT1378" s="53"/>
      <c r="AWU1378" s="53"/>
      <c r="AWV1378" s="53"/>
      <c r="AWW1378" s="53"/>
      <c r="AWX1378" s="53"/>
      <c r="AWY1378" s="53"/>
      <c r="AWZ1378" s="53"/>
      <c r="AXA1378" s="53"/>
      <c r="AXB1378" s="53"/>
      <c r="AXC1378" s="53"/>
      <c r="AXD1378" s="53"/>
      <c r="AXE1378" s="53"/>
      <c r="AXF1378" s="53"/>
      <c r="AXG1378" s="53"/>
      <c r="AXH1378" s="53"/>
      <c r="AXI1378" s="53"/>
      <c r="AXJ1378" s="53"/>
      <c r="AXK1378" s="53"/>
      <c r="AXL1378" s="53"/>
      <c r="AXM1378" s="53"/>
      <c r="AXN1378" s="53"/>
      <c r="AXO1378" s="53"/>
      <c r="AXP1378" s="53"/>
      <c r="AXQ1378" s="53"/>
      <c r="AXR1378" s="53"/>
      <c r="AXS1378" s="53"/>
      <c r="AXT1378" s="53"/>
      <c r="AXU1378" s="53"/>
      <c r="AXV1378" s="53"/>
      <c r="AXW1378" s="53"/>
      <c r="AXX1378" s="53"/>
      <c r="AXY1378" s="53"/>
      <c r="AXZ1378" s="53"/>
      <c r="AYA1378" s="53"/>
      <c r="AYB1378" s="53"/>
      <c r="AYC1378" s="53"/>
      <c r="AYD1378" s="53"/>
      <c r="AYE1378" s="53"/>
      <c r="AYF1378" s="53"/>
      <c r="AYG1378" s="53"/>
      <c r="AYH1378" s="53"/>
      <c r="AYI1378" s="53"/>
      <c r="AYJ1378" s="53"/>
      <c r="AYK1378" s="53"/>
      <c r="AYL1378" s="53"/>
      <c r="AYM1378" s="53"/>
      <c r="AYN1378" s="53"/>
      <c r="AYO1378" s="53"/>
      <c r="AYP1378" s="53"/>
      <c r="AYQ1378" s="53"/>
      <c r="AYR1378" s="53"/>
      <c r="AYS1378" s="53"/>
      <c r="AYT1378" s="53"/>
      <c r="AYU1378" s="53"/>
      <c r="AYV1378" s="53"/>
      <c r="AYW1378" s="53"/>
      <c r="AYX1378" s="53"/>
      <c r="AYY1378" s="53"/>
      <c r="AYZ1378" s="53"/>
      <c r="AZA1378" s="53"/>
      <c r="AZB1378" s="53"/>
      <c r="AZC1378" s="53"/>
      <c r="AZD1378" s="53"/>
      <c r="AZE1378" s="53"/>
      <c r="AZF1378" s="53"/>
      <c r="AZG1378" s="53"/>
      <c r="AZH1378" s="53"/>
      <c r="AZI1378" s="53"/>
      <c r="AZJ1378" s="53"/>
      <c r="AZK1378" s="53"/>
      <c r="AZL1378" s="53"/>
      <c r="AZM1378" s="53"/>
      <c r="AZN1378" s="53"/>
      <c r="AZO1378" s="53"/>
      <c r="AZP1378" s="53"/>
      <c r="AZQ1378" s="53"/>
      <c r="AZR1378" s="53"/>
      <c r="AZS1378" s="53"/>
      <c r="AZT1378" s="53"/>
      <c r="AZU1378" s="53"/>
      <c r="AZV1378" s="53"/>
      <c r="AZW1378" s="53"/>
      <c r="AZX1378" s="53"/>
      <c r="AZY1378" s="53"/>
      <c r="AZZ1378" s="53"/>
      <c r="BAA1378" s="53"/>
      <c r="BAB1378" s="53"/>
      <c r="BAC1378" s="53"/>
      <c r="BAD1378" s="53"/>
      <c r="BAE1378" s="53"/>
      <c r="BAF1378" s="53"/>
      <c r="BAG1378" s="53"/>
      <c r="BAH1378" s="53"/>
      <c r="BAI1378" s="53"/>
      <c r="BAJ1378" s="53"/>
      <c r="BAK1378" s="53"/>
      <c r="BAL1378" s="53"/>
      <c r="BAM1378" s="53"/>
      <c r="BAN1378" s="53"/>
      <c r="BAO1378" s="53"/>
      <c r="BAP1378" s="53"/>
      <c r="BAQ1378" s="53"/>
      <c r="BAR1378" s="53"/>
      <c r="BAS1378" s="53"/>
      <c r="BAT1378" s="53"/>
      <c r="BAU1378" s="53"/>
      <c r="BAV1378" s="53"/>
      <c r="BAW1378" s="53"/>
      <c r="BAX1378" s="53"/>
      <c r="BAY1378" s="53"/>
      <c r="BAZ1378" s="53"/>
      <c r="BBA1378" s="53"/>
      <c r="BBB1378" s="53"/>
      <c r="BBC1378" s="53"/>
      <c r="BBD1378" s="53"/>
      <c r="BBE1378" s="53"/>
      <c r="BBF1378" s="53"/>
      <c r="BBG1378" s="53"/>
      <c r="BBH1378" s="53"/>
      <c r="BBI1378" s="53"/>
      <c r="BBJ1378" s="53"/>
      <c r="BBK1378" s="53"/>
      <c r="BBL1378" s="53"/>
      <c r="BBM1378" s="53"/>
      <c r="BBN1378" s="53"/>
      <c r="BBO1378" s="53"/>
      <c r="BBP1378" s="53"/>
      <c r="BBQ1378" s="53"/>
      <c r="BBR1378" s="53"/>
      <c r="BBS1378" s="53"/>
      <c r="BBT1378" s="53"/>
      <c r="BBU1378" s="53"/>
      <c r="BBV1378" s="53"/>
      <c r="BBW1378" s="53"/>
      <c r="BBX1378" s="53"/>
      <c r="BBY1378" s="53"/>
      <c r="BBZ1378" s="53"/>
      <c r="BCA1378" s="53"/>
      <c r="BCB1378" s="53"/>
      <c r="BCC1378" s="53"/>
      <c r="BCD1378" s="53"/>
      <c r="BCE1378" s="53"/>
      <c r="BCF1378" s="53"/>
      <c r="BCG1378" s="53"/>
      <c r="BCH1378" s="53"/>
      <c r="BCI1378" s="53"/>
      <c r="BCJ1378" s="53"/>
      <c r="BCK1378" s="53"/>
      <c r="BCL1378" s="53"/>
      <c r="BCM1378" s="53"/>
      <c r="BCN1378" s="53"/>
      <c r="BCO1378" s="53"/>
      <c r="BCP1378" s="53"/>
      <c r="BCQ1378" s="53"/>
      <c r="BCR1378" s="53"/>
      <c r="BCS1378" s="53"/>
      <c r="BCT1378" s="53"/>
      <c r="BCU1378" s="53"/>
      <c r="BCV1378" s="53"/>
      <c r="BCW1378" s="53"/>
      <c r="BCX1378" s="53"/>
      <c r="BCY1378" s="53"/>
      <c r="BCZ1378" s="53"/>
      <c r="BDA1378" s="53"/>
      <c r="BDB1378" s="53"/>
      <c r="BDC1378" s="53"/>
      <c r="BDD1378" s="53"/>
      <c r="BDE1378" s="53"/>
      <c r="BDF1378" s="53"/>
      <c r="BDG1378" s="53"/>
      <c r="BDH1378" s="53"/>
      <c r="BDI1378" s="53"/>
      <c r="BDJ1378" s="53"/>
      <c r="BDK1378" s="53"/>
      <c r="BDL1378" s="53"/>
      <c r="BDM1378" s="53"/>
      <c r="BDN1378" s="53"/>
      <c r="BDO1378" s="53"/>
      <c r="BDP1378" s="53"/>
      <c r="BDQ1378" s="53"/>
      <c r="BDR1378" s="53"/>
      <c r="BDS1378" s="53"/>
      <c r="BDT1378" s="53"/>
      <c r="BDU1378" s="53"/>
      <c r="BDV1378" s="53"/>
      <c r="BDW1378" s="53"/>
      <c r="BDX1378" s="53"/>
      <c r="BDY1378" s="53"/>
      <c r="BDZ1378" s="53"/>
      <c r="BEA1378" s="53"/>
      <c r="BEB1378" s="53"/>
      <c r="BEC1378" s="53"/>
      <c r="BED1378" s="53"/>
      <c r="BEE1378" s="53"/>
      <c r="BEF1378" s="53"/>
      <c r="BEG1378" s="53"/>
      <c r="BEH1378" s="53"/>
      <c r="BEI1378" s="53"/>
      <c r="BEJ1378" s="53"/>
      <c r="BEK1378" s="53"/>
      <c r="BEL1378" s="53"/>
      <c r="BEM1378" s="53"/>
      <c r="BEN1378" s="53"/>
      <c r="BEO1378" s="53"/>
      <c r="BEP1378" s="53"/>
      <c r="BEQ1378" s="53"/>
      <c r="BER1378" s="53"/>
      <c r="BES1378" s="53"/>
      <c r="BET1378" s="53"/>
      <c r="BEU1378" s="53"/>
      <c r="BEV1378" s="53"/>
      <c r="BEW1378" s="53"/>
      <c r="BEX1378" s="53"/>
      <c r="BEY1378" s="53"/>
      <c r="BEZ1378" s="53"/>
      <c r="BFA1378" s="53"/>
      <c r="BFB1378" s="53"/>
      <c r="BFC1378" s="53"/>
      <c r="BFD1378" s="53"/>
      <c r="BFE1378" s="53"/>
      <c r="BFF1378" s="53"/>
      <c r="BFG1378" s="53"/>
      <c r="BFH1378" s="53"/>
      <c r="BFI1378" s="53"/>
      <c r="BFJ1378" s="53"/>
      <c r="BFK1378" s="53"/>
      <c r="BFL1378" s="53"/>
      <c r="BFM1378" s="53"/>
      <c r="BFN1378" s="53"/>
      <c r="BFO1378" s="53"/>
      <c r="BFP1378" s="53"/>
      <c r="BFQ1378" s="53"/>
      <c r="BFR1378" s="53"/>
      <c r="BFS1378" s="53"/>
      <c r="BFT1378" s="53"/>
      <c r="BFU1378" s="53"/>
      <c r="BFV1378" s="53"/>
      <c r="BFW1378" s="53"/>
      <c r="BFX1378" s="53"/>
      <c r="BFY1378" s="53"/>
      <c r="BFZ1378" s="53"/>
      <c r="BGA1378" s="53"/>
      <c r="BGB1378" s="53"/>
      <c r="BGC1378" s="53"/>
      <c r="BGD1378" s="53"/>
      <c r="BGE1378" s="53"/>
      <c r="BGF1378" s="53"/>
      <c r="BGG1378" s="53"/>
      <c r="BGH1378" s="53"/>
      <c r="BGI1378" s="53"/>
      <c r="BGJ1378" s="53"/>
      <c r="BGK1378" s="53"/>
      <c r="BGL1378" s="53"/>
      <c r="BGM1378" s="53"/>
      <c r="BGN1378" s="53"/>
      <c r="BGO1378" s="53"/>
      <c r="BGP1378" s="53"/>
      <c r="BGQ1378" s="53"/>
      <c r="BGR1378" s="53"/>
      <c r="BGS1378" s="53"/>
      <c r="BGT1378" s="53"/>
      <c r="BGU1378" s="53"/>
      <c r="BGV1378" s="53"/>
      <c r="BGW1378" s="53"/>
      <c r="BGX1378" s="53"/>
      <c r="BGY1378" s="53"/>
      <c r="BGZ1378" s="53"/>
      <c r="BHA1378" s="53"/>
      <c r="BHB1378" s="53"/>
      <c r="BHC1378" s="53"/>
      <c r="BHD1378" s="53"/>
      <c r="BHE1378" s="53"/>
      <c r="BHF1378" s="53"/>
      <c r="BHG1378" s="53"/>
      <c r="BHH1378" s="53"/>
      <c r="BHI1378" s="53"/>
      <c r="BHJ1378" s="53"/>
      <c r="BHK1378" s="53"/>
      <c r="BHL1378" s="53"/>
      <c r="BHM1378" s="53"/>
      <c r="BHN1378" s="53"/>
      <c r="BHO1378" s="53"/>
      <c r="BHP1378" s="53"/>
      <c r="BHQ1378" s="53"/>
      <c r="BHR1378" s="53"/>
      <c r="BHS1378" s="53"/>
      <c r="BHT1378" s="53"/>
      <c r="BHU1378" s="53"/>
      <c r="BHV1378" s="53"/>
      <c r="BHW1378" s="53"/>
      <c r="BHX1378" s="53"/>
      <c r="BHY1378" s="53"/>
      <c r="BHZ1378" s="53"/>
      <c r="BIA1378" s="53"/>
      <c r="BIB1378" s="53"/>
      <c r="BIC1378" s="53"/>
      <c r="BID1378" s="53"/>
      <c r="BIE1378" s="53"/>
      <c r="BIF1378" s="53"/>
      <c r="BIG1378" s="53"/>
      <c r="BIH1378" s="53"/>
      <c r="BII1378" s="53"/>
      <c r="BIJ1378" s="53"/>
      <c r="BIK1378" s="53"/>
      <c r="BIL1378" s="53"/>
      <c r="BIM1378" s="53"/>
      <c r="BIN1378" s="53"/>
      <c r="BIO1378" s="53"/>
      <c r="BIP1378" s="53"/>
      <c r="BIQ1378" s="53"/>
      <c r="BIR1378" s="53"/>
      <c r="BIS1378" s="53"/>
      <c r="BIT1378" s="53"/>
      <c r="BIU1378" s="53"/>
      <c r="BIV1378" s="53"/>
      <c r="BIW1378" s="53"/>
      <c r="BIX1378" s="53"/>
      <c r="BIY1378" s="53"/>
      <c r="BIZ1378" s="53"/>
      <c r="BJA1378" s="53"/>
      <c r="BJB1378" s="53"/>
      <c r="BJC1378" s="53"/>
      <c r="BJD1378" s="53"/>
      <c r="BJE1378" s="53"/>
      <c r="BJF1378" s="53"/>
      <c r="BJG1378" s="53"/>
      <c r="BJH1378" s="53"/>
      <c r="BJI1378" s="53"/>
      <c r="BJJ1378" s="53"/>
      <c r="BJK1378" s="53"/>
      <c r="BJL1378" s="53"/>
      <c r="BJM1378" s="53"/>
      <c r="BJN1378" s="53"/>
      <c r="BJO1378" s="53"/>
      <c r="BJP1378" s="53"/>
      <c r="BJQ1378" s="53"/>
      <c r="BJR1378" s="53"/>
      <c r="BJS1378" s="53"/>
      <c r="BJT1378" s="53"/>
      <c r="BJU1378" s="53"/>
      <c r="BJV1378" s="53"/>
      <c r="BJW1378" s="53"/>
      <c r="BJX1378" s="53"/>
      <c r="BJY1378" s="53"/>
      <c r="BJZ1378" s="53"/>
      <c r="BKA1378" s="53"/>
      <c r="BKB1378" s="53"/>
      <c r="BKC1378" s="53"/>
      <c r="BKD1378" s="53"/>
      <c r="BKE1378" s="53"/>
      <c r="BKF1378" s="53"/>
      <c r="BKG1378" s="53"/>
      <c r="BKH1378" s="53"/>
      <c r="BKI1378" s="53"/>
      <c r="BKJ1378" s="53"/>
      <c r="BKK1378" s="53"/>
      <c r="BKL1378" s="53"/>
      <c r="BKM1378" s="53"/>
      <c r="BKN1378" s="53"/>
      <c r="BKO1378" s="53"/>
      <c r="BKP1378" s="53"/>
      <c r="BKQ1378" s="53"/>
      <c r="BKR1378" s="53"/>
      <c r="BKS1378" s="53"/>
      <c r="BKT1378" s="53"/>
      <c r="BKU1378" s="53"/>
      <c r="BKV1378" s="53"/>
      <c r="BKW1378" s="53"/>
      <c r="BKX1378" s="53"/>
      <c r="BKY1378" s="53"/>
      <c r="BKZ1378" s="53"/>
      <c r="BLA1378" s="53"/>
      <c r="BLB1378" s="53"/>
      <c r="BLC1378" s="53"/>
      <c r="BLD1378" s="53"/>
      <c r="BLE1378" s="53"/>
      <c r="BLF1378" s="53"/>
      <c r="BLG1378" s="53"/>
      <c r="BLH1378" s="53"/>
      <c r="BLI1378" s="53"/>
      <c r="BLJ1378" s="53"/>
      <c r="BLK1378" s="53"/>
      <c r="BLL1378" s="53"/>
      <c r="BLM1378" s="53"/>
      <c r="BLN1378" s="53"/>
      <c r="BLO1378" s="53"/>
      <c r="BLP1378" s="53"/>
      <c r="BLQ1378" s="53"/>
      <c r="BLR1378" s="53"/>
      <c r="BLS1378" s="53"/>
      <c r="BLT1378" s="53"/>
      <c r="BLU1378" s="53"/>
      <c r="BLV1378" s="53"/>
      <c r="BLW1378" s="53"/>
      <c r="BLX1378" s="53"/>
      <c r="BLY1378" s="53"/>
      <c r="BLZ1378" s="53"/>
      <c r="BMA1378" s="53"/>
      <c r="BMB1378" s="53"/>
      <c r="BMC1378" s="53"/>
      <c r="BMD1378" s="53"/>
      <c r="BME1378" s="53"/>
      <c r="BMF1378" s="53"/>
      <c r="BMG1378" s="53"/>
      <c r="BMH1378" s="53"/>
      <c r="BMI1378" s="53"/>
      <c r="BMJ1378" s="53"/>
      <c r="BMK1378" s="53"/>
      <c r="BML1378" s="53"/>
      <c r="BMM1378" s="53"/>
      <c r="BMN1378" s="53"/>
      <c r="BMO1378" s="53"/>
      <c r="BMP1378" s="53"/>
      <c r="BMQ1378" s="53"/>
      <c r="BMR1378" s="53"/>
      <c r="BMS1378" s="53"/>
      <c r="BMT1378" s="53"/>
      <c r="BMU1378" s="53"/>
      <c r="BMV1378" s="53"/>
      <c r="BMW1378" s="53"/>
      <c r="BMX1378" s="53"/>
      <c r="BMY1378" s="53"/>
      <c r="BMZ1378" s="53"/>
      <c r="BNA1378" s="53"/>
      <c r="BNB1378" s="53"/>
      <c r="BNC1378" s="53"/>
      <c r="BND1378" s="53"/>
      <c r="BNE1378" s="53"/>
      <c r="BNF1378" s="53"/>
      <c r="BNG1378" s="53"/>
      <c r="BNH1378" s="53"/>
      <c r="BNI1378" s="53"/>
      <c r="BNJ1378" s="53"/>
      <c r="BNK1378" s="53"/>
      <c r="BNL1378" s="53"/>
      <c r="BNM1378" s="53"/>
      <c r="BNN1378" s="53"/>
      <c r="BNO1378" s="53"/>
      <c r="BNP1378" s="53"/>
      <c r="BNQ1378" s="53"/>
      <c r="BNR1378" s="53"/>
      <c r="BNS1378" s="53"/>
      <c r="BNT1378" s="53"/>
      <c r="BNU1378" s="53"/>
      <c r="BNV1378" s="53"/>
      <c r="BNW1378" s="53"/>
      <c r="BNX1378" s="53"/>
      <c r="BNY1378" s="53"/>
      <c r="BNZ1378" s="53"/>
      <c r="BOA1378" s="53"/>
      <c r="BOB1378" s="53"/>
      <c r="BOC1378" s="53"/>
      <c r="BOD1378" s="53"/>
      <c r="BOE1378" s="53"/>
      <c r="BOF1378" s="53"/>
      <c r="BOG1378" s="53"/>
      <c r="BOH1378" s="53"/>
      <c r="BOI1378" s="53"/>
      <c r="BOJ1378" s="53"/>
      <c r="BOK1378" s="53"/>
      <c r="BOL1378" s="53"/>
      <c r="BOM1378" s="53"/>
      <c r="BON1378" s="53"/>
      <c r="BOO1378" s="53"/>
      <c r="BOP1378" s="53"/>
      <c r="BOQ1378" s="53"/>
      <c r="BOR1378" s="53"/>
      <c r="BOS1378" s="53"/>
      <c r="BOT1378" s="53"/>
      <c r="BOU1378" s="53"/>
      <c r="BOV1378" s="53"/>
      <c r="BOW1378" s="53"/>
      <c r="BOX1378" s="53"/>
      <c r="BOY1378" s="53"/>
      <c r="BOZ1378" s="53"/>
      <c r="BPA1378" s="53"/>
      <c r="BPB1378" s="53"/>
      <c r="BPC1378" s="53"/>
      <c r="BPD1378" s="53"/>
      <c r="BPE1378" s="53"/>
      <c r="BPF1378" s="53"/>
      <c r="BPG1378" s="53"/>
      <c r="BPH1378" s="53"/>
      <c r="BPI1378" s="53"/>
      <c r="BPJ1378" s="53"/>
      <c r="BPK1378" s="53"/>
      <c r="BPL1378" s="53"/>
      <c r="BPM1378" s="53"/>
      <c r="BPN1378" s="53"/>
      <c r="BPO1378" s="53"/>
      <c r="BPP1378" s="53"/>
      <c r="BPQ1378" s="53"/>
      <c r="BPR1378" s="53"/>
      <c r="BPS1378" s="53"/>
      <c r="BPT1378" s="53"/>
      <c r="BPU1378" s="53"/>
      <c r="BPV1378" s="53"/>
      <c r="BPW1378" s="53"/>
      <c r="BPX1378" s="53"/>
      <c r="BPY1378" s="53"/>
      <c r="BPZ1378" s="53"/>
      <c r="BQA1378" s="53"/>
      <c r="BQB1378" s="53"/>
      <c r="BQC1378" s="53"/>
      <c r="BQD1378" s="53"/>
      <c r="BQE1378" s="53"/>
      <c r="BQF1378" s="53"/>
      <c r="BQG1378" s="53"/>
      <c r="BQH1378" s="53"/>
      <c r="BQI1378" s="53"/>
      <c r="BQJ1378" s="53"/>
      <c r="BQK1378" s="53"/>
      <c r="BQL1378" s="53"/>
      <c r="BQM1378" s="53"/>
      <c r="BQN1378" s="53"/>
      <c r="BQO1378" s="53"/>
      <c r="BQP1378" s="53"/>
      <c r="BQQ1378" s="53"/>
      <c r="BQR1378" s="53"/>
      <c r="BQS1378" s="53"/>
      <c r="BQT1378" s="53"/>
      <c r="BQU1378" s="53"/>
      <c r="BQV1378" s="53"/>
      <c r="BQW1378" s="53"/>
      <c r="BQX1378" s="53"/>
      <c r="BQY1378" s="53"/>
      <c r="BQZ1378" s="53"/>
      <c r="BRA1378" s="53"/>
      <c r="BRB1378" s="53"/>
      <c r="BRC1378" s="53"/>
      <c r="BRD1378" s="53"/>
      <c r="BRE1378" s="53"/>
      <c r="BRF1378" s="53"/>
      <c r="BRG1378" s="53"/>
      <c r="BRH1378" s="53"/>
      <c r="BRI1378" s="53"/>
      <c r="BRJ1378" s="53"/>
      <c r="BRK1378" s="53"/>
      <c r="BRL1378" s="53"/>
      <c r="BRM1378" s="53"/>
      <c r="BRN1378" s="53"/>
      <c r="BRO1378" s="53"/>
      <c r="BRP1378" s="53"/>
      <c r="BRQ1378" s="53"/>
      <c r="BRR1378" s="53"/>
      <c r="BRS1378" s="53"/>
      <c r="BRT1378" s="53"/>
      <c r="BRU1378" s="53"/>
      <c r="BRV1378" s="53"/>
      <c r="BRW1378" s="53"/>
      <c r="BRX1378" s="53"/>
      <c r="BRY1378" s="53"/>
      <c r="BRZ1378" s="53"/>
      <c r="BSA1378" s="53"/>
      <c r="BSB1378" s="53"/>
      <c r="BSC1378" s="53"/>
      <c r="BSD1378" s="53"/>
      <c r="BSE1378" s="53"/>
      <c r="BSF1378" s="53"/>
      <c r="BSG1378" s="53"/>
      <c r="BSH1378" s="53"/>
      <c r="BSI1378" s="53"/>
      <c r="BSJ1378" s="53"/>
      <c r="BSK1378" s="53"/>
      <c r="BSL1378" s="53"/>
      <c r="BSM1378" s="53"/>
      <c r="BSN1378" s="53"/>
      <c r="BSO1378" s="53"/>
      <c r="BSP1378" s="53"/>
      <c r="BSQ1378" s="53"/>
      <c r="BSR1378" s="53"/>
      <c r="BSS1378" s="53"/>
      <c r="BST1378" s="53"/>
      <c r="BSU1378" s="53"/>
      <c r="BSV1378" s="53"/>
      <c r="BSW1378" s="53"/>
      <c r="BSX1378" s="53"/>
      <c r="BSY1378" s="53"/>
      <c r="BSZ1378" s="53"/>
      <c r="BTA1378" s="53"/>
      <c r="BTB1378" s="53"/>
      <c r="BTC1378" s="53"/>
      <c r="BTD1378" s="53"/>
      <c r="BTE1378" s="53"/>
      <c r="BTF1378" s="53"/>
      <c r="BTG1378" s="53"/>
      <c r="BTH1378" s="53"/>
      <c r="BTI1378" s="53"/>
      <c r="BTJ1378" s="53"/>
      <c r="BTK1378" s="53"/>
      <c r="BTL1378" s="53"/>
      <c r="BTM1378" s="53"/>
      <c r="BTN1378" s="53"/>
      <c r="BTO1378" s="53"/>
      <c r="BTP1378" s="53"/>
      <c r="BTQ1378" s="53"/>
      <c r="BTR1378" s="53"/>
      <c r="BTS1378" s="53"/>
      <c r="BTT1378" s="53"/>
      <c r="BTU1378" s="53"/>
      <c r="BTV1378" s="53"/>
      <c r="BTW1378" s="53"/>
      <c r="BTX1378" s="53"/>
      <c r="BTY1378" s="53"/>
      <c r="BTZ1378" s="53"/>
      <c r="BUA1378" s="53"/>
      <c r="BUB1378" s="53"/>
      <c r="BUC1378" s="53"/>
      <c r="BUD1378" s="53"/>
      <c r="BUE1378" s="53"/>
      <c r="BUF1378" s="53"/>
      <c r="BUG1378" s="53"/>
      <c r="BUH1378" s="53"/>
      <c r="BUI1378" s="53"/>
      <c r="BUJ1378" s="53"/>
      <c r="BUK1378" s="53"/>
      <c r="BUL1378" s="53"/>
      <c r="BUM1378" s="53"/>
      <c r="BUN1378" s="53"/>
      <c r="BUO1378" s="53"/>
      <c r="BUP1378" s="53"/>
      <c r="BUQ1378" s="53"/>
      <c r="BUR1378" s="53"/>
      <c r="BUS1378" s="53"/>
      <c r="BUT1378" s="53"/>
      <c r="BUU1378" s="53"/>
      <c r="BUV1378" s="53"/>
      <c r="BUW1378" s="53"/>
      <c r="BUX1378" s="53"/>
      <c r="BUY1378" s="53"/>
      <c r="BUZ1378" s="53"/>
      <c r="BVA1378" s="53"/>
      <c r="BVB1378" s="53"/>
      <c r="BVC1378" s="53"/>
      <c r="BVD1378" s="53"/>
      <c r="BVE1378" s="53"/>
      <c r="BVF1378" s="53"/>
      <c r="BVG1378" s="53"/>
      <c r="BVH1378" s="53"/>
      <c r="BVI1378" s="53"/>
      <c r="BVJ1378" s="53"/>
      <c r="BVK1378" s="53"/>
      <c r="BVL1378" s="53"/>
      <c r="BVM1378" s="53"/>
      <c r="BVN1378" s="53"/>
      <c r="BVO1378" s="53"/>
      <c r="BVP1378" s="53"/>
      <c r="BVQ1378" s="53"/>
      <c r="BVR1378" s="53"/>
      <c r="BVS1378" s="53"/>
      <c r="BVT1378" s="53"/>
      <c r="BVU1378" s="53"/>
      <c r="BVV1378" s="53"/>
      <c r="BVW1378" s="53"/>
      <c r="BVX1378" s="53"/>
      <c r="BVY1378" s="53"/>
      <c r="BVZ1378" s="53"/>
      <c r="BWA1378" s="53"/>
      <c r="BWB1378" s="53"/>
      <c r="BWC1378" s="53"/>
      <c r="BWD1378" s="53"/>
      <c r="BWE1378" s="53"/>
      <c r="BWF1378" s="53"/>
      <c r="BWG1378" s="53"/>
      <c r="BWH1378" s="53"/>
      <c r="BWI1378" s="53"/>
      <c r="BWJ1378" s="53"/>
      <c r="BWK1378" s="53"/>
      <c r="BWL1378" s="53"/>
      <c r="BWM1378" s="53"/>
      <c r="BWN1378" s="53"/>
      <c r="BWO1378" s="53"/>
      <c r="BWP1378" s="53"/>
      <c r="BWQ1378" s="53"/>
      <c r="BWR1378" s="53"/>
      <c r="BWS1378" s="53"/>
      <c r="BWT1378" s="53"/>
      <c r="BWU1378" s="53"/>
      <c r="BWV1378" s="53"/>
      <c r="BWW1378" s="53"/>
      <c r="BWX1378" s="53"/>
      <c r="BWY1378" s="53"/>
      <c r="BWZ1378" s="53"/>
      <c r="BXA1378" s="53"/>
      <c r="BXB1378" s="53"/>
      <c r="BXC1378" s="53"/>
      <c r="BXD1378" s="53"/>
      <c r="BXE1378" s="53"/>
      <c r="BXF1378" s="53"/>
      <c r="BXG1378" s="53"/>
      <c r="BXH1378" s="53"/>
      <c r="BXI1378" s="53"/>
      <c r="BXJ1378" s="53"/>
      <c r="BXK1378" s="53"/>
      <c r="BXL1378" s="53"/>
      <c r="BXM1378" s="53"/>
      <c r="BXN1378" s="53"/>
      <c r="BXO1378" s="53"/>
      <c r="BXP1378" s="53"/>
      <c r="BXQ1378" s="53"/>
      <c r="BXR1378" s="53"/>
      <c r="BXS1378" s="53"/>
      <c r="BXT1378" s="53"/>
      <c r="BXU1378" s="53"/>
      <c r="BXV1378" s="53"/>
      <c r="BXW1378" s="53"/>
      <c r="BXX1378" s="53"/>
      <c r="BXY1378" s="53"/>
      <c r="BXZ1378" s="53"/>
      <c r="BYA1378" s="53"/>
      <c r="BYB1378" s="53"/>
      <c r="BYC1378" s="53"/>
      <c r="BYD1378" s="53"/>
      <c r="BYE1378" s="53"/>
      <c r="BYF1378" s="53"/>
      <c r="BYG1378" s="53"/>
      <c r="BYH1378" s="53"/>
      <c r="BYI1378" s="53"/>
      <c r="BYJ1378" s="53"/>
      <c r="BYK1378" s="53"/>
      <c r="BYL1378" s="53"/>
      <c r="BYM1378" s="53"/>
      <c r="BYN1378" s="53"/>
      <c r="BYO1378" s="53"/>
      <c r="BYP1378" s="53"/>
      <c r="BYQ1378" s="53"/>
      <c r="BYR1378" s="53"/>
      <c r="BYS1378" s="53"/>
      <c r="BYT1378" s="53"/>
      <c r="BYU1378" s="53"/>
      <c r="BYV1378" s="53"/>
      <c r="BYW1378" s="53"/>
      <c r="BYX1378" s="53"/>
      <c r="BYY1378" s="53"/>
      <c r="BYZ1378" s="53"/>
      <c r="BZA1378" s="53"/>
      <c r="BZB1378" s="53"/>
      <c r="BZC1378" s="53"/>
      <c r="BZD1378" s="53"/>
      <c r="BZE1378" s="53"/>
      <c r="BZF1378" s="53"/>
      <c r="BZG1378" s="53"/>
      <c r="BZH1378" s="53"/>
      <c r="BZI1378" s="53"/>
      <c r="BZJ1378" s="53"/>
      <c r="BZK1378" s="53"/>
      <c r="BZL1378" s="53"/>
      <c r="BZM1378" s="53"/>
      <c r="BZN1378" s="53"/>
      <c r="BZO1378" s="53"/>
      <c r="BZP1378" s="53"/>
      <c r="BZQ1378" s="53"/>
      <c r="BZR1378" s="53"/>
      <c r="BZS1378" s="53"/>
      <c r="BZT1378" s="53"/>
      <c r="BZU1378" s="53"/>
      <c r="BZV1378" s="53"/>
      <c r="BZW1378" s="53"/>
      <c r="BZX1378" s="53"/>
      <c r="BZY1378" s="53"/>
      <c r="BZZ1378" s="53"/>
      <c r="CAA1378" s="53"/>
      <c r="CAB1378" s="53"/>
      <c r="CAC1378" s="53"/>
      <c r="CAD1378" s="53"/>
      <c r="CAE1378" s="53"/>
      <c r="CAF1378" s="53"/>
      <c r="CAG1378" s="53"/>
      <c r="CAH1378" s="53"/>
      <c r="CAI1378" s="53"/>
      <c r="CAJ1378" s="53"/>
      <c r="CAK1378" s="53"/>
      <c r="CAL1378" s="53"/>
      <c r="CAM1378" s="53"/>
      <c r="CAN1378" s="53"/>
      <c r="CAO1378" s="53"/>
      <c r="CAP1378" s="53"/>
      <c r="CAQ1378" s="53"/>
      <c r="CAR1378" s="53"/>
      <c r="CAS1378" s="53"/>
      <c r="CAT1378" s="53"/>
      <c r="CAU1378" s="53"/>
      <c r="CAV1378" s="53"/>
      <c r="CAW1378" s="53"/>
      <c r="CAX1378" s="53"/>
      <c r="CAY1378" s="53"/>
      <c r="CAZ1378" s="53"/>
      <c r="CBA1378" s="53"/>
      <c r="CBB1378" s="53"/>
      <c r="CBC1378" s="53"/>
      <c r="CBD1378" s="53"/>
      <c r="CBE1378" s="53"/>
      <c r="CBF1378" s="53"/>
      <c r="CBG1378" s="53"/>
      <c r="CBH1378" s="53"/>
      <c r="CBI1378" s="53"/>
      <c r="CBJ1378" s="53"/>
      <c r="CBK1378" s="53"/>
      <c r="CBL1378" s="53"/>
      <c r="CBM1378" s="53"/>
      <c r="CBN1378" s="53"/>
      <c r="CBO1378" s="53"/>
      <c r="CBP1378" s="53"/>
      <c r="CBQ1378" s="53"/>
      <c r="CBR1378" s="53"/>
      <c r="CBS1378" s="53"/>
      <c r="CBT1378" s="53"/>
      <c r="CBU1378" s="53"/>
      <c r="CBV1378" s="53"/>
      <c r="CBW1378" s="53"/>
      <c r="CBX1378" s="53"/>
      <c r="CBY1378" s="53"/>
      <c r="CBZ1378" s="53"/>
      <c r="CCA1378" s="53"/>
      <c r="CCB1378" s="53"/>
      <c r="CCC1378" s="53"/>
      <c r="CCD1378" s="53"/>
      <c r="CCE1378" s="53"/>
      <c r="CCF1378" s="53"/>
      <c r="CCG1378" s="53"/>
      <c r="CCH1378" s="53"/>
      <c r="CCI1378" s="53"/>
      <c r="CCJ1378" s="53"/>
      <c r="CCK1378" s="53"/>
      <c r="CCL1378" s="53"/>
      <c r="CCM1378" s="53"/>
      <c r="CCN1378" s="53"/>
      <c r="CCO1378" s="53"/>
      <c r="CCP1378" s="53"/>
      <c r="CCQ1378" s="53"/>
      <c r="CCR1378" s="53"/>
      <c r="CCS1378" s="53"/>
      <c r="CCT1378" s="53"/>
      <c r="CCU1378" s="53"/>
      <c r="CCV1378" s="53"/>
      <c r="CCW1378" s="53"/>
      <c r="CCX1378" s="53"/>
      <c r="CCY1378" s="53"/>
      <c r="CCZ1378" s="53"/>
      <c r="CDA1378" s="53"/>
      <c r="CDB1378" s="53"/>
      <c r="CDC1378" s="53"/>
      <c r="CDD1378" s="53"/>
      <c r="CDE1378" s="53"/>
      <c r="CDF1378" s="53"/>
      <c r="CDG1378" s="53"/>
      <c r="CDH1378" s="53"/>
      <c r="CDI1378" s="53"/>
      <c r="CDJ1378" s="53"/>
      <c r="CDK1378" s="53"/>
      <c r="CDL1378" s="53"/>
      <c r="CDM1378" s="53"/>
      <c r="CDN1378" s="53"/>
      <c r="CDO1378" s="53"/>
      <c r="CDP1378" s="53"/>
      <c r="CDQ1378" s="53"/>
      <c r="CDR1378" s="53"/>
      <c r="CDS1378" s="53"/>
      <c r="CDT1378" s="53"/>
      <c r="CDU1378" s="53"/>
      <c r="CDV1378" s="53"/>
      <c r="CDW1378" s="53"/>
      <c r="CDX1378" s="53"/>
      <c r="CDY1378" s="53"/>
      <c r="CDZ1378" s="53"/>
      <c r="CEA1378" s="53"/>
      <c r="CEB1378" s="53"/>
      <c r="CEC1378" s="53"/>
      <c r="CED1378" s="53"/>
      <c r="CEE1378" s="53"/>
      <c r="CEF1378" s="53"/>
      <c r="CEG1378" s="53"/>
      <c r="CEH1378" s="53"/>
      <c r="CEI1378" s="53"/>
      <c r="CEJ1378" s="53"/>
      <c r="CEK1378" s="53"/>
      <c r="CEL1378" s="53"/>
      <c r="CEM1378" s="53"/>
      <c r="CEN1378" s="53"/>
      <c r="CEO1378" s="53"/>
      <c r="CEP1378" s="53"/>
      <c r="CEQ1378" s="53"/>
      <c r="CER1378" s="53"/>
      <c r="CES1378" s="53"/>
      <c r="CET1378" s="53"/>
      <c r="CEU1378" s="53"/>
      <c r="CEV1378" s="53"/>
      <c r="CEW1378" s="53"/>
      <c r="CEX1378" s="53"/>
      <c r="CEY1378" s="53"/>
      <c r="CEZ1378" s="53"/>
      <c r="CFA1378" s="53"/>
      <c r="CFB1378" s="53"/>
      <c r="CFC1378" s="53"/>
      <c r="CFD1378" s="53"/>
      <c r="CFE1378" s="53"/>
      <c r="CFF1378" s="53"/>
      <c r="CFG1378" s="53"/>
      <c r="CFH1378" s="53"/>
      <c r="CFI1378" s="53"/>
      <c r="CFJ1378" s="53"/>
      <c r="CFK1378" s="53"/>
      <c r="CFL1378" s="53"/>
      <c r="CFM1378" s="53"/>
      <c r="CFN1378" s="53"/>
      <c r="CFO1378" s="53"/>
      <c r="CFP1378" s="53"/>
      <c r="CFQ1378" s="53"/>
      <c r="CFR1378" s="53"/>
      <c r="CFS1378" s="53"/>
      <c r="CFT1378" s="53"/>
      <c r="CFU1378" s="53"/>
      <c r="CFV1378" s="53"/>
      <c r="CFW1378" s="53"/>
      <c r="CFX1378" s="53"/>
      <c r="CFY1378" s="53"/>
      <c r="CFZ1378" s="53"/>
      <c r="CGA1378" s="53"/>
      <c r="CGB1378" s="53"/>
      <c r="CGC1378" s="53"/>
      <c r="CGD1378" s="53"/>
      <c r="CGE1378" s="53"/>
      <c r="CGF1378" s="53"/>
      <c r="CGG1378" s="53"/>
      <c r="CGH1378" s="53"/>
      <c r="CGI1378" s="53"/>
      <c r="CGJ1378" s="53"/>
      <c r="CGK1378" s="53"/>
      <c r="CGL1378" s="53"/>
      <c r="CGM1378" s="53"/>
      <c r="CGN1378" s="53"/>
      <c r="CGO1378" s="53"/>
      <c r="CGP1378" s="53"/>
      <c r="CGQ1378" s="53"/>
      <c r="CGR1378" s="53"/>
      <c r="CGS1378" s="53"/>
      <c r="CGT1378" s="53"/>
      <c r="CGU1378" s="53"/>
      <c r="CGV1378" s="53"/>
      <c r="CGW1378" s="53"/>
      <c r="CGX1378" s="53"/>
      <c r="CGY1378" s="53"/>
      <c r="CGZ1378" s="53"/>
      <c r="CHA1378" s="53"/>
      <c r="CHB1378" s="53"/>
      <c r="CHC1378" s="53"/>
      <c r="CHD1378" s="53"/>
      <c r="CHE1378" s="53"/>
      <c r="CHF1378" s="53"/>
      <c r="CHG1378" s="53"/>
      <c r="CHH1378" s="53"/>
      <c r="CHI1378" s="53"/>
      <c r="CHJ1378" s="53"/>
      <c r="CHK1378" s="53"/>
      <c r="CHL1378" s="53"/>
      <c r="CHM1378" s="53"/>
      <c r="CHN1378" s="53"/>
      <c r="CHO1378" s="53"/>
      <c r="CHP1378" s="53"/>
      <c r="CHQ1378" s="53"/>
      <c r="CHR1378" s="53"/>
      <c r="CHS1378" s="53"/>
      <c r="CHT1378" s="53"/>
      <c r="CHU1378" s="53"/>
      <c r="CHV1378" s="53"/>
      <c r="CHW1378" s="53"/>
      <c r="CHX1378" s="53"/>
      <c r="CHY1378" s="53"/>
      <c r="CHZ1378" s="53"/>
      <c r="CIA1378" s="53"/>
      <c r="CIB1378" s="53"/>
      <c r="CIC1378" s="53"/>
      <c r="CID1378" s="53"/>
      <c r="CIE1378" s="53"/>
      <c r="CIF1378" s="53"/>
      <c r="CIG1378" s="53"/>
      <c r="CIH1378" s="53"/>
      <c r="CII1378" s="53"/>
      <c r="CIJ1378" s="53"/>
      <c r="CIK1378" s="53"/>
      <c r="CIL1378" s="53"/>
      <c r="CIM1378" s="53"/>
      <c r="CIN1378" s="53"/>
      <c r="CIO1378" s="53"/>
      <c r="CIP1378" s="53"/>
      <c r="CIQ1378" s="53"/>
      <c r="CIR1378" s="53"/>
      <c r="CIS1378" s="53"/>
      <c r="CIT1378" s="53"/>
      <c r="CIU1378" s="53"/>
      <c r="CIV1378" s="53"/>
      <c r="CIW1378" s="53"/>
      <c r="CIX1378" s="53"/>
      <c r="CIY1378" s="53"/>
      <c r="CIZ1378" s="53"/>
      <c r="CJA1378" s="53"/>
      <c r="CJB1378" s="53"/>
      <c r="CJC1378" s="53"/>
      <c r="CJD1378" s="53"/>
      <c r="CJE1378" s="53"/>
      <c r="CJF1378" s="53"/>
      <c r="CJG1378" s="53"/>
      <c r="CJH1378" s="53"/>
      <c r="CJI1378" s="53"/>
      <c r="CJJ1378" s="53"/>
      <c r="CJK1378" s="53"/>
      <c r="CJL1378" s="53"/>
      <c r="CJM1378" s="53"/>
      <c r="CJN1378" s="53"/>
      <c r="CJO1378" s="53"/>
      <c r="CJP1378" s="53"/>
      <c r="CJQ1378" s="53"/>
      <c r="CJR1378" s="53"/>
      <c r="CJS1378" s="53"/>
      <c r="CJT1378" s="53"/>
      <c r="CJU1378" s="53"/>
      <c r="CJV1378" s="53"/>
      <c r="CJW1378" s="53"/>
      <c r="CJX1378" s="53"/>
      <c r="CJY1378" s="53"/>
      <c r="CJZ1378" s="53"/>
      <c r="CKA1378" s="53"/>
      <c r="CKB1378" s="53"/>
      <c r="CKC1378" s="53"/>
      <c r="CKD1378" s="53"/>
      <c r="CKE1378" s="53"/>
      <c r="CKF1378" s="53"/>
      <c r="CKG1378" s="53"/>
      <c r="CKH1378" s="53"/>
      <c r="CKI1378" s="53"/>
      <c r="CKJ1378" s="53"/>
      <c r="CKK1378" s="53"/>
      <c r="CKL1378" s="53"/>
      <c r="CKM1378" s="53"/>
      <c r="CKN1378" s="53"/>
      <c r="CKO1378" s="53"/>
      <c r="CKP1378" s="53"/>
      <c r="CKQ1378" s="53"/>
      <c r="CKR1378" s="53"/>
      <c r="CKS1378" s="53"/>
      <c r="CKT1378" s="53"/>
      <c r="CKU1378" s="53"/>
      <c r="CKV1378" s="53"/>
      <c r="CKW1378" s="53"/>
      <c r="CKX1378" s="53"/>
      <c r="CKY1378" s="53"/>
      <c r="CKZ1378" s="53"/>
      <c r="CLA1378" s="53"/>
      <c r="CLB1378" s="53"/>
      <c r="CLC1378" s="53"/>
      <c r="CLD1378" s="53"/>
      <c r="CLE1378" s="53"/>
      <c r="CLF1378" s="53"/>
      <c r="CLG1378" s="53"/>
      <c r="CLH1378" s="53"/>
      <c r="CLI1378" s="53"/>
      <c r="CLJ1378" s="53"/>
      <c r="CLK1378" s="53"/>
      <c r="CLL1378" s="53"/>
      <c r="CLM1378" s="53"/>
      <c r="CLN1378" s="53"/>
      <c r="CLO1378" s="53"/>
      <c r="CLP1378" s="53"/>
      <c r="CLQ1378" s="53"/>
      <c r="CLR1378" s="53"/>
      <c r="CLS1378" s="53"/>
      <c r="CLT1378" s="53"/>
      <c r="CLU1378" s="53"/>
      <c r="CLV1378" s="53"/>
      <c r="CLW1378" s="53"/>
      <c r="CLX1378" s="53"/>
      <c r="CLY1378" s="53"/>
      <c r="CLZ1378" s="53"/>
      <c r="CMA1378" s="53"/>
      <c r="CMB1378" s="53"/>
      <c r="CMC1378" s="53"/>
      <c r="CMD1378" s="53"/>
      <c r="CME1378" s="53"/>
      <c r="CMF1378" s="53"/>
      <c r="CMG1378" s="53"/>
      <c r="CMH1378" s="53"/>
      <c r="CMI1378" s="53"/>
      <c r="CMJ1378" s="53"/>
      <c r="CMK1378" s="53"/>
      <c r="CML1378" s="53"/>
      <c r="CMM1378" s="53"/>
      <c r="CMN1378" s="53"/>
      <c r="CMO1378" s="53"/>
      <c r="CMP1378" s="53"/>
      <c r="CMQ1378" s="53"/>
      <c r="CMR1378" s="53"/>
      <c r="CMS1378" s="53"/>
      <c r="CMT1378" s="53"/>
      <c r="CMU1378" s="53"/>
      <c r="CMV1378" s="53"/>
      <c r="CMW1378" s="53"/>
      <c r="CMX1378" s="53"/>
      <c r="CMY1378" s="53"/>
      <c r="CMZ1378" s="53"/>
      <c r="CNA1378" s="53"/>
      <c r="CNB1378" s="53"/>
      <c r="CNC1378" s="53"/>
      <c r="CND1378" s="53"/>
      <c r="CNE1378" s="53"/>
      <c r="CNF1378" s="53"/>
      <c r="CNG1378" s="53"/>
      <c r="CNH1378" s="53"/>
      <c r="CNI1378" s="53"/>
      <c r="CNJ1378" s="53"/>
      <c r="CNK1378" s="53"/>
      <c r="CNL1378" s="53"/>
      <c r="CNM1378" s="53"/>
      <c r="CNN1378" s="53"/>
      <c r="CNO1378" s="53"/>
      <c r="CNP1378" s="53"/>
      <c r="CNQ1378" s="53"/>
      <c r="CNR1378" s="53"/>
      <c r="CNS1378" s="53"/>
      <c r="CNT1378" s="53"/>
      <c r="CNU1378" s="53"/>
      <c r="CNV1378" s="53"/>
      <c r="CNW1378" s="53"/>
      <c r="CNX1378" s="53"/>
      <c r="CNY1378" s="53"/>
      <c r="CNZ1378" s="53"/>
      <c r="COA1378" s="53"/>
      <c r="COB1378" s="53"/>
      <c r="COC1378" s="53"/>
      <c r="COD1378" s="53"/>
      <c r="COE1378" s="53"/>
      <c r="COF1378" s="53"/>
      <c r="COG1378" s="53"/>
      <c r="COH1378" s="53"/>
      <c r="COI1378" s="53"/>
      <c r="COJ1378" s="53"/>
      <c r="COK1378" s="53"/>
      <c r="COL1378" s="53"/>
      <c r="COM1378" s="53"/>
      <c r="CON1378" s="53"/>
      <c r="COO1378" s="53"/>
      <c r="COP1378" s="53"/>
      <c r="COQ1378" s="53"/>
      <c r="COR1378" s="53"/>
      <c r="COS1378" s="53"/>
      <c r="COT1378" s="53"/>
      <c r="COU1378" s="53"/>
      <c r="COV1378" s="53"/>
      <c r="COW1378" s="53"/>
      <c r="COX1378" s="53"/>
      <c r="COY1378" s="53"/>
      <c r="COZ1378" s="53"/>
      <c r="CPA1378" s="53"/>
      <c r="CPB1378" s="53"/>
      <c r="CPC1378" s="53"/>
      <c r="CPD1378" s="53"/>
      <c r="CPE1378" s="53"/>
      <c r="CPF1378" s="53"/>
      <c r="CPG1378" s="53"/>
      <c r="CPH1378" s="53"/>
      <c r="CPI1378" s="53"/>
      <c r="CPJ1378" s="53"/>
      <c r="CPK1378" s="53"/>
      <c r="CPL1378" s="53"/>
      <c r="CPM1378" s="53"/>
      <c r="CPN1378" s="53"/>
      <c r="CPO1378" s="53"/>
      <c r="CPP1378" s="53"/>
      <c r="CPQ1378" s="53"/>
      <c r="CPR1378" s="53"/>
      <c r="CPS1378" s="53"/>
      <c r="CPT1378" s="53"/>
      <c r="CPU1378" s="53"/>
      <c r="CPV1378" s="53"/>
      <c r="CPW1378" s="53"/>
      <c r="CPX1378" s="53"/>
      <c r="CPY1378" s="53"/>
      <c r="CPZ1378" s="53"/>
      <c r="CQA1378" s="53"/>
      <c r="CQB1378" s="53"/>
      <c r="CQC1378" s="53"/>
      <c r="CQD1378" s="53"/>
      <c r="CQE1378" s="53"/>
      <c r="CQF1378" s="53"/>
      <c r="CQG1378" s="53"/>
      <c r="CQH1378" s="53"/>
      <c r="CQI1378" s="53"/>
      <c r="CQJ1378" s="53"/>
      <c r="CQK1378" s="53"/>
      <c r="CQL1378" s="53"/>
      <c r="CQM1378" s="53"/>
      <c r="CQN1378" s="53"/>
      <c r="CQO1378" s="53"/>
      <c r="CQP1378" s="53"/>
      <c r="CQQ1378" s="53"/>
      <c r="CQR1378" s="53"/>
      <c r="CQS1378" s="53"/>
      <c r="CQT1378" s="53"/>
      <c r="CQU1378" s="53"/>
      <c r="CQV1378" s="53"/>
      <c r="CQW1378" s="53"/>
      <c r="CQX1378" s="53"/>
      <c r="CQY1378" s="53"/>
      <c r="CQZ1378" s="53"/>
      <c r="CRA1378" s="53"/>
      <c r="CRB1378" s="53"/>
      <c r="CRC1378" s="53"/>
      <c r="CRD1378" s="53"/>
      <c r="CRE1378" s="53"/>
      <c r="CRF1378" s="53"/>
      <c r="CRG1378" s="53"/>
      <c r="CRH1378" s="53"/>
      <c r="CRI1378" s="53"/>
      <c r="CRJ1378" s="53"/>
      <c r="CRK1378" s="53"/>
      <c r="CRL1378" s="53"/>
      <c r="CRM1378" s="53"/>
      <c r="CRN1378" s="53"/>
      <c r="CRO1378" s="53"/>
      <c r="CRP1378" s="53"/>
      <c r="CRQ1378" s="53"/>
      <c r="CRR1378" s="53"/>
      <c r="CRS1378" s="53"/>
      <c r="CRT1378" s="53"/>
      <c r="CRU1378" s="53"/>
      <c r="CRV1378" s="53"/>
      <c r="CRW1378" s="53"/>
      <c r="CRX1378" s="53"/>
      <c r="CRY1378" s="53"/>
      <c r="CRZ1378" s="53"/>
      <c r="CSA1378" s="53"/>
      <c r="CSB1378" s="53"/>
      <c r="CSC1378" s="53"/>
      <c r="CSD1378" s="53"/>
      <c r="CSE1378" s="53"/>
      <c r="CSF1378" s="53"/>
      <c r="CSG1378" s="53"/>
      <c r="CSH1378" s="53"/>
      <c r="CSI1378" s="53"/>
      <c r="CSJ1378" s="53"/>
      <c r="CSK1378" s="53"/>
      <c r="CSL1378" s="53"/>
      <c r="CSM1378" s="53"/>
      <c r="CSN1378" s="53"/>
      <c r="CSO1378" s="53"/>
      <c r="CSP1378" s="53"/>
      <c r="CSQ1378" s="53"/>
      <c r="CSR1378" s="53"/>
      <c r="CSS1378" s="53"/>
      <c r="CST1378" s="53"/>
      <c r="CSU1378" s="53"/>
      <c r="CSV1378" s="53"/>
      <c r="CSW1378" s="53"/>
      <c r="CSX1378" s="53"/>
      <c r="CSY1378" s="53"/>
      <c r="CSZ1378" s="53"/>
      <c r="CTA1378" s="53"/>
      <c r="CTB1378" s="53"/>
      <c r="CTC1378" s="53"/>
      <c r="CTD1378" s="53"/>
      <c r="CTE1378" s="53"/>
      <c r="CTF1378" s="53"/>
      <c r="CTG1378" s="53"/>
      <c r="CTH1378" s="53"/>
      <c r="CTI1378" s="53"/>
      <c r="CTJ1378" s="53"/>
      <c r="CTK1378" s="53"/>
      <c r="CTL1378" s="53"/>
      <c r="CTM1378" s="53"/>
      <c r="CTN1378" s="53"/>
      <c r="CTO1378" s="53"/>
      <c r="CTP1378" s="53"/>
      <c r="CTQ1378" s="53"/>
      <c r="CTR1378" s="53"/>
      <c r="CTS1378" s="53"/>
      <c r="CTT1378" s="53"/>
      <c r="CTU1378" s="53"/>
      <c r="CTV1378" s="53"/>
      <c r="CTW1378" s="53"/>
      <c r="CTX1378" s="53"/>
      <c r="CTY1378" s="53"/>
      <c r="CTZ1378" s="53"/>
      <c r="CUA1378" s="53"/>
      <c r="CUB1378" s="53"/>
      <c r="CUC1378" s="53"/>
      <c r="CUD1378" s="53"/>
      <c r="CUE1378" s="53"/>
      <c r="CUF1378" s="53"/>
      <c r="CUG1378" s="53"/>
      <c r="CUH1378" s="53"/>
      <c r="CUI1378" s="53"/>
      <c r="CUJ1378" s="53"/>
      <c r="CUK1378" s="53"/>
      <c r="CUL1378" s="53"/>
      <c r="CUM1378" s="53"/>
      <c r="CUN1378" s="53"/>
      <c r="CUO1378" s="53"/>
      <c r="CUP1378" s="53"/>
      <c r="CUQ1378" s="53"/>
      <c r="CUR1378" s="53"/>
      <c r="CUS1378" s="53"/>
      <c r="CUT1378" s="53"/>
      <c r="CUU1378" s="53"/>
      <c r="CUV1378" s="53"/>
      <c r="CUW1378" s="53"/>
      <c r="CUX1378" s="53"/>
      <c r="CUY1378" s="53"/>
      <c r="CUZ1378" s="53"/>
      <c r="CVA1378" s="53"/>
      <c r="CVB1378" s="53"/>
      <c r="CVC1378" s="53"/>
      <c r="CVD1378" s="53"/>
      <c r="CVE1378" s="53"/>
      <c r="CVF1378" s="53"/>
      <c r="CVG1378" s="53"/>
      <c r="CVH1378" s="53"/>
      <c r="CVI1378" s="53"/>
      <c r="CVJ1378" s="53"/>
      <c r="CVK1378" s="53"/>
      <c r="CVL1378" s="53"/>
      <c r="CVM1378" s="53"/>
      <c r="CVN1378" s="53"/>
      <c r="CVO1378" s="53"/>
      <c r="CVP1378" s="53"/>
      <c r="CVQ1378" s="53"/>
      <c r="CVR1378" s="53"/>
      <c r="CVS1378" s="53"/>
      <c r="CVT1378" s="53"/>
      <c r="CVU1378" s="53"/>
      <c r="CVV1378" s="53"/>
      <c r="CVW1378" s="53"/>
      <c r="CVX1378" s="53"/>
      <c r="CVY1378" s="53"/>
      <c r="CVZ1378" s="53"/>
      <c r="CWA1378" s="53"/>
      <c r="CWB1378" s="53"/>
      <c r="CWC1378" s="53"/>
      <c r="CWD1378" s="53"/>
      <c r="CWE1378" s="53"/>
      <c r="CWF1378" s="53"/>
      <c r="CWG1378" s="53"/>
      <c r="CWH1378" s="53"/>
      <c r="CWI1378" s="53"/>
      <c r="CWJ1378" s="53"/>
      <c r="CWK1378" s="53"/>
      <c r="CWL1378" s="53"/>
      <c r="CWM1378" s="53"/>
      <c r="CWN1378" s="53"/>
      <c r="CWO1378" s="53"/>
      <c r="CWP1378" s="53"/>
      <c r="CWQ1378" s="53"/>
      <c r="CWR1378" s="53"/>
      <c r="CWS1378" s="53"/>
      <c r="CWT1378" s="53"/>
      <c r="CWU1378" s="53"/>
      <c r="CWV1378" s="53"/>
      <c r="CWW1378" s="53"/>
      <c r="CWX1378" s="53"/>
      <c r="CWY1378" s="53"/>
      <c r="CWZ1378" s="53"/>
      <c r="CXA1378" s="53"/>
      <c r="CXB1378" s="53"/>
      <c r="CXC1378" s="53"/>
      <c r="CXD1378" s="53"/>
      <c r="CXE1378" s="53"/>
      <c r="CXF1378" s="53"/>
      <c r="CXG1378" s="53"/>
      <c r="CXH1378" s="53"/>
      <c r="CXI1378" s="53"/>
      <c r="CXJ1378" s="53"/>
      <c r="CXK1378" s="53"/>
      <c r="CXL1378" s="53"/>
      <c r="CXM1378" s="53"/>
      <c r="CXN1378" s="53"/>
      <c r="CXO1378" s="53"/>
      <c r="CXP1378" s="53"/>
      <c r="CXQ1378" s="53"/>
      <c r="CXR1378" s="53"/>
      <c r="CXS1378" s="53"/>
      <c r="CXT1378" s="53"/>
      <c r="CXU1378" s="53"/>
      <c r="CXV1378" s="53"/>
      <c r="CXW1378" s="53"/>
      <c r="CXX1378" s="53"/>
      <c r="CXY1378" s="53"/>
      <c r="CXZ1378" s="53"/>
      <c r="CYA1378" s="53"/>
      <c r="CYB1378" s="53"/>
      <c r="CYC1378" s="53"/>
      <c r="CYD1378" s="53"/>
      <c r="CYE1378" s="53"/>
      <c r="CYF1378" s="53"/>
      <c r="CYG1378" s="53"/>
      <c r="CYH1378" s="53"/>
      <c r="CYI1378" s="53"/>
      <c r="CYJ1378" s="53"/>
      <c r="CYK1378" s="53"/>
      <c r="CYL1378" s="53"/>
      <c r="CYM1378" s="53"/>
      <c r="CYN1378" s="53"/>
      <c r="CYO1378" s="53"/>
      <c r="CYP1378" s="53"/>
      <c r="CYQ1378" s="53"/>
      <c r="CYR1378" s="53"/>
      <c r="CYS1378" s="53"/>
      <c r="CYT1378" s="53"/>
      <c r="CYU1378" s="53"/>
      <c r="CYV1378" s="53"/>
      <c r="CYW1378" s="53"/>
      <c r="CYX1378" s="53"/>
      <c r="CYY1378" s="53"/>
      <c r="CYZ1378" s="53"/>
      <c r="CZA1378" s="53"/>
      <c r="CZB1378" s="53"/>
      <c r="CZC1378" s="53"/>
      <c r="CZD1378" s="53"/>
      <c r="CZE1378" s="53"/>
      <c r="CZF1378" s="53"/>
      <c r="CZG1378" s="53"/>
      <c r="CZH1378" s="53"/>
      <c r="CZI1378" s="53"/>
      <c r="CZJ1378" s="53"/>
      <c r="CZK1378" s="53"/>
      <c r="CZL1378" s="53"/>
      <c r="CZM1378" s="53"/>
      <c r="CZN1378" s="53"/>
      <c r="CZO1378" s="53"/>
      <c r="CZP1378" s="53"/>
      <c r="CZQ1378" s="53"/>
      <c r="CZR1378" s="53"/>
      <c r="CZS1378" s="53"/>
      <c r="CZT1378" s="53"/>
      <c r="CZU1378" s="53"/>
      <c r="CZV1378" s="53"/>
      <c r="CZW1378" s="53"/>
      <c r="CZX1378" s="53"/>
      <c r="CZY1378" s="53"/>
      <c r="CZZ1378" s="53"/>
      <c r="DAA1378" s="53"/>
      <c r="DAB1378" s="53"/>
      <c r="DAC1378" s="53"/>
      <c r="DAD1378" s="53"/>
      <c r="DAE1378" s="53"/>
      <c r="DAF1378" s="53"/>
      <c r="DAG1378" s="53"/>
      <c r="DAH1378" s="53"/>
      <c r="DAI1378" s="53"/>
      <c r="DAJ1378" s="53"/>
      <c r="DAK1378" s="53"/>
      <c r="DAL1378" s="53"/>
      <c r="DAM1378" s="53"/>
      <c r="DAN1378" s="53"/>
      <c r="DAO1378" s="53"/>
      <c r="DAP1378" s="53"/>
      <c r="DAQ1378" s="53"/>
      <c r="DAR1378" s="53"/>
      <c r="DAS1378" s="53"/>
      <c r="DAT1378" s="53"/>
      <c r="DAU1378" s="53"/>
      <c r="DAV1378" s="53"/>
      <c r="DAW1378" s="53"/>
      <c r="DAX1378" s="53"/>
      <c r="DAY1378" s="53"/>
      <c r="DAZ1378" s="53"/>
      <c r="DBA1378" s="53"/>
      <c r="DBB1378" s="53"/>
      <c r="DBC1378" s="53"/>
      <c r="DBD1378" s="53"/>
      <c r="DBE1378" s="53"/>
      <c r="DBF1378" s="53"/>
      <c r="DBG1378" s="53"/>
      <c r="DBH1378" s="53"/>
      <c r="DBI1378" s="53"/>
      <c r="DBJ1378" s="53"/>
      <c r="DBK1378" s="53"/>
      <c r="DBL1378" s="53"/>
      <c r="DBM1378" s="53"/>
      <c r="DBN1378" s="53"/>
      <c r="DBO1378" s="53"/>
      <c r="DBP1378" s="53"/>
      <c r="DBQ1378" s="53"/>
      <c r="DBR1378" s="53"/>
      <c r="DBS1378" s="53"/>
      <c r="DBT1378" s="53"/>
      <c r="DBU1378" s="53"/>
      <c r="DBV1378" s="53"/>
      <c r="DBW1378" s="53"/>
      <c r="DBX1378" s="53"/>
      <c r="DBY1378" s="53"/>
      <c r="DBZ1378" s="53"/>
      <c r="DCA1378" s="53"/>
      <c r="DCB1378" s="53"/>
      <c r="DCC1378" s="53"/>
      <c r="DCD1378" s="53"/>
      <c r="DCE1378" s="53"/>
      <c r="DCF1378" s="53"/>
      <c r="DCG1378" s="53"/>
      <c r="DCH1378" s="53"/>
      <c r="DCI1378" s="53"/>
      <c r="DCJ1378" s="53"/>
      <c r="DCK1378" s="53"/>
      <c r="DCL1378" s="53"/>
      <c r="DCM1378" s="53"/>
      <c r="DCN1378" s="53"/>
      <c r="DCO1378" s="53"/>
      <c r="DCP1378" s="53"/>
      <c r="DCQ1378" s="53"/>
      <c r="DCR1378" s="53"/>
      <c r="DCS1378" s="53"/>
      <c r="DCT1378" s="53"/>
      <c r="DCU1378" s="53"/>
      <c r="DCV1378" s="53"/>
      <c r="DCW1378" s="53"/>
      <c r="DCX1378" s="53"/>
      <c r="DCY1378" s="53"/>
      <c r="DCZ1378" s="53"/>
      <c r="DDA1378" s="53"/>
      <c r="DDB1378" s="53"/>
      <c r="DDC1378" s="53"/>
      <c r="DDD1378" s="53"/>
      <c r="DDE1378" s="53"/>
      <c r="DDF1378" s="53"/>
      <c r="DDG1378" s="53"/>
      <c r="DDH1378" s="53"/>
      <c r="DDI1378" s="53"/>
      <c r="DDJ1378" s="53"/>
      <c r="DDK1378" s="53"/>
      <c r="DDL1378" s="53"/>
      <c r="DDM1378" s="53"/>
      <c r="DDN1378" s="53"/>
      <c r="DDO1378" s="53"/>
      <c r="DDP1378" s="53"/>
      <c r="DDQ1378" s="53"/>
      <c r="DDR1378" s="53"/>
      <c r="DDS1378" s="53"/>
      <c r="DDT1378" s="53"/>
      <c r="DDU1378" s="53"/>
      <c r="DDV1378" s="53"/>
      <c r="DDW1378" s="53"/>
      <c r="DDX1378" s="53"/>
      <c r="DDY1378" s="53"/>
      <c r="DDZ1378" s="53"/>
      <c r="DEA1378" s="53"/>
      <c r="DEB1378" s="53"/>
      <c r="DEC1378" s="53"/>
      <c r="DED1378" s="53"/>
      <c r="DEE1378" s="53"/>
      <c r="DEF1378" s="53"/>
      <c r="DEG1378" s="53"/>
      <c r="DEH1378" s="53"/>
      <c r="DEI1378" s="53"/>
      <c r="DEJ1378" s="53"/>
      <c r="DEK1378" s="53"/>
      <c r="DEL1378" s="53"/>
      <c r="DEM1378" s="53"/>
      <c r="DEN1378" s="53"/>
      <c r="DEO1378" s="53"/>
      <c r="DEP1378" s="53"/>
      <c r="DEQ1378" s="53"/>
      <c r="DER1378" s="53"/>
      <c r="DES1378" s="53"/>
      <c r="DET1378" s="53"/>
      <c r="DEU1378" s="53"/>
      <c r="DEV1378" s="53"/>
      <c r="DEW1378" s="53"/>
      <c r="DEX1378" s="53"/>
      <c r="DEY1378" s="53"/>
      <c r="DEZ1378" s="53"/>
      <c r="DFA1378" s="53"/>
      <c r="DFB1378" s="53"/>
      <c r="DFC1378" s="53"/>
      <c r="DFD1378" s="53"/>
      <c r="DFE1378" s="53"/>
      <c r="DFF1378" s="53"/>
      <c r="DFG1378" s="53"/>
      <c r="DFH1378" s="53"/>
      <c r="DFI1378" s="53"/>
      <c r="DFJ1378" s="53"/>
      <c r="DFK1378" s="53"/>
      <c r="DFL1378" s="53"/>
      <c r="DFM1378" s="53"/>
      <c r="DFN1378" s="53"/>
      <c r="DFO1378" s="53"/>
      <c r="DFP1378" s="53"/>
      <c r="DFQ1378" s="53"/>
      <c r="DFR1378" s="53"/>
      <c r="DFS1378" s="53"/>
      <c r="DFT1378" s="53"/>
      <c r="DFU1378" s="53"/>
      <c r="DFV1378" s="53"/>
      <c r="DFW1378" s="53"/>
      <c r="DFX1378" s="53"/>
      <c r="DFY1378" s="53"/>
      <c r="DFZ1378" s="53"/>
      <c r="DGA1378" s="53"/>
      <c r="DGB1378" s="53"/>
      <c r="DGC1378" s="53"/>
      <c r="DGD1378" s="53"/>
      <c r="DGE1378" s="53"/>
      <c r="DGF1378" s="53"/>
      <c r="DGG1378" s="53"/>
      <c r="DGH1378" s="53"/>
      <c r="DGI1378" s="53"/>
      <c r="DGJ1378" s="53"/>
      <c r="DGK1378" s="53"/>
      <c r="DGL1378" s="53"/>
      <c r="DGM1378" s="53"/>
      <c r="DGN1378" s="53"/>
      <c r="DGO1378" s="53"/>
      <c r="DGP1378" s="53"/>
      <c r="DGQ1378" s="53"/>
      <c r="DGR1378" s="53"/>
      <c r="DGS1378" s="53"/>
      <c r="DGT1378" s="53"/>
      <c r="DGU1378" s="53"/>
      <c r="DGV1378" s="53"/>
      <c r="DGW1378" s="53"/>
      <c r="DGX1378" s="53"/>
      <c r="DGY1378" s="53"/>
      <c r="DGZ1378" s="53"/>
      <c r="DHA1378" s="53"/>
      <c r="DHB1378" s="53"/>
      <c r="DHC1378" s="53"/>
      <c r="DHD1378" s="53"/>
      <c r="DHE1378" s="53"/>
      <c r="DHF1378" s="53"/>
      <c r="DHG1378" s="53"/>
      <c r="DHH1378" s="53"/>
      <c r="DHI1378" s="53"/>
      <c r="DHJ1378" s="53"/>
      <c r="DHK1378" s="53"/>
      <c r="DHL1378" s="53"/>
      <c r="DHM1378" s="53"/>
      <c r="DHN1378" s="53"/>
      <c r="DHO1378" s="53"/>
      <c r="DHP1378" s="53"/>
      <c r="DHQ1378" s="53"/>
      <c r="DHR1378" s="53"/>
      <c r="DHS1378" s="53"/>
      <c r="DHT1378" s="53"/>
      <c r="DHU1378" s="53"/>
      <c r="DHV1378" s="53"/>
      <c r="DHW1378" s="53"/>
      <c r="DHX1378" s="53"/>
      <c r="DHY1378" s="53"/>
      <c r="DHZ1378" s="53"/>
      <c r="DIA1378" s="53"/>
      <c r="DIB1378" s="53"/>
      <c r="DIC1378" s="53"/>
      <c r="DID1378" s="53"/>
      <c r="DIE1378" s="53"/>
      <c r="DIF1378" s="53"/>
      <c r="DIG1378" s="53"/>
      <c r="DIH1378" s="53"/>
      <c r="DII1378" s="53"/>
      <c r="DIJ1378" s="53"/>
      <c r="DIK1378" s="53"/>
      <c r="DIL1378" s="53"/>
      <c r="DIM1378" s="53"/>
      <c r="DIN1378" s="53"/>
      <c r="DIO1378" s="53"/>
      <c r="DIP1378" s="53"/>
      <c r="DIQ1378" s="53"/>
      <c r="DIR1378" s="53"/>
      <c r="DIS1378" s="53"/>
      <c r="DIT1378" s="53"/>
      <c r="DIU1378" s="53"/>
      <c r="DIV1378" s="53"/>
      <c r="DIW1378" s="53"/>
      <c r="DIX1378" s="53"/>
      <c r="DIY1378" s="53"/>
      <c r="DIZ1378" s="53"/>
      <c r="DJA1378" s="53"/>
      <c r="DJB1378" s="53"/>
      <c r="DJC1378" s="53"/>
      <c r="DJD1378" s="53"/>
      <c r="DJE1378" s="53"/>
      <c r="DJF1378" s="53"/>
      <c r="DJG1378" s="53"/>
      <c r="DJH1378" s="53"/>
      <c r="DJI1378" s="53"/>
      <c r="DJJ1378" s="53"/>
      <c r="DJK1378" s="53"/>
      <c r="DJL1378" s="53"/>
      <c r="DJM1378" s="53"/>
      <c r="DJN1378" s="53"/>
      <c r="DJO1378" s="53"/>
      <c r="DJP1378" s="53"/>
      <c r="DJQ1378" s="53"/>
      <c r="DJR1378" s="53"/>
      <c r="DJS1378" s="53"/>
      <c r="DJT1378" s="53"/>
      <c r="DJU1378" s="53"/>
      <c r="DJV1378" s="53"/>
      <c r="DJW1378" s="53"/>
      <c r="DJX1378" s="53"/>
      <c r="DJY1378" s="53"/>
      <c r="DJZ1378" s="53"/>
      <c r="DKA1378" s="53"/>
      <c r="DKB1378" s="53"/>
      <c r="DKC1378" s="53"/>
      <c r="DKD1378" s="53"/>
      <c r="DKE1378" s="53"/>
      <c r="DKF1378" s="53"/>
      <c r="DKG1378" s="53"/>
      <c r="DKH1378" s="53"/>
      <c r="DKI1378" s="53"/>
      <c r="DKJ1378" s="53"/>
      <c r="DKK1378" s="53"/>
      <c r="DKL1378" s="53"/>
      <c r="DKM1378" s="53"/>
      <c r="DKN1378" s="53"/>
      <c r="DKO1378" s="53"/>
      <c r="DKP1378" s="53"/>
      <c r="DKQ1378" s="53"/>
      <c r="DKR1378" s="53"/>
      <c r="DKS1378" s="53"/>
      <c r="DKT1378" s="53"/>
      <c r="DKU1378" s="53"/>
      <c r="DKV1378" s="53"/>
      <c r="DKW1378" s="53"/>
      <c r="DKX1378" s="53"/>
      <c r="DKY1378" s="53"/>
      <c r="DKZ1378" s="53"/>
      <c r="DLA1378" s="53"/>
      <c r="DLB1378" s="53"/>
      <c r="DLC1378" s="53"/>
      <c r="DLD1378" s="53"/>
      <c r="DLE1378" s="53"/>
      <c r="DLF1378" s="53"/>
      <c r="DLG1378" s="53"/>
      <c r="DLH1378" s="53"/>
      <c r="DLI1378" s="53"/>
      <c r="DLJ1378" s="53"/>
      <c r="DLK1378" s="53"/>
      <c r="DLL1378" s="53"/>
      <c r="DLM1378" s="53"/>
      <c r="DLN1378" s="53"/>
      <c r="DLO1378" s="53"/>
      <c r="DLP1378" s="53"/>
      <c r="DLQ1378" s="53"/>
      <c r="DLR1378" s="53"/>
      <c r="DLS1378" s="53"/>
      <c r="DLT1378" s="53"/>
      <c r="DLU1378" s="53"/>
      <c r="DLV1378" s="53"/>
      <c r="DLW1378" s="53"/>
      <c r="DLX1378" s="53"/>
      <c r="DLY1378" s="53"/>
      <c r="DLZ1378" s="53"/>
      <c r="DMA1378" s="53"/>
      <c r="DMB1378" s="53"/>
      <c r="DMC1378" s="53"/>
      <c r="DMD1378" s="53"/>
      <c r="DME1378" s="53"/>
      <c r="DMF1378" s="53"/>
      <c r="DMG1378" s="53"/>
      <c r="DMH1378" s="53"/>
      <c r="DMI1378" s="53"/>
      <c r="DMJ1378" s="53"/>
      <c r="DMK1378" s="53"/>
      <c r="DML1378" s="53"/>
      <c r="DMM1378" s="53"/>
      <c r="DMN1378" s="53"/>
      <c r="DMO1378" s="53"/>
      <c r="DMP1378" s="53"/>
      <c r="DMQ1378" s="53"/>
      <c r="DMR1378" s="53"/>
      <c r="DMS1378" s="53"/>
      <c r="DMT1378" s="53"/>
      <c r="DMU1378" s="53"/>
      <c r="DMV1378" s="53"/>
      <c r="DMW1378" s="53"/>
      <c r="DMX1378" s="53"/>
      <c r="DMY1378" s="53"/>
      <c r="DMZ1378" s="53"/>
      <c r="DNA1378" s="53"/>
      <c r="DNB1378" s="53"/>
      <c r="DNC1378" s="53"/>
      <c r="DND1378" s="53"/>
      <c r="DNE1378" s="53"/>
      <c r="DNF1378" s="53"/>
      <c r="DNG1378" s="53"/>
      <c r="DNH1378" s="53"/>
      <c r="DNI1378" s="53"/>
      <c r="DNJ1378" s="53"/>
      <c r="DNK1378" s="53"/>
      <c r="DNL1378" s="53"/>
      <c r="DNM1378" s="53"/>
      <c r="DNN1378" s="53"/>
      <c r="DNO1378" s="53"/>
      <c r="DNP1378" s="53"/>
      <c r="DNQ1378" s="53"/>
      <c r="DNR1378" s="53"/>
      <c r="DNS1378" s="53"/>
      <c r="DNT1378" s="53"/>
      <c r="DNU1378" s="53"/>
      <c r="DNV1378" s="53"/>
      <c r="DNW1378" s="53"/>
      <c r="DNX1378" s="53"/>
      <c r="DNY1378" s="53"/>
      <c r="DNZ1378" s="53"/>
      <c r="DOA1378" s="53"/>
      <c r="DOB1378" s="53"/>
      <c r="DOC1378" s="53"/>
      <c r="DOD1378" s="53"/>
      <c r="DOE1378" s="53"/>
      <c r="DOF1378" s="53"/>
      <c r="DOG1378" s="53"/>
      <c r="DOH1378" s="53"/>
      <c r="DOI1378" s="53"/>
      <c r="DOJ1378" s="53"/>
      <c r="DOK1378" s="53"/>
      <c r="DOL1378" s="53"/>
      <c r="DOM1378" s="53"/>
      <c r="DON1378" s="53"/>
      <c r="DOO1378" s="53"/>
      <c r="DOP1378" s="53"/>
      <c r="DOQ1378" s="53"/>
      <c r="DOR1378" s="53"/>
      <c r="DOS1378" s="53"/>
      <c r="DOT1378" s="53"/>
      <c r="DOU1378" s="53"/>
      <c r="DOV1378" s="53"/>
      <c r="DOW1378" s="53"/>
      <c r="DOX1378" s="53"/>
      <c r="DOY1378" s="53"/>
      <c r="DOZ1378" s="53"/>
      <c r="DPA1378" s="53"/>
      <c r="DPB1378" s="53"/>
      <c r="DPC1378" s="53"/>
      <c r="DPD1378" s="53"/>
      <c r="DPE1378" s="53"/>
      <c r="DPF1378" s="53"/>
      <c r="DPG1378" s="53"/>
      <c r="DPH1378" s="53"/>
      <c r="DPI1378" s="53"/>
      <c r="DPJ1378" s="53"/>
      <c r="DPK1378" s="53"/>
      <c r="DPL1378" s="53"/>
      <c r="DPM1378" s="53"/>
      <c r="DPN1378" s="53"/>
      <c r="DPO1378" s="53"/>
      <c r="DPP1378" s="53"/>
      <c r="DPQ1378" s="53"/>
      <c r="DPR1378" s="53"/>
      <c r="DPS1378" s="53"/>
      <c r="DPT1378" s="53"/>
      <c r="DPU1378" s="53"/>
      <c r="DPV1378" s="53"/>
      <c r="DPW1378" s="53"/>
      <c r="DPX1378" s="53"/>
      <c r="DPY1378" s="53"/>
      <c r="DPZ1378" s="53"/>
      <c r="DQA1378" s="53"/>
      <c r="DQB1378" s="53"/>
      <c r="DQC1378" s="53"/>
      <c r="DQD1378" s="53"/>
      <c r="DQE1378" s="53"/>
      <c r="DQF1378" s="53"/>
      <c r="DQG1378" s="53"/>
      <c r="DQH1378" s="53"/>
      <c r="DQI1378" s="53"/>
      <c r="DQJ1378" s="53"/>
      <c r="DQK1378" s="53"/>
      <c r="DQL1378" s="53"/>
      <c r="DQM1378" s="53"/>
      <c r="DQN1378" s="53"/>
      <c r="DQO1378" s="53"/>
      <c r="DQP1378" s="53"/>
      <c r="DQQ1378" s="53"/>
      <c r="DQR1378" s="53"/>
      <c r="DQS1378" s="53"/>
      <c r="DQT1378" s="53"/>
      <c r="DQU1378" s="53"/>
      <c r="DQV1378" s="53"/>
      <c r="DQW1378" s="53"/>
      <c r="DQX1378" s="53"/>
      <c r="DQY1378" s="53"/>
      <c r="DQZ1378" s="53"/>
      <c r="DRA1378" s="53"/>
      <c r="DRB1378" s="53"/>
      <c r="DRC1378" s="53"/>
      <c r="DRD1378" s="53"/>
      <c r="DRE1378" s="53"/>
      <c r="DRF1378" s="53"/>
      <c r="DRG1378" s="53"/>
      <c r="DRH1378" s="53"/>
      <c r="DRI1378" s="53"/>
      <c r="DRJ1378" s="53"/>
      <c r="DRK1378" s="53"/>
      <c r="DRL1378" s="53"/>
      <c r="DRM1378" s="53"/>
      <c r="DRN1378" s="53"/>
      <c r="DRO1378" s="53"/>
      <c r="DRP1378" s="53"/>
      <c r="DRQ1378" s="53"/>
      <c r="DRR1378" s="53"/>
      <c r="DRS1378" s="53"/>
      <c r="DRT1378" s="53"/>
      <c r="DRU1378" s="53"/>
      <c r="DRV1378" s="53"/>
      <c r="DRW1378" s="53"/>
      <c r="DRX1378" s="53"/>
      <c r="DRY1378" s="53"/>
      <c r="DRZ1378" s="53"/>
      <c r="DSA1378" s="53"/>
      <c r="DSB1378" s="53"/>
      <c r="DSC1378" s="53"/>
      <c r="DSD1378" s="53"/>
      <c r="DSE1378" s="53"/>
      <c r="DSF1378" s="53"/>
      <c r="DSG1378" s="53"/>
      <c r="DSH1378" s="53"/>
      <c r="DSI1378" s="53"/>
      <c r="DSJ1378" s="53"/>
      <c r="DSK1378" s="53"/>
      <c r="DSL1378" s="53"/>
      <c r="DSM1378" s="53"/>
      <c r="DSN1378" s="53"/>
      <c r="DSO1378" s="53"/>
      <c r="DSP1378" s="53"/>
      <c r="DSQ1378" s="53"/>
      <c r="DSR1378" s="53"/>
      <c r="DSS1378" s="53"/>
      <c r="DST1378" s="53"/>
      <c r="DSU1378" s="53"/>
      <c r="DSV1378" s="53"/>
      <c r="DSW1378" s="53"/>
      <c r="DSX1378" s="53"/>
      <c r="DSY1378" s="53"/>
      <c r="DSZ1378" s="53"/>
      <c r="DTA1378" s="53"/>
      <c r="DTB1378" s="53"/>
      <c r="DTC1378" s="53"/>
      <c r="DTD1378" s="53"/>
      <c r="DTE1378" s="53"/>
      <c r="DTF1378" s="53"/>
      <c r="DTG1378" s="53"/>
      <c r="DTH1378" s="53"/>
      <c r="DTI1378" s="53"/>
      <c r="DTJ1378" s="53"/>
      <c r="DTK1378" s="53"/>
      <c r="DTL1378" s="53"/>
      <c r="DTM1378" s="53"/>
      <c r="DTN1378" s="53"/>
      <c r="DTO1378" s="53"/>
      <c r="DTP1378" s="53"/>
      <c r="DTQ1378" s="53"/>
      <c r="DTR1378" s="53"/>
      <c r="DTS1378" s="53"/>
      <c r="DTT1378" s="53"/>
      <c r="DTU1378" s="53"/>
      <c r="DTV1378" s="53"/>
      <c r="DTW1378" s="53"/>
      <c r="DTX1378" s="53"/>
      <c r="DTY1378" s="53"/>
      <c r="DTZ1378" s="53"/>
      <c r="DUA1378" s="53"/>
      <c r="DUB1378" s="53"/>
      <c r="DUC1378" s="53"/>
      <c r="DUD1378" s="53"/>
      <c r="DUE1378" s="53"/>
      <c r="DUF1378" s="53"/>
      <c r="DUG1378" s="53"/>
      <c r="DUH1378" s="53"/>
      <c r="DUI1378" s="53"/>
      <c r="DUJ1378" s="53"/>
      <c r="DUK1378" s="53"/>
      <c r="DUL1378" s="53"/>
      <c r="DUM1378" s="53"/>
      <c r="DUN1378" s="53"/>
      <c r="DUO1378" s="53"/>
      <c r="DUP1378" s="53"/>
      <c r="DUQ1378" s="53"/>
      <c r="DUR1378" s="53"/>
      <c r="DUS1378" s="53"/>
      <c r="DUT1378" s="53"/>
      <c r="DUU1378" s="53"/>
      <c r="DUV1378" s="53"/>
      <c r="DUW1378" s="53"/>
      <c r="DUX1378" s="53"/>
      <c r="DUY1378" s="53"/>
      <c r="DUZ1378" s="53"/>
      <c r="DVA1378" s="53"/>
      <c r="DVB1378" s="53"/>
      <c r="DVC1378" s="53"/>
      <c r="DVD1378" s="53"/>
      <c r="DVE1378" s="53"/>
      <c r="DVF1378" s="53"/>
      <c r="DVG1378" s="53"/>
      <c r="DVH1378" s="53"/>
      <c r="DVI1378" s="53"/>
      <c r="DVJ1378" s="53"/>
      <c r="DVK1378" s="53"/>
      <c r="DVL1378" s="53"/>
      <c r="DVM1378" s="53"/>
      <c r="DVN1378" s="53"/>
      <c r="DVO1378" s="53"/>
      <c r="DVP1378" s="53"/>
      <c r="DVQ1378" s="53"/>
      <c r="DVR1378" s="53"/>
      <c r="DVS1378" s="53"/>
      <c r="DVT1378" s="53"/>
      <c r="DVU1378" s="53"/>
      <c r="DVV1378" s="53"/>
      <c r="DVW1378" s="53"/>
      <c r="DVX1378" s="53"/>
      <c r="DVY1378" s="53"/>
      <c r="DVZ1378" s="53"/>
      <c r="DWA1378" s="53"/>
      <c r="DWB1378" s="53"/>
      <c r="DWC1378" s="53"/>
      <c r="DWD1378" s="53"/>
      <c r="DWE1378" s="53"/>
      <c r="DWF1378" s="53"/>
      <c r="DWG1378" s="53"/>
      <c r="DWH1378" s="53"/>
      <c r="DWI1378" s="53"/>
      <c r="DWJ1378" s="53"/>
      <c r="DWK1378" s="53"/>
      <c r="DWL1378" s="53"/>
      <c r="DWM1378" s="53"/>
      <c r="DWN1378" s="53"/>
      <c r="DWO1378" s="53"/>
      <c r="DWP1378" s="53"/>
      <c r="DWQ1378" s="53"/>
      <c r="DWR1378" s="53"/>
      <c r="DWS1378" s="53"/>
      <c r="DWT1378" s="53"/>
      <c r="DWU1378" s="53"/>
      <c r="DWV1378" s="53"/>
      <c r="DWW1378" s="53"/>
      <c r="DWX1378" s="53"/>
      <c r="DWY1378" s="53"/>
      <c r="DWZ1378" s="53"/>
      <c r="DXA1378" s="53"/>
      <c r="DXB1378" s="53"/>
      <c r="DXC1378" s="53"/>
      <c r="DXD1378" s="53"/>
      <c r="DXE1378" s="53"/>
      <c r="DXF1378" s="53"/>
      <c r="DXG1378" s="53"/>
      <c r="DXH1378" s="53"/>
      <c r="DXI1378" s="53"/>
      <c r="DXJ1378" s="53"/>
      <c r="DXK1378" s="53"/>
      <c r="DXL1378" s="53"/>
      <c r="DXM1378" s="53"/>
      <c r="DXN1378" s="53"/>
      <c r="DXO1378" s="53"/>
      <c r="DXP1378" s="53"/>
      <c r="DXQ1378" s="53"/>
      <c r="DXR1378" s="53"/>
      <c r="DXS1378" s="53"/>
      <c r="DXT1378" s="53"/>
      <c r="DXU1378" s="53"/>
      <c r="DXV1378" s="53"/>
      <c r="DXW1378" s="53"/>
      <c r="DXX1378" s="53"/>
      <c r="DXY1378" s="53"/>
      <c r="DXZ1378" s="53"/>
      <c r="DYA1378" s="53"/>
      <c r="DYB1378" s="53"/>
      <c r="DYC1378" s="53"/>
      <c r="DYD1378" s="53"/>
      <c r="DYE1378" s="53"/>
      <c r="DYF1378" s="53"/>
      <c r="DYG1378" s="53"/>
      <c r="DYH1378" s="53"/>
      <c r="DYI1378" s="53"/>
      <c r="DYJ1378" s="53"/>
      <c r="DYK1378" s="53"/>
      <c r="DYL1378" s="53"/>
      <c r="DYM1378" s="53"/>
      <c r="DYN1378" s="53"/>
      <c r="DYO1378" s="53"/>
      <c r="DYP1378" s="53"/>
      <c r="DYQ1378" s="53"/>
      <c r="DYR1378" s="53"/>
      <c r="DYS1378" s="53"/>
      <c r="DYT1378" s="53"/>
      <c r="DYU1378" s="53"/>
      <c r="DYV1378" s="53"/>
      <c r="DYW1378" s="53"/>
      <c r="DYX1378" s="53"/>
      <c r="DYY1378" s="53"/>
      <c r="DYZ1378" s="53"/>
      <c r="DZA1378" s="53"/>
      <c r="DZB1378" s="53"/>
      <c r="DZC1378" s="53"/>
      <c r="DZD1378" s="53"/>
      <c r="DZE1378" s="53"/>
      <c r="DZF1378" s="53"/>
      <c r="DZG1378" s="53"/>
      <c r="DZH1378" s="53"/>
      <c r="DZI1378" s="53"/>
      <c r="DZJ1378" s="53"/>
      <c r="DZK1378" s="53"/>
      <c r="DZL1378" s="53"/>
      <c r="DZM1378" s="53"/>
      <c r="DZN1378" s="53"/>
      <c r="DZO1378" s="53"/>
      <c r="DZP1378" s="53"/>
      <c r="DZQ1378" s="53"/>
      <c r="DZR1378" s="53"/>
      <c r="DZS1378" s="53"/>
      <c r="DZT1378" s="53"/>
      <c r="DZU1378" s="53"/>
      <c r="DZV1378" s="53"/>
      <c r="DZW1378" s="53"/>
      <c r="DZX1378" s="53"/>
      <c r="DZY1378" s="53"/>
      <c r="DZZ1378" s="53"/>
      <c r="EAA1378" s="53"/>
      <c r="EAB1378" s="53"/>
      <c r="EAC1378" s="53"/>
      <c r="EAD1378" s="53"/>
      <c r="EAE1378" s="53"/>
      <c r="EAF1378" s="53"/>
      <c r="EAG1378" s="53"/>
      <c r="EAH1378" s="53"/>
      <c r="EAI1378" s="53"/>
      <c r="EAJ1378" s="53"/>
      <c r="EAK1378" s="53"/>
      <c r="EAL1378" s="53"/>
      <c r="EAM1378" s="53"/>
      <c r="EAN1378" s="53"/>
      <c r="EAO1378" s="53"/>
      <c r="EAP1378" s="53"/>
      <c r="EAQ1378" s="53"/>
      <c r="EAR1378" s="53"/>
      <c r="EAS1378" s="53"/>
      <c r="EAT1378" s="53"/>
      <c r="EAU1378" s="53"/>
      <c r="EAV1378" s="53"/>
      <c r="EAW1378" s="53"/>
      <c r="EAX1378" s="53"/>
      <c r="EAY1378" s="53"/>
      <c r="EAZ1378" s="53"/>
      <c r="EBA1378" s="53"/>
      <c r="EBB1378" s="53"/>
      <c r="EBC1378" s="53"/>
      <c r="EBD1378" s="53"/>
      <c r="EBE1378" s="53"/>
      <c r="EBF1378" s="53"/>
      <c r="EBG1378" s="53"/>
      <c r="EBH1378" s="53"/>
      <c r="EBI1378" s="53"/>
      <c r="EBJ1378" s="53"/>
      <c r="EBK1378" s="53"/>
      <c r="EBL1378" s="53"/>
      <c r="EBM1378" s="53"/>
      <c r="EBN1378" s="53"/>
      <c r="EBO1378" s="53"/>
      <c r="EBP1378" s="53"/>
      <c r="EBQ1378" s="53"/>
      <c r="EBR1378" s="53"/>
      <c r="EBS1378" s="53"/>
      <c r="EBT1378" s="53"/>
      <c r="EBU1378" s="53"/>
      <c r="EBV1378" s="53"/>
      <c r="EBW1378" s="53"/>
      <c r="EBX1378" s="53"/>
      <c r="EBY1378" s="53"/>
      <c r="EBZ1378" s="53"/>
      <c r="ECA1378" s="53"/>
      <c r="ECB1378" s="53"/>
      <c r="ECC1378" s="53"/>
      <c r="ECD1378" s="53"/>
      <c r="ECE1378" s="53"/>
      <c r="ECF1378" s="53"/>
      <c r="ECG1378" s="53"/>
      <c r="ECH1378" s="53"/>
      <c r="ECI1378" s="53"/>
      <c r="ECJ1378" s="53"/>
      <c r="ECK1378" s="53"/>
      <c r="ECL1378" s="53"/>
      <c r="ECM1378" s="53"/>
      <c r="ECN1378" s="53"/>
      <c r="ECO1378" s="53"/>
      <c r="ECP1378" s="53"/>
      <c r="ECQ1378" s="53"/>
      <c r="ECR1378" s="53"/>
      <c r="ECS1378" s="53"/>
      <c r="ECT1378" s="53"/>
      <c r="ECU1378" s="53"/>
      <c r="ECV1378" s="53"/>
      <c r="ECW1378" s="53"/>
      <c r="ECX1378" s="53"/>
      <c r="ECY1378" s="53"/>
      <c r="ECZ1378" s="53"/>
      <c r="EDA1378" s="53"/>
      <c r="EDB1378" s="53"/>
      <c r="EDC1378" s="53"/>
      <c r="EDD1378" s="53"/>
      <c r="EDE1378" s="53"/>
      <c r="EDF1378" s="53"/>
      <c r="EDG1378" s="53"/>
      <c r="EDH1378" s="53"/>
      <c r="EDI1378" s="53"/>
      <c r="EDJ1378" s="53"/>
      <c r="EDK1378" s="53"/>
      <c r="EDL1378" s="53"/>
      <c r="EDM1378" s="53"/>
      <c r="EDN1378" s="53"/>
      <c r="EDO1378" s="53"/>
      <c r="EDP1378" s="53"/>
      <c r="EDQ1378" s="53"/>
      <c r="EDR1378" s="53"/>
      <c r="EDS1378" s="53"/>
      <c r="EDT1378" s="53"/>
      <c r="EDU1378" s="53"/>
      <c r="EDV1378" s="53"/>
      <c r="EDW1378" s="53"/>
      <c r="EDX1378" s="53"/>
      <c r="EDY1378" s="53"/>
      <c r="EDZ1378" s="53"/>
      <c r="EEA1378" s="53"/>
      <c r="EEB1378" s="53"/>
      <c r="EEC1378" s="53"/>
      <c r="EED1378" s="53"/>
      <c r="EEE1378" s="53"/>
      <c r="EEF1378" s="53"/>
      <c r="EEG1378" s="53"/>
      <c r="EEH1378" s="53"/>
      <c r="EEI1378" s="53"/>
      <c r="EEJ1378" s="53"/>
      <c r="EEK1378" s="53"/>
      <c r="EEL1378" s="53"/>
      <c r="EEM1378" s="53"/>
      <c r="EEN1378" s="53"/>
      <c r="EEO1378" s="53"/>
      <c r="EEP1378" s="53"/>
      <c r="EEQ1378" s="53"/>
      <c r="EER1378" s="53"/>
      <c r="EES1378" s="53"/>
      <c r="EET1378" s="53"/>
      <c r="EEU1378" s="53"/>
      <c r="EEV1378" s="53"/>
      <c r="EEW1378" s="53"/>
      <c r="EEX1378" s="53"/>
      <c r="EEY1378" s="53"/>
      <c r="EEZ1378" s="53"/>
      <c r="EFA1378" s="53"/>
      <c r="EFB1378" s="53"/>
      <c r="EFC1378" s="53"/>
      <c r="EFD1378" s="53"/>
      <c r="EFE1378" s="53"/>
      <c r="EFF1378" s="53"/>
      <c r="EFG1378" s="53"/>
      <c r="EFH1378" s="53"/>
      <c r="EFI1378" s="53"/>
      <c r="EFJ1378" s="53"/>
      <c r="EFK1378" s="53"/>
      <c r="EFL1378" s="53"/>
      <c r="EFM1378" s="53"/>
      <c r="EFN1378" s="53"/>
      <c r="EFO1378" s="53"/>
      <c r="EFP1378" s="53"/>
      <c r="EFQ1378" s="53"/>
      <c r="EFR1378" s="53"/>
      <c r="EFS1378" s="53"/>
      <c r="EFT1378" s="53"/>
      <c r="EFU1378" s="53"/>
      <c r="EFV1378" s="53"/>
      <c r="EFW1378" s="53"/>
      <c r="EFX1378" s="53"/>
      <c r="EFY1378" s="53"/>
      <c r="EFZ1378" s="53"/>
      <c r="EGA1378" s="53"/>
      <c r="EGB1378" s="53"/>
      <c r="EGC1378" s="53"/>
      <c r="EGD1378" s="53"/>
      <c r="EGE1378" s="53"/>
      <c r="EGF1378" s="53"/>
      <c r="EGG1378" s="53"/>
      <c r="EGH1378" s="53"/>
      <c r="EGI1378" s="53"/>
      <c r="EGJ1378" s="53"/>
      <c r="EGK1378" s="53"/>
      <c r="EGL1378" s="53"/>
      <c r="EGM1378" s="53"/>
      <c r="EGN1378" s="53"/>
      <c r="EGO1378" s="53"/>
      <c r="EGP1378" s="53"/>
      <c r="EGQ1378" s="53"/>
      <c r="EGR1378" s="53"/>
      <c r="EGS1378" s="53"/>
      <c r="EGT1378" s="53"/>
      <c r="EGU1378" s="53"/>
      <c r="EGV1378" s="53"/>
      <c r="EGW1378" s="53"/>
      <c r="EGX1378" s="53"/>
      <c r="EGY1378" s="53"/>
      <c r="EGZ1378" s="53"/>
      <c r="EHA1378" s="53"/>
      <c r="EHB1378" s="53"/>
      <c r="EHC1378" s="53"/>
      <c r="EHD1378" s="53"/>
      <c r="EHE1378" s="53"/>
      <c r="EHF1378" s="53"/>
      <c r="EHG1378" s="53"/>
      <c r="EHH1378" s="53"/>
      <c r="EHI1378" s="53"/>
      <c r="EHJ1378" s="53"/>
      <c r="EHK1378" s="53"/>
      <c r="EHL1378" s="53"/>
      <c r="EHM1378" s="53"/>
      <c r="EHN1378" s="53"/>
      <c r="EHO1378" s="53"/>
      <c r="EHP1378" s="53"/>
      <c r="EHQ1378" s="53"/>
      <c r="EHR1378" s="53"/>
      <c r="EHS1378" s="53"/>
      <c r="EHT1378" s="53"/>
      <c r="EHU1378" s="53"/>
      <c r="EHV1378" s="53"/>
      <c r="EHW1378" s="53"/>
      <c r="EHX1378" s="53"/>
      <c r="EHY1378" s="53"/>
      <c r="EHZ1378" s="53"/>
      <c r="EIA1378" s="53"/>
      <c r="EIB1378" s="53"/>
      <c r="EIC1378" s="53"/>
      <c r="EID1378" s="53"/>
      <c r="EIE1378" s="53"/>
      <c r="EIF1378" s="53"/>
      <c r="EIG1378" s="53"/>
      <c r="EIH1378" s="53"/>
      <c r="EII1378" s="53"/>
      <c r="EIJ1378" s="53"/>
      <c r="EIK1378" s="53"/>
      <c r="EIL1378" s="53"/>
      <c r="EIM1378" s="53"/>
      <c r="EIN1378" s="53"/>
      <c r="EIO1378" s="53"/>
      <c r="EIP1378" s="53"/>
      <c r="EIQ1378" s="53"/>
      <c r="EIR1378" s="53"/>
      <c r="EIS1378" s="53"/>
      <c r="EIT1378" s="53"/>
      <c r="EIU1378" s="53"/>
      <c r="EIV1378" s="53"/>
      <c r="EIW1378" s="53"/>
      <c r="EIX1378" s="53"/>
      <c r="EIY1378" s="53"/>
      <c r="EIZ1378" s="53"/>
      <c r="EJA1378" s="53"/>
      <c r="EJB1378" s="53"/>
      <c r="EJC1378" s="53"/>
      <c r="EJD1378" s="53"/>
      <c r="EJE1378" s="53"/>
      <c r="EJF1378" s="53"/>
      <c r="EJG1378" s="53"/>
      <c r="EJH1378" s="53"/>
      <c r="EJI1378" s="53"/>
      <c r="EJJ1378" s="53"/>
      <c r="EJK1378" s="53"/>
      <c r="EJL1378" s="53"/>
      <c r="EJM1378" s="53"/>
      <c r="EJN1378" s="53"/>
      <c r="EJO1378" s="53"/>
      <c r="EJP1378" s="53"/>
      <c r="EJQ1378" s="53"/>
      <c r="EJR1378" s="53"/>
      <c r="EJS1378" s="53"/>
      <c r="EJT1378" s="53"/>
      <c r="EJU1378" s="53"/>
      <c r="EJV1378" s="53"/>
      <c r="EJW1378" s="53"/>
      <c r="EJX1378" s="53"/>
      <c r="EJY1378" s="53"/>
      <c r="EJZ1378" s="53"/>
      <c r="EKA1378" s="53"/>
      <c r="EKB1378" s="53"/>
      <c r="EKC1378" s="53"/>
      <c r="EKD1378" s="53"/>
      <c r="EKE1378" s="53"/>
      <c r="EKF1378" s="53"/>
      <c r="EKG1378" s="53"/>
      <c r="EKH1378" s="53"/>
      <c r="EKI1378" s="53"/>
      <c r="EKJ1378" s="53"/>
      <c r="EKK1378" s="53"/>
      <c r="EKL1378" s="53"/>
      <c r="EKM1378" s="53"/>
      <c r="EKN1378" s="53"/>
      <c r="EKO1378" s="53"/>
      <c r="EKP1378" s="53"/>
      <c r="EKQ1378" s="53"/>
      <c r="EKR1378" s="53"/>
      <c r="EKS1378" s="53"/>
      <c r="EKT1378" s="53"/>
      <c r="EKU1378" s="53"/>
      <c r="EKV1378" s="53"/>
      <c r="EKW1378" s="53"/>
      <c r="EKX1378" s="53"/>
      <c r="EKY1378" s="53"/>
      <c r="EKZ1378" s="53"/>
      <c r="ELA1378" s="53"/>
      <c r="ELB1378" s="53"/>
      <c r="ELC1378" s="53"/>
      <c r="ELD1378" s="53"/>
      <c r="ELE1378" s="53"/>
      <c r="ELF1378" s="53"/>
      <c r="ELG1378" s="53"/>
      <c r="ELH1378" s="53"/>
      <c r="ELI1378" s="53"/>
      <c r="ELJ1378" s="53"/>
      <c r="ELK1378" s="53"/>
      <c r="ELL1378" s="53"/>
      <c r="ELM1378" s="53"/>
      <c r="ELN1378" s="53"/>
      <c r="ELO1378" s="53"/>
      <c r="ELP1378" s="53"/>
      <c r="ELQ1378" s="53"/>
      <c r="ELR1378" s="53"/>
      <c r="ELS1378" s="53"/>
      <c r="ELT1378" s="53"/>
      <c r="ELU1378" s="53"/>
      <c r="ELV1378" s="53"/>
      <c r="ELW1378" s="53"/>
      <c r="ELX1378" s="53"/>
      <c r="ELY1378" s="53"/>
      <c r="ELZ1378" s="53"/>
      <c r="EMA1378" s="53"/>
      <c r="EMB1378" s="53"/>
      <c r="EMC1378" s="53"/>
      <c r="EMD1378" s="53"/>
      <c r="EME1378" s="53"/>
      <c r="EMF1378" s="53"/>
      <c r="EMG1378" s="53"/>
      <c r="EMH1378" s="53"/>
      <c r="EMI1378" s="53"/>
      <c r="EMJ1378" s="53"/>
      <c r="EMK1378" s="53"/>
      <c r="EML1378" s="53"/>
      <c r="EMM1378" s="53"/>
      <c r="EMN1378" s="53"/>
      <c r="EMO1378" s="53"/>
      <c r="EMP1378" s="53"/>
      <c r="EMQ1378" s="53"/>
      <c r="EMR1378" s="53"/>
      <c r="EMS1378" s="53"/>
      <c r="EMT1378" s="53"/>
      <c r="EMU1378" s="53"/>
      <c r="EMV1378" s="53"/>
      <c r="EMW1378" s="53"/>
      <c r="EMX1378" s="53"/>
      <c r="EMY1378" s="53"/>
      <c r="EMZ1378" s="53"/>
      <c r="ENA1378" s="53"/>
      <c r="ENB1378" s="53"/>
      <c r="ENC1378" s="53"/>
      <c r="END1378" s="53"/>
      <c r="ENE1378" s="53"/>
      <c r="ENF1378" s="53"/>
      <c r="ENG1378" s="53"/>
      <c r="ENH1378" s="53"/>
      <c r="ENI1378" s="53"/>
      <c r="ENJ1378" s="53"/>
      <c r="ENK1378" s="53"/>
      <c r="ENL1378" s="53"/>
      <c r="ENM1378" s="53"/>
      <c r="ENN1378" s="53"/>
      <c r="ENO1378" s="53"/>
      <c r="ENP1378" s="53"/>
      <c r="ENQ1378" s="53"/>
      <c r="ENR1378" s="53"/>
      <c r="ENS1378" s="53"/>
      <c r="ENT1378" s="53"/>
      <c r="ENU1378" s="53"/>
      <c r="ENV1378" s="53"/>
      <c r="ENW1378" s="53"/>
      <c r="ENX1378" s="53"/>
      <c r="ENY1378" s="53"/>
      <c r="ENZ1378" s="53"/>
      <c r="EOA1378" s="53"/>
      <c r="EOB1378" s="53"/>
      <c r="EOC1378" s="53"/>
      <c r="EOD1378" s="53"/>
      <c r="EOE1378" s="53"/>
      <c r="EOF1378" s="53"/>
      <c r="EOG1378" s="53"/>
      <c r="EOH1378" s="53"/>
      <c r="EOI1378" s="53"/>
      <c r="EOJ1378" s="53"/>
      <c r="EOK1378" s="53"/>
      <c r="EOL1378" s="53"/>
      <c r="EOM1378" s="53"/>
      <c r="EON1378" s="53"/>
      <c r="EOO1378" s="53"/>
      <c r="EOP1378" s="53"/>
      <c r="EOQ1378" s="53"/>
      <c r="EOR1378" s="53"/>
      <c r="EOS1378" s="53"/>
      <c r="EOT1378" s="53"/>
      <c r="EOU1378" s="53"/>
      <c r="EOV1378" s="53"/>
      <c r="EOW1378" s="53"/>
      <c r="EOX1378" s="53"/>
      <c r="EOY1378" s="53"/>
      <c r="EOZ1378" s="53"/>
      <c r="EPA1378" s="53"/>
      <c r="EPB1378" s="53"/>
      <c r="EPC1378" s="53"/>
      <c r="EPD1378" s="53"/>
      <c r="EPE1378" s="53"/>
      <c r="EPF1378" s="53"/>
      <c r="EPG1378" s="53"/>
      <c r="EPH1378" s="53"/>
      <c r="EPI1378" s="53"/>
      <c r="EPJ1378" s="53"/>
      <c r="EPK1378" s="53"/>
      <c r="EPL1378" s="53"/>
      <c r="EPM1378" s="53"/>
      <c r="EPN1378" s="53"/>
      <c r="EPO1378" s="53"/>
      <c r="EPP1378" s="53"/>
      <c r="EPQ1378" s="53"/>
      <c r="EPR1378" s="53"/>
      <c r="EPS1378" s="53"/>
      <c r="EPT1378" s="53"/>
      <c r="EPU1378" s="53"/>
      <c r="EPV1378" s="53"/>
      <c r="EPW1378" s="53"/>
      <c r="EPX1378" s="53"/>
      <c r="EPY1378" s="53"/>
      <c r="EPZ1378" s="53"/>
      <c r="EQA1378" s="53"/>
      <c r="EQB1378" s="53"/>
      <c r="EQC1378" s="53"/>
      <c r="EQD1378" s="53"/>
      <c r="EQE1378" s="53"/>
      <c r="EQF1378" s="53"/>
      <c r="EQG1378" s="53"/>
      <c r="EQH1378" s="53"/>
      <c r="EQI1378" s="53"/>
      <c r="EQJ1378" s="53"/>
      <c r="EQK1378" s="53"/>
      <c r="EQL1378" s="53"/>
      <c r="EQM1378" s="53"/>
      <c r="EQN1378" s="53"/>
      <c r="EQO1378" s="53"/>
      <c r="EQP1378" s="53"/>
      <c r="EQQ1378" s="53"/>
      <c r="EQR1378" s="53"/>
      <c r="EQS1378" s="53"/>
      <c r="EQT1378" s="53"/>
      <c r="EQU1378" s="53"/>
      <c r="EQV1378" s="53"/>
      <c r="EQW1378" s="53"/>
      <c r="EQX1378" s="53"/>
      <c r="EQY1378" s="53"/>
      <c r="EQZ1378" s="53"/>
      <c r="ERA1378" s="53"/>
      <c r="ERB1378" s="53"/>
      <c r="ERC1378" s="53"/>
      <c r="ERD1378" s="53"/>
      <c r="ERE1378" s="53"/>
      <c r="ERF1378" s="53"/>
      <c r="ERG1378" s="53"/>
      <c r="ERH1378" s="53"/>
      <c r="ERI1378" s="53"/>
      <c r="ERJ1378" s="53"/>
      <c r="ERK1378" s="53"/>
      <c r="ERL1378" s="53"/>
      <c r="ERM1378" s="53"/>
      <c r="ERN1378" s="53"/>
      <c r="ERO1378" s="53"/>
      <c r="ERP1378" s="53"/>
      <c r="ERQ1378" s="53"/>
      <c r="ERR1378" s="53"/>
      <c r="ERS1378" s="53"/>
      <c r="ERT1378" s="53"/>
      <c r="ERU1378" s="53"/>
      <c r="ERV1378" s="53"/>
      <c r="ERW1378" s="53"/>
      <c r="ERX1378" s="53"/>
      <c r="ERY1378" s="53"/>
      <c r="ERZ1378" s="53"/>
      <c r="ESA1378" s="53"/>
      <c r="ESB1378" s="53"/>
      <c r="ESC1378" s="53"/>
      <c r="ESD1378" s="53"/>
      <c r="ESE1378" s="53"/>
      <c r="ESF1378" s="53"/>
      <c r="ESG1378" s="53"/>
      <c r="ESH1378" s="53"/>
      <c r="ESI1378" s="53"/>
      <c r="ESJ1378" s="53"/>
      <c r="ESK1378" s="53"/>
      <c r="ESL1378" s="53"/>
      <c r="ESM1378" s="53"/>
      <c r="ESN1378" s="53"/>
      <c r="ESO1378" s="53"/>
      <c r="ESP1378" s="53"/>
      <c r="ESQ1378" s="53"/>
      <c r="ESR1378" s="53"/>
      <c r="ESS1378" s="53"/>
      <c r="EST1378" s="53"/>
      <c r="ESU1378" s="53"/>
      <c r="ESV1378" s="53"/>
      <c r="ESW1378" s="53"/>
      <c r="ESX1378" s="53"/>
      <c r="ESY1378" s="53"/>
      <c r="ESZ1378" s="53"/>
      <c r="ETA1378" s="53"/>
      <c r="ETB1378" s="53"/>
      <c r="ETC1378" s="53"/>
      <c r="ETD1378" s="53"/>
      <c r="ETE1378" s="53"/>
      <c r="ETF1378" s="53"/>
      <c r="ETG1378" s="53"/>
      <c r="ETH1378" s="53"/>
      <c r="ETI1378" s="53"/>
      <c r="ETJ1378" s="53"/>
      <c r="ETK1378" s="53"/>
      <c r="ETL1378" s="53"/>
      <c r="ETM1378" s="53"/>
      <c r="ETN1378" s="53"/>
      <c r="ETO1378" s="53"/>
      <c r="ETP1378" s="53"/>
      <c r="ETQ1378" s="53"/>
      <c r="ETR1378" s="53"/>
      <c r="ETS1378" s="53"/>
      <c r="ETT1378" s="53"/>
      <c r="ETU1378" s="53"/>
      <c r="ETV1378" s="53"/>
      <c r="ETW1378" s="53"/>
      <c r="ETX1378" s="53"/>
      <c r="ETY1378" s="53"/>
      <c r="ETZ1378" s="53"/>
      <c r="EUA1378" s="53"/>
      <c r="EUB1378" s="53"/>
      <c r="EUC1378" s="53"/>
      <c r="EUD1378" s="53"/>
      <c r="EUE1378" s="53"/>
      <c r="EUF1378" s="53"/>
      <c r="EUG1378" s="53"/>
      <c r="EUH1378" s="53"/>
      <c r="EUI1378" s="53"/>
      <c r="EUJ1378" s="53"/>
      <c r="EUK1378" s="53"/>
      <c r="EUL1378" s="53"/>
      <c r="EUM1378" s="53"/>
      <c r="EUN1378" s="53"/>
      <c r="EUO1378" s="53"/>
      <c r="EUP1378" s="53"/>
      <c r="EUQ1378" s="53"/>
      <c r="EUR1378" s="53"/>
      <c r="EUS1378" s="53"/>
      <c r="EUT1378" s="53"/>
      <c r="EUU1378" s="53"/>
      <c r="EUV1378" s="53"/>
      <c r="EUW1378" s="53"/>
      <c r="EUX1378" s="53"/>
      <c r="EUY1378" s="53"/>
      <c r="EUZ1378" s="53"/>
      <c r="EVA1378" s="53"/>
      <c r="EVB1378" s="53"/>
      <c r="EVC1378" s="53"/>
      <c r="EVD1378" s="53"/>
      <c r="EVE1378" s="53"/>
      <c r="EVF1378" s="53"/>
      <c r="EVG1378" s="53"/>
      <c r="EVH1378" s="53"/>
      <c r="EVI1378" s="53"/>
      <c r="EVJ1378" s="53"/>
      <c r="EVK1378" s="53"/>
      <c r="EVL1378" s="53"/>
      <c r="EVM1378" s="53"/>
      <c r="EVN1378" s="53"/>
      <c r="EVO1378" s="53"/>
      <c r="EVP1378" s="53"/>
      <c r="EVQ1378" s="53"/>
      <c r="EVR1378" s="53"/>
      <c r="EVS1378" s="53"/>
      <c r="EVT1378" s="53"/>
      <c r="EVU1378" s="53"/>
      <c r="EVV1378" s="53"/>
      <c r="EVW1378" s="53"/>
      <c r="EVX1378" s="53"/>
      <c r="EVY1378" s="53"/>
      <c r="EVZ1378" s="53"/>
      <c r="EWA1378" s="53"/>
      <c r="EWB1378" s="53"/>
      <c r="EWC1378" s="53"/>
      <c r="EWD1378" s="53"/>
      <c r="EWE1378" s="53"/>
      <c r="EWF1378" s="53"/>
      <c r="EWG1378" s="53"/>
      <c r="EWH1378" s="53"/>
      <c r="EWI1378" s="53"/>
      <c r="EWJ1378" s="53"/>
      <c r="EWK1378" s="53"/>
      <c r="EWL1378" s="53"/>
      <c r="EWM1378" s="53"/>
      <c r="EWN1378" s="53"/>
      <c r="EWO1378" s="53"/>
      <c r="EWP1378" s="53"/>
      <c r="EWQ1378" s="53"/>
      <c r="EWR1378" s="53"/>
      <c r="EWS1378" s="53"/>
      <c r="EWT1378" s="53"/>
      <c r="EWU1378" s="53"/>
      <c r="EWV1378" s="53"/>
      <c r="EWW1378" s="53"/>
      <c r="EWX1378" s="53"/>
      <c r="EWY1378" s="53"/>
      <c r="EWZ1378" s="53"/>
      <c r="EXA1378" s="53"/>
      <c r="EXB1378" s="53"/>
      <c r="EXC1378" s="53"/>
      <c r="EXD1378" s="53"/>
      <c r="EXE1378" s="53"/>
      <c r="EXF1378" s="53"/>
      <c r="EXG1378" s="53"/>
      <c r="EXH1378" s="53"/>
      <c r="EXI1378" s="53"/>
      <c r="EXJ1378" s="53"/>
      <c r="EXK1378" s="53"/>
      <c r="EXL1378" s="53"/>
      <c r="EXM1378" s="53"/>
      <c r="EXN1378" s="53"/>
      <c r="EXO1378" s="53"/>
      <c r="EXP1378" s="53"/>
      <c r="EXQ1378" s="53"/>
      <c r="EXR1378" s="53"/>
      <c r="EXS1378" s="53"/>
      <c r="EXT1378" s="53"/>
      <c r="EXU1378" s="53"/>
      <c r="EXV1378" s="53"/>
      <c r="EXW1378" s="53"/>
      <c r="EXX1378" s="53"/>
      <c r="EXY1378" s="53"/>
      <c r="EXZ1378" s="53"/>
      <c r="EYA1378" s="53"/>
      <c r="EYB1378" s="53"/>
      <c r="EYC1378" s="53"/>
      <c r="EYD1378" s="53"/>
      <c r="EYE1378" s="53"/>
      <c r="EYF1378" s="53"/>
      <c r="EYG1378" s="53"/>
      <c r="EYH1378" s="53"/>
      <c r="EYI1378" s="53"/>
      <c r="EYJ1378" s="53"/>
      <c r="EYK1378" s="53"/>
      <c r="EYL1378" s="53"/>
      <c r="EYM1378" s="53"/>
      <c r="EYN1378" s="53"/>
      <c r="EYO1378" s="53"/>
      <c r="EYP1378" s="53"/>
      <c r="EYQ1378" s="53"/>
      <c r="EYR1378" s="53"/>
      <c r="EYS1378" s="53"/>
      <c r="EYT1378" s="53"/>
      <c r="EYU1378" s="53"/>
      <c r="EYV1378" s="53"/>
      <c r="EYW1378" s="53"/>
      <c r="EYX1378" s="53"/>
      <c r="EYY1378" s="53"/>
      <c r="EYZ1378" s="53"/>
      <c r="EZA1378" s="53"/>
      <c r="EZB1378" s="53"/>
      <c r="EZC1378" s="53"/>
      <c r="EZD1378" s="53"/>
      <c r="EZE1378" s="53"/>
      <c r="EZF1378" s="53"/>
      <c r="EZG1378" s="53"/>
      <c r="EZH1378" s="53"/>
      <c r="EZI1378" s="53"/>
      <c r="EZJ1378" s="53"/>
      <c r="EZK1378" s="53"/>
      <c r="EZL1378" s="53"/>
      <c r="EZM1378" s="53"/>
      <c r="EZN1378" s="53"/>
      <c r="EZO1378" s="53"/>
      <c r="EZP1378" s="53"/>
      <c r="EZQ1378" s="53"/>
      <c r="EZR1378" s="53"/>
      <c r="EZS1378" s="53"/>
      <c r="EZT1378" s="53"/>
      <c r="EZU1378" s="53"/>
      <c r="EZV1378" s="53"/>
      <c r="EZW1378" s="53"/>
      <c r="EZX1378" s="53"/>
      <c r="EZY1378" s="53"/>
      <c r="EZZ1378" s="53"/>
      <c r="FAA1378" s="53"/>
      <c r="FAB1378" s="53"/>
      <c r="FAC1378" s="53"/>
      <c r="FAD1378" s="53"/>
      <c r="FAE1378" s="53"/>
      <c r="FAF1378" s="53"/>
      <c r="FAG1378" s="53"/>
      <c r="FAH1378" s="53"/>
      <c r="FAI1378" s="53"/>
      <c r="FAJ1378" s="53"/>
      <c r="FAK1378" s="53"/>
      <c r="FAL1378" s="53"/>
      <c r="FAM1378" s="53"/>
      <c r="FAN1378" s="53"/>
      <c r="FAO1378" s="53"/>
      <c r="FAP1378" s="53"/>
      <c r="FAQ1378" s="53"/>
      <c r="FAR1378" s="53"/>
      <c r="FAS1378" s="53"/>
      <c r="FAT1378" s="53"/>
      <c r="FAU1378" s="53"/>
      <c r="FAV1378" s="53"/>
      <c r="FAW1378" s="53"/>
      <c r="FAX1378" s="53"/>
      <c r="FAY1378" s="53"/>
      <c r="FAZ1378" s="53"/>
      <c r="FBA1378" s="53"/>
      <c r="FBB1378" s="53"/>
      <c r="FBC1378" s="53"/>
      <c r="FBD1378" s="53"/>
      <c r="FBE1378" s="53"/>
      <c r="FBF1378" s="53"/>
      <c r="FBG1378" s="53"/>
      <c r="FBH1378" s="53"/>
      <c r="FBI1378" s="53"/>
      <c r="FBJ1378" s="53"/>
      <c r="FBK1378" s="53"/>
      <c r="FBL1378" s="53"/>
      <c r="FBM1378" s="53"/>
      <c r="FBN1378" s="53"/>
      <c r="FBO1378" s="53"/>
      <c r="FBP1378" s="53"/>
      <c r="FBQ1378" s="53"/>
      <c r="FBR1378" s="53"/>
      <c r="FBS1378" s="53"/>
      <c r="FBT1378" s="53"/>
      <c r="FBU1378" s="53"/>
      <c r="FBV1378" s="53"/>
      <c r="FBW1378" s="53"/>
      <c r="FBX1378" s="53"/>
      <c r="FBY1378" s="53"/>
      <c r="FBZ1378" s="53"/>
      <c r="FCA1378" s="53"/>
      <c r="FCB1378" s="53"/>
      <c r="FCC1378" s="53"/>
      <c r="FCD1378" s="53"/>
      <c r="FCE1378" s="53"/>
      <c r="FCF1378" s="53"/>
      <c r="FCG1378" s="53"/>
      <c r="FCH1378" s="53"/>
      <c r="FCI1378" s="53"/>
      <c r="FCJ1378" s="53"/>
      <c r="FCK1378" s="53"/>
      <c r="FCL1378" s="53"/>
      <c r="FCM1378" s="53"/>
      <c r="FCN1378" s="53"/>
      <c r="FCO1378" s="53"/>
      <c r="FCP1378" s="53"/>
      <c r="FCQ1378" s="53"/>
      <c r="FCR1378" s="53"/>
      <c r="FCS1378" s="53"/>
      <c r="FCT1378" s="53"/>
      <c r="FCU1378" s="53"/>
      <c r="FCV1378" s="53"/>
      <c r="FCW1378" s="53"/>
      <c r="FCX1378" s="53"/>
      <c r="FCY1378" s="53"/>
      <c r="FCZ1378" s="53"/>
      <c r="FDA1378" s="53"/>
      <c r="FDB1378" s="53"/>
      <c r="FDC1378" s="53"/>
      <c r="FDD1378" s="53"/>
      <c r="FDE1378" s="53"/>
      <c r="FDF1378" s="53"/>
      <c r="FDG1378" s="53"/>
      <c r="FDH1378" s="53"/>
      <c r="FDI1378" s="53"/>
      <c r="FDJ1378" s="53"/>
      <c r="FDK1378" s="53"/>
      <c r="FDL1378" s="53"/>
      <c r="FDM1378" s="53"/>
      <c r="FDN1378" s="53"/>
      <c r="FDO1378" s="53"/>
      <c r="FDP1378" s="53"/>
      <c r="FDQ1378" s="53"/>
      <c r="FDR1378" s="53"/>
      <c r="FDS1378" s="53"/>
      <c r="FDT1378" s="53"/>
      <c r="FDU1378" s="53"/>
      <c r="FDV1378" s="53"/>
      <c r="FDW1378" s="53"/>
      <c r="FDX1378" s="53"/>
      <c r="FDY1378" s="53"/>
      <c r="FDZ1378" s="53"/>
      <c r="FEA1378" s="53"/>
      <c r="FEB1378" s="53"/>
      <c r="FEC1378" s="53"/>
      <c r="FED1378" s="53"/>
      <c r="FEE1378" s="53"/>
      <c r="FEF1378" s="53"/>
      <c r="FEG1378" s="53"/>
      <c r="FEH1378" s="53"/>
      <c r="FEI1378" s="53"/>
      <c r="FEJ1378" s="53"/>
      <c r="FEK1378" s="53"/>
      <c r="FEL1378" s="53"/>
      <c r="FEM1378" s="53"/>
      <c r="FEN1378" s="53"/>
      <c r="FEO1378" s="53"/>
      <c r="FEP1378" s="53"/>
      <c r="FEQ1378" s="53"/>
      <c r="FER1378" s="53"/>
      <c r="FES1378" s="53"/>
      <c r="FET1378" s="53"/>
      <c r="FEU1378" s="53"/>
      <c r="FEV1378" s="53"/>
      <c r="FEW1378" s="53"/>
      <c r="FEX1378" s="53"/>
      <c r="FEY1378" s="53"/>
      <c r="FEZ1378" s="53"/>
      <c r="FFA1378" s="53"/>
      <c r="FFB1378" s="53"/>
      <c r="FFC1378" s="53"/>
      <c r="FFD1378" s="53"/>
      <c r="FFE1378" s="53"/>
      <c r="FFF1378" s="53"/>
      <c r="FFG1378" s="53"/>
      <c r="FFH1378" s="53"/>
      <c r="FFI1378" s="53"/>
      <c r="FFJ1378" s="53"/>
      <c r="FFK1378" s="53"/>
      <c r="FFL1378" s="53"/>
      <c r="FFM1378" s="53"/>
      <c r="FFN1378" s="53"/>
      <c r="FFO1378" s="53"/>
      <c r="FFP1378" s="53"/>
      <c r="FFQ1378" s="53"/>
      <c r="FFR1378" s="53"/>
      <c r="FFS1378" s="53"/>
      <c r="FFT1378" s="53"/>
      <c r="FFU1378" s="53"/>
      <c r="FFV1378" s="53"/>
      <c r="FFW1378" s="53"/>
      <c r="FFX1378" s="53"/>
      <c r="FFY1378" s="53"/>
      <c r="FFZ1378" s="53"/>
      <c r="FGA1378" s="53"/>
      <c r="FGB1378" s="53"/>
      <c r="FGC1378" s="53"/>
      <c r="FGD1378" s="53"/>
      <c r="FGE1378" s="53"/>
      <c r="FGF1378" s="53"/>
      <c r="FGG1378" s="53"/>
      <c r="FGH1378" s="53"/>
      <c r="FGI1378" s="53"/>
      <c r="FGJ1378" s="53"/>
      <c r="FGK1378" s="53"/>
      <c r="FGL1378" s="53"/>
      <c r="FGM1378" s="53"/>
      <c r="FGN1378" s="53"/>
      <c r="FGO1378" s="53"/>
      <c r="FGP1378" s="53"/>
      <c r="FGQ1378" s="53"/>
      <c r="FGR1378" s="53"/>
      <c r="FGS1378" s="53"/>
      <c r="FGT1378" s="53"/>
      <c r="FGU1378" s="53"/>
      <c r="FGV1378" s="53"/>
      <c r="FGW1378" s="53"/>
      <c r="FGX1378" s="53"/>
      <c r="FGY1378" s="53"/>
      <c r="FGZ1378" s="53"/>
      <c r="FHA1378" s="53"/>
      <c r="FHB1378" s="53"/>
      <c r="FHC1378" s="53"/>
      <c r="FHD1378" s="53"/>
      <c r="FHE1378" s="53"/>
      <c r="FHF1378" s="53"/>
      <c r="FHG1378" s="53"/>
      <c r="FHH1378" s="53"/>
      <c r="FHI1378" s="53"/>
      <c r="FHJ1378" s="53"/>
      <c r="FHK1378" s="53"/>
      <c r="FHL1378" s="53"/>
      <c r="FHM1378" s="53"/>
      <c r="FHN1378" s="53"/>
      <c r="FHO1378" s="53"/>
      <c r="FHP1378" s="53"/>
      <c r="FHQ1378" s="53"/>
      <c r="FHR1378" s="53"/>
      <c r="FHS1378" s="53"/>
      <c r="FHT1378" s="53"/>
      <c r="FHU1378" s="53"/>
      <c r="FHV1378" s="53"/>
      <c r="FHW1378" s="53"/>
      <c r="FHX1378" s="53"/>
      <c r="FHY1378" s="53"/>
      <c r="FHZ1378" s="53"/>
      <c r="FIA1378" s="53"/>
      <c r="FIB1378" s="53"/>
      <c r="FIC1378" s="53"/>
      <c r="FID1378" s="53"/>
      <c r="FIE1378" s="53"/>
      <c r="FIF1378" s="53"/>
      <c r="FIG1378" s="53"/>
      <c r="FIH1378" s="53"/>
      <c r="FII1378" s="53"/>
      <c r="FIJ1378" s="53"/>
      <c r="FIK1378" s="53"/>
      <c r="FIL1378" s="53"/>
      <c r="FIM1378" s="53"/>
      <c r="FIN1378" s="53"/>
      <c r="FIO1378" s="53"/>
      <c r="FIP1378" s="53"/>
      <c r="FIQ1378" s="53"/>
      <c r="FIR1378" s="53"/>
      <c r="FIS1378" s="53"/>
      <c r="FIT1378" s="53"/>
      <c r="FIU1378" s="53"/>
      <c r="FIV1378" s="53"/>
      <c r="FIW1378" s="53"/>
      <c r="FIX1378" s="53"/>
      <c r="FIY1378" s="53"/>
      <c r="FIZ1378" s="53"/>
      <c r="FJA1378" s="53"/>
      <c r="FJB1378" s="53"/>
      <c r="FJC1378" s="53"/>
      <c r="FJD1378" s="53"/>
      <c r="FJE1378" s="53"/>
      <c r="FJF1378" s="53"/>
      <c r="FJG1378" s="53"/>
      <c r="FJH1378" s="53"/>
      <c r="FJI1378" s="53"/>
      <c r="FJJ1378" s="53"/>
      <c r="FJK1378" s="53"/>
      <c r="FJL1378" s="53"/>
      <c r="FJM1378" s="53"/>
      <c r="FJN1378" s="53"/>
      <c r="FJO1378" s="53"/>
      <c r="FJP1378" s="53"/>
      <c r="FJQ1378" s="53"/>
      <c r="FJR1378" s="53"/>
      <c r="FJS1378" s="53"/>
      <c r="FJT1378" s="53"/>
      <c r="FJU1378" s="53"/>
      <c r="FJV1378" s="53"/>
      <c r="FJW1378" s="53"/>
      <c r="FJX1378" s="53"/>
      <c r="FJY1378" s="53"/>
      <c r="FJZ1378" s="53"/>
      <c r="FKA1378" s="53"/>
      <c r="FKB1378" s="53"/>
      <c r="FKC1378" s="53"/>
      <c r="FKD1378" s="53"/>
      <c r="FKE1378" s="53"/>
      <c r="FKF1378" s="53"/>
      <c r="FKG1378" s="53"/>
      <c r="FKH1378" s="53"/>
      <c r="FKI1378" s="53"/>
      <c r="FKJ1378" s="53"/>
      <c r="FKK1378" s="53"/>
      <c r="FKL1378" s="53"/>
      <c r="FKM1378" s="53"/>
      <c r="FKN1378" s="53"/>
      <c r="FKO1378" s="53"/>
      <c r="FKP1378" s="53"/>
      <c r="FKQ1378" s="53"/>
      <c r="FKR1378" s="53"/>
      <c r="FKS1378" s="53"/>
      <c r="FKT1378" s="53"/>
      <c r="FKU1378" s="53"/>
      <c r="FKV1378" s="53"/>
      <c r="FKW1378" s="53"/>
      <c r="FKX1378" s="53"/>
      <c r="FKY1378" s="53"/>
      <c r="FKZ1378" s="53"/>
      <c r="FLA1378" s="53"/>
      <c r="FLB1378" s="53"/>
      <c r="FLC1378" s="53"/>
      <c r="FLD1378" s="53"/>
      <c r="FLE1378" s="53"/>
      <c r="FLF1378" s="53"/>
      <c r="FLG1378" s="53"/>
      <c r="FLH1378" s="53"/>
      <c r="FLI1378" s="53"/>
      <c r="FLJ1378" s="53"/>
      <c r="FLK1378" s="53"/>
      <c r="FLL1378" s="53"/>
      <c r="FLM1378" s="53"/>
      <c r="FLN1378" s="53"/>
      <c r="FLO1378" s="53"/>
      <c r="FLP1378" s="53"/>
      <c r="FLQ1378" s="53"/>
      <c r="FLR1378" s="53"/>
      <c r="FLS1378" s="53"/>
      <c r="FLT1378" s="53"/>
      <c r="FLU1378" s="53"/>
      <c r="FLV1378" s="53"/>
      <c r="FLW1378" s="53"/>
      <c r="FLX1378" s="53"/>
      <c r="FLY1378" s="53"/>
      <c r="FLZ1378" s="53"/>
      <c r="FMA1378" s="53"/>
      <c r="FMB1378" s="53"/>
      <c r="FMC1378" s="53"/>
      <c r="FMD1378" s="53"/>
      <c r="FME1378" s="53"/>
      <c r="FMF1378" s="53"/>
      <c r="FMG1378" s="53"/>
      <c r="FMH1378" s="53"/>
      <c r="FMI1378" s="53"/>
      <c r="FMJ1378" s="53"/>
      <c r="FMK1378" s="53"/>
      <c r="FML1378" s="53"/>
      <c r="FMM1378" s="53"/>
      <c r="FMN1378" s="53"/>
      <c r="FMO1378" s="53"/>
      <c r="FMP1378" s="53"/>
      <c r="FMQ1378" s="53"/>
      <c r="FMR1378" s="53"/>
      <c r="FMS1378" s="53"/>
      <c r="FMT1378" s="53"/>
      <c r="FMU1378" s="53"/>
      <c r="FMV1378" s="53"/>
      <c r="FMW1378" s="53"/>
      <c r="FMX1378" s="53"/>
      <c r="FMY1378" s="53"/>
      <c r="FMZ1378" s="53"/>
      <c r="FNA1378" s="53"/>
      <c r="FNB1378" s="53"/>
      <c r="FNC1378" s="53"/>
      <c r="FND1378" s="53"/>
      <c r="FNE1378" s="53"/>
      <c r="FNF1378" s="53"/>
      <c r="FNG1378" s="53"/>
      <c r="FNH1378" s="53"/>
      <c r="FNI1378" s="53"/>
      <c r="FNJ1378" s="53"/>
      <c r="FNK1378" s="53"/>
      <c r="FNL1378" s="53"/>
      <c r="FNM1378" s="53"/>
      <c r="FNN1378" s="53"/>
      <c r="FNO1378" s="53"/>
      <c r="FNP1378" s="53"/>
      <c r="FNQ1378" s="53"/>
      <c r="FNR1378" s="53"/>
      <c r="FNS1378" s="53"/>
      <c r="FNT1378" s="53"/>
      <c r="FNU1378" s="53"/>
      <c r="FNV1378" s="53"/>
      <c r="FNW1378" s="53"/>
      <c r="FNX1378" s="53"/>
      <c r="FNY1378" s="53"/>
      <c r="FNZ1378" s="53"/>
      <c r="FOA1378" s="53"/>
      <c r="FOB1378" s="53"/>
      <c r="FOC1378" s="53"/>
      <c r="FOD1378" s="53"/>
      <c r="FOE1378" s="53"/>
      <c r="FOF1378" s="53"/>
      <c r="FOG1378" s="53"/>
      <c r="FOH1378" s="53"/>
      <c r="FOI1378" s="53"/>
      <c r="FOJ1378" s="53"/>
      <c r="FOK1378" s="53"/>
      <c r="FOL1378" s="53"/>
      <c r="FOM1378" s="53"/>
      <c r="FON1378" s="53"/>
      <c r="FOO1378" s="53"/>
      <c r="FOP1378" s="53"/>
      <c r="FOQ1378" s="53"/>
      <c r="FOR1378" s="53"/>
      <c r="FOS1378" s="53"/>
      <c r="FOT1378" s="53"/>
      <c r="FOU1378" s="53"/>
      <c r="FOV1378" s="53"/>
      <c r="FOW1378" s="53"/>
      <c r="FOX1378" s="53"/>
      <c r="FOY1378" s="53"/>
      <c r="FOZ1378" s="53"/>
      <c r="FPA1378" s="53"/>
      <c r="FPB1378" s="53"/>
      <c r="FPC1378" s="53"/>
      <c r="FPD1378" s="53"/>
      <c r="FPE1378" s="53"/>
      <c r="FPF1378" s="53"/>
      <c r="FPG1378" s="53"/>
      <c r="FPH1378" s="53"/>
      <c r="FPI1378" s="53"/>
      <c r="FPJ1378" s="53"/>
      <c r="FPK1378" s="53"/>
      <c r="FPL1378" s="53"/>
      <c r="FPM1378" s="53"/>
      <c r="FPN1378" s="53"/>
      <c r="FPO1378" s="53"/>
      <c r="FPP1378" s="53"/>
      <c r="FPQ1378" s="53"/>
      <c r="FPR1378" s="53"/>
      <c r="FPS1378" s="53"/>
      <c r="FPT1378" s="53"/>
      <c r="FPU1378" s="53"/>
      <c r="FPV1378" s="53"/>
      <c r="FPW1378" s="53"/>
      <c r="FPX1378" s="53"/>
      <c r="FPY1378" s="53"/>
      <c r="FPZ1378" s="53"/>
      <c r="FQA1378" s="53"/>
      <c r="FQB1378" s="53"/>
      <c r="FQC1378" s="53"/>
      <c r="FQD1378" s="53"/>
      <c r="FQE1378" s="53"/>
      <c r="FQF1378" s="53"/>
      <c r="FQG1378" s="53"/>
      <c r="FQH1378" s="53"/>
      <c r="FQI1378" s="53"/>
      <c r="FQJ1378" s="53"/>
      <c r="FQK1378" s="53"/>
      <c r="FQL1378" s="53"/>
      <c r="FQM1378" s="53"/>
      <c r="FQN1378" s="53"/>
      <c r="FQO1378" s="53"/>
      <c r="FQP1378" s="53"/>
      <c r="FQQ1378" s="53"/>
      <c r="FQR1378" s="53"/>
      <c r="FQS1378" s="53"/>
      <c r="FQT1378" s="53"/>
      <c r="FQU1378" s="53"/>
      <c r="FQV1378" s="53"/>
      <c r="FQW1378" s="53"/>
      <c r="FQX1378" s="53"/>
      <c r="FQY1378" s="53"/>
      <c r="FQZ1378" s="53"/>
      <c r="FRA1378" s="53"/>
      <c r="FRB1378" s="53"/>
      <c r="FRC1378" s="53"/>
      <c r="FRD1378" s="53"/>
      <c r="FRE1378" s="53"/>
      <c r="FRF1378" s="53"/>
      <c r="FRG1378" s="53"/>
      <c r="FRH1378" s="53"/>
      <c r="FRI1378" s="53"/>
      <c r="FRJ1378" s="53"/>
      <c r="FRK1378" s="53"/>
      <c r="FRL1378" s="53"/>
      <c r="FRM1378" s="53"/>
      <c r="FRN1378" s="53"/>
      <c r="FRO1378" s="53"/>
      <c r="FRP1378" s="53"/>
      <c r="FRQ1378" s="53"/>
      <c r="FRR1378" s="53"/>
      <c r="FRS1378" s="53"/>
      <c r="FRT1378" s="53"/>
      <c r="FRU1378" s="53"/>
      <c r="FRV1378" s="53"/>
      <c r="FRW1378" s="53"/>
      <c r="FRX1378" s="53"/>
      <c r="FRY1378" s="53"/>
      <c r="FRZ1378" s="53"/>
      <c r="FSA1378" s="53"/>
      <c r="FSB1378" s="53"/>
      <c r="FSC1378" s="53"/>
      <c r="FSD1378" s="53"/>
      <c r="FSE1378" s="53"/>
      <c r="FSF1378" s="53"/>
      <c r="FSG1378" s="53"/>
      <c r="FSH1378" s="53"/>
      <c r="FSI1378" s="53"/>
      <c r="FSJ1378" s="53"/>
      <c r="FSK1378" s="53"/>
      <c r="FSL1378" s="53"/>
      <c r="FSM1378" s="53"/>
      <c r="FSN1378" s="53"/>
      <c r="FSO1378" s="53"/>
      <c r="FSP1378" s="53"/>
      <c r="FSQ1378" s="53"/>
      <c r="FSR1378" s="53"/>
      <c r="FSS1378" s="53"/>
      <c r="FST1378" s="53"/>
      <c r="FSU1378" s="53"/>
      <c r="FSV1378" s="53"/>
      <c r="FSW1378" s="53"/>
      <c r="FSX1378" s="53"/>
      <c r="FSY1378" s="53"/>
      <c r="FSZ1378" s="53"/>
      <c r="FTA1378" s="53"/>
      <c r="FTB1378" s="53"/>
      <c r="FTC1378" s="53"/>
      <c r="FTD1378" s="53"/>
      <c r="FTE1378" s="53"/>
      <c r="FTF1378" s="53"/>
      <c r="FTG1378" s="53"/>
      <c r="FTH1378" s="53"/>
      <c r="FTI1378" s="53"/>
      <c r="FTJ1378" s="53"/>
      <c r="FTK1378" s="53"/>
      <c r="FTL1378" s="53"/>
      <c r="FTM1378" s="53"/>
      <c r="FTN1378" s="53"/>
      <c r="FTO1378" s="53"/>
      <c r="FTP1378" s="53"/>
      <c r="FTQ1378" s="53"/>
      <c r="FTR1378" s="53"/>
      <c r="FTS1378" s="53"/>
      <c r="FTT1378" s="53"/>
      <c r="FTU1378" s="53"/>
      <c r="FTV1378" s="53"/>
      <c r="FTW1378" s="53"/>
      <c r="FTX1378" s="53"/>
      <c r="FTY1378" s="53"/>
      <c r="FTZ1378" s="53"/>
      <c r="FUA1378" s="53"/>
      <c r="FUB1378" s="53"/>
      <c r="FUC1378" s="53"/>
      <c r="FUD1378" s="53"/>
      <c r="FUE1378" s="53"/>
      <c r="FUF1378" s="53"/>
      <c r="FUG1378" s="53"/>
      <c r="FUH1378" s="53"/>
      <c r="FUI1378" s="53"/>
      <c r="FUJ1378" s="53"/>
      <c r="FUK1378" s="53"/>
      <c r="FUL1378" s="53"/>
      <c r="FUM1378" s="53"/>
      <c r="FUN1378" s="53"/>
      <c r="FUO1378" s="53"/>
      <c r="FUP1378" s="53"/>
      <c r="FUQ1378" s="53"/>
      <c r="FUR1378" s="53"/>
      <c r="FUS1378" s="53"/>
      <c r="FUT1378" s="53"/>
      <c r="FUU1378" s="53"/>
      <c r="FUV1378" s="53"/>
      <c r="FUW1378" s="53"/>
      <c r="FUX1378" s="53"/>
      <c r="FUY1378" s="53"/>
      <c r="FUZ1378" s="53"/>
      <c r="FVA1378" s="53"/>
      <c r="FVB1378" s="53"/>
      <c r="FVC1378" s="53"/>
      <c r="FVD1378" s="53"/>
      <c r="FVE1378" s="53"/>
      <c r="FVF1378" s="53"/>
      <c r="FVG1378" s="53"/>
      <c r="FVH1378" s="53"/>
      <c r="FVI1378" s="53"/>
      <c r="FVJ1378" s="53"/>
      <c r="FVK1378" s="53"/>
      <c r="FVL1378" s="53"/>
      <c r="FVM1378" s="53"/>
      <c r="FVN1378" s="53"/>
      <c r="FVO1378" s="53"/>
      <c r="FVP1378" s="53"/>
      <c r="FVQ1378" s="53"/>
      <c r="FVR1378" s="53"/>
      <c r="FVS1378" s="53"/>
      <c r="FVT1378" s="53"/>
      <c r="FVU1378" s="53"/>
      <c r="FVV1378" s="53"/>
      <c r="FVW1378" s="53"/>
      <c r="FVX1378" s="53"/>
      <c r="FVY1378" s="53"/>
      <c r="FVZ1378" s="53"/>
      <c r="FWA1378" s="53"/>
      <c r="FWB1378" s="53"/>
      <c r="FWC1378" s="53"/>
      <c r="FWD1378" s="53"/>
      <c r="FWE1378" s="53"/>
      <c r="FWF1378" s="53"/>
      <c r="FWG1378" s="53"/>
      <c r="FWH1378" s="53"/>
      <c r="FWI1378" s="53"/>
      <c r="FWJ1378" s="53"/>
      <c r="FWK1378" s="53"/>
      <c r="FWL1378" s="53"/>
      <c r="FWM1378" s="53"/>
      <c r="FWN1378" s="53"/>
      <c r="FWO1378" s="53"/>
      <c r="FWP1378" s="53"/>
      <c r="FWQ1378" s="53"/>
      <c r="FWR1378" s="53"/>
      <c r="FWS1378" s="53"/>
      <c r="FWT1378" s="53"/>
      <c r="FWU1378" s="53"/>
      <c r="FWV1378" s="53"/>
      <c r="FWW1378" s="53"/>
      <c r="FWX1378" s="53"/>
      <c r="FWY1378" s="53"/>
      <c r="FWZ1378" s="53"/>
      <c r="FXA1378" s="53"/>
      <c r="FXB1378" s="53"/>
      <c r="FXC1378" s="53"/>
      <c r="FXD1378" s="53"/>
      <c r="FXE1378" s="53"/>
      <c r="FXF1378" s="53"/>
      <c r="FXG1378" s="53"/>
      <c r="FXH1378" s="53"/>
      <c r="FXI1378" s="53"/>
      <c r="FXJ1378" s="53"/>
      <c r="FXK1378" s="53"/>
      <c r="FXL1378" s="53"/>
      <c r="FXM1378" s="53"/>
      <c r="FXN1378" s="53"/>
      <c r="FXO1378" s="53"/>
      <c r="FXP1378" s="53"/>
      <c r="FXQ1378" s="53"/>
      <c r="FXR1378" s="53"/>
      <c r="FXS1378" s="53"/>
      <c r="FXT1378" s="53"/>
      <c r="FXU1378" s="53"/>
      <c r="FXV1378" s="53"/>
      <c r="FXW1378" s="53"/>
      <c r="FXX1378" s="53"/>
      <c r="FXY1378" s="53"/>
      <c r="FXZ1378" s="53"/>
      <c r="FYA1378" s="53"/>
      <c r="FYB1378" s="53"/>
      <c r="FYC1378" s="53"/>
      <c r="FYD1378" s="53"/>
      <c r="FYE1378" s="53"/>
      <c r="FYF1378" s="53"/>
      <c r="FYG1378" s="53"/>
      <c r="FYH1378" s="53"/>
      <c r="FYI1378" s="53"/>
      <c r="FYJ1378" s="53"/>
      <c r="FYK1378" s="53"/>
      <c r="FYL1378" s="53"/>
      <c r="FYM1378" s="53"/>
      <c r="FYN1378" s="53"/>
      <c r="FYO1378" s="53"/>
      <c r="FYP1378" s="53"/>
      <c r="FYQ1378" s="53"/>
      <c r="FYR1378" s="53"/>
      <c r="FYS1378" s="53"/>
      <c r="FYT1378" s="53"/>
      <c r="FYU1378" s="53"/>
      <c r="FYV1378" s="53"/>
      <c r="FYW1378" s="53"/>
      <c r="FYX1378" s="53"/>
      <c r="FYY1378" s="53"/>
      <c r="FYZ1378" s="53"/>
      <c r="FZA1378" s="53"/>
      <c r="FZB1378" s="53"/>
      <c r="FZC1378" s="53"/>
      <c r="FZD1378" s="53"/>
      <c r="FZE1378" s="53"/>
      <c r="FZF1378" s="53"/>
      <c r="FZG1378" s="53"/>
      <c r="FZH1378" s="53"/>
      <c r="FZI1378" s="53"/>
      <c r="FZJ1378" s="53"/>
      <c r="FZK1378" s="53"/>
      <c r="FZL1378" s="53"/>
      <c r="FZM1378" s="53"/>
      <c r="FZN1378" s="53"/>
      <c r="FZO1378" s="53"/>
      <c r="FZP1378" s="53"/>
      <c r="FZQ1378" s="53"/>
      <c r="FZR1378" s="53"/>
      <c r="FZS1378" s="53"/>
      <c r="FZT1378" s="53"/>
      <c r="FZU1378" s="53"/>
      <c r="FZV1378" s="53"/>
      <c r="FZW1378" s="53"/>
      <c r="FZX1378" s="53"/>
      <c r="FZY1378" s="53"/>
      <c r="FZZ1378" s="53"/>
      <c r="GAA1378" s="53"/>
      <c r="GAB1378" s="53"/>
      <c r="GAC1378" s="53"/>
      <c r="GAD1378" s="53"/>
      <c r="GAE1378" s="53"/>
      <c r="GAF1378" s="53"/>
      <c r="GAG1378" s="53"/>
      <c r="GAH1378" s="53"/>
      <c r="GAI1378" s="53"/>
      <c r="GAJ1378" s="53"/>
      <c r="GAK1378" s="53"/>
      <c r="GAL1378" s="53"/>
      <c r="GAM1378" s="53"/>
      <c r="GAN1378" s="53"/>
      <c r="GAO1378" s="53"/>
      <c r="GAP1378" s="53"/>
      <c r="GAQ1378" s="53"/>
      <c r="GAR1378" s="53"/>
      <c r="GAS1378" s="53"/>
      <c r="GAT1378" s="53"/>
      <c r="GAU1378" s="53"/>
      <c r="GAV1378" s="53"/>
      <c r="GAW1378" s="53"/>
      <c r="GAX1378" s="53"/>
      <c r="GAY1378" s="53"/>
      <c r="GAZ1378" s="53"/>
      <c r="GBA1378" s="53"/>
      <c r="GBB1378" s="53"/>
      <c r="GBC1378" s="53"/>
      <c r="GBD1378" s="53"/>
      <c r="GBE1378" s="53"/>
      <c r="GBF1378" s="53"/>
      <c r="GBG1378" s="53"/>
      <c r="GBH1378" s="53"/>
      <c r="GBI1378" s="53"/>
      <c r="GBJ1378" s="53"/>
      <c r="GBK1378" s="53"/>
      <c r="GBL1378" s="53"/>
      <c r="GBM1378" s="53"/>
      <c r="GBN1378" s="53"/>
      <c r="GBO1378" s="53"/>
      <c r="GBP1378" s="53"/>
      <c r="GBQ1378" s="53"/>
      <c r="GBR1378" s="53"/>
      <c r="GBS1378" s="53"/>
      <c r="GBT1378" s="53"/>
      <c r="GBU1378" s="53"/>
      <c r="GBV1378" s="53"/>
      <c r="GBW1378" s="53"/>
      <c r="GBX1378" s="53"/>
      <c r="GBY1378" s="53"/>
      <c r="GBZ1378" s="53"/>
      <c r="GCA1378" s="53"/>
      <c r="GCB1378" s="53"/>
      <c r="GCC1378" s="53"/>
      <c r="GCD1378" s="53"/>
      <c r="GCE1378" s="53"/>
      <c r="GCF1378" s="53"/>
      <c r="GCG1378" s="53"/>
      <c r="GCH1378" s="53"/>
      <c r="GCI1378" s="53"/>
      <c r="GCJ1378" s="53"/>
      <c r="GCK1378" s="53"/>
      <c r="GCL1378" s="53"/>
      <c r="GCM1378" s="53"/>
      <c r="GCN1378" s="53"/>
      <c r="GCO1378" s="53"/>
      <c r="GCP1378" s="53"/>
      <c r="GCQ1378" s="53"/>
      <c r="GCR1378" s="53"/>
      <c r="GCS1378" s="53"/>
      <c r="GCT1378" s="53"/>
      <c r="GCU1378" s="53"/>
      <c r="GCV1378" s="53"/>
      <c r="GCW1378" s="53"/>
      <c r="GCX1378" s="53"/>
      <c r="GCY1378" s="53"/>
      <c r="GCZ1378" s="53"/>
      <c r="GDA1378" s="53"/>
      <c r="GDB1378" s="53"/>
      <c r="GDC1378" s="53"/>
      <c r="GDD1378" s="53"/>
      <c r="GDE1378" s="53"/>
      <c r="GDF1378" s="53"/>
      <c r="GDG1378" s="53"/>
      <c r="GDH1378" s="53"/>
      <c r="GDI1378" s="53"/>
      <c r="GDJ1378" s="53"/>
      <c r="GDK1378" s="53"/>
      <c r="GDL1378" s="53"/>
      <c r="GDM1378" s="53"/>
      <c r="GDN1378" s="53"/>
      <c r="GDO1378" s="53"/>
      <c r="GDP1378" s="53"/>
      <c r="GDQ1378" s="53"/>
      <c r="GDR1378" s="53"/>
      <c r="GDS1378" s="53"/>
      <c r="GDT1378" s="53"/>
      <c r="GDU1378" s="53"/>
      <c r="GDV1378" s="53"/>
      <c r="GDW1378" s="53"/>
      <c r="GDX1378" s="53"/>
      <c r="GDY1378" s="53"/>
      <c r="GDZ1378" s="53"/>
      <c r="GEA1378" s="53"/>
      <c r="GEB1378" s="53"/>
      <c r="GEC1378" s="53"/>
      <c r="GED1378" s="53"/>
      <c r="GEE1378" s="53"/>
      <c r="GEF1378" s="53"/>
      <c r="GEG1378" s="53"/>
      <c r="GEH1378" s="53"/>
      <c r="GEI1378" s="53"/>
      <c r="GEJ1378" s="53"/>
      <c r="GEK1378" s="53"/>
      <c r="GEL1378" s="53"/>
      <c r="GEM1378" s="53"/>
      <c r="GEN1378" s="53"/>
      <c r="GEO1378" s="53"/>
      <c r="GEP1378" s="53"/>
      <c r="GEQ1378" s="53"/>
      <c r="GER1378" s="53"/>
      <c r="GES1378" s="53"/>
      <c r="GET1378" s="53"/>
      <c r="GEU1378" s="53"/>
      <c r="GEV1378" s="53"/>
      <c r="GEW1378" s="53"/>
      <c r="GEX1378" s="53"/>
      <c r="GEY1378" s="53"/>
      <c r="GEZ1378" s="53"/>
      <c r="GFA1378" s="53"/>
      <c r="GFB1378" s="53"/>
      <c r="GFC1378" s="53"/>
      <c r="GFD1378" s="53"/>
      <c r="GFE1378" s="53"/>
      <c r="GFF1378" s="53"/>
      <c r="GFG1378" s="53"/>
      <c r="GFH1378" s="53"/>
      <c r="GFI1378" s="53"/>
      <c r="GFJ1378" s="53"/>
      <c r="GFK1378" s="53"/>
      <c r="GFL1378" s="53"/>
      <c r="GFM1378" s="53"/>
      <c r="GFN1378" s="53"/>
      <c r="GFO1378" s="53"/>
      <c r="GFP1378" s="53"/>
      <c r="GFQ1378" s="53"/>
      <c r="GFR1378" s="53"/>
      <c r="GFS1378" s="53"/>
      <c r="GFT1378" s="53"/>
      <c r="GFU1378" s="53"/>
      <c r="GFV1378" s="53"/>
      <c r="GFW1378" s="53"/>
      <c r="GFX1378" s="53"/>
      <c r="GFY1378" s="53"/>
      <c r="GFZ1378" s="53"/>
      <c r="GGA1378" s="53"/>
      <c r="GGB1378" s="53"/>
      <c r="GGC1378" s="53"/>
      <c r="GGD1378" s="53"/>
      <c r="GGE1378" s="53"/>
      <c r="GGF1378" s="53"/>
      <c r="GGG1378" s="53"/>
      <c r="GGH1378" s="53"/>
      <c r="GGI1378" s="53"/>
      <c r="GGJ1378" s="53"/>
      <c r="GGK1378" s="53"/>
      <c r="GGL1378" s="53"/>
      <c r="GGM1378" s="53"/>
      <c r="GGN1378" s="53"/>
      <c r="GGO1378" s="53"/>
      <c r="GGP1378" s="53"/>
      <c r="GGQ1378" s="53"/>
      <c r="GGR1378" s="53"/>
      <c r="GGS1378" s="53"/>
      <c r="GGT1378" s="53"/>
      <c r="GGU1378" s="53"/>
      <c r="GGV1378" s="53"/>
      <c r="GGW1378" s="53"/>
      <c r="GGX1378" s="53"/>
      <c r="GGY1378" s="53"/>
      <c r="GGZ1378" s="53"/>
      <c r="GHA1378" s="53"/>
      <c r="GHB1378" s="53"/>
      <c r="GHC1378" s="53"/>
      <c r="GHD1378" s="53"/>
      <c r="GHE1378" s="53"/>
      <c r="GHF1378" s="53"/>
      <c r="GHG1378" s="53"/>
      <c r="GHH1378" s="53"/>
      <c r="GHI1378" s="53"/>
      <c r="GHJ1378" s="53"/>
      <c r="GHK1378" s="53"/>
      <c r="GHL1378" s="53"/>
      <c r="GHM1378" s="53"/>
      <c r="GHN1378" s="53"/>
      <c r="GHO1378" s="53"/>
      <c r="GHP1378" s="53"/>
      <c r="GHQ1378" s="53"/>
      <c r="GHR1378" s="53"/>
      <c r="GHS1378" s="53"/>
      <c r="GHT1378" s="53"/>
      <c r="GHU1378" s="53"/>
      <c r="GHV1378" s="53"/>
      <c r="GHW1378" s="53"/>
      <c r="GHX1378" s="53"/>
      <c r="GHY1378" s="53"/>
      <c r="GHZ1378" s="53"/>
      <c r="GIA1378" s="53"/>
      <c r="GIB1378" s="53"/>
      <c r="GIC1378" s="53"/>
      <c r="GID1378" s="53"/>
      <c r="GIE1378" s="53"/>
      <c r="GIF1378" s="53"/>
      <c r="GIG1378" s="53"/>
      <c r="GIH1378" s="53"/>
      <c r="GII1378" s="53"/>
      <c r="GIJ1378" s="53"/>
      <c r="GIK1378" s="53"/>
      <c r="GIL1378" s="53"/>
      <c r="GIM1378" s="53"/>
      <c r="GIN1378" s="53"/>
      <c r="GIO1378" s="53"/>
      <c r="GIP1378" s="53"/>
      <c r="GIQ1378" s="53"/>
      <c r="GIR1378" s="53"/>
      <c r="GIS1378" s="53"/>
      <c r="GIT1378" s="53"/>
      <c r="GIU1378" s="53"/>
      <c r="GIV1378" s="53"/>
      <c r="GIW1378" s="53"/>
      <c r="GIX1378" s="53"/>
      <c r="GIY1378" s="53"/>
      <c r="GIZ1378" s="53"/>
      <c r="GJA1378" s="53"/>
      <c r="GJB1378" s="53"/>
      <c r="GJC1378" s="53"/>
      <c r="GJD1378" s="53"/>
      <c r="GJE1378" s="53"/>
      <c r="GJF1378" s="53"/>
      <c r="GJG1378" s="53"/>
      <c r="GJH1378" s="53"/>
      <c r="GJI1378" s="53"/>
      <c r="GJJ1378" s="53"/>
      <c r="GJK1378" s="53"/>
      <c r="GJL1378" s="53"/>
      <c r="GJM1378" s="53"/>
      <c r="GJN1378" s="53"/>
      <c r="GJO1378" s="53"/>
      <c r="GJP1378" s="53"/>
      <c r="GJQ1378" s="53"/>
      <c r="GJR1378" s="53"/>
      <c r="GJS1378" s="53"/>
      <c r="GJT1378" s="53"/>
      <c r="GJU1378" s="53"/>
      <c r="GJV1378" s="53"/>
      <c r="GJW1378" s="53"/>
      <c r="GJX1378" s="53"/>
      <c r="GJY1378" s="53"/>
      <c r="GJZ1378" s="53"/>
      <c r="GKA1378" s="53"/>
      <c r="GKB1378" s="53"/>
      <c r="GKC1378" s="53"/>
      <c r="GKD1378" s="53"/>
      <c r="GKE1378" s="53"/>
      <c r="GKF1378" s="53"/>
      <c r="GKG1378" s="53"/>
      <c r="GKH1378" s="53"/>
      <c r="GKI1378" s="53"/>
      <c r="GKJ1378" s="53"/>
      <c r="GKK1378" s="53"/>
      <c r="GKL1378" s="53"/>
      <c r="GKM1378" s="53"/>
      <c r="GKN1378" s="53"/>
      <c r="GKO1378" s="53"/>
      <c r="GKP1378" s="53"/>
      <c r="GKQ1378" s="53"/>
      <c r="GKR1378" s="53"/>
      <c r="GKS1378" s="53"/>
      <c r="GKT1378" s="53"/>
      <c r="GKU1378" s="53"/>
      <c r="GKV1378" s="53"/>
      <c r="GKW1378" s="53"/>
      <c r="GKX1378" s="53"/>
      <c r="GKY1378" s="53"/>
      <c r="GKZ1378" s="53"/>
      <c r="GLA1378" s="53"/>
      <c r="GLB1378" s="53"/>
      <c r="GLC1378" s="53"/>
      <c r="GLD1378" s="53"/>
      <c r="GLE1378" s="53"/>
      <c r="GLF1378" s="53"/>
      <c r="GLG1378" s="53"/>
      <c r="GLH1378" s="53"/>
      <c r="GLI1378" s="53"/>
      <c r="GLJ1378" s="53"/>
      <c r="GLK1378" s="53"/>
      <c r="GLL1378" s="53"/>
      <c r="GLM1378" s="53"/>
      <c r="GLN1378" s="53"/>
      <c r="GLO1378" s="53"/>
      <c r="GLP1378" s="53"/>
      <c r="GLQ1378" s="53"/>
      <c r="GLR1378" s="53"/>
      <c r="GLS1378" s="53"/>
      <c r="GLT1378" s="53"/>
      <c r="GLU1378" s="53"/>
      <c r="GLV1378" s="53"/>
      <c r="GLW1378" s="53"/>
      <c r="GLX1378" s="53"/>
      <c r="GLY1378" s="53"/>
      <c r="GLZ1378" s="53"/>
      <c r="GMA1378" s="53"/>
      <c r="GMB1378" s="53"/>
      <c r="GMC1378" s="53"/>
      <c r="GMD1378" s="53"/>
      <c r="GME1378" s="53"/>
      <c r="GMF1378" s="53"/>
      <c r="GMG1378" s="53"/>
      <c r="GMH1378" s="53"/>
      <c r="GMI1378" s="53"/>
      <c r="GMJ1378" s="53"/>
      <c r="GMK1378" s="53"/>
      <c r="GML1378" s="53"/>
      <c r="GMM1378" s="53"/>
      <c r="GMN1378" s="53"/>
      <c r="GMO1378" s="53"/>
      <c r="GMP1378" s="53"/>
      <c r="GMQ1378" s="53"/>
      <c r="GMR1378" s="53"/>
      <c r="GMS1378" s="53"/>
      <c r="GMT1378" s="53"/>
      <c r="GMU1378" s="53"/>
      <c r="GMV1378" s="53"/>
      <c r="GMW1378" s="53"/>
      <c r="GMX1378" s="53"/>
      <c r="GMY1378" s="53"/>
      <c r="GMZ1378" s="53"/>
      <c r="GNA1378" s="53"/>
      <c r="GNB1378" s="53"/>
      <c r="GNC1378" s="53"/>
      <c r="GND1378" s="53"/>
      <c r="GNE1378" s="53"/>
      <c r="GNF1378" s="53"/>
      <c r="GNG1378" s="53"/>
      <c r="GNH1378" s="53"/>
      <c r="GNI1378" s="53"/>
      <c r="GNJ1378" s="53"/>
      <c r="GNK1378" s="53"/>
      <c r="GNL1378" s="53"/>
      <c r="GNM1378" s="53"/>
      <c r="GNN1378" s="53"/>
      <c r="GNO1378" s="53"/>
      <c r="GNP1378" s="53"/>
      <c r="GNQ1378" s="53"/>
      <c r="GNR1378" s="53"/>
      <c r="GNS1378" s="53"/>
      <c r="GNT1378" s="53"/>
      <c r="GNU1378" s="53"/>
      <c r="GNV1378" s="53"/>
      <c r="GNW1378" s="53"/>
      <c r="GNX1378" s="53"/>
      <c r="GNY1378" s="53"/>
      <c r="GNZ1378" s="53"/>
      <c r="GOA1378" s="53"/>
      <c r="GOB1378" s="53"/>
      <c r="GOC1378" s="53"/>
      <c r="GOD1378" s="53"/>
      <c r="GOE1378" s="53"/>
      <c r="GOF1378" s="53"/>
      <c r="GOG1378" s="53"/>
      <c r="GOH1378" s="53"/>
      <c r="GOI1378" s="53"/>
      <c r="GOJ1378" s="53"/>
      <c r="GOK1378" s="53"/>
      <c r="GOL1378" s="53"/>
      <c r="GOM1378" s="53"/>
      <c r="GON1378" s="53"/>
      <c r="GOO1378" s="53"/>
      <c r="GOP1378" s="53"/>
      <c r="GOQ1378" s="53"/>
      <c r="GOR1378" s="53"/>
      <c r="GOS1378" s="53"/>
      <c r="GOT1378" s="53"/>
      <c r="GOU1378" s="53"/>
      <c r="GOV1378" s="53"/>
      <c r="GOW1378" s="53"/>
      <c r="GOX1378" s="53"/>
      <c r="GOY1378" s="53"/>
      <c r="GOZ1378" s="53"/>
      <c r="GPA1378" s="53"/>
      <c r="GPB1378" s="53"/>
      <c r="GPC1378" s="53"/>
      <c r="GPD1378" s="53"/>
      <c r="GPE1378" s="53"/>
      <c r="GPF1378" s="53"/>
      <c r="GPG1378" s="53"/>
      <c r="GPH1378" s="53"/>
      <c r="GPI1378" s="53"/>
      <c r="GPJ1378" s="53"/>
      <c r="GPK1378" s="53"/>
      <c r="GPL1378" s="53"/>
      <c r="GPM1378" s="53"/>
      <c r="GPN1378" s="53"/>
      <c r="GPO1378" s="53"/>
      <c r="GPP1378" s="53"/>
      <c r="GPQ1378" s="53"/>
      <c r="GPR1378" s="53"/>
      <c r="GPS1378" s="53"/>
      <c r="GPT1378" s="53"/>
      <c r="GPU1378" s="53"/>
      <c r="GPV1378" s="53"/>
      <c r="GPW1378" s="53"/>
      <c r="GPX1378" s="53"/>
      <c r="GPY1378" s="53"/>
      <c r="GPZ1378" s="53"/>
      <c r="GQA1378" s="53"/>
      <c r="GQB1378" s="53"/>
      <c r="GQC1378" s="53"/>
      <c r="GQD1378" s="53"/>
      <c r="GQE1378" s="53"/>
      <c r="GQF1378" s="53"/>
      <c r="GQG1378" s="53"/>
      <c r="GQH1378" s="53"/>
      <c r="GQI1378" s="53"/>
      <c r="GQJ1378" s="53"/>
      <c r="GQK1378" s="53"/>
      <c r="GQL1378" s="53"/>
      <c r="GQM1378" s="53"/>
      <c r="GQN1378" s="53"/>
      <c r="GQO1378" s="53"/>
      <c r="GQP1378" s="53"/>
      <c r="GQQ1378" s="53"/>
      <c r="GQR1378" s="53"/>
      <c r="GQS1378" s="53"/>
      <c r="GQT1378" s="53"/>
      <c r="GQU1378" s="53"/>
      <c r="GQV1378" s="53"/>
      <c r="GQW1378" s="53"/>
      <c r="GQX1378" s="53"/>
      <c r="GQY1378" s="53"/>
      <c r="GQZ1378" s="53"/>
      <c r="GRA1378" s="53"/>
      <c r="GRB1378" s="53"/>
      <c r="GRC1378" s="53"/>
      <c r="GRD1378" s="53"/>
      <c r="GRE1378" s="53"/>
      <c r="GRF1378" s="53"/>
      <c r="GRG1378" s="53"/>
      <c r="GRH1378" s="53"/>
      <c r="GRI1378" s="53"/>
      <c r="GRJ1378" s="53"/>
      <c r="GRK1378" s="53"/>
      <c r="GRL1378" s="53"/>
      <c r="GRM1378" s="53"/>
      <c r="GRN1378" s="53"/>
      <c r="GRO1378" s="53"/>
      <c r="GRP1378" s="53"/>
      <c r="GRQ1378" s="53"/>
      <c r="GRR1378" s="53"/>
      <c r="GRS1378" s="53"/>
      <c r="GRT1378" s="53"/>
      <c r="GRU1378" s="53"/>
      <c r="GRV1378" s="53"/>
      <c r="GRW1378" s="53"/>
      <c r="GRX1378" s="53"/>
      <c r="GRY1378" s="53"/>
      <c r="GRZ1378" s="53"/>
      <c r="GSA1378" s="53"/>
      <c r="GSB1378" s="53"/>
      <c r="GSC1378" s="53"/>
      <c r="GSD1378" s="53"/>
      <c r="GSE1378" s="53"/>
      <c r="GSF1378" s="53"/>
      <c r="GSG1378" s="53"/>
      <c r="GSH1378" s="53"/>
      <c r="GSI1378" s="53"/>
      <c r="GSJ1378" s="53"/>
      <c r="GSK1378" s="53"/>
      <c r="GSL1378" s="53"/>
      <c r="GSM1378" s="53"/>
      <c r="GSN1378" s="53"/>
      <c r="GSO1378" s="53"/>
      <c r="GSP1378" s="53"/>
      <c r="GSQ1378" s="53"/>
      <c r="GSR1378" s="53"/>
      <c r="GSS1378" s="53"/>
      <c r="GST1378" s="53"/>
      <c r="GSU1378" s="53"/>
      <c r="GSV1378" s="53"/>
      <c r="GSW1378" s="53"/>
      <c r="GSX1378" s="53"/>
      <c r="GSY1378" s="53"/>
      <c r="GSZ1378" s="53"/>
      <c r="GTA1378" s="53"/>
      <c r="GTB1378" s="53"/>
      <c r="GTC1378" s="53"/>
      <c r="GTD1378" s="53"/>
      <c r="GTE1378" s="53"/>
      <c r="GTF1378" s="53"/>
      <c r="GTG1378" s="53"/>
      <c r="GTH1378" s="53"/>
      <c r="GTI1378" s="53"/>
      <c r="GTJ1378" s="53"/>
      <c r="GTK1378" s="53"/>
      <c r="GTL1378" s="53"/>
      <c r="GTM1378" s="53"/>
      <c r="GTN1378" s="53"/>
      <c r="GTO1378" s="53"/>
      <c r="GTP1378" s="53"/>
      <c r="GTQ1378" s="53"/>
      <c r="GTR1378" s="53"/>
      <c r="GTS1378" s="53"/>
      <c r="GTT1378" s="53"/>
      <c r="GTU1378" s="53"/>
      <c r="GTV1378" s="53"/>
      <c r="GTW1378" s="53"/>
      <c r="GTX1378" s="53"/>
      <c r="GTY1378" s="53"/>
      <c r="GTZ1378" s="53"/>
      <c r="GUA1378" s="53"/>
      <c r="GUB1378" s="53"/>
      <c r="GUC1378" s="53"/>
      <c r="GUD1378" s="53"/>
      <c r="GUE1378" s="53"/>
      <c r="GUF1378" s="53"/>
      <c r="GUG1378" s="53"/>
      <c r="GUH1378" s="53"/>
      <c r="GUI1378" s="53"/>
      <c r="GUJ1378" s="53"/>
      <c r="GUK1378" s="53"/>
      <c r="GUL1378" s="53"/>
      <c r="GUM1378" s="53"/>
      <c r="GUN1378" s="53"/>
      <c r="GUO1378" s="53"/>
      <c r="GUP1378" s="53"/>
      <c r="GUQ1378" s="53"/>
      <c r="GUR1378" s="53"/>
      <c r="GUS1378" s="53"/>
      <c r="GUT1378" s="53"/>
      <c r="GUU1378" s="53"/>
      <c r="GUV1378" s="53"/>
      <c r="GUW1378" s="53"/>
      <c r="GUX1378" s="53"/>
      <c r="GUY1378" s="53"/>
      <c r="GUZ1378" s="53"/>
      <c r="GVA1378" s="53"/>
      <c r="GVB1378" s="53"/>
      <c r="GVC1378" s="53"/>
      <c r="GVD1378" s="53"/>
      <c r="GVE1378" s="53"/>
      <c r="GVF1378" s="53"/>
      <c r="GVG1378" s="53"/>
      <c r="GVH1378" s="53"/>
      <c r="GVI1378" s="53"/>
      <c r="GVJ1378" s="53"/>
      <c r="GVK1378" s="53"/>
      <c r="GVL1378" s="53"/>
      <c r="GVM1378" s="53"/>
      <c r="GVN1378" s="53"/>
      <c r="GVO1378" s="53"/>
      <c r="GVP1378" s="53"/>
      <c r="GVQ1378" s="53"/>
      <c r="GVR1378" s="53"/>
      <c r="GVS1378" s="53"/>
      <c r="GVT1378" s="53"/>
      <c r="GVU1378" s="53"/>
      <c r="GVV1378" s="53"/>
      <c r="GVW1378" s="53"/>
      <c r="GVX1378" s="53"/>
      <c r="GVY1378" s="53"/>
      <c r="GVZ1378" s="53"/>
      <c r="GWA1378" s="53"/>
      <c r="GWB1378" s="53"/>
      <c r="GWC1378" s="53"/>
      <c r="GWD1378" s="53"/>
      <c r="GWE1378" s="53"/>
      <c r="GWF1378" s="53"/>
      <c r="GWG1378" s="53"/>
      <c r="GWH1378" s="53"/>
      <c r="GWI1378" s="53"/>
      <c r="GWJ1378" s="53"/>
      <c r="GWK1378" s="53"/>
      <c r="GWL1378" s="53"/>
      <c r="GWM1378" s="53"/>
      <c r="GWN1378" s="53"/>
      <c r="GWO1378" s="53"/>
      <c r="GWP1378" s="53"/>
      <c r="GWQ1378" s="53"/>
      <c r="GWR1378" s="53"/>
      <c r="GWS1378" s="53"/>
      <c r="GWT1378" s="53"/>
      <c r="GWU1378" s="53"/>
      <c r="GWV1378" s="53"/>
      <c r="GWW1378" s="53"/>
      <c r="GWX1378" s="53"/>
      <c r="GWY1378" s="53"/>
      <c r="GWZ1378" s="53"/>
      <c r="GXA1378" s="53"/>
      <c r="GXB1378" s="53"/>
      <c r="GXC1378" s="53"/>
      <c r="GXD1378" s="53"/>
      <c r="GXE1378" s="53"/>
      <c r="GXF1378" s="53"/>
      <c r="GXG1378" s="53"/>
      <c r="GXH1378" s="53"/>
      <c r="GXI1378" s="53"/>
      <c r="GXJ1378" s="53"/>
      <c r="GXK1378" s="53"/>
      <c r="GXL1378" s="53"/>
      <c r="GXM1378" s="53"/>
      <c r="GXN1378" s="53"/>
      <c r="GXO1378" s="53"/>
      <c r="GXP1378" s="53"/>
      <c r="GXQ1378" s="53"/>
      <c r="GXR1378" s="53"/>
      <c r="GXS1378" s="53"/>
      <c r="GXT1378" s="53"/>
      <c r="GXU1378" s="53"/>
      <c r="GXV1378" s="53"/>
      <c r="GXW1378" s="53"/>
      <c r="GXX1378" s="53"/>
      <c r="GXY1378" s="53"/>
      <c r="GXZ1378" s="53"/>
      <c r="GYA1378" s="53"/>
      <c r="GYB1378" s="53"/>
      <c r="GYC1378" s="53"/>
      <c r="GYD1378" s="53"/>
      <c r="GYE1378" s="53"/>
      <c r="GYF1378" s="53"/>
      <c r="GYG1378" s="53"/>
      <c r="GYH1378" s="53"/>
      <c r="GYI1378" s="53"/>
      <c r="GYJ1378" s="53"/>
      <c r="GYK1378" s="53"/>
      <c r="GYL1378" s="53"/>
      <c r="GYM1378" s="53"/>
      <c r="GYN1378" s="53"/>
      <c r="GYO1378" s="53"/>
      <c r="GYP1378" s="53"/>
      <c r="GYQ1378" s="53"/>
      <c r="GYR1378" s="53"/>
      <c r="GYS1378" s="53"/>
      <c r="GYT1378" s="53"/>
      <c r="GYU1378" s="53"/>
      <c r="GYV1378" s="53"/>
      <c r="GYW1378" s="53"/>
      <c r="GYX1378" s="53"/>
      <c r="GYY1378" s="53"/>
      <c r="GYZ1378" s="53"/>
      <c r="GZA1378" s="53"/>
      <c r="GZB1378" s="53"/>
      <c r="GZC1378" s="53"/>
      <c r="GZD1378" s="53"/>
      <c r="GZE1378" s="53"/>
      <c r="GZF1378" s="53"/>
      <c r="GZG1378" s="53"/>
      <c r="GZH1378" s="53"/>
      <c r="GZI1378" s="53"/>
      <c r="GZJ1378" s="53"/>
      <c r="GZK1378" s="53"/>
      <c r="GZL1378" s="53"/>
      <c r="GZM1378" s="53"/>
      <c r="GZN1378" s="53"/>
      <c r="GZO1378" s="53"/>
      <c r="GZP1378" s="53"/>
      <c r="GZQ1378" s="53"/>
      <c r="GZR1378" s="53"/>
      <c r="GZS1378" s="53"/>
      <c r="GZT1378" s="53"/>
      <c r="GZU1378" s="53"/>
      <c r="GZV1378" s="53"/>
      <c r="GZW1378" s="53"/>
      <c r="GZX1378" s="53"/>
      <c r="GZY1378" s="53"/>
      <c r="GZZ1378" s="53"/>
      <c r="HAA1378" s="53"/>
      <c r="HAB1378" s="53"/>
      <c r="HAC1378" s="53"/>
      <c r="HAD1378" s="53"/>
      <c r="HAE1378" s="53"/>
      <c r="HAF1378" s="53"/>
      <c r="HAG1378" s="53"/>
      <c r="HAH1378" s="53"/>
      <c r="HAI1378" s="53"/>
      <c r="HAJ1378" s="53"/>
      <c r="HAK1378" s="53"/>
      <c r="HAL1378" s="53"/>
      <c r="HAM1378" s="53"/>
      <c r="HAN1378" s="53"/>
      <c r="HAO1378" s="53"/>
      <c r="HAP1378" s="53"/>
      <c r="HAQ1378" s="53"/>
      <c r="HAR1378" s="53"/>
      <c r="HAS1378" s="53"/>
      <c r="HAT1378" s="53"/>
      <c r="HAU1378" s="53"/>
      <c r="HAV1378" s="53"/>
      <c r="HAW1378" s="53"/>
      <c r="HAX1378" s="53"/>
      <c r="HAY1378" s="53"/>
      <c r="HAZ1378" s="53"/>
      <c r="HBA1378" s="53"/>
      <c r="HBB1378" s="53"/>
      <c r="HBC1378" s="53"/>
      <c r="HBD1378" s="53"/>
      <c r="HBE1378" s="53"/>
      <c r="HBF1378" s="53"/>
      <c r="HBG1378" s="53"/>
      <c r="HBH1378" s="53"/>
      <c r="HBI1378" s="53"/>
      <c r="HBJ1378" s="53"/>
      <c r="HBK1378" s="53"/>
      <c r="HBL1378" s="53"/>
      <c r="HBM1378" s="53"/>
      <c r="HBN1378" s="53"/>
      <c r="HBO1378" s="53"/>
      <c r="HBP1378" s="53"/>
      <c r="HBQ1378" s="53"/>
      <c r="HBR1378" s="53"/>
      <c r="HBS1378" s="53"/>
      <c r="HBT1378" s="53"/>
      <c r="HBU1378" s="53"/>
      <c r="HBV1378" s="53"/>
      <c r="HBW1378" s="53"/>
      <c r="HBX1378" s="53"/>
      <c r="HBY1378" s="53"/>
      <c r="HBZ1378" s="53"/>
      <c r="HCA1378" s="53"/>
      <c r="HCB1378" s="53"/>
      <c r="HCC1378" s="53"/>
      <c r="HCD1378" s="53"/>
      <c r="HCE1378" s="53"/>
      <c r="HCF1378" s="53"/>
      <c r="HCG1378" s="53"/>
      <c r="HCH1378" s="53"/>
      <c r="HCI1378" s="53"/>
      <c r="HCJ1378" s="53"/>
      <c r="HCK1378" s="53"/>
      <c r="HCL1378" s="53"/>
      <c r="HCM1378" s="53"/>
      <c r="HCN1378" s="53"/>
      <c r="HCO1378" s="53"/>
      <c r="HCP1378" s="53"/>
      <c r="HCQ1378" s="53"/>
      <c r="HCR1378" s="53"/>
      <c r="HCS1378" s="53"/>
      <c r="HCT1378" s="53"/>
      <c r="HCU1378" s="53"/>
      <c r="HCV1378" s="53"/>
      <c r="HCW1378" s="53"/>
      <c r="HCX1378" s="53"/>
      <c r="HCY1378" s="53"/>
      <c r="HCZ1378" s="53"/>
      <c r="HDA1378" s="53"/>
      <c r="HDB1378" s="53"/>
      <c r="HDC1378" s="53"/>
      <c r="HDD1378" s="53"/>
      <c r="HDE1378" s="53"/>
      <c r="HDF1378" s="53"/>
      <c r="HDG1378" s="53"/>
      <c r="HDH1378" s="53"/>
      <c r="HDI1378" s="53"/>
      <c r="HDJ1378" s="53"/>
      <c r="HDK1378" s="53"/>
      <c r="HDL1378" s="53"/>
      <c r="HDM1378" s="53"/>
      <c r="HDN1378" s="53"/>
      <c r="HDO1378" s="53"/>
      <c r="HDP1378" s="53"/>
      <c r="HDQ1378" s="53"/>
      <c r="HDR1378" s="53"/>
      <c r="HDS1378" s="53"/>
      <c r="HDT1378" s="53"/>
      <c r="HDU1378" s="53"/>
      <c r="HDV1378" s="53"/>
      <c r="HDW1378" s="53"/>
      <c r="HDX1378" s="53"/>
      <c r="HDY1378" s="53"/>
      <c r="HDZ1378" s="53"/>
      <c r="HEA1378" s="53"/>
      <c r="HEB1378" s="53"/>
      <c r="HEC1378" s="53"/>
      <c r="HED1378" s="53"/>
      <c r="HEE1378" s="53"/>
      <c r="HEF1378" s="53"/>
      <c r="HEG1378" s="53"/>
      <c r="HEH1378" s="53"/>
      <c r="HEI1378" s="53"/>
      <c r="HEJ1378" s="53"/>
      <c r="HEK1378" s="53"/>
      <c r="HEL1378" s="53"/>
      <c r="HEM1378" s="53"/>
      <c r="HEN1378" s="53"/>
      <c r="HEO1378" s="53"/>
      <c r="HEP1378" s="53"/>
      <c r="HEQ1378" s="53"/>
      <c r="HER1378" s="53"/>
      <c r="HES1378" s="53"/>
      <c r="HET1378" s="53"/>
      <c r="HEU1378" s="53"/>
      <c r="HEV1378" s="53"/>
      <c r="HEW1378" s="53"/>
      <c r="HEX1378" s="53"/>
      <c r="HEY1378" s="53"/>
      <c r="HEZ1378" s="53"/>
      <c r="HFA1378" s="53"/>
      <c r="HFB1378" s="53"/>
      <c r="HFC1378" s="53"/>
      <c r="HFD1378" s="53"/>
      <c r="HFE1378" s="53"/>
      <c r="HFF1378" s="53"/>
      <c r="HFG1378" s="53"/>
      <c r="HFH1378" s="53"/>
      <c r="HFI1378" s="53"/>
      <c r="HFJ1378" s="53"/>
      <c r="HFK1378" s="53"/>
      <c r="HFL1378" s="53"/>
      <c r="HFM1378" s="53"/>
      <c r="HFN1378" s="53"/>
      <c r="HFO1378" s="53"/>
      <c r="HFP1378" s="53"/>
      <c r="HFQ1378" s="53"/>
      <c r="HFR1378" s="53"/>
      <c r="HFS1378" s="53"/>
      <c r="HFT1378" s="53"/>
      <c r="HFU1378" s="53"/>
      <c r="HFV1378" s="53"/>
      <c r="HFW1378" s="53"/>
      <c r="HFX1378" s="53"/>
      <c r="HFY1378" s="53"/>
      <c r="HFZ1378" s="53"/>
      <c r="HGA1378" s="53"/>
      <c r="HGB1378" s="53"/>
      <c r="HGC1378" s="53"/>
      <c r="HGD1378" s="53"/>
      <c r="HGE1378" s="53"/>
      <c r="HGF1378" s="53"/>
      <c r="HGG1378" s="53"/>
      <c r="HGH1378" s="53"/>
      <c r="HGI1378" s="53"/>
      <c r="HGJ1378" s="53"/>
      <c r="HGK1378" s="53"/>
      <c r="HGL1378" s="53"/>
      <c r="HGM1378" s="53"/>
      <c r="HGN1378" s="53"/>
      <c r="HGO1378" s="53"/>
      <c r="HGP1378" s="53"/>
      <c r="HGQ1378" s="53"/>
      <c r="HGR1378" s="53"/>
      <c r="HGS1378" s="53"/>
      <c r="HGT1378" s="53"/>
      <c r="HGU1378" s="53"/>
      <c r="HGV1378" s="53"/>
      <c r="HGW1378" s="53"/>
      <c r="HGX1378" s="53"/>
      <c r="HGY1378" s="53"/>
      <c r="HGZ1378" s="53"/>
      <c r="HHA1378" s="53"/>
      <c r="HHB1378" s="53"/>
      <c r="HHC1378" s="53"/>
      <c r="HHD1378" s="53"/>
      <c r="HHE1378" s="53"/>
      <c r="HHF1378" s="53"/>
      <c r="HHG1378" s="53"/>
      <c r="HHH1378" s="53"/>
      <c r="HHI1378" s="53"/>
      <c r="HHJ1378" s="53"/>
      <c r="HHK1378" s="53"/>
      <c r="HHL1378" s="53"/>
      <c r="HHM1378" s="53"/>
      <c r="HHN1378" s="53"/>
      <c r="HHO1378" s="53"/>
      <c r="HHP1378" s="53"/>
      <c r="HHQ1378" s="53"/>
      <c r="HHR1378" s="53"/>
      <c r="HHS1378" s="53"/>
      <c r="HHT1378" s="53"/>
      <c r="HHU1378" s="53"/>
      <c r="HHV1378" s="53"/>
      <c r="HHW1378" s="53"/>
      <c r="HHX1378" s="53"/>
      <c r="HHY1378" s="53"/>
      <c r="HHZ1378" s="53"/>
      <c r="HIA1378" s="53"/>
      <c r="HIB1378" s="53"/>
      <c r="HIC1378" s="53"/>
      <c r="HID1378" s="53"/>
      <c r="HIE1378" s="53"/>
      <c r="HIF1378" s="53"/>
      <c r="HIG1378" s="53"/>
      <c r="HIH1378" s="53"/>
      <c r="HII1378" s="53"/>
      <c r="HIJ1378" s="53"/>
      <c r="HIK1378" s="53"/>
      <c r="HIL1378" s="53"/>
      <c r="HIM1378" s="53"/>
      <c r="HIN1378" s="53"/>
      <c r="HIO1378" s="53"/>
      <c r="HIP1378" s="53"/>
      <c r="HIQ1378" s="53"/>
      <c r="HIR1378" s="53"/>
      <c r="HIS1378" s="53"/>
      <c r="HIT1378" s="53"/>
      <c r="HIU1378" s="53"/>
      <c r="HIV1378" s="53"/>
      <c r="HIW1378" s="53"/>
      <c r="HIX1378" s="53"/>
      <c r="HIY1378" s="53"/>
      <c r="HIZ1378" s="53"/>
      <c r="HJA1378" s="53"/>
      <c r="HJB1378" s="53"/>
      <c r="HJC1378" s="53"/>
      <c r="HJD1378" s="53"/>
      <c r="HJE1378" s="53"/>
      <c r="HJF1378" s="53"/>
      <c r="HJG1378" s="53"/>
      <c r="HJH1378" s="53"/>
      <c r="HJI1378" s="53"/>
      <c r="HJJ1378" s="53"/>
      <c r="HJK1378" s="53"/>
      <c r="HJL1378" s="53"/>
      <c r="HJM1378" s="53"/>
      <c r="HJN1378" s="53"/>
      <c r="HJO1378" s="53"/>
      <c r="HJP1378" s="53"/>
      <c r="HJQ1378" s="53"/>
      <c r="HJR1378" s="53"/>
      <c r="HJS1378" s="53"/>
      <c r="HJT1378" s="53"/>
      <c r="HJU1378" s="53"/>
      <c r="HJV1378" s="53"/>
      <c r="HJW1378" s="53"/>
      <c r="HJX1378" s="53"/>
      <c r="HJY1378" s="53"/>
      <c r="HJZ1378" s="53"/>
      <c r="HKA1378" s="53"/>
      <c r="HKB1378" s="53"/>
      <c r="HKC1378" s="53"/>
      <c r="HKD1378" s="53"/>
      <c r="HKE1378" s="53"/>
      <c r="HKF1378" s="53"/>
      <c r="HKG1378" s="53"/>
      <c r="HKH1378" s="53"/>
      <c r="HKI1378" s="53"/>
      <c r="HKJ1378" s="53"/>
      <c r="HKK1378" s="53"/>
      <c r="HKL1378" s="53"/>
      <c r="HKM1378" s="53"/>
      <c r="HKN1378" s="53"/>
      <c r="HKO1378" s="53"/>
      <c r="HKP1378" s="53"/>
      <c r="HKQ1378" s="53"/>
      <c r="HKR1378" s="53"/>
      <c r="HKS1378" s="53"/>
      <c r="HKT1378" s="53"/>
      <c r="HKU1378" s="53"/>
      <c r="HKV1378" s="53"/>
      <c r="HKW1378" s="53"/>
      <c r="HKX1378" s="53"/>
      <c r="HKY1378" s="53"/>
      <c r="HKZ1378" s="53"/>
      <c r="HLA1378" s="53"/>
      <c r="HLB1378" s="53"/>
      <c r="HLC1378" s="53"/>
      <c r="HLD1378" s="53"/>
      <c r="HLE1378" s="53"/>
      <c r="HLF1378" s="53"/>
      <c r="HLG1378" s="53"/>
      <c r="HLH1378" s="53"/>
      <c r="HLI1378" s="53"/>
      <c r="HLJ1378" s="53"/>
      <c r="HLK1378" s="53"/>
      <c r="HLL1378" s="53"/>
      <c r="HLM1378" s="53"/>
      <c r="HLN1378" s="53"/>
      <c r="HLO1378" s="53"/>
      <c r="HLP1378" s="53"/>
      <c r="HLQ1378" s="53"/>
      <c r="HLR1378" s="53"/>
      <c r="HLS1378" s="53"/>
      <c r="HLT1378" s="53"/>
      <c r="HLU1378" s="53"/>
      <c r="HLV1378" s="53"/>
      <c r="HLW1378" s="53"/>
      <c r="HLX1378" s="53"/>
      <c r="HLY1378" s="53"/>
      <c r="HLZ1378" s="53"/>
      <c r="HMA1378" s="53"/>
      <c r="HMB1378" s="53"/>
      <c r="HMC1378" s="53"/>
      <c r="HMD1378" s="53"/>
      <c r="HME1378" s="53"/>
      <c r="HMF1378" s="53"/>
      <c r="HMG1378" s="53"/>
      <c r="HMH1378" s="53"/>
      <c r="HMI1378" s="53"/>
      <c r="HMJ1378" s="53"/>
      <c r="HMK1378" s="53"/>
      <c r="HML1378" s="53"/>
      <c r="HMM1378" s="53"/>
      <c r="HMN1378" s="53"/>
      <c r="HMO1378" s="53"/>
      <c r="HMP1378" s="53"/>
      <c r="HMQ1378" s="53"/>
      <c r="HMR1378" s="53"/>
      <c r="HMS1378" s="53"/>
      <c r="HMT1378" s="53"/>
      <c r="HMU1378" s="53"/>
      <c r="HMV1378" s="53"/>
      <c r="HMW1378" s="53"/>
      <c r="HMX1378" s="53"/>
      <c r="HMY1378" s="53"/>
      <c r="HMZ1378" s="53"/>
      <c r="HNA1378" s="53"/>
      <c r="HNB1378" s="53"/>
      <c r="HNC1378" s="53"/>
      <c r="HND1378" s="53"/>
      <c r="HNE1378" s="53"/>
      <c r="HNF1378" s="53"/>
      <c r="HNG1378" s="53"/>
      <c r="HNH1378" s="53"/>
      <c r="HNI1378" s="53"/>
      <c r="HNJ1378" s="53"/>
      <c r="HNK1378" s="53"/>
      <c r="HNL1378" s="53"/>
      <c r="HNM1378" s="53"/>
      <c r="HNN1378" s="53"/>
      <c r="HNO1378" s="53"/>
      <c r="HNP1378" s="53"/>
      <c r="HNQ1378" s="53"/>
      <c r="HNR1378" s="53"/>
      <c r="HNS1378" s="53"/>
      <c r="HNT1378" s="53"/>
      <c r="HNU1378" s="53"/>
      <c r="HNV1378" s="53"/>
      <c r="HNW1378" s="53"/>
      <c r="HNX1378" s="53"/>
      <c r="HNY1378" s="53"/>
      <c r="HNZ1378" s="53"/>
      <c r="HOA1378" s="53"/>
      <c r="HOB1378" s="53"/>
      <c r="HOC1378" s="53"/>
      <c r="HOD1378" s="53"/>
      <c r="HOE1378" s="53"/>
      <c r="HOF1378" s="53"/>
      <c r="HOG1378" s="53"/>
      <c r="HOH1378" s="53"/>
      <c r="HOI1378" s="53"/>
      <c r="HOJ1378" s="53"/>
      <c r="HOK1378" s="53"/>
      <c r="HOL1378" s="53"/>
      <c r="HOM1378" s="53"/>
      <c r="HON1378" s="53"/>
      <c r="HOO1378" s="53"/>
      <c r="HOP1378" s="53"/>
      <c r="HOQ1378" s="53"/>
      <c r="HOR1378" s="53"/>
      <c r="HOS1378" s="53"/>
      <c r="HOT1378" s="53"/>
      <c r="HOU1378" s="53"/>
      <c r="HOV1378" s="53"/>
      <c r="HOW1378" s="53"/>
      <c r="HOX1378" s="53"/>
      <c r="HOY1378" s="53"/>
      <c r="HOZ1378" s="53"/>
      <c r="HPA1378" s="53"/>
      <c r="HPB1378" s="53"/>
      <c r="HPC1378" s="53"/>
      <c r="HPD1378" s="53"/>
      <c r="HPE1378" s="53"/>
      <c r="HPF1378" s="53"/>
      <c r="HPG1378" s="53"/>
      <c r="HPH1378" s="53"/>
      <c r="HPI1378" s="53"/>
      <c r="HPJ1378" s="53"/>
      <c r="HPK1378" s="53"/>
      <c r="HPL1378" s="53"/>
      <c r="HPM1378" s="53"/>
      <c r="HPN1378" s="53"/>
      <c r="HPO1378" s="53"/>
      <c r="HPP1378" s="53"/>
      <c r="HPQ1378" s="53"/>
      <c r="HPR1378" s="53"/>
      <c r="HPS1378" s="53"/>
      <c r="HPT1378" s="53"/>
      <c r="HPU1378" s="53"/>
      <c r="HPV1378" s="53"/>
      <c r="HPW1378" s="53"/>
      <c r="HPX1378" s="53"/>
      <c r="HPY1378" s="53"/>
      <c r="HPZ1378" s="53"/>
      <c r="HQA1378" s="53"/>
      <c r="HQB1378" s="53"/>
      <c r="HQC1378" s="53"/>
      <c r="HQD1378" s="53"/>
      <c r="HQE1378" s="53"/>
      <c r="HQF1378" s="53"/>
      <c r="HQG1378" s="53"/>
      <c r="HQH1378" s="53"/>
      <c r="HQI1378" s="53"/>
      <c r="HQJ1378" s="53"/>
      <c r="HQK1378" s="53"/>
      <c r="HQL1378" s="53"/>
      <c r="HQM1378" s="53"/>
      <c r="HQN1378" s="53"/>
      <c r="HQO1378" s="53"/>
      <c r="HQP1378" s="53"/>
      <c r="HQQ1378" s="53"/>
      <c r="HQR1378" s="53"/>
      <c r="HQS1378" s="53"/>
      <c r="HQT1378" s="53"/>
      <c r="HQU1378" s="53"/>
      <c r="HQV1378" s="53"/>
      <c r="HQW1378" s="53"/>
      <c r="HQX1378" s="53"/>
      <c r="HQY1378" s="53"/>
      <c r="HQZ1378" s="53"/>
      <c r="HRA1378" s="53"/>
      <c r="HRB1378" s="53"/>
      <c r="HRC1378" s="53"/>
      <c r="HRD1378" s="53"/>
      <c r="HRE1378" s="53"/>
      <c r="HRF1378" s="53"/>
      <c r="HRG1378" s="53"/>
      <c r="HRH1378" s="53"/>
      <c r="HRI1378" s="53"/>
      <c r="HRJ1378" s="53"/>
      <c r="HRK1378" s="53"/>
      <c r="HRL1378" s="53"/>
      <c r="HRM1378" s="53"/>
      <c r="HRN1378" s="53"/>
      <c r="HRO1378" s="53"/>
      <c r="HRP1378" s="53"/>
      <c r="HRQ1378" s="53"/>
      <c r="HRR1378" s="53"/>
      <c r="HRS1378" s="53"/>
      <c r="HRT1378" s="53"/>
      <c r="HRU1378" s="53"/>
      <c r="HRV1378" s="53"/>
      <c r="HRW1378" s="53"/>
      <c r="HRX1378" s="53"/>
      <c r="HRY1378" s="53"/>
      <c r="HRZ1378" s="53"/>
      <c r="HSA1378" s="53"/>
      <c r="HSB1378" s="53"/>
      <c r="HSC1378" s="53"/>
      <c r="HSD1378" s="53"/>
      <c r="HSE1378" s="53"/>
      <c r="HSF1378" s="53"/>
      <c r="HSG1378" s="53"/>
      <c r="HSH1378" s="53"/>
      <c r="HSI1378" s="53"/>
      <c r="HSJ1378" s="53"/>
      <c r="HSK1378" s="53"/>
      <c r="HSL1378" s="53"/>
      <c r="HSM1378" s="53"/>
      <c r="HSN1378" s="53"/>
      <c r="HSO1378" s="53"/>
      <c r="HSP1378" s="53"/>
      <c r="HSQ1378" s="53"/>
      <c r="HSR1378" s="53"/>
      <c r="HSS1378" s="53"/>
      <c r="HST1378" s="53"/>
      <c r="HSU1378" s="53"/>
      <c r="HSV1378" s="53"/>
      <c r="HSW1378" s="53"/>
      <c r="HSX1378" s="53"/>
      <c r="HSY1378" s="53"/>
      <c r="HSZ1378" s="53"/>
      <c r="HTA1378" s="53"/>
      <c r="HTB1378" s="53"/>
      <c r="HTC1378" s="53"/>
      <c r="HTD1378" s="53"/>
      <c r="HTE1378" s="53"/>
      <c r="HTF1378" s="53"/>
      <c r="HTG1378" s="53"/>
      <c r="HTH1378" s="53"/>
      <c r="HTI1378" s="53"/>
      <c r="HTJ1378" s="53"/>
      <c r="HTK1378" s="53"/>
      <c r="HTL1378" s="53"/>
      <c r="HTM1378" s="53"/>
      <c r="HTN1378" s="53"/>
      <c r="HTO1378" s="53"/>
      <c r="HTP1378" s="53"/>
      <c r="HTQ1378" s="53"/>
      <c r="HTR1378" s="53"/>
      <c r="HTS1378" s="53"/>
      <c r="HTT1378" s="53"/>
      <c r="HTU1378" s="53"/>
      <c r="HTV1378" s="53"/>
      <c r="HTW1378" s="53"/>
      <c r="HTX1378" s="53"/>
      <c r="HTY1378" s="53"/>
      <c r="HTZ1378" s="53"/>
      <c r="HUA1378" s="53"/>
      <c r="HUB1378" s="53"/>
      <c r="HUC1378" s="53"/>
      <c r="HUD1378" s="53"/>
      <c r="HUE1378" s="53"/>
      <c r="HUF1378" s="53"/>
      <c r="HUG1378" s="53"/>
      <c r="HUH1378" s="53"/>
      <c r="HUI1378" s="53"/>
      <c r="HUJ1378" s="53"/>
      <c r="HUK1378" s="53"/>
      <c r="HUL1378" s="53"/>
      <c r="HUM1378" s="53"/>
      <c r="HUN1378" s="53"/>
      <c r="HUO1378" s="53"/>
      <c r="HUP1378" s="53"/>
      <c r="HUQ1378" s="53"/>
      <c r="HUR1378" s="53"/>
      <c r="HUS1378" s="53"/>
      <c r="HUT1378" s="53"/>
      <c r="HUU1378" s="53"/>
      <c r="HUV1378" s="53"/>
      <c r="HUW1378" s="53"/>
      <c r="HUX1378" s="53"/>
      <c r="HUY1378" s="53"/>
      <c r="HUZ1378" s="53"/>
      <c r="HVA1378" s="53"/>
      <c r="HVB1378" s="53"/>
      <c r="HVC1378" s="53"/>
      <c r="HVD1378" s="53"/>
      <c r="HVE1378" s="53"/>
      <c r="HVF1378" s="53"/>
      <c r="HVG1378" s="53"/>
      <c r="HVH1378" s="53"/>
      <c r="HVI1378" s="53"/>
      <c r="HVJ1378" s="53"/>
      <c r="HVK1378" s="53"/>
      <c r="HVL1378" s="53"/>
      <c r="HVM1378" s="53"/>
      <c r="HVN1378" s="53"/>
      <c r="HVO1378" s="53"/>
      <c r="HVP1378" s="53"/>
      <c r="HVQ1378" s="53"/>
      <c r="HVR1378" s="53"/>
      <c r="HVS1378" s="53"/>
      <c r="HVT1378" s="53"/>
      <c r="HVU1378" s="53"/>
      <c r="HVV1378" s="53"/>
      <c r="HVW1378" s="53"/>
      <c r="HVX1378" s="53"/>
      <c r="HVY1378" s="53"/>
      <c r="HVZ1378" s="53"/>
      <c r="HWA1378" s="53"/>
      <c r="HWB1378" s="53"/>
      <c r="HWC1378" s="53"/>
      <c r="HWD1378" s="53"/>
      <c r="HWE1378" s="53"/>
      <c r="HWF1378" s="53"/>
      <c r="HWG1378" s="53"/>
      <c r="HWH1378" s="53"/>
      <c r="HWI1378" s="53"/>
      <c r="HWJ1378" s="53"/>
      <c r="HWK1378" s="53"/>
      <c r="HWL1378" s="53"/>
      <c r="HWM1378" s="53"/>
      <c r="HWN1378" s="53"/>
      <c r="HWO1378" s="53"/>
      <c r="HWP1378" s="53"/>
      <c r="HWQ1378" s="53"/>
      <c r="HWR1378" s="53"/>
      <c r="HWS1378" s="53"/>
      <c r="HWT1378" s="53"/>
      <c r="HWU1378" s="53"/>
      <c r="HWV1378" s="53"/>
      <c r="HWW1378" s="53"/>
      <c r="HWX1378" s="53"/>
      <c r="HWY1378" s="53"/>
      <c r="HWZ1378" s="53"/>
      <c r="HXA1378" s="53"/>
      <c r="HXB1378" s="53"/>
      <c r="HXC1378" s="53"/>
      <c r="HXD1378" s="53"/>
      <c r="HXE1378" s="53"/>
      <c r="HXF1378" s="53"/>
      <c r="HXG1378" s="53"/>
      <c r="HXH1378" s="53"/>
      <c r="HXI1378" s="53"/>
      <c r="HXJ1378" s="53"/>
      <c r="HXK1378" s="53"/>
      <c r="HXL1378" s="53"/>
      <c r="HXM1378" s="53"/>
      <c r="HXN1378" s="53"/>
      <c r="HXO1378" s="53"/>
      <c r="HXP1378" s="53"/>
      <c r="HXQ1378" s="53"/>
      <c r="HXR1378" s="53"/>
      <c r="HXS1378" s="53"/>
      <c r="HXT1378" s="53"/>
      <c r="HXU1378" s="53"/>
      <c r="HXV1378" s="53"/>
      <c r="HXW1378" s="53"/>
      <c r="HXX1378" s="53"/>
      <c r="HXY1378" s="53"/>
      <c r="HXZ1378" s="53"/>
      <c r="HYA1378" s="53"/>
      <c r="HYB1378" s="53"/>
      <c r="HYC1378" s="53"/>
      <c r="HYD1378" s="53"/>
      <c r="HYE1378" s="53"/>
      <c r="HYF1378" s="53"/>
      <c r="HYG1378" s="53"/>
      <c r="HYH1378" s="53"/>
      <c r="HYI1378" s="53"/>
      <c r="HYJ1378" s="53"/>
      <c r="HYK1378" s="53"/>
      <c r="HYL1378" s="53"/>
      <c r="HYM1378" s="53"/>
      <c r="HYN1378" s="53"/>
      <c r="HYO1378" s="53"/>
      <c r="HYP1378" s="53"/>
      <c r="HYQ1378" s="53"/>
      <c r="HYR1378" s="53"/>
      <c r="HYS1378" s="53"/>
      <c r="HYT1378" s="53"/>
      <c r="HYU1378" s="53"/>
      <c r="HYV1378" s="53"/>
      <c r="HYW1378" s="53"/>
      <c r="HYX1378" s="53"/>
      <c r="HYY1378" s="53"/>
      <c r="HYZ1378" s="53"/>
      <c r="HZA1378" s="53"/>
      <c r="HZB1378" s="53"/>
      <c r="HZC1378" s="53"/>
      <c r="HZD1378" s="53"/>
      <c r="HZE1378" s="53"/>
      <c r="HZF1378" s="53"/>
      <c r="HZG1378" s="53"/>
      <c r="HZH1378" s="53"/>
      <c r="HZI1378" s="53"/>
      <c r="HZJ1378" s="53"/>
      <c r="HZK1378" s="53"/>
      <c r="HZL1378" s="53"/>
      <c r="HZM1378" s="53"/>
      <c r="HZN1378" s="53"/>
      <c r="HZO1378" s="53"/>
      <c r="HZP1378" s="53"/>
      <c r="HZQ1378" s="53"/>
      <c r="HZR1378" s="53"/>
      <c r="HZS1378" s="53"/>
      <c r="HZT1378" s="53"/>
      <c r="HZU1378" s="53"/>
      <c r="HZV1378" s="53"/>
      <c r="HZW1378" s="53"/>
      <c r="HZX1378" s="53"/>
      <c r="HZY1378" s="53"/>
      <c r="HZZ1378" s="53"/>
      <c r="IAA1378" s="53"/>
      <c r="IAB1378" s="53"/>
      <c r="IAC1378" s="53"/>
      <c r="IAD1378" s="53"/>
      <c r="IAE1378" s="53"/>
      <c r="IAF1378" s="53"/>
      <c r="IAG1378" s="53"/>
      <c r="IAH1378" s="53"/>
      <c r="IAI1378" s="53"/>
      <c r="IAJ1378" s="53"/>
      <c r="IAK1378" s="53"/>
      <c r="IAL1378" s="53"/>
      <c r="IAM1378" s="53"/>
      <c r="IAN1378" s="53"/>
      <c r="IAO1378" s="53"/>
      <c r="IAP1378" s="53"/>
      <c r="IAQ1378" s="53"/>
      <c r="IAR1378" s="53"/>
      <c r="IAS1378" s="53"/>
      <c r="IAT1378" s="53"/>
      <c r="IAU1378" s="53"/>
      <c r="IAV1378" s="53"/>
      <c r="IAW1378" s="53"/>
      <c r="IAX1378" s="53"/>
      <c r="IAY1378" s="53"/>
      <c r="IAZ1378" s="53"/>
      <c r="IBA1378" s="53"/>
      <c r="IBB1378" s="53"/>
      <c r="IBC1378" s="53"/>
      <c r="IBD1378" s="53"/>
      <c r="IBE1378" s="53"/>
      <c r="IBF1378" s="53"/>
      <c r="IBG1378" s="53"/>
      <c r="IBH1378" s="53"/>
      <c r="IBI1378" s="53"/>
      <c r="IBJ1378" s="53"/>
      <c r="IBK1378" s="53"/>
      <c r="IBL1378" s="53"/>
      <c r="IBM1378" s="53"/>
      <c r="IBN1378" s="53"/>
      <c r="IBO1378" s="53"/>
      <c r="IBP1378" s="53"/>
      <c r="IBQ1378" s="53"/>
      <c r="IBR1378" s="53"/>
      <c r="IBS1378" s="53"/>
      <c r="IBT1378" s="53"/>
      <c r="IBU1378" s="53"/>
      <c r="IBV1378" s="53"/>
      <c r="IBW1378" s="53"/>
      <c r="IBX1378" s="53"/>
      <c r="IBY1378" s="53"/>
      <c r="IBZ1378" s="53"/>
      <c r="ICA1378" s="53"/>
      <c r="ICB1378" s="53"/>
      <c r="ICC1378" s="53"/>
      <c r="ICD1378" s="53"/>
      <c r="ICE1378" s="53"/>
      <c r="ICF1378" s="53"/>
      <c r="ICG1378" s="53"/>
      <c r="ICH1378" s="53"/>
      <c r="ICI1378" s="53"/>
      <c r="ICJ1378" s="53"/>
      <c r="ICK1378" s="53"/>
      <c r="ICL1378" s="53"/>
      <c r="ICM1378" s="53"/>
      <c r="ICN1378" s="53"/>
      <c r="ICO1378" s="53"/>
      <c r="ICP1378" s="53"/>
      <c r="ICQ1378" s="53"/>
      <c r="ICR1378" s="53"/>
      <c r="ICS1378" s="53"/>
      <c r="ICT1378" s="53"/>
      <c r="ICU1378" s="53"/>
      <c r="ICV1378" s="53"/>
      <c r="ICW1378" s="53"/>
      <c r="ICX1378" s="53"/>
      <c r="ICY1378" s="53"/>
      <c r="ICZ1378" s="53"/>
      <c r="IDA1378" s="53"/>
      <c r="IDB1378" s="53"/>
      <c r="IDC1378" s="53"/>
      <c r="IDD1378" s="53"/>
      <c r="IDE1378" s="53"/>
      <c r="IDF1378" s="53"/>
      <c r="IDG1378" s="53"/>
      <c r="IDH1378" s="53"/>
      <c r="IDI1378" s="53"/>
      <c r="IDJ1378" s="53"/>
      <c r="IDK1378" s="53"/>
      <c r="IDL1378" s="53"/>
      <c r="IDM1378" s="53"/>
      <c r="IDN1378" s="53"/>
      <c r="IDO1378" s="53"/>
      <c r="IDP1378" s="53"/>
      <c r="IDQ1378" s="53"/>
      <c r="IDR1378" s="53"/>
      <c r="IDS1378" s="53"/>
      <c r="IDT1378" s="53"/>
      <c r="IDU1378" s="53"/>
      <c r="IDV1378" s="53"/>
      <c r="IDW1378" s="53"/>
      <c r="IDX1378" s="53"/>
      <c r="IDY1378" s="53"/>
      <c r="IDZ1378" s="53"/>
      <c r="IEA1378" s="53"/>
      <c r="IEB1378" s="53"/>
      <c r="IEC1378" s="53"/>
      <c r="IED1378" s="53"/>
      <c r="IEE1378" s="53"/>
      <c r="IEF1378" s="53"/>
      <c r="IEG1378" s="53"/>
      <c r="IEH1378" s="53"/>
      <c r="IEI1378" s="53"/>
      <c r="IEJ1378" s="53"/>
      <c r="IEK1378" s="53"/>
      <c r="IEL1378" s="53"/>
      <c r="IEM1378" s="53"/>
      <c r="IEN1378" s="53"/>
      <c r="IEO1378" s="53"/>
      <c r="IEP1378" s="53"/>
      <c r="IEQ1378" s="53"/>
      <c r="IER1378" s="53"/>
      <c r="IES1378" s="53"/>
      <c r="IET1378" s="53"/>
      <c r="IEU1378" s="53"/>
      <c r="IEV1378" s="53"/>
      <c r="IEW1378" s="53"/>
      <c r="IEX1378" s="53"/>
      <c r="IEY1378" s="53"/>
      <c r="IEZ1378" s="53"/>
      <c r="IFA1378" s="53"/>
      <c r="IFB1378" s="53"/>
      <c r="IFC1378" s="53"/>
      <c r="IFD1378" s="53"/>
      <c r="IFE1378" s="53"/>
      <c r="IFF1378" s="53"/>
      <c r="IFG1378" s="53"/>
      <c r="IFH1378" s="53"/>
      <c r="IFI1378" s="53"/>
      <c r="IFJ1378" s="53"/>
      <c r="IFK1378" s="53"/>
      <c r="IFL1378" s="53"/>
      <c r="IFM1378" s="53"/>
      <c r="IFN1378" s="53"/>
      <c r="IFO1378" s="53"/>
      <c r="IFP1378" s="53"/>
      <c r="IFQ1378" s="53"/>
      <c r="IFR1378" s="53"/>
      <c r="IFS1378" s="53"/>
      <c r="IFT1378" s="53"/>
      <c r="IFU1378" s="53"/>
      <c r="IFV1378" s="53"/>
      <c r="IFW1378" s="53"/>
      <c r="IFX1378" s="53"/>
      <c r="IFY1378" s="53"/>
      <c r="IFZ1378" s="53"/>
      <c r="IGA1378" s="53"/>
      <c r="IGB1378" s="53"/>
      <c r="IGC1378" s="53"/>
      <c r="IGD1378" s="53"/>
      <c r="IGE1378" s="53"/>
      <c r="IGF1378" s="53"/>
      <c r="IGG1378" s="53"/>
      <c r="IGH1378" s="53"/>
      <c r="IGI1378" s="53"/>
      <c r="IGJ1378" s="53"/>
      <c r="IGK1378" s="53"/>
      <c r="IGL1378" s="53"/>
      <c r="IGM1378" s="53"/>
      <c r="IGN1378" s="53"/>
      <c r="IGO1378" s="53"/>
      <c r="IGP1378" s="53"/>
      <c r="IGQ1378" s="53"/>
      <c r="IGR1378" s="53"/>
      <c r="IGS1378" s="53"/>
      <c r="IGT1378" s="53"/>
      <c r="IGU1378" s="53"/>
      <c r="IGV1378" s="53"/>
      <c r="IGW1378" s="53"/>
      <c r="IGX1378" s="53"/>
      <c r="IGY1378" s="53"/>
      <c r="IGZ1378" s="53"/>
      <c r="IHA1378" s="53"/>
      <c r="IHB1378" s="53"/>
      <c r="IHC1378" s="53"/>
      <c r="IHD1378" s="53"/>
      <c r="IHE1378" s="53"/>
      <c r="IHF1378" s="53"/>
      <c r="IHG1378" s="53"/>
      <c r="IHH1378" s="53"/>
      <c r="IHI1378" s="53"/>
      <c r="IHJ1378" s="53"/>
      <c r="IHK1378" s="53"/>
      <c r="IHL1378" s="53"/>
      <c r="IHM1378" s="53"/>
      <c r="IHN1378" s="53"/>
      <c r="IHO1378" s="53"/>
      <c r="IHP1378" s="53"/>
      <c r="IHQ1378" s="53"/>
      <c r="IHR1378" s="53"/>
      <c r="IHS1378" s="53"/>
      <c r="IHT1378" s="53"/>
      <c r="IHU1378" s="53"/>
      <c r="IHV1378" s="53"/>
      <c r="IHW1378" s="53"/>
      <c r="IHX1378" s="53"/>
      <c r="IHY1378" s="53"/>
      <c r="IHZ1378" s="53"/>
      <c r="IIA1378" s="53"/>
      <c r="IIB1378" s="53"/>
      <c r="IIC1378" s="53"/>
      <c r="IID1378" s="53"/>
      <c r="IIE1378" s="53"/>
      <c r="IIF1378" s="53"/>
      <c r="IIG1378" s="53"/>
      <c r="IIH1378" s="53"/>
      <c r="III1378" s="53"/>
      <c r="IIJ1378" s="53"/>
      <c r="IIK1378" s="53"/>
      <c r="IIL1378" s="53"/>
      <c r="IIM1378" s="53"/>
      <c r="IIN1378" s="53"/>
      <c r="IIO1378" s="53"/>
      <c r="IIP1378" s="53"/>
      <c r="IIQ1378" s="53"/>
      <c r="IIR1378" s="53"/>
      <c r="IIS1378" s="53"/>
      <c r="IIT1378" s="53"/>
      <c r="IIU1378" s="53"/>
      <c r="IIV1378" s="53"/>
      <c r="IIW1378" s="53"/>
      <c r="IIX1378" s="53"/>
      <c r="IIY1378" s="53"/>
      <c r="IIZ1378" s="53"/>
      <c r="IJA1378" s="53"/>
      <c r="IJB1378" s="53"/>
      <c r="IJC1378" s="53"/>
      <c r="IJD1378" s="53"/>
      <c r="IJE1378" s="53"/>
      <c r="IJF1378" s="53"/>
      <c r="IJG1378" s="53"/>
      <c r="IJH1378" s="53"/>
      <c r="IJI1378" s="53"/>
      <c r="IJJ1378" s="53"/>
      <c r="IJK1378" s="53"/>
      <c r="IJL1378" s="53"/>
      <c r="IJM1378" s="53"/>
      <c r="IJN1378" s="53"/>
      <c r="IJO1378" s="53"/>
      <c r="IJP1378" s="53"/>
      <c r="IJQ1378" s="53"/>
      <c r="IJR1378" s="53"/>
      <c r="IJS1378" s="53"/>
      <c r="IJT1378" s="53"/>
      <c r="IJU1378" s="53"/>
      <c r="IJV1378" s="53"/>
      <c r="IJW1378" s="53"/>
      <c r="IJX1378" s="53"/>
      <c r="IJY1378" s="53"/>
      <c r="IJZ1378" s="53"/>
      <c r="IKA1378" s="53"/>
      <c r="IKB1378" s="53"/>
      <c r="IKC1378" s="53"/>
      <c r="IKD1378" s="53"/>
      <c r="IKE1378" s="53"/>
      <c r="IKF1378" s="53"/>
      <c r="IKG1378" s="53"/>
      <c r="IKH1378" s="53"/>
      <c r="IKI1378" s="53"/>
      <c r="IKJ1378" s="53"/>
      <c r="IKK1378" s="53"/>
      <c r="IKL1378" s="53"/>
      <c r="IKM1378" s="53"/>
      <c r="IKN1378" s="53"/>
      <c r="IKO1378" s="53"/>
      <c r="IKP1378" s="53"/>
      <c r="IKQ1378" s="53"/>
      <c r="IKR1378" s="53"/>
      <c r="IKS1378" s="53"/>
      <c r="IKT1378" s="53"/>
      <c r="IKU1378" s="53"/>
      <c r="IKV1378" s="53"/>
      <c r="IKW1378" s="53"/>
      <c r="IKX1378" s="53"/>
      <c r="IKY1378" s="53"/>
      <c r="IKZ1378" s="53"/>
      <c r="ILA1378" s="53"/>
      <c r="ILB1378" s="53"/>
      <c r="ILC1378" s="53"/>
      <c r="ILD1378" s="53"/>
      <c r="ILE1378" s="53"/>
      <c r="ILF1378" s="53"/>
      <c r="ILG1378" s="53"/>
      <c r="ILH1378" s="53"/>
      <c r="ILI1378" s="53"/>
      <c r="ILJ1378" s="53"/>
      <c r="ILK1378" s="53"/>
      <c r="ILL1378" s="53"/>
      <c r="ILM1378" s="53"/>
      <c r="ILN1378" s="53"/>
      <c r="ILO1378" s="53"/>
      <c r="ILP1378" s="53"/>
      <c r="ILQ1378" s="53"/>
      <c r="ILR1378" s="53"/>
      <c r="ILS1378" s="53"/>
      <c r="ILT1378" s="53"/>
      <c r="ILU1378" s="53"/>
      <c r="ILV1378" s="53"/>
      <c r="ILW1378" s="53"/>
      <c r="ILX1378" s="53"/>
      <c r="ILY1378" s="53"/>
      <c r="ILZ1378" s="53"/>
      <c r="IMA1378" s="53"/>
      <c r="IMB1378" s="53"/>
      <c r="IMC1378" s="53"/>
      <c r="IMD1378" s="53"/>
      <c r="IME1378" s="53"/>
      <c r="IMF1378" s="53"/>
      <c r="IMG1378" s="53"/>
      <c r="IMH1378" s="53"/>
      <c r="IMI1378" s="53"/>
      <c r="IMJ1378" s="53"/>
      <c r="IMK1378" s="53"/>
      <c r="IML1378" s="53"/>
      <c r="IMM1378" s="53"/>
      <c r="IMN1378" s="53"/>
      <c r="IMO1378" s="53"/>
      <c r="IMP1378" s="53"/>
      <c r="IMQ1378" s="53"/>
      <c r="IMR1378" s="53"/>
      <c r="IMS1378" s="53"/>
      <c r="IMT1378" s="53"/>
      <c r="IMU1378" s="53"/>
      <c r="IMV1378" s="53"/>
      <c r="IMW1378" s="53"/>
      <c r="IMX1378" s="53"/>
      <c r="IMY1378" s="53"/>
      <c r="IMZ1378" s="53"/>
      <c r="INA1378" s="53"/>
      <c r="INB1378" s="53"/>
      <c r="INC1378" s="53"/>
      <c r="IND1378" s="53"/>
      <c r="INE1378" s="53"/>
      <c r="INF1378" s="53"/>
      <c r="ING1378" s="53"/>
      <c r="INH1378" s="53"/>
      <c r="INI1378" s="53"/>
      <c r="INJ1378" s="53"/>
      <c r="INK1378" s="53"/>
      <c r="INL1378" s="53"/>
      <c r="INM1378" s="53"/>
      <c r="INN1378" s="53"/>
      <c r="INO1378" s="53"/>
      <c r="INP1378" s="53"/>
      <c r="INQ1378" s="53"/>
      <c r="INR1378" s="53"/>
      <c r="INS1378" s="53"/>
      <c r="INT1378" s="53"/>
      <c r="INU1378" s="53"/>
      <c r="INV1378" s="53"/>
      <c r="INW1378" s="53"/>
      <c r="INX1378" s="53"/>
      <c r="INY1378" s="53"/>
      <c r="INZ1378" s="53"/>
      <c r="IOA1378" s="53"/>
      <c r="IOB1378" s="53"/>
      <c r="IOC1378" s="53"/>
      <c r="IOD1378" s="53"/>
      <c r="IOE1378" s="53"/>
      <c r="IOF1378" s="53"/>
      <c r="IOG1378" s="53"/>
      <c r="IOH1378" s="53"/>
      <c r="IOI1378" s="53"/>
      <c r="IOJ1378" s="53"/>
      <c r="IOK1378" s="53"/>
      <c r="IOL1378" s="53"/>
      <c r="IOM1378" s="53"/>
      <c r="ION1378" s="53"/>
      <c r="IOO1378" s="53"/>
      <c r="IOP1378" s="53"/>
      <c r="IOQ1378" s="53"/>
      <c r="IOR1378" s="53"/>
      <c r="IOS1378" s="53"/>
      <c r="IOT1378" s="53"/>
      <c r="IOU1378" s="53"/>
      <c r="IOV1378" s="53"/>
      <c r="IOW1378" s="53"/>
      <c r="IOX1378" s="53"/>
      <c r="IOY1378" s="53"/>
      <c r="IOZ1378" s="53"/>
      <c r="IPA1378" s="53"/>
      <c r="IPB1378" s="53"/>
      <c r="IPC1378" s="53"/>
      <c r="IPD1378" s="53"/>
      <c r="IPE1378" s="53"/>
      <c r="IPF1378" s="53"/>
      <c r="IPG1378" s="53"/>
      <c r="IPH1378" s="53"/>
      <c r="IPI1378" s="53"/>
      <c r="IPJ1378" s="53"/>
      <c r="IPK1378" s="53"/>
      <c r="IPL1378" s="53"/>
      <c r="IPM1378" s="53"/>
      <c r="IPN1378" s="53"/>
      <c r="IPO1378" s="53"/>
      <c r="IPP1378" s="53"/>
      <c r="IPQ1378" s="53"/>
      <c r="IPR1378" s="53"/>
      <c r="IPS1378" s="53"/>
      <c r="IPT1378" s="53"/>
      <c r="IPU1378" s="53"/>
      <c r="IPV1378" s="53"/>
      <c r="IPW1378" s="53"/>
      <c r="IPX1378" s="53"/>
      <c r="IPY1378" s="53"/>
      <c r="IPZ1378" s="53"/>
      <c r="IQA1378" s="53"/>
      <c r="IQB1378" s="53"/>
      <c r="IQC1378" s="53"/>
      <c r="IQD1378" s="53"/>
      <c r="IQE1378" s="53"/>
      <c r="IQF1378" s="53"/>
      <c r="IQG1378" s="53"/>
      <c r="IQH1378" s="53"/>
      <c r="IQI1378" s="53"/>
      <c r="IQJ1378" s="53"/>
      <c r="IQK1378" s="53"/>
      <c r="IQL1378" s="53"/>
      <c r="IQM1378" s="53"/>
      <c r="IQN1378" s="53"/>
      <c r="IQO1378" s="53"/>
      <c r="IQP1378" s="53"/>
      <c r="IQQ1378" s="53"/>
      <c r="IQR1378" s="53"/>
      <c r="IQS1378" s="53"/>
      <c r="IQT1378" s="53"/>
      <c r="IQU1378" s="53"/>
      <c r="IQV1378" s="53"/>
      <c r="IQW1378" s="53"/>
      <c r="IQX1378" s="53"/>
      <c r="IQY1378" s="53"/>
      <c r="IQZ1378" s="53"/>
      <c r="IRA1378" s="53"/>
      <c r="IRB1378" s="53"/>
      <c r="IRC1378" s="53"/>
      <c r="IRD1378" s="53"/>
      <c r="IRE1378" s="53"/>
      <c r="IRF1378" s="53"/>
      <c r="IRG1378" s="53"/>
      <c r="IRH1378" s="53"/>
      <c r="IRI1378" s="53"/>
      <c r="IRJ1378" s="53"/>
      <c r="IRK1378" s="53"/>
      <c r="IRL1378" s="53"/>
      <c r="IRM1378" s="53"/>
      <c r="IRN1378" s="53"/>
      <c r="IRO1378" s="53"/>
      <c r="IRP1378" s="53"/>
      <c r="IRQ1378" s="53"/>
      <c r="IRR1378" s="53"/>
      <c r="IRS1378" s="53"/>
      <c r="IRT1378" s="53"/>
      <c r="IRU1378" s="53"/>
      <c r="IRV1378" s="53"/>
      <c r="IRW1378" s="53"/>
      <c r="IRX1378" s="53"/>
      <c r="IRY1378" s="53"/>
      <c r="IRZ1378" s="53"/>
      <c r="ISA1378" s="53"/>
      <c r="ISB1378" s="53"/>
      <c r="ISC1378" s="53"/>
      <c r="ISD1378" s="53"/>
      <c r="ISE1378" s="53"/>
      <c r="ISF1378" s="53"/>
      <c r="ISG1378" s="53"/>
      <c r="ISH1378" s="53"/>
      <c r="ISI1378" s="53"/>
      <c r="ISJ1378" s="53"/>
      <c r="ISK1378" s="53"/>
      <c r="ISL1378" s="53"/>
      <c r="ISM1378" s="53"/>
      <c r="ISN1378" s="53"/>
      <c r="ISO1378" s="53"/>
      <c r="ISP1378" s="53"/>
      <c r="ISQ1378" s="53"/>
      <c r="ISR1378" s="53"/>
      <c r="ISS1378" s="53"/>
      <c r="IST1378" s="53"/>
      <c r="ISU1378" s="53"/>
      <c r="ISV1378" s="53"/>
      <c r="ISW1378" s="53"/>
      <c r="ISX1378" s="53"/>
      <c r="ISY1378" s="53"/>
      <c r="ISZ1378" s="53"/>
      <c r="ITA1378" s="53"/>
      <c r="ITB1378" s="53"/>
      <c r="ITC1378" s="53"/>
      <c r="ITD1378" s="53"/>
      <c r="ITE1378" s="53"/>
      <c r="ITF1378" s="53"/>
      <c r="ITG1378" s="53"/>
      <c r="ITH1378" s="53"/>
      <c r="ITI1378" s="53"/>
      <c r="ITJ1378" s="53"/>
      <c r="ITK1378" s="53"/>
      <c r="ITL1378" s="53"/>
      <c r="ITM1378" s="53"/>
      <c r="ITN1378" s="53"/>
      <c r="ITO1378" s="53"/>
      <c r="ITP1378" s="53"/>
      <c r="ITQ1378" s="53"/>
      <c r="ITR1378" s="53"/>
      <c r="ITS1378" s="53"/>
      <c r="ITT1378" s="53"/>
      <c r="ITU1378" s="53"/>
      <c r="ITV1378" s="53"/>
      <c r="ITW1378" s="53"/>
      <c r="ITX1378" s="53"/>
      <c r="ITY1378" s="53"/>
      <c r="ITZ1378" s="53"/>
      <c r="IUA1378" s="53"/>
      <c r="IUB1378" s="53"/>
      <c r="IUC1378" s="53"/>
      <c r="IUD1378" s="53"/>
      <c r="IUE1378" s="53"/>
      <c r="IUF1378" s="53"/>
      <c r="IUG1378" s="53"/>
      <c r="IUH1378" s="53"/>
      <c r="IUI1378" s="53"/>
      <c r="IUJ1378" s="53"/>
      <c r="IUK1378" s="53"/>
      <c r="IUL1378" s="53"/>
      <c r="IUM1378" s="53"/>
      <c r="IUN1378" s="53"/>
      <c r="IUO1378" s="53"/>
      <c r="IUP1378" s="53"/>
      <c r="IUQ1378" s="53"/>
      <c r="IUR1378" s="53"/>
      <c r="IUS1378" s="53"/>
      <c r="IUT1378" s="53"/>
      <c r="IUU1378" s="53"/>
      <c r="IUV1378" s="53"/>
      <c r="IUW1378" s="53"/>
      <c r="IUX1378" s="53"/>
      <c r="IUY1378" s="53"/>
      <c r="IUZ1378" s="53"/>
      <c r="IVA1378" s="53"/>
      <c r="IVB1378" s="53"/>
      <c r="IVC1378" s="53"/>
      <c r="IVD1378" s="53"/>
      <c r="IVE1378" s="53"/>
      <c r="IVF1378" s="53"/>
      <c r="IVG1378" s="53"/>
      <c r="IVH1378" s="53"/>
      <c r="IVI1378" s="53"/>
      <c r="IVJ1378" s="53"/>
      <c r="IVK1378" s="53"/>
      <c r="IVL1378" s="53"/>
      <c r="IVM1378" s="53"/>
      <c r="IVN1378" s="53"/>
      <c r="IVO1378" s="53"/>
      <c r="IVP1378" s="53"/>
      <c r="IVQ1378" s="53"/>
      <c r="IVR1378" s="53"/>
      <c r="IVS1378" s="53"/>
      <c r="IVT1378" s="53"/>
      <c r="IVU1378" s="53"/>
      <c r="IVV1378" s="53"/>
      <c r="IVW1378" s="53"/>
      <c r="IVX1378" s="53"/>
      <c r="IVY1378" s="53"/>
      <c r="IVZ1378" s="53"/>
      <c r="IWA1378" s="53"/>
      <c r="IWB1378" s="53"/>
      <c r="IWC1378" s="53"/>
      <c r="IWD1378" s="53"/>
      <c r="IWE1378" s="53"/>
      <c r="IWF1378" s="53"/>
      <c r="IWG1378" s="53"/>
      <c r="IWH1378" s="53"/>
      <c r="IWI1378" s="53"/>
      <c r="IWJ1378" s="53"/>
      <c r="IWK1378" s="53"/>
      <c r="IWL1378" s="53"/>
      <c r="IWM1378" s="53"/>
      <c r="IWN1378" s="53"/>
      <c r="IWO1378" s="53"/>
      <c r="IWP1378" s="53"/>
      <c r="IWQ1378" s="53"/>
      <c r="IWR1378" s="53"/>
      <c r="IWS1378" s="53"/>
      <c r="IWT1378" s="53"/>
      <c r="IWU1378" s="53"/>
      <c r="IWV1378" s="53"/>
      <c r="IWW1378" s="53"/>
      <c r="IWX1378" s="53"/>
      <c r="IWY1378" s="53"/>
      <c r="IWZ1378" s="53"/>
      <c r="IXA1378" s="53"/>
      <c r="IXB1378" s="53"/>
      <c r="IXC1378" s="53"/>
      <c r="IXD1378" s="53"/>
      <c r="IXE1378" s="53"/>
      <c r="IXF1378" s="53"/>
      <c r="IXG1378" s="53"/>
      <c r="IXH1378" s="53"/>
      <c r="IXI1378" s="53"/>
      <c r="IXJ1378" s="53"/>
      <c r="IXK1378" s="53"/>
      <c r="IXL1378" s="53"/>
      <c r="IXM1378" s="53"/>
      <c r="IXN1378" s="53"/>
      <c r="IXO1378" s="53"/>
      <c r="IXP1378" s="53"/>
      <c r="IXQ1378" s="53"/>
      <c r="IXR1378" s="53"/>
      <c r="IXS1378" s="53"/>
      <c r="IXT1378" s="53"/>
      <c r="IXU1378" s="53"/>
      <c r="IXV1378" s="53"/>
      <c r="IXW1378" s="53"/>
      <c r="IXX1378" s="53"/>
      <c r="IXY1378" s="53"/>
      <c r="IXZ1378" s="53"/>
      <c r="IYA1378" s="53"/>
      <c r="IYB1378" s="53"/>
      <c r="IYC1378" s="53"/>
      <c r="IYD1378" s="53"/>
      <c r="IYE1378" s="53"/>
      <c r="IYF1378" s="53"/>
      <c r="IYG1378" s="53"/>
      <c r="IYH1378" s="53"/>
      <c r="IYI1378" s="53"/>
      <c r="IYJ1378" s="53"/>
      <c r="IYK1378" s="53"/>
      <c r="IYL1378" s="53"/>
      <c r="IYM1378" s="53"/>
      <c r="IYN1378" s="53"/>
      <c r="IYO1378" s="53"/>
      <c r="IYP1378" s="53"/>
      <c r="IYQ1378" s="53"/>
      <c r="IYR1378" s="53"/>
      <c r="IYS1378" s="53"/>
      <c r="IYT1378" s="53"/>
      <c r="IYU1378" s="53"/>
      <c r="IYV1378" s="53"/>
      <c r="IYW1378" s="53"/>
      <c r="IYX1378" s="53"/>
      <c r="IYY1378" s="53"/>
      <c r="IYZ1378" s="53"/>
      <c r="IZA1378" s="53"/>
      <c r="IZB1378" s="53"/>
      <c r="IZC1378" s="53"/>
      <c r="IZD1378" s="53"/>
      <c r="IZE1378" s="53"/>
      <c r="IZF1378" s="53"/>
      <c r="IZG1378" s="53"/>
      <c r="IZH1378" s="53"/>
      <c r="IZI1378" s="53"/>
      <c r="IZJ1378" s="53"/>
      <c r="IZK1378" s="53"/>
      <c r="IZL1378" s="53"/>
      <c r="IZM1378" s="53"/>
      <c r="IZN1378" s="53"/>
      <c r="IZO1378" s="53"/>
      <c r="IZP1378" s="53"/>
      <c r="IZQ1378" s="53"/>
      <c r="IZR1378" s="53"/>
      <c r="IZS1378" s="53"/>
      <c r="IZT1378" s="53"/>
      <c r="IZU1378" s="53"/>
      <c r="IZV1378" s="53"/>
      <c r="IZW1378" s="53"/>
      <c r="IZX1378" s="53"/>
      <c r="IZY1378" s="53"/>
      <c r="IZZ1378" s="53"/>
      <c r="JAA1378" s="53"/>
      <c r="JAB1378" s="53"/>
      <c r="JAC1378" s="53"/>
      <c r="JAD1378" s="53"/>
      <c r="JAE1378" s="53"/>
      <c r="JAF1378" s="53"/>
      <c r="JAG1378" s="53"/>
      <c r="JAH1378" s="53"/>
      <c r="JAI1378" s="53"/>
      <c r="JAJ1378" s="53"/>
      <c r="JAK1378" s="53"/>
      <c r="JAL1378" s="53"/>
      <c r="JAM1378" s="53"/>
      <c r="JAN1378" s="53"/>
      <c r="JAO1378" s="53"/>
      <c r="JAP1378" s="53"/>
      <c r="JAQ1378" s="53"/>
      <c r="JAR1378" s="53"/>
      <c r="JAS1378" s="53"/>
      <c r="JAT1378" s="53"/>
      <c r="JAU1378" s="53"/>
      <c r="JAV1378" s="53"/>
      <c r="JAW1378" s="53"/>
      <c r="JAX1378" s="53"/>
      <c r="JAY1378" s="53"/>
      <c r="JAZ1378" s="53"/>
      <c r="JBA1378" s="53"/>
      <c r="JBB1378" s="53"/>
      <c r="JBC1378" s="53"/>
      <c r="JBD1378" s="53"/>
      <c r="JBE1378" s="53"/>
      <c r="JBF1378" s="53"/>
      <c r="JBG1378" s="53"/>
      <c r="JBH1378" s="53"/>
      <c r="JBI1378" s="53"/>
      <c r="JBJ1378" s="53"/>
      <c r="JBK1378" s="53"/>
      <c r="JBL1378" s="53"/>
      <c r="JBM1378" s="53"/>
      <c r="JBN1378" s="53"/>
      <c r="JBO1378" s="53"/>
      <c r="JBP1378" s="53"/>
      <c r="JBQ1378" s="53"/>
      <c r="JBR1378" s="53"/>
      <c r="JBS1378" s="53"/>
      <c r="JBT1378" s="53"/>
      <c r="JBU1378" s="53"/>
      <c r="JBV1378" s="53"/>
      <c r="JBW1378" s="53"/>
      <c r="JBX1378" s="53"/>
      <c r="JBY1378" s="53"/>
      <c r="JBZ1378" s="53"/>
      <c r="JCA1378" s="53"/>
      <c r="JCB1378" s="53"/>
      <c r="JCC1378" s="53"/>
      <c r="JCD1378" s="53"/>
      <c r="JCE1378" s="53"/>
      <c r="JCF1378" s="53"/>
      <c r="JCG1378" s="53"/>
      <c r="JCH1378" s="53"/>
      <c r="JCI1378" s="53"/>
      <c r="JCJ1378" s="53"/>
      <c r="JCK1378" s="53"/>
      <c r="JCL1378" s="53"/>
      <c r="JCM1378" s="53"/>
      <c r="JCN1378" s="53"/>
      <c r="JCO1378" s="53"/>
      <c r="JCP1378" s="53"/>
      <c r="JCQ1378" s="53"/>
      <c r="JCR1378" s="53"/>
      <c r="JCS1378" s="53"/>
      <c r="JCT1378" s="53"/>
      <c r="JCU1378" s="53"/>
      <c r="JCV1378" s="53"/>
      <c r="JCW1378" s="53"/>
      <c r="JCX1378" s="53"/>
      <c r="JCY1378" s="53"/>
      <c r="JCZ1378" s="53"/>
      <c r="JDA1378" s="53"/>
      <c r="JDB1378" s="53"/>
      <c r="JDC1378" s="53"/>
      <c r="JDD1378" s="53"/>
      <c r="JDE1378" s="53"/>
      <c r="JDF1378" s="53"/>
      <c r="JDG1378" s="53"/>
      <c r="JDH1378" s="53"/>
      <c r="JDI1378" s="53"/>
      <c r="JDJ1378" s="53"/>
      <c r="JDK1378" s="53"/>
      <c r="JDL1378" s="53"/>
      <c r="JDM1378" s="53"/>
      <c r="JDN1378" s="53"/>
      <c r="JDO1378" s="53"/>
      <c r="JDP1378" s="53"/>
      <c r="JDQ1378" s="53"/>
      <c r="JDR1378" s="53"/>
      <c r="JDS1378" s="53"/>
      <c r="JDT1378" s="53"/>
      <c r="JDU1378" s="53"/>
      <c r="JDV1378" s="53"/>
      <c r="JDW1378" s="53"/>
      <c r="JDX1378" s="53"/>
      <c r="JDY1378" s="53"/>
      <c r="JDZ1378" s="53"/>
      <c r="JEA1378" s="53"/>
      <c r="JEB1378" s="53"/>
      <c r="JEC1378" s="53"/>
      <c r="JED1378" s="53"/>
      <c r="JEE1378" s="53"/>
      <c r="JEF1378" s="53"/>
      <c r="JEG1378" s="53"/>
      <c r="JEH1378" s="53"/>
      <c r="JEI1378" s="53"/>
      <c r="JEJ1378" s="53"/>
      <c r="JEK1378" s="53"/>
      <c r="JEL1378" s="53"/>
      <c r="JEM1378" s="53"/>
      <c r="JEN1378" s="53"/>
      <c r="JEO1378" s="53"/>
      <c r="JEP1378" s="53"/>
      <c r="JEQ1378" s="53"/>
      <c r="JER1378" s="53"/>
      <c r="JES1378" s="53"/>
      <c r="JET1378" s="53"/>
      <c r="JEU1378" s="53"/>
      <c r="JEV1378" s="53"/>
      <c r="JEW1378" s="53"/>
      <c r="JEX1378" s="53"/>
      <c r="JEY1378" s="53"/>
      <c r="JEZ1378" s="53"/>
      <c r="JFA1378" s="53"/>
      <c r="JFB1378" s="53"/>
      <c r="JFC1378" s="53"/>
      <c r="JFD1378" s="53"/>
      <c r="JFE1378" s="53"/>
      <c r="JFF1378" s="53"/>
      <c r="JFG1378" s="53"/>
      <c r="JFH1378" s="53"/>
      <c r="JFI1378" s="53"/>
      <c r="JFJ1378" s="53"/>
      <c r="JFK1378" s="53"/>
      <c r="JFL1378" s="53"/>
      <c r="JFM1378" s="53"/>
      <c r="JFN1378" s="53"/>
      <c r="JFO1378" s="53"/>
      <c r="JFP1378" s="53"/>
      <c r="JFQ1378" s="53"/>
      <c r="JFR1378" s="53"/>
      <c r="JFS1378" s="53"/>
      <c r="JFT1378" s="53"/>
      <c r="JFU1378" s="53"/>
      <c r="JFV1378" s="53"/>
      <c r="JFW1378" s="53"/>
      <c r="JFX1378" s="53"/>
      <c r="JFY1378" s="53"/>
      <c r="JFZ1378" s="53"/>
      <c r="JGA1378" s="53"/>
      <c r="JGB1378" s="53"/>
      <c r="JGC1378" s="53"/>
      <c r="JGD1378" s="53"/>
      <c r="JGE1378" s="53"/>
      <c r="JGF1378" s="53"/>
      <c r="JGG1378" s="53"/>
      <c r="JGH1378" s="53"/>
      <c r="JGI1378" s="53"/>
      <c r="JGJ1378" s="53"/>
      <c r="JGK1378" s="53"/>
      <c r="JGL1378" s="53"/>
      <c r="JGM1378" s="53"/>
      <c r="JGN1378" s="53"/>
      <c r="JGO1378" s="53"/>
      <c r="JGP1378" s="53"/>
      <c r="JGQ1378" s="53"/>
      <c r="JGR1378" s="53"/>
      <c r="JGS1378" s="53"/>
      <c r="JGT1378" s="53"/>
      <c r="JGU1378" s="53"/>
      <c r="JGV1378" s="53"/>
      <c r="JGW1378" s="53"/>
      <c r="JGX1378" s="53"/>
      <c r="JGY1378" s="53"/>
      <c r="JGZ1378" s="53"/>
      <c r="JHA1378" s="53"/>
      <c r="JHB1378" s="53"/>
      <c r="JHC1378" s="53"/>
      <c r="JHD1378" s="53"/>
      <c r="JHE1378" s="53"/>
      <c r="JHF1378" s="53"/>
      <c r="JHG1378" s="53"/>
      <c r="JHH1378" s="53"/>
      <c r="JHI1378" s="53"/>
      <c r="JHJ1378" s="53"/>
      <c r="JHK1378" s="53"/>
      <c r="JHL1378" s="53"/>
      <c r="JHM1378" s="53"/>
      <c r="JHN1378" s="53"/>
      <c r="JHO1378" s="53"/>
      <c r="JHP1378" s="53"/>
      <c r="JHQ1378" s="53"/>
      <c r="JHR1378" s="53"/>
      <c r="JHS1378" s="53"/>
      <c r="JHT1378" s="53"/>
      <c r="JHU1378" s="53"/>
      <c r="JHV1378" s="53"/>
      <c r="JHW1378" s="53"/>
      <c r="JHX1378" s="53"/>
      <c r="JHY1378" s="53"/>
      <c r="JHZ1378" s="53"/>
      <c r="JIA1378" s="53"/>
      <c r="JIB1378" s="53"/>
      <c r="JIC1378" s="53"/>
      <c r="JID1378" s="53"/>
      <c r="JIE1378" s="53"/>
      <c r="JIF1378" s="53"/>
      <c r="JIG1378" s="53"/>
      <c r="JIH1378" s="53"/>
      <c r="JII1378" s="53"/>
      <c r="JIJ1378" s="53"/>
      <c r="JIK1378" s="53"/>
      <c r="JIL1378" s="53"/>
      <c r="JIM1378" s="53"/>
      <c r="JIN1378" s="53"/>
      <c r="JIO1378" s="53"/>
      <c r="JIP1378" s="53"/>
      <c r="JIQ1378" s="53"/>
      <c r="JIR1378" s="53"/>
      <c r="JIS1378" s="53"/>
      <c r="JIT1378" s="53"/>
      <c r="JIU1378" s="53"/>
      <c r="JIV1378" s="53"/>
      <c r="JIW1378" s="53"/>
      <c r="JIX1378" s="53"/>
      <c r="JIY1378" s="53"/>
      <c r="JIZ1378" s="53"/>
      <c r="JJA1378" s="53"/>
      <c r="JJB1378" s="53"/>
      <c r="JJC1378" s="53"/>
      <c r="JJD1378" s="53"/>
      <c r="JJE1378" s="53"/>
      <c r="JJF1378" s="53"/>
      <c r="JJG1378" s="53"/>
      <c r="JJH1378" s="53"/>
      <c r="JJI1378" s="53"/>
      <c r="JJJ1378" s="53"/>
      <c r="JJK1378" s="53"/>
      <c r="JJL1378" s="53"/>
      <c r="JJM1378" s="53"/>
      <c r="JJN1378" s="53"/>
      <c r="JJO1378" s="53"/>
      <c r="JJP1378" s="53"/>
      <c r="JJQ1378" s="53"/>
      <c r="JJR1378" s="53"/>
      <c r="JJS1378" s="53"/>
      <c r="JJT1378" s="53"/>
      <c r="JJU1378" s="53"/>
      <c r="JJV1378" s="53"/>
      <c r="JJW1378" s="53"/>
      <c r="JJX1378" s="53"/>
      <c r="JJY1378" s="53"/>
      <c r="JJZ1378" s="53"/>
      <c r="JKA1378" s="53"/>
      <c r="JKB1378" s="53"/>
      <c r="JKC1378" s="53"/>
      <c r="JKD1378" s="53"/>
      <c r="JKE1378" s="53"/>
      <c r="JKF1378" s="53"/>
      <c r="JKG1378" s="53"/>
      <c r="JKH1378" s="53"/>
      <c r="JKI1378" s="53"/>
      <c r="JKJ1378" s="53"/>
      <c r="JKK1378" s="53"/>
      <c r="JKL1378" s="53"/>
      <c r="JKM1378" s="53"/>
      <c r="JKN1378" s="53"/>
      <c r="JKO1378" s="53"/>
      <c r="JKP1378" s="53"/>
      <c r="JKQ1378" s="53"/>
      <c r="JKR1378" s="53"/>
      <c r="JKS1378" s="53"/>
      <c r="JKT1378" s="53"/>
      <c r="JKU1378" s="53"/>
      <c r="JKV1378" s="53"/>
      <c r="JKW1378" s="53"/>
      <c r="JKX1378" s="53"/>
      <c r="JKY1378" s="53"/>
      <c r="JKZ1378" s="53"/>
      <c r="JLA1378" s="53"/>
      <c r="JLB1378" s="53"/>
      <c r="JLC1378" s="53"/>
      <c r="JLD1378" s="53"/>
      <c r="JLE1378" s="53"/>
      <c r="JLF1378" s="53"/>
      <c r="JLG1378" s="53"/>
      <c r="JLH1378" s="53"/>
      <c r="JLI1378" s="53"/>
      <c r="JLJ1378" s="53"/>
      <c r="JLK1378" s="53"/>
      <c r="JLL1378" s="53"/>
      <c r="JLM1378" s="53"/>
      <c r="JLN1378" s="53"/>
      <c r="JLO1378" s="53"/>
      <c r="JLP1378" s="53"/>
      <c r="JLQ1378" s="53"/>
      <c r="JLR1378" s="53"/>
      <c r="JLS1378" s="53"/>
      <c r="JLT1378" s="53"/>
      <c r="JLU1378" s="53"/>
      <c r="JLV1378" s="53"/>
      <c r="JLW1378" s="53"/>
      <c r="JLX1378" s="53"/>
      <c r="JLY1378" s="53"/>
      <c r="JLZ1378" s="53"/>
      <c r="JMA1378" s="53"/>
      <c r="JMB1378" s="53"/>
      <c r="JMC1378" s="53"/>
      <c r="JMD1378" s="53"/>
      <c r="JME1378" s="53"/>
      <c r="JMF1378" s="53"/>
      <c r="JMG1378" s="53"/>
      <c r="JMH1378" s="53"/>
      <c r="JMI1378" s="53"/>
      <c r="JMJ1378" s="53"/>
      <c r="JMK1378" s="53"/>
      <c r="JML1378" s="53"/>
      <c r="JMM1378" s="53"/>
      <c r="JMN1378" s="53"/>
      <c r="JMO1378" s="53"/>
      <c r="JMP1378" s="53"/>
      <c r="JMQ1378" s="53"/>
      <c r="JMR1378" s="53"/>
      <c r="JMS1378" s="53"/>
      <c r="JMT1378" s="53"/>
      <c r="JMU1378" s="53"/>
      <c r="JMV1378" s="53"/>
      <c r="JMW1378" s="53"/>
      <c r="JMX1378" s="53"/>
      <c r="JMY1378" s="53"/>
      <c r="JMZ1378" s="53"/>
      <c r="JNA1378" s="53"/>
      <c r="JNB1378" s="53"/>
      <c r="JNC1378" s="53"/>
      <c r="JND1378" s="53"/>
      <c r="JNE1378" s="53"/>
      <c r="JNF1378" s="53"/>
      <c r="JNG1378" s="53"/>
      <c r="JNH1378" s="53"/>
      <c r="JNI1378" s="53"/>
      <c r="JNJ1378" s="53"/>
      <c r="JNK1378" s="53"/>
      <c r="JNL1378" s="53"/>
      <c r="JNM1378" s="53"/>
      <c r="JNN1378" s="53"/>
      <c r="JNO1378" s="53"/>
      <c r="JNP1378" s="53"/>
      <c r="JNQ1378" s="53"/>
      <c r="JNR1378" s="53"/>
      <c r="JNS1378" s="53"/>
      <c r="JNT1378" s="53"/>
      <c r="JNU1378" s="53"/>
      <c r="JNV1378" s="53"/>
      <c r="JNW1378" s="53"/>
      <c r="JNX1378" s="53"/>
      <c r="JNY1378" s="53"/>
      <c r="JNZ1378" s="53"/>
      <c r="JOA1378" s="53"/>
      <c r="JOB1378" s="53"/>
      <c r="JOC1378" s="53"/>
      <c r="JOD1378" s="53"/>
      <c r="JOE1378" s="53"/>
      <c r="JOF1378" s="53"/>
      <c r="JOG1378" s="53"/>
      <c r="JOH1378" s="53"/>
      <c r="JOI1378" s="53"/>
      <c r="JOJ1378" s="53"/>
      <c r="JOK1378" s="53"/>
      <c r="JOL1378" s="53"/>
      <c r="JOM1378" s="53"/>
      <c r="JON1378" s="53"/>
      <c r="JOO1378" s="53"/>
      <c r="JOP1378" s="53"/>
      <c r="JOQ1378" s="53"/>
      <c r="JOR1378" s="53"/>
      <c r="JOS1378" s="53"/>
      <c r="JOT1378" s="53"/>
      <c r="JOU1378" s="53"/>
      <c r="JOV1378" s="53"/>
      <c r="JOW1378" s="53"/>
      <c r="JOX1378" s="53"/>
      <c r="JOY1378" s="53"/>
      <c r="JOZ1378" s="53"/>
      <c r="JPA1378" s="53"/>
      <c r="JPB1378" s="53"/>
      <c r="JPC1378" s="53"/>
      <c r="JPD1378" s="53"/>
      <c r="JPE1378" s="53"/>
      <c r="JPF1378" s="53"/>
      <c r="JPG1378" s="53"/>
      <c r="JPH1378" s="53"/>
      <c r="JPI1378" s="53"/>
      <c r="JPJ1378" s="53"/>
      <c r="JPK1378" s="53"/>
      <c r="JPL1378" s="53"/>
      <c r="JPM1378" s="53"/>
      <c r="JPN1378" s="53"/>
      <c r="JPO1378" s="53"/>
      <c r="JPP1378" s="53"/>
      <c r="JPQ1378" s="53"/>
      <c r="JPR1378" s="53"/>
      <c r="JPS1378" s="53"/>
      <c r="JPT1378" s="53"/>
      <c r="JPU1378" s="53"/>
      <c r="JPV1378" s="53"/>
      <c r="JPW1378" s="53"/>
      <c r="JPX1378" s="53"/>
      <c r="JPY1378" s="53"/>
      <c r="JPZ1378" s="53"/>
      <c r="JQA1378" s="53"/>
      <c r="JQB1378" s="53"/>
      <c r="JQC1378" s="53"/>
      <c r="JQD1378" s="53"/>
      <c r="JQE1378" s="53"/>
      <c r="JQF1378" s="53"/>
      <c r="JQG1378" s="53"/>
      <c r="JQH1378" s="53"/>
      <c r="JQI1378" s="53"/>
      <c r="JQJ1378" s="53"/>
      <c r="JQK1378" s="53"/>
      <c r="JQL1378" s="53"/>
      <c r="JQM1378" s="53"/>
      <c r="JQN1378" s="53"/>
      <c r="JQO1378" s="53"/>
      <c r="JQP1378" s="53"/>
      <c r="JQQ1378" s="53"/>
      <c r="JQR1378" s="53"/>
      <c r="JQS1378" s="53"/>
      <c r="JQT1378" s="53"/>
      <c r="JQU1378" s="53"/>
      <c r="JQV1378" s="53"/>
      <c r="JQW1378" s="53"/>
      <c r="JQX1378" s="53"/>
      <c r="JQY1378" s="53"/>
      <c r="JQZ1378" s="53"/>
      <c r="JRA1378" s="53"/>
      <c r="JRB1378" s="53"/>
      <c r="JRC1378" s="53"/>
      <c r="JRD1378" s="53"/>
      <c r="JRE1378" s="53"/>
      <c r="JRF1378" s="53"/>
      <c r="JRG1378" s="53"/>
      <c r="JRH1378" s="53"/>
      <c r="JRI1378" s="53"/>
      <c r="JRJ1378" s="53"/>
      <c r="JRK1378" s="53"/>
      <c r="JRL1378" s="53"/>
      <c r="JRM1378" s="53"/>
      <c r="JRN1378" s="53"/>
      <c r="JRO1378" s="53"/>
      <c r="JRP1378" s="53"/>
      <c r="JRQ1378" s="53"/>
      <c r="JRR1378" s="53"/>
      <c r="JRS1378" s="53"/>
      <c r="JRT1378" s="53"/>
      <c r="JRU1378" s="53"/>
      <c r="JRV1378" s="53"/>
      <c r="JRW1378" s="53"/>
      <c r="JRX1378" s="53"/>
      <c r="JRY1378" s="53"/>
      <c r="JRZ1378" s="53"/>
      <c r="JSA1378" s="53"/>
      <c r="JSB1378" s="53"/>
      <c r="JSC1378" s="53"/>
      <c r="JSD1378" s="53"/>
      <c r="JSE1378" s="53"/>
      <c r="JSF1378" s="53"/>
      <c r="JSG1378" s="53"/>
      <c r="JSH1378" s="53"/>
      <c r="JSI1378" s="53"/>
      <c r="JSJ1378" s="53"/>
      <c r="JSK1378" s="53"/>
      <c r="JSL1378" s="53"/>
      <c r="JSM1378" s="53"/>
      <c r="JSN1378" s="53"/>
      <c r="JSO1378" s="53"/>
      <c r="JSP1378" s="53"/>
      <c r="JSQ1378" s="53"/>
      <c r="JSR1378" s="53"/>
      <c r="JSS1378" s="53"/>
      <c r="JST1378" s="53"/>
      <c r="JSU1378" s="53"/>
      <c r="JSV1378" s="53"/>
      <c r="JSW1378" s="53"/>
      <c r="JSX1378" s="53"/>
      <c r="JSY1378" s="53"/>
      <c r="JSZ1378" s="53"/>
      <c r="JTA1378" s="53"/>
      <c r="JTB1378" s="53"/>
      <c r="JTC1378" s="53"/>
      <c r="JTD1378" s="53"/>
      <c r="JTE1378" s="53"/>
      <c r="JTF1378" s="53"/>
      <c r="JTG1378" s="53"/>
      <c r="JTH1378" s="53"/>
      <c r="JTI1378" s="53"/>
      <c r="JTJ1378" s="53"/>
      <c r="JTK1378" s="53"/>
      <c r="JTL1378" s="53"/>
      <c r="JTM1378" s="53"/>
      <c r="JTN1378" s="53"/>
      <c r="JTO1378" s="53"/>
      <c r="JTP1378" s="53"/>
      <c r="JTQ1378" s="53"/>
      <c r="JTR1378" s="53"/>
      <c r="JTS1378" s="53"/>
      <c r="JTT1378" s="53"/>
      <c r="JTU1378" s="53"/>
      <c r="JTV1378" s="53"/>
      <c r="JTW1378" s="53"/>
      <c r="JTX1378" s="53"/>
      <c r="JTY1378" s="53"/>
      <c r="JTZ1378" s="53"/>
      <c r="JUA1378" s="53"/>
      <c r="JUB1378" s="53"/>
      <c r="JUC1378" s="53"/>
      <c r="JUD1378" s="53"/>
      <c r="JUE1378" s="53"/>
      <c r="JUF1378" s="53"/>
      <c r="JUG1378" s="53"/>
      <c r="JUH1378" s="53"/>
      <c r="JUI1378" s="53"/>
      <c r="JUJ1378" s="53"/>
      <c r="JUK1378" s="53"/>
      <c r="JUL1378" s="53"/>
      <c r="JUM1378" s="53"/>
      <c r="JUN1378" s="53"/>
      <c r="JUO1378" s="53"/>
      <c r="JUP1378" s="53"/>
      <c r="JUQ1378" s="53"/>
      <c r="JUR1378" s="53"/>
      <c r="JUS1378" s="53"/>
      <c r="JUT1378" s="53"/>
      <c r="JUU1378" s="53"/>
      <c r="JUV1378" s="53"/>
      <c r="JUW1378" s="53"/>
      <c r="JUX1378" s="53"/>
      <c r="JUY1378" s="53"/>
      <c r="JUZ1378" s="53"/>
      <c r="JVA1378" s="53"/>
      <c r="JVB1378" s="53"/>
      <c r="JVC1378" s="53"/>
      <c r="JVD1378" s="53"/>
      <c r="JVE1378" s="53"/>
      <c r="JVF1378" s="53"/>
      <c r="JVG1378" s="53"/>
      <c r="JVH1378" s="53"/>
      <c r="JVI1378" s="53"/>
      <c r="JVJ1378" s="53"/>
      <c r="JVK1378" s="53"/>
      <c r="JVL1378" s="53"/>
      <c r="JVM1378" s="53"/>
      <c r="JVN1378" s="53"/>
      <c r="JVO1378" s="53"/>
      <c r="JVP1378" s="53"/>
      <c r="JVQ1378" s="53"/>
      <c r="JVR1378" s="53"/>
      <c r="JVS1378" s="53"/>
      <c r="JVT1378" s="53"/>
      <c r="JVU1378" s="53"/>
      <c r="JVV1378" s="53"/>
      <c r="JVW1378" s="53"/>
      <c r="JVX1378" s="53"/>
      <c r="JVY1378" s="53"/>
      <c r="JVZ1378" s="53"/>
      <c r="JWA1378" s="53"/>
      <c r="JWB1378" s="53"/>
      <c r="JWC1378" s="53"/>
      <c r="JWD1378" s="53"/>
      <c r="JWE1378" s="53"/>
      <c r="JWF1378" s="53"/>
      <c r="JWG1378" s="53"/>
      <c r="JWH1378" s="53"/>
      <c r="JWI1378" s="53"/>
      <c r="JWJ1378" s="53"/>
      <c r="JWK1378" s="53"/>
      <c r="JWL1378" s="53"/>
      <c r="JWM1378" s="53"/>
      <c r="JWN1378" s="53"/>
      <c r="JWO1378" s="53"/>
      <c r="JWP1378" s="53"/>
      <c r="JWQ1378" s="53"/>
      <c r="JWR1378" s="53"/>
      <c r="JWS1378" s="53"/>
      <c r="JWT1378" s="53"/>
      <c r="JWU1378" s="53"/>
      <c r="JWV1378" s="53"/>
      <c r="JWW1378" s="53"/>
      <c r="JWX1378" s="53"/>
      <c r="JWY1378" s="53"/>
      <c r="JWZ1378" s="53"/>
      <c r="JXA1378" s="53"/>
      <c r="JXB1378" s="53"/>
      <c r="JXC1378" s="53"/>
      <c r="JXD1378" s="53"/>
      <c r="JXE1378" s="53"/>
      <c r="JXF1378" s="53"/>
      <c r="JXG1378" s="53"/>
      <c r="JXH1378" s="53"/>
      <c r="JXI1378" s="53"/>
      <c r="JXJ1378" s="53"/>
      <c r="JXK1378" s="53"/>
      <c r="JXL1378" s="53"/>
      <c r="JXM1378" s="53"/>
      <c r="JXN1378" s="53"/>
      <c r="JXO1378" s="53"/>
      <c r="JXP1378" s="53"/>
      <c r="JXQ1378" s="53"/>
      <c r="JXR1378" s="53"/>
      <c r="JXS1378" s="53"/>
      <c r="JXT1378" s="53"/>
      <c r="JXU1378" s="53"/>
      <c r="JXV1378" s="53"/>
      <c r="JXW1378" s="53"/>
      <c r="JXX1378" s="53"/>
      <c r="JXY1378" s="53"/>
      <c r="JXZ1378" s="53"/>
      <c r="JYA1378" s="53"/>
      <c r="JYB1378" s="53"/>
      <c r="JYC1378" s="53"/>
      <c r="JYD1378" s="53"/>
      <c r="JYE1378" s="53"/>
      <c r="JYF1378" s="53"/>
      <c r="JYG1378" s="53"/>
      <c r="JYH1378" s="53"/>
      <c r="JYI1378" s="53"/>
      <c r="JYJ1378" s="53"/>
      <c r="JYK1378" s="53"/>
      <c r="JYL1378" s="53"/>
      <c r="JYM1378" s="53"/>
      <c r="JYN1378" s="53"/>
      <c r="JYO1378" s="53"/>
      <c r="JYP1378" s="53"/>
      <c r="JYQ1378" s="53"/>
      <c r="JYR1378" s="53"/>
      <c r="JYS1378" s="53"/>
      <c r="JYT1378" s="53"/>
      <c r="JYU1378" s="53"/>
      <c r="JYV1378" s="53"/>
      <c r="JYW1378" s="53"/>
      <c r="JYX1378" s="53"/>
      <c r="JYY1378" s="53"/>
      <c r="JYZ1378" s="53"/>
      <c r="JZA1378" s="53"/>
      <c r="JZB1378" s="53"/>
      <c r="JZC1378" s="53"/>
      <c r="JZD1378" s="53"/>
      <c r="JZE1378" s="53"/>
      <c r="JZF1378" s="53"/>
      <c r="JZG1378" s="53"/>
      <c r="JZH1378" s="53"/>
      <c r="JZI1378" s="53"/>
      <c r="JZJ1378" s="53"/>
      <c r="JZK1378" s="53"/>
      <c r="JZL1378" s="53"/>
      <c r="JZM1378" s="53"/>
      <c r="JZN1378" s="53"/>
      <c r="JZO1378" s="53"/>
      <c r="JZP1378" s="53"/>
      <c r="JZQ1378" s="53"/>
      <c r="JZR1378" s="53"/>
      <c r="JZS1378" s="53"/>
      <c r="JZT1378" s="53"/>
      <c r="JZU1378" s="53"/>
      <c r="JZV1378" s="53"/>
      <c r="JZW1378" s="53"/>
      <c r="JZX1378" s="53"/>
      <c r="JZY1378" s="53"/>
      <c r="JZZ1378" s="53"/>
      <c r="KAA1378" s="53"/>
      <c r="KAB1378" s="53"/>
      <c r="KAC1378" s="53"/>
      <c r="KAD1378" s="53"/>
      <c r="KAE1378" s="53"/>
      <c r="KAF1378" s="53"/>
      <c r="KAG1378" s="53"/>
      <c r="KAH1378" s="53"/>
      <c r="KAI1378" s="53"/>
      <c r="KAJ1378" s="53"/>
      <c r="KAK1378" s="53"/>
      <c r="KAL1378" s="53"/>
      <c r="KAM1378" s="53"/>
      <c r="KAN1378" s="53"/>
      <c r="KAO1378" s="53"/>
      <c r="KAP1378" s="53"/>
      <c r="KAQ1378" s="53"/>
      <c r="KAR1378" s="53"/>
      <c r="KAS1378" s="53"/>
      <c r="KAT1378" s="53"/>
      <c r="KAU1378" s="53"/>
      <c r="KAV1378" s="53"/>
      <c r="KAW1378" s="53"/>
      <c r="KAX1378" s="53"/>
      <c r="KAY1378" s="53"/>
      <c r="KAZ1378" s="53"/>
      <c r="KBA1378" s="53"/>
      <c r="KBB1378" s="53"/>
      <c r="KBC1378" s="53"/>
      <c r="KBD1378" s="53"/>
      <c r="KBE1378" s="53"/>
      <c r="KBF1378" s="53"/>
      <c r="KBG1378" s="53"/>
      <c r="KBH1378" s="53"/>
      <c r="KBI1378" s="53"/>
      <c r="KBJ1378" s="53"/>
      <c r="KBK1378" s="53"/>
      <c r="KBL1378" s="53"/>
      <c r="KBM1378" s="53"/>
      <c r="KBN1378" s="53"/>
      <c r="KBO1378" s="53"/>
      <c r="KBP1378" s="53"/>
      <c r="KBQ1378" s="53"/>
      <c r="KBR1378" s="53"/>
      <c r="KBS1378" s="53"/>
      <c r="KBT1378" s="53"/>
      <c r="KBU1378" s="53"/>
      <c r="KBV1378" s="53"/>
      <c r="KBW1378" s="53"/>
      <c r="KBX1378" s="53"/>
      <c r="KBY1378" s="53"/>
      <c r="KBZ1378" s="53"/>
      <c r="KCA1378" s="53"/>
      <c r="KCB1378" s="53"/>
      <c r="KCC1378" s="53"/>
      <c r="KCD1378" s="53"/>
      <c r="KCE1378" s="53"/>
      <c r="KCF1378" s="53"/>
      <c r="KCG1378" s="53"/>
      <c r="KCH1378" s="53"/>
      <c r="KCI1378" s="53"/>
      <c r="KCJ1378" s="53"/>
      <c r="KCK1378" s="53"/>
      <c r="KCL1378" s="53"/>
      <c r="KCM1378" s="53"/>
      <c r="KCN1378" s="53"/>
      <c r="KCO1378" s="53"/>
      <c r="KCP1378" s="53"/>
      <c r="KCQ1378" s="53"/>
      <c r="KCR1378" s="53"/>
      <c r="KCS1378" s="53"/>
      <c r="KCT1378" s="53"/>
      <c r="KCU1378" s="53"/>
      <c r="KCV1378" s="53"/>
      <c r="KCW1378" s="53"/>
      <c r="KCX1378" s="53"/>
      <c r="KCY1378" s="53"/>
      <c r="KCZ1378" s="53"/>
      <c r="KDA1378" s="53"/>
      <c r="KDB1378" s="53"/>
      <c r="KDC1378" s="53"/>
      <c r="KDD1378" s="53"/>
      <c r="KDE1378" s="53"/>
      <c r="KDF1378" s="53"/>
      <c r="KDG1378" s="53"/>
      <c r="KDH1378" s="53"/>
      <c r="KDI1378" s="53"/>
      <c r="KDJ1378" s="53"/>
      <c r="KDK1378" s="53"/>
      <c r="KDL1378" s="53"/>
      <c r="KDM1378" s="53"/>
      <c r="KDN1378" s="53"/>
      <c r="KDO1378" s="53"/>
      <c r="KDP1378" s="53"/>
      <c r="KDQ1378" s="53"/>
      <c r="KDR1378" s="53"/>
      <c r="KDS1378" s="53"/>
      <c r="KDT1378" s="53"/>
      <c r="KDU1378" s="53"/>
      <c r="KDV1378" s="53"/>
      <c r="KDW1378" s="53"/>
      <c r="KDX1378" s="53"/>
      <c r="KDY1378" s="53"/>
      <c r="KDZ1378" s="53"/>
      <c r="KEA1378" s="53"/>
      <c r="KEB1378" s="53"/>
      <c r="KEC1378" s="53"/>
      <c r="KED1378" s="53"/>
      <c r="KEE1378" s="53"/>
      <c r="KEF1378" s="53"/>
      <c r="KEG1378" s="53"/>
      <c r="KEH1378" s="53"/>
      <c r="KEI1378" s="53"/>
      <c r="KEJ1378" s="53"/>
      <c r="KEK1378" s="53"/>
      <c r="KEL1378" s="53"/>
      <c r="KEM1378" s="53"/>
      <c r="KEN1378" s="53"/>
      <c r="KEO1378" s="53"/>
      <c r="KEP1378" s="53"/>
      <c r="KEQ1378" s="53"/>
      <c r="KER1378" s="53"/>
      <c r="KES1378" s="53"/>
      <c r="KET1378" s="53"/>
      <c r="KEU1378" s="53"/>
      <c r="KEV1378" s="53"/>
      <c r="KEW1378" s="53"/>
      <c r="KEX1378" s="53"/>
      <c r="KEY1378" s="53"/>
      <c r="KEZ1378" s="53"/>
      <c r="KFA1378" s="53"/>
      <c r="KFB1378" s="53"/>
      <c r="KFC1378" s="53"/>
      <c r="KFD1378" s="53"/>
      <c r="KFE1378" s="53"/>
      <c r="KFF1378" s="53"/>
      <c r="KFG1378" s="53"/>
      <c r="KFH1378" s="53"/>
      <c r="KFI1378" s="53"/>
      <c r="KFJ1378" s="53"/>
      <c r="KFK1378" s="53"/>
      <c r="KFL1378" s="53"/>
      <c r="KFM1378" s="53"/>
      <c r="KFN1378" s="53"/>
      <c r="KFO1378" s="53"/>
      <c r="KFP1378" s="53"/>
      <c r="KFQ1378" s="53"/>
      <c r="KFR1378" s="53"/>
      <c r="KFS1378" s="53"/>
      <c r="KFT1378" s="53"/>
      <c r="KFU1378" s="53"/>
      <c r="KFV1378" s="53"/>
      <c r="KFW1378" s="53"/>
      <c r="KFX1378" s="53"/>
      <c r="KFY1378" s="53"/>
      <c r="KFZ1378" s="53"/>
      <c r="KGA1378" s="53"/>
      <c r="KGB1378" s="53"/>
      <c r="KGC1378" s="53"/>
      <c r="KGD1378" s="53"/>
      <c r="KGE1378" s="53"/>
      <c r="KGF1378" s="53"/>
      <c r="KGG1378" s="53"/>
      <c r="KGH1378" s="53"/>
      <c r="KGI1378" s="53"/>
      <c r="KGJ1378" s="53"/>
      <c r="KGK1378" s="53"/>
      <c r="KGL1378" s="53"/>
      <c r="KGM1378" s="53"/>
      <c r="KGN1378" s="53"/>
      <c r="KGO1378" s="53"/>
      <c r="KGP1378" s="53"/>
      <c r="KGQ1378" s="53"/>
      <c r="KGR1378" s="53"/>
      <c r="KGS1378" s="53"/>
      <c r="KGT1378" s="53"/>
      <c r="KGU1378" s="53"/>
      <c r="KGV1378" s="53"/>
      <c r="KGW1378" s="53"/>
      <c r="KGX1378" s="53"/>
      <c r="KGY1378" s="53"/>
      <c r="KGZ1378" s="53"/>
      <c r="KHA1378" s="53"/>
      <c r="KHB1378" s="53"/>
      <c r="KHC1378" s="53"/>
      <c r="KHD1378" s="53"/>
      <c r="KHE1378" s="53"/>
      <c r="KHF1378" s="53"/>
      <c r="KHG1378" s="53"/>
      <c r="KHH1378" s="53"/>
      <c r="KHI1378" s="53"/>
      <c r="KHJ1378" s="53"/>
      <c r="KHK1378" s="53"/>
      <c r="KHL1378" s="53"/>
      <c r="KHM1378" s="53"/>
      <c r="KHN1378" s="53"/>
      <c r="KHO1378" s="53"/>
      <c r="KHP1378" s="53"/>
      <c r="KHQ1378" s="53"/>
      <c r="KHR1378" s="53"/>
      <c r="KHS1378" s="53"/>
      <c r="KHT1378" s="53"/>
      <c r="KHU1378" s="53"/>
      <c r="KHV1378" s="53"/>
      <c r="KHW1378" s="53"/>
      <c r="KHX1378" s="53"/>
      <c r="KHY1378" s="53"/>
      <c r="KHZ1378" s="53"/>
      <c r="KIA1378" s="53"/>
      <c r="KIB1378" s="53"/>
      <c r="KIC1378" s="53"/>
      <c r="KID1378" s="53"/>
      <c r="KIE1378" s="53"/>
      <c r="KIF1378" s="53"/>
      <c r="KIG1378" s="53"/>
      <c r="KIH1378" s="53"/>
      <c r="KII1378" s="53"/>
      <c r="KIJ1378" s="53"/>
      <c r="KIK1378" s="53"/>
      <c r="KIL1378" s="53"/>
      <c r="KIM1378" s="53"/>
      <c r="KIN1378" s="53"/>
      <c r="KIO1378" s="53"/>
      <c r="KIP1378" s="53"/>
      <c r="KIQ1378" s="53"/>
      <c r="KIR1378" s="53"/>
      <c r="KIS1378" s="53"/>
      <c r="KIT1378" s="53"/>
      <c r="KIU1378" s="53"/>
      <c r="KIV1378" s="53"/>
      <c r="KIW1378" s="53"/>
      <c r="KIX1378" s="53"/>
      <c r="KIY1378" s="53"/>
      <c r="KIZ1378" s="53"/>
      <c r="KJA1378" s="53"/>
      <c r="KJB1378" s="53"/>
      <c r="KJC1378" s="53"/>
      <c r="KJD1378" s="53"/>
      <c r="KJE1378" s="53"/>
      <c r="KJF1378" s="53"/>
      <c r="KJG1378" s="53"/>
      <c r="KJH1378" s="53"/>
      <c r="KJI1378" s="53"/>
      <c r="KJJ1378" s="53"/>
      <c r="KJK1378" s="53"/>
      <c r="KJL1378" s="53"/>
      <c r="KJM1378" s="53"/>
      <c r="KJN1378" s="53"/>
      <c r="KJO1378" s="53"/>
      <c r="KJP1378" s="53"/>
      <c r="KJQ1378" s="53"/>
      <c r="KJR1378" s="53"/>
      <c r="KJS1378" s="53"/>
      <c r="KJT1378" s="53"/>
      <c r="KJU1378" s="53"/>
      <c r="KJV1378" s="53"/>
      <c r="KJW1378" s="53"/>
      <c r="KJX1378" s="53"/>
      <c r="KJY1378" s="53"/>
      <c r="KJZ1378" s="53"/>
      <c r="KKA1378" s="53"/>
      <c r="KKB1378" s="53"/>
      <c r="KKC1378" s="53"/>
      <c r="KKD1378" s="53"/>
      <c r="KKE1378" s="53"/>
      <c r="KKF1378" s="53"/>
      <c r="KKG1378" s="53"/>
      <c r="KKH1378" s="53"/>
      <c r="KKI1378" s="53"/>
      <c r="KKJ1378" s="53"/>
      <c r="KKK1378" s="53"/>
      <c r="KKL1378" s="53"/>
      <c r="KKM1378" s="53"/>
      <c r="KKN1378" s="53"/>
      <c r="KKO1378" s="53"/>
      <c r="KKP1378" s="53"/>
      <c r="KKQ1378" s="53"/>
      <c r="KKR1378" s="53"/>
      <c r="KKS1378" s="53"/>
      <c r="KKT1378" s="53"/>
      <c r="KKU1378" s="53"/>
      <c r="KKV1378" s="53"/>
      <c r="KKW1378" s="53"/>
      <c r="KKX1378" s="53"/>
      <c r="KKY1378" s="53"/>
      <c r="KKZ1378" s="53"/>
      <c r="KLA1378" s="53"/>
      <c r="KLB1378" s="53"/>
      <c r="KLC1378" s="53"/>
      <c r="KLD1378" s="53"/>
      <c r="KLE1378" s="53"/>
      <c r="KLF1378" s="53"/>
      <c r="KLG1378" s="53"/>
      <c r="KLH1378" s="53"/>
      <c r="KLI1378" s="53"/>
      <c r="KLJ1378" s="53"/>
      <c r="KLK1378" s="53"/>
      <c r="KLL1378" s="53"/>
      <c r="KLM1378" s="53"/>
      <c r="KLN1378" s="53"/>
      <c r="KLO1378" s="53"/>
      <c r="KLP1378" s="53"/>
      <c r="KLQ1378" s="53"/>
      <c r="KLR1378" s="53"/>
      <c r="KLS1378" s="53"/>
      <c r="KLT1378" s="53"/>
      <c r="KLU1378" s="53"/>
      <c r="KLV1378" s="53"/>
      <c r="KLW1378" s="53"/>
      <c r="KLX1378" s="53"/>
      <c r="KLY1378" s="53"/>
      <c r="KLZ1378" s="53"/>
      <c r="KMA1378" s="53"/>
      <c r="KMB1378" s="53"/>
      <c r="KMC1378" s="53"/>
      <c r="KMD1378" s="53"/>
      <c r="KME1378" s="53"/>
      <c r="KMF1378" s="53"/>
      <c r="KMG1378" s="53"/>
      <c r="KMH1378" s="53"/>
      <c r="KMI1378" s="53"/>
      <c r="KMJ1378" s="53"/>
      <c r="KMK1378" s="53"/>
      <c r="KML1378" s="53"/>
      <c r="KMM1378" s="53"/>
      <c r="KMN1378" s="53"/>
      <c r="KMO1378" s="53"/>
      <c r="KMP1378" s="53"/>
      <c r="KMQ1378" s="53"/>
      <c r="KMR1378" s="53"/>
      <c r="KMS1378" s="53"/>
      <c r="KMT1378" s="53"/>
      <c r="KMU1378" s="53"/>
      <c r="KMV1378" s="53"/>
      <c r="KMW1378" s="53"/>
      <c r="KMX1378" s="53"/>
      <c r="KMY1378" s="53"/>
      <c r="KMZ1378" s="53"/>
      <c r="KNA1378" s="53"/>
      <c r="KNB1378" s="53"/>
      <c r="KNC1378" s="53"/>
      <c r="KND1378" s="53"/>
      <c r="KNE1378" s="53"/>
      <c r="KNF1378" s="53"/>
      <c r="KNG1378" s="53"/>
      <c r="KNH1378" s="53"/>
      <c r="KNI1378" s="53"/>
      <c r="KNJ1378" s="53"/>
      <c r="KNK1378" s="53"/>
      <c r="KNL1378" s="53"/>
      <c r="KNM1378" s="53"/>
      <c r="KNN1378" s="53"/>
      <c r="KNO1378" s="53"/>
      <c r="KNP1378" s="53"/>
      <c r="KNQ1378" s="53"/>
      <c r="KNR1378" s="53"/>
      <c r="KNS1378" s="53"/>
      <c r="KNT1378" s="53"/>
      <c r="KNU1378" s="53"/>
      <c r="KNV1378" s="53"/>
      <c r="KNW1378" s="53"/>
      <c r="KNX1378" s="53"/>
      <c r="KNY1378" s="53"/>
      <c r="KNZ1378" s="53"/>
      <c r="KOA1378" s="53"/>
      <c r="KOB1378" s="53"/>
      <c r="KOC1378" s="53"/>
      <c r="KOD1378" s="53"/>
      <c r="KOE1378" s="53"/>
      <c r="KOF1378" s="53"/>
      <c r="KOG1378" s="53"/>
      <c r="KOH1378" s="53"/>
      <c r="KOI1378" s="53"/>
      <c r="KOJ1378" s="53"/>
      <c r="KOK1378" s="53"/>
      <c r="KOL1378" s="53"/>
      <c r="KOM1378" s="53"/>
      <c r="KON1378" s="53"/>
      <c r="KOO1378" s="53"/>
      <c r="KOP1378" s="53"/>
      <c r="KOQ1378" s="53"/>
      <c r="KOR1378" s="53"/>
      <c r="KOS1378" s="53"/>
      <c r="KOT1378" s="53"/>
      <c r="KOU1378" s="53"/>
      <c r="KOV1378" s="53"/>
      <c r="KOW1378" s="53"/>
      <c r="KOX1378" s="53"/>
      <c r="KOY1378" s="53"/>
      <c r="KOZ1378" s="53"/>
      <c r="KPA1378" s="53"/>
      <c r="KPB1378" s="53"/>
      <c r="KPC1378" s="53"/>
      <c r="KPD1378" s="53"/>
      <c r="KPE1378" s="53"/>
      <c r="KPF1378" s="53"/>
      <c r="KPG1378" s="53"/>
      <c r="KPH1378" s="53"/>
      <c r="KPI1378" s="53"/>
      <c r="KPJ1378" s="53"/>
      <c r="KPK1378" s="53"/>
      <c r="KPL1378" s="53"/>
      <c r="KPM1378" s="53"/>
      <c r="KPN1378" s="53"/>
      <c r="KPO1378" s="53"/>
      <c r="KPP1378" s="53"/>
      <c r="KPQ1378" s="53"/>
      <c r="KPR1378" s="53"/>
      <c r="KPS1378" s="53"/>
      <c r="KPT1378" s="53"/>
      <c r="KPU1378" s="53"/>
      <c r="KPV1378" s="53"/>
      <c r="KPW1378" s="53"/>
      <c r="KPX1378" s="53"/>
      <c r="KPY1378" s="53"/>
      <c r="KPZ1378" s="53"/>
      <c r="KQA1378" s="53"/>
      <c r="KQB1378" s="53"/>
      <c r="KQC1378" s="53"/>
      <c r="KQD1378" s="53"/>
      <c r="KQE1378" s="53"/>
      <c r="KQF1378" s="53"/>
      <c r="KQG1378" s="53"/>
      <c r="KQH1378" s="53"/>
      <c r="KQI1378" s="53"/>
      <c r="KQJ1378" s="53"/>
      <c r="KQK1378" s="53"/>
      <c r="KQL1378" s="53"/>
      <c r="KQM1378" s="53"/>
      <c r="KQN1378" s="53"/>
      <c r="KQO1378" s="53"/>
      <c r="KQP1378" s="53"/>
      <c r="KQQ1378" s="53"/>
      <c r="KQR1378" s="53"/>
      <c r="KQS1378" s="53"/>
      <c r="KQT1378" s="53"/>
      <c r="KQU1378" s="53"/>
      <c r="KQV1378" s="53"/>
      <c r="KQW1378" s="53"/>
      <c r="KQX1378" s="53"/>
      <c r="KQY1378" s="53"/>
      <c r="KQZ1378" s="53"/>
      <c r="KRA1378" s="53"/>
      <c r="KRB1378" s="53"/>
      <c r="KRC1378" s="53"/>
      <c r="KRD1378" s="53"/>
      <c r="KRE1378" s="53"/>
      <c r="KRF1378" s="53"/>
      <c r="KRG1378" s="53"/>
      <c r="KRH1378" s="53"/>
      <c r="KRI1378" s="53"/>
      <c r="KRJ1378" s="53"/>
      <c r="KRK1378" s="53"/>
      <c r="KRL1378" s="53"/>
      <c r="KRM1378" s="53"/>
      <c r="KRN1378" s="53"/>
      <c r="KRO1378" s="53"/>
      <c r="KRP1378" s="53"/>
      <c r="KRQ1378" s="53"/>
      <c r="KRR1378" s="53"/>
      <c r="KRS1378" s="53"/>
      <c r="KRT1378" s="53"/>
      <c r="KRU1378" s="53"/>
      <c r="KRV1378" s="53"/>
      <c r="KRW1378" s="53"/>
      <c r="KRX1378" s="53"/>
      <c r="KRY1378" s="53"/>
      <c r="KRZ1378" s="53"/>
      <c r="KSA1378" s="53"/>
      <c r="KSB1378" s="53"/>
      <c r="KSC1378" s="53"/>
      <c r="KSD1378" s="53"/>
      <c r="KSE1378" s="53"/>
      <c r="KSF1378" s="53"/>
      <c r="KSG1378" s="53"/>
      <c r="KSH1378" s="53"/>
      <c r="KSI1378" s="53"/>
      <c r="KSJ1378" s="53"/>
      <c r="KSK1378" s="53"/>
      <c r="KSL1378" s="53"/>
      <c r="KSM1378" s="53"/>
      <c r="KSN1378" s="53"/>
      <c r="KSO1378" s="53"/>
      <c r="KSP1378" s="53"/>
      <c r="KSQ1378" s="53"/>
      <c r="KSR1378" s="53"/>
      <c r="KSS1378" s="53"/>
      <c r="KST1378" s="53"/>
      <c r="KSU1378" s="53"/>
      <c r="KSV1378" s="53"/>
      <c r="KSW1378" s="53"/>
      <c r="KSX1378" s="53"/>
      <c r="KSY1378" s="53"/>
      <c r="KSZ1378" s="53"/>
      <c r="KTA1378" s="53"/>
      <c r="KTB1378" s="53"/>
      <c r="KTC1378" s="53"/>
      <c r="KTD1378" s="53"/>
      <c r="KTE1378" s="53"/>
      <c r="KTF1378" s="53"/>
      <c r="KTG1378" s="53"/>
      <c r="KTH1378" s="53"/>
      <c r="KTI1378" s="53"/>
      <c r="KTJ1378" s="53"/>
      <c r="KTK1378" s="53"/>
      <c r="KTL1378" s="53"/>
      <c r="KTM1378" s="53"/>
      <c r="KTN1378" s="53"/>
      <c r="KTO1378" s="53"/>
      <c r="KTP1378" s="53"/>
      <c r="KTQ1378" s="53"/>
      <c r="KTR1378" s="53"/>
      <c r="KTS1378" s="53"/>
      <c r="KTT1378" s="53"/>
      <c r="KTU1378" s="53"/>
      <c r="KTV1378" s="53"/>
      <c r="KTW1378" s="53"/>
      <c r="KTX1378" s="53"/>
      <c r="KTY1378" s="53"/>
      <c r="KTZ1378" s="53"/>
      <c r="KUA1378" s="53"/>
      <c r="KUB1378" s="53"/>
      <c r="KUC1378" s="53"/>
      <c r="KUD1378" s="53"/>
      <c r="KUE1378" s="53"/>
      <c r="KUF1378" s="53"/>
      <c r="KUG1378" s="53"/>
      <c r="KUH1378" s="53"/>
      <c r="KUI1378" s="53"/>
      <c r="KUJ1378" s="53"/>
      <c r="KUK1378" s="53"/>
      <c r="KUL1378" s="53"/>
      <c r="KUM1378" s="53"/>
      <c r="KUN1378" s="53"/>
      <c r="KUO1378" s="53"/>
      <c r="KUP1378" s="53"/>
      <c r="KUQ1378" s="53"/>
      <c r="KUR1378" s="53"/>
      <c r="KUS1378" s="53"/>
      <c r="KUT1378" s="53"/>
      <c r="KUU1378" s="53"/>
      <c r="KUV1378" s="53"/>
      <c r="KUW1378" s="53"/>
      <c r="KUX1378" s="53"/>
      <c r="KUY1378" s="53"/>
      <c r="KUZ1378" s="53"/>
      <c r="KVA1378" s="53"/>
      <c r="KVB1378" s="53"/>
      <c r="KVC1378" s="53"/>
      <c r="KVD1378" s="53"/>
      <c r="KVE1378" s="53"/>
      <c r="KVF1378" s="53"/>
      <c r="KVG1378" s="53"/>
      <c r="KVH1378" s="53"/>
      <c r="KVI1378" s="53"/>
      <c r="KVJ1378" s="53"/>
      <c r="KVK1378" s="53"/>
      <c r="KVL1378" s="53"/>
      <c r="KVM1378" s="53"/>
      <c r="KVN1378" s="53"/>
      <c r="KVO1378" s="53"/>
      <c r="KVP1378" s="53"/>
      <c r="KVQ1378" s="53"/>
      <c r="KVR1378" s="53"/>
      <c r="KVS1378" s="53"/>
      <c r="KVT1378" s="53"/>
      <c r="KVU1378" s="53"/>
      <c r="KVV1378" s="53"/>
      <c r="KVW1378" s="53"/>
      <c r="KVX1378" s="53"/>
      <c r="KVY1378" s="53"/>
      <c r="KVZ1378" s="53"/>
      <c r="KWA1378" s="53"/>
      <c r="KWB1378" s="53"/>
      <c r="KWC1378" s="53"/>
      <c r="KWD1378" s="53"/>
      <c r="KWE1378" s="53"/>
      <c r="KWF1378" s="53"/>
      <c r="KWG1378" s="53"/>
      <c r="KWH1378" s="53"/>
      <c r="KWI1378" s="53"/>
      <c r="KWJ1378" s="53"/>
      <c r="KWK1378" s="53"/>
      <c r="KWL1378" s="53"/>
      <c r="KWM1378" s="53"/>
      <c r="KWN1378" s="53"/>
      <c r="KWO1378" s="53"/>
      <c r="KWP1378" s="53"/>
      <c r="KWQ1378" s="53"/>
      <c r="KWR1378" s="53"/>
      <c r="KWS1378" s="53"/>
      <c r="KWT1378" s="53"/>
      <c r="KWU1378" s="53"/>
      <c r="KWV1378" s="53"/>
      <c r="KWW1378" s="53"/>
      <c r="KWX1378" s="53"/>
      <c r="KWY1378" s="53"/>
      <c r="KWZ1378" s="53"/>
      <c r="KXA1378" s="53"/>
      <c r="KXB1378" s="53"/>
      <c r="KXC1378" s="53"/>
      <c r="KXD1378" s="53"/>
      <c r="KXE1378" s="53"/>
      <c r="KXF1378" s="53"/>
      <c r="KXG1378" s="53"/>
      <c r="KXH1378" s="53"/>
      <c r="KXI1378" s="53"/>
      <c r="KXJ1378" s="53"/>
      <c r="KXK1378" s="53"/>
      <c r="KXL1378" s="53"/>
      <c r="KXM1378" s="53"/>
      <c r="KXN1378" s="53"/>
      <c r="KXO1378" s="53"/>
      <c r="KXP1378" s="53"/>
      <c r="KXQ1378" s="53"/>
      <c r="KXR1378" s="53"/>
      <c r="KXS1378" s="53"/>
      <c r="KXT1378" s="53"/>
      <c r="KXU1378" s="53"/>
      <c r="KXV1378" s="53"/>
      <c r="KXW1378" s="53"/>
      <c r="KXX1378" s="53"/>
      <c r="KXY1378" s="53"/>
      <c r="KXZ1378" s="53"/>
      <c r="KYA1378" s="53"/>
      <c r="KYB1378" s="53"/>
      <c r="KYC1378" s="53"/>
      <c r="KYD1378" s="53"/>
      <c r="KYE1378" s="53"/>
      <c r="KYF1378" s="53"/>
      <c r="KYG1378" s="53"/>
      <c r="KYH1378" s="53"/>
      <c r="KYI1378" s="53"/>
      <c r="KYJ1378" s="53"/>
      <c r="KYK1378" s="53"/>
      <c r="KYL1378" s="53"/>
      <c r="KYM1378" s="53"/>
      <c r="KYN1378" s="53"/>
      <c r="KYO1378" s="53"/>
      <c r="KYP1378" s="53"/>
      <c r="KYQ1378" s="53"/>
      <c r="KYR1378" s="53"/>
      <c r="KYS1378" s="53"/>
      <c r="KYT1378" s="53"/>
      <c r="KYU1378" s="53"/>
      <c r="KYV1378" s="53"/>
      <c r="KYW1378" s="53"/>
      <c r="KYX1378" s="53"/>
      <c r="KYY1378" s="53"/>
      <c r="KYZ1378" s="53"/>
      <c r="KZA1378" s="53"/>
      <c r="KZB1378" s="53"/>
      <c r="KZC1378" s="53"/>
      <c r="KZD1378" s="53"/>
      <c r="KZE1378" s="53"/>
      <c r="KZF1378" s="53"/>
      <c r="KZG1378" s="53"/>
      <c r="KZH1378" s="53"/>
      <c r="KZI1378" s="53"/>
      <c r="KZJ1378" s="53"/>
      <c r="KZK1378" s="53"/>
      <c r="KZL1378" s="53"/>
      <c r="KZM1378" s="53"/>
      <c r="KZN1378" s="53"/>
      <c r="KZO1378" s="53"/>
      <c r="KZP1378" s="53"/>
      <c r="KZQ1378" s="53"/>
      <c r="KZR1378" s="53"/>
      <c r="KZS1378" s="53"/>
      <c r="KZT1378" s="53"/>
      <c r="KZU1378" s="53"/>
      <c r="KZV1378" s="53"/>
      <c r="KZW1378" s="53"/>
      <c r="KZX1378" s="53"/>
      <c r="KZY1378" s="53"/>
      <c r="KZZ1378" s="53"/>
      <c r="LAA1378" s="53"/>
      <c r="LAB1378" s="53"/>
      <c r="LAC1378" s="53"/>
      <c r="LAD1378" s="53"/>
      <c r="LAE1378" s="53"/>
      <c r="LAF1378" s="53"/>
      <c r="LAG1378" s="53"/>
      <c r="LAH1378" s="53"/>
      <c r="LAI1378" s="53"/>
      <c r="LAJ1378" s="53"/>
      <c r="LAK1378" s="53"/>
      <c r="LAL1378" s="53"/>
      <c r="LAM1378" s="53"/>
      <c r="LAN1378" s="53"/>
      <c r="LAO1378" s="53"/>
      <c r="LAP1378" s="53"/>
      <c r="LAQ1378" s="53"/>
      <c r="LAR1378" s="53"/>
      <c r="LAS1378" s="53"/>
      <c r="LAT1378" s="53"/>
      <c r="LAU1378" s="53"/>
      <c r="LAV1378" s="53"/>
      <c r="LAW1378" s="53"/>
      <c r="LAX1378" s="53"/>
      <c r="LAY1378" s="53"/>
      <c r="LAZ1378" s="53"/>
      <c r="LBA1378" s="53"/>
      <c r="LBB1378" s="53"/>
      <c r="LBC1378" s="53"/>
      <c r="LBD1378" s="53"/>
      <c r="LBE1378" s="53"/>
      <c r="LBF1378" s="53"/>
      <c r="LBG1378" s="53"/>
      <c r="LBH1378" s="53"/>
      <c r="LBI1378" s="53"/>
      <c r="LBJ1378" s="53"/>
      <c r="LBK1378" s="53"/>
      <c r="LBL1378" s="53"/>
      <c r="LBM1378" s="53"/>
      <c r="LBN1378" s="53"/>
      <c r="LBO1378" s="53"/>
      <c r="LBP1378" s="53"/>
      <c r="LBQ1378" s="53"/>
      <c r="LBR1378" s="53"/>
      <c r="LBS1378" s="53"/>
      <c r="LBT1378" s="53"/>
      <c r="LBU1378" s="53"/>
      <c r="LBV1378" s="53"/>
      <c r="LBW1378" s="53"/>
      <c r="LBX1378" s="53"/>
      <c r="LBY1378" s="53"/>
      <c r="LBZ1378" s="53"/>
      <c r="LCA1378" s="53"/>
      <c r="LCB1378" s="53"/>
      <c r="LCC1378" s="53"/>
      <c r="LCD1378" s="53"/>
      <c r="LCE1378" s="53"/>
      <c r="LCF1378" s="53"/>
      <c r="LCG1378" s="53"/>
      <c r="LCH1378" s="53"/>
      <c r="LCI1378" s="53"/>
      <c r="LCJ1378" s="53"/>
      <c r="LCK1378" s="53"/>
      <c r="LCL1378" s="53"/>
      <c r="LCM1378" s="53"/>
      <c r="LCN1378" s="53"/>
      <c r="LCO1378" s="53"/>
      <c r="LCP1378" s="53"/>
      <c r="LCQ1378" s="53"/>
      <c r="LCR1378" s="53"/>
      <c r="LCS1378" s="53"/>
      <c r="LCT1378" s="53"/>
      <c r="LCU1378" s="53"/>
      <c r="LCV1378" s="53"/>
      <c r="LCW1378" s="53"/>
      <c r="LCX1378" s="53"/>
      <c r="LCY1378" s="53"/>
      <c r="LCZ1378" s="53"/>
      <c r="LDA1378" s="53"/>
      <c r="LDB1378" s="53"/>
      <c r="LDC1378" s="53"/>
      <c r="LDD1378" s="53"/>
      <c r="LDE1378" s="53"/>
      <c r="LDF1378" s="53"/>
      <c r="LDG1378" s="53"/>
      <c r="LDH1378" s="53"/>
      <c r="LDI1378" s="53"/>
      <c r="LDJ1378" s="53"/>
      <c r="LDK1378" s="53"/>
      <c r="LDL1378" s="53"/>
      <c r="LDM1378" s="53"/>
      <c r="LDN1378" s="53"/>
      <c r="LDO1378" s="53"/>
      <c r="LDP1378" s="53"/>
      <c r="LDQ1378" s="53"/>
      <c r="LDR1378" s="53"/>
      <c r="LDS1378" s="53"/>
      <c r="LDT1378" s="53"/>
      <c r="LDU1378" s="53"/>
      <c r="LDV1378" s="53"/>
      <c r="LDW1378" s="53"/>
      <c r="LDX1378" s="53"/>
      <c r="LDY1378" s="53"/>
      <c r="LDZ1378" s="53"/>
      <c r="LEA1378" s="53"/>
      <c r="LEB1378" s="53"/>
      <c r="LEC1378" s="53"/>
      <c r="LED1378" s="53"/>
      <c r="LEE1378" s="53"/>
      <c r="LEF1378" s="53"/>
      <c r="LEG1378" s="53"/>
      <c r="LEH1378" s="53"/>
      <c r="LEI1378" s="53"/>
      <c r="LEJ1378" s="53"/>
      <c r="LEK1378" s="53"/>
      <c r="LEL1378" s="53"/>
      <c r="LEM1378" s="53"/>
      <c r="LEN1378" s="53"/>
      <c r="LEO1378" s="53"/>
      <c r="LEP1378" s="53"/>
      <c r="LEQ1378" s="53"/>
      <c r="LER1378" s="53"/>
      <c r="LES1378" s="53"/>
      <c r="LET1378" s="53"/>
      <c r="LEU1378" s="53"/>
      <c r="LEV1378" s="53"/>
      <c r="LEW1378" s="53"/>
      <c r="LEX1378" s="53"/>
      <c r="LEY1378" s="53"/>
      <c r="LEZ1378" s="53"/>
      <c r="LFA1378" s="53"/>
      <c r="LFB1378" s="53"/>
      <c r="LFC1378" s="53"/>
      <c r="LFD1378" s="53"/>
      <c r="LFE1378" s="53"/>
      <c r="LFF1378" s="53"/>
      <c r="LFG1378" s="53"/>
      <c r="LFH1378" s="53"/>
      <c r="LFI1378" s="53"/>
      <c r="LFJ1378" s="53"/>
      <c r="LFK1378" s="53"/>
      <c r="LFL1378" s="53"/>
      <c r="LFM1378" s="53"/>
      <c r="LFN1378" s="53"/>
      <c r="LFO1378" s="53"/>
      <c r="LFP1378" s="53"/>
      <c r="LFQ1378" s="53"/>
      <c r="LFR1378" s="53"/>
      <c r="LFS1378" s="53"/>
      <c r="LFT1378" s="53"/>
      <c r="LFU1378" s="53"/>
      <c r="LFV1378" s="53"/>
      <c r="LFW1378" s="53"/>
      <c r="LFX1378" s="53"/>
      <c r="LFY1378" s="53"/>
      <c r="LFZ1378" s="53"/>
      <c r="LGA1378" s="53"/>
      <c r="LGB1378" s="53"/>
      <c r="LGC1378" s="53"/>
      <c r="LGD1378" s="53"/>
      <c r="LGE1378" s="53"/>
      <c r="LGF1378" s="53"/>
      <c r="LGG1378" s="53"/>
      <c r="LGH1378" s="53"/>
      <c r="LGI1378" s="53"/>
      <c r="LGJ1378" s="53"/>
      <c r="LGK1378" s="53"/>
      <c r="LGL1378" s="53"/>
      <c r="LGM1378" s="53"/>
      <c r="LGN1378" s="53"/>
      <c r="LGO1378" s="53"/>
      <c r="LGP1378" s="53"/>
      <c r="LGQ1378" s="53"/>
      <c r="LGR1378" s="53"/>
      <c r="LGS1378" s="53"/>
      <c r="LGT1378" s="53"/>
      <c r="LGU1378" s="53"/>
      <c r="LGV1378" s="53"/>
      <c r="LGW1378" s="53"/>
      <c r="LGX1378" s="53"/>
      <c r="LGY1378" s="53"/>
      <c r="LGZ1378" s="53"/>
      <c r="LHA1378" s="53"/>
      <c r="LHB1378" s="53"/>
      <c r="LHC1378" s="53"/>
      <c r="LHD1378" s="53"/>
      <c r="LHE1378" s="53"/>
      <c r="LHF1378" s="53"/>
      <c r="LHG1378" s="53"/>
      <c r="LHH1378" s="53"/>
      <c r="LHI1378" s="53"/>
      <c r="LHJ1378" s="53"/>
      <c r="LHK1378" s="53"/>
      <c r="LHL1378" s="53"/>
      <c r="LHM1378" s="53"/>
      <c r="LHN1378" s="53"/>
      <c r="LHO1378" s="53"/>
      <c r="LHP1378" s="53"/>
      <c r="LHQ1378" s="53"/>
      <c r="LHR1378" s="53"/>
      <c r="LHS1378" s="53"/>
      <c r="LHT1378" s="53"/>
      <c r="LHU1378" s="53"/>
      <c r="LHV1378" s="53"/>
      <c r="LHW1378" s="53"/>
      <c r="LHX1378" s="53"/>
      <c r="LHY1378" s="53"/>
      <c r="LHZ1378" s="53"/>
      <c r="LIA1378" s="53"/>
      <c r="LIB1378" s="53"/>
      <c r="LIC1378" s="53"/>
      <c r="LID1378" s="53"/>
      <c r="LIE1378" s="53"/>
      <c r="LIF1378" s="53"/>
      <c r="LIG1378" s="53"/>
      <c r="LIH1378" s="53"/>
      <c r="LII1378" s="53"/>
      <c r="LIJ1378" s="53"/>
      <c r="LIK1378" s="53"/>
      <c r="LIL1378" s="53"/>
      <c r="LIM1378" s="53"/>
      <c r="LIN1378" s="53"/>
      <c r="LIO1378" s="53"/>
      <c r="LIP1378" s="53"/>
      <c r="LIQ1378" s="53"/>
      <c r="LIR1378" s="53"/>
      <c r="LIS1378" s="53"/>
      <c r="LIT1378" s="53"/>
      <c r="LIU1378" s="53"/>
      <c r="LIV1378" s="53"/>
      <c r="LIW1378" s="53"/>
      <c r="LIX1378" s="53"/>
      <c r="LIY1378" s="53"/>
      <c r="LIZ1378" s="53"/>
      <c r="LJA1378" s="53"/>
      <c r="LJB1378" s="53"/>
      <c r="LJC1378" s="53"/>
      <c r="LJD1378" s="53"/>
      <c r="LJE1378" s="53"/>
      <c r="LJF1378" s="53"/>
      <c r="LJG1378" s="53"/>
      <c r="LJH1378" s="53"/>
      <c r="LJI1378" s="53"/>
      <c r="LJJ1378" s="53"/>
      <c r="LJK1378" s="53"/>
      <c r="LJL1378" s="53"/>
      <c r="LJM1378" s="53"/>
      <c r="LJN1378" s="53"/>
      <c r="LJO1378" s="53"/>
      <c r="LJP1378" s="53"/>
      <c r="LJQ1378" s="53"/>
      <c r="LJR1378" s="53"/>
      <c r="LJS1378" s="53"/>
      <c r="LJT1378" s="53"/>
      <c r="LJU1378" s="53"/>
      <c r="LJV1378" s="53"/>
      <c r="LJW1378" s="53"/>
      <c r="LJX1378" s="53"/>
      <c r="LJY1378" s="53"/>
      <c r="LJZ1378" s="53"/>
      <c r="LKA1378" s="53"/>
      <c r="LKB1378" s="53"/>
      <c r="LKC1378" s="53"/>
      <c r="LKD1378" s="53"/>
      <c r="LKE1378" s="53"/>
      <c r="LKF1378" s="53"/>
      <c r="LKG1378" s="53"/>
      <c r="LKH1378" s="53"/>
      <c r="LKI1378" s="53"/>
      <c r="LKJ1378" s="53"/>
      <c r="LKK1378" s="53"/>
      <c r="LKL1378" s="53"/>
      <c r="LKM1378" s="53"/>
      <c r="LKN1378" s="53"/>
      <c r="LKO1378" s="53"/>
      <c r="LKP1378" s="53"/>
      <c r="LKQ1378" s="53"/>
      <c r="LKR1378" s="53"/>
      <c r="LKS1378" s="53"/>
      <c r="LKT1378" s="53"/>
      <c r="LKU1378" s="53"/>
      <c r="LKV1378" s="53"/>
      <c r="LKW1378" s="53"/>
      <c r="LKX1378" s="53"/>
      <c r="LKY1378" s="53"/>
      <c r="LKZ1378" s="53"/>
      <c r="LLA1378" s="53"/>
      <c r="LLB1378" s="53"/>
      <c r="LLC1378" s="53"/>
      <c r="LLD1378" s="53"/>
      <c r="LLE1378" s="53"/>
      <c r="LLF1378" s="53"/>
      <c r="LLG1378" s="53"/>
      <c r="LLH1378" s="53"/>
      <c r="LLI1378" s="53"/>
      <c r="LLJ1378" s="53"/>
      <c r="LLK1378" s="53"/>
      <c r="LLL1378" s="53"/>
      <c r="LLM1378" s="53"/>
      <c r="LLN1378" s="53"/>
      <c r="LLO1378" s="53"/>
      <c r="LLP1378" s="53"/>
      <c r="LLQ1378" s="53"/>
      <c r="LLR1378" s="53"/>
      <c r="LLS1378" s="53"/>
      <c r="LLT1378" s="53"/>
      <c r="LLU1378" s="53"/>
      <c r="LLV1378" s="53"/>
      <c r="LLW1378" s="53"/>
      <c r="LLX1378" s="53"/>
      <c r="LLY1378" s="53"/>
      <c r="LLZ1378" s="53"/>
      <c r="LMA1378" s="53"/>
      <c r="LMB1378" s="53"/>
      <c r="LMC1378" s="53"/>
      <c r="LMD1378" s="53"/>
      <c r="LME1378" s="53"/>
      <c r="LMF1378" s="53"/>
      <c r="LMG1378" s="53"/>
      <c r="LMH1378" s="53"/>
      <c r="LMI1378" s="53"/>
      <c r="LMJ1378" s="53"/>
      <c r="LMK1378" s="53"/>
      <c r="LML1378" s="53"/>
      <c r="LMM1378" s="53"/>
      <c r="LMN1378" s="53"/>
      <c r="LMO1378" s="53"/>
      <c r="LMP1378" s="53"/>
      <c r="LMQ1378" s="53"/>
      <c r="LMR1378" s="53"/>
      <c r="LMS1378" s="53"/>
      <c r="LMT1378" s="53"/>
      <c r="LMU1378" s="53"/>
      <c r="LMV1378" s="53"/>
      <c r="LMW1378" s="53"/>
      <c r="LMX1378" s="53"/>
      <c r="LMY1378" s="53"/>
      <c r="LMZ1378" s="53"/>
      <c r="LNA1378" s="53"/>
      <c r="LNB1378" s="53"/>
      <c r="LNC1378" s="53"/>
      <c r="LND1378" s="53"/>
      <c r="LNE1378" s="53"/>
      <c r="LNF1378" s="53"/>
      <c r="LNG1378" s="53"/>
      <c r="LNH1378" s="53"/>
      <c r="LNI1378" s="53"/>
      <c r="LNJ1378" s="53"/>
      <c r="LNK1378" s="53"/>
      <c r="LNL1378" s="53"/>
      <c r="LNM1378" s="53"/>
      <c r="LNN1378" s="53"/>
      <c r="LNO1378" s="53"/>
      <c r="LNP1378" s="53"/>
      <c r="LNQ1378" s="53"/>
      <c r="LNR1378" s="53"/>
      <c r="LNS1378" s="53"/>
      <c r="LNT1378" s="53"/>
      <c r="LNU1378" s="53"/>
      <c r="LNV1378" s="53"/>
      <c r="LNW1378" s="53"/>
      <c r="LNX1378" s="53"/>
      <c r="LNY1378" s="53"/>
      <c r="LNZ1378" s="53"/>
      <c r="LOA1378" s="53"/>
      <c r="LOB1378" s="53"/>
      <c r="LOC1378" s="53"/>
      <c r="LOD1378" s="53"/>
      <c r="LOE1378" s="53"/>
      <c r="LOF1378" s="53"/>
      <c r="LOG1378" s="53"/>
      <c r="LOH1378" s="53"/>
      <c r="LOI1378" s="53"/>
      <c r="LOJ1378" s="53"/>
      <c r="LOK1378" s="53"/>
      <c r="LOL1378" s="53"/>
      <c r="LOM1378" s="53"/>
      <c r="LON1378" s="53"/>
      <c r="LOO1378" s="53"/>
      <c r="LOP1378" s="53"/>
      <c r="LOQ1378" s="53"/>
      <c r="LOR1378" s="53"/>
      <c r="LOS1378" s="53"/>
      <c r="LOT1378" s="53"/>
      <c r="LOU1378" s="53"/>
      <c r="LOV1378" s="53"/>
      <c r="LOW1378" s="53"/>
      <c r="LOX1378" s="53"/>
      <c r="LOY1378" s="53"/>
      <c r="LOZ1378" s="53"/>
      <c r="LPA1378" s="53"/>
      <c r="LPB1378" s="53"/>
      <c r="LPC1378" s="53"/>
      <c r="LPD1378" s="53"/>
      <c r="LPE1378" s="53"/>
      <c r="LPF1378" s="53"/>
      <c r="LPG1378" s="53"/>
      <c r="LPH1378" s="53"/>
      <c r="LPI1378" s="53"/>
      <c r="LPJ1378" s="53"/>
      <c r="LPK1378" s="53"/>
      <c r="LPL1378" s="53"/>
      <c r="LPM1378" s="53"/>
      <c r="LPN1378" s="53"/>
      <c r="LPO1378" s="53"/>
      <c r="LPP1378" s="53"/>
      <c r="LPQ1378" s="53"/>
      <c r="LPR1378" s="53"/>
      <c r="LPS1378" s="53"/>
      <c r="LPT1378" s="53"/>
      <c r="LPU1378" s="53"/>
      <c r="LPV1378" s="53"/>
      <c r="LPW1378" s="53"/>
      <c r="LPX1378" s="53"/>
      <c r="LPY1378" s="53"/>
      <c r="LPZ1378" s="53"/>
      <c r="LQA1378" s="53"/>
      <c r="LQB1378" s="53"/>
      <c r="LQC1378" s="53"/>
      <c r="LQD1378" s="53"/>
      <c r="LQE1378" s="53"/>
      <c r="LQF1378" s="53"/>
      <c r="LQG1378" s="53"/>
      <c r="LQH1378" s="53"/>
      <c r="LQI1378" s="53"/>
      <c r="LQJ1378" s="53"/>
      <c r="LQK1378" s="53"/>
      <c r="LQL1378" s="53"/>
      <c r="LQM1378" s="53"/>
      <c r="LQN1378" s="53"/>
      <c r="LQO1378" s="53"/>
      <c r="LQP1378" s="53"/>
      <c r="LQQ1378" s="53"/>
      <c r="LQR1378" s="53"/>
      <c r="LQS1378" s="53"/>
      <c r="LQT1378" s="53"/>
      <c r="LQU1378" s="53"/>
      <c r="LQV1378" s="53"/>
      <c r="LQW1378" s="53"/>
      <c r="LQX1378" s="53"/>
      <c r="LQY1378" s="53"/>
      <c r="LQZ1378" s="53"/>
      <c r="LRA1378" s="53"/>
      <c r="LRB1378" s="53"/>
      <c r="LRC1378" s="53"/>
      <c r="LRD1378" s="53"/>
      <c r="LRE1378" s="53"/>
      <c r="LRF1378" s="53"/>
      <c r="LRG1378" s="53"/>
      <c r="LRH1378" s="53"/>
      <c r="LRI1378" s="53"/>
      <c r="LRJ1378" s="53"/>
      <c r="LRK1378" s="53"/>
      <c r="LRL1378" s="53"/>
      <c r="LRM1378" s="53"/>
      <c r="LRN1378" s="53"/>
      <c r="LRO1378" s="53"/>
      <c r="LRP1378" s="53"/>
      <c r="LRQ1378" s="53"/>
      <c r="LRR1378" s="53"/>
      <c r="LRS1378" s="53"/>
      <c r="LRT1378" s="53"/>
      <c r="LRU1378" s="53"/>
      <c r="LRV1378" s="53"/>
      <c r="LRW1378" s="53"/>
      <c r="LRX1378" s="53"/>
      <c r="LRY1378" s="53"/>
      <c r="LRZ1378" s="53"/>
      <c r="LSA1378" s="53"/>
      <c r="LSB1378" s="53"/>
      <c r="LSC1378" s="53"/>
      <c r="LSD1378" s="53"/>
      <c r="LSE1378" s="53"/>
      <c r="LSF1378" s="53"/>
      <c r="LSG1378" s="53"/>
      <c r="LSH1378" s="53"/>
      <c r="LSI1378" s="53"/>
      <c r="LSJ1378" s="53"/>
      <c r="LSK1378" s="53"/>
      <c r="LSL1378" s="53"/>
      <c r="LSM1378" s="53"/>
      <c r="LSN1378" s="53"/>
      <c r="LSO1378" s="53"/>
      <c r="LSP1378" s="53"/>
      <c r="LSQ1378" s="53"/>
      <c r="LSR1378" s="53"/>
      <c r="LSS1378" s="53"/>
      <c r="LST1378" s="53"/>
      <c r="LSU1378" s="53"/>
      <c r="LSV1378" s="53"/>
      <c r="LSW1378" s="53"/>
      <c r="LSX1378" s="53"/>
      <c r="LSY1378" s="53"/>
      <c r="LSZ1378" s="53"/>
      <c r="LTA1378" s="53"/>
      <c r="LTB1378" s="53"/>
      <c r="LTC1378" s="53"/>
      <c r="LTD1378" s="53"/>
      <c r="LTE1378" s="53"/>
      <c r="LTF1378" s="53"/>
      <c r="LTG1378" s="53"/>
      <c r="LTH1378" s="53"/>
      <c r="LTI1378" s="53"/>
      <c r="LTJ1378" s="53"/>
      <c r="LTK1378" s="53"/>
      <c r="LTL1378" s="53"/>
      <c r="LTM1378" s="53"/>
      <c r="LTN1378" s="53"/>
      <c r="LTO1378" s="53"/>
      <c r="LTP1378" s="53"/>
      <c r="LTQ1378" s="53"/>
      <c r="LTR1378" s="53"/>
      <c r="LTS1378" s="53"/>
      <c r="LTT1378" s="53"/>
      <c r="LTU1378" s="53"/>
      <c r="LTV1378" s="53"/>
      <c r="LTW1378" s="53"/>
      <c r="LTX1378" s="53"/>
      <c r="LTY1378" s="53"/>
      <c r="LTZ1378" s="53"/>
      <c r="LUA1378" s="53"/>
      <c r="LUB1378" s="53"/>
      <c r="LUC1378" s="53"/>
      <c r="LUD1378" s="53"/>
      <c r="LUE1378" s="53"/>
      <c r="LUF1378" s="53"/>
      <c r="LUG1378" s="53"/>
      <c r="LUH1378" s="53"/>
      <c r="LUI1378" s="53"/>
      <c r="LUJ1378" s="53"/>
      <c r="LUK1378" s="53"/>
      <c r="LUL1378" s="53"/>
      <c r="LUM1378" s="53"/>
      <c r="LUN1378" s="53"/>
      <c r="LUO1378" s="53"/>
      <c r="LUP1378" s="53"/>
      <c r="LUQ1378" s="53"/>
      <c r="LUR1378" s="53"/>
      <c r="LUS1378" s="53"/>
      <c r="LUT1378" s="53"/>
      <c r="LUU1378" s="53"/>
      <c r="LUV1378" s="53"/>
      <c r="LUW1378" s="53"/>
      <c r="LUX1378" s="53"/>
      <c r="LUY1378" s="53"/>
      <c r="LUZ1378" s="53"/>
      <c r="LVA1378" s="53"/>
      <c r="LVB1378" s="53"/>
      <c r="LVC1378" s="53"/>
      <c r="LVD1378" s="53"/>
      <c r="LVE1378" s="53"/>
      <c r="LVF1378" s="53"/>
      <c r="LVG1378" s="53"/>
      <c r="LVH1378" s="53"/>
      <c r="LVI1378" s="53"/>
      <c r="LVJ1378" s="53"/>
      <c r="LVK1378" s="53"/>
      <c r="LVL1378" s="53"/>
      <c r="LVM1378" s="53"/>
      <c r="LVN1378" s="53"/>
      <c r="LVO1378" s="53"/>
      <c r="LVP1378" s="53"/>
      <c r="LVQ1378" s="53"/>
      <c r="LVR1378" s="53"/>
      <c r="LVS1378" s="53"/>
      <c r="LVT1378" s="53"/>
      <c r="LVU1378" s="53"/>
      <c r="LVV1378" s="53"/>
      <c r="LVW1378" s="53"/>
      <c r="LVX1378" s="53"/>
      <c r="LVY1378" s="53"/>
      <c r="LVZ1378" s="53"/>
      <c r="LWA1378" s="53"/>
      <c r="LWB1378" s="53"/>
      <c r="LWC1378" s="53"/>
      <c r="LWD1378" s="53"/>
      <c r="LWE1378" s="53"/>
      <c r="LWF1378" s="53"/>
      <c r="LWG1378" s="53"/>
      <c r="LWH1378" s="53"/>
      <c r="LWI1378" s="53"/>
      <c r="LWJ1378" s="53"/>
      <c r="LWK1378" s="53"/>
      <c r="LWL1378" s="53"/>
      <c r="LWM1378" s="53"/>
      <c r="LWN1378" s="53"/>
      <c r="LWO1378" s="53"/>
      <c r="LWP1378" s="53"/>
      <c r="LWQ1378" s="53"/>
      <c r="LWR1378" s="53"/>
      <c r="LWS1378" s="53"/>
      <c r="LWT1378" s="53"/>
      <c r="LWU1378" s="53"/>
      <c r="LWV1378" s="53"/>
      <c r="LWW1378" s="53"/>
      <c r="LWX1378" s="53"/>
      <c r="LWY1378" s="53"/>
      <c r="LWZ1378" s="53"/>
      <c r="LXA1378" s="53"/>
      <c r="LXB1378" s="53"/>
      <c r="LXC1378" s="53"/>
      <c r="LXD1378" s="53"/>
      <c r="LXE1378" s="53"/>
      <c r="LXF1378" s="53"/>
      <c r="LXG1378" s="53"/>
      <c r="LXH1378" s="53"/>
      <c r="LXI1378" s="53"/>
      <c r="LXJ1378" s="53"/>
      <c r="LXK1378" s="53"/>
      <c r="LXL1378" s="53"/>
      <c r="LXM1378" s="53"/>
      <c r="LXN1378" s="53"/>
      <c r="LXO1378" s="53"/>
      <c r="LXP1378" s="53"/>
      <c r="LXQ1378" s="53"/>
      <c r="LXR1378" s="53"/>
      <c r="LXS1378" s="53"/>
      <c r="LXT1378" s="53"/>
      <c r="LXU1378" s="53"/>
      <c r="LXV1378" s="53"/>
      <c r="LXW1378" s="53"/>
      <c r="LXX1378" s="53"/>
      <c r="LXY1378" s="53"/>
      <c r="LXZ1378" s="53"/>
      <c r="LYA1378" s="53"/>
      <c r="LYB1378" s="53"/>
      <c r="LYC1378" s="53"/>
      <c r="LYD1378" s="53"/>
      <c r="LYE1378" s="53"/>
      <c r="LYF1378" s="53"/>
      <c r="LYG1378" s="53"/>
      <c r="LYH1378" s="53"/>
      <c r="LYI1378" s="53"/>
      <c r="LYJ1378" s="53"/>
      <c r="LYK1378" s="53"/>
      <c r="LYL1378" s="53"/>
      <c r="LYM1378" s="53"/>
      <c r="LYN1378" s="53"/>
      <c r="LYO1378" s="53"/>
      <c r="LYP1378" s="53"/>
      <c r="LYQ1378" s="53"/>
      <c r="LYR1378" s="53"/>
      <c r="LYS1378" s="53"/>
      <c r="LYT1378" s="53"/>
      <c r="LYU1378" s="53"/>
      <c r="LYV1378" s="53"/>
      <c r="LYW1378" s="53"/>
      <c r="LYX1378" s="53"/>
      <c r="LYY1378" s="53"/>
      <c r="LYZ1378" s="53"/>
      <c r="LZA1378" s="53"/>
      <c r="LZB1378" s="53"/>
      <c r="LZC1378" s="53"/>
      <c r="LZD1378" s="53"/>
      <c r="LZE1378" s="53"/>
      <c r="LZF1378" s="53"/>
      <c r="LZG1378" s="53"/>
      <c r="LZH1378" s="53"/>
      <c r="LZI1378" s="53"/>
      <c r="LZJ1378" s="53"/>
      <c r="LZK1378" s="53"/>
      <c r="LZL1378" s="53"/>
      <c r="LZM1378" s="53"/>
      <c r="LZN1378" s="53"/>
      <c r="LZO1378" s="53"/>
      <c r="LZP1378" s="53"/>
      <c r="LZQ1378" s="53"/>
      <c r="LZR1378" s="53"/>
      <c r="LZS1378" s="53"/>
      <c r="LZT1378" s="53"/>
      <c r="LZU1378" s="53"/>
      <c r="LZV1378" s="53"/>
      <c r="LZW1378" s="53"/>
      <c r="LZX1378" s="53"/>
      <c r="LZY1378" s="53"/>
      <c r="LZZ1378" s="53"/>
      <c r="MAA1378" s="53"/>
      <c r="MAB1378" s="53"/>
      <c r="MAC1378" s="53"/>
      <c r="MAD1378" s="53"/>
      <c r="MAE1378" s="53"/>
      <c r="MAF1378" s="53"/>
      <c r="MAG1378" s="53"/>
      <c r="MAH1378" s="53"/>
      <c r="MAI1378" s="53"/>
      <c r="MAJ1378" s="53"/>
      <c r="MAK1378" s="53"/>
      <c r="MAL1378" s="53"/>
      <c r="MAM1378" s="53"/>
      <c r="MAN1378" s="53"/>
      <c r="MAO1378" s="53"/>
      <c r="MAP1378" s="53"/>
      <c r="MAQ1378" s="53"/>
      <c r="MAR1378" s="53"/>
      <c r="MAS1378" s="53"/>
      <c r="MAT1378" s="53"/>
      <c r="MAU1378" s="53"/>
      <c r="MAV1378" s="53"/>
      <c r="MAW1378" s="53"/>
      <c r="MAX1378" s="53"/>
      <c r="MAY1378" s="53"/>
      <c r="MAZ1378" s="53"/>
      <c r="MBA1378" s="53"/>
      <c r="MBB1378" s="53"/>
      <c r="MBC1378" s="53"/>
      <c r="MBD1378" s="53"/>
      <c r="MBE1378" s="53"/>
      <c r="MBF1378" s="53"/>
      <c r="MBG1378" s="53"/>
      <c r="MBH1378" s="53"/>
      <c r="MBI1378" s="53"/>
      <c r="MBJ1378" s="53"/>
      <c r="MBK1378" s="53"/>
      <c r="MBL1378" s="53"/>
      <c r="MBM1378" s="53"/>
      <c r="MBN1378" s="53"/>
      <c r="MBO1378" s="53"/>
      <c r="MBP1378" s="53"/>
      <c r="MBQ1378" s="53"/>
      <c r="MBR1378" s="53"/>
      <c r="MBS1378" s="53"/>
      <c r="MBT1378" s="53"/>
      <c r="MBU1378" s="53"/>
      <c r="MBV1378" s="53"/>
      <c r="MBW1378" s="53"/>
      <c r="MBX1378" s="53"/>
      <c r="MBY1378" s="53"/>
      <c r="MBZ1378" s="53"/>
      <c r="MCA1378" s="53"/>
      <c r="MCB1378" s="53"/>
      <c r="MCC1378" s="53"/>
      <c r="MCD1378" s="53"/>
      <c r="MCE1378" s="53"/>
      <c r="MCF1378" s="53"/>
      <c r="MCG1378" s="53"/>
      <c r="MCH1378" s="53"/>
      <c r="MCI1378" s="53"/>
      <c r="MCJ1378" s="53"/>
      <c r="MCK1378" s="53"/>
      <c r="MCL1378" s="53"/>
      <c r="MCM1378" s="53"/>
      <c r="MCN1378" s="53"/>
      <c r="MCO1378" s="53"/>
      <c r="MCP1378" s="53"/>
      <c r="MCQ1378" s="53"/>
      <c r="MCR1378" s="53"/>
      <c r="MCS1378" s="53"/>
      <c r="MCT1378" s="53"/>
      <c r="MCU1378" s="53"/>
      <c r="MCV1378" s="53"/>
      <c r="MCW1378" s="53"/>
      <c r="MCX1378" s="53"/>
      <c r="MCY1378" s="53"/>
      <c r="MCZ1378" s="53"/>
      <c r="MDA1378" s="53"/>
      <c r="MDB1378" s="53"/>
      <c r="MDC1378" s="53"/>
      <c r="MDD1378" s="53"/>
      <c r="MDE1378" s="53"/>
      <c r="MDF1378" s="53"/>
      <c r="MDG1378" s="53"/>
      <c r="MDH1378" s="53"/>
      <c r="MDI1378" s="53"/>
      <c r="MDJ1378" s="53"/>
      <c r="MDK1378" s="53"/>
      <c r="MDL1378" s="53"/>
      <c r="MDM1378" s="53"/>
      <c r="MDN1378" s="53"/>
      <c r="MDO1378" s="53"/>
      <c r="MDP1378" s="53"/>
      <c r="MDQ1378" s="53"/>
      <c r="MDR1378" s="53"/>
      <c r="MDS1378" s="53"/>
      <c r="MDT1378" s="53"/>
      <c r="MDU1378" s="53"/>
      <c r="MDV1378" s="53"/>
      <c r="MDW1378" s="53"/>
      <c r="MDX1378" s="53"/>
      <c r="MDY1378" s="53"/>
      <c r="MDZ1378" s="53"/>
      <c r="MEA1378" s="53"/>
      <c r="MEB1378" s="53"/>
      <c r="MEC1378" s="53"/>
      <c r="MED1378" s="53"/>
      <c r="MEE1378" s="53"/>
      <c r="MEF1378" s="53"/>
      <c r="MEG1378" s="53"/>
      <c r="MEH1378" s="53"/>
      <c r="MEI1378" s="53"/>
      <c r="MEJ1378" s="53"/>
      <c r="MEK1378" s="53"/>
      <c r="MEL1378" s="53"/>
      <c r="MEM1378" s="53"/>
      <c r="MEN1378" s="53"/>
      <c r="MEO1378" s="53"/>
      <c r="MEP1378" s="53"/>
      <c r="MEQ1378" s="53"/>
      <c r="MER1378" s="53"/>
      <c r="MES1378" s="53"/>
      <c r="MET1378" s="53"/>
      <c r="MEU1378" s="53"/>
      <c r="MEV1378" s="53"/>
      <c r="MEW1378" s="53"/>
      <c r="MEX1378" s="53"/>
      <c r="MEY1378" s="53"/>
      <c r="MEZ1378" s="53"/>
      <c r="MFA1378" s="53"/>
      <c r="MFB1378" s="53"/>
      <c r="MFC1378" s="53"/>
      <c r="MFD1378" s="53"/>
      <c r="MFE1378" s="53"/>
      <c r="MFF1378" s="53"/>
      <c r="MFG1378" s="53"/>
      <c r="MFH1378" s="53"/>
      <c r="MFI1378" s="53"/>
      <c r="MFJ1378" s="53"/>
      <c r="MFK1378" s="53"/>
      <c r="MFL1378" s="53"/>
      <c r="MFM1378" s="53"/>
      <c r="MFN1378" s="53"/>
      <c r="MFO1378" s="53"/>
      <c r="MFP1378" s="53"/>
      <c r="MFQ1378" s="53"/>
      <c r="MFR1378" s="53"/>
      <c r="MFS1378" s="53"/>
      <c r="MFT1378" s="53"/>
      <c r="MFU1378" s="53"/>
      <c r="MFV1378" s="53"/>
      <c r="MFW1378" s="53"/>
      <c r="MFX1378" s="53"/>
      <c r="MFY1378" s="53"/>
      <c r="MFZ1378" s="53"/>
      <c r="MGA1378" s="53"/>
      <c r="MGB1378" s="53"/>
      <c r="MGC1378" s="53"/>
      <c r="MGD1378" s="53"/>
      <c r="MGE1378" s="53"/>
      <c r="MGF1378" s="53"/>
      <c r="MGG1378" s="53"/>
      <c r="MGH1378" s="53"/>
      <c r="MGI1378" s="53"/>
      <c r="MGJ1378" s="53"/>
      <c r="MGK1378" s="53"/>
      <c r="MGL1378" s="53"/>
      <c r="MGM1378" s="53"/>
      <c r="MGN1378" s="53"/>
      <c r="MGO1378" s="53"/>
      <c r="MGP1378" s="53"/>
      <c r="MGQ1378" s="53"/>
      <c r="MGR1378" s="53"/>
      <c r="MGS1378" s="53"/>
      <c r="MGT1378" s="53"/>
      <c r="MGU1378" s="53"/>
      <c r="MGV1378" s="53"/>
      <c r="MGW1378" s="53"/>
      <c r="MGX1378" s="53"/>
      <c r="MGY1378" s="53"/>
      <c r="MGZ1378" s="53"/>
      <c r="MHA1378" s="53"/>
      <c r="MHB1378" s="53"/>
      <c r="MHC1378" s="53"/>
      <c r="MHD1378" s="53"/>
      <c r="MHE1378" s="53"/>
      <c r="MHF1378" s="53"/>
      <c r="MHG1378" s="53"/>
      <c r="MHH1378" s="53"/>
      <c r="MHI1378" s="53"/>
      <c r="MHJ1378" s="53"/>
      <c r="MHK1378" s="53"/>
      <c r="MHL1378" s="53"/>
      <c r="MHM1378" s="53"/>
      <c r="MHN1378" s="53"/>
      <c r="MHO1378" s="53"/>
      <c r="MHP1378" s="53"/>
      <c r="MHQ1378" s="53"/>
      <c r="MHR1378" s="53"/>
      <c r="MHS1378" s="53"/>
      <c r="MHT1378" s="53"/>
      <c r="MHU1378" s="53"/>
      <c r="MHV1378" s="53"/>
      <c r="MHW1378" s="53"/>
      <c r="MHX1378" s="53"/>
      <c r="MHY1378" s="53"/>
      <c r="MHZ1378" s="53"/>
      <c r="MIA1378" s="53"/>
      <c r="MIB1378" s="53"/>
      <c r="MIC1378" s="53"/>
      <c r="MID1378" s="53"/>
      <c r="MIE1378" s="53"/>
      <c r="MIF1378" s="53"/>
      <c r="MIG1378" s="53"/>
      <c r="MIH1378" s="53"/>
      <c r="MII1378" s="53"/>
      <c r="MIJ1378" s="53"/>
      <c r="MIK1378" s="53"/>
      <c r="MIL1378" s="53"/>
      <c r="MIM1378" s="53"/>
      <c r="MIN1378" s="53"/>
      <c r="MIO1378" s="53"/>
      <c r="MIP1378" s="53"/>
      <c r="MIQ1378" s="53"/>
      <c r="MIR1378" s="53"/>
      <c r="MIS1378" s="53"/>
      <c r="MIT1378" s="53"/>
      <c r="MIU1378" s="53"/>
      <c r="MIV1378" s="53"/>
      <c r="MIW1378" s="53"/>
      <c r="MIX1378" s="53"/>
      <c r="MIY1378" s="53"/>
      <c r="MIZ1378" s="53"/>
      <c r="MJA1378" s="53"/>
      <c r="MJB1378" s="53"/>
      <c r="MJC1378" s="53"/>
      <c r="MJD1378" s="53"/>
      <c r="MJE1378" s="53"/>
      <c r="MJF1378" s="53"/>
      <c r="MJG1378" s="53"/>
      <c r="MJH1378" s="53"/>
      <c r="MJI1378" s="53"/>
      <c r="MJJ1378" s="53"/>
      <c r="MJK1378" s="53"/>
      <c r="MJL1378" s="53"/>
      <c r="MJM1378" s="53"/>
      <c r="MJN1378" s="53"/>
      <c r="MJO1378" s="53"/>
      <c r="MJP1378" s="53"/>
      <c r="MJQ1378" s="53"/>
      <c r="MJR1378" s="53"/>
      <c r="MJS1378" s="53"/>
      <c r="MJT1378" s="53"/>
      <c r="MJU1378" s="53"/>
      <c r="MJV1378" s="53"/>
      <c r="MJW1378" s="53"/>
      <c r="MJX1378" s="53"/>
      <c r="MJY1378" s="53"/>
      <c r="MJZ1378" s="53"/>
      <c r="MKA1378" s="53"/>
      <c r="MKB1378" s="53"/>
      <c r="MKC1378" s="53"/>
      <c r="MKD1378" s="53"/>
      <c r="MKE1378" s="53"/>
      <c r="MKF1378" s="53"/>
      <c r="MKG1378" s="53"/>
      <c r="MKH1378" s="53"/>
      <c r="MKI1378" s="53"/>
      <c r="MKJ1378" s="53"/>
      <c r="MKK1378" s="53"/>
      <c r="MKL1378" s="53"/>
      <c r="MKM1378" s="53"/>
      <c r="MKN1378" s="53"/>
      <c r="MKO1378" s="53"/>
      <c r="MKP1378" s="53"/>
      <c r="MKQ1378" s="53"/>
      <c r="MKR1378" s="53"/>
      <c r="MKS1378" s="53"/>
      <c r="MKT1378" s="53"/>
      <c r="MKU1378" s="53"/>
      <c r="MKV1378" s="53"/>
      <c r="MKW1378" s="53"/>
      <c r="MKX1378" s="53"/>
      <c r="MKY1378" s="53"/>
      <c r="MKZ1378" s="53"/>
      <c r="MLA1378" s="53"/>
      <c r="MLB1378" s="53"/>
      <c r="MLC1378" s="53"/>
      <c r="MLD1378" s="53"/>
      <c r="MLE1378" s="53"/>
      <c r="MLF1378" s="53"/>
      <c r="MLG1378" s="53"/>
      <c r="MLH1378" s="53"/>
      <c r="MLI1378" s="53"/>
      <c r="MLJ1378" s="53"/>
      <c r="MLK1378" s="53"/>
      <c r="MLL1378" s="53"/>
      <c r="MLM1378" s="53"/>
      <c r="MLN1378" s="53"/>
      <c r="MLO1378" s="53"/>
      <c r="MLP1378" s="53"/>
      <c r="MLQ1378" s="53"/>
      <c r="MLR1378" s="53"/>
      <c r="MLS1378" s="53"/>
      <c r="MLT1378" s="53"/>
      <c r="MLU1378" s="53"/>
      <c r="MLV1378" s="53"/>
      <c r="MLW1378" s="53"/>
      <c r="MLX1378" s="53"/>
      <c r="MLY1378" s="53"/>
      <c r="MLZ1378" s="53"/>
      <c r="MMA1378" s="53"/>
      <c r="MMB1378" s="53"/>
      <c r="MMC1378" s="53"/>
      <c r="MMD1378" s="53"/>
      <c r="MME1378" s="53"/>
      <c r="MMF1378" s="53"/>
      <c r="MMG1378" s="53"/>
      <c r="MMH1378" s="53"/>
      <c r="MMI1378" s="53"/>
      <c r="MMJ1378" s="53"/>
      <c r="MMK1378" s="53"/>
      <c r="MML1378" s="53"/>
      <c r="MMM1378" s="53"/>
      <c r="MMN1378" s="53"/>
      <c r="MMO1378" s="53"/>
      <c r="MMP1378" s="53"/>
      <c r="MMQ1378" s="53"/>
      <c r="MMR1378" s="53"/>
      <c r="MMS1378" s="53"/>
      <c r="MMT1378" s="53"/>
      <c r="MMU1378" s="53"/>
      <c r="MMV1378" s="53"/>
      <c r="MMW1378" s="53"/>
      <c r="MMX1378" s="53"/>
      <c r="MMY1378" s="53"/>
      <c r="MMZ1378" s="53"/>
      <c r="MNA1378" s="53"/>
      <c r="MNB1378" s="53"/>
      <c r="MNC1378" s="53"/>
      <c r="MND1378" s="53"/>
      <c r="MNE1378" s="53"/>
      <c r="MNF1378" s="53"/>
      <c r="MNG1378" s="53"/>
      <c r="MNH1378" s="53"/>
      <c r="MNI1378" s="53"/>
      <c r="MNJ1378" s="53"/>
      <c r="MNK1378" s="53"/>
      <c r="MNL1378" s="53"/>
      <c r="MNM1378" s="53"/>
      <c r="MNN1378" s="53"/>
      <c r="MNO1378" s="53"/>
      <c r="MNP1378" s="53"/>
      <c r="MNQ1378" s="53"/>
      <c r="MNR1378" s="53"/>
      <c r="MNS1378" s="53"/>
      <c r="MNT1378" s="53"/>
      <c r="MNU1378" s="53"/>
      <c r="MNV1378" s="53"/>
      <c r="MNW1378" s="53"/>
      <c r="MNX1378" s="53"/>
      <c r="MNY1378" s="53"/>
      <c r="MNZ1378" s="53"/>
      <c r="MOA1378" s="53"/>
      <c r="MOB1378" s="53"/>
      <c r="MOC1378" s="53"/>
      <c r="MOD1378" s="53"/>
      <c r="MOE1378" s="53"/>
      <c r="MOF1378" s="53"/>
      <c r="MOG1378" s="53"/>
      <c r="MOH1378" s="53"/>
      <c r="MOI1378" s="53"/>
      <c r="MOJ1378" s="53"/>
      <c r="MOK1378" s="53"/>
      <c r="MOL1378" s="53"/>
      <c r="MOM1378" s="53"/>
      <c r="MON1378" s="53"/>
      <c r="MOO1378" s="53"/>
      <c r="MOP1378" s="53"/>
      <c r="MOQ1378" s="53"/>
      <c r="MOR1378" s="53"/>
      <c r="MOS1378" s="53"/>
      <c r="MOT1378" s="53"/>
      <c r="MOU1378" s="53"/>
      <c r="MOV1378" s="53"/>
      <c r="MOW1378" s="53"/>
      <c r="MOX1378" s="53"/>
      <c r="MOY1378" s="53"/>
      <c r="MOZ1378" s="53"/>
      <c r="MPA1378" s="53"/>
      <c r="MPB1378" s="53"/>
      <c r="MPC1378" s="53"/>
      <c r="MPD1378" s="53"/>
      <c r="MPE1378" s="53"/>
      <c r="MPF1378" s="53"/>
      <c r="MPG1378" s="53"/>
      <c r="MPH1378" s="53"/>
      <c r="MPI1378" s="53"/>
      <c r="MPJ1378" s="53"/>
      <c r="MPK1378" s="53"/>
      <c r="MPL1378" s="53"/>
      <c r="MPM1378" s="53"/>
      <c r="MPN1378" s="53"/>
      <c r="MPO1378" s="53"/>
      <c r="MPP1378" s="53"/>
      <c r="MPQ1378" s="53"/>
      <c r="MPR1378" s="53"/>
      <c r="MPS1378" s="53"/>
      <c r="MPT1378" s="53"/>
      <c r="MPU1378" s="53"/>
      <c r="MPV1378" s="53"/>
      <c r="MPW1378" s="53"/>
      <c r="MPX1378" s="53"/>
      <c r="MPY1378" s="53"/>
      <c r="MPZ1378" s="53"/>
      <c r="MQA1378" s="53"/>
      <c r="MQB1378" s="53"/>
      <c r="MQC1378" s="53"/>
      <c r="MQD1378" s="53"/>
      <c r="MQE1378" s="53"/>
      <c r="MQF1378" s="53"/>
      <c r="MQG1378" s="53"/>
      <c r="MQH1378" s="53"/>
      <c r="MQI1378" s="53"/>
      <c r="MQJ1378" s="53"/>
      <c r="MQK1378" s="53"/>
      <c r="MQL1378" s="53"/>
      <c r="MQM1378" s="53"/>
      <c r="MQN1378" s="53"/>
      <c r="MQO1378" s="53"/>
      <c r="MQP1378" s="53"/>
      <c r="MQQ1378" s="53"/>
      <c r="MQR1378" s="53"/>
      <c r="MQS1378" s="53"/>
      <c r="MQT1378" s="53"/>
      <c r="MQU1378" s="53"/>
      <c r="MQV1378" s="53"/>
      <c r="MQW1378" s="53"/>
      <c r="MQX1378" s="53"/>
      <c r="MQY1378" s="53"/>
      <c r="MQZ1378" s="53"/>
      <c r="MRA1378" s="53"/>
      <c r="MRB1378" s="53"/>
      <c r="MRC1378" s="53"/>
      <c r="MRD1378" s="53"/>
      <c r="MRE1378" s="53"/>
      <c r="MRF1378" s="53"/>
      <c r="MRG1378" s="53"/>
      <c r="MRH1378" s="53"/>
      <c r="MRI1378" s="53"/>
      <c r="MRJ1378" s="53"/>
      <c r="MRK1378" s="53"/>
      <c r="MRL1378" s="53"/>
      <c r="MRM1378" s="53"/>
      <c r="MRN1378" s="53"/>
      <c r="MRO1378" s="53"/>
      <c r="MRP1378" s="53"/>
      <c r="MRQ1378" s="53"/>
      <c r="MRR1378" s="53"/>
      <c r="MRS1378" s="53"/>
      <c r="MRT1378" s="53"/>
      <c r="MRU1378" s="53"/>
      <c r="MRV1378" s="53"/>
      <c r="MRW1378" s="53"/>
      <c r="MRX1378" s="53"/>
      <c r="MRY1378" s="53"/>
      <c r="MRZ1378" s="53"/>
      <c r="MSA1378" s="53"/>
      <c r="MSB1378" s="53"/>
      <c r="MSC1378" s="53"/>
      <c r="MSD1378" s="53"/>
      <c r="MSE1378" s="53"/>
      <c r="MSF1378" s="53"/>
      <c r="MSG1378" s="53"/>
      <c r="MSH1378" s="53"/>
      <c r="MSI1378" s="53"/>
      <c r="MSJ1378" s="53"/>
      <c r="MSK1378" s="53"/>
      <c r="MSL1378" s="53"/>
      <c r="MSM1378" s="53"/>
      <c r="MSN1378" s="53"/>
      <c r="MSO1378" s="53"/>
      <c r="MSP1378" s="53"/>
      <c r="MSQ1378" s="53"/>
      <c r="MSR1378" s="53"/>
      <c r="MSS1378" s="53"/>
      <c r="MST1378" s="53"/>
      <c r="MSU1378" s="53"/>
      <c r="MSV1378" s="53"/>
      <c r="MSW1378" s="53"/>
      <c r="MSX1378" s="53"/>
      <c r="MSY1378" s="53"/>
      <c r="MSZ1378" s="53"/>
      <c r="MTA1378" s="53"/>
      <c r="MTB1378" s="53"/>
      <c r="MTC1378" s="53"/>
      <c r="MTD1378" s="53"/>
      <c r="MTE1378" s="53"/>
      <c r="MTF1378" s="53"/>
      <c r="MTG1378" s="53"/>
      <c r="MTH1378" s="53"/>
      <c r="MTI1378" s="53"/>
      <c r="MTJ1378" s="53"/>
      <c r="MTK1378" s="53"/>
      <c r="MTL1378" s="53"/>
      <c r="MTM1378" s="53"/>
      <c r="MTN1378" s="53"/>
      <c r="MTO1378" s="53"/>
      <c r="MTP1378" s="53"/>
      <c r="MTQ1378" s="53"/>
      <c r="MTR1378" s="53"/>
      <c r="MTS1378" s="53"/>
      <c r="MTT1378" s="53"/>
      <c r="MTU1378" s="53"/>
      <c r="MTV1378" s="53"/>
      <c r="MTW1378" s="53"/>
      <c r="MTX1378" s="53"/>
      <c r="MTY1378" s="53"/>
      <c r="MTZ1378" s="53"/>
      <c r="MUA1378" s="53"/>
      <c r="MUB1378" s="53"/>
      <c r="MUC1378" s="53"/>
      <c r="MUD1378" s="53"/>
      <c r="MUE1378" s="53"/>
      <c r="MUF1378" s="53"/>
      <c r="MUG1378" s="53"/>
      <c r="MUH1378" s="53"/>
      <c r="MUI1378" s="53"/>
      <c r="MUJ1378" s="53"/>
      <c r="MUK1378" s="53"/>
      <c r="MUL1378" s="53"/>
      <c r="MUM1378" s="53"/>
      <c r="MUN1378" s="53"/>
      <c r="MUO1378" s="53"/>
      <c r="MUP1378" s="53"/>
      <c r="MUQ1378" s="53"/>
      <c r="MUR1378" s="53"/>
      <c r="MUS1378" s="53"/>
      <c r="MUT1378" s="53"/>
      <c r="MUU1378" s="53"/>
      <c r="MUV1378" s="53"/>
      <c r="MUW1378" s="53"/>
      <c r="MUX1378" s="53"/>
      <c r="MUY1378" s="53"/>
      <c r="MUZ1378" s="53"/>
      <c r="MVA1378" s="53"/>
      <c r="MVB1378" s="53"/>
      <c r="MVC1378" s="53"/>
      <c r="MVD1378" s="53"/>
      <c r="MVE1378" s="53"/>
      <c r="MVF1378" s="53"/>
      <c r="MVG1378" s="53"/>
      <c r="MVH1378" s="53"/>
      <c r="MVI1378" s="53"/>
      <c r="MVJ1378" s="53"/>
      <c r="MVK1378" s="53"/>
      <c r="MVL1378" s="53"/>
      <c r="MVM1378" s="53"/>
      <c r="MVN1378" s="53"/>
      <c r="MVO1378" s="53"/>
      <c r="MVP1378" s="53"/>
      <c r="MVQ1378" s="53"/>
      <c r="MVR1378" s="53"/>
      <c r="MVS1378" s="53"/>
      <c r="MVT1378" s="53"/>
      <c r="MVU1378" s="53"/>
      <c r="MVV1378" s="53"/>
      <c r="MVW1378" s="53"/>
      <c r="MVX1378" s="53"/>
      <c r="MVY1378" s="53"/>
      <c r="MVZ1378" s="53"/>
      <c r="MWA1378" s="53"/>
      <c r="MWB1378" s="53"/>
      <c r="MWC1378" s="53"/>
      <c r="MWD1378" s="53"/>
      <c r="MWE1378" s="53"/>
      <c r="MWF1378" s="53"/>
      <c r="MWG1378" s="53"/>
      <c r="MWH1378" s="53"/>
      <c r="MWI1378" s="53"/>
      <c r="MWJ1378" s="53"/>
      <c r="MWK1378" s="53"/>
      <c r="MWL1378" s="53"/>
      <c r="MWM1378" s="53"/>
      <c r="MWN1378" s="53"/>
      <c r="MWO1378" s="53"/>
      <c r="MWP1378" s="53"/>
      <c r="MWQ1378" s="53"/>
      <c r="MWR1378" s="53"/>
      <c r="MWS1378" s="53"/>
      <c r="MWT1378" s="53"/>
      <c r="MWU1378" s="53"/>
      <c r="MWV1378" s="53"/>
      <c r="MWW1378" s="53"/>
      <c r="MWX1378" s="53"/>
      <c r="MWY1378" s="53"/>
      <c r="MWZ1378" s="53"/>
      <c r="MXA1378" s="53"/>
      <c r="MXB1378" s="53"/>
      <c r="MXC1378" s="53"/>
      <c r="MXD1378" s="53"/>
      <c r="MXE1378" s="53"/>
      <c r="MXF1378" s="53"/>
      <c r="MXG1378" s="53"/>
      <c r="MXH1378" s="53"/>
      <c r="MXI1378" s="53"/>
      <c r="MXJ1378" s="53"/>
      <c r="MXK1378" s="53"/>
      <c r="MXL1378" s="53"/>
      <c r="MXM1378" s="53"/>
      <c r="MXN1378" s="53"/>
      <c r="MXO1378" s="53"/>
      <c r="MXP1378" s="53"/>
      <c r="MXQ1378" s="53"/>
      <c r="MXR1378" s="53"/>
      <c r="MXS1378" s="53"/>
      <c r="MXT1378" s="53"/>
      <c r="MXU1378" s="53"/>
      <c r="MXV1378" s="53"/>
      <c r="MXW1378" s="53"/>
      <c r="MXX1378" s="53"/>
      <c r="MXY1378" s="53"/>
      <c r="MXZ1378" s="53"/>
      <c r="MYA1378" s="53"/>
      <c r="MYB1378" s="53"/>
      <c r="MYC1378" s="53"/>
      <c r="MYD1378" s="53"/>
      <c r="MYE1378" s="53"/>
      <c r="MYF1378" s="53"/>
      <c r="MYG1378" s="53"/>
      <c r="MYH1378" s="53"/>
      <c r="MYI1378" s="53"/>
      <c r="MYJ1378" s="53"/>
      <c r="MYK1378" s="53"/>
      <c r="MYL1378" s="53"/>
      <c r="MYM1378" s="53"/>
      <c r="MYN1378" s="53"/>
      <c r="MYO1378" s="53"/>
      <c r="MYP1378" s="53"/>
      <c r="MYQ1378" s="53"/>
      <c r="MYR1378" s="53"/>
      <c r="MYS1378" s="53"/>
      <c r="MYT1378" s="53"/>
      <c r="MYU1378" s="53"/>
      <c r="MYV1378" s="53"/>
      <c r="MYW1378" s="53"/>
      <c r="MYX1378" s="53"/>
      <c r="MYY1378" s="53"/>
      <c r="MYZ1378" s="53"/>
      <c r="MZA1378" s="53"/>
      <c r="MZB1378" s="53"/>
      <c r="MZC1378" s="53"/>
      <c r="MZD1378" s="53"/>
      <c r="MZE1378" s="53"/>
      <c r="MZF1378" s="53"/>
      <c r="MZG1378" s="53"/>
      <c r="MZH1378" s="53"/>
      <c r="MZI1378" s="53"/>
      <c r="MZJ1378" s="53"/>
      <c r="MZK1378" s="53"/>
      <c r="MZL1378" s="53"/>
      <c r="MZM1378" s="53"/>
      <c r="MZN1378" s="53"/>
      <c r="MZO1378" s="53"/>
      <c r="MZP1378" s="53"/>
      <c r="MZQ1378" s="53"/>
      <c r="MZR1378" s="53"/>
      <c r="MZS1378" s="53"/>
      <c r="MZT1378" s="53"/>
      <c r="MZU1378" s="53"/>
      <c r="MZV1378" s="53"/>
      <c r="MZW1378" s="53"/>
      <c r="MZX1378" s="53"/>
      <c r="MZY1378" s="53"/>
      <c r="MZZ1378" s="53"/>
      <c r="NAA1378" s="53"/>
      <c r="NAB1378" s="53"/>
      <c r="NAC1378" s="53"/>
      <c r="NAD1378" s="53"/>
      <c r="NAE1378" s="53"/>
      <c r="NAF1378" s="53"/>
      <c r="NAG1378" s="53"/>
      <c r="NAH1378" s="53"/>
      <c r="NAI1378" s="53"/>
      <c r="NAJ1378" s="53"/>
      <c r="NAK1378" s="53"/>
      <c r="NAL1378" s="53"/>
      <c r="NAM1378" s="53"/>
      <c r="NAN1378" s="53"/>
      <c r="NAO1378" s="53"/>
      <c r="NAP1378" s="53"/>
      <c r="NAQ1378" s="53"/>
      <c r="NAR1378" s="53"/>
      <c r="NAS1378" s="53"/>
      <c r="NAT1378" s="53"/>
      <c r="NAU1378" s="53"/>
      <c r="NAV1378" s="53"/>
      <c r="NAW1378" s="53"/>
      <c r="NAX1378" s="53"/>
      <c r="NAY1378" s="53"/>
      <c r="NAZ1378" s="53"/>
      <c r="NBA1378" s="53"/>
      <c r="NBB1378" s="53"/>
      <c r="NBC1378" s="53"/>
      <c r="NBD1378" s="53"/>
      <c r="NBE1378" s="53"/>
      <c r="NBF1378" s="53"/>
      <c r="NBG1378" s="53"/>
      <c r="NBH1378" s="53"/>
      <c r="NBI1378" s="53"/>
      <c r="NBJ1378" s="53"/>
      <c r="NBK1378" s="53"/>
      <c r="NBL1378" s="53"/>
      <c r="NBM1378" s="53"/>
      <c r="NBN1378" s="53"/>
      <c r="NBO1378" s="53"/>
      <c r="NBP1378" s="53"/>
      <c r="NBQ1378" s="53"/>
      <c r="NBR1378" s="53"/>
      <c r="NBS1378" s="53"/>
      <c r="NBT1378" s="53"/>
      <c r="NBU1378" s="53"/>
      <c r="NBV1378" s="53"/>
      <c r="NBW1378" s="53"/>
      <c r="NBX1378" s="53"/>
      <c r="NBY1378" s="53"/>
      <c r="NBZ1378" s="53"/>
      <c r="NCA1378" s="53"/>
      <c r="NCB1378" s="53"/>
      <c r="NCC1378" s="53"/>
      <c r="NCD1378" s="53"/>
      <c r="NCE1378" s="53"/>
      <c r="NCF1378" s="53"/>
      <c r="NCG1378" s="53"/>
      <c r="NCH1378" s="53"/>
      <c r="NCI1378" s="53"/>
      <c r="NCJ1378" s="53"/>
      <c r="NCK1378" s="53"/>
      <c r="NCL1378" s="53"/>
      <c r="NCM1378" s="53"/>
      <c r="NCN1378" s="53"/>
      <c r="NCO1378" s="53"/>
      <c r="NCP1378" s="53"/>
      <c r="NCQ1378" s="53"/>
      <c r="NCR1378" s="53"/>
      <c r="NCS1378" s="53"/>
      <c r="NCT1378" s="53"/>
      <c r="NCU1378" s="53"/>
      <c r="NCV1378" s="53"/>
      <c r="NCW1378" s="53"/>
      <c r="NCX1378" s="53"/>
      <c r="NCY1378" s="53"/>
      <c r="NCZ1378" s="53"/>
      <c r="NDA1378" s="53"/>
      <c r="NDB1378" s="53"/>
      <c r="NDC1378" s="53"/>
      <c r="NDD1378" s="53"/>
      <c r="NDE1378" s="53"/>
      <c r="NDF1378" s="53"/>
      <c r="NDG1378" s="53"/>
      <c r="NDH1378" s="53"/>
      <c r="NDI1378" s="53"/>
      <c r="NDJ1378" s="53"/>
      <c r="NDK1378" s="53"/>
      <c r="NDL1378" s="53"/>
      <c r="NDM1378" s="53"/>
      <c r="NDN1378" s="53"/>
      <c r="NDO1378" s="53"/>
      <c r="NDP1378" s="53"/>
      <c r="NDQ1378" s="53"/>
      <c r="NDR1378" s="53"/>
      <c r="NDS1378" s="53"/>
      <c r="NDT1378" s="53"/>
      <c r="NDU1378" s="53"/>
      <c r="NDV1378" s="53"/>
      <c r="NDW1378" s="53"/>
      <c r="NDX1378" s="53"/>
      <c r="NDY1378" s="53"/>
      <c r="NDZ1378" s="53"/>
      <c r="NEA1378" s="53"/>
      <c r="NEB1378" s="53"/>
      <c r="NEC1378" s="53"/>
      <c r="NED1378" s="53"/>
      <c r="NEE1378" s="53"/>
      <c r="NEF1378" s="53"/>
      <c r="NEG1378" s="53"/>
      <c r="NEH1378" s="53"/>
      <c r="NEI1378" s="53"/>
      <c r="NEJ1378" s="53"/>
      <c r="NEK1378" s="53"/>
      <c r="NEL1378" s="53"/>
      <c r="NEM1378" s="53"/>
      <c r="NEN1378" s="53"/>
      <c r="NEO1378" s="53"/>
      <c r="NEP1378" s="53"/>
      <c r="NEQ1378" s="53"/>
      <c r="NER1378" s="53"/>
      <c r="NES1378" s="53"/>
      <c r="NET1378" s="53"/>
      <c r="NEU1378" s="53"/>
      <c r="NEV1378" s="53"/>
      <c r="NEW1378" s="53"/>
      <c r="NEX1378" s="53"/>
      <c r="NEY1378" s="53"/>
      <c r="NEZ1378" s="53"/>
      <c r="NFA1378" s="53"/>
      <c r="NFB1378" s="53"/>
      <c r="NFC1378" s="53"/>
      <c r="NFD1378" s="53"/>
      <c r="NFE1378" s="53"/>
      <c r="NFF1378" s="53"/>
      <c r="NFG1378" s="53"/>
      <c r="NFH1378" s="53"/>
      <c r="NFI1378" s="53"/>
      <c r="NFJ1378" s="53"/>
      <c r="NFK1378" s="53"/>
      <c r="NFL1378" s="53"/>
      <c r="NFM1378" s="53"/>
      <c r="NFN1378" s="53"/>
      <c r="NFO1378" s="53"/>
      <c r="NFP1378" s="53"/>
      <c r="NFQ1378" s="53"/>
      <c r="NFR1378" s="53"/>
      <c r="NFS1378" s="53"/>
      <c r="NFT1378" s="53"/>
      <c r="NFU1378" s="53"/>
      <c r="NFV1378" s="53"/>
      <c r="NFW1378" s="53"/>
      <c r="NFX1378" s="53"/>
      <c r="NFY1378" s="53"/>
      <c r="NFZ1378" s="53"/>
      <c r="NGA1378" s="53"/>
      <c r="NGB1378" s="53"/>
      <c r="NGC1378" s="53"/>
      <c r="NGD1378" s="53"/>
      <c r="NGE1378" s="53"/>
      <c r="NGF1378" s="53"/>
      <c r="NGG1378" s="53"/>
      <c r="NGH1378" s="53"/>
      <c r="NGI1378" s="53"/>
      <c r="NGJ1378" s="53"/>
      <c r="NGK1378" s="53"/>
      <c r="NGL1378" s="53"/>
      <c r="NGM1378" s="53"/>
      <c r="NGN1378" s="53"/>
      <c r="NGO1378" s="53"/>
      <c r="NGP1378" s="53"/>
      <c r="NGQ1378" s="53"/>
      <c r="NGR1378" s="53"/>
      <c r="NGS1378" s="53"/>
      <c r="NGT1378" s="53"/>
      <c r="NGU1378" s="53"/>
      <c r="NGV1378" s="53"/>
      <c r="NGW1378" s="53"/>
      <c r="NGX1378" s="53"/>
      <c r="NGY1378" s="53"/>
      <c r="NGZ1378" s="53"/>
      <c r="NHA1378" s="53"/>
      <c r="NHB1378" s="53"/>
      <c r="NHC1378" s="53"/>
      <c r="NHD1378" s="53"/>
      <c r="NHE1378" s="53"/>
      <c r="NHF1378" s="53"/>
      <c r="NHG1378" s="53"/>
      <c r="NHH1378" s="53"/>
      <c r="NHI1378" s="53"/>
      <c r="NHJ1378" s="53"/>
      <c r="NHK1378" s="53"/>
      <c r="NHL1378" s="53"/>
      <c r="NHM1378" s="53"/>
      <c r="NHN1378" s="53"/>
      <c r="NHO1378" s="53"/>
      <c r="NHP1378" s="53"/>
      <c r="NHQ1378" s="53"/>
      <c r="NHR1378" s="53"/>
      <c r="NHS1378" s="53"/>
      <c r="NHT1378" s="53"/>
      <c r="NHU1378" s="53"/>
      <c r="NHV1378" s="53"/>
      <c r="NHW1378" s="53"/>
      <c r="NHX1378" s="53"/>
      <c r="NHY1378" s="53"/>
      <c r="NHZ1378" s="53"/>
      <c r="NIA1378" s="53"/>
      <c r="NIB1378" s="53"/>
      <c r="NIC1378" s="53"/>
      <c r="NID1378" s="53"/>
      <c r="NIE1378" s="53"/>
      <c r="NIF1378" s="53"/>
      <c r="NIG1378" s="53"/>
      <c r="NIH1378" s="53"/>
      <c r="NII1378" s="53"/>
      <c r="NIJ1378" s="53"/>
      <c r="NIK1378" s="53"/>
      <c r="NIL1378" s="53"/>
      <c r="NIM1378" s="53"/>
      <c r="NIN1378" s="53"/>
      <c r="NIO1378" s="53"/>
      <c r="NIP1378" s="53"/>
      <c r="NIQ1378" s="53"/>
      <c r="NIR1378" s="53"/>
      <c r="NIS1378" s="53"/>
      <c r="NIT1378" s="53"/>
      <c r="NIU1378" s="53"/>
      <c r="NIV1378" s="53"/>
      <c r="NIW1378" s="53"/>
      <c r="NIX1378" s="53"/>
      <c r="NIY1378" s="53"/>
      <c r="NIZ1378" s="53"/>
      <c r="NJA1378" s="53"/>
      <c r="NJB1378" s="53"/>
      <c r="NJC1378" s="53"/>
      <c r="NJD1378" s="53"/>
      <c r="NJE1378" s="53"/>
      <c r="NJF1378" s="53"/>
      <c r="NJG1378" s="53"/>
      <c r="NJH1378" s="53"/>
      <c r="NJI1378" s="53"/>
      <c r="NJJ1378" s="53"/>
      <c r="NJK1378" s="53"/>
      <c r="NJL1378" s="53"/>
      <c r="NJM1378" s="53"/>
      <c r="NJN1378" s="53"/>
      <c r="NJO1378" s="53"/>
      <c r="NJP1378" s="53"/>
      <c r="NJQ1378" s="53"/>
      <c r="NJR1378" s="53"/>
      <c r="NJS1378" s="53"/>
      <c r="NJT1378" s="53"/>
      <c r="NJU1378" s="53"/>
      <c r="NJV1378" s="53"/>
      <c r="NJW1378" s="53"/>
      <c r="NJX1378" s="53"/>
      <c r="NJY1378" s="53"/>
      <c r="NJZ1378" s="53"/>
      <c r="NKA1378" s="53"/>
      <c r="NKB1378" s="53"/>
      <c r="NKC1378" s="53"/>
      <c r="NKD1378" s="53"/>
      <c r="NKE1378" s="53"/>
      <c r="NKF1378" s="53"/>
      <c r="NKG1378" s="53"/>
      <c r="NKH1378" s="53"/>
      <c r="NKI1378" s="53"/>
      <c r="NKJ1378" s="53"/>
      <c r="NKK1378" s="53"/>
      <c r="NKL1378" s="53"/>
      <c r="NKM1378" s="53"/>
      <c r="NKN1378" s="53"/>
      <c r="NKO1378" s="53"/>
      <c r="NKP1378" s="53"/>
      <c r="NKQ1378" s="53"/>
      <c r="NKR1378" s="53"/>
      <c r="NKS1378" s="53"/>
      <c r="NKT1378" s="53"/>
      <c r="NKU1378" s="53"/>
      <c r="NKV1378" s="53"/>
      <c r="NKW1378" s="53"/>
      <c r="NKX1378" s="53"/>
      <c r="NKY1378" s="53"/>
      <c r="NKZ1378" s="53"/>
      <c r="NLA1378" s="53"/>
      <c r="NLB1378" s="53"/>
      <c r="NLC1378" s="53"/>
      <c r="NLD1378" s="53"/>
      <c r="NLE1378" s="53"/>
      <c r="NLF1378" s="53"/>
      <c r="NLG1378" s="53"/>
      <c r="NLH1378" s="53"/>
      <c r="NLI1378" s="53"/>
      <c r="NLJ1378" s="53"/>
      <c r="NLK1378" s="53"/>
      <c r="NLL1378" s="53"/>
      <c r="NLM1378" s="53"/>
      <c r="NLN1378" s="53"/>
      <c r="NLO1378" s="53"/>
      <c r="NLP1378" s="53"/>
      <c r="NLQ1378" s="53"/>
      <c r="NLR1378" s="53"/>
      <c r="NLS1378" s="53"/>
      <c r="NLT1378" s="53"/>
      <c r="NLU1378" s="53"/>
      <c r="NLV1378" s="53"/>
      <c r="NLW1378" s="53"/>
      <c r="NLX1378" s="53"/>
      <c r="NLY1378" s="53"/>
      <c r="NLZ1378" s="53"/>
      <c r="NMA1378" s="53"/>
      <c r="NMB1378" s="53"/>
      <c r="NMC1378" s="53"/>
      <c r="NMD1378" s="53"/>
      <c r="NME1378" s="53"/>
      <c r="NMF1378" s="53"/>
      <c r="NMG1378" s="53"/>
      <c r="NMH1378" s="53"/>
      <c r="NMI1378" s="53"/>
      <c r="NMJ1378" s="53"/>
      <c r="NMK1378" s="53"/>
      <c r="NML1378" s="53"/>
      <c r="NMM1378" s="53"/>
      <c r="NMN1378" s="53"/>
      <c r="NMO1378" s="53"/>
      <c r="NMP1378" s="53"/>
      <c r="NMQ1378" s="53"/>
      <c r="NMR1378" s="53"/>
      <c r="NMS1378" s="53"/>
      <c r="NMT1378" s="53"/>
      <c r="NMU1378" s="53"/>
      <c r="NMV1378" s="53"/>
      <c r="NMW1378" s="53"/>
      <c r="NMX1378" s="53"/>
      <c r="NMY1378" s="53"/>
      <c r="NMZ1378" s="53"/>
      <c r="NNA1378" s="53"/>
      <c r="NNB1378" s="53"/>
      <c r="NNC1378" s="53"/>
      <c r="NND1378" s="53"/>
      <c r="NNE1378" s="53"/>
      <c r="NNF1378" s="53"/>
      <c r="NNG1378" s="53"/>
      <c r="NNH1378" s="53"/>
      <c r="NNI1378" s="53"/>
      <c r="NNJ1378" s="53"/>
      <c r="NNK1378" s="53"/>
      <c r="NNL1378" s="53"/>
      <c r="NNM1378" s="53"/>
      <c r="NNN1378" s="53"/>
      <c r="NNO1378" s="53"/>
      <c r="NNP1378" s="53"/>
      <c r="NNQ1378" s="53"/>
      <c r="NNR1378" s="53"/>
      <c r="NNS1378" s="53"/>
      <c r="NNT1378" s="53"/>
      <c r="NNU1378" s="53"/>
      <c r="NNV1378" s="53"/>
      <c r="NNW1378" s="53"/>
      <c r="NNX1378" s="53"/>
      <c r="NNY1378" s="53"/>
      <c r="NNZ1378" s="53"/>
      <c r="NOA1378" s="53"/>
      <c r="NOB1378" s="53"/>
      <c r="NOC1378" s="53"/>
      <c r="NOD1378" s="53"/>
      <c r="NOE1378" s="53"/>
      <c r="NOF1378" s="53"/>
      <c r="NOG1378" s="53"/>
      <c r="NOH1378" s="53"/>
      <c r="NOI1378" s="53"/>
      <c r="NOJ1378" s="53"/>
      <c r="NOK1378" s="53"/>
      <c r="NOL1378" s="53"/>
      <c r="NOM1378" s="53"/>
      <c r="NON1378" s="53"/>
      <c r="NOO1378" s="53"/>
      <c r="NOP1378" s="53"/>
      <c r="NOQ1378" s="53"/>
      <c r="NOR1378" s="53"/>
      <c r="NOS1378" s="53"/>
      <c r="NOT1378" s="53"/>
      <c r="NOU1378" s="53"/>
      <c r="NOV1378" s="53"/>
      <c r="NOW1378" s="53"/>
      <c r="NOX1378" s="53"/>
      <c r="NOY1378" s="53"/>
      <c r="NOZ1378" s="53"/>
      <c r="NPA1378" s="53"/>
      <c r="NPB1378" s="53"/>
      <c r="NPC1378" s="53"/>
      <c r="NPD1378" s="53"/>
      <c r="NPE1378" s="53"/>
      <c r="NPF1378" s="53"/>
      <c r="NPG1378" s="53"/>
      <c r="NPH1378" s="53"/>
      <c r="NPI1378" s="53"/>
      <c r="NPJ1378" s="53"/>
      <c r="NPK1378" s="53"/>
      <c r="NPL1378" s="53"/>
      <c r="NPM1378" s="53"/>
      <c r="NPN1378" s="53"/>
      <c r="NPO1378" s="53"/>
      <c r="NPP1378" s="53"/>
      <c r="NPQ1378" s="53"/>
      <c r="NPR1378" s="53"/>
      <c r="NPS1378" s="53"/>
      <c r="NPT1378" s="53"/>
      <c r="NPU1378" s="53"/>
      <c r="NPV1378" s="53"/>
      <c r="NPW1378" s="53"/>
      <c r="NPX1378" s="53"/>
      <c r="NPY1378" s="53"/>
      <c r="NPZ1378" s="53"/>
      <c r="NQA1378" s="53"/>
      <c r="NQB1378" s="53"/>
      <c r="NQC1378" s="53"/>
      <c r="NQD1378" s="53"/>
      <c r="NQE1378" s="53"/>
      <c r="NQF1378" s="53"/>
      <c r="NQG1378" s="53"/>
      <c r="NQH1378" s="53"/>
      <c r="NQI1378" s="53"/>
      <c r="NQJ1378" s="53"/>
      <c r="NQK1378" s="53"/>
      <c r="NQL1378" s="53"/>
      <c r="NQM1378" s="53"/>
      <c r="NQN1378" s="53"/>
      <c r="NQO1378" s="53"/>
      <c r="NQP1378" s="53"/>
      <c r="NQQ1378" s="53"/>
      <c r="NQR1378" s="53"/>
      <c r="NQS1378" s="53"/>
      <c r="NQT1378" s="53"/>
      <c r="NQU1378" s="53"/>
      <c r="NQV1378" s="53"/>
      <c r="NQW1378" s="53"/>
      <c r="NQX1378" s="53"/>
      <c r="NQY1378" s="53"/>
      <c r="NQZ1378" s="53"/>
      <c r="NRA1378" s="53"/>
      <c r="NRB1378" s="53"/>
      <c r="NRC1378" s="53"/>
      <c r="NRD1378" s="53"/>
      <c r="NRE1378" s="53"/>
      <c r="NRF1378" s="53"/>
      <c r="NRG1378" s="53"/>
      <c r="NRH1378" s="53"/>
      <c r="NRI1378" s="53"/>
      <c r="NRJ1378" s="53"/>
      <c r="NRK1378" s="53"/>
      <c r="NRL1378" s="53"/>
      <c r="NRM1378" s="53"/>
      <c r="NRN1378" s="53"/>
      <c r="NRO1378" s="53"/>
      <c r="NRP1378" s="53"/>
      <c r="NRQ1378" s="53"/>
      <c r="NRR1378" s="53"/>
      <c r="NRS1378" s="53"/>
      <c r="NRT1378" s="53"/>
      <c r="NRU1378" s="53"/>
      <c r="NRV1378" s="53"/>
      <c r="NRW1378" s="53"/>
      <c r="NRX1378" s="53"/>
      <c r="NRY1378" s="53"/>
      <c r="NRZ1378" s="53"/>
      <c r="NSA1378" s="53"/>
      <c r="NSB1378" s="53"/>
      <c r="NSC1378" s="53"/>
      <c r="NSD1378" s="53"/>
      <c r="NSE1378" s="53"/>
      <c r="NSF1378" s="53"/>
      <c r="NSG1378" s="53"/>
      <c r="NSH1378" s="53"/>
      <c r="NSI1378" s="53"/>
      <c r="NSJ1378" s="53"/>
      <c r="NSK1378" s="53"/>
      <c r="NSL1378" s="53"/>
      <c r="NSM1378" s="53"/>
      <c r="NSN1378" s="53"/>
      <c r="NSO1378" s="53"/>
      <c r="NSP1378" s="53"/>
      <c r="NSQ1378" s="53"/>
      <c r="NSR1378" s="53"/>
      <c r="NSS1378" s="53"/>
      <c r="NST1378" s="53"/>
      <c r="NSU1378" s="53"/>
      <c r="NSV1378" s="53"/>
      <c r="NSW1378" s="53"/>
      <c r="NSX1378" s="53"/>
      <c r="NSY1378" s="53"/>
      <c r="NSZ1378" s="53"/>
      <c r="NTA1378" s="53"/>
      <c r="NTB1378" s="53"/>
      <c r="NTC1378" s="53"/>
      <c r="NTD1378" s="53"/>
      <c r="NTE1378" s="53"/>
      <c r="NTF1378" s="53"/>
      <c r="NTG1378" s="53"/>
      <c r="NTH1378" s="53"/>
      <c r="NTI1378" s="53"/>
      <c r="NTJ1378" s="53"/>
      <c r="NTK1378" s="53"/>
      <c r="NTL1378" s="53"/>
      <c r="NTM1378" s="53"/>
      <c r="NTN1378" s="53"/>
      <c r="NTO1378" s="53"/>
      <c r="NTP1378" s="53"/>
      <c r="NTQ1378" s="53"/>
      <c r="NTR1378" s="53"/>
      <c r="NTS1378" s="53"/>
      <c r="NTT1378" s="53"/>
      <c r="NTU1378" s="53"/>
      <c r="NTV1378" s="53"/>
      <c r="NTW1378" s="53"/>
      <c r="NTX1378" s="53"/>
      <c r="NTY1378" s="53"/>
      <c r="NTZ1378" s="53"/>
      <c r="NUA1378" s="53"/>
      <c r="NUB1378" s="53"/>
      <c r="NUC1378" s="53"/>
      <c r="NUD1378" s="53"/>
      <c r="NUE1378" s="53"/>
      <c r="NUF1378" s="53"/>
      <c r="NUG1378" s="53"/>
      <c r="NUH1378" s="53"/>
      <c r="NUI1378" s="53"/>
      <c r="NUJ1378" s="53"/>
      <c r="NUK1378" s="53"/>
      <c r="NUL1378" s="53"/>
      <c r="NUM1378" s="53"/>
      <c r="NUN1378" s="53"/>
      <c r="NUO1378" s="53"/>
      <c r="NUP1378" s="53"/>
      <c r="NUQ1378" s="53"/>
      <c r="NUR1378" s="53"/>
      <c r="NUS1378" s="53"/>
      <c r="NUT1378" s="53"/>
      <c r="NUU1378" s="53"/>
      <c r="NUV1378" s="53"/>
      <c r="NUW1378" s="53"/>
      <c r="NUX1378" s="53"/>
      <c r="NUY1378" s="53"/>
      <c r="NUZ1378" s="53"/>
      <c r="NVA1378" s="53"/>
      <c r="NVB1378" s="53"/>
      <c r="NVC1378" s="53"/>
      <c r="NVD1378" s="53"/>
      <c r="NVE1378" s="53"/>
      <c r="NVF1378" s="53"/>
      <c r="NVG1378" s="53"/>
      <c r="NVH1378" s="53"/>
      <c r="NVI1378" s="53"/>
      <c r="NVJ1378" s="53"/>
      <c r="NVK1378" s="53"/>
      <c r="NVL1378" s="53"/>
      <c r="NVM1378" s="53"/>
      <c r="NVN1378" s="53"/>
      <c r="NVO1378" s="53"/>
      <c r="NVP1378" s="53"/>
      <c r="NVQ1378" s="53"/>
      <c r="NVR1378" s="53"/>
      <c r="NVS1378" s="53"/>
      <c r="NVT1378" s="53"/>
      <c r="NVU1378" s="53"/>
      <c r="NVV1378" s="53"/>
      <c r="NVW1378" s="53"/>
      <c r="NVX1378" s="53"/>
      <c r="NVY1378" s="53"/>
      <c r="NVZ1378" s="53"/>
      <c r="NWA1378" s="53"/>
      <c r="NWB1378" s="53"/>
      <c r="NWC1378" s="53"/>
      <c r="NWD1378" s="53"/>
      <c r="NWE1378" s="53"/>
      <c r="NWF1378" s="53"/>
      <c r="NWG1378" s="53"/>
      <c r="NWH1378" s="53"/>
      <c r="NWI1378" s="53"/>
      <c r="NWJ1378" s="53"/>
      <c r="NWK1378" s="53"/>
      <c r="NWL1378" s="53"/>
      <c r="NWM1378" s="53"/>
      <c r="NWN1378" s="53"/>
      <c r="NWO1378" s="53"/>
      <c r="NWP1378" s="53"/>
      <c r="NWQ1378" s="53"/>
      <c r="NWR1378" s="53"/>
      <c r="NWS1378" s="53"/>
      <c r="NWT1378" s="53"/>
      <c r="NWU1378" s="53"/>
      <c r="NWV1378" s="53"/>
      <c r="NWW1378" s="53"/>
      <c r="NWX1378" s="53"/>
      <c r="NWY1378" s="53"/>
      <c r="NWZ1378" s="53"/>
      <c r="NXA1378" s="53"/>
      <c r="NXB1378" s="53"/>
      <c r="NXC1378" s="53"/>
      <c r="NXD1378" s="53"/>
      <c r="NXE1378" s="53"/>
      <c r="NXF1378" s="53"/>
      <c r="NXG1378" s="53"/>
      <c r="NXH1378" s="53"/>
      <c r="NXI1378" s="53"/>
      <c r="NXJ1378" s="53"/>
      <c r="NXK1378" s="53"/>
      <c r="NXL1378" s="53"/>
      <c r="NXM1378" s="53"/>
      <c r="NXN1378" s="53"/>
      <c r="NXO1378" s="53"/>
      <c r="NXP1378" s="53"/>
      <c r="NXQ1378" s="53"/>
      <c r="NXR1378" s="53"/>
      <c r="NXS1378" s="53"/>
      <c r="NXT1378" s="53"/>
      <c r="NXU1378" s="53"/>
      <c r="NXV1378" s="53"/>
      <c r="NXW1378" s="53"/>
      <c r="NXX1378" s="53"/>
      <c r="NXY1378" s="53"/>
      <c r="NXZ1378" s="53"/>
      <c r="NYA1378" s="53"/>
      <c r="NYB1378" s="53"/>
      <c r="NYC1378" s="53"/>
      <c r="NYD1378" s="53"/>
      <c r="NYE1378" s="53"/>
      <c r="NYF1378" s="53"/>
      <c r="NYG1378" s="53"/>
      <c r="NYH1378" s="53"/>
      <c r="NYI1378" s="53"/>
      <c r="NYJ1378" s="53"/>
      <c r="NYK1378" s="53"/>
      <c r="NYL1378" s="53"/>
      <c r="NYM1378" s="53"/>
      <c r="NYN1378" s="53"/>
      <c r="NYO1378" s="53"/>
      <c r="NYP1378" s="53"/>
      <c r="NYQ1378" s="53"/>
      <c r="NYR1378" s="53"/>
      <c r="NYS1378" s="53"/>
      <c r="NYT1378" s="53"/>
      <c r="NYU1378" s="53"/>
      <c r="NYV1378" s="53"/>
      <c r="NYW1378" s="53"/>
      <c r="NYX1378" s="53"/>
      <c r="NYY1378" s="53"/>
      <c r="NYZ1378" s="53"/>
      <c r="NZA1378" s="53"/>
      <c r="NZB1378" s="53"/>
      <c r="NZC1378" s="53"/>
      <c r="NZD1378" s="53"/>
      <c r="NZE1378" s="53"/>
      <c r="NZF1378" s="53"/>
      <c r="NZG1378" s="53"/>
      <c r="NZH1378" s="53"/>
      <c r="NZI1378" s="53"/>
      <c r="NZJ1378" s="53"/>
      <c r="NZK1378" s="53"/>
      <c r="NZL1378" s="53"/>
      <c r="NZM1378" s="53"/>
      <c r="NZN1378" s="53"/>
      <c r="NZO1378" s="53"/>
      <c r="NZP1378" s="53"/>
      <c r="NZQ1378" s="53"/>
      <c r="NZR1378" s="53"/>
      <c r="NZS1378" s="53"/>
      <c r="NZT1378" s="53"/>
      <c r="NZU1378" s="53"/>
      <c r="NZV1378" s="53"/>
      <c r="NZW1378" s="53"/>
      <c r="NZX1378" s="53"/>
      <c r="NZY1378" s="53"/>
      <c r="NZZ1378" s="53"/>
      <c r="OAA1378" s="53"/>
      <c r="OAB1378" s="53"/>
      <c r="OAC1378" s="53"/>
      <c r="OAD1378" s="53"/>
      <c r="OAE1378" s="53"/>
      <c r="OAF1378" s="53"/>
      <c r="OAG1378" s="53"/>
      <c r="OAH1378" s="53"/>
      <c r="OAI1378" s="53"/>
      <c r="OAJ1378" s="53"/>
      <c r="OAK1378" s="53"/>
      <c r="OAL1378" s="53"/>
      <c r="OAM1378" s="53"/>
      <c r="OAN1378" s="53"/>
      <c r="OAO1378" s="53"/>
      <c r="OAP1378" s="53"/>
      <c r="OAQ1378" s="53"/>
      <c r="OAR1378" s="53"/>
      <c r="OAS1378" s="53"/>
      <c r="OAT1378" s="53"/>
      <c r="OAU1378" s="53"/>
      <c r="OAV1378" s="53"/>
      <c r="OAW1378" s="53"/>
      <c r="OAX1378" s="53"/>
      <c r="OAY1378" s="53"/>
      <c r="OAZ1378" s="53"/>
      <c r="OBA1378" s="53"/>
      <c r="OBB1378" s="53"/>
      <c r="OBC1378" s="53"/>
      <c r="OBD1378" s="53"/>
      <c r="OBE1378" s="53"/>
      <c r="OBF1378" s="53"/>
      <c r="OBG1378" s="53"/>
      <c r="OBH1378" s="53"/>
      <c r="OBI1378" s="53"/>
      <c r="OBJ1378" s="53"/>
      <c r="OBK1378" s="53"/>
      <c r="OBL1378" s="53"/>
      <c r="OBM1378" s="53"/>
      <c r="OBN1378" s="53"/>
      <c r="OBO1378" s="53"/>
      <c r="OBP1378" s="53"/>
      <c r="OBQ1378" s="53"/>
      <c r="OBR1378" s="53"/>
      <c r="OBS1378" s="53"/>
      <c r="OBT1378" s="53"/>
      <c r="OBU1378" s="53"/>
      <c r="OBV1378" s="53"/>
      <c r="OBW1378" s="53"/>
      <c r="OBX1378" s="53"/>
      <c r="OBY1378" s="53"/>
      <c r="OBZ1378" s="53"/>
      <c r="OCA1378" s="53"/>
      <c r="OCB1378" s="53"/>
      <c r="OCC1378" s="53"/>
      <c r="OCD1378" s="53"/>
      <c r="OCE1378" s="53"/>
      <c r="OCF1378" s="53"/>
      <c r="OCG1378" s="53"/>
      <c r="OCH1378" s="53"/>
      <c r="OCI1378" s="53"/>
      <c r="OCJ1378" s="53"/>
      <c r="OCK1378" s="53"/>
      <c r="OCL1378" s="53"/>
      <c r="OCM1378" s="53"/>
      <c r="OCN1378" s="53"/>
      <c r="OCO1378" s="53"/>
      <c r="OCP1378" s="53"/>
      <c r="OCQ1378" s="53"/>
      <c r="OCR1378" s="53"/>
      <c r="OCS1378" s="53"/>
      <c r="OCT1378" s="53"/>
      <c r="OCU1378" s="53"/>
      <c r="OCV1378" s="53"/>
      <c r="OCW1378" s="53"/>
      <c r="OCX1378" s="53"/>
      <c r="OCY1378" s="53"/>
      <c r="OCZ1378" s="53"/>
      <c r="ODA1378" s="53"/>
      <c r="ODB1378" s="53"/>
      <c r="ODC1378" s="53"/>
      <c r="ODD1378" s="53"/>
      <c r="ODE1378" s="53"/>
      <c r="ODF1378" s="53"/>
      <c r="ODG1378" s="53"/>
      <c r="ODH1378" s="53"/>
      <c r="ODI1378" s="53"/>
      <c r="ODJ1378" s="53"/>
      <c r="ODK1378" s="53"/>
      <c r="ODL1378" s="53"/>
      <c r="ODM1378" s="53"/>
      <c r="ODN1378" s="53"/>
      <c r="ODO1378" s="53"/>
      <c r="ODP1378" s="53"/>
      <c r="ODQ1378" s="53"/>
      <c r="ODR1378" s="53"/>
      <c r="ODS1378" s="53"/>
      <c r="ODT1378" s="53"/>
      <c r="ODU1378" s="53"/>
      <c r="ODV1378" s="53"/>
      <c r="ODW1378" s="53"/>
      <c r="ODX1378" s="53"/>
      <c r="ODY1378" s="53"/>
      <c r="ODZ1378" s="53"/>
      <c r="OEA1378" s="53"/>
      <c r="OEB1378" s="53"/>
      <c r="OEC1378" s="53"/>
      <c r="OED1378" s="53"/>
      <c r="OEE1378" s="53"/>
      <c r="OEF1378" s="53"/>
      <c r="OEG1378" s="53"/>
      <c r="OEH1378" s="53"/>
      <c r="OEI1378" s="53"/>
      <c r="OEJ1378" s="53"/>
      <c r="OEK1378" s="53"/>
      <c r="OEL1378" s="53"/>
      <c r="OEM1378" s="53"/>
      <c r="OEN1378" s="53"/>
      <c r="OEO1378" s="53"/>
      <c r="OEP1378" s="53"/>
      <c r="OEQ1378" s="53"/>
      <c r="OER1378" s="53"/>
      <c r="OES1378" s="53"/>
      <c r="OET1378" s="53"/>
      <c r="OEU1378" s="53"/>
      <c r="OEV1378" s="53"/>
      <c r="OEW1378" s="53"/>
      <c r="OEX1378" s="53"/>
      <c r="OEY1378" s="53"/>
      <c r="OEZ1378" s="53"/>
      <c r="OFA1378" s="53"/>
      <c r="OFB1378" s="53"/>
      <c r="OFC1378" s="53"/>
      <c r="OFD1378" s="53"/>
      <c r="OFE1378" s="53"/>
      <c r="OFF1378" s="53"/>
      <c r="OFG1378" s="53"/>
      <c r="OFH1378" s="53"/>
      <c r="OFI1378" s="53"/>
      <c r="OFJ1378" s="53"/>
      <c r="OFK1378" s="53"/>
      <c r="OFL1378" s="53"/>
      <c r="OFM1378" s="53"/>
      <c r="OFN1378" s="53"/>
      <c r="OFO1378" s="53"/>
      <c r="OFP1378" s="53"/>
      <c r="OFQ1378" s="53"/>
      <c r="OFR1378" s="53"/>
      <c r="OFS1378" s="53"/>
      <c r="OFT1378" s="53"/>
      <c r="OFU1378" s="53"/>
      <c r="OFV1378" s="53"/>
      <c r="OFW1378" s="53"/>
      <c r="OFX1378" s="53"/>
      <c r="OFY1378" s="53"/>
      <c r="OFZ1378" s="53"/>
      <c r="OGA1378" s="53"/>
      <c r="OGB1378" s="53"/>
      <c r="OGC1378" s="53"/>
      <c r="OGD1378" s="53"/>
      <c r="OGE1378" s="53"/>
      <c r="OGF1378" s="53"/>
      <c r="OGG1378" s="53"/>
      <c r="OGH1378" s="53"/>
      <c r="OGI1378" s="53"/>
      <c r="OGJ1378" s="53"/>
      <c r="OGK1378" s="53"/>
      <c r="OGL1378" s="53"/>
      <c r="OGM1378" s="53"/>
      <c r="OGN1378" s="53"/>
      <c r="OGO1378" s="53"/>
      <c r="OGP1378" s="53"/>
      <c r="OGQ1378" s="53"/>
      <c r="OGR1378" s="53"/>
      <c r="OGS1378" s="53"/>
      <c r="OGT1378" s="53"/>
      <c r="OGU1378" s="53"/>
      <c r="OGV1378" s="53"/>
      <c r="OGW1378" s="53"/>
      <c r="OGX1378" s="53"/>
      <c r="OGY1378" s="53"/>
      <c r="OGZ1378" s="53"/>
      <c r="OHA1378" s="53"/>
      <c r="OHB1378" s="53"/>
      <c r="OHC1378" s="53"/>
      <c r="OHD1378" s="53"/>
      <c r="OHE1378" s="53"/>
      <c r="OHF1378" s="53"/>
      <c r="OHG1378" s="53"/>
      <c r="OHH1378" s="53"/>
      <c r="OHI1378" s="53"/>
      <c r="OHJ1378" s="53"/>
      <c r="OHK1378" s="53"/>
      <c r="OHL1378" s="53"/>
      <c r="OHM1378" s="53"/>
      <c r="OHN1378" s="53"/>
      <c r="OHO1378" s="53"/>
      <c r="OHP1378" s="53"/>
      <c r="OHQ1378" s="53"/>
      <c r="OHR1378" s="53"/>
      <c r="OHS1378" s="53"/>
      <c r="OHT1378" s="53"/>
      <c r="OHU1378" s="53"/>
      <c r="OHV1378" s="53"/>
      <c r="OHW1378" s="53"/>
      <c r="OHX1378" s="53"/>
      <c r="OHY1378" s="53"/>
      <c r="OHZ1378" s="53"/>
      <c r="OIA1378" s="53"/>
      <c r="OIB1378" s="53"/>
      <c r="OIC1378" s="53"/>
      <c r="OID1378" s="53"/>
      <c r="OIE1378" s="53"/>
      <c r="OIF1378" s="53"/>
      <c r="OIG1378" s="53"/>
      <c r="OIH1378" s="53"/>
      <c r="OII1378" s="53"/>
      <c r="OIJ1378" s="53"/>
      <c r="OIK1378" s="53"/>
      <c r="OIL1378" s="53"/>
      <c r="OIM1378" s="53"/>
      <c r="OIN1378" s="53"/>
      <c r="OIO1378" s="53"/>
      <c r="OIP1378" s="53"/>
      <c r="OIQ1378" s="53"/>
      <c r="OIR1378" s="53"/>
      <c r="OIS1378" s="53"/>
      <c r="OIT1378" s="53"/>
      <c r="OIU1378" s="53"/>
      <c r="OIV1378" s="53"/>
      <c r="OIW1378" s="53"/>
      <c r="OIX1378" s="53"/>
      <c r="OIY1378" s="53"/>
      <c r="OIZ1378" s="53"/>
      <c r="OJA1378" s="53"/>
      <c r="OJB1378" s="53"/>
      <c r="OJC1378" s="53"/>
      <c r="OJD1378" s="53"/>
      <c r="OJE1378" s="53"/>
      <c r="OJF1378" s="53"/>
      <c r="OJG1378" s="53"/>
      <c r="OJH1378" s="53"/>
      <c r="OJI1378" s="53"/>
      <c r="OJJ1378" s="53"/>
      <c r="OJK1378" s="53"/>
      <c r="OJL1378" s="53"/>
      <c r="OJM1378" s="53"/>
      <c r="OJN1378" s="53"/>
      <c r="OJO1378" s="53"/>
      <c r="OJP1378" s="53"/>
      <c r="OJQ1378" s="53"/>
      <c r="OJR1378" s="53"/>
      <c r="OJS1378" s="53"/>
      <c r="OJT1378" s="53"/>
      <c r="OJU1378" s="53"/>
      <c r="OJV1378" s="53"/>
      <c r="OJW1378" s="53"/>
      <c r="OJX1378" s="53"/>
      <c r="OJY1378" s="53"/>
      <c r="OJZ1378" s="53"/>
      <c r="OKA1378" s="53"/>
      <c r="OKB1378" s="53"/>
      <c r="OKC1378" s="53"/>
      <c r="OKD1378" s="53"/>
      <c r="OKE1378" s="53"/>
      <c r="OKF1378" s="53"/>
      <c r="OKG1378" s="53"/>
      <c r="OKH1378" s="53"/>
      <c r="OKI1378" s="53"/>
      <c r="OKJ1378" s="53"/>
      <c r="OKK1378" s="53"/>
      <c r="OKL1378" s="53"/>
      <c r="OKM1378" s="53"/>
      <c r="OKN1378" s="53"/>
      <c r="OKO1378" s="53"/>
      <c r="OKP1378" s="53"/>
      <c r="OKQ1378" s="53"/>
      <c r="OKR1378" s="53"/>
      <c r="OKS1378" s="53"/>
      <c r="OKT1378" s="53"/>
      <c r="OKU1378" s="53"/>
      <c r="OKV1378" s="53"/>
      <c r="OKW1378" s="53"/>
      <c r="OKX1378" s="53"/>
      <c r="OKY1378" s="53"/>
      <c r="OKZ1378" s="53"/>
      <c r="OLA1378" s="53"/>
      <c r="OLB1378" s="53"/>
      <c r="OLC1378" s="53"/>
      <c r="OLD1378" s="53"/>
      <c r="OLE1378" s="53"/>
      <c r="OLF1378" s="53"/>
      <c r="OLG1378" s="53"/>
      <c r="OLH1378" s="53"/>
      <c r="OLI1378" s="53"/>
      <c r="OLJ1378" s="53"/>
      <c r="OLK1378" s="53"/>
      <c r="OLL1378" s="53"/>
      <c r="OLM1378" s="53"/>
      <c r="OLN1378" s="53"/>
      <c r="OLO1378" s="53"/>
      <c r="OLP1378" s="53"/>
      <c r="OLQ1378" s="53"/>
      <c r="OLR1378" s="53"/>
      <c r="OLS1378" s="53"/>
      <c r="OLT1378" s="53"/>
      <c r="OLU1378" s="53"/>
      <c r="OLV1378" s="53"/>
      <c r="OLW1378" s="53"/>
      <c r="OLX1378" s="53"/>
      <c r="OLY1378" s="53"/>
      <c r="OLZ1378" s="53"/>
      <c r="OMA1378" s="53"/>
      <c r="OMB1378" s="53"/>
      <c r="OMC1378" s="53"/>
      <c r="OMD1378" s="53"/>
      <c r="OME1378" s="53"/>
      <c r="OMF1378" s="53"/>
      <c r="OMG1378" s="53"/>
      <c r="OMH1378" s="53"/>
      <c r="OMI1378" s="53"/>
      <c r="OMJ1378" s="53"/>
      <c r="OMK1378" s="53"/>
      <c r="OML1378" s="53"/>
      <c r="OMM1378" s="53"/>
      <c r="OMN1378" s="53"/>
      <c r="OMO1378" s="53"/>
      <c r="OMP1378" s="53"/>
      <c r="OMQ1378" s="53"/>
      <c r="OMR1378" s="53"/>
      <c r="OMS1378" s="53"/>
      <c r="OMT1378" s="53"/>
      <c r="OMU1378" s="53"/>
      <c r="OMV1378" s="53"/>
      <c r="OMW1378" s="53"/>
      <c r="OMX1378" s="53"/>
      <c r="OMY1378" s="53"/>
      <c r="OMZ1378" s="53"/>
      <c r="ONA1378" s="53"/>
      <c r="ONB1378" s="53"/>
      <c r="ONC1378" s="53"/>
      <c r="OND1378" s="53"/>
      <c r="ONE1378" s="53"/>
      <c r="ONF1378" s="53"/>
      <c r="ONG1378" s="53"/>
      <c r="ONH1378" s="53"/>
      <c r="ONI1378" s="53"/>
      <c r="ONJ1378" s="53"/>
      <c r="ONK1378" s="53"/>
      <c r="ONL1378" s="53"/>
      <c r="ONM1378" s="53"/>
      <c r="ONN1378" s="53"/>
      <c r="ONO1378" s="53"/>
      <c r="ONP1378" s="53"/>
      <c r="ONQ1378" s="53"/>
      <c r="ONR1378" s="53"/>
      <c r="ONS1378" s="53"/>
      <c r="ONT1378" s="53"/>
      <c r="ONU1378" s="53"/>
      <c r="ONV1378" s="53"/>
      <c r="ONW1378" s="53"/>
      <c r="ONX1378" s="53"/>
      <c r="ONY1378" s="53"/>
      <c r="ONZ1378" s="53"/>
      <c r="OOA1378" s="53"/>
      <c r="OOB1378" s="53"/>
      <c r="OOC1378" s="53"/>
      <c r="OOD1378" s="53"/>
      <c r="OOE1378" s="53"/>
      <c r="OOF1378" s="53"/>
      <c r="OOG1378" s="53"/>
      <c r="OOH1378" s="53"/>
      <c r="OOI1378" s="53"/>
      <c r="OOJ1378" s="53"/>
      <c r="OOK1378" s="53"/>
      <c r="OOL1378" s="53"/>
      <c r="OOM1378" s="53"/>
      <c r="OON1378" s="53"/>
      <c r="OOO1378" s="53"/>
      <c r="OOP1378" s="53"/>
      <c r="OOQ1378" s="53"/>
      <c r="OOR1378" s="53"/>
      <c r="OOS1378" s="53"/>
      <c r="OOT1378" s="53"/>
      <c r="OOU1378" s="53"/>
      <c r="OOV1378" s="53"/>
      <c r="OOW1378" s="53"/>
      <c r="OOX1378" s="53"/>
      <c r="OOY1378" s="53"/>
      <c r="OOZ1378" s="53"/>
      <c r="OPA1378" s="53"/>
      <c r="OPB1378" s="53"/>
      <c r="OPC1378" s="53"/>
      <c r="OPD1378" s="53"/>
      <c r="OPE1378" s="53"/>
      <c r="OPF1378" s="53"/>
      <c r="OPG1378" s="53"/>
      <c r="OPH1378" s="53"/>
      <c r="OPI1378" s="53"/>
      <c r="OPJ1378" s="53"/>
      <c r="OPK1378" s="53"/>
      <c r="OPL1378" s="53"/>
      <c r="OPM1378" s="53"/>
      <c r="OPN1378" s="53"/>
      <c r="OPO1378" s="53"/>
      <c r="OPP1378" s="53"/>
      <c r="OPQ1378" s="53"/>
      <c r="OPR1378" s="53"/>
      <c r="OPS1378" s="53"/>
      <c r="OPT1378" s="53"/>
      <c r="OPU1378" s="53"/>
      <c r="OPV1378" s="53"/>
      <c r="OPW1378" s="53"/>
      <c r="OPX1378" s="53"/>
      <c r="OPY1378" s="53"/>
      <c r="OPZ1378" s="53"/>
      <c r="OQA1378" s="53"/>
      <c r="OQB1378" s="53"/>
      <c r="OQC1378" s="53"/>
      <c r="OQD1378" s="53"/>
      <c r="OQE1378" s="53"/>
      <c r="OQF1378" s="53"/>
      <c r="OQG1378" s="53"/>
      <c r="OQH1378" s="53"/>
      <c r="OQI1378" s="53"/>
      <c r="OQJ1378" s="53"/>
      <c r="OQK1378" s="53"/>
      <c r="OQL1378" s="53"/>
      <c r="OQM1378" s="53"/>
      <c r="OQN1378" s="53"/>
      <c r="OQO1378" s="53"/>
      <c r="OQP1378" s="53"/>
      <c r="OQQ1378" s="53"/>
      <c r="OQR1378" s="53"/>
      <c r="OQS1378" s="53"/>
      <c r="OQT1378" s="53"/>
      <c r="OQU1378" s="53"/>
      <c r="OQV1378" s="53"/>
      <c r="OQW1378" s="53"/>
      <c r="OQX1378" s="53"/>
      <c r="OQY1378" s="53"/>
      <c r="OQZ1378" s="53"/>
      <c r="ORA1378" s="53"/>
      <c r="ORB1378" s="53"/>
      <c r="ORC1378" s="53"/>
      <c r="ORD1378" s="53"/>
      <c r="ORE1378" s="53"/>
      <c r="ORF1378" s="53"/>
      <c r="ORG1378" s="53"/>
      <c r="ORH1378" s="53"/>
      <c r="ORI1378" s="53"/>
      <c r="ORJ1378" s="53"/>
      <c r="ORK1378" s="53"/>
      <c r="ORL1378" s="53"/>
      <c r="ORM1378" s="53"/>
      <c r="ORN1378" s="53"/>
      <c r="ORO1378" s="53"/>
      <c r="ORP1378" s="53"/>
      <c r="ORQ1378" s="53"/>
      <c r="ORR1378" s="53"/>
      <c r="ORS1378" s="53"/>
      <c r="ORT1378" s="53"/>
      <c r="ORU1378" s="53"/>
      <c r="ORV1378" s="53"/>
      <c r="ORW1378" s="53"/>
      <c r="ORX1378" s="53"/>
      <c r="ORY1378" s="53"/>
      <c r="ORZ1378" s="53"/>
      <c r="OSA1378" s="53"/>
      <c r="OSB1378" s="53"/>
      <c r="OSC1378" s="53"/>
      <c r="OSD1378" s="53"/>
      <c r="OSE1378" s="53"/>
      <c r="OSF1378" s="53"/>
      <c r="OSG1378" s="53"/>
      <c r="OSH1378" s="53"/>
      <c r="OSI1378" s="53"/>
      <c r="OSJ1378" s="53"/>
      <c r="OSK1378" s="53"/>
      <c r="OSL1378" s="53"/>
      <c r="OSM1378" s="53"/>
      <c r="OSN1378" s="53"/>
      <c r="OSO1378" s="53"/>
      <c r="OSP1378" s="53"/>
      <c r="OSQ1378" s="53"/>
      <c r="OSR1378" s="53"/>
      <c r="OSS1378" s="53"/>
      <c r="OST1378" s="53"/>
      <c r="OSU1378" s="53"/>
      <c r="OSV1378" s="53"/>
      <c r="OSW1378" s="53"/>
      <c r="OSX1378" s="53"/>
      <c r="OSY1378" s="53"/>
      <c r="OSZ1378" s="53"/>
      <c r="OTA1378" s="53"/>
      <c r="OTB1378" s="53"/>
      <c r="OTC1378" s="53"/>
      <c r="OTD1378" s="53"/>
      <c r="OTE1378" s="53"/>
      <c r="OTF1378" s="53"/>
      <c r="OTG1378" s="53"/>
      <c r="OTH1378" s="53"/>
      <c r="OTI1378" s="53"/>
      <c r="OTJ1378" s="53"/>
      <c r="OTK1378" s="53"/>
      <c r="OTL1378" s="53"/>
      <c r="OTM1378" s="53"/>
      <c r="OTN1378" s="53"/>
      <c r="OTO1378" s="53"/>
      <c r="OTP1378" s="53"/>
      <c r="OTQ1378" s="53"/>
      <c r="OTR1378" s="53"/>
      <c r="OTS1378" s="53"/>
      <c r="OTT1378" s="53"/>
      <c r="OTU1378" s="53"/>
      <c r="OTV1378" s="53"/>
      <c r="OTW1378" s="53"/>
      <c r="OTX1378" s="53"/>
      <c r="OTY1378" s="53"/>
      <c r="OTZ1378" s="53"/>
      <c r="OUA1378" s="53"/>
      <c r="OUB1378" s="53"/>
      <c r="OUC1378" s="53"/>
      <c r="OUD1378" s="53"/>
      <c r="OUE1378" s="53"/>
      <c r="OUF1378" s="53"/>
      <c r="OUG1378" s="53"/>
      <c r="OUH1378" s="53"/>
      <c r="OUI1378" s="53"/>
      <c r="OUJ1378" s="53"/>
      <c r="OUK1378" s="53"/>
      <c r="OUL1378" s="53"/>
      <c r="OUM1378" s="53"/>
      <c r="OUN1378" s="53"/>
      <c r="OUO1378" s="53"/>
      <c r="OUP1378" s="53"/>
      <c r="OUQ1378" s="53"/>
      <c r="OUR1378" s="53"/>
      <c r="OUS1378" s="53"/>
      <c r="OUT1378" s="53"/>
      <c r="OUU1378" s="53"/>
      <c r="OUV1378" s="53"/>
      <c r="OUW1378" s="53"/>
      <c r="OUX1378" s="53"/>
      <c r="OUY1378" s="53"/>
      <c r="OUZ1378" s="53"/>
      <c r="OVA1378" s="53"/>
      <c r="OVB1378" s="53"/>
      <c r="OVC1378" s="53"/>
      <c r="OVD1378" s="53"/>
      <c r="OVE1378" s="53"/>
      <c r="OVF1378" s="53"/>
      <c r="OVG1378" s="53"/>
      <c r="OVH1378" s="53"/>
      <c r="OVI1378" s="53"/>
      <c r="OVJ1378" s="53"/>
      <c r="OVK1378" s="53"/>
      <c r="OVL1378" s="53"/>
      <c r="OVM1378" s="53"/>
      <c r="OVN1378" s="53"/>
      <c r="OVO1378" s="53"/>
      <c r="OVP1378" s="53"/>
      <c r="OVQ1378" s="53"/>
      <c r="OVR1378" s="53"/>
      <c r="OVS1378" s="53"/>
      <c r="OVT1378" s="53"/>
      <c r="OVU1378" s="53"/>
      <c r="OVV1378" s="53"/>
      <c r="OVW1378" s="53"/>
      <c r="OVX1378" s="53"/>
      <c r="OVY1378" s="53"/>
      <c r="OVZ1378" s="53"/>
      <c r="OWA1378" s="53"/>
      <c r="OWB1378" s="53"/>
      <c r="OWC1378" s="53"/>
      <c r="OWD1378" s="53"/>
      <c r="OWE1378" s="53"/>
      <c r="OWF1378" s="53"/>
      <c r="OWG1378" s="53"/>
      <c r="OWH1378" s="53"/>
      <c r="OWI1378" s="53"/>
      <c r="OWJ1378" s="53"/>
      <c r="OWK1378" s="53"/>
      <c r="OWL1378" s="53"/>
      <c r="OWM1378" s="53"/>
      <c r="OWN1378" s="53"/>
      <c r="OWO1378" s="53"/>
      <c r="OWP1378" s="53"/>
      <c r="OWQ1378" s="53"/>
      <c r="OWR1378" s="53"/>
      <c r="OWS1378" s="53"/>
      <c r="OWT1378" s="53"/>
      <c r="OWU1378" s="53"/>
      <c r="OWV1378" s="53"/>
      <c r="OWW1378" s="53"/>
      <c r="OWX1378" s="53"/>
      <c r="OWY1378" s="53"/>
      <c r="OWZ1378" s="53"/>
      <c r="OXA1378" s="53"/>
      <c r="OXB1378" s="53"/>
      <c r="OXC1378" s="53"/>
      <c r="OXD1378" s="53"/>
      <c r="OXE1378" s="53"/>
      <c r="OXF1378" s="53"/>
      <c r="OXG1378" s="53"/>
      <c r="OXH1378" s="53"/>
      <c r="OXI1378" s="53"/>
      <c r="OXJ1378" s="53"/>
      <c r="OXK1378" s="53"/>
      <c r="OXL1378" s="53"/>
      <c r="OXM1378" s="53"/>
      <c r="OXN1378" s="53"/>
      <c r="OXO1378" s="53"/>
      <c r="OXP1378" s="53"/>
      <c r="OXQ1378" s="53"/>
      <c r="OXR1378" s="53"/>
      <c r="OXS1378" s="53"/>
      <c r="OXT1378" s="53"/>
      <c r="OXU1378" s="53"/>
      <c r="OXV1378" s="53"/>
      <c r="OXW1378" s="53"/>
      <c r="OXX1378" s="53"/>
      <c r="OXY1378" s="53"/>
      <c r="OXZ1378" s="53"/>
      <c r="OYA1378" s="53"/>
      <c r="OYB1378" s="53"/>
      <c r="OYC1378" s="53"/>
      <c r="OYD1378" s="53"/>
      <c r="OYE1378" s="53"/>
      <c r="OYF1378" s="53"/>
      <c r="OYG1378" s="53"/>
      <c r="OYH1378" s="53"/>
      <c r="OYI1378" s="53"/>
      <c r="OYJ1378" s="53"/>
      <c r="OYK1378" s="53"/>
      <c r="OYL1378" s="53"/>
      <c r="OYM1378" s="53"/>
      <c r="OYN1378" s="53"/>
      <c r="OYO1378" s="53"/>
      <c r="OYP1378" s="53"/>
      <c r="OYQ1378" s="53"/>
      <c r="OYR1378" s="53"/>
      <c r="OYS1378" s="53"/>
      <c r="OYT1378" s="53"/>
      <c r="OYU1378" s="53"/>
      <c r="OYV1378" s="53"/>
      <c r="OYW1378" s="53"/>
      <c r="OYX1378" s="53"/>
      <c r="OYY1378" s="53"/>
      <c r="OYZ1378" s="53"/>
      <c r="OZA1378" s="53"/>
      <c r="OZB1378" s="53"/>
      <c r="OZC1378" s="53"/>
      <c r="OZD1378" s="53"/>
      <c r="OZE1378" s="53"/>
      <c r="OZF1378" s="53"/>
      <c r="OZG1378" s="53"/>
      <c r="OZH1378" s="53"/>
      <c r="OZI1378" s="53"/>
      <c r="OZJ1378" s="53"/>
      <c r="OZK1378" s="53"/>
      <c r="OZL1378" s="53"/>
      <c r="OZM1378" s="53"/>
      <c r="OZN1378" s="53"/>
      <c r="OZO1378" s="53"/>
      <c r="OZP1378" s="53"/>
      <c r="OZQ1378" s="53"/>
      <c r="OZR1378" s="53"/>
      <c r="OZS1378" s="53"/>
      <c r="OZT1378" s="53"/>
      <c r="OZU1378" s="53"/>
      <c r="OZV1378" s="53"/>
      <c r="OZW1378" s="53"/>
      <c r="OZX1378" s="53"/>
      <c r="OZY1378" s="53"/>
      <c r="OZZ1378" s="53"/>
      <c r="PAA1378" s="53"/>
      <c r="PAB1378" s="53"/>
      <c r="PAC1378" s="53"/>
      <c r="PAD1378" s="53"/>
      <c r="PAE1378" s="53"/>
      <c r="PAF1378" s="53"/>
      <c r="PAG1378" s="53"/>
      <c r="PAH1378" s="53"/>
      <c r="PAI1378" s="53"/>
      <c r="PAJ1378" s="53"/>
      <c r="PAK1378" s="53"/>
      <c r="PAL1378" s="53"/>
      <c r="PAM1378" s="53"/>
      <c r="PAN1378" s="53"/>
      <c r="PAO1378" s="53"/>
      <c r="PAP1378" s="53"/>
      <c r="PAQ1378" s="53"/>
      <c r="PAR1378" s="53"/>
      <c r="PAS1378" s="53"/>
      <c r="PAT1378" s="53"/>
      <c r="PAU1378" s="53"/>
      <c r="PAV1378" s="53"/>
      <c r="PAW1378" s="53"/>
      <c r="PAX1378" s="53"/>
      <c r="PAY1378" s="53"/>
      <c r="PAZ1378" s="53"/>
      <c r="PBA1378" s="53"/>
      <c r="PBB1378" s="53"/>
      <c r="PBC1378" s="53"/>
      <c r="PBD1378" s="53"/>
      <c r="PBE1378" s="53"/>
      <c r="PBF1378" s="53"/>
      <c r="PBG1378" s="53"/>
      <c r="PBH1378" s="53"/>
      <c r="PBI1378" s="53"/>
      <c r="PBJ1378" s="53"/>
      <c r="PBK1378" s="53"/>
      <c r="PBL1378" s="53"/>
      <c r="PBM1378" s="53"/>
      <c r="PBN1378" s="53"/>
      <c r="PBO1378" s="53"/>
      <c r="PBP1378" s="53"/>
      <c r="PBQ1378" s="53"/>
      <c r="PBR1378" s="53"/>
      <c r="PBS1378" s="53"/>
      <c r="PBT1378" s="53"/>
      <c r="PBU1378" s="53"/>
      <c r="PBV1378" s="53"/>
      <c r="PBW1378" s="53"/>
      <c r="PBX1378" s="53"/>
      <c r="PBY1378" s="53"/>
      <c r="PBZ1378" s="53"/>
      <c r="PCA1378" s="53"/>
      <c r="PCB1378" s="53"/>
      <c r="PCC1378" s="53"/>
      <c r="PCD1378" s="53"/>
      <c r="PCE1378" s="53"/>
      <c r="PCF1378" s="53"/>
      <c r="PCG1378" s="53"/>
      <c r="PCH1378" s="53"/>
      <c r="PCI1378" s="53"/>
      <c r="PCJ1378" s="53"/>
      <c r="PCK1378" s="53"/>
      <c r="PCL1378" s="53"/>
      <c r="PCM1378" s="53"/>
      <c r="PCN1378" s="53"/>
      <c r="PCO1378" s="53"/>
      <c r="PCP1378" s="53"/>
      <c r="PCQ1378" s="53"/>
      <c r="PCR1378" s="53"/>
      <c r="PCS1378" s="53"/>
      <c r="PCT1378" s="53"/>
      <c r="PCU1378" s="53"/>
      <c r="PCV1378" s="53"/>
      <c r="PCW1378" s="53"/>
      <c r="PCX1378" s="53"/>
      <c r="PCY1378" s="53"/>
      <c r="PCZ1378" s="53"/>
      <c r="PDA1378" s="53"/>
      <c r="PDB1378" s="53"/>
      <c r="PDC1378" s="53"/>
      <c r="PDD1378" s="53"/>
      <c r="PDE1378" s="53"/>
      <c r="PDF1378" s="53"/>
      <c r="PDG1378" s="53"/>
      <c r="PDH1378" s="53"/>
      <c r="PDI1378" s="53"/>
      <c r="PDJ1378" s="53"/>
      <c r="PDK1378" s="53"/>
      <c r="PDL1378" s="53"/>
      <c r="PDM1378" s="53"/>
      <c r="PDN1378" s="53"/>
      <c r="PDO1378" s="53"/>
      <c r="PDP1378" s="53"/>
      <c r="PDQ1378" s="53"/>
      <c r="PDR1378" s="53"/>
      <c r="PDS1378" s="53"/>
      <c r="PDT1378" s="53"/>
      <c r="PDU1378" s="53"/>
      <c r="PDV1378" s="53"/>
      <c r="PDW1378" s="53"/>
      <c r="PDX1378" s="53"/>
      <c r="PDY1378" s="53"/>
      <c r="PDZ1378" s="53"/>
      <c r="PEA1378" s="53"/>
      <c r="PEB1378" s="53"/>
      <c r="PEC1378" s="53"/>
      <c r="PED1378" s="53"/>
      <c r="PEE1378" s="53"/>
      <c r="PEF1378" s="53"/>
      <c r="PEG1378" s="53"/>
      <c r="PEH1378" s="53"/>
      <c r="PEI1378" s="53"/>
      <c r="PEJ1378" s="53"/>
      <c r="PEK1378" s="53"/>
      <c r="PEL1378" s="53"/>
      <c r="PEM1378" s="53"/>
      <c r="PEN1378" s="53"/>
      <c r="PEO1378" s="53"/>
      <c r="PEP1378" s="53"/>
      <c r="PEQ1378" s="53"/>
      <c r="PER1378" s="53"/>
      <c r="PES1378" s="53"/>
      <c r="PET1378" s="53"/>
      <c r="PEU1378" s="53"/>
      <c r="PEV1378" s="53"/>
      <c r="PEW1378" s="53"/>
      <c r="PEX1378" s="53"/>
      <c r="PEY1378" s="53"/>
      <c r="PEZ1378" s="53"/>
      <c r="PFA1378" s="53"/>
      <c r="PFB1378" s="53"/>
      <c r="PFC1378" s="53"/>
      <c r="PFD1378" s="53"/>
      <c r="PFE1378" s="53"/>
      <c r="PFF1378" s="53"/>
      <c r="PFG1378" s="53"/>
      <c r="PFH1378" s="53"/>
      <c r="PFI1378" s="53"/>
      <c r="PFJ1378" s="53"/>
      <c r="PFK1378" s="53"/>
      <c r="PFL1378" s="53"/>
      <c r="PFM1378" s="53"/>
      <c r="PFN1378" s="53"/>
      <c r="PFO1378" s="53"/>
      <c r="PFP1378" s="53"/>
      <c r="PFQ1378" s="53"/>
      <c r="PFR1378" s="53"/>
      <c r="PFS1378" s="53"/>
      <c r="PFT1378" s="53"/>
      <c r="PFU1378" s="53"/>
      <c r="PFV1378" s="53"/>
      <c r="PFW1378" s="53"/>
      <c r="PFX1378" s="53"/>
      <c r="PFY1378" s="53"/>
      <c r="PFZ1378" s="53"/>
      <c r="PGA1378" s="53"/>
      <c r="PGB1378" s="53"/>
      <c r="PGC1378" s="53"/>
      <c r="PGD1378" s="53"/>
      <c r="PGE1378" s="53"/>
      <c r="PGF1378" s="53"/>
      <c r="PGG1378" s="53"/>
      <c r="PGH1378" s="53"/>
      <c r="PGI1378" s="53"/>
      <c r="PGJ1378" s="53"/>
      <c r="PGK1378" s="53"/>
      <c r="PGL1378" s="53"/>
      <c r="PGM1378" s="53"/>
      <c r="PGN1378" s="53"/>
      <c r="PGO1378" s="53"/>
      <c r="PGP1378" s="53"/>
      <c r="PGQ1378" s="53"/>
      <c r="PGR1378" s="53"/>
      <c r="PGS1378" s="53"/>
      <c r="PGT1378" s="53"/>
      <c r="PGU1378" s="53"/>
      <c r="PGV1378" s="53"/>
      <c r="PGW1378" s="53"/>
      <c r="PGX1378" s="53"/>
      <c r="PGY1378" s="53"/>
      <c r="PGZ1378" s="53"/>
      <c r="PHA1378" s="53"/>
      <c r="PHB1378" s="53"/>
      <c r="PHC1378" s="53"/>
      <c r="PHD1378" s="53"/>
      <c r="PHE1378" s="53"/>
      <c r="PHF1378" s="53"/>
      <c r="PHG1378" s="53"/>
      <c r="PHH1378" s="53"/>
      <c r="PHI1378" s="53"/>
      <c r="PHJ1378" s="53"/>
      <c r="PHK1378" s="53"/>
      <c r="PHL1378" s="53"/>
      <c r="PHM1378" s="53"/>
      <c r="PHN1378" s="53"/>
      <c r="PHO1378" s="53"/>
      <c r="PHP1378" s="53"/>
      <c r="PHQ1378" s="53"/>
      <c r="PHR1378" s="53"/>
      <c r="PHS1378" s="53"/>
      <c r="PHT1378" s="53"/>
      <c r="PHU1378" s="53"/>
      <c r="PHV1378" s="53"/>
      <c r="PHW1378" s="53"/>
      <c r="PHX1378" s="53"/>
      <c r="PHY1378" s="53"/>
      <c r="PHZ1378" s="53"/>
      <c r="PIA1378" s="53"/>
      <c r="PIB1378" s="53"/>
      <c r="PIC1378" s="53"/>
      <c r="PID1378" s="53"/>
      <c r="PIE1378" s="53"/>
      <c r="PIF1378" s="53"/>
      <c r="PIG1378" s="53"/>
      <c r="PIH1378" s="53"/>
      <c r="PII1378" s="53"/>
      <c r="PIJ1378" s="53"/>
      <c r="PIK1378" s="53"/>
      <c r="PIL1378" s="53"/>
      <c r="PIM1378" s="53"/>
      <c r="PIN1378" s="53"/>
      <c r="PIO1378" s="53"/>
      <c r="PIP1378" s="53"/>
      <c r="PIQ1378" s="53"/>
      <c r="PIR1378" s="53"/>
      <c r="PIS1378" s="53"/>
      <c r="PIT1378" s="53"/>
      <c r="PIU1378" s="53"/>
      <c r="PIV1378" s="53"/>
      <c r="PIW1378" s="53"/>
      <c r="PIX1378" s="53"/>
      <c r="PIY1378" s="53"/>
      <c r="PIZ1378" s="53"/>
      <c r="PJA1378" s="53"/>
      <c r="PJB1378" s="53"/>
      <c r="PJC1378" s="53"/>
      <c r="PJD1378" s="53"/>
      <c r="PJE1378" s="53"/>
      <c r="PJF1378" s="53"/>
      <c r="PJG1378" s="53"/>
      <c r="PJH1378" s="53"/>
      <c r="PJI1378" s="53"/>
      <c r="PJJ1378" s="53"/>
      <c r="PJK1378" s="53"/>
      <c r="PJL1378" s="53"/>
      <c r="PJM1378" s="53"/>
      <c r="PJN1378" s="53"/>
      <c r="PJO1378" s="53"/>
      <c r="PJP1378" s="53"/>
      <c r="PJQ1378" s="53"/>
      <c r="PJR1378" s="53"/>
      <c r="PJS1378" s="53"/>
      <c r="PJT1378" s="53"/>
      <c r="PJU1378" s="53"/>
      <c r="PJV1378" s="53"/>
      <c r="PJW1378" s="53"/>
      <c r="PJX1378" s="53"/>
      <c r="PJY1378" s="53"/>
      <c r="PJZ1378" s="53"/>
      <c r="PKA1378" s="53"/>
      <c r="PKB1378" s="53"/>
      <c r="PKC1378" s="53"/>
      <c r="PKD1378" s="53"/>
      <c r="PKE1378" s="53"/>
      <c r="PKF1378" s="53"/>
      <c r="PKG1378" s="53"/>
      <c r="PKH1378" s="53"/>
      <c r="PKI1378" s="53"/>
      <c r="PKJ1378" s="53"/>
      <c r="PKK1378" s="53"/>
      <c r="PKL1378" s="53"/>
      <c r="PKM1378" s="53"/>
      <c r="PKN1378" s="53"/>
      <c r="PKO1378" s="53"/>
      <c r="PKP1378" s="53"/>
      <c r="PKQ1378" s="53"/>
      <c r="PKR1378" s="53"/>
      <c r="PKS1378" s="53"/>
      <c r="PKT1378" s="53"/>
      <c r="PKU1378" s="53"/>
      <c r="PKV1378" s="53"/>
      <c r="PKW1378" s="53"/>
      <c r="PKX1378" s="53"/>
      <c r="PKY1378" s="53"/>
      <c r="PKZ1378" s="53"/>
      <c r="PLA1378" s="53"/>
      <c r="PLB1378" s="53"/>
      <c r="PLC1378" s="53"/>
      <c r="PLD1378" s="53"/>
      <c r="PLE1378" s="53"/>
      <c r="PLF1378" s="53"/>
      <c r="PLG1378" s="53"/>
      <c r="PLH1378" s="53"/>
      <c r="PLI1378" s="53"/>
      <c r="PLJ1378" s="53"/>
      <c r="PLK1378" s="53"/>
      <c r="PLL1378" s="53"/>
      <c r="PLM1378" s="53"/>
      <c r="PLN1378" s="53"/>
      <c r="PLO1378" s="53"/>
      <c r="PLP1378" s="53"/>
      <c r="PLQ1378" s="53"/>
      <c r="PLR1378" s="53"/>
      <c r="PLS1378" s="53"/>
      <c r="PLT1378" s="53"/>
      <c r="PLU1378" s="53"/>
      <c r="PLV1378" s="53"/>
      <c r="PLW1378" s="53"/>
      <c r="PLX1378" s="53"/>
      <c r="PLY1378" s="53"/>
      <c r="PLZ1378" s="53"/>
      <c r="PMA1378" s="53"/>
      <c r="PMB1378" s="53"/>
      <c r="PMC1378" s="53"/>
      <c r="PMD1378" s="53"/>
      <c r="PME1378" s="53"/>
      <c r="PMF1378" s="53"/>
      <c r="PMG1378" s="53"/>
      <c r="PMH1378" s="53"/>
      <c r="PMI1378" s="53"/>
      <c r="PMJ1378" s="53"/>
      <c r="PMK1378" s="53"/>
      <c r="PML1378" s="53"/>
      <c r="PMM1378" s="53"/>
      <c r="PMN1378" s="53"/>
      <c r="PMO1378" s="53"/>
      <c r="PMP1378" s="53"/>
      <c r="PMQ1378" s="53"/>
      <c r="PMR1378" s="53"/>
      <c r="PMS1378" s="53"/>
      <c r="PMT1378" s="53"/>
      <c r="PMU1378" s="53"/>
      <c r="PMV1378" s="53"/>
      <c r="PMW1378" s="53"/>
      <c r="PMX1378" s="53"/>
      <c r="PMY1378" s="53"/>
      <c r="PMZ1378" s="53"/>
      <c r="PNA1378" s="53"/>
      <c r="PNB1378" s="53"/>
      <c r="PNC1378" s="53"/>
      <c r="PND1378" s="53"/>
      <c r="PNE1378" s="53"/>
      <c r="PNF1378" s="53"/>
      <c r="PNG1378" s="53"/>
      <c r="PNH1378" s="53"/>
      <c r="PNI1378" s="53"/>
      <c r="PNJ1378" s="53"/>
      <c r="PNK1378" s="53"/>
      <c r="PNL1378" s="53"/>
      <c r="PNM1378" s="53"/>
      <c r="PNN1378" s="53"/>
      <c r="PNO1378" s="53"/>
      <c r="PNP1378" s="53"/>
      <c r="PNQ1378" s="53"/>
      <c r="PNR1378" s="53"/>
      <c r="PNS1378" s="53"/>
      <c r="PNT1378" s="53"/>
      <c r="PNU1378" s="53"/>
      <c r="PNV1378" s="53"/>
      <c r="PNW1378" s="53"/>
      <c r="PNX1378" s="53"/>
      <c r="PNY1378" s="53"/>
      <c r="PNZ1378" s="53"/>
      <c r="POA1378" s="53"/>
      <c r="POB1378" s="53"/>
      <c r="POC1378" s="53"/>
      <c r="POD1378" s="53"/>
      <c r="POE1378" s="53"/>
      <c r="POF1378" s="53"/>
      <c r="POG1378" s="53"/>
      <c r="POH1378" s="53"/>
      <c r="POI1378" s="53"/>
      <c r="POJ1378" s="53"/>
      <c r="POK1378" s="53"/>
      <c r="POL1378" s="53"/>
      <c r="POM1378" s="53"/>
      <c r="PON1378" s="53"/>
      <c r="POO1378" s="53"/>
      <c r="POP1378" s="53"/>
      <c r="POQ1378" s="53"/>
      <c r="POR1378" s="53"/>
      <c r="POS1378" s="53"/>
      <c r="POT1378" s="53"/>
      <c r="POU1378" s="53"/>
      <c r="POV1378" s="53"/>
      <c r="POW1378" s="53"/>
      <c r="POX1378" s="53"/>
      <c r="POY1378" s="53"/>
      <c r="POZ1378" s="53"/>
      <c r="PPA1378" s="53"/>
      <c r="PPB1378" s="53"/>
      <c r="PPC1378" s="53"/>
      <c r="PPD1378" s="53"/>
      <c r="PPE1378" s="53"/>
      <c r="PPF1378" s="53"/>
      <c r="PPG1378" s="53"/>
      <c r="PPH1378" s="53"/>
      <c r="PPI1378" s="53"/>
      <c r="PPJ1378" s="53"/>
      <c r="PPK1378" s="53"/>
      <c r="PPL1378" s="53"/>
      <c r="PPM1378" s="53"/>
      <c r="PPN1378" s="53"/>
      <c r="PPO1378" s="53"/>
      <c r="PPP1378" s="53"/>
      <c r="PPQ1378" s="53"/>
      <c r="PPR1378" s="53"/>
      <c r="PPS1378" s="53"/>
      <c r="PPT1378" s="53"/>
      <c r="PPU1378" s="53"/>
      <c r="PPV1378" s="53"/>
      <c r="PPW1378" s="53"/>
      <c r="PPX1378" s="53"/>
      <c r="PPY1378" s="53"/>
      <c r="PPZ1378" s="53"/>
      <c r="PQA1378" s="53"/>
      <c r="PQB1378" s="53"/>
      <c r="PQC1378" s="53"/>
      <c r="PQD1378" s="53"/>
      <c r="PQE1378" s="53"/>
      <c r="PQF1378" s="53"/>
      <c r="PQG1378" s="53"/>
      <c r="PQH1378" s="53"/>
      <c r="PQI1378" s="53"/>
      <c r="PQJ1378" s="53"/>
      <c r="PQK1378" s="53"/>
      <c r="PQL1378" s="53"/>
      <c r="PQM1378" s="53"/>
      <c r="PQN1378" s="53"/>
      <c r="PQO1378" s="53"/>
      <c r="PQP1378" s="53"/>
      <c r="PQQ1378" s="53"/>
      <c r="PQR1378" s="53"/>
      <c r="PQS1378" s="53"/>
      <c r="PQT1378" s="53"/>
      <c r="PQU1378" s="53"/>
      <c r="PQV1378" s="53"/>
      <c r="PQW1378" s="53"/>
      <c r="PQX1378" s="53"/>
      <c r="PQY1378" s="53"/>
      <c r="PQZ1378" s="53"/>
      <c r="PRA1378" s="53"/>
      <c r="PRB1378" s="53"/>
      <c r="PRC1378" s="53"/>
      <c r="PRD1378" s="53"/>
      <c r="PRE1378" s="53"/>
      <c r="PRF1378" s="53"/>
      <c r="PRG1378" s="53"/>
      <c r="PRH1378" s="53"/>
      <c r="PRI1378" s="53"/>
      <c r="PRJ1378" s="53"/>
      <c r="PRK1378" s="53"/>
      <c r="PRL1378" s="53"/>
      <c r="PRM1378" s="53"/>
      <c r="PRN1378" s="53"/>
      <c r="PRO1378" s="53"/>
      <c r="PRP1378" s="53"/>
      <c r="PRQ1378" s="53"/>
      <c r="PRR1378" s="53"/>
      <c r="PRS1378" s="53"/>
      <c r="PRT1378" s="53"/>
      <c r="PRU1378" s="53"/>
      <c r="PRV1378" s="53"/>
      <c r="PRW1378" s="53"/>
      <c r="PRX1378" s="53"/>
      <c r="PRY1378" s="53"/>
      <c r="PRZ1378" s="53"/>
      <c r="PSA1378" s="53"/>
      <c r="PSB1378" s="53"/>
      <c r="PSC1378" s="53"/>
      <c r="PSD1378" s="53"/>
      <c r="PSE1378" s="53"/>
      <c r="PSF1378" s="53"/>
      <c r="PSG1378" s="53"/>
      <c r="PSH1378" s="53"/>
      <c r="PSI1378" s="53"/>
      <c r="PSJ1378" s="53"/>
      <c r="PSK1378" s="53"/>
      <c r="PSL1378" s="53"/>
      <c r="PSM1378" s="53"/>
      <c r="PSN1378" s="53"/>
      <c r="PSO1378" s="53"/>
      <c r="PSP1378" s="53"/>
      <c r="PSQ1378" s="53"/>
      <c r="PSR1378" s="53"/>
      <c r="PSS1378" s="53"/>
      <c r="PST1378" s="53"/>
      <c r="PSU1378" s="53"/>
      <c r="PSV1378" s="53"/>
      <c r="PSW1378" s="53"/>
      <c r="PSX1378" s="53"/>
      <c r="PSY1378" s="53"/>
      <c r="PSZ1378" s="53"/>
      <c r="PTA1378" s="53"/>
      <c r="PTB1378" s="53"/>
      <c r="PTC1378" s="53"/>
      <c r="PTD1378" s="53"/>
      <c r="PTE1378" s="53"/>
      <c r="PTF1378" s="53"/>
      <c r="PTG1378" s="53"/>
      <c r="PTH1378" s="53"/>
      <c r="PTI1378" s="53"/>
      <c r="PTJ1378" s="53"/>
      <c r="PTK1378" s="53"/>
      <c r="PTL1378" s="53"/>
      <c r="PTM1378" s="53"/>
      <c r="PTN1378" s="53"/>
      <c r="PTO1378" s="53"/>
      <c r="PTP1378" s="53"/>
      <c r="PTQ1378" s="53"/>
      <c r="PTR1378" s="53"/>
      <c r="PTS1378" s="53"/>
      <c r="PTT1378" s="53"/>
      <c r="PTU1378" s="53"/>
      <c r="PTV1378" s="53"/>
      <c r="PTW1378" s="53"/>
      <c r="PTX1378" s="53"/>
      <c r="PTY1378" s="53"/>
      <c r="PTZ1378" s="53"/>
      <c r="PUA1378" s="53"/>
      <c r="PUB1378" s="53"/>
      <c r="PUC1378" s="53"/>
      <c r="PUD1378" s="53"/>
      <c r="PUE1378" s="53"/>
      <c r="PUF1378" s="53"/>
      <c r="PUG1378" s="53"/>
      <c r="PUH1378" s="53"/>
      <c r="PUI1378" s="53"/>
      <c r="PUJ1378" s="53"/>
      <c r="PUK1378" s="53"/>
      <c r="PUL1378" s="53"/>
      <c r="PUM1378" s="53"/>
      <c r="PUN1378" s="53"/>
      <c r="PUO1378" s="53"/>
      <c r="PUP1378" s="53"/>
      <c r="PUQ1378" s="53"/>
      <c r="PUR1378" s="53"/>
      <c r="PUS1378" s="53"/>
      <c r="PUT1378" s="53"/>
      <c r="PUU1378" s="53"/>
      <c r="PUV1378" s="53"/>
      <c r="PUW1378" s="53"/>
      <c r="PUX1378" s="53"/>
      <c r="PUY1378" s="53"/>
      <c r="PUZ1378" s="53"/>
      <c r="PVA1378" s="53"/>
      <c r="PVB1378" s="53"/>
      <c r="PVC1378" s="53"/>
      <c r="PVD1378" s="53"/>
      <c r="PVE1378" s="53"/>
      <c r="PVF1378" s="53"/>
      <c r="PVG1378" s="53"/>
      <c r="PVH1378" s="53"/>
      <c r="PVI1378" s="53"/>
      <c r="PVJ1378" s="53"/>
      <c r="PVK1378" s="53"/>
      <c r="PVL1378" s="53"/>
      <c r="PVM1378" s="53"/>
      <c r="PVN1378" s="53"/>
      <c r="PVO1378" s="53"/>
      <c r="PVP1378" s="53"/>
      <c r="PVQ1378" s="53"/>
      <c r="PVR1378" s="53"/>
      <c r="PVS1378" s="53"/>
      <c r="PVT1378" s="53"/>
      <c r="PVU1378" s="53"/>
      <c r="PVV1378" s="53"/>
      <c r="PVW1378" s="53"/>
      <c r="PVX1378" s="53"/>
      <c r="PVY1378" s="53"/>
      <c r="PVZ1378" s="53"/>
      <c r="PWA1378" s="53"/>
      <c r="PWB1378" s="53"/>
      <c r="PWC1378" s="53"/>
      <c r="PWD1378" s="53"/>
      <c r="PWE1378" s="53"/>
      <c r="PWF1378" s="53"/>
      <c r="PWG1378" s="53"/>
      <c r="PWH1378" s="53"/>
      <c r="PWI1378" s="53"/>
      <c r="PWJ1378" s="53"/>
      <c r="PWK1378" s="53"/>
      <c r="PWL1378" s="53"/>
      <c r="PWM1378" s="53"/>
      <c r="PWN1378" s="53"/>
      <c r="PWO1378" s="53"/>
      <c r="PWP1378" s="53"/>
      <c r="PWQ1378" s="53"/>
      <c r="PWR1378" s="53"/>
      <c r="PWS1378" s="53"/>
      <c r="PWT1378" s="53"/>
      <c r="PWU1378" s="53"/>
      <c r="PWV1378" s="53"/>
      <c r="PWW1378" s="53"/>
      <c r="PWX1378" s="53"/>
      <c r="PWY1378" s="53"/>
      <c r="PWZ1378" s="53"/>
      <c r="PXA1378" s="53"/>
      <c r="PXB1378" s="53"/>
      <c r="PXC1378" s="53"/>
      <c r="PXD1378" s="53"/>
      <c r="PXE1378" s="53"/>
      <c r="PXF1378" s="53"/>
      <c r="PXG1378" s="53"/>
      <c r="PXH1378" s="53"/>
      <c r="PXI1378" s="53"/>
      <c r="PXJ1378" s="53"/>
      <c r="PXK1378" s="53"/>
      <c r="PXL1378" s="53"/>
      <c r="PXM1378" s="53"/>
      <c r="PXN1378" s="53"/>
      <c r="PXO1378" s="53"/>
      <c r="PXP1378" s="53"/>
      <c r="PXQ1378" s="53"/>
      <c r="PXR1378" s="53"/>
      <c r="PXS1378" s="53"/>
      <c r="PXT1378" s="53"/>
      <c r="PXU1378" s="53"/>
      <c r="PXV1378" s="53"/>
      <c r="PXW1378" s="53"/>
      <c r="PXX1378" s="53"/>
      <c r="PXY1378" s="53"/>
      <c r="PXZ1378" s="53"/>
      <c r="PYA1378" s="53"/>
      <c r="PYB1378" s="53"/>
      <c r="PYC1378" s="53"/>
      <c r="PYD1378" s="53"/>
      <c r="PYE1378" s="53"/>
      <c r="PYF1378" s="53"/>
      <c r="PYG1378" s="53"/>
      <c r="PYH1378" s="53"/>
      <c r="PYI1378" s="53"/>
      <c r="PYJ1378" s="53"/>
      <c r="PYK1378" s="53"/>
      <c r="PYL1378" s="53"/>
      <c r="PYM1378" s="53"/>
      <c r="PYN1378" s="53"/>
      <c r="PYO1378" s="53"/>
      <c r="PYP1378" s="53"/>
      <c r="PYQ1378" s="53"/>
      <c r="PYR1378" s="53"/>
      <c r="PYS1378" s="53"/>
      <c r="PYT1378" s="53"/>
      <c r="PYU1378" s="53"/>
      <c r="PYV1378" s="53"/>
      <c r="PYW1378" s="53"/>
      <c r="PYX1378" s="53"/>
      <c r="PYY1378" s="53"/>
      <c r="PYZ1378" s="53"/>
      <c r="PZA1378" s="53"/>
      <c r="PZB1378" s="53"/>
      <c r="PZC1378" s="53"/>
      <c r="PZD1378" s="53"/>
      <c r="PZE1378" s="53"/>
      <c r="PZF1378" s="53"/>
      <c r="PZG1378" s="53"/>
      <c r="PZH1378" s="53"/>
      <c r="PZI1378" s="53"/>
      <c r="PZJ1378" s="53"/>
      <c r="PZK1378" s="53"/>
      <c r="PZL1378" s="53"/>
      <c r="PZM1378" s="53"/>
      <c r="PZN1378" s="53"/>
      <c r="PZO1378" s="53"/>
      <c r="PZP1378" s="53"/>
      <c r="PZQ1378" s="53"/>
      <c r="PZR1378" s="53"/>
      <c r="PZS1378" s="53"/>
      <c r="PZT1378" s="53"/>
      <c r="PZU1378" s="53"/>
      <c r="PZV1378" s="53"/>
      <c r="PZW1378" s="53"/>
      <c r="PZX1378" s="53"/>
      <c r="PZY1378" s="53"/>
      <c r="PZZ1378" s="53"/>
      <c r="QAA1378" s="53"/>
      <c r="QAB1378" s="53"/>
      <c r="QAC1378" s="53"/>
      <c r="QAD1378" s="53"/>
      <c r="QAE1378" s="53"/>
      <c r="QAF1378" s="53"/>
      <c r="QAG1378" s="53"/>
      <c r="QAH1378" s="53"/>
      <c r="QAI1378" s="53"/>
      <c r="QAJ1378" s="53"/>
      <c r="QAK1378" s="53"/>
      <c r="QAL1378" s="53"/>
      <c r="QAM1378" s="53"/>
      <c r="QAN1378" s="53"/>
      <c r="QAO1378" s="53"/>
      <c r="QAP1378" s="53"/>
      <c r="QAQ1378" s="53"/>
      <c r="QAR1378" s="53"/>
      <c r="QAS1378" s="53"/>
      <c r="QAT1378" s="53"/>
      <c r="QAU1378" s="53"/>
      <c r="QAV1378" s="53"/>
      <c r="QAW1378" s="53"/>
      <c r="QAX1378" s="53"/>
      <c r="QAY1378" s="53"/>
      <c r="QAZ1378" s="53"/>
      <c r="QBA1378" s="53"/>
      <c r="QBB1378" s="53"/>
      <c r="QBC1378" s="53"/>
      <c r="QBD1378" s="53"/>
      <c r="QBE1378" s="53"/>
      <c r="QBF1378" s="53"/>
      <c r="QBG1378" s="53"/>
      <c r="QBH1378" s="53"/>
      <c r="QBI1378" s="53"/>
      <c r="QBJ1378" s="53"/>
      <c r="QBK1378" s="53"/>
      <c r="QBL1378" s="53"/>
      <c r="QBM1378" s="53"/>
      <c r="QBN1378" s="53"/>
      <c r="QBO1378" s="53"/>
      <c r="QBP1378" s="53"/>
      <c r="QBQ1378" s="53"/>
      <c r="QBR1378" s="53"/>
      <c r="QBS1378" s="53"/>
      <c r="QBT1378" s="53"/>
      <c r="QBU1378" s="53"/>
      <c r="QBV1378" s="53"/>
      <c r="QBW1378" s="53"/>
      <c r="QBX1378" s="53"/>
      <c r="QBY1378" s="53"/>
      <c r="QBZ1378" s="53"/>
      <c r="QCA1378" s="53"/>
      <c r="QCB1378" s="53"/>
      <c r="QCC1378" s="53"/>
      <c r="QCD1378" s="53"/>
      <c r="QCE1378" s="53"/>
      <c r="QCF1378" s="53"/>
      <c r="QCG1378" s="53"/>
      <c r="QCH1378" s="53"/>
      <c r="QCI1378" s="53"/>
      <c r="QCJ1378" s="53"/>
      <c r="QCK1378" s="53"/>
      <c r="QCL1378" s="53"/>
      <c r="QCM1378" s="53"/>
      <c r="QCN1378" s="53"/>
      <c r="QCO1378" s="53"/>
      <c r="QCP1378" s="53"/>
      <c r="QCQ1378" s="53"/>
      <c r="QCR1378" s="53"/>
      <c r="QCS1378" s="53"/>
      <c r="QCT1378" s="53"/>
      <c r="QCU1378" s="53"/>
      <c r="QCV1378" s="53"/>
      <c r="QCW1378" s="53"/>
      <c r="QCX1378" s="53"/>
      <c r="QCY1378" s="53"/>
      <c r="QCZ1378" s="53"/>
      <c r="QDA1378" s="53"/>
      <c r="QDB1378" s="53"/>
      <c r="QDC1378" s="53"/>
      <c r="QDD1378" s="53"/>
      <c r="QDE1378" s="53"/>
      <c r="QDF1378" s="53"/>
      <c r="QDG1378" s="53"/>
      <c r="QDH1378" s="53"/>
      <c r="QDI1378" s="53"/>
      <c r="QDJ1378" s="53"/>
      <c r="QDK1378" s="53"/>
      <c r="QDL1378" s="53"/>
      <c r="QDM1378" s="53"/>
      <c r="QDN1378" s="53"/>
      <c r="QDO1378" s="53"/>
      <c r="QDP1378" s="53"/>
      <c r="QDQ1378" s="53"/>
      <c r="QDR1378" s="53"/>
      <c r="QDS1378" s="53"/>
      <c r="QDT1378" s="53"/>
      <c r="QDU1378" s="53"/>
      <c r="QDV1378" s="53"/>
      <c r="QDW1378" s="53"/>
      <c r="QDX1378" s="53"/>
      <c r="QDY1378" s="53"/>
      <c r="QDZ1378" s="53"/>
      <c r="QEA1378" s="53"/>
      <c r="QEB1378" s="53"/>
      <c r="QEC1378" s="53"/>
      <c r="QED1378" s="53"/>
      <c r="QEE1378" s="53"/>
      <c r="QEF1378" s="53"/>
      <c r="QEG1378" s="53"/>
      <c r="QEH1378" s="53"/>
      <c r="QEI1378" s="53"/>
      <c r="QEJ1378" s="53"/>
      <c r="QEK1378" s="53"/>
      <c r="QEL1378" s="53"/>
      <c r="QEM1378" s="53"/>
      <c r="QEN1378" s="53"/>
      <c r="QEO1378" s="53"/>
      <c r="QEP1378" s="53"/>
      <c r="QEQ1378" s="53"/>
      <c r="QER1378" s="53"/>
      <c r="QES1378" s="53"/>
      <c r="QET1378" s="53"/>
      <c r="QEU1378" s="53"/>
      <c r="QEV1378" s="53"/>
      <c r="QEW1378" s="53"/>
      <c r="QEX1378" s="53"/>
      <c r="QEY1378" s="53"/>
      <c r="QEZ1378" s="53"/>
      <c r="QFA1378" s="53"/>
      <c r="QFB1378" s="53"/>
      <c r="QFC1378" s="53"/>
      <c r="QFD1378" s="53"/>
      <c r="QFE1378" s="53"/>
      <c r="QFF1378" s="53"/>
      <c r="QFG1378" s="53"/>
      <c r="QFH1378" s="53"/>
      <c r="QFI1378" s="53"/>
      <c r="QFJ1378" s="53"/>
      <c r="QFK1378" s="53"/>
      <c r="QFL1378" s="53"/>
      <c r="QFM1378" s="53"/>
      <c r="QFN1378" s="53"/>
      <c r="QFO1378" s="53"/>
      <c r="QFP1378" s="53"/>
      <c r="QFQ1378" s="53"/>
      <c r="QFR1378" s="53"/>
      <c r="QFS1378" s="53"/>
      <c r="QFT1378" s="53"/>
      <c r="QFU1378" s="53"/>
      <c r="QFV1378" s="53"/>
      <c r="QFW1378" s="53"/>
      <c r="QFX1378" s="53"/>
      <c r="QFY1378" s="53"/>
      <c r="QFZ1378" s="53"/>
      <c r="QGA1378" s="53"/>
      <c r="QGB1378" s="53"/>
      <c r="QGC1378" s="53"/>
      <c r="QGD1378" s="53"/>
      <c r="QGE1378" s="53"/>
      <c r="QGF1378" s="53"/>
      <c r="QGG1378" s="53"/>
      <c r="QGH1378" s="53"/>
      <c r="QGI1378" s="53"/>
      <c r="QGJ1378" s="53"/>
      <c r="QGK1378" s="53"/>
      <c r="QGL1378" s="53"/>
      <c r="QGM1378" s="53"/>
      <c r="QGN1378" s="53"/>
      <c r="QGO1378" s="53"/>
      <c r="QGP1378" s="53"/>
      <c r="QGQ1378" s="53"/>
      <c r="QGR1378" s="53"/>
      <c r="QGS1378" s="53"/>
      <c r="QGT1378" s="53"/>
      <c r="QGU1378" s="53"/>
      <c r="QGV1378" s="53"/>
      <c r="QGW1378" s="53"/>
      <c r="QGX1378" s="53"/>
      <c r="QGY1378" s="53"/>
      <c r="QGZ1378" s="53"/>
      <c r="QHA1378" s="53"/>
      <c r="QHB1378" s="53"/>
      <c r="QHC1378" s="53"/>
      <c r="QHD1378" s="53"/>
      <c r="QHE1378" s="53"/>
      <c r="QHF1378" s="53"/>
      <c r="QHG1378" s="53"/>
      <c r="QHH1378" s="53"/>
      <c r="QHI1378" s="53"/>
      <c r="QHJ1378" s="53"/>
      <c r="QHK1378" s="53"/>
      <c r="QHL1378" s="53"/>
      <c r="QHM1378" s="53"/>
      <c r="QHN1378" s="53"/>
      <c r="QHO1378" s="53"/>
      <c r="QHP1378" s="53"/>
      <c r="QHQ1378" s="53"/>
      <c r="QHR1378" s="53"/>
      <c r="QHS1378" s="53"/>
      <c r="QHT1378" s="53"/>
      <c r="QHU1378" s="53"/>
      <c r="QHV1378" s="53"/>
      <c r="QHW1378" s="53"/>
      <c r="QHX1378" s="53"/>
      <c r="QHY1378" s="53"/>
      <c r="QHZ1378" s="53"/>
      <c r="QIA1378" s="53"/>
      <c r="QIB1378" s="53"/>
      <c r="QIC1378" s="53"/>
      <c r="QID1378" s="53"/>
      <c r="QIE1378" s="53"/>
      <c r="QIF1378" s="53"/>
      <c r="QIG1378" s="53"/>
      <c r="QIH1378" s="53"/>
      <c r="QII1378" s="53"/>
      <c r="QIJ1378" s="53"/>
      <c r="QIK1378" s="53"/>
      <c r="QIL1378" s="53"/>
      <c r="QIM1378" s="53"/>
      <c r="QIN1378" s="53"/>
      <c r="QIO1378" s="53"/>
      <c r="QIP1378" s="53"/>
      <c r="QIQ1378" s="53"/>
      <c r="QIR1378" s="53"/>
      <c r="QIS1378" s="53"/>
      <c r="QIT1378" s="53"/>
      <c r="QIU1378" s="53"/>
      <c r="QIV1378" s="53"/>
      <c r="QIW1378" s="53"/>
      <c r="QIX1378" s="53"/>
      <c r="QIY1378" s="53"/>
      <c r="QIZ1378" s="53"/>
      <c r="QJA1378" s="53"/>
      <c r="QJB1378" s="53"/>
      <c r="QJC1378" s="53"/>
      <c r="QJD1378" s="53"/>
      <c r="QJE1378" s="53"/>
      <c r="QJF1378" s="53"/>
      <c r="QJG1378" s="53"/>
      <c r="QJH1378" s="53"/>
      <c r="QJI1378" s="53"/>
      <c r="QJJ1378" s="53"/>
      <c r="QJK1378" s="53"/>
      <c r="QJL1378" s="53"/>
      <c r="QJM1378" s="53"/>
      <c r="QJN1378" s="53"/>
      <c r="QJO1378" s="53"/>
      <c r="QJP1378" s="53"/>
      <c r="QJQ1378" s="53"/>
      <c r="QJR1378" s="53"/>
      <c r="QJS1378" s="53"/>
      <c r="QJT1378" s="53"/>
      <c r="QJU1378" s="53"/>
      <c r="QJV1378" s="53"/>
      <c r="QJW1378" s="53"/>
      <c r="QJX1378" s="53"/>
      <c r="QJY1378" s="53"/>
      <c r="QJZ1378" s="53"/>
      <c r="QKA1378" s="53"/>
      <c r="QKB1378" s="53"/>
      <c r="QKC1378" s="53"/>
      <c r="QKD1378" s="53"/>
      <c r="QKE1378" s="53"/>
      <c r="QKF1378" s="53"/>
      <c r="QKG1378" s="53"/>
      <c r="QKH1378" s="53"/>
      <c r="QKI1378" s="53"/>
      <c r="QKJ1378" s="53"/>
      <c r="QKK1378" s="53"/>
      <c r="QKL1378" s="53"/>
      <c r="QKM1378" s="53"/>
      <c r="QKN1378" s="53"/>
      <c r="QKO1378" s="53"/>
      <c r="QKP1378" s="53"/>
      <c r="QKQ1378" s="53"/>
      <c r="QKR1378" s="53"/>
      <c r="QKS1378" s="53"/>
      <c r="QKT1378" s="53"/>
      <c r="QKU1378" s="53"/>
      <c r="QKV1378" s="53"/>
      <c r="QKW1378" s="53"/>
      <c r="QKX1378" s="53"/>
      <c r="QKY1378" s="53"/>
      <c r="QKZ1378" s="53"/>
      <c r="QLA1378" s="53"/>
      <c r="QLB1378" s="53"/>
      <c r="QLC1378" s="53"/>
      <c r="QLD1378" s="53"/>
      <c r="QLE1378" s="53"/>
      <c r="QLF1378" s="53"/>
      <c r="QLG1378" s="53"/>
      <c r="QLH1378" s="53"/>
      <c r="QLI1378" s="53"/>
      <c r="QLJ1378" s="53"/>
      <c r="QLK1378" s="53"/>
      <c r="QLL1378" s="53"/>
      <c r="QLM1378" s="53"/>
      <c r="QLN1378" s="53"/>
      <c r="QLO1378" s="53"/>
      <c r="QLP1378" s="53"/>
      <c r="QLQ1378" s="53"/>
      <c r="QLR1378" s="53"/>
      <c r="QLS1378" s="53"/>
      <c r="QLT1378" s="53"/>
      <c r="QLU1378" s="53"/>
      <c r="QLV1378" s="53"/>
      <c r="QLW1378" s="53"/>
      <c r="QLX1378" s="53"/>
      <c r="QLY1378" s="53"/>
      <c r="QLZ1378" s="53"/>
      <c r="QMA1378" s="53"/>
      <c r="QMB1378" s="53"/>
      <c r="QMC1378" s="53"/>
      <c r="QMD1378" s="53"/>
      <c r="QME1378" s="53"/>
      <c r="QMF1378" s="53"/>
      <c r="QMG1378" s="53"/>
      <c r="QMH1378" s="53"/>
      <c r="QMI1378" s="53"/>
      <c r="QMJ1378" s="53"/>
      <c r="QMK1378" s="53"/>
      <c r="QML1378" s="53"/>
      <c r="QMM1378" s="53"/>
      <c r="QMN1378" s="53"/>
      <c r="QMO1378" s="53"/>
      <c r="QMP1378" s="53"/>
      <c r="QMQ1378" s="53"/>
      <c r="QMR1378" s="53"/>
      <c r="QMS1378" s="53"/>
      <c r="QMT1378" s="53"/>
      <c r="QMU1378" s="53"/>
      <c r="QMV1378" s="53"/>
      <c r="QMW1378" s="53"/>
      <c r="QMX1378" s="53"/>
      <c r="QMY1378" s="53"/>
      <c r="QMZ1378" s="53"/>
      <c r="QNA1378" s="53"/>
      <c r="QNB1378" s="53"/>
      <c r="QNC1378" s="53"/>
      <c r="QND1378" s="53"/>
      <c r="QNE1378" s="53"/>
      <c r="QNF1378" s="53"/>
      <c r="QNG1378" s="53"/>
      <c r="QNH1378" s="53"/>
      <c r="QNI1378" s="53"/>
      <c r="QNJ1378" s="53"/>
      <c r="QNK1378" s="53"/>
      <c r="QNL1378" s="53"/>
      <c r="QNM1378" s="53"/>
      <c r="QNN1378" s="53"/>
      <c r="QNO1378" s="53"/>
      <c r="QNP1378" s="53"/>
      <c r="QNQ1378" s="53"/>
      <c r="QNR1378" s="53"/>
      <c r="QNS1378" s="53"/>
      <c r="QNT1378" s="53"/>
      <c r="QNU1378" s="53"/>
      <c r="QNV1378" s="53"/>
      <c r="QNW1378" s="53"/>
      <c r="QNX1378" s="53"/>
      <c r="QNY1378" s="53"/>
      <c r="QNZ1378" s="53"/>
      <c r="QOA1378" s="53"/>
      <c r="QOB1378" s="53"/>
      <c r="QOC1378" s="53"/>
      <c r="QOD1378" s="53"/>
      <c r="QOE1378" s="53"/>
      <c r="QOF1378" s="53"/>
      <c r="QOG1378" s="53"/>
      <c r="QOH1378" s="53"/>
      <c r="QOI1378" s="53"/>
      <c r="QOJ1378" s="53"/>
      <c r="QOK1378" s="53"/>
      <c r="QOL1378" s="53"/>
      <c r="QOM1378" s="53"/>
      <c r="QON1378" s="53"/>
      <c r="QOO1378" s="53"/>
      <c r="QOP1378" s="53"/>
      <c r="QOQ1378" s="53"/>
      <c r="QOR1378" s="53"/>
      <c r="QOS1378" s="53"/>
      <c r="QOT1378" s="53"/>
      <c r="QOU1378" s="53"/>
      <c r="QOV1378" s="53"/>
      <c r="QOW1378" s="53"/>
      <c r="QOX1378" s="53"/>
      <c r="QOY1378" s="53"/>
      <c r="QOZ1378" s="53"/>
      <c r="QPA1378" s="53"/>
      <c r="QPB1378" s="53"/>
      <c r="QPC1378" s="53"/>
      <c r="QPD1378" s="53"/>
      <c r="QPE1378" s="53"/>
      <c r="QPF1378" s="53"/>
      <c r="QPG1378" s="53"/>
      <c r="QPH1378" s="53"/>
      <c r="QPI1378" s="53"/>
      <c r="QPJ1378" s="53"/>
      <c r="QPK1378" s="53"/>
      <c r="QPL1378" s="53"/>
      <c r="QPM1378" s="53"/>
      <c r="QPN1378" s="53"/>
      <c r="QPO1378" s="53"/>
      <c r="QPP1378" s="53"/>
      <c r="QPQ1378" s="53"/>
      <c r="QPR1378" s="53"/>
      <c r="QPS1378" s="53"/>
      <c r="QPT1378" s="53"/>
      <c r="QPU1378" s="53"/>
      <c r="QPV1378" s="53"/>
      <c r="QPW1378" s="53"/>
      <c r="QPX1378" s="53"/>
      <c r="QPY1378" s="53"/>
      <c r="QPZ1378" s="53"/>
      <c r="QQA1378" s="53"/>
      <c r="QQB1378" s="53"/>
      <c r="QQC1378" s="53"/>
      <c r="QQD1378" s="53"/>
      <c r="QQE1378" s="53"/>
      <c r="QQF1378" s="53"/>
      <c r="QQG1378" s="53"/>
      <c r="QQH1378" s="53"/>
      <c r="QQI1378" s="53"/>
      <c r="QQJ1378" s="53"/>
      <c r="QQK1378" s="53"/>
      <c r="QQL1378" s="53"/>
      <c r="QQM1378" s="53"/>
      <c r="QQN1378" s="53"/>
      <c r="QQO1378" s="53"/>
      <c r="QQP1378" s="53"/>
      <c r="QQQ1378" s="53"/>
      <c r="QQR1378" s="53"/>
      <c r="QQS1378" s="53"/>
      <c r="QQT1378" s="53"/>
      <c r="QQU1378" s="53"/>
      <c r="QQV1378" s="53"/>
      <c r="QQW1378" s="53"/>
      <c r="QQX1378" s="53"/>
      <c r="QQY1378" s="53"/>
      <c r="QQZ1378" s="53"/>
      <c r="QRA1378" s="53"/>
      <c r="QRB1378" s="53"/>
      <c r="QRC1378" s="53"/>
      <c r="QRD1378" s="53"/>
      <c r="QRE1378" s="53"/>
      <c r="QRF1378" s="53"/>
      <c r="QRG1378" s="53"/>
      <c r="QRH1378" s="53"/>
      <c r="QRI1378" s="53"/>
      <c r="QRJ1378" s="53"/>
      <c r="QRK1378" s="53"/>
      <c r="QRL1378" s="53"/>
      <c r="QRM1378" s="53"/>
      <c r="QRN1378" s="53"/>
      <c r="QRO1378" s="53"/>
      <c r="QRP1378" s="53"/>
      <c r="QRQ1378" s="53"/>
      <c r="QRR1378" s="53"/>
      <c r="QRS1378" s="53"/>
      <c r="QRT1378" s="53"/>
      <c r="QRU1378" s="53"/>
      <c r="QRV1378" s="53"/>
      <c r="QRW1378" s="53"/>
      <c r="QRX1378" s="53"/>
      <c r="QRY1378" s="53"/>
      <c r="QRZ1378" s="53"/>
      <c r="QSA1378" s="53"/>
      <c r="QSB1378" s="53"/>
      <c r="QSC1378" s="53"/>
      <c r="QSD1378" s="53"/>
      <c r="QSE1378" s="53"/>
      <c r="QSF1378" s="53"/>
      <c r="QSG1378" s="53"/>
      <c r="QSH1378" s="53"/>
      <c r="QSI1378" s="53"/>
      <c r="QSJ1378" s="53"/>
      <c r="QSK1378" s="53"/>
      <c r="QSL1378" s="53"/>
      <c r="QSM1378" s="53"/>
      <c r="QSN1378" s="53"/>
      <c r="QSO1378" s="53"/>
      <c r="QSP1378" s="53"/>
      <c r="QSQ1378" s="53"/>
      <c r="QSR1378" s="53"/>
      <c r="QSS1378" s="53"/>
      <c r="QST1378" s="53"/>
      <c r="QSU1378" s="53"/>
      <c r="QSV1378" s="53"/>
      <c r="QSW1378" s="53"/>
      <c r="QSX1378" s="53"/>
      <c r="QSY1378" s="53"/>
      <c r="QSZ1378" s="53"/>
      <c r="QTA1378" s="53"/>
      <c r="QTB1378" s="53"/>
      <c r="QTC1378" s="53"/>
      <c r="QTD1378" s="53"/>
      <c r="QTE1378" s="53"/>
      <c r="QTF1378" s="53"/>
      <c r="QTG1378" s="53"/>
      <c r="QTH1378" s="53"/>
      <c r="QTI1378" s="53"/>
      <c r="QTJ1378" s="53"/>
      <c r="QTK1378" s="53"/>
      <c r="QTL1378" s="53"/>
      <c r="QTM1378" s="53"/>
      <c r="QTN1378" s="53"/>
      <c r="QTO1378" s="53"/>
      <c r="QTP1378" s="53"/>
      <c r="QTQ1378" s="53"/>
      <c r="QTR1378" s="53"/>
      <c r="QTS1378" s="53"/>
      <c r="QTT1378" s="53"/>
      <c r="QTU1378" s="53"/>
      <c r="QTV1378" s="53"/>
      <c r="QTW1378" s="53"/>
      <c r="QTX1378" s="53"/>
      <c r="QTY1378" s="53"/>
      <c r="QTZ1378" s="53"/>
      <c r="QUA1378" s="53"/>
      <c r="QUB1378" s="53"/>
      <c r="QUC1378" s="53"/>
      <c r="QUD1378" s="53"/>
      <c r="QUE1378" s="53"/>
      <c r="QUF1378" s="53"/>
      <c r="QUG1378" s="53"/>
      <c r="QUH1378" s="53"/>
      <c r="QUI1378" s="53"/>
      <c r="QUJ1378" s="53"/>
      <c r="QUK1378" s="53"/>
      <c r="QUL1378" s="53"/>
      <c r="QUM1378" s="53"/>
      <c r="QUN1378" s="53"/>
      <c r="QUO1378" s="53"/>
      <c r="QUP1378" s="53"/>
      <c r="QUQ1378" s="53"/>
      <c r="QUR1378" s="53"/>
      <c r="QUS1378" s="53"/>
      <c r="QUT1378" s="53"/>
      <c r="QUU1378" s="53"/>
      <c r="QUV1378" s="53"/>
      <c r="QUW1378" s="53"/>
      <c r="QUX1378" s="53"/>
      <c r="QUY1378" s="53"/>
      <c r="QUZ1378" s="53"/>
      <c r="QVA1378" s="53"/>
      <c r="QVB1378" s="53"/>
      <c r="QVC1378" s="53"/>
      <c r="QVD1378" s="53"/>
      <c r="QVE1378" s="53"/>
      <c r="QVF1378" s="53"/>
      <c r="QVG1378" s="53"/>
      <c r="QVH1378" s="53"/>
      <c r="QVI1378" s="53"/>
      <c r="QVJ1378" s="53"/>
      <c r="QVK1378" s="53"/>
      <c r="QVL1378" s="53"/>
      <c r="QVM1378" s="53"/>
      <c r="QVN1378" s="53"/>
      <c r="QVO1378" s="53"/>
      <c r="QVP1378" s="53"/>
      <c r="QVQ1378" s="53"/>
      <c r="QVR1378" s="53"/>
      <c r="QVS1378" s="53"/>
      <c r="QVT1378" s="53"/>
      <c r="QVU1378" s="53"/>
      <c r="QVV1378" s="53"/>
      <c r="QVW1378" s="53"/>
      <c r="QVX1378" s="53"/>
      <c r="QVY1378" s="53"/>
      <c r="QVZ1378" s="53"/>
      <c r="QWA1378" s="53"/>
      <c r="QWB1378" s="53"/>
      <c r="QWC1378" s="53"/>
      <c r="QWD1378" s="53"/>
      <c r="QWE1378" s="53"/>
      <c r="QWF1378" s="53"/>
      <c r="QWG1378" s="53"/>
      <c r="QWH1378" s="53"/>
      <c r="QWI1378" s="53"/>
      <c r="QWJ1378" s="53"/>
      <c r="QWK1378" s="53"/>
      <c r="QWL1378" s="53"/>
      <c r="QWM1378" s="53"/>
      <c r="QWN1378" s="53"/>
      <c r="QWO1378" s="53"/>
      <c r="QWP1378" s="53"/>
      <c r="QWQ1378" s="53"/>
      <c r="QWR1378" s="53"/>
      <c r="QWS1378" s="53"/>
      <c r="QWT1378" s="53"/>
      <c r="QWU1378" s="53"/>
      <c r="QWV1378" s="53"/>
      <c r="QWW1378" s="53"/>
      <c r="QWX1378" s="53"/>
      <c r="QWY1378" s="53"/>
      <c r="QWZ1378" s="53"/>
      <c r="QXA1378" s="53"/>
      <c r="QXB1378" s="53"/>
      <c r="QXC1378" s="53"/>
      <c r="QXD1378" s="53"/>
      <c r="QXE1378" s="53"/>
      <c r="QXF1378" s="53"/>
      <c r="QXG1378" s="53"/>
      <c r="QXH1378" s="53"/>
      <c r="QXI1378" s="53"/>
      <c r="QXJ1378" s="53"/>
      <c r="QXK1378" s="53"/>
      <c r="QXL1378" s="53"/>
      <c r="QXM1378" s="53"/>
      <c r="QXN1378" s="53"/>
      <c r="QXO1378" s="53"/>
      <c r="QXP1378" s="53"/>
      <c r="QXQ1378" s="53"/>
      <c r="QXR1378" s="53"/>
      <c r="QXS1378" s="53"/>
      <c r="QXT1378" s="53"/>
      <c r="QXU1378" s="53"/>
      <c r="QXV1378" s="53"/>
      <c r="QXW1378" s="53"/>
      <c r="QXX1378" s="53"/>
      <c r="QXY1378" s="53"/>
      <c r="QXZ1378" s="53"/>
      <c r="QYA1378" s="53"/>
      <c r="QYB1378" s="53"/>
      <c r="QYC1378" s="53"/>
      <c r="QYD1378" s="53"/>
      <c r="QYE1378" s="53"/>
      <c r="QYF1378" s="53"/>
      <c r="QYG1378" s="53"/>
      <c r="QYH1378" s="53"/>
      <c r="QYI1378" s="53"/>
      <c r="QYJ1378" s="53"/>
      <c r="QYK1378" s="53"/>
      <c r="QYL1378" s="53"/>
      <c r="QYM1378" s="53"/>
      <c r="QYN1378" s="53"/>
      <c r="QYO1378" s="53"/>
      <c r="QYP1378" s="53"/>
      <c r="QYQ1378" s="53"/>
      <c r="QYR1378" s="53"/>
      <c r="QYS1378" s="53"/>
      <c r="QYT1378" s="53"/>
      <c r="QYU1378" s="53"/>
      <c r="QYV1378" s="53"/>
      <c r="QYW1378" s="53"/>
      <c r="QYX1378" s="53"/>
      <c r="QYY1378" s="53"/>
      <c r="QYZ1378" s="53"/>
      <c r="QZA1378" s="53"/>
      <c r="QZB1378" s="53"/>
      <c r="QZC1378" s="53"/>
      <c r="QZD1378" s="53"/>
      <c r="QZE1378" s="53"/>
      <c r="QZF1378" s="53"/>
      <c r="QZG1378" s="53"/>
      <c r="QZH1378" s="53"/>
      <c r="QZI1378" s="53"/>
      <c r="QZJ1378" s="53"/>
      <c r="QZK1378" s="53"/>
      <c r="QZL1378" s="53"/>
      <c r="QZM1378" s="53"/>
      <c r="QZN1378" s="53"/>
      <c r="QZO1378" s="53"/>
      <c r="QZP1378" s="53"/>
      <c r="QZQ1378" s="53"/>
      <c r="QZR1378" s="53"/>
      <c r="QZS1378" s="53"/>
      <c r="QZT1378" s="53"/>
      <c r="QZU1378" s="53"/>
      <c r="QZV1378" s="53"/>
      <c r="QZW1378" s="53"/>
      <c r="QZX1378" s="53"/>
      <c r="QZY1378" s="53"/>
      <c r="QZZ1378" s="53"/>
      <c r="RAA1378" s="53"/>
      <c r="RAB1378" s="53"/>
      <c r="RAC1378" s="53"/>
      <c r="RAD1378" s="53"/>
      <c r="RAE1378" s="53"/>
      <c r="RAF1378" s="53"/>
      <c r="RAG1378" s="53"/>
      <c r="RAH1378" s="53"/>
      <c r="RAI1378" s="53"/>
      <c r="RAJ1378" s="53"/>
      <c r="RAK1378" s="53"/>
      <c r="RAL1378" s="53"/>
      <c r="RAM1378" s="53"/>
      <c r="RAN1378" s="53"/>
      <c r="RAO1378" s="53"/>
      <c r="RAP1378" s="53"/>
      <c r="RAQ1378" s="53"/>
      <c r="RAR1378" s="53"/>
      <c r="RAS1378" s="53"/>
      <c r="RAT1378" s="53"/>
      <c r="RAU1378" s="53"/>
      <c r="RAV1378" s="53"/>
      <c r="RAW1378" s="53"/>
      <c r="RAX1378" s="53"/>
      <c r="RAY1378" s="53"/>
      <c r="RAZ1378" s="53"/>
      <c r="RBA1378" s="53"/>
      <c r="RBB1378" s="53"/>
      <c r="RBC1378" s="53"/>
      <c r="RBD1378" s="53"/>
      <c r="RBE1378" s="53"/>
      <c r="RBF1378" s="53"/>
      <c r="RBG1378" s="53"/>
      <c r="RBH1378" s="53"/>
      <c r="RBI1378" s="53"/>
      <c r="RBJ1378" s="53"/>
      <c r="RBK1378" s="53"/>
      <c r="RBL1378" s="53"/>
      <c r="RBM1378" s="53"/>
      <c r="RBN1378" s="53"/>
      <c r="RBO1378" s="53"/>
      <c r="RBP1378" s="53"/>
      <c r="RBQ1378" s="53"/>
      <c r="RBR1378" s="53"/>
      <c r="RBS1378" s="53"/>
      <c r="RBT1378" s="53"/>
      <c r="RBU1378" s="53"/>
      <c r="RBV1378" s="53"/>
      <c r="RBW1378" s="53"/>
      <c r="RBX1378" s="53"/>
      <c r="RBY1378" s="53"/>
      <c r="RBZ1378" s="53"/>
      <c r="RCA1378" s="53"/>
      <c r="RCB1378" s="53"/>
      <c r="RCC1378" s="53"/>
      <c r="RCD1378" s="53"/>
      <c r="RCE1378" s="53"/>
      <c r="RCF1378" s="53"/>
      <c r="RCG1378" s="53"/>
      <c r="RCH1378" s="53"/>
      <c r="RCI1378" s="53"/>
      <c r="RCJ1378" s="53"/>
      <c r="RCK1378" s="53"/>
      <c r="RCL1378" s="53"/>
      <c r="RCM1378" s="53"/>
      <c r="RCN1378" s="53"/>
      <c r="RCO1378" s="53"/>
      <c r="RCP1378" s="53"/>
      <c r="RCQ1378" s="53"/>
      <c r="RCR1378" s="53"/>
      <c r="RCS1378" s="53"/>
      <c r="RCT1378" s="53"/>
      <c r="RCU1378" s="53"/>
      <c r="RCV1378" s="53"/>
      <c r="RCW1378" s="53"/>
      <c r="RCX1378" s="53"/>
      <c r="RCY1378" s="53"/>
      <c r="RCZ1378" s="53"/>
      <c r="RDA1378" s="53"/>
      <c r="RDB1378" s="53"/>
      <c r="RDC1378" s="53"/>
      <c r="RDD1378" s="53"/>
      <c r="RDE1378" s="53"/>
      <c r="RDF1378" s="53"/>
      <c r="RDG1378" s="53"/>
      <c r="RDH1378" s="53"/>
      <c r="RDI1378" s="53"/>
      <c r="RDJ1378" s="53"/>
      <c r="RDK1378" s="53"/>
      <c r="RDL1378" s="53"/>
      <c r="RDM1378" s="53"/>
      <c r="RDN1378" s="53"/>
      <c r="RDO1378" s="53"/>
      <c r="RDP1378" s="53"/>
      <c r="RDQ1378" s="53"/>
      <c r="RDR1378" s="53"/>
      <c r="RDS1378" s="53"/>
      <c r="RDT1378" s="53"/>
      <c r="RDU1378" s="53"/>
      <c r="RDV1378" s="53"/>
      <c r="RDW1378" s="53"/>
      <c r="RDX1378" s="53"/>
      <c r="RDY1378" s="53"/>
      <c r="RDZ1378" s="53"/>
      <c r="REA1378" s="53"/>
      <c r="REB1378" s="53"/>
      <c r="REC1378" s="53"/>
      <c r="RED1378" s="53"/>
      <c r="REE1378" s="53"/>
      <c r="REF1378" s="53"/>
      <c r="REG1378" s="53"/>
      <c r="REH1378" s="53"/>
      <c r="REI1378" s="53"/>
      <c r="REJ1378" s="53"/>
      <c r="REK1378" s="53"/>
      <c r="REL1378" s="53"/>
      <c r="REM1378" s="53"/>
      <c r="REN1378" s="53"/>
      <c r="REO1378" s="53"/>
      <c r="REP1378" s="53"/>
      <c r="REQ1378" s="53"/>
      <c r="RER1378" s="53"/>
      <c r="RES1378" s="53"/>
      <c r="RET1378" s="53"/>
      <c r="REU1378" s="53"/>
      <c r="REV1378" s="53"/>
      <c r="REW1378" s="53"/>
      <c r="REX1378" s="53"/>
      <c r="REY1378" s="53"/>
      <c r="REZ1378" s="53"/>
      <c r="RFA1378" s="53"/>
      <c r="RFB1378" s="53"/>
      <c r="RFC1378" s="53"/>
      <c r="RFD1378" s="53"/>
      <c r="RFE1378" s="53"/>
      <c r="RFF1378" s="53"/>
      <c r="RFG1378" s="53"/>
      <c r="RFH1378" s="53"/>
      <c r="RFI1378" s="53"/>
      <c r="RFJ1378" s="53"/>
      <c r="RFK1378" s="53"/>
      <c r="RFL1378" s="53"/>
      <c r="RFM1378" s="53"/>
      <c r="RFN1378" s="53"/>
      <c r="RFO1378" s="53"/>
      <c r="RFP1378" s="53"/>
      <c r="RFQ1378" s="53"/>
      <c r="RFR1378" s="53"/>
      <c r="RFS1378" s="53"/>
      <c r="RFT1378" s="53"/>
      <c r="RFU1378" s="53"/>
      <c r="RFV1378" s="53"/>
      <c r="RFW1378" s="53"/>
      <c r="RFX1378" s="53"/>
      <c r="RFY1378" s="53"/>
      <c r="RFZ1378" s="53"/>
      <c r="RGA1378" s="53"/>
      <c r="RGB1378" s="53"/>
      <c r="RGC1378" s="53"/>
      <c r="RGD1378" s="53"/>
      <c r="RGE1378" s="53"/>
      <c r="RGF1378" s="53"/>
      <c r="RGG1378" s="53"/>
      <c r="RGH1378" s="53"/>
      <c r="RGI1378" s="53"/>
      <c r="RGJ1378" s="53"/>
      <c r="RGK1378" s="53"/>
      <c r="RGL1378" s="53"/>
      <c r="RGM1378" s="53"/>
      <c r="RGN1378" s="53"/>
      <c r="RGO1378" s="53"/>
      <c r="RGP1378" s="53"/>
      <c r="RGQ1378" s="53"/>
      <c r="RGR1378" s="53"/>
      <c r="RGS1378" s="53"/>
      <c r="RGT1378" s="53"/>
      <c r="RGU1378" s="53"/>
      <c r="RGV1378" s="53"/>
      <c r="RGW1378" s="53"/>
      <c r="RGX1378" s="53"/>
      <c r="RGY1378" s="53"/>
      <c r="RGZ1378" s="53"/>
      <c r="RHA1378" s="53"/>
      <c r="RHB1378" s="53"/>
      <c r="RHC1378" s="53"/>
      <c r="RHD1378" s="53"/>
      <c r="RHE1378" s="53"/>
      <c r="RHF1378" s="53"/>
      <c r="RHG1378" s="53"/>
      <c r="RHH1378" s="53"/>
      <c r="RHI1378" s="53"/>
      <c r="RHJ1378" s="53"/>
      <c r="RHK1378" s="53"/>
      <c r="RHL1378" s="53"/>
      <c r="RHM1378" s="53"/>
      <c r="RHN1378" s="53"/>
      <c r="RHO1378" s="53"/>
      <c r="RHP1378" s="53"/>
      <c r="RHQ1378" s="53"/>
      <c r="RHR1378" s="53"/>
      <c r="RHS1378" s="53"/>
      <c r="RHT1378" s="53"/>
      <c r="RHU1378" s="53"/>
      <c r="RHV1378" s="53"/>
      <c r="RHW1378" s="53"/>
      <c r="RHX1378" s="53"/>
      <c r="RHY1378" s="53"/>
      <c r="RHZ1378" s="53"/>
      <c r="RIA1378" s="53"/>
      <c r="RIB1378" s="53"/>
      <c r="RIC1378" s="53"/>
      <c r="RID1378" s="53"/>
      <c r="RIE1378" s="53"/>
      <c r="RIF1378" s="53"/>
      <c r="RIG1378" s="53"/>
      <c r="RIH1378" s="53"/>
      <c r="RII1378" s="53"/>
      <c r="RIJ1378" s="53"/>
      <c r="RIK1378" s="53"/>
      <c r="RIL1378" s="53"/>
      <c r="RIM1378" s="53"/>
      <c r="RIN1378" s="53"/>
      <c r="RIO1378" s="53"/>
      <c r="RIP1378" s="53"/>
      <c r="RIQ1378" s="53"/>
      <c r="RIR1378" s="53"/>
      <c r="RIS1378" s="53"/>
      <c r="RIT1378" s="53"/>
      <c r="RIU1378" s="53"/>
      <c r="RIV1378" s="53"/>
      <c r="RIW1378" s="53"/>
      <c r="RIX1378" s="53"/>
      <c r="RIY1378" s="53"/>
      <c r="RIZ1378" s="53"/>
      <c r="RJA1378" s="53"/>
      <c r="RJB1378" s="53"/>
      <c r="RJC1378" s="53"/>
      <c r="RJD1378" s="53"/>
      <c r="RJE1378" s="53"/>
      <c r="RJF1378" s="53"/>
      <c r="RJG1378" s="53"/>
      <c r="RJH1378" s="53"/>
      <c r="RJI1378" s="53"/>
      <c r="RJJ1378" s="53"/>
      <c r="RJK1378" s="53"/>
      <c r="RJL1378" s="53"/>
      <c r="RJM1378" s="53"/>
      <c r="RJN1378" s="53"/>
      <c r="RJO1378" s="53"/>
      <c r="RJP1378" s="53"/>
      <c r="RJQ1378" s="53"/>
      <c r="RJR1378" s="53"/>
      <c r="RJS1378" s="53"/>
      <c r="RJT1378" s="53"/>
      <c r="RJU1378" s="53"/>
      <c r="RJV1378" s="53"/>
      <c r="RJW1378" s="53"/>
      <c r="RJX1378" s="53"/>
      <c r="RJY1378" s="53"/>
      <c r="RJZ1378" s="53"/>
      <c r="RKA1378" s="53"/>
      <c r="RKB1378" s="53"/>
      <c r="RKC1378" s="53"/>
      <c r="RKD1378" s="53"/>
      <c r="RKE1378" s="53"/>
      <c r="RKF1378" s="53"/>
      <c r="RKG1378" s="53"/>
      <c r="RKH1378" s="53"/>
      <c r="RKI1378" s="53"/>
      <c r="RKJ1378" s="53"/>
      <c r="RKK1378" s="53"/>
      <c r="RKL1378" s="53"/>
      <c r="RKM1378" s="53"/>
      <c r="RKN1378" s="53"/>
      <c r="RKO1378" s="53"/>
      <c r="RKP1378" s="53"/>
      <c r="RKQ1378" s="53"/>
      <c r="RKR1378" s="53"/>
      <c r="RKS1378" s="53"/>
      <c r="RKT1378" s="53"/>
      <c r="RKU1378" s="53"/>
      <c r="RKV1378" s="53"/>
      <c r="RKW1378" s="53"/>
      <c r="RKX1378" s="53"/>
      <c r="RKY1378" s="53"/>
      <c r="RKZ1378" s="53"/>
      <c r="RLA1378" s="53"/>
      <c r="RLB1378" s="53"/>
      <c r="RLC1378" s="53"/>
      <c r="RLD1378" s="53"/>
      <c r="RLE1378" s="53"/>
      <c r="RLF1378" s="53"/>
      <c r="RLG1378" s="53"/>
      <c r="RLH1378" s="53"/>
      <c r="RLI1378" s="53"/>
      <c r="RLJ1378" s="53"/>
      <c r="RLK1378" s="53"/>
      <c r="RLL1378" s="53"/>
      <c r="RLM1378" s="53"/>
      <c r="RLN1378" s="53"/>
      <c r="RLO1378" s="53"/>
      <c r="RLP1378" s="53"/>
      <c r="RLQ1378" s="53"/>
      <c r="RLR1378" s="53"/>
      <c r="RLS1378" s="53"/>
      <c r="RLT1378" s="53"/>
      <c r="RLU1378" s="53"/>
      <c r="RLV1378" s="53"/>
      <c r="RLW1378" s="53"/>
      <c r="RLX1378" s="53"/>
      <c r="RLY1378" s="53"/>
      <c r="RLZ1378" s="53"/>
      <c r="RMA1378" s="53"/>
      <c r="RMB1378" s="53"/>
      <c r="RMC1378" s="53"/>
      <c r="RMD1378" s="53"/>
      <c r="RME1378" s="53"/>
      <c r="RMF1378" s="53"/>
      <c r="RMG1378" s="53"/>
      <c r="RMH1378" s="53"/>
      <c r="RMI1378" s="53"/>
      <c r="RMJ1378" s="53"/>
      <c r="RMK1378" s="53"/>
      <c r="RML1378" s="53"/>
      <c r="RMM1378" s="53"/>
      <c r="RMN1378" s="53"/>
      <c r="RMO1378" s="53"/>
      <c r="RMP1378" s="53"/>
      <c r="RMQ1378" s="53"/>
      <c r="RMR1378" s="53"/>
      <c r="RMS1378" s="53"/>
      <c r="RMT1378" s="53"/>
      <c r="RMU1378" s="53"/>
      <c r="RMV1378" s="53"/>
      <c r="RMW1378" s="53"/>
      <c r="RMX1378" s="53"/>
      <c r="RMY1378" s="53"/>
      <c r="RMZ1378" s="53"/>
      <c r="RNA1378" s="53"/>
      <c r="RNB1378" s="53"/>
      <c r="RNC1378" s="53"/>
      <c r="RND1378" s="53"/>
      <c r="RNE1378" s="53"/>
      <c r="RNF1378" s="53"/>
      <c r="RNG1378" s="53"/>
      <c r="RNH1378" s="53"/>
      <c r="RNI1378" s="53"/>
      <c r="RNJ1378" s="53"/>
      <c r="RNK1378" s="53"/>
      <c r="RNL1378" s="53"/>
      <c r="RNM1378" s="53"/>
      <c r="RNN1378" s="53"/>
      <c r="RNO1378" s="53"/>
      <c r="RNP1378" s="53"/>
      <c r="RNQ1378" s="53"/>
      <c r="RNR1378" s="53"/>
      <c r="RNS1378" s="53"/>
      <c r="RNT1378" s="53"/>
      <c r="RNU1378" s="53"/>
      <c r="RNV1378" s="53"/>
      <c r="RNW1378" s="53"/>
      <c r="RNX1378" s="53"/>
      <c r="RNY1378" s="53"/>
      <c r="RNZ1378" s="53"/>
      <c r="ROA1378" s="53"/>
      <c r="ROB1378" s="53"/>
      <c r="ROC1378" s="53"/>
      <c r="ROD1378" s="53"/>
      <c r="ROE1378" s="53"/>
      <c r="ROF1378" s="53"/>
      <c r="ROG1378" s="53"/>
      <c r="ROH1378" s="53"/>
      <c r="ROI1378" s="53"/>
      <c r="ROJ1378" s="53"/>
      <c r="ROK1378" s="53"/>
      <c r="ROL1378" s="53"/>
      <c r="ROM1378" s="53"/>
      <c r="RON1378" s="53"/>
      <c r="ROO1378" s="53"/>
      <c r="ROP1378" s="53"/>
      <c r="ROQ1378" s="53"/>
      <c r="ROR1378" s="53"/>
      <c r="ROS1378" s="53"/>
      <c r="ROT1378" s="53"/>
      <c r="ROU1378" s="53"/>
      <c r="ROV1378" s="53"/>
      <c r="ROW1378" s="53"/>
      <c r="ROX1378" s="53"/>
      <c r="ROY1378" s="53"/>
      <c r="ROZ1378" s="53"/>
      <c r="RPA1378" s="53"/>
      <c r="RPB1378" s="53"/>
      <c r="RPC1378" s="53"/>
      <c r="RPD1378" s="53"/>
      <c r="RPE1378" s="53"/>
      <c r="RPF1378" s="53"/>
      <c r="RPG1378" s="53"/>
      <c r="RPH1378" s="53"/>
      <c r="RPI1378" s="53"/>
      <c r="RPJ1378" s="53"/>
      <c r="RPK1378" s="53"/>
      <c r="RPL1378" s="53"/>
      <c r="RPM1378" s="53"/>
      <c r="RPN1378" s="53"/>
      <c r="RPO1378" s="53"/>
      <c r="RPP1378" s="53"/>
      <c r="RPQ1378" s="53"/>
      <c r="RPR1378" s="53"/>
      <c r="RPS1378" s="53"/>
      <c r="RPT1378" s="53"/>
      <c r="RPU1378" s="53"/>
      <c r="RPV1378" s="53"/>
      <c r="RPW1378" s="53"/>
      <c r="RPX1378" s="53"/>
      <c r="RPY1378" s="53"/>
      <c r="RPZ1378" s="53"/>
      <c r="RQA1378" s="53"/>
      <c r="RQB1378" s="53"/>
      <c r="RQC1378" s="53"/>
      <c r="RQD1378" s="53"/>
      <c r="RQE1378" s="53"/>
      <c r="RQF1378" s="53"/>
      <c r="RQG1378" s="53"/>
      <c r="RQH1378" s="53"/>
      <c r="RQI1378" s="53"/>
      <c r="RQJ1378" s="53"/>
      <c r="RQK1378" s="53"/>
      <c r="RQL1378" s="53"/>
      <c r="RQM1378" s="53"/>
      <c r="RQN1378" s="53"/>
      <c r="RQO1378" s="53"/>
      <c r="RQP1378" s="53"/>
      <c r="RQQ1378" s="53"/>
      <c r="RQR1378" s="53"/>
      <c r="RQS1378" s="53"/>
      <c r="RQT1378" s="53"/>
      <c r="RQU1378" s="53"/>
      <c r="RQV1378" s="53"/>
      <c r="RQW1378" s="53"/>
      <c r="RQX1378" s="53"/>
      <c r="RQY1378" s="53"/>
      <c r="RQZ1378" s="53"/>
      <c r="RRA1378" s="53"/>
      <c r="RRB1378" s="53"/>
      <c r="RRC1378" s="53"/>
      <c r="RRD1378" s="53"/>
      <c r="RRE1378" s="53"/>
      <c r="RRF1378" s="53"/>
      <c r="RRG1378" s="53"/>
      <c r="RRH1378" s="53"/>
      <c r="RRI1378" s="53"/>
      <c r="RRJ1378" s="53"/>
      <c r="RRK1378" s="53"/>
      <c r="RRL1378" s="53"/>
      <c r="RRM1378" s="53"/>
      <c r="RRN1378" s="53"/>
      <c r="RRO1378" s="53"/>
      <c r="RRP1378" s="53"/>
      <c r="RRQ1378" s="53"/>
      <c r="RRR1378" s="53"/>
      <c r="RRS1378" s="53"/>
      <c r="RRT1378" s="53"/>
      <c r="RRU1378" s="53"/>
      <c r="RRV1378" s="53"/>
      <c r="RRW1378" s="53"/>
      <c r="RRX1378" s="53"/>
      <c r="RRY1378" s="53"/>
      <c r="RRZ1378" s="53"/>
      <c r="RSA1378" s="53"/>
      <c r="RSB1378" s="53"/>
      <c r="RSC1378" s="53"/>
      <c r="RSD1378" s="53"/>
      <c r="RSE1378" s="53"/>
      <c r="RSF1378" s="53"/>
      <c r="RSG1378" s="53"/>
      <c r="RSH1378" s="53"/>
      <c r="RSI1378" s="53"/>
      <c r="RSJ1378" s="53"/>
      <c r="RSK1378" s="53"/>
      <c r="RSL1378" s="53"/>
      <c r="RSM1378" s="53"/>
      <c r="RSN1378" s="53"/>
      <c r="RSO1378" s="53"/>
      <c r="RSP1378" s="53"/>
      <c r="RSQ1378" s="53"/>
      <c r="RSR1378" s="53"/>
      <c r="RSS1378" s="53"/>
      <c r="RST1378" s="53"/>
      <c r="RSU1378" s="53"/>
      <c r="RSV1378" s="53"/>
      <c r="RSW1378" s="53"/>
      <c r="RSX1378" s="53"/>
      <c r="RSY1378" s="53"/>
      <c r="RSZ1378" s="53"/>
      <c r="RTA1378" s="53"/>
      <c r="RTB1378" s="53"/>
      <c r="RTC1378" s="53"/>
      <c r="RTD1378" s="53"/>
      <c r="RTE1378" s="53"/>
      <c r="RTF1378" s="53"/>
      <c r="RTG1378" s="53"/>
      <c r="RTH1378" s="53"/>
      <c r="RTI1378" s="53"/>
      <c r="RTJ1378" s="53"/>
      <c r="RTK1378" s="53"/>
      <c r="RTL1378" s="53"/>
      <c r="RTM1378" s="53"/>
      <c r="RTN1378" s="53"/>
      <c r="RTO1378" s="53"/>
      <c r="RTP1378" s="53"/>
      <c r="RTQ1378" s="53"/>
      <c r="RTR1378" s="53"/>
      <c r="RTS1378" s="53"/>
      <c r="RTT1378" s="53"/>
      <c r="RTU1378" s="53"/>
      <c r="RTV1378" s="53"/>
      <c r="RTW1378" s="53"/>
      <c r="RTX1378" s="53"/>
      <c r="RTY1378" s="53"/>
      <c r="RTZ1378" s="53"/>
      <c r="RUA1378" s="53"/>
      <c r="RUB1378" s="53"/>
      <c r="RUC1378" s="53"/>
      <c r="RUD1378" s="53"/>
      <c r="RUE1378" s="53"/>
      <c r="RUF1378" s="53"/>
      <c r="RUG1378" s="53"/>
      <c r="RUH1378" s="53"/>
      <c r="RUI1378" s="53"/>
      <c r="RUJ1378" s="53"/>
      <c r="RUK1378" s="53"/>
      <c r="RUL1378" s="53"/>
      <c r="RUM1378" s="53"/>
      <c r="RUN1378" s="53"/>
      <c r="RUO1378" s="53"/>
      <c r="RUP1378" s="53"/>
      <c r="RUQ1378" s="53"/>
      <c r="RUR1378" s="53"/>
      <c r="RUS1378" s="53"/>
      <c r="RUT1378" s="53"/>
      <c r="RUU1378" s="53"/>
      <c r="RUV1378" s="53"/>
      <c r="RUW1378" s="53"/>
      <c r="RUX1378" s="53"/>
      <c r="RUY1378" s="53"/>
      <c r="RUZ1378" s="53"/>
      <c r="RVA1378" s="53"/>
      <c r="RVB1378" s="53"/>
      <c r="RVC1378" s="53"/>
      <c r="RVD1378" s="53"/>
      <c r="RVE1378" s="53"/>
      <c r="RVF1378" s="53"/>
      <c r="RVG1378" s="53"/>
      <c r="RVH1378" s="53"/>
      <c r="RVI1378" s="53"/>
      <c r="RVJ1378" s="53"/>
      <c r="RVK1378" s="53"/>
      <c r="RVL1378" s="53"/>
      <c r="RVM1378" s="53"/>
      <c r="RVN1378" s="53"/>
      <c r="RVO1378" s="53"/>
      <c r="RVP1378" s="53"/>
      <c r="RVQ1378" s="53"/>
      <c r="RVR1378" s="53"/>
      <c r="RVS1378" s="53"/>
      <c r="RVT1378" s="53"/>
      <c r="RVU1378" s="53"/>
      <c r="RVV1378" s="53"/>
      <c r="RVW1378" s="53"/>
      <c r="RVX1378" s="53"/>
      <c r="RVY1378" s="53"/>
      <c r="RVZ1378" s="53"/>
      <c r="RWA1378" s="53"/>
      <c r="RWB1378" s="53"/>
      <c r="RWC1378" s="53"/>
      <c r="RWD1378" s="53"/>
      <c r="RWE1378" s="53"/>
      <c r="RWF1378" s="53"/>
      <c r="RWG1378" s="53"/>
      <c r="RWH1378" s="53"/>
      <c r="RWI1378" s="53"/>
      <c r="RWJ1378" s="53"/>
      <c r="RWK1378" s="53"/>
      <c r="RWL1378" s="53"/>
      <c r="RWM1378" s="53"/>
      <c r="RWN1378" s="53"/>
      <c r="RWO1378" s="53"/>
      <c r="RWP1378" s="53"/>
      <c r="RWQ1378" s="53"/>
      <c r="RWR1378" s="53"/>
      <c r="RWS1378" s="53"/>
      <c r="RWT1378" s="53"/>
      <c r="RWU1378" s="53"/>
      <c r="RWV1378" s="53"/>
      <c r="RWW1378" s="53"/>
      <c r="RWX1378" s="53"/>
      <c r="RWY1378" s="53"/>
      <c r="RWZ1378" s="53"/>
      <c r="RXA1378" s="53"/>
      <c r="RXB1378" s="53"/>
      <c r="RXC1378" s="53"/>
      <c r="RXD1378" s="53"/>
      <c r="RXE1378" s="53"/>
      <c r="RXF1378" s="53"/>
      <c r="RXG1378" s="53"/>
      <c r="RXH1378" s="53"/>
      <c r="RXI1378" s="53"/>
      <c r="RXJ1378" s="53"/>
      <c r="RXK1378" s="53"/>
      <c r="RXL1378" s="53"/>
      <c r="RXM1378" s="53"/>
      <c r="RXN1378" s="53"/>
      <c r="RXO1378" s="53"/>
      <c r="RXP1378" s="53"/>
      <c r="RXQ1378" s="53"/>
      <c r="RXR1378" s="53"/>
      <c r="RXS1378" s="53"/>
      <c r="RXT1378" s="53"/>
      <c r="RXU1378" s="53"/>
      <c r="RXV1378" s="53"/>
      <c r="RXW1378" s="53"/>
      <c r="RXX1378" s="53"/>
      <c r="RXY1378" s="53"/>
      <c r="RXZ1378" s="53"/>
      <c r="RYA1378" s="53"/>
      <c r="RYB1378" s="53"/>
      <c r="RYC1378" s="53"/>
      <c r="RYD1378" s="53"/>
      <c r="RYE1378" s="53"/>
      <c r="RYF1378" s="53"/>
      <c r="RYG1378" s="53"/>
      <c r="RYH1378" s="53"/>
      <c r="RYI1378" s="53"/>
      <c r="RYJ1378" s="53"/>
      <c r="RYK1378" s="53"/>
      <c r="RYL1378" s="53"/>
      <c r="RYM1378" s="53"/>
      <c r="RYN1378" s="53"/>
      <c r="RYO1378" s="53"/>
      <c r="RYP1378" s="53"/>
      <c r="RYQ1378" s="53"/>
      <c r="RYR1378" s="53"/>
      <c r="RYS1378" s="53"/>
      <c r="RYT1378" s="53"/>
      <c r="RYU1378" s="53"/>
      <c r="RYV1378" s="53"/>
      <c r="RYW1378" s="53"/>
      <c r="RYX1378" s="53"/>
      <c r="RYY1378" s="53"/>
      <c r="RYZ1378" s="53"/>
      <c r="RZA1378" s="53"/>
      <c r="RZB1378" s="53"/>
      <c r="RZC1378" s="53"/>
      <c r="RZD1378" s="53"/>
      <c r="RZE1378" s="53"/>
      <c r="RZF1378" s="53"/>
      <c r="RZG1378" s="53"/>
      <c r="RZH1378" s="53"/>
      <c r="RZI1378" s="53"/>
      <c r="RZJ1378" s="53"/>
      <c r="RZK1378" s="53"/>
      <c r="RZL1378" s="53"/>
      <c r="RZM1378" s="53"/>
      <c r="RZN1378" s="53"/>
      <c r="RZO1378" s="53"/>
      <c r="RZP1378" s="53"/>
      <c r="RZQ1378" s="53"/>
      <c r="RZR1378" s="53"/>
      <c r="RZS1378" s="53"/>
      <c r="RZT1378" s="53"/>
      <c r="RZU1378" s="53"/>
      <c r="RZV1378" s="53"/>
      <c r="RZW1378" s="53"/>
      <c r="RZX1378" s="53"/>
      <c r="RZY1378" s="53"/>
      <c r="RZZ1378" s="53"/>
      <c r="SAA1378" s="53"/>
      <c r="SAB1378" s="53"/>
      <c r="SAC1378" s="53"/>
      <c r="SAD1378" s="53"/>
      <c r="SAE1378" s="53"/>
      <c r="SAF1378" s="53"/>
      <c r="SAG1378" s="53"/>
      <c r="SAH1378" s="53"/>
      <c r="SAI1378" s="53"/>
      <c r="SAJ1378" s="53"/>
      <c r="SAK1378" s="53"/>
      <c r="SAL1378" s="53"/>
      <c r="SAM1378" s="53"/>
      <c r="SAN1378" s="53"/>
      <c r="SAO1378" s="53"/>
      <c r="SAP1378" s="53"/>
      <c r="SAQ1378" s="53"/>
      <c r="SAR1378" s="53"/>
      <c r="SAS1378" s="53"/>
      <c r="SAT1378" s="53"/>
      <c r="SAU1378" s="53"/>
      <c r="SAV1378" s="53"/>
      <c r="SAW1378" s="53"/>
      <c r="SAX1378" s="53"/>
      <c r="SAY1378" s="53"/>
      <c r="SAZ1378" s="53"/>
      <c r="SBA1378" s="53"/>
      <c r="SBB1378" s="53"/>
      <c r="SBC1378" s="53"/>
      <c r="SBD1378" s="53"/>
      <c r="SBE1378" s="53"/>
      <c r="SBF1378" s="53"/>
      <c r="SBG1378" s="53"/>
      <c r="SBH1378" s="53"/>
      <c r="SBI1378" s="53"/>
      <c r="SBJ1378" s="53"/>
      <c r="SBK1378" s="53"/>
      <c r="SBL1378" s="53"/>
      <c r="SBM1378" s="53"/>
      <c r="SBN1378" s="53"/>
      <c r="SBO1378" s="53"/>
      <c r="SBP1378" s="53"/>
      <c r="SBQ1378" s="53"/>
      <c r="SBR1378" s="53"/>
      <c r="SBS1378" s="53"/>
      <c r="SBT1378" s="53"/>
      <c r="SBU1378" s="53"/>
      <c r="SBV1378" s="53"/>
      <c r="SBW1378" s="53"/>
      <c r="SBX1378" s="53"/>
      <c r="SBY1378" s="53"/>
      <c r="SBZ1378" s="53"/>
      <c r="SCA1378" s="53"/>
      <c r="SCB1378" s="53"/>
      <c r="SCC1378" s="53"/>
      <c r="SCD1378" s="53"/>
      <c r="SCE1378" s="53"/>
      <c r="SCF1378" s="53"/>
      <c r="SCG1378" s="53"/>
      <c r="SCH1378" s="53"/>
      <c r="SCI1378" s="53"/>
      <c r="SCJ1378" s="53"/>
      <c r="SCK1378" s="53"/>
      <c r="SCL1378" s="53"/>
      <c r="SCM1378" s="53"/>
      <c r="SCN1378" s="53"/>
      <c r="SCO1378" s="53"/>
      <c r="SCP1378" s="53"/>
      <c r="SCQ1378" s="53"/>
      <c r="SCR1378" s="53"/>
      <c r="SCS1378" s="53"/>
      <c r="SCT1378" s="53"/>
      <c r="SCU1378" s="53"/>
      <c r="SCV1378" s="53"/>
      <c r="SCW1378" s="53"/>
      <c r="SCX1378" s="53"/>
      <c r="SCY1378" s="53"/>
      <c r="SCZ1378" s="53"/>
      <c r="SDA1378" s="53"/>
      <c r="SDB1378" s="53"/>
      <c r="SDC1378" s="53"/>
      <c r="SDD1378" s="53"/>
      <c r="SDE1378" s="53"/>
      <c r="SDF1378" s="53"/>
      <c r="SDG1378" s="53"/>
      <c r="SDH1378" s="53"/>
      <c r="SDI1378" s="53"/>
      <c r="SDJ1378" s="53"/>
      <c r="SDK1378" s="53"/>
      <c r="SDL1378" s="53"/>
      <c r="SDM1378" s="53"/>
      <c r="SDN1378" s="53"/>
      <c r="SDO1378" s="53"/>
      <c r="SDP1378" s="53"/>
      <c r="SDQ1378" s="53"/>
      <c r="SDR1378" s="53"/>
      <c r="SDS1378" s="53"/>
      <c r="SDT1378" s="53"/>
      <c r="SDU1378" s="53"/>
      <c r="SDV1378" s="53"/>
      <c r="SDW1378" s="53"/>
      <c r="SDX1378" s="53"/>
      <c r="SDY1378" s="53"/>
      <c r="SDZ1378" s="53"/>
      <c r="SEA1378" s="53"/>
      <c r="SEB1378" s="53"/>
      <c r="SEC1378" s="53"/>
      <c r="SED1378" s="53"/>
      <c r="SEE1378" s="53"/>
      <c r="SEF1378" s="53"/>
      <c r="SEG1378" s="53"/>
      <c r="SEH1378" s="53"/>
      <c r="SEI1378" s="53"/>
      <c r="SEJ1378" s="53"/>
      <c r="SEK1378" s="53"/>
      <c r="SEL1378" s="53"/>
      <c r="SEM1378" s="53"/>
      <c r="SEN1378" s="53"/>
      <c r="SEO1378" s="53"/>
      <c r="SEP1378" s="53"/>
      <c r="SEQ1378" s="53"/>
      <c r="SER1378" s="53"/>
      <c r="SES1378" s="53"/>
      <c r="SET1378" s="53"/>
      <c r="SEU1378" s="53"/>
      <c r="SEV1378" s="53"/>
      <c r="SEW1378" s="53"/>
      <c r="SEX1378" s="53"/>
      <c r="SEY1378" s="53"/>
      <c r="SEZ1378" s="53"/>
      <c r="SFA1378" s="53"/>
      <c r="SFB1378" s="53"/>
      <c r="SFC1378" s="53"/>
      <c r="SFD1378" s="53"/>
      <c r="SFE1378" s="53"/>
      <c r="SFF1378" s="53"/>
      <c r="SFG1378" s="53"/>
      <c r="SFH1378" s="53"/>
      <c r="SFI1378" s="53"/>
      <c r="SFJ1378" s="53"/>
      <c r="SFK1378" s="53"/>
      <c r="SFL1378" s="53"/>
      <c r="SFM1378" s="53"/>
      <c r="SFN1378" s="53"/>
      <c r="SFO1378" s="53"/>
      <c r="SFP1378" s="53"/>
      <c r="SFQ1378" s="53"/>
      <c r="SFR1378" s="53"/>
      <c r="SFS1378" s="53"/>
      <c r="SFT1378" s="53"/>
      <c r="SFU1378" s="53"/>
      <c r="SFV1378" s="53"/>
      <c r="SFW1378" s="53"/>
      <c r="SFX1378" s="53"/>
      <c r="SFY1378" s="53"/>
      <c r="SFZ1378" s="53"/>
      <c r="SGA1378" s="53"/>
      <c r="SGB1378" s="53"/>
      <c r="SGC1378" s="53"/>
      <c r="SGD1378" s="53"/>
      <c r="SGE1378" s="53"/>
      <c r="SGF1378" s="53"/>
      <c r="SGG1378" s="53"/>
      <c r="SGH1378" s="53"/>
      <c r="SGI1378" s="53"/>
      <c r="SGJ1378" s="53"/>
      <c r="SGK1378" s="53"/>
      <c r="SGL1378" s="53"/>
      <c r="SGM1378" s="53"/>
      <c r="SGN1378" s="53"/>
      <c r="SGO1378" s="53"/>
      <c r="SGP1378" s="53"/>
      <c r="SGQ1378" s="53"/>
      <c r="SGR1378" s="53"/>
      <c r="SGS1378" s="53"/>
      <c r="SGT1378" s="53"/>
      <c r="SGU1378" s="53"/>
      <c r="SGV1378" s="53"/>
      <c r="SGW1378" s="53"/>
      <c r="SGX1378" s="53"/>
      <c r="SGY1378" s="53"/>
      <c r="SGZ1378" s="53"/>
      <c r="SHA1378" s="53"/>
      <c r="SHB1378" s="53"/>
      <c r="SHC1378" s="53"/>
      <c r="SHD1378" s="53"/>
      <c r="SHE1378" s="53"/>
      <c r="SHF1378" s="53"/>
      <c r="SHG1378" s="53"/>
      <c r="SHH1378" s="53"/>
      <c r="SHI1378" s="53"/>
      <c r="SHJ1378" s="53"/>
      <c r="SHK1378" s="53"/>
      <c r="SHL1378" s="53"/>
      <c r="SHM1378" s="53"/>
      <c r="SHN1378" s="53"/>
      <c r="SHO1378" s="53"/>
      <c r="SHP1378" s="53"/>
      <c r="SHQ1378" s="53"/>
      <c r="SHR1378" s="53"/>
      <c r="SHS1378" s="53"/>
      <c r="SHT1378" s="53"/>
      <c r="SHU1378" s="53"/>
      <c r="SHV1378" s="53"/>
      <c r="SHW1378" s="53"/>
      <c r="SHX1378" s="53"/>
      <c r="SHY1378" s="53"/>
      <c r="SHZ1378" s="53"/>
      <c r="SIA1378" s="53"/>
      <c r="SIB1378" s="53"/>
      <c r="SIC1378" s="53"/>
      <c r="SID1378" s="53"/>
      <c r="SIE1378" s="53"/>
      <c r="SIF1378" s="53"/>
      <c r="SIG1378" s="53"/>
      <c r="SIH1378" s="53"/>
      <c r="SII1378" s="53"/>
      <c r="SIJ1378" s="53"/>
      <c r="SIK1378" s="53"/>
      <c r="SIL1378" s="53"/>
      <c r="SIM1378" s="53"/>
      <c r="SIN1378" s="53"/>
      <c r="SIO1378" s="53"/>
      <c r="SIP1378" s="53"/>
      <c r="SIQ1378" s="53"/>
      <c r="SIR1378" s="53"/>
      <c r="SIS1378" s="53"/>
      <c r="SIT1378" s="53"/>
      <c r="SIU1378" s="53"/>
      <c r="SIV1378" s="53"/>
      <c r="SIW1378" s="53"/>
      <c r="SIX1378" s="53"/>
      <c r="SIY1378" s="53"/>
      <c r="SIZ1378" s="53"/>
      <c r="SJA1378" s="53"/>
      <c r="SJB1378" s="53"/>
      <c r="SJC1378" s="53"/>
      <c r="SJD1378" s="53"/>
      <c r="SJE1378" s="53"/>
      <c r="SJF1378" s="53"/>
      <c r="SJG1378" s="53"/>
      <c r="SJH1378" s="53"/>
      <c r="SJI1378" s="53"/>
      <c r="SJJ1378" s="53"/>
      <c r="SJK1378" s="53"/>
      <c r="SJL1378" s="53"/>
      <c r="SJM1378" s="53"/>
      <c r="SJN1378" s="53"/>
      <c r="SJO1378" s="53"/>
      <c r="SJP1378" s="53"/>
      <c r="SJQ1378" s="53"/>
      <c r="SJR1378" s="53"/>
      <c r="SJS1378" s="53"/>
      <c r="SJT1378" s="53"/>
      <c r="SJU1378" s="53"/>
      <c r="SJV1378" s="53"/>
      <c r="SJW1378" s="53"/>
      <c r="SJX1378" s="53"/>
      <c r="SJY1378" s="53"/>
      <c r="SJZ1378" s="53"/>
      <c r="SKA1378" s="53"/>
      <c r="SKB1378" s="53"/>
      <c r="SKC1378" s="53"/>
      <c r="SKD1378" s="53"/>
      <c r="SKE1378" s="53"/>
      <c r="SKF1378" s="53"/>
      <c r="SKG1378" s="53"/>
      <c r="SKH1378" s="53"/>
      <c r="SKI1378" s="53"/>
      <c r="SKJ1378" s="53"/>
      <c r="SKK1378" s="53"/>
      <c r="SKL1378" s="53"/>
      <c r="SKM1378" s="53"/>
      <c r="SKN1378" s="53"/>
      <c r="SKO1378" s="53"/>
      <c r="SKP1378" s="53"/>
      <c r="SKQ1378" s="53"/>
      <c r="SKR1378" s="53"/>
      <c r="SKS1378" s="53"/>
      <c r="SKT1378" s="53"/>
      <c r="SKU1378" s="53"/>
      <c r="SKV1378" s="53"/>
      <c r="SKW1378" s="53"/>
      <c r="SKX1378" s="53"/>
      <c r="SKY1378" s="53"/>
      <c r="SKZ1378" s="53"/>
      <c r="SLA1378" s="53"/>
      <c r="SLB1378" s="53"/>
      <c r="SLC1378" s="53"/>
      <c r="SLD1378" s="53"/>
      <c r="SLE1378" s="53"/>
      <c r="SLF1378" s="53"/>
      <c r="SLG1378" s="53"/>
      <c r="SLH1378" s="53"/>
      <c r="SLI1378" s="53"/>
      <c r="SLJ1378" s="53"/>
      <c r="SLK1378" s="53"/>
      <c r="SLL1378" s="53"/>
      <c r="SLM1378" s="53"/>
      <c r="SLN1378" s="53"/>
      <c r="SLO1378" s="53"/>
      <c r="SLP1378" s="53"/>
      <c r="SLQ1378" s="53"/>
      <c r="SLR1378" s="53"/>
      <c r="SLS1378" s="53"/>
      <c r="SLT1378" s="53"/>
      <c r="SLU1378" s="53"/>
      <c r="SLV1378" s="53"/>
      <c r="SLW1378" s="53"/>
      <c r="SLX1378" s="53"/>
      <c r="SLY1378" s="53"/>
      <c r="SLZ1378" s="53"/>
      <c r="SMA1378" s="53"/>
      <c r="SMB1378" s="53"/>
      <c r="SMC1378" s="53"/>
      <c r="SMD1378" s="53"/>
      <c r="SME1378" s="53"/>
      <c r="SMF1378" s="53"/>
      <c r="SMG1378" s="53"/>
      <c r="SMH1378" s="53"/>
      <c r="SMI1378" s="53"/>
      <c r="SMJ1378" s="53"/>
      <c r="SMK1378" s="53"/>
      <c r="SML1378" s="53"/>
      <c r="SMM1378" s="53"/>
      <c r="SMN1378" s="53"/>
      <c r="SMO1378" s="53"/>
      <c r="SMP1378" s="53"/>
      <c r="SMQ1378" s="53"/>
      <c r="SMR1378" s="53"/>
      <c r="SMS1378" s="53"/>
      <c r="SMT1378" s="53"/>
      <c r="SMU1378" s="53"/>
      <c r="SMV1378" s="53"/>
      <c r="SMW1378" s="53"/>
      <c r="SMX1378" s="53"/>
      <c r="SMY1378" s="53"/>
      <c r="SMZ1378" s="53"/>
      <c r="SNA1378" s="53"/>
      <c r="SNB1378" s="53"/>
      <c r="SNC1378" s="53"/>
      <c r="SND1378" s="53"/>
      <c r="SNE1378" s="53"/>
      <c r="SNF1378" s="53"/>
      <c r="SNG1378" s="53"/>
      <c r="SNH1378" s="53"/>
      <c r="SNI1378" s="53"/>
      <c r="SNJ1378" s="53"/>
      <c r="SNK1378" s="53"/>
      <c r="SNL1378" s="53"/>
      <c r="SNM1378" s="53"/>
      <c r="SNN1378" s="53"/>
      <c r="SNO1378" s="53"/>
      <c r="SNP1378" s="53"/>
      <c r="SNQ1378" s="53"/>
      <c r="SNR1378" s="53"/>
      <c r="SNS1378" s="53"/>
      <c r="SNT1378" s="53"/>
      <c r="SNU1378" s="53"/>
      <c r="SNV1378" s="53"/>
      <c r="SNW1378" s="53"/>
      <c r="SNX1378" s="53"/>
      <c r="SNY1378" s="53"/>
      <c r="SNZ1378" s="53"/>
      <c r="SOA1378" s="53"/>
      <c r="SOB1378" s="53"/>
      <c r="SOC1378" s="53"/>
      <c r="SOD1378" s="53"/>
      <c r="SOE1378" s="53"/>
      <c r="SOF1378" s="53"/>
      <c r="SOG1378" s="53"/>
      <c r="SOH1378" s="53"/>
      <c r="SOI1378" s="53"/>
      <c r="SOJ1378" s="53"/>
      <c r="SOK1378" s="53"/>
      <c r="SOL1378" s="53"/>
      <c r="SOM1378" s="53"/>
      <c r="SON1378" s="53"/>
      <c r="SOO1378" s="53"/>
      <c r="SOP1378" s="53"/>
      <c r="SOQ1378" s="53"/>
      <c r="SOR1378" s="53"/>
      <c r="SOS1378" s="53"/>
      <c r="SOT1378" s="53"/>
      <c r="SOU1378" s="53"/>
      <c r="SOV1378" s="53"/>
      <c r="SOW1378" s="53"/>
      <c r="SOX1378" s="53"/>
      <c r="SOY1378" s="53"/>
      <c r="SOZ1378" s="53"/>
      <c r="SPA1378" s="53"/>
      <c r="SPB1378" s="53"/>
      <c r="SPC1378" s="53"/>
      <c r="SPD1378" s="53"/>
      <c r="SPE1378" s="53"/>
      <c r="SPF1378" s="53"/>
      <c r="SPG1378" s="53"/>
      <c r="SPH1378" s="53"/>
      <c r="SPI1378" s="53"/>
      <c r="SPJ1378" s="53"/>
      <c r="SPK1378" s="53"/>
      <c r="SPL1378" s="53"/>
      <c r="SPM1378" s="53"/>
      <c r="SPN1378" s="53"/>
      <c r="SPO1378" s="53"/>
      <c r="SPP1378" s="53"/>
      <c r="SPQ1378" s="53"/>
      <c r="SPR1378" s="53"/>
      <c r="SPS1378" s="53"/>
      <c r="SPT1378" s="53"/>
      <c r="SPU1378" s="53"/>
      <c r="SPV1378" s="53"/>
      <c r="SPW1378" s="53"/>
      <c r="SPX1378" s="53"/>
      <c r="SPY1378" s="53"/>
      <c r="SPZ1378" s="53"/>
      <c r="SQA1378" s="53"/>
      <c r="SQB1378" s="53"/>
      <c r="SQC1378" s="53"/>
      <c r="SQD1378" s="53"/>
      <c r="SQE1378" s="53"/>
      <c r="SQF1378" s="53"/>
      <c r="SQG1378" s="53"/>
      <c r="SQH1378" s="53"/>
      <c r="SQI1378" s="53"/>
      <c r="SQJ1378" s="53"/>
      <c r="SQK1378" s="53"/>
      <c r="SQL1378" s="53"/>
      <c r="SQM1378" s="53"/>
      <c r="SQN1378" s="53"/>
      <c r="SQO1378" s="53"/>
      <c r="SQP1378" s="53"/>
      <c r="SQQ1378" s="53"/>
      <c r="SQR1378" s="53"/>
      <c r="SQS1378" s="53"/>
      <c r="SQT1378" s="53"/>
      <c r="SQU1378" s="53"/>
      <c r="SQV1378" s="53"/>
      <c r="SQW1378" s="53"/>
      <c r="SQX1378" s="53"/>
      <c r="SQY1378" s="53"/>
      <c r="SQZ1378" s="53"/>
      <c r="SRA1378" s="53"/>
      <c r="SRB1378" s="53"/>
      <c r="SRC1378" s="53"/>
      <c r="SRD1378" s="53"/>
      <c r="SRE1378" s="53"/>
      <c r="SRF1378" s="53"/>
      <c r="SRG1378" s="53"/>
      <c r="SRH1378" s="53"/>
      <c r="SRI1378" s="53"/>
      <c r="SRJ1378" s="53"/>
      <c r="SRK1378" s="53"/>
      <c r="SRL1378" s="53"/>
      <c r="SRM1378" s="53"/>
      <c r="SRN1378" s="53"/>
      <c r="SRO1378" s="53"/>
      <c r="SRP1378" s="53"/>
      <c r="SRQ1378" s="53"/>
      <c r="SRR1378" s="53"/>
      <c r="SRS1378" s="53"/>
      <c r="SRT1378" s="53"/>
      <c r="SRU1378" s="53"/>
      <c r="SRV1378" s="53"/>
      <c r="SRW1378" s="53"/>
      <c r="SRX1378" s="53"/>
      <c r="SRY1378" s="53"/>
      <c r="SRZ1378" s="53"/>
      <c r="SSA1378" s="53"/>
      <c r="SSB1378" s="53"/>
      <c r="SSC1378" s="53"/>
      <c r="SSD1378" s="53"/>
      <c r="SSE1378" s="53"/>
      <c r="SSF1378" s="53"/>
      <c r="SSG1378" s="53"/>
      <c r="SSH1378" s="53"/>
      <c r="SSI1378" s="53"/>
      <c r="SSJ1378" s="53"/>
      <c r="SSK1378" s="53"/>
      <c r="SSL1378" s="53"/>
      <c r="SSM1378" s="53"/>
      <c r="SSN1378" s="53"/>
      <c r="SSO1378" s="53"/>
      <c r="SSP1378" s="53"/>
      <c r="SSQ1378" s="53"/>
      <c r="SSR1378" s="53"/>
      <c r="SSS1378" s="53"/>
      <c r="SST1378" s="53"/>
      <c r="SSU1378" s="53"/>
      <c r="SSV1378" s="53"/>
      <c r="SSW1378" s="53"/>
      <c r="SSX1378" s="53"/>
      <c r="SSY1378" s="53"/>
      <c r="SSZ1378" s="53"/>
      <c r="STA1378" s="53"/>
      <c r="STB1378" s="53"/>
      <c r="STC1378" s="53"/>
      <c r="STD1378" s="53"/>
      <c r="STE1378" s="53"/>
      <c r="STF1378" s="53"/>
      <c r="STG1378" s="53"/>
      <c r="STH1378" s="53"/>
      <c r="STI1378" s="53"/>
      <c r="STJ1378" s="53"/>
      <c r="STK1378" s="53"/>
      <c r="STL1378" s="53"/>
      <c r="STM1378" s="53"/>
      <c r="STN1378" s="53"/>
      <c r="STO1378" s="53"/>
      <c r="STP1378" s="53"/>
      <c r="STQ1378" s="53"/>
      <c r="STR1378" s="53"/>
      <c r="STS1378" s="53"/>
      <c r="STT1378" s="53"/>
      <c r="STU1378" s="53"/>
      <c r="STV1378" s="53"/>
      <c r="STW1378" s="53"/>
      <c r="STX1378" s="53"/>
      <c r="STY1378" s="53"/>
      <c r="STZ1378" s="53"/>
      <c r="SUA1378" s="53"/>
      <c r="SUB1378" s="53"/>
      <c r="SUC1378" s="53"/>
      <c r="SUD1378" s="53"/>
      <c r="SUE1378" s="53"/>
      <c r="SUF1378" s="53"/>
      <c r="SUG1378" s="53"/>
      <c r="SUH1378" s="53"/>
      <c r="SUI1378" s="53"/>
      <c r="SUJ1378" s="53"/>
      <c r="SUK1378" s="53"/>
      <c r="SUL1378" s="53"/>
      <c r="SUM1378" s="53"/>
      <c r="SUN1378" s="53"/>
      <c r="SUO1378" s="53"/>
      <c r="SUP1378" s="53"/>
      <c r="SUQ1378" s="53"/>
      <c r="SUR1378" s="53"/>
      <c r="SUS1378" s="53"/>
      <c r="SUT1378" s="53"/>
      <c r="SUU1378" s="53"/>
      <c r="SUV1378" s="53"/>
      <c r="SUW1378" s="53"/>
      <c r="SUX1378" s="53"/>
      <c r="SUY1378" s="53"/>
      <c r="SUZ1378" s="53"/>
      <c r="SVA1378" s="53"/>
      <c r="SVB1378" s="53"/>
      <c r="SVC1378" s="53"/>
      <c r="SVD1378" s="53"/>
      <c r="SVE1378" s="53"/>
      <c r="SVF1378" s="53"/>
      <c r="SVG1378" s="53"/>
      <c r="SVH1378" s="53"/>
      <c r="SVI1378" s="53"/>
      <c r="SVJ1378" s="53"/>
      <c r="SVK1378" s="53"/>
      <c r="SVL1378" s="53"/>
      <c r="SVM1378" s="53"/>
      <c r="SVN1378" s="53"/>
      <c r="SVO1378" s="53"/>
      <c r="SVP1378" s="53"/>
      <c r="SVQ1378" s="53"/>
      <c r="SVR1378" s="53"/>
      <c r="SVS1378" s="53"/>
      <c r="SVT1378" s="53"/>
      <c r="SVU1378" s="53"/>
      <c r="SVV1378" s="53"/>
      <c r="SVW1378" s="53"/>
      <c r="SVX1378" s="53"/>
      <c r="SVY1378" s="53"/>
      <c r="SVZ1378" s="53"/>
      <c r="SWA1378" s="53"/>
      <c r="SWB1378" s="53"/>
      <c r="SWC1378" s="53"/>
      <c r="SWD1378" s="53"/>
      <c r="SWE1378" s="53"/>
      <c r="SWF1378" s="53"/>
      <c r="SWG1378" s="53"/>
      <c r="SWH1378" s="53"/>
      <c r="SWI1378" s="53"/>
      <c r="SWJ1378" s="53"/>
      <c r="SWK1378" s="53"/>
      <c r="SWL1378" s="53"/>
      <c r="SWM1378" s="53"/>
      <c r="SWN1378" s="53"/>
      <c r="SWO1378" s="53"/>
      <c r="SWP1378" s="53"/>
      <c r="SWQ1378" s="53"/>
      <c r="SWR1378" s="53"/>
      <c r="SWS1378" s="53"/>
      <c r="SWT1378" s="53"/>
      <c r="SWU1378" s="53"/>
      <c r="SWV1378" s="53"/>
      <c r="SWW1378" s="53"/>
      <c r="SWX1378" s="53"/>
      <c r="SWY1378" s="53"/>
      <c r="SWZ1378" s="53"/>
      <c r="SXA1378" s="53"/>
      <c r="SXB1378" s="53"/>
      <c r="SXC1378" s="53"/>
      <c r="SXD1378" s="53"/>
      <c r="SXE1378" s="53"/>
      <c r="SXF1378" s="53"/>
      <c r="SXG1378" s="53"/>
      <c r="SXH1378" s="53"/>
      <c r="SXI1378" s="53"/>
      <c r="SXJ1378" s="53"/>
      <c r="SXK1378" s="53"/>
      <c r="SXL1378" s="53"/>
      <c r="SXM1378" s="53"/>
      <c r="SXN1378" s="53"/>
      <c r="SXO1378" s="53"/>
      <c r="SXP1378" s="53"/>
      <c r="SXQ1378" s="53"/>
      <c r="SXR1378" s="53"/>
      <c r="SXS1378" s="53"/>
      <c r="SXT1378" s="53"/>
      <c r="SXU1378" s="53"/>
      <c r="SXV1378" s="53"/>
      <c r="SXW1378" s="53"/>
      <c r="SXX1378" s="53"/>
      <c r="SXY1378" s="53"/>
      <c r="SXZ1378" s="53"/>
      <c r="SYA1378" s="53"/>
      <c r="SYB1378" s="53"/>
      <c r="SYC1378" s="53"/>
      <c r="SYD1378" s="53"/>
      <c r="SYE1378" s="53"/>
      <c r="SYF1378" s="53"/>
      <c r="SYG1378" s="53"/>
      <c r="SYH1378" s="53"/>
      <c r="SYI1378" s="53"/>
      <c r="SYJ1378" s="53"/>
      <c r="SYK1378" s="53"/>
      <c r="SYL1378" s="53"/>
      <c r="SYM1378" s="53"/>
      <c r="SYN1378" s="53"/>
      <c r="SYO1378" s="53"/>
      <c r="SYP1378" s="53"/>
      <c r="SYQ1378" s="53"/>
      <c r="SYR1378" s="53"/>
      <c r="SYS1378" s="53"/>
      <c r="SYT1378" s="53"/>
      <c r="SYU1378" s="53"/>
      <c r="SYV1378" s="53"/>
      <c r="SYW1378" s="53"/>
      <c r="SYX1378" s="53"/>
      <c r="SYY1378" s="53"/>
      <c r="SYZ1378" s="53"/>
      <c r="SZA1378" s="53"/>
      <c r="SZB1378" s="53"/>
      <c r="SZC1378" s="53"/>
      <c r="SZD1378" s="53"/>
      <c r="SZE1378" s="53"/>
      <c r="SZF1378" s="53"/>
      <c r="SZG1378" s="53"/>
      <c r="SZH1378" s="53"/>
      <c r="SZI1378" s="53"/>
      <c r="SZJ1378" s="53"/>
      <c r="SZK1378" s="53"/>
      <c r="SZL1378" s="53"/>
      <c r="SZM1378" s="53"/>
      <c r="SZN1378" s="53"/>
      <c r="SZO1378" s="53"/>
      <c r="SZP1378" s="53"/>
      <c r="SZQ1378" s="53"/>
      <c r="SZR1378" s="53"/>
      <c r="SZS1378" s="53"/>
      <c r="SZT1378" s="53"/>
      <c r="SZU1378" s="53"/>
      <c r="SZV1378" s="53"/>
      <c r="SZW1378" s="53"/>
      <c r="SZX1378" s="53"/>
      <c r="SZY1378" s="53"/>
      <c r="SZZ1378" s="53"/>
      <c r="TAA1378" s="53"/>
      <c r="TAB1378" s="53"/>
      <c r="TAC1378" s="53"/>
      <c r="TAD1378" s="53"/>
      <c r="TAE1378" s="53"/>
      <c r="TAF1378" s="53"/>
      <c r="TAG1378" s="53"/>
      <c r="TAH1378" s="53"/>
      <c r="TAI1378" s="53"/>
      <c r="TAJ1378" s="53"/>
      <c r="TAK1378" s="53"/>
      <c r="TAL1378" s="53"/>
      <c r="TAM1378" s="53"/>
      <c r="TAN1378" s="53"/>
      <c r="TAO1378" s="53"/>
      <c r="TAP1378" s="53"/>
      <c r="TAQ1378" s="53"/>
      <c r="TAR1378" s="53"/>
      <c r="TAS1378" s="53"/>
      <c r="TAT1378" s="53"/>
      <c r="TAU1378" s="53"/>
      <c r="TAV1378" s="53"/>
      <c r="TAW1378" s="53"/>
      <c r="TAX1378" s="53"/>
      <c r="TAY1378" s="53"/>
      <c r="TAZ1378" s="53"/>
      <c r="TBA1378" s="53"/>
      <c r="TBB1378" s="53"/>
      <c r="TBC1378" s="53"/>
      <c r="TBD1378" s="53"/>
      <c r="TBE1378" s="53"/>
      <c r="TBF1378" s="53"/>
      <c r="TBG1378" s="53"/>
      <c r="TBH1378" s="53"/>
      <c r="TBI1378" s="53"/>
      <c r="TBJ1378" s="53"/>
      <c r="TBK1378" s="53"/>
      <c r="TBL1378" s="53"/>
      <c r="TBM1378" s="53"/>
      <c r="TBN1378" s="53"/>
      <c r="TBO1378" s="53"/>
      <c r="TBP1378" s="53"/>
      <c r="TBQ1378" s="53"/>
      <c r="TBR1378" s="53"/>
      <c r="TBS1378" s="53"/>
      <c r="TBT1378" s="53"/>
      <c r="TBU1378" s="53"/>
      <c r="TBV1378" s="53"/>
      <c r="TBW1378" s="53"/>
      <c r="TBX1378" s="53"/>
      <c r="TBY1378" s="53"/>
      <c r="TBZ1378" s="53"/>
      <c r="TCA1378" s="53"/>
      <c r="TCB1378" s="53"/>
      <c r="TCC1378" s="53"/>
      <c r="TCD1378" s="53"/>
      <c r="TCE1378" s="53"/>
      <c r="TCF1378" s="53"/>
      <c r="TCG1378" s="53"/>
      <c r="TCH1378" s="53"/>
      <c r="TCI1378" s="53"/>
      <c r="TCJ1378" s="53"/>
      <c r="TCK1378" s="53"/>
      <c r="TCL1378" s="53"/>
      <c r="TCM1378" s="53"/>
      <c r="TCN1378" s="53"/>
      <c r="TCO1378" s="53"/>
      <c r="TCP1378" s="53"/>
      <c r="TCQ1378" s="53"/>
      <c r="TCR1378" s="53"/>
      <c r="TCS1378" s="53"/>
      <c r="TCT1378" s="53"/>
      <c r="TCU1378" s="53"/>
      <c r="TCV1378" s="53"/>
      <c r="TCW1378" s="53"/>
      <c r="TCX1378" s="53"/>
      <c r="TCY1378" s="53"/>
      <c r="TCZ1378" s="53"/>
      <c r="TDA1378" s="53"/>
      <c r="TDB1378" s="53"/>
      <c r="TDC1378" s="53"/>
      <c r="TDD1378" s="53"/>
      <c r="TDE1378" s="53"/>
      <c r="TDF1378" s="53"/>
      <c r="TDG1378" s="53"/>
      <c r="TDH1378" s="53"/>
      <c r="TDI1378" s="53"/>
      <c r="TDJ1378" s="53"/>
      <c r="TDK1378" s="53"/>
      <c r="TDL1378" s="53"/>
      <c r="TDM1378" s="53"/>
      <c r="TDN1378" s="53"/>
      <c r="TDO1378" s="53"/>
      <c r="TDP1378" s="53"/>
      <c r="TDQ1378" s="53"/>
      <c r="TDR1378" s="53"/>
      <c r="TDS1378" s="53"/>
      <c r="TDT1378" s="53"/>
      <c r="TDU1378" s="53"/>
      <c r="TDV1378" s="53"/>
      <c r="TDW1378" s="53"/>
      <c r="TDX1378" s="53"/>
      <c r="TDY1378" s="53"/>
      <c r="TDZ1378" s="53"/>
      <c r="TEA1378" s="53"/>
      <c r="TEB1378" s="53"/>
      <c r="TEC1378" s="53"/>
      <c r="TED1378" s="53"/>
      <c r="TEE1378" s="53"/>
      <c r="TEF1378" s="53"/>
      <c r="TEG1378" s="53"/>
      <c r="TEH1378" s="53"/>
      <c r="TEI1378" s="53"/>
      <c r="TEJ1378" s="53"/>
      <c r="TEK1378" s="53"/>
      <c r="TEL1378" s="53"/>
      <c r="TEM1378" s="53"/>
      <c r="TEN1378" s="53"/>
      <c r="TEO1378" s="53"/>
      <c r="TEP1378" s="53"/>
      <c r="TEQ1378" s="53"/>
      <c r="TER1378" s="53"/>
      <c r="TES1378" s="53"/>
      <c r="TET1378" s="53"/>
      <c r="TEU1378" s="53"/>
      <c r="TEV1378" s="53"/>
      <c r="TEW1378" s="53"/>
      <c r="TEX1378" s="53"/>
      <c r="TEY1378" s="53"/>
      <c r="TEZ1378" s="53"/>
      <c r="TFA1378" s="53"/>
      <c r="TFB1378" s="53"/>
      <c r="TFC1378" s="53"/>
      <c r="TFD1378" s="53"/>
      <c r="TFE1378" s="53"/>
      <c r="TFF1378" s="53"/>
      <c r="TFG1378" s="53"/>
      <c r="TFH1378" s="53"/>
      <c r="TFI1378" s="53"/>
      <c r="TFJ1378" s="53"/>
      <c r="TFK1378" s="53"/>
      <c r="TFL1378" s="53"/>
      <c r="TFM1378" s="53"/>
      <c r="TFN1378" s="53"/>
      <c r="TFO1378" s="53"/>
      <c r="TFP1378" s="53"/>
      <c r="TFQ1378" s="53"/>
      <c r="TFR1378" s="53"/>
      <c r="TFS1378" s="53"/>
      <c r="TFT1378" s="53"/>
      <c r="TFU1378" s="53"/>
      <c r="TFV1378" s="53"/>
      <c r="TFW1378" s="53"/>
      <c r="TFX1378" s="53"/>
      <c r="TFY1378" s="53"/>
      <c r="TFZ1378" s="53"/>
      <c r="TGA1378" s="53"/>
      <c r="TGB1378" s="53"/>
      <c r="TGC1378" s="53"/>
      <c r="TGD1378" s="53"/>
      <c r="TGE1378" s="53"/>
      <c r="TGF1378" s="53"/>
      <c r="TGG1378" s="53"/>
      <c r="TGH1378" s="53"/>
      <c r="TGI1378" s="53"/>
      <c r="TGJ1378" s="53"/>
      <c r="TGK1378" s="53"/>
      <c r="TGL1378" s="53"/>
      <c r="TGM1378" s="53"/>
      <c r="TGN1378" s="53"/>
      <c r="TGO1378" s="53"/>
      <c r="TGP1378" s="53"/>
      <c r="TGQ1378" s="53"/>
      <c r="TGR1378" s="53"/>
      <c r="TGS1378" s="53"/>
      <c r="TGT1378" s="53"/>
      <c r="TGU1378" s="53"/>
      <c r="TGV1378" s="53"/>
      <c r="TGW1378" s="53"/>
      <c r="TGX1378" s="53"/>
      <c r="TGY1378" s="53"/>
      <c r="TGZ1378" s="53"/>
      <c r="THA1378" s="53"/>
      <c r="THB1378" s="53"/>
      <c r="THC1378" s="53"/>
      <c r="THD1378" s="53"/>
      <c r="THE1378" s="53"/>
      <c r="THF1378" s="53"/>
      <c r="THG1378" s="53"/>
      <c r="THH1378" s="53"/>
      <c r="THI1378" s="53"/>
      <c r="THJ1378" s="53"/>
      <c r="THK1378" s="53"/>
      <c r="THL1378" s="53"/>
      <c r="THM1378" s="53"/>
      <c r="THN1378" s="53"/>
      <c r="THO1378" s="53"/>
      <c r="THP1378" s="53"/>
      <c r="THQ1378" s="53"/>
      <c r="THR1378" s="53"/>
      <c r="THS1378" s="53"/>
      <c r="THT1378" s="53"/>
      <c r="THU1378" s="53"/>
      <c r="THV1378" s="53"/>
      <c r="THW1378" s="53"/>
      <c r="THX1378" s="53"/>
      <c r="THY1378" s="53"/>
      <c r="THZ1378" s="53"/>
      <c r="TIA1378" s="53"/>
      <c r="TIB1378" s="53"/>
      <c r="TIC1378" s="53"/>
      <c r="TID1378" s="53"/>
      <c r="TIE1378" s="53"/>
      <c r="TIF1378" s="53"/>
      <c r="TIG1378" s="53"/>
      <c r="TIH1378" s="53"/>
      <c r="TII1378" s="53"/>
      <c r="TIJ1378" s="53"/>
      <c r="TIK1378" s="53"/>
      <c r="TIL1378" s="53"/>
      <c r="TIM1378" s="53"/>
      <c r="TIN1378" s="53"/>
      <c r="TIO1378" s="53"/>
      <c r="TIP1378" s="53"/>
      <c r="TIQ1378" s="53"/>
      <c r="TIR1378" s="53"/>
      <c r="TIS1378" s="53"/>
      <c r="TIT1378" s="53"/>
      <c r="TIU1378" s="53"/>
      <c r="TIV1378" s="53"/>
      <c r="TIW1378" s="53"/>
      <c r="TIX1378" s="53"/>
      <c r="TIY1378" s="53"/>
      <c r="TIZ1378" s="53"/>
      <c r="TJA1378" s="53"/>
      <c r="TJB1378" s="53"/>
      <c r="TJC1378" s="53"/>
      <c r="TJD1378" s="53"/>
      <c r="TJE1378" s="53"/>
      <c r="TJF1378" s="53"/>
      <c r="TJG1378" s="53"/>
      <c r="TJH1378" s="53"/>
      <c r="TJI1378" s="53"/>
      <c r="TJJ1378" s="53"/>
      <c r="TJK1378" s="53"/>
      <c r="TJL1378" s="53"/>
      <c r="TJM1378" s="53"/>
      <c r="TJN1378" s="53"/>
      <c r="TJO1378" s="53"/>
      <c r="TJP1378" s="53"/>
      <c r="TJQ1378" s="53"/>
      <c r="TJR1378" s="53"/>
      <c r="TJS1378" s="53"/>
      <c r="TJT1378" s="53"/>
      <c r="TJU1378" s="53"/>
      <c r="TJV1378" s="53"/>
      <c r="TJW1378" s="53"/>
      <c r="TJX1378" s="53"/>
      <c r="TJY1378" s="53"/>
      <c r="TJZ1378" s="53"/>
      <c r="TKA1378" s="53"/>
      <c r="TKB1378" s="53"/>
      <c r="TKC1378" s="53"/>
      <c r="TKD1378" s="53"/>
      <c r="TKE1378" s="53"/>
      <c r="TKF1378" s="53"/>
      <c r="TKG1378" s="53"/>
      <c r="TKH1378" s="53"/>
      <c r="TKI1378" s="53"/>
      <c r="TKJ1378" s="53"/>
      <c r="TKK1378" s="53"/>
      <c r="TKL1378" s="53"/>
      <c r="TKM1378" s="53"/>
      <c r="TKN1378" s="53"/>
      <c r="TKO1378" s="53"/>
      <c r="TKP1378" s="53"/>
      <c r="TKQ1378" s="53"/>
      <c r="TKR1378" s="53"/>
      <c r="TKS1378" s="53"/>
      <c r="TKT1378" s="53"/>
      <c r="TKU1378" s="53"/>
      <c r="TKV1378" s="53"/>
      <c r="TKW1378" s="53"/>
      <c r="TKX1378" s="53"/>
      <c r="TKY1378" s="53"/>
      <c r="TKZ1378" s="53"/>
      <c r="TLA1378" s="53"/>
      <c r="TLB1378" s="53"/>
      <c r="TLC1378" s="53"/>
      <c r="TLD1378" s="53"/>
      <c r="TLE1378" s="53"/>
      <c r="TLF1378" s="53"/>
      <c r="TLG1378" s="53"/>
      <c r="TLH1378" s="53"/>
      <c r="TLI1378" s="53"/>
      <c r="TLJ1378" s="53"/>
      <c r="TLK1378" s="53"/>
      <c r="TLL1378" s="53"/>
      <c r="TLM1378" s="53"/>
      <c r="TLN1378" s="53"/>
      <c r="TLO1378" s="53"/>
      <c r="TLP1378" s="53"/>
      <c r="TLQ1378" s="53"/>
      <c r="TLR1378" s="53"/>
      <c r="TLS1378" s="53"/>
      <c r="TLT1378" s="53"/>
      <c r="TLU1378" s="53"/>
      <c r="TLV1378" s="53"/>
      <c r="TLW1378" s="53"/>
      <c r="TLX1378" s="53"/>
      <c r="TLY1378" s="53"/>
      <c r="TLZ1378" s="53"/>
      <c r="TMA1378" s="53"/>
      <c r="TMB1378" s="53"/>
      <c r="TMC1378" s="53"/>
      <c r="TMD1378" s="53"/>
      <c r="TME1378" s="53"/>
      <c r="TMF1378" s="53"/>
      <c r="TMG1378" s="53"/>
      <c r="TMH1378" s="53"/>
      <c r="TMI1378" s="53"/>
      <c r="TMJ1378" s="53"/>
      <c r="TMK1378" s="53"/>
      <c r="TML1378" s="53"/>
      <c r="TMM1378" s="53"/>
      <c r="TMN1378" s="53"/>
      <c r="TMO1378" s="53"/>
      <c r="TMP1378" s="53"/>
      <c r="TMQ1378" s="53"/>
      <c r="TMR1378" s="53"/>
      <c r="TMS1378" s="53"/>
      <c r="TMT1378" s="53"/>
      <c r="TMU1378" s="53"/>
      <c r="TMV1378" s="53"/>
      <c r="TMW1378" s="53"/>
      <c r="TMX1378" s="53"/>
      <c r="TMY1378" s="53"/>
      <c r="TMZ1378" s="53"/>
      <c r="TNA1378" s="53"/>
      <c r="TNB1378" s="53"/>
      <c r="TNC1378" s="53"/>
      <c r="TND1378" s="53"/>
      <c r="TNE1378" s="53"/>
      <c r="TNF1378" s="53"/>
      <c r="TNG1378" s="53"/>
      <c r="TNH1378" s="53"/>
      <c r="TNI1378" s="53"/>
      <c r="TNJ1378" s="53"/>
      <c r="TNK1378" s="53"/>
      <c r="TNL1378" s="53"/>
      <c r="TNM1378" s="53"/>
      <c r="TNN1378" s="53"/>
      <c r="TNO1378" s="53"/>
      <c r="TNP1378" s="53"/>
      <c r="TNQ1378" s="53"/>
      <c r="TNR1378" s="53"/>
      <c r="TNS1378" s="53"/>
      <c r="TNT1378" s="53"/>
      <c r="TNU1378" s="53"/>
      <c r="TNV1378" s="53"/>
      <c r="TNW1378" s="53"/>
      <c r="TNX1378" s="53"/>
      <c r="TNY1378" s="53"/>
      <c r="TNZ1378" s="53"/>
      <c r="TOA1378" s="53"/>
      <c r="TOB1378" s="53"/>
      <c r="TOC1378" s="53"/>
      <c r="TOD1378" s="53"/>
      <c r="TOE1378" s="53"/>
      <c r="TOF1378" s="53"/>
      <c r="TOG1378" s="53"/>
      <c r="TOH1378" s="53"/>
      <c r="TOI1378" s="53"/>
      <c r="TOJ1378" s="53"/>
      <c r="TOK1378" s="53"/>
      <c r="TOL1378" s="53"/>
      <c r="TOM1378" s="53"/>
      <c r="TON1378" s="53"/>
      <c r="TOO1378" s="53"/>
      <c r="TOP1378" s="53"/>
      <c r="TOQ1378" s="53"/>
      <c r="TOR1378" s="53"/>
      <c r="TOS1378" s="53"/>
      <c r="TOT1378" s="53"/>
      <c r="TOU1378" s="53"/>
      <c r="TOV1378" s="53"/>
      <c r="TOW1378" s="53"/>
      <c r="TOX1378" s="53"/>
      <c r="TOY1378" s="53"/>
      <c r="TOZ1378" s="53"/>
      <c r="TPA1378" s="53"/>
      <c r="TPB1378" s="53"/>
      <c r="TPC1378" s="53"/>
      <c r="TPD1378" s="53"/>
      <c r="TPE1378" s="53"/>
      <c r="TPF1378" s="53"/>
      <c r="TPG1378" s="53"/>
      <c r="TPH1378" s="53"/>
      <c r="TPI1378" s="53"/>
      <c r="TPJ1378" s="53"/>
      <c r="TPK1378" s="53"/>
      <c r="TPL1378" s="53"/>
      <c r="TPM1378" s="53"/>
      <c r="TPN1378" s="53"/>
      <c r="TPO1378" s="53"/>
      <c r="TPP1378" s="53"/>
      <c r="TPQ1378" s="53"/>
      <c r="TPR1378" s="53"/>
      <c r="TPS1378" s="53"/>
      <c r="TPT1378" s="53"/>
      <c r="TPU1378" s="53"/>
      <c r="TPV1378" s="53"/>
      <c r="TPW1378" s="53"/>
      <c r="TPX1378" s="53"/>
      <c r="TPY1378" s="53"/>
      <c r="TPZ1378" s="53"/>
      <c r="TQA1378" s="53"/>
      <c r="TQB1378" s="53"/>
      <c r="TQC1378" s="53"/>
      <c r="TQD1378" s="53"/>
      <c r="TQE1378" s="53"/>
      <c r="TQF1378" s="53"/>
      <c r="TQG1378" s="53"/>
      <c r="TQH1378" s="53"/>
      <c r="TQI1378" s="53"/>
      <c r="TQJ1378" s="53"/>
      <c r="TQK1378" s="53"/>
      <c r="TQL1378" s="53"/>
      <c r="TQM1378" s="53"/>
      <c r="TQN1378" s="53"/>
      <c r="TQO1378" s="53"/>
      <c r="TQP1378" s="53"/>
      <c r="TQQ1378" s="53"/>
      <c r="TQR1378" s="53"/>
      <c r="TQS1378" s="53"/>
      <c r="TQT1378" s="53"/>
      <c r="TQU1378" s="53"/>
      <c r="TQV1378" s="53"/>
      <c r="TQW1378" s="53"/>
      <c r="TQX1378" s="53"/>
      <c r="TQY1378" s="53"/>
      <c r="TQZ1378" s="53"/>
      <c r="TRA1378" s="53"/>
      <c r="TRB1378" s="53"/>
      <c r="TRC1378" s="53"/>
      <c r="TRD1378" s="53"/>
      <c r="TRE1378" s="53"/>
      <c r="TRF1378" s="53"/>
      <c r="TRG1378" s="53"/>
      <c r="TRH1378" s="53"/>
      <c r="TRI1378" s="53"/>
      <c r="TRJ1378" s="53"/>
      <c r="TRK1378" s="53"/>
      <c r="TRL1378" s="53"/>
      <c r="TRM1378" s="53"/>
      <c r="TRN1378" s="53"/>
      <c r="TRO1378" s="53"/>
      <c r="TRP1378" s="53"/>
      <c r="TRQ1378" s="53"/>
      <c r="TRR1378" s="53"/>
      <c r="TRS1378" s="53"/>
      <c r="TRT1378" s="53"/>
      <c r="TRU1378" s="53"/>
      <c r="TRV1378" s="53"/>
      <c r="TRW1378" s="53"/>
      <c r="TRX1378" s="53"/>
      <c r="TRY1378" s="53"/>
      <c r="TRZ1378" s="53"/>
      <c r="TSA1378" s="53"/>
      <c r="TSB1378" s="53"/>
      <c r="TSC1378" s="53"/>
      <c r="TSD1378" s="53"/>
      <c r="TSE1378" s="53"/>
      <c r="TSF1378" s="53"/>
      <c r="TSG1378" s="53"/>
      <c r="TSH1378" s="53"/>
      <c r="TSI1378" s="53"/>
      <c r="TSJ1378" s="53"/>
      <c r="TSK1378" s="53"/>
      <c r="TSL1378" s="53"/>
      <c r="TSM1378" s="53"/>
      <c r="TSN1378" s="53"/>
      <c r="TSO1378" s="53"/>
      <c r="TSP1378" s="53"/>
      <c r="TSQ1378" s="53"/>
      <c r="TSR1378" s="53"/>
      <c r="TSS1378" s="53"/>
      <c r="TST1378" s="53"/>
      <c r="TSU1378" s="53"/>
      <c r="TSV1378" s="53"/>
      <c r="TSW1378" s="53"/>
      <c r="TSX1378" s="53"/>
      <c r="TSY1378" s="53"/>
      <c r="TSZ1378" s="53"/>
      <c r="TTA1378" s="53"/>
      <c r="TTB1378" s="53"/>
      <c r="TTC1378" s="53"/>
      <c r="TTD1378" s="53"/>
      <c r="TTE1378" s="53"/>
      <c r="TTF1378" s="53"/>
      <c r="TTG1378" s="53"/>
      <c r="TTH1378" s="53"/>
      <c r="TTI1378" s="53"/>
      <c r="TTJ1378" s="53"/>
      <c r="TTK1378" s="53"/>
      <c r="TTL1378" s="53"/>
      <c r="TTM1378" s="53"/>
      <c r="TTN1378" s="53"/>
      <c r="TTO1378" s="53"/>
      <c r="TTP1378" s="53"/>
      <c r="TTQ1378" s="53"/>
      <c r="TTR1378" s="53"/>
      <c r="TTS1378" s="53"/>
      <c r="TTT1378" s="53"/>
      <c r="TTU1378" s="53"/>
      <c r="TTV1378" s="53"/>
      <c r="TTW1378" s="53"/>
      <c r="TTX1378" s="53"/>
      <c r="TTY1378" s="53"/>
      <c r="TTZ1378" s="53"/>
      <c r="TUA1378" s="53"/>
      <c r="TUB1378" s="53"/>
      <c r="TUC1378" s="53"/>
      <c r="TUD1378" s="53"/>
      <c r="TUE1378" s="53"/>
      <c r="TUF1378" s="53"/>
      <c r="TUG1378" s="53"/>
      <c r="TUH1378" s="53"/>
      <c r="TUI1378" s="53"/>
      <c r="TUJ1378" s="53"/>
      <c r="TUK1378" s="53"/>
      <c r="TUL1378" s="53"/>
      <c r="TUM1378" s="53"/>
      <c r="TUN1378" s="53"/>
      <c r="TUO1378" s="53"/>
      <c r="TUP1378" s="53"/>
      <c r="TUQ1378" s="53"/>
      <c r="TUR1378" s="53"/>
      <c r="TUS1378" s="53"/>
      <c r="TUT1378" s="53"/>
      <c r="TUU1378" s="53"/>
      <c r="TUV1378" s="53"/>
      <c r="TUW1378" s="53"/>
      <c r="TUX1378" s="53"/>
      <c r="TUY1378" s="53"/>
      <c r="TUZ1378" s="53"/>
      <c r="TVA1378" s="53"/>
      <c r="TVB1378" s="53"/>
      <c r="TVC1378" s="53"/>
      <c r="TVD1378" s="53"/>
      <c r="TVE1378" s="53"/>
      <c r="TVF1378" s="53"/>
      <c r="TVG1378" s="53"/>
      <c r="TVH1378" s="53"/>
      <c r="TVI1378" s="53"/>
      <c r="TVJ1378" s="53"/>
      <c r="TVK1378" s="53"/>
      <c r="TVL1378" s="53"/>
      <c r="TVM1378" s="53"/>
      <c r="TVN1378" s="53"/>
      <c r="TVO1378" s="53"/>
      <c r="TVP1378" s="53"/>
      <c r="TVQ1378" s="53"/>
      <c r="TVR1378" s="53"/>
      <c r="TVS1378" s="53"/>
      <c r="TVT1378" s="53"/>
      <c r="TVU1378" s="53"/>
      <c r="TVV1378" s="53"/>
      <c r="TVW1378" s="53"/>
      <c r="TVX1378" s="53"/>
      <c r="TVY1378" s="53"/>
      <c r="TVZ1378" s="53"/>
      <c r="TWA1378" s="53"/>
      <c r="TWB1378" s="53"/>
      <c r="TWC1378" s="53"/>
      <c r="TWD1378" s="53"/>
      <c r="TWE1378" s="53"/>
      <c r="TWF1378" s="53"/>
      <c r="TWG1378" s="53"/>
      <c r="TWH1378" s="53"/>
      <c r="TWI1378" s="53"/>
      <c r="TWJ1378" s="53"/>
      <c r="TWK1378" s="53"/>
      <c r="TWL1378" s="53"/>
      <c r="TWM1378" s="53"/>
      <c r="TWN1378" s="53"/>
      <c r="TWO1378" s="53"/>
      <c r="TWP1378" s="53"/>
      <c r="TWQ1378" s="53"/>
      <c r="TWR1378" s="53"/>
      <c r="TWS1378" s="53"/>
      <c r="TWT1378" s="53"/>
      <c r="TWU1378" s="53"/>
      <c r="TWV1378" s="53"/>
      <c r="TWW1378" s="53"/>
      <c r="TWX1378" s="53"/>
      <c r="TWY1378" s="53"/>
      <c r="TWZ1378" s="53"/>
      <c r="TXA1378" s="53"/>
      <c r="TXB1378" s="53"/>
      <c r="TXC1378" s="53"/>
      <c r="TXD1378" s="53"/>
      <c r="TXE1378" s="53"/>
      <c r="TXF1378" s="53"/>
      <c r="TXG1378" s="53"/>
      <c r="TXH1378" s="53"/>
      <c r="TXI1378" s="53"/>
      <c r="TXJ1378" s="53"/>
      <c r="TXK1378" s="53"/>
      <c r="TXL1378" s="53"/>
      <c r="TXM1378" s="53"/>
      <c r="TXN1378" s="53"/>
      <c r="TXO1378" s="53"/>
      <c r="TXP1378" s="53"/>
      <c r="TXQ1378" s="53"/>
      <c r="TXR1378" s="53"/>
      <c r="TXS1378" s="53"/>
      <c r="TXT1378" s="53"/>
      <c r="TXU1378" s="53"/>
      <c r="TXV1378" s="53"/>
      <c r="TXW1378" s="53"/>
      <c r="TXX1378" s="53"/>
      <c r="TXY1378" s="53"/>
      <c r="TXZ1378" s="53"/>
      <c r="TYA1378" s="53"/>
      <c r="TYB1378" s="53"/>
      <c r="TYC1378" s="53"/>
      <c r="TYD1378" s="53"/>
      <c r="TYE1378" s="53"/>
      <c r="TYF1378" s="53"/>
      <c r="TYG1378" s="53"/>
      <c r="TYH1378" s="53"/>
      <c r="TYI1378" s="53"/>
      <c r="TYJ1378" s="53"/>
      <c r="TYK1378" s="53"/>
      <c r="TYL1378" s="53"/>
      <c r="TYM1378" s="53"/>
      <c r="TYN1378" s="53"/>
      <c r="TYO1378" s="53"/>
      <c r="TYP1378" s="53"/>
      <c r="TYQ1378" s="53"/>
      <c r="TYR1378" s="53"/>
      <c r="TYS1378" s="53"/>
      <c r="TYT1378" s="53"/>
      <c r="TYU1378" s="53"/>
      <c r="TYV1378" s="53"/>
      <c r="TYW1378" s="53"/>
      <c r="TYX1378" s="53"/>
      <c r="TYY1378" s="53"/>
      <c r="TYZ1378" s="53"/>
      <c r="TZA1378" s="53"/>
      <c r="TZB1378" s="53"/>
      <c r="TZC1378" s="53"/>
      <c r="TZD1378" s="53"/>
      <c r="TZE1378" s="53"/>
      <c r="TZF1378" s="53"/>
      <c r="TZG1378" s="53"/>
      <c r="TZH1378" s="53"/>
      <c r="TZI1378" s="53"/>
      <c r="TZJ1378" s="53"/>
      <c r="TZK1378" s="53"/>
      <c r="TZL1378" s="53"/>
      <c r="TZM1378" s="53"/>
      <c r="TZN1378" s="53"/>
      <c r="TZO1378" s="53"/>
      <c r="TZP1378" s="53"/>
      <c r="TZQ1378" s="53"/>
      <c r="TZR1378" s="53"/>
      <c r="TZS1378" s="53"/>
      <c r="TZT1378" s="53"/>
      <c r="TZU1378" s="53"/>
      <c r="TZV1378" s="53"/>
      <c r="TZW1378" s="53"/>
      <c r="TZX1378" s="53"/>
      <c r="TZY1378" s="53"/>
      <c r="TZZ1378" s="53"/>
      <c r="UAA1378" s="53"/>
      <c r="UAB1378" s="53"/>
      <c r="UAC1378" s="53"/>
      <c r="UAD1378" s="53"/>
      <c r="UAE1378" s="53"/>
      <c r="UAF1378" s="53"/>
      <c r="UAG1378" s="53"/>
      <c r="UAH1378" s="53"/>
      <c r="UAI1378" s="53"/>
      <c r="UAJ1378" s="53"/>
      <c r="UAK1378" s="53"/>
      <c r="UAL1378" s="53"/>
      <c r="UAM1378" s="53"/>
      <c r="UAN1378" s="53"/>
      <c r="UAO1378" s="53"/>
      <c r="UAP1378" s="53"/>
      <c r="UAQ1378" s="53"/>
      <c r="UAR1378" s="53"/>
      <c r="UAS1378" s="53"/>
      <c r="UAT1378" s="53"/>
      <c r="UAU1378" s="53"/>
      <c r="UAV1378" s="53"/>
      <c r="UAW1378" s="53"/>
      <c r="UAX1378" s="53"/>
      <c r="UAY1378" s="53"/>
      <c r="UAZ1378" s="53"/>
      <c r="UBA1378" s="53"/>
      <c r="UBB1378" s="53"/>
      <c r="UBC1378" s="53"/>
      <c r="UBD1378" s="53"/>
      <c r="UBE1378" s="53"/>
      <c r="UBF1378" s="53"/>
      <c r="UBG1378" s="53"/>
      <c r="UBH1378" s="53"/>
      <c r="UBI1378" s="53"/>
      <c r="UBJ1378" s="53"/>
      <c r="UBK1378" s="53"/>
      <c r="UBL1378" s="53"/>
      <c r="UBM1378" s="53"/>
      <c r="UBN1378" s="53"/>
      <c r="UBO1378" s="53"/>
      <c r="UBP1378" s="53"/>
      <c r="UBQ1378" s="53"/>
      <c r="UBR1378" s="53"/>
      <c r="UBS1378" s="53"/>
      <c r="UBT1378" s="53"/>
      <c r="UBU1378" s="53"/>
      <c r="UBV1378" s="53"/>
      <c r="UBW1378" s="53"/>
      <c r="UBX1378" s="53"/>
      <c r="UBY1378" s="53"/>
      <c r="UBZ1378" s="53"/>
      <c r="UCA1378" s="53"/>
      <c r="UCB1378" s="53"/>
      <c r="UCC1378" s="53"/>
      <c r="UCD1378" s="53"/>
      <c r="UCE1378" s="53"/>
      <c r="UCF1378" s="53"/>
      <c r="UCG1378" s="53"/>
      <c r="UCH1378" s="53"/>
      <c r="UCI1378" s="53"/>
      <c r="UCJ1378" s="53"/>
      <c r="UCK1378" s="53"/>
      <c r="UCL1378" s="53"/>
      <c r="UCM1378" s="53"/>
      <c r="UCN1378" s="53"/>
      <c r="UCO1378" s="53"/>
      <c r="UCP1378" s="53"/>
      <c r="UCQ1378" s="53"/>
      <c r="UCR1378" s="53"/>
      <c r="UCS1378" s="53"/>
      <c r="UCT1378" s="53"/>
      <c r="UCU1378" s="53"/>
      <c r="UCV1378" s="53"/>
      <c r="UCW1378" s="53"/>
      <c r="UCX1378" s="53"/>
      <c r="UCY1378" s="53"/>
      <c r="UCZ1378" s="53"/>
      <c r="UDA1378" s="53"/>
      <c r="UDB1378" s="53"/>
      <c r="UDC1378" s="53"/>
      <c r="UDD1378" s="53"/>
      <c r="UDE1378" s="53"/>
      <c r="UDF1378" s="53"/>
      <c r="UDG1378" s="53"/>
      <c r="UDH1378" s="53"/>
      <c r="UDI1378" s="53"/>
      <c r="UDJ1378" s="53"/>
      <c r="UDK1378" s="53"/>
      <c r="UDL1378" s="53"/>
      <c r="UDM1378" s="53"/>
      <c r="UDN1378" s="53"/>
      <c r="UDO1378" s="53"/>
      <c r="UDP1378" s="53"/>
      <c r="UDQ1378" s="53"/>
      <c r="UDR1378" s="53"/>
      <c r="UDS1378" s="53"/>
      <c r="UDT1378" s="53"/>
      <c r="UDU1378" s="53"/>
      <c r="UDV1378" s="53"/>
      <c r="UDW1378" s="53"/>
      <c r="UDX1378" s="53"/>
      <c r="UDY1378" s="53"/>
      <c r="UDZ1378" s="53"/>
      <c r="UEA1378" s="53"/>
      <c r="UEB1378" s="53"/>
      <c r="UEC1378" s="53"/>
      <c r="UED1378" s="53"/>
      <c r="UEE1378" s="53"/>
      <c r="UEF1378" s="53"/>
      <c r="UEG1378" s="53"/>
      <c r="UEH1378" s="53"/>
      <c r="UEI1378" s="53"/>
      <c r="UEJ1378" s="53"/>
      <c r="UEK1378" s="53"/>
      <c r="UEL1378" s="53"/>
      <c r="UEM1378" s="53"/>
      <c r="UEN1378" s="53"/>
      <c r="UEO1378" s="53"/>
      <c r="UEP1378" s="53"/>
      <c r="UEQ1378" s="53"/>
      <c r="UER1378" s="53"/>
      <c r="UES1378" s="53"/>
      <c r="UET1378" s="53"/>
      <c r="UEU1378" s="53"/>
      <c r="UEV1378" s="53"/>
      <c r="UEW1378" s="53"/>
      <c r="UEX1378" s="53"/>
      <c r="UEY1378" s="53"/>
      <c r="UEZ1378" s="53"/>
      <c r="UFA1378" s="53"/>
      <c r="UFB1378" s="53"/>
      <c r="UFC1378" s="53"/>
      <c r="UFD1378" s="53"/>
      <c r="UFE1378" s="53"/>
      <c r="UFF1378" s="53"/>
      <c r="UFG1378" s="53"/>
      <c r="UFH1378" s="53"/>
      <c r="UFI1378" s="53"/>
      <c r="UFJ1378" s="53"/>
      <c r="UFK1378" s="53"/>
      <c r="UFL1378" s="53"/>
      <c r="UFM1378" s="53"/>
      <c r="UFN1378" s="53"/>
      <c r="UFO1378" s="53"/>
      <c r="UFP1378" s="53"/>
      <c r="UFQ1378" s="53"/>
      <c r="UFR1378" s="53"/>
      <c r="UFS1378" s="53"/>
      <c r="UFT1378" s="53"/>
      <c r="UFU1378" s="53"/>
      <c r="UFV1378" s="53"/>
      <c r="UFW1378" s="53"/>
      <c r="UFX1378" s="53"/>
      <c r="UFY1378" s="53"/>
      <c r="UFZ1378" s="53"/>
      <c r="UGA1378" s="53"/>
      <c r="UGB1378" s="53"/>
      <c r="UGC1378" s="53"/>
      <c r="UGD1378" s="53"/>
      <c r="UGE1378" s="53"/>
      <c r="UGF1378" s="53"/>
      <c r="UGG1378" s="53"/>
      <c r="UGH1378" s="53"/>
      <c r="UGI1378" s="53"/>
      <c r="UGJ1378" s="53"/>
      <c r="UGK1378" s="53"/>
      <c r="UGL1378" s="53"/>
      <c r="UGM1378" s="53"/>
      <c r="UGN1378" s="53"/>
      <c r="UGO1378" s="53"/>
      <c r="UGP1378" s="53"/>
      <c r="UGQ1378" s="53"/>
      <c r="UGR1378" s="53"/>
      <c r="UGS1378" s="53"/>
      <c r="UGT1378" s="53"/>
      <c r="UGU1378" s="53"/>
      <c r="UGV1378" s="53"/>
      <c r="UGW1378" s="53"/>
      <c r="UGX1378" s="53"/>
      <c r="UGY1378" s="53"/>
      <c r="UGZ1378" s="53"/>
      <c r="UHA1378" s="53"/>
      <c r="UHB1378" s="53"/>
      <c r="UHC1378" s="53"/>
      <c r="UHD1378" s="53"/>
      <c r="UHE1378" s="53"/>
      <c r="UHF1378" s="53"/>
      <c r="UHG1378" s="53"/>
      <c r="UHH1378" s="53"/>
      <c r="UHI1378" s="53"/>
      <c r="UHJ1378" s="53"/>
      <c r="UHK1378" s="53"/>
      <c r="UHL1378" s="53"/>
      <c r="UHM1378" s="53"/>
      <c r="UHN1378" s="53"/>
      <c r="UHO1378" s="53"/>
      <c r="UHP1378" s="53"/>
      <c r="UHQ1378" s="53"/>
      <c r="UHR1378" s="53"/>
      <c r="UHS1378" s="53"/>
      <c r="UHT1378" s="53"/>
      <c r="UHU1378" s="53"/>
      <c r="UHV1378" s="53"/>
      <c r="UHW1378" s="53"/>
      <c r="UHX1378" s="53"/>
      <c r="UHY1378" s="53"/>
      <c r="UHZ1378" s="53"/>
      <c r="UIA1378" s="53"/>
      <c r="UIB1378" s="53"/>
      <c r="UIC1378" s="53"/>
      <c r="UID1378" s="53"/>
      <c r="UIE1378" s="53"/>
      <c r="UIF1378" s="53"/>
      <c r="UIG1378" s="53"/>
      <c r="UIH1378" s="53"/>
      <c r="UII1378" s="53"/>
      <c r="UIJ1378" s="53"/>
      <c r="UIK1378" s="53"/>
      <c r="UIL1378" s="53"/>
      <c r="UIM1378" s="53"/>
      <c r="UIN1378" s="53"/>
      <c r="UIO1378" s="53"/>
      <c r="UIP1378" s="53"/>
      <c r="UIQ1378" s="53"/>
      <c r="UIR1378" s="53"/>
      <c r="UIS1378" s="53"/>
      <c r="UIT1378" s="53"/>
      <c r="UIU1378" s="53"/>
      <c r="UIV1378" s="53"/>
      <c r="UIW1378" s="53"/>
      <c r="UIX1378" s="53"/>
      <c r="UIY1378" s="53"/>
      <c r="UIZ1378" s="53"/>
      <c r="UJA1378" s="53"/>
      <c r="UJB1378" s="53"/>
      <c r="UJC1378" s="53"/>
      <c r="UJD1378" s="53"/>
      <c r="UJE1378" s="53"/>
      <c r="UJF1378" s="53"/>
      <c r="UJG1378" s="53"/>
      <c r="UJH1378" s="53"/>
      <c r="UJI1378" s="53"/>
      <c r="UJJ1378" s="53"/>
      <c r="UJK1378" s="53"/>
      <c r="UJL1378" s="53"/>
      <c r="UJM1378" s="53"/>
      <c r="UJN1378" s="53"/>
      <c r="UJO1378" s="53"/>
      <c r="UJP1378" s="53"/>
      <c r="UJQ1378" s="53"/>
      <c r="UJR1378" s="53"/>
      <c r="UJS1378" s="53"/>
      <c r="UJT1378" s="53"/>
      <c r="UJU1378" s="53"/>
      <c r="UJV1378" s="53"/>
      <c r="UJW1378" s="53"/>
      <c r="UJX1378" s="53"/>
      <c r="UJY1378" s="53"/>
      <c r="UJZ1378" s="53"/>
      <c r="UKA1378" s="53"/>
      <c r="UKB1378" s="53"/>
      <c r="UKC1378" s="53"/>
      <c r="UKD1378" s="53"/>
      <c r="UKE1378" s="53"/>
      <c r="UKF1378" s="53"/>
      <c r="UKG1378" s="53"/>
      <c r="UKH1378" s="53"/>
      <c r="UKI1378" s="53"/>
      <c r="UKJ1378" s="53"/>
      <c r="UKK1378" s="53"/>
      <c r="UKL1378" s="53"/>
      <c r="UKM1378" s="53"/>
      <c r="UKN1378" s="53"/>
      <c r="UKO1378" s="53"/>
      <c r="UKP1378" s="53"/>
      <c r="UKQ1378" s="53"/>
      <c r="UKR1378" s="53"/>
      <c r="UKS1378" s="53"/>
      <c r="UKT1378" s="53"/>
      <c r="UKU1378" s="53"/>
      <c r="UKV1378" s="53"/>
      <c r="UKW1378" s="53"/>
      <c r="UKX1378" s="53"/>
      <c r="UKY1378" s="53"/>
      <c r="UKZ1378" s="53"/>
      <c r="ULA1378" s="53"/>
      <c r="ULB1378" s="53"/>
      <c r="ULC1378" s="53"/>
      <c r="ULD1378" s="53"/>
      <c r="ULE1378" s="53"/>
      <c r="ULF1378" s="53"/>
      <c r="ULG1378" s="53"/>
      <c r="ULH1378" s="53"/>
      <c r="ULI1378" s="53"/>
      <c r="ULJ1378" s="53"/>
      <c r="ULK1378" s="53"/>
      <c r="ULL1378" s="53"/>
      <c r="ULM1378" s="53"/>
      <c r="ULN1378" s="53"/>
      <c r="ULO1378" s="53"/>
      <c r="ULP1378" s="53"/>
      <c r="ULQ1378" s="53"/>
      <c r="ULR1378" s="53"/>
      <c r="ULS1378" s="53"/>
      <c r="ULT1378" s="53"/>
      <c r="ULU1378" s="53"/>
      <c r="ULV1378" s="53"/>
      <c r="ULW1378" s="53"/>
      <c r="ULX1378" s="53"/>
      <c r="ULY1378" s="53"/>
      <c r="ULZ1378" s="53"/>
      <c r="UMA1378" s="53"/>
      <c r="UMB1378" s="53"/>
      <c r="UMC1378" s="53"/>
      <c r="UMD1378" s="53"/>
      <c r="UME1378" s="53"/>
      <c r="UMF1378" s="53"/>
      <c r="UMG1378" s="53"/>
      <c r="UMH1378" s="53"/>
      <c r="UMI1378" s="53"/>
      <c r="UMJ1378" s="53"/>
      <c r="UMK1378" s="53"/>
      <c r="UML1378" s="53"/>
      <c r="UMM1378" s="53"/>
      <c r="UMN1378" s="53"/>
      <c r="UMO1378" s="53"/>
      <c r="UMP1378" s="53"/>
      <c r="UMQ1378" s="53"/>
      <c r="UMR1378" s="53"/>
      <c r="UMS1378" s="53"/>
      <c r="UMT1378" s="53"/>
      <c r="UMU1378" s="53"/>
      <c r="UMV1378" s="53"/>
      <c r="UMW1378" s="53"/>
      <c r="UMX1378" s="53"/>
      <c r="UMY1378" s="53"/>
      <c r="UMZ1378" s="53"/>
      <c r="UNA1378" s="53"/>
      <c r="UNB1378" s="53"/>
      <c r="UNC1378" s="53"/>
      <c r="UND1378" s="53"/>
      <c r="UNE1378" s="53"/>
      <c r="UNF1378" s="53"/>
      <c r="UNG1378" s="53"/>
      <c r="UNH1378" s="53"/>
      <c r="UNI1378" s="53"/>
      <c r="UNJ1378" s="53"/>
      <c r="UNK1378" s="53"/>
      <c r="UNL1378" s="53"/>
      <c r="UNM1378" s="53"/>
      <c r="UNN1378" s="53"/>
      <c r="UNO1378" s="53"/>
      <c r="UNP1378" s="53"/>
      <c r="UNQ1378" s="53"/>
      <c r="UNR1378" s="53"/>
      <c r="UNS1378" s="53"/>
      <c r="UNT1378" s="53"/>
      <c r="UNU1378" s="53"/>
      <c r="UNV1378" s="53"/>
      <c r="UNW1378" s="53"/>
      <c r="UNX1378" s="53"/>
      <c r="UNY1378" s="53"/>
      <c r="UNZ1378" s="53"/>
      <c r="UOA1378" s="53"/>
      <c r="UOB1378" s="53"/>
      <c r="UOC1378" s="53"/>
      <c r="UOD1378" s="53"/>
      <c r="UOE1378" s="53"/>
      <c r="UOF1378" s="53"/>
      <c r="UOG1378" s="53"/>
      <c r="UOH1378" s="53"/>
      <c r="UOI1378" s="53"/>
      <c r="UOJ1378" s="53"/>
      <c r="UOK1378" s="53"/>
      <c r="UOL1378" s="53"/>
      <c r="UOM1378" s="53"/>
      <c r="UON1378" s="53"/>
      <c r="UOO1378" s="53"/>
      <c r="UOP1378" s="53"/>
      <c r="UOQ1378" s="53"/>
      <c r="UOR1378" s="53"/>
      <c r="UOS1378" s="53"/>
      <c r="UOT1378" s="53"/>
      <c r="UOU1378" s="53"/>
      <c r="UOV1378" s="53"/>
      <c r="UOW1378" s="53"/>
      <c r="UOX1378" s="53"/>
      <c r="UOY1378" s="53"/>
      <c r="UOZ1378" s="53"/>
      <c r="UPA1378" s="53"/>
      <c r="UPB1378" s="53"/>
      <c r="UPC1378" s="53"/>
      <c r="UPD1378" s="53"/>
      <c r="UPE1378" s="53"/>
      <c r="UPF1378" s="53"/>
      <c r="UPG1378" s="53"/>
      <c r="UPH1378" s="53"/>
      <c r="UPI1378" s="53"/>
      <c r="UPJ1378" s="53"/>
      <c r="UPK1378" s="53"/>
      <c r="UPL1378" s="53"/>
      <c r="UPM1378" s="53"/>
      <c r="UPN1378" s="53"/>
      <c r="UPO1378" s="53"/>
      <c r="UPP1378" s="53"/>
      <c r="UPQ1378" s="53"/>
      <c r="UPR1378" s="53"/>
      <c r="UPS1378" s="53"/>
      <c r="UPT1378" s="53"/>
      <c r="UPU1378" s="53"/>
      <c r="UPV1378" s="53"/>
      <c r="UPW1378" s="53"/>
      <c r="UPX1378" s="53"/>
      <c r="UPY1378" s="53"/>
      <c r="UPZ1378" s="53"/>
      <c r="UQA1378" s="53"/>
      <c r="UQB1378" s="53"/>
      <c r="UQC1378" s="53"/>
      <c r="UQD1378" s="53"/>
      <c r="UQE1378" s="53"/>
      <c r="UQF1378" s="53"/>
      <c r="UQG1378" s="53"/>
      <c r="UQH1378" s="53"/>
      <c r="UQI1378" s="53"/>
      <c r="UQJ1378" s="53"/>
      <c r="UQK1378" s="53"/>
      <c r="UQL1378" s="53"/>
      <c r="UQM1378" s="53"/>
      <c r="UQN1378" s="53"/>
      <c r="UQO1378" s="53"/>
      <c r="UQP1378" s="53"/>
      <c r="UQQ1378" s="53"/>
      <c r="UQR1378" s="53"/>
      <c r="UQS1378" s="53"/>
      <c r="UQT1378" s="53"/>
      <c r="UQU1378" s="53"/>
      <c r="UQV1378" s="53"/>
      <c r="UQW1378" s="53"/>
      <c r="UQX1378" s="53"/>
      <c r="UQY1378" s="53"/>
      <c r="UQZ1378" s="53"/>
      <c r="URA1378" s="53"/>
      <c r="URB1378" s="53"/>
      <c r="URC1378" s="53"/>
      <c r="URD1378" s="53"/>
      <c r="URE1378" s="53"/>
      <c r="URF1378" s="53"/>
      <c r="URG1378" s="53"/>
      <c r="URH1378" s="53"/>
      <c r="URI1378" s="53"/>
      <c r="URJ1378" s="53"/>
      <c r="URK1378" s="53"/>
      <c r="URL1378" s="53"/>
      <c r="URM1378" s="53"/>
      <c r="URN1378" s="53"/>
      <c r="URO1378" s="53"/>
      <c r="URP1378" s="53"/>
      <c r="URQ1378" s="53"/>
      <c r="URR1378" s="53"/>
      <c r="URS1378" s="53"/>
      <c r="URT1378" s="53"/>
      <c r="URU1378" s="53"/>
      <c r="URV1378" s="53"/>
      <c r="URW1378" s="53"/>
      <c r="URX1378" s="53"/>
      <c r="URY1378" s="53"/>
      <c r="URZ1378" s="53"/>
      <c r="USA1378" s="53"/>
      <c r="USB1378" s="53"/>
      <c r="USC1378" s="53"/>
      <c r="USD1378" s="53"/>
      <c r="USE1378" s="53"/>
      <c r="USF1378" s="53"/>
      <c r="USG1378" s="53"/>
      <c r="USH1378" s="53"/>
      <c r="USI1378" s="53"/>
      <c r="USJ1378" s="53"/>
      <c r="USK1378" s="53"/>
      <c r="USL1378" s="53"/>
      <c r="USM1378" s="53"/>
      <c r="USN1378" s="53"/>
      <c r="USO1378" s="53"/>
      <c r="USP1378" s="53"/>
      <c r="USQ1378" s="53"/>
      <c r="USR1378" s="53"/>
      <c r="USS1378" s="53"/>
      <c r="UST1378" s="53"/>
      <c r="USU1378" s="53"/>
      <c r="USV1378" s="53"/>
      <c r="USW1378" s="53"/>
      <c r="USX1378" s="53"/>
      <c r="USY1378" s="53"/>
      <c r="USZ1378" s="53"/>
      <c r="UTA1378" s="53"/>
      <c r="UTB1378" s="53"/>
      <c r="UTC1378" s="53"/>
      <c r="UTD1378" s="53"/>
      <c r="UTE1378" s="53"/>
      <c r="UTF1378" s="53"/>
      <c r="UTG1378" s="53"/>
      <c r="UTH1378" s="53"/>
      <c r="UTI1378" s="53"/>
      <c r="UTJ1378" s="53"/>
      <c r="UTK1378" s="53"/>
      <c r="UTL1378" s="53"/>
      <c r="UTM1378" s="53"/>
      <c r="UTN1378" s="53"/>
      <c r="UTO1378" s="53"/>
      <c r="UTP1378" s="53"/>
      <c r="UTQ1378" s="53"/>
      <c r="UTR1378" s="53"/>
      <c r="UTS1378" s="53"/>
      <c r="UTT1378" s="53"/>
      <c r="UTU1378" s="53"/>
      <c r="UTV1378" s="53"/>
      <c r="UTW1378" s="53"/>
      <c r="UTX1378" s="53"/>
      <c r="UTY1378" s="53"/>
      <c r="UTZ1378" s="53"/>
      <c r="UUA1378" s="53"/>
      <c r="UUB1378" s="53"/>
      <c r="UUC1378" s="53"/>
      <c r="UUD1378" s="53"/>
      <c r="UUE1378" s="53"/>
      <c r="UUF1378" s="53"/>
      <c r="UUG1378" s="53"/>
      <c r="UUH1378" s="53"/>
      <c r="UUI1378" s="53"/>
      <c r="UUJ1378" s="53"/>
      <c r="UUK1378" s="53"/>
      <c r="UUL1378" s="53"/>
      <c r="UUM1378" s="53"/>
      <c r="UUN1378" s="53"/>
      <c r="UUO1378" s="53"/>
      <c r="UUP1378" s="53"/>
      <c r="UUQ1378" s="53"/>
      <c r="UUR1378" s="53"/>
      <c r="UUS1378" s="53"/>
      <c r="UUT1378" s="53"/>
      <c r="UUU1378" s="53"/>
      <c r="UUV1378" s="53"/>
      <c r="UUW1378" s="53"/>
      <c r="UUX1378" s="53"/>
      <c r="UUY1378" s="53"/>
      <c r="UUZ1378" s="53"/>
      <c r="UVA1378" s="53"/>
      <c r="UVB1378" s="53"/>
      <c r="UVC1378" s="53"/>
      <c r="UVD1378" s="53"/>
      <c r="UVE1378" s="53"/>
      <c r="UVF1378" s="53"/>
      <c r="UVG1378" s="53"/>
      <c r="UVH1378" s="53"/>
      <c r="UVI1378" s="53"/>
      <c r="UVJ1378" s="53"/>
      <c r="UVK1378" s="53"/>
      <c r="UVL1378" s="53"/>
      <c r="UVM1378" s="53"/>
      <c r="UVN1378" s="53"/>
      <c r="UVO1378" s="53"/>
      <c r="UVP1378" s="53"/>
      <c r="UVQ1378" s="53"/>
      <c r="UVR1378" s="53"/>
      <c r="UVS1378" s="53"/>
      <c r="UVT1378" s="53"/>
      <c r="UVU1378" s="53"/>
      <c r="UVV1378" s="53"/>
      <c r="UVW1378" s="53"/>
      <c r="UVX1378" s="53"/>
      <c r="UVY1378" s="53"/>
      <c r="UVZ1378" s="53"/>
      <c r="UWA1378" s="53"/>
      <c r="UWB1378" s="53"/>
      <c r="UWC1378" s="53"/>
      <c r="UWD1378" s="53"/>
      <c r="UWE1378" s="53"/>
      <c r="UWF1378" s="53"/>
      <c r="UWG1378" s="53"/>
      <c r="UWH1378" s="53"/>
      <c r="UWI1378" s="53"/>
      <c r="UWJ1378" s="53"/>
      <c r="UWK1378" s="53"/>
      <c r="UWL1378" s="53"/>
      <c r="UWM1378" s="53"/>
      <c r="UWN1378" s="53"/>
      <c r="UWO1378" s="53"/>
      <c r="UWP1378" s="53"/>
      <c r="UWQ1378" s="53"/>
      <c r="UWR1378" s="53"/>
      <c r="UWS1378" s="53"/>
      <c r="UWT1378" s="53"/>
      <c r="UWU1378" s="53"/>
      <c r="UWV1378" s="53"/>
      <c r="UWW1378" s="53"/>
      <c r="UWX1378" s="53"/>
      <c r="UWY1378" s="53"/>
      <c r="UWZ1378" s="53"/>
      <c r="UXA1378" s="53"/>
      <c r="UXB1378" s="53"/>
      <c r="UXC1378" s="53"/>
      <c r="UXD1378" s="53"/>
      <c r="UXE1378" s="53"/>
      <c r="UXF1378" s="53"/>
      <c r="UXG1378" s="53"/>
      <c r="UXH1378" s="53"/>
      <c r="UXI1378" s="53"/>
      <c r="UXJ1378" s="53"/>
      <c r="UXK1378" s="53"/>
      <c r="UXL1378" s="53"/>
      <c r="UXM1378" s="53"/>
      <c r="UXN1378" s="53"/>
      <c r="UXO1378" s="53"/>
      <c r="UXP1378" s="53"/>
      <c r="UXQ1378" s="53"/>
      <c r="UXR1378" s="53"/>
      <c r="UXS1378" s="53"/>
      <c r="UXT1378" s="53"/>
      <c r="UXU1378" s="53"/>
      <c r="UXV1378" s="53"/>
      <c r="UXW1378" s="53"/>
      <c r="UXX1378" s="53"/>
      <c r="UXY1378" s="53"/>
      <c r="UXZ1378" s="53"/>
      <c r="UYA1378" s="53"/>
      <c r="UYB1378" s="53"/>
      <c r="UYC1378" s="53"/>
      <c r="UYD1378" s="53"/>
      <c r="UYE1378" s="53"/>
      <c r="UYF1378" s="53"/>
      <c r="UYG1378" s="53"/>
      <c r="UYH1378" s="53"/>
      <c r="UYI1378" s="53"/>
      <c r="UYJ1378" s="53"/>
      <c r="UYK1378" s="53"/>
      <c r="UYL1378" s="53"/>
      <c r="UYM1378" s="53"/>
      <c r="UYN1378" s="53"/>
      <c r="UYO1378" s="53"/>
      <c r="UYP1378" s="53"/>
      <c r="UYQ1378" s="53"/>
      <c r="UYR1378" s="53"/>
      <c r="UYS1378" s="53"/>
      <c r="UYT1378" s="53"/>
      <c r="UYU1378" s="53"/>
      <c r="UYV1378" s="53"/>
      <c r="UYW1378" s="53"/>
      <c r="UYX1378" s="53"/>
      <c r="UYY1378" s="53"/>
      <c r="UYZ1378" s="53"/>
      <c r="UZA1378" s="53"/>
      <c r="UZB1378" s="53"/>
      <c r="UZC1378" s="53"/>
      <c r="UZD1378" s="53"/>
      <c r="UZE1378" s="53"/>
      <c r="UZF1378" s="53"/>
      <c r="UZG1378" s="53"/>
      <c r="UZH1378" s="53"/>
      <c r="UZI1378" s="53"/>
      <c r="UZJ1378" s="53"/>
      <c r="UZK1378" s="53"/>
      <c r="UZL1378" s="53"/>
      <c r="UZM1378" s="53"/>
      <c r="UZN1378" s="53"/>
      <c r="UZO1378" s="53"/>
      <c r="UZP1378" s="53"/>
      <c r="UZQ1378" s="53"/>
      <c r="UZR1378" s="53"/>
      <c r="UZS1378" s="53"/>
      <c r="UZT1378" s="53"/>
      <c r="UZU1378" s="53"/>
      <c r="UZV1378" s="53"/>
      <c r="UZW1378" s="53"/>
      <c r="UZX1378" s="53"/>
      <c r="UZY1378" s="53"/>
      <c r="UZZ1378" s="53"/>
      <c r="VAA1378" s="53"/>
      <c r="VAB1378" s="53"/>
      <c r="VAC1378" s="53"/>
      <c r="VAD1378" s="53"/>
      <c r="VAE1378" s="53"/>
      <c r="VAF1378" s="53"/>
      <c r="VAG1378" s="53"/>
      <c r="VAH1378" s="53"/>
      <c r="VAI1378" s="53"/>
      <c r="VAJ1378" s="53"/>
      <c r="VAK1378" s="53"/>
      <c r="VAL1378" s="53"/>
      <c r="VAM1378" s="53"/>
      <c r="VAN1378" s="53"/>
      <c r="VAO1378" s="53"/>
      <c r="VAP1378" s="53"/>
      <c r="VAQ1378" s="53"/>
      <c r="VAR1378" s="53"/>
      <c r="VAS1378" s="53"/>
      <c r="VAT1378" s="53"/>
      <c r="VAU1378" s="53"/>
      <c r="VAV1378" s="53"/>
      <c r="VAW1378" s="53"/>
      <c r="VAX1378" s="53"/>
      <c r="VAY1378" s="53"/>
      <c r="VAZ1378" s="53"/>
      <c r="VBA1378" s="53"/>
      <c r="VBB1378" s="53"/>
      <c r="VBC1378" s="53"/>
      <c r="VBD1378" s="53"/>
      <c r="VBE1378" s="53"/>
      <c r="VBF1378" s="53"/>
      <c r="VBG1378" s="53"/>
      <c r="VBH1378" s="53"/>
      <c r="VBI1378" s="53"/>
      <c r="VBJ1378" s="53"/>
      <c r="VBK1378" s="53"/>
      <c r="VBL1378" s="53"/>
      <c r="VBM1378" s="53"/>
      <c r="VBN1378" s="53"/>
      <c r="VBO1378" s="53"/>
      <c r="VBP1378" s="53"/>
      <c r="VBQ1378" s="53"/>
      <c r="VBR1378" s="53"/>
      <c r="VBS1378" s="53"/>
      <c r="VBT1378" s="53"/>
      <c r="VBU1378" s="53"/>
      <c r="VBV1378" s="53"/>
      <c r="VBW1378" s="53"/>
      <c r="VBX1378" s="53"/>
      <c r="VBY1378" s="53"/>
      <c r="VBZ1378" s="53"/>
      <c r="VCA1378" s="53"/>
      <c r="VCB1378" s="53"/>
      <c r="VCC1378" s="53"/>
      <c r="VCD1378" s="53"/>
      <c r="VCE1378" s="53"/>
      <c r="VCF1378" s="53"/>
      <c r="VCG1378" s="53"/>
      <c r="VCH1378" s="53"/>
      <c r="VCI1378" s="53"/>
      <c r="VCJ1378" s="53"/>
      <c r="VCK1378" s="53"/>
      <c r="VCL1378" s="53"/>
      <c r="VCM1378" s="53"/>
      <c r="VCN1378" s="53"/>
      <c r="VCO1378" s="53"/>
      <c r="VCP1378" s="53"/>
      <c r="VCQ1378" s="53"/>
      <c r="VCR1378" s="53"/>
      <c r="VCS1378" s="53"/>
      <c r="VCT1378" s="53"/>
      <c r="VCU1378" s="53"/>
      <c r="VCV1378" s="53"/>
      <c r="VCW1378" s="53"/>
      <c r="VCX1378" s="53"/>
      <c r="VCY1378" s="53"/>
      <c r="VCZ1378" s="53"/>
      <c r="VDA1378" s="53"/>
      <c r="VDB1378" s="53"/>
      <c r="VDC1378" s="53"/>
      <c r="VDD1378" s="53"/>
      <c r="VDE1378" s="53"/>
      <c r="VDF1378" s="53"/>
      <c r="VDG1378" s="53"/>
      <c r="VDH1378" s="53"/>
      <c r="VDI1378" s="53"/>
      <c r="VDJ1378" s="53"/>
      <c r="VDK1378" s="53"/>
      <c r="VDL1378" s="53"/>
      <c r="VDM1378" s="53"/>
      <c r="VDN1378" s="53"/>
      <c r="VDO1378" s="53"/>
      <c r="VDP1378" s="53"/>
      <c r="VDQ1378" s="53"/>
      <c r="VDR1378" s="53"/>
      <c r="VDS1378" s="53"/>
      <c r="VDT1378" s="53"/>
      <c r="VDU1378" s="53"/>
      <c r="VDV1378" s="53"/>
      <c r="VDW1378" s="53"/>
      <c r="VDX1378" s="53"/>
      <c r="VDY1378" s="53"/>
      <c r="VDZ1378" s="53"/>
      <c r="VEA1378" s="53"/>
      <c r="VEB1378" s="53"/>
      <c r="VEC1378" s="53"/>
      <c r="VED1378" s="53"/>
      <c r="VEE1378" s="53"/>
      <c r="VEF1378" s="53"/>
      <c r="VEG1378" s="53"/>
      <c r="VEH1378" s="53"/>
      <c r="VEI1378" s="53"/>
      <c r="VEJ1378" s="53"/>
      <c r="VEK1378" s="53"/>
      <c r="VEL1378" s="53"/>
      <c r="VEM1378" s="53"/>
      <c r="VEN1378" s="53"/>
      <c r="VEO1378" s="53"/>
      <c r="VEP1378" s="53"/>
      <c r="VEQ1378" s="53"/>
      <c r="VER1378" s="53"/>
      <c r="VES1378" s="53"/>
      <c r="VET1378" s="53"/>
      <c r="VEU1378" s="53"/>
      <c r="VEV1378" s="53"/>
      <c r="VEW1378" s="53"/>
      <c r="VEX1378" s="53"/>
      <c r="VEY1378" s="53"/>
      <c r="VEZ1378" s="53"/>
      <c r="VFA1378" s="53"/>
      <c r="VFB1378" s="53"/>
      <c r="VFC1378" s="53"/>
      <c r="VFD1378" s="53"/>
      <c r="VFE1378" s="53"/>
      <c r="VFF1378" s="53"/>
      <c r="VFG1378" s="53"/>
      <c r="VFH1378" s="53"/>
      <c r="VFI1378" s="53"/>
      <c r="VFJ1378" s="53"/>
      <c r="VFK1378" s="53"/>
      <c r="VFL1378" s="53"/>
      <c r="VFM1378" s="53"/>
      <c r="VFN1378" s="53"/>
      <c r="VFO1378" s="53"/>
      <c r="VFP1378" s="53"/>
      <c r="VFQ1378" s="53"/>
      <c r="VFR1378" s="53"/>
      <c r="VFS1378" s="53"/>
      <c r="VFT1378" s="53"/>
      <c r="VFU1378" s="53"/>
      <c r="VFV1378" s="53"/>
      <c r="VFW1378" s="53"/>
      <c r="VFX1378" s="53"/>
      <c r="VFY1378" s="53"/>
      <c r="VFZ1378" s="53"/>
      <c r="VGA1378" s="53"/>
      <c r="VGB1378" s="53"/>
      <c r="VGC1378" s="53"/>
      <c r="VGD1378" s="53"/>
      <c r="VGE1378" s="53"/>
      <c r="VGF1378" s="53"/>
      <c r="VGG1378" s="53"/>
      <c r="VGH1378" s="53"/>
      <c r="VGI1378" s="53"/>
      <c r="VGJ1378" s="53"/>
      <c r="VGK1378" s="53"/>
      <c r="VGL1378" s="53"/>
      <c r="VGM1378" s="53"/>
      <c r="VGN1378" s="53"/>
      <c r="VGO1378" s="53"/>
      <c r="VGP1378" s="53"/>
      <c r="VGQ1378" s="53"/>
      <c r="VGR1378" s="53"/>
      <c r="VGS1378" s="53"/>
      <c r="VGT1378" s="53"/>
      <c r="VGU1378" s="53"/>
      <c r="VGV1378" s="53"/>
      <c r="VGW1378" s="53"/>
      <c r="VGX1378" s="53"/>
      <c r="VGY1378" s="53"/>
      <c r="VGZ1378" s="53"/>
      <c r="VHA1378" s="53"/>
      <c r="VHB1378" s="53"/>
      <c r="VHC1378" s="53"/>
      <c r="VHD1378" s="53"/>
      <c r="VHE1378" s="53"/>
      <c r="VHF1378" s="53"/>
      <c r="VHG1378" s="53"/>
      <c r="VHH1378" s="53"/>
      <c r="VHI1378" s="53"/>
      <c r="VHJ1378" s="53"/>
      <c r="VHK1378" s="53"/>
      <c r="VHL1378" s="53"/>
      <c r="VHM1378" s="53"/>
      <c r="VHN1378" s="53"/>
      <c r="VHO1378" s="53"/>
      <c r="VHP1378" s="53"/>
      <c r="VHQ1378" s="53"/>
      <c r="VHR1378" s="53"/>
      <c r="VHS1378" s="53"/>
      <c r="VHT1378" s="53"/>
      <c r="VHU1378" s="53"/>
      <c r="VHV1378" s="53"/>
      <c r="VHW1378" s="53"/>
      <c r="VHX1378" s="53"/>
      <c r="VHY1378" s="53"/>
      <c r="VHZ1378" s="53"/>
      <c r="VIA1378" s="53"/>
      <c r="VIB1378" s="53"/>
      <c r="VIC1378" s="53"/>
      <c r="VID1378" s="53"/>
      <c r="VIE1378" s="53"/>
      <c r="VIF1378" s="53"/>
      <c r="VIG1378" s="53"/>
      <c r="VIH1378" s="53"/>
      <c r="VII1378" s="53"/>
      <c r="VIJ1378" s="53"/>
      <c r="VIK1378" s="53"/>
      <c r="VIL1378" s="53"/>
      <c r="VIM1378" s="53"/>
      <c r="VIN1378" s="53"/>
      <c r="VIO1378" s="53"/>
      <c r="VIP1378" s="53"/>
      <c r="VIQ1378" s="53"/>
      <c r="VIR1378" s="53"/>
      <c r="VIS1378" s="53"/>
      <c r="VIT1378" s="53"/>
      <c r="VIU1378" s="53"/>
      <c r="VIV1378" s="53"/>
      <c r="VIW1378" s="53"/>
      <c r="VIX1378" s="53"/>
      <c r="VIY1378" s="53"/>
      <c r="VIZ1378" s="53"/>
      <c r="VJA1378" s="53"/>
      <c r="VJB1378" s="53"/>
      <c r="VJC1378" s="53"/>
      <c r="VJD1378" s="53"/>
      <c r="VJE1378" s="53"/>
      <c r="VJF1378" s="53"/>
      <c r="VJG1378" s="53"/>
      <c r="VJH1378" s="53"/>
      <c r="VJI1378" s="53"/>
      <c r="VJJ1378" s="53"/>
      <c r="VJK1378" s="53"/>
      <c r="VJL1378" s="53"/>
      <c r="VJM1378" s="53"/>
      <c r="VJN1378" s="53"/>
      <c r="VJO1378" s="53"/>
      <c r="VJP1378" s="53"/>
      <c r="VJQ1378" s="53"/>
      <c r="VJR1378" s="53"/>
      <c r="VJS1378" s="53"/>
      <c r="VJT1378" s="53"/>
      <c r="VJU1378" s="53"/>
      <c r="VJV1378" s="53"/>
      <c r="VJW1378" s="53"/>
      <c r="VJX1378" s="53"/>
      <c r="VJY1378" s="53"/>
      <c r="VJZ1378" s="53"/>
      <c r="VKA1378" s="53"/>
      <c r="VKB1378" s="53"/>
      <c r="VKC1378" s="53"/>
      <c r="VKD1378" s="53"/>
      <c r="VKE1378" s="53"/>
      <c r="VKF1378" s="53"/>
      <c r="VKG1378" s="53"/>
      <c r="VKH1378" s="53"/>
      <c r="VKI1378" s="53"/>
      <c r="VKJ1378" s="53"/>
      <c r="VKK1378" s="53"/>
      <c r="VKL1378" s="53"/>
      <c r="VKM1378" s="53"/>
      <c r="VKN1378" s="53"/>
      <c r="VKO1378" s="53"/>
      <c r="VKP1378" s="53"/>
      <c r="VKQ1378" s="53"/>
      <c r="VKR1378" s="53"/>
      <c r="VKS1378" s="53"/>
      <c r="VKT1378" s="53"/>
      <c r="VKU1378" s="53"/>
      <c r="VKV1378" s="53"/>
      <c r="VKW1378" s="53"/>
      <c r="VKX1378" s="53"/>
      <c r="VKY1378" s="53"/>
      <c r="VKZ1378" s="53"/>
      <c r="VLA1378" s="53"/>
      <c r="VLB1378" s="53"/>
      <c r="VLC1378" s="53"/>
      <c r="VLD1378" s="53"/>
      <c r="VLE1378" s="53"/>
      <c r="VLF1378" s="53"/>
      <c r="VLG1378" s="53"/>
      <c r="VLH1378" s="53"/>
      <c r="VLI1378" s="53"/>
      <c r="VLJ1378" s="53"/>
      <c r="VLK1378" s="53"/>
      <c r="VLL1378" s="53"/>
      <c r="VLM1378" s="53"/>
      <c r="VLN1378" s="53"/>
      <c r="VLO1378" s="53"/>
      <c r="VLP1378" s="53"/>
      <c r="VLQ1378" s="53"/>
      <c r="VLR1378" s="53"/>
      <c r="VLS1378" s="53"/>
      <c r="VLT1378" s="53"/>
      <c r="VLU1378" s="53"/>
      <c r="VLV1378" s="53"/>
      <c r="VLW1378" s="53"/>
      <c r="VLX1378" s="53"/>
      <c r="VLY1378" s="53"/>
      <c r="VLZ1378" s="53"/>
      <c r="VMA1378" s="53"/>
      <c r="VMB1378" s="53"/>
      <c r="VMC1378" s="53"/>
      <c r="VMD1378" s="53"/>
      <c r="VME1378" s="53"/>
      <c r="VMF1378" s="53"/>
      <c r="VMG1378" s="53"/>
      <c r="VMH1378" s="53"/>
      <c r="VMI1378" s="53"/>
      <c r="VMJ1378" s="53"/>
      <c r="VMK1378" s="53"/>
      <c r="VML1378" s="53"/>
      <c r="VMM1378" s="53"/>
      <c r="VMN1378" s="53"/>
      <c r="VMO1378" s="53"/>
      <c r="VMP1378" s="53"/>
      <c r="VMQ1378" s="53"/>
      <c r="VMR1378" s="53"/>
      <c r="VMS1378" s="53"/>
      <c r="VMT1378" s="53"/>
      <c r="VMU1378" s="53"/>
      <c r="VMV1378" s="53"/>
      <c r="VMW1378" s="53"/>
      <c r="VMX1378" s="53"/>
      <c r="VMY1378" s="53"/>
      <c r="VMZ1378" s="53"/>
      <c r="VNA1378" s="53"/>
      <c r="VNB1378" s="53"/>
      <c r="VNC1378" s="53"/>
      <c r="VND1378" s="53"/>
      <c r="VNE1378" s="53"/>
      <c r="VNF1378" s="53"/>
      <c r="VNG1378" s="53"/>
      <c r="VNH1378" s="53"/>
      <c r="VNI1378" s="53"/>
      <c r="VNJ1378" s="53"/>
      <c r="VNK1378" s="53"/>
      <c r="VNL1378" s="53"/>
      <c r="VNM1378" s="53"/>
      <c r="VNN1378" s="53"/>
      <c r="VNO1378" s="53"/>
      <c r="VNP1378" s="53"/>
      <c r="VNQ1378" s="53"/>
      <c r="VNR1378" s="53"/>
      <c r="VNS1378" s="53"/>
      <c r="VNT1378" s="53"/>
      <c r="VNU1378" s="53"/>
      <c r="VNV1378" s="53"/>
      <c r="VNW1378" s="53"/>
      <c r="VNX1378" s="53"/>
      <c r="VNY1378" s="53"/>
      <c r="VNZ1378" s="53"/>
      <c r="VOA1378" s="53"/>
      <c r="VOB1378" s="53"/>
      <c r="VOC1378" s="53"/>
      <c r="VOD1378" s="53"/>
      <c r="VOE1378" s="53"/>
      <c r="VOF1378" s="53"/>
      <c r="VOG1378" s="53"/>
      <c r="VOH1378" s="53"/>
      <c r="VOI1378" s="53"/>
      <c r="VOJ1378" s="53"/>
      <c r="VOK1378" s="53"/>
      <c r="VOL1378" s="53"/>
      <c r="VOM1378" s="53"/>
      <c r="VON1378" s="53"/>
      <c r="VOO1378" s="53"/>
      <c r="VOP1378" s="53"/>
      <c r="VOQ1378" s="53"/>
      <c r="VOR1378" s="53"/>
      <c r="VOS1378" s="53"/>
      <c r="VOT1378" s="53"/>
      <c r="VOU1378" s="53"/>
      <c r="VOV1378" s="53"/>
      <c r="VOW1378" s="53"/>
      <c r="VOX1378" s="53"/>
      <c r="VOY1378" s="53"/>
      <c r="VOZ1378" s="53"/>
      <c r="VPA1378" s="53"/>
      <c r="VPB1378" s="53"/>
      <c r="VPC1378" s="53"/>
      <c r="VPD1378" s="53"/>
      <c r="VPE1378" s="53"/>
      <c r="VPF1378" s="53"/>
      <c r="VPG1378" s="53"/>
      <c r="VPH1378" s="53"/>
      <c r="VPI1378" s="53"/>
      <c r="VPJ1378" s="53"/>
      <c r="VPK1378" s="53"/>
      <c r="VPL1378" s="53"/>
      <c r="VPM1378" s="53"/>
      <c r="VPN1378" s="53"/>
      <c r="VPO1378" s="53"/>
      <c r="VPP1378" s="53"/>
      <c r="VPQ1378" s="53"/>
      <c r="VPR1378" s="53"/>
      <c r="VPS1378" s="53"/>
      <c r="VPT1378" s="53"/>
      <c r="VPU1378" s="53"/>
      <c r="VPV1378" s="53"/>
      <c r="VPW1378" s="53"/>
      <c r="VPX1378" s="53"/>
      <c r="VPY1378" s="53"/>
      <c r="VPZ1378" s="53"/>
      <c r="VQA1378" s="53"/>
      <c r="VQB1378" s="53"/>
      <c r="VQC1378" s="53"/>
      <c r="VQD1378" s="53"/>
      <c r="VQE1378" s="53"/>
      <c r="VQF1378" s="53"/>
      <c r="VQG1378" s="53"/>
      <c r="VQH1378" s="53"/>
      <c r="VQI1378" s="53"/>
      <c r="VQJ1378" s="53"/>
      <c r="VQK1378" s="53"/>
      <c r="VQL1378" s="53"/>
      <c r="VQM1378" s="53"/>
      <c r="VQN1378" s="53"/>
      <c r="VQO1378" s="53"/>
      <c r="VQP1378" s="53"/>
      <c r="VQQ1378" s="53"/>
      <c r="VQR1378" s="53"/>
      <c r="VQS1378" s="53"/>
      <c r="VQT1378" s="53"/>
      <c r="VQU1378" s="53"/>
      <c r="VQV1378" s="53"/>
      <c r="VQW1378" s="53"/>
      <c r="VQX1378" s="53"/>
      <c r="VQY1378" s="53"/>
      <c r="VQZ1378" s="53"/>
      <c r="VRA1378" s="53"/>
      <c r="VRB1378" s="53"/>
      <c r="VRC1378" s="53"/>
      <c r="VRD1378" s="53"/>
      <c r="VRE1378" s="53"/>
      <c r="VRF1378" s="53"/>
      <c r="VRG1378" s="53"/>
      <c r="VRH1378" s="53"/>
      <c r="VRI1378" s="53"/>
      <c r="VRJ1378" s="53"/>
      <c r="VRK1378" s="53"/>
      <c r="VRL1378" s="53"/>
      <c r="VRM1378" s="53"/>
      <c r="VRN1378" s="53"/>
      <c r="VRO1378" s="53"/>
      <c r="VRP1378" s="53"/>
      <c r="VRQ1378" s="53"/>
      <c r="VRR1378" s="53"/>
      <c r="VRS1378" s="53"/>
      <c r="VRT1378" s="53"/>
      <c r="VRU1378" s="53"/>
      <c r="VRV1378" s="53"/>
      <c r="VRW1378" s="53"/>
      <c r="VRX1378" s="53"/>
      <c r="VRY1378" s="53"/>
      <c r="VRZ1378" s="53"/>
      <c r="VSA1378" s="53"/>
      <c r="VSB1378" s="53"/>
      <c r="VSC1378" s="53"/>
      <c r="VSD1378" s="53"/>
      <c r="VSE1378" s="53"/>
      <c r="VSF1378" s="53"/>
      <c r="VSG1378" s="53"/>
      <c r="VSH1378" s="53"/>
      <c r="VSI1378" s="53"/>
      <c r="VSJ1378" s="53"/>
      <c r="VSK1378" s="53"/>
      <c r="VSL1378" s="53"/>
      <c r="VSM1378" s="53"/>
      <c r="VSN1378" s="53"/>
      <c r="VSO1378" s="53"/>
      <c r="VSP1378" s="53"/>
      <c r="VSQ1378" s="53"/>
      <c r="VSR1378" s="53"/>
      <c r="VSS1378" s="53"/>
      <c r="VST1378" s="53"/>
      <c r="VSU1378" s="53"/>
      <c r="VSV1378" s="53"/>
      <c r="VSW1378" s="53"/>
      <c r="VSX1378" s="53"/>
      <c r="VSY1378" s="53"/>
      <c r="VSZ1378" s="53"/>
      <c r="VTA1378" s="53"/>
      <c r="VTB1378" s="53"/>
      <c r="VTC1378" s="53"/>
      <c r="VTD1378" s="53"/>
      <c r="VTE1378" s="53"/>
      <c r="VTF1378" s="53"/>
      <c r="VTG1378" s="53"/>
      <c r="VTH1378" s="53"/>
      <c r="VTI1378" s="53"/>
      <c r="VTJ1378" s="53"/>
      <c r="VTK1378" s="53"/>
      <c r="VTL1378" s="53"/>
      <c r="VTM1378" s="53"/>
      <c r="VTN1378" s="53"/>
      <c r="VTO1378" s="53"/>
      <c r="VTP1378" s="53"/>
      <c r="VTQ1378" s="53"/>
      <c r="VTR1378" s="53"/>
      <c r="VTS1378" s="53"/>
      <c r="VTT1378" s="53"/>
      <c r="VTU1378" s="53"/>
      <c r="VTV1378" s="53"/>
      <c r="VTW1378" s="53"/>
      <c r="VTX1378" s="53"/>
      <c r="VTY1378" s="53"/>
      <c r="VTZ1378" s="53"/>
      <c r="VUA1378" s="53"/>
      <c r="VUB1378" s="53"/>
      <c r="VUC1378" s="53"/>
      <c r="VUD1378" s="53"/>
      <c r="VUE1378" s="53"/>
      <c r="VUF1378" s="53"/>
      <c r="VUG1378" s="53"/>
      <c r="VUH1378" s="53"/>
      <c r="VUI1378" s="53"/>
      <c r="VUJ1378" s="53"/>
      <c r="VUK1378" s="53"/>
      <c r="VUL1378" s="53"/>
      <c r="VUM1378" s="53"/>
      <c r="VUN1378" s="53"/>
      <c r="VUO1378" s="53"/>
      <c r="VUP1378" s="53"/>
      <c r="VUQ1378" s="53"/>
      <c r="VUR1378" s="53"/>
      <c r="VUS1378" s="53"/>
      <c r="VUT1378" s="53"/>
      <c r="VUU1378" s="53"/>
      <c r="VUV1378" s="53"/>
      <c r="VUW1378" s="53"/>
      <c r="VUX1378" s="53"/>
      <c r="VUY1378" s="53"/>
      <c r="VUZ1378" s="53"/>
      <c r="VVA1378" s="53"/>
      <c r="VVB1378" s="53"/>
      <c r="VVC1378" s="53"/>
      <c r="VVD1378" s="53"/>
      <c r="VVE1378" s="53"/>
      <c r="VVF1378" s="53"/>
      <c r="VVG1378" s="53"/>
      <c r="VVH1378" s="53"/>
      <c r="VVI1378" s="53"/>
      <c r="VVJ1378" s="53"/>
      <c r="VVK1378" s="53"/>
      <c r="VVL1378" s="53"/>
      <c r="VVM1378" s="53"/>
      <c r="VVN1378" s="53"/>
      <c r="VVO1378" s="53"/>
      <c r="VVP1378" s="53"/>
      <c r="VVQ1378" s="53"/>
      <c r="VVR1378" s="53"/>
      <c r="VVS1378" s="53"/>
      <c r="VVT1378" s="53"/>
      <c r="VVU1378" s="53"/>
      <c r="VVV1378" s="53"/>
      <c r="VVW1378" s="53"/>
      <c r="VVX1378" s="53"/>
      <c r="VVY1378" s="53"/>
      <c r="VVZ1378" s="53"/>
      <c r="VWA1378" s="53"/>
      <c r="VWB1378" s="53"/>
      <c r="VWC1378" s="53"/>
      <c r="VWD1378" s="53"/>
      <c r="VWE1378" s="53"/>
      <c r="VWF1378" s="53"/>
      <c r="VWG1378" s="53"/>
      <c r="VWH1378" s="53"/>
      <c r="VWI1378" s="53"/>
      <c r="VWJ1378" s="53"/>
      <c r="VWK1378" s="53"/>
      <c r="VWL1378" s="53"/>
      <c r="VWM1378" s="53"/>
      <c r="VWN1378" s="53"/>
      <c r="VWO1378" s="53"/>
      <c r="VWP1378" s="53"/>
      <c r="VWQ1378" s="53"/>
      <c r="VWR1378" s="53"/>
      <c r="VWS1378" s="53"/>
      <c r="VWT1378" s="53"/>
      <c r="VWU1378" s="53"/>
      <c r="VWV1378" s="53"/>
      <c r="VWW1378" s="53"/>
      <c r="VWX1378" s="53"/>
      <c r="VWY1378" s="53"/>
      <c r="VWZ1378" s="53"/>
      <c r="VXA1378" s="53"/>
      <c r="VXB1378" s="53"/>
      <c r="VXC1378" s="53"/>
      <c r="VXD1378" s="53"/>
      <c r="VXE1378" s="53"/>
      <c r="VXF1378" s="53"/>
      <c r="VXG1378" s="53"/>
      <c r="VXH1378" s="53"/>
      <c r="VXI1378" s="53"/>
      <c r="VXJ1378" s="53"/>
      <c r="VXK1378" s="53"/>
      <c r="VXL1378" s="53"/>
      <c r="VXM1378" s="53"/>
      <c r="VXN1378" s="53"/>
      <c r="VXO1378" s="53"/>
      <c r="VXP1378" s="53"/>
      <c r="VXQ1378" s="53"/>
      <c r="VXR1378" s="53"/>
      <c r="VXS1378" s="53"/>
      <c r="VXT1378" s="53"/>
      <c r="VXU1378" s="53"/>
      <c r="VXV1378" s="53"/>
      <c r="VXW1378" s="53"/>
      <c r="VXX1378" s="53"/>
      <c r="VXY1378" s="53"/>
      <c r="VXZ1378" s="53"/>
      <c r="VYA1378" s="53"/>
      <c r="VYB1378" s="53"/>
      <c r="VYC1378" s="53"/>
      <c r="VYD1378" s="53"/>
      <c r="VYE1378" s="53"/>
      <c r="VYF1378" s="53"/>
      <c r="VYG1378" s="53"/>
      <c r="VYH1378" s="53"/>
      <c r="VYI1378" s="53"/>
      <c r="VYJ1378" s="53"/>
      <c r="VYK1378" s="53"/>
      <c r="VYL1378" s="53"/>
      <c r="VYM1378" s="53"/>
      <c r="VYN1378" s="53"/>
      <c r="VYO1378" s="53"/>
      <c r="VYP1378" s="53"/>
      <c r="VYQ1378" s="53"/>
      <c r="VYR1378" s="53"/>
      <c r="VYS1378" s="53"/>
      <c r="VYT1378" s="53"/>
      <c r="VYU1378" s="53"/>
      <c r="VYV1378" s="53"/>
      <c r="VYW1378" s="53"/>
      <c r="VYX1378" s="53"/>
      <c r="VYY1378" s="53"/>
      <c r="VYZ1378" s="53"/>
      <c r="VZA1378" s="53"/>
      <c r="VZB1378" s="53"/>
      <c r="VZC1378" s="53"/>
      <c r="VZD1378" s="53"/>
      <c r="VZE1378" s="53"/>
      <c r="VZF1378" s="53"/>
      <c r="VZG1378" s="53"/>
      <c r="VZH1378" s="53"/>
      <c r="VZI1378" s="53"/>
      <c r="VZJ1378" s="53"/>
      <c r="VZK1378" s="53"/>
      <c r="VZL1378" s="53"/>
      <c r="VZM1378" s="53"/>
      <c r="VZN1378" s="53"/>
      <c r="VZO1378" s="53"/>
      <c r="VZP1378" s="53"/>
      <c r="VZQ1378" s="53"/>
      <c r="VZR1378" s="53"/>
      <c r="VZS1378" s="53"/>
      <c r="VZT1378" s="53"/>
      <c r="VZU1378" s="53"/>
      <c r="VZV1378" s="53"/>
      <c r="VZW1378" s="53"/>
      <c r="VZX1378" s="53"/>
      <c r="VZY1378" s="53"/>
      <c r="VZZ1378" s="53"/>
      <c r="WAA1378" s="53"/>
      <c r="WAB1378" s="53"/>
      <c r="WAC1378" s="53"/>
      <c r="WAD1378" s="53"/>
      <c r="WAE1378" s="53"/>
      <c r="WAF1378" s="53"/>
      <c r="WAG1378" s="53"/>
      <c r="WAH1378" s="53"/>
      <c r="WAI1378" s="53"/>
      <c r="WAJ1378" s="53"/>
      <c r="WAK1378" s="53"/>
      <c r="WAL1378" s="53"/>
      <c r="WAM1378" s="53"/>
      <c r="WAN1378" s="53"/>
      <c r="WAO1378" s="53"/>
      <c r="WAP1378" s="53"/>
      <c r="WAQ1378" s="53"/>
      <c r="WAR1378" s="53"/>
      <c r="WAS1378" s="53"/>
      <c r="WAT1378" s="53"/>
      <c r="WAU1378" s="53"/>
      <c r="WAV1378" s="53"/>
      <c r="WAW1378" s="53"/>
      <c r="WAX1378" s="53"/>
      <c r="WAY1378" s="53"/>
      <c r="WAZ1378" s="53"/>
      <c r="WBA1378" s="53"/>
      <c r="WBB1378" s="53"/>
      <c r="WBC1378" s="53"/>
      <c r="WBD1378" s="53"/>
      <c r="WBE1378" s="53"/>
      <c r="WBF1378" s="53"/>
      <c r="WBG1378" s="53"/>
      <c r="WBH1378" s="53"/>
      <c r="WBI1378" s="53"/>
      <c r="WBJ1378" s="53"/>
      <c r="WBK1378" s="53"/>
      <c r="WBL1378" s="53"/>
      <c r="WBM1378" s="53"/>
      <c r="WBN1378" s="53"/>
      <c r="WBO1378" s="53"/>
      <c r="WBP1378" s="53"/>
      <c r="WBQ1378" s="53"/>
      <c r="WBR1378" s="53"/>
      <c r="WBS1378" s="53"/>
      <c r="WBT1378" s="53"/>
      <c r="WBU1378" s="53"/>
      <c r="WBV1378" s="53"/>
      <c r="WBW1378" s="53"/>
      <c r="WBX1378" s="53"/>
      <c r="WBY1378" s="53"/>
      <c r="WBZ1378" s="53"/>
      <c r="WCA1378" s="53"/>
      <c r="WCB1378" s="53"/>
      <c r="WCC1378" s="53"/>
      <c r="WCD1378" s="53"/>
      <c r="WCE1378" s="53"/>
      <c r="WCF1378" s="53"/>
      <c r="WCG1378" s="53"/>
      <c r="WCH1378" s="53"/>
      <c r="WCI1378" s="53"/>
      <c r="WCJ1378" s="53"/>
      <c r="WCK1378" s="53"/>
      <c r="WCL1378" s="53"/>
      <c r="WCM1378" s="53"/>
      <c r="WCN1378" s="53"/>
      <c r="WCO1378" s="53"/>
      <c r="WCP1378" s="53"/>
      <c r="WCQ1378" s="53"/>
      <c r="WCR1378" s="53"/>
      <c r="WCS1378" s="53"/>
      <c r="WCT1378" s="53"/>
      <c r="WCU1378" s="53"/>
      <c r="WCV1378" s="53"/>
      <c r="WCW1378" s="53"/>
      <c r="WCX1378" s="53"/>
      <c r="WCY1378" s="53"/>
      <c r="WCZ1378" s="53"/>
      <c r="WDA1378" s="53"/>
      <c r="WDB1378" s="53"/>
      <c r="WDC1378" s="53"/>
      <c r="WDD1378" s="53"/>
      <c r="WDE1378" s="53"/>
      <c r="WDF1378" s="53"/>
      <c r="WDG1378" s="53"/>
      <c r="WDH1378" s="53"/>
      <c r="WDI1378" s="53"/>
      <c r="WDJ1378" s="53"/>
      <c r="WDK1378" s="53"/>
      <c r="WDL1378" s="53"/>
      <c r="WDM1378" s="53"/>
      <c r="WDN1378" s="53"/>
      <c r="WDO1378" s="53"/>
      <c r="WDP1378" s="53"/>
      <c r="WDQ1378" s="53"/>
      <c r="WDR1378" s="53"/>
      <c r="WDS1378" s="53"/>
      <c r="WDT1378" s="53"/>
      <c r="WDU1378" s="53"/>
      <c r="WDV1378" s="53"/>
      <c r="WDW1378" s="53"/>
      <c r="WDX1378" s="53"/>
      <c r="WDY1378" s="53"/>
      <c r="WDZ1378" s="53"/>
      <c r="WEA1378" s="53"/>
      <c r="WEB1378" s="53"/>
      <c r="WEC1378" s="53"/>
      <c r="WED1378" s="53"/>
      <c r="WEE1378" s="53"/>
      <c r="WEF1378" s="53"/>
      <c r="WEG1378" s="53"/>
      <c r="WEH1378" s="53"/>
      <c r="WEI1378" s="53"/>
      <c r="WEJ1378" s="53"/>
      <c r="WEK1378" s="53"/>
      <c r="WEL1378" s="53"/>
      <c r="WEM1378" s="53"/>
      <c r="WEN1378" s="53"/>
      <c r="WEO1378" s="53"/>
      <c r="WEP1378" s="53"/>
      <c r="WEQ1378" s="53"/>
      <c r="WER1378" s="53"/>
      <c r="WES1378" s="53"/>
      <c r="WET1378" s="53"/>
      <c r="WEU1378" s="53"/>
      <c r="WEV1378" s="53"/>
      <c r="WEW1378" s="53"/>
      <c r="WEX1378" s="53"/>
      <c r="WEY1378" s="53"/>
      <c r="WEZ1378" s="53"/>
      <c r="WFA1378" s="53"/>
      <c r="WFB1378" s="53"/>
      <c r="WFC1378" s="53"/>
      <c r="WFD1378" s="53"/>
      <c r="WFE1378" s="53"/>
      <c r="WFF1378" s="53"/>
      <c r="WFG1378" s="53"/>
      <c r="WFH1378" s="53"/>
      <c r="WFI1378" s="53"/>
      <c r="WFJ1378" s="53"/>
      <c r="WFK1378" s="53"/>
      <c r="WFL1378" s="53"/>
      <c r="WFM1378" s="53"/>
      <c r="WFN1378" s="53"/>
      <c r="WFO1378" s="53"/>
      <c r="WFP1378" s="53"/>
      <c r="WFQ1378" s="53"/>
      <c r="WFR1378" s="53"/>
      <c r="WFS1378" s="53"/>
      <c r="WFT1378" s="53"/>
      <c r="WFU1378" s="53"/>
      <c r="WFV1378" s="53"/>
      <c r="WFW1378" s="53"/>
      <c r="WFX1378" s="53"/>
      <c r="WFY1378" s="53"/>
      <c r="WFZ1378" s="53"/>
      <c r="WGA1378" s="53"/>
      <c r="WGB1378" s="53"/>
      <c r="WGC1378" s="53"/>
      <c r="WGD1378" s="53"/>
      <c r="WGE1378" s="53"/>
      <c r="WGF1378" s="53"/>
      <c r="WGG1378" s="53"/>
      <c r="WGH1378" s="53"/>
      <c r="WGI1378" s="53"/>
      <c r="WGJ1378" s="53"/>
      <c r="WGK1378" s="53"/>
      <c r="WGL1378" s="53"/>
      <c r="WGM1378" s="53"/>
      <c r="WGN1378" s="53"/>
      <c r="WGO1378" s="53"/>
      <c r="WGP1378" s="53"/>
      <c r="WGQ1378" s="53"/>
      <c r="WGR1378" s="53"/>
      <c r="WGS1378" s="53"/>
      <c r="WGT1378" s="53"/>
      <c r="WGU1378" s="53"/>
      <c r="WGV1378" s="53"/>
      <c r="WGW1378" s="53"/>
      <c r="WGX1378" s="53"/>
      <c r="WGY1378" s="53"/>
      <c r="WGZ1378" s="53"/>
      <c r="WHA1378" s="53"/>
      <c r="WHB1378" s="53"/>
      <c r="WHC1378" s="53"/>
      <c r="WHD1378" s="53"/>
      <c r="WHE1378" s="53"/>
      <c r="WHF1378" s="53"/>
      <c r="WHG1378" s="53"/>
      <c r="WHH1378" s="53"/>
      <c r="WHI1378" s="53"/>
      <c r="WHJ1378" s="53"/>
      <c r="WHK1378" s="53"/>
      <c r="WHL1378" s="53"/>
      <c r="WHM1378" s="53"/>
      <c r="WHN1378" s="53"/>
      <c r="WHO1378" s="53"/>
      <c r="WHP1378" s="53"/>
      <c r="WHQ1378" s="53"/>
      <c r="WHR1378" s="53"/>
      <c r="WHS1378" s="53"/>
      <c r="WHT1378" s="53"/>
      <c r="WHU1378" s="53"/>
      <c r="WHV1378" s="53"/>
      <c r="WHW1378" s="53"/>
      <c r="WHX1378" s="53"/>
      <c r="WHY1378" s="53"/>
      <c r="WHZ1378" s="53"/>
      <c r="WIA1378" s="53"/>
      <c r="WIB1378" s="53"/>
      <c r="WIC1378" s="53"/>
      <c r="WID1378" s="53"/>
      <c r="WIE1378" s="53"/>
      <c r="WIF1378" s="53"/>
      <c r="WIG1378" s="53"/>
      <c r="WIH1378" s="53"/>
      <c r="WII1378" s="53"/>
      <c r="WIJ1378" s="53"/>
      <c r="WIK1378" s="53"/>
      <c r="WIL1378" s="53"/>
      <c r="WIM1378" s="53"/>
      <c r="WIN1378" s="53"/>
      <c r="WIO1378" s="53"/>
      <c r="WIP1378" s="53"/>
      <c r="WIQ1378" s="53"/>
      <c r="WIR1378" s="53"/>
      <c r="WIS1378" s="53"/>
      <c r="WIT1378" s="53"/>
      <c r="WIU1378" s="53"/>
      <c r="WIV1378" s="53"/>
      <c r="WIW1378" s="53"/>
      <c r="WIX1378" s="53"/>
      <c r="WIY1378" s="53"/>
      <c r="WIZ1378" s="53"/>
      <c r="WJA1378" s="53"/>
      <c r="WJB1378" s="53"/>
      <c r="WJC1378" s="53"/>
      <c r="WJD1378" s="53"/>
      <c r="WJE1378" s="53"/>
      <c r="WJF1378" s="53"/>
      <c r="WJG1378" s="53"/>
      <c r="WJH1378" s="53"/>
      <c r="WJI1378" s="53"/>
      <c r="WJJ1378" s="53"/>
      <c r="WJK1378" s="53"/>
      <c r="WJL1378" s="53"/>
      <c r="WJM1378" s="53"/>
      <c r="WJN1378" s="53"/>
      <c r="WJO1378" s="53"/>
      <c r="WJP1378" s="53"/>
      <c r="WJQ1378" s="53"/>
      <c r="WJR1378" s="53"/>
      <c r="WJS1378" s="53"/>
      <c r="WJT1378" s="53"/>
      <c r="WJU1378" s="53"/>
      <c r="WJV1378" s="53"/>
      <c r="WJW1378" s="53"/>
      <c r="WJX1378" s="53"/>
      <c r="WJY1378" s="53"/>
      <c r="WJZ1378" s="53"/>
      <c r="WKA1378" s="53"/>
      <c r="WKB1378" s="53"/>
      <c r="WKC1378" s="53"/>
      <c r="WKD1378" s="53"/>
      <c r="WKE1378" s="53"/>
      <c r="WKF1378" s="53"/>
      <c r="WKG1378" s="53"/>
      <c r="WKH1378" s="53"/>
      <c r="WKI1378" s="53"/>
      <c r="WKJ1378" s="53"/>
      <c r="WKK1378" s="53"/>
      <c r="WKL1378" s="53"/>
      <c r="WKM1378" s="53"/>
      <c r="WKN1378" s="53"/>
      <c r="WKO1378" s="53"/>
      <c r="WKP1378" s="53"/>
      <c r="WKQ1378" s="53"/>
      <c r="WKR1378" s="53"/>
      <c r="WKS1378" s="53"/>
      <c r="WKT1378" s="53"/>
      <c r="WKU1378" s="53"/>
      <c r="WKV1378" s="53"/>
      <c r="WKW1378" s="53"/>
      <c r="WKX1378" s="53"/>
      <c r="WKY1378" s="53"/>
      <c r="WKZ1378" s="53"/>
      <c r="WLA1378" s="53"/>
      <c r="WLB1378" s="53"/>
      <c r="WLC1378" s="53"/>
      <c r="WLD1378" s="53"/>
      <c r="WLE1378" s="53"/>
      <c r="WLF1378" s="53"/>
      <c r="WLG1378" s="53"/>
      <c r="WLH1378" s="53"/>
      <c r="WLI1378" s="53"/>
      <c r="WLJ1378" s="53"/>
      <c r="WLK1378" s="53"/>
      <c r="WLL1378" s="53"/>
      <c r="WLM1378" s="53"/>
      <c r="WLN1378" s="53"/>
      <c r="WLO1378" s="53"/>
      <c r="WLP1378" s="53"/>
      <c r="WLQ1378" s="53"/>
      <c r="WLR1378" s="53"/>
      <c r="WLS1378" s="53"/>
      <c r="WLT1378" s="53"/>
      <c r="WLU1378" s="53"/>
      <c r="WLV1378" s="53"/>
      <c r="WLW1378" s="53"/>
      <c r="WLX1378" s="53"/>
      <c r="WLY1378" s="53"/>
      <c r="WLZ1378" s="53"/>
      <c r="WMA1378" s="53"/>
      <c r="WMB1378" s="53"/>
      <c r="WMC1378" s="53"/>
      <c r="WMD1378" s="53"/>
      <c r="WME1378" s="53"/>
      <c r="WMF1378" s="53"/>
      <c r="WMG1378" s="53"/>
      <c r="WMH1378" s="53"/>
      <c r="WMI1378" s="53"/>
      <c r="WMJ1378" s="53"/>
      <c r="WMK1378" s="53"/>
      <c r="WML1378" s="53"/>
      <c r="WMM1378" s="53"/>
      <c r="WMN1378" s="53"/>
      <c r="WMO1378" s="53"/>
      <c r="WMP1378" s="53"/>
      <c r="WMQ1378" s="53"/>
      <c r="WMR1378" s="53"/>
      <c r="WMS1378" s="53"/>
      <c r="WMT1378" s="53"/>
      <c r="WMU1378" s="53"/>
      <c r="WMV1378" s="53"/>
      <c r="WMW1378" s="53"/>
      <c r="WMX1378" s="53"/>
      <c r="WMY1378" s="53"/>
      <c r="WMZ1378" s="53"/>
      <c r="WNA1378" s="53"/>
      <c r="WNB1378" s="53"/>
      <c r="WNC1378" s="53"/>
      <c r="WND1378" s="53"/>
      <c r="WNE1378" s="53"/>
      <c r="WNF1378" s="53"/>
      <c r="WNG1378" s="53"/>
      <c r="WNH1378" s="53"/>
      <c r="WNI1378" s="53"/>
      <c r="WNJ1378" s="53"/>
      <c r="WNK1378" s="53"/>
      <c r="WNL1378" s="53"/>
      <c r="WNM1378" s="53"/>
      <c r="WNN1378" s="53"/>
      <c r="WNO1378" s="53"/>
      <c r="WNP1378" s="53"/>
      <c r="WNQ1378" s="53"/>
      <c r="WNR1378" s="53"/>
      <c r="WNS1378" s="53"/>
      <c r="WNT1378" s="53"/>
      <c r="WNU1378" s="53"/>
      <c r="WNV1378" s="53"/>
      <c r="WNW1378" s="53"/>
      <c r="WNX1378" s="53"/>
      <c r="WNY1378" s="53"/>
      <c r="WNZ1378" s="53"/>
      <c r="WOA1378" s="53"/>
      <c r="WOB1378" s="53"/>
      <c r="WOC1378" s="53"/>
      <c r="WOD1378" s="53"/>
      <c r="WOE1378" s="53"/>
      <c r="WOF1378" s="53"/>
      <c r="WOG1378" s="53"/>
      <c r="WOH1378" s="53"/>
      <c r="WOI1378" s="53"/>
      <c r="WOJ1378" s="53"/>
      <c r="WOK1378" s="53"/>
      <c r="WOL1378" s="53"/>
      <c r="WOM1378" s="53"/>
      <c r="WON1378" s="53"/>
      <c r="WOO1378" s="53"/>
      <c r="WOP1378" s="53"/>
      <c r="WOQ1378" s="53"/>
      <c r="WOR1378" s="53"/>
      <c r="WOS1378" s="53"/>
      <c r="WOT1378" s="53"/>
      <c r="WOU1378" s="53"/>
      <c r="WOV1378" s="53"/>
      <c r="WOW1378" s="53"/>
      <c r="WOX1378" s="53"/>
      <c r="WOY1378" s="53"/>
      <c r="WOZ1378" s="53"/>
      <c r="WPA1378" s="53"/>
      <c r="WPB1378" s="53"/>
      <c r="WPC1378" s="53"/>
      <c r="WPD1378" s="53"/>
      <c r="WPE1378" s="53"/>
      <c r="WPF1378" s="53"/>
      <c r="WPG1378" s="53"/>
      <c r="WPH1378" s="53"/>
      <c r="WPI1378" s="53"/>
      <c r="WPJ1378" s="53"/>
      <c r="WPK1378" s="53"/>
      <c r="WPL1378" s="53"/>
      <c r="WPM1378" s="53"/>
      <c r="WPN1378" s="53"/>
      <c r="WPO1378" s="53"/>
      <c r="WPP1378" s="53"/>
      <c r="WPQ1378" s="53"/>
      <c r="WPR1378" s="53"/>
      <c r="WPS1378" s="53"/>
      <c r="WPT1378" s="53"/>
      <c r="WPU1378" s="53"/>
      <c r="WPV1378" s="53"/>
      <c r="WPW1378" s="53"/>
      <c r="WPX1378" s="53"/>
      <c r="WPY1378" s="53"/>
      <c r="WPZ1378" s="53"/>
      <c r="WQA1378" s="53"/>
      <c r="WQB1378" s="53"/>
      <c r="WQC1378" s="53"/>
      <c r="WQD1378" s="53"/>
      <c r="WQE1378" s="53"/>
      <c r="WQF1378" s="53"/>
      <c r="WQG1378" s="53"/>
      <c r="WQH1378" s="53"/>
      <c r="WQI1378" s="53"/>
      <c r="WQJ1378" s="53"/>
      <c r="WQK1378" s="53"/>
      <c r="WQL1378" s="53"/>
      <c r="WQM1378" s="53"/>
      <c r="WQN1378" s="53"/>
      <c r="WQO1378" s="53"/>
      <c r="WQP1378" s="53"/>
      <c r="WQQ1378" s="53"/>
      <c r="WQR1378" s="53"/>
      <c r="WQS1378" s="53"/>
      <c r="WQT1378" s="53"/>
      <c r="WQU1378" s="53"/>
      <c r="WQV1378" s="53"/>
      <c r="WQW1378" s="53"/>
      <c r="WQX1378" s="53"/>
      <c r="WQY1378" s="53"/>
      <c r="WQZ1378" s="53"/>
      <c r="WRA1378" s="53"/>
      <c r="WRB1378" s="53"/>
      <c r="WRC1378" s="53"/>
      <c r="WRD1378" s="53"/>
      <c r="WRE1378" s="53"/>
      <c r="WRF1378" s="53"/>
      <c r="WRG1378" s="53"/>
      <c r="WRH1378" s="53"/>
      <c r="WRI1378" s="53"/>
      <c r="WRJ1378" s="53"/>
      <c r="WRK1378" s="53"/>
      <c r="WRL1378" s="53"/>
      <c r="WRM1378" s="53"/>
      <c r="WRN1378" s="53"/>
      <c r="WRO1378" s="53"/>
      <c r="WRP1378" s="53"/>
      <c r="WRQ1378" s="53"/>
      <c r="WRR1378" s="53"/>
      <c r="WRS1378" s="53"/>
      <c r="WRT1378" s="53"/>
      <c r="WRU1378" s="53"/>
      <c r="WRV1378" s="53"/>
      <c r="WRW1378" s="53"/>
      <c r="WRX1378" s="53"/>
      <c r="WRY1378" s="53"/>
      <c r="WRZ1378" s="53"/>
      <c r="WSA1378" s="53"/>
      <c r="WSB1378" s="53"/>
      <c r="WSC1378" s="53"/>
      <c r="WSD1378" s="53"/>
      <c r="WSE1378" s="53"/>
      <c r="WSF1378" s="53"/>
      <c r="WSG1378" s="53"/>
      <c r="WSH1378" s="53"/>
      <c r="WSI1378" s="53"/>
      <c r="WSJ1378" s="53"/>
      <c r="WSK1378" s="53"/>
      <c r="WSL1378" s="53"/>
      <c r="WSM1378" s="53"/>
      <c r="WSN1378" s="53"/>
      <c r="WSO1378" s="53"/>
      <c r="WSP1378" s="53"/>
      <c r="WSQ1378" s="53"/>
      <c r="WSR1378" s="53"/>
      <c r="WSS1378" s="53"/>
      <c r="WST1378" s="53"/>
      <c r="WSU1378" s="53"/>
      <c r="WSV1378" s="53"/>
      <c r="WSW1378" s="53"/>
      <c r="WSX1378" s="53"/>
      <c r="WSY1378" s="53"/>
      <c r="WSZ1378" s="53"/>
      <c r="WTA1378" s="53"/>
      <c r="WTB1378" s="53"/>
      <c r="WTC1378" s="53"/>
      <c r="WTD1378" s="53"/>
      <c r="WTE1378" s="53"/>
      <c r="WTF1378" s="53"/>
      <c r="WTG1378" s="53"/>
      <c r="WTH1378" s="53"/>
      <c r="WTI1378" s="53"/>
      <c r="WTJ1378" s="53"/>
      <c r="WTK1378" s="53"/>
      <c r="WTL1378" s="53"/>
      <c r="WTM1378" s="53"/>
      <c r="WTN1378" s="53"/>
      <c r="WTO1378" s="53"/>
      <c r="WTP1378" s="53"/>
      <c r="WTQ1378" s="53"/>
      <c r="WTR1378" s="53"/>
      <c r="WTS1378" s="53"/>
      <c r="WTT1378" s="53"/>
      <c r="WTU1378" s="53"/>
      <c r="WTV1378" s="53"/>
      <c r="WTW1378" s="53"/>
      <c r="WTX1378" s="53"/>
      <c r="WTY1378" s="53"/>
      <c r="WTZ1378" s="53"/>
      <c r="WUA1378" s="53"/>
      <c r="WUB1378" s="53"/>
      <c r="WUC1378" s="53"/>
      <c r="WUD1378" s="53"/>
      <c r="WUE1378" s="53"/>
      <c r="WUF1378" s="53"/>
      <c r="WUG1378" s="53"/>
      <c r="WUH1378" s="53"/>
      <c r="WUI1378" s="53"/>
      <c r="WUJ1378" s="53"/>
      <c r="WUK1378" s="53"/>
      <c r="WUL1378" s="53"/>
      <c r="WUM1378" s="53"/>
      <c r="WUN1378" s="53"/>
      <c r="WUO1378" s="53"/>
      <c r="WUP1378" s="53"/>
      <c r="WUQ1378" s="53"/>
      <c r="WUR1378" s="53"/>
      <c r="WUS1378" s="53"/>
      <c r="WUT1378" s="53"/>
      <c r="WUU1378" s="53"/>
      <c r="WUV1378" s="53"/>
      <c r="WUW1378" s="53"/>
      <c r="WUX1378" s="53"/>
      <c r="WUY1378" s="53"/>
      <c r="WUZ1378" s="53"/>
      <c r="WVA1378" s="53"/>
      <c r="WVB1378" s="53"/>
      <c r="WVC1378" s="53"/>
      <c r="WVD1378" s="53"/>
      <c r="WVE1378" s="53"/>
      <c r="WVF1378" s="53"/>
      <c r="WVG1378" s="53"/>
      <c r="WVH1378" s="53"/>
      <c r="WVI1378" s="53"/>
      <c r="WVJ1378" s="53"/>
      <c r="WVK1378" s="53"/>
      <c r="WVL1378" s="53"/>
      <c r="WVM1378" s="53"/>
      <c r="WVN1378" s="53"/>
      <c r="WVO1378" s="53"/>
      <c r="WVP1378" s="53"/>
      <c r="WVQ1378" s="53"/>
      <c r="WVR1378" s="53"/>
      <c r="WVS1378" s="53"/>
      <c r="WVT1378" s="53"/>
      <c r="WVU1378" s="53"/>
      <c r="WVV1378" s="53"/>
      <c r="WVW1378" s="53"/>
      <c r="WVX1378" s="53"/>
      <c r="WVY1378" s="53"/>
      <c r="WVZ1378" s="53"/>
      <c r="WWA1378" s="53"/>
      <c r="WWB1378" s="53"/>
      <c r="WWC1378" s="53"/>
      <c r="WWD1378" s="53"/>
      <c r="WWE1378" s="53"/>
      <c r="WWF1378" s="53"/>
      <c r="WWG1378" s="53"/>
      <c r="WWH1378" s="53"/>
      <c r="WWI1378" s="53"/>
      <c r="WWJ1378" s="53"/>
      <c r="WWK1378" s="53"/>
      <c r="WWL1378" s="53"/>
      <c r="WWM1378" s="53"/>
      <c r="WWN1378" s="53"/>
      <c r="WWO1378" s="53"/>
      <c r="WWP1378" s="53"/>
      <c r="WWQ1378" s="53"/>
      <c r="WWR1378" s="53"/>
      <c r="WWS1378" s="53"/>
      <c r="WWT1378" s="53"/>
      <c r="WWU1378" s="53"/>
      <c r="WWV1378" s="53"/>
      <c r="WWW1378" s="53"/>
      <c r="WWX1378" s="53"/>
      <c r="WWY1378" s="53"/>
      <c r="WWZ1378" s="53"/>
      <c r="WXA1378" s="53"/>
      <c r="WXB1378" s="53"/>
      <c r="WXC1378" s="53"/>
      <c r="WXD1378" s="53"/>
      <c r="WXE1378" s="53"/>
      <c r="WXF1378" s="53"/>
      <c r="WXG1378" s="53"/>
      <c r="WXH1378" s="53"/>
      <c r="WXI1378" s="53"/>
      <c r="WXJ1378" s="53"/>
      <c r="WXK1378" s="53"/>
      <c r="WXL1378" s="53"/>
      <c r="WXM1378" s="53"/>
      <c r="WXN1378" s="53"/>
      <c r="WXO1378" s="53"/>
      <c r="WXP1378" s="53"/>
      <c r="WXQ1378" s="53"/>
      <c r="WXR1378" s="53"/>
      <c r="WXS1378" s="53"/>
      <c r="WXT1378" s="53"/>
      <c r="WXU1378" s="53"/>
      <c r="WXV1378" s="53"/>
      <c r="WXW1378" s="53"/>
      <c r="WXX1378" s="53"/>
      <c r="WXY1378" s="53"/>
      <c r="WXZ1378" s="53"/>
      <c r="WYA1378" s="53"/>
      <c r="WYB1378" s="53"/>
      <c r="WYC1378" s="53"/>
      <c r="WYD1378" s="53"/>
      <c r="WYE1378" s="53"/>
      <c r="WYF1378" s="53"/>
      <c r="WYG1378" s="53"/>
      <c r="WYH1378" s="53"/>
      <c r="WYI1378" s="53"/>
      <c r="WYJ1378" s="53"/>
      <c r="WYK1378" s="53"/>
      <c r="WYL1378" s="53"/>
      <c r="WYM1378" s="53"/>
      <c r="WYN1378" s="53"/>
      <c r="WYO1378" s="53"/>
      <c r="WYP1378" s="53"/>
      <c r="WYQ1378" s="53"/>
      <c r="WYR1378" s="53"/>
      <c r="WYS1378" s="53"/>
      <c r="WYT1378" s="53"/>
      <c r="WYU1378" s="53"/>
      <c r="WYV1378" s="53"/>
      <c r="WYW1378" s="53"/>
      <c r="WYX1378" s="53"/>
      <c r="WYY1378" s="53"/>
      <c r="WYZ1378" s="53"/>
      <c r="WZA1378" s="53"/>
      <c r="WZB1378" s="53"/>
      <c r="WZC1378" s="53"/>
      <c r="WZD1378" s="53"/>
      <c r="WZE1378" s="53"/>
      <c r="WZF1378" s="53"/>
      <c r="WZG1378" s="53"/>
      <c r="WZH1378" s="53"/>
      <c r="WZI1378" s="53"/>
      <c r="WZJ1378" s="53"/>
      <c r="WZK1378" s="53"/>
      <c r="WZL1378" s="53"/>
      <c r="WZM1378" s="53"/>
      <c r="WZN1378" s="53"/>
      <c r="WZO1378" s="53"/>
      <c r="WZP1378" s="53"/>
      <c r="WZQ1378" s="53"/>
      <c r="WZR1378" s="53"/>
      <c r="WZS1378" s="53"/>
      <c r="WZT1378" s="53"/>
      <c r="WZU1378" s="53"/>
      <c r="WZV1378" s="53"/>
      <c r="WZW1378" s="53"/>
      <c r="WZX1378" s="53"/>
      <c r="WZY1378" s="53"/>
      <c r="WZZ1378" s="53"/>
      <c r="XAA1378" s="53"/>
      <c r="XAB1378" s="53"/>
      <c r="XAC1378" s="53"/>
      <c r="XAD1378" s="53"/>
      <c r="XAE1378" s="53"/>
      <c r="XAF1378" s="53"/>
      <c r="XAG1378" s="53"/>
      <c r="XAH1378" s="53"/>
      <c r="XAI1378" s="53"/>
      <c r="XAJ1378" s="53"/>
      <c r="XAK1378" s="53"/>
      <c r="XAL1378" s="53"/>
      <c r="XAM1378" s="53"/>
      <c r="XAN1378" s="53"/>
      <c r="XAO1378" s="53"/>
      <c r="XAP1378" s="53"/>
      <c r="XAQ1378" s="53"/>
      <c r="XAR1378" s="53"/>
      <c r="XAS1378" s="53"/>
      <c r="XAT1378" s="53"/>
      <c r="XAU1378" s="53"/>
      <c r="XAV1378" s="53"/>
      <c r="XAW1378" s="53"/>
      <c r="XAX1378" s="53"/>
      <c r="XAY1378" s="53"/>
      <c r="XAZ1378" s="53"/>
      <c r="XBA1378" s="53"/>
      <c r="XBB1378" s="53"/>
      <c r="XBC1378" s="53"/>
      <c r="XBD1378" s="53"/>
      <c r="XBE1378" s="53"/>
      <c r="XBF1378" s="53"/>
      <c r="XBG1378" s="53"/>
      <c r="XBH1378" s="53"/>
      <c r="XBI1378" s="53"/>
      <c r="XBJ1378" s="53"/>
      <c r="XBK1378" s="53"/>
      <c r="XBL1378" s="53"/>
      <c r="XBM1378" s="53"/>
      <c r="XBN1378" s="53"/>
      <c r="XBO1378" s="53"/>
      <c r="XBP1378" s="53"/>
      <c r="XBQ1378" s="53"/>
      <c r="XBR1378" s="53"/>
      <c r="XBS1378" s="53"/>
      <c r="XBT1378" s="53"/>
      <c r="XBU1378" s="53"/>
      <c r="XBV1378" s="53"/>
      <c r="XBW1378" s="53"/>
      <c r="XBX1378" s="53"/>
      <c r="XBY1378" s="53"/>
      <c r="XBZ1378" s="53"/>
      <c r="XCA1378" s="53"/>
      <c r="XCB1378" s="53"/>
      <c r="XCC1378" s="53"/>
      <c r="XCD1378" s="53"/>
      <c r="XCE1378" s="53"/>
      <c r="XCF1378" s="53"/>
      <c r="XCG1378" s="53"/>
      <c r="XCH1378" s="53"/>
      <c r="XCI1378" s="53"/>
      <c r="XCJ1378" s="53"/>
      <c r="XCK1378" s="53"/>
      <c r="XCL1378" s="53"/>
      <c r="XCM1378" s="53"/>
      <c r="XCN1378" s="53"/>
      <c r="XCO1378" s="53"/>
      <c r="XCP1378" s="53"/>
      <c r="XCQ1378" s="53"/>
      <c r="XCR1378" s="53"/>
      <c r="XCS1378" s="53"/>
      <c r="XCT1378" s="53"/>
      <c r="XCU1378" s="53"/>
      <c r="XCV1378" s="53"/>
      <c r="XCW1378" s="53"/>
      <c r="XCX1378" s="53"/>
      <c r="XCY1378" s="53"/>
      <c r="XCZ1378" s="53"/>
      <c r="XDA1378" s="53"/>
      <c r="XDB1378" s="53"/>
      <c r="XDC1378" s="53"/>
      <c r="XDD1378" s="53"/>
      <c r="XDE1378" s="53"/>
      <c r="XDF1378" s="53"/>
      <c r="XDG1378" s="53"/>
      <c r="XDH1378" s="53"/>
      <c r="XDI1378" s="53"/>
      <c r="XDJ1378" s="53"/>
      <c r="XDK1378" s="53"/>
      <c r="XDL1378" s="53"/>
      <c r="XDM1378" s="53"/>
      <c r="XDN1378" s="53"/>
      <c r="XDO1378" s="53"/>
      <c r="XDP1378" s="53"/>
      <c r="XDQ1378" s="53"/>
      <c r="XDR1378" s="53"/>
      <c r="XDS1378" s="53"/>
      <c r="XDT1378" s="53"/>
      <c r="XDU1378" s="53"/>
      <c r="XDV1378" s="53"/>
      <c r="XDW1378" s="53"/>
      <c r="XDX1378" s="53"/>
      <c r="XDY1378" s="53"/>
      <c r="XDZ1378" s="53"/>
      <c r="XEA1378" s="53"/>
      <c r="XEB1378" s="53"/>
      <c r="XEC1378" s="53"/>
      <c r="XED1378" s="53"/>
      <c r="XEE1378" s="53"/>
      <c r="XEF1378" s="53"/>
      <c r="XEG1378" s="53"/>
      <c r="XEH1378" s="53"/>
      <c r="XEI1378" s="53"/>
      <c r="XEJ1378" s="53"/>
      <c r="XEK1378" s="53"/>
      <c r="XEL1378" s="53"/>
      <c r="XEM1378" s="53"/>
      <c r="XEN1378" s="53"/>
      <c r="XEO1378" s="53"/>
      <c r="XEP1378" s="53"/>
      <c r="XEQ1378" s="53"/>
      <c r="XER1378" s="53"/>
      <c r="XES1378" s="53"/>
      <c r="XET1378" s="53"/>
      <c r="XEU1378" s="53"/>
      <c r="XEV1378" s="53"/>
      <c r="XEW1378" s="53"/>
      <c r="XEX1378" s="53"/>
      <c r="XEY1378" s="53"/>
      <c r="XEZ1378" s="53"/>
      <c r="XFA1378" s="53"/>
      <c r="XFB1378" s="53"/>
    </row>
    <row r="1379" spans="1:16382" s="216" customFormat="1" ht="11.25" customHeight="1" x14ac:dyDescent="0.15">
      <c r="A1379" s="53" t="s">
        <v>137</v>
      </c>
      <c r="B1379" s="53"/>
      <c r="C1379" s="54" t="s">
        <v>177</v>
      </c>
      <c r="D1379" s="54">
        <v>2024</v>
      </c>
      <c r="E1379" s="70">
        <v>45322</v>
      </c>
      <c r="F1379" s="54"/>
      <c r="G1379" s="54"/>
      <c r="H1379" s="54"/>
      <c r="I1379" s="54"/>
      <c r="J1379" s="54"/>
      <c r="K1379" s="106"/>
      <c r="L1379" s="24">
        <v>40005.619999999995</v>
      </c>
      <c r="M1379" s="24">
        <f t="shared" ref="M1379:N1379" si="972">SUM(M1377:M1378)</f>
        <v>12001.644</v>
      </c>
      <c r="N1379" s="24">
        <f t="shared" si="972"/>
        <v>28003.836000000003</v>
      </c>
      <c r="O1379" s="57">
        <f>IFERROR(N1379/L1379,"")</f>
        <v>0.69999755034417677</v>
      </c>
      <c r="P1379" s="24">
        <f>SUM(P1377:P1378)</f>
        <v>40005.479999999996</v>
      </c>
      <c r="Q1379" s="24"/>
      <c r="R1379" s="117">
        <f>SUM(R1377:R1378)</f>
        <v>61.5</v>
      </c>
      <c r="S1379" s="117">
        <f t="shared" ref="S1379:W1379" si="973">SUM(S1377:S1378)</f>
        <v>2760.12</v>
      </c>
      <c r="T1379" s="117">
        <f t="shared" si="973"/>
        <v>4127.7299999999996</v>
      </c>
      <c r="U1379" s="117">
        <f t="shared" si="973"/>
        <v>1785</v>
      </c>
      <c r="V1379" s="117">
        <f t="shared" si="973"/>
        <v>171.09</v>
      </c>
      <c r="W1379" s="26">
        <f t="shared" si="973"/>
        <v>8843.9399999999987</v>
      </c>
      <c r="X1379" s="56">
        <f t="shared" si="966"/>
        <v>44.879999999999995</v>
      </c>
      <c r="Y1379" s="57">
        <f t="shared" si="967"/>
        <v>4.4618887212451899E-2</v>
      </c>
      <c r="Z1379" s="28">
        <f t="shared" si="968"/>
        <v>31161.539999999997</v>
      </c>
      <c r="AA1379" s="57">
        <f t="shared" si="969"/>
        <v>0.77893178634527072</v>
      </c>
      <c r="AB1379" s="58">
        <f t="shared" si="970"/>
        <v>3157.7040000000015</v>
      </c>
      <c r="AC1379" s="57">
        <f t="shared" si="971"/>
        <v>7.8934236001093949E-2</v>
      </c>
      <c r="AD1379" s="53"/>
      <c r="AE1379" s="53"/>
      <c r="AF1379" s="53"/>
      <c r="AG1379" s="61"/>
      <c r="AH1379" s="53"/>
      <c r="AI1379" s="53"/>
      <c r="AJ1379" s="53"/>
      <c r="AK1379" s="53"/>
      <c r="AL1379" s="53"/>
      <c r="AM1379" s="53"/>
      <c r="AN1379" s="53"/>
      <c r="AO1379" s="53"/>
      <c r="AP1379" s="53"/>
      <c r="AQ1379" s="53"/>
      <c r="AR1379" s="53"/>
      <c r="AS1379" s="53"/>
      <c r="AT1379" s="53"/>
      <c r="AU1379" s="53"/>
      <c r="AV1379" s="53"/>
      <c r="AW1379" s="53"/>
      <c r="AX1379" s="53"/>
      <c r="AY1379" s="53"/>
      <c r="AZ1379" s="53"/>
      <c r="BA1379" s="53"/>
      <c r="BB1379" s="53"/>
      <c r="BC1379" s="53"/>
      <c r="BD1379" s="53"/>
      <c r="BE1379" s="53"/>
      <c r="BF1379" s="53"/>
      <c r="BG1379" s="53"/>
      <c r="BH1379" s="53"/>
      <c r="BI1379" s="53"/>
      <c r="BJ1379" s="53"/>
      <c r="BK1379" s="53"/>
      <c r="BL1379" s="53"/>
      <c r="BM1379" s="53"/>
      <c r="BN1379" s="53"/>
      <c r="BO1379" s="53"/>
      <c r="BP1379" s="53"/>
      <c r="BQ1379" s="53"/>
      <c r="BR1379" s="53"/>
      <c r="BS1379" s="53"/>
      <c r="BT1379" s="53"/>
      <c r="BU1379" s="53"/>
      <c r="BV1379" s="53"/>
      <c r="BW1379" s="53"/>
      <c r="BX1379" s="53"/>
      <c r="BY1379" s="53"/>
      <c r="BZ1379" s="53"/>
      <c r="CA1379" s="53"/>
      <c r="CB1379" s="53"/>
      <c r="CC1379" s="53"/>
      <c r="CD1379" s="53"/>
      <c r="CE1379" s="53"/>
      <c r="CF1379" s="53"/>
      <c r="CG1379" s="53"/>
      <c r="CH1379" s="53"/>
      <c r="CI1379" s="53"/>
      <c r="CJ1379" s="53"/>
      <c r="CK1379" s="53"/>
      <c r="CL1379" s="53"/>
      <c r="CM1379" s="53"/>
      <c r="CN1379" s="53"/>
      <c r="CO1379" s="53"/>
      <c r="CP1379" s="53"/>
      <c r="CQ1379" s="53"/>
      <c r="CR1379" s="53"/>
      <c r="CS1379" s="53"/>
      <c r="CT1379" s="53"/>
      <c r="CU1379" s="53"/>
      <c r="CV1379" s="53"/>
      <c r="CW1379" s="53"/>
      <c r="CX1379" s="53"/>
      <c r="CY1379" s="53"/>
      <c r="CZ1379" s="53"/>
      <c r="DA1379" s="53"/>
      <c r="DB1379" s="53"/>
      <c r="DC1379" s="53"/>
      <c r="DD1379" s="53"/>
      <c r="DE1379" s="53"/>
      <c r="DF1379" s="53"/>
      <c r="DG1379" s="53"/>
      <c r="DH1379" s="53"/>
      <c r="DI1379" s="53"/>
      <c r="DJ1379" s="53"/>
      <c r="DK1379" s="53"/>
      <c r="DL1379" s="53"/>
      <c r="DM1379" s="53"/>
      <c r="DN1379" s="53"/>
      <c r="DO1379" s="53"/>
      <c r="DP1379" s="53"/>
      <c r="DQ1379" s="53"/>
      <c r="DR1379" s="53"/>
      <c r="DS1379" s="53"/>
      <c r="DT1379" s="53"/>
      <c r="DU1379" s="53"/>
      <c r="DV1379" s="53"/>
      <c r="DW1379" s="53"/>
      <c r="DX1379" s="53"/>
      <c r="DY1379" s="53"/>
      <c r="DZ1379" s="53"/>
      <c r="EA1379" s="53"/>
      <c r="EB1379" s="53"/>
      <c r="EC1379" s="53"/>
      <c r="ED1379" s="53"/>
      <c r="EE1379" s="53"/>
      <c r="EF1379" s="53"/>
      <c r="EG1379" s="53"/>
      <c r="EH1379" s="53"/>
      <c r="EI1379" s="53"/>
      <c r="EJ1379" s="53"/>
      <c r="EK1379" s="53"/>
      <c r="EL1379" s="53"/>
      <c r="EM1379" s="53"/>
      <c r="EN1379" s="53"/>
      <c r="EO1379" s="53"/>
      <c r="EP1379" s="53"/>
      <c r="EQ1379" s="53"/>
      <c r="ER1379" s="53"/>
      <c r="ES1379" s="53"/>
      <c r="ET1379" s="53"/>
      <c r="EU1379" s="53"/>
      <c r="EV1379" s="53"/>
      <c r="EW1379" s="53"/>
      <c r="EX1379" s="53"/>
      <c r="EY1379" s="53"/>
      <c r="EZ1379" s="53"/>
      <c r="FA1379" s="53"/>
      <c r="FB1379" s="53"/>
      <c r="FC1379" s="53"/>
      <c r="FD1379" s="53"/>
      <c r="FE1379" s="53"/>
      <c r="FF1379" s="53"/>
      <c r="FG1379" s="53"/>
      <c r="FH1379" s="53"/>
      <c r="FI1379" s="53"/>
      <c r="FJ1379" s="53"/>
      <c r="FK1379" s="53"/>
      <c r="FL1379" s="53"/>
      <c r="FM1379" s="53"/>
      <c r="FN1379" s="53"/>
      <c r="FO1379" s="53"/>
      <c r="FP1379" s="53"/>
      <c r="FQ1379" s="53"/>
      <c r="FR1379" s="53"/>
      <c r="FS1379" s="53"/>
      <c r="FT1379" s="53"/>
      <c r="FU1379" s="53"/>
      <c r="FV1379" s="53"/>
      <c r="FW1379" s="53"/>
      <c r="FX1379" s="53"/>
      <c r="FY1379" s="53"/>
      <c r="FZ1379" s="53"/>
      <c r="GA1379" s="53"/>
      <c r="GB1379" s="53"/>
      <c r="GC1379" s="53"/>
      <c r="GD1379" s="53"/>
      <c r="GE1379" s="53"/>
      <c r="GF1379" s="53"/>
      <c r="GG1379" s="53"/>
      <c r="GH1379" s="53"/>
      <c r="GI1379" s="53"/>
      <c r="GJ1379" s="53"/>
      <c r="GK1379" s="53"/>
      <c r="GL1379" s="53"/>
      <c r="GM1379" s="53"/>
      <c r="GN1379" s="53"/>
      <c r="GO1379" s="53"/>
      <c r="GP1379" s="53"/>
      <c r="GQ1379" s="53"/>
      <c r="GR1379" s="53"/>
      <c r="GS1379" s="53"/>
      <c r="GT1379" s="53"/>
      <c r="GU1379" s="53"/>
      <c r="GV1379" s="53"/>
      <c r="GW1379" s="53"/>
      <c r="GX1379" s="53"/>
      <c r="GY1379" s="53"/>
      <c r="GZ1379" s="53"/>
      <c r="HA1379" s="53"/>
      <c r="HB1379" s="53"/>
      <c r="HC1379" s="53"/>
      <c r="HD1379" s="53"/>
      <c r="HE1379" s="53"/>
      <c r="HF1379" s="53"/>
      <c r="HG1379" s="53"/>
      <c r="HH1379" s="53"/>
      <c r="HI1379" s="53"/>
      <c r="HJ1379" s="53"/>
      <c r="HK1379" s="53"/>
      <c r="HL1379" s="53"/>
      <c r="HM1379" s="53"/>
      <c r="HN1379" s="53"/>
      <c r="HO1379" s="53"/>
      <c r="HP1379" s="53"/>
      <c r="HQ1379" s="53"/>
      <c r="HR1379" s="53"/>
      <c r="HS1379" s="53"/>
      <c r="HT1379" s="53"/>
      <c r="HU1379" s="53"/>
      <c r="HV1379" s="53"/>
      <c r="HW1379" s="53"/>
      <c r="HX1379" s="53"/>
      <c r="HY1379" s="53"/>
      <c r="HZ1379" s="53"/>
      <c r="IA1379" s="53"/>
      <c r="IB1379" s="53"/>
      <c r="IC1379" s="53"/>
      <c r="ID1379" s="53"/>
      <c r="IE1379" s="53"/>
      <c r="IF1379" s="53"/>
      <c r="IG1379" s="53"/>
      <c r="IH1379" s="53"/>
      <c r="II1379" s="53"/>
      <c r="IJ1379" s="53"/>
      <c r="IK1379" s="53"/>
      <c r="IL1379" s="53"/>
      <c r="IM1379" s="53"/>
      <c r="IN1379" s="53"/>
      <c r="IO1379" s="53"/>
      <c r="IP1379" s="53"/>
      <c r="IQ1379" s="53"/>
      <c r="IR1379" s="53"/>
      <c r="IS1379" s="53"/>
      <c r="IT1379" s="53"/>
      <c r="IU1379" s="53"/>
      <c r="IV1379" s="53"/>
      <c r="IW1379" s="53"/>
      <c r="IX1379" s="53"/>
      <c r="IY1379" s="53"/>
      <c r="IZ1379" s="53"/>
      <c r="JA1379" s="53"/>
      <c r="JB1379" s="53"/>
      <c r="JC1379" s="53"/>
      <c r="JD1379" s="53"/>
      <c r="JE1379" s="53"/>
      <c r="JF1379" s="53"/>
      <c r="JG1379" s="53"/>
      <c r="JH1379" s="53"/>
      <c r="JI1379" s="53"/>
      <c r="JJ1379" s="53"/>
      <c r="JK1379" s="53"/>
      <c r="JL1379" s="53"/>
      <c r="JM1379" s="53"/>
      <c r="JN1379" s="53"/>
      <c r="JO1379" s="53"/>
      <c r="JP1379" s="53"/>
      <c r="JQ1379" s="53"/>
      <c r="JR1379" s="53"/>
      <c r="JS1379" s="53"/>
      <c r="JT1379" s="53"/>
      <c r="JU1379" s="53"/>
      <c r="JV1379" s="53"/>
      <c r="JW1379" s="53"/>
      <c r="JX1379" s="53"/>
      <c r="JY1379" s="53"/>
      <c r="JZ1379" s="53"/>
      <c r="KA1379" s="53"/>
      <c r="KB1379" s="53"/>
      <c r="KC1379" s="53"/>
      <c r="KD1379" s="53"/>
      <c r="KE1379" s="53"/>
      <c r="KF1379" s="53"/>
      <c r="KG1379" s="53"/>
      <c r="KH1379" s="53"/>
      <c r="KI1379" s="53"/>
      <c r="KJ1379" s="53"/>
      <c r="KK1379" s="53"/>
      <c r="KL1379" s="53"/>
      <c r="KM1379" s="53"/>
      <c r="KN1379" s="53"/>
      <c r="KO1379" s="53"/>
      <c r="KP1379" s="53"/>
      <c r="KQ1379" s="53"/>
      <c r="KR1379" s="53"/>
      <c r="KS1379" s="53"/>
      <c r="KT1379" s="53"/>
      <c r="KU1379" s="53"/>
      <c r="KV1379" s="53"/>
      <c r="KW1379" s="53"/>
      <c r="KX1379" s="53"/>
      <c r="KY1379" s="53"/>
      <c r="KZ1379" s="53"/>
      <c r="LA1379" s="53"/>
      <c r="LB1379" s="53"/>
      <c r="LC1379" s="53"/>
      <c r="LD1379" s="53"/>
      <c r="LE1379" s="53"/>
      <c r="LF1379" s="53"/>
      <c r="LG1379" s="53"/>
      <c r="LH1379" s="53"/>
      <c r="LI1379" s="53"/>
      <c r="LJ1379" s="53"/>
      <c r="LK1379" s="53"/>
      <c r="LL1379" s="53"/>
      <c r="LM1379" s="53"/>
      <c r="LN1379" s="53"/>
      <c r="LO1379" s="53"/>
      <c r="LP1379" s="53"/>
      <c r="LQ1379" s="53"/>
      <c r="LR1379" s="53"/>
      <c r="LS1379" s="53"/>
      <c r="LT1379" s="53"/>
      <c r="LU1379" s="53"/>
      <c r="LV1379" s="53"/>
      <c r="LW1379" s="53"/>
      <c r="LX1379" s="53"/>
      <c r="LY1379" s="53"/>
      <c r="LZ1379" s="53"/>
      <c r="MA1379" s="53"/>
      <c r="MB1379" s="53"/>
      <c r="MC1379" s="53"/>
      <c r="MD1379" s="53"/>
      <c r="ME1379" s="53"/>
      <c r="MF1379" s="53"/>
      <c r="MG1379" s="53"/>
      <c r="MH1379" s="53"/>
      <c r="MI1379" s="53"/>
      <c r="MJ1379" s="53"/>
      <c r="MK1379" s="53"/>
      <c r="ML1379" s="53"/>
      <c r="MM1379" s="53"/>
      <c r="MN1379" s="53"/>
      <c r="MO1379" s="53"/>
      <c r="MP1379" s="53"/>
      <c r="MQ1379" s="53"/>
      <c r="MR1379" s="53"/>
      <c r="MS1379" s="53"/>
      <c r="MT1379" s="53"/>
      <c r="MU1379" s="53"/>
      <c r="MV1379" s="53"/>
      <c r="MW1379" s="53"/>
      <c r="MX1379" s="53"/>
      <c r="MY1379" s="53"/>
      <c r="MZ1379" s="53"/>
      <c r="NA1379" s="53"/>
      <c r="NB1379" s="53"/>
      <c r="NC1379" s="53"/>
      <c r="ND1379" s="53"/>
      <c r="NE1379" s="53"/>
      <c r="NF1379" s="53"/>
      <c r="NG1379" s="53"/>
      <c r="NH1379" s="53"/>
      <c r="NI1379" s="53"/>
      <c r="NJ1379" s="53"/>
      <c r="NK1379" s="53"/>
      <c r="NL1379" s="53"/>
      <c r="NM1379" s="53"/>
      <c r="NN1379" s="53"/>
      <c r="NO1379" s="53"/>
      <c r="NP1379" s="53"/>
      <c r="NQ1379" s="53"/>
      <c r="NR1379" s="53"/>
      <c r="NS1379" s="53"/>
      <c r="NT1379" s="53"/>
      <c r="NU1379" s="53"/>
      <c r="NV1379" s="53"/>
      <c r="NW1379" s="53"/>
      <c r="NX1379" s="53"/>
      <c r="NY1379" s="53"/>
      <c r="NZ1379" s="53"/>
      <c r="OA1379" s="53"/>
      <c r="OB1379" s="53"/>
      <c r="OC1379" s="53"/>
      <c r="OD1379" s="53"/>
      <c r="OE1379" s="53"/>
      <c r="OF1379" s="53"/>
      <c r="OG1379" s="53"/>
      <c r="OH1379" s="53"/>
      <c r="OI1379" s="53"/>
      <c r="OJ1379" s="53"/>
      <c r="OK1379" s="53"/>
      <c r="OL1379" s="53"/>
      <c r="OM1379" s="53"/>
      <c r="ON1379" s="53"/>
      <c r="OO1379" s="53"/>
      <c r="OP1379" s="53"/>
      <c r="OQ1379" s="53"/>
      <c r="OR1379" s="53"/>
      <c r="OS1379" s="53"/>
      <c r="OT1379" s="53"/>
      <c r="OU1379" s="53"/>
      <c r="OV1379" s="53"/>
      <c r="OW1379" s="53"/>
      <c r="OX1379" s="53"/>
      <c r="OY1379" s="53"/>
      <c r="OZ1379" s="53"/>
      <c r="PA1379" s="53"/>
      <c r="PB1379" s="53"/>
      <c r="PC1379" s="53"/>
      <c r="PD1379" s="53"/>
      <c r="PE1379" s="53"/>
      <c r="PF1379" s="53"/>
      <c r="PG1379" s="53"/>
      <c r="PH1379" s="53"/>
      <c r="PI1379" s="53"/>
      <c r="PJ1379" s="53"/>
      <c r="PK1379" s="53"/>
      <c r="PL1379" s="53"/>
      <c r="PM1379" s="53"/>
      <c r="PN1379" s="53"/>
      <c r="PO1379" s="53"/>
      <c r="PP1379" s="53"/>
      <c r="PQ1379" s="53"/>
      <c r="PR1379" s="53"/>
      <c r="PS1379" s="53"/>
      <c r="PT1379" s="53"/>
      <c r="PU1379" s="53"/>
      <c r="PV1379" s="53"/>
      <c r="PW1379" s="53"/>
      <c r="PX1379" s="53"/>
      <c r="PY1379" s="53"/>
      <c r="PZ1379" s="53"/>
      <c r="QA1379" s="53"/>
      <c r="QB1379" s="53"/>
      <c r="QC1379" s="53"/>
      <c r="QD1379" s="53"/>
      <c r="QE1379" s="53"/>
      <c r="QF1379" s="53"/>
      <c r="QG1379" s="53"/>
      <c r="QH1379" s="53"/>
      <c r="QI1379" s="53"/>
      <c r="QJ1379" s="53"/>
      <c r="QK1379" s="53"/>
      <c r="QL1379" s="53"/>
      <c r="QM1379" s="53"/>
      <c r="QN1379" s="53"/>
      <c r="QO1379" s="53"/>
      <c r="QP1379" s="53"/>
      <c r="QQ1379" s="53"/>
      <c r="QR1379" s="53"/>
      <c r="QS1379" s="53"/>
      <c r="QT1379" s="53"/>
      <c r="QU1379" s="53"/>
      <c r="QV1379" s="53"/>
      <c r="QW1379" s="53"/>
      <c r="QX1379" s="53"/>
      <c r="QY1379" s="53"/>
      <c r="QZ1379" s="53"/>
      <c r="RA1379" s="53"/>
      <c r="RB1379" s="53"/>
      <c r="RC1379" s="53"/>
      <c r="RD1379" s="53"/>
      <c r="RE1379" s="53"/>
      <c r="RF1379" s="53"/>
      <c r="RG1379" s="53"/>
      <c r="RH1379" s="53"/>
      <c r="RI1379" s="53"/>
      <c r="RJ1379" s="53"/>
      <c r="RK1379" s="53"/>
      <c r="RL1379" s="53"/>
      <c r="RM1379" s="53"/>
      <c r="RN1379" s="53"/>
      <c r="RO1379" s="53"/>
      <c r="RP1379" s="53"/>
      <c r="RQ1379" s="53"/>
      <c r="RR1379" s="53"/>
      <c r="RS1379" s="53"/>
      <c r="RT1379" s="53"/>
      <c r="RU1379" s="53"/>
      <c r="RV1379" s="53"/>
      <c r="RW1379" s="53"/>
      <c r="RX1379" s="53"/>
      <c r="RY1379" s="53"/>
      <c r="RZ1379" s="53"/>
      <c r="SA1379" s="53"/>
      <c r="SB1379" s="53"/>
      <c r="SC1379" s="53"/>
      <c r="SD1379" s="53"/>
      <c r="SE1379" s="53"/>
      <c r="SF1379" s="53"/>
      <c r="SG1379" s="53"/>
      <c r="SH1379" s="53"/>
      <c r="SI1379" s="53"/>
      <c r="SJ1379" s="53"/>
      <c r="SK1379" s="53"/>
      <c r="SL1379" s="53"/>
      <c r="SM1379" s="53"/>
      <c r="SN1379" s="53"/>
      <c r="SO1379" s="53"/>
      <c r="SP1379" s="53"/>
      <c r="SQ1379" s="53"/>
      <c r="SR1379" s="53"/>
      <c r="SS1379" s="53"/>
      <c r="ST1379" s="53"/>
      <c r="SU1379" s="53"/>
      <c r="SV1379" s="53"/>
      <c r="SW1379" s="53"/>
      <c r="SX1379" s="53"/>
      <c r="SY1379" s="53"/>
      <c r="SZ1379" s="53"/>
      <c r="TA1379" s="53"/>
      <c r="TB1379" s="53"/>
      <c r="TC1379" s="53"/>
      <c r="TD1379" s="53"/>
      <c r="TE1379" s="53"/>
      <c r="TF1379" s="53"/>
      <c r="TG1379" s="53"/>
      <c r="TH1379" s="53"/>
      <c r="TI1379" s="53"/>
      <c r="TJ1379" s="53"/>
      <c r="TK1379" s="53"/>
      <c r="TL1379" s="53"/>
      <c r="TM1379" s="53"/>
      <c r="TN1379" s="53"/>
      <c r="TO1379" s="53"/>
      <c r="TP1379" s="53"/>
      <c r="TQ1379" s="53"/>
      <c r="TR1379" s="53"/>
      <c r="TS1379" s="53"/>
      <c r="TT1379" s="53"/>
      <c r="TU1379" s="53"/>
      <c r="TV1379" s="53"/>
      <c r="TW1379" s="53"/>
      <c r="TX1379" s="53"/>
      <c r="TY1379" s="53"/>
      <c r="TZ1379" s="53"/>
      <c r="UA1379" s="53"/>
      <c r="UB1379" s="53"/>
      <c r="UC1379" s="53"/>
      <c r="UD1379" s="53"/>
      <c r="UE1379" s="53"/>
      <c r="UF1379" s="53"/>
      <c r="UG1379" s="53"/>
      <c r="UH1379" s="53"/>
      <c r="UI1379" s="53"/>
      <c r="UJ1379" s="53"/>
      <c r="UK1379" s="53"/>
      <c r="UL1379" s="53"/>
      <c r="UM1379" s="53"/>
      <c r="UN1379" s="53"/>
      <c r="UO1379" s="53"/>
      <c r="UP1379" s="53"/>
      <c r="UQ1379" s="53"/>
      <c r="UR1379" s="53"/>
      <c r="US1379" s="53"/>
      <c r="UT1379" s="53"/>
      <c r="UU1379" s="53"/>
      <c r="UV1379" s="53"/>
      <c r="UW1379" s="53"/>
      <c r="UX1379" s="53"/>
      <c r="UY1379" s="53"/>
      <c r="UZ1379" s="53"/>
      <c r="VA1379" s="53"/>
      <c r="VB1379" s="53"/>
      <c r="VC1379" s="53"/>
      <c r="VD1379" s="53"/>
      <c r="VE1379" s="53"/>
      <c r="VF1379" s="53"/>
      <c r="VG1379" s="53"/>
      <c r="VH1379" s="53"/>
      <c r="VI1379" s="53"/>
      <c r="VJ1379" s="53"/>
      <c r="VK1379" s="53"/>
      <c r="VL1379" s="53"/>
      <c r="VM1379" s="53"/>
      <c r="VN1379" s="53"/>
      <c r="VO1379" s="53"/>
      <c r="VP1379" s="53"/>
      <c r="VQ1379" s="53"/>
      <c r="VR1379" s="53"/>
      <c r="VS1379" s="53"/>
      <c r="VT1379" s="53"/>
      <c r="VU1379" s="53"/>
      <c r="VV1379" s="53"/>
      <c r="VW1379" s="53"/>
      <c r="VX1379" s="53"/>
      <c r="VY1379" s="53"/>
      <c r="VZ1379" s="53"/>
      <c r="WA1379" s="53"/>
      <c r="WB1379" s="53"/>
      <c r="WC1379" s="53"/>
      <c r="WD1379" s="53"/>
      <c r="WE1379" s="53"/>
      <c r="WF1379" s="53"/>
      <c r="WG1379" s="53"/>
      <c r="WH1379" s="53"/>
      <c r="WI1379" s="53"/>
      <c r="WJ1379" s="53"/>
      <c r="WK1379" s="53"/>
      <c r="WL1379" s="53"/>
      <c r="WM1379" s="53"/>
      <c r="WN1379" s="53"/>
      <c r="WO1379" s="53"/>
      <c r="WP1379" s="53"/>
      <c r="WQ1379" s="53"/>
      <c r="WR1379" s="53"/>
      <c r="WS1379" s="53"/>
      <c r="WT1379" s="53"/>
      <c r="WU1379" s="53"/>
      <c r="WV1379" s="53"/>
      <c r="WW1379" s="53"/>
      <c r="WX1379" s="53"/>
      <c r="WY1379" s="53"/>
      <c r="WZ1379" s="53"/>
      <c r="XA1379" s="53"/>
      <c r="XB1379" s="53"/>
      <c r="XC1379" s="53"/>
      <c r="XD1379" s="53"/>
      <c r="XE1379" s="53"/>
      <c r="XF1379" s="53"/>
      <c r="XG1379" s="53"/>
      <c r="XH1379" s="53"/>
      <c r="XI1379" s="53"/>
      <c r="XJ1379" s="53"/>
      <c r="XK1379" s="53"/>
      <c r="XL1379" s="53"/>
      <c r="XM1379" s="53"/>
      <c r="XN1379" s="53"/>
      <c r="XO1379" s="53"/>
      <c r="XP1379" s="53"/>
      <c r="XQ1379" s="53"/>
      <c r="XR1379" s="53"/>
      <c r="XS1379" s="53"/>
      <c r="XT1379" s="53"/>
      <c r="XU1379" s="53"/>
      <c r="XV1379" s="53"/>
      <c r="XW1379" s="53"/>
      <c r="XX1379" s="53"/>
      <c r="XY1379" s="53"/>
      <c r="XZ1379" s="53"/>
      <c r="YA1379" s="53"/>
      <c r="YB1379" s="53"/>
      <c r="YC1379" s="53"/>
      <c r="YD1379" s="53"/>
      <c r="YE1379" s="53"/>
      <c r="YF1379" s="53"/>
      <c r="YG1379" s="53"/>
      <c r="YH1379" s="53"/>
      <c r="YI1379" s="53"/>
      <c r="YJ1379" s="53"/>
      <c r="YK1379" s="53"/>
      <c r="YL1379" s="53"/>
      <c r="YM1379" s="53"/>
      <c r="YN1379" s="53"/>
      <c r="YO1379" s="53"/>
      <c r="YP1379" s="53"/>
      <c r="YQ1379" s="53"/>
      <c r="YR1379" s="53"/>
      <c r="YS1379" s="53"/>
      <c r="YT1379" s="53"/>
      <c r="YU1379" s="53"/>
      <c r="YV1379" s="53"/>
      <c r="YW1379" s="53"/>
      <c r="YX1379" s="53"/>
      <c r="YY1379" s="53"/>
      <c r="YZ1379" s="53"/>
      <c r="ZA1379" s="53"/>
      <c r="ZB1379" s="53"/>
      <c r="ZC1379" s="53"/>
      <c r="ZD1379" s="53"/>
      <c r="ZE1379" s="53"/>
      <c r="ZF1379" s="53"/>
      <c r="ZG1379" s="53"/>
      <c r="ZH1379" s="53"/>
      <c r="ZI1379" s="53"/>
      <c r="ZJ1379" s="53"/>
      <c r="ZK1379" s="53"/>
      <c r="ZL1379" s="53"/>
      <c r="ZM1379" s="53"/>
      <c r="ZN1379" s="53"/>
      <c r="ZO1379" s="53"/>
      <c r="ZP1379" s="53"/>
      <c r="ZQ1379" s="53"/>
      <c r="ZR1379" s="53"/>
      <c r="ZS1379" s="53"/>
      <c r="ZT1379" s="53"/>
      <c r="ZU1379" s="53"/>
      <c r="ZV1379" s="53"/>
      <c r="ZW1379" s="53"/>
      <c r="ZX1379" s="53"/>
      <c r="ZY1379" s="53"/>
      <c r="ZZ1379" s="53"/>
      <c r="AAA1379" s="53"/>
      <c r="AAB1379" s="53"/>
      <c r="AAC1379" s="53"/>
      <c r="AAD1379" s="53"/>
      <c r="AAE1379" s="53"/>
      <c r="AAF1379" s="53"/>
      <c r="AAG1379" s="53"/>
      <c r="AAH1379" s="53"/>
      <c r="AAI1379" s="53"/>
      <c r="AAJ1379" s="53"/>
      <c r="AAK1379" s="53"/>
      <c r="AAL1379" s="53"/>
      <c r="AAM1379" s="53"/>
      <c r="AAN1379" s="53"/>
      <c r="AAO1379" s="53"/>
      <c r="AAP1379" s="53"/>
      <c r="AAQ1379" s="53"/>
      <c r="AAR1379" s="53"/>
      <c r="AAS1379" s="53"/>
      <c r="AAT1379" s="53"/>
      <c r="AAU1379" s="53"/>
      <c r="AAV1379" s="53"/>
      <c r="AAW1379" s="53"/>
      <c r="AAX1379" s="53"/>
      <c r="AAY1379" s="53"/>
      <c r="AAZ1379" s="53"/>
      <c r="ABA1379" s="53"/>
      <c r="ABB1379" s="53"/>
      <c r="ABC1379" s="53"/>
      <c r="ABD1379" s="53"/>
      <c r="ABE1379" s="53"/>
      <c r="ABF1379" s="53"/>
      <c r="ABG1379" s="53"/>
      <c r="ABH1379" s="53"/>
      <c r="ABI1379" s="53"/>
      <c r="ABJ1379" s="53"/>
      <c r="ABK1379" s="53"/>
      <c r="ABL1379" s="53"/>
      <c r="ABM1379" s="53"/>
      <c r="ABN1379" s="53"/>
      <c r="ABO1379" s="53"/>
      <c r="ABP1379" s="53"/>
      <c r="ABQ1379" s="53"/>
      <c r="ABR1379" s="53"/>
      <c r="ABS1379" s="53"/>
      <c r="ABT1379" s="53"/>
      <c r="ABU1379" s="53"/>
      <c r="ABV1379" s="53"/>
      <c r="ABW1379" s="53"/>
      <c r="ABX1379" s="53"/>
      <c r="ABY1379" s="53"/>
      <c r="ABZ1379" s="53"/>
      <c r="ACA1379" s="53"/>
      <c r="ACB1379" s="53"/>
      <c r="ACC1379" s="53"/>
      <c r="ACD1379" s="53"/>
      <c r="ACE1379" s="53"/>
      <c r="ACF1379" s="53"/>
      <c r="ACG1379" s="53"/>
      <c r="ACH1379" s="53"/>
      <c r="ACI1379" s="53"/>
      <c r="ACJ1379" s="53"/>
      <c r="ACK1379" s="53"/>
      <c r="ACL1379" s="53"/>
      <c r="ACM1379" s="53"/>
      <c r="ACN1379" s="53"/>
      <c r="ACO1379" s="53"/>
      <c r="ACP1379" s="53"/>
      <c r="ACQ1379" s="53"/>
      <c r="ACR1379" s="53"/>
      <c r="ACS1379" s="53"/>
      <c r="ACT1379" s="53"/>
      <c r="ACU1379" s="53"/>
      <c r="ACV1379" s="53"/>
      <c r="ACW1379" s="53"/>
      <c r="ACX1379" s="53"/>
      <c r="ACY1379" s="53"/>
      <c r="ACZ1379" s="53"/>
      <c r="ADA1379" s="53"/>
      <c r="ADB1379" s="53"/>
      <c r="ADC1379" s="53"/>
      <c r="ADD1379" s="53"/>
      <c r="ADE1379" s="53"/>
      <c r="ADF1379" s="53"/>
      <c r="ADG1379" s="53"/>
      <c r="ADH1379" s="53"/>
      <c r="ADI1379" s="53"/>
      <c r="ADJ1379" s="53"/>
      <c r="ADK1379" s="53"/>
      <c r="ADL1379" s="53"/>
      <c r="ADM1379" s="53"/>
      <c r="ADN1379" s="53"/>
      <c r="ADO1379" s="53"/>
      <c r="ADP1379" s="53"/>
      <c r="ADQ1379" s="53"/>
      <c r="ADR1379" s="53"/>
      <c r="ADS1379" s="53"/>
      <c r="ADT1379" s="53"/>
      <c r="ADU1379" s="53"/>
      <c r="ADV1379" s="53"/>
      <c r="ADW1379" s="53"/>
      <c r="ADX1379" s="53"/>
      <c r="ADY1379" s="53"/>
      <c r="ADZ1379" s="53"/>
      <c r="AEA1379" s="53"/>
      <c r="AEB1379" s="53"/>
      <c r="AEC1379" s="53"/>
      <c r="AED1379" s="53"/>
      <c r="AEE1379" s="53"/>
      <c r="AEF1379" s="53"/>
      <c r="AEG1379" s="53"/>
      <c r="AEH1379" s="53"/>
      <c r="AEI1379" s="53"/>
      <c r="AEJ1379" s="53"/>
      <c r="AEK1379" s="53"/>
      <c r="AEL1379" s="53"/>
      <c r="AEM1379" s="53"/>
      <c r="AEN1379" s="53"/>
      <c r="AEO1379" s="53"/>
      <c r="AEP1379" s="53"/>
      <c r="AEQ1379" s="53"/>
      <c r="AER1379" s="53"/>
      <c r="AES1379" s="53"/>
      <c r="AET1379" s="53"/>
      <c r="AEU1379" s="53"/>
      <c r="AEV1379" s="53"/>
      <c r="AEW1379" s="53"/>
      <c r="AEX1379" s="53"/>
      <c r="AEY1379" s="53"/>
      <c r="AEZ1379" s="53"/>
      <c r="AFA1379" s="53"/>
      <c r="AFB1379" s="53"/>
      <c r="AFC1379" s="53"/>
      <c r="AFD1379" s="53"/>
      <c r="AFE1379" s="53"/>
      <c r="AFF1379" s="53"/>
      <c r="AFG1379" s="53"/>
      <c r="AFH1379" s="53"/>
      <c r="AFI1379" s="53"/>
      <c r="AFJ1379" s="53"/>
      <c r="AFK1379" s="53"/>
      <c r="AFL1379" s="53"/>
      <c r="AFM1379" s="53"/>
      <c r="AFN1379" s="53"/>
      <c r="AFO1379" s="53"/>
      <c r="AFP1379" s="53"/>
      <c r="AFQ1379" s="53"/>
      <c r="AFR1379" s="53"/>
      <c r="AFS1379" s="53"/>
      <c r="AFT1379" s="53"/>
      <c r="AFU1379" s="53"/>
      <c r="AFV1379" s="53"/>
      <c r="AFW1379" s="53"/>
      <c r="AFX1379" s="53"/>
      <c r="AFY1379" s="53"/>
      <c r="AFZ1379" s="53"/>
      <c r="AGA1379" s="53"/>
      <c r="AGB1379" s="53"/>
      <c r="AGC1379" s="53"/>
      <c r="AGD1379" s="53"/>
      <c r="AGE1379" s="53"/>
      <c r="AGF1379" s="53"/>
      <c r="AGG1379" s="53"/>
      <c r="AGH1379" s="53"/>
      <c r="AGI1379" s="53"/>
      <c r="AGJ1379" s="53"/>
      <c r="AGK1379" s="53"/>
      <c r="AGL1379" s="53"/>
      <c r="AGM1379" s="53"/>
      <c r="AGN1379" s="53"/>
      <c r="AGO1379" s="53"/>
      <c r="AGP1379" s="53"/>
      <c r="AGQ1379" s="53"/>
      <c r="AGR1379" s="53"/>
      <c r="AGS1379" s="53"/>
      <c r="AGT1379" s="53"/>
      <c r="AGU1379" s="53"/>
      <c r="AGV1379" s="53"/>
      <c r="AGW1379" s="53"/>
      <c r="AGX1379" s="53"/>
      <c r="AGY1379" s="53"/>
      <c r="AGZ1379" s="53"/>
      <c r="AHA1379" s="53"/>
      <c r="AHB1379" s="53"/>
      <c r="AHC1379" s="53"/>
      <c r="AHD1379" s="53"/>
      <c r="AHE1379" s="53"/>
      <c r="AHF1379" s="53"/>
      <c r="AHG1379" s="53"/>
      <c r="AHH1379" s="53"/>
      <c r="AHI1379" s="53"/>
      <c r="AHJ1379" s="53"/>
      <c r="AHK1379" s="53"/>
      <c r="AHL1379" s="53"/>
      <c r="AHM1379" s="53"/>
      <c r="AHN1379" s="53"/>
      <c r="AHO1379" s="53"/>
      <c r="AHP1379" s="53"/>
      <c r="AHQ1379" s="53"/>
      <c r="AHR1379" s="53"/>
      <c r="AHS1379" s="53"/>
      <c r="AHT1379" s="53"/>
      <c r="AHU1379" s="53"/>
      <c r="AHV1379" s="53"/>
      <c r="AHW1379" s="53"/>
      <c r="AHX1379" s="53"/>
      <c r="AHY1379" s="53"/>
      <c r="AHZ1379" s="53"/>
      <c r="AIA1379" s="53"/>
      <c r="AIB1379" s="53"/>
      <c r="AIC1379" s="53"/>
      <c r="AID1379" s="53"/>
      <c r="AIE1379" s="53"/>
      <c r="AIF1379" s="53"/>
      <c r="AIG1379" s="53"/>
      <c r="AIH1379" s="53"/>
      <c r="AII1379" s="53"/>
      <c r="AIJ1379" s="53"/>
      <c r="AIK1379" s="53"/>
      <c r="AIL1379" s="53"/>
      <c r="AIM1379" s="53"/>
      <c r="AIN1379" s="53"/>
      <c r="AIO1379" s="53"/>
      <c r="AIP1379" s="53"/>
      <c r="AIQ1379" s="53"/>
      <c r="AIR1379" s="53"/>
      <c r="AIS1379" s="53"/>
      <c r="AIT1379" s="53"/>
      <c r="AIU1379" s="53"/>
      <c r="AIV1379" s="53"/>
      <c r="AIW1379" s="53"/>
      <c r="AIX1379" s="53"/>
      <c r="AIY1379" s="53"/>
      <c r="AIZ1379" s="53"/>
      <c r="AJA1379" s="53"/>
      <c r="AJB1379" s="53"/>
      <c r="AJC1379" s="53"/>
      <c r="AJD1379" s="53"/>
      <c r="AJE1379" s="53"/>
      <c r="AJF1379" s="53"/>
      <c r="AJG1379" s="53"/>
      <c r="AJH1379" s="53"/>
      <c r="AJI1379" s="53"/>
      <c r="AJJ1379" s="53"/>
      <c r="AJK1379" s="53"/>
      <c r="AJL1379" s="53"/>
      <c r="AJM1379" s="53"/>
      <c r="AJN1379" s="53"/>
      <c r="AJO1379" s="53"/>
      <c r="AJP1379" s="53"/>
      <c r="AJQ1379" s="53"/>
      <c r="AJR1379" s="53"/>
      <c r="AJS1379" s="53"/>
      <c r="AJT1379" s="53"/>
      <c r="AJU1379" s="53"/>
      <c r="AJV1379" s="53"/>
      <c r="AJW1379" s="53"/>
      <c r="AJX1379" s="53"/>
      <c r="AJY1379" s="53"/>
      <c r="AJZ1379" s="53"/>
      <c r="AKA1379" s="53"/>
      <c r="AKB1379" s="53"/>
      <c r="AKC1379" s="53"/>
      <c r="AKD1379" s="53"/>
      <c r="AKE1379" s="53"/>
      <c r="AKF1379" s="53"/>
      <c r="AKG1379" s="53"/>
      <c r="AKH1379" s="53"/>
      <c r="AKI1379" s="53"/>
      <c r="AKJ1379" s="53"/>
      <c r="AKK1379" s="53"/>
      <c r="AKL1379" s="53"/>
      <c r="AKM1379" s="53"/>
      <c r="AKN1379" s="53"/>
      <c r="AKO1379" s="53"/>
      <c r="AKP1379" s="53"/>
      <c r="AKQ1379" s="53"/>
      <c r="AKR1379" s="53"/>
      <c r="AKS1379" s="53"/>
      <c r="AKT1379" s="53"/>
      <c r="AKU1379" s="53"/>
      <c r="AKV1379" s="53"/>
      <c r="AKW1379" s="53"/>
      <c r="AKX1379" s="53"/>
      <c r="AKY1379" s="53"/>
      <c r="AKZ1379" s="53"/>
      <c r="ALA1379" s="53"/>
      <c r="ALB1379" s="53"/>
      <c r="ALC1379" s="53"/>
      <c r="ALD1379" s="53"/>
      <c r="ALE1379" s="53"/>
      <c r="ALF1379" s="53"/>
      <c r="ALG1379" s="53"/>
      <c r="ALH1379" s="53"/>
      <c r="ALI1379" s="53"/>
      <c r="ALJ1379" s="53"/>
      <c r="ALK1379" s="53"/>
      <c r="ALL1379" s="53"/>
      <c r="ALM1379" s="53"/>
      <c r="ALN1379" s="53"/>
      <c r="ALO1379" s="53"/>
      <c r="ALP1379" s="53"/>
      <c r="ALQ1379" s="53"/>
      <c r="ALR1379" s="53"/>
      <c r="ALS1379" s="53"/>
      <c r="ALT1379" s="53"/>
      <c r="ALU1379" s="53"/>
      <c r="ALV1379" s="53"/>
      <c r="ALW1379" s="53"/>
      <c r="ALX1379" s="53"/>
      <c r="ALY1379" s="53"/>
      <c r="ALZ1379" s="53"/>
      <c r="AMA1379" s="53"/>
      <c r="AMB1379" s="53"/>
      <c r="AMC1379" s="53"/>
      <c r="AMD1379" s="53"/>
      <c r="AME1379" s="53"/>
      <c r="AMF1379" s="53"/>
      <c r="AMG1379" s="53"/>
      <c r="AMH1379" s="53"/>
      <c r="AMI1379" s="53"/>
      <c r="AMJ1379" s="53"/>
      <c r="AMK1379" s="53"/>
      <c r="AML1379" s="53"/>
      <c r="AMM1379" s="53"/>
      <c r="AMN1379" s="53"/>
      <c r="AMO1379" s="53"/>
      <c r="AMP1379" s="53"/>
      <c r="AMQ1379" s="53"/>
      <c r="AMR1379" s="53"/>
      <c r="AMS1379" s="53"/>
      <c r="AMT1379" s="53"/>
      <c r="AMU1379" s="53"/>
      <c r="AMV1379" s="53"/>
      <c r="AMW1379" s="53"/>
      <c r="AMX1379" s="53"/>
      <c r="AMY1379" s="53"/>
      <c r="AMZ1379" s="53"/>
      <c r="ANA1379" s="53"/>
      <c r="ANB1379" s="53"/>
      <c r="ANC1379" s="53"/>
      <c r="AND1379" s="53"/>
      <c r="ANE1379" s="53"/>
      <c r="ANF1379" s="53"/>
      <c r="ANG1379" s="53"/>
      <c r="ANH1379" s="53"/>
      <c r="ANI1379" s="53"/>
      <c r="ANJ1379" s="53"/>
      <c r="ANK1379" s="53"/>
      <c r="ANL1379" s="53"/>
      <c r="ANM1379" s="53"/>
      <c r="ANN1379" s="53"/>
      <c r="ANO1379" s="53"/>
      <c r="ANP1379" s="53"/>
      <c r="ANQ1379" s="53"/>
      <c r="ANR1379" s="53"/>
      <c r="ANS1379" s="53"/>
      <c r="ANT1379" s="53"/>
      <c r="ANU1379" s="53"/>
      <c r="ANV1379" s="53"/>
      <c r="ANW1379" s="53"/>
      <c r="ANX1379" s="53"/>
      <c r="ANY1379" s="53"/>
      <c r="ANZ1379" s="53"/>
      <c r="AOA1379" s="53"/>
      <c r="AOB1379" s="53"/>
      <c r="AOC1379" s="53"/>
      <c r="AOD1379" s="53"/>
      <c r="AOE1379" s="53"/>
      <c r="AOF1379" s="53"/>
      <c r="AOG1379" s="53"/>
      <c r="AOH1379" s="53"/>
      <c r="AOI1379" s="53"/>
      <c r="AOJ1379" s="53"/>
      <c r="AOK1379" s="53"/>
      <c r="AOL1379" s="53"/>
      <c r="AOM1379" s="53"/>
      <c r="AON1379" s="53"/>
      <c r="AOO1379" s="53"/>
      <c r="AOP1379" s="53"/>
      <c r="AOQ1379" s="53"/>
      <c r="AOR1379" s="53"/>
      <c r="AOS1379" s="53"/>
      <c r="AOT1379" s="53"/>
      <c r="AOU1379" s="53"/>
      <c r="AOV1379" s="53"/>
      <c r="AOW1379" s="53"/>
      <c r="AOX1379" s="53"/>
      <c r="AOY1379" s="53"/>
      <c r="AOZ1379" s="53"/>
      <c r="APA1379" s="53"/>
      <c r="APB1379" s="53"/>
      <c r="APC1379" s="53"/>
      <c r="APD1379" s="53"/>
      <c r="APE1379" s="53"/>
      <c r="APF1379" s="53"/>
      <c r="APG1379" s="53"/>
      <c r="APH1379" s="53"/>
      <c r="API1379" s="53"/>
      <c r="APJ1379" s="53"/>
      <c r="APK1379" s="53"/>
      <c r="APL1379" s="53"/>
      <c r="APM1379" s="53"/>
      <c r="APN1379" s="53"/>
      <c r="APO1379" s="53"/>
      <c r="APP1379" s="53"/>
      <c r="APQ1379" s="53"/>
      <c r="APR1379" s="53"/>
      <c r="APS1379" s="53"/>
      <c r="APT1379" s="53"/>
      <c r="APU1379" s="53"/>
      <c r="APV1379" s="53"/>
      <c r="APW1379" s="53"/>
      <c r="APX1379" s="53"/>
      <c r="APY1379" s="53"/>
      <c r="APZ1379" s="53"/>
      <c r="AQA1379" s="53"/>
      <c r="AQB1379" s="53"/>
      <c r="AQC1379" s="53"/>
      <c r="AQD1379" s="53"/>
      <c r="AQE1379" s="53"/>
      <c r="AQF1379" s="53"/>
      <c r="AQG1379" s="53"/>
      <c r="AQH1379" s="53"/>
      <c r="AQI1379" s="53"/>
      <c r="AQJ1379" s="53"/>
      <c r="AQK1379" s="53"/>
      <c r="AQL1379" s="53"/>
      <c r="AQM1379" s="53"/>
      <c r="AQN1379" s="53"/>
      <c r="AQO1379" s="53"/>
      <c r="AQP1379" s="53"/>
      <c r="AQQ1379" s="53"/>
      <c r="AQR1379" s="53"/>
      <c r="AQS1379" s="53"/>
      <c r="AQT1379" s="53"/>
      <c r="AQU1379" s="53"/>
      <c r="AQV1379" s="53"/>
      <c r="AQW1379" s="53"/>
      <c r="AQX1379" s="53"/>
      <c r="AQY1379" s="53"/>
      <c r="AQZ1379" s="53"/>
      <c r="ARA1379" s="53"/>
      <c r="ARB1379" s="53"/>
      <c r="ARC1379" s="53"/>
      <c r="ARD1379" s="53"/>
      <c r="ARE1379" s="53"/>
      <c r="ARF1379" s="53"/>
      <c r="ARG1379" s="53"/>
      <c r="ARH1379" s="53"/>
      <c r="ARI1379" s="53"/>
      <c r="ARJ1379" s="53"/>
      <c r="ARK1379" s="53"/>
      <c r="ARL1379" s="53"/>
      <c r="ARM1379" s="53"/>
      <c r="ARN1379" s="53"/>
      <c r="ARO1379" s="53"/>
      <c r="ARP1379" s="53"/>
      <c r="ARQ1379" s="53"/>
      <c r="ARR1379" s="53"/>
      <c r="ARS1379" s="53"/>
      <c r="ART1379" s="53"/>
      <c r="ARU1379" s="53"/>
      <c r="ARV1379" s="53"/>
      <c r="ARW1379" s="53"/>
      <c r="ARX1379" s="53"/>
      <c r="ARY1379" s="53"/>
      <c r="ARZ1379" s="53"/>
      <c r="ASA1379" s="53"/>
      <c r="ASB1379" s="53"/>
      <c r="ASC1379" s="53"/>
      <c r="ASD1379" s="53"/>
      <c r="ASE1379" s="53"/>
      <c r="ASF1379" s="53"/>
      <c r="ASG1379" s="53"/>
      <c r="ASH1379" s="53"/>
      <c r="ASI1379" s="53"/>
      <c r="ASJ1379" s="53"/>
      <c r="ASK1379" s="53"/>
      <c r="ASL1379" s="53"/>
      <c r="ASM1379" s="53"/>
      <c r="ASN1379" s="53"/>
      <c r="ASO1379" s="53"/>
      <c r="ASP1379" s="53"/>
      <c r="ASQ1379" s="53"/>
      <c r="ASR1379" s="53"/>
      <c r="ASS1379" s="53"/>
      <c r="AST1379" s="53"/>
      <c r="ASU1379" s="53"/>
      <c r="ASV1379" s="53"/>
      <c r="ASW1379" s="53"/>
      <c r="ASX1379" s="53"/>
      <c r="ASY1379" s="53"/>
      <c r="ASZ1379" s="53"/>
      <c r="ATA1379" s="53"/>
      <c r="ATB1379" s="53"/>
      <c r="ATC1379" s="53"/>
      <c r="ATD1379" s="53"/>
      <c r="ATE1379" s="53"/>
      <c r="ATF1379" s="53"/>
      <c r="ATG1379" s="53"/>
      <c r="ATH1379" s="53"/>
      <c r="ATI1379" s="53"/>
      <c r="ATJ1379" s="53"/>
      <c r="ATK1379" s="53"/>
      <c r="ATL1379" s="53"/>
      <c r="ATM1379" s="53"/>
      <c r="ATN1379" s="53"/>
      <c r="ATO1379" s="53"/>
      <c r="ATP1379" s="53"/>
      <c r="ATQ1379" s="53"/>
      <c r="ATR1379" s="53"/>
      <c r="ATS1379" s="53"/>
      <c r="ATT1379" s="53"/>
      <c r="ATU1379" s="53"/>
      <c r="ATV1379" s="53"/>
      <c r="ATW1379" s="53"/>
      <c r="ATX1379" s="53"/>
      <c r="ATY1379" s="53"/>
      <c r="ATZ1379" s="53"/>
      <c r="AUA1379" s="53"/>
      <c r="AUB1379" s="53"/>
      <c r="AUC1379" s="53"/>
      <c r="AUD1379" s="53"/>
      <c r="AUE1379" s="53"/>
      <c r="AUF1379" s="53"/>
      <c r="AUG1379" s="53"/>
      <c r="AUH1379" s="53"/>
      <c r="AUI1379" s="53"/>
      <c r="AUJ1379" s="53"/>
      <c r="AUK1379" s="53"/>
      <c r="AUL1379" s="53"/>
      <c r="AUM1379" s="53"/>
      <c r="AUN1379" s="53"/>
      <c r="AUO1379" s="53"/>
      <c r="AUP1379" s="53"/>
      <c r="AUQ1379" s="53"/>
      <c r="AUR1379" s="53"/>
      <c r="AUS1379" s="53"/>
      <c r="AUT1379" s="53"/>
      <c r="AUU1379" s="53"/>
      <c r="AUV1379" s="53"/>
      <c r="AUW1379" s="53"/>
      <c r="AUX1379" s="53"/>
      <c r="AUY1379" s="53"/>
      <c r="AUZ1379" s="53"/>
      <c r="AVA1379" s="53"/>
      <c r="AVB1379" s="53"/>
      <c r="AVC1379" s="53"/>
      <c r="AVD1379" s="53"/>
      <c r="AVE1379" s="53"/>
      <c r="AVF1379" s="53"/>
      <c r="AVG1379" s="53"/>
      <c r="AVH1379" s="53"/>
      <c r="AVI1379" s="53"/>
      <c r="AVJ1379" s="53"/>
      <c r="AVK1379" s="53"/>
      <c r="AVL1379" s="53"/>
      <c r="AVM1379" s="53"/>
      <c r="AVN1379" s="53"/>
      <c r="AVO1379" s="53"/>
      <c r="AVP1379" s="53"/>
      <c r="AVQ1379" s="53"/>
      <c r="AVR1379" s="53"/>
      <c r="AVS1379" s="53"/>
      <c r="AVT1379" s="53"/>
      <c r="AVU1379" s="53"/>
      <c r="AVV1379" s="53"/>
      <c r="AVW1379" s="53"/>
      <c r="AVX1379" s="53"/>
      <c r="AVY1379" s="53"/>
      <c r="AVZ1379" s="53"/>
      <c r="AWA1379" s="53"/>
      <c r="AWB1379" s="53"/>
      <c r="AWC1379" s="53"/>
      <c r="AWD1379" s="53"/>
      <c r="AWE1379" s="53"/>
      <c r="AWF1379" s="53"/>
      <c r="AWG1379" s="53"/>
      <c r="AWH1379" s="53"/>
      <c r="AWI1379" s="53"/>
      <c r="AWJ1379" s="53"/>
      <c r="AWK1379" s="53"/>
      <c r="AWL1379" s="53"/>
      <c r="AWM1379" s="53"/>
      <c r="AWN1379" s="53"/>
      <c r="AWO1379" s="53"/>
      <c r="AWP1379" s="53"/>
      <c r="AWQ1379" s="53"/>
      <c r="AWR1379" s="53"/>
      <c r="AWS1379" s="53"/>
      <c r="AWT1379" s="53"/>
      <c r="AWU1379" s="53"/>
      <c r="AWV1379" s="53"/>
      <c r="AWW1379" s="53"/>
      <c r="AWX1379" s="53"/>
      <c r="AWY1379" s="53"/>
      <c r="AWZ1379" s="53"/>
      <c r="AXA1379" s="53"/>
      <c r="AXB1379" s="53"/>
      <c r="AXC1379" s="53"/>
      <c r="AXD1379" s="53"/>
      <c r="AXE1379" s="53"/>
      <c r="AXF1379" s="53"/>
      <c r="AXG1379" s="53"/>
      <c r="AXH1379" s="53"/>
      <c r="AXI1379" s="53"/>
      <c r="AXJ1379" s="53"/>
      <c r="AXK1379" s="53"/>
      <c r="AXL1379" s="53"/>
      <c r="AXM1379" s="53"/>
      <c r="AXN1379" s="53"/>
      <c r="AXO1379" s="53"/>
      <c r="AXP1379" s="53"/>
      <c r="AXQ1379" s="53"/>
      <c r="AXR1379" s="53"/>
      <c r="AXS1379" s="53"/>
      <c r="AXT1379" s="53"/>
      <c r="AXU1379" s="53"/>
      <c r="AXV1379" s="53"/>
      <c r="AXW1379" s="53"/>
      <c r="AXX1379" s="53"/>
      <c r="AXY1379" s="53"/>
      <c r="AXZ1379" s="53"/>
      <c r="AYA1379" s="53"/>
      <c r="AYB1379" s="53"/>
      <c r="AYC1379" s="53"/>
      <c r="AYD1379" s="53"/>
      <c r="AYE1379" s="53"/>
      <c r="AYF1379" s="53"/>
      <c r="AYG1379" s="53"/>
      <c r="AYH1379" s="53"/>
      <c r="AYI1379" s="53"/>
      <c r="AYJ1379" s="53"/>
      <c r="AYK1379" s="53"/>
      <c r="AYL1379" s="53"/>
      <c r="AYM1379" s="53"/>
      <c r="AYN1379" s="53"/>
      <c r="AYO1379" s="53"/>
      <c r="AYP1379" s="53"/>
      <c r="AYQ1379" s="53"/>
      <c r="AYR1379" s="53"/>
      <c r="AYS1379" s="53"/>
      <c r="AYT1379" s="53"/>
      <c r="AYU1379" s="53"/>
      <c r="AYV1379" s="53"/>
      <c r="AYW1379" s="53"/>
      <c r="AYX1379" s="53"/>
      <c r="AYY1379" s="53"/>
      <c r="AYZ1379" s="53"/>
      <c r="AZA1379" s="53"/>
      <c r="AZB1379" s="53"/>
      <c r="AZC1379" s="53"/>
      <c r="AZD1379" s="53"/>
      <c r="AZE1379" s="53"/>
      <c r="AZF1379" s="53"/>
      <c r="AZG1379" s="53"/>
      <c r="AZH1379" s="53"/>
      <c r="AZI1379" s="53"/>
      <c r="AZJ1379" s="53"/>
      <c r="AZK1379" s="53"/>
      <c r="AZL1379" s="53"/>
      <c r="AZM1379" s="53"/>
      <c r="AZN1379" s="53"/>
      <c r="AZO1379" s="53"/>
      <c r="AZP1379" s="53"/>
      <c r="AZQ1379" s="53"/>
      <c r="AZR1379" s="53"/>
      <c r="AZS1379" s="53"/>
      <c r="AZT1379" s="53"/>
      <c r="AZU1379" s="53"/>
      <c r="AZV1379" s="53"/>
      <c r="AZW1379" s="53"/>
      <c r="AZX1379" s="53"/>
      <c r="AZY1379" s="53"/>
      <c r="AZZ1379" s="53"/>
      <c r="BAA1379" s="53"/>
      <c r="BAB1379" s="53"/>
      <c r="BAC1379" s="53"/>
      <c r="BAD1379" s="53"/>
      <c r="BAE1379" s="53"/>
      <c r="BAF1379" s="53"/>
      <c r="BAG1379" s="53"/>
      <c r="BAH1379" s="53"/>
      <c r="BAI1379" s="53"/>
      <c r="BAJ1379" s="53"/>
      <c r="BAK1379" s="53"/>
      <c r="BAL1379" s="53"/>
      <c r="BAM1379" s="53"/>
      <c r="BAN1379" s="53"/>
      <c r="BAO1379" s="53"/>
      <c r="BAP1379" s="53"/>
      <c r="BAQ1379" s="53"/>
      <c r="BAR1379" s="53"/>
      <c r="BAS1379" s="53"/>
      <c r="BAT1379" s="53"/>
      <c r="BAU1379" s="53"/>
      <c r="BAV1379" s="53"/>
      <c r="BAW1379" s="53"/>
      <c r="BAX1379" s="53"/>
      <c r="BAY1379" s="53"/>
      <c r="BAZ1379" s="53"/>
      <c r="BBA1379" s="53"/>
      <c r="BBB1379" s="53"/>
      <c r="BBC1379" s="53"/>
      <c r="BBD1379" s="53"/>
      <c r="BBE1379" s="53"/>
      <c r="BBF1379" s="53"/>
      <c r="BBG1379" s="53"/>
      <c r="BBH1379" s="53"/>
      <c r="BBI1379" s="53"/>
      <c r="BBJ1379" s="53"/>
      <c r="BBK1379" s="53"/>
      <c r="BBL1379" s="53"/>
      <c r="BBM1379" s="53"/>
      <c r="BBN1379" s="53"/>
      <c r="BBO1379" s="53"/>
      <c r="BBP1379" s="53"/>
      <c r="BBQ1379" s="53"/>
      <c r="BBR1379" s="53"/>
      <c r="BBS1379" s="53"/>
      <c r="BBT1379" s="53"/>
      <c r="BBU1379" s="53"/>
      <c r="BBV1379" s="53"/>
      <c r="BBW1379" s="53"/>
      <c r="BBX1379" s="53"/>
      <c r="BBY1379" s="53"/>
      <c r="BBZ1379" s="53"/>
      <c r="BCA1379" s="53"/>
      <c r="BCB1379" s="53"/>
      <c r="BCC1379" s="53"/>
      <c r="BCD1379" s="53"/>
      <c r="BCE1379" s="53"/>
      <c r="BCF1379" s="53"/>
      <c r="BCG1379" s="53"/>
      <c r="BCH1379" s="53"/>
      <c r="BCI1379" s="53"/>
      <c r="BCJ1379" s="53"/>
      <c r="BCK1379" s="53"/>
      <c r="BCL1379" s="53"/>
      <c r="BCM1379" s="53"/>
      <c r="BCN1379" s="53"/>
      <c r="BCO1379" s="53"/>
      <c r="BCP1379" s="53"/>
      <c r="BCQ1379" s="53"/>
      <c r="BCR1379" s="53"/>
      <c r="BCS1379" s="53"/>
      <c r="BCT1379" s="53"/>
      <c r="BCU1379" s="53"/>
      <c r="BCV1379" s="53"/>
      <c r="BCW1379" s="53"/>
      <c r="BCX1379" s="53"/>
      <c r="BCY1379" s="53"/>
      <c r="BCZ1379" s="53"/>
      <c r="BDA1379" s="53"/>
      <c r="BDB1379" s="53"/>
      <c r="BDC1379" s="53"/>
      <c r="BDD1379" s="53"/>
      <c r="BDE1379" s="53"/>
      <c r="BDF1379" s="53"/>
      <c r="BDG1379" s="53"/>
      <c r="BDH1379" s="53"/>
      <c r="BDI1379" s="53"/>
      <c r="BDJ1379" s="53"/>
      <c r="BDK1379" s="53"/>
      <c r="BDL1379" s="53"/>
      <c r="BDM1379" s="53"/>
      <c r="BDN1379" s="53"/>
      <c r="BDO1379" s="53"/>
      <c r="BDP1379" s="53"/>
      <c r="BDQ1379" s="53"/>
      <c r="BDR1379" s="53"/>
      <c r="BDS1379" s="53"/>
      <c r="BDT1379" s="53"/>
      <c r="BDU1379" s="53"/>
      <c r="BDV1379" s="53"/>
      <c r="BDW1379" s="53"/>
      <c r="BDX1379" s="53"/>
      <c r="BDY1379" s="53"/>
      <c r="BDZ1379" s="53"/>
      <c r="BEA1379" s="53"/>
      <c r="BEB1379" s="53"/>
      <c r="BEC1379" s="53"/>
      <c r="BED1379" s="53"/>
      <c r="BEE1379" s="53"/>
      <c r="BEF1379" s="53"/>
      <c r="BEG1379" s="53"/>
      <c r="BEH1379" s="53"/>
      <c r="BEI1379" s="53"/>
      <c r="BEJ1379" s="53"/>
      <c r="BEK1379" s="53"/>
      <c r="BEL1379" s="53"/>
      <c r="BEM1379" s="53"/>
      <c r="BEN1379" s="53"/>
      <c r="BEO1379" s="53"/>
      <c r="BEP1379" s="53"/>
      <c r="BEQ1379" s="53"/>
      <c r="BER1379" s="53"/>
      <c r="BES1379" s="53"/>
      <c r="BET1379" s="53"/>
      <c r="BEU1379" s="53"/>
      <c r="BEV1379" s="53"/>
      <c r="BEW1379" s="53"/>
      <c r="BEX1379" s="53"/>
      <c r="BEY1379" s="53"/>
      <c r="BEZ1379" s="53"/>
      <c r="BFA1379" s="53"/>
      <c r="BFB1379" s="53"/>
      <c r="BFC1379" s="53"/>
      <c r="BFD1379" s="53"/>
      <c r="BFE1379" s="53"/>
      <c r="BFF1379" s="53"/>
      <c r="BFG1379" s="53"/>
      <c r="BFH1379" s="53"/>
      <c r="BFI1379" s="53"/>
      <c r="BFJ1379" s="53"/>
      <c r="BFK1379" s="53"/>
      <c r="BFL1379" s="53"/>
      <c r="BFM1379" s="53"/>
      <c r="BFN1379" s="53"/>
      <c r="BFO1379" s="53"/>
      <c r="BFP1379" s="53"/>
      <c r="BFQ1379" s="53"/>
      <c r="BFR1379" s="53"/>
      <c r="BFS1379" s="53"/>
      <c r="BFT1379" s="53"/>
      <c r="BFU1379" s="53"/>
      <c r="BFV1379" s="53"/>
      <c r="BFW1379" s="53"/>
      <c r="BFX1379" s="53"/>
      <c r="BFY1379" s="53"/>
      <c r="BFZ1379" s="53"/>
      <c r="BGA1379" s="53"/>
      <c r="BGB1379" s="53"/>
      <c r="BGC1379" s="53"/>
      <c r="BGD1379" s="53"/>
      <c r="BGE1379" s="53"/>
      <c r="BGF1379" s="53"/>
      <c r="BGG1379" s="53"/>
      <c r="BGH1379" s="53"/>
      <c r="BGI1379" s="53"/>
      <c r="BGJ1379" s="53"/>
      <c r="BGK1379" s="53"/>
      <c r="BGL1379" s="53"/>
      <c r="BGM1379" s="53"/>
      <c r="BGN1379" s="53"/>
      <c r="BGO1379" s="53"/>
      <c r="BGP1379" s="53"/>
      <c r="BGQ1379" s="53"/>
      <c r="BGR1379" s="53"/>
      <c r="BGS1379" s="53"/>
      <c r="BGT1379" s="53"/>
      <c r="BGU1379" s="53"/>
      <c r="BGV1379" s="53"/>
      <c r="BGW1379" s="53"/>
      <c r="BGX1379" s="53"/>
      <c r="BGY1379" s="53"/>
      <c r="BGZ1379" s="53"/>
      <c r="BHA1379" s="53"/>
      <c r="BHB1379" s="53"/>
      <c r="BHC1379" s="53"/>
      <c r="BHD1379" s="53"/>
      <c r="BHE1379" s="53"/>
      <c r="BHF1379" s="53"/>
      <c r="BHG1379" s="53"/>
      <c r="BHH1379" s="53"/>
      <c r="BHI1379" s="53"/>
      <c r="BHJ1379" s="53"/>
      <c r="BHK1379" s="53"/>
      <c r="BHL1379" s="53"/>
      <c r="BHM1379" s="53"/>
      <c r="BHN1379" s="53"/>
      <c r="BHO1379" s="53"/>
      <c r="BHP1379" s="53"/>
      <c r="BHQ1379" s="53"/>
      <c r="BHR1379" s="53"/>
      <c r="BHS1379" s="53"/>
      <c r="BHT1379" s="53"/>
      <c r="BHU1379" s="53"/>
      <c r="BHV1379" s="53"/>
      <c r="BHW1379" s="53"/>
      <c r="BHX1379" s="53"/>
      <c r="BHY1379" s="53"/>
      <c r="BHZ1379" s="53"/>
      <c r="BIA1379" s="53"/>
      <c r="BIB1379" s="53"/>
      <c r="BIC1379" s="53"/>
      <c r="BID1379" s="53"/>
      <c r="BIE1379" s="53"/>
      <c r="BIF1379" s="53"/>
      <c r="BIG1379" s="53"/>
      <c r="BIH1379" s="53"/>
      <c r="BII1379" s="53"/>
      <c r="BIJ1379" s="53"/>
      <c r="BIK1379" s="53"/>
      <c r="BIL1379" s="53"/>
      <c r="BIM1379" s="53"/>
      <c r="BIN1379" s="53"/>
      <c r="BIO1379" s="53"/>
      <c r="BIP1379" s="53"/>
      <c r="BIQ1379" s="53"/>
      <c r="BIR1379" s="53"/>
      <c r="BIS1379" s="53"/>
      <c r="BIT1379" s="53"/>
      <c r="BIU1379" s="53"/>
      <c r="BIV1379" s="53"/>
      <c r="BIW1379" s="53"/>
      <c r="BIX1379" s="53"/>
      <c r="BIY1379" s="53"/>
      <c r="BIZ1379" s="53"/>
      <c r="BJA1379" s="53"/>
      <c r="BJB1379" s="53"/>
      <c r="BJC1379" s="53"/>
      <c r="BJD1379" s="53"/>
      <c r="BJE1379" s="53"/>
      <c r="BJF1379" s="53"/>
      <c r="BJG1379" s="53"/>
      <c r="BJH1379" s="53"/>
      <c r="BJI1379" s="53"/>
      <c r="BJJ1379" s="53"/>
      <c r="BJK1379" s="53"/>
      <c r="BJL1379" s="53"/>
      <c r="BJM1379" s="53"/>
      <c r="BJN1379" s="53"/>
      <c r="BJO1379" s="53"/>
      <c r="BJP1379" s="53"/>
      <c r="BJQ1379" s="53"/>
      <c r="BJR1379" s="53"/>
      <c r="BJS1379" s="53"/>
      <c r="BJT1379" s="53"/>
      <c r="BJU1379" s="53"/>
      <c r="BJV1379" s="53"/>
      <c r="BJW1379" s="53"/>
      <c r="BJX1379" s="53"/>
      <c r="BJY1379" s="53"/>
      <c r="BJZ1379" s="53"/>
      <c r="BKA1379" s="53"/>
      <c r="BKB1379" s="53"/>
      <c r="BKC1379" s="53"/>
      <c r="BKD1379" s="53"/>
      <c r="BKE1379" s="53"/>
      <c r="BKF1379" s="53"/>
      <c r="BKG1379" s="53"/>
      <c r="BKH1379" s="53"/>
      <c r="BKI1379" s="53"/>
      <c r="BKJ1379" s="53"/>
      <c r="BKK1379" s="53"/>
      <c r="BKL1379" s="53"/>
      <c r="BKM1379" s="53"/>
      <c r="BKN1379" s="53"/>
      <c r="BKO1379" s="53"/>
      <c r="BKP1379" s="53"/>
      <c r="BKQ1379" s="53"/>
      <c r="BKR1379" s="53"/>
      <c r="BKS1379" s="53"/>
      <c r="BKT1379" s="53"/>
      <c r="BKU1379" s="53"/>
      <c r="BKV1379" s="53"/>
      <c r="BKW1379" s="53"/>
      <c r="BKX1379" s="53"/>
      <c r="BKY1379" s="53"/>
      <c r="BKZ1379" s="53"/>
      <c r="BLA1379" s="53"/>
      <c r="BLB1379" s="53"/>
      <c r="BLC1379" s="53"/>
      <c r="BLD1379" s="53"/>
      <c r="BLE1379" s="53"/>
      <c r="BLF1379" s="53"/>
      <c r="BLG1379" s="53"/>
      <c r="BLH1379" s="53"/>
      <c r="BLI1379" s="53"/>
      <c r="BLJ1379" s="53"/>
      <c r="BLK1379" s="53"/>
      <c r="BLL1379" s="53"/>
      <c r="BLM1379" s="53"/>
      <c r="BLN1379" s="53"/>
      <c r="BLO1379" s="53"/>
      <c r="BLP1379" s="53"/>
      <c r="BLQ1379" s="53"/>
      <c r="BLR1379" s="53"/>
      <c r="BLS1379" s="53"/>
      <c r="BLT1379" s="53"/>
      <c r="BLU1379" s="53"/>
      <c r="BLV1379" s="53"/>
      <c r="BLW1379" s="53"/>
      <c r="BLX1379" s="53"/>
      <c r="BLY1379" s="53"/>
      <c r="BLZ1379" s="53"/>
      <c r="BMA1379" s="53"/>
      <c r="BMB1379" s="53"/>
      <c r="BMC1379" s="53"/>
      <c r="BMD1379" s="53"/>
      <c r="BME1379" s="53"/>
      <c r="BMF1379" s="53"/>
      <c r="BMG1379" s="53"/>
      <c r="BMH1379" s="53"/>
      <c r="BMI1379" s="53"/>
      <c r="BMJ1379" s="53"/>
      <c r="BMK1379" s="53"/>
      <c r="BML1379" s="53"/>
      <c r="BMM1379" s="53"/>
      <c r="BMN1379" s="53"/>
      <c r="BMO1379" s="53"/>
      <c r="BMP1379" s="53"/>
      <c r="BMQ1379" s="53"/>
      <c r="BMR1379" s="53"/>
      <c r="BMS1379" s="53"/>
      <c r="BMT1379" s="53"/>
      <c r="BMU1379" s="53"/>
      <c r="BMV1379" s="53"/>
      <c r="BMW1379" s="53"/>
      <c r="BMX1379" s="53"/>
      <c r="BMY1379" s="53"/>
      <c r="BMZ1379" s="53"/>
      <c r="BNA1379" s="53"/>
      <c r="BNB1379" s="53"/>
      <c r="BNC1379" s="53"/>
      <c r="BND1379" s="53"/>
      <c r="BNE1379" s="53"/>
      <c r="BNF1379" s="53"/>
      <c r="BNG1379" s="53"/>
      <c r="BNH1379" s="53"/>
      <c r="BNI1379" s="53"/>
      <c r="BNJ1379" s="53"/>
      <c r="BNK1379" s="53"/>
      <c r="BNL1379" s="53"/>
      <c r="BNM1379" s="53"/>
      <c r="BNN1379" s="53"/>
      <c r="BNO1379" s="53"/>
      <c r="BNP1379" s="53"/>
      <c r="BNQ1379" s="53"/>
      <c r="BNR1379" s="53"/>
      <c r="BNS1379" s="53"/>
      <c r="BNT1379" s="53"/>
      <c r="BNU1379" s="53"/>
      <c r="BNV1379" s="53"/>
      <c r="BNW1379" s="53"/>
      <c r="BNX1379" s="53"/>
      <c r="BNY1379" s="53"/>
      <c r="BNZ1379" s="53"/>
      <c r="BOA1379" s="53"/>
      <c r="BOB1379" s="53"/>
      <c r="BOC1379" s="53"/>
      <c r="BOD1379" s="53"/>
      <c r="BOE1379" s="53"/>
      <c r="BOF1379" s="53"/>
      <c r="BOG1379" s="53"/>
      <c r="BOH1379" s="53"/>
      <c r="BOI1379" s="53"/>
      <c r="BOJ1379" s="53"/>
      <c r="BOK1379" s="53"/>
      <c r="BOL1379" s="53"/>
      <c r="BOM1379" s="53"/>
      <c r="BON1379" s="53"/>
      <c r="BOO1379" s="53"/>
      <c r="BOP1379" s="53"/>
      <c r="BOQ1379" s="53"/>
      <c r="BOR1379" s="53"/>
      <c r="BOS1379" s="53"/>
      <c r="BOT1379" s="53"/>
      <c r="BOU1379" s="53"/>
      <c r="BOV1379" s="53"/>
      <c r="BOW1379" s="53"/>
      <c r="BOX1379" s="53"/>
      <c r="BOY1379" s="53"/>
      <c r="BOZ1379" s="53"/>
      <c r="BPA1379" s="53"/>
      <c r="BPB1379" s="53"/>
      <c r="BPC1379" s="53"/>
      <c r="BPD1379" s="53"/>
      <c r="BPE1379" s="53"/>
      <c r="BPF1379" s="53"/>
      <c r="BPG1379" s="53"/>
      <c r="BPH1379" s="53"/>
      <c r="BPI1379" s="53"/>
      <c r="BPJ1379" s="53"/>
      <c r="BPK1379" s="53"/>
      <c r="BPL1379" s="53"/>
      <c r="BPM1379" s="53"/>
      <c r="BPN1379" s="53"/>
      <c r="BPO1379" s="53"/>
      <c r="BPP1379" s="53"/>
      <c r="BPQ1379" s="53"/>
      <c r="BPR1379" s="53"/>
      <c r="BPS1379" s="53"/>
      <c r="BPT1379" s="53"/>
      <c r="BPU1379" s="53"/>
      <c r="BPV1379" s="53"/>
      <c r="BPW1379" s="53"/>
      <c r="BPX1379" s="53"/>
      <c r="BPY1379" s="53"/>
      <c r="BPZ1379" s="53"/>
      <c r="BQA1379" s="53"/>
      <c r="BQB1379" s="53"/>
      <c r="BQC1379" s="53"/>
      <c r="BQD1379" s="53"/>
      <c r="BQE1379" s="53"/>
      <c r="BQF1379" s="53"/>
      <c r="BQG1379" s="53"/>
      <c r="BQH1379" s="53"/>
      <c r="BQI1379" s="53"/>
      <c r="BQJ1379" s="53"/>
      <c r="BQK1379" s="53"/>
      <c r="BQL1379" s="53"/>
      <c r="BQM1379" s="53"/>
      <c r="BQN1379" s="53"/>
      <c r="BQO1379" s="53"/>
      <c r="BQP1379" s="53"/>
      <c r="BQQ1379" s="53"/>
      <c r="BQR1379" s="53"/>
      <c r="BQS1379" s="53"/>
      <c r="BQT1379" s="53"/>
      <c r="BQU1379" s="53"/>
      <c r="BQV1379" s="53"/>
      <c r="BQW1379" s="53"/>
      <c r="BQX1379" s="53"/>
      <c r="BQY1379" s="53"/>
      <c r="BQZ1379" s="53"/>
      <c r="BRA1379" s="53"/>
      <c r="BRB1379" s="53"/>
      <c r="BRC1379" s="53"/>
      <c r="BRD1379" s="53"/>
      <c r="BRE1379" s="53"/>
      <c r="BRF1379" s="53"/>
      <c r="BRG1379" s="53"/>
      <c r="BRH1379" s="53"/>
      <c r="BRI1379" s="53"/>
      <c r="BRJ1379" s="53"/>
      <c r="BRK1379" s="53"/>
      <c r="BRL1379" s="53"/>
      <c r="BRM1379" s="53"/>
      <c r="BRN1379" s="53"/>
      <c r="BRO1379" s="53"/>
      <c r="BRP1379" s="53"/>
      <c r="BRQ1379" s="53"/>
      <c r="BRR1379" s="53"/>
      <c r="BRS1379" s="53"/>
      <c r="BRT1379" s="53"/>
      <c r="BRU1379" s="53"/>
      <c r="BRV1379" s="53"/>
      <c r="BRW1379" s="53"/>
      <c r="BRX1379" s="53"/>
      <c r="BRY1379" s="53"/>
      <c r="BRZ1379" s="53"/>
      <c r="BSA1379" s="53"/>
      <c r="BSB1379" s="53"/>
      <c r="BSC1379" s="53"/>
      <c r="BSD1379" s="53"/>
      <c r="BSE1379" s="53"/>
      <c r="BSF1379" s="53"/>
      <c r="BSG1379" s="53"/>
      <c r="BSH1379" s="53"/>
      <c r="BSI1379" s="53"/>
      <c r="BSJ1379" s="53"/>
      <c r="BSK1379" s="53"/>
      <c r="BSL1379" s="53"/>
      <c r="BSM1379" s="53"/>
      <c r="BSN1379" s="53"/>
      <c r="BSO1379" s="53"/>
      <c r="BSP1379" s="53"/>
      <c r="BSQ1379" s="53"/>
      <c r="BSR1379" s="53"/>
      <c r="BSS1379" s="53"/>
      <c r="BST1379" s="53"/>
      <c r="BSU1379" s="53"/>
      <c r="BSV1379" s="53"/>
      <c r="BSW1379" s="53"/>
      <c r="BSX1379" s="53"/>
      <c r="BSY1379" s="53"/>
      <c r="BSZ1379" s="53"/>
      <c r="BTA1379" s="53"/>
      <c r="BTB1379" s="53"/>
      <c r="BTC1379" s="53"/>
      <c r="BTD1379" s="53"/>
      <c r="BTE1379" s="53"/>
      <c r="BTF1379" s="53"/>
      <c r="BTG1379" s="53"/>
      <c r="BTH1379" s="53"/>
      <c r="BTI1379" s="53"/>
      <c r="BTJ1379" s="53"/>
      <c r="BTK1379" s="53"/>
      <c r="BTL1379" s="53"/>
      <c r="BTM1379" s="53"/>
      <c r="BTN1379" s="53"/>
      <c r="BTO1379" s="53"/>
      <c r="BTP1379" s="53"/>
      <c r="BTQ1379" s="53"/>
      <c r="BTR1379" s="53"/>
      <c r="BTS1379" s="53"/>
      <c r="BTT1379" s="53"/>
      <c r="BTU1379" s="53"/>
      <c r="BTV1379" s="53"/>
      <c r="BTW1379" s="53"/>
      <c r="BTX1379" s="53"/>
      <c r="BTY1379" s="53"/>
      <c r="BTZ1379" s="53"/>
      <c r="BUA1379" s="53"/>
      <c r="BUB1379" s="53"/>
      <c r="BUC1379" s="53"/>
      <c r="BUD1379" s="53"/>
      <c r="BUE1379" s="53"/>
      <c r="BUF1379" s="53"/>
      <c r="BUG1379" s="53"/>
      <c r="BUH1379" s="53"/>
      <c r="BUI1379" s="53"/>
      <c r="BUJ1379" s="53"/>
      <c r="BUK1379" s="53"/>
      <c r="BUL1379" s="53"/>
      <c r="BUM1379" s="53"/>
      <c r="BUN1379" s="53"/>
      <c r="BUO1379" s="53"/>
      <c r="BUP1379" s="53"/>
      <c r="BUQ1379" s="53"/>
      <c r="BUR1379" s="53"/>
      <c r="BUS1379" s="53"/>
      <c r="BUT1379" s="53"/>
      <c r="BUU1379" s="53"/>
      <c r="BUV1379" s="53"/>
      <c r="BUW1379" s="53"/>
      <c r="BUX1379" s="53"/>
      <c r="BUY1379" s="53"/>
      <c r="BUZ1379" s="53"/>
      <c r="BVA1379" s="53"/>
      <c r="BVB1379" s="53"/>
      <c r="BVC1379" s="53"/>
      <c r="BVD1379" s="53"/>
      <c r="BVE1379" s="53"/>
      <c r="BVF1379" s="53"/>
      <c r="BVG1379" s="53"/>
      <c r="BVH1379" s="53"/>
      <c r="BVI1379" s="53"/>
      <c r="BVJ1379" s="53"/>
      <c r="BVK1379" s="53"/>
      <c r="BVL1379" s="53"/>
      <c r="BVM1379" s="53"/>
      <c r="BVN1379" s="53"/>
      <c r="BVO1379" s="53"/>
      <c r="BVP1379" s="53"/>
      <c r="BVQ1379" s="53"/>
      <c r="BVR1379" s="53"/>
      <c r="BVS1379" s="53"/>
      <c r="BVT1379" s="53"/>
      <c r="BVU1379" s="53"/>
      <c r="BVV1379" s="53"/>
      <c r="BVW1379" s="53"/>
      <c r="BVX1379" s="53"/>
      <c r="BVY1379" s="53"/>
      <c r="BVZ1379" s="53"/>
      <c r="BWA1379" s="53"/>
      <c r="BWB1379" s="53"/>
      <c r="BWC1379" s="53"/>
      <c r="BWD1379" s="53"/>
      <c r="BWE1379" s="53"/>
      <c r="BWF1379" s="53"/>
      <c r="BWG1379" s="53"/>
      <c r="BWH1379" s="53"/>
      <c r="BWI1379" s="53"/>
      <c r="BWJ1379" s="53"/>
      <c r="BWK1379" s="53"/>
      <c r="BWL1379" s="53"/>
      <c r="BWM1379" s="53"/>
      <c r="BWN1379" s="53"/>
      <c r="BWO1379" s="53"/>
      <c r="BWP1379" s="53"/>
      <c r="BWQ1379" s="53"/>
      <c r="BWR1379" s="53"/>
      <c r="BWS1379" s="53"/>
      <c r="BWT1379" s="53"/>
      <c r="BWU1379" s="53"/>
      <c r="BWV1379" s="53"/>
      <c r="BWW1379" s="53"/>
      <c r="BWX1379" s="53"/>
      <c r="BWY1379" s="53"/>
      <c r="BWZ1379" s="53"/>
      <c r="BXA1379" s="53"/>
      <c r="BXB1379" s="53"/>
      <c r="BXC1379" s="53"/>
      <c r="BXD1379" s="53"/>
      <c r="BXE1379" s="53"/>
      <c r="BXF1379" s="53"/>
      <c r="BXG1379" s="53"/>
      <c r="BXH1379" s="53"/>
      <c r="BXI1379" s="53"/>
      <c r="BXJ1379" s="53"/>
      <c r="BXK1379" s="53"/>
      <c r="BXL1379" s="53"/>
      <c r="BXM1379" s="53"/>
      <c r="BXN1379" s="53"/>
      <c r="BXO1379" s="53"/>
      <c r="BXP1379" s="53"/>
      <c r="BXQ1379" s="53"/>
      <c r="BXR1379" s="53"/>
      <c r="BXS1379" s="53"/>
      <c r="BXT1379" s="53"/>
      <c r="BXU1379" s="53"/>
      <c r="BXV1379" s="53"/>
      <c r="BXW1379" s="53"/>
      <c r="BXX1379" s="53"/>
      <c r="BXY1379" s="53"/>
      <c r="BXZ1379" s="53"/>
      <c r="BYA1379" s="53"/>
      <c r="BYB1379" s="53"/>
      <c r="BYC1379" s="53"/>
      <c r="BYD1379" s="53"/>
      <c r="BYE1379" s="53"/>
      <c r="BYF1379" s="53"/>
      <c r="BYG1379" s="53"/>
      <c r="BYH1379" s="53"/>
      <c r="BYI1379" s="53"/>
      <c r="BYJ1379" s="53"/>
      <c r="BYK1379" s="53"/>
      <c r="BYL1379" s="53"/>
      <c r="BYM1379" s="53"/>
      <c r="BYN1379" s="53"/>
      <c r="BYO1379" s="53"/>
      <c r="BYP1379" s="53"/>
      <c r="BYQ1379" s="53"/>
      <c r="BYR1379" s="53"/>
      <c r="BYS1379" s="53"/>
      <c r="BYT1379" s="53"/>
      <c r="BYU1379" s="53"/>
      <c r="BYV1379" s="53"/>
      <c r="BYW1379" s="53"/>
      <c r="BYX1379" s="53"/>
      <c r="BYY1379" s="53"/>
      <c r="BYZ1379" s="53"/>
      <c r="BZA1379" s="53"/>
      <c r="BZB1379" s="53"/>
      <c r="BZC1379" s="53"/>
      <c r="BZD1379" s="53"/>
      <c r="BZE1379" s="53"/>
      <c r="BZF1379" s="53"/>
      <c r="BZG1379" s="53"/>
      <c r="BZH1379" s="53"/>
      <c r="BZI1379" s="53"/>
      <c r="BZJ1379" s="53"/>
      <c r="BZK1379" s="53"/>
      <c r="BZL1379" s="53"/>
      <c r="BZM1379" s="53"/>
      <c r="BZN1379" s="53"/>
      <c r="BZO1379" s="53"/>
      <c r="BZP1379" s="53"/>
      <c r="BZQ1379" s="53"/>
      <c r="BZR1379" s="53"/>
      <c r="BZS1379" s="53"/>
      <c r="BZT1379" s="53"/>
      <c r="BZU1379" s="53"/>
      <c r="BZV1379" s="53"/>
      <c r="BZW1379" s="53"/>
      <c r="BZX1379" s="53"/>
      <c r="BZY1379" s="53"/>
      <c r="BZZ1379" s="53"/>
      <c r="CAA1379" s="53"/>
      <c r="CAB1379" s="53"/>
      <c r="CAC1379" s="53"/>
      <c r="CAD1379" s="53"/>
      <c r="CAE1379" s="53"/>
      <c r="CAF1379" s="53"/>
      <c r="CAG1379" s="53"/>
      <c r="CAH1379" s="53"/>
      <c r="CAI1379" s="53"/>
      <c r="CAJ1379" s="53"/>
      <c r="CAK1379" s="53"/>
      <c r="CAL1379" s="53"/>
      <c r="CAM1379" s="53"/>
      <c r="CAN1379" s="53"/>
      <c r="CAO1379" s="53"/>
      <c r="CAP1379" s="53"/>
      <c r="CAQ1379" s="53"/>
      <c r="CAR1379" s="53"/>
      <c r="CAS1379" s="53"/>
      <c r="CAT1379" s="53"/>
      <c r="CAU1379" s="53"/>
      <c r="CAV1379" s="53"/>
      <c r="CAW1379" s="53"/>
      <c r="CAX1379" s="53"/>
      <c r="CAY1379" s="53"/>
      <c r="CAZ1379" s="53"/>
      <c r="CBA1379" s="53"/>
      <c r="CBB1379" s="53"/>
      <c r="CBC1379" s="53"/>
      <c r="CBD1379" s="53"/>
      <c r="CBE1379" s="53"/>
      <c r="CBF1379" s="53"/>
      <c r="CBG1379" s="53"/>
      <c r="CBH1379" s="53"/>
      <c r="CBI1379" s="53"/>
      <c r="CBJ1379" s="53"/>
      <c r="CBK1379" s="53"/>
      <c r="CBL1379" s="53"/>
      <c r="CBM1379" s="53"/>
      <c r="CBN1379" s="53"/>
      <c r="CBO1379" s="53"/>
      <c r="CBP1379" s="53"/>
      <c r="CBQ1379" s="53"/>
      <c r="CBR1379" s="53"/>
      <c r="CBS1379" s="53"/>
      <c r="CBT1379" s="53"/>
      <c r="CBU1379" s="53"/>
      <c r="CBV1379" s="53"/>
      <c r="CBW1379" s="53"/>
      <c r="CBX1379" s="53"/>
      <c r="CBY1379" s="53"/>
      <c r="CBZ1379" s="53"/>
      <c r="CCA1379" s="53"/>
      <c r="CCB1379" s="53"/>
      <c r="CCC1379" s="53"/>
      <c r="CCD1379" s="53"/>
      <c r="CCE1379" s="53"/>
      <c r="CCF1379" s="53"/>
      <c r="CCG1379" s="53"/>
      <c r="CCH1379" s="53"/>
      <c r="CCI1379" s="53"/>
      <c r="CCJ1379" s="53"/>
      <c r="CCK1379" s="53"/>
      <c r="CCL1379" s="53"/>
      <c r="CCM1379" s="53"/>
      <c r="CCN1379" s="53"/>
      <c r="CCO1379" s="53"/>
      <c r="CCP1379" s="53"/>
      <c r="CCQ1379" s="53"/>
      <c r="CCR1379" s="53"/>
      <c r="CCS1379" s="53"/>
      <c r="CCT1379" s="53"/>
      <c r="CCU1379" s="53"/>
      <c r="CCV1379" s="53"/>
      <c r="CCW1379" s="53"/>
      <c r="CCX1379" s="53"/>
      <c r="CCY1379" s="53"/>
      <c r="CCZ1379" s="53"/>
      <c r="CDA1379" s="53"/>
      <c r="CDB1379" s="53"/>
      <c r="CDC1379" s="53"/>
      <c r="CDD1379" s="53"/>
      <c r="CDE1379" s="53"/>
      <c r="CDF1379" s="53"/>
      <c r="CDG1379" s="53"/>
      <c r="CDH1379" s="53"/>
      <c r="CDI1379" s="53"/>
      <c r="CDJ1379" s="53"/>
      <c r="CDK1379" s="53"/>
      <c r="CDL1379" s="53"/>
      <c r="CDM1379" s="53"/>
      <c r="CDN1379" s="53"/>
      <c r="CDO1379" s="53"/>
      <c r="CDP1379" s="53"/>
      <c r="CDQ1379" s="53"/>
      <c r="CDR1379" s="53"/>
      <c r="CDS1379" s="53"/>
      <c r="CDT1379" s="53"/>
      <c r="CDU1379" s="53"/>
      <c r="CDV1379" s="53"/>
      <c r="CDW1379" s="53"/>
      <c r="CDX1379" s="53"/>
      <c r="CDY1379" s="53"/>
      <c r="CDZ1379" s="53"/>
      <c r="CEA1379" s="53"/>
      <c r="CEB1379" s="53"/>
      <c r="CEC1379" s="53"/>
      <c r="CED1379" s="53"/>
      <c r="CEE1379" s="53"/>
      <c r="CEF1379" s="53"/>
      <c r="CEG1379" s="53"/>
      <c r="CEH1379" s="53"/>
      <c r="CEI1379" s="53"/>
      <c r="CEJ1379" s="53"/>
      <c r="CEK1379" s="53"/>
      <c r="CEL1379" s="53"/>
      <c r="CEM1379" s="53"/>
      <c r="CEN1379" s="53"/>
      <c r="CEO1379" s="53"/>
      <c r="CEP1379" s="53"/>
      <c r="CEQ1379" s="53"/>
      <c r="CER1379" s="53"/>
      <c r="CES1379" s="53"/>
      <c r="CET1379" s="53"/>
      <c r="CEU1379" s="53"/>
      <c r="CEV1379" s="53"/>
      <c r="CEW1379" s="53"/>
      <c r="CEX1379" s="53"/>
      <c r="CEY1379" s="53"/>
      <c r="CEZ1379" s="53"/>
      <c r="CFA1379" s="53"/>
      <c r="CFB1379" s="53"/>
      <c r="CFC1379" s="53"/>
      <c r="CFD1379" s="53"/>
      <c r="CFE1379" s="53"/>
      <c r="CFF1379" s="53"/>
      <c r="CFG1379" s="53"/>
      <c r="CFH1379" s="53"/>
      <c r="CFI1379" s="53"/>
      <c r="CFJ1379" s="53"/>
      <c r="CFK1379" s="53"/>
      <c r="CFL1379" s="53"/>
      <c r="CFM1379" s="53"/>
      <c r="CFN1379" s="53"/>
      <c r="CFO1379" s="53"/>
      <c r="CFP1379" s="53"/>
      <c r="CFQ1379" s="53"/>
      <c r="CFR1379" s="53"/>
      <c r="CFS1379" s="53"/>
      <c r="CFT1379" s="53"/>
      <c r="CFU1379" s="53"/>
      <c r="CFV1379" s="53"/>
      <c r="CFW1379" s="53"/>
      <c r="CFX1379" s="53"/>
      <c r="CFY1379" s="53"/>
      <c r="CFZ1379" s="53"/>
      <c r="CGA1379" s="53"/>
      <c r="CGB1379" s="53"/>
      <c r="CGC1379" s="53"/>
      <c r="CGD1379" s="53"/>
      <c r="CGE1379" s="53"/>
      <c r="CGF1379" s="53"/>
      <c r="CGG1379" s="53"/>
      <c r="CGH1379" s="53"/>
      <c r="CGI1379" s="53"/>
      <c r="CGJ1379" s="53"/>
      <c r="CGK1379" s="53"/>
      <c r="CGL1379" s="53"/>
      <c r="CGM1379" s="53"/>
      <c r="CGN1379" s="53"/>
      <c r="CGO1379" s="53"/>
      <c r="CGP1379" s="53"/>
      <c r="CGQ1379" s="53"/>
      <c r="CGR1379" s="53"/>
      <c r="CGS1379" s="53"/>
      <c r="CGT1379" s="53"/>
      <c r="CGU1379" s="53"/>
      <c r="CGV1379" s="53"/>
      <c r="CGW1379" s="53"/>
      <c r="CGX1379" s="53"/>
      <c r="CGY1379" s="53"/>
      <c r="CGZ1379" s="53"/>
      <c r="CHA1379" s="53"/>
      <c r="CHB1379" s="53"/>
      <c r="CHC1379" s="53"/>
      <c r="CHD1379" s="53"/>
      <c r="CHE1379" s="53"/>
      <c r="CHF1379" s="53"/>
      <c r="CHG1379" s="53"/>
      <c r="CHH1379" s="53"/>
      <c r="CHI1379" s="53"/>
      <c r="CHJ1379" s="53"/>
      <c r="CHK1379" s="53"/>
      <c r="CHL1379" s="53"/>
      <c r="CHM1379" s="53"/>
      <c r="CHN1379" s="53"/>
      <c r="CHO1379" s="53"/>
      <c r="CHP1379" s="53"/>
      <c r="CHQ1379" s="53"/>
      <c r="CHR1379" s="53"/>
      <c r="CHS1379" s="53"/>
      <c r="CHT1379" s="53"/>
      <c r="CHU1379" s="53"/>
      <c r="CHV1379" s="53"/>
      <c r="CHW1379" s="53"/>
      <c r="CHX1379" s="53"/>
      <c r="CHY1379" s="53"/>
      <c r="CHZ1379" s="53"/>
      <c r="CIA1379" s="53"/>
      <c r="CIB1379" s="53"/>
      <c r="CIC1379" s="53"/>
      <c r="CID1379" s="53"/>
      <c r="CIE1379" s="53"/>
      <c r="CIF1379" s="53"/>
      <c r="CIG1379" s="53"/>
      <c r="CIH1379" s="53"/>
      <c r="CII1379" s="53"/>
      <c r="CIJ1379" s="53"/>
      <c r="CIK1379" s="53"/>
      <c r="CIL1379" s="53"/>
      <c r="CIM1379" s="53"/>
      <c r="CIN1379" s="53"/>
      <c r="CIO1379" s="53"/>
      <c r="CIP1379" s="53"/>
      <c r="CIQ1379" s="53"/>
      <c r="CIR1379" s="53"/>
      <c r="CIS1379" s="53"/>
      <c r="CIT1379" s="53"/>
      <c r="CIU1379" s="53"/>
      <c r="CIV1379" s="53"/>
      <c r="CIW1379" s="53"/>
      <c r="CIX1379" s="53"/>
      <c r="CIY1379" s="53"/>
      <c r="CIZ1379" s="53"/>
      <c r="CJA1379" s="53"/>
      <c r="CJB1379" s="53"/>
      <c r="CJC1379" s="53"/>
      <c r="CJD1379" s="53"/>
      <c r="CJE1379" s="53"/>
      <c r="CJF1379" s="53"/>
      <c r="CJG1379" s="53"/>
      <c r="CJH1379" s="53"/>
      <c r="CJI1379" s="53"/>
      <c r="CJJ1379" s="53"/>
      <c r="CJK1379" s="53"/>
      <c r="CJL1379" s="53"/>
      <c r="CJM1379" s="53"/>
      <c r="CJN1379" s="53"/>
      <c r="CJO1379" s="53"/>
      <c r="CJP1379" s="53"/>
      <c r="CJQ1379" s="53"/>
      <c r="CJR1379" s="53"/>
      <c r="CJS1379" s="53"/>
      <c r="CJT1379" s="53"/>
      <c r="CJU1379" s="53"/>
      <c r="CJV1379" s="53"/>
      <c r="CJW1379" s="53"/>
      <c r="CJX1379" s="53"/>
      <c r="CJY1379" s="53"/>
      <c r="CJZ1379" s="53"/>
      <c r="CKA1379" s="53"/>
      <c r="CKB1379" s="53"/>
      <c r="CKC1379" s="53"/>
      <c r="CKD1379" s="53"/>
      <c r="CKE1379" s="53"/>
      <c r="CKF1379" s="53"/>
      <c r="CKG1379" s="53"/>
      <c r="CKH1379" s="53"/>
      <c r="CKI1379" s="53"/>
      <c r="CKJ1379" s="53"/>
      <c r="CKK1379" s="53"/>
      <c r="CKL1379" s="53"/>
      <c r="CKM1379" s="53"/>
      <c r="CKN1379" s="53"/>
      <c r="CKO1379" s="53"/>
      <c r="CKP1379" s="53"/>
      <c r="CKQ1379" s="53"/>
      <c r="CKR1379" s="53"/>
      <c r="CKS1379" s="53"/>
      <c r="CKT1379" s="53"/>
      <c r="CKU1379" s="53"/>
      <c r="CKV1379" s="53"/>
      <c r="CKW1379" s="53"/>
      <c r="CKX1379" s="53"/>
      <c r="CKY1379" s="53"/>
      <c r="CKZ1379" s="53"/>
      <c r="CLA1379" s="53"/>
      <c r="CLB1379" s="53"/>
      <c r="CLC1379" s="53"/>
      <c r="CLD1379" s="53"/>
      <c r="CLE1379" s="53"/>
      <c r="CLF1379" s="53"/>
      <c r="CLG1379" s="53"/>
      <c r="CLH1379" s="53"/>
      <c r="CLI1379" s="53"/>
      <c r="CLJ1379" s="53"/>
      <c r="CLK1379" s="53"/>
      <c r="CLL1379" s="53"/>
      <c r="CLM1379" s="53"/>
      <c r="CLN1379" s="53"/>
      <c r="CLO1379" s="53"/>
      <c r="CLP1379" s="53"/>
      <c r="CLQ1379" s="53"/>
      <c r="CLR1379" s="53"/>
      <c r="CLS1379" s="53"/>
      <c r="CLT1379" s="53"/>
      <c r="CLU1379" s="53"/>
      <c r="CLV1379" s="53"/>
      <c r="CLW1379" s="53"/>
      <c r="CLX1379" s="53"/>
      <c r="CLY1379" s="53"/>
      <c r="CLZ1379" s="53"/>
      <c r="CMA1379" s="53"/>
      <c r="CMB1379" s="53"/>
      <c r="CMC1379" s="53"/>
      <c r="CMD1379" s="53"/>
      <c r="CME1379" s="53"/>
      <c r="CMF1379" s="53"/>
      <c r="CMG1379" s="53"/>
      <c r="CMH1379" s="53"/>
      <c r="CMI1379" s="53"/>
      <c r="CMJ1379" s="53"/>
      <c r="CMK1379" s="53"/>
      <c r="CML1379" s="53"/>
      <c r="CMM1379" s="53"/>
      <c r="CMN1379" s="53"/>
      <c r="CMO1379" s="53"/>
      <c r="CMP1379" s="53"/>
      <c r="CMQ1379" s="53"/>
      <c r="CMR1379" s="53"/>
      <c r="CMS1379" s="53"/>
      <c r="CMT1379" s="53"/>
      <c r="CMU1379" s="53"/>
      <c r="CMV1379" s="53"/>
      <c r="CMW1379" s="53"/>
      <c r="CMX1379" s="53"/>
      <c r="CMY1379" s="53"/>
      <c r="CMZ1379" s="53"/>
      <c r="CNA1379" s="53"/>
      <c r="CNB1379" s="53"/>
      <c r="CNC1379" s="53"/>
      <c r="CND1379" s="53"/>
      <c r="CNE1379" s="53"/>
      <c r="CNF1379" s="53"/>
      <c r="CNG1379" s="53"/>
      <c r="CNH1379" s="53"/>
      <c r="CNI1379" s="53"/>
      <c r="CNJ1379" s="53"/>
      <c r="CNK1379" s="53"/>
      <c r="CNL1379" s="53"/>
      <c r="CNM1379" s="53"/>
      <c r="CNN1379" s="53"/>
      <c r="CNO1379" s="53"/>
      <c r="CNP1379" s="53"/>
      <c r="CNQ1379" s="53"/>
      <c r="CNR1379" s="53"/>
      <c r="CNS1379" s="53"/>
      <c r="CNT1379" s="53"/>
      <c r="CNU1379" s="53"/>
      <c r="CNV1379" s="53"/>
      <c r="CNW1379" s="53"/>
      <c r="CNX1379" s="53"/>
      <c r="CNY1379" s="53"/>
      <c r="CNZ1379" s="53"/>
      <c r="COA1379" s="53"/>
      <c r="COB1379" s="53"/>
      <c r="COC1379" s="53"/>
      <c r="COD1379" s="53"/>
      <c r="COE1379" s="53"/>
      <c r="COF1379" s="53"/>
      <c r="COG1379" s="53"/>
      <c r="COH1379" s="53"/>
      <c r="COI1379" s="53"/>
      <c r="COJ1379" s="53"/>
      <c r="COK1379" s="53"/>
      <c r="COL1379" s="53"/>
      <c r="COM1379" s="53"/>
      <c r="CON1379" s="53"/>
      <c r="COO1379" s="53"/>
      <c r="COP1379" s="53"/>
      <c r="COQ1379" s="53"/>
      <c r="COR1379" s="53"/>
      <c r="COS1379" s="53"/>
      <c r="COT1379" s="53"/>
      <c r="COU1379" s="53"/>
      <c r="COV1379" s="53"/>
      <c r="COW1379" s="53"/>
      <c r="COX1379" s="53"/>
      <c r="COY1379" s="53"/>
      <c r="COZ1379" s="53"/>
      <c r="CPA1379" s="53"/>
      <c r="CPB1379" s="53"/>
      <c r="CPC1379" s="53"/>
      <c r="CPD1379" s="53"/>
      <c r="CPE1379" s="53"/>
      <c r="CPF1379" s="53"/>
      <c r="CPG1379" s="53"/>
      <c r="CPH1379" s="53"/>
      <c r="CPI1379" s="53"/>
      <c r="CPJ1379" s="53"/>
      <c r="CPK1379" s="53"/>
      <c r="CPL1379" s="53"/>
      <c r="CPM1379" s="53"/>
      <c r="CPN1379" s="53"/>
      <c r="CPO1379" s="53"/>
      <c r="CPP1379" s="53"/>
      <c r="CPQ1379" s="53"/>
      <c r="CPR1379" s="53"/>
      <c r="CPS1379" s="53"/>
      <c r="CPT1379" s="53"/>
      <c r="CPU1379" s="53"/>
      <c r="CPV1379" s="53"/>
      <c r="CPW1379" s="53"/>
      <c r="CPX1379" s="53"/>
      <c r="CPY1379" s="53"/>
      <c r="CPZ1379" s="53"/>
      <c r="CQA1379" s="53"/>
      <c r="CQB1379" s="53"/>
      <c r="CQC1379" s="53"/>
      <c r="CQD1379" s="53"/>
      <c r="CQE1379" s="53"/>
      <c r="CQF1379" s="53"/>
      <c r="CQG1379" s="53"/>
      <c r="CQH1379" s="53"/>
      <c r="CQI1379" s="53"/>
      <c r="CQJ1379" s="53"/>
      <c r="CQK1379" s="53"/>
      <c r="CQL1379" s="53"/>
      <c r="CQM1379" s="53"/>
      <c r="CQN1379" s="53"/>
      <c r="CQO1379" s="53"/>
      <c r="CQP1379" s="53"/>
      <c r="CQQ1379" s="53"/>
      <c r="CQR1379" s="53"/>
      <c r="CQS1379" s="53"/>
      <c r="CQT1379" s="53"/>
      <c r="CQU1379" s="53"/>
      <c r="CQV1379" s="53"/>
      <c r="CQW1379" s="53"/>
      <c r="CQX1379" s="53"/>
      <c r="CQY1379" s="53"/>
      <c r="CQZ1379" s="53"/>
      <c r="CRA1379" s="53"/>
      <c r="CRB1379" s="53"/>
      <c r="CRC1379" s="53"/>
      <c r="CRD1379" s="53"/>
      <c r="CRE1379" s="53"/>
      <c r="CRF1379" s="53"/>
      <c r="CRG1379" s="53"/>
      <c r="CRH1379" s="53"/>
      <c r="CRI1379" s="53"/>
      <c r="CRJ1379" s="53"/>
      <c r="CRK1379" s="53"/>
      <c r="CRL1379" s="53"/>
      <c r="CRM1379" s="53"/>
      <c r="CRN1379" s="53"/>
      <c r="CRO1379" s="53"/>
      <c r="CRP1379" s="53"/>
      <c r="CRQ1379" s="53"/>
      <c r="CRR1379" s="53"/>
      <c r="CRS1379" s="53"/>
      <c r="CRT1379" s="53"/>
      <c r="CRU1379" s="53"/>
      <c r="CRV1379" s="53"/>
      <c r="CRW1379" s="53"/>
      <c r="CRX1379" s="53"/>
      <c r="CRY1379" s="53"/>
      <c r="CRZ1379" s="53"/>
      <c r="CSA1379" s="53"/>
      <c r="CSB1379" s="53"/>
      <c r="CSC1379" s="53"/>
      <c r="CSD1379" s="53"/>
      <c r="CSE1379" s="53"/>
      <c r="CSF1379" s="53"/>
      <c r="CSG1379" s="53"/>
      <c r="CSH1379" s="53"/>
      <c r="CSI1379" s="53"/>
      <c r="CSJ1379" s="53"/>
      <c r="CSK1379" s="53"/>
      <c r="CSL1379" s="53"/>
      <c r="CSM1379" s="53"/>
      <c r="CSN1379" s="53"/>
      <c r="CSO1379" s="53"/>
      <c r="CSP1379" s="53"/>
      <c r="CSQ1379" s="53"/>
      <c r="CSR1379" s="53"/>
      <c r="CSS1379" s="53"/>
      <c r="CST1379" s="53"/>
      <c r="CSU1379" s="53"/>
      <c r="CSV1379" s="53"/>
      <c r="CSW1379" s="53"/>
      <c r="CSX1379" s="53"/>
      <c r="CSY1379" s="53"/>
      <c r="CSZ1379" s="53"/>
      <c r="CTA1379" s="53"/>
      <c r="CTB1379" s="53"/>
      <c r="CTC1379" s="53"/>
      <c r="CTD1379" s="53"/>
      <c r="CTE1379" s="53"/>
      <c r="CTF1379" s="53"/>
      <c r="CTG1379" s="53"/>
      <c r="CTH1379" s="53"/>
      <c r="CTI1379" s="53"/>
      <c r="CTJ1379" s="53"/>
      <c r="CTK1379" s="53"/>
      <c r="CTL1379" s="53"/>
      <c r="CTM1379" s="53"/>
      <c r="CTN1379" s="53"/>
      <c r="CTO1379" s="53"/>
      <c r="CTP1379" s="53"/>
      <c r="CTQ1379" s="53"/>
      <c r="CTR1379" s="53"/>
      <c r="CTS1379" s="53"/>
      <c r="CTT1379" s="53"/>
      <c r="CTU1379" s="53"/>
      <c r="CTV1379" s="53"/>
      <c r="CTW1379" s="53"/>
      <c r="CTX1379" s="53"/>
      <c r="CTY1379" s="53"/>
      <c r="CTZ1379" s="53"/>
      <c r="CUA1379" s="53"/>
      <c r="CUB1379" s="53"/>
      <c r="CUC1379" s="53"/>
      <c r="CUD1379" s="53"/>
      <c r="CUE1379" s="53"/>
      <c r="CUF1379" s="53"/>
      <c r="CUG1379" s="53"/>
      <c r="CUH1379" s="53"/>
      <c r="CUI1379" s="53"/>
      <c r="CUJ1379" s="53"/>
      <c r="CUK1379" s="53"/>
      <c r="CUL1379" s="53"/>
      <c r="CUM1379" s="53"/>
      <c r="CUN1379" s="53"/>
      <c r="CUO1379" s="53"/>
      <c r="CUP1379" s="53"/>
      <c r="CUQ1379" s="53"/>
      <c r="CUR1379" s="53"/>
      <c r="CUS1379" s="53"/>
      <c r="CUT1379" s="53"/>
      <c r="CUU1379" s="53"/>
      <c r="CUV1379" s="53"/>
      <c r="CUW1379" s="53"/>
      <c r="CUX1379" s="53"/>
      <c r="CUY1379" s="53"/>
      <c r="CUZ1379" s="53"/>
      <c r="CVA1379" s="53"/>
      <c r="CVB1379" s="53"/>
      <c r="CVC1379" s="53"/>
      <c r="CVD1379" s="53"/>
      <c r="CVE1379" s="53"/>
      <c r="CVF1379" s="53"/>
      <c r="CVG1379" s="53"/>
      <c r="CVH1379" s="53"/>
      <c r="CVI1379" s="53"/>
      <c r="CVJ1379" s="53"/>
      <c r="CVK1379" s="53"/>
      <c r="CVL1379" s="53"/>
      <c r="CVM1379" s="53"/>
      <c r="CVN1379" s="53"/>
      <c r="CVO1379" s="53"/>
      <c r="CVP1379" s="53"/>
      <c r="CVQ1379" s="53"/>
      <c r="CVR1379" s="53"/>
      <c r="CVS1379" s="53"/>
      <c r="CVT1379" s="53"/>
      <c r="CVU1379" s="53"/>
      <c r="CVV1379" s="53"/>
      <c r="CVW1379" s="53"/>
      <c r="CVX1379" s="53"/>
      <c r="CVY1379" s="53"/>
      <c r="CVZ1379" s="53"/>
      <c r="CWA1379" s="53"/>
      <c r="CWB1379" s="53"/>
      <c r="CWC1379" s="53"/>
      <c r="CWD1379" s="53"/>
      <c r="CWE1379" s="53"/>
      <c r="CWF1379" s="53"/>
      <c r="CWG1379" s="53"/>
      <c r="CWH1379" s="53"/>
      <c r="CWI1379" s="53"/>
      <c r="CWJ1379" s="53"/>
      <c r="CWK1379" s="53"/>
      <c r="CWL1379" s="53"/>
      <c r="CWM1379" s="53"/>
      <c r="CWN1379" s="53"/>
      <c r="CWO1379" s="53"/>
      <c r="CWP1379" s="53"/>
      <c r="CWQ1379" s="53"/>
      <c r="CWR1379" s="53"/>
      <c r="CWS1379" s="53"/>
      <c r="CWT1379" s="53"/>
      <c r="CWU1379" s="53"/>
      <c r="CWV1379" s="53"/>
      <c r="CWW1379" s="53"/>
      <c r="CWX1379" s="53"/>
      <c r="CWY1379" s="53"/>
      <c r="CWZ1379" s="53"/>
      <c r="CXA1379" s="53"/>
      <c r="CXB1379" s="53"/>
      <c r="CXC1379" s="53"/>
      <c r="CXD1379" s="53"/>
      <c r="CXE1379" s="53"/>
      <c r="CXF1379" s="53"/>
      <c r="CXG1379" s="53"/>
      <c r="CXH1379" s="53"/>
      <c r="CXI1379" s="53"/>
      <c r="CXJ1379" s="53"/>
      <c r="CXK1379" s="53"/>
      <c r="CXL1379" s="53"/>
      <c r="CXM1379" s="53"/>
      <c r="CXN1379" s="53"/>
      <c r="CXO1379" s="53"/>
      <c r="CXP1379" s="53"/>
      <c r="CXQ1379" s="53"/>
      <c r="CXR1379" s="53"/>
      <c r="CXS1379" s="53"/>
      <c r="CXT1379" s="53"/>
      <c r="CXU1379" s="53"/>
      <c r="CXV1379" s="53"/>
      <c r="CXW1379" s="53"/>
      <c r="CXX1379" s="53"/>
      <c r="CXY1379" s="53"/>
      <c r="CXZ1379" s="53"/>
      <c r="CYA1379" s="53"/>
      <c r="CYB1379" s="53"/>
      <c r="CYC1379" s="53"/>
      <c r="CYD1379" s="53"/>
      <c r="CYE1379" s="53"/>
      <c r="CYF1379" s="53"/>
      <c r="CYG1379" s="53"/>
      <c r="CYH1379" s="53"/>
      <c r="CYI1379" s="53"/>
      <c r="CYJ1379" s="53"/>
      <c r="CYK1379" s="53"/>
      <c r="CYL1379" s="53"/>
      <c r="CYM1379" s="53"/>
      <c r="CYN1379" s="53"/>
      <c r="CYO1379" s="53"/>
      <c r="CYP1379" s="53"/>
      <c r="CYQ1379" s="53"/>
      <c r="CYR1379" s="53"/>
      <c r="CYS1379" s="53"/>
      <c r="CYT1379" s="53"/>
      <c r="CYU1379" s="53"/>
      <c r="CYV1379" s="53"/>
      <c r="CYW1379" s="53"/>
      <c r="CYX1379" s="53"/>
      <c r="CYY1379" s="53"/>
      <c r="CYZ1379" s="53"/>
      <c r="CZA1379" s="53"/>
      <c r="CZB1379" s="53"/>
      <c r="CZC1379" s="53"/>
      <c r="CZD1379" s="53"/>
      <c r="CZE1379" s="53"/>
      <c r="CZF1379" s="53"/>
      <c r="CZG1379" s="53"/>
      <c r="CZH1379" s="53"/>
      <c r="CZI1379" s="53"/>
      <c r="CZJ1379" s="53"/>
      <c r="CZK1379" s="53"/>
      <c r="CZL1379" s="53"/>
      <c r="CZM1379" s="53"/>
      <c r="CZN1379" s="53"/>
      <c r="CZO1379" s="53"/>
      <c r="CZP1379" s="53"/>
      <c r="CZQ1379" s="53"/>
      <c r="CZR1379" s="53"/>
      <c r="CZS1379" s="53"/>
      <c r="CZT1379" s="53"/>
      <c r="CZU1379" s="53"/>
      <c r="CZV1379" s="53"/>
      <c r="CZW1379" s="53"/>
      <c r="CZX1379" s="53"/>
      <c r="CZY1379" s="53"/>
      <c r="CZZ1379" s="53"/>
      <c r="DAA1379" s="53"/>
      <c r="DAB1379" s="53"/>
      <c r="DAC1379" s="53"/>
      <c r="DAD1379" s="53"/>
      <c r="DAE1379" s="53"/>
      <c r="DAF1379" s="53"/>
      <c r="DAG1379" s="53"/>
      <c r="DAH1379" s="53"/>
      <c r="DAI1379" s="53"/>
      <c r="DAJ1379" s="53"/>
      <c r="DAK1379" s="53"/>
      <c r="DAL1379" s="53"/>
      <c r="DAM1379" s="53"/>
      <c r="DAN1379" s="53"/>
      <c r="DAO1379" s="53"/>
      <c r="DAP1379" s="53"/>
      <c r="DAQ1379" s="53"/>
      <c r="DAR1379" s="53"/>
      <c r="DAS1379" s="53"/>
      <c r="DAT1379" s="53"/>
      <c r="DAU1379" s="53"/>
      <c r="DAV1379" s="53"/>
      <c r="DAW1379" s="53"/>
      <c r="DAX1379" s="53"/>
      <c r="DAY1379" s="53"/>
      <c r="DAZ1379" s="53"/>
      <c r="DBA1379" s="53"/>
      <c r="DBB1379" s="53"/>
      <c r="DBC1379" s="53"/>
      <c r="DBD1379" s="53"/>
      <c r="DBE1379" s="53"/>
      <c r="DBF1379" s="53"/>
      <c r="DBG1379" s="53"/>
      <c r="DBH1379" s="53"/>
      <c r="DBI1379" s="53"/>
      <c r="DBJ1379" s="53"/>
      <c r="DBK1379" s="53"/>
      <c r="DBL1379" s="53"/>
      <c r="DBM1379" s="53"/>
      <c r="DBN1379" s="53"/>
      <c r="DBO1379" s="53"/>
      <c r="DBP1379" s="53"/>
      <c r="DBQ1379" s="53"/>
      <c r="DBR1379" s="53"/>
      <c r="DBS1379" s="53"/>
      <c r="DBT1379" s="53"/>
      <c r="DBU1379" s="53"/>
      <c r="DBV1379" s="53"/>
      <c r="DBW1379" s="53"/>
      <c r="DBX1379" s="53"/>
      <c r="DBY1379" s="53"/>
      <c r="DBZ1379" s="53"/>
      <c r="DCA1379" s="53"/>
      <c r="DCB1379" s="53"/>
      <c r="DCC1379" s="53"/>
      <c r="DCD1379" s="53"/>
      <c r="DCE1379" s="53"/>
      <c r="DCF1379" s="53"/>
      <c r="DCG1379" s="53"/>
      <c r="DCH1379" s="53"/>
      <c r="DCI1379" s="53"/>
      <c r="DCJ1379" s="53"/>
      <c r="DCK1379" s="53"/>
      <c r="DCL1379" s="53"/>
      <c r="DCM1379" s="53"/>
      <c r="DCN1379" s="53"/>
      <c r="DCO1379" s="53"/>
      <c r="DCP1379" s="53"/>
      <c r="DCQ1379" s="53"/>
      <c r="DCR1379" s="53"/>
      <c r="DCS1379" s="53"/>
      <c r="DCT1379" s="53"/>
      <c r="DCU1379" s="53"/>
      <c r="DCV1379" s="53"/>
      <c r="DCW1379" s="53"/>
      <c r="DCX1379" s="53"/>
      <c r="DCY1379" s="53"/>
      <c r="DCZ1379" s="53"/>
      <c r="DDA1379" s="53"/>
      <c r="DDB1379" s="53"/>
      <c r="DDC1379" s="53"/>
      <c r="DDD1379" s="53"/>
      <c r="DDE1379" s="53"/>
      <c r="DDF1379" s="53"/>
      <c r="DDG1379" s="53"/>
      <c r="DDH1379" s="53"/>
      <c r="DDI1379" s="53"/>
      <c r="DDJ1379" s="53"/>
      <c r="DDK1379" s="53"/>
      <c r="DDL1379" s="53"/>
      <c r="DDM1379" s="53"/>
      <c r="DDN1379" s="53"/>
      <c r="DDO1379" s="53"/>
      <c r="DDP1379" s="53"/>
      <c r="DDQ1379" s="53"/>
      <c r="DDR1379" s="53"/>
      <c r="DDS1379" s="53"/>
      <c r="DDT1379" s="53"/>
      <c r="DDU1379" s="53"/>
      <c r="DDV1379" s="53"/>
      <c r="DDW1379" s="53"/>
      <c r="DDX1379" s="53"/>
      <c r="DDY1379" s="53"/>
      <c r="DDZ1379" s="53"/>
      <c r="DEA1379" s="53"/>
      <c r="DEB1379" s="53"/>
      <c r="DEC1379" s="53"/>
      <c r="DED1379" s="53"/>
      <c r="DEE1379" s="53"/>
      <c r="DEF1379" s="53"/>
      <c r="DEG1379" s="53"/>
      <c r="DEH1379" s="53"/>
      <c r="DEI1379" s="53"/>
      <c r="DEJ1379" s="53"/>
      <c r="DEK1379" s="53"/>
      <c r="DEL1379" s="53"/>
      <c r="DEM1379" s="53"/>
      <c r="DEN1379" s="53"/>
      <c r="DEO1379" s="53"/>
      <c r="DEP1379" s="53"/>
      <c r="DEQ1379" s="53"/>
      <c r="DER1379" s="53"/>
      <c r="DES1379" s="53"/>
      <c r="DET1379" s="53"/>
      <c r="DEU1379" s="53"/>
      <c r="DEV1379" s="53"/>
      <c r="DEW1379" s="53"/>
      <c r="DEX1379" s="53"/>
      <c r="DEY1379" s="53"/>
      <c r="DEZ1379" s="53"/>
      <c r="DFA1379" s="53"/>
      <c r="DFB1379" s="53"/>
      <c r="DFC1379" s="53"/>
      <c r="DFD1379" s="53"/>
      <c r="DFE1379" s="53"/>
      <c r="DFF1379" s="53"/>
      <c r="DFG1379" s="53"/>
      <c r="DFH1379" s="53"/>
      <c r="DFI1379" s="53"/>
      <c r="DFJ1379" s="53"/>
      <c r="DFK1379" s="53"/>
      <c r="DFL1379" s="53"/>
      <c r="DFM1379" s="53"/>
      <c r="DFN1379" s="53"/>
      <c r="DFO1379" s="53"/>
      <c r="DFP1379" s="53"/>
      <c r="DFQ1379" s="53"/>
      <c r="DFR1379" s="53"/>
      <c r="DFS1379" s="53"/>
      <c r="DFT1379" s="53"/>
      <c r="DFU1379" s="53"/>
      <c r="DFV1379" s="53"/>
      <c r="DFW1379" s="53"/>
      <c r="DFX1379" s="53"/>
      <c r="DFY1379" s="53"/>
      <c r="DFZ1379" s="53"/>
      <c r="DGA1379" s="53"/>
      <c r="DGB1379" s="53"/>
      <c r="DGC1379" s="53"/>
      <c r="DGD1379" s="53"/>
      <c r="DGE1379" s="53"/>
      <c r="DGF1379" s="53"/>
      <c r="DGG1379" s="53"/>
      <c r="DGH1379" s="53"/>
      <c r="DGI1379" s="53"/>
      <c r="DGJ1379" s="53"/>
      <c r="DGK1379" s="53"/>
      <c r="DGL1379" s="53"/>
      <c r="DGM1379" s="53"/>
      <c r="DGN1379" s="53"/>
      <c r="DGO1379" s="53"/>
      <c r="DGP1379" s="53"/>
      <c r="DGQ1379" s="53"/>
      <c r="DGR1379" s="53"/>
      <c r="DGS1379" s="53"/>
      <c r="DGT1379" s="53"/>
      <c r="DGU1379" s="53"/>
      <c r="DGV1379" s="53"/>
      <c r="DGW1379" s="53"/>
      <c r="DGX1379" s="53"/>
      <c r="DGY1379" s="53"/>
      <c r="DGZ1379" s="53"/>
      <c r="DHA1379" s="53"/>
      <c r="DHB1379" s="53"/>
      <c r="DHC1379" s="53"/>
      <c r="DHD1379" s="53"/>
      <c r="DHE1379" s="53"/>
      <c r="DHF1379" s="53"/>
      <c r="DHG1379" s="53"/>
      <c r="DHH1379" s="53"/>
      <c r="DHI1379" s="53"/>
      <c r="DHJ1379" s="53"/>
      <c r="DHK1379" s="53"/>
      <c r="DHL1379" s="53"/>
      <c r="DHM1379" s="53"/>
      <c r="DHN1379" s="53"/>
      <c r="DHO1379" s="53"/>
      <c r="DHP1379" s="53"/>
      <c r="DHQ1379" s="53"/>
      <c r="DHR1379" s="53"/>
      <c r="DHS1379" s="53"/>
      <c r="DHT1379" s="53"/>
      <c r="DHU1379" s="53"/>
      <c r="DHV1379" s="53"/>
      <c r="DHW1379" s="53"/>
      <c r="DHX1379" s="53"/>
      <c r="DHY1379" s="53"/>
      <c r="DHZ1379" s="53"/>
      <c r="DIA1379" s="53"/>
      <c r="DIB1379" s="53"/>
      <c r="DIC1379" s="53"/>
      <c r="DID1379" s="53"/>
      <c r="DIE1379" s="53"/>
      <c r="DIF1379" s="53"/>
      <c r="DIG1379" s="53"/>
      <c r="DIH1379" s="53"/>
      <c r="DII1379" s="53"/>
      <c r="DIJ1379" s="53"/>
      <c r="DIK1379" s="53"/>
      <c r="DIL1379" s="53"/>
      <c r="DIM1379" s="53"/>
      <c r="DIN1379" s="53"/>
      <c r="DIO1379" s="53"/>
      <c r="DIP1379" s="53"/>
      <c r="DIQ1379" s="53"/>
      <c r="DIR1379" s="53"/>
      <c r="DIS1379" s="53"/>
      <c r="DIT1379" s="53"/>
      <c r="DIU1379" s="53"/>
      <c r="DIV1379" s="53"/>
      <c r="DIW1379" s="53"/>
      <c r="DIX1379" s="53"/>
      <c r="DIY1379" s="53"/>
      <c r="DIZ1379" s="53"/>
      <c r="DJA1379" s="53"/>
      <c r="DJB1379" s="53"/>
      <c r="DJC1379" s="53"/>
      <c r="DJD1379" s="53"/>
      <c r="DJE1379" s="53"/>
      <c r="DJF1379" s="53"/>
      <c r="DJG1379" s="53"/>
      <c r="DJH1379" s="53"/>
      <c r="DJI1379" s="53"/>
      <c r="DJJ1379" s="53"/>
      <c r="DJK1379" s="53"/>
      <c r="DJL1379" s="53"/>
      <c r="DJM1379" s="53"/>
      <c r="DJN1379" s="53"/>
      <c r="DJO1379" s="53"/>
      <c r="DJP1379" s="53"/>
      <c r="DJQ1379" s="53"/>
      <c r="DJR1379" s="53"/>
      <c r="DJS1379" s="53"/>
      <c r="DJT1379" s="53"/>
      <c r="DJU1379" s="53"/>
      <c r="DJV1379" s="53"/>
      <c r="DJW1379" s="53"/>
      <c r="DJX1379" s="53"/>
      <c r="DJY1379" s="53"/>
      <c r="DJZ1379" s="53"/>
      <c r="DKA1379" s="53"/>
      <c r="DKB1379" s="53"/>
      <c r="DKC1379" s="53"/>
      <c r="DKD1379" s="53"/>
      <c r="DKE1379" s="53"/>
      <c r="DKF1379" s="53"/>
      <c r="DKG1379" s="53"/>
      <c r="DKH1379" s="53"/>
      <c r="DKI1379" s="53"/>
      <c r="DKJ1379" s="53"/>
      <c r="DKK1379" s="53"/>
      <c r="DKL1379" s="53"/>
      <c r="DKM1379" s="53"/>
      <c r="DKN1379" s="53"/>
      <c r="DKO1379" s="53"/>
      <c r="DKP1379" s="53"/>
      <c r="DKQ1379" s="53"/>
      <c r="DKR1379" s="53"/>
      <c r="DKS1379" s="53"/>
      <c r="DKT1379" s="53"/>
      <c r="DKU1379" s="53"/>
      <c r="DKV1379" s="53"/>
      <c r="DKW1379" s="53"/>
      <c r="DKX1379" s="53"/>
      <c r="DKY1379" s="53"/>
      <c r="DKZ1379" s="53"/>
      <c r="DLA1379" s="53"/>
      <c r="DLB1379" s="53"/>
      <c r="DLC1379" s="53"/>
      <c r="DLD1379" s="53"/>
      <c r="DLE1379" s="53"/>
      <c r="DLF1379" s="53"/>
      <c r="DLG1379" s="53"/>
      <c r="DLH1379" s="53"/>
      <c r="DLI1379" s="53"/>
      <c r="DLJ1379" s="53"/>
      <c r="DLK1379" s="53"/>
      <c r="DLL1379" s="53"/>
      <c r="DLM1379" s="53"/>
      <c r="DLN1379" s="53"/>
      <c r="DLO1379" s="53"/>
      <c r="DLP1379" s="53"/>
      <c r="DLQ1379" s="53"/>
      <c r="DLR1379" s="53"/>
      <c r="DLS1379" s="53"/>
      <c r="DLT1379" s="53"/>
      <c r="DLU1379" s="53"/>
      <c r="DLV1379" s="53"/>
      <c r="DLW1379" s="53"/>
      <c r="DLX1379" s="53"/>
      <c r="DLY1379" s="53"/>
      <c r="DLZ1379" s="53"/>
      <c r="DMA1379" s="53"/>
      <c r="DMB1379" s="53"/>
      <c r="DMC1379" s="53"/>
      <c r="DMD1379" s="53"/>
      <c r="DME1379" s="53"/>
      <c r="DMF1379" s="53"/>
      <c r="DMG1379" s="53"/>
      <c r="DMH1379" s="53"/>
      <c r="DMI1379" s="53"/>
      <c r="DMJ1379" s="53"/>
      <c r="DMK1379" s="53"/>
      <c r="DML1379" s="53"/>
      <c r="DMM1379" s="53"/>
      <c r="DMN1379" s="53"/>
      <c r="DMO1379" s="53"/>
      <c r="DMP1379" s="53"/>
      <c r="DMQ1379" s="53"/>
      <c r="DMR1379" s="53"/>
      <c r="DMS1379" s="53"/>
      <c r="DMT1379" s="53"/>
      <c r="DMU1379" s="53"/>
      <c r="DMV1379" s="53"/>
      <c r="DMW1379" s="53"/>
      <c r="DMX1379" s="53"/>
      <c r="DMY1379" s="53"/>
      <c r="DMZ1379" s="53"/>
      <c r="DNA1379" s="53"/>
      <c r="DNB1379" s="53"/>
      <c r="DNC1379" s="53"/>
      <c r="DND1379" s="53"/>
      <c r="DNE1379" s="53"/>
      <c r="DNF1379" s="53"/>
      <c r="DNG1379" s="53"/>
      <c r="DNH1379" s="53"/>
      <c r="DNI1379" s="53"/>
      <c r="DNJ1379" s="53"/>
      <c r="DNK1379" s="53"/>
      <c r="DNL1379" s="53"/>
      <c r="DNM1379" s="53"/>
      <c r="DNN1379" s="53"/>
      <c r="DNO1379" s="53"/>
      <c r="DNP1379" s="53"/>
      <c r="DNQ1379" s="53"/>
      <c r="DNR1379" s="53"/>
      <c r="DNS1379" s="53"/>
      <c r="DNT1379" s="53"/>
      <c r="DNU1379" s="53"/>
      <c r="DNV1379" s="53"/>
      <c r="DNW1379" s="53"/>
      <c r="DNX1379" s="53"/>
      <c r="DNY1379" s="53"/>
      <c r="DNZ1379" s="53"/>
      <c r="DOA1379" s="53"/>
      <c r="DOB1379" s="53"/>
      <c r="DOC1379" s="53"/>
      <c r="DOD1379" s="53"/>
      <c r="DOE1379" s="53"/>
      <c r="DOF1379" s="53"/>
      <c r="DOG1379" s="53"/>
      <c r="DOH1379" s="53"/>
      <c r="DOI1379" s="53"/>
      <c r="DOJ1379" s="53"/>
      <c r="DOK1379" s="53"/>
      <c r="DOL1379" s="53"/>
      <c r="DOM1379" s="53"/>
      <c r="DON1379" s="53"/>
      <c r="DOO1379" s="53"/>
      <c r="DOP1379" s="53"/>
      <c r="DOQ1379" s="53"/>
      <c r="DOR1379" s="53"/>
      <c r="DOS1379" s="53"/>
      <c r="DOT1379" s="53"/>
      <c r="DOU1379" s="53"/>
      <c r="DOV1379" s="53"/>
      <c r="DOW1379" s="53"/>
      <c r="DOX1379" s="53"/>
      <c r="DOY1379" s="53"/>
      <c r="DOZ1379" s="53"/>
      <c r="DPA1379" s="53"/>
      <c r="DPB1379" s="53"/>
      <c r="DPC1379" s="53"/>
      <c r="DPD1379" s="53"/>
      <c r="DPE1379" s="53"/>
      <c r="DPF1379" s="53"/>
      <c r="DPG1379" s="53"/>
      <c r="DPH1379" s="53"/>
      <c r="DPI1379" s="53"/>
      <c r="DPJ1379" s="53"/>
      <c r="DPK1379" s="53"/>
      <c r="DPL1379" s="53"/>
      <c r="DPM1379" s="53"/>
      <c r="DPN1379" s="53"/>
      <c r="DPO1379" s="53"/>
      <c r="DPP1379" s="53"/>
      <c r="DPQ1379" s="53"/>
      <c r="DPR1379" s="53"/>
      <c r="DPS1379" s="53"/>
      <c r="DPT1379" s="53"/>
      <c r="DPU1379" s="53"/>
      <c r="DPV1379" s="53"/>
      <c r="DPW1379" s="53"/>
      <c r="DPX1379" s="53"/>
      <c r="DPY1379" s="53"/>
      <c r="DPZ1379" s="53"/>
      <c r="DQA1379" s="53"/>
      <c r="DQB1379" s="53"/>
      <c r="DQC1379" s="53"/>
      <c r="DQD1379" s="53"/>
      <c r="DQE1379" s="53"/>
      <c r="DQF1379" s="53"/>
      <c r="DQG1379" s="53"/>
      <c r="DQH1379" s="53"/>
      <c r="DQI1379" s="53"/>
      <c r="DQJ1379" s="53"/>
      <c r="DQK1379" s="53"/>
      <c r="DQL1379" s="53"/>
      <c r="DQM1379" s="53"/>
      <c r="DQN1379" s="53"/>
      <c r="DQO1379" s="53"/>
      <c r="DQP1379" s="53"/>
      <c r="DQQ1379" s="53"/>
      <c r="DQR1379" s="53"/>
      <c r="DQS1379" s="53"/>
      <c r="DQT1379" s="53"/>
      <c r="DQU1379" s="53"/>
      <c r="DQV1379" s="53"/>
      <c r="DQW1379" s="53"/>
      <c r="DQX1379" s="53"/>
      <c r="DQY1379" s="53"/>
      <c r="DQZ1379" s="53"/>
      <c r="DRA1379" s="53"/>
      <c r="DRB1379" s="53"/>
      <c r="DRC1379" s="53"/>
      <c r="DRD1379" s="53"/>
      <c r="DRE1379" s="53"/>
      <c r="DRF1379" s="53"/>
      <c r="DRG1379" s="53"/>
      <c r="DRH1379" s="53"/>
      <c r="DRI1379" s="53"/>
      <c r="DRJ1379" s="53"/>
      <c r="DRK1379" s="53"/>
      <c r="DRL1379" s="53"/>
      <c r="DRM1379" s="53"/>
      <c r="DRN1379" s="53"/>
      <c r="DRO1379" s="53"/>
      <c r="DRP1379" s="53"/>
      <c r="DRQ1379" s="53"/>
      <c r="DRR1379" s="53"/>
      <c r="DRS1379" s="53"/>
      <c r="DRT1379" s="53"/>
      <c r="DRU1379" s="53"/>
      <c r="DRV1379" s="53"/>
      <c r="DRW1379" s="53"/>
      <c r="DRX1379" s="53"/>
      <c r="DRY1379" s="53"/>
      <c r="DRZ1379" s="53"/>
      <c r="DSA1379" s="53"/>
      <c r="DSB1379" s="53"/>
      <c r="DSC1379" s="53"/>
      <c r="DSD1379" s="53"/>
      <c r="DSE1379" s="53"/>
      <c r="DSF1379" s="53"/>
      <c r="DSG1379" s="53"/>
      <c r="DSH1379" s="53"/>
      <c r="DSI1379" s="53"/>
      <c r="DSJ1379" s="53"/>
      <c r="DSK1379" s="53"/>
      <c r="DSL1379" s="53"/>
      <c r="DSM1379" s="53"/>
      <c r="DSN1379" s="53"/>
      <c r="DSO1379" s="53"/>
      <c r="DSP1379" s="53"/>
      <c r="DSQ1379" s="53"/>
      <c r="DSR1379" s="53"/>
      <c r="DSS1379" s="53"/>
      <c r="DST1379" s="53"/>
      <c r="DSU1379" s="53"/>
      <c r="DSV1379" s="53"/>
      <c r="DSW1379" s="53"/>
      <c r="DSX1379" s="53"/>
      <c r="DSY1379" s="53"/>
      <c r="DSZ1379" s="53"/>
      <c r="DTA1379" s="53"/>
      <c r="DTB1379" s="53"/>
      <c r="DTC1379" s="53"/>
      <c r="DTD1379" s="53"/>
      <c r="DTE1379" s="53"/>
      <c r="DTF1379" s="53"/>
      <c r="DTG1379" s="53"/>
      <c r="DTH1379" s="53"/>
      <c r="DTI1379" s="53"/>
      <c r="DTJ1379" s="53"/>
      <c r="DTK1379" s="53"/>
      <c r="DTL1379" s="53"/>
      <c r="DTM1379" s="53"/>
      <c r="DTN1379" s="53"/>
      <c r="DTO1379" s="53"/>
      <c r="DTP1379" s="53"/>
      <c r="DTQ1379" s="53"/>
      <c r="DTR1379" s="53"/>
      <c r="DTS1379" s="53"/>
      <c r="DTT1379" s="53"/>
      <c r="DTU1379" s="53"/>
      <c r="DTV1379" s="53"/>
      <c r="DTW1379" s="53"/>
      <c r="DTX1379" s="53"/>
      <c r="DTY1379" s="53"/>
      <c r="DTZ1379" s="53"/>
      <c r="DUA1379" s="53"/>
      <c r="DUB1379" s="53"/>
      <c r="DUC1379" s="53"/>
      <c r="DUD1379" s="53"/>
      <c r="DUE1379" s="53"/>
      <c r="DUF1379" s="53"/>
      <c r="DUG1379" s="53"/>
      <c r="DUH1379" s="53"/>
      <c r="DUI1379" s="53"/>
      <c r="DUJ1379" s="53"/>
      <c r="DUK1379" s="53"/>
      <c r="DUL1379" s="53"/>
      <c r="DUM1379" s="53"/>
      <c r="DUN1379" s="53"/>
      <c r="DUO1379" s="53"/>
      <c r="DUP1379" s="53"/>
      <c r="DUQ1379" s="53"/>
      <c r="DUR1379" s="53"/>
      <c r="DUS1379" s="53"/>
      <c r="DUT1379" s="53"/>
      <c r="DUU1379" s="53"/>
      <c r="DUV1379" s="53"/>
      <c r="DUW1379" s="53"/>
      <c r="DUX1379" s="53"/>
      <c r="DUY1379" s="53"/>
      <c r="DUZ1379" s="53"/>
      <c r="DVA1379" s="53"/>
      <c r="DVB1379" s="53"/>
      <c r="DVC1379" s="53"/>
      <c r="DVD1379" s="53"/>
      <c r="DVE1379" s="53"/>
      <c r="DVF1379" s="53"/>
      <c r="DVG1379" s="53"/>
      <c r="DVH1379" s="53"/>
      <c r="DVI1379" s="53"/>
      <c r="DVJ1379" s="53"/>
      <c r="DVK1379" s="53"/>
      <c r="DVL1379" s="53"/>
      <c r="DVM1379" s="53"/>
      <c r="DVN1379" s="53"/>
      <c r="DVO1379" s="53"/>
      <c r="DVP1379" s="53"/>
      <c r="DVQ1379" s="53"/>
      <c r="DVR1379" s="53"/>
      <c r="DVS1379" s="53"/>
      <c r="DVT1379" s="53"/>
      <c r="DVU1379" s="53"/>
      <c r="DVV1379" s="53"/>
      <c r="DVW1379" s="53"/>
      <c r="DVX1379" s="53"/>
      <c r="DVY1379" s="53"/>
      <c r="DVZ1379" s="53"/>
      <c r="DWA1379" s="53"/>
      <c r="DWB1379" s="53"/>
      <c r="DWC1379" s="53"/>
      <c r="DWD1379" s="53"/>
      <c r="DWE1379" s="53"/>
      <c r="DWF1379" s="53"/>
      <c r="DWG1379" s="53"/>
      <c r="DWH1379" s="53"/>
      <c r="DWI1379" s="53"/>
      <c r="DWJ1379" s="53"/>
      <c r="DWK1379" s="53"/>
      <c r="DWL1379" s="53"/>
      <c r="DWM1379" s="53"/>
      <c r="DWN1379" s="53"/>
      <c r="DWO1379" s="53"/>
      <c r="DWP1379" s="53"/>
      <c r="DWQ1379" s="53"/>
      <c r="DWR1379" s="53"/>
      <c r="DWS1379" s="53"/>
      <c r="DWT1379" s="53"/>
      <c r="DWU1379" s="53"/>
      <c r="DWV1379" s="53"/>
      <c r="DWW1379" s="53"/>
      <c r="DWX1379" s="53"/>
      <c r="DWY1379" s="53"/>
      <c r="DWZ1379" s="53"/>
      <c r="DXA1379" s="53"/>
      <c r="DXB1379" s="53"/>
      <c r="DXC1379" s="53"/>
      <c r="DXD1379" s="53"/>
      <c r="DXE1379" s="53"/>
      <c r="DXF1379" s="53"/>
      <c r="DXG1379" s="53"/>
      <c r="DXH1379" s="53"/>
      <c r="DXI1379" s="53"/>
      <c r="DXJ1379" s="53"/>
      <c r="DXK1379" s="53"/>
      <c r="DXL1379" s="53"/>
      <c r="DXM1379" s="53"/>
      <c r="DXN1379" s="53"/>
      <c r="DXO1379" s="53"/>
      <c r="DXP1379" s="53"/>
      <c r="DXQ1379" s="53"/>
      <c r="DXR1379" s="53"/>
      <c r="DXS1379" s="53"/>
      <c r="DXT1379" s="53"/>
      <c r="DXU1379" s="53"/>
      <c r="DXV1379" s="53"/>
      <c r="DXW1379" s="53"/>
      <c r="DXX1379" s="53"/>
      <c r="DXY1379" s="53"/>
      <c r="DXZ1379" s="53"/>
      <c r="DYA1379" s="53"/>
      <c r="DYB1379" s="53"/>
      <c r="DYC1379" s="53"/>
      <c r="DYD1379" s="53"/>
      <c r="DYE1379" s="53"/>
      <c r="DYF1379" s="53"/>
      <c r="DYG1379" s="53"/>
      <c r="DYH1379" s="53"/>
      <c r="DYI1379" s="53"/>
      <c r="DYJ1379" s="53"/>
      <c r="DYK1379" s="53"/>
      <c r="DYL1379" s="53"/>
      <c r="DYM1379" s="53"/>
      <c r="DYN1379" s="53"/>
      <c r="DYO1379" s="53"/>
      <c r="DYP1379" s="53"/>
      <c r="DYQ1379" s="53"/>
      <c r="DYR1379" s="53"/>
      <c r="DYS1379" s="53"/>
      <c r="DYT1379" s="53"/>
      <c r="DYU1379" s="53"/>
      <c r="DYV1379" s="53"/>
      <c r="DYW1379" s="53"/>
      <c r="DYX1379" s="53"/>
      <c r="DYY1379" s="53"/>
      <c r="DYZ1379" s="53"/>
      <c r="DZA1379" s="53"/>
      <c r="DZB1379" s="53"/>
      <c r="DZC1379" s="53"/>
      <c r="DZD1379" s="53"/>
      <c r="DZE1379" s="53"/>
      <c r="DZF1379" s="53"/>
      <c r="DZG1379" s="53"/>
      <c r="DZH1379" s="53"/>
      <c r="DZI1379" s="53"/>
      <c r="DZJ1379" s="53"/>
      <c r="DZK1379" s="53"/>
      <c r="DZL1379" s="53"/>
      <c r="DZM1379" s="53"/>
      <c r="DZN1379" s="53"/>
      <c r="DZO1379" s="53"/>
      <c r="DZP1379" s="53"/>
      <c r="DZQ1379" s="53"/>
      <c r="DZR1379" s="53"/>
      <c r="DZS1379" s="53"/>
      <c r="DZT1379" s="53"/>
      <c r="DZU1379" s="53"/>
      <c r="DZV1379" s="53"/>
      <c r="DZW1379" s="53"/>
      <c r="DZX1379" s="53"/>
      <c r="DZY1379" s="53"/>
      <c r="DZZ1379" s="53"/>
      <c r="EAA1379" s="53"/>
      <c r="EAB1379" s="53"/>
      <c r="EAC1379" s="53"/>
      <c r="EAD1379" s="53"/>
      <c r="EAE1379" s="53"/>
      <c r="EAF1379" s="53"/>
      <c r="EAG1379" s="53"/>
      <c r="EAH1379" s="53"/>
      <c r="EAI1379" s="53"/>
      <c r="EAJ1379" s="53"/>
      <c r="EAK1379" s="53"/>
      <c r="EAL1379" s="53"/>
      <c r="EAM1379" s="53"/>
      <c r="EAN1379" s="53"/>
      <c r="EAO1379" s="53"/>
      <c r="EAP1379" s="53"/>
      <c r="EAQ1379" s="53"/>
      <c r="EAR1379" s="53"/>
      <c r="EAS1379" s="53"/>
      <c r="EAT1379" s="53"/>
      <c r="EAU1379" s="53"/>
      <c r="EAV1379" s="53"/>
      <c r="EAW1379" s="53"/>
      <c r="EAX1379" s="53"/>
      <c r="EAY1379" s="53"/>
      <c r="EAZ1379" s="53"/>
      <c r="EBA1379" s="53"/>
      <c r="EBB1379" s="53"/>
      <c r="EBC1379" s="53"/>
      <c r="EBD1379" s="53"/>
      <c r="EBE1379" s="53"/>
      <c r="EBF1379" s="53"/>
      <c r="EBG1379" s="53"/>
      <c r="EBH1379" s="53"/>
      <c r="EBI1379" s="53"/>
      <c r="EBJ1379" s="53"/>
      <c r="EBK1379" s="53"/>
      <c r="EBL1379" s="53"/>
      <c r="EBM1379" s="53"/>
      <c r="EBN1379" s="53"/>
      <c r="EBO1379" s="53"/>
      <c r="EBP1379" s="53"/>
      <c r="EBQ1379" s="53"/>
      <c r="EBR1379" s="53"/>
      <c r="EBS1379" s="53"/>
      <c r="EBT1379" s="53"/>
      <c r="EBU1379" s="53"/>
      <c r="EBV1379" s="53"/>
      <c r="EBW1379" s="53"/>
      <c r="EBX1379" s="53"/>
      <c r="EBY1379" s="53"/>
      <c r="EBZ1379" s="53"/>
      <c r="ECA1379" s="53"/>
      <c r="ECB1379" s="53"/>
      <c r="ECC1379" s="53"/>
      <c r="ECD1379" s="53"/>
      <c r="ECE1379" s="53"/>
      <c r="ECF1379" s="53"/>
      <c r="ECG1379" s="53"/>
      <c r="ECH1379" s="53"/>
      <c r="ECI1379" s="53"/>
      <c r="ECJ1379" s="53"/>
      <c r="ECK1379" s="53"/>
      <c r="ECL1379" s="53"/>
      <c r="ECM1379" s="53"/>
      <c r="ECN1379" s="53"/>
      <c r="ECO1379" s="53"/>
      <c r="ECP1379" s="53"/>
      <c r="ECQ1379" s="53"/>
      <c r="ECR1379" s="53"/>
      <c r="ECS1379" s="53"/>
      <c r="ECT1379" s="53"/>
      <c r="ECU1379" s="53"/>
      <c r="ECV1379" s="53"/>
      <c r="ECW1379" s="53"/>
      <c r="ECX1379" s="53"/>
      <c r="ECY1379" s="53"/>
      <c r="ECZ1379" s="53"/>
      <c r="EDA1379" s="53"/>
      <c r="EDB1379" s="53"/>
      <c r="EDC1379" s="53"/>
      <c r="EDD1379" s="53"/>
      <c r="EDE1379" s="53"/>
      <c r="EDF1379" s="53"/>
      <c r="EDG1379" s="53"/>
      <c r="EDH1379" s="53"/>
      <c r="EDI1379" s="53"/>
      <c r="EDJ1379" s="53"/>
      <c r="EDK1379" s="53"/>
      <c r="EDL1379" s="53"/>
      <c r="EDM1379" s="53"/>
      <c r="EDN1379" s="53"/>
      <c r="EDO1379" s="53"/>
      <c r="EDP1379" s="53"/>
      <c r="EDQ1379" s="53"/>
      <c r="EDR1379" s="53"/>
      <c r="EDS1379" s="53"/>
      <c r="EDT1379" s="53"/>
      <c r="EDU1379" s="53"/>
      <c r="EDV1379" s="53"/>
      <c r="EDW1379" s="53"/>
      <c r="EDX1379" s="53"/>
      <c r="EDY1379" s="53"/>
      <c r="EDZ1379" s="53"/>
      <c r="EEA1379" s="53"/>
      <c r="EEB1379" s="53"/>
      <c r="EEC1379" s="53"/>
      <c r="EED1379" s="53"/>
      <c r="EEE1379" s="53"/>
      <c r="EEF1379" s="53"/>
      <c r="EEG1379" s="53"/>
      <c r="EEH1379" s="53"/>
      <c r="EEI1379" s="53"/>
      <c r="EEJ1379" s="53"/>
      <c r="EEK1379" s="53"/>
      <c r="EEL1379" s="53"/>
      <c r="EEM1379" s="53"/>
      <c r="EEN1379" s="53"/>
      <c r="EEO1379" s="53"/>
      <c r="EEP1379" s="53"/>
      <c r="EEQ1379" s="53"/>
      <c r="EER1379" s="53"/>
      <c r="EES1379" s="53"/>
      <c r="EET1379" s="53"/>
      <c r="EEU1379" s="53"/>
      <c r="EEV1379" s="53"/>
      <c r="EEW1379" s="53"/>
      <c r="EEX1379" s="53"/>
      <c r="EEY1379" s="53"/>
      <c r="EEZ1379" s="53"/>
      <c r="EFA1379" s="53"/>
      <c r="EFB1379" s="53"/>
      <c r="EFC1379" s="53"/>
      <c r="EFD1379" s="53"/>
      <c r="EFE1379" s="53"/>
      <c r="EFF1379" s="53"/>
      <c r="EFG1379" s="53"/>
      <c r="EFH1379" s="53"/>
      <c r="EFI1379" s="53"/>
      <c r="EFJ1379" s="53"/>
      <c r="EFK1379" s="53"/>
      <c r="EFL1379" s="53"/>
      <c r="EFM1379" s="53"/>
      <c r="EFN1379" s="53"/>
      <c r="EFO1379" s="53"/>
      <c r="EFP1379" s="53"/>
      <c r="EFQ1379" s="53"/>
      <c r="EFR1379" s="53"/>
      <c r="EFS1379" s="53"/>
      <c r="EFT1379" s="53"/>
      <c r="EFU1379" s="53"/>
      <c r="EFV1379" s="53"/>
      <c r="EFW1379" s="53"/>
      <c r="EFX1379" s="53"/>
      <c r="EFY1379" s="53"/>
      <c r="EFZ1379" s="53"/>
      <c r="EGA1379" s="53"/>
      <c r="EGB1379" s="53"/>
      <c r="EGC1379" s="53"/>
      <c r="EGD1379" s="53"/>
      <c r="EGE1379" s="53"/>
      <c r="EGF1379" s="53"/>
      <c r="EGG1379" s="53"/>
      <c r="EGH1379" s="53"/>
      <c r="EGI1379" s="53"/>
      <c r="EGJ1379" s="53"/>
      <c r="EGK1379" s="53"/>
      <c r="EGL1379" s="53"/>
      <c r="EGM1379" s="53"/>
      <c r="EGN1379" s="53"/>
      <c r="EGO1379" s="53"/>
      <c r="EGP1379" s="53"/>
      <c r="EGQ1379" s="53"/>
      <c r="EGR1379" s="53"/>
      <c r="EGS1379" s="53"/>
      <c r="EGT1379" s="53"/>
      <c r="EGU1379" s="53"/>
      <c r="EGV1379" s="53"/>
      <c r="EGW1379" s="53"/>
      <c r="EGX1379" s="53"/>
      <c r="EGY1379" s="53"/>
      <c r="EGZ1379" s="53"/>
      <c r="EHA1379" s="53"/>
      <c r="EHB1379" s="53"/>
      <c r="EHC1379" s="53"/>
      <c r="EHD1379" s="53"/>
      <c r="EHE1379" s="53"/>
      <c r="EHF1379" s="53"/>
      <c r="EHG1379" s="53"/>
      <c r="EHH1379" s="53"/>
      <c r="EHI1379" s="53"/>
      <c r="EHJ1379" s="53"/>
      <c r="EHK1379" s="53"/>
      <c r="EHL1379" s="53"/>
      <c r="EHM1379" s="53"/>
      <c r="EHN1379" s="53"/>
      <c r="EHO1379" s="53"/>
      <c r="EHP1379" s="53"/>
      <c r="EHQ1379" s="53"/>
      <c r="EHR1379" s="53"/>
      <c r="EHS1379" s="53"/>
      <c r="EHT1379" s="53"/>
      <c r="EHU1379" s="53"/>
      <c r="EHV1379" s="53"/>
      <c r="EHW1379" s="53"/>
      <c r="EHX1379" s="53"/>
      <c r="EHY1379" s="53"/>
      <c r="EHZ1379" s="53"/>
      <c r="EIA1379" s="53"/>
      <c r="EIB1379" s="53"/>
      <c r="EIC1379" s="53"/>
      <c r="EID1379" s="53"/>
      <c r="EIE1379" s="53"/>
      <c r="EIF1379" s="53"/>
      <c r="EIG1379" s="53"/>
      <c r="EIH1379" s="53"/>
      <c r="EII1379" s="53"/>
      <c r="EIJ1379" s="53"/>
      <c r="EIK1379" s="53"/>
      <c r="EIL1379" s="53"/>
      <c r="EIM1379" s="53"/>
      <c r="EIN1379" s="53"/>
      <c r="EIO1379" s="53"/>
      <c r="EIP1379" s="53"/>
      <c r="EIQ1379" s="53"/>
      <c r="EIR1379" s="53"/>
      <c r="EIS1379" s="53"/>
      <c r="EIT1379" s="53"/>
      <c r="EIU1379" s="53"/>
      <c r="EIV1379" s="53"/>
      <c r="EIW1379" s="53"/>
      <c r="EIX1379" s="53"/>
      <c r="EIY1379" s="53"/>
      <c r="EIZ1379" s="53"/>
      <c r="EJA1379" s="53"/>
      <c r="EJB1379" s="53"/>
      <c r="EJC1379" s="53"/>
      <c r="EJD1379" s="53"/>
      <c r="EJE1379" s="53"/>
      <c r="EJF1379" s="53"/>
      <c r="EJG1379" s="53"/>
      <c r="EJH1379" s="53"/>
      <c r="EJI1379" s="53"/>
      <c r="EJJ1379" s="53"/>
      <c r="EJK1379" s="53"/>
      <c r="EJL1379" s="53"/>
      <c r="EJM1379" s="53"/>
      <c r="EJN1379" s="53"/>
      <c r="EJO1379" s="53"/>
      <c r="EJP1379" s="53"/>
      <c r="EJQ1379" s="53"/>
      <c r="EJR1379" s="53"/>
      <c r="EJS1379" s="53"/>
      <c r="EJT1379" s="53"/>
      <c r="EJU1379" s="53"/>
      <c r="EJV1379" s="53"/>
      <c r="EJW1379" s="53"/>
      <c r="EJX1379" s="53"/>
      <c r="EJY1379" s="53"/>
      <c r="EJZ1379" s="53"/>
      <c r="EKA1379" s="53"/>
      <c r="EKB1379" s="53"/>
      <c r="EKC1379" s="53"/>
      <c r="EKD1379" s="53"/>
      <c r="EKE1379" s="53"/>
      <c r="EKF1379" s="53"/>
      <c r="EKG1379" s="53"/>
      <c r="EKH1379" s="53"/>
      <c r="EKI1379" s="53"/>
      <c r="EKJ1379" s="53"/>
      <c r="EKK1379" s="53"/>
      <c r="EKL1379" s="53"/>
      <c r="EKM1379" s="53"/>
      <c r="EKN1379" s="53"/>
      <c r="EKO1379" s="53"/>
      <c r="EKP1379" s="53"/>
      <c r="EKQ1379" s="53"/>
      <c r="EKR1379" s="53"/>
      <c r="EKS1379" s="53"/>
      <c r="EKT1379" s="53"/>
      <c r="EKU1379" s="53"/>
      <c r="EKV1379" s="53"/>
      <c r="EKW1379" s="53"/>
      <c r="EKX1379" s="53"/>
      <c r="EKY1379" s="53"/>
      <c r="EKZ1379" s="53"/>
      <c r="ELA1379" s="53"/>
      <c r="ELB1379" s="53"/>
      <c r="ELC1379" s="53"/>
      <c r="ELD1379" s="53"/>
      <c r="ELE1379" s="53"/>
      <c r="ELF1379" s="53"/>
      <c r="ELG1379" s="53"/>
      <c r="ELH1379" s="53"/>
      <c r="ELI1379" s="53"/>
      <c r="ELJ1379" s="53"/>
      <c r="ELK1379" s="53"/>
      <c r="ELL1379" s="53"/>
      <c r="ELM1379" s="53"/>
      <c r="ELN1379" s="53"/>
      <c r="ELO1379" s="53"/>
      <c r="ELP1379" s="53"/>
      <c r="ELQ1379" s="53"/>
      <c r="ELR1379" s="53"/>
      <c r="ELS1379" s="53"/>
      <c r="ELT1379" s="53"/>
      <c r="ELU1379" s="53"/>
      <c r="ELV1379" s="53"/>
      <c r="ELW1379" s="53"/>
      <c r="ELX1379" s="53"/>
      <c r="ELY1379" s="53"/>
      <c r="ELZ1379" s="53"/>
      <c r="EMA1379" s="53"/>
      <c r="EMB1379" s="53"/>
      <c r="EMC1379" s="53"/>
      <c r="EMD1379" s="53"/>
      <c r="EME1379" s="53"/>
      <c r="EMF1379" s="53"/>
      <c r="EMG1379" s="53"/>
      <c r="EMH1379" s="53"/>
      <c r="EMI1379" s="53"/>
      <c r="EMJ1379" s="53"/>
      <c r="EMK1379" s="53"/>
      <c r="EML1379" s="53"/>
      <c r="EMM1379" s="53"/>
      <c r="EMN1379" s="53"/>
      <c r="EMO1379" s="53"/>
      <c r="EMP1379" s="53"/>
      <c r="EMQ1379" s="53"/>
      <c r="EMR1379" s="53"/>
      <c r="EMS1379" s="53"/>
      <c r="EMT1379" s="53"/>
      <c r="EMU1379" s="53"/>
      <c r="EMV1379" s="53"/>
      <c r="EMW1379" s="53"/>
      <c r="EMX1379" s="53"/>
      <c r="EMY1379" s="53"/>
      <c r="EMZ1379" s="53"/>
      <c r="ENA1379" s="53"/>
      <c r="ENB1379" s="53"/>
      <c r="ENC1379" s="53"/>
      <c r="END1379" s="53"/>
      <c r="ENE1379" s="53"/>
      <c r="ENF1379" s="53"/>
      <c r="ENG1379" s="53"/>
      <c r="ENH1379" s="53"/>
      <c r="ENI1379" s="53"/>
      <c r="ENJ1379" s="53"/>
      <c r="ENK1379" s="53"/>
      <c r="ENL1379" s="53"/>
      <c r="ENM1379" s="53"/>
      <c r="ENN1379" s="53"/>
      <c r="ENO1379" s="53"/>
      <c r="ENP1379" s="53"/>
      <c r="ENQ1379" s="53"/>
      <c r="ENR1379" s="53"/>
      <c r="ENS1379" s="53"/>
      <c r="ENT1379" s="53"/>
      <c r="ENU1379" s="53"/>
      <c r="ENV1379" s="53"/>
      <c r="ENW1379" s="53"/>
      <c r="ENX1379" s="53"/>
      <c r="ENY1379" s="53"/>
      <c r="ENZ1379" s="53"/>
      <c r="EOA1379" s="53"/>
      <c r="EOB1379" s="53"/>
      <c r="EOC1379" s="53"/>
      <c r="EOD1379" s="53"/>
      <c r="EOE1379" s="53"/>
      <c r="EOF1379" s="53"/>
      <c r="EOG1379" s="53"/>
      <c r="EOH1379" s="53"/>
      <c r="EOI1379" s="53"/>
      <c r="EOJ1379" s="53"/>
      <c r="EOK1379" s="53"/>
      <c r="EOL1379" s="53"/>
      <c r="EOM1379" s="53"/>
      <c r="EON1379" s="53"/>
      <c r="EOO1379" s="53"/>
      <c r="EOP1379" s="53"/>
      <c r="EOQ1379" s="53"/>
      <c r="EOR1379" s="53"/>
      <c r="EOS1379" s="53"/>
      <c r="EOT1379" s="53"/>
      <c r="EOU1379" s="53"/>
      <c r="EOV1379" s="53"/>
      <c r="EOW1379" s="53"/>
      <c r="EOX1379" s="53"/>
      <c r="EOY1379" s="53"/>
      <c r="EOZ1379" s="53"/>
      <c r="EPA1379" s="53"/>
      <c r="EPB1379" s="53"/>
      <c r="EPC1379" s="53"/>
      <c r="EPD1379" s="53"/>
      <c r="EPE1379" s="53"/>
      <c r="EPF1379" s="53"/>
      <c r="EPG1379" s="53"/>
      <c r="EPH1379" s="53"/>
      <c r="EPI1379" s="53"/>
      <c r="EPJ1379" s="53"/>
      <c r="EPK1379" s="53"/>
      <c r="EPL1379" s="53"/>
      <c r="EPM1379" s="53"/>
      <c r="EPN1379" s="53"/>
      <c r="EPO1379" s="53"/>
      <c r="EPP1379" s="53"/>
      <c r="EPQ1379" s="53"/>
      <c r="EPR1379" s="53"/>
      <c r="EPS1379" s="53"/>
      <c r="EPT1379" s="53"/>
      <c r="EPU1379" s="53"/>
      <c r="EPV1379" s="53"/>
      <c r="EPW1379" s="53"/>
      <c r="EPX1379" s="53"/>
      <c r="EPY1379" s="53"/>
      <c r="EPZ1379" s="53"/>
      <c r="EQA1379" s="53"/>
      <c r="EQB1379" s="53"/>
      <c r="EQC1379" s="53"/>
      <c r="EQD1379" s="53"/>
      <c r="EQE1379" s="53"/>
      <c r="EQF1379" s="53"/>
      <c r="EQG1379" s="53"/>
      <c r="EQH1379" s="53"/>
      <c r="EQI1379" s="53"/>
      <c r="EQJ1379" s="53"/>
      <c r="EQK1379" s="53"/>
      <c r="EQL1379" s="53"/>
      <c r="EQM1379" s="53"/>
      <c r="EQN1379" s="53"/>
      <c r="EQO1379" s="53"/>
      <c r="EQP1379" s="53"/>
      <c r="EQQ1379" s="53"/>
      <c r="EQR1379" s="53"/>
      <c r="EQS1379" s="53"/>
      <c r="EQT1379" s="53"/>
      <c r="EQU1379" s="53"/>
      <c r="EQV1379" s="53"/>
      <c r="EQW1379" s="53"/>
      <c r="EQX1379" s="53"/>
      <c r="EQY1379" s="53"/>
      <c r="EQZ1379" s="53"/>
      <c r="ERA1379" s="53"/>
      <c r="ERB1379" s="53"/>
      <c r="ERC1379" s="53"/>
      <c r="ERD1379" s="53"/>
      <c r="ERE1379" s="53"/>
      <c r="ERF1379" s="53"/>
      <c r="ERG1379" s="53"/>
      <c r="ERH1379" s="53"/>
      <c r="ERI1379" s="53"/>
      <c r="ERJ1379" s="53"/>
      <c r="ERK1379" s="53"/>
      <c r="ERL1379" s="53"/>
      <c r="ERM1379" s="53"/>
      <c r="ERN1379" s="53"/>
      <c r="ERO1379" s="53"/>
      <c r="ERP1379" s="53"/>
      <c r="ERQ1379" s="53"/>
      <c r="ERR1379" s="53"/>
      <c r="ERS1379" s="53"/>
      <c r="ERT1379" s="53"/>
      <c r="ERU1379" s="53"/>
      <c r="ERV1379" s="53"/>
      <c r="ERW1379" s="53"/>
      <c r="ERX1379" s="53"/>
      <c r="ERY1379" s="53"/>
      <c r="ERZ1379" s="53"/>
      <c r="ESA1379" s="53"/>
      <c r="ESB1379" s="53"/>
      <c r="ESC1379" s="53"/>
      <c r="ESD1379" s="53"/>
      <c r="ESE1379" s="53"/>
      <c r="ESF1379" s="53"/>
      <c r="ESG1379" s="53"/>
      <c r="ESH1379" s="53"/>
      <c r="ESI1379" s="53"/>
      <c r="ESJ1379" s="53"/>
      <c r="ESK1379" s="53"/>
      <c r="ESL1379" s="53"/>
      <c r="ESM1379" s="53"/>
      <c r="ESN1379" s="53"/>
      <c r="ESO1379" s="53"/>
      <c r="ESP1379" s="53"/>
      <c r="ESQ1379" s="53"/>
      <c r="ESR1379" s="53"/>
      <c r="ESS1379" s="53"/>
      <c r="EST1379" s="53"/>
      <c r="ESU1379" s="53"/>
      <c r="ESV1379" s="53"/>
      <c r="ESW1379" s="53"/>
      <c r="ESX1379" s="53"/>
      <c r="ESY1379" s="53"/>
      <c r="ESZ1379" s="53"/>
      <c r="ETA1379" s="53"/>
      <c r="ETB1379" s="53"/>
      <c r="ETC1379" s="53"/>
      <c r="ETD1379" s="53"/>
      <c r="ETE1379" s="53"/>
      <c r="ETF1379" s="53"/>
      <c r="ETG1379" s="53"/>
      <c r="ETH1379" s="53"/>
      <c r="ETI1379" s="53"/>
      <c r="ETJ1379" s="53"/>
      <c r="ETK1379" s="53"/>
      <c r="ETL1379" s="53"/>
      <c r="ETM1379" s="53"/>
      <c r="ETN1379" s="53"/>
      <c r="ETO1379" s="53"/>
      <c r="ETP1379" s="53"/>
      <c r="ETQ1379" s="53"/>
      <c r="ETR1379" s="53"/>
      <c r="ETS1379" s="53"/>
      <c r="ETT1379" s="53"/>
      <c r="ETU1379" s="53"/>
      <c r="ETV1379" s="53"/>
      <c r="ETW1379" s="53"/>
      <c r="ETX1379" s="53"/>
      <c r="ETY1379" s="53"/>
      <c r="ETZ1379" s="53"/>
      <c r="EUA1379" s="53"/>
      <c r="EUB1379" s="53"/>
      <c r="EUC1379" s="53"/>
      <c r="EUD1379" s="53"/>
      <c r="EUE1379" s="53"/>
      <c r="EUF1379" s="53"/>
      <c r="EUG1379" s="53"/>
      <c r="EUH1379" s="53"/>
      <c r="EUI1379" s="53"/>
      <c r="EUJ1379" s="53"/>
      <c r="EUK1379" s="53"/>
      <c r="EUL1379" s="53"/>
      <c r="EUM1379" s="53"/>
      <c r="EUN1379" s="53"/>
      <c r="EUO1379" s="53"/>
      <c r="EUP1379" s="53"/>
      <c r="EUQ1379" s="53"/>
      <c r="EUR1379" s="53"/>
      <c r="EUS1379" s="53"/>
      <c r="EUT1379" s="53"/>
      <c r="EUU1379" s="53"/>
      <c r="EUV1379" s="53"/>
      <c r="EUW1379" s="53"/>
      <c r="EUX1379" s="53"/>
      <c r="EUY1379" s="53"/>
      <c r="EUZ1379" s="53"/>
      <c r="EVA1379" s="53"/>
      <c r="EVB1379" s="53"/>
      <c r="EVC1379" s="53"/>
      <c r="EVD1379" s="53"/>
      <c r="EVE1379" s="53"/>
      <c r="EVF1379" s="53"/>
      <c r="EVG1379" s="53"/>
      <c r="EVH1379" s="53"/>
      <c r="EVI1379" s="53"/>
      <c r="EVJ1379" s="53"/>
      <c r="EVK1379" s="53"/>
      <c r="EVL1379" s="53"/>
      <c r="EVM1379" s="53"/>
      <c r="EVN1379" s="53"/>
      <c r="EVO1379" s="53"/>
      <c r="EVP1379" s="53"/>
      <c r="EVQ1379" s="53"/>
      <c r="EVR1379" s="53"/>
      <c r="EVS1379" s="53"/>
      <c r="EVT1379" s="53"/>
      <c r="EVU1379" s="53"/>
      <c r="EVV1379" s="53"/>
      <c r="EVW1379" s="53"/>
      <c r="EVX1379" s="53"/>
      <c r="EVY1379" s="53"/>
      <c r="EVZ1379" s="53"/>
      <c r="EWA1379" s="53"/>
      <c r="EWB1379" s="53"/>
      <c r="EWC1379" s="53"/>
      <c r="EWD1379" s="53"/>
      <c r="EWE1379" s="53"/>
      <c r="EWF1379" s="53"/>
      <c r="EWG1379" s="53"/>
      <c r="EWH1379" s="53"/>
      <c r="EWI1379" s="53"/>
      <c r="EWJ1379" s="53"/>
      <c r="EWK1379" s="53"/>
      <c r="EWL1379" s="53"/>
      <c r="EWM1379" s="53"/>
      <c r="EWN1379" s="53"/>
      <c r="EWO1379" s="53"/>
      <c r="EWP1379" s="53"/>
      <c r="EWQ1379" s="53"/>
      <c r="EWR1379" s="53"/>
      <c r="EWS1379" s="53"/>
      <c r="EWT1379" s="53"/>
      <c r="EWU1379" s="53"/>
      <c r="EWV1379" s="53"/>
      <c r="EWW1379" s="53"/>
      <c r="EWX1379" s="53"/>
      <c r="EWY1379" s="53"/>
      <c r="EWZ1379" s="53"/>
      <c r="EXA1379" s="53"/>
      <c r="EXB1379" s="53"/>
      <c r="EXC1379" s="53"/>
      <c r="EXD1379" s="53"/>
      <c r="EXE1379" s="53"/>
      <c r="EXF1379" s="53"/>
      <c r="EXG1379" s="53"/>
      <c r="EXH1379" s="53"/>
      <c r="EXI1379" s="53"/>
      <c r="EXJ1379" s="53"/>
      <c r="EXK1379" s="53"/>
      <c r="EXL1379" s="53"/>
      <c r="EXM1379" s="53"/>
      <c r="EXN1379" s="53"/>
      <c r="EXO1379" s="53"/>
      <c r="EXP1379" s="53"/>
      <c r="EXQ1379" s="53"/>
      <c r="EXR1379" s="53"/>
      <c r="EXS1379" s="53"/>
      <c r="EXT1379" s="53"/>
      <c r="EXU1379" s="53"/>
      <c r="EXV1379" s="53"/>
      <c r="EXW1379" s="53"/>
      <c r="EXX1379" s="53"/>
      <c r="EXY1379" s="53"/>
      <c r="EXZ1379" s="53"/>
      <c r="EYA1379" s="53"/>
      <c r="EYB1379" s="53"/>
      <c r="EYC1379" s="53"/>
      <c r="EYD1379" s="53"/>
      <c r="EYE1379" s="53"/>
      <c r="EYF1379" s="53"/>
      <c r="EYG1379" s="53"/>
      <c r="EYH1379" s="53"/>
      <c r="EYI1379" s="53"/>
      <c r="EYJ1379" s="53"/>
      <c r="EYK1379" s="53"/>
      <c r="EYL1379" s="53"/>
      <c r="EYM1379" s="53"/>
      <c r="EYN1379" s="53"/>
      <c r="EYO1379" s="53"/>
      <c r="EYP1379" s="53"/>
      <c r="EYQ1379" s="53"/>
      <c r="EYR1379" s="53"/>
      <c r="EYS1379" s="53"/>
      <c r="EYT1379" s="53"/>
      <c r="EYU1379" s="53"/>
      <c r="EYV1379" s="53"/>
      <c r="EYW1379" s="53"/>
      <c r="EYX1379" s="53"/>
      <c r="EYY1379" s="53"/>
      <c r="EYZ1379" s="53"/>
      <c r="EZA1379" s="53"/>
      <c r="EZB1379" s="53"/>
      <c r="EZC1379" s="53"/>
      <c r="EZD1379" s="53"/>
      <c r="EZE1379" s="53"/>
      <c r="EZF1379" s="53"/>
      <c r="EZG1379" s="53"/>
      <c r="EZH1379" s="53"/>
      <c r="EZI1379" s="53"/>
      <c r="EZJ1379" s="53"/>
      <c r="EZK1379" s="53"/>
      <c r="EZL1379" s="53"/>
      <c r="EZM1379" s="53"/>
      <c r="EZN1379" s="53"/>
      <c r="EZO1379" s="53"/>
      <c r="EZP1379" s="53"/>
      <c r="EZQ1379" s="53"/>
      <c r="EZR1379" s="53"/>
      <c r="EZS1379" s="53"/>
      <c r="EZT1379" s="53"/>
      <c r="EZU1379" s="53"/>
      <c r="EZV1379" s="53"/>
      <c r="EZW1379" s="53"/>
      <c r="EZX1379" s="53"/>
      <c r="EZY1379" s="53"/>
      <c r="EZZ1379" s="53"/>
      <c r="FAA1379" s="53"/>
      <c r="FAB1379" s="53"/>
      <c r="FAC1379" s="53"/>
      <c r="FAD1379" s="53"/>
      <c r="FAE1379" s="53"/>
      <c r="FAF1379" s="53"/>
      <c r="FAG1379" s="53"/>
      <c r="FAH1379" s="53"/>
      <c r="FAI1379" s="53"/>
      <c r="FAJ1379" s="53"/>
      <c r="FAK1379" s="53"/>
      <c r="FAL1379" s="53"/>
      <c r="FAM1379" s="53"/>
      <c r="FAN1379" s="53"/>
      <c r="FAO1379" s="53"/>
      <c r="FAP1379" s="53"/>
      <c r="FAQ1379" s="53"/>
      <c r="FAR1379" s="53"/>
      <c r="FAS1379" s="53"/>
      <c r="FAT1379" s="53"/>
      <c r="FAU1379" s="53"/>
      <c r="FAV1379" s="53"/>
      <c r="FAW1379" s="53"/>
      <c r="FAX1379" s="53"/>
      <c r="FAY1379" s="53"/>
      <c r="FAZ1379" s="53"/>
      <c r="FBA1379" s="53"/>
      <c r="FBB1379" s="53"/>
      <c r="FBC1379" s="53"/>
      <c r="FBD1379" s="53"/>
      <c r="FBE1379" s="53"/>
      <c r="FBF1379" s="53"/>
      <c r="FBG1379" s="53"/>
      <c r="FBH1379" s="53"/>
      <c r="FBI1379" s="53"/>
      <c r="FBJ1379" s="53"/>
      <c r="FBK1379" s="53"/>
      <c r="FBL1379" s="53"/>
      <c r="FBM1379" s="53"/>
      <c r="FBN1379" s="53"/>
      <c r="FBO1379" s="53"/>
      <c r="FBP1379" s="53"/>
      <c r="FBQ1379" s="53"/>
      <c r="FBR1379" s="53"/>
      <c r="FBS1379" s="53"/>
      <c r="FBT1379" s="53"/>
      <c r="FBU1379" s="53"/>
      <c r="FBV1379" s="53"/>
      <c r="FBW1379" s="53"/>
      <c r="FBX1379" s="53"/>
      <c r="FBY1379" s="53"/>
      <c r="FBZ1379" s="53"/>
      <c r="FCA1379" s="53"/>
      <c r="FCB1379" s="53"/>
      <c r="FCC1379" s="53"/>
      <c r="FCD1379" s="53"/>
      <c r="FCE1379" s="53"/>
      <c r="FCF1379" s="53"/>
      <c r="FCG1379" s="53"/>
      <c r="FCH1379" s="53"/>
      <c r="FCI1379" s="53"/>
      <c r="FCJ1379" s="53"/>
      <c r="FCK1379" s="53"/>
      <c r="FCL1379" s="53"/>
      <c r="FCM1379" s="53"/>
      <c r="FCN1379" s="53"/>
      <c r="FCO1379" s="53"/>
      <c r="FCP1379" s="53"/>
      <c r="FCQ1379" s="53"/>
      <c r="FCR1379" s="53"/>
      <c r="FCS1379" s="53"/>
      <c r="FCT1379" s="53"/>
      <c r="FCU1379" s="53"/>
      <c r="FCV1379" s="53"/>
      <c r="FCW1379" s="53"/>
      <c r="FCX1379" s="53"/>
      <c r="FCY1379" s="53"/>
      <c r="FCZ1379" s="53"/>
      <c r="FDA1379" s="53"/>
      <c r="FDB1379" s="53"/>
      <c r="FDC1379" s="53"/>
      <c r="FDD1379" s="53"/>
      <c r="FDE1379" s="53"/>
      <c r="FDF1379" s="53"/>
      <c r="FDG1379" s="53"/>
      <c r="FDH1379" s="53"/>
      <c r="FDI1379" s="53"/>
      <c r="FDJ1379" s="53"/>
      <c r="FDK1379" s="53"/>
      <c r="FDL1379" s="53"/>
      <c r="FDM1379" s="53"/>
      <c r="FDN1379" s="53"/>
      <c r="FDO1379" s="53"/>
      <c r="FDP1379" s="53"/>
      <c r="FDQ1379" s="53"/>
      <c r="FDR1379" s="53"/>
      <c r="FDS1379" s="53"/>
      <c r="FDT1379" s="53"/>
      <c r="FDU1379" s="53"/>
      <c r="FDV1379" s="53"/>
      <c r="FDW1379" s="53"/>
      <c r="FDX1379" s="53"/>
      <c r="FDY1379" s="53"/>
      <c r="FDZ1379" s="53"/>
      <c r="FEA1379" s="53"/>
      <c r="FEB1379" s="53"/>
      <c r="FEC1379" s="53"/>
      <c r="FED1379" s="53"/>
      <c r="FEE1379" s="53"/>
      <c r="FEF1379" s="53"/>
      <c r="FEG1379" s="53"/>
      <c r="FEH1379" s="53"/>
      <c r="FEI1379" s="53"/>
      <c r="FEJ1379" s="53"/>
      <c r="FEK1379" s="53"/>
      <c r="FEL1379" s="53"/>
      <c r="FEM1379" s="53"/>
      <c r="FEN1379" s="53"/>
      <c r="FEO1379" s="53"/>
      <c r="FEP1379" s="53"/>
      <c r="FEQ1379" s="53"/>
      <c r="FER1379" s="53"/>
      <c r="FES1379" s="53"/>
      <c r="FET1379" s="53"/>
      <c r="FEU1379" s="53"/>
      <c r="FEV1379" s="53"/>
      <c r="FEW1379" s="53"/>
      <c r="FEX1379" s="53"/>
      <c r="FEY1379" s="53"/>
      <c r="FEZ1379" s="53"/>
      <c r="FFA1379" s="53"/>
      <c r="FFB1379" s="53"/>
      <c r="FFC1379" s="53"/>
      <c r="FFD1379" s="53"/>
      <c r="FFE1379" s="53"/>
      <c r="FFF1379" s="53"/>
      <c r="FFG1379" s="53"/>
      <c r="FFH1379" s="53"/>
      <c r="FFI1379" s="53"/>
      <c r="FFJ1379" s="53"/>
      <c r="FFK1379" s="53"/>
      <c r="FFL1379" s="53"/>
      <c r="FFM1379" s="53"/>
      <c r="FFN1379" s="53"/>
      <c r="FFO1379" s="53"/>
      <c r="FFP1379" s="53"/>
      <c r="FFQ1379" s="53"/>
      <c r="FFR1379" s="53"/>
      <c r="FFS1379" s="53"/>
      <c r="FFT1379" s="53"/>
      <c r="FFU1379" s="53"/>
      <c r="FFV1379" s="53"/>
      <c r="FFW1379" s="53"/>
      <c r="FFX1379" s="53"/>
      <c r="FFY1379" s="53"/>
      <c r="FFZ1379" s="53"/>
      <c r="FGA1379" s="53"/>
      <c r="FGB1379" s="53"/>
      <c r="FGC1379" s="53"/>
      <c r="FGD1379" s="53"/>
      <c r="FGE1379" s="53"/>
      <c r="FGF1379" s="53"/>
      <c r="FGG1379" s="53"/>
      <c r="FGH1379" s="53"/>
      <c r="FGI1379" s="53"/>
      <c r="FGJ1379" s="53"/>
      <c r="FGK1379" s="53"/>
      <c r="FGL1379" s="53"/>
      <c r="FGM1379" s="53"/>
      <c r="FGN1379" s="53"/>
      <c r="FGO1379" s="53"/>
      <c r="FGP1379" s="53"/>
      <c r="FGQ1379" s="53"/>
      <c r="FGR1379" s="53"/>
      <c r="FGS1379" s="53"/>
      <c r="FGT1379" s="53"/>
      <c r="FGU1379" s="53"/>
      <c r="FGV1379" s="53"/>
      <c r="FGW1379" s="53"/>
      <c r="FGX1379" s="53"/>
      <c r="FGY1379" s="53"/>
      <c r="FGZ1379" s="53"/>
      <c r="FHA1379" s="53"/>
      <c r="FHB1379" s="53"/>
      <c r="FHC1379" s="53"/>
      <c r="FHD1379" s="53"/>
      <c r="FHE1379" s="53"/>
      <c r="FHF1379" s="53"/>
      <c r="FHG1379" s="53"/>
      <c r="FHH1379" s="53"/>
      <c r="FHI1379" s="53"/>
      <c r="FHJ1379" s="53"/>
      <c r="FHK1379" s="53"/>
      <c r="FHL1379" s="53"/>
      <c r="FHM1379" s="53"/>
      <c r="FHN1379" s="53"/>
      <c r="FHO1379" s="53"/>
      <c r="FHP1379" s="53"/>
      <c r="FHQ1379" s="53"/>
      <c r="FHR1379" s="53"/>
      <c r="FHS1379" s="53"/>
      <c r="FHT1379" s="53"/>
      <c r="FHU1379" s="53"/>
      <c r="FHV1379" s="53"/>
      <c r="FHW1379" s="53"/>
      <c r="FHX1379" s="53"/>
      <c r="FHY1379" s="53"/>
      <c r="FHZ1379" s="53"/>
      <c r="FIA1379" s="53"/>
      <c r="FIB1379" s="53"/>
      <c r="FIC1379" s="53"/>
      <c r="FID1379" s="53"/>
      <c r="FIE1379" s="53"/>
      <c r="FIF1379" s="53"/>
      <c r="FIG1379" s="53"/>
      <c r="FIH1379" s="53"/>
      <c r="FII1379" s="53"/>
      <c r="FIJ1379" s="53"/>
      <c r="FIK1379" s="53"/>
      <c r="FIL1379" s="53"/>
      <c r="FIM1379" s="53"/>
      <c r="FIN1379" s="53"/>
      <c r="FIO1379" s="53"/>
      <c r="FIP1379" s="53"/>
      <c r="FIQ1379" s="53"/>
      <c r="FIR1379" s="53"/>
      <c r="FIS1379" s="53"/>
      <c r="FIT1379" s="53"/>
      <c r="FIU1379" s="53"/>
      <c r="FIV1379" s="53"/>
      <c r="FIW1379" s="53"/>
      <c r="FIX1379" s="53"/>
      <c r="FIY1379" s="53"/>
      <c r="FIZ1379" s="53"/>
      <c r="FJA1379" s="53"/>
      <c r="FJB1379" s="53"/>
      <c r="FJC1379" s="53"/>
      <c r="FJD1379" s="53"/>
      <c r="FJE1379" s="53"/>
      <c r="FJF1379" s="53"/>
      <c r="FJG1379" s="53"/>
      <c r="FJH1379" s="53"/>
      <c r="FJI1379" s="53"/>
      <c r="FJJ1379" s="53"/>
      <c r="FJK1379" s="53"/>
      <c r="FJL1379" s="53"/>
      <c r="FJM1379" s="53"/>
      <c r="FJN1379" s="53"/>
      <c r="FJO1379" s="53"/>
      <c r="FJP1379" s="53"/>
      <c r="FJQ1379" s="53"/>
      <c r="FJR1379" s="53"/>
      <c r="FJS1379" s="53"/>
      <c r="FJT1379" s="53"/>
      <c r="FJU1379" s="53"/>
      <c r="FJV1379" s="53"/>
      <c r="FJW1379" s="53"/>
      <c r="FJX1379" s="53"/>
      <c r="FJY1379" s="53"/>
      <c r="FJZ1379" s="53"/>
      <c r="FKA1379" s="53"/>
      <c r="FKB1379" s="53"/>
      <c r="FKC1379" s="53"/>
      <c r="FKD1379" s="53"/>
      <c r="FKE1379" s="53"/>
      <c r="FKF1379" s="53"/>
      <c r="FKG1379" s="53"/>
      <c r="FKH1379" s="53"/>
      <c r="FKI1379" s="53"/>
      <c r="FKJ1379" s="53"/>
      <c r="FKK1379" s="53"/>
      <c r="FKL1379" s="53"/>
      <c r="FKM1379" s="53"/>
      <c r="FKN1379" s="53"/>
      <c r="FKO1379" s="53"/>
      <c r="FKP1379" s="53"/>
      <c r="FKQ1379" s="53"/>
      <c r="FKR1379" s="53"/>
      <c r="FKS1379" s="53"/>
      <c r="FKT1379" s="53"/>
      <c r="FKU1379" s="53"/>
      <c r="FKV1379" s="53"/>
      <c r="FKW1379" s="53"/>
      <c r="FKX1379" s="53"/>
      <c r="FKY1379" s="53"/>
      <c r="FKZ1379" s="53"/>
      <c r="FLA1379" s="53"/>
      <c r="FLB1379" s="53"/>
      <c r="FLC1379" s="53"/>
      <c r="FLD1379" s="53"/>
      <c r="FLE1379" s="53"/>
      <c r="FLF1379" s="53"/>
      <c r="FLG1379" s="53"/>
      <c r="FLH1379" s="53"/>
      <c r="FLI1379" s="53"/>
      <c r="FLJ1379" s="53"/>
      <c r="FLK1379" s="53"/>
      <c r="FLL1379" s="53"/>
      <c r="FLM1379" s="53"/>
      <c r="FLN1379" s="53"/>
      <c r="FLO1379" s="53"/>
      <c r="FLP1379" s="53"/>
      <c r="FLQ1379" s="53"/>
      <c r="FLR1379" s="53"/>
      <c r="FLS1379" s="53"/>
      <c r="FLT1379" s="53"/>
      <c r="FLU1379" s="53"/>
      <c r="FLV1379" s="53"/>
      <c r="FLW1379" s="53"/>
      <c r="FLX1379" s="53"/>
      <c r="FLY1379" s="53"/>
      <c r="FLZ1379" s="53"/>
      <c r="FMA1379" s="53"/>
      <c r="FMB1379" s="53"/>
      <c r="FMC1379" s="53"/>
      <c r="FMD1379" s="53"/>
      <c r="FME1379" s="53"/>
      <c r="FMF1379" s="53"/>
      <c r="FMG1379" s="53"/>
      <c r="FMH1379" s="53"/>
      <c r="FMI1379" s="53"/>
      <c r="FMJ1379" s="53"/>
      <c r="FMK1379" s="53"/>
      <c r="FML1379" s="53"/>
      <c r="FMM1379" s="53"/>
      <c r="FMN1379" s="53"/>
      <c r="FMO1379" s="53"/>
      <c r="FMP1379" s="53"/>
      <c r="FMQ1379" s="53"/>
      <c r="FMR1379" s="53"/>
      <c r="FMS1379" s="53"/>
      <c r="FMT1379" s="53"/>
      <c r="FMU1379" s="53"/>
      <c r="FMV1379" s="53"/>
      <c r="FMW1379" s="53"/>
      <c r="FMX1379" s="53"/>
      <c r="FMY1379" s="53"/>
      <c r="FMZ1379" s="53"/>
      <c r="FNA1379" s="53"/>
      <c r="FNB1379" s="53"/>
      <c r="FNC1379" s="53"/>
      <c r="FND1379" s="53"/>
      <c r="FNE1379" s="53"/>
      <c r="FNF1379" s="53"/>
      <c r="FNG1379" s="53"/>
      <c r="FNH1379" s="53"/>
      <c r="FNI1379" s="53"/>
      <c r="FNJ1379" s="53"/>
      <c r="FNK1379" s="53"/>
      <c r="FNL1379" s="53"/>
      <c r="FNM1379" s="53"/>
      <c r="FNN1379" s="53"/>
      <c r="FNO1379" s="53"/>
      <c r="FNP1379" s="53"/>
      <c r="FNQ1379" s="53"/>
      <c r="FNR1379" s="53"/>
      <c r="FNS1379" s="53"/>
      <c r="FNT1379" s="53"/>
      <c r="FNU1379" s="53"/>
      <c r="FNV1379" s="53"/>
      <c r="FNW1379" s="53"/>
      <c r="FNX1379" s="53"/>
      <c r="FNY1379" s="53"/>
      <c r="FNZ1379" s="53"/>
      <c r="FOA1379" s="53"/>
      <c r="FOB1379" s="53"/>
      <c r="FOC1379" s="53"/>
      <c r="FOD1379" s="53"/>
      <c r="FOE1379" s="53"/>
      <c r="FOF1379" s="53"/>
      <c r="FOG1379" s="53"/>
      <c r="FOH1379" s="53"/>
      <c r="FOI1379" s="53"/>
      <c r="FOJ1379" s="53"/>
      <c r="FOK1379" s="53"/>
      <c r="FOL1379" s="53"/>
      <c r="FOM1379" s="53"/>
      <c r="FON1379" s="53"/>
      <c r="FOO1379" s="53"/>
      <c r="FOP1379" s="53"/>
      <c r="FOQ1379" s="53"/>
      <c r="FOR1379" s="53"/>
      <c r="FOS1379" s="53"/>
      <c r="FOT1379" s="53"/>
      <c r="FOU1379" s="53"/>
      <c r="FOV1379" s="53"/>
      <c r="FOW1379" s="53"/>
      <c r="FOX1379" s="53"/>
      <c r="FOY1379" s="53"/>
      <c r="FOZ1379" s="53"/>
      <c r="FPA1379" s="53"/>
      <c r="FPB1379" s="53"/>
      <c r="FPC1379" s="53"/>
      <c r="FPD1379" s="53"/>
      <c r="FPE1379" s="53"/>
      <c r="FPF1379" s="53"/>
      <c r="FPG1379" s="53"/>
      <c r="FPH1379" s="53"/>
      <c r="FPI1379" s="53"/>
      <c r="FPJ1379" s="53"/>
      <c r="FPK1379" s="53"/>
      <c r="FPL1379" s="53"/>
      <c r="FPM1379" s="53"/>
      <c r="FPN1379" s="53"/>
      <c r="FPO1379" s="53"/>
      <c r="FPP1379" s="53"/>
      <c r="FPQ1379" s="53"/>
      <c r="FPR1379" s="53"/>
      <c r="FPS1379" s="53"/>
      <c r="FPT1379" s="53"/>
      <c r="FPU1379" s="53"/>
      <c r="FPV1379" s="53"/>
      <c r="FPW1379" s="53"/>
      <c r="FPX1379" s="53"/>
      <c r="FPY1379" s="53"/>
      <c r="FPZ1379" s="53"/>
      <c r="FQA1379" s="53"/>
      <c r="FQB1379" s="53"/>
      <c r="FQC1379" s="53"/>
      <c r="FQD1379" s="53"/>
      <c r="FQE1379" s="53"/>
      <c r="FQF1379" s="53"/>
      <c r="FQG1379" s="53"/>
      <c r="FQH1379" s="53"/>
      <c r="FQI1379" s="53"/>
      <c r="FQJ1379" s="53"/>
      <c r="FQK1379" s="53"/>
      <c r="FQL1379" s="53"/>
      <c r="FQM1379" s="53"/>
      <c r="FQN1379" s="53"/>
      <c r="FQO1379" s="53"/>
      <c r="FQP1379" s="53"/>
      <c r="FQQ1379" s="53"/>
      <c r="FQR1379" s="53"/>
      <c r="FQS1379" s="53"/>
      <c r="FQT1379" s="53"/>
      <c r="FQU1379" s="53"/>
      <c r="FQV1379" s="53"/>
      <c r="FQW1379" s="53"/>
      <c r="FQX1379" s="53"/>
      <c r="FQY1379" s="53"/>
      <c r="FQZ1379" s="53"/>
      <c r="FRA1379" s="53"/>
      <c r="FRB1379" s="53"/>
      <c r="FRC1379" s="53"/>
      <c r="FRD1379" s="53"/>
      <c r="FRE1379" s="53"/>
      <c r="FRF1379" s="53"/>
      <c r="FRG1379" s="53"/>
      <c r="FRH1379" s="53"/>
      <c r="FRI1379" s="53"/>
      <c r="FRJ1379" s="53"/>
      <c r="FRK1379" s="53"/>
      <c r="FRL1379" s="53"/>
      <c r="FRM1379" s="53"/>
      <c r="FRN1379" s="53"/>
      <c r="FRO1379" s="53"/>
      <c r="FRP1379" s="53"/>
      <c r="FRQ1379" s="53"/>
      <c r="FRR1379" s="53"/>
      <c r="FRS1379" s="53"/>
      <c r="FRT1379" s="53"/>
      <c r="FRU1379" s="53"/>
      <c r="FRV1379" s="53"/>
      <c r="FRW1379" s="53"/>
      <c r="FRX1379" s="53"/>
      <c r="FRY1379" s="53"/>
      <c r="FRZ1379" s="53"/>
      <c r="FSA1379" s="53"/>
      <c r="FSB1379" s="53"/>
      <c r="FSC1379" s="53"/>
      <c r="FSD1379" s="53"/>
      <c r="FSE1379" s="53"/>
      <c r="FSF1379" s="53"/>
      <c r="FSG1379" s="53"/>
      <c r="FSH1379" s="53"/>
      <c r="FSI1379" s="53"/>
      <c r="FSJ1379" s="53"/>
      <c r="FSK1379" s="53"/>
      <c r="FSL1379" s="53"/>
      <c r="FSM1379" s="53"/>
      <c r="FSN1379" s="53"/>
      <c r="FSO1379" s="53"/>
      <c r="FSP1379" s="53"/>
      <c r="FSQ1379" s="53"/>
      <c r="FSR1379" s="53"/>
      <c r="FSS1379" s="53"/>
      <c r="FST1379" s="53"/>
      <c r="FSU1379" s="53"/>
      <c r="FSV1379" s="53"/>
      <c r="FSW1379" s="53"/>
      <c r="FSX1379" s="53"/>
      <c r="FSY1379" s="53"/>
      <c r="FSZ1379" s="53"/>
      <c r="FTA1379" s="53"/>
      <c r="FTB1379" s="53"/>
      <c r="FTC1379" s="53"/>
      <c r="FTD1379" s="53"/>
      <c r="FTE1379" s="53"/>
      <c r="FTF1379" s="53"/>
      <c r="FTG1379" s="53"/>
      <c r="FTH1379" s="53"/>
      <c r="FTI1379" s="53"/>
      <c r="FTJ1379" s="53"/>
      <c r="FTK1379" s="53"/>
      <c r="FTL1379" s="53"/>
      <c r="FTM1379" s="53"/>
      <c r="FTN1379" s="53"/>
      <c r="FTO1379" s="53"/>
      <c r="FTP1379" s="53"/>
      <c r="FTQ1379" s="53"/>
      <c r="FTR1379" s="53"/>
      <c r="FTS1379" s="53"/>
      <c r="FTT1379" s="53"/>
      <c r="FTU1379" s="53"/>
      <c r="FTV1379" s="53"/>
      <c r="FTW1379" s="53"/>
      <c r="FTX1379" s="53"/>
      <c r="FTY1379" s="53"/>
      <c r="FTZ1379" s="53"/>
      <c r="FUA1379" s="53"/>
      <c r="FUB1379" s="53"/>
      <c r="FUC1379" s="53"/>
      <c r="FUD1379" s="53"/>
      <c r="FUE1379" s="53"/>
      <c r="FUF1379" s="53"/>
      <c r="FUG1379" s="53"/>
      <c r="FUH1379" s="53"/>
      <c r="FUI1379" s="53"/>
      <c r="FUJ1379" s="53"/>
      <c r="FUK1379" s="53"/>
      <c r="FUL1379" s="53"/>
      <c r="FUM1379" s="53"/>
      <c r="FUN1379" s="53"/>
      <c r="FUO1379" s="53"/>
      <c r="FUP1379" s="53"/>
      <c r="FUQ1379" s="53"/>
      <c r="FUR1379" s="53"/>
      <c r="FUS1379" s="53"/>
      <c r="FUT1379" s="53"/>
      <c r="FUU1379" s="53"/>
      <c r="FUV1379" s="53"/>
      <c r="FUW1379" s="53"/>
      <c r="FUX1379" s="53"/>
      <c r="FUY1379" s="53"/>
      <c r="FUZ1379" s="53"/>
      <c r="FVA1379" s="53"/>
      <c r="FVB1379" s="53"/>
      <c r="FVC1379" s="53"/>
      <c r="FVD1379" s="53"/>
      <c r="FVE1379" s="53"/>
      <c r="FVF1379" s="53"/>
      <c r="FVG1379" s="53"/>
      <c r="FVH1379" s="53"/>
      <c r="FVI1379" s="53"/>
      <c r="FVJ1379" s="53"/>
      <c r="FVK1379" s="53"/>
      <c r="FVL1379" s="53"/>
      <c r="FVM1379" s="53"/>
      <c r="FVN1379" s="53"/>
      <c r="FVO1379" s="53"/>
      <c r="FVP1379" s="53"/>
      <c r="FVQ1379" s="53"/>
      <c r="FVR1379" s="53"/>
      <c r="FVS1379" s="53"/>
      <c r="FVT1379" s="53"/>
      <c r="FVU1379" s="53"/>
      <c r="FVV1379" s="53"/>
      <c r="FVW1379" s="53"/>
      <c r="FVX1379" s="53"/>
      <c r="FVY1379" s="53"/>
      <c r="FVZ1379" s="53"/>
      <c r="FWA1379" s="53"/>
      <c r="FWB1379" s="53"/>
      <c r="FWC1379" s="53"/>
      <c r="FWD1379" s="53"/>
      <c r="FWE1379" s="53"/>
      <c r="FWF1379" s="53"/>
      <c r="FWG1379" s="53"/>
      <c r="FWH1379" s="53"/>
      <c r="FWI1379" s="53"/>
      <c r="FWJ1379" s="53"/>
      <c r="FWK1379" s="53"/>
      <c r="FWL1379" s="53"/>
      <c r="FWM1379" s="53"/>
      <c r="FWN1379" s="53"/>
      <c r="FWO1379" s="53"/>
      <c r="FWP1379" s="53"/>
      <c r="FWQ1379" s="53"/>
      <c r="FWR1379" s="53"/>
      <c r="FWS1379" s="53"/>
      <c r="FWT1379" s="53"/>
      <c r="FWU1379" s="53"/>
      <c r="FWV1379" s="53"/>
      <c r="FWW1379" s="53"/>
      <c r="FWX1379" s="53"/>
      <c r="FWY1379" s="53"/>
      <c r="FWZ1379" s="53"/>
      <c r="FXA1379" s="53"/>
      <c r="FXB1379" s="53"/>
      <c r="FXC1379" s="53"/>
      <c r="FXD1379" s="53"/>
      <c r="FXE1379" s="53"/>
      <c r="FXF1379" s="53"/>
      <c r="FXG1379" s="53"/>
      <c r="FXH1379" s="53"/>
      <c r="FXI1379" s="53"/>
      <c r="FXJ1379" s="53"/>
      <c r="FXK1379" s="53"/>
      <c r="FXL1379" s="53"/>
      <c r="FXM1379" s="53"/>
      <c r="FXN1379" s="53"/>
      <c r="FXO1379" s="53"/>
      <c r="FXP1379" s="53"/>
      <c r="FXQ1379" s="53"/>
      <c r="FXR1379" s="53"/>
      <c r="FXS1379" s="53"/>
      <c r="FXT1379" s="53"/>
      <c r="FXU1379" s="53"/>
      <c r="FXV1379" s="53"/>
      <c r="FXW1379" s="53"/>
      <c r="FXX1379" s="53"/>
      <c r="FXY1379" s="53"/>
      <c r="FXZ1379" s="53"/>
      <c r="FYA1379" s="53"/>
      <c r="FYB1379" s="53"/>
      <c r="FYC1379" s="53"/>
      <c r="FYD1379" s="53"/>
      <c r="FYE1379" s="53"/>
      <c r="FYF1379" s="53"/>
      <c r="FYG1379" s="53"/>
      <c r="FYH1379" s="53"/>
      <c r="FYI1379" s="53"/>
      <c r="FYJ1379" s="53"/>
      <c r="FYK1379" s="53"/>
      <c r="FYL1379" s="53"/>
      <c r="FYM1379" s="53"/>
      <c r="FYN1379" s="53"/>
      <c r="FYO1379" s="53"/>
      <c r="FYP1379" s="53"/>
      <c r="FYQ1379" s="53"/>
      <c r="FYR1379" s="53"/>
      <c r="FYS1379" s="53"/>
      <c r="FYT1379" s="53"/>
      <c r="FYU1379" s="53"/>
      <c r="FYV1379" s="53"/>
      <c r="FYW1379" s="53"/>
      <c r="FYX1379" s="53"/>
      <c r="FYY1379" s="53"/>
      <c r="FYZ1379" s="53"/>
      <c r="FZA1379" s="53"/>
      <c r="FZB1379" s="53"/>
      <c r="FZC1379" s="53"/>
      <c r="FZD1379" s="53"/>
      <c r="FZE1379" s="53"/>
      <c r="FZF1379" s="53"/>
      <c r="FZG1379" s="53"/>
      <c r="FZH1379" s="53"/>
      <c r="FZI1379" s="53"/>
      <c r="FZJ1379" s="53"/>
      <c r="FZK1379" s="53"/>
      <c r="FZL1379" s="53"/>
      <c r="FZM1379" s="53"/>
      <c r="FZN1379" s="53"/>
      <c r="FZO1379" s="53"/>
      <c r="FZP1379" s="53"/>
      <c r="FZQ1379" s="53"/>
      <c r="FZR1379" s="53"/>
      <c r="FZS1379" s="53"/>
      <c r="FZT1379" s="53"/>
      <c r="FZU1379" s="53"/>
      <c r="FZV1379" s="53"/>
      <c r="FZW1379" s="53"/>
      <c r="FZX1379" s="53"/>
      <c r="FZY1379" s="53"/>
      <c r="FZZ1379" s="53"/>
      <c r="GAA1379" s="53"/>
      <c r="GAB1379" s="53"/>
      <c r="GAC1379" s="53"/>
      <c r="GAD1379" s="53"/>
      <c r="GAE1379" s="53"/>
      <c r="GAF1379" s="53"/>
      <c r="GAG1379" s="53"/>
      <c r="GAH1379" s="53"/>
      <c r="GAI1379" s="53"/>
      <c r="GAJ1379" s="53"/>
      <c r="GAK1379" s="53"/>
      <c r="GAL1379" s="53"/>
      <c r="GAM1379" s="53"/>
      <c r="GAN1379" s="53"/>
      <c r="GAO1379" s="53"/>
      <c r="GAP1379" s="53"/>
      <c r="GAQ1379" s="53"/>
      <c r="GAR1379" s="53"/>
      <c r="GAS1379" s="53"/>
      <c r="GAT1379" s="53"/>
      <c r="GAU1379" s="53"/>
      <c r="GAV1379" s="53"/>
      <c r="GAW1379" s="53"/>
      <c r="GAX1379" s="53"/>
      <c r="GAY1379" s="53"/>
      <c r="GAZ1379" s="53"/>
      <c r="GBA1379" s="53"/>
      <c r="GBB1379" s="53"/>
      <c r="GBC1379" s="53"/>
      <c r="GBD1379" s="53"/>
      <c r="GBE1379" s="53"/>
      <c r="GBF1379" s="53"/>
      <c r="GBG1379" s="53"/>
      <c r="GBH1379" s="53"/>
      <c r="GBI1379" s="53"/>
      <c r="GBJ1379" s="53"/>
      <c r="GBK1379" s="53"/>
      <c r="GBL1379" s="53"/>
      <c r="GBM1379" s="53"/>
      <c r="GBN1379" s="53"/>
      <c r="GBO1379" s="53"/>
      <c r="GBP1379" s="53"/>
      <c r="GBQ1379" s="53"/>
      <c r="GBR1379" s="53"/>
      <c r="GBS1379" s="53"/>
      <c r="GBT1379" s="53"/>
      <c r="GBU1379" s="53"/>
      <c r="GBV1379" s="53"/>
      <c r="GBW1379" s="53"/>
      <c r="GBX1379" s="53"/>
      <c r="GBY1379" s="53"/>
      <c r="GBZ1379" s="53"/>
      <c r="GCA1379" s="53"/>
      <c r="GCB1379" s="53"/>
      <c r="GCC1379" s="53"/>
      <c r="GCD1379" s="53"/>
      <c r="GCE1379" s="53"/>
      <c r="GCF1379" s="53"/>
      <c r="GCG1379" s="53"/>
      <c r="GCH1379" s="53"/>
      <c r="GCI1379" s="53"/>
      <c r="GCJ1379" s="53"/>
      <c r="GCK1379" s="53"/>
      <c r="GCL1379" s="53"/>
      <c r="GCM1379" s="53"/>
      <c r="GCN1379" s="53"/>
      <c r="GCO1379" s="53"/>
      <c r="GCP1379" s="53"/>
      <c r="GCQ1379" s="53"/>
      <c r="GCR1379" s="53"/>
      <c r="GCS1379" s="53"/>
      <c r="GCT1379" s="53"/>
      <c r="GCU1379" s="53"/>
      <c r="GCV1379" s="53"/>
      <c r="GCW1379" s="53"/>
      <c r="GCX1379" s="53"/>
      <c r="GCY1379" s="53"/>
      <c r="GCZ1379" s="53"/>
      <c r="GDA1379" s="53"/>
      <c r="GDB1379" s="53"/>
      <c r="GDC1379" s="53"/>
      <c r="GDD1379" s="53"/>
      <c r="GDE1379" s="53"/>
      <c r="GDF1379" s="53"/>
      <c r="GDG1379" s="53"/>
      <c r="GDH1379" s="53"/>
      <c r="GDI1379" s="53"/>
      <c r="GDJ1379" s="53"/>
      <c r="GDK1379" s="53"/>
      <c r="GDL1379" s="53"/>
      <c r="GDM1379" s="53"/>
      <c r="GDN1379" s="53"/>
      <c r="GDO1379" s="53"/>
      <c r="GDP1379" s="53"/>
      <c r="GDQ1379" s="53"/>
      <c r="GDR1379" s="53"/>
      <c r="GDS1379" s="53"/>
      <c r="GDT1379" s="53"/>
      <c r="GDU1379" s="53"/>
      <c r="GDV1379" s="53"/>
      <c r="GDW1379" s="53"/>
      <c r="GDX1379" s="53"/>
      <c r="GDY1379" s="53"/>
      <c r="GDZ1379" s="53"/>
      <c r="GEA1379" s="53"/>
      <c r="GEB1379" s="53"/>
      <c r="GEC1379" s="53"/>
      <c r="GED1379" s="53"/>
      <c r="GEE1379" s="53"/>
      <c r="GEF1379" s="53"/>
      <c r="GEG1379" s="53"/>
      <c r="GEH1379" s="53"/>
      <c r="GEI1379" s="53"/>
      <c r="GEJ1379" s="53"/>
      <c r="GEK1379" s="53"/>
      <c r="GEL1379" s="53"/>
      <c r="GEM1379" s="53"/>
      <c r="GEN1379" s="53"/>
      <c r="GEO1379" s="53"/>
      <c r="GEP1379" s="53"/>
      <c r="GEQ1379" s="53"/>
      <c r="GER1379" s="53"/>
      <c r="GES1379" s="53"/>
      <c r="GET1379" s="53"/>
      <c r="GEU1379" s="53"/>
      <c r="GEV1379" s="53"/>
      <c r="GEW1379" s="53"/>
      <c r="GEX1379" s="53"/>
      <c r="GEY1379" s="53"/>
      <c r="GEZ1379" s="53"/>
      <c r="GFA1379" s="53"/>
      <c r="GFB1379" s="53"/>
      <c r="GFC1379" s="53"/>
      <c r="GFD1379" s="53"/>
      <c r="GFE1379" s="53"/>
      <c r="GFF1379" s="53"/>
      <c r="GFG1379" s="53"/>
      <c r="GFH1379" s="53"/>
      <c r="GFI1379" s="53"/>
      <c r="GFJ1379" s="53"/>
      <c r="GFK1379" s="53"/>
      <c r="GFL1379" s="53"/>
      <c r="GFM1379" s="53"/>
      <c r="GFN1379" s="53"/>
      <c r="GFO1379" s="53"/>
      <c r="GFP1379" s="53"/>
      <c r="GFQ1379" s="53"/>
      <c r="GFR1379" s="53"/>
      <c r="GFS1379" s="53"/>
      <c r="GFT1379" s="53"/>
      <c r="GFU1379" s="53"/>
      <c r="GFV1379" s="53"/>
      <c r="GFW1379" s="53"/>
      <c r="GFX1379" s="53"/>
      <c r="GFY1379" s="53"/>
      <c r="GFZ1379" s="53"/>
      <c r="GGA1379" s="53"/>
      <c r="GGB1379" s="53"/>
      <c r="GGC1379" s="53"/>
      <c r="GGD1379" s="53"/>
      <c r="GGE1379" s="53"/>
      <c r="GGF1379" s="53"/>
      <c r="GGG1379" s="53"/>
      <c r="GGH1379" s="53"/>
      <c r="GGI1379" s="53"/>
      <c r="GGJ1379" s="53"/>
      <c r="GGK1379" s="53"/>
      <c r="GGL1379" s="53"/>
      <c r="GGM1379" s="53"/>
      <c r="GGN1379" s="53"/>
      <c r="GGO1379" s="53"/>
      <c r="GGP1379" s="53"/>
      <c r="GGQ1379" s="53"/>
      <c r="GGR1379" s="53"/>
      <c r="GGS1379" s="53"/>
      <c r="GGT1379" s="53"/>
      <c r="GGU1379" s="53"/>
      <c r="GGV1379" s="53"/>
      <c r="GGW1379" s="53"/>
      <c r="GGX1379" s="53"/>
      <c r="GGY1379" s="53"/>
      <c r="GGZ1379" s="53"/>
      <c r="GHA1379" s="53"/>
      <c r="GHB1379" s="53"/>
      <c r="GHC1379" s="53"/>
      <c r="GHD1379" s="53"/>
      <c r="GHE1379" s="53"/>
      <c r="GHF1379" s="53"/>
      <c r="GHG1379" s="53"/>
      <c r="GHH1379" s="53"/>
      <c r="GHI1379" s="53"/>
      <c r="GHJ1379" s="53"/>
      <c r="GHK1379" s="53"/>
      <c r="GHL1379" s="53"/>
      <c r="GHM1379" s="53"/>
      <c r="GHN1379" s="53"/>
      <c r="GHO1379" s="53"/>
      <c r="GHP1379" s="53"/>
      <c r="GHQ1379" s="53"/>
      <c r="GHR1379" s="53"/>
      <c r="GHS1379" s="53"/>
      <c r="GHT1379" s="53"/>
      <c r="GHU1379" s="53"/>
      <c r="GHV1379" s="53"/>
      <c r="GHW1379" s="53"/>
      <c r="GHX1379" s="53"/>
      <c r="GHY1379" s="53"/>
      <c r="GHZ1379" s="53"/>
      <c r="GIA1379" s="53"/>
      <c r="GIB1379" s="53"/>
      <c r="GIC1379" s="53"/>
      <c r="GID1379" s="53"/>
      <c r="GIE1379" s="53"/>
      <c r="GIF1379" s="53"/>
      <c r="GIG1379" s="53"/>
      <c r="GIH1379" s="53"/>
      <c r="GII1379" s="53"/>
      <c r="GIJ1379" s="53"/>
      <c r="GIK1379" s="53"/>
      <c r="GIL1379" s="53"/>
      <c r="GIM1379" s="53"/>
      <c r="GIN1379" s="53"/>
      <c r="GIO1379" s="53"/>
      <c r="GIP1379" s="53"/>
      <c r="GIQ1379" s="53"/>
      <c r="GIR1379" s="53"/>
      <c r="GIS1379" s="53"/>
      <c r="GIT1379" s="53"/>
      <c r="GIU1379" s="53"/>
      <c r="GIV1379" s="53"/>
      <c r="GIW1379" s="53"/>
      <c r="GIX1379" s="53"/>
      <c r="GIY1379" s="53"/>
      <c r="GIZ1379" s="53"/>
      <c r="GJA1379" s="53"/>
      <c r="GJB1379" s="53"/>
      <c r="GJC1379" s="53"/>
      <c r="GJD1379" s="53"/>
      <c r="GJE1379" s="53"/>
      <c r="GJF1379" s="53"/>
      <c r="GJG1379" s="53"/>
      <c r="GJH1379" s="53"/>
      <c r="GJI1379" s="53"/>
      <c r="GJJ1379" s="53"/>
      <c r="GJK1379" s="53"/>
      <c r="GJL1379" s="53"/>
      <c r="GJM1379" s="53"/>
      <c r="GJN1379" s="53"/>
      <c r="GJO1379" s="53"/>
      <c r="GJP1379" s="53"/>
      <c r="GJQ1379" s="53"/>
      <c r="GJR1379" s="53"/>
      <c r="GJS1379" s="53"/>
      <c r="GJT1379" s="53"/>
      <c r="GJU1379" s="53"/>
      <c r="GJV1379" s="53"/>
      <c r="GJW1379" s="53"/>
      <c r="GJX1379" s="53"/>
      <c r="GJY1379" s="53"/>
      <c r="GJZ1379" s="53"/>
      <c r="GKA1379" s="53"/>
      <c r="GKB1379" s="53"/>
      <c r="GKC1379" s="53"/>
      <c r="GKD1379" s="53"/>
      <c r="GKE1379" s="53"/>
      <c r="GKF1379" s="53"/>
      <c r="GKG1379" s="53"/>
      <c r="GKH1379" s="53"/>
      <c r="GKI1379" s="53"/>
      <c r="GKJ1379" s="53"/>
      <c r="GKK1379" s="53"/>
      <c r="GKL1379" s="53"/>
      <c r="GKM1379" s="53"/>
      <c r="GKN1379" s="53"/>
      <c r="GKO1379" s="53"/>
      <c r="GKP1379" s="53"/>
      <c r="GKQ1379" s="53"/>
      <c r="GKR1379" s="53"/>
      <c r="GKS1379" s="53"/>
      <c r="GKT1379" s="53"/>
      <c r="GKU1379" s="53"/>
      <c r="GKV1379" s="53"/>
      <c r="GKW1379" s="53"/>
      <c r="GKX1379" s="53"/>
      <c r="GKY1379" s="53"/>
      <c r="GKZ1379" s="53"/>
      <c r="GLA1379" s="53"/>
      <c r="GLB1379" s="53"/>
      <c r="GLC1379" s="53"/>
      <c r="GLD1379" s="53"/>
      <c r="GLE1379" s="53"/>
      <c r="GLF1379" s="53"/>
      <c r="GLG1379" s="53"/>
      <c r="GLH1379" s="53"/>
      <c r="GLI1379" s="53"/>
      <c r="GLJ1379" s="53"/>
      <c r="GLK1379" s="53"/>
      <c r="GLL1379" s="53"/>
      <c r="GLM1379" s="53"/>
      <c r="GLN1379" s="53"/>
      <c r="GLO1379" s="53"/>
      <c r="GLP1379" s="53"/>
      <c r="GLQ1379" s="53"/>
      <c r="GLR1379" s="53"/>
      <c r="GLS1379" s="53"/>
      <c r="GLT1379" s="53"/>
      <c r="GLU1379" s="53"/>
      <c r="GLV1379" s="53"/>
      <c r="GLW1379" s="53"/>
      <c r="GLX1379" s="53"/>
      <c r="GLY1379" s="53"/>
      <c r="GLZ1379" s="53"/>
      <c r="GMA1379" s="53"/>
      <c r="GMB1379" s="53"/>
      <c r="GMC1379" s="53"/>
      <c r="GMD1379" s="53"/>
      <c r="GME1379" s="53"/>
      <c r="GMF1379" s="53"/>
      <c r="GMG1379" s="53"/>
      <c r="GMH1379" s="53"/>
      <c r="GMI1379" s="53"/>
      <c r="GMJ1379" s="53"/>
      <c r="GMK1379" s="53"/>
      <c r="GML1379" s="53"/>
      <c r="GMM1379" s="53"/>
      <c r="GMN1379" s="53"/>
      <c r="GMO1379" s="53"/>
      <c r="GMP1379" s="53"/>
      <c r="GMQ1379" s="53"/>
      <c r="GMR1379" s="53"/>
      <c r="GMS1379" s="53"/>
      <c r="GMT1379" s="53"/>
      <c r="GMU1379" s="53"/>
      <c r="GMV1379" s="53"/>
      <c r="GMW1379" s="53"/>
      <c r="GMX1379" s="53"/>
      <c r="GMY1379" s="53"/>
      <c r="GMZ1379" s="53"/>
      <c r="GNA1379" s="53"/>
      <c r="GNB1379" s="53"/>
      <c r="GNC1379" s="53"/>
      <c r="GND1379" s="53"/>
      <c r="GNE1379" s="53"/>
      <c r="GNF1379" s="53"/>
      <c r="GNG1379" s="53"/>
      <c r="GNH1379" s="53"/>
      <c r="GNI1379" s="53"/>
      <c r="GNJ1379" s="53"/>
      <c r="GNK1379" s="53"/>
      <c r="GNL1379" s="53"/>
      <c r="GNM1379" s="53"/>
      <c r="GNN1379" s="53"/>
      <c r="GNO1379" s="53"/>
      <c r="GNP1379" s="53"/>
      <c r="GNQ1379" s="53"/>
      <c r="GNR1379" s="53"/>
      <c r="GNS1379" s="53"/>
      <c r="GNT1379" s="53"/>
      <c r="GNU1379" s="53"/>
      <c r="GNV1379" s="53"/>
      <c r="GNW1379" s="53"/>
      <c r="GNX1379" s="53"/>
      <c r="GNY1379" s="53"/>
      <c r="GNZ1379" s="53"/>
      <c r="GOA1379" s="53"/>
      <c r="GOB1379" s="53"/>
      <c r="GOC1379" s="53"/>
      <c r="GOD1379" s="53"/>
      <c r="GOE1379" s="53"/>
      <c r="GOF1379" s="53"/>
      <c r="GOG1379" s="53"/>
      <c r="GOH1379" s="53"/>
      <c r="GOI1379" s="53"/>
      <c r="GOJ1379" s="53"/>
      <c r="GOK1379" s="53"/>
      <c r="GOL1379" s="53"/>
      <c r="GOM1379" s="53"/>
      <c r="GON1379" s="53"/>
      <c r="GOO1379" s="53"/>
      <c r="GOP1379" s="53"/>
      <c r="GOQ1379" s="53"/>
      <c r="GOR1379" s="53"/>
      <c r="GOS1379" s="53"/>
      <c r="GOT1379" s="53"/>
      <c r="GOU1379" s="53"/>
      <c r="GOV1379" s="53"/>
      <c r="GOW1379" s="53"/>
      <c r="GOX1379" s="53"/>
      <c r="GOY1379" s="53"/>
      <c r="GOZ1379" s="53"/>
      <c r="GPA1379" s="53"/>
      <c r="GPB1379" s="53"/>
      <c r="GPC1379" s="53"/>
      <c r="GPD1379" s="53"/>
      <c r="GPE1379" s="53"/>
      <c r="GPF1379" s="53"/>
      <c r="GPG1379" s="53"/>
      <c r="GPH1379" s="53"/>
      <c r="GPI1379" s="53"/>
      <c r="GPJ1379" s="53"/>
      <c r="GPK1379" s="53"/>
      <c r="GPL1379" s="53"/>
      <c r="GPM1379" s="53"/>
      <c r="GPN1379" s="53"/>
      <c r="GPO1379" s="53"/>
      <c r="GPP1379" s="53"/>
      <c r="GPQ1379" s="53"/>
      <c r="GPR1379" s="53"/>
      <c r="GPS1379" s="53"/>
      <c r="GPT1379" s="53"/>
      <c r="GPU1379" s="53"/>
      <c r="GPV1379" s="53"/>
      <c r="GPW1379" s="53"/>
      <c r="GPX1379" s="53"/>
      <c r="GPY1379" s="53"/>
      <c r="GPZ1379" s="53"/>
      <c r="GQA1379" s="53"/>
      <c r="GQB1379" s="53"/>
      <c r="GQC1379" s="53"/>
      <c r="GQD1379" s="53"/>
      <c r="GQE1379" s="53"/>
      <c r="GQF1379" s="53"/>
      <c r="GQG1379" s="53"/>
      <c r="GQH1379" s="53"/>
      <c r="GQI1379" s="53"/>
      <c r="GQJ1379" s="53"/>
      <c r="GQK1379" s="53"/>
      <c r="GQL1379" s="53"/>
      <c r="GQM1379" s="53"/>
      <c r="GQN1379" s="53"/>
      <c r="GQO1379" s="53"/>
      <c r="GQP1379" s="53"/>
      <c r="GQQ1379" s="53"/>
      <c r="GQR1379" s="53"/>
      <c r="GQS1379" s="53"/>
      <c r="GQT1379" s="53"/>
      <c r="GQU1379" s="53"/>
      <c r="GQV1379" s="53"/>
      <c r="GQW1379" s="53"/>
      <c r="GQX1379" s="53"/>
      <c r="GQY1379" s="53"/>
      <c r="GQZ1379" s="53"/>
      <c r="GRA1379" s="53"/>
      <c r="GRB1379" s="53"/>
      <c r="GRC1379" s="53"/>
      <c r="GRD1379" s="53"/>
      <c r="GRE1379" s="53"/>
      <c r="GRF1379" s="53"/>
      <c r="GRG1379" s="53"/>
      <c r="GRH1379" s="53"/>
      <c r="GRI1379" s="53"/>
      <c r="GRJ1379" s="53"/>
      <c r="GRK1379" s="53"/>
      <c r="GRL1379" s="53"/>
      <c r="GRM1379" s="53"/>
      <c r="GRN1379" s="53"/>
      <c r="GRO1379" s="53"/>
      <c r="GRP1379" s="53"/>
      <c r="GRQ1379" s="53"/>
      <c r="GRR1379" s="53"/>
      <c r="GRS1379" s="53"/>
      <c r="GRT1379" s="53"/>
      <c r="GRU1379" s="53"/>
      <c r="GRV1379" s="53"/>
      <c r="GRW1379" s="53"/>
      <c r="GRX1379" s="53"/>
      <c r="GRY1379" s="53"/>
      <c r="GRZ1379" s="53"/>
      <c r="GSA1379" s="53"/>
      <c r="GSB1379" s="53"/>
      <c r="GSC1379" s="53"/>
      <c r="GSD1379" s="53"/>
      <c r="GSE1379" s="53"/>
      <c r="GSF1379" s="53"/>
      <c r="GSG1379" s="53"/>
      <c r="GSH1379" s="53"/>
      <c r="GSI1379" s="53"/>
      <c r="GSJ1379" s="53"/>
      <c r="GSK1379" s="53"/>
      <c r="GSL1379" s="53"/>
      <c r="GSM1379" s="53"/>
      <c r="GSN1379" s="53"/>
      <c r="GSO1379" s="53"/>
      <c r="GSP1379" s="53"/>
      <c r="GSQ1379" s="53"/>
      <c r="GSR1379" s="53"/>
      <c r="GSS1379" s="53"/>
      <c r="GST1379" s="53"/>
      <c r="GSU1379" s="53"/>
      <c r="GSV1379" s="53"/>
      <c r="GSW1379" s="53"/>
      <c r="GSX1379" s="53"/>
      <c r="GSY1379" s="53"/>
      <c r="GSZ1379" s="53"/>
      <c r="GTA1379" s="53"/>
      <c r="GTB1379" s="53"/>
      <c r="GTC1379" s="53"/>
      <c r="GTD1379" s="53"/>
      <c r="GTE1379" s="53"/>
      <c r="GTF1379" s="53"/>
      <c r="GTG1379" s="53"/>
      <c r="GTH1379" s="53"/>
      <c r="GTI1379" s="53"/>
      <c r="GTJ1379" s="53"/>
      <c r="GTK1379" s="53"/>
      <c r="GTL1379" s="53"/>
      <c r="GTM1379" s="53"/>
      <c r="GTN1379" s="53"/>
      <c r="GTO1379" s="53"/>
      <c r="GTP1379" s="53"/>
      <c r="GTQ1379" s="53"/>
      <c r="GTR1379" s="53"/>
      <c r="GTS1379" s="53"/>
      <c r="GTT1379" s="53"/>
      <c r="GTU1379" s="53"/>
      <c r="GTV1379" s="53"/>
      <c r="GTW1379" s="53"/>
      <c r="GTX1379" s="53"/>
      <c r="GTY1379" s="53"/>
      <c r="GTZ1379" s="53"/>
      <c r="GUA1379" s="53"/>
      <c r="GUB1379" s="53"/>
      <c r="GUC1379" s="53"/>
      <c r="GUD1379" s="53"/>
      <c r="GUE1379" s="53"/>
      <c r="GUF1379" s="53"/>
      <c r="GUG1379" s="53"/>
      <c r="GUH1379" s="53"/>
      <c r="GUI1379" s="53"/>
      <c r="GUJ1379" s="53"/>
      <c r="GUK1379" s="53"/>
      <c r="GUL1379" s="53"/>
      <c r="GUM1379" s="53"/>
      <c r="GUN1379" s="53"/>
      <c r="GUO1379" s="53"/>
      <c r="GUP1379" s="53"/>
      <c r="GUQ1379" s="53"/>
      <c r="GUR1379" s="53"/>
      <c r="GUS1379" s="53"/>
      <c r="GUT1379" s="53"/>
      <c r="GUU1379" s="53"/>
      <c r="GUV1379" s="53"/>
      <c r="GUW1379" s="53"/>
      <c r="GUX1379" s="53"/>
      <c r="GUY1379" s="53"/>
      <c r="GUZ1379" s="53"/>
      <c r="GVA1379" s="53"/>
      <c r="GVB1379" s="53"/>
      <c r="GVC1379" s="53"/>
      <c r="GVD1379" s="53"/>
      <c r="GVE1379" s="53"/>
      <c r="GVF1379" s="53"/>
      <c r="GVG1379" s="53"/>
      <c r="GVH1379" s="53"/>
      <c r="GVI1379" s="53"/>
      <c r="GVJ1379" s="53"/>
      <c r="GVK1379" s="53"/>
      <c r="GVL1379" s="53"/>
      <c r="GVM1379" s="53"/>
      <c r="GVN1379" s="53"/>
      <c r="GVO1379" s="53"/>
      <c r="GVP1379" s="53"/>
      <c r="GVQ1379" s="53"/>
      <c r="GVR1379" s="53"/>
      <c r="GVS1379" s="53"/>
      <c r="GVT1379" s="53"/>
      <c r="GVU1379" s="53"/>
      <c r="GVV1379" s="53"/>
      <c r="GVW1379" s="53"/>
      <c r="GVX1379" s="53"/>
      <c r="GVY1379" s="53"/>
      <c r="GVZ1379" s="53"/>
      <c r="GWA1379" s="53"/>
      <c r="GWB1379" s="53"/>
      <c r="GWC1379" s="53"/>
      <c r="GWD1379" s="53"/>
      <c r="GWE1379" s="53"/>
      <c r="GWF1379" s="53"/>
      <c r="GWG1379" s="53"/>
      <c r="GWH1379" s="53"/>
      <c r="GWI1379" s="53"/>
      <c r="GWJ1379" s="53"/>
      <c r="GWK1379" s="53"/>
      <c r="GWL1379" s="53"/>
      <c r="GWM1379" s="53"/>
      <c r="GWN1379" s="53"/>
      <c r="GWO1379" s="53"/>
      <c r="GWP1379" s="53"/>
      <c r="GWQ1379" s="53"/>
      <c r="GWR1379" s="53"/>
      <c r="GWS1379" s="53"/>
      <c r="GWT1379" s="53"/>
      <c r="GWU1379" s="53"/>
      <c r="GWV1379" s="53"/>
      <c r="GWW1379" s="53"/>
      <c r="GWX1379" s="53"/>
      <c r="GWY1379" s="53"/>
      <c r="GWZ1379" s="53"/>
      <c r="GXA1379" s="53"/>
      <c r="GXB1379" s="53"/>
      <c r="GXC1379" s="53"/>
      <c r="GXD1379" s="53"/>
      <c r="GXE1379" s="53"/>
      <c r="GXF1379" s="53"/>
      <c r="GXG1379" s="53"/>
      <c r="GXH1379" s="53"/>
      <c r="GXI1379" s="53"/>
      <c r="GXJ1379" s="53"/>
      <c r="GXK1379" s="53"/>
      <c r="GXL1379" s="53"/>
      <c r="GXM1379" s="53"/>
      <c r="GXN1379" s="53"/>
      <c r="GXO1379" s="53"/>
      <c r="GXP1379" s="53"/>
      <c r="GXQ1379" s="53"/>
      <c r="GXR1379" s="53"/>
      <c r="GXS1379" s="53"/>
      <c r="GXT1379" s="53"/>
      <c r="GXU1379" s="53"/>
      <c r="GXV1379" s="53"/>
      <c r="GXW1379" s="53"/>
      <c r="GXX1379" s="53"/>
      <c r="GXY1379" s="53"/>
      <c r="GXZ1379" s="53"/>
      <c r="GYA1379" s="53"/>
      <c r="GYB1379" s="53"/>
      <c r="GYC1379" s="53"/>
      <c r="GYD1379" s="53"/>
      <c r="GYE1379" s="53"/>
      <c r="GYF1379" s="53"/>
      <c r="GYG1379" s="53"/>
      <c r="GYH1379" s="53"/>
      <c r="GYI1379" s="53"/>
      <c r="GYJ1379" s="53"/>
      <c r="GYK1379" s="53"/>
      <c r="GYL1379" s="53"/>
      <c r="GYM1379" s="53"/>
      <c r="GYN1379" s="53"/>
      <c r="GYO1379" s="53"/>
      <c r="GYP1379" s="53"/>
      <c r="GYQ1379" s="53"/>
      <c r="GYR1379" s="53"/>
      <c r="GYS1379" s="53"/>
      <c r="GYT1379" s="53"/>
      <c r="GYU1379" s="53"/>
      <c r="GYV1379" s="53"/>
      <c r="GYW1379" s="53"/>
      <c r="GYX1379" s="53"/>
      <c r="GYY1379" s="53"/>
      <c r="GYZ1379" s="53"/>
      <c r="GZA1379" s="53"/>
      <c r="GZB1379" s="53"/>
      <c r="GZC1379" s="53"/>
      <c r="GZD1379" s="53"/>
      <c r="GZE1379" s="53"/>
      <c r="GZF1379" s="53"/>
      <c r="GZG1379" s="53"/>
      <c r="GZH1379" s="53"/>
      <c r="GZI1379" s="53"/>
      <c r="GZJ1379" s="53"/>
      <c r="GZK1379" s="53"/>
      <c r="GZL1379" s="53"/>
      <c r="GZM1379" s="53"/>
      <c r="GZN1379" s="53"/>
      <c r="GZO1379" s="53"/>
      <c r="GZP1379" s="53"/>
      <c r="GZQ1379" s="53"/>
      <c r="GZR1379" s="53"/>
      <c r="GZS1379" s="53"/>
      <c r="GZT1379" s="53"/>
      <c r="GZU1379" s="53"/>
      <c r="GZV1379" s="53"/>
      <c r="GZW1379" s="53"/>
      <c r="GZX1379" s="53"/>
      <c r="GZY1379" s="53"/>
      <c r="GZZ1379" s="53"/>
      <c r="HAA1379" s="53"/>
      <c r="HAB1379" s="53"/>
      <c r="HAC1379" s="53"/>
      <c r="HAD1379" s="53"/>
      <c r="HAE1379" s="53"/>
      <c r="HAF1379" s="53"/>
      <c r="HAG1379" s="53"/>
      <c r="HAH1379" s="53"/>
      <c r="HAI1379" s="53"/>
      <c r="HAJ1379" s="53"/>
      <c r="HAK1379" s="53"/>
      <c r="HAL1379" s="53"/>
      <c r="HAM1379" s="53"/>
      <c r="HAN1379" s="53"/>
      <c r="HAO1379" s="53"/>
      <c r="HAP1379" s="53"/>
      <c r="HAQ1379" s="53"/>
      <c r="HAR1379" s="53"/>
      <c r="HAS1379" s="53"/>
      <c r="HAT1379" s="53"/>
      <c r="HAU1379" s="53"/>
      <c r="HAV1379" s="53"/>
      <c r="HAW1379" s="53"/>
      <c r="HAX1379" s="53"/>
      <c r="HAY1379" s="53"/>
      <c r="HAZ1379" s="53"/>
      <c r="HBA1379" s="53"/>
      <c r="HBB1379" s="53"/>
      <c r="HBC1379" s="53"/>
      <c r="HBD1379" s="53"/>
      <c r="HBE1379" s="53"/>
      <c r="HBF1379" s="53"/>
      <c r="HBG1379" s="53"/>
      <c r="HBH1379" s="53"/>
      <c r="HBI1379" s="53"/>
      <c r="HBJ1379" s="53"/>
      <c r="HBK1379" s="53"/>
      <c r="HBL1379" s="53"/>
      <c r="HBM1379" s="53"/>
      <c r="HBN1379" s="53"/>
      <c r="HBO1379" s="53"/>
      <c r="HBP1379" s="53"/>
      <c r="HBQ1379" s="53"/>
      <c r="HBR1379" s="53"/>
      <c r="HBS1379" s="53"/>
      <c r="HBT1379" s="53"/>
      <c r="HBU1379" s="53"/>
      <c r="HBV1379" s="53"/>
      <c r="HBW1379" s="53"/>
      <c r="HBX1379" s="53"/>
      <c r="HBY1379" s="53"/>
      <c r="HBZ1379" s="53"/>
      <c r="HCA1379" s="53"/>
      <c r="HCB1379" s="53"/>
      <c r="HCC1379" s="53"/>
      <c r="HCD1379" s="53"/>
      <c r="HCE1379" s="53"/>
      <c r="HCF1379" s="53"/>
      <c r="HCG1379" s="53"/>
      <c r="HCH1379" s="53"/>
      <c r="HCI1379" s="53"/>
      <c r="HCJ1379" s="53"/>
      <c r="HCK1379" s="53"/>
      <c r="HCL1379" s="53"/>
      <c r="HCM1379" s="53"/>
      <c r="HCN1379" s="53"/>
      <c r="HCO1379" s="53"/>
      <c r="HCP1379" s="53"/>
      <c r="HCQ1379" s="53"/>
      <c r="HCR1379" s="53"/>
      <c r="HCS1379" s="53"/>
      <c r="HCT1379" s="53"/>
      <c r="HCU1379" s="53"/>
      <c r="HCV1379" s="53"/>
      <c r="HCW1379" s="53"/>
      <c r="HCX1379" s="53"/>
      <c r="HCY1379" s="53"/>
      <c r="HCZ1379" s="53"/>
      <c r="HDA1379" s="53"/>
      <c r="HDB1379" s="53"/>
      <c r="HDC1379" s="53"/>
      <c r="HDD1379" s="53"/>
      <c r="HDE1379" s="53"/>
      <c r="HDF1379" s="53"/>
      <c r="HDG1379" s="53"/>
      <c r="HDH1379" s="53"/>
      <c r="HDI1379" s="53"/>
      <c r="HDJ1379" s="53"/>
      <c r="HDK1379" s="53"/>
      <c r="HDL1379" s="53"/>
      <c r="HDM1379" s="53"/>
      <c r="HDN1379" s="53"/>
      <c r="HDO1379" s="53"/>
      <c r="HDP1379" s="53"/>
      <c r="HDQ1379" s="53"/>
      <c r="HDR1379" s="53"/>
      <c r="HDS1379" s="53"/>
      <c r="HDT1379" s="53"/>
      <c r="HDU1379" s="53"/>
      <c r="HDV1379" s="53"/>
      <c r="HDW1379" s="53"/>
      <c r="HDX1379" s="53"/>
      <c r="HDY1379" s="53"/>
      <c r="HDZ1379" s="53"/>
      <c r="HEA1379" s="53"/>
      <c r="HEB1379" s="53"/>
      <c r="HEC1379" s="53"/>
      <c r="HED1379" s="53"/>
      <c r="HEE1379" s="53"/>
      <c r="HEF1379" s="53"/>
      <c r="HEG1379" s="53"/>
      <c r="HEH1379" s="53"/>
      <c r="HEI1379" s="53"/>
      <c r="HEJ1379" s="53"/>
      <c r="HEK1379" s="53"/>
      <c r="HEL1379" s="53"/>
      <c r="HEM1379" s="53"/>
      <c r="HEN1379" s="53"/>
      <c r="HEO1379" s="53"/>
      <c r="HEP1379" s="53"/>
      <c r="HEQ1379" s="53"/>
      <c r="HER1379" s="53"/>
      <c r="HES1379" s="53"/>
      <c r="HET1379" s="53"/>
      <c r="HEU1379" s="53"/>
      <c r="HEV1379" s="53"/>
      <c r="HEW1379" s="53"/>
      <c r="HEX1379" s="53"/>
      <c r="HEY1379" s="53"/>
      <c r="HEZ1379" s="53"/>
      <c r="HFA1379" s="53"/>
      <c r="HFB1379" s="53"/>
      <c r="HFC1379" s="53"/>
      <c r="HFD1379" s="53"/>
      <c r="HFE1379" s="53"/>
      <c r="HFF1379" s="53"/>
      <c r="HFG1379" s="53"/>
      <c r="HFH1379" s="53"/>
      <c r="HFI1379" s="53"/>
      <c r="HFJ1379" s="53"/>
      <c r="HFK1379" s="53"/>
      <c r="HFL1379" s="53"/>
      <c r="HFM1379" s="53"/>
      <c r="HFN1379" s="53"/>
      <c r="HFO1379" s="53"/>
      <c r="HFP1379" s="53"/>
      <c r="HFQ1379" s="53"/>
      <c r="HFR1379" s="53"/>
      <c r="HFS1379" s="53"/>
      <c r="HFT1379" s="53"/>
      <c r="HFU1379" s="53"/>
      <c r="HFV1379" s="53"/>
      <c r="HFW1379" s="53"/>
      <c r="HFX1379" s="53"/>
      <c r="HFY1379" s="53"/>
      <c r="HFZ1379" s="53"/>
      <c r="HGA1379" s="53"/>
      <c r="HGB1379" s="53"/>
      <c r="HGC1379" s="53"/>
      <c r="HGD1379" s="53"/>
      <c r="HGE1379" s="53"/>
      <c r="HGF1379" s="53"/>
      <c r="HGG1379" s="53"/>
      <c r="HGH1379" s="53"/>
      <c r="HGI1379" s="53"/>
      <c r="HGJ1379" s="53"/>
      <c r="HGK1379" s="53"/>
      <c r="HGL1379" s="53"/>
      <c r="HGM1379" s="53"/>
      <c r="HGN1379" s="53"/>
      <c r="HGO1379" s="53"/>
      <c r="HGP1379" s="53"/>
      <c r="HGQ1379" s="53"/>
      <c r="HGR1379" s="53"/>
      <c r="HGS1379" s="53"/>
      <c r="HGT1379" s="53"/>
      <c r="HGU1379" s="53"/>
      <c r="HGV1379" s="53"/>
      <c r="HGW1379" s="53"/>
      <c r="HGX1379" s="53"/>
      <c r="HGY1379" s="53"/>
      <c r="HGZ1379" s="53"/>
      <c r="HHA1379" s="53"/>
      <c r="HHB1379" s="53"/>
      <c r="HHC1379" s="53"/>
      <c r="HHD1379" s="53"/>
      <c r="HHE1379" s="53"/>
      <c r="HHF1379" s="53"/>
      <c r="HHG1379" s="53"/>
      <c r="HHH1379" s="53"/>
      <c r="HHI1379" s="53"/>
      <c r="HHJ1379" s="53"/>
      <c r="HHK1379" s="53"/>
      <c r="HHL1379" s="53"/>
      <c r="HHM1379" s="53"/>
      <c r="HHN1379" s="53"/>
      <c r="HHO1379" s="53"/>
      <c r="HHP1379" s="53"/>
      <c r="HHQ1379" s="53"/>
      <c r="HHR1379" s="53"/>
      <c r="HHS1379" s="53"/>
      <c r="HHT1379" s="53"/>
      <c r="HHU1379" s="53"/>
      <c r="HHV1379" s="53"/>
      <c r="HHW1379" s="53"/>
      <c r="HHX1379" s="53"/>
      <c r="HHY1379" s="53"/>
      <c r="HHZ1379" s="53"/>
      <c r="HIA1379" s="53"/>
      <c r="HIB1379" s="53"/>
      <c r="HIC1379" s="53"/>
      <c r="HID1379" s="53"/>
      <c r="HIE1379" s="53"/>
      <c r="HIF1379" s="53"/>
      <c r="HIG1379" s="53"/>
      <c r="HIH1379" s="53"/>
      <c r="HII1379" s="53"/>
      <c r="HIJ1379" s="53"/>
      <c r="HIK1379" s="53"/>
      <c r="HIL1379" s="53"/>
      <c r="HIM1379" s="53"/>
      <c r="HIN1379" s="53"/>
      <c r="HIO1379" s="53"/>
      <c r="HIP1379" s="53"/>
      <c r="HIQ1379" s="53"/>
      <c r="HIR1379" s="53"/>
      <c r="HIS1379" s="53"/>
      <c r="HIT1379" s="53"/>
      <c r="HIU1379" s="53"/>
      <c r="HIV1379" s="53"/>
      <c r="HIW1379" s="53"/>
      <c r="HIX1379" s="53"/>
      <c r="HIY1379" s="53"/>
      <c r="HIZ1379" s="53"/>
      <c r="HJA1379" s="53"/>
      <c r="HJB1379" s="53"/>
      <c r="HJC1379" s="53"/>
      <c r="HJD1379" s="53"/>
      <c r="HJE1379" s="53"/>
      <c r="HJF1379" s="53"/>
      <c r="HJG1379" s="53"/>
      <c r="HJH1379" s="53"/>
      <c r="HJI1379" s="53"/>
      <c r="HJJ1379" s="53"/>
      <c r="HJK1379" s="53"/>
      <c r="HJL1379" s="53"/>
      <c r="HJM1379" s="53"/>
      <c r="HJN1379" s="53"/>
      <c r="HJO1379" s="53"/>
      <c r="HJP1379" s="53"/>
      <c r="HJQ1379" s="53"/>
      <c r="HJR1379" s="53"/>
      <c r="HJS1379" s="53"/>
      <c r="HJT1379" s="53"/>
      <c r="HJU1379" s="53"/>
      <c r="HJV1379" s="53"/>
      <c r="HJW1379" s="53"/>
      <c r="HJX1379" s="53"/>
      <c r="HJY1379" s="53"/>
      <c r="HJZ1379" s="53"/>
      <c r="HKA1379" s="53"/>
      <c r="HKB1379" s="53"/>
      <c r="HKC1379" s="53"/>
      <c r="HKD1379" s="53"/>
      <c r="HKE1379" s="53"/>
      <c r="HKF1379" s="53"/>
      <c r="HKG1379" s="53"/>
      <c r="HKH1379" s="53"/>
      <c r="HKI1379" s="53"/>
      <c r="HKJ1379" s="53"/>
      <c r="HKK1379" s="53"/>
      <c r="HKL1379" s="53"/>
      <c r="HKM1379" s="53"/>
      <c r="HKN1379" s="53"/>
      <c r="HKO1379" s="53"/>
      <c r="HKP1379" s="53"/>
      <c r="HKQ1379" s="53"/>
      <c r="HKR1379" s="53"/>
      <c r="HKS1379" s="53"/>
      <c r="HKT1379" s="53"/>
      <c r="HKU1379" s="53"/>
      <c r="HKV1379" s="53"/>
      <c r="HKW1379" s="53"/>
      <c r="HKX1379" s="53"/>
      <c r="HKY1379" s="53"/>
      <c r="HKZ1379" s="53"/>
      <c r="HLA1379" s="53"/>
      <c r="HLB1379" s="53"/>
      <c r="HLC1379" s="53"/>
      <c r="HLD1379" s="53"/>
      <c r="HLE1379" s="53"/>
      <c r="HLF1379" s="53"/>
      <c r="HLG1379" s="53"/>
      <c r="HLH1379" s="53"/>
      <c r="HLI1379" s="53"/>
      <c r="HLJ1379" s="53"/>
      <c r="HLK1379" s="53"/>
      <c r="HLL1379" s="53"/>
      <c r="HLM1379" s="53"/>
      <c r="HLN1379" s="53"/>
      <c r="HLO1379" s="53"/>
      <c r="HLP1379" s="53"/>
      <c r="HLQ1379" s="53"/>
      <c r="HLR1379" s="53"/>
      <c r="HLS1379" s="53"/>
      <c r="HLT1379" s="53"/>
      <c r="HLU1379" s="53"/>
      <c r="HLV1379" s="53"/>
      <c r="HLW1379" s="53"/>
      <c r="HLX1379" s="53"/>
      <c r="HLY1379" s="53"/>
      <c r="HLZ1379" s="53"/>
      <c r="HMA1379" s="53"/>
      <c r="HMB1379" s="53"/>
      <c r="HMC1379" s="53"/>
      <c r="HMD1379" s="53"/>
      <c r="HME1379" s="53"/>
      <c r="HMF1379" s="53"/>
      <c r="HMG1379" s="53"/>
      <c r="HMH1379" s="53"/>
      <c r="HMI1379" s="53"/>
      <c r="HMJ1379" s="53"/>
      <c r="HMK1379" s="53"/>
      <c r="HML1379" s="53"/>
      <c r="HMM1379" s="53"/>
      <c r="HMN1379" s="53"/>
      <c r="HMO1379" s="53"/>
      <c r="HMP1379" s="53"/>
      <c r="HMQ1379" s="53"/>
      <c r="HMR1379" s="53"/>
      <c r="HMS1379" s="53"/>
      <c r="HMT1379" s="53"/>
      <c r="HMU1379" s="53"/>
      <c r="HMV1379" s="53"/>
      <c r="HMW1379" s="53"/>
      <c r="HMX1379" s="53"/>
      <c r="HMY1379" s="53"/>
      <c r="HMZ1379" s="53"/>
      <c r="HNA1379" s="53"/>
      <c r="HNB1379" s="53"/>
      <c r="HNC1379" s="53"/>
      <c r="HND1379" s="53"/>
      <c r="HNE1379" s="53"/>
      <c r="HNF1379" s="53"/>
      <c r="HNG1379" s="53"/>
      <c r="HNH1379" s="53"/>
      <c r="HNI1379" s="53"/>
      <c r="HNJ1379" s="53"/>
      <c r="HNK1379" s="53"/>
      <c r="HNL1379" s="53"/>
      <c r="HNM1379" s="53"/>
      <c r="HNN1379" s="53"/>
      <c r="HNO1379" s="53"/>
      <c r="HNP1379" s="53"/>
      <c r="HNQ1379" s="53"/>
      <c r="HNR1379" s="53"/>
      <c r="HNS1379" s="53"/>
      <c r="HNT1379" s="53"/>
      <c r="HNU1379" s="53"/>
      <c r="HNV1379" s="53"/>
      <c r="HNW1379" s="53"/>
      <c r="HNX1379" s="53"/>
      <c r="HNY1379" s="53"/>
      <c r="HNZ1379" s="53"/>
      <c r="HOA1379" s="53"/>
      <c r="HOB1379" s="53"/>
      <c r="HOC1379" s="53"/>
      <c r="HOD1379" s="53"/>
      <c r="HOE1379" s="53"/>
      <c r="HOF1379" s="53"/>
      <c r="HOG1379" s="53"/>
      <c r="HOH1379" s="53"/>
      <c r="HOI1379" s="53"/>
      <c r="HOJ1379" s="53"/>
      <c r="HOK1379" s="53"/>
      <c r="HOL1379" s="53"/>
      <c r="HOM1379" s="53"/>
      <c r="HON1379" s="53"/>
      <c r="HOO1379" s="53"/>
      <c r="HOP1379" s="53"/>
      <c r="HOQ1379" s="53"/>
      <c r="HOR1379" s="53"/>
      <c r="HOS1379" s="53"/>
      <c r="HOT1379" s="53"/>
      <c r="HOU1379" s="53"/>
      <c r="HOV1379" s="53"/>
      <c r="HOW1379" s="53"/>
      <c r="HOX1379" s="53"/>
      <c r="HOY1379" s="53"/>
      <c r="HOZ1379" s="53"/>
      <c r="HPA1379" s="53"/>
      <c r="HPB1379" s="53"/>
      <c r="HPC1379" s="53"/>
      <c r="HPD1379" s="53"/>
      <c r="HPE1379" s="53"/>
      <c r="HPF1379" s="53"/>
      <c r="HPG1379" s="53"/>
      <c r="HPH1379" s="53"/>
      <c r="HPI1379" s="53"/>
      <c r="HPJ1379" s="53"/>
      <c r="HPK1379" s="53"/>
      <c r="HPL1379" s="53"/>
      <c r="HPM1379" s="53"/>
      <c r="HPN1379" s="53"/>
      <c r="HPO1379" s="53"/>
      <c r="HPP1379" s="53"/>
      <c r="HPQ1379" s="53"/>
      <c r="HPR1379" s="53"/>
      <c r="HPS1379" s="53"/>
      <c r="HPT1379" s="53"/>
      <c r="HPU1379" s="53"/>
      <c r="HPV1379" s="53"/>
      <c r="HPW1379" s="53"/>
      <c r="HPX1379" s="53"/>
      <c r="HPY1379" s="53"/>
      <c r="HPZ1379" s="53"/>
      <c r="HQA1379" s="53"/>
      <c r="HQB1379" s="53"/>
      <c r="HQC1379" s="53"/>
      <c r="HQD1379" s="53"/>
      <c r="HQE1379" s="53"/>
      <c r="HQF1379" s="53"/>
      <c r="HQG1379" s="53"/>
      <c r="HQH1379" s="53"/>
      <c r="HQI1379" s="53"/>
      <c r="HQJ1379" s="53"/>
      <c r="HQK1379" s="53"/>
      <c r="HQL1379" s="53"/>
      <c r="HQM1379" s="53"/>
      <c r="HQN1379" s="53"/>
      <c r="HQO1379" s="53"/>
      <c r="HQP1379" s="53"/>
      <c r="HQQ1379" s="53"/>
      <c r="HQR1379" s="53"/>
      <c r="HQS1379" s="53"/>
      <c r="HQT1379" s="53"/>
      <c r="HQU1379" s="53"/>
      <c r="HQV1379" s="53"/>
      <c r="HQW1379" s="53"/>
      <c r="HQX1379" s="53"/>
      <c r="HQY1379" s="53"/>
      <c r="HQZ1379" s="53"/>
      <c r="HRA1379" s="53"/>
      <c r="HRB1379" s="53"/>
      <c r="HRC1379" s="53"/>
      <c r="HRD1379" s="53"/>
      <c r="HRE1379" s="53"/>
      <c r="HRF1379" s="53"/>
      <c r="HRG1379" s="53"/>
      <c r="HRH1379" s="53"/>
      <c r="HRI1379" s="53"/>
      <c r="HRJ1379" s="53"/>
      <c r="HRK1379" s="53"/>
      <c r="HRL1379" s="53"/>
      <c r="HRM1379" s="53"/>
      <c r="HRN1379" s="53"/>
      <c r="HRO1379" s="53"/>
      <c r="HRP1379" s="53"/>
      <c r="HRQ1379" s="53"/>
      <c r="HRR1379" s="53"/>
      <c r="HRS1379" s="53"/>
      <c r="HRT1379" s="53"/>
      <c r="HRU1379" s="53"/>
      <c r="HRV1379" s="53"/>
      <c r="HRW1379" s="53"/>
      <c r="HRX1379" s="53"/>
      <c r="HRY1379" s="53"/>
      <c r="HRZ1379" s="53"/>
      <c r="HSA1379" s="53"/>
      <c r="HSB1379" s="53"/>
      <c r="HSC1379" s="53"/>
      <c r="HSD1379" s="53"/>
      <c r="HSE1379" s="53"/>
      <c r="HSF1379" s="53"/>
      <c r="HSG1379" s="53"/>
      <c r="HSH1379" s="53"/>
      <c r="HSI1379" s="53"/>
      <c r="HSJ1379" s="53"/>
      <c r="HSK1379" s="53"/>
      <c r="HSL1379" s="53"/>
      <c r="HSM1379" s="53"/>
      <c r="HSN1379" s="53"/>
      <c r="HSO1379" s="53"/>
      <c r="HSP1379" s="53"/>
      <c r="HSQ1379" s="53"/>
      <c r="HSR1379" s="53"/>
      <c r="HSS1379" s="53"/>
      <c r="HST1379" s="53"/>
      <c r="HSU1379" s="53"/>
      <c r="HSV1379" s="53"/>
      <c r="HSW1379" s="53"/>
      <c r="HSX1379" s="53"/>
      <c r="HSY1379" s="53"/>
      <c r="HSZ1379" s="53"/>
      <c r="HTA1379" s="53"/>
      <c r="HTB1379" s="53"/>
      <c r="HTC1379" s="53"/>
      <c r="HTD1379" s="53"/>
      <c r="HTE1379" s="53"/>
      <c r="HTF1379" s="53"/>
      <c r="HTG1379" s="53"/>
      <c r="HTH1379" s="53"/>
      <c r="HTI1379" s="53"/>
      <c r="HTJ1379" s="53"/>
      <c r="HTK1379" s="53"/>
      <c r="HTL1379" s="53"/>
      <c r="HTM1379" s="53"/>
      <c r="HTN1379" s="53"/>
      <c r="HTO1379" s="53"/>
      <c r="HTP1379" s="53"/>
      <c r="HTQ1379" s="53"/>
      <c r="HTR1379" s="53"/>
      <c r="HTS1379" s="53"/>
      <c r="HTT1379" s="53"/>
      <c r="HTU1379" s="53"/>
      <c r="HTV1379" s="53"/>
      <c r="HTW1379" s="53"/>
      <c r="HTX1379" s="53"/>
      <c r="HTY1379" s="53"/>
      <c r="HTZ1379" s="53"/>
      <c r="HUA1379" s="53"/>
      <c r="HUB1379" s="53"/>
      <c r="HUC1379" s="53"/>
      <c r="HUD1379" s="53"/>
      <c r="HUE1379" s="53"/>
      <c r="HUF1379" s="53"/>
      <c r="HUG1379" s="53"/>
      <c r="HUH1379" s="53"/>
      <c r="HUI1379" s="53"/>
      <c r="HUJ1379" s="53"/>
      <c r="HUK1379" s="53"/>
      <c r="HUL1379" s="53"/>
      <c r="HUM1379" s="53"/>
      <c r="HUN1379" s="53"/>
      <c r="HUO1379" s="53"/>
      <c r="HUP1379" s="53"/>
      <c r="HUQ1379" s="53"/>
      <c r="HUR1379" s="53"/>
      <c r="HUS1379" s="53"/>
      <c r="HUT1379" s="53"/>
      <c r="HUU1379" s="53"/>
      <c r="HUV1379" s="53"/>
      <c r="HUW1379" s="53"/>
      <c r="HUX1379" s="53"/>
      <c r="HUY1379" s="53"/>
      <c r="HUZ1379" s="53"/>
      <c r="HVA1379" s="53"/>
      <c r="HVB1379" s="53"/>
      <c r="HVC1379" s="53"/>
      <c r="HVD1379" s="53"/>
      <c r="HVE1379" s="53"/>
      <c r="HVF1379" s="53"/>
      <c r="HVG1379" s="53"/>
      <c r="HVH1379" s="53"/>
      <c r="HVI1379" s="53"/>
      <c r="HVJ1379" s="53"/>
      <c r="HVK1379" s="53"/>
      <c r="HVL1379" s="53"/>
      <c r="HVM1379" s="53"/>
      <c r="HVN1379" s="53"/>
      <c r="HVO1379" s="53"/>
      <c r="HVP1379" s="53"/>
      <c r="HVQ1379" s="53"/>
      <c r="HVR1379" s="53"/>
      <c r="HVS1379" s="53"/>
      <c r="HVT1379" s="53"/>
      <c r="HVU1379" s="53"/>
      <c r="HVV1379" s="53"/>
      <c r="HVW1379" s="53"/>
      <c r="HVX1379" s="53"/>
      <c r="HVY1379" s="53"/>
      <c r="HVZ1379" s="53"/>
      <c r="HWA1379" s="53"/>
      <c r="HWB1379" s="53"/>
      <c r="HWC1379" s="53"/>
      <c r="HWD1379" s="53"/>
      <c r="HWE1379" s="53"/>
      <c r="HWF1379" s="53"/>
      <c r="HWG1379" s="53"/>
      <c r="HWH1379" s="53"/>
      <c r="HWI1379" s="53"/>
      <c r="HWJ1379" s="53"/>
      <c r="HWK1379" s="53"/>
      <c r="HWL1379" s="53"/>
      <c r="HWM1379" s="53"/>
      <c r="HWN1379" s="53"/>
      <c r="HWO1379" s="53"/>
      <c r="HWP1379" s="53"/>
      <c r="HWQ1379" s="53"/>
      <c r="HWR1379" s="53"/>
      <c r="HWS1379" s="53"/>
      <c r="HWT1379" s="53"/>
      <c r="HWU1379" s="53"/>
      <c r="HWV1379" s="53"/>
      <c r="HWW1379" s="53"/>
      <c r="HWX1379" s="53"/>
      <c r="HWY1379" s="53"/>
      <c r="HWZ1379" s="53"/>
      <c r="HXA1379" s="53"/>
      <c r="HXB1379" s="53"/>
      <c r="HXC1379" s="53"/>
      <c r="HXD1379" s="53"/>
      <c r="HXE1379" s="53"/>
      <c r="HXF1379" s="53"/>
      <c r="HXG1379" s="53"/>
      <c r="HXH1379" s="53"/>
      <c r="HXI1379" s="53"/>
      <c r="HXJ1379" s="53"/>
      <c r="HXK1379" s="53"/>
      <c r="HXL1379" s="53"/>
      <c r="HXM1379" s="53"/>
      <c r="HXN1379" s="53"/>
      <c r="HXO1379" s="53"/>
      <c r="HXP1379" s="53"/>
      <c r="HXQ1379" s="53"/>
      <c r="HXR1379" s="53"/>
      <c r="HXS1379" s="53"/>
      <c r="HXT1379" s="53"/>
      <c r="HXU1379" s="53"/>
      <c r="HXV1379" s="53"/>
      <c r="HXW1379" s="53"/>
      <c r="HXX1379" s="53"/>
      <c r="HXY1379" s="53"/>
      <c r="HXZ1379" s="53"/>
      <c r="HYA1379" s="53"/>
      <c r="HYB1379" s="53"/>
      <c r="HYC1379" s="53"/>
      <c r="HYD1379" s="53"/>
      <c r="HYE1379" s="53"/>
      <c r="HYF1379" s="53"/>
      <c r="HYG1379" s="53"/>
      <c r="HYH1379" s="53"/>
      <c r="HYI1379" s="53"/>
      <c r="HYJ1379" s="53"/>
      <c r="HYK1379" s="53"/>
      <c r="HYL1379" s="53"/>
      <c r="HYM1379" s="53"/>
      <c r="HYN1379" s="53"/>
      <c r="HYO1379" s="53"/>
      <c r="HYP1379" s="53"/>
      <c r="HYQ1379" s="53"/>
      <c r="HYR1379" s="53"/>
      <c r="HYS1379" s="53"/>
      <c r="HYT1379" s="53"/>
      <c r="HYU1379" s="53"/>
      <c r="HYV1379" s="53"/>
      <c r="HYW1379" s="53"/>
      <c r="HYX1379" s="53"/>
      <c r="HYY1379" s="53"/>
      <c r="HYZ1379" s="53"/>
      <c r="HZA1379" s="53"/>
      <c r="HZB1379" s="53"/>
      <c r="HZC1379" s="53"/>
      <c r="HZD1379" s="53"/>
      <c r="HZE1379" s="53"/>
      <c r="HZF1379" s="53"/>
      <c r="HZG1379" s="53"/>
      <c r="HZH1379" s="53"/>
      <c r="HZI1379" s="53"/>
      <c r="HZJ1379" s="53"/>
      <c r="HZK1379" s="53"/>
      <c r="HZL1379" s="53"/>
      <c r="HZM1379" s="53"/>
      <c r="HZN1379" s="53"/>
      <c r="HZO1379" s="53"/>
      <c r="HZP1379" s="53"/>
      <c r="HZQ1379" s="53"/>
      <c r="HZR1379" s="53"/>
      <c r="HZS1379" s="53"/>
      <c r="HZT1379" s="53"/>
      <c r="HZU1379" s="53"/>
      <c r="HZV1379" s="53"/>
      <c r="HZW1379" s="53"/>
      <c r="HZX1379" s="53"/>
      <c r="HZY1379" s="53"/>
      <c r="HZZ1379" s="53"/>
      <c r="IAA1379" s="53"/>
      <c r="IAB1379" s="53"/>
      <c r="IAC1379" s="53"/>
      <c r="IAD1379" s="53"/>
      <c r="IAE1379" s="53"/>
      <c r="IAF1379" s="53"/>
      <c r="IAG1379" s="53"/>
      <c r="IAH1379" s="53"/>
      <c r="IAI1379" s="53"/>
      <c r="IAJ1379" s="53"/>
      <c r="IAK1379" s="53"/>
      <c r="IAL1379" s="53"/>
      <c r="IAM1379" s="53"/>
      <c r="IAN1379" s="53"/>
      <c r="IAO1379" s="53"/>
      <c r="IAP1379" s="53"/>
      <c r="IAQ1379" s="53"/>
      <c r="IAR1379" s="53"/>
      <c r="IAS1379" s="53"/>
      <c r="IAT1379" s="53"/>
      <c r="IAU1379" s="53"/>
      <c r="IAV1379" s="53"/>
      <c r="IAW1379" s="53"/>
      <c r="IAX1379" s="53"/>
      <c r="IAY1379" s="53"/>
      <c r="IAZ1379" s="53"/>
      <c r="IBA1379" s="53"/>
      <c r="IBB1379" s="53"/>
      <c r="IBC1379" s="53"/>
      <c r="IBD1379" s="53"/>
      <c r="IBE1379" s="53"/>
      <c r="IBF1379" s="53"/>
      <c r="IBG1379" s="53"/>
      <c r="IBH1379" s="53"/>
      <c r="IBI1379" s="53"/>
      <c r="IBJ1379" s="53"/>
      <c r="IBK1379" s="53"/>
      <c r="IBL1379" s="53"/>
      <c r="IBM1379" s="53"/>
      <c r="IBN1379" s="53"/>
      <c r="IBO1379" s="53"/>
      <c r="IBP1379" s="53"/>
      <c r="IBQ1379" s="53"/>
      <c r="IBR1379" s="53"/>
      <c r="IBS1379" s="53"/>
      <c r="IBT1379" s="53"/>
      <c r="IBU1379" s="53"/>
      <c r="IBV1379" s="53"/>
      <c r="IBW1379" s="53"/>
      <c r="IBX1379" s="53"/>
      <c r="IBY1379" s="53"/>
      <c r="IBZ1379" s="53"/>
      <c r="ICA1379" s="53"/>
      <c r="ICB1379" s="53"/>
      <c r="ICC1379" s="53"/>
      <c r="ICD1379" s="53"/>
      <c r="ICE1379" s="53"/>
      <c r="ICF1379" s="53"/>
      <c r="ICG1379" s="53"/>
      <c r="ICH1379" s="53"/>
      <c r="ICI1379" s="53"/>
      <c r="ICJ1379" s="53"/>
      <c r="ICK1379" s="53"/>
      <c r="ICL1379" s="53"/>
      <c r="ICM1379" s="53"/>
      <c r="ICN1379" s="53"/>
      <c r="ICO1379" s="53"/>
      <c r="ICP1379" s="53"/>
      <c r="ICQ1379" s="53"/>
      <c r="ICR1379" s="53"/>
      <c r="ICS1379" s="53"/>
      <c r="ICT1379" s="53"/>
      <c r="ICU1379" s="53"/>
      <c r="ICV1379" s="53"/>
      <c r="ICW1379" s="53"/>
      <c r="ICX1379" s="53"/>
      <c r="ICY1379" s="53"/>
      <c r="ICZ1379" s="53"/>
      <c r="IDA1379" s="53"/>
      <c r="IDB1379" s="53"/>
      <c r="IDC1379" s="53"/>
      <c r="IDD1379" s="53"/>
      <c r="IDE1379" s="53"/>
      <c r="IDF1379" s="53"/>
      <c r="IDG1379" s="53"/>
      <c r="IDH1379" s="53"/>
      <c r="IDI1379" s="53"/>
      <c r="IDJ1379" s="53"/>
      <c r="IDK1379" s="53"/>
      <c r="IDL1379" s="53"/>
      <c r="IDM1379" s="53"/>
      <c r="IDN1379" s="53"/>
      <c r="IDO1379" s="53"/>
      <c r="IDP1379" s="53"/>
      <c r="IDQ1379" s="53"/>
      <c r="IDR1379" s="53"/>
      <c r="IDS1379" s="53"/>
      <c r="IDT1379" s="53"/>
      <c r="IDU1379" s="53"/>
      <c r="IDV1379" s="53"/>
      <c r="IDW1379" s="53"/>
      <c r="IDX1379" s="53"/>
      <c r="IDY1379" s="53"/>
      <c r="IDZ1379" s="53"/>
      <c r="IEA1379" s="53"/>
      <c r="IEB1379" s="53"/>
      <c r="IEC1379" s="53"/>
      <c r="IED1379" s="53"/>
      <c r="IEE1379" s="53"/>
      <c r="IEF1379" s="53"/>
      <c r="IEG1379" s="53"/>
      <c r="IEH1379" s="53"/>
      <c r="IEI1379" s="53"/>
      <c r="IEJ1379" s="53"/>
      <c r="IEK1379" s="53"/>
      <c r="IEL1379" s="53"/>
      <c r="IEM1379" s="53"/>
      <c r="IEN1379" s="53"/>
      <c r="IEO1379" s="53"/>
      <c r="IEP1379" s="53"/>
      <c r="IEQ1379" s="53"/>
      <c r="IER1379" s="53"/>
      <c r="IES1379" s="53"/>
      <c r="IET1379" s="53"/>
      <c r="IEU1379" s="53"/>
      <c r="IEV1379" s="53"/>
      <c r="IEW1379" s="53"/>
      <c r="IEX1379" s="53"/>
      <c r="IEY1379" s="53"/>
      <c r="IEZ1379" s="53"/>
      <c r="IFA1379" s="53"/>
      <c r="IFB1379" s="53"/>
      <c r="IFC1379" s="53"/>
      <c r="IFD1379" s="53"/>
      <c r="IFE1379" s="53"/>
      <c r="IFF1379" s="53"/>
      <c r="IFG1379" s="53"/>
      <c r="IFH1379" s="53"/>
      <c r="IFI1379" s="53"/>
      <c r="IFJ1379" s="53"/>
      <c r="IFK1379" s="53"/>
      <c r="IFL1379" s="53"/>
      <c r="IFM1379" s="53"/>
      <c r="IFN1379" s="53"/>
      <c r="IFO1379" s="53"/>
      <c r="IFP1379" s="53"/>
      <c r="IFQ1379" s="53"/>
      <c r="IFR1379" s="53"/>
      <c r="IFS1379" s="53"/>
      <c r="IFT1379" s="53"/>
      <c r="IFU1379" s="53"/>
      <c r="IFV1379" s="53"/>
      <c r="IFW1379" s="53"/>
      <c r="IFX1379" s="53"/>
      <c r="IFY1379" s="53"/>
      <c r="IFZ1379" s="53"/>
      <c r="IGA1379" s="53"/>
      <c r="IGB1379" s="53"/>
      <c r="IGC1379" s="53"/>
      <c r="IGD1379" s="53"/>
      <c r="IGE1379" s="53"/>
      <c r="IGF1379" s="53"/>
      <c r="IGG1379" s="53"/>
      <c r="IGH1379" s="53"/>
      <c r="IGI1379" s="53"/>
      <c r="IGJ1379" s="53"/>
      <c r="IGK1379" s="53"/>
      <c r="IGL1379" s="53"/>
      <c r="IGM1379" s="53"/>
      <c r="IGN1379" s="53"/>
      <c r="IGO1379" s="53"/>
      <c r="IGP1379" s="53"/>
      <c r="IGQ1379" s="53"/>
      <c r="IGR1379" s="53"/>
      <c r="IGS1379" s="53"/>
      <c r="IGT1379" s="53"/>
      <c r="IGU1379" s="53"/>
      <c r="IGV1379" s="53"/>
      <c r="IGW1379" s="53"/>
      <c r="IGX1379" s="53"/>
      <c r="IGY1379" s="53"/>
      <c r="IGZ1379" s="53"/>
      <c r="IHA1379" s="53"/>
      <c r="IHB1379" s="53"/>
      <c r="IHC1379" s="53"/>
      <c r="IHD1379" s="53"/>
      <c r="IHE1379" s="53"/>
      <c r="IHF1379" s="53"/>
      <c r="IHG1379" s="53"/>
      <c r="IHH1379" s="53"/>
      <c r="IHI1379" s="53"/>
      <c r="IHJ1379" s="53"/>
      <c r="IHK1379" s="53"/>
      <c r="IHL1379" s="53"/>
      <c r="IHM1379" s="53"/>
      <c r="IHN1379" s="53"/>
      <c r="IHO1379" s="53"/>
      <c r="IHP1379" s="53"/>
      <c r="IHQ1379" s="53"/>
      <c r="IHR1379" s="53"/>
      <c r="IHS1379" s="53"/>
      <c r="IHT1379" s="53"/>
      <c r="IHU1379" s="53"/>
      <c r="IHV1379" s="53"/>
      <c r="IHW1379" s="53"/>
      <c r="IHX1379" s="53"/>
      <c r="IHY1379" s="53"/>
      <c r="IHZ1379" s="53"/>
      <c r="IIA1379" s="53"/>
      <c r="IIB1379" s="53"/>
      <c r="IIC1379" s="53"/>
      <c r="IID1379" s="53"/>
      <c r="IIE1379" s="53"/>
      <c r="IIF1379" s="53"/>
      <c r="IIG1379" s="53"/>
      <c r="IIH1379" s="53"/>
      <c r="III1379" s="53"/>
      <c r="IIJ1379" s="53"/>
      <c r="IIK1379" s="53"/>
      <c r="IIL1379" s="53"/>
      <c r="IIM1379" s="53"/>
      <c r="IIN1379" s="53"/>
      <c r="IIO1379" s="53"/>
      <c r="IIP1379" s="53"/>
      <c r="IIQ1379" s="53"/>
      <c r="IIR1379" s="53"/>
      <c r="IIS1379" s="53"/>
      <c r="IIT1379" s="53"/>
      <c r="IIU1379" s="53"/>
      <c r="IIV1379" s="53"/>
      <c r="IIW1379" s="53"/>
      <c r="IIX1379" s="53"/>
      <c r="IIY1379" s="53"/>
      <c r="IIZ1379" s="53"/>
      <c r="IJA1379" s="53"/>
      <c r="IJB1379" s="53"/>
      <c r="IJC1379" s="53"/>
      <c r="IJD1379" s="53"/>
      <c r="IJE1379" s="53"/>
      <c r="IJF1379" s="53"/>
      <c r="IJG1379" s="53"/>
      <c r="IJH1379" s="53"/>
      <c r="IJI1379" s="53"/>
      <c r="IJJ1379" s="53"/>
      <c r="IJK1379" s="53"/>
      <c r="IJL1379" s="53"/>
      <c r="IJM1379" s="53"/>
      <c r="IJN1379" s="53"/>
      <c r="IJO1379" s="53"/>
      <c r="IJP1379" s="53"/>
      <c r="IJQ1379" s="53"/>
      <c r="IJR1379" s="53"/>
      <c r="IJS1379" s="53"/>
      <c r="IJT1379" s="53"/>
      <c r="IJU1379" s="53"/>
      <c r="IJV1379" s="53"/>
      <c r="IJW1379" s="53"/>
      <c r="IJX1379" s="53"/>
      <c r="IJY1379" s="53"/>
      <c r="IJZ1379" s="53"/>
      <c r="IKA1379" s="53"/>
      <c r="IKB1379" s="53"/>
      <c r="IKC1379" s="53"/>
      <c r="IKD1379" s="53"/>
      <c r="IKE1379" s="53"/>
      <c r="IKF1379" s="53"/>
      <c r="IKG1379" s="53"/>
      <c r="IKH1379" s="53"/>
      <c r="IKI1379" s="53"/>
      <c r="IKJ1379" s="53"/>
      <c r="IKK1379" s="53"/>
      <c r="IKL1379" s="53"/>
      <c r="IKM1379" s="53"/>
      <c r="IKN1379" s="53"/>
      <c r="IKO1379" s="53"/>
      <c r="IKP1379" s="53"/>
      <c r="IKQ1379" s="53"/>
      <c r="IKR1379" s="53"/>
      <c r="IKS1379" s="53"/>
      <c r="IKT1379" s="53"/>
      <c r="IKU1379" s="53"/>
      <c r="IKV1379" s="53"/>
      <c r="IKW1379" s="53"/>
      <c r="IKX1379" s="53"/>
      <c r="IKY1379" s="53"/>
      <c r="IKZ1379" s="53"/>
      <c r="ILA1379" s="53"/>
      <c r="ILB1379" s="53"/>
      <c r="ILC1379" s="53"/>
      <c r="ILD1379" s="53"/>
      <c r="ILE1379" s="53"/>
      <c r="ILF1379" s="53"/>
      <c r="ILG1379" s="53"/>
      <c r="ILH1379" s="53"/>
      <c r="ILI1379" s="53"/>
      <c r="ILJ1379" s="53"/>
      <c r="ILK1379" s="53"/>
      <c r="ILL1379" s="53"/>
      <c r="ILM1379" s="53"/>
      <c r="ILN1379" s="53"/>
      <c r="ILO1379" s="53"/>
      <c r="ILP1379" s="53"/>
      <c r="ILQ1379" s="53"/>
      <c r="ILR1379" s="53"/>
      <c r="ILS1379" s="53"/>
      <c r="ILT1379" s="53"/>
      <c r="ILU1379" s="53"/>
      <c r="ILV1379" s="53"/>
      <c r="ILW1379" s="53"/>
      <c r="ILX1379" s="53"/>
      <c r="ILY1379" s="53"/>
      <c r="ILZ1379" s="53"/>
      <c r="IMA1379" s="53"/>
      <c r="IMB1379" s="53"/>
      <c r="IMC1379" s="53"/>
      <c r="IMD1379" s="53"/>
      <c r="IME1379" s="53"/>
      <c r="IMF1379" s="53"/>
      <c r="IMG1379" s="53"/>
      <c r="IMH1379" s="53"/>
      <c r="IMI1379" s="53"/>
      <c r="IMJ1379" s="53"/>
      <c r="IMK1379" s="53"/>
      <c r="IML1379" s="53"/>
      <c r="IMM1379" s="53"/>
      <c r="IMN1379" s="53"/>
      <c r="IMO1379" s="53"/>
      <c r="IMP1379" s="53"/>
      <c r="IMQ1379" s="53"/>
      <c r="IMR1379" s="53"/>
      <c r="IMS1379" s="53"/>
      <c r="IMT1379" s="53"/>
      <c r="IMU1379" s="53"/>
      <c r="IMV1379" s="53"/>
      <c r="IMW1379" s="53"/>
      <c r="IMX1379" s="53"/>
      <c r="IMY1379" s="53"/>
      <c r="IMZ1379" s="53"/>
      <c r="INA1379" s="53"/>
      <c r="INB1379" s="53"/>
      <c r="INC1379" s="53"/>
      <c r="IND1379" s="53"/>
      <c r="INE1379" s="53"/>
      <c r="INF1379" s="53"/>
      <c r="ING1379" s="53"/>
      <c r="INH1379" s="53"/>
      <c r="INI1379" s="53"/>
      <c r="INJ1379" s="53"/>
      <c r="INK1379" s="53"/>
      <c r="INL1379" s="53"/>
      <c r="INM1379" s="53"/>
      <c r="INN1379" s="53"/>
      <c r="INO1379" s="53"/>
      <c r="INP1379" s="53"/>
      <c r="INQ1379" s="53"/>
      <c r="INR1379" s="53"/>
      <c r="INS1379" s="53"/>
      <c r="INT1379" s="53"/>
      <c r="INU1379" s="53"/>
      <c r="INV1379" s="53"/>
      <c r="INW1379" s="53"/>
      <c r="INX1379" s="53"/>
      <c r="INY1379" s="53"/>
      <c r="INZ1379" s="53"/>
      <c r="IOA1379" s="53"/>
      <c r="IOB1379" s="53"/>
      <c r="IOC1379" s="53"/>
      <c r="IOD1379" s="53"/>
      <c r="IOE1379" s="53"/>
      <c r="IOF1379" s="53"/>
      <c r="IOG1379" s="53"/>
      <c r="IOH1379" s="53"/>
      <c r="IOI1379" s="53"/>
      <c r="IOJ1379" s="53"/>
      <c r="IOK1379" s="53"/>
      <c r="IOL1379" s="53"/>
      <c r="IOM1379" s="53"/>
      <c r="ION1379" s="53"/>
      <c r="IOO1379" s="53"/>
      <c r="IOP1379" s="53"/>
      <c r="IOQ1379" s="53"/>
      <c r="IOR1379" s="53"/>
      <c r="IOS1379" s="53"/>
      <c r="IOT1379" s="53"/>
      <c r="IOU1379" s="53"/>
      <c r="IOV1379" s="53"/>
      <c r="IOW1379" s="53"/>
      <c r="IOX1379" s="53"/>
      <c r="IOY1379" s="53"/>
      <c r="IOZ1379" s="53"/>
      <c r="IPA1379" s="53"/>
      <c r="IPB1379" s="53"/>
      <c r="IPC1379" s="53"/>
      <c r="IPD1379" s="53"/>
      <c r="IPE1379" s="53"/>
      <c r="IPF1379" s="53"/>
      <c r="IPG1379" s="53"/>
      <c r="IPH1379" s="53"/>
      <c r="IPI1379" s="53"/>
      <c r="IPJ1379" s="53"/>
      <c r="IPK1379" s="53"/>
      <c r="IPL1379" s="53"/>
      <c r="IPM1379" s="53"/>
      <c r="IPN1379" s="53"/>
      <c r="IPO1379" s="53"/>
      <c r="IPP1379" s="53"/>
      <c r="IPQ1379" s="53"/>
      <c r="IPR1379" s="53"/>
      <c r="IPS1379" s="53"/>
      <c r="IPT1379" s="53"/>
      <c r="IPU1379" s="53"/>
      <c r="IPV1379" s="53"/>
      <c r="IPW1379" s="53"/>
      <c r="IPX1379" s="53"/>
      <c r="IPY1379" s="53"/>
      <c r="IPZ1379" s="53"/>
      <c r="IQA1379" s="53"/>
      <c r="IQB1379" s="53"/>
      <c r="IQC1379" s="53"/>
      <c r="IQD1379" s="53"/>
      <c r="IQE1379" s="53"/>
      <c r="IQF1379" s="53"/>
      <c r="IQG1379" s="53"/>
      <c r="IQH1379" s="53"/>
      <c r="IQI1379" s="53"/>
      <c r="IQJ1379" s="53"/>
      <c r="IQK1379" s="53"/>
      <c r="IQL1379" s="53"/>
      <c r="IQM1379" s="53"/>
      <c r="IQN1379" s="53"/>
      <c r="IQO1379" s="53"/>
      <c r="IQP1379" s="53"/>
      <c r="IQQ1379" s="53"/>
      <c r="IQR1379" s="53"/>
      <c r="IQS1379" s="53"/>
      <c r="IQT1379" s="53"/>
      <c r="IQU1379" s="53"/>
      <c r="IQV1379" s="53"/>
      <c r="IQW1379" s="53"/>
      <c r="IQX1379" s="53"/>
      <c r="IQY1379" s="53"/>
      <c r="IQZ1379" s="53"/>
      <c r="IRA1379" s="53"/>
      <c r="IRB1379" s="53"/>
      <c r="IRC1379" s="53"/>
      <c r="IRD1379" s="53"/>
      <c r="IRE1379" s="53"/>
      <c r="IRF1379" s="53"/>
      <c r="IRG1379" s="53"/>
      <c r="IRH1379" s="53"/>
      <c r="IRI1379" s="53"/>
      <c r="IRJ1379" s="53"/>
      <c r="IRK1379" s="53"/>
      <c r="IRL1379" s="53"/>
      <c r="IRM1379" s="53"/>
      <c r="IRN1379" s="53"/>
      <c r="IRO1379" s="53"/>
      <c r="IRP1379" s="53"/>
      <c r="IRQ1379" s="53"/>
      <c r="IRR1379" s="53"/>
      <c r="IRS1379" s="53"/>
      <c r="IRT1379" s="53"/>
      <c r="IRU1379" s="53"/>
      <c r="IRV1379" s="53"/>
      <c r="IRW1379" s="53"/>
      <c r="IRX1379" s="53"/>
      <c r="IRY1379" s="53"/>
      <c r="IRZ1379" s="53"/>
      <c r="ISA1379" s="53"/>
      <c r="ISB1379" s="53"/>
      <c r="ISC1379" s="53"/>
      <c r="ISD1379" s="53"/>
      <c r="ISE1379" s="53"/>
      <c r="ISF1379" s="53"/>
      <c r="ISG1379" s="53"/>
      <c r="ISH1379" s="53"/>
      <c r="ISI1379" s="53"/>
      <c r="ISJ1379" s="53"/>
      <c r="ISK1379" s="53"/>
      <c r="ISL1379" s="53"/>
      <c r="ISM1379" s="53"/>
      <c r="ISN1379" s="53"/>
      <c r="ISO1379" s="53"/>
      <c r="ISP1379" s="53"/>
      <c r="ISQ1379" s="53"/>
      <c r="ISR1379" s="53"/>
      <c r="ISS1379" s="53"/>
      <c r="IST1379" s="53"/>
      <c r="ISU1379" s="53"/>
      <c r="ISV1379" s="53"/>
      <c r="ISW1379" s="53"/>
      <c r="ISX1379" s="53"/>
      <c r="ISY1379" s="53"/>
      <c r="ISZ1379" s="53"/>
      <c r="ITA1379" s="53"/>
      <c r="ITB1379" s="53"/>
      <c r="ITC1379" s="53"/>
      <c r="ITD1379" s="53"/>
      <c r="ITE1379" s="53"/>
      <c r="ITF1379" s="53"/>
      <c r="ITG1379" s="53"/>
      <c r="ITH1379" s="53"/>
      <c r="ITI1379" s="53"/>
      <c r="ITJ1379" s="53"/>
      <c r="ITK1379" s="53"/>
      <c r="ITL1379" s="53"/>
      <c r="ITM1379" s="53"/>
      <c r="ITN1379" s="53"/>
      <c r="ITO1379" s="53"/>
      <c r="ITP1379" s="53"/>
      <c r="ITQ1379" s="53"/>
      <c r="ITR1379" s="53"/>
      <c r="ITS1379" s="53"/>
      <c r="ITT1379" s="53"/>
      <c r="ITU1379" s="53"/>
      <c r="ITV1379" s="53"/>
      <c r="ITW1379" s="53"/>
      <c r="ITX1379" s="53"/>
      <c r="ITY1379" s="53"/>
      <c r="ITZ1379" s="53"/>
      <c r="IUA1379" s="53"/>
      <c r="IUB1379" s="53"/>
      <c r="IUC1379" s="53"/>
      <c r="IUD1379" s="53"/>
      <c r="IUE1379" s="53"/>
      <c r="IUF1379" s="53"/>
      <c r="IUG1379" s="53"/>
      <c r="IUH1379" s="53"/>
      <c r="IUI1379" s="53"/>
      <c r="IUJ1379" s="53"/>
      <c r="IUK1379" s="53"/>
      <c r="IUL1379" s="53"/>
      <c r="IUM1379" s="53"/>
      <c r="IUN1379" s="53"/>
      <c r="IUO1379" s="53"/>
      <c r="IUP1379" s="53"/>
      <c r="IUQ1379" s="53"/>
      <c r="IUR1379" s="53"/>
      <c r="IUS1379" s="53"/>
      <c r="IUT1379" s="53"/>
      <c r="IUU1379" s="53"/>
      <c r="IUV1379" s="53"/>
      <c r="IUW1379" s="53"/>
      <c r="IUX1379" s="53"/>
      <c r="IUY1379" s="53"/>
      <c r="IUZ1379" s="53"/>
      <c r="IVA1379" s="53"/>
      <c r="IVB1379" s="53"/>
      <c r="IVC1379" s="53"/>
      <c r="IVD1379" s="53"/>
      <c r="IVE1379" s="53"/>
      <c r="IVF1379" s="53"/>
      <c r="IVG1379" s="53"/>
      <c r="IVH1379" s="53"/>
      <c r="IVI1379" s="53"/>
      <c r="IVJ1379" s="53"/>
      <c r="IVK1379" s="53"/>
      <c r="IVL1379" s="53"/>
      <c r="IVM1379" s="53"/>
      <c r="IVN1379" s="53"/>
      <c r="IVO1379" s="53"/>
      <c r="IVP1379" s="53"/>
      <c r="IVQ1379" s="53"/>
      <c r="IVR1379" s="53"/>
      <c r="IVS1379" s="53"/>
      <c r="IVT1379" s="53"/>
      <c r="IVU1379" s="53"/>
      <c r="IVV1379" s="53"/>
      <c r="IVW1379" s="53"/>
      <c r="IVX1379" s="53"/>
      <c r="IVY1379" s="53"/>
      <c r="IVZ1379" s="53"/>
      <c r="IWA1379" s="53"/>
      <c r="IWB1379" s="53"/>
      <c r="IWC1379" s="53"/>
      <c r="IWD1379" s="53"/>
      <c r="IWE1379" s="53"/>
      <c r="IWF1379" s="53"/>
      <c r="IWG1379" s="53"/>
      <c r="IWH1379" s="53"/>
      <c r="IWI1379" s="53"/>
      <c r="IWJ1379" s="53"/>
      <c r="IWK1379" s="53"/>
      <c r="IWL1379" s="53"/>
      <c r="IWM1379" s="53"/>
      <c r="IWN1379" s="53"/>
      <c r="IWO1379" s="53"/>
      <c r="IWP1379" s="53"/>
      <c r="IWQ1379" s="53"/>
      <c r="IWR1379" s="53"/>
      <c r="IWS1379" s="53"/>
      <c r="IWT1379" s="53"/>
      <c r="IWU1379" s="53"/>
      <c r="IWV1379" s="53"/>
      <c r="IWW1379" s="53"/>
      <c r="IWX1379" s="53"/>
      <c r="IWY1379" s="53"/>
      <c r="IWZ1379" s="53"/>
      <c r="IXA1379" s="53"/>
      <c r="IXB1379" s="53"/>
      <c r="IXC1379" s="53"/>
      <c r="IXD1379" s="53"/>
      <c r="IXE1379" s="53"/>
      <c r="IXF1379" s="53"/>
      <c r="IXG1379" s="53"/>
      <c r="IXH1379" s="53"/>
      <c r="IXI1379" s="53"/>
      <c r="IXJ1379" s="53"/>
      <c r="IXK1379" s="53"/>
      <c r="IXL1379" s="53"/>
      <c r="IXM1379" s="53"/>
      <c r="IXN1379" s="53"/>
      <c r="IXO1379" s="53"/>
      <c r="IXP1379" s="53"/>
      <c r="IXQ1379" s="53"/>
      <c r="IXR1379" s="53"/>
      <c r="IXS1379" s="53"/>
      <c r="IXT1379" s="53"/>
      <c r="IXU1379" s="53"/>
      <c r="IXV1379" s="53"/>
      <c r="IXW1379" s="53"/>
      <c r="IXX1379" s="53"/>
      <c r="IXY1379" s="53"/>
      <c r="IXZ1379" s="53"/>
      <c r="IYA1379" s="53"/>
      <c r="IYB1379" s="53"/>
      <c r="IYC1379" s="53"/>
      <c r="IYD1379" s="53"/>
      <c r="IYE1379" s="53"/>
      <c r="IYF1379" s="53"/>
      <c r="IYG1379" s="53"/>
      <c r="IYH1379" s="53"/>
      <c r="IYI1379" s="53"/>
      <c r="IYJ1379" s="53"/>
      <c r="IYK1379" s="53"/>
      <c r="IYL1379" s="53"/>
      <c r="IYM1379" s="53"/>
      <c r="IYN1379" s="53"/>
      <c r="IYO1379" s="53"/>
      <c r="IYP1379" s="53"/>
      <c r="IYQ1379" s="53"/>
      <c r="IYR1379" s="53"/>
      <c r="IYS1379" s="53"/>
      <c r="IYT1379" s="53"/>
      <c r="IYU1379" s="53"/>
      <c r="IYV1379" s="53"/>
      <c r="IYW1379" s="53"/>
      <c r="IYX1379" s="53"/>
      <c r="IYY1379" s="53"/>
      <c r="IYZ1379" s="53"/>
      <c r="IZA1379" s="53"/>
      <c r="IZB1379" s="53"/>
      <c r="IZC1379" s="53"/>
      <c r="IZD1379" s="53"/>
      <c r="IZE1379" s="53"/>
      <c r="IZF1379" s="53"/>
      <c r="IZG1379" s="53"/>
      <c r="IZH1379" s="53"/>
      <c r="IZI1379" s="53"/>
      <c r="IZJ1379" s="53"/>
      <c r="IZK1379" s="53"/>
      <c r="IZL1379" s="53"/>
      <c r="IZM1379" s="53"/>
      <c r="IZN1379" s="53"/>
      <c r="IZO1379" s="53"/>
      <c r="IZP1379" s="53"/>
      <c r="IZQ1379" s="53"/>
      <c r="IZR1379" s="53"/>
      <c r="IZS1379" s="53"/>
      <c r="IZT1379" s="53"/>
      <c r="IZU1379" s="53"/>
      <c r="IZV1379" s="53"/>
      <c r="IZW1379" s="53"/>
      <c r="IZX1379" s="53"/>
      <c r="IZY1379" s="53"/>
      <c r="IZZ1379" s="53"/>
      <c r="JAA1379" s="53"/>
      <c r="JAB1379" s="53"/>
      <c r="JAC1379" s="53"/>
      <c r="JAD1379" s="53"/>
      <c r="JAE1379" s="53"/>
      <c r="JAF1379" s="53"/>
      <c r="JAG1379" s="53"/>
      <c r="JAH1379" s="53"/>
      <c r="JAI1379" s="53"/>
      <c r="JAJ1379" s="53"/>
      <c r="JAK1379" s="53"/>
      <c r="JAL1379" s="53"/>
      <c r="JAM1379" s="53"/>
      <c r="JAN1379" s="53"/>
      <c r="JAO1379" s="53"/>
      <c r="JAP1379" s="53"/>
      <c r="JAQ1379" s="53"/>
      <c r="JAR1379" s="53"/>
      <c r="JAS1379" s="53"/>
      <c r="JAT1379" s="53"/>
      <c r="JAU1379" s="53"/>
      <c r="JAV1379" s="53"/>
      <c r="JAW1379" s="53"/>
      <c r="JAX1379" s="53"/>
      <c r="JAY1379" s="53"/>
      <c r="JAZ1379" s="53"/>
      <c r="JBA1379" s="53"/>
      <c r="JBB1379" s="53"/>
      <c r="JBC1379" s="53"/>
      <c r="JBD1379" s="53"/>
      <c r="JBE1379" s="53"/>
      <c r="JBF1379" s="53"/>
      <c r="JBG1379" s="53"/>
      <c r="JBH1379" s="53"/>
      <c r="JBI1379" s="53"/>
      <c r="JBJ1379" s="53"/>
      <c r="JBK1379" s="53"/>
      <c r="JBL1379" s="53"/>
      <c r="JBM1379" s="53"/>
      <c r="JBN1379" s="53"/>
      <c r="JBO1379" s="53"/>
      <c r="JBP1379" s="53"/>
      <c r="JBQ1379" s="53"/>
      <c r="JBR1379" s="53"/>
      <c r="JBS1379" s="53"/>
      <c r="JBT1379" s="53"/>
      <c r="JBU1379" s="53"/>
      <c r="JBV1379" s="53"/>
      <c r="JBW1379" s="53"/>
      <c r="JBX1379" s="53"/>
      <c r="JBY1379" s="53"/>
      <c r="JBZ1379" s="53"/>
      <c r="JCA1379" s="53"/>
      <c r="JCB1379" s="53"/>
      <c r="JCC1379" s="53"/>
      <c r="JCD1379" s="53"/>
      <c r="JCE1379" s="53"/>
      <c r="JCF1379" s="53"/>
      <c r="JCG1379" s="53"/>
      <c r="JCH1379" s="53"/>
      <c r="JCI1379" s="53"/>
      <c r="JCJ1379" s="53"/>
      <c r="JCK1379" s="53"/>
      <c r="JCL1379" s="53"/>
      <c r="JCM1379" s="53"/>
      <c r="JCN1379" s="53"/>
      <c r="JCO1379" s="53"/>
      <c r="JCP1379" s="53"/>
      <c r="JCQ1379" s="53"/>
      <c r="JCR1379" s="53"/>
      <c r="JCS1379" s="53"/>
      <c r="JCT1379" s="53"/>
      <c r="JCU1379" s="53"/>
      <c r="JCV1379" s="53"/>
      <c r="JCW1379" s="53"/>
      <c r="JCX1379" s="53"/>
      <c r="JCY1379" s="53"/>
      <c r="JCZ1379" s="53"/>
      <c r="JDA1379" s="53"/>
      <c r="JDB1379" s="53"/>
      <c r="JDC1379" s="53"/>
      <c r="JDD1379" s="53"/>
      <c r="JDE1379" s="53"/>
      <c r="JDF1379" s="53"/>
      <c r="JDG1379" s="53"/>
      <c r="JDH1379" s="53"/>
      <c r="JDI1379" s="53"/>
      <c r="JDJ1379" s="53"/>
      <c r="JDK1379" s="53"/>
      <c r="JDL1379" s="53"/>
      <c r="JDM1379" s="53"/>
      <c r="JDN1379" s="53"/>
      <c r="JDO1379" s="53"/>
      <c r="JDP1379" s="53"/>
      <c r="JDQ1379" s="53"/>
      <c r="JDR1379" s="53"/>
      <c r="JDS1379" s="53"/>
      <c r="JDT1379" s="53"/>
      <c r="JDU1379" s="53"/>
      <c r="JDV1379" s="53"/>
      <c r="JDW1379" s="53"/>
      <c r="JDX1379" s="53"/>
      <c r="JDY1379" s="53"/>
      <c r="JDZ1379" s="53"/>
      <c r="JEA1379" s="53"/>
      <c r="JEB1379" s="53"/>
      <c r="JEC1379" s="53"/>
      <c r="JED1379" s="53"/>
      <c r="JEE1379" s="53"/>
      <c r="JEF1379" s="53"/>
      <c r="JEG1379" s="53"/>
      <c r="JEH1379" s="53"/>
      <c r="JEI1379" s="53"/>
      <c r="JEJ1379" s="53"/>
      <c r="JEK1379" s="53"/>
      <c r="JEL1379" s="53"/>
      <c r="JEM1379" s="53"/>
      <c r="JEN1379" s="53"/>
      <c r="JEO1379" s="53"/>
      <c r="JEP1379" s="53"/>
      <c r="JEQ1379" s="53"/>
      <c r="JER1379" s="53"/>
      <c r="JES1379" s="53"/>
      <c r="JET1379" s="53"/>
      <c r="JEU1379" s="53"/>
      <c r="JEV1379" s="53"/>
      <c r="JEW1379" s="53"/>
      <c r="JEX1379" s="53"/>
      <c r="JEY1379" s="53"/>
      <c r="JEZ1379" s="53"/>
      <c r="JFA1379" s="53"/>
      <c r="JFB1379" s="53"/>
      <c r="JFC1379" s="53"/>
      <c r="JFD1379" s="53"/>
      <c r="JFE1379" s="53"/>
      <c r="JFF1379" s="53"/>
      <c r="JFG1379" s="53"/>
      <c r="JFH1379" s="53"/>
      <c r="JFI1379" s="53"/>
      <c r="JFJ1379" s="53"/>
      <c r="JFK1379" s="53"/>
      <c r="JFL1379" s="53"/>
      <c r="JFM1379" s="53"/>
      <c r="JFN1379" s="53"/>
      <c r="JFO1379" s="53"/>
      <c r="JFP1379" s="53"/>
      <c r="JFQ1379" s="53"/>
      <c r="JFR1379" s="53"/>
      <c r="JFS1379" s="53"/>
      <c r="JFT1379" s="53"/>
      <c r="JFU1379" s="53"/>
      <c r="JFV1379" s="53"/>
      <c r="JFW1379" s="53"/>
      <c r="JFX1379" s="53"/>
      <c r="JFY1379" s="53"/>
      <c r="JFZ1379" s="53"/>
      <c r="JGA1379" s="53"/>
      <c r="JGB1379" s="53"/>
      <c r="JGC1379" s="53"/>
      <c r="JGD1379" s="53"/>
      <c r="JGE1379" s="53"/>
      <c r="JGF1379" s="53"/>
      <c r="JGG1379" s="53"/>
      <c r="JGH1379" s="53"/>
      <c r="JGI1379" s="53"/>
      <c r="JGJ1379" s="53"/>
      <c r="JGK1379" s="53"/>
      <c r="JGL1379" s="53"/>
      <c r="JGM1379" s="53"/>
      <c r="JGN1379" s="53"/>
      <c r="JGO1379" s="53"/>
      <c r="JGP1379" s="53"/>
      <c r="JGQ1379" s="53"/>
      <c r="JGR1379" s="53"/>
      <c r="JGS1379" s="53"/>
      <c r="JGT1379" s="53"/>
      <c r="JGU1379" s="53"/>
      <c r="JGV1379" s="53"/>
      <c r="JGW1379" s="53"/>
      <c r="JGX1379" s="53"/>
      <c r="JGY1379" s="53"/>
      <c r="JGZ1379" s="53"/>
      <c r="JHA1379" s="53"/>
      <c r="JHB1379" s="53"/>
      <c r="JHC1379" s="53"/>
      <c r="JHD1379" s="53"/>
      <c r="JHE1379" s="53"/>
      <c r="JHF1379" s="53"/>
      <c r="JHG1379" s="53"/>
      <c r="JHH1379" s="53"/>
      <c r="JHI1379" s="53"/>
      <c r="JHJ1379" s="53"/>
      <c r="JHK1379" s="53"/>
      <c r="JHL1379" s="53"/>
      <c r="JHM1379" s="53"/>
      <c r="JHN1379" s="53"/>
      <c r="JHO1379" s="53"/>
      <c r="JHP1379" s="53"/>
      <c r="JHQ1379" s="53"/>
      <c r="JHR1379" s="53"/>
      <c r="JHS1379" s="53"/>
      <c r="JHT1379" s="53"/>
      <c r="JHU1379" s="53"/>
      <c r="JHV1379" s="53"/>
      <c r="JHW1379" s="53"/>
      <c r="JHX1379" s="53"/>
      <c r="JHY1379" s="53"/>
      <c r="JHZ1379" s="53"/>
      <c r="JIA1379" s="53"/>
      <c r="JIB1379" s="53"/>
      <c r="JIC1379" s="53"/>
      <c r="JID1379" s="53"/>
      <c r="JIE1379" s="53"/>
      <c r="JIF1379" s="53"/>
      <c r="JIG1379" s="53"/>
      <c r="JIH1379" s="53"/>
      <c r="JII1379" s="53"/>
      <c r="JIJ1379" s="53"/>
      <c r="JIK1379" s="53"/>
      <c r="JIL1379" s="53"/>
      <c r="JIM1379" s="53"/>
      <c r="JIN1379" s="53"/>
      <c r="JIO1379" s="53"/>
      <c r="JIP1379" s="53"/>
      <c r="JIQ1379" s="53"/>
      <c r="JIR1379" s="53"/>
      <c r="JIS1379" s="53"/>
      <c r="JIT1379" s="53"/>
      <c r="JIU1379" s="53"/>
      <c r="JIV1379" s="53"/>
      <c r="JIW1379" s="53"/>
      <c r="JIX1379" s="53"/>
      <c r="JIY1379" s="53"/>
      <c r="JIZ1379" s="53"/>
      <c r="JJA1379" s="53"/>
      <c r="JJB1379" s="53"/>
      <c r="JJC1379" s="53"/>
      <c r="JJD1379" s="53"/>
      <c r="JJE1379" s="53"/>
      <c r="JJF1379" s="53"/>
      <c r="JJG1379" s="53"/>
      <c r="JJH1379" s="53"/>
      <c r="JJI1379" s="53"/>
      <c r="JJJ1379" s="53"/>
      <c r="JJK1379" s="53"/>
      <c r="JJL1379" s="53"/>
      <c r="JJM1379" s="53"/>
      <c r="JJN1379" s="53"/>
      <c r="JJO1379" s="53"/>
      <c r="JJP1379" s="53"/>
      <c r="JJQ1379" s="53"/>
      <c r="JJR1379" s="53"/>
      <c r="JJS1379" s="53"/>
      <c r="JJT1379" s="53"/>
      <c r="JJU1379" s="53"/>
      <c r="JJV1379" s="53"/>
      <c r="JJW1379" s="53"/>
      <c r="JJX1379" s="53"/>
      <c r="JJY1379" s="53"/>
      <c r="JJZ1379" s="53"/>
      <c r="JKA1379" s="53"/>
      <c r="JKB1379" s="53"/>
      <c r="JKC1379" s="53"/>
      <c r="JKD1379" s="53"/>
      <c r="JKE1379" s="53"/>
      <c r="JKF1379" s="53"/>
      <c r="JKG1379" s="53"/>
      <c r="JKH1379" s="53"/>
      <c r="JKI1379" s="53"/>
      <c r="JKJ1379" s="53"/>
      <c r="JKK1379" s="53"/>
      <c r="JKL1379" s="53"/>
      <c r="JKM1379" s="53"/>
      <c r="JKN1379" s="53"/>
      <c r="JKO1379" s="53"/>
      <c r="JKP1379" s="53"/>
      <c r="JKQ1379" s="53"/>
      <c r="JKR1379" s="53"/>
      <c r="JKS1379" s="53"/>
      <c r="JKT1379" s="53"/>
      <c r="JKU1379" s="53"/>
      <c r="JKV1379" s="53"/>
      <c r="JKW1379" s="53"/>
      <c r="JKX1379" s="53"/>
      <c r="JKY1379" s="53"/>
      <c r="JKZ1379" s="53"/>
      <c r="JLA1379" s="53"/>
      <c r="JLB1379" s="53"/>
      <c r="JLC1379" s="53"/>
      <c r="JLD1379" s="53"/>
      <c r="JLE1379" s="53"/>
      <c r="JLF1379" s="53"/>
      <c r="JLG1379" s="53"/>
      <c r="JLH1379" s="53"/>
      <c r="JLI1379" s="53"/>
      <c r="JLJ1379" s="53"/>
      <c r="JLK1379" s="53"/>
      <c r="JLL1379" s="53"/>
      <c r="JLM1379" s="53"/>
      <c r="JLN1379" s="53"/>
      <c r="JLO1379" s="53"/>
      <c r="JLP1379" s="53"/>
      <c r="JLQ1379" s="53"/>
      <c r="JLR1379" s="53"/>
      <c r="JLS1379" s="53"/>
      <c r="JLT1379" s="53"/>
      <c r="JLU1379" s="53"/>
      <c r="JLV1379" s="53"/>
      <c r="JLW1379" s="53"/>
      <c r="JLX1379" s="53"/>
      <c r="JLY1379" s="53"/>
      <c r="JLZ1379" s="53"/>
      <c r="JMA1379" s="53"/>
      <c r="JMB1379" s="53"/>
      <c r="JMC1379" s="53"/>
      <c r="JMD1379" s="53"/>
      <c r="JME1379" s="53"/>
      <c r="JMF1379" s="53"/>
      <c r="JMG1379" s="53"/>
      <c r="JMH1379" s="53"/>
      <c r="JMI1379" s="53"/>
      <c r="JMJ1379" s="53"/>
      <c r="JMK1379" s="53"/>
      <c r="JML1379" s="53"/>
      <c r="JMM1379" s="53"/>
      <c r="JMN1379" s="53"/>
      <c r="JMO1379" s="53"/>
      <c r="JMP1379" s="53"/>
      <c r="JMQ1379" s="53"/>
      <c r="JMR1379" s="53"/>
      <c r="JMS1379" s="53"/>
      <c r="JMT1379" s="53"/>
      <c r="JMU1379" s="53"/>
      <c r="JMV1379" s="53"/>
      <c r="JMW1379" s="53"/>
      <c r="JMX1379" s="53"/>
      <c r="JMY1379" s="53"/>
      <c r="JMZ1379" s="53"/>
      <c r="JNA1379" s="53"/>
      <c r="JNB1379" s="53"/>
      <c r="JNC1379" s="53"/>
      <c r="JND1379" s="53"/>
      <c r="JNE1379" s="53"/>
      <c r="JNF1379" s="53"/>
      <c r="JNG1379" s="53"/>
      <c r="JNH1379" s="53"/>
      <c r="JNI1379" s="53"/>
      <c r="JNJ1379" s="53"/>
      <c r="JNK1379" s="53"/>
      <c r="JNL1379" s="53"/>
      <c r="JNM1379" s="53"/>
      <c r="JNN1379" s="53"/>
      <c r="JNO1379" s="53"/>
      <c r="JNP1379" s="53"/>
      <c r="JNQ1379" s="53"/>
      <c r="JNR1379" s="53"/>
      <c r="JNS1379" s="53"/>
      <c r="JNT1379" s="53"/>
      <c r="JNU1379" s="53"/>
      <c r="JNV1379" s="53"/>
      <c r="JNW1379" s="53"/>
      <c r="JNX1379" s="53"/>
      <c r="JNY1379" s="53"/>
      <c r="JNZ1379" s="53"/>
      <c r="JOA1379" s="53"/>
      <c r="JOB1379" s="53"/>
      <c r="JOC1379" s="53"/>
      <c r="JOD1379" s="53"/>
      <c r="JOE1379" s="53"/>
      <c r="JOF1379" s="53"/>
      <c r="JOG1379" s="53"/>
      <c r="JOH1379" s="53"/>
      <c r="JOI1379" s="53"/>
      <c r="JOJ1379" s="53"/>
      <c r="JOK1379" s="53"/>
      <c r="JOL1379" s="53"/>
      <c r="JOM1379" s="53"/>
      <c r="JON1379" s="53"/>
      <c r="JOO1379" s="53"/>
      <c r="JOP1379" s="53"/>
      <c r="JOQ1379" s="53"/>
      <c r="JOR1379" s="53"/>
      <c r="JOS1379" s="53"/>
      <c r="JOT1379" s="53"/>
      <c r="JOU1379" s="53"/>
      <c r="JOV1379" s="53"/>
      <c r="JOW1379" s="53"/>
      <c r="JOX1379" s="53"/>
      <c r="JOY1379" s="53"/>
      <c r="JOZ1379" s="53"/>
      <c r="JPA1379" s="53"/>
      <c r="JPB1379" s="53"/>
      <c r="JPC1379" s="53"/>
      <c r="JPD1379" s="53"/>
      <c r="JPE1379" s="53"/>
      <c r="JPF1379" s="53"/>
      <c r="JPG1379" s="53"/>
      <c r="JPH1379" s="53"/>
      <c r="JPI1379" s="53"/>
      <c r="JPJ1379" s="53"/>
      <c r="JPK1379" s="53"/>
      <c r="JPL1379" s="53"/>
      <c r="JPM1379" s="53"/>
      <c r="JPN1379" s="53"/>
      <c r="JPO1379" s="53"/>
      <c r="JPP1379" s="53"/>
      <c r="JPQ1379" s="53"/>
      <c r="JPR1379" s="53"/>
      <c r="JPS1379" s="53"/>
      <c r="JPT1379" s="53"/>
      <c r="JPU1379" s="53"/>
      <c r="JPV1379" s="53"/>
      <c r="JPW1379" s="53"/>
      <c r="JPX1379" s="53"/>
      <c r="JPY1379" s="53"/>
      <c r="JPZ1379" s="53"/>
      <c r="JQA1379" s="53"/>
      <c r="JQB1379" s="53"/>
      <c r="JQC1379" s="53"/>
      <c r="JQD1379" s="53"/>
      <c r="JQE1379" s="53"/>
      <c r="JQF1379" s="53"/>
      <c r="JQG1379" s="53"/>
      <c r="JQH1379" s="53"/>
      <c r="JQI1379" s="53"/>
      <c r="JQJ1379" s="53"/>
      <c r="JQK1379" s="53"/>
      <c r="JQL1379" s="53"/>
      <c r="JQM1379" s="53"/>
      <c r="JQN1379" s="53"/>
      <c r="JQO1379" s="53"/>
      <c r="JQP1379" s="53"/>
      <c r="JQQ1379" s="53"/>
      <c r="JQR1379" s="53"/>
      <c r="JQS1379" s="53"/>
      <c r="JQT1379" s="53"/>
      <c r="JQU1379" s="53"/>
      <c r="JQV1379" s="53"/>
      <c r="JQW1379" s="53"/>
      <c r="JQX1379" s="53"/>
      <c r="JQY1379" s="53"/>
      <c r="JQZ1379" s="53"/>
      <c r="JRA1379" s="53"/>
      <c r="JRB1379" s="53"/>
      <c r="JRC1379" s="53"/>
      <c r="JRD1379" s="53"/>
      <c r="JRE1379" s="53"/>
      <c r="JRF1379" s="53"/>
      <c r="JRG1379" s="53"/>
      <c r="JRH1379" s="53"/>
      <c r="JRI1379" s="53"/>
      <c r="JRJ1379" s="53"/>
      <c r="JRK1379" s="53"/>
      <c r="JRL1379" s="53"/>
      <c r="JRM1379" s="53"/>
      <c r="JRN1379" s="53"/>
      <c r="JRO1379" s="53"/>
      <c r="JRP1379" s="53"/>
      <c r="JRQ1379" s="53"/>
      <c r="JRR1379" s="53"/>
      <c r="JRS1379" s="53"/>
      <c r="JRT1379" s="53"/>
      <c r="JRU1379" s="53"/>
      <c r="JRV1379" s="53"/>
      <c r="JRW1379" s="53"/>
      <c r="JRX1379" s="53"/>
      <c r="JRY1379" s="53"/>
      <c r="JRZ1379" s="53"/>
      <c r="JSA1379" s="53"/>
      <c r="JSB1379" s="53"/>
      <c r="JSC1379" s="53"/>
      <c r="JSD1379" s="53"/>
      <c r="JSE1379" s="53"/>
      <c r="JSF1379" s="53"/>
      <c r="JSG1379" s="53"/>
      <c r="JSH1379" s="53"/>
      <c r="JSI1379" s="53"/>
      <c r="JSJ1379" s="53"/>
      <c r="JSK1379" s="53"/>
      <c r="JSL1379" s="53"/>
      <c r="JSM1379" s="53"/>
      <c r="JSN1379" s="53"/>
      <c r="JSO1379" s="53"/>
      <c r="JSP1379" s="53"/>
      <c r="JSQ1379" s="53"/>
      <c r="JSR1379" s="53"/>
      <c r="JSS1379" s="53"/>
      <c r="JST1379" s="53"/>
      <c r="JSU1379" s="53"/>
      <c r="JSV1379" s="53"/>
      <c r="JSW1379" s="53"/>
      <c r="JSX1379" s="53"/>
      <c r="JSY1379" s="53"/>
      <c r="JSZ1379" s="53"/>
      <c r="JTA1379" s="53"/>
      <c r="JTB1379" s="53"/>
      <c r="JTC1379" s="53"/>
      <c r="JTD1379" s="53"/>
      <c r="JTE1379" s="53"/>
      <c r="JTF1379" s="53"/>
      <c r="JTG1379" s="53"/>
      <c r="JTH1379" s="53"/>
      <c r="JTI1379" s="53"/>
      <c r="JTJ1379" s="53"/>
      <c r="JTK1379" s="53"/>
      <c r="JTL1379" s="53"/>
      <c r="JTM1379" s="53"/>
      <c r="JTN1379" s="53"/>
      <c r="JTO1379" s="53"/>
      <c r="JTP1379" s="53"/>
      <c r="JTQ1379" s="53"/>
      <c r="JTR1379" s="53"/>
      <c r="JTS1379" s="53"/>
      <c r="JTT1379" s="53"/>
      <c r="JTU1379" s="53"/>
      <c r="JTV1379" s="53"/>
      <c r="JTW1379" s="53"/>
      <c r="JTX1379" s="53"/>
      <c r="JTY1379" s="53"/>
      <c r="JTZ1379" s="53"/>
      <c r="JUA1379" s="53"/>
      <c r="JUB1379" s="53"/>
      <c r="JUC1379" s="53"/>
      <c r="JUD1379" s="53"/>
      <c r="JUE1379" s="53"/>
      <c r="JUF1379" s="53"/>
      <c r="JUG1379" s="53"/>
      <c r="JUH1379" s="53"/>
      <c r="JUI1379" s="53"/>
      <c r="JUJ1379" s="53"/>
      <c r="JUK1379" s="53"/>
      <c r="JUL1379" s="53"/>
      <c r="JUM1379" s="53"/>
      <c r="JUN1379" s="53"/>
      <c r="JUO1379" s="53"/>
      <c r="JUP1379" s="53"/>
      <c r="JUQ1379" s="53"/>
      <c r="JUR1379" s="53"/>
      <c r="JUS1379" s="53"/>
      <c r="JUT1379" s="53"/>
      <c r="JUU1379" s="53"/>
      <c r="JUV1379" s="53"/>
      <c r="JUW1379" s="53"/>
      <c r="JUX1379" s="53"/>
      <c r="JUY1379" s="53"/>
      <c r="JUZ1379" s="53"/>
      <c r="JVA1379" s="53"/>
      <c r="JVB1379" s="53"/>
      <c r="JVC1379" s="53"/>
      <c r="JVD1379" s="53"/>
      <c r="JVE1379" s="53"/>
      <c r="JVF1379" s="53"/>
      <c r="JVG1379" s="53"/>
      <c r="JVH1379" s="53"/>
      <c r="JVI1379" s="53"/>
      <c r="JVJ1379" s="53"/>
      <c r="JVK1379" s="53"/>
      <c r="JVL1379" s="53"/>
      <c r="JVM1379" s="53"/>
      <c r="JVN1379" s="53"/>
      <c r="JVO1379" s="53"/>
      <c r="JVP1379" s="53"/>
      <c r="JVQ1379" s="53"/>
      <c r="JVR1379" s="53"/>
      <c r="JVS1379" s="53"/>
      <c r="JVT1379" s="53"/>
      <c r="JVU1379" s="53"/>
      <c r="JVV1379" s="53"/>
      <c r="JVW1379" s="53"/>
      <c r="JVX1379" s="53"/>
      <c r="JVY1379" s="53"/>
      <c r="JVZ1379" s="53"/>
      <c r="JWA1379" s="53"/>
      <c r="JWB1379" s="53"/>
      <c r="JWC1379" s="53"/>
      <c r="JWD1379" s="53"/>
      <c r="JWE1379" s="53"/>
      <c r="JWF1379" s="53"/>
      <c r="JWG1379" s="53"/>
      <c r="JWH1379" s="53"/>
      <c r="JWI1379" s="53"/>
      <c r="JWJ1379" s="53"/>
      <c r="JWK1379" s="53"/>
      <c r="JWL1379" s="53"/>
      <c r="JWM1379" s="53"/>
      <c r="JWN1379" s="53"/>
      <c r="JWO1379" s="53"/>
      <c r="JWP1379" s="53"/>
      <c r="JWQ1379" s="53"/>
      <c r="JWR1379" s="53"/>
      <c r="JWS1379" s="53"/>
      <c r="JWT1379" s="53"/>
      <c r="JWU1379" s="53"/>
      <c r="JWV1379" s="53"/>
      <c r="JWW1379" s="53"/>
      <c r="JWX1379" s="53"/>
      <c r="JWY1379" s="53"/>
      <c r="JWZ1379" s="53"/>
      <c r="JXA1379" s="53"/>
      <c r="JXB1379" s="53"/>
      <c r="JXC1379" s="53"/>
      <c r="JXD1379" s="53"/>
      <c r="JXE1379" s="53"/>
      <c r="JXF1379" s="53"/>
      <c r="JXG1379" s="53"/>
      <c r="JXH1379" s="53"/>
      <c r="JXI1379" s="53"/>
      <c r="JXJ1379" s="53"/>
      <c r="JXK1379" s="53"/>
      <c r="JXL1379" s="53"/>
      <c r="JXM1379" s="53"/>
      <c r="JXN1379" s="53"/>
      <c r="JXO1379" s="53"/>
      <c r="JXP1379" s="53"/>
      <c r="JXQ1379" s="53"/>
      <c r="JXR1379" s="53"/>
      <c r="JXS1379" s="53"/>
      <c r="JXT1379" s="53"/>
      <c r="JXU1379" s="53"/>
      <c r="JXV1379" s="53"/>
      <c r="JXW1379" s="53"/>
      <c r="JXX1379" s="53"/>
      <c r="JXY1379" s="53"/>
      <c r="JXZ1379" s="53"/>
      <c r="JYA1379" s="53"/>
      <c r="JYB1379" s="53"/>
      <c r="JYC1379" s="53"/>
      <c r="JYD1379" s="53"/>
      <c r="JYE1379" s="53"/>
      <c r="JYF1379" s="53"/>
      <c r="JYG1379" s="53"/>
      <c r="JYH1379" s="53"/>
      <c r="JYI1379" s="53"/>
      <c r="JYJ1379" s="53"/>
      <c r="JYK1379" s="53"/>
      <c r="JYL1379" s="53"/>
      <c r="JYM1379" s="53"/>
      <c r="JYN1379" s="53"/>
      <c r="JYO1379" s="53"/>
      <c r="JYP1379" s="53"/>
      <c r="JYQ1379" s="53"/>
      <c r="JYR1379" s="53"/>
      <c r="JYS1379" s="53"/>
      <c r="JYT1379" s="53"/>
      <c r="JYU1379" s="53"/>
      <c r="JYV1379" s="53"/>
      <c r="JYW1379" s="53"/>
      <c r="JYX1379" s="53"/>
      <c r="JYY1379" s="53"/>
      <c r="JYZ1379" s="53"/>
      <c r="JZA1379" s="53"/>
      <c r="JZB1379" s="53"/>
      <c r="JZC1379" s="53"/>
      <c r="JZD1379" s="53"/>
      <c r="JZE1379" s="53"/>
      <c r="JZF1379" s="53"/>
      <c r="JZG1379" s="53"/>
      <c r="JZH1379" s="53"/>
      <c r="JZI1379" s="53"/>
      <c r="JZJ1379" s="53"/>
      <c r="JZK1379" s="53"/>
      <c r="JZL1379" s="53"/>
      <c r="JZM1379" s="53"/>
      <c r="JZN1379" s="53"/>
      <c r="JZO1379" s="53"/>
      <c r="JZP1379" s="53"/>
      <c r="JZQ1379" s="53"/>
      <c r="JZR1379" s="53"/>
      <c r="JZS1379" s="53"/>
      <c r="JZT1379" s="53"/>
      <c r="JZU1379" s="53"/>
      <c r="JZV1379" s="53"/>
      <c r="JZW1379" s="53"/>
      <c r="JZX1379" s="53"/>
      <c r="JZY1379" s="53"/>
      <c r="JZZ1379" s="53"/>
      <c r="KAA1379" s="53"/>
      <c r="KAB1379" s="53"/>
      <c r="KAC1379" s="53"/>
      <c r="KAD1379" s="53"/>
      <c r="KAE1379" s="53"/>
      <c r="KAF1379" s="53"/>
      <c r="KAG1379" s="53"/>
      <c r="KAH1379" s="53"/>
      <c r="KAI1379" s="53"/>
      <c r="KAJ1379" s="53"/>
      <c r="KAK1379" s="53"/>
      <c r="KAL1379" s="53"/>
      <c r="KAM1379" s="53"/>
      <c r="KAN1379" s="53"/>
      <c r="KAO1379" s="53"/>
      <c r="KAP1379" s="53"/>
      <c r="KAQ1379" s="53"/>
      <c r="KAR1379" s="53"/>
      <c r="KAS1379" s="53"/>
      <c r="KAT1379" s="53"/>
      <c r="KAU1379" s="53"/>
      <c r="KAV1379" s="53"/>
      <c r="KAW1379" s="53"/>
      <c r="KAX1379" s="53"/>
      <c r="KAY1379" s="53"/>
      <c r="KAZ1379" s="53"/>
      <c r="KBA1379" s="53"/>
      <c r="KBB1379" s="53"/>
      <c r="KBC1379" s="53"/>
      <c r="KBD1379" s="53"/>
      <c r="KBE1379" s="53"/>
      <c r="KBF1379" s="53"/>
      <c r="KBG1379" s="53"/>
      <c r="KBH1379" s="53"/>
      <c r="KBI1379" s="53"/>
      <c r="KBJ1379" s="53"/>
      <c r="KBK1379" s="53"/>
      <c r="KBL1379" s="53"/>
      <c r="KBM1379" s="53"/>
      <c r="KBN1379" s="53"/>
      <c r="KBO1379" s="53"/>
      <c r="KBP1379" s="53"/>
      <c r="KBQ1379" s="53"/>
      <c r="KBR1379" s="53"/>
      <c r="KBS1379" s="53"/>
      <c r="KBT1379" s="53"/>
      <c r="KBU1379" s="53"/>
      <c r="KBV1379" s="53"/>
      <c r="KBW1379" s="53"/>
      <c r="KBX1379" s="53"/>
      <c r="KBY1379" s="53"/>
      <c r="KBZ1379" s="53"/>
      <c r="KCA1379" s="53"/>
      <c r="KCB1379" s="53"/>
      <c r="KCC1379" s="53"/>
      <c r="KCD1379" s="53"/>
      <c r="KCE1379" s="53"/>
      <c r="KCF1379" s="53"/>
      <c r="KCG1379" s="53"/>
      <c r="KCH1379" s="53"/>
      <c r="KCI1379" s="53"/>
      <c r="KCJ1379" s="53"/>
      <c r="KCK1379" s="53"/>
      <c r="KCL1379" s="53"/>
      <c r="KCM1379" s="53"/>
      <c r="KCN1379" s="53"/>
      <c r="KCO1379" s="53"/>
      <c r="KCP1379" s="53"/>
      <c r="KCQ1379" s="53"/>
      <c r="KCR1379" s="53"/>
      <c r="KCS1379" s="53"/>
      <c r="KCT1379" s="53"/>
      <c r="KCU1379" s="53"/>
      <c r="KCV1379" s="53"/>
      <c r="KCW1379" s="53"/>
      <c r="KCX1379" s="53"/>
      <c r="KCY1379" s="53"/>
      <c r="KCZ1379" s="53"/>
      <c r="KDA1379" s="53"/>
      <c r="KDB1379" s="53"/>
      <c r="KDC1379" s="53"/>
      <c r="KDD1379" s="53"/>
      <c r="KDE1379" s="53"/>
      <c r="KDF1379" s="53"/>
      <c r="KDG1379" s="53"/>
      <c r="KDH1379" s="53"/>
      <c r="KDI1379" s="53"/>
      <c r="KDJ1379" s="53"/>
      <c r="KDK1379" s="53"/>
      <c r="KDL1379" s="53"/>
      <c r="KDM1379" s="53"/>
      <c r="KDN1379" s="53"/>
      <c r="KDO1379" s="53"/>
      <c r="KDP1379" s="53"/>
      <c r="KDQ1379" s="53"/>
      <c r="KDR1379" s="53"/>
      <c r="KDS1379" s="53"/>
      <c r="KDT1379" s="53"/>
      <c r="KDU1379" s="53"/>
      <c r="KDV1379" s="53"/>
      <c r="KDW1379" s="53"/>
      <c r="KDX1379" s="53"/>
      <c r="KDY1379" s="53"/>
      <c r="KDZ1379" s="53"/>
      <c r="KEA1379" s="53"/>
      <c r="KEB1379" s="53"/>
      <c r="KEC1379" s="53"/>
      <c r="KED1379" s="53"/>
      <c r="KEE1379" s="53"/>
      <c r="KEF1379" s="53"/>
      <c r="KEG1379" s="53"/>
      <c r="KEH1379" s="53"/>
      <c r="KEI1379" s="53"/>
      <c r="KEJ1379" s="53"/>
      <c r="KEK1379" s="53"/>
      <c r="KEL1379" s="53"/>
      <c r="KEM1379" s="53"/>
      <c r="KEN1379" s="53"/>
      <c r="KEO1379" s="53"/>
      <c r="KEP1379" s="53"/>
      <c r="KEQ1379" s="53"/>
      <c r="KER1379" s="53"/>
      <c r="KES1379" s="53"/>
      <c r="KET1379" s="53"/>
      <c r="KEU1379" s="53"/>
      <c r="KEV1379" s="53"/>
      <c r="KEW1379" s="53"/>
      <c r="KEX1379" s="53"/>
      <c r="KEY1379" s="53"/>
      <c r="KEZ1379" s="53"/>
      <c r="KFA1379" s="53"/>
      <c r="KFB1379" s="53"/>
      <c r="KFC1379" s="53"/>
      <c r="KFD1379" s="53"/>
      <c r="KFE1379" s="53"/>
      <c r="KFF1379" s="53"/>
      <c r="KFG1379" s="53"/>
      <c r="KFH1379" s="53"/>
      <c r="KFI1379" s="53"/>
      <c r="KFJ1379" s="53"/>
      <c r="KFK1379" s="53"/>
      <c r="KFL1379" s="53"/>
      <c r="KFM1379" s="53"/>
      <c r="KFN1379" s="53"/>
      <c r="KFO1379" s="53"/>
      <c r="KFP1379" s="53"/>
      <c r="KFQ1379" s="53"/>
      <c r="KFR1379" s="53"/>
      <c r="KFS1379" s="53"/>
      <c r="KFT1379" s="53"/>
      <c r="KFU1379" s="53"/>
      <c r="KFV1379" s="53"/>
      <c r="KFW1379" s="53"/>
      <c r="KFX1379" s="53"/>
      <c r="KFY1379" s="53"/>
      <c r="KFZ1379" s="53"/>
      <c r="KGA1379" s="53"/>
      <c r="KGB1379" s="53"/>
      <c r="KGC1379" s="53"/>
      <c r="KGD1379" s="53"/>
      <c r="KGE1379" s="53"/>
      <c r="KGF1379" s="53"/>
      <c r="KGG1379" s="53"/>
      <c r="KGH1379" s="53"/>
      <c r="KGI1379" s="53"/>
      <c r="KGJ1379" s="53"/>
      <c r="KGK1379" s="53"/>
      <c r="KGL1379" s="53"/>
      <c r="KGM1379" s="53"/>
      <c r="KGN1379" s="53"/>
      <c r="KGO1379" s="53"/>
      <c r="KGP1379" s="53"/>
      <c r="KGQ1379" s="53"/>
      <c r="KGR1379" s="53"/>
      <c r="KGS1379" s="53"/>
      <c r="KGT1379" s="53"/>
      <c r="KGU1379" s="53"/>
      <c r="KGV1379" s="53"/>
      <c r="KGW1379" s="53"/>
      <c r="KGX1379" s="53"/>
      <c r="KGY1379" s="53"/>
      <c r="KGZ1379" s="53"/>
      <c r="KHA1379" s="53"/>
      <c r="KHB1379" s="53"/>
      <c r="KHC1379" s="53"/>
      <c r="KHD1379" s="53"/>
      <c r="KHE1379" s="53"/>
      <c r="KHF1379" s="53"/>
      <c r="KHG1379" s="53"/>
      <c r="KHH1379" s="53"/>
      <c r="KHI1379" s="53"/>
      <c r="KHJ1379" s="53"/>
      <c r="KHK1379" s="53"/>
      <c r="KHL1379" s="53"/>
      <c r="KHM1379" s="53"/>
      <c r="KHN1379" s="53"/>
      <c r="KHO1379" s="53"/>
      <c r="KHP1379" s="53"/>
      <c r="KHQ1379" s="53"/>
      <c r="KHR1379" s="53"/>
      <c r="KHS1379" s="53"/>
      <c r="KHT1379" s="53"/>
      <c r="KHU1379" s="53"/>
      <c r="KHV1379" s="53"/>
      <c r="KHW1379" s="53"/>
      <c r="KHX1379" s="53"/>
      <c r="KHY1379" s="53"/>
      <c r="KHZ1379" s="53"/>
      <c r="KIA1379" s="53"/>
      <c r="KIB1379" s="53"/>
      <c r="KIC1379" s="53"/>
      <c r="KID1379" s="53"/>
      <c r="KIE1379" s="53"/>
      <c r="KIF1379" s="53"/>
      <c r="KIG1379" s="53"/>
      <c r="KIH1379" s="53"/>
      <c r="KII1379" s="53"/>
      <c r="KIJ1379" s="53"/>
      <c r="KIK1379" s="53"/>
      <c r="KIL1379" s="53"/>
      <c r="KIM1379" s="53"/>
      <c r="KIN1379" s="53"/>
      <c r="KIO1379" s="53"/>
      <c r="KIP1379" s="53"/>
      <c r="KIQ1379" s="53"/>
      <c r="KIR1379" s="53"/>
      <c r="KIS1379" s="53"/>
      <c r="KIT1379" s="53"/>
      <c r="KIU1379" s="53"/>
      <c r="KIV1379" s="53"/>
      <c r="KIW1379" s="53"/>
      <c r="KIX1379" s="53"/>
      <c r="KIY1379" s="53"/>
      <c r="KIZ1379" s="53"/>
      <c r="KJA1379" s="53"/>
      <c r="KJB1379" s="53"/>
      <c r="KJC1379" s="53"/>
      <c r="KJD1379" s="53"/>
      <c r="KJE1379" s="53"/>
      <c r="KJF1379" s="53"/>
      <c r="KJG1379" s="53"/>
      <c r="KJH1379" s="53"/>
      <c r="KJI1379" s="53"/>
      <c r="KJJ1379" s="53"/>
      <c r="KJK1379" s="53"/>
      <c r="KJL1379" s="53"/>
      <c r="KJM1379" s="53"/>
      <c r="KJN1379" s="53"/>
      <c r="KJO1379" s="53"/>
      <c r="KJP1379" s="53"/>
      <c r="KJQ1379" s="53"/>
      <c r="KJR1379" s="53"/>
      <c r="KJS1379" s="53"/>
      <c r="KJT1379" s="53"/>
      <c r="KJU1379" s="53"/>
      <c r="KJV1379" s="53"/>
      <c r="KJW1379" s="53"/>
      <c r="KJX1379" s="53"/>
      <c r="KJY1379" s="53"/>
      <c r="KJZ1379" s="53"/>
      <c r="KKA1379" s="53"/>
      <c r="KKB1379" s="53"/>
      <c r="KKC1379" s="53"/>
      <c r="KKD1379" s="53"/>
      <c r="KKE1379" s="53"/>
      <c r="KKF1379" s="53"/>
      <c r="KKG1379" s="53"/>
      <c r="KKH1379" s="53"/>
      <c r="KKI1379" s="53"/>
      <c r="KKJ1379" s="53"/>
      <c r="KKK1379" s="53"/>
      <c r="KKL1379" s="53"/>
      <c r="KKM1379" s="53"/>
      <c r="KKN1379" s="53"/>
      <c r="KKO1379" s="53"/>
      <c r="KKP1379" s="53"/>
      <c r="KKQ1379" s="53"/>
      <c r="KKR1379" s="53"/>
      <c r="KKS1379" s="53"/>
      <c r="KKT1379" s="53"/>
      <c r="KKU1379" s="53"/>
      <c r="KKV1379" s="53"/>
      <c r="KKW1379" s="53"/>
      <c r="KKX1379" s="53"/>
      <c r="KKY1379" s="53"/>
      <c r="KKZ1379" s="53"/>
      <c r="KLA1379" s="53"/>
      <c r="KLB1379" s="53"/>
      <c r="KLC1379" s="53"/>
      <c r="KLD1379" s="53"/>
      <c r="KLE1379" s="53"/>
      <c r="KLF1379" s="53"/>
      <c r="KLG1379" s="53"/>
      <c r="KLH1379" s="53"/>
      <c r="KLI1379" s="53"/>
      <c r="KLJ1379" s="53"/>
      <c r="KLK1379" s="53"/>
      <c r="KLL1379" s="53"/>
      <c r="KLM1379" s="53"/>
      <c r="KLN1379" s="53"/>
      <c r="KLO1379" s="53"/>
      <c r="KLP1379" s="53"/>
      <c r="KLQ1379" s="53"/>
      <c r="KLR1379" s="53"/>
      <c r="KLS1379" s="53"/>
      <c r="KLT1379" s="53"/>
      <c r="KLU1379" s="53"/>
      <c r="KLV1379" s="53"/>
      <c r="KLW1379" s="53"/>
      <c r="KLX1379" s="53"/>
      <c r="KLY1379" s="53"/>
      <c r="KLZ1379" s="53"/>
      <c r="KMA1379" s="53"/>
      <c r="KMB1379" s="53"/>
      <c r="KMC1379" s="53"/>
      <c r="KMD1379" s="53"/>
      <c r="KME1379" s="53"/>
      <c r="KMF1379" s="53"/>
      <c r="KMG1379" s="53"/>
      <c r="KMH1379" s="53"/>
      <c r="KMI1379" s="53"/>
      <c r="KMJ1379" s="53"/>
      <c r="KMK1379" s="53"/>
      <c r="KML1379" s="53"/>
      <c r="KMM1379" s="53"/>
      <c r="KMN1379" s="53"/>
      <c r="KMO1379" s="53"/>
      <c r="KMP1379" s="53"/>
      <c r="KMQ1379" s="53"/>
      <c r="KMR1379" s="53"/>
      <c r="KMS1379" s="53"/>
      <c r="KMT1379" s="53"/>
      <c r="KMU1379" s="53"/>
      <c r="KMV1379" s="53"/>
      <c r="KMW1379" s="53"/>
      <c r="KMX1379" s="53"/>
      <c r="KMY1379" s="53"/>
      <c r="KMZ1379" s="53"/>
      <c r="KNA1379" s="53"/>
      <c r="KNB1379" s="53"/>
      <c r="KNC1379" s="53"/>
      <c r="KND1379" s="53"/>
      <c r="KNE1379" s="53"/>
      <c r="KNF1379" s="53"/>
      <c r="KNG1379" s="53"/>
      <c r="KNH1379" s="53"/>
      <c r="KNI1379" s="53"/>
      <c r="KNJ1379" s="53"/>
      <c r="KNK1379" s="53"/>
      <c r="KNL1379" s="53"/>
      <c r="KNM1379" s="53"/>
      <c r="KNN1379" s="53"/>
      <c r="KNO1379" s="53"/>
      <c r="KNP1379" s="53"/>
      <c r="KNQ1379" s="53"/>
      <c r="KNR1379" s="53"/>
      <c r="KNS1379" s="53"/>
      <c r="KNT1379" s="53"/>
      <c r="KNU1379" s="53"/>
      <c r="KNV1379" s="53"/>
      <c r="KNW1379" s="53"/>
      <c r="KNX1379" s="53"/>
      <c r="KNY1379" s="53"/>
      <c r="KNZ1379" s="53"/>
      <c r="KOA1379" s="53"/>
      <c r="KOB1379" s="53"/>
      <c r="KOC1379" s="53"/>
      <c r="KOD1379" s="53"/>
      <c r="KOE1379" s="53"/>
      <c r="KOF1379" s="53"/>
      <c r="KOG1379" s="53"/>
      <c r="KOH1379" s="53"/>
      <c r="KOI1379" s="53"/>
      <c r="KOJ1379" s="53"/>
      <c r="KOK1379" s="53"/>
      <c r="KOL1379" s="53"/>
      <c r="KOM1379" s="53"/>
      <c r="KON1379" s="53"/>
      <c r="KOO1379" s="53"/>
      <c r="KOP1379" s="53"/>
      <c r="KOQ1379" s="53"/>
      <c r="KOR1379" s="53"/>
      <c r="KOS1379" s="53"/>
      <c r="KOT1379" s="53"/>
      <c r="KOU1379" s="53"/>
      <c r="KOV1379" s="53"/>
      <c r="KOW1379" s="53"/>
      <c r="KOX1379" s="53"/>
      <c r="KOY1379" s="53"/>
      <c r="KOZ1379" s="53"/>
      <c r="KPA1379" s="53"/>
      <c r="KPB1379" s="53"/>
      <c r="KPC1379" s="53"/>
      <c r="KPD1379" s="53"/>
      <c r="KPE1379" s="53"/>
      <c r="KPF1379" s="53"/>
      <c r="KPG1379" s="53"/>
      <c r="KPH1379" s="53"/>
      <c r="KPI1379" s="53"/>
      <c r="KPJ1379" s="53"/>
      <c r="KPK1379" s="53"/>
      <c r="KPL1379" s="53"/>
      <c r="KPM1379" s="53"/>
      <c r="KPN1379" s="53"/>
      <c r="KPO1379" s="53"/>
      <c r="KPP1379" s="53"/>
      <c r="KPQ1379" s="53"/>
      <c r="KPR1379" s="53"/>
      <c r="KPS1379" s="53"/>
      <c r="KPT1379" s="53"/>
      <c r="KPU1379" s="53"/>
      <c r="KPV1379" s="53"/>
      <c r="KPW1379" s="53"/>
      <c r="KPX1379" s="53"/>
      <c r="KPY1379" s="53"/>
      <c r="KPZ1379" s="53"/>
      <c r="KQA1379" s="53"/>
      <c r="KQB1379" s="53"/>
      <c r="KQC1379" s="53"/>
      <c r="KQD1379" s="53"/>
      <c r="KQE1379" s="53"/>
      <c r="KQF1379" s="53"/>
      <c r="KQG1379" s="53"/>
      <c r="KQH1379" s="53"/>
      <c r="KQI1379" s="53"/>
      <c r="KQJ1379" s="53"/>
      <c r="KQK1379" s="53"/>
      <c r="KQL1379" s="53"/>
      <c r="KQM1379" s="53"/>
      <c r="KQN1379" s="53"/>
      <c r="KQO1379" s="53"/>
      <c r="KQP1379" s="53"/>
      <c r="KQQ1379" s="53"/>
      <c r="KQR1379" s="53"/>
      <c r="KQS1379" s="53"/>
      <c r="KQT1379" s="53"/>
      <c r="KQU1379" s="53"/>
      <c r="KQV1379" s="53"/>
      <c r="KQW1379" s="53"/>
      <c r="KQX1379" s="53"/>
      <c r="KQY1379" s="53"/>
      <c r="KQZ1379" s="53"/>
      <c r="KRA1379" s="53"/>
      <c r="KRB1379" s="53"/>
      <c r="KRC1379" s="53"/>
      <c r="KRD1379" s="53"/>
      <c r="KRE1379" s="53"/>
      <c r="KRF1379" s="53"/>
      <c r="KRG1379" s="53"/>
      <c r="KRH1379" s="53"/>
      <c r="KRI1379" s="53"/>
      <c r="KRJ1379" s="53"/>
      <c r="KRK1379" s="53"/>
      <c r="KRL1379" s="53"/>
      <c r="KRM1379" s="53"/>
      <c r="KRN1379" s="53"/>
      <c r="KRO1379" s="53"/>
      <c r="KRP1379" s="53"/>
      <c r="KRQ1379" s="53"/>
      <c r="KRR1379" s="53"/>
      <c r="KRS1379" s="53"/>
      <c r="KRT1379" s="53"/>
      <c r="KRU1379" s="53"/>
      <c r="KRV1379" s="53"/>
      <c r="KRW1379" s="53"/>
      <c r="KRX1379" s="53"/>
      <c r="KRY1379" s="53"/>
      <c r="KRZ1379" s="53"/>
      <c r="KSA1379" s="53"/>
      <c r="KSB1379" s="53"/>
      <c r="KSC1379" s="53"/>
      <c r="KSD1379" s="53"/>
      <c r="KSE1379" s="53"/>
      <c r="KSF1379" s="53"/>
      <c r="KSG1379" s="53"/>
      <c r="KSH1379" s="53"/>
      <c r="KSI1379" s="53"/>
      <c r="KSJ1379" s="53"/>
      <c r="KSK1379" s="53"/>
      <c r="KSL1379" s="53"/>
      <c r="KSM1379" s="53"/>
      <c r="KSN1379" s="53"/>
      <c r="KSO1379" s="53"/>
      <c r="KSP1379" s="53"/>
      <c r="KSQ1379" s="53"/>
      <c r="KSR1379" s="53"/>
      <c r="KSS1379" s="53"/>
      <c r="KST1379" s="53"/>
      <c r="KSU1379" s="53"/>
      <c r="KSV1379" s="53"/>
      <c r="KSW1379" s="53"/>
      <c r="KSX1379" s="53"/>
      <c r="KSY1379" s="53"/>
      <c r="KSZ1379" s="53"/>
      <c r="KTA1379" s="53"/>
      <c r="KTB1379" s="53"/>
      <c r="KTC1379" s="53"/>
      <c r="KTD1379" s="53"/>
      <c r="KTE1379" s="53"/>
      <c r="KTF1379" s="53"/>
      <c r="KTG1379" s="53"/>
      <c r="KTH1379" s="53"/>
      <c r="KTI1379" s="53"/>
      <c r="KTJ1379" s="53"/>
      <c r="KTK1379" s="53"/>
      <c r="KTL1379" s="53"/>
      <c r="KTM1379" s="53"/>
      <c r="KTN1379" s="53"/>
      <c r="KTO1379" s="53"/>
      <c r="KTP1379" s="53"/>
      <c r="KTQ1379" s="53"/>
      <c r="KTR1379" s="53"/>
      <c r="KTS1379" s="53"/>
      <c r="KTT1379" s="53"/>
      <c r="KTU1379" s="53"/>
      <c r="KTV1379" s="53"/>
      <c r="KTW1379" s="53"/>
      <c r="KTX1379" s="53"/>
      <c r="KTY1379" s="53"/>
      <c r="KTZ1379" s="53"/>
      <c r="KUA1379" s="53"/>
      <c r="KUB1379" s="53"/>
      <c r="KUC1379" s="53"/>
      <c r="KUD1379" s="53"/>
      <c r="KUE1379" s="53"/>
      <c r="KUF1379" s="53"/>
      <c r="KUG1379" s="53"/>
      <c r="KUH1379" s="53"/>
      <c r="KUI1379" s="53"/>
      <c r="KUJ1379" s="53"/>
      <c r="KUK1379" s="53"/>
      <c r="KUL1379" s="53"/>
      <c r="KUM1379" s="53"/>
      <c r="KUN1379" s="53"/>
      <c r="KUO1379" s="53"/>
      <c r="KUP1379" s="53"/>
      <c r="KUQ1379" s="53"/>
      <c r="KUR1379" s="53"/>
      <c r="KUS1379" s="53"/>
      <c r="KUT1379" s="53"/>
      <c r="KUU1379" s="53"/>
      <c r="KUV1379" s="53"/>
      <c r="KUW1379" s="53"/>
      <c r="KUX1379" s="53"/>
      <c r="KUY1379" s="53"/>
      <c r="KUZ1379" s="53"/>
      <c r="KVA1379" s="53"/>
      <c r="KVB1379" s="53"/>
      <c r="KVC1379" s="53"/>
      <c r="KVD1379" s="53"/>
      <c r="KVE1379" s="53"/>
      <c r="KVF1379" s="53"/>
      <c r="KVG1379" s="53"/>
      <c r="KVH1379" s="53"/>
      <c r="KVI1379" s="53"/>
      <c r="KVJ1379" s="53"/>
      <c r="KVK1379" s="53"/>
      <c r="KVL1379" s="53"/>
      <c r="KVM1379" s="53"/>
      <c r="KVN1379" s="53"/>
      <c r="KVO1379" s="53"/>
      <c r="KVP1379" s="53"/>
      <c r="KVQ1379" s="53"/>
      <c r="KVR1379" s="53"/>
      <c r="KVS1379" s="53"/>
      <c r="KVT1379" s="53"/>
      <c r="KVU1379" s="53"/>
      <c r="KVV1379" s="53"/>
      <c r="KVW1379" s="53"/>
      <c r="KVX1379" s="53"/>
      <c r="KVY1379" s="53"/>
      <c r="KVZ1379" s="53"/>
      <c r="KWA1379" s="53"/>
      <c r="KWB1379" s="53"/>
      <c r="KWC1379" s="53"/>
      <c r="KWD1379" s="53"/>
      <c r="KWE1379" s="53"/>
      <c r="KWF1379" s="53"/>
      <c r="KWG1379" s="53"/>
      <c r="KWH1379" s="53"/>
      <c r="KWI1379" s="53"/>
      <c r="KWJ1379" s="53"/>
      <c r="KWK1379" s="53"/>
      <c r="KWL1379" s="53"/>
      <c r="KWM1379" s="53"/>
      <c r="KWN1379" s="53"/>
      <c r="KWO1379" s="53"/>
      <c r="KWP1379" s="53"/>
      <c r="KWQ1379" s="53"/>
      <c r="KWR1379" s="53"/>
      <c r="KWS1379" s="53"/>
      <c r="KWT1379" s="53"/>
      <c r="KWU1379" s="53"/>
      <c r="KWV1379" s="53"/>
      <c r="KWW1379" s="53"/>
      <c r="KWX1379" s="53"/>
      <c r="KWY1379" s="53"/>
      <c r="KWZ1379" s="53"/>
      <c r="KXA1379" s="53"/>
      <c r="KXB1379" s="53"/>
      <c r="KXC1379" s="53"/>
      <c r="KXD1379" s="53"/>
      <c r="KXE1379" s="53"/>
      <c r="KXF1379" s="53"/>
      <c r="KXG1379" s="53"/>
      <c r="KXH1379" s="53"/>
      <c r="KXI1379" s="53"/>
      <c r="KXJ1379" s="53"/>
      <c r="KXK1379" s="53"/>
      <c r="KXL1379" s="53"/>
      <c r="KXM1379" s="53"/>
      <c r="KXN1379" s="53"/>
      <c r="KXO1379" s="53"/>
      <c r="KXP1379" s="53"/>
      <c r="KXQ1379" s="53"/>
      <c r="KXR1379" s="53"/>
      <c r="KXS1379" s="53"/>
      <c r="KXT1379" s="53"/>
      <c r="KXU1379" s="53"/>
      <c r="KXV1379" s="53"/>
      <c r="KXW1379" s="53"/>
      <c r="KXX1379" s="53"/>
      <c r="KXY1379" s="53"/>
      <c r="KXZ1379" s="53"/>
      <c r="KYA1379" s="53"/>
      <c r="KYB1379" s="53"/>
      <c r="KYC1379" s="53"/>
      <c r="KYD1379" s="53"/>
      <c r="KYE1379" s="53"/>
      <c r="KYF1379" s="53"/>
      <c r="KYG1379" s="53"/>
      <c r="KYH1379" s="53"/>
      <c r="KYI1379" s="53"/>
      <c r="KYJ1379" s="53"/>
      <c r="KYK1379" s="53"/>
      <c r="KYL1379" s="53"/>
      <c r="KYM1379" s="53"/>
      <c r="KYN1379" s="53"/>
      <c r="KYO1379" s="53"/>
      <c r="KYP1379" s="53"/>
      <c r="KYQ1379" s="53"/>
      <c r="KYR1379" s="53"/>
      <c r="KYS1379" s="53"/>
      <c r="KYT1379" s="53"/>
      <c r="KYU1379" s="53"/>
      <c r="KYV1379" s="53"/>
      <c r="KYW1379" s="53"/>
      <c r="KYX1379" s="53"/>
      <c r="KYY1379" s="53"/>
      <c r="KYZ1379" s="53"/>
      <c r="KZA1379" s="53"/>
      <c r="KZB1379" s="53"/>
      <c r="KZC1379" s="53"/>
      <c r="KZD1379" s="53"/>
      <c r="KZE1379" s="53"/>
      <c r="KZF1379" s="53"/>
      <c r="KZG1379" s="53"/>
      <c r="KZH1379" s="53"/>
      <c r="KZI1379" s="53"/>
      <c r="KZJ1379" s="53"/>
      <c r="KZK1379" s="53"/>
      <c r="KZL1379" s="53"/>
      <c r="KZM1379" s="53"/>
      <c r="KZN1379" s="53"/>
      <c r="KZO1379" s="53"/>
      <c r="KZP1379" s="53"/>
      <c r="KZQ1379" s="53"/>
      <c r="KZR1379" s="53"/>
      <c r="KZS1379" s="53"/>
      <c r="KZT1379" s="53"/>
      <c r="KZU1379" s="53"/>
      <c r="KZV1379" s="53"/>
      <c r="KZW1379" s="53"/>
      <c r="KZX1379" s="53"/>
      <c r="KZY1379" s="53"/>
      <c r="KZZ1379" s="53"/>
      <c r="LAA1379" s="53"/>
      <c r="LAB1379" s="53"/>
      <c r="LAC1379" s="53"/>
      <c r="LAD1379" s="53"/>
      <c r="LAE1379" s="53"/>
      <c r="LAF1379" s="53"/>
      <c r="LAG1379" s="53"/>
      <c r="LAH1379" s="53"/>
      <c r="LAI1379" s="53"/>
      <c r="LAJ1379" s="53"/>
      <c r="LAK1379" s="53"/>
      <c r="LAL1379" s="53"/>
      <c r="LAM1379" s="53"/>
      <c r="LAN1379" s="53"/>
      <c r="LAO1379" s="53"/>
      <c r="LAP1379" s="53"/>
      <c r="LAQ1379" s="53"/>
      <c r="LAR1379" s="53"/>
      <c r="LAS1379" s="53"/>
      <c r="LAT1379" s="53"/>
      <c r="LAU1379" s="53"/>
      <c r="LAV1379" s="53"/>
      <c r="LAW1379" s="53"/>
      <c r="LAX1379" s="53"/>
      <c r="LAY1379" s="53"/>
      <c r="LAZ1379" s="53"/>
      <c r="LBA1379" s="53"/>
      <c r="LBB1379" s="53"/>
      <c r="LBC1379" s="53"/>
      <c r="LBD1379" s="53"/>
      <c r="LBE1379" s="53"/>
      <c r="LBF1379" s="53"/>
      <c r="LBG1379" s="53"/>
      <c r="LBH1379" s="53"/>
      <c r="LBI1379" s="53"/>
      <c r="LBJ1379" s="53"/>
      <c r="LBK1379" s="53"/>
      <c r="LBL1379" s="53"/>
      <c r="LBM1379" s="53"/>
      <c r="LBN1379" s="53"/>
      <c r="LBO1379" s="53"/>
      <c r="LBP1379" s="53"/>
      <c r="LBQ1379" s="53"/>
      <c r="LBR1379" s="53"/>
      <c r="LBS1379" s="53"/>
      <c r="LBT1379" s="53"/>
      <c r="LBU1379" s="53"/>
      <c r="LBV1379" s="53"/>
      <c r="LBW1379" s="53"/>
      <c r="LBX1379" s="53"/>
      <c r="LBY1379" s="53"/>
      <c r="LBZ1379" s="53"/>
      <c r="LCA1379" s="53"/>
      <c r="LCB1379" s="53"/>
      <c r="LCC1379" s="53"/>
      <c r="LCD1379" s="53"/>
      <c r="LCE1379" s="53"/>
      <c r="LCF1379" s="53"/>
      <c r="LCG1379" s="53"/>
      <c r="LCH1379" s="53"/>
      <c r="LCI1379" s="53"/>
      <c r="LCJ1379" s="53"/>
      <c r="LCK1379" s="53"/>
      <c r="LCL1379" s="53"/>
      <c r="LCM1379" s="53"/>
      <c r="LCN1379" s="53"/>
      <c r="LCO1379" s="53"/>
      <c r="LCP1379" s="53"/>
      <c r="LCQ1379" s="53"/>
      <c r="LCR1379" s="53"/>
      <c r="LCS1379" s="53"/>
      <c r="LCT1379" s="53"/>
      <c r="LCU1379" s="53"/>
      <c r="LCV1379" s="53"/>
      <c r="LCW1379" s="53"/>
      <c r="LCX1379" s="53"/>
      <c r="LCY1379" s="53"/>
      <c r="LCZ1379" s="53"/>
      <c r="LDA1379" s="53"/>
      <c r="LDB1379" s="53"/>
      <c r="LDC1379" s="53"/>
      <c r="LDD1379" s="53"/>
      <c r="LDE1379" s="53"/>
      <c r="LDF1379" s="53"/>
      <c r="LDG1379" s="53"/>
      <c r="LDH1379" s="53"/>
      <c r="LDI1379" s="53"/>
      <c r="LDJ1379" s="53"/>
      <c r="LDK1379" s="53"/>
      <c r="LDL1379" s="53"/>
      <c r="LDM1379" s="53"/>
      <c r="LDN1379" s="53"/>
      <c r="LDO1379" s="53"/>
      <c r="LDP1379" s="53"/>
      <c r="LDQ1379" s="53"/>
      <c r="LDR1379" s="53"/>
      <c r="LDS1379" s="53"/>
      <c r="LDT1379" s="53"/>
      <c r="LDU1379" s="53"/>
      <c r="LDV1379" s="53"/>
      <c r="LDW1379" s="53"/>
      <c r="LDX1379" s="53"/>
      <c r="LDY1379" s="53"/>
      <c r="LDZ1379" s="53"/>
      <c r="LEA1379" s="53"/>
      <c r="LEB1379" s="53"/>
      <c r="LEC1379" s="53"/>
      <c r="LED1379" s="53"/>
      <c r="LEE1379" s="53"/>
      <c r="LEF1379" s="53"/>
      <c r="LEG1379" s="53"/>
      <c r="LEH1379" s="53"/>
      <c r="LEI1379" s="53"/>
      <c r="LEJ1379" s="53"/>
      <c r="LEK1379" s="53"/>
      <c r="LEL1379" s="53"/>
      <c r="LEM1379" s="53"/>
      <c r="LEN1379" s="53"/>
      <c r="LEO1379" s="53"/>
      <c r="LEP1379" s="53"/>
      <c r="LEQ1379" s="53"/>
      <c r="LER1379" s="53"/>
      <c r="LES1379" s="53"/>
      <c r="LET1379" s="53"/>
      <c r="LEU1379" s="53"/>
      <c r="LEV1379" s="53"/>
      <c r="LEW1379" s="53"/>
      <c r="LEX1379" s="53"/>
      <c r="LEY1379" s="53"/>
      <c r="LEZ1379" s="53"/>
      <c r="LFA1379" s="53"/>
      <c r="LFB1379" s="53"/>
      <c r="LFC1379" s="53"/>
      <c r="LFD1379" s="53"/>
      <c r="LFE1379" s="53"/>
      <c r="LFF1379" s="53"/>
      <c r="LFG1379" s="53"/>
      <c r="LFH1379" s="53"/>
      <c r="LFI1379" s="53"/>
      <c r="LFJ1379" s="53"/>
      <c r="LFK1379" s="53"/>
      <c r="LFL1379" s="53"/>
      <c r="LFM1379" s="53"/>
      <c r="LFN1379" s="53"/>
      <c r="LFO1379" s="53"/>
      <c r="LFP1379" s="53"/>
      <c r="LFQ1379" s="53"/>
      <c r="LFR1379" s="53"/>
      <c r="LFS1379" s="53"/>
      <c r="LFT1379" s="53"/>
      <c r="LFU1379" s="53"/>
      <c r="LFV1379" s="53"/>
      <c r="LFW1379" s="53"/>
      <c r="LFX1379" s="53"/>
      <c r="LFY1379" s="53"/>
      <c r="LFZ1379" s="53"/>
      <c r="LGA1379" s="53"/>
      <c r="LGB1379" s="53"/>
      <c r="LGC1379" s="53"/>
      <c r="LGD1379" s="53"/>
      <c r="LGE1379" s="53"/>
      <c r="LGF1379" s="53"/>
      <c r="LGG1379" s="53"/>
      <c r="LGH1379" s="53"/>
      <c r="LGI1379" s="53"/>
      <c r="LGJ1379" s="53"/>
      <c r="LGK1379" s="53"/>
      <c r="LGL1379" s="53"/>
      <c r="LGM1379" s="53"/>
      <c r="LGN1379" s="53"/>
      <c r="LGO1379" s="53"/>
      <c r="LGP1379" s="53"/>
      <c r="LGQ1379" s="53"/>
      <c r="LGR1379" s="53"/>
      <c r="LGS1379" s="53"/>
      <c r="LGT1379" s="53"/>
      <c r="LGU1379" s="53"/>
      <c r="LGV1379" s="53"/>
      <c r="LGW1379" s="53"/>
      <c r="LGX1379" s="53"/>
      <c r="LGY1379" s="53"/>
      <c r="LGZ1379" s="53"/>
      <c r="LHA1379" s="53"/>
      <c r="LHB1379" s="53"/>
      <c r="LHC1379" s="53"/>
      <c r="LHD1379" s="53"/>
      <c r="LHE1379" s="53"/>
      <c r="LHF1379" s="53"/>
      <c r="LHG1379" s="53"/>
      <c r="LHH1379" s="53"/>
      <c r="LHI1379" s="53"/>
      <c r="LHJ1379" s="53"/>
      <c r="LHK1379" s="53"/>
      <c r="LHL1379" s="53"/>
      <c r="LHM1379" s="53"/>
      <c r="LHN1379" s="53"/>
      <c r="LHO1379" s="53"/>
      <c r="LHP1379" s="53"/>
      <c r="LHQ1379" s="53"/>
      <c r="LHR1379" s="53"/>
      <c r="LHS1379" s="53"/>
      <c r="LHT1379" s="53"/>
      <c r="LHU1379" s="53"/>
      <c r="LHV1379" s="53"/>
      <c r="LHW1379" s="53"/>
      <c r="LHX1379" s="53"/>
      <c r="LHY1379" s="53"/>
      <c r="LHZ1379" s="53"/>
      <c r="LIA1379" s="53"/>
      <c r="LIB1379" s="53"/>
      <c r="LIC1379" s="53"/>
      <c r="LID1379" s="53"/>
      <c r="LIE1379" s="53"/>
      <c r="LIF1379" s="53"/>
      <c r="LIG1379" s="53"/>
      <c r="LIH1379" s="53"/>
      <c r="LII1379" s="53"/>
      <c r="LIJ1379" s="53"/>
      <c r="LIK1379" s="53"/>
      <c r="LIL1379" s="53"/>
      <c r="LIM1379" s="53"/>
      <c r="LIN1379" s="53"/>
      <c r="LIO1379" s="53"/>
      <c r="LIP1379" s="53"/>
      <c r="LIQ1379" s="53"/>
      <c r="LIR1379" s="53"/>
      <c r="LIS1379" s="53"/>
      <c r="LIT1379" s="53"/>
      <c r="LIU1379" s="53"/>
      <c r="LIV1379" s="53"/>
      <c r="LIW1379" s="53"/>
      <c r="LIX1379" s="53"/>
      <c r="LIY1379" s="53"/>
      <c r="LIZ1379" s="53"/>
      <c r="LJA1379" s="53"/>
      <c r="LJB1379" s="53"/>
      <c r="LJC1379" s="53"/>
      <c r="LJD1379" s="53"/>
      <c r="LJE1379" s="53"/>
      <c r="LJF1379" s="53"/>
      <c r="LJG1379" s="53"/>
      <c r="LJH1379" s="53"/>
      <c r="LJI1379" s="53"/>
      <c r="LJJ1379" s="53"/>
      <c r="LJK1379" s="53"/>
      <c r="LJL1379" s="53"/>
      <c r="LJM1379" s="53"/>
      <c r="LJN1379" s="53"/>
      <c r="LJO1379" s="53"/>
      <c r="LJP1379" s="53"/>
      <c r="LJQ1379" s="53"/>
      <c r="LJR1379" s="53"/>
      <c r="LJS1379" s="53"/>
      <c r="LJT1379" s="53"/>
      <c r="LJU1379" s="53"/>
      <c r="LJV1379" s="53"/>
      <c r="LJW1379" s="53"/>
      <c r="LJX1379" s="53"/>
      <c r="LJY1379" s="53"/>
      <c r="LJZ1379" s="53"/>
      <c r="LKA1379" s="53"/>
      <c r="LKB1379" s="53"/>
      <c r="LKC1379" s="53"/>
      <c r="LKD1379" s="53"/>
      <c r="LKE1379" s="53"/>
      <c r="LKF1379" s="53"/>
      <c r="LKG1379" s="53"/>
      <c r="LKH1379" s="53"/>
      <c r="LKI1379" s="53"/>
      <c r="LKJ1379" s="53"/>
      <c r="LKK1379" s="53"/>
      <c r="LKL1379" s="53"/>
      <c r="LKM1379" s="53"/>
      <c r="LKN1379" s="53"/>
      <c r="LKO1379" s="53"/>
      <c r="LKP1379" s="53"/>
      <c r="LKQ1379" s="53"/>
      <c r="LKR1379" s="53"/>
      <c r="LKS1379" s="53"/>
      <c r="LKT1379" s="53"/>
      <c r="LKU1379" s="53"/>
      <c r="LKV1379" s="53"/>
      <c r="LKW1379" s="53"/>
      <c r="LKX1379" s="53"/>
      <c r="LKY1379" s="53"/>
      <c r="LKZ1379" s="53"/>
      <c r="LLA1379" s="53"/>
      <c r="LLB1379" s="53"/>
      <c r="LLC1379" s="53"/>
      <c r="LLD1379" s="53"/>
      <c r="LLE1379" s="53"/>
      <c r="LLF1379" s="53"/>
      <c r="LLG1379" s="53"/>
      <c r="LLH1379" s="53"/>
      <c r="LLI1379" s="53"/>
      <c r="LLJ1379" s="53"/>
      <c r="LLK1379" s="53"/>
      <c r="LLL1379" s="53"/>
      <c r="LLM1379" s="53"/>
      <c r="LLN1379" s="53"/>
      <c r="LLO1379" s="53"/>
      <c r="LLP1379" s="53"/>
      <c r="LLQ1379" s="53"/>
      <c r="LLR1379" s="53"/>
      <c r="LLS1379" s="53"/>
      <c r="LLT1379" s="53"/>
      <c r="LLU1379" s="53"/>
      <c r="LLV1379" s="53"/>
      <c r="LLW1379" s="53"/>
      <c r="LLX1379" s="53"/>
      <c r="LLY1379" s="53"/>
      <c r="LLZ1379" s="53"/>
      <c r="LMA1379" s="53"/>
      <c r="LMB1379" s="53"/>
      <c r="LMC1379" s="53"/>
      <c r="LMD1379" s="53"/>
      <c r="LME1379" s="53"/>
      <c r="LMF1379" s="53"/>
      <c r="LMG1379" s="53"/>
      <c r="LMH1379" s="53"/>
      <c r="LMI1379" s="53"/>
      <c r="LMJ1379" s="53"/>
      <c r="LMK1379" s="53"/>
      <c r="LML1379" s="53"/>
      <c r="LMM1379" s="53"/>
      <c r="LMN1379" s="53"/>
      <c r="LMO1379" s="53"/>
      <c r="LMP1379" s="53"/>
      <c r="LMQ1379" s="53"/>
      <c r="LMR1379" s="53"/>
      <c r="LMS1379" s="53"/>
      <c r="LMT1379" s="53"/>
      <c r="LMU1379" s="53"/>
      <c r="LMV1379" s="53"/>
      <c r="LMW1379" s="53"/>
      <c r="LMX1379" s="53"/>
      <c r="LMY1379" s="53"/>
      <c r="LMZ1379" s="53"/>
      <c r="LNA1379" s="53"/>
      <c r="LNB1379" s="53"/>
      <c r="LNC1379" s="53"/>
      <c r="LND1379" s="53"/>
      <c r="LNE1379" s="53"/>
      <c r="LNF1379" s="53"/>
      <c r="LNG1379" s="53"/>
      <c r="LNH1379" s="53"/>
      <c r="LNI1379" s="53"/>
      <c r="LNJ1379" s="53"/>
      <c r="LNK1379" s="53"/>
      <c r="LNL1379" s="53"/>
      <c r="LNM1379" s="53"/>
      <c r="LNN1379" s="53"/>
      <c r="LNO1379" s="53"/>
      <c r="LNP1379" s="53"/>
      <c r="LNQ1379" s="53"/>
      <c r="LNR1379" s="53"/>
      <c r="LNS1379" s="53"/>
      <c r="LNT1379" s="53"/>
      <c r="LNU1379" s="53"/>
      <c r="LNV1379" s="53"/>
      <c r="LNW1379" s="53"/>
      <c r="LNX1379" s="53"/>
      <c r="LNY1379" s="53"/>
      <c r="LNZ1379" s="53"/>
      <c r="LOA1379" s="53"/>
      <c r="LOB1379" s="53"/>
      <c r="LOC1379" s="53"/>
      <c r="LOD1379" s="53"/>
      <c r="LOE1379" s="53"/>
      <c r="LOF1379" s="53"/>
      <c r="LOG1379" s="53"/>
      <c r="LOH1379" s="53"/>
      <c r="LOI1379" s="53"/>
      <c r="LOJ1379" s="53"/>
      <c r="LOK1379" s="53"/>
      <c r="LOL1379" s="53"/>
      <c r="LOM1379" s="53"/>
      <c r="LON1379" s="53"/>
      <c r="LOO1379" s="53"/>
      <c r="LOP1379" s="53"/>
      <c r="LOQ1379" s="53"/>
      <c r="LOR1379" s="53"/>
      <c r="LOS1379" s="53"/>
      <c r="LOT1379" s="53"/>
      <c r="LOU1379" s="53"/>
      <c r="LOV1379" s="53"/>
      <c r="LOW1379" s="53"/>
      <c r="LOX1379" s="53"/>
      <c r="LOY1379" s="53"/>
      <c r="LOZ1379" s="53"/>
      <c r="LPA1379" s="53"/>
      <c r="LPB1379" s="53"/>
      <c r="LPC1379" s="53"/>
      <c r="LPD1379" s="53"/>
      <c r="LPE1379" s="53"/>
      <c r="LPF1379" s="53"/>
      <c r="LPG1379" s="53"/>
      <c r="LPH1379" s="53"/>
      <c r="LPI1379" s="53"/>
      <c r="LPJ1379" s="53"/>
      <c r="LPK1379" s="53"/>
      <c r="LPL1379" s="53"/>
      <c r="LPM1379" s="53"/>
      <c r="LPN1379" s="53"/>
      <c r="LPO1379" s="53"/>
      <c r="LPP1379" s="53"/>
      <c r="LPQ1379" s="53"/>
      <c r="LPR1379" s="53"/>
      <c r="LPS1379" s="53"/>
      <c r="LPT1379" s="53"/>
      <c r="LPU1379" s="53"/>
      <c r="LPV1379" s="53"/>
      <c r="LPW1379" s="53"/>
      <c r="LPX1379" s="53"/>
      <c r="LPY1379" s="53"/>
      <c r="LPZ1379" s="53"/>
      <c r="LQA1379" s="53"/>
      <c r="LQB1379" s="53"/>
      <c r="LQC1379" s="53"/>
      <c r="LQD1379" s="53"/>
      <c r="LQE1379" s="53"/>
      <c r="LQF1379" s="53"/>
      <c r="LQG1379" s="53"/>
      <c r="LQH1379" s="53"/>
      <c r="LQI1379" s="53"/>
      <c r="LQJ1379" s="53"/>
      <c r="LQK1379" s="53"/>
      <c r="LQL1379" s="53"/>
      <c r="LQM1379" s="53"/>
      <c r="LQN1379" s="53"/>
      <c r="LQO1379" s="53"/>
      <c r="LQP1379" s="53"/>
      <c r="LQQ1379" s="53"/>
      <c r="LQR1379" s="53"/>
      <c r="LQS1379" s="53"/>
      <c r="LQT1379" s="53"/>
      <c r="LQU1379" s="53"/>
      <c r="LQV1379" s="53"/>
      <c r="LQW1379" s="53"/>
      <c r="LQX1379" s="53"/>
      <c r="LQY1379" s="53"/>
      <c r="LQZ1379" s="53"/>
      <c r="LRA1379" s="53"/>
      <c r="LRB1379" s="53"/>
      <c r="LRC1379" s="53"/>
      <c r="LRD1379" s="53"/>
      <c r="LRE1379" s="53"/>
      <c r="LRF1379" s="53"/>
      <c r="LRG1379" s="53"/>
      <c r="LRH1379" s="53"/>
      <c r="LRI1379" s="53"/>
      <c r="LRJ1379" s="53"/>
      <c r="LRK1379" s="53"/>
      <c r="LRL1379" s="53"/>
      <c r="LRM1379" s="53"/>
      <c r="LRN1379" s="53"/>
      <c r="LRO1379" s="53"/>
      <c r="LRP1379" s="53"/>
      <c r="LRQ1379" s="53"/>
      <c r="LRR1379" s="53"/>
      <c r="LRS1379" s="53"/>
      <c r="LRT1379" s="53"/>
      <c r="LRU1379" s="53"/>
      <c r="LRV1379" s="53"/>
      <c r="LRW1379" s="53"/>
      <c r="LRX1379" s="53"/>
      <c r="LRY1379" s="53"/>
      <c r="LRZ1379" s="53"/>
      <c r="LSA1379" s="53"/>
      <c r="LSB1379" s="53"/>
      <c r="LSC1379" s="53"/>
      <c r="LSD1379" s="53"/>
      <c r="LSE1379" s="53"/>
      <c r="LSF1379" s="53"/>
      <c r="LSG1379" s="53"/>
      <c r="LSH1379" s="53"/>
      <c r="LSI1379" s="53"/>
      <c r="LSJ1379" s="53"/>
      <c r="LSK1379" s="53"/>
      <c r="LSL1379" s="53"/>
      <c r="LSM1379" s="53"/>
      <c r="LSN1379" s="53"/>
      <c r="LSO1379" s="53"/>
      <c r="LSP1379" s="53"/>
      <c r="LSQ1379" s="53"/>
      <c r="LSR1379" s="53"/>
      <c r="LSS1379" s="53"/>
      <c r="LST1379" s="53"/>
      <c r="LSU1379" s="53"/>
      <c r="LSV1379" s="53"/>
      <c r="LSW1379" s="53"/>
      <c r="LSX1379" s="53"/>
      <c r="LSY1379" s="53"/>
      <c r="LSZ1379" s="53"/>
      <c r="LTA1379" s="53"/>
      <c r="LTB1379" s="53"/>
      <c r="LTC1379" s="53"/>
      <c r="LTD1379" s="53"/>
      <c r="LTE1379" s="53"/>
      <c r="LTF1379" s="53"/>
      <c r="LTG1379" s="53"/>
      <c r="LTH1379" s="53"/>
      <c r="LTI1379" s="53"/>
      <c r="LTJ1379" s="53"/>
      <c r="LTK1379" s="53"/>
      <c r="LTL1379" s="53"/>
      <c r="LTM1379" s="53"/>
      <c r="LTN1379" s="53"/>
      <c r="LTO1379" s="53"/>
      <c r="LTP1379" s="53"/>
      <c r="LTQ1379" s="53"/>
      <c r="LTR1379" s="53"/>
      <c r="LTS1379" s="53"/>
      <c r="LTT1379" s="53"/>
      <c r="LTU1379" s="53"/>
      <c r="LTV1379" s="53"/>
      <c r="LTW1379" s="53"/>
      <c r="LTX1379" s="53"/>
      <c r="LTY1379" s="53"/>
      <c r="LTZ1379" s="53"/>
      <c r="LUA1379" s="53"/>
      <c r="LUB1379" s="53"/>
      <c r="LUC1379" s="53"/>
      <c r="LUD1379" s="53"/>
      <c r="LUE1379" s="53"/>
      <c r="LUF1379" s="53"/>
      <c r="LUG1379" s="53"/>
      <c r="LUH1379" s="53"/>
      <c r="LUI1379" s="53"/>
      <c r="LUJ1379" s="53"/>
      <c r="LUK1379" s="53"/>
      <c r="LUL1379" s="53"/>
      <c r="LUM1379" s="53"/>
      <c r="LUN1379" s="53"/>
      <c r="LUO1379" s="53"/>
      <c r="LUP1379" s="53"/>
      <c r="LUQ1379" s="53"/>
      <c r="LUR1379" s="53"/>
      <c r="LUS1379" s="53"/>
      <c r="LUT1379" s="53"/>
      <c r="LUU1379" s="53"/>
      <c r="LUV1379" s="53"/>
      <c r="LUW1379" s="53"/>
      <c r="LUX1379" s="53"/>
      <c r="LUY1379" s="53"/>
      <c r="LUZ1379" s="53"/>
      <c r="LVA1379" s="53"/>
      <c r="LVB1379" s="53"/>
      <c r="LVC1379" s="53"/>
      <c r="LVD1379" s="53"/>
      <c r="LVE1379" s="53"/>
      <c r="LVF1379" s="53"/>
      <c r="LVG1379" s="53"/>
      <c r="LVH1379" s="53"/>
      <c r="LVI1379" s="53"/>
      <c r="LVJ1379" s="53"/>
      <c r="LVK1379" s="53"/>
      <c r="LVL1379" s="53"/>
      <c r="LVM1379" s="53"/>
      <c r="LVN1379" s="53"/>
      <c r="LVO1379" s="53"/>
      <c r="LVP1379" s="53"/>
      <c r="LVQ1379" s="53"/>
      <c r="LVR1379" s="53"/>
      <c r="LVS1379" s="53"/>
      <c r="LVT1379" s="53"/>
      <c r="LVU1379" s="53"/>
      <c r="LVV1379" s="53"/>
      <c r="LVW1379" s="53"/>
      <c r="LVX1379" s="53"/>
      <c r="LVY1379" s="53"/>
      <c r="LVZ1379" s="53"/>
      <c r="LWA1379" s="53"/>
      <c r="LWB1379" s="53"/>
      <c r="LWC1379" s="53"/>
      <c r="LWD1379" s="53"/>
      <c r="LWE1379" s="53"/>
      <c r="LWF1379" s="53"/>
      <c r="LWG1379" s="53"/>
      <c r="LWH1379" s="53"/>
      <c r="LWI1379" s="53"/>
      <c r="LWJ1379" s="53"/>
      <c r="LWK1379" s="53"/>
      <c r="LWL1379" s="53"/>
      <c r="LWM1379" s="53"/>
      <c r="LWN1379" s="53"/>
      <c r="LWO1379" s="53"/>
      <c r="LWP1379" s="53"/>
      <c r="LWQ1379" s="53"/>
      <c r="LWR1379" s="53"/>
      <c r="LWS1379" s="53"/>
      <c r="LWT1379" s="53"/>
      <c r="LWU1379" s="53"/>
      <c r="LWV1379" s="53"/>
      <c r="LWW1379" s="53"/>
      <c r="LWX1379" s="53"/>
      <c r="LWY1379" s="53"/>
      <c r="LWZ1379" s="53"/>
      <c r="LXA1379" s="53"/>
      <c r="LXB1379" s="53"/>
      <c r="LXC1379" s="53"/>
      <c r="LXD1379" s="53"/>
      <c r="LXE1379" s="53"/>
      <c r="LXF1379" s="53"/>
      <c r="LXG1379" s="53"/>
      <c r="LXH1379" s="53"/>
      <c r="LXI1379" s="53"/>
      <c r="LXJ1379" s="53"/>
      <c r="LXK1379" s="53"/>
      <c r="LXL1379" s="53"/>
      <c r="LXM1379" s="53"/>
      <c r="LXN1379" s="53"/>
      <c r="LXO1379" s="53"/>
      <c r="LXP1379" s="53"/>
      <c r="LXQ1379" s="53"/>
      <c r="LXR1379" s="53"/>
      <c r="LXS1379" s="53"/>
      <c r="LXT1379" s="53"/>
      <c r="LXU1379" s="53"/>
      <c r="LXV1379" s="53"/>
      <c r="LXW1379" s="53"/>
      <c r="LXX1379" s="53"/>
      <c r="LXY1379" s="53"/>
      <c r="LXZ1379" s="53"/>
      <c r="LYA1379" s="53"/>
      <c r="LYB1379" s="53"/>
      <c r="LYC1379" s="53"/>
      <c r="LYD1379" s="53"/>
      <c r="LYE1379" s="53"/>
      <c r="LYF1379" s="53"/>
      <c r="LYG1379" s="53"/>
      <c r="LYH1379" s="53"/>
      <c r="LYI1379" s="53"/>
      <c r="LYJ1379" s="53"/>
      <c r="LYK1379" s="53"/>
      <c r="LYL1379" s="53"/>
      <c r="LYM1379" s="53"/>
      <c r="LYN1379" s="53"/>
      <c r="LYO1379" s="53"/>
      <c r="LYP1379" s="53"/>
      <c r="LYQ1379" s="53"/>
      <c r="LYR1379" s="53"/>
      <c r="LYS1379" s="53"/>
      <c r="LYT1379" s="53"/>
      <c r="LYU1379" s="53"/>
      <c r="LYV1379" s="53"/>
      <c r="LYW1379" s="53"/>
      <c r="LYX1379" s="53"/>
      <c r="LYY1379" s="53"/>
      <c r="LYZ1379" s="53"/>
      <c r="LZA1379" s="53"/>
      <c r="LZB1379" s="53"/>
      <c r="LZC1379" s="53"/>
      <c r="LZD1379" s="53"/>
      <c r="LZE1379" s="53"/>
      <c r="LZF1379" s="53"/>
      <c r="LZG1379" s="53"/>
      <c r="LZH1379" s="53"/>
      <c r="LZI1379" s="53"/>
      <c r="LZJ1379" s="53"/>
      <c r="LZK1379" s="53"/>
      <c r="LZL1379" s="53"/>
      <c r="LZM1379" s="53"/>
      <c r="LZN1379" s="53"/>
      <c r="LZO1379" s="53"/>
      <c r="LZP1379" s="53"/>
      <c r="LZQ1379" s="53"/>
      <c r="LZR1379" s="53"/>
      <c r="LZS1379" s="53"/>
      <c r="LZT1379" s="53"/>
      <c r="LZU1379" s="53"/>
      <c r="LZV1379" s="53"/>
      <c r="LZW1379" s="53"/>
      <c r="LZX1379" s="53"/>
      <c r="LZY1379" s="53"/>
      <c r="LZZ1379" s="53"/>
      <c r="MAA1379" s="53"/>
      <c r="MAB1379" s="53"/>
      <c r="MAC1379" s="53"/>
      <c r="MAD1379" s="53"/>
      <c r="MAE1379" s="53"/>
      <c r="MAF1379" s="53"/>
      <c r="MAG1379" s="53"/>
      <c r="MAH1379" s="53"/>
      <c r="MAI1379" s="53"/>
      <c r="MAJ1379" s="53"/>
      <c r="MAK1379" s="53"/>
      <c r="MAL1379" s="53"/>
      <c r="MAM1379" s="53"/>
      <c r="MAN1379" s="53"/>
      <c r="MAO1379" s="53"/>
      <c r="MAP1379" s="53"/>
      <c r="MAQ1379" s="53"/>
      <c r="MAR1379" s="53"/>
      <c r="MAS1379" s="53"/>
      <c r="MAT1379" s="53"/>
      <c r="MAU1379" s="53"/>
      <c r="MAV1379" s="53"/>
      <c r="MAW1379" s="53"/>
      <c r="MAX1379" s="53"/>
      <c r="MAY1379" s="53"/>
      <c r="MAZ1379" s="53"/>
      <c r="MBA1379" s="53"/>
      <c r="MBB1379" s="53"/>
      <c r="MBC1379" s="53"/>
      <c r="MBD1379" s="53"/>
      <c r="MBE1379" s="53"/>
      <c r="MBF1379" s="53"/>
      <c r="MBG1379" s="53"/>
      <c r="MBH1379" s="53"/>
      <c r="MBI1379" s="53"/>
      <c r="MBJ1379" s="53"/>
      <c r="MBK1379" s="53"/>
      <c r="MBL1379" s="53"/>
      <c r="MBM1379" s="53"/>
      <c r="MBN1379" s="53"/>
      <c r="MBO1379" s="53"/>
      <c r="MBP1379" s="53"/>
      <c r="MBQ1379" s="53"/>
      <c r="MBR1379" s="53"/>
      <c r="MBS1379" s="53"/>
      <c r="MBT1379" s="53"/>
      <c r="MBU1379" s="53"/>
      <c r="MBV1379" s="53"/>
      <c r="MBW1379" s="53"/>
      <c r="MBX1379" s="53"/>
      <c r="MBY1379" s="53"/>
      <c r="MBZ1379" s="53"/>
      <c r="MCA1379" s="53"/>
      <c r="MCB1379" s="53"/>
      <c r="MCC1379" s="53"/>
      <c r="MCD1379" s="53"/>
      <c r="MCE1379" s="53"/>
      <c r="MCF1379" s="53"/>
      <c r="MCG1379" s="53"/>
      <c r="MCH1379" s="53"/>
      <c r="MCI1379" s="53"/>
      <c r="MCJ1379" s="53"/>
      <c r="MCK1379" s="53"/>
      <c r="MCL1379" s="53"/>
      <c r="MCM1379" s="53"/>
      <c r="MCN1379" s="53"/>
      <c r="MCO1379" s="53"/>
      <c r="MCP1379" s="53"/>
      <c r="MCQ1379" s="53"/>
      <c r="MCR1379" s="53"/>
      <c r="MCS1379" s="53"/>
      <c r="MCT1379" s="53"/>
      <c r="MCU1379" s="53"/>
      <c r="MCV1379" s="53"/>
      <c r="MCW1379" s="53"/>
      <c r="MCX1379" s="53"/>
      <c r="MCY1379" s="53"/>
      <c r="MCZ1379" s="53"/>
      <c r="MDA1379" s="53"/>
      <c r="MDB1379" s="53"/>
      <c r="MDC1379" s="53"/>
      <c r="MDD1379" s="53"/>
      <c r="MDE1379" s="53"/>
      <c r="MDF1379" s="53"/>
      <c r="MDG1379" s="53"/>
      <c r="MDH1379" s="53"/>
      <c r="MDI1379" s="53"/>
      <c r="MDJ1379" s="53"/>
      <c r="MDK1379" s="53"/>
      <c r="MDL1379" s="53"/>
      <c r="MDM1379" s="53"/>
      <c r="MDN1379" s="53"/>
      <c r="MDO1379" s="53"/>
      <c r="MDP1379" s="53"/>
      <c r="MDQ1379" s="53"/>
      <c r="MDR1379" s="53"/>
      <c r="MDS1379" s="53"/>
      <c r="MDT1379" s="53"/>
      <c r="MDU1379" s="53"/>
      <c r="MDV1379" s="53"/>
      <c r="MDW1379" s="53"/>
      <c r="MDX1379" s="53"/>
      <c r="MDY1379" s="53"/>
      <c r="MDZ1379" s="53"/>
      <c r="MEA1379" s="53"/>
      <c r="MEB1379" s="53"/>
      <c r="MEC1379" s="53"/>
      <c r="MED1379" s="53"/>
      <c r="MEE1379" s="53"/>
      <c r="MEF1379" s="53"/>
      <c r="MEG1379" s="53"/>
      <c r="MEH1379" s="53"/>
      <c r="MEI1379" s="53"/>
      <c r="MEJ1379" s="53"/>
      <c r="MEK1379" s="53"/>
      <c r="MEL1379" s="53"/>
      <c r="MEM1379" s="53"/>
      <c r="MEN1379" s="53"/>
      <c r="MEO1379" s="53"/>
      <c r="MEP1379" s="53"/>
      <c r="MEQ1379" s="53"/>
      <c r="MER1379" s="53"/>
      <c r="MES1379" s="53"/>
      <c r="MET1379" s="53"/>
      <c r="MEU1379" s="53"/>
      <c r="MEV1379" s="53"/>
      <c r="MEW1379" s="53"/>
      <c r="MEX1379" s="53"/>
      <c r="MEY1379" s="53"/>
      <c r="MEZ1379" s="53"/>
      <c r="MFA1379" s="53"/>
      <c r="MFB1379" s="53"/>
      <c r="MFC1379" s="53"/>
      <c r="MFD1379" s="53"/>
      <c r="MFE1379" s="53"/>
      <c r="MFF1379" s="53"/>
      <c r="MFG1379" s="53"/>
      <c r="MFH1379" s="53"/>
      <c r="MFI1379" s="53"/>
      <c r="MFJ1379" s="53"/>
      <c r="MFK1379" s="53"/>
      <c r="MFL1379" s="53"/>
      <c r="MFM1379" s="53"/>
      <c r="MFN1379" s="53"/>
      <c r="MFO1379" s="53"/>
      <c r="MFP1379" s="53"/>
      <c r="MFQ1379" s="53"/>
      <c r="MFR1379" s="53"/>
      <c r="MFS1379" s="53"/>
      <c r="MFT1379" s="53"/>
      <c r="MFU1379" s="53"/>
      <c r="MFV1379" s="53"/>
      <c r="MFW1379" s="53"/>
      <c r="MFX1379" s="53"/>
      <c r="MFY1379" s="53"/>
      <c r="MFZ1379" s="53"/>
      <c r="MGA1379" s="53"/>
      <c r="MGB1379" s="53"/>
      <c r="MGC1379" s="53"/>
      <c r="MGD1379" s="53"/>
      <c r="MGE1379" s="53"/>
      <c r="MGF1379" s="53"/>
      <c r="MGG1379" s="53"/>
      <c r="MGH1379" s="53"/>
      <c r="MGI1379" s="53"/>
      <c r="MGJ1379" s="53"/>
      <c r="MGK1379" s="53"/>
      <c r="MGL1379" s="53"/>
      <c r="MGM1379" s="53"/>
      <c r="MGN1379" s="53"/>
      <c r="MGO1379" s="53"/>
      <c r="MGP1379" s="53"/>
      <c r="MGQ1379" s="53"/>
      <c r="MGR1379" s="53"/>
      <c r="MGS1379" s="53"/>
      <c r="MGT1379" s="53"/>
      <c r="MGU1379" s="53"/>
      <c r="MGV1379" s="53"/>
      <c r="MGW1379" s="53"/>
      <c r="MGX1379" s="53"/>
      <c r="MGY1379" s="53"/>
      <c r="MGZ1379" s="53"/>
      <c r="MHA1379" s="53"/>
      <c r="MHB1379" s="53"/>
      <c r="MHC1379" s="53"/>
      <c r="MHD1379" s="53"/>
      <c r="MHE1379" s="53"/>
      <c r="MHF1379" s="53"/>
      <c r="MHG1379" s="53"/>
      <c r="MHH1379" s="53"/>
      <c r="MHI1379" s="53"/>
      <c r="MHJ1379" s="53"/>
      <c r="MHK1379" s="53"/>
      <c r="MHL1379" s="53"/>
      <c r="MHM1379" s="53"/>
      <c r="MHN1379" s="53"/>
      <c r="MHO1379" s="53"/>
      <c r="MHP1379" s="53"/>
      <c r="MHQ1379" s="53"/>
      <c r="MHR1379" s="53"/>
      <c r="MHS1379" s="53"/>
      <c r="MHT1379" s="53"/>
      <c r="MHU1379" s="53"/>
      <c r="MHV1379" s="53"/>
      <c r="MHW1379" s="53"/>
      <c r="MHX1379" s="53"/>
      <c r="MHY1379" s="53"/>
      <c r="MHZ1379" s="53"/>
      <c r="MIA1379" s="53"/>
      <c r="MIB1379" s="53"/>
      <c r="MIC1379" s="53"/>
      <c r="MID1379" s="53"/>
      <c r="MIE1379" s="53"/>
      <c r="MIF1379" s="53"/>
      <c r="MIG1379" s="53"/>
      <c r="MIH1379" s="53"/>
      <c r="MII1379" s="53"/>
      <c r="MIJ1379" s="53"/>
      <c r="MIK1379" s="53"/>
      <c r="MIL1379" s="53"/>
      <c r="MIM1379" s="53"/>
      <c r="MIN1379" s="53"/>
      <c r="MIO1379" s="53"/>
      <c r="MIP1379" s="53"/>
      <c r="MIQ1379" s="53"/>
      <c r="MIR1379" s="53"/>
      <c r="MIS1379" s="53"/>
      <c r="MIT1379" s="53"/>
      <c r="MIU1379" s="53"/>
      <c r="MIV1379" s="53"/>
      <c r="MIW1379" s="53"/>
      <c r="MIX1379" s="53"/>
      <c r="MIY1379" s="53"/>
      <c r="MIZ1379" s="53"/>
      <c r="MJA1379" s="53"/>
      <c r="MJB1379" s="53"/>
      <c r="MJC1379" s="53"/>
      <c r="MJD1379" s="53"/>
      <c r="MJE1379" s="53"/>
      <c r="MJF1379" s="53"/>
      <c r="MJG1379" s="53"/>
      <c r="MJH1379" s="53"/>
      <c r="MJI1379" s="53"/>
      <c r="MJJ1379" s="53"/>
      <c r="MJK1379" s="53"/>
      <c r="MJL1379" s="53"/>
      <c r="MJM1379" s="53"/>
      <c r="MJN1379" s="53"/>
      <c r="MJO1379" s="53"/>
      <c r="MJP1379" s="53"/>
      <c r="MJQ1379" s="53"/>
      <c r="MJR1379" s="53"/>
      <c r="MJS1379" s="53"/>
      <c r="MJT1379" s="53"/>
      <c r="MJU1379" s="53"/>
      <c r="MJV1379" s="53"/>
      <c r="MJW1379" s="53"/>
      <c r="MJX1379" s="53"/>
      <c r="MJY1379" s="53"/>
      <c r="MJZ1379" s="53"/>
      <c r="MKA1379" s="53"/>
      <c r="MKB1379" s="53"/>
      <c r="MKC1379" s="53"/>
      <c r="MKD1379" s="53"/>
      <c r="MKE1379" s="53"/>
      <c r="MKF1379" s="53"/>
      <c r="MKG1379" s="53"/>
      <c r="MKH1379" s="53"/>
      <c r="MKI1379" s="53"/>
      <c r="MKJ1379" s="53"/>
      <c r="MKK1379" s="53"/>
      <c r="MKL1379" s="53"/>
      <c r="MKM1379" s="53"/>
      <c r="MKN1379" s="53"/>
      <c r="MKO1379" s="53"/>
      <c r="MKP1379" s="53"/>
      <c r="MKQ1379" s="53"/>
      <c r="MKR1379" s="53"/>
      <c r="MKS1379" s="53"/>
      <c r="MKT1379" s="53"/>
      <c r="MKU1379" s="53"/>
      <c r="MKV1379" s="53"/>
      <c r="MKW1379" s="53"/>
      <c r="MKX1379" s="53"/>
      <c r="MKY1379" s="53"/>
      <c r="MKZ1379" s="53"/>
      <c r="MLA1379" s="53"/>
      <c r="MLB1379" s="53"/>
      <c r="MLC1379" s="53"/>
      <c r="MLD1379" s="53"/>
      <c r="MLE1379" s="53"/>
      <c r="MLF1379" s="53"/>
      <c r="MLG1379" s="53"/>
      <c r="MLH1379" s="53"/>
      <c r="MLI1379" s="53"/>
      <c r="MLJ1379" s="53"/>
      <c r="MLK1379" s="53"/>
      <c r="MLL1379" s="53"/>
      <c r="MLM1379" s="53"/>
      <c r="MLN1379" s="53"/>
      <c r="MLO1379" s="53"/>
      <c r="MLP1379" s="53"/>
      <c r="MLQ1379" s="53"/>
      <c r="MLR1379" s="53"/>
      <c r="MLS1379" s="53"/>
      <c r="MLT1379" s="53"/>
      <c r="MLU1379" s="53"/>
      <c r="MLV1379" s="53"/>
      <c r="MLW1379" s="53"/>
      <c r="MLX1379" s="53"/>
      <c r="MLY1379" s="53"/>
      <c r="MLZ1379" s="53"/>
      <c r="MMA1379" s="53"/>
      <c r="MMB1379" s="53"/>
      <c r="MMC1379" s="53"/>
      <c r="MMD1379" s="53"/>
      <c r="MME1379" s="53"/>
      <c r="MMF1379" s="53"/>
      <c r="MMG1379" s="53"/>
      <c r="MMH1379" s="53"/>
      <c r="MMI1379" s="53"/>
      <c r="MMJ1379" s="53"/>
      <c r="MMK1379" s="53"/>
      <c r="MML1379" s="53"/>
      <c r="MMM1379" s="53"/>
      <c r="MMN1379" s="53"/>
      <c r="MMO1379" s="53"/>
      <c r="MMP1379" s="53"/>
      <c r="MMQ1379" s="53"/>
      <c r="MMR1379" s="53"/>
      <c r="MMS1379" s="53"/>
      <c r="MMT1379" s="53"/>
      <c r="MMU1379" s="53"/>
      <c r="MMV1379" s="53"/>
      <c r="MMW1379" s="53"/>
      <c r="MMX1379" s="53"/>
      <c r="MMY1379" s="53"/>
      <c r="MMZ1379" s="53"/>
      <c r="MNA1379" s="53"/>
      <c r="MNB1379" s="53"/>
      <c r="MNC1379" s="53"/>
      <c r="MND1379" s="53"/>
      <c r="MNE1379" s="53"/>
      <c r="MNF1379" s="53"/>
      <c r="MNG1379" s="53"/>
      <c r="MNH1379" s="53"/>
      <c r="MNI1379" s="53"/>
      <c r="MNJ1379" s="53"/>
      <c r="MNK1379" s="53"/>
      <c r="MNL1379" s="53"/>
      <c r="MNM1379" s="53"/>
      <c r="MNN1379" s="53"/>
      <c r="MNO1379" s="53"/>
      <c r="MNP1379" s="53"/>
      <c r="MNQ1379" s="53"/>
      <c r="MNR1379" s="53"/>
      <c r="MNS1379" s="53"/>
      <c r="MNT1379" s="53"/>
      <c r="MNU1379" s="53"/>
      <c r="MNV1379" s="53"/>
      <c r="MNW1379" s="53"/>
      <c r="MNX1379" s="53"/>
      <c r="MNY1379" s="53"/>
      <c r="MNZ1379" s="53"/>
      <c r="MOA1379" s="53"/>
      <c r="MOB1379" s="53"/>
      <c r="MOC1379" s="53"/>
      <c r="MOD1379" s="53"/>
      <c r="MOE1379" s="53"/>
      <c r="MOF1379" s="53"/>
      <c r="MOG1379" s="53"/>
      <c r="MOH1379" s="53"/>
      <c r="MOI1379" s="53"/>
      <c r="MOJ1379" s="53"/>
      <c r="MOK1379" s="53"/>
      <c r="MOL1379" s="53"/>
      <c r="MOM1379" s="53"/>
      <c r="MON1379" s="53"/>
      <c r="MOO1379" s="53"/>
      <c r="MOP1379" s="53"/>
      <c r="MOQ1379" s="53"/>
      <c r="MOR1379" s="53"/>
      <c r="MOS1379" s="53"/>
      <c r="MOT1379" s="53"/>
      <c r="MOU1379" s="53"/>
      <c r="MOV1379" s="53"/>
      <c r="MOW1379" s="53"/>
      <c r="MOX1379" s="53"/>
      <c r="MOY1379" s="53"/>
      <c r="MOZ1379" s="53"/>
      <c r="MPA1379" s="53"/>
      <c r="MPB1379" s="53"/>
      <c r="MPC1379" s="53"/>
      <c r="MPD1379" s="53"/>
      <c r="MPE1379" s="53"/>
      <c r="MPF1379" s="53"/>
      <c r="MPG1379" s="53"/>
      <c r="MPH1379" s="53"/>
      <c r="MPI1379" s="53"/>
      <c r="MPJ1379" s="53"/>
      <c r="MPK1379" s="53"/>
      <c r="MPL1379" s="53"/>
      <c r="MPM1379" s="53"/>
      <c r="MPN1379" s="53"/>
      <c r="MPO1379" s="53"/>
      <c r="MPP1379" s="53"/>
      <c r="MPQ1379" s="53"/>
      <c r="MPR1379" s="53"/>
      <c r="MPS1379" s="53"/>
      <c r="MPT1379" s="53"/>
      <c r="MPU1379" s="53"/>
      <c r="MPV1379" s="53"/>
      <c r="MPW1379" s="53"/>
      <c r="MPX1379" s="53"/>
      <c r="MPY1379" s="53"/>
      <c r="MPZ1379" s="53"/>
      <c r="MQA1379" s="53"/>
      <c r="MQB1379" s="53"/>
      <c r="MQC1379" s="53"/>
      <c r="MQD1379" s="53"/>
      <c r="MQE1379" s="53"/>
      <c r="MQF1379" s="53"/>
      <c r="MQG1379" s="53"/>
      <c r="MQH1379" s="53"/>
      <c r="MQI1379" s="53"/>
      <c r="MQJ1379" s="53"/>
      <c r="MQK1379" s="53"/>
      <c r="MQL1379" s="53"/>
      <c r="MQM1379" s="53"/>
      <c r="MQN1379" s="53"/>
      <c r="MQO1379" s="53"/>
      <c r="MQP1379" s="53"/>
      <c r="MQQ1379" s="53"/>
      <c r="MQR1379" s="53"/>
      <c r="MQS1379" s="53"/>
      <c r="MQT1379" s="53"/>
      <c r="MQU1379" s="53"/>
      <c r="MQV1379" s="53"/>
      <c r="MQW1379" s="53"/>
      <c r="MQX1379" s="53"/>
      <c r="MQY1379" s="53"/>
      <c r="MQZ1379" s="53"/>
      <c r="MRA1379" s="53"/>
      <c r="MRB1379" s="53"/>
      <c r="MRC1379" s="53"/>
      <c r="MRD1379" s="53"/>
      <c r="MRE1379" s="53"/>
      <c r="MRF1379" s="53"/>
      <c r="MRG1379" s="53"/>
      <c r="MRH1379" s="53"/>
      <c r="MRI1379" s="53"/>
      <c r="MRJ1379" s="53"/>
      <c r="MRK1379" s="53"/>
      <c r="MRL1379" s="53"/>
      <c r="MRM1379" s="53"/>
      <c r="MRN1379" s="53"/>
      <c r="MRO1379" s="53"/>
      <c r="MRP1379" s="53"/>
      <c r="MRQ1379" s="53"/>
      <c r="MRR1379" s="53"/>
      <c r="MRS1379" s="53"/>
      <c r="MRT1379" s="53"/>
      <c r="MRU1379" s="53"/>
      <c r="MRV1379" s="53"/>
      <c r="MRW1379" s="53"/>
      <c r="MRX1379" s="53"/>
      <c r="MRY1379" s="53"/>
      <c r="MRZ1379" s="53"/>
      <c r="MSA1379" s="53"/>
      <c r="MSB1379" s="53"/>
      <c r="MSC1379" s="53"/>
      <c r="MSD1379" s="53"/>
      <c r="MSE1379" s="53"/>
      <c r="MSF1379" s="53"/>
      <c r="MSG1379" s="53"/>
      <c r="MSH1379" s="53"/>
      <c r="MSI1379" s="53"/>
      <c r="MSJ1379" s="53"/>
      <c r="MSK1379" s="53"/>
      <c r="MSL1379" s="53"/>
      <c r="MSM1379" s="53"/>
      <c r="MSN1379" s="53"/>
      <c r="MSO1379" s="53"/>
      <c r="MSP1379" s="53"/>
      <c r="MSQ1379" s="53"/>
      <c r="MSR1379" s="53"/>
      <c r="MSS1379" s="53"/>
      <c r="MST1379" s="53"/>
      <c r="MSU1379" s="53"/>
      <c r="MSV1379" s="53"/>
      <c r="MSW1379" s="53"/>
      <c r="MSX1379" s="53"/>
      <c r="MSY1379" s="53"/>
      <c r="MSZ1379" s="53"/>
      <c r="MTA1379" s="53"/>
      <c r="MTB1379" s="53"/>
      <c r="MTC1379" s="53"/>
      <c r="MTD1379" s="53"/>
      <c r="MTE1379" s="53"/>
      <c r="MTF1379" s="53"/>
      <c r="MTG1379" s="53"/>
      <c r="MTH1379" s="53"/>
      <c r="MTI1379" s="53"/>
      <c r="MTJ1379" s="53"/>
      <c r="MTK1379" s="53"/>
      <c r="MTL1379" s="53"/>
      <c r="MTM1379" s="53"/>
      <c r="MTN1379" s="53"/>
      <c r="MTO1379" s="53"/>
      <c r="MTP1379" s="53"/>
      <c r="MTQ1379" s="53"/>
      <c r="MTR1379" s="53"/>
      <c r="MTS1379" s="53"/>
      <c r="MTT1379" s="53"/>
      <c r="MTU1379" s="53"/>
      <c r="MTV1379" s="53"/>
      <c r="MTW1379" s="53"/>
      <c r="MTX1379" s="53"/>
      <c r="MTY1379" s="53"/>
      <c r="MTZ1379" s="53"/>
      <c r="MUA1379" s="53"/>
      <c r="MUB1379" s="53"/>
      <c r="MUC1379" s="53"/>
      <c r="MUD1379" s="53"/>
      <c r="MUE1379" s="53"/>
      <c r="MUF1379" s="53"/>
      <c r="MUG1379" s="53"/>
      <c r="MUH1379" s="53"/>
      <c r="MUI1379" s="53"/>
      <c r="MUJ1379" s="53"/>
      <c r="MUK1379" s="53"/>
      <c r="MUL1379" s="53"/>
      <c r="MUM1379" s="53"/>
      <c r="MUN1379" s="53"/>
      <c r="MUO1379" s="53"/>
      <c r="MUP1379" s="53"/>
      <c r="MUQ1379" s="53"/>
      <c r="MUR1379" s="53"/>
      <c r="MUS1379" s="53"/>
      <c r="MUT1379" s="53"/>
      <c r="MUU1379" s="53"/>
      <c r="MUV1379" s="53"/>
      <c r="MUW1379" s="53"/>
      <c r="MUX1379" s="53"/>
      <c r="MUY1379" s="53"/>
      <c r="MUZ1379" s="53"/>
      <c r="MVA1379" s="53"/>
      <c r="MVB1379" s="53"/>
      <c r="MVC1379" s="53"/>
      <c r="MVD1379" s="53"/>
      <c r="MVE1379" s="53"/>
      <c r="MVF1379" s="53"/>
      <c r="MVG1379" s="53"/>
      <c r="MVH1379" s="53"/>
      <c r="MVI1379" s="53"/>
      <c r="MVJ1379" s="53"/>
      <c r="MVK1379" s="53"/>
      <c r="MVL1379" s="53"/>
      <c r="MVM1379" s="53"/>
      <c r="MVN1379" s="53"/>
      <c r="MVO1379" s="53"/>
      <c r="MVP1379" s="53"/>
      <c r="MVQ1379" s="53"/>
      <c r="MVR1379" s="53"/>
      <c r="MVS1379" s="53"/>
      <c r="MVT1379" s="53"/>
      <c r="MVU1379" s="53"/>
      <c r="MVV1379" s="53"/>
      <c r="MVW1379" s="53"/>
      <c r="MVX1379" s="53"/>
      <c r="MVY1379" s="53"/>
      <c r="MVZ1379" s="53"/>
      <c r="MWA1379" s="53"/>
      <c r="MWB1379" s="53"/>
      <c r="MWC1379" s="53"/>
      <c r="MWD1379" s="53"/>
      <c r="MWE1379" s="53"/>
      <c r="MWF1379" s="53"/>
      <c r="MWG1379" s="53"/>
      <c r="MWH1379" s="53"/>
      <c r="MWI1379" s="53"/>
      <c r="MWJ1379" s="53"/>
      <c r="MWK1379" s="53"/>
      <c r="MWL1379" s="53"/>
      <c r="MWM1379" s="53"/>
      <c r="MWN1379" s="53"/>
      <c r="MWO1379" s="53"/>
      <c r="MWP1379" s="53"/>
      <c r="MWQ1379" s="53"/>
      <c r="MWR1379" s="53"/>
      <c r="MWS1379" s="53"/>
      <c r="MWT1379" s="53"/>
      <c r="MWU1379" s="53"/>
      <c r="MWV1379" s="53"/>
      <c r="MWW1379" s="53"/>
      <c r="MWX1379" s="53"/>
      <c r="MWY1379" s="53"/>
      <c r="MWZ1379" s="53"/>
      <c r="MXA1379" s="53"/>
      <c r="MXB1379" s="53"/>
      <c r="MXC1379" s="53"/>
      <c r="MXD1379" s="53"/>
      <c r="MXE1379" s="53"/>
      <c r="MXF1379" s="53"/>
      <c r="MXG1379" s="53"/>
      <c r="MXH1379" s="53"/>
      <c r="MXI1379" s="53"/>
      <c r="MXJ1379" s="53"/>
      <c r="MXK1379" s="53"/>
      <c r="MXL1379" s="53"/>
      <c r="MXM1379" s="53"/>
      <c r="MXN1379" s="53"/>
      <c r="MXO1379" s="53"/>
      <c r="MXP1379" s="53"/>
      <c r="MXQ1379" s="53"/>
      <c r="MXR1379" s="53"/>
      <c r="MXS1379" s="53"/>
      <c r="MXT1379" s="53"/>
      <c r="MXU1379" s="53"/>
      <c r="MXV1379" s="53"/>
      <c r="MXW1379" s="53"/>
      <c r="MXX1379" s="53"/>
      <c r="MXY1379" s="53"/>
      <c r="MXZ1379" s="53"/>
      <c r="MYA1379" s="53"/>
      <c r="MYB1379" s="53"/>
      <c r="MYC1379" s="53"/>
      <c r="MYD1379" s="53"/>
      <c r="MYE1379" s="53"/>
      <c r="MYF1379" s="53"/>
      <c r="MYG1379" s="53"/>
      <c r="MYH1379" s="53"/>
      <c r="MYI1379" s="53"/>
      <c r="MYJ1379" s="53"/>
      <c r="MYK1379" s="53"/>
      <c r="MYL1379" s="53"/>
      <c r="MYM1379" s="53"/>
      <c r="MYN1379" s="53"/>
      <c r="MYO1379" s="53"/>
      <c r="MYP1379" s="53"/>
      <c r="MYQ1379" s="53"/>
      <c r="MYR1379" s="53"/>
      <c r="MYS1379" s="53"/>
      <c r="MYT1379" s="53"/>
      <c r="MYU1379" s="53"/>
      <c r="MYV1379" s="53"/>
      <c r="MYW1379" s="53"/>
      <c r="MYX1379" s="53"/>
      <c r="MYY1379" s="53"/>
      <c r="MYZ1379" s="53"/>
      <c r="MZA1379" s="53"/>
      <c r="MZB1379" s="53"/>
      <c r="MZC1379" s="53"/>
      <c r="MZD1379" s="53"/>
      <c r="MZE1379" s="53"/>
      <c r="MZF1379" s="53"/>
      <c r="MZG1379" s="53"/>
      <c r="MZH1379" s="53"/>
      <c r="MZI1379" s="53"/>
      <c r="MZJ1379" s="53"/>
      <c r="MZK1379" s="53"/>
      <c r="MZL1379" s="53"/>
      <c r="MZM1379" s="53"/>
      <c r="MZN1379" s="53"/>
      <c r="MZO1379" s="53"/>
      <c r="MZP1379" s="53"/>
      <c r="MZQ1379" s="53"/>
      <c r="MZR1379" s="53"/>
      <c r="MZS1379" s="53"/>
      <c r="MZT1379" s="53"/>
      <c r="MZU1379" s="53"/>
      <c r="MZV1379" s="53"/>
      <c r="MZW1379" s="53"/>
      <c r="MZX1379" s="53"/>
      <c r="MZY1379" s="53"/>
      <c r="MZZ1379" s="53"/>
      <c r="NAA1379" s="53"/>
      <c r="NAB1379" s="53"/>
      <c r="NAC1379" s="53"/>
      <c r="NAD1379" s="53"/>
      <c r="NAE1379" s="53"/>
      <c r="NAF1379" s="53"/>
      <c r="NAG1379" s="53"/>
      <c r="NAH1379" s="53"/>
      <c r="NAI1379" s="53"/>
      <c r="NAJ1379" s="53"/>
      <c r="NAK1379" s="53"/>
      <c r="NAL1379" s="53"/>
      <c r="NAM1379" s="53"/>
      <c r="NAN1379" s="53"/>
      <c r="NAO1379" s="53"/>
      <c r="NAP1379" s="53"/>
      <c r="NAQ1379" s="53"/>
      <c r="NAR1379" s="53"/>
      <c r="NAS1379" s="53"/>
      <c r="NAT1379" s="53"/>
      <c r="NAU1379" s="53"/>
      <c r="NAV1379" s="53"/>
      <c r="NAW1379" s="53"/>
      <c r="NAX1379" s="53"/>
      <c r="NAY1379" s="53"/>
      <c r="NAZ1379" s="53"/>
      <c r="NBA1379" s="53"/>
      <c r="NBB1379" s="53"/>
      <c r="NBC1379" s="53"/>
      <c r="NBD1379" s="53"/>
      <c r="NBE1379" s="53"/>
      <c r="NBF1379" s="53"/>
      <c r="NBG1379" s="53"/>
      <c r="NBH1379" s="53"/>
      <c r="NBI1379" s="53"/>
      <c r="NBJ1379" s="53"/>
      <c r="NBK1379" s="53"/>
      <c r="NBL1379" s="53"/>
      <c r="NBM1379" s="53"/>
      <c r="NBN1379" s="53"/>
      <c r="NBO1379" s="53"/>
      <c r="NBP1379" s="53"/>
      <c r="NBQ1379" s="53"/>
      <c r="NBR1379" s="53"/>
      <c r="NBS1379" s="53"/>
      <c r="NBT1379" s="53"/>
      <c r="NBU1379" s="53"/>
      <c r="NBV1379" s="53"/>
      <c r="NBW1379" s="53"/>
      <c r="NBX1379" s="53"/>
      <c r="NBY1379" s="53"/>
      <c r="NBZ1379" s="53"/>
      <c r="NCA1379" s="53"/>
      <c r="NCB1379" s="53"/>
      <c r="NCC1379" s="53"/>
      <c r="NCD1379" s="53"/>
      <c r="NCE1379" s="53"/>
      <c r="NCF1379" s="53"/>
      <c r="NCG1379" s="53"/>
      <c r="NCH1379" s="53"/>
      <c r="NCI1379" s="53"/>
      <c r="NCJ1379" s="53"/>
      <c r="NCK1379" s="53"/>
      <c r="NCL1379" s="53"/>
      <c r="NCM1379" s="53"/>
      <c r="NCN1379" s="53"/>
      <c r="NCO1379" s="53"/>
      <c r="NCP1379" s="53"/>
      <c r="NCQ1379" s="53"/>
      <c r="NCR1379" s="53"/>
      <c r="NCS1379" s="53"/>
      <c r="NCT1379" s="53"/>
      <c r="NCU1379" s="53"/>
      <c r="NCV1379" s="53"/>
      <c r="NCW1379" s="53"/>
      <c r="NCX1379" s="53"/>
      <c r="NCY1379" s="53"/>
      <c r="NCZ1379" s="53"/>
      <c r="NDA1379" s="53"/>
      <c r="NDB1379" s="53"/>
      <c r="NDC1379" s="53"/>
      <c r="NDD1379" s="53"/>
      <c r="NDE1379" s="53"/>
      <c r="NDF1379" s="53"/>
      <c r="NDG1379" s="53"/>
      <c r="NDH1379" s="53"/>
      <c r="NDI1379" s="53"/>
      <c r="NDJ1379" s="53"/>
      <c r="NDK1379" s="53"/>
      <c r="NDL1379" s="53"/>
      <c r="NDM1379" s="53"/>
      <c r="NDN1379" s="53"/>
      <c r="NDO1379" s="53"/>
      <c r="NDP1379" s="53"/>
      <c r="NDQ1379" s="53"/>
      <c r="NDR1379" s="53"/>
      <c r="NDS1379" s="53"/>
      <c r="NDT1379" s="53"/>
      <c r="NDU1379" s="53"/>
      <c r="NDV1379" s="53"/>
      <c r="NDW1379" s="53"/>
      <c r="NDX1379" s="53"/>
      <c r="NDY1379" s="53"/>
      <c r="NDZ1379" s="53"/>
      <c r="NEA1379" s="53"/>
      <c r="NEB1379" s="53"/>
      <c r="NEC1379" s="53"/>
      <c r="NED1379" s="53"/>
      <c r="NEE1379" s="53"/>
      <c r="NEF1379" s="53"/>
      <c r="NEG1379" s="53"/>
      <c r="NEH1379" s="53"/>
      <c r="NEI1379" s="53"/>
      <c r="NEJ1379" s="53"/>
      <c r="NEK1379" s="53"/>
      <c r="NEL1379" s="53"/>
      <c r="NEM1379" s="53"/>
      <c r="NEN1379" s="53"/>
      <c r="NEO1379" s="53"/>
      <c r="NEP1379" s="53"/>
      <c r="NEQ1379" s="53"/>
      <c r="NER1379" s="53"/>
      <c r="NES1379" s="53"/>
      <c r="NET1379" s="53"/>
      <c r="NEU1379" s="53"/>
      <c r="NEV1379" s="53"/>
      <c r="NEW1379" s="53"/>
      <c r="NEX1379" s="53"/>
      <c r="NEY1379" s="53"/>
      <c r="NEZ1379" s="53"/>
      <c r="NFA1379" s="53"/>
      <c r="NFB1379" s="53"/>
      <c r="NFC1379" s="53"/>
      <c r="NFD1379" s="53"/>
      <c r="NFE1379" s="53"/>
      <c r="NFF1379" s="53"/>
      <c r="NFG1379" s="53"/>
      <c r="NFH1379" s="53"/>
      <c r="NFI1379" s="53"/>
      <c r="NFJ1379" s="53"/>
      <c r="NFK1379" s="53"/>
      <c r="NFL1379" s="53"/>
      <c r="NFM1379" s="53"/>
      <c r="NFN1379" s="53"/>
      <c r="NFO1379" s="53"/>
      <c r="NFP1379" s="53"/>
      <c r="NFQ1379" s="53"/>
      <c r="NFR1379" s="53"/>
      <c r="NFS1379" s="53"/>
      <c r="NFT1379" s="53"/>
      <c r="NFU1379" s="53"/>
      <c r="NFV1379" s="53"/>
      <c r="NFW1379" s="53"/>
      <c r="NFX1379" s="53"/>
      <c r="NFY1379" s="53"/>
      <c r="NFZ1379" s="53"/>
      <c r="NGA1379" s="53"/>
      <c r="NGB1379" s="53"/>
      <c r="NGC1379" s="53"/>
      <c r="NGD1379" s="53"/>
      <c r="NGE1379" s="53"/>
      <c r="NGF1379" s="53"/>
      <c r="NGG1379" s="53"/>
      <c r="NGH1379" s="53"/>
      <c r="NGI1379" s="53"/>
      <c r="NGJ1379" s="53"/>
      <c r="NGK1379" s="53"/>
      <c r="NGL1379" s="53"/>
      <c r="NGM1379" s="53"/>
      <c r="NGN1379" s="53"/>
      <c r="NGO1379" s="53"/>
      <c r="NGP1379" s="53"/>
      <c r="NGQ1379" s="53"/>
      <c r="NGR1379" s="53"/>
      <c r="NGS1379" s="53"/>
      <c r="NGT1379" s="53"/>
      <c r="NGU1379" s="53"/>
      <c r="NGV1379" s="53"/>
      <c r="NGW1379" s="53"/>
      <c r="NGX1379" s="53"/>
      <c r="NGY1379" s="53"/>
      <c r="NGZ1379" s="53"/>
      <c r="NHA1379" s="53"/>
      <c r="NHB1379" s="53"/>
      <c r="NHC1379" s="53"/>
      <c r="NHD1379" s="53"/>
      <c r="NHE1379" s="53"/>
      <c r="NHF1379" s="53"/>
      <c r="NHG1379" s="53"/>
      <c r="NHH1379" s="53"/>
      <c r="NHI1379" s="53"/>
      <c r="NHJ1379" s="53"/>
      <c r="NHK1379" s="53"/>
      <c r="NHL1379" s="53"/>
      <c r="NHM1379" s="53"/>
      <c r="NHN1379" s="53"/>
      <c r="NHO1379" s="53"/>
      <c r="NHP1379" s="53"/>
      <c r="NHQ1379" s="53"/>
      <c r="NHR1379" s="53"/>
      <c r="NHS1379" s="53"/>
      <c r="NHT1379" s="53"/>
      <c r="NHU1379" s="53"/>
      <c r="NHV1379" s="53"/>
      <c r="NHW1379" s="53"/>
      <c r="NHX1379" s="53"/>
      <c r="NHY1379" s="53"/>
      <c r="NHZ1379" s="53"/>
      <c r="NIA1379" s="53"/>
      <c r="NIB1379" s="53"/>
      <c r="NIC1379" s="53"/>
      <c r="NID1379" s="53"/>
      <c r="NIE1379" s="53"/>
      <c r="NIF1379" s="53"/>
      <c r="NIG1379" s="53"/>
      <c r="NIH1379" s="53"/>
      <c r="NII1379" s="53"/>
      <c r="NIJ1379" s="53"/>
      <c r="NIK1379" s="53"/>
      <c r="NIL1379" s="53"/>
      <c r="NIM1379" s="53"/>
      <c r="NIN1379" s="53"/>
      <c r="NIO1379" s="53"/>
      <c r="NIP1379" s="53"/>
      <c r="NIQ1379" s="53"/>
      <c r="NIR1379" s="53"/>
      <c r="NIS1379" s="53"/>
      <c r="NIT1379" s="53"/>
      <c r="NIU1379" s="53"/>
      <c r="NIV1379" s="53"/>
      <c r="NIW1379" s="53"/>
      <c r="NIX1379" s="53"/>
      <c r="NIY1379" s="53"/>
      <c r="NIZ1379" s="53"/>
      <c r="NJA1379" s="53"/>
      <c r="NJB1379" s="53"/>
      <c r="NJC1379" s="53"/>
      <c r="NJD1379" s="53"/>
      <c r="NJE1379" s="53"/>
      <c r="NJF1379" s="53"/>
      <c r="NJG1379" s="53"/>
      <c r="NJH1379" s="53"/>
      <c r="NJI1379" s="53"/>
      <c r="NJJ1379" s="53"/>
      <c r="NJK1379" s="53"/>
      <c r="NJL1379" s="53"/>
      <c r="NJM1379" s="53"/>
      <c r="NJN1379" s="53"/>
      <c r="NJO1379" s="53"/>
      <c r="NJP1379" s="53"/>
      <c r="NJQ1379" s="53"/>
      <c r="NJR1379" s="53"/>
      <c r="NJS1379" s="53"/>
      <c r="NJT1379" s="53"/>
      <c r="NJU1379" s="53"/>
      <c r="NJV1379" s="53"/>
      <c r="NJW1379" s="53"/>
      <c r="NJX1379" s="53"/>
      <c r="NJY1379" s="53"/>
      <c r="NJZ1379" s="53"/>
      <c r="NKA1379" s="53"/>
      <c r="NKB1379" s="53"/>
      <c r="NKC1379" s="53"/>
      <c r="NKD1379" s="53"/>
      <c r="NKE1379" s="53"/>
      <c r="NKF1379" s="53"/>
      <c r="NKG1379" s="53"/>
      <c r="NKH1379" s="53"/>
      <c r="NKI1379" s="53"/>
      <c r="NKJ1379" s="53"/>
      <c r="NKK1379" s="53"/>
      <c r="NKL1379" s="53"/>
      <c r="NKM1379" s="53"/>
      <c r="NKN1379" s="53"/>
      <c r="NKO1379" s="53"/>
      <c r="NKP1379" s="53"/>
      <c r="NKQ1379" s="53"/>
      <c r="NKR1379" s="53"/>
      <c r="NKS1379" s="53"/>
      <c r="NKT1379" s="53"/>
      <c r="NKU1379" s="53"/>
      <c r="NKV1379" s="53"/>
      <c r="NKW1379" s="53"/>
      <c r="NKX1379" s="53"/>
      <c r="NKY1379" s="53"/>
      <c r="NKZ1379" s="53"/>
      <c r="NLA1379" s="53"/>
      <c r="NLB1379" s="53"/>
      <c r="NLC1379" s="53"/>
      <c r="NLD1379" s="53"/>
      <c r="NLE1379" s="53"/>
      <c r="NLF1379" s="53"/>
      <c r="NLG1379" s="53"/>
      <c r="NLH1379" s="53"/>
      <c r="NLI1379" s="53"/>
      <c r="NLJ1379" s="53"/>
      <c r="NLK1379" s="53"/>
      <c r="NLL1379" s="53"/>
      <c r="NLM1379" s="53"/>
      <c r="NLN1379" s="53"/>
      <c r="NLO1379" s="53"/>
      <c r="NLP1379" s="53"/>
      <c r="NLQ1379" s="53"/>
      <c r="NLR1379" s="53"/>
      <c r="NLS1379" s="53"/>
      <c r="NLT1379" s="53"/>
      <c r="NLU1379" s="53"/>
      <c r="NLV1379" s="53"/>
      <c r="NLW1379" s="53"/>
      <c r="NLX1379" s="53"/>
      <c r="NLY1379" s="53"/>
      <c r="NLZ1379" s="53"/>
      <c r="NMA1379" s="53"/>
      <c r="NMB1379" s="53"/>
      <c r="NMC1379" s="53"/>
      <c r="NMD1379" s="53"/>
      <c r="NME1379" s="53"/>
      <c r="NMF1379" s="53"/>
      <c r="NMG1379" s="53"/>
      <c r="NMH1379" s="53"/>
      <c r="NMI1379" s="53"/>
      <c r="NMJ1379" s="53"/>
      <c r="NMK1379" s="53"/>
      <c r="NML1379" s="53"/>
      <c r="NMM1379" s="53"/>
      <c r="NMN1379" s="53"/>
      <c r="NMO1379" s="53"/>
      <c r="NMP1379" s="53"/>
      <c r="NMQ1379" s="53"/>
      <c r="NMR1379" s="53"/>
      <c r="NMS1379" s="53"/>
      <c r="NMT1379" s="53"/>
      <c r="NMU1379" s="53"/>
      <c r="NMV1379" s="53"/>
      <c r="NMW1379" s="53"/>
      <c r="NMX1379" s="53"/>
      <c r="NMY1379" s="53"/>
      <c r="NMZ1379" s="53"/>
      <c r="NNA1379" s="53"/>
      <c r="NNB1379" s="53"/>
      <c r="NNC1379" s="53"/>
      <c r="NND1379" s="53"/>
      <c r="NNE1379" s="53"/>
      <c r="NNF1379" s="53"/>
      <c r="NNG1379" s="53"/>
      <c r="NNH1379" s="53"/>
      <c r="NNI1379" s="53"/>
      <c r="NNJ1379" s="53"/>
      <c r="NNK1379" s="53"/>
      <c r="NNL1379" s="53"/>
      <c r="NNM1379" s="53"/>
      <c r="NNN1379" s="53"/>
      <c r="NNO1379" s="53"/>
      <c r="NNP1379" s="53"/>
      <c r="NNQ1379" s="53"/>
      <c r="NNR1379" s="53"/>
      <c r="NNS1379" s="53"/>
      <c r="NNT1379" s="53"/>
      <c r="NNU1379" s="53"/>
      <c r="NNV1379" s="53"/>
      <c r="NNW1379" s="53"/>
      <c r="NNX1379" s="53"/>
      <c r="NNY1379" s="53"/>
      <c r="NNZ1379" s="53"/>
      <c r="NOA1379" s="53"/>
      <c r="NOB1379" s="53"/>
      <c r="NOC1379" s="53"/>
      <c r="NOD1379" s="53"/>
      <c r="NOE1379" s="53"/>
      <c r="NOF1379" s="53"/>
      <c r="NOG1379" s="53"/>
      <c r="NOH1379" s="53"/>
      <c r="NOI1379" s="53"/>
      <c r="NOJ1379" s="53"/>
      <c r="NOK1379" s="53"/>
      <c r="NOL1379" s="53"/>
      <c r="NOM1379" s="53"/>
      <c r="NON1379" s="53"/>
      <c r="NOO1379" s="53"/>
      <c r="NOP1379" s="53"/>
      <c r="NOQ1379" s="53"/>
      <c r="NOR1379" s="53"/>
      <c r="NOS1379" s="53"/>
      <c r="NOT1379" s="53"/>
      <c r="NOU1379" s="53"/>
      <c r="NOV1379" s="53"/>
      <c r="NOW1379" s="53"/>
      <c r="NOX1379" s="53"/>
      <c r="NOY1379" s="53"/>
      <c r="NOZ1379" s="53"/>
      <c r="NPA1379" s="53"/>
      <c r="NPB1379" s="53"/>
      <c r="NPC1379" s="53"/>
      <c r="NPD1379" s="53"/>
      <c r="NPE1379" s="53"/>
      <c r="NPF1379" s="53"/>
      <c r="NPG1379" s="53"/>
      <c r="NPH1379" s="53"/>
      <c r="NPI1379" s="53"/>
      <c r="NPJ1379" s="53"/>
      <c r="NPK1379" s="53"/>
      <c r="NPL1379" s="53"/>
      <c r="NPM1379" s="53"/>
      <c r="NPN1379" s="53"/>
      <c r="NPO1379" s="53"/>
      <c r="NPP1379" s="53"/>
      <c r="NPQ1379" s="53"/>
      <c r="NPR1379" s="53"/>
      <c r="NPS1379" s="53"/>
      <c r="NPT1379" s="53"/>
      <c r="NPU1379" s="53"/>
      <c r="NPV1379" s="53"/>
      <c r="NPW1379" s="53"/>
      <c r="NPX1379" s="53"/>
      <c r="NPY1379" s="53"/>
      <c r="NPZ1379" s="53"/>
      <c r="NQA1379" s="53"/>
      <c r="NQB1379" s="53"/>
      <c r="NQC1379" s="53"/>
      <c r="NQD1379" s="53"/>
      <c r="NQE1379" s="53"/>
      <c r="NQF1379" s="53"/>
      <c r="NQG1379" s="53"/>
      <c r="NQH1379" s="53"/>
      <c r="NQI1379" s="53"/>
      <c r="NQJ1379" s="53"/>
      <c r="NQK1379" s="53"/>
      <c r="NQL1379" s="53"/>
      <c r="NQM1379" s="53"/>
      <c r="NQN1379" s="53"/>
      <c r="NQO1379" s="53"/>
      <c r="NQP1379" s="53"/>
      <c r="NQQ1379" s="53"/>
      <c r="NQR1379" s="53"/>
      <c r="NQS1379" s="53"/>
      <c r="NQT1379" s="53"/>
      <c r="NQU1379" s="53"/>
      <c r="NQV1379" s="53"/>
      <c r="NQW1379" s="53"/>
      <c r="NQX1379" s="53"/>
      <c r="NQY1379" s="53"/>
      <c r="NQZ1379" s="53"/>
      <c r="NRA1379" s="53"/>
      <c r="NRB1379" s="53"/>
      <c r="NRC1379" s="53"/>
      <c r="NRD1379" s="53"/>
      <c r="NRE1379" s="53"/>
      <c r="NRF1379" s="53"/>
      <c r="NRG1379" s="53"/>
      <c r="NRH1379" s="53"/>
      <c r="NRI1379" s="53"/>
      <c r="NRJ1379" s="53"/>
      <c r="NRK1379" s="53"/>
      <c r="NRL1379" s="53"/>
      <c r="NRM1379" s="53"/>
      <c r="NRN1379" s="53"/>
      <c r="NRO1379" s="53"/>
      <c r="NRP1379" s="53"/>
      <c r="NRQ1379" s="53"/>
      <c r="NRR1379" s="53"/>
      <c r="NRS1379" s="53"/>
      <c r="NRT1379" s="53"/>
      <c r="NRU1379" s="53"/>
      <c r="NRV1379" s="53"/>
      <c r="NRW1379" s="53"/>
      <c r="NRX1379" s="53"/>
      <c r="NRY1379" s="53"/>
      <c r="NRZ1379" s="53"/>
      <c r="NSA1379" s="53"/>
      <c r="NSB1379" s="53"/>
      <c r="NSC1379" s="53"/>
      <c r="NSD1379" s="53"/>
      <c r="NSE1379" s="53"/>
      <c r="NSF1379" s="53"/>
      <c r="NSG1379" s="53"/>
      <c r="NSH1379" s="53"/>
      <c r="NSI1379" s="53"/>
      <c r="NSJ1379" s="53"/>
      <c r="NSK1379" s="53"/>
      <c r="NSL1379" s="53"/>
      <c r="NSM1379" s="53"/>
      <c r="NSN1379" s="53"/>
      <c r="NSO1379" s="53"/>
      <c r="NSP1379" s="53"/>
      <c r="NSQ1379" s="53"/>
      <c r="NSR1379" s="53"/>
      <c r="NSS1379" s="53"/>
      <c r="NST1379" s="53"/>
      <c r="NSU1379" s="53"/>
      <c r="NSV1379" s="53"/>
      <c r="NSW1379" s="53"/>
      <c r="NSX1379" s="53"/>
      <c r="NSY1379" s="53"/>
      <c r="NSZ1379" s="53"/>
      <c r="NTA1379" s="53"/>
      <c r="NTB1379" s="53"/>
      <c r="NTC1379" s="53"/>
      <c r="NTD1379" s="53"/>
      <c r="NTE1379" s="53"/>
      <c r="NTF1379" s="53"/>
      <c r="NTG1379" s="53"/>
      <c r="NTH1379" s="53"/>
      <c r="NTI1379" s="53"/>
      <c r="NTJ1379" s="53"/>
      <c r="NTK1379" s="53"/>
      <c r="NTL1379" s="53"/>
      <c r="NTM1379" s="53"/>
      <c r="NTN1379" s="53"/>
      <c r="NTO1379" s="53"/>
      <c r="NTP1379" s="53"/>
      <c r="NTQ1379" s="53"/>
      <c r="NTR1379" s="53"/>
      <c r="NTS1379" s="53"/>
      <c r="NTT1379" s="53"/>
      <c r="NTU1379" s="53"/>
      <c r="NTV1379" s="53"/>
      <c r="NTW1379" s="53"/>
      <c r="NTX1379" s="53"/>
      <c r="NTY1379" s="53"/>
      <c r="NTZ1379" s="53"/>
      <c r="NUA1379" s="53"/>
      <c r="NUB1379" s="53"/>
      <c r="NUC1379" s="53"/>
      <c r="NUD1379" s="53"/>
      <c r="NUE1379" s="53"/>
      <c r="NUF1379" s="53"/>
      <c r="NUG1379" s="53"/>
      <c r="NUH1379" s="53"/>
      <c r="NUI1379" s="53"/>
      <c r="NUJ1379" s="53"/>
      <c r="NUK1379" s="53"/>
      <c r="NUL1379" s="53"/>
      <c r="NUM1379" s="53"/>
      <c r="NUN1379" s="53"/>
      <c r="NUO1379" s="53"/>
      <c r="NUP1379" s="53"/>
      <c r="NUQ1379" s="53"/>
      <c r="NUR1379" s="53"/>
      <c r="NUS1379" s="53"/>
      <c r="NUT1379" s="53"/>
      <c r="NUU1379" s="53"/>
      <c r="NUV1379" s="53"/>
      <c r="NUW1379" s="53"/>
      <c r="NUX1379" s="53"/>
      <c r="NUY1379" s="53"/>
      <c r="NUZ1379" s="53"/>
      <c r="NVA1379" s="53"/>
      <c r="NVB1379" s="53"/>
      <c r="NVC1379" s="53"/>
      <c r="NVD1379" s="53"/>
      <c r="NVE1379" s="53"/>
      <c r="NVF1379" s="53"/>
      <c r="NVG1379" s="53"/>
      <c r="NVH1379" s="53"/>
      <c r="NVI1379" s="53"/>
      <c r="NVJ1379" s="53"/>
      <c r="NVK1379" s="53"/>
      <c r="NVL1379" s="53"/>
      <c r="NVM1379" s="53"/>
      <c r="NVN1379" s="53"/>
      <c r="NVO1379" s="53"/>
      <c r="NVP1379" s="53"/>
      <c r="NVQ1379" s="53"/>
      <c r="NVR1379" s="53"/>
      <c r="NVS1379" s="53"/>
      <c r="NVT1379" s="53"/>
      <c r="NVU1379" s="53"/>
      <c r="NVV1379" s="53"/>
      <c r="NVW1379" s="53"/>
      <c r="NVX1379" s="53"/>
      <c r="NVY1379" s="53"/>
      <c r="NVZ1379" s="53"/>
      <c r="NWA1379" s="53"/>
      <c r="NWB1379" s="53"/>
      <c r="NWC1379" s="53"/>
      <c r="NWD1379" s="53"/>
      <c r="NWE1379" s="53"/>
      <c r="NWF1379" s="53"/>
      <c r="NWG1379" s="53"/>
      <c r="NWH1379" s="53"/>
      <c r="NWI1379" s="53"/>
      <c r="NWJ1379" s="53"/>
      <c r="NWK1379" s="53"/>
      <c r="NWL1379" s="53"/>
      <c r="NWM1379" s="53"/>
      <c r="NWN1379" s="53"/>
      <c r="NWO1379" s="53"/>
      <c r="NWP1379" s="53"/>
      <c r="NWQ1379" s="53"/>
      <c r="NWR1379" s="53"/>
      <c r="NWS1379" s="53"/>
      <c r="NWT1379" s="53"/>
      <c r="NWU1379" s="53"/>
      <c r="NWV1379" s="53"/>
      <c r="NWW1379" s="53"/>
      <c r="NWX1379" s="53"/>
      <c r="NWY1379" s="53"/>
      <c r="NWZ1379" s="53"/>
      <c r="NXA1379" s="53"/>
      <c r="NXB1379" s="53"/>
      <c r="NXC1379" s="53"/>
      <c r="NXD1379" s="53"/>
      <c r="NXE1379" s="53"/>
      <c r="NXF1379" s="53"/>
      <c r="NXG1379" s="53"/>
      <c r="NXH1379" s="53"/>
      <c r="NXI1379" s="53"/>
      <c r="NXJ1379" s="53"/>
      <c r="NXK1379" s="53"/>
      <c r="NXL1379" s="53"/>
      <c r="NXM1379" s="53"/>
      <c r="NXN1379" s="53"/>
      <c r="NXO1379" s="53"/>
      <c r="NXP1379" s="53"/>
      <c r="NXQ1379" s="53"/>
      <c r="NXR1379" s="53"/>
      <c r="NXS1379" s="53"/>
      <c r="NXT1379" s="53"/>
      <c r="NXU1379" s="53"/>
      <c r="NXV1379" s="53"/>
      <c r="NXW1379" s="53"/>
      <c r="NXX1379" s="53"/>
      <c r="NXY1379" s="53"/>
      <c r="NXZ1379" s="53"/>
      <c r="NYA1379" s="53"/>
      <c r="NYB1379" s="53"/>
      <c r="NYC1379" s="53"/>
      <c r="NYD1379" s="53"/>
      <c r="NYE1379" s="53"/>
      <c r="NYF1379" s="53"/>
      <c r="NYG1379" s="53"/>
      <c r="NYH1379" s="53"/>
      <c r="NYI1379" s="53"/>
      <c r="NYJ1379" s="53"/>
      <c r="NYK1379" s="53"/>
      <c r="NYL1379" s="53"/>
      <c r="NYM1379" s="53"/>
      <c r="NYN1379" s="53"/>
      <c r="NYO1379" s="53"/>
      <c r="NYP1379" s="53"/>
      <c r="NYQ1379" s="53"/>
      <c r="NYR1379" s="53"/>
      <c r="NYS1379" s="53"/>
      <c r="NYT1379" s="53"/>
      <c r="NYU1379" s="53"/>
      <c r="NYV1379" s="53"/>
      <c r="NYW1379" s="53"/>
      <c r="NYX1379" s="53"/>
      <c r="NYY1379" s="53"/>
      <c r="NYZ1379" s="53"/>
      <c r="NZA1379" s="53"/>
      <c r="NZB1379" s="53"/>
      <c r="NZC1379" s="53"/>
      <c r="NZD1379" s="53"/>
      <c r="NZE1379" s="53"/>
      <c r="NZF1379" s="53"/>
      <c r="NZG1379" s="53"/>
      <c r="NZH1379" s="53"/>
      <c r="NZI1379" s="53"/>
      <c r="NZJ1379" s="53"/>
      <c r="NZK1379" s="53"/>
      <c r="NZL1379" s="53"/>
      <c r="NZM1379" s="53"/>
      <c r="NZN1379" s="53"/>
      <c r="NZO1379" s="53"/>
      <c r="NZP1379" s="53"/>
      <c r="NZQ1379" s="53"/>
      <c r="NZR1379" s="53"/>
      <c r="NZS1379" s="53"/>
      <c r="NZT1379" s="53"/>
      <c r="NZU1379" s="53"/>
      <c r="NZV1379" s="53"/>
      <c r="NZW1379" s="53"/>
      <c r="NZX1379" s="53"/>
      <c r="NZY1379" s="53"/>
      <c r="NZZ1379" s="53"/>
      <c r="OAA1379" s="53"/>
      <c r="OAB1379" s="53"/>
      <c r="OAC1379" s="53"/>
      <c r="OAD1379" s="53"/>
      <c r="OAE1379" s="53"/>
      <c r="OAF1379" s="53"/>
      <c r="OAG1379" s="53"/>
      <c r="OAH1379" s="53"/>
      <c r="OAI1379" s="53"/>
      <c r="OAJ1379" s="53"/>
      <c r="OAK1379" s="53"/>
      <c r="OAL1379" s="53"/>
      <c r="OAM1379" s="53"/>
      <c r="OAN1379" s="53"/>
      <c r="OAO1379" s="53"/>
      <c r="OAP1379" s="53"/>
      <c r="OAQ1379" s="53"/>
      <c r="OAR1379" s="53"/>
      <c r="OAS1379" s="53"/>
      <c r="OAT1379" s="53"/>
      <c r="OAU1379" s="53"/>
      <c r="OAV1379" s="53"/>
      <c r="OAW1379" s="53"/>
      <c r="OAX1379" s="53"/>
      <c r="OAY1379" s="53"/>
      <c r="OAZ1379" s="53"/>
      <c r="OBA1379" s="53"/>
      <c r="OBB1379" s="53"/>
      <c r="OBC1379" s="53"/>
      <c r="OBD1379" s="53"/>
      <c r="OBE1379" s="53"/>
      <c r="OBF1379" s="53"/>
      <c r="OBG1379" s="53"/>
      <c r="OBH1379" s="53"/>
      <c r="OBI1379" s="53"/>
      <c r="OBJ1379" s="53"/>
      <c r="OBK1379" s="53"/>
      <c r="OBL1379" s="53"/>
      <c r="OBM1379" s="53"/>
      <c r="OBN1379" s="53"/>
      <c r="OBO1379" s="53"/>
      <c r="OBP1379" s="53"/>
      <c r="OBQ1379" s="53"/>
      <c r="OBR1379" s="53"/>
      <c r="OBS1379" s="53"/>
      <c r="OBT1379" s="53"/>
      <c r="OBU1379" s="53"/>
      <c r="OBV1379" s="53"/>
      <c r="OBW1379" s="53"/>
      <c r="OBX1379" s="53"/>
      <c r="OBY1379" s="53"/>
      <c r="OBZ1379" s="53"/>
      <c r="OCA1379" s="53"/>
      <c r="OCB1379" s="53"/>
      <c r="OCC1379" s="53"/>
      <c r="OCD1379" s="53"/>
      <c r="OCE1379" s="53"/>
      <c r="OCF1379" s="53"/>
      <c r="OCG1379" s="53"/>
      <c r="OCH1379" s="53"/>
      <c r="OCI1379" s="53"/>
      <c r="OCJ1379" s="53"/>
      <c r="OCK1379" s="53"/>
      <c r="OCL1379" s="53"/>
      <c r="OCM1379" s="53"/>
      <c r="OCN1379" s="53"/>
      <c r="OCO1379" s="53"/>
      <c r="OCP1379" s="53"/>
      <c r="OCQ1379" s="53"/>
      <c r="OCR1379" s="53"/>
      <c r="OCS1379" s="53"/>
      <c r="OCT1379" s="53"/>
      <c r="OCU1379" s="53"/>
      <c r="OCV1379" s="53"/>
      <c r="OCW1379" s="53"/>
      <c r="OCX1379" s="53"/>
      <c r="OCY1379" s="53"/>
      <c r="OCZ1379" s="53"/>
      <c r="ODA1379" s="53"/>
      <c r="ODB1379" s="53"/>
      <c r="ODC1379" s="53"/>
      <c r="ODD1379" s="53"/>
      <c r="ODE1379" s="53"/>
      <c r="ODF1379" s="53"/>
      <c r="ODG1379" s="53"/>
      <c r="ODH1379" s="53"/>
      <c r="ODI1379" s="53"/>
      <c r="ODJ1379" s="53"/>
      <c r="ODK1379" s="53"/>
      <c r="ODL1379" s="53"/>
      <c r="ODM1379" s="53"/>
      <c r="ODN1379" s="53"/>
      <c r="ODO1379" s="53"/>
      <c r="ODP1379" s="53"/>
      <c r="ODQ1379" s="53"/>
      <c r="ODR1379" s="53"/>
      <c r="ODS1379" s="53"/>
      <c r="ODT1379" s="53"/>
      <c r="ODU1379" s="53"/>
      <c r="ODV1379" s="53"/>
      <c r="ODW1379" s="53"/>
      <c r="ODX1379" s="53"/>
      <c r="ODY1379" s="53"/>
      <c r="ODZ1379" s="53"/>
      <c r="OEA1379" s="53"/>
      <c r="OEB1379" s="53"/>
      <c r="OEC1379" s="53"/>
      <c r="OED1379" s="53"/>
      <c r="OEE1379" s="53"/>
      <c r="OEF1379" s="53"/>
      <c r="OEG1379" s="53"/>
      <c r="OEH1379" s="53"/>
      <c r="OEI1379" s="53"/>
      <c r="OEJ1379" s="53"/>
      <c r="OEK1379" s="53"/>
      <c r="OEL1379" s="53"/>
      <c r="OEM1379" s="53"/>
      <c r="OEN1379" s="53"/>
      <c r="OEO1379" s="53"/>
      <c r="OEP1379" s="53"/>
      <c r="OEQ1379" s="53"/>
      <c r="OER1379" s="53"/>
      <c r="OES1379" s="53"/>
      <c r="OET1379" s="53"/>
      <c r="OEU1379" s="53"/>
      <c r="OEV1379" s="53"/>
      <c r="OEW1379" s="53"/>
      <c r="OEX1379" s="53"/>
      <c r="OEY1379" s="53"/>
      <c r="OEZ1379" s="53"/>
      <c r="OFA1379" s="53"/>
      <c r="OFB1379" s="53"/>
      <c r="OFC1379" s="53"/>
      <c r="OFD1379" s="53"/>
      <c r="OFE1379" s="53"/>
      <c r="OFF1379" s="53"/>
      <c r="OFG1379" s="53"/>
      <c r="OFH1379" s="53"/>
      <c r="OFI1379" s="53"/>
      <c r="OFJ1379" s="53"/>
      <c r="OFK1379" s="53"/>
      <c r="OFL1379" s="53"/>
      <c r="OFM1379" s="53"/>
      <c r="OFN1379" s="53"/>
      <c r="OFO1379" s="53"/>
      <c r="OFP1379" s="53"/>
      <c r="OFQ1379" s="53"/>
      <c r="OFR1379" s="53"/>
      <c r="OFS1379" s="53"/>
      <c r="OFT1379" s="53"/>
      <c r="OFU1379" s="53"/>
      <c r="OFV1379" s="53"/>
      <c r="OFW1379" s="53"/>
      <c r="OFX1379" s="53"/>
      <c r="OFY1379" s="53"/>
      <c r="OFZ1379" s="53"/>
      <c r="OGA1379" s="53"/>
      <c r="OGB1379" s="53"/>
      <c r="OGC1379" s="53"/>
      <c r="OGD1379" s="53"/>
      <c r="OGE1379" s="53"/>
      <c r="OGF1379" s="53"/>
      <c r="OGG1379" s="53"/>
      <c r="OGH1379" s="53"/>
      <c r="OGI1379" s="53"/>
      <c r="OGJ1379" s="53"/>
      <c r="OGK1379" s="53"/>
      <c r="OGL1379" s="53"/>
      <c r="OGM1379" s="53"/>
      <c r="OGN1379" s="53"/>
      <c r="OGO1379" s="53"/>
      <c r="OGP1379" s="53"/>
      <c r="OGQ1379" s="53"/>
      <c r="OGR1379" s="53"/>
      <c r="OGS1379" s="53"/>
      <c r="OGT1379" s="53"/>
      <c r="OGU1379" s="53"/>
      <c r="OGV1379" s="53"/>
      <c r="OGW1379" s="53"/>
      <c r="OGX1379" s="53"/>
      <c r="OGY1379" s="53"/>
      <c r="OGZ1379" s="53"/>
      <c r="OHA1379" s="53"/>
      <c r="OHB1379" s="53"/>
      <c r="OHC1379" s="53"/>
      <c r="OHD1379" s="53"/>
      <c r="OHE1379" s="53"/>
      <c r="OHF1379" s="53"/>
      <c r="OHG1379" s="53"/>
      <c r="OHH1379" s="53"/>
      <c r="OHI1379" s="53"/>
      <c r="OHJ1379" s="53"/>
      <c r="OHK1379" s="53"/>
      <c r="OHL1379" s="53"/>
      <c r="OHM1379" s="53"/>
      <c r="OHN1379" s="53"/>
      <c r="OHO1379" s="53"/>
      <c r="OHP1379" s="53"/>
      <c r="OHQ1379" s="53"/>
      <c r="OHR1379" s="53"/>
      <c r="OHS1379" s="53"/>
      <c r="OHT1379" s="53"/>
      <c r="OHU1379" s="53"/>
      <c r="OHV1379" s="53"/>
      <c r="OHW1379" s="53"/>
      <c r="OHX1379" s="53"/>
      <c r="OHY1379" s="53"/>
      <c r="OHZ1379" s="53"/>
      <c r="OIA1379" s="53"/>
      <c r="OIB1379" s="53"/>
      <c r="OIC1379" s="53"/>
      <c r="OID1379" s="53"/>
      <c r="OIE1379" s="53"/>
      <c r="OIF1379" s="53"/>
      <c r="OIG1379" s="53"/>
      <c r="OIH1379" s="53"/>
      <c r="OII1379" s="53"/>
      <c r="OIJ1379" s="53"/>
      <c r="OIK1379" s="53"/>
      <c r="OIL1379" s="53"/>
      <c r="OIM1379" s="53"/>
      <c r="OIN1379" s="53"/>
      <c r="OIO1379" s="53"/>
      <c r="OIP1379" s="53"/>
      <c r="OIQ1379" s="53"/>
      <c r="OIR1379" s="53"/>
      <c r="OIS1379" s="53"/>
      <c r="OIT1379" s="53"/>
      <c r="OIU1379" s="53"/>
      <c r="OIV1379" s="53"/>
      <c r="OIW1379" s="53"/>
      <c r="OIX1379" s="53"/>
      <c r="OIY1379" s="53"/>
      <c r="OIZ1379" s="53"/>
      <c r="OJA1379" s="53"/>
      <c r="OJB1379" s="53"/>
      <c r="OJC1379" s="53"/>
      <c r="OJD1379" s="53"/>
      <c r="OJE1379" s="53"/>
      <c r="OJF1379" s="53"/>
      <c r="OJG1379" s="53"/>
      <c r="OJH1379" s="53"/>
      <c r="OJI1379" s="53"/>
      <c r="OJJ1379" s="53"/>
      <c r="OJK1379" s="53"/>
      <c r="OJL1379" s="53"/>
      <c r="OJM1379" s="53"/>
      <c r="OJN1379" s="53"/>
      <c r="OJO1379" s="53"/>
      <c r="OJP1379" s="53"/>
      <c r="OJQ1379" s="53"/>
      <c r="OJR1379" s="53"/>
      <c r="OJS1379" s="53"/>
      <c r="OJT1379" s="53"/>
      <c r="OJU1379" s="53"/>
      <c r="OJV1379" s="53"/>
      <c r="OJW1379" s="53"/>
      <c r="OJX1379" s="53"/>
      <c r="OJY1379" s="53"/>
      <c r="OJZ1379" s="53"/>
      <c r="OKA1379" s="53"/>
      <c r="OKB1379" s="53"/>
      <c r="OKC1379" s="53"/>
      <c r="OKD1379" s="53"/>
      <c r="OKE1379" s="53"/>
      <c r="OKF1379" s="53"/>
      <c r="OKG1379" s="53"/>
      <c r="OKH1379" s="53"/>
      <c r="OKI1379" s="53"/>
      <c r="OKJ1379" s="53"/>
      <c r="OKK1379" s="53"/>
      <c r="OKL1379" s="53"/>
      <c r="OKM1379" s="53"/>
      <c r="OKN1379" s="53"/>
      <c r="OKO1379" s="53"/>
      <c r="OKP1379" s="53"/>
      <c r="OKQ1379" s="53"/>
      <c r="OKR1379" s="53"/>
      <c r="OKS1379" s="53"/>
      <c r="OKT1379" s="53"/>
      <c r="OKU1379" s="53"/>
      <c r="OKV1379" s="53"/>
      <c r="OKW1379" s="53"/>
      <c r="OKX1379" s="53"/>
      <c r="OKY1379" s="53"/>
      <c r="OKZ1379" s="53"/>
      <c r="OLA1379" s="53"/>
      <c r="OLB1379" s="53"/>
      <c r="OLC1379" s="53"/>
      <c r="OLD1379" s="53"/>
      <c r="OLE1379" s="53"/>
      <c r="OLF1379" s="53"/>
      <c r="OLG1379" s="53"/>
      <c r="OLH1379" s="53"/>
      <c r="OLI1379" s="53"/>
      <c r="OLJ1379" s="53"/>
      <c r="OLK1379" s="53"/>
      <c r="OLL1379" s="53"/>
      <c r="OLM1379" s="53"/>
      <c r="OLN1379" s="53"/>
      <c r="OLO1379" s="53"/>
      <c r="OLP1379" s="53"/>
      <c r="OLQ1379" s="53"/>
      <c r="OLR1379" s="53"/>
      <c r="OLS1379" s="53"/>
      <c r="OLT1379" s="53"/>
      <c r="OLU1379" s="53"/>
      <c r="OLV1379" s="53"/>
      <c r="OLW1379" s="53"/>
      <c r="OLX1379" s="53"/>
      <c r="OLY1379" s="53"/>
      <c r="OLZ1379" s="53"/>
      <c r="OMA1379" s="53"/>
      <c r="OMB1379" s="53"/>
      <c r="OMC1379" s="53"/>
      <c r="OMD1379" s="53"/>
      <c r="OME1379" s="53"/>
      <c r="OMF1379" s="53"/>
      <c r="OMG1379" s="53"/>
      <c r="OMH1379" s="53"/>
      <c r="OMI1379" s="53"/>
      <c r="OMJ1379" s="53"/>
      <c r="OMK1379" s="53"/>
      <c r="OML1379" s="53"/>
      <c r="OMM1379" s="53"/>
      <c r="OMN1379" s="53"/>
      <c r="OMO1379" s="53"/>
      <c r="OMP1379" s="53"/>
      <c r="OMQ1379" s="53"/>
      <c r="OMR1379" s="53"/>
      <c r="OMS1379" s="53"/>
      <c r="OMT1379" s="53"/>
      <c r="OMU1379" s="53"/>
      <c r="OMV1379" s="53"/>
      <c r="OMW1379" s="53"/>
      <c r="OMX1379" s="53"/>
      <c r="OMY1379" s="53"/>
      <c r="OMZ1379" s="53"/>
      <c r="ONA1379" s="53"/>
      <c r="ONB1379" s="53"/>
      <c r="ONC1379" s="53"/>
      <c r="OND1379" s="53"/>
      <c r="ONE1379" s="53"/>
      <c r="ONF1379" s="53"/>
      <c r="ONG1379" s="53"/>
      <c r="ONH1379" s="53"/>
      <c r="ONI1379" s="53"/>
      <c r="ONJ1379" s="53"/>
      <c r="ONK1379" s="53"/>
      <c r="ONL1379" s="53"/>
      <c r="ONM1379" s="53"/>
      <c r="ONN1379" s="53"/>
      <c r="ONO1379" s="53"/>
      <c r="ONP1379" s="53"/>
      <c r="ONQ1379" s="53"/>
      <c r="ONR1379" s="53"/>
      <c r="ONS1379" s="53"/>
      <c r="ONT1379" s="53"/>
      <c r="ONU1379" s="53"/>
      <c r="ONV1379" s="53"/>
      <c r="ONW1379" s="53"/>
      <c r="ONX1379" s="53"/>
      <c r="ONY1379" s="53"/>
      <c r="ONZ1379" s="53"/>
      <c r="OOA1379" s="53"/>
      <c r="OOB1379" s="53"/>
      <c r="OOC1379" s="53"/>
      <c r="OOD1379" s="53"/>
      <c r="OOE1379" s="53"/>
      <c r="OOF1379" s="53"/>
      <c r="OOG1379" s="53"/>
      <c r="OOH1379" s="53"/>
      <c r="OOI1379" s="53"/>
      <c r="OOJ1379" s="53"/>
      <c r="OOK1379" s="53"/>
      <c r="OOL1379" s="53"/>
      <c r="OOM1379" s="53"/>
      <c r="OON1379" s="53"/>
      <c r="OOO1379" s="53"/>
      <c r="OOP1379" s="53"/>
      <c r="OOQ1379" s="53"/>
      <c r="OOR1379" s="53"/>
      <c r="OOS1379" s="53"/>
      <c r="OOT1379" s="53"/>
      <c r="OOU1379" s="53"/>
      <c r="OOV1379" s="53"/>
      <c r="OOW1379" s="53"/>
      <c r="OOX1379" s="53"/>
      <c r="OOY1379" s="53"/>
      <c r="OOZ1379" s="53"/>
      <c r="OPA1379" s="53"/>
      <c r="OPB1379" s="53"/>
      <c r="OPC1379" s="53"/>
      <c r="OPD1379" s="53"/>
      <c r="OPE1379" s="53"/>
      <c r="OPF1379" s="53"/>
      <c r="OPG1379" s="53"/>
      <c r="OPH1379" s="53"/>
      <c r="OPI1379" s="53"/>
      <c r="OPJ1379" s="53"/>
      <c r="OPK1379" s="53"/>
      <c r="OPL1379" s="53"/>
      <c r="OPM1379" s="53"/>
      <c r="OPN1379" s="53"/>
      <c r="OPO1379" s="53"/>
      <c r="OPP1379" s="53"/>
      <c r="OPQ1379" s="53"/>
      <c r="OPR1379" s="53"/>
      <c r="OPS1379" s="53"/>
      <c r="OPT1379" s="53"/>
      <c r="OPU1379" s="53"/>
      <c r="OPV1379" s="53"/>
      <c r="OPW1379" s="53"/>
      <c r="OPX1379" s="53"/>
      <c r="OPY1379" s="53"/>
      <c r="OPZ1379" s="53"/>
      <c r="OQA1379" s="53"/>
      <c r="OQB1379" s="53"/>
      <c r="OQC1379" s="53"/>
      <c r="OQD1379" s="53"/>
      <c r="OQE1379" s="53"/>
      <c r="OQF1379" s="53"/>
      <c r="OQG1379" s="53"/>
      <c r="OQH1379" s="53"/>
      <c r="OQI1379" s="53"/>
      <c r="OQJ1379" s="53"/>
      <c r="OQK1379" s="53"/>
      <c r="OQL1379" s="53"/>
      <c r="OQM1379" s="53"/>
      <c r="OQN1379" s="53"/>
      <c r="OQO1379" s="53"/>
      <c r="OQP1379" s="53"/>
      <c r="OQQ1379" s="53"/>
      <c r="OQR1379" s="53"/>
      <c r="OQS1379" s="53"/>
      <c r="OQT1379" s="53"/>
      <c r="OQU1379" s="53"/>
      <c r="OQV1379" s="53"/>
      <c r="OQW1379" s="53"/>
      <c r="OQX1379" s="53"/>
      <c r="OQY1379" s="53"/>
      <c r="OQZ1379" s="53"/>
      <c r="ORA1379" s="53"/>
      <c r="ORB1379" s="53"/>
      <c r="ORC1379" s="53"/>
      <c r="ORD1379" s="53"/>
      <c r="ORE1379" s="53"/>
      <c r="ORF1379" s="53"/>
      <c r="ORG1379" s="53"/>
      <c r="ORH1379" s="53"/>
      <c r="ORI1379" s="53"/>
      <c r="ORJ1379" s="53"/>
      <c r="ORK1379" s="53"/>
      <c r="ORL1379" s="53"/>
      <c r="ORM1379" s="53"/>
      <c r="ORN1379" s="53"/>
      <c r="ORO1379" s="53"/>
      <c r="ORP1379" s="53"/>
      <c r="ORQ1379" s="53"/>
      <c r="ORR1379" s="53"/>
      <c r="ORS1379" s="53"/>
      <c r="ORT1379" s="53"/>
      <c r="ORU1379" s="53"/>
      <c r="ORV1379" s="53"/>
      <c r="ORW1379" s="53"/>
      <c r="ORX1379" s="53"/>
      <c r="ORY1379" s="53"/>
      <c r="ORZ1379" s="53"/>
      <c r="OSA1379" s="53"/>
      <c r="OSB1379" s="53"/>
      <c r="OSC1379" s="53"/>
      <c r="OSD1379" s="53"/>
      <c r="OSE1379" s="53"/>
      <c r="OSF1379" s="53"/>
      <c r="OSG1379" s="53"/>
      <c r="OSH1379" s="53"/>
      <c r="OSI1379" s="53"/>
      <c r="OSJ1379" s="53"/>
      <c r="OSK1379" s="53"/>
      <c r="OSL1379" s="53"/>
      <c r="OSM1379" s="53"/>
      <c r="OSN1379" s="53"/>
      <c r="OSO1379" s="53"/>
      <c r="OSP1379" s="53"/>
      <c r="OSQ1379" s="53"/>
      <c r="OSR1379" s="53"/>
      <c r="OSS1379" s="53"/>
      <c r="OST1379" s="53"/>
      <c r="OSU1379" s="53"/>
      <c r="OSV1379" s="53"/>
      <c r="OSW1379" s="53"/>
      <c r="OSX1379" s="53"/>
      <c r="OSY1379" s="53"/>
      <c r="OSZ1379" s="53"/>
      <c r="OTA1379" s="53"/>
      <c r="OTB1379" s="53"/>
      <c r="OTC1379" s="53"/>
      <c r="OTD1379" s="53"/>
      <c r="OTE1379" s="53"/>
      <c r="OTF1379" s="53"/>
      <c r="OTG1379" s="53"/>
      <c r="OTH1379" s="53"/>
      <c r="OTI1379" s="53"/>
      <c r="OTJ1379" s="53"/>
      <c r="OTK1379" s="53"/>
      <c r="OTL1379" s="53"/>
      <c r="OTM1379" s="53"/>
      <c r="OTN1379" s="53"/>
      <c r="OTO1379" s="53"/>
      <c r="OTP1379" s="53"/>
      <c r="OTQ1379" s="53"/>
      <c r="OTR1379" s="53"/>
      <c r="OTS1379" s="53"/>
      <c r="OTT1379" s="53"/>
      <c r="OTU1379" s="53"/>
      <c r="OTV1379" s="53"/>
      <c r="OTW1379" s="53"/>
      <c r="OTX1379" s="53"/>
      <c r="OTY1379" s="53"/>
      <c r="OTZ1379" s="53"/>
      <c r="OUA1379" s="53"/>
      <c r="OUB1379" s="53"/>
      <c r="OUC1379" s="53"/>
      <c r="OUD1379" s="53"/>
      <c r="OUE1379" s="53"/>
      <c r="OUF1379" s="53"/>
      <c r="OUG1379" s="53"/>
      <c r="OUH1379" s="53"/>
      <c r="OUI1379" s="53"/>
      <c r="OUJ1379" s="53"/>
      <c r="OUK1379" s="53"/>
      <c r="OUL1379" s="53"/>
      <c r="OUM1379" s="53"/>
      <c r="OUN1379" s="53"/>
      <c r="OUO1379" s="53"/>
      <c r="OUP1379" s="53"/>
      <c r="OUQ1379" s="53"/>
      <c r="OUR1379" s="53"/>
      <c r="OUS1379" s="53"/>
      <c r="OUT1379" s="53"/>
      <c r="OUU1379" s="53"/>
      <c r="OUV1379" s="53"/>
      <c r="OUW1379" s="53"/>
      <c r="OUX1379" s="53"/>
      <c r="OUY1379" s="53"/>
      <c r="OUZ1379" s="53"/>
      <c r="OVA1379" s="53"/>
      <c r="OVB1379" s="53"/>
      <c r="OVC1379" s="53"/>
      <c r="OVD1379" s="53"/>
      <c r="OVE1379" s="53"/>
      <c r="OVF1379" s="53"/>
      <c r="OVG1379" s="53"/>
      <c r="OVH1379" s="53"/>
      <c r="OVI1379" s="53"/>
      <c r="OVJ1379" s="53"/>
      <c r="OVK1379" s="53"/>
      <c r="OVL1379" s="53"/>
      <c r="OVM1379" s="53"/>
      <c r="OVN1379" s="53"/>
      <c r="OVO1379" s="53"/>
      <c r="OVP1379" s="53"/>
      <c r="OVQ1379" s="53"/>
      <c r="OVR1379" s="53"/>
      <c r="OVS1379" s="53"/>
      <c r="OVT1379" s="53"/>
      <c r="OVU1379" s="53"/>
      <c r="OVV1379" s="53"/>
      <c r="OVW1379" s="53"/>
      <c r="OVX1379" s="53"/>
      <c r="OVY1379" s="53"/>
      <c r="OVZ1379" s="53"/>
      <c r="OWA1379" s="53"/>
      <c r="OWB1379" s="53"/>
      <c r="OWC1379" s="53"/>
      <c r="OWD1379" s="53"/>
      <c r="OWE1379" s="53"/>
      <c r="OWF1379" s="53"/>
      <c r="OWG1379" s="53"/>
      <c r="OWH1379" s="53"/>
      <c r="OWI1379" s="53"/>
      <c r="OWJ1379" s="53"/>
      <c r="OWK1379" s="53"/>
      <c r="OWL1379" s="53"/>
      <c r="OWM1379" s="53"/>
      <c r="OWN1379" s="53"/>
      <c r="OWO1379" s="53"/>
      <c r="OWP1379" s="53"/>
      <c r="OWQ1379" s="53"/>
      <c r="OWR1379" s="53"/>
      <c r="OWS1379" s="53"/>
      <c r="OWT1379" s="53"/>
      <c r="OWU1379" s="53"/>
      <c r="OWV1379" s="53"/>
      <c r="OWW1379" s="53"/>
      <c r="OWX1379" s="53"/>
      <c r="OWY1379" s="53"/>
      <c r="OWZ1379" s="53"/>
      <c r="OXA1379" s="53"/>
      <c r="OXB1379" s="53"/>
      <c r="OXC1379" s="53"/>
      <c r="OXD1379" s="53"/>
      <c r="OXE1379" s="53"/>
      <c r="OXF1379" s="53"/>
      <c r="OXG1379" s="53"/>
      <c r="OXH1379" s="53"/>
      <c r="OXI1379" s="53"/>
      <c r="OXJ1379" s="53"/>
      <c r="OXK1379" s="53"/>
      <c r="OXL1379" s="53"/>
      <c r="OXM1379" s="53"/>
      <c r="OXN1379" s="53"/>
      <c r="OXO1379" s="53"/>
      <c r="OXP1379" s="53"/>
      <c r="OXQ1379" s="53"/>
      <c r="OXR1379" s="53"/>
      <c r="OXS1379" s="53"/>
      <c r="OXT1379" s="53"/>
      <c r="OXU1379" s="53"/>
      <c r="OXV1379" s="53"/>
      <c r="OXW1379" s="53"/>
      <c r="OXX1379" s="53"/>
      <c r="OXY1379" s="53"/>
      <c r="OXZ1379" s="53"/>
      <c r="OYA1379" s="53"/>
      <c r="OYB1379" s="53"/>
      <c r="OYC1379" s="53"/>
      <c r="OYD1379" s="53"/>
      <c r="OYE1379" s="53"/>
      <c r="OYF1379" s="53"/>
      <c r="OYG1379" s="53"/>
      <c r="OYH1379" s="53"/>
      <c r="OYI1379" s="53"/>
      <c r="OYJ1379" s="53"/>
      <c r="OYK1379" s="53"/>
      <c r="OYL1379" s="53"/>
      <c r="OYM1379" s="53"/>
      <c r="OYN1379" s="53"/>
      <c r="OYO1379" s="53"/>
      <c r="OYP1379" s="53"/>
      <c r="OYQ1379" s="53"/>
      <c r="OYR1379" s="53"/>
      <c r="OYS1379" s="53"/>
      <c r="OYT1379" s="53"/>
      <c r="OYU1379" s="53"/>
      <c r="OYV1379" s="53"/>
      <c r="OYW1379" s="53"/>
      <c r="OYX1379" s="53"/>
      <c r="OYY1379" s="53"/>
      <c r="OYZ1379" s="53"/>
      <c r="OZA1379" s="53"/>
      <c r="OZB1379" s="53"/>
      <c r="OZC1379" s="53"/>
      <c r="OZD1379" s="53"/>
      <c r="OZE1379" s="53"/>
      <c r="OZF1379" s="53"/>
      <c r="OZG1379" s="53"/>
      <c r="OZH1379" s="53"/>
      <c r="OZI1379" s="53"/>
      <c r="OZJ1379" s="53"/>
      <c r="OZK1379" s="53"/>
      <c r="OZL1379" s="53"/>
      <c r="OZM1379" s="53"/>
      <c r="OZN1379" s="53"/>
      <c r="OZO1379" s="53"/>
      <c r="OZP1379" s="53"/>
      <c r="OZQ1379" s="53"/>
      <c r="OZR1379" s="53"/>
      <c r="OZS1379" s="53"/>
      <c r="OZT1379" s="53"/>
      <c r="OZU1379" s="53"/>
      <c r="OZV1379" s="53"/>
      <c r="OZW1379" s="53"/>
      <c r="OZX1379" s="53"/>
      <c r="OZY1379" s="53"/>
      <c r="OZZ1379" s="53"/>
      <c r="PAA1379" s="53"/>
      <c r="PAB1379" s="53"/>
      <c r="PAC1379" s="53"/>
      <c r="PAD1379" s="53"/>
      <c r="PAE1379" s="53"/>
      <c r="PAF1379" s="53"/>
      <c r="PAG1379" s="53"/>
      <c r="PAH1379" s="53"/>
      <c r="PAI1379" s="53"/>
      <c r="PAJ1379" s="53"/>
      <c r="PAK1379" s="53"/>
      <c r="PAL1379" s="53"/>
      <c r="PAM1379" s="53"/>
      <c r="PAN1379" s="53"/>
      <c r="PAO1379" s="53"/>
      <c r="PAP1379" s="53"/>
      <c r="PAQ1379" s="53"/>
      <c r="PAR1379" s="53"/>
      <c r="PAS1379" s="53"/>
      <c r="PAT1379" s="53"/>
      <c r="PAU1379" s="53"/>
      <c r="PAV1379" s="53"/>
      <c r="PAW1379" s="53"/>
      <c r="PAX1379" s="53"/>
      <c r="PAY1379" s="53"/>
      <c r="PAZ1379" s="53"/>
      <c r="PBA1379" s="53"/>
      <c r="PBB1379" s="53"/>
      <c r="PBC1379" s="53"/>
      <c r="PBD1379" s="53"/>
      <c r="PBE1379" s="53"/>
      <c r="PBF1379" s="53"/>
      <c r="PBG1379" s="53"/>
      <c r="PBH1379" s="53"/>
      <c r="PBI1379" s="53"/>
      <c r="PBJ1379" s="53"/>
      <c r="PBK1379" s="53"/>
      <c r="PBL1379" s="53"/>
      <c r="PBM1379" s="53"/>
      <c r="PBN1379" s="53"/>
      <c r="PBO1379" s="53"/>
      <c r="PBP1379" s="53"/>
      <c r="PBQ1379" s="53"/>
      <c r="PBR1379" s="53"/>
      <c r="PBS1379" s="53"/>
      <c r="PBT1379" s="53"/>
      <c r="PBU1379" s="53"/>
      <c r="PBV1379" s="53"/>
      <c r="PBW1379" s="53"/>
      <c r="PBX1379" s="53"/>
      <c r="PBY1379" s="53"/>
      <c r="PBZ1379" s="53"/>
      <c r="PCA1379" s="53"/>
      <c r="PCB1379" s="53"/>
      <c r="PCC1379" s="53"/>
      <c r="PCD1379" s="53"/>
      <c r="PCE1379" s="53"/>
      <c r="PCF1379" s="53"/>
      <c r="PCG1379" s="53"/>
      <c r="PCH1379" s="53"/>
      <c r="PCI1379" s="53"/>
      <c r="PCJ1379" s="53"/>
      <c r="PCK1379" s="53"/>
      <c r="PCL1379" s="53"/>
      <c r="PCM1379" s="53"/>
      <c r="PCN1379" s="53"/>
      <c r="PCO1379" s="53"/>
      <c r="PCP1379" s="53"/>
      <c r="PCQ1379" s="53"/>
      <c r="PCR1379" s="53"/>
      <c r="PCS1379" s="53"/>
      <c r="PCT1379" s="53"/>
      <c r="PCU1379" s="53"/>
      <c r="PCV1379" s="53"/>
      <c r="PCW1379" s="53"/>
      <c r="PCX1379" s="53"/>
      <c r="PCY1379" s="53"/>
      <c r="PCZ1379" s="53"/>
      <c r="PDA1379" s="53"/>
      <c r="PDB1379" s="53"/>
      <c r="PDC1379" s="53"/>
      <c r="PDD1379" s="53"/>
      <c r="PDE1379" s="53"/>
      <c r="PDF1379" s="53"/>
      <c r="PDG1379" s="53"/>
      <c r="PDH1379" s="53"/>
      <c r="PDI1379" s="53"/>
      <c r="PDJ1379" s="53"/>
      <c r="PDK1379" s="53"/>
      <c r="PDL1379" s="53"/>
      <c r="PDM1379" s="53"/>
      <c r="PDN1379" s="53"/>
      <c r="PDO1379" s="53"/>
      <c r="PDP1379" s="53"/>
      <c r="PDQ1379" s="53"/>
      <c r="PDR1379" s="53"/>
      <c r="PDS1379" s="53"/>
      <c r="PDT1379" s="53"/>
      <c r="PDU1379" s="53"/>
      <c r="PDV1379" s="53"/>
      <c r="PDW1379" s="53"/>
      <c r="PDX1379" s="53"/>
      <c r="PDY1379" s="53"/>
      <c r="PDZ1379" s="53"/>
      <c r="PEA1379" s="53"/>
      <c r="PEB1379" s="53"/>
      <c r="PEC1379" s="53"/>
      <c r="PED1379" s="53"/>
      <c r="PEE1379" s="53"/>
      <c r="PEF1379" s="53"/>
      <c r="PEG1379" s="53"/>
      <c r="PEH1379" s="53"/>
      <c r="PEI1379" s="53"/>
      <c r="PEJ1379" s="53"/>
      <c r="PEK1379" s="53"/>
      <c r="PEL1379" s="53"/>
      <c r="PEM1379" s="53"/>
      <c r="PEN1379" s="53"/>
      <c r="PEO1379" s="53"/>
      <c r="PEP1379" s="53"/>
      <c r="PEQ1379" s="53"/>
      <c r="PER1379" s="53"/>
      <c r="PES1379" s="53"/>
      <c r="PET1379" s="53"/>
      <c r="PEU1379" s="53"/>
      <c r="PEV1379" s="53"/>
      <c r="PEW1379" s="53"/>
      <c r="PEX1379" s="53"/>
      <c r="PEY1379" s="53"/>
      <c r="PEZ1379" s="53"/>
      <c r="PFA1379" s="53"/>
      <c r="PFB1379" s="53"/>
      <c r="PFC1379" s="53"/>
      <c r="PFD1379" s="53"/>
      <c r="PFE1379" s="53"/>
      <c r="PFF1379" s="53"/>
      <c r="PFG1379" s="53"/>
      <c r="PFH1379" s="53"/>
      <c r="PFI1379" s="53"/>
      <c r="PFJ1379" s="53"/>
      <c r="PFK1379" s="53"/>
      <c r="PFL1379" s="53"/>
      <c r="PFM1379" s="53"/>
      <c r="PFN1379" s="53"/>
      <c r="PFO1379" s="53"/>
      <c r="PFP1379" s="53"/>
      <c r="PFQ1379" s="53"/>
      <c r="PFR1379" s="53"/>
      <c r="PFS1379" s="53"/>
      <c r="PFT1379" s="53"/>
      <c r="PFU1379" s="53"/>
      <c r="PFV1379" s="53"/>
      <c r="PFW1379" s="53"/>
      <c r="PFX1379" s="53"/>
      <c r="PFY1379" s="53"/>
      <c r="PFZ1379" s="53"/>
      <c r="PGA1379" s="53"/>
      <c r="PGB1379" s="53"/>
      <c r="PGC1379" s="53"/>
      <c r="PGD1379" s="53"/>
      <c r="PGE1379" s="53"/>
      <c r="PGF1379" s="53"/>
      <c r="PGG1379" s="53"/>
      <c r="PGH1379" s="53"/>
      <c r="PGI1379" s="53"/>
      <c r="PGJ1379" s="53"/>
      <c r="PGK1379" s="53"/>
      <c r="PGL1379" s="53"/>
      <c r="PGM1379" s="53"/>
      <c r="PGN1379" s="53"/>
      <c r="PGO1379" s="53"/>
      <c r="PGP1379" s="53"/>
      <c r="PGQ1379" s="53"/>
      <c r="PGR1379" s="53"/>
      <c r="PGS1379" s="53"/>
      <c r="PGT1379" s="53"/>
      <c r="PGU1379" s="53"/>
      <c r="PGV1379" s="53"/>
      <c r="PGW1379" s="53"/>
      <c r="PGX1379" s="53"/>
      <c r="PGY1379" s="53"/>
      <c r="PGZ1379" s="53"/>
      <c r="PHA1379" s="53"/>
      <c r="PHB1379" s="53"/>
      <c r="PHC1379" s="53"/>
      <c r="PHD1379" s="53"/>
      <c r="PHE1379" s="53"/>
      <c r="PHF1379" s="53"/>
      <c r="PHG1379" s="53"/>
      <c r="PHH1379" s="53"/>
      <c r="PHI1379" s="53"/>
      <c r="PHJ1379" s="53"/>
      <c r="PHK1379" s="53"/>
      <c r="PHL1379" s="53"/>
      <c r="PHM1379" s="53"/>
      <c r="PHN1379" s="53"/>
      <c r="PHO1379" s="53"/>
      <c r="PHP1379" s="53"/>
      <c r="PHQ1379" s="53"/>
      <c r="PHR1379" s="53"/>
      <c r="PHS1379" s="53"/>
      <c r="PHT1379" s="53"/>
      <c r="PHU1379" s="53"/>
      <c r="PHV1379" s="53"/>
      <c r="PHW1379" s="53"/>
      <c r="PHX1379" s="53"/>
      <c r="PHY1379" s="53"/>
      <c r="PHZ1379" s="53"/>
      <c r="PIA1379" s="53"/>
      <c r="PIB1379" s="53"/>
      <c r="PIC1379" s="53"/>
      <c r="PID1379" s="53"/>
      <c r="PIE1379" s="53"/>
      <c r="PIF1379" s="53"/>
      <c r="PIG1379" s="53"/>
      <c r="PIH1379" s="53"/>
      <c r="PII1379" s="53"/>
      <c r="PIJ1379" s="53"/>
      <c r="PIK1379" s="53"/>
      <c r="PIL1379" s="53"/>
      <c r="PIM1379" s="53"/>
      <c r="PIN1379" s="53"/>
      <c r="PIO1379" s="53"/>
      <c r="PIP1379" s="53"/>
      <c r="PIQ1379" s="53"/>
      <c r="PIR1379" s="53"/>
      <c r="PIS1379" s="53"/>
      <c r="PIT1379" s="53"/>
      <c r="PIU1379" s="53"/>
      <c r="PIV1379" s="53"/>
      <c r="PIW1379" s="53"/>
      <c r="PIX1379" s="53"/>
      <c r="PIY1379" s="53"/>
      <c r="PIZ1379" s="53"/>
      <c r="PJA1379" s="53"/>
      <c r="PJB1379" s="53"/>
      <c r="PJC1379" s="53"/>
      <c r="PJD1379" s="53"/>
      <c r="PJE1379" s="53"/>
      <c r="PJF1379" s="53"/>
      <c r="PJG1379" s="53"/>
      <c r="PJH1379" s="53"/>
      <c r="PJI1379" s="53"/>
      <c r="PJJ1379" s="53"/>
      <c r="PJK1379" s="53"/>
      <c r="PJL1379" s="53"/>
      <c r="PJM1379" s="53"/>
      <c r="PJN1379" s="53"/>
      <c r="PJO1379" s="53"/>
      <c r="PJP1379" s="53"/>
      <c r="PJQ1379" s="53"/>
      <c r="PJR1379" s="53"/>
      <c r="PJS1379" s="53"/>
      <c r="PJT1379" s="53"/>
      <c r="PJU1379" s="53"/>
      <c r="PJV1379" s="53"/>
      <c r="PJW1379" s="53"/>
      <c r="PJX1379" s="53"/>
      <c r="PJY1379" s="53"/>
      <c r="PJZ1379" s="53"/>
      <c r="PKA1379" s="53"/>
      <c r="PKB1379" s="53"/>
      <c r="PKC1379" s="53"/>
      <c r="PKD1379" s="53"/>
      <c r="PKE1379" s="53"/>
      <c r="PKF1379" s="53"/>
      <c r="PKG1379" s="53"/>
      <c r="PKH1379" s="53"/>
      <c r="PKI1379" s="53"/>
      <c r="PKJ1379" s="53"/>
      <c r="PKK1379" s="53"/>
      <c r="PKL1379" s="53"/>
      <c r="PKM1379" s="53"/>
      <c r="PKN1379" s="53"/>
      <c r="PKO1379" s="53"/>
      <c r="PKP1379" s="53"/>
      <c r="PKQ1379" s="53"/>
      <c r="PKR1379" s="53"/>
      <c r="PKS1379" s="53"/>
      <c r="PKT1379" s="53"/>
      <c r="PKU1379" s="53"/>
      <c r="PKV1379" s="53"/>
      <c r="PKW1379" s="53"/>
      <c r="PKX1379" s="53"/>
      <c r="PKY1379" s="53"/>
      <c r="PKZ1379" s="53"/>
      <c r="PLA1379" s="53"/>
      <c r="PLB1379" s="53"/>
      <c r="PLC1379" s="53"/>
      <c r="PLD1379" s="53"/>
      <c r="PLE1379" s="53"/>
      <c r="PLF1379" s="53"/>
      <c r="PLG1379" s="53"/>
      <c r="PLH1379" s="53"/>
      <c r="PLI1379" s="53"/>
      <c r="PLJ1379" s="53"/>
      <c r="PLK1379" s="53"/>
      <c r="PLL1379" s="53"/>
      <c r="PLM1379" s="53"/>
      <c r="PLN1379" s="53"/>
      <c r="PLO1379" s="53"/>
      <c r="PLP1379" s="53"/>
      <c r="PLQ1379" s="53"/>
      <c r="PLR1379" s="53"/>
      <c r="PLS1379" s="53"/>
      <c r="PLT1379" s="53"/>
      <c r="PLU1379" s="53"/>
      <c r="PLV1379" s="53"/>
      <c r="PLW1379" s="53"/>
      <c r="PLX1379" s="53"/>
      <c r="PLY1379" s="53"/>
      <c r="PLZ1379" s="53"/>
      <c r="PMA1379" s="53"/>
      <c r="PMB1379" s="53"/>
      <c r="PMC1379" s="53"/>
      <c r="PMD1379" s="53"/>
      <c r="PME1379" s="53"/>
      <c r="PMF1379" s="53"/>
      <c r="PMG1379" s="53"/>
      <c r="PMH1379" s="53"/>
      <c r="PMI1379" s="53"/>
      <c r="PMJ1379" s="53"/>
      <c r="PMK1379" s="53"/>
      <c r="PML1379" s="53"/>
      <c r="PMM1379" s="53"/>
      <c r="PMN1379" s="53"/>
      <c r="PMO1379" s="53"/>
      <c r="PMP1379" s="53"/>
      <c r="PMQ1379" s="53"/>
      <c r="PMR1379" s="53"/>
      <c r="PMS1379" s="53"/>
      <c r="PMT1379" s="53"/>
      <c r="PMU1379" s="53"/>
      <c r="PMV1379" s="53"/>
      <c r="PMW1379" s="53"/>
      <c r="PMX1379" s="53"/>
      <c r="PMY1379" s="53"/>
      <c r="PMZ1379" s="53"/>
      <c r="PNA1379" s="53"/>
      <c r="PNB1379" s="53"/>
      <c r="PNC1379" s="53"/>
      <c r="PND1379" s="53"/>
      <c r="PNE1379" s="53"/>
      <c r="PNF1379" s="53"/>
      <c r="PNG1379" s="53"/>
      <c r="PNH1379" s="53"/>
      <c r="PNI1379" s="53"/>
      <c r="PNJ1379" s="53"/>
      <c r="PNK1379" s="53"/>
      <c r="PNL1379" s="53"/>
      <c r="PNM1379" s="53"/>
      <c r="PNN1379" s="53"/>
      <c r="PNO1379" s="53"/>
      <c r="PNP1379" s="53"/>
      <c r="PNQ1379" s="53"/>
      <c r="PNR1379" s="53"/>
      <c r="PNS1379" s="53"/>
      <c r="PNT1379" s="53"/>
      <c r="PNU1379" s="53"/>
      <c r="PNV1379" s="53"/>
      <c r="PNW1379" s="53"/>
      <c r="PNX1379" s="53"/>
      <c r="PNY1379" s="53"/>
      <c r="PNZ1379" s="53"/>
      <c r="POA1379" s="53"/>
      <c r="POB1379" s="53"/>
      <c r="POC1379" s="53"/>
      <c r="POD1379" s="53"/>
      <c r="POE1379" s="53"/>
      <c r="POF1379" s="53"/>
      <c r="POG1379" s="53"/>
      <c r="POH1379" s="53"/>
      <c r="POI1379" s="53"/>
      <c r="POJ1379" s="53"/>
      <c r="POK1379" s="53"/>
      <c r="POL1379" s="53"/>
      <c r="POM1379" s="53"/>
      <c r="PON1379" s="53"/>
      <c r="POO1379" s="53"/>
      <c r="POP1379" s="53"/>
      <c r="POQ1379" s="53"/>
      <c r="POR1379" s="53"/>
      <c r="POS1379" s="53"/>
      <c r="POT1379" s="53"/>
      <c r="POU1379" s="53"/>
      <c r="POV1379" s="53"/>
      <c r="POW1379" s="53"/>
      <c r="POX1379" s="53"/>
      <c r="POY1379" s="53"/>
      <c r="POZ1379" s="53"/>
      <c r="PPA1379" s="53"/>
      <c r="PPB1379" s="53"/>
      <c r="PPC1379" s="53"/>
      <c r="PPD1379" s="53"/>
      <c r="PPE1379" s="53"/>
      <c r="PPF1379" s="53"/>
      <c r="PPG1379" s="53"/>
      <c r="PPH1379" s="53"/>
      <c r="PPI1379" s="53"/>
      <c r="PPJ1379" s="53"/>
      <c r="PPK1379" s="53"/>
      <c r="PPL1379" s="53"/>
      <c r="PPM1379" s="53"/>
      <c r="PPN1379" s="53"/>
      <c r="PPO1379" s="53"/>
      <c r="PPP1379" s="53"/>
      <c r="PPQ1379" s="53"/>
      <c r="PPR1379" s="53"/>
      <c r="PPS1379" s="53"/>
      <c r="PPT1379" s="53"/>
      <c r="PPU1379" s="53"/>
      <c r="PPV1379" s="53"/>
      <c r="PPW1379" s="53"/>
      <c r="PPX1379" s="53"/>
      <c r="PPY1379" s="53"/>
      <c r="PPZ1379" s="53"/>
      <c r="PQA1379" s="53"/>
      <c r="PQB1379" s="53"/>
      <c r="PQC1379" s="53"/>
      <c r="PQD1379" s="53"/>
      <c r="PQE1379" s="53"/>
      <c r="PQF1379" s="53"/>
      <c r="PQG1379" s="53"/>
      <c r="PQH1379" s="53"/>
      <c r="PQI1379" s="53"/>
      <c r="PQJ1379" s="53"/>
      <c r="PQK1379" s="53"/>
      <c r="PQL1379" s="53"/>
      <c r="PQM1379" s="53"/>
      <c r="PQN1379" s="53"/>
      <c r="PQO1379" s="53"/>
      <c r="PQP1379" s="53"/>
      <c r="PQQ1379" s="53"/>
      <c r="PQR1379" s="53"/>
      <c r="PQS1379" s="53"/>
      <c r="PQT1379" s="53"/>
      <c r="PQU1379" s="53"/>
      <c r="PQV1379" s="53"/>
      <c r="PQW1379" s="53"/>
      <c r="PQX1379" s="53"/>
      <c r="PQY1379" s="53"/>
      <c r="PQZ1379" s="53"/>
      <c r="PRA1379" s="53"/>
      <c r="PRB1379" s="53"/>
      <c r="PRC1379" s="53"/>
      <c r="PRD1379" s="53"/>
      <c r="PRE1379" s="53"/>
      <c r="PRF1379" s="53"/>
      <c r="PRG1379" s="53"/>
      <c r="PRH1379" s="53"/>
      <c r="PRI1379" s="53"/>
      <c r="PRJ1379" s="53"/>
      <c r="PRK1379" s="53"/>
      <c r="PRL1379" s="53"/>
      <c r="PRM1379" s="53"/>
      <c r="PRN1379" s="53"/>
      <c r="PRO1379" s="53"/>
      <c r="PRP1379" s="53"/>
      <c r="PRQ1379" s="53"/>
      <c r="PRR1379" s="53"/>
      <c r="PRS1379" s="53"/>
      <c r="PRT1379" s="53"/>
      <c r="PRU1379" s="53"/>
      <c r="PRV1379" s="53"/>
      <c r="PRW1379" s="53"/>
      <c r="PRX1379" s="53"/>
      <c r="PRY1379" s="53"/>
      <c r="PRZ1379" s="53"/>
      <c r="PSA1379" s="53"/>
      <c r="PSB1379" s="53"/>
      <c r="PSC1379" s="53"/>
      <c r="PSD1379" s="53"/>
      <c r="PSE1379" s="53"/>
      <c r="PSF1379" s="53"/>
      <c r="PSG1379" s="53"/>
      <c r="PSH1379" s="53"/>
      <c r="PSI1379" s="53"/>
      <c r="PSJ1379" s="53"/>
      <c r="PSK1379" s="53"/>
      <c r="PSL1379" s="53"/>
      <c r="PSM1379" s="53"/>
      <c r="PSN1379" s="53"/>
      <c r="PSO1379" s="53"/>
      <c r="PSP1379" s="53"/>
      <c r="PSQ1379" s="53"/>
      <c r="PSR1379" s="53"/>
      <c r="PSS1379" s="53"/>
      <c r="PST1379" s="53"/>
      <c r="PSU1379" s="53"/>
      <c r="PSV1379" s="53"/>
      <c r="PSW1379" s="53"/>
      <c r="PSX1379" s="53"/>
      <c r="PSY1379" s="53"/>
      <c r="PSZ1379" s="53"/>
      <c r="PTA1379" s="53"/>
      <c r="PTB1379" s="53"/>
      <c r="PTC1379" s="53"/>
      <c r="PTD1379" s="53"/>
      <c r="PTE1379" s="53"/>
      <c r="PTF1379" s="53"/>
      <c r="PTG1379" s="53"/>
      <c r="PTH1379" s="53"/>
      <c r="PTI1379" s="53"/>
      <c r="PTJ1379" s="53"/>
      <c r="PTK1379" s="53"/>
      <c r="PTL1379" s="53"/>
      <c r="PTM1379" s="53"/>
      <c r="PTN1379" s="53"/>
      <c r="PTO1379" s="53"/>
      <c r="PTP1379" s="53"/>
      <c r="PTQ1379" s="53"/>
      <c r="PTR1379" s="53"/>
      <c r="PTS1379" s="53"/>
      <c r="PTT1379" s="53"/>
      <c r="PTU1379" s="53"/>
      <c r="PTV1379" s="53"/>
      <c r="PTW1379" s="53"/>
      <c r="PTX1379" s="53"/>
      <c r="PTY1379" s="53"/>
      <c r="PTZ1379" s="53"/>
      <c r="PUA1379" s="53"/>
      <c r="PUB1379" s="53"/>
      <c r="PUC1379" s="53"/>
      <c r="PUD1379" s="53"/>
      <c r="PUE1379" s="53"/>
      <c r="PUF1379" s="53"/>
      <c r="PUG1379" s="53"/>
      <c r="PUH1379" s="53"/>
      <c r="PUI1379" s="53"/>
      <c r="PUJ1379" s="53"/>
      <c r="PUK1379" s="53"/>
      <c r="PUL1379" s="53"/>
      <c r="PUM1379" s="53"/>
      <c r="PUN1379" s="53"/>
      <c r="PUO1379" s="53"/>
      <c r="PUP1379" s="53"/>
      <c r="PUQ1379" s="53"/>
      <c r="PUR1379" s="53"/>
      <c r="PUS1379" s="53"/>
      <c r="PUT1379" s="53"/>
      <c r="PUU1379" s="53"/>
      <c r="PUV1379" s="53"/>
      <c r="PUW1379" s="53"/>
      <c r="PUX1379" s="53"/>
      <c r="PUY1379" s="53"/>
      <c r="PUZ1379" s="53"/>
      <c r="PVA1379" s="53"/>
      <c r="PVB1379" s="53"/>
      <c r="PVC1379" s="53"/>
      <c r="PVD1379" s="53"/>
      <c r="PVE1379" s="53"/>
      <c r="PVF1379" s="53"/>
      <c r="PVG1379" s="53"/>
      <c r="PVH1379" s="53"/>
      <c r="PVI1379" s="53"/>
      <c r="PVJ1379" s="53"/>
      <c r="PVK1379" s="53"/>
      <c r="PVL1379" s="53"/>
      <c r="PVM1379" s="53"/>
      <c r="PVN1379" s="53"/>
      <c r="PVO1379" s="53"/>
      <c r="PVP1379" s="53"/>
      <c r="PVQ1379" s="53"/>
      <c r="PVR1379" s="53"/>
      <c r="PVS1379" s="53"/>
      <c r="PVT1379" s="53"/>
      <c r="PVU1379" s="53"/>
      <c r="PVV1379" s="53"/>
      <c r="PVW1379" s="53"/>
      <c r="PVX1379" s="53"/>
      <c r="PVY1379" s="53"/>
      <c r="PVZ1379" s="53"/>
      <c r="PWA1379" s="53"/>
      <c r="PWB1379" s="53"/>
      <c r="PWC1379" s="53"/>
      <c r="PWD1379" s="53"/>
      <c r="PWE1379" s="53"/>
      <c r="PWF1379" s="53"/>
      <c r="PWG1379" s="53"/>
      <c r="PWH1379" s="53"/>
      <c r="PWI1379" s="53"/>
      <c r="PWJ1379" s="53"/>
      <c r="PWK1379" s="53"/>
      <c r="PWL1379" s="53"/>
      <c r="PWM1379" s="53"/>
      <c r="PWN1379" s="53"/>
      <c r="PWO1379" s="53"/>
      <c r="PWP1379" s="53"/>
      <c r="PWQ1379" s="53"/>
      <c r="PWR1379" s="53"/>
      <c r="PWS1379" s="53"/>
      <c r="PWT1379" s="53"/>
      <c r="PWU1379" s="53"/>
      <c r="PWV1379" s="53"/>
      <c r="PWW1379" s="53"/>
      <c r="PWX1379" s="53"/>
      <c r="PWY1379" s="53"/>
      <c r="PWZ1379" s="53"/>
      <c r="PXA1379" s="53"/>
      <c r="PXB1379" s="53"/>
      <c r="PXC1379" s="53"/>
      <c r="PXD1379" s="53"/>
      <c r="PXE1379" s="53"/>
      <c r="PXF1379" s="53"/>
      <c r="PXG1379" s="53"/>
      <c r="PXH1379" s="53"/>
      <c r="PXI1379" s="53"/>
      <c r="PXJ1379" s="53"/>
      <c r="PXK1379" s="53"/>
      <c r="PXL1379" s="53"/>
      <c r="PXM1379" s="53"/>
      <c r="PXN1379" s="53"/>
      <c r="PXO1379" s="53"/>
      <c r="PXP1379" s="53"/>
      <c r="PXQ1379" s="53"/>
      <c r="PXR1379" s="53"/>
      <c r="PXS1379" s="53"/>
      <c r="PXT1379" s="53"/>
      <c r="PXU1379" s="53"/>
      <c r="PXV1379" s="53"/>
      <c r="PXW1379" s="53"/>
      <c r="PXX1379" s="53"/>
      <c r="PXY1379" s="53"/>
      <c r="PXZ1379" s="53"/>
      <c r="PYA1379" s="53"/>
      <c r="PYB1379" s="53"/>
      <c r="PYC1379" s="53"/>
      <c r="PYD1379" s="53"/>
      <c r="PYE1379" s="53"/>
      <c r="PYF1379" s="53"/>
      <c r="PYG1379" s="53"/>
      <c r="PYH1379" s="53"/>
      <c r="PYI1379" s="53"/>
      <c r="PYJ1379" s="53"/>
      <c r="PYK1379" s="53"/>
      <c r="PYL1379" s="53"/>
      <c r="PYM1379" s="53"/>
      <c r="PYN1379" s="53"/>
      <c r="PYO1379" s="53"/>
      <c r="PYP1379" s="53"/>
      <c r="PYQ1379" s="53"/>
      <c r="PYR1379" s="53"/>
      <c r="PYS1379" s="53"/>
      <c r="PYT1379" s="53"/>
      <c r="PYU1379" s="53"/>
      <c r="PYV1379" s="53"/>
      <c r="PYW1379" s="53"/>
      <c r="PYX1379" s="53"/>
      <c r="PYY1379" s="53"/>
      <c r="PYZ1379" s="53"/>
      <c r="PZA1379" s="53"/>
      <c r="PZB1379" s="53"/>
      <c r="PZC1379" s="53"/>
      <c r="PZD1379" s="53"/>
      <c r="PZE1379" s="53"/>
      <c r="PZF1379" s="53"/>
      <c r="PZG1379" s="53"/>
      <c r="PZH1379" s="53"/>
      <c r="PZI1379" s="53"/>
      <c r="PZJ1379" s="53"/>
      <c r="PZK1379" s="53"/>
      <c r="PZL1379" s="53"/>
      <c r="PZM1379" s="53"/>
      <c r="PZN1379" s="53"/>
      <c r="PZO1379" s="53"/>
      <c r="PZP1379" s="53"/>
      <c r="PZQ1379" s="53"/>
      <c r="PZR1379" s="53"/>
      <c r="PZS1379" s="53"/>
      <c r="PZT1379" s="53"/>
      <c r="PZU1379" s="53"/>
      <c r="PZV1379" s="53"/>
      <c r="PZW1379" s="53"/>
      <c r="PZX1379" s="53"/>
      <c r="PZY1379" s="53"/>
      <c r="PZZ1379" s="53"/>
      <c r="QAA1379" s="53"/>
      <c r="QAB1379" s="53"/>
      <c r="QAC1379" s="53"/>
      <c r="QAD1379" s="53"/>
      <c r="QAE1379" s="53"/>
      <c r="QAF1379" s="53"/>
      <c r="QAG1379" s="53"/>
      <c r="QAH1379" s="53"/>
      <c r="QAI1379" s="53"/>
      <c r="QAJ1379" s="53"/>
      <c r="QAK1379" s="53"/>
      <c r="QAL1379" s="53"/>
      <c r="QAM1379" s="53"/>
      <c r="QAN1379" s="53"/>
      <c r="QAO1379" s="53"/>
      <c r="QAP1379" s="53"/>
      <c r="QAQ1379" s="53"/>
      <c r="QAR1379" s="53"/>
      <c r="QAS1379" s="53"/>
      <c r="QAT1379" s="53"/>
      <c r="QAU1379" s="53"/>
      <c r="QAV1379" s="53"/>
      <c r="QAW1379" s="53"/>
      <c r="QAX1379" s="53"/>
      <c r="QAY1379" s="53"/>
      <c r="QAZ1379" s="53"/>
      <c r="QBA1379" s="53"/>
      <c r="QBB1379" s="53"/>
      <c r="QBC1379" s="53"/>
      <c r="QBD1379" s="53"/>
      <c r="QBE1379" s="53"/>
      <c r="QBF1379" s="53"/>
      <c r="QBG1379" s="53"/>
      <c r="QBH1379" s="53"/>
      <c r="QBI1379" s="53"/>
      <c r="QBJ1379" s="53"/>
      <c r="QBK1379" s="53"/>
      <c r="QBL1379" s="53"/>
      <c r="QBM1379" s="53"/>
      <c r="QBN1379" s="53"/>
      <c r="QBO1379" s="53"/>
      <c r="QBP1379" s="53"/>
      <c r="QBQ1379" s="53"/>
      <c r="QBR1379" s="53"/>
      <c r="QBS1379" s="53"/>
      <c r="QBT1379" s="53"/>
      <c r="QBU1379" s="53"/>
      <c r="QBV1379" s="53"/>
      <c r="QBW1379" s="53"/>
      <c r="QBX1379" s="53"/>
      <c r="QBY1379" s="53"/>
      <c r="QBZ1379" s="53"/>
      <c r="QCA1379" s="53"/>
      <c r="QCB1379" s="53"/>
      <c r="QCC1379" s="53"/>
      <c r="QCD1379" s="53"/>
      <c r="QCE1379" s="53"/>
      <c r="QCF1379" s="53"/>
      <c r="QCG1379" s="53"/>
      <c r="QCH1379" s="53"/>
      <c r="QCI1379" s="53"/>
      <c r="QCJ1379" s="53"/>
      <c r="QCK1379" s="53"/>
      <c r="QCL1379" s="53"/>
      <c r="QCM1379" s="53"/>
      <c r="QCN1379" s="53"/>
      <c r="QCO1379" s="53"/>
      <c r="QCP1379" s="53"/>
      <c r="QCQ1379" s="53"/>
      <c r="QCR1379" s="53"/>
      <c r="QCS1379" s="53"/>
      <c r="QCT1379" s="53"/>
      <c r="QCU1379" s="53"/>
      <c r="QCV1379" s="53"/>
      <c r="QCW1379" s="53"/>
      <c r="QCX1379" s="53"/>
      <c r="QCY1379" s="53"/>
      <c r="QCZ1379" s="53"/>
      <c r="QDA1379" s="53"/>
      <c r="QDB1379" s="53"/>
      <c r="QDC1379" s="53"/>
      <c r="QDD1379" s="53"/>
      <c r="QDE1379" s="53"/>
      <c r="QDF1379" s="53"/>
      <c r="QDG1379" s="53"/>
      <c r="QDH1379" s="53"/>
      <c r="QDI1379" s="53"/>
      <c r="QDJ1379" s="53"/>
      <c r="QDK1379" s="53"/>
      <c r="QDL1379" s="53"/>
      <c r="QDM1379" s="53"/>
      <c r="QDN1379" s="53"/>
      <c r="QDO1379" s="53"/>
      <c r="QDP1379" s="53"/>
      <c r="QDQ1379" s="53"/>
      <c r="QDR1379" s="53"/>
      <c r="QDS1379" s="53"/>
      <c r="QDT1379" s="53"/>
      <c r="QDU1379" s="53"/>
      <c r="QDV1379" s="53"/>
      <c r="QDW1379" s="53"/>
      <c r="QDX1379" s="53"/>
      <c r="QDY1379" s="53"/>
      <c r="QDZ1379" s="53"/>
      <c r="QEA1379" s="53"/>
      <c r="QEB1379" s="53"/>
      <c r="QEC1379" s="53"/>
      <c r="QED1379" s="53"/>
      <c r="QEE1379" s="53"/>
      <c r="QEF1379" s="53"/>
      <c r="QEG1379" s="53"/>
      <c r="QEH1379" s="53"/>
      <c r="QEI1379" s="53"/>
      <c r="QEJ1379" s="53"/>
      <c r="QEK1379" s="53"/>
      <c r="QEL1379" s="53"/>
      <c r="QEM1379" s="53"/>
      <c r="QEN1379" s="53"/>
      <c r="QEO1379" s="53"/>
      <c r="QEP1379" s="53"/>
      <c r="QEQ1379" s="53"/>
      <c r="QER1379" s="53"/>
      <c r="QES1379" s="53"/>
      <c r="QET1379" s="53"/>
      <c r="QEU1379" s="53"/>
      <c r="QEV1379" s="53"/>
      <c r="QEW1379" s="53"/>
      <c r="QEX1379" s="53"/>
      <c r="QEY1379" s="53"/>
      <c r="QEZ1379" s="53"/>
      <c r="QFA1379" s="53"/>
      <c r="QFB1379" s="53"/>
      <c r="QFC1379" s="53"/>
      <c r="QFD1379" s="53"/>
      <c r="QFE1379" s="53"/>
      <c r="QFF1379" s="53"/>
      <c r="QFG1379" s="53"/>
      <c r="QFH1379" s="53"/>
      <c r="QFI1379" s="53"/>
      <c r="QFJ1379" s="53"/>
      <c r="QFK1379" s="53"/>
      <c r="QFL1379" s="53"/>
      <c r="QFM1379" s="53"/>
      <c r="QFN1379" s="53"/>
      <c r="QFO1379" s="53"/>
      <c r="QFP1379" s="53"/>
      <c r="QFQ1379" s="53"/>
      <c r="QFR1379" s="53"/>
      <c r="QFS1379" s="53"/>
      <c r="QFT1379" s="53"/>
      <c r="QFU1379" s="53"/>
      <c r="QFV1379" s="53"/>
      <c r="QFW1379" s="53"/>
      <c r="QFX1379" s="53"/>
      <c r="QFY1379" s="53"/>
      <c r="QFZ1379" s="53"/>
      <c r="QGA1379" s="53"/>
      <c r="QGB1379" s="53"/>
      <c r="QGC1379" s="53"/>
      <c r="QGD1379" s="53"/>
      <c r="QGE1379" s="53"/>
      <c r="QGF1379" s="53"/>
      <c r="QGG1379" s="53"/>
      <c r="QGH1379" s="53"/>
      <c r="QGI1379" s="53"/>
      <c r="QGJ1379" s="53"/>
      <c r="QGK1379" s="53"/>
      <c r="QGL1379" s="53"/>
      <c r="QGM1379" s="53"/>
      <c r="QGN1379" s="53"/>
      <c r="QGO1379" s="53"/>
      <c r="QGP1379" s="53"/>
      <c r="QGQ1379" s="53"/>
      <c r="QGR1379" s="53"/>
      <c r="QGS1379" s="53"/>
      <c r="QGT1379" s="53"/>
      <c r="QGU1379" s="53"/>
      <c r="QGV1379" s="53"/>
      <c r="QGW1379" s="53"/>
      <c r="QGX1379" s="53"/>
      <c r="QGY1379" s="53"/>
      <c r="QGZ1379" s="53"/>
      <c r="QHA1379" s="53"/>
      <c r="QHB1379" s="53"/>
      <c r="QHC1379" s="53"/>
      <c r="QHD1379" s="53"/>
      <c r="QHE1379" s="53"/>
      <c r="QHF1379" s="53"/>
      <c r="QHG1379" s="53"/>
      <c r="QHH1379" s="53"/>
      <c r="QHI1379" s="53"/>
      <c r="QHJ1379" s="53"/>
      <c r="QHK1379" s="53"/>
      <c r="QHL1379" s="53"/>
      <c r="QHM1379" s="53"/>
      <c r="QHN1379" s="53"/>
      <c r="QHO1379" s="53"/>
      <c r="QHP1379" s="53"/>
      <c r="QHQ1379" s="53"/>
      <c r="QHR1379" s="53"/>
      <c r="QHS1379" s="53"/>
      <c r="QHT1379" s="53"/>
      <c r="QHU1379" s="53"/>
      <c r="QHV1379" s="53"/>
      <c r="QHW1379" s="53"/>
      <c r="QHX1379" s="53"/>
      <c r="QHY1379" s="53"/>
      <c r="QHZ1379" s="53"/>
      <c r="QIA1379" s="53"/>
      <c r="QIB1379" s="53"/>
      <c r="QIC1379" s="53"/>
      <c r="QID1379" s="53"/>
      <c r="QIE1379" s="53"/>
      <c r="QIF1379" s="53"/>
      <c r="QIG1379" s="53"/>
      <c r="QIH1379" s="53"/>
      <c r="QII1379" s="53"/>
      <c r="QIJ1379" s="53"/>
      <c r="QIK1379" s="53"/>
      <c r="QIL1379" s="53"/>
      <c r="QIM1379" s="53"/>
      <c r="QIN1379" s="53"/>
      <c r="QIO1379" s="53"/>
      <c r="QIP1379" s="53"/>
      <c r="QIQ1379" s="53"/>
      <c r="QIR1379" s="53"/>
      <c r="QIS1379" s="53"/>
      <c r="QIT1379" s="53"/>
      <c r="QIU1379" s="53"/>
      <c r="QIV1379" s="53"/>
      <c r="QIW1379" s="53"/>
      <c r="QIX1379" s="53"/>
      <c r="QIY1379" s="53"/>
      <c r="QIZ1379" s="53"/>
      <c r="QJA1379" s="53"/>
      <c r="QJB1379" s="53"/>
      <c r="QJC1379" s="53"/>
      <c r="QJD1379" s="53"/>
      <c r="QJE1379" s="53"/>
      <c r="QJF1379" s="53"/>
      <c r="QJG1379" s="53"/>
      <c r="QJH1379" s="53"/>
      <c r="QJI1379" s="53"/>
      <c r="QJJ1379" s="53"/>
      <c r="QJK1379" s="53"/>
      <c r="QJL1379" s="53"/>
      <c r="QJM1379" s="53"/>
      <c r="QJN1379" s="53"/>
      <c r="QJO1379" s="53"/>
      <c r="QJP1379" s="53"/>
      <c r="QJQ1379" s="53"/>
      <c r="QJR1379" s="53"/>
      <c r="QJS1379" s="53"/>
      <c r="QJT1379" s="53"/>
      <c r="QJU1379" s="53"/>
      <c r="QJV1379" s="53"/>
      <c r="QJW1379" s="53"/>
      <c r="QJX1379" s="53"/>
      <c r="QJY1379" s="53"/>
      <c r="QJZ1379" s="53"/>
      <c r="QKA1379" s="53"/>
      <c r="QKB1379" s="53"/>
      <c r="QKC1379" s="53"/>
      <c r="QKD1379" s="53"/>
      <c r="QKE1379" s="53"/>
      <c r="QKF1379" s="53"/>
      <c r="QKG1379" s="53"/>
      <c r="QKH1379" s="53"/>
      <c r="QKI1379" s="53"/>
      <c r="QKJ1379" s="53"/>
      <c r="QKK1379" s="53"/>
      <c r="QKL1379" s="53"/>
      <c r="QKM1379" s="53"/>
      <c r="QKN1379" s="53"/>
      <c r="QKO1379" s="53"/>
      <c r="QKP1379" s="53"/>
      <c r="QKQ1379" s="53"/>
      <c r="QKR1379" s="53"/>
      <c r="QKS1379" s="53"/>
      <c r="QKT1379" s="53"/>
      <c r="QKU1379" s="53"/>
      <c r="QKV1379" s="53"/>
      <c r="QKW1379" s="53"/>
      <c r="QKX1379" s="53"/>
      <c r="QKY1379" s="53"/>
      <c r="QKZ1379" s="53"/>
      <c r="QLA1379" s="53"/>
      <c r="QLB1379" s="53"/>
      <c r="QLC1379" s="53"/>
      <c r="QLD1379" s="53"/>
      <c r="QLE1379" s="53"/>
      <c r="QLF1379" s="53"/>
      <c r="QLG1379" s="53"/>
      <c r="QLH1379" s="53"/>
      <c r="QLI1379" s="53"/>
      <c r="QLJ1379" s="53"/>
      <c r="QLK1379" s="53"/>
      <c r="QLL1379" s="53"/>
      <c r="QLM1379" s="53"/>
      <c r="QLN1379" s="53"/>
      <c r="QLO1379" s="53"/>
      <c r="QLP1379" s="53"/>
      <c r="QLQ1379" s="53"/>
      <c r="QLR1379" s="53"/>
      <c r="QLS1379" s="53"/>
      <c r="QLT1379" s="53"/>
      <c r="QLU1379" s="53"/>
      <c r="QLV1379" s="53"/>
      <c r="QLW1379" s="53"/>
      <c r="QLX1379" s="53"/>
      <c r="QLY1379" s="53"/>
      <c r="QLZ1379" s="53"/>
      <c r="QMA1379" s="53"/>
      <c r="QMB1379" s="53"/>
      <c r="QMC1379" s="53"/>
      <c r="QMD1379" s="53"/>
      <c r="QME1379" s="53"/>
      <c r="QMF1379" s="53"/>
      <c r="QMG1379" s="53"/>
      <c r="QMH1379" s="53"/>
      <c r="QMI1379" s="53"/>
      <c r="QMJ1379" s="53"/>
      <c r="QMK1379" s="53"/>
      <c r="QML1379" s="53"/>
      <c r="QMM1379" s="53"/>
      <c r="QMN1379" s="53"/>
      <c r="QMO1379" s="53"/>
      <c r="QMP1379" s="53"/>
      <c r="QMQ1379" s="53"/>
      <c r="QMR1379" s="53"/>
      <c r="QMS1379" s="53"/>
      <c r="QMT1379" s="53"/>
      <c r="QMU1379" s="53"/>
      <c r="QMV1379" s="53"/>
      <c r="QMW1379" s="53"/>
      <c r="QMX1379" s="53"/>
      <c r="QMY1379" s="53"/>
      <c r="QMZ1379" s="53"/>
      <c r="QNA1379" s="53"/>
      <c r="QNB1379" s="53"/>
      <c r="QNC1379" s="53"/>
      <c r="QND1379" s="53"/>
      <c r="QNE1379" s="53"/>
      <c r="QNF1379" s="53"/>
      <c r="QNG1379" s="53"/>
      <c r="QNH1379" s="53"/>
      <c r="QNI1379" s="53"/>
      <c r="QNJ1379" s="53"/>
      <c r="QNK1379" s="53"/>
      <c r="QNL1379" s="53"/>
      <c r="QNM1379" s="53"/>
      <c r="QNN1379" s="53"/>
      <c r="QNO1379" s="53"/>
      <c r="QNP1379" s="53"/>
      <c r="QNQ1379" s="53"/>
      <c r="QNR1379" s="53"/>
      <c r="QNS1379" s="53"/>
      <c r="QNT1379" s="53"/>
      <c r="QNU1379" s="53"/>
      <c r="QNV1379" s="53"/>
      <c r="QNW1379" s="53"/>
      <c r="QNX1379" s="53"/>
      <c r="QNY1379" s="53"/>
      <c r="QNZ1379" s="53"/>
      <c r="QOA1379" s="53"/>
      <c r="QOB1379" s="53"/>
      <c r="QOC1379" s="53"/>
      <c r="QOD1379" s="53"/>
      <c r="QOE1379" s="53"/>
      <c r="QOF1379" s="53"/>
      <c r="QOG1379" s="53"/>
      <c r="QOH1379" s="53"/>
      <c r="QOI1379" s="53"/>
      <c r="QOJ1379" s="53"/>
      <c r="QOK1379" s="53"/>
      <c r="QOL1379" s="53"/>
      <c r="QOM1379" s="53"/>
      <c r="QON1379" s="53"/>
      <c r="QOO1379" s="53"/>
      <c r="QOP1379" s="53"/>
      <c r="QOQ1379" s="53"/>
      <c r="QOR1379" s="53"/>
      <c r="QOS1379" s="53"/>
      <c r="QOT1379" s="53"/>
      <c r="QOU1379" s="53"/>
      <c r="QOV1379" s="53"/>
      <c r="QOW1379" s="53"/>
      <c r="QOX1379" s="53"/>
      <c r="QOY1379" s="53"/>
      <c r="QOZ1379" s="53"/>
      <c r="QPA1379" s="53"/>
      <c r="QPB1379" s="53"/>
      <c r="QPC1379" s="53"/>
      <c r="QPD1379" s="53"/>
      <c r="QPE1379" s="53"/>
      <c r="QPF1379" s="53"/>
      <c r="QPG1379" s="53"/>
      <c r="QPH1379" s="53"/>
      <c r="QPI1379" s="53"/>
      <c r="QPJ1379" s="53"/>
      <c r="QPK1379" s="53"/>
      <c r="QPL1379" s="53"/>
      <c r="QPM1379" s="53"/>
      <c r="QPN1379" s="53"/>
      <c r="QPO1379" s="53"/>
      <c r="QPP1379" s="53"/>
      <c r="QPQ1379" s="53"/>
      <c r="QPR1379" s="53"/>
      <c r="QPS1379" s="53"/>
      <c r="QPT1379" s="53"/>
      <c r="QPU1379" s="53"/>
      <c r="QPV1379" s="53"/>
      <c r="QPW1379" s="53"/>
      <c r="QPX1379" s="53"/>
      <c r="QPY1379" s="53"/>
      <c r="QPZ1379" s="53"/>
      <c r="QQA1379" s="53"/>
      <c r="QQB1379" s="53"/>
      <c r="QQC1379" s="53"/>
      <c r="QQD1379" s="53"/>
      <c r="QQE1379" s="53"/>
      <c r="QQF1379" s="53"/>
      <c r="QQG1379" s="53"/>
      <c r="QQH1379" s="53"/>
      <c r="QQI1379" s="53"/>
      <c r="QQJ1379" s="53"/>
      <c r="QQK1379" s="53"/>
      <c r="QQL1379" s="53"/>
      <c r="QQM1379" s="53"/>
      <c r="QQN1379" s="53"/>
      <c r="QQO1379" s="53"/>
      <c r="QQP1379" s="53"/>
      <c r="QQQ1379" s="53"/>
      <c r="QQR1379" s="53"/>
      <c r="QQS1379" s="53"/>
      <c r="QQT1379" s="53"/>
      <c r="QQU1379" s="53"/>
      <c r="QQV1379" s="53"/>
      <c r="QQW1379" s="53"/>
      <c r="QQX1379" s="53"/>
      <c r="QQY1379" s="53"/>
      <c r="QQZ1379" s="53"/>
      <c r="QRA1379" s="53"/>
      <c r="QRB1379" s="53"/>
      <c r="QRC1379" s="53"/>
      <c r="QRD1379" s="53"/>
      <c r="QRE1379" s="53"/>
      <c r="QRF1379" s="53"/>
      <c r="QRG1379" s="53"/>
      <c r="QRH1379" s="53"/>
      <c r="QRI1379" s="53"/>
      <c r="QRJ1379" s="53"/>
      <c r="QRK1379" s="53"/>
      <c r="QRL1379" s="53"/>
      <c r="QRM1379" s="53"/>
      <c r="QRN1379" s="53"/>
      <c r="QRO1379" s="53"/>
      <c r="QRP1379" s="53"/>
      <c r="QRQ1379" s="53"/>
      <c r="QRR1379" s="53"/>
      <c r="QRS1379" s="53"/>
      <c r="QRT1379" s="53"/>
      <c r="QRU1379" s="53"/>
      <c r="QRV1379" s="53"/>
      <c r="QRW1379" s="53"/>
      <c r="QRX1379" s="53"/>
      <c r="QRY1379" s="53"/>
      <c r="QRZ1379" s="53"/>
      <c r="QSA1379" s="53"/>
      <c r="QSB1379" s="53"/>
      <c r="QSC1379" s="53"/>
      <c r="QSD1379" s="53"/>
      <c r="QSE1379" s="53"/>
      <c r="QSF1379" s="53"/>
      <c r="QSG1379" s="53"/>
      <c r="QSH1379" s="53"/>
      <c r="QSI1379" s="53"/>
      <c r="QSJ1379" s="53"/>
      <c r="QSK1379" s="53"/>
      <c r="QSL1379" s="53"/>
      <c r="QSM1379" s="53"/>
      <c r="QSN1379" s="53"/>
      <c r="QSO1379" s="53"/>
      <c r="QSP1379" s="53"/>
      <c r="QSQ1379" s="53"/>
      <c r="QSR1379" s="53"/>
      <c r="QSS1379" s="53"/>
      <c r="QST1379" s="53"/>
      <c r="QSU1379" s="53"/>
      <c r="QSV1379" s="53"/>
      <c r="QSW1379" s="53"/>
      <c r="QSX1379" s="53"/>
      <c r="QSY1379" s="53"/>
      <c r="QSZ1379" s="53"/>
      <c r="QTA1379" s="53"/>
      <c r="QTB1379" s="53"/>
      <c r="QTC1379" s="53"/>
      <c r="QTD1379" s="53"/>
      <c r="QTE1379" s="53"/>
      <c r="QTF1379" s="53"/>
      <c r="QTG1379" s="53"/>
      <c r="QTH1379" s="53"/>
      <c r="QTI1379" s="53"/>
      <c r="QTJ1379" s="53"/>
      <c r="QTK1379" s="53"/>
      <c r="QTL1379" s="53"/>
      <c r="QTM1379" s="53"/>
      <c r="QTN1379" s="53"/>
      <c r="QTO1379" s="53"/>
      <c r="QTP1379" s="53"/>
      <c r="QTQ1379" s="53"/>
      <c r="QTR1379" s="53"/>
      <c r="QTS1379" s="53"/>
      <c r="QTT1379" s="53"/>
      <c r="QTU1379" s="53"/>
      <c r="QTV1379" s="53"/>
      <c r="QTW1379" s="53"/>
      <c r="QTX1379" s="53"/>
      <c r="QTY1379" s="53"/>
      <c r="QTZ1379" s="53"/>
      <c r="QUA1379" s="53"/>
      <c r="QUB1379" s="53"/>
      <c r="QUC1379" s="53"/>
      <c r="QUD1379" s="53"/>
      <c r="QUE1379" s="53"/>
      <c r="QUF1379" s="53"/>
      <c r="QUG1379" s="53"/>
      <c r="QUH1379" s="53"/>
      <c r="QUI1379" s="53"/>
      <c r="QUJ1379" s="53"/>
      <c r="QUK1379" s="53"/>
      <c r="QUL1379" s="53"/>
      <c r="QUM1379" s="53"/>
      <c r="QUN1379" s="53"/>
      <c r="QUO1379" s="53"/>
      <c r="QUP1379" s="53"/>
      <c r="QUQ1379" s="53"/>
      <c r="QUR1379" s="53"/>
      <c r="QUS1379" s="53"/>
      <c r="QUT1379" s="53"/>
      <c r="QUU1379" s="53"/>
      <c r="QUV1379" s="53"/>
      <c r="QUW1379" s="53"/>
      <c r="QUX1379" s="53"/>
      <c r="QUY1379" s="53"/>
      <c r="QUZ1379" s="53"/>
      <c r="QVA1379" s="53"/>
      <c r="QVB1379" s="53"/>
      <c r="QVC1379" s="53"/>
      <c r="QVD1379" s="53"/>
      <c r="QVE1379" s="53"/>
      <c r="QVF1379" s="53"/>
      <c r="QVG1379" s="53"/>
      <c r="QVH1379" s="53"/>
      <c r="QVI1379" s="53"/>
      <c r="QVJ1379" s="53"/>
      <c r="QVK1379" s="53"/>
      <c r="QVL1379" s="53"/>
      <c r="QVM1379" s="53"/>
      <c r="QVN1379" s="53"/>
      <c r="QVO1379" s="53"/>
      <c r="QVP1379" s="53"/>
      <c r="QVQ1379" s="53"/>
      <c r="QVR1379" s="53"/>
      <c r="QVS1379" s="53"/>
      <c r="QVT1379" s="53"/>
      <c r="QVU1379" s="53"/>
      <c r="QVV1379" s="53"/>
      <c r="QVW1379" s="53"/>
      <c r="QVX1379" s="53"/>
      <c r="QVY1379" s="53"/>
      <c r="QVZ1379" s="53"/>
      <c r="QWA1379" s="53"/>
      <c r="QWB1379" s="53"/>
      <c r="QWC1379" s="53"/>
      <c r="QWD1379" s="53"/>
      <c r="QWE1379" s="53"/>
      <c r="QWF1379" s="53"/>
      <c r="QWG1379" s="53"/>
      <c r="QWH1379" s="53"/>
      <c r="QWI1379" s="53"/>
      <c r="QWJ1379" s="53"/>
      <c r="QWK1379" s="53"/>
      <c r="QWL1379" s="53"/>
      <c r="QWM1379" s="53"/>
      <c r="QWN1379" s="53"/>
      <c r="QWO1379" s="53"/>
      <c r="QWP1379" s="53"/>
      <c r="QWQ1379" s="53"/>
      <c r="QWR1379" s="53"/>
      <c r="QWS1379" s="53"/>
      <c r="QWT1379" s="53"/>
      <c r="QWU1379" s="53"/>
      <c r="QWV1379" s="53"/>
      <c r="QWW1379" s="53"/>
      <c r="QWX1379" s="53"/>
      <c r="QWY1379" s="53"/>
      <c r="QWZ1379" s="53"/>
      <c r="QXA1379" s="53"/>
      <c r="QXB1379" s="53"/>
      <c r="QXC1379" s="53"/>
      <c r="QXD1379" s="53"/>
      <c r="QXE1379" s="53"/>
      <c r="QXF1379" s="53"/>
      <c r="QXG1379" s="53"/>
      <c r="QXH1379" s="53"/>
      <c r="QXI1379" s="53"/>
      <c r="QXJ1379" s="53"/>
      <c r="QXK1379" s="53"/>
      <c r="QXL1379" s="53"/>
      <c r="QXM1379" s="53"/>
      <c r="QXN1379" s="53"/>
      <c r="QXO1379" s="53"/>
      <c r="QXP1379" s="53"/>
      <c r="QXQ1379" s="53"/>
      <c r="QXR1379" s="53"/>
      <c r="QXS1379" s="53"/>
      <c r="QXT1379" s="53"/>
      <c r="QXU1379" s="53"/>
      <c r="QXV1379" s="53"/>
      <c r="QXW1379" s="53"/>
      <c r="QXX1379" s="53"/>
      <c r="QXY1379" s="53"/>
      <c r="QXZ1379" s="53"/>
      <c r="QYA1379" s="53"/>
      <c r="QYB1379" s="53"/>
      <c r="QYC1379" s="53"/>
      <c r="QYD1379" s="53"/>
      <c r="QYE1379" s="53"/>
      <c r="QYF1379" s="53"/>
      <c r="QYG1379" s="53"/>
      <c r="QYH1379" s="53"/>
      <c r="QYI1379" s="53"/>
      <c r="QYJ1379" s="53"/>
      <c r="QYK1379" s="53"/>
      <c r="QYL1379" s="53"/>
      <c r="QYM1379" s="53"/>
      <c r="QYN1379" s="53"/>
      <c r="QYO1379" s="53"/>
      <c r="QYP1379" s="53"/>
      <c r="QYQ1379" s="53"/>
      <c r="QYR1379" s="53"/>
      <c r="QYS1379" s="53"/>
      <c r="QYT1379" s="53"/>
      <c r="QYU1379" s="53"/>
      <c r="QYV1379" s="53"/>
      <c r="QYW1379" s="53"/>
      <c r="QYX1379" s="53"/>
      <c r="QYY1379" s="53"/>
      <c r="QYZ1379" s="53"/>
      <c r="QZA1379" s="53"/>
      <c r="QZB1379" s="53"/>
      <c r="QZC1379" s="53"/>
      <c r="QZD1379" s="53"/>
      <c r="QZE1379" s="53"/>
      <c r="QZF1379" s="53"/>
      <c r="QZG1379" s="53"/>
      <c r="QZH1379" s="53"/>
      <c r="QZI1379" s="53"/>
      <c r="QZJ1379" s="53"/>
      <c r="QZK1379" s="53"/>
      <c r="QZL1379" s="53"/>
      <c r="QZM1379" s="53"/>
      <c r="QZN1379" s="53"/>
      <c r="QZO1379" s="53"/>
      <c r="QZP1379" s="53"/>
      <c r="QZQ1379" s="53"/>
      <c r="QZR1379" s="53"/>
      <c r="QZS1379" s="53"/>
      <c r="QZT1379" s="53"/>
      <c r="QZU1379" s="53"/>
      <c r="QZV1379" s="53"/>
      <c r="QZW1379" s="53"/>
      <c r="QZX1379" s="53"/>
      <c r="QZY1379" s="53"/>
      <c r="QZZ1379" s="53"/>
      <c r="RAA1379" s="53"/>
      <c r="RAB1379" s="53"/>
      <c r="RAC1379" s="53"/>
      <c r="RAD1379" s="53"/>
      <c r="RAE1379" s="53"/>
      <c r="RAF1379" s="53"/>
      <c r="RAG1379" s="53"/>
      <c r="RAH1379" s="53"/>
      <c r="RAI1379" s="53"/>
      <c r="RAJ1379" s="53"/>
      <c r="RAK1379" s="53"/>
      <c r="RAL1379" s="53"/>
      <c r="RAM1379" s="53"/>
      <c r="RAN1379" s="53"/>
      <c r="RAO1379" s="53"/>
      <c r="RAP1379" s="53"/>
      <c r="RAQ1379" s="53"/>
      <c r="RAR1379" s="53"/>
      <c r="RAS1379" s="53"/>
      <c r="RAT1379" s="53"/>
      <c r="RAU1379" s="53"/>
      <c r="RAV1379" s="53"/>
      <c r="RAW1379" s="53"/>
      <c r="RAX1379" s="53"/>
      <c r="RAY1379" s="53"/>
      <c r="RAZ1379" s="53"/>
      <c r="RBA1379" s="53"/>
      <c r="RBB1379" s="53"/>
      <c r="RBC1379" s="53"/>
      <c r="RBD1379" s="53"/>
      <c r="RBE1379" s="53"/>
      <c r="RBF1379" s="53"/>
      <c r="RBG1379" s="53"/>
      <c r="RBH1379" s="53"/>
      <c r="RBI1379" s="53"/>
      <c r="RBJ1379" s="53"/>
      <c r="RBK1379" s="53"/>
      <c r="RBL1379" s="53"/>
      <c r="RBM1379" s="53"/>
      <c r="RBN1379" s="53"/>
      <c r="RBO1379" s="53"/>
      <c r="RBP1379" s="53"/>
      <c r="RBQ1379" s="53"/>
      <c r="RBR1379" s="53"/>
      <c r="RBS1379" s="53"/>
      <c r="RBT1379" s="53"/>
      <c r="RBU1379" s="53"/>
      <c r="RBV1379" s="53"/>
      <c r="RBW1379" s="53"/>
      <c r="RBX1379" s="53"/>
      <c r="RBY1379" s="53"/>
      <c r="RBZ1379" s="53"/>
      <c r="RCA1379" s="53"/>
      <c r="RCB1379" s="53"/>
      <c r="RCC1379" s="53"/>
      <c r="RCD1379" s="53"/>
      <c r="RCE1379" s="53"/>
      <c r="RCF1379" s="53"/>
      <c r="RCG1379" s="53"/>
      <c r="RCH1379" s="53"/>
      <c r="RCI1379" s="53"/>
      <c r="RCJ1379" s="53"/>
      <c r="RCK1379" s="53"/>
      <c r="RCL1379" s="53"/>
      <c r="RCM1379" s="53"/>
      <c r="RCN1379" s="53"/>
      <c r="RCO1379" s="53"/>
      <c r="RCP1379" s="53"/>
      <c r="RCQ1379" s="53"/>
      <c r="RCR1379" s="53"/>
      <c r="RCS1379" s="53"/>
      <c r="RCT1379" s="53"/>
      <c r="RCU1379" s="53"/>
      <c r="RCV1379" s="53"/>
      <c r="RCW1379" s="53"/>
      <c r="RCX1379" s="53"/>
      <c r="RCY1379" s="53"/>
      <c r="RCZ1379" s="53"/>
      <c r="RDA1379" s="53"/>
      <c r="RDB1379" s="53"/>
      <c r="RDC1379" s="53"/>
      <c r="RDD1379" s="53"/>
      <c r="RDE1379" s="53"/>
      <c r="RDF1379" s="53"/>
      <c r="RDG1379" s="53"/>
      <c r="RDH1379" s="53"/>
      <c r="RDI1379" s="53"/>
      <c r="RDJ1379" s="53"/>
      <c r="RDK1379" s="53"/>
      <c r="RDL1379" s="53"/>
      <c r="RDM1379" s="53"/>
      <c r="RDN1379" s="53"/>
      <c r="RDO1379" s="53"/>
      <c r="RDP1379" s="53"/>
      <c r="RDQ1379" s="53"/>
      <c r="RDR1379" s="53"/>
      <c r="RDS1379" s="53"/>
      <c r="RDT1379" s="53"/>
      <c r="RDU1379" s="53"/>
      <c r="RDV1379" s="53"/>
      <c r="RDW1379" s="53"/>
      <c r="RDX1379" s="53"/>
      <c r="RDY1379" s="53"/>
      <c r="RDZ1379" s="53"/>
      <c r="REA1379" s="53"/>
      <c r="REB1379" s="53"/>
      <c r="REC1379" s="53"/>
      <c r="RED1379" s="53"/>
      <c r="REE1379" s="53"/>
      <c r="REF1379" s="53"/>
      <c r="REG1379" s="53"/>
      <c r="REH1379" s="53"/>
      <c r="REI1379" s="53"/>
      <c r="REJ1379" s="53"/>
      <c r="REK1379" s="53"/>
      <c r="REL1379" s="53"/>
      <c r="REM1379" s="53"/>
      <c r="REN1379" s="53"/>
      <c r="REO1379" s="53"/>
      <c r="REP1379" s="53"/>
      <c r="REQ1379" s="53"/>
      <c r="RER1379" s="53"/>
      <c r="RES1379" s="53"/>
      <c r="RET1379" s="53"/>
      <c r="REU1379" s="53"/>
      <c r="REV1379" s="53"/>
      <c r="REW1379" s="53"/>
      <c r="REX1379" s="53"/>
      <c r="REY1379" s="53"/>
      <c r="REZ1379" s="53"/>
      <c r="RFA1379" s="53"/>
      <c r="RFB1379" s="53"/>
      <c r="RFC1379" s="53"/>
      <c r="RFD1379" s="53"/>
      <c r="RFE1379" s="53"/>
      <c r="RFF1379" s="53"/>
      <c r="RFG1379" s="53"/>
      <c r="RFH1379" s="53"/>
      <c r="RFI1379" s="53"/>
      <c r="RFJ1379" s="53"/>
      <c r="RFK1379" s="53"/>
      <c r="RFL1379" s="53"/>
      <c r="RFM1379" s="53"/>
      <c r="RFN1379" s="53"/>
      <c r="RFO1379" s="53"/>
      <c r="RFP1379" s="53"/>
      <c r="RFQ1379" s="53"/>
      <c r="RFR1379" s="53"/>
      <c r="RFS1379" s="53"/>
      <c r="RFT1379" s="53"/>
      <c r="RFU1379" s="53"/>
      <c r="RFV1379" s="53"/>
      <c r="RFW1379" s="53"/>
      <c r="RFX1379" s="53"/>
      <c r="RFY1379" s="53"/>
      <c r="RFZ1379" s="53"/>
      <c r="RGA1379" s="53"/>
      <c r="RGB1379" s="53"/>
      <c r="RGC1379" s="53"/>
      <c r="RGD1379" s="53"/>
      <c r="RGE1379" s="53"/>
      <c r="RGF1379" s="53"/>
      <c r="RGG1379" s="53"/>
      <c r="RGH1379" s="53"/>
      <c r="RGI1379" s="53"/>
      <c r="RGJ1379" s="53"/>
      <c r="RGK1379" s="53"/>
      <c r="RGL1379" s="53"/>
      <c r="RGM1379" s="53"/>
      <c r="RGN1379" s="53"/>
      <c r="RGO1379" s="53"/>
      <c r="RGP1379" s="53"/>
      <c r="RGQ1379" s="53"/>
      <c r="RGR1379" s="53"/>
      <c r="RGS1379" s="53"/>
      <c r="RGT1379" s="53"/>
      <c r="RGU1379" s="53"/>
      <c r="RGV1379" s="53"/>
      <c r="RGW1379" s="53"/>
      <c r="RGX1379" s="53"/>
      <c r="RGY1379" s="53"/>
      <c r="RGZ1379" s="53"/>
      <c r="RHA1379" s="53"/>
      <c r="RHB1379" s="53"/>
      <c r="RHC1379" s="53"/>
      <c r="RHD1379" s="53"/>
      <c r="RHE1379" s="53"/>
      <c r="RHF1379" s="53"/>
      <c r="RHG1379" s="53"/>
      <c r="RHH1379" s="53"/>
      <c r="RHI1379" s="53"/>
      <c r="RHJ1379" s="53"/>
      <c r="RHK1379" s="53"/>
      <c r="RHL1379" s="53"/>
      <c r="RHM1379" s="53"/>
      <c r="RHN1379" s="53"/>
      <c r="RHO1379" s="53"/>
      <c r="RHP1379" s="53"/>
      <c r="RHQ1379" s="53"/>
      <c r="RHR1379" s="53"/>
      <c r="RHS1379" s="53"/>
      <c r="RHT1379" s="53"/>
      <c r="RHU1379" s="53"/>
      <c r="RHV1379" s="53"/>
      <c r="RHW1379" s="53"/>
      <c r="RHX1379" s="53"/>
      <c r="RHY1379" s="53"/>
      <c r="RHZ1379" s="53"/>
      <c r="RIA1379" s="53"/>
      <c r="RIB1379" s="53"/>
      <c r="RIC1379" s="53"/>
      <c r="RID1379" s="53"/>
      <c r="RIE1379" s="53"/>
      <c r="RIF1379" s="53"/>
      <c r="RIG1379" s="53"/>
      <c r="RIH1379" s="53"/>
      <c r="RII1379" s="53"/>
      <c r="RIJ1379" s="53"/>
      <c r="RIK1379" s="53"/>
      <c r="RIL1379" s="53"/>
      <c r="RIM1379" s="53"/>
      <c r="RIN1379" s="53"/>
      <c r="RIO1379" s="53"/>
      <c r="RIP1379" s="53"/>
      <c r="RIQ1379" s="53"/>
      <c r="RIR1379" s="53"/>
      <c r="RIS1379" s="53"/>
      <c r="RIT1379" s="53"/>
      <c r="RIU1379" s="53"/>
      <c r="RIV1379" s="53"/>
      <c r="RIW1379" s="53"/>
      <c r="RIX1379" s="53"/>
      <c r="RIY1379" s="53"/>
      <c r="RIZ1379" s="53"/>
      <c r="RJA1379" s="53"/>
      <c r="RJB1379" s="53"/>
      <c r="RJC1379" s="53"/>
      <c r="RJD1379" s="53"/>
      <c r="RJE1379" s="53"/>
      <c r="RJF1379" s="53"/>
      <c r="RJG1379" s="53"/>
      <c r="RJH1379" s="53"/>
      <c r="RJI1379" s="53"/>
      <c r="RJJ1379" s="53"/>
      <c r="RJK1379" s="53"/>
      <c r="RJL1379" s="53"/>
      <c r="RJM1379" s="53"/>
      <c r="RJN1379" s="53"/>
      <c r="RJO1379" s="53"/>
      <c r="RJP1379" s="53"/>
      <c r="RJQ1379" s="53"/>
      <c r="RJR1379" s="53"/>
      <c r="RJS1379" s="53"/>
      <c r="RJT1379" s="53"/>
      <c r="RJU1379" s="53"/>
      <c r="RJV1379" s="53"/>
      <c r="RJW1379" s="53"/>
      <c r="RJX1379" s="53"/>
      <c r="RJY1379" s="53"/>
      <c r="RJZ1379" s="53"/>
      <c r="RKA1379" s="53"/>
      <c r="RKB1379" s="53"/>
      <c r="RKC1379" s="53"/>
      <c r="RKD1379" s="53"/>
      <c r="RKE1379" s="53"/>
      <c r="RKF1379" s="53"/>
      <c r="RKG1379" s="53"/>
      <c r="RKH1379" s="53"/>
      <c r="RKI1379" s="53"/>
      <c r="RKJ1379" s="53"/>
      <c r="RKK1379" s="53"/>
      <c r="RKL1379" s="53"/>
      <c r="RKM1379" s="53"/>
      <c r="RKN1379" s="53"/>
      <c r="RKO1379" s="53"/>
      <c r="RKP1379" s="53"/>
      <c r="RKQ1379" s="53"/>
      <c r="RKR1379" s="53"/>
      <c r="RKS1379" s="53"/>
      <c r="RKT1379" s="53"/>
      <c r="RKU1379" s="53"/>
      <c r="RKV1379" s="53"/>
      <c r="RKW1379" s="53"/>
      <c r="RKX1379" s="53"/>
      <c r="RKY1379" s="53"/>
      <c r="RKZ1379" s="53"/>
      <c r="RLA1379" s="53"/>
      <c r="RLB1379" s="53"/>
      <c r="RLC1379" s="53"/>
      <c r="RLD1379" s="53"/>
      <c r="RLE1379" s="53"/>
      <c r="RLF1379" s="53"/>
      <c r="RLG1379" s="53"/>
      <c r="RLH1379" s="53"/>
      <c r="RLI1379" s="53"/>
      <c r="RLJ1379" s="53"/>
      <c r="RLK1379" s="53"/>
      <c r="RLL1379" s="53"/>
      <c r="RLM1379" s="53"/>
      <c r="RLN1379" s="53"/>
      <c r="RLO1379" s="53"/>
      <c r="RLP1379" s="53"/>
      <c r="RLQ1379" s="53"/>
      <c r="RLR1379" s="53"/>
      <c r="RLS1379" s="53"/>
      <c r="RLT1379" s="53"/>
      <c r="RLU1379" s="53"/>
      <c r="RLV1379" s="53"/>
      <c r="RLW1379" s="53"/>
      <c r="RLX1379" s="53"/>
      <c r="RLY1379" s="53"/>
      <c r="RLZ1379" s="53"/>
      <c r="RMA1379" s="53"/>
      <c r="RMB1379" s="53"/>
      <c r="RMC1379" s="53"/>
      <c r="RMD1379" s="53"/>
      <c r="RME1379" s="53"/>
      <c r="RMF1379" s="53"/>
      <c r="RMG1379" s="53"/>
      <c r="RMH1379" s="53"/>
      <c r="RMI1379" s="53"/>
      <c r="RMJ1379" s="53"/>
      <c r="RMK1379" s="53"/>
      <c r="RML1379" s="53"/>
      <c r="RMM1379" s="53"/>
      <c r="RMN1379" s="53"/>
      <c r="RMO1379" s="53"/>
      <c r="RMP1379" s="53"/>
      <c r="RMQ1379" s="53"/>
      <c r="RMR1379" s="53"/>
      <c r="RMS1379" s="53"/>
      <c r="RMT1379" s="53"/>
      <c r="RMU1379" s="53"/>
      <c r="RMV1379" s="53"/>
      <c r="RMW1379" s="53"/>
      <c r="RMX1379" s="53"/>
      <c r="RMY1379" s="53"/>
      <c r="RMZ1379" s="53"/>
      <c r="RNA1379" s="53"/>
      <c r="RNB1379" s="53"/>
      <c r="RNC1379" s="53"/>
      <c r="RND1379" s="53"/>
      <c r="RNE1379" s="53"/>
      <c r="RNF1379" s="53"/>
      <c r="RNG1379" s="53"/>
      <c r="RNH1379" s="53"/>
      <c r="RNI1379" s="53"/>
      <c r="RNJ1379" s="53"/>
      <c r="RNK1379" s="53"/>
      <c r="RNL1379" s="53"/>
      <c r="RNM1379" s="53"/>
      <c r="RNN1379" s="53"/>
      <c r="RNO1379" s="53"/>
      <c r="RNP1379" s="53"/>
      <c r="RNQ1379" s="53"/>
      <c r="RNR1379" s="53"/>
      <c r="RNS1379" s="53"/>
      <c r="RNT1379" s="53"/>
      <c r="RNU1379" s="53"/>
      <c r="RNV1379" s="53"/>
      <c r="RNW1379" s="53"/>
      <c r="RNX1379" s="53"/>
      <c r="RNY1379" s="53"/>
      <c r="RNZ1379" s="53"/>
      <c r="ROA1379" s="53"/>
      <c r="ROB1379" s="53"/>
      <c r="ROC1379" s="53"/>
      <c r="ROD1379" s="53"/>
      <c r="ROE1379" s="53"/>
      <c r="ROF1379" s="53"/>
      <c r="ROG1379" s="53"/>
      <c r="ROH1379" s="53"/>
      <c r="ROI1379" s="53"/>
      <c r="ROJ1379" s="53"/>
      <c r="ROK1379" s="53"/>
      <c r="ROL1379" s="53"/>
      <c r="ROM1379" s="53"/>
      <c r="RON1379" s="53"/>
      <c r="ROO1379" s="53"/>
      <c r="ROP1379" s="53"/>
      <c r="ROQ1379" s="53"/>
      <c r="ROR1379" s="53"/>
      <c r="ROS1379" s="53"/>
      <c r="ROT1379" s="53"/>
      <c r="ROU1379" s="53"/>
      <c r="ROV1379" s="53"/>
      <c r="ROW1379" s="53"/>
      <c r="ROX1379" s="53"/>
      <c r="ROY1379" s="53"/>
      <c r="ROZ1379" s="53"/>
      <c r="RPA1379" s="53"/>
      <c r="RPB1379" s="53"/>
      <c r="RPC1379" s="53"/>
      <c r="RPD1379" s="53"/>
      <c r="RPE1379" s="53"/>
      <c r="RPF1379" s="53"/>
      <c r="RPG1379" s="53"/>
      <c r="RPH1379" s="53"/>
      <c r="RPI1379" s="53"/>
      <c r="RPJ1379" s="53"/>
      <c r="RPK1379" s="53"/>
      <c r="RPL1379" s="53"/>
      <c r="RPM1379" s="53"/>
      <c r="RPN1379" s="53"/>
      <c r="RPO1379" s="53"/>
      <c r="RPP1379" s="53"/>
      <c r="RPQ1379" s="53"/>
      <c r="RPR1379" s="53"/>
      <c r="RPS1379" s="53"/>
      <c r="RPT1379" s="53"/>
      <c r="RPU1379" s="53"/>
      <c r="RPV1379" s="53"/>
      <c r="RPW1379" s="53"/>
      <c r="RPX1379" s="53"/>
      <c r="RPY1379" s="53"/>
      <c r="RPZ1379" s="53"/>
      <c r="RQA1379" s="53"/>
      <c r="RQB1379" s="53"/>
      <c r="RQC1379" s="53"/>
      <c r="RQD1379" s="53"/>
      <c r="RQE1379" s="53"/>
      <c r="RQF1379" s="53"/>
      <c r="RQG1379" s="53"/>
      <c r="RQH1379" s="53"/>
      <c r="RQI1379" s="53"/>
      <c r="RQJ1379" s="53"/>
      <c r="RQK1379" s="53"/>
      <c r="RQL1379" s="53"/>
      <c r="RQM1379" s="53"/>
      <c r="RQN1379" s="53"/>
      <c r="RQO1379" s="53"/>
      <c r="RQP1379" s="53"/>
      <c r="RQQ1379" s="53"/>
      <c r="RQR1379" s="53"/>
      <c r="RQS1379" s="53"/>
      <c r="RQT1379" s="53"/>
      <c r="RQU1379" s="53"/>
      <c r="RQV1379" s="53"/>
      <c r="RQW1379" s="53"/>
      <c r="RQX1379" s="53"/>
      <c r="RQY1379" s="53"/>
      <c r="RQZ1379" s="53"/>
      <c r="RRA1379" s="53"/>
      <c r="RRB1379" s="53"/>
      <c r="RRC1379" s="53"/>
      <c r="RRD1379" s="53"/>
      <c r="RRE1379" s="53"/>
      <c r="RRF1379" s="53"/>
      <c r="RRG1379" s="53"/>
      <c r="RRH1379" s="53"/>
      <c r="RRI1379" s="53"/>
      <c r="RRJ1379" s="53"/>
      <c r="RRK1379" s="53"/>
      <c r="RRL1379" s="53"/>
      <c r="RRM1379" s="53"/>
      <c r="RRN1379" s="53"/>
      <c r="RRO1379" s="53"/>
      <c r="RRP1379" s="53"/>
      <c r="RRQ1379" s="53"/>
      <c r="RRR1379" s="53"/>
      <c r="RRS1379" s="53"/>
      <c r="RRT1379" s="53"/>
      <c r="RRU1379" s="53"/>
      <c r="RRV1379" s="53"/>
      <c r="RRW1379" s="53"/>
      <c r="RRX1379" s="53"/>
      <c r="RRY1379" s="53"/>
      <c r="RRZ1379" s="53"/>
      <c r="RSA1379" s="53"/>
      <c r="RSB1379" s="53"/>
      <c r="RSC1379" s="53"/>
      <c r="RSD1379" s="53"/>
      <c r="RSE1379" s="53"/>
      <c r="RSF1379" s="53"/>
      <c r="RSG1379" s="53"/>
      <c r="RSH1379" s="53"/>
      <c r="RSI1379" s="53"/>
      <c r="RSJ1379" s="53"/>
      <c r="RSK1379" s="53"/>
      <c r="RSL1379" s="53"/>
      <c r="RSM1379" s="53"/>
      <c r="RSN1379" s="53"/>
      <c r="RSO1379" s="53"/>
      <c r="RSP1379" s="53"/>
      <c r="RSQ1379" s="53"/>
      <c r="RSR1379" s="53"/>
      <c r="RSS1379" s="53"/>
      <c r="RST1379" s="53"/>
      <c r="RSU1379" s="53"/>
      <c r="RSV1379" s="53"/>
      <c r="RSW1379" s="53"/>
      <c r="RSX1379" s="53"/>
      <c r="RSY1379" s="53"/>
      <c r="RSZ1379" s="53"/>
      <c r="RTA1379" s="53"/>
      <c r="RTB1379" s="53"/>
      <c r="RTC1379" s="53"/>
      <c r="RTD1379" s="53"/>
      <c r="RTE1379" s="53"/>
      <c r="RTF1379" s="53"/>
      <c r="RTG1379" s="53"/>
      <c r="RTH1379" s="53"/>
      <c r="RTI1379" s="53"/>
      <c r="RTJ1379" s="53"/>
      <c r="RTK1379" s="53"/>
      <c r="RTL1379" s="53"/>
      <c r="RTM1379" s="53"/>
      <c r="RTN1379" s="53"/>
      <c r="RTO1379" s="53"/>
      <c r="RTP1379" s="53"/>
      <c r="RTQ1379" s="53"/>
      <c r="RTR1379" s="53"/>
      <c r="RTS1379" s="53"/>
      <c r="RTT1379" s="53"/>
      <c r="RTU1379" s="53"/>
      <c r="RTV1379" s="53"/>
      <c r="RTW1379" s="53"/>
      <c r="RTX1379" s="53"/>
      <c r="RTY1379" s="53"/>
      <c r="RTZ1379" s="53"/>
      <c r="RUA1379" s="53"/>
      <c r="RUB1379" s="53"/>
      <c r="RUC1379" s="53"/>
      <c r="RUD1379" s="53"/>
      <c r="RUE1379" s="53"/>
      <c r="RUF1379" s="53"/>
      <c r="RUG1379" s="53"/>
      <c r="RUH1379" s="53"/>
      <c r="RUI1379" s="53"/>
      <c r="RUJ1379" s="53"/>
      <c r="RUK1379" s="53"/>
      <c r="RUL1379" s="53"/>
      <c r="RUM1379" s="53"/>
      <c r="RUN1379" s="53"/>
      <c r="RUO1379" s="53"/>
      <c r="RUP1379" s="53"/>
      <c r="RUQ1379" s="53"/>
      <c r="RUR1379" s="53"/>
      <c r="RUS1379" s="53"/>
      <c r="RUT1379" s="53"/>
      <c r="RUU1379" s="53"/>
      <c r="RUV1379" s="53"/>
      <c r="RUW1379" s="53"/>
      <c r="RUX1379" s="53"/>
      <c r="RUY1379" s="53"/>
      <c r="RUZ1379" s="53"/>
      <c r="RVA1379" s="53"/>
      <c r="RVB1379" s="53"/>
      <c r="RVC1379" s="53"/>
      <c r="RVD1379" s="53"/>
      <c r="RVE1379" s="53"/>
      <c r="RVF1379" s="53"/>
      <c r="RVG1379" s="53"/>
      <c r="RVH1379" s="53"/>
      <c r="RVI1379" s="53"/>
      <c r="RVJ1379" s="53"/>
      <c r="RVK1379" s="53"/>
      <c r="RVL1379" s="53"/>
      <c r="RVM1379" s="53"/>
      <c r="RVN1379" s="53"/>
      <c r="RVO1379" s="53"/>
      <c r="RVP1379" s="53"/>
      <c r="RVQ1379" s="53"/>
      <c r="RVR1379" s="53"/>
      <c r="RVS1379" s="53"/>
      <c r="RVT1379" s="53"/>
      <c r="RVU1379" s="53"/>
      <c r="RVV1379" s="53"/>
      <c r="RVW1379" s="53"/>
      <c r="RVX1379" s="53"/>
      <c r="RVY1379" s="53"/>
      <c r="RVZ1379" s="53"/>
      <c r="RWA1379" s="53"/>
      <c r="RWB1379" s="53"/>
      <c r="RWC1379" s="53"/>
      <c r="RWD1379" s="53"/>
      <c r="RWE1379" s="53"/>
      <c r="RWF1379" s="53"/>
      <c r="RWG1379" s="53"/>
      <c r="RWH1379" s="53"/>
      <c r="RWI1379" s="53"/>
      <c r="RWJ1379" s="53"/>
      <c r="RWK1379" s="53"/>
      <c r="RWL1379" s="53"/>
      <c r="RWM1379" s="53"/>
      <c r="RWN1379" s="53"/>
      <c r="RWO1379" s="53"/>
      <c r="RWP1379" s="53"/>
      <c r="RWQ1379" s="53"/>
      <c r="RWR1379" s="53"/>
      <c r="RWS1379" s="53"/>
      <c r="RWT1379" s="53"/>
      <c r="RWU1379" s="53"/>
      <c r="RWV1379" s="53"/>
      <c r="RWW1379" s="53"/>
      <c r="RWX1379" s="53"/>
      <c r="RWY1379" s="53"/>
      <c r="RWZ1379" s="53"/>
      <c r="RXA1379" s="53"/>
      <c r="RXB1379" s="53"/>
      <c r="RXC1379" s="53"/>
      <c r="RXD1379" s="53"/>
      <c r="RXE1379" s="53"/>
      <c r="RXF1379" s="53"/>
      <c r="RXG1379" s="53"/>
      <c r="RXH1379" s="53"/>
      <c r="RXI1379" s="53"/>
      <c r="RXJ1379" s="53"/>
      <c r="RXK1379" s="53"/>
      <c r="RXL1379" s="53"/>
      <c r="RXM1379" s="53"/>
      <c r="RXN1379" s="53"/>
      <c r="RXO1379" s="53"/>
      <c r="RXP1379" s="53"/>
      <c r="RXQ1379" s="53"/>
      <c r="RXR1379" s="53"/>
      <c r="RXS1379" s="53"/>
      <c r="RXT1379" s="53"/>
      <c r="RXU1379" s="53"/>
      <c r="RXV1379" s="53"/>
      <c r="RXW1379" s="53"/>
      <c r="RXX1379" s="53"/>
      <c r="RXY1379" s="53"/>
      <c r="RXZ1379" s="53"/>
      <c r="RYA1379" s="53"/>
      <c r="RYB1379" s="53"/>
      <c r="RYC1379" s="53"/>
      <c r="RYD1379" s="53"/>
      <c r="RYE1379" s="53"/>
      <c r="RYF1379" s="53"/>
      <c r="RYG1379" s="53"/>
      <c r="RYH1379" s="53"/>
      <c r="RYI1379" s="53"/>
      <c r="RYJ1379" s="53"/>
      <c r="RYK1379" s="53"/>
      <c r="RYL1379" s="53"/>
      <c r="RYM1379" s="53"/>
      <c r="RYN1379" s="53"/>
      <c r="RYO1379" s="53"/>
      <c r="RYP1379" s="53"/>
      <c r="RYQ1379" s="53"/>
      <c r="RYR1379" s="53"/>
      <c r="RYS1379" s="53"/>
      <c r="RYT1379" s="53"/>
      <c r="RYU1379" s="53"/>
      <c r="RYV1379" s="53"/>
      <c r="RYW1379" s="53"/>
      <c r="RYX1379" s="53"/>
      <c r="RYY1379" s="53"/>
      <c r="RYZ1379" s="53"/>
      <c r="RZA1379" s="53"/>
      <c r="RZB1379" s="53"/>
      <c r="RZC1379" s="53"/>
      <c r="RZD1379" s="53"/>
      <c r="RZE1379" s="53"/>
      <c r="RZF1379" s="53"/>
      <c r="RZG1379" s="53"/>
      <c r="RZH1379" s="53"/>
      <c r="RZI1379" s="53"/>
      <c r="RZJ1379" s="53"/>
      <c r="RZK1379" s="53"/>
      <c r="RZL1379" s="53"/>
      <c r="RZM1379" s="53"/>
      <c r="RZN1379" s="53"/>
      <c r="RZO1379" s="53"/>
      <c r="RZP1379" s="53"/>
      <c r="RZQ1379" s="53"/>
      <c r="RZR1379" s="53"/>
      <c r="RZS1379" s="53"/>
      <c r="RZT1379" s="53"/>
      <c r="RZU1379" s="53"/>
      <c r="RZV1379" s="53"/>
      <c r="RZW1379" s="53"/>
      <c r="RZX1379" s="53"/>
      <c r="RZY1379" s="53"/>
      <c r="RZZ1379" s="53"/>
      <c r="SAA1379" s="53"/>
      <c r="SAB1379" s="53"/>
      <c r="SAC1379" s="53"/>
      <c r="SAD1379" s="53"/>
      <c r="SAE1379" s="53"/>
      <c r="SAF1379" s="53"/>
      <c r="SAG1379" s="53"/>
      <c r="SAH1379" s="53"/>
      <c r="SAI1379" s="53"/>
      <c r="SAJ1379" s="53"/>
      <c r="SAK1379" s="53"/>
      <c r="SAL1379" s="53"/>
      <c r="SAM1379" s="53"/>
      <c r="SAN1379" s="53"/>
      <c r="SAO1379" s="53"/>
      <c r="SAP1379" s="53"/>
      <c r="SAQ1379" s="53"/>
      <c r="SAR1379" s="53"/>
      <c r="SAS1379" s="53"/>
      <c r="SAT1379" s="53"/>
      <c r="SAU1379" s="53"/>
      <c r="SAV1379" s="53"/>
      <c r="SAW1379" s="53"/>
      <c r="SAX1379" s="53"/>
      <c r="SAY1379" s="53"/>
      <c r="SAZ1379" s="53"/>
      <c r="SBA1379" s="53"/>
      <c r="SBB1379" s="53"/>
      <c r="SBC1379" s="53"/>
      <c r="SBD1379" s="53"/>
      <c r="SBE1379" s="53"/>
      <c r="SBF1379" s="53"/>
      <c r="SBG1379" s="53"/>
      <c r="SBH1379" s="53"/>
      <c r="SBI1379" s="53"/>
      <c r="SBJ1379" s="53"/>
      <c r="SBK1379" s="53"/>
      <c r="SBL1379" s="53"/>
      <c r="SBM1379" s="53"/>
      <c r="SBN1379" s="53"/>
      <c r="SBO1379" s="53"/>
      <c r="SBP1379" s="53"/>
      <c r="SBQ1379" s="53"/>
      <c r="SBR1379" s="53"/>
      <c r="SBS1379" s="53"/>
      <c r="SBT1379" s="53"/>
      <c r="SBU1379" s="53"/>
      <c r="SBV1379" s="53"/>
      <c r="SBW1379" s="53"/>
      <c r="SBX1379" s="53"/>
      <c r="SBY1379" s="53"/>
      <c r="SBZ1379" s="53"/>
      <c r="SCA1379" s="53"/>
      <c r="SCB1379" s="53"/>
      <c r="SCC1379" s="53"/>
      <c r="SCD1379" s="53"/>
      <c r="SCE1379" s="53"/>
      <c r="SCF1379" s="53"/>
      <c r="SCG1379" s="53"/>
      <c r="SCH1379" s="53"/>
      <c r="SCI1379" s="53"/>
      <c r="SCJ1379" s="53"/>
      <c r="SCK1379" s="53"/>
      <c r="SCL1379" s="53"/>
      <c r="SCM1379" s="53"/>
      <c r="SCN1379" s="53"/>
      <c r="SCO1379" s="53"/>
      <c r="SCP1379" s="53"/>
      <c r="SCQ1379" s="53"/>
      <c r="SCR1379" s="53"/>
      <c r="SCS1379" s="53"/>
      <c r="SCT1379" s="53"/>
      <c r="SCU1379" s="53"/>
      <c r="SCV1379" s="53"/>
      <c r="SCW1379" s="53"/>
      <c r="SCX1379" s="53"/>
      <c r="SCY1379" s="53"/>
      <c r="SCZ1379" s="53"/>
      <c r="SDA1379" s="53"/>
      <c r="SDB1379" s="53"/>
      <c r="SDC1379" s="53"/>
      <c r="SDD1379" s="53"/>
      <c r="SDE1379" s="53"/>
      <c r="SDF1379" s="53"/>
      <c r="SDG1379" s="53"/>
      <c r="SDH1379" s="53"/>
      <c r="SDI1379" s="53"/>
      <c r="SDJ1379" s="53"/>
      <c r="SDK1379" s="53"/>
      <c r="SDL1379" s="53"/>
      <c r="SDM1379" s="53"/>
      <c r="SDN1379" s="53"/>
      <c r="SDO1379" s="53"/>
      <c r="SDP1379" s="53"/>
      <c r="SDQ1379" s="53"/>
      <c r="SDR1379" s="53"/>
      <c r="SDS1379" s="53"/>
      <c r="SDT1379" s="53"/>
      <c r="SDU1379" s="53"/>
      <c r="SDV1379" s="53"/>
      <c r="SDW1379" s="53"/>
      <c r="SDX1379" s="53"/>
      <c r="SDY1379" s="53"/>
      <c r="SDZ1379" s="53"/>
      <c r="SEA1379" s="53"/>
      <c r="SEB1379" s="53"/>
      <c r="SEC1379" s="53"/>
      <c r="SED1379" s="53"/>
      <c r="SEE1379" s="53"/>
      <c r="SEF1379" s="53"/>
      <c r="SEG1379" s="53"/>
      <c r="SEH1379" s="53"/>
      <c r="SEI1379" s="53"/>
      <c r="SEJ1379" s="53"/>
      <c r="SEK1379" s="53"/>
      <c r="SEL1379" s="53"/>
      <c r="SEM1379" s="53"/>
      <c r="SEN1379" s="53"/>
      <c r="SEO1379" s="53"/>
      <c r="SEP1379" s="53"/>
      <c r="SEQ1379" s="53"/>
      <c r="SER1379" s="53"/>
      <c r="SES1379" s="53"/>
      <c r="SET1379" s="53"/>
      <c r="SEU1379" s="53"/>
      <c r="SEV1379" s="53"/>
      <c r="SEW1379" s="53"/>
      <c r="SEX1379" s="53"/>
      <c r="SEY1379" s="53"/>
      <c r="SEZ1379" s="53"/>
      <c r="SFA1379" s="53"/>
      <c r="SFB1379" s="53"/>
      <c r="SFC1379" s="53"/>
      <c r="SFD1379" s="53"/>
      <c r="SFE1379" s="53"/>
      <c r="SFF1379" s="53"/>
      <c r="SFG1379" s="53"/>
      <c r="SFH1379" s="53"/>
      <c r="SFI1379" s="53"/>
      <c r="SFJ1379" s="53"/>
      <c r="SFK1379" s="53"/>
      <c r="SFL1379" s="53"/>
      <c r="SFM1379" s="53"/>
      <c r="SFN1379" s="53"/>
      <c r="SFO1379" s="53"/>
      <c r="SFP1379" s="53"/>
      <c r="SFQ1379" s="53"/>
      <c r="SFR1379" s="53"/>
      <c r="SFS1379" s="53"/>
      <c r="SFT1379" s="53"/>
      <c r="SFU1379" s="53"/>
      <c r="SFV1379" s="53"/>
      <c r="SFW1379" s="53"/>
      <c r="SFX1379" s="53"/>
      <c r="SFY1379" s="53"/>
      <c r="SFZ1379" s="53"/>
      <c r="SGA1379" s="53"/>
      <c r="SGB1379" s="53"/>
      <c r="SGC1379" s="53"/>
      <c r="SGD1379" s="53"/>
      <c r="SGE1379" s="53"/>
      <c r="SGF1379" s="53"/>
      <c r="SGG1379" s="53"/>
      <c r="SGH1379" s="53"/>
      <c r="SGI1379" s="53"/>
      <c r="SGJ1379" s="53"/>
      <c r="SGK1379" s="53"/>
      <c r="SGL1379" s="53"/>
      <c r="SGM1379" s="53"/>
      <c r="SGN1379" s="53"/>
      <c r="SGO1379" s="53"/>
      <c r="SGP1379" s="53"/>
      <c r="SGQ1379" s="53"/>
      <c r="SGR1379" s="53"/>
      <c r="SGS1379" s="53"/>
      <c r="SGT1379" s="53"/>
      <c r="SGU1379" s="53"/>
      <c r="SGV1379" s="53"/>
      <c r="SGW1379" s="53"/>
      <c r="SGX1379" s="53"/>
      <c r="SGY1379" s="53"/>
      <c r="SGZ1379" s="53"/>
      <c r="SHA1379" s="53"/>
      <c r="SHB1379" s="53"/>
      <c r="SHC1379" s="53"/>
      <c r="SHD1379" s="53"/>
      <c r="SHE1379" s="53"/>
      <c r="SHF1379" s="53"/>
      <c r="SHG1379" s="53"/>
      <c r="SHH1379" s="53"/>
      <c r="SHI1379" s="53"/>
      <c r="SHJ1379" s="53"/>
      <c r="SHK1379" s="53"/>
      <c r="SHL1379" s="53"/>
      <c r="SHM1379" s="53"/>
      <c r="SHN1379" s="53"/>
      <c r="SHO1379" s="53"/>
      <c r="SHP1379" s="53"/>
      <c r="SHQ1379" s="53"/>
      <c r="SHR1379" s="53"/>
      <c r="SHS1379" s="53"/>
      <c r="SHT1379" s="53"/>
      <c r="SHU1379" s="53"/>
      <c r="SHV1379" s="53"/>
      <c r="SHW1379" s="53"/>
      <c r="SHX1379" s="53"/>
      <c r="SHY1379" s="53"/>
      <c r="SHZ1379" s="53"/>
      <c r="SIA1379" s="53"/>
      <c r="SIB1379" s="53"/>
      <c r="SIC1379" s="53"/>
      <c r="SID1379" s="53"/>
      <c r="SIE1379" s="53"/>
      <c r="SIF1379" s="53"/>
      <c r="SIG1379" s="53"/>
      <c r="SIH1379" s="53"/>
      <c r="SII1379" s="53"/>
      <c r="SIJ1379" s="53"/>
      <c r="SIK1379" s="53"/>
      <c r="SIL1379" s="53"/>
      <c r="SIM1379" s="53"/>
      <c r="SIN1379" s="53"/>
      <c r="SIO1379" s="53"/>
      <c r="SIP1379" s="53"/>
      <c r="SIQ1379" s="53"/>
      <c r="SIR1379" s="53"/>
      <c r="SIS1379" s="53"/>
      <c r="SIT1379" s="53"/>
      <c r="SIU1379" s="53"/>
      <c r="SIV1379" s="53"/>
      <c r="SIW1379" s="53"/>
      <c r="SIX1379" s="53"/>
      <c r="SIY1379" s="53"/>
      <c r="SIZ1379" s="53"/>
      <c r="SJA1379" s="53"/>
      <c r="SJB1379" s="53"/>
      <c r="SJC1379" s="53"/>
      <c r="SJD1379" s="53"/>
      <c r="SJE1379" s="53"/>
      <c r="SJF1379" s="53"/>
      <c r="SJG1379" s="53"/>
      <c r="SJH1379" s="53"/>
      <c r="SJI1379" s="53"/>
      <c r="SJJ1379" s="53"/>
      <c r="SJK1379" s="53"/>
      <c r="SJL1379" s="53"/>
      <c r="SJM1379" s="53"/>
      <c r="SJN1379" s="53"/>
      <c r="SJO1379" s="53"/>
      <c r="SJP1379" s="53"/>
      <c r="SJQ1379" s="53"/>
      <c r="SJR1379" s="53"/>
      <c r="SJS1379" s="53"/>
      <c r="SJT1379" s="53"/>
      <c r="SJU1379" s="53"/>
      <c r="SJV1379" s="53"/>
      <c r="SJW1379" s="53"/>
      <c r="SJX1379" s="53"/>
      <c r="SJY1379" s="53"/>
      <c r="SJZ1379" s="53"/>
      <c r="SKA1379" s="53"/>
      <c r="SKB1379" s="53"/>
      <c r="SKC1379" s="53"/>
      <c r="SKD1379" s="53"/>
      <c r="SKE1379" s="53"/>
      <c r="SKF1379" s="53"/>
      <c r="SKG1379" s="53"/>
      <c r="SKH1379" s="53"/>
      <c r="SKI1379" s="53"/>
      <c r="SKJ1379" s="53"/>
      <c r="SKK1379" s="53"/>
      <c r="SKL1379" s="53"/>
      <c r="SKM1379" s="53"/>
      <c r="SKN1379" s="53"/>
      <c r="SKO1379" s="53"/>
      <c r="SKP1379" s="53"/>
      <c r="SKQ1379" s="53"/>
      <c r="SKR1379" s="53"/>
      <c r="SKS1379" s="53"/>
      <c r="SKT1379" s="53"/>
      <c r="SKU1379" s="53"/>
      <c r="SKV1379" s="53"/>
      <c r="SKW1379" s="53"/>
      <c r="SKX1379" s="53"/>
      <c r="SKY1379" s="53"/>
      <c r="SKZ1379" s="53"/>
      <c r="SLA1379" s="53"/>
      <c r="SLB1379" s="53"/>
      <c r="SLC1379" s="53"/>
      <c r="SLD1379" s="53"/>
      <c r="SLE1379" s="53"/>
      <c r="SLF1379" s="53"/>
      <c r="SLG1379" s="53"/>
      <c r="SLH1379" s="53"/>
      <c r="SLI1379" s="53"/>
      <c r="SLJ1379" s="53"/>
      <c r="SLK1379" s="53"/>
      <c r="SLL1379" s="53"/>
      <c r="SLM1379" s="53"/>
      <c r="SLN1379" s="53"/>
      <c r="SLO1379" s="53"/>
      <c r="SLP1379" s="53"/>
      <c r="SLQ1379" s="53"/>
      <c r="SLR1379" s="53"/>
      <c r="SLS1379" s="53"/>
      <c r="SLT1379" s="53"/>
      <c r="SLU1379" s="53"/>
      <c r="SLV1379" s="53"/>
      <c r="SLW1379" s="53"/>
      <c r="SLX1379" s="53"/>
      <c r="SLY1379" s="53"/>
      <c r="SLZ1379" s="53"/>
      <c r="SMA1379" s="53"/>
      <c r="SMB1379" s="53"/>
      <c r="SMC1379" s="53"/>
      <c r="SMD1379" s="53"/>
      <c r="SME1379" s="53"/>
      <c r="SMF1379" s="53"/>
      <c r="SMG1379" s="53"/>
      <c r="SMH1379" s="53"/>
      <c r="SMI1379" s="53"/>
      <c r="SMJ1379" s="53"/>
      <c r="SMK1379" s="53"/>
      <c r="SML1379" s="53"/>
      <c r="SMM1379" s="53"/>
      <c r="SMN1379" s="53"/>
      <c r="SMO1379" s="53"/>
      <c r="SMP1379" s="53"/>
      <c r="SMQ1379" s="53"/>
      <c r="SMR1379" s="53"/>
      <c r="SMS1379" s="53"/>
      <c r="SMT1379" s="53"/>
      <c r="SMU1379" s="53"/>
      <c r="SMV1379" s="53"/>
      <c r="SMW1379" s="53"/>
      <c r="SMX1379" s="53"/>
      <c r="SMY1379" s="53"/>
      <c r="SMZ1379" s="53"/>
      <c r="SNA1379" s="53"/>
      <c r="SNB1379" s="53"/>
      <c r="SNC1379" s="53"/>
      <c r="SND1379" s="53"/>
      <c r="SNE1379" s="53"/>
      <c r="SNF1379" s="53"/>
      <c r="SNG1379" s="53"/>
      <c r="SNH1379" s="53"/>
      <c r="SNI1379" s="53"/>
      <c r="SNJ1379" s="53"/>
      <c r="SNK1379" s="53"/>
      <c r="SNL1379" s="53"/>
      <c r="SNM1379" s="53"/>
      <c r="SNN1379" s="53"/>
      <c r="SNO1379" s="53"/>
      <c r="SNP1379" s="53"/>
      <c r="SNQ1379" s="53"/>
      <c r="SNR1379" s="53"/>
      <c r="SNS1379" s="53"/>
      <c r="SNT1379" s="53"/>
      <c r="SNU1379" s="53"/>
      <c r="SNV1379" s="53"/>
      <c r="SNW1379" s="53"/>
      <c r="SNX1379" s="53"/>
      <c r="SNY1379" s="53"/>
      <c r="SNZ1379" s="53"/>
      <c r="SOA1379" s="53"/>
      <c r="SOB1379" s="53"/>
      <c r="SOC1379" s="53"/>
      <c r="SOD1379" s="53"/>
      <c r="SOE1379" s="53"/>
      <c r="SOF1379" s="53"/>
      <c r="SOG1379" s="53"/>
      <c r="SOH1379" s="53"/>
      <c r="SOI1379" s="53"/>
      <c r="SOJ1379" s="53"/>
      <c r="SOK1379" s="53"/>
      <c r="SOL1379" s="53"/>
      <c r="SOM1379" s="53"/>
      <c r="SON1379" s="53"/>
      <c r="SOO1379" s="53"/>
      <c r="SOP1379" s="53"/>
      <c r="SOQ1379" s="53"/>
      <c r="SOR1379" s="53"/>
      <c r="SOS1379" s="53"/>
      <c r="SOT1379" s="53"/>
      <c r="SOU1379" s="53"/>
      <c r="SOV1379" s="53"/>
      <c r="SOW1379" s="53"/>
      <c r="SOX1379" s="53"/>
      <c r="SOY1379" s="53"/>
      <c r="SOZ1379" s="53"/>
      <c r="SPA1379" s="53"/>
      <c r="SPB1379" s="53"/>
      <c r="SPC1379" s="53"/>
      <c r="SPD1379" s="53"/>
      <c r="SPE1379" s="53"/>
      <c r="SPF1379" s="53"/>
      <c r="SPG1379" s="53"/>
      <c r="SPH1379" s="53"/>
      <c r="SPI1379" s="53"/>
      <c r="SPJ1379" s="53"/>
      <c r="SPK1379" s="53"/>
      <c r="SPL1379" s="53"/>
      <c r="SPM1379" s="53"/>
      <c r="SPN1379" s="53"/>
      <c r="SPO1379" s="53"/>
      <c r="SPP1379" s="53"/>
      <c r="SPQ1379" s="53"/>
      <c r="SPR1379" s="53"/>
      <c r="SPS1379" s="53"/>
      <c r="SPT1379" s="53"/>
      <c r="SPU1379" s="53"/>
      <c r="SPV1379" s="53"/>
      <c r="SPW1379" s="53"/>
      <c r="SPX1379" s="53"/>
      <c r="SPY1379" s="53"/>
      <c r="SPZ1379" s="53"/>
      <c r="SQA1379" s="53"/>
      <c r="SQB1379" s="53"/>
      <c r="SQC1379" s="53"/>
      <c r="SQD1379" s="53"/>
      <c r="SQE1379" s="53"/>
      <c r="SQF1379" s="53"/>
      <c r="SQG1379" s="53"/>
      <c r="SQH1379" s="53"/>
      <c r="SQI1379" s="53"/>
      <c r="SQJ1379" s="53"/>
      <c r="SQK1379" s="53"/>
      <c r="SQL1379" s="53"/>
      <c r="SQM1379" s="53"/>
      <c r="SQN1379" s="53"/>
      <c r="SQO1379" s="53"/>
      <c r="SQP1379" s="53"/>
      <c r="SQQ1379" s="53"/>
      <c r="SQR1379" s="53"/>
      <c r="SQS1379" s="53"/>
      <c r="SQT1379" s="53"/>
      <c r="SQU1379" s="53"/>
      <c r="SQV1379" s="53"/>
      <c r="SQW1379" s="53"/>
      <c r="SQX1379" s="53"/>
      <c r="SQY1379" s="53"/>
      <c r="SQZ1379" s="53"/>
      <c r="SRA1379" s="53"/>
      <c r="SRB1379" s="53"/>
      <c r="SRC1379" s="53"/>
      <c r="SRD1379" s="53"/>
      <c r="SRE1379" s="53"/>
      <c r="SRF1379" s="53"/>
      <c r="SRG1379" s="53"/>
      <c r="SRH1379" s="53"/>
      <c r="SRI1379" s="53"/>
      <c r="SRJ1379" s="53"/>
      <c r="SRK1379" s="53"/>
      <c r="SRL1379" s="53"/>
      <c r="SRM1379" s="53"/>
      <c r="SRN1379" s="53"/>
      <c r="SRO1379" s="53"/>
      <c r="SRP1379" s="53"/>
      <c r="SRQ1379" s="53"/>
      <c r="SRR1379" s="53"/>
      <c r="SRS1379" s="53"/>
      <c r="SRT1379" s="53"/>
      <c r="SRU1379" s="53"/>
      <c r="SRV1379" s="53"/>
      <c r="SRW1379" s="53"/>
      <c r="SRX1379" s="53"/>
      <c r="SRY1379" s="53"/>
      <c r="SRZ1379" s="53"/>
      <c r="SSA1379" s="53"/>
      <c r="SSB1379" s="53"/>
      <c r="SSC1379" s="53"/>
      <c r="SSD1379" s="53"/>
      <c r="SSE1379" s="53"/>
      <c r="SSF1379" s="53"/>
      <c r="SSG1379" s="53"/>
      <c r="SSH1379" s="53"/>
      <c r="SSI1379" s="53"/>
      <c r="SSJ1379" s="53"/>
      <c r="SSK1379" s="53"/>
      <c r="SSL1379" s="53"/>
      <c r="SSM1379" s="53"/>
      <c r="SSN1379" s="53"/>
      <c r="SSO1379" s="53"/>
      <c r="SSP1379" s="53"/>
      <c r="SSQ1379" s="53"/>
      <c r="SSR1379" s="53"/>
      <c r="SSS1379" s="53"/>
      <c r="SST1379" s="53"/>
      <c r="SSU1379" s="53"/>
      <c r="SSV1379" s="53"/>
      <c r="SSW1379" s="53"/>
      <c r="SSX1379" s="53"/>
      <c r="SSY1379" s="53"/>
      <c r="SSZ1379" s="53"/>
      <c r="STA1379" s="53"/>
      <c r="STB1379" s="53"/>
      <c r="STC1379" s="53"/>
      <c r="STD1379" s="53"/>
      <c r="STE1379" s="53"/>
      <c r="STF1379" s="53"/>
      <c r="STG1379" s="53"/>
      <c r="STH1379" s="53"/>
      <c r="STI1379" s="53"/>
      <c r="STJ1379" s="53"/>
      <c r="STK1379" s="53"/>
      <c r="STL1379" s="53"/>
      <c r="STM1379" s="53"/>
      <c r="STN1379" s="53"/>
      <c r="STO1379" s="53"/>
      <c r="STP1379" s="53"/>
      <c r="STQ1379" s="53"/>
      <c r="STR1379" s="53"/>
      <c r="STS1379" s="53"/>
      <c r="STT1379" s="53"/>
      <c r="STU1379" s="53"/>
      <c r="STV1379" s="53"/>
      <c r="STW1379" s="53"/>
      <c r="STX1379" s="53"/>
      <c r="STY1379" s="53"/>
      <c r="STZ1379" s="53"/>
      <c r="SUA1379" s="53"/>
      <c r="SUB1379" s="53"/>
      <c r="SUC1379" s="53"/>
      <c r="SUD1379" s="53"/>
      <c r="SUE1379" s="53"/>
      <c r="SUF1379" s="53"/>
      <c r="SUG1379" s="53"/>
      <c r="SUH1379" s="53"/>
      <c r="SUI1379" s="53"/>
      <c r="SUJ1379" s="53"/>
      <c r="SUK1379" s="53"/>
      <c r="SUL1379" s="53"/>
      <c r="SUM1379" s="53"/>
      <c r="SUN1379" s="53"/>
      <c r="SUO1379" s="53"/>
      <c r="SUP1379" s="53"/>
      <c r="SUQ1379" s="53"/>
      <c r="SUR1379" s="53"/>
      <c r="SUS1379" s="53"/>
      <c r="SUT1379" s="53"/>
      <c r="SUU1379" s="53"/>
      <c r="SUV1379" s="53"/>
      <c r="SUW1379" s="53"/>
      <c r="SUX1379" s="53"/>
      <c r="SUY1379" s="53"/>
      <c r="SUZ1379" s="53"/>
      <c r="SVA1379" s="53"/>
      <c r="SVB1379" s="53"/>
      <c r="SVC1379" s="53"/>
      <c r="SVD1379" s="53"/>
      <c r="SVE1379" s="53"/>
      <c r="SVF1379" s="53"/>
      <c r="SVG1379" s="53"/>
      <c r="SVH1379" s="53"/>
      <c r="SVI1379" s="53"/>
      <c r="SVJ1379" s="53"/>
      <c r="SVK1379" s="53"/>
      <c r="SVL1379" s="53"/>
      <c r="SVM1379" s="53"/>
      <c r="SVN1379" s="53"/>
      <c r="SVO1379" s="53"/>
      <c r="SVP1379" s="53"/>
      <c r="SVQ1379" s="53"/>
      <c r="SVR1379" s="53"/>
      <c r="SVS1379" s="53"/>
      <c r="SVT1379" s="53"/>
      <c r="SVU1379" s="53"/>
      <c r="SVV1379" s="53"/>
      <c r="SVW1379" s="53"/>
      <c r="SVX1379" s="53"/>
      <c r="SVY1379" s="53"/>
      <c r="SVZ1379" s="53"/>
      <c r="SWA1379" s="53"/>
      <c r="SWB1379" s="53"/>
      <c r="SWC1379" s="53"/>
      <c r="SWD1379" s="53"/>
      <c r="SWE1379" s="53"/>
      <c r="SWF1379" s="53"/>
      <c r="SWG1379" s="53"/>
      <c r="SWH1379" s="53"/>
      <c r="SWI1379" s="53"/>
      <c r="SWJ1379" s="53"/>
      <c r="SWK1379" s="53"/>
      <c r="SWL1379" s="53"/>
      <c r="SWM1379" s="53"/>
      <c r="SWN1379" s="53"/>
      <c r="SWO1379" s="53"/>
      <c r="SWP1379" s="53"/>
      <c r="SWQ1379" s="53"/>
      <c r="SWR1379" s="53"/>
      <c r="SWS1379" s="53"/>
      <c r="SWT1379" s="53"/>
      <c r="SWU1379" s="53"/>
      <c r="SWV1379" s="53"/>
      <c r="SWW1379" s="53"/>
      <c r="SWX1379" s="53"/>
      <c r="SWY1379" s="53"/>
      <c r="SWZ1379" s="53"/>
      <c r="SXA1379" s="53"/>
      <c r="SXB1379" s="53"/>
      <c r="SXC1379" s="53"/>
      <c r="SXD1379" s="53"/>
      <c r="SXE1379" s="53"/>
      <c r="SXF1379" s="53"/>
      <c r="SXG1379" s="53"/>
      <c r="SXH1379" s="53"/>
      <c r="SXI1379" s="53"/>
      <c r="SXJ1379" s="53"/>
      <c r="SXK1379" s="53"/>
      <c r="SXL1379" s="53"/>
      <c r="SXM1379" s="53"/>
      <c r="SXN1379" s="53"/>
      <c r="SXO1379" s="53"/>
      <c r="SXP1379" s="53"/>
      <c r="SXQ1379" s="53"/>
      <c r="SXR1379" s="53"/>
      <c r="SXS1379" s="53"/>
      <c r="SXT1379" s="53"/>
      <c r="SXU1379" s="53"/>
      <c r="SXV1379" s="53"/>
      <c r="SXW1379" s="53"/>
      <c r="SXX1379" s="53"/>
      <c r="SXY1379" s="53"/>
      <c r="SXZ1379" s="53"/>
      <c r="SYA1379" s="53"/>
      <c r="SYB1379" s="53"/>
      <c r="SYC1379" s="53"/>
      <c r="SYD1379" s="53"/>
      <c r="SYE1379" s="53"/>
      <c r="SYF1379" s="53"/>
      <c r="SYG1379" s="53"/>
      <c r="SYH1379" s="53"/>
      <c r="SYI1379" s="53"/>
      <c r="SYJ1379" s="53"/>
      <c r="SYK1379" s="53"/>
      <c r="SYL1379" s="53"/>
      <c r="SYM1379" s="53"/>
      <c r="SYN1379" s="53"/>
      <c r="SYO1379" s="53"/>
      <c r="SYP1379" s="53"/>
      <c r="SYQ1379" s="53"/>
      <c r="SYR1379" s="53"/>
      <c r="SYS1379" s="53"/>
      <c r="SYT1379" s="53"/>
      <c r="SYU1379" s="53"/>
      <c r="SYV1379" s="53"/>
      <c r="SYW1379" s="53"/>
      <c r="SYX1379" s="53"/>
      <c r="SYY1379" s="53"/>
      <c r="SYZ1379" s="53"/>
      <c r="SZA1379" s="53"/>
      <c r="SZB1379" s="53"/>
      <c r="SZC1379" s="53"/>
      <c r="SZD1379" s="53"/>
      <c r="SZE1379" s="53"/>
      <c r="SZF1379" s="53"/>
      <c r="SZG1379" s="53"/>
      <c r="SZH1379" s="53"/>
      <c r="SZI1379" s="53"/>
      <c r="SZJ1379" s="53"/>
      <c r="SZK1379" s="53"/>
      <c r="SZL1379" s="53"/>
      <c r="SZM1379" s="53"/>
      <c r="SZN1379" s="53"/>
      <c r="SZO1379" s="53"/>
      <c r="SZP1379" s="53"/>
      <c r="SZQ1379" s="53"/>
      <c r="SZR1379" s="53"/>
      <c r="SZS1379" s="53"/>
      <c r="SZT1379" s="53"/>
      <c r="SZU1379" s="53"/>
      <c r="SZV1379" s="53"/>
      <c r="SZW1379" s="53"/>
      <c r="SZX1379" s="53"/>
      <c r="SZY1379" s="53"/>
      <c r="SZZ1379" s="53"/>
      <c r="TAA1379" s="53"/>
      <c r="TAB1379" s="53"/>
      <c r="TAC1379" s="53"/>
      <c r="TAD1379" s="53"/>
      <c r="TAE1379" s="53"/>
      <c r="TAF1379" s="53"/>
      <c r="TAG1379" s="53"/>
      <c r="TAH1379" s="53"/>
      <c r="TAI1379" s="53"/>
      <c r="TAJ1379" s="53"/>
      <c r="TAK1379" s="53"/>
      <c r="TAL1379" s="53"/>
      <c r="TAM1379" s="53"/>
      <c r="TAN1379" s="53"/>
      <c r="TAO1379" s="53"/>
      <c r="TAP1379" s="53"/>
      <c r="TAQ1379" s="53"/>
      <c r="TAR1379" s="53"/>
      <c r="TAS1379" s="53"/>
      <c r="TAT1379" s="53"/>
      <c r="TAU1379" s="53"/>
      <c r="TAV1379" s="53"/>
      <c r="TAW1379" s="53"/>
      <c r="TAX1379" s="53"/>
      <c r="TAY1379" s="53"/>
      <c r="TAZ1379" s="53"/>
      <c r="TBA1379" s="53"/>
      <c r="TBB1379" s="53"/>
      <c r="TBC1379" s="53"/>
      <c r="TBD1379" s="53"/>
      <c r="TBE1379" s="53"/>
      <c r="TBF1379" s="53"/>
      <c r="TBG1379" s="53"/>
      <c r="TBH1379" s="53"/>
      <c r="TBI1379" s="53"/>
      <c r="TBJ1379" s="53"/>
      <c r="TBK1379" s="53"/>
      <c r="TBL1379" s="53"/>
      <c r="TBM1379" s="53"/>
      <c r="TBN1379" s="53"/>
      <c r="TBO1379" s="53"/>
      <c r="TBP1379" s="53"/>
      <c r="TBQ1379" s="53"/>
      <c r="TBR1379" s="53"/>
      <c r="TBS1379" s="53"/>
      <c r="TBT1379" s="53"/>
      <c r="TBU1379" s="53"/>
      <c r="TBV1379" s="53"/>
      <c r="TBW1379" s="53"/>
      <c r="TBX1379" s="53"/>
      <c r="TBY1379" s="53"/>
      <c r="TBZ1379" s="53"/>
      <c r="TCA1379" s="53"/>
      <c r="TCB1379" s="53"/>
      <c r="TCC1379" s="53"/>
      <c r="TCD1379" s="53"/>
      <c r="TCE1379" s="53"/>
      <c r="TCF1379" s="53"/>
      <c r="TCG1379" s="53"/>
      <c r="TCH1379" s="53"/>
      <c r="TCI1379" s="53"/>
      <c r="TCJ1379" s="53"/>
      <c r="TCK1379" s="53"/>
      <c r="TCL1379" s="53"/>
      <c r="TCM1379" s="53"/>
      <c r="TCN1379" s="53"/>
      <c r="TCO1379" s="53"/>
      <c r="TCP1379" s="53"/>
      <c r="TCQ1379" s="53"/>
      <c r="TCR1379" s="53"/>
      <c r="TCS1379" s="53"/>
      <c r="TCT1379" s="53"/>
      <c r="TCU1379" s="53"/>
      <c r="TCV1379" s="53"/>
      <c r="TCW1379" s="53"/>
      <c r="TCX1379" s="53"/>
      <c r="TCY1379" s="53"/>
      <c r="TCZ1379" s="53"/>
      <c r="TDA1379" s="53"/>
      <c r="TDB1379" s="53"/>
      <c r="TDC1379" s="53"/>
      <c r="TDD1379" s="53"/>
      <c r="TDE1379" s="53"/>
      <c r="TDF1379" s="53"/>
      <c r="TDG1379" s="53"/>
      <c r="TDH1379" s="53"/>
      <c r="TDI1379" s="53"/>
      <c r="TDJ1379" s="53"/>
      <c r="TDK1379" s="53"/>
      <c r="TDL1379" s="53"/>
      <c r="TDM1379" s="53"/>
      <c r="TDN1379" s="53"/>
      <c r="TDO1379" s="53"/>
      <c r="TDP1379" s="53"/>
      <c r="TDQ1379" s="53"/>
      <c r="TDR1379" s="53"/>
      <c r="TDS1379" s="53"/>
      <c r="TDT1379" s="53"/>
      <c r="TDU1379" s="53"/>
      <c r="TDV1379" s="53"/>
      <c r="TDW1379" s="53"/>
      <c r="TDX1379" s="53"/>
      <c r="TDY1379" s="53"/>
      <c r="TDZ1379" s="53"/>
      <c r="TEA1379" s="53"/>
      <c r="TEB1379" s="53"/>
      <c r="TEC1379" s="53"/>
      <c r="TED1379" s="53"/>
      <c r="TEE1379" s="53"/>
      <c r="TEF1379" s="53"/>
      <c r="TEG1379" s="53"/>
      <c r="TEH1379" s="53"/>
      <c r="TEI1379" s="53"/>
      <c r="TEJ1379" s="53"/>
      <c r="TEK1379" s="53"/>
      <c r="TEL1379" s="53"/>
      <c r="TEM1379" s="53"/>
      <c r="TEN1379" s="53"/>
      <c r="TEO1379" s="53"/>
      <c r="TEP1379" s="53"/>
      <c r="TEQ1379" s="53"/>
      <c r="TER1379" s="53"/>
      <c r="TES1379" s="53"/>
      <c r="TET1379" s="53"/>
      <c r="TEU1379" s="53"/>
      <c r="TEV1379" s="53"/>
      <c r="TEW1379" s="53"/>
      <c r="TEX1379" s="53"/>
      <c r="TEY1379" s="53"/>
      <c r="TEZ1379" s="53"/>
      <c r="TFA1379" s="53"/>
      <c r="TFB1379" s="53"/>
      <c r="TFC1379" s="53"/>
      <c r="TFD1379" s="53"/>
      <c r="TFE1379" s="53"/>
      <c r="TFF1379" s="53"/>
      <c r="TFG1379" s="53"/>
      <c r="TFH1379" s="53"/>
      <c r="TFI1379" s="53"/>
      <c r="TFJ1379" s="53"/>
      <c r="TFK1379" s="53"/>
      <c r="TFL1379" s="53"/>
      <c r="TFM1379" s="53"/>
      <c r="TFN1379" s="53"/>
      <c r="TFO1379" s="53"/>
      <c r="TFP1379" s="53"/>
      <c r="TFQ1379" s="53"/>
      <c r="TFR1379" s="53"/>
      <c r="TFS1379" s="53"/>
      <c r="TFT1379" s="53"/>
      <c r="TFU1379" s="53"/>
      <c r="TFV1379" s="53"/>
      <c r="TFW1379" s="53"/>
      <c r="TFX1379" s="53"/>
      <c r="TFY1379" s="53"/>
      <c r="TFZ1379" s="53"/>
      <c r="TGA1379" s="53"/>
      <c r="TGB1379" s="53"/>
      <c r="TGC1379" s="53"/>
      <c r="TGD1379" s="53"/>
      <c r="TGE1379" s="53"/>
      <c r="TGF1379" s="53"/>
      <c r="TGG1379" s="53"/>
      <c r="TGH1379" s="53"/>
      <c r="TGI1379" s="53"/>
      <c r="TGJ1379" s="53"/>
      <c r="TGK1379" s="53"/>
      <c r="TGL1379" s="53"/>
      <c r="TGM1379" s="53"/>
      <c r="TGN1379" s="53"/>
      <c r="TGO1379" s="53"/>
      <c r="TGP1379" s="53"/>
      <c r="TGQ1379" s="53"/>
      <c r="TGR1379" s="53"/>
      <c r="TGS1379" s="53"/>
      <c r="TGT1379" s="53"/>
      <c r="TGU1379" s="53"/>
      <c r="TGV1379" s="53"/>
      <c r="TGW1379" s="53"/>
      <c r="TGX1379" s="53"/>
      <c r="TGY1379" s="53"/>
      <c r="TGZ1379" s="53"/>
      <c r="THA1379" s="53"/>
      <c r="THB1379" s="53"/>
      <c r="THC1379" s="53"/>
      <c r="THD1379" s="53"/>
      <c r="THE1379" s="53"/>
      <c r="THF1379" s="53"/>
      <c r="THG1379" s="53"/>
      <c r="THH1379" s="53"/>
      <c r="THI1379" s="53"/>
      <c r="THJ1379" s="53"/>
      <c r="THK1379" s="53"/>
      <c r="THL1379" s="53"/>
      <c r="THM1379" s="53"/>
      <c r="THN1379" s="53"/>
      <c r="THO1379" s="53"/>
      <c r="THP1379" s="53"/>
      <c r="THQ1379" s="53"/>
      <c r="THR1379" s="53"/>
      <c r="THS1379" s="53"/>
      <c r="THT1379" s="53"/>
      <c r="THU1379" s="53"/>
      <c r="THV1379" s="53"/>
      <c r="THW1379" s="53"/>
      <c r="THX1379" s="53"/>
      <c r="THY1379" s="53"/>
      <c r="THZ1379" s="53"/>
      <c r="TIA1379" s="53"/>
      <c r="TIB1379" s="53"/>
      <c r="TIC1379" s="53"/>
      <c r="TID1379" s="53"/>
      <c r="TIE1379" s="53"/>
      <c r="TIF1379" s="53"/>
      <c r="TIG1379" s="53"/>
      <c r="TIH1379" s="53"/>
      <c r="TII1379" s="53"/>
      <c r="TIJ1379" s="53"/>
      <c r="TIK1379" s="53"/>
      <c r="TIL1379" s="53"/>
      <c r="TIM1379" s="53"/>
      <c r="TIN1379" s="53"/>
      <c r="TIO1379" s="53"/>
      <c r="TIP1379" s="53"/>
      <c r="TIQ1379" s="53"/>
      <c r="TIR1379" s="53"/>
      <c r="TIS1379" s="53"/>
      <c r="TIT1379" s="53"/>
      <c r="TIU1379" s="53"/>
      <c r="TIV1379" s="53"/>
      <c r="TIW1379" s="53"/>
      <c r="TIX1379" s="53"/>
      <c r="TIY1379" s="53"/>
      <c r="TIZ1379" s="53"/>
      <c r="TJA1379" s="53"/>
      <c r="TJB1379" s="53"/>
      <c r="TJC1379" s="53"/>
      <c r="TJD1379" s="53"/>
      <c r="TJE1379" s="53"/>
      <c r="TJF1379" s="53"/>
      <c r="TJG1379" s="53"/>
      <c r="TJH1379" s="53"/>
      <c r="TJI1379" s="53"/>
      <c r="TJJ1379" s="53"/>
      <c r="TJK1379" s="53"/>
      <c r="TJL1379" s="53"/>
      <c r="TJM1379" s="53"/>
      <c r="TJN1379" s="53"/>
      <c r="TJO1379" s="53"/>
      <c r="TJP1379" s="53"/>
      <c r="TJQ1379" s="53"/>
      <c r="TJR1379" s="53"/>
      <c r="TJS1379" s="53"/>
      <c r="TJT1379" s="53"/>
      <c r="TJU1379" s="53"/>
      <c r="TJV1379" s="53"/>
      <c r="TJW1379" s="53"/>
      <c r="TJX1379" s="53"/>
      <c r="TJY1379" s="53"/>
      <c r="TJZ1379" s="53"/>
      <c r="TKA1379" s="53"/>
      <c r="TKB1379" s="53"/>
      <c r="TKC1379" s="53"/>
      <c r="TKD1379" s="53"/>
      <c r="TKE1379" s="53"/>
      <c r="TKF1379" s="53"/>
      <c r="TKG1379" s="53"/>
      <c r="TKH1379" s="53"/>
      <c r="TKI1379" s="53"/>
      <c r="TKJ1379" s="53"/>
      <c r="TKK1379" s="53"/>
      <c r="TKL1379" s="53"/>
      <c r="TKM1379" s="53"/>
      <c r="TKN1379" s="53"/>
      <c r="TKO1379" s="53"/>
      <c r="TKP1379" s="53"/>
      <c r="TKQ1379" s="53"/>
      <c r="TKR1379" s="53"/>
      <c r="TKS1379" s="53"/>
      <c r="TKT1379" s="53"/>
      <c r="TKU1379" s="53"/>
      <c r="TKV1379" s="53"/>
      <c r="TKW1379" s="53"/>
      <c r="TKX1379" s="53"/>
      <c r="TKY1379" s="53"/>
      <c r="TKZ1379" s="53"/>
      <c r="TLA1379" s="53"/>
      <c r="TLB1379" s="53"/>
      <c r="TLC1379" s="53"/>
      <c r="TLD1379" s="53"/>
      <c r="TLE1379" s="53"/>
      <c r="TLF1379" s="53"/>
      <c r="TLG1379" s="53"/>
      <c r="TLH1379" s="53"/>
      <c r="TLI1379" s="53"/>
      <c r="TLJ1379" s="53"/>
      <c r="TLK1379" s="53"/>
      <c r="TLL1379" s="53"/>
      <c r="TLM1379" s="53"/>
      <c r="TLN1379" s="53"/>
      <c r="TLO1379" s="53"/>
      <c r="TLP1379" s="53"/>
      <c r="TLQ1379" s="53"/>
      <c r="TLR1379" s="53"/>
      <c r="TLS1379" s="53"/>
      <c r="TLT1379" s="53"/>
      <c r="TLU1379" s="53"/>
      <c r="TLV1379" s="53"/>
      <c r="TLW1379" s="53"/>
      <c r="TLX1379" s="53"/>
      <c r="TLY1379" s="53"/>
      <c r="TLZ1379" s="53"/>
      <c r="TMA1379" s="53"/>
      <c r="TMB1379" s="53"/>
      <c r="TMC1379" s="53"/>
      <c r="TMD1379" s="53"/>
      <c r="TME1379" s="53"/>
      <c r="TMF1379" s="53"/>
      <c r="TMG1379" s="53"/>
      <c r="TMH1379" s="53"/>
      <c r="TMI1379" s="53"/>
      <c r="TMJ1379" s="53"/>
      <c r="TMK1379" s="53"/>
      <c r="TML1379" s="53"/>
      <c r="TMM1379" s="53"/>
      <c r="TMN1379" s="53"/>
      <c r="TMO1379" s="53"/>
      <c r="TMP1379" s="53"/>
      <c r="TMQ1379" s="53"/>
      <c r="TMR1379" s="53"/>
      <c r="TMS1379" s="53"/>
      <c r="TMT1379" s="53"/>
      <c r="TMU1379" s="53"/>
      <c r="TMV1379" s="53"/>
      <c r="TMW1379" s="53"/>
      <c r="TMX1379" s="53"/>
      <c r="TMY1379" s="53"/>
      <c r="TMZ1379" s="53"/>
      <c r="TNA1379" s="53"/>
      <c r="TNB1379" s="53"/>
      <c r="TNC1379" s="53"/>
      <c r="TND1379" s="53"/>
      <c r="TNE1379" s="53"/>
      <c r="TNF1379" s="53"/>
      <c r="TNG1379" s="53"/>
      <c r="TNH1379" s="53"/>
      <c r="TNI1379" s="53"/>
      <c r="TNJ1379" s="53"/>
      <c r="TNK1379" s="53"/>
      <c r="TNL1379" s="53"/>
      <c r="TNM1379" s="53"/>
      <c r="TNN1379" s="53"/>
      <c r="TNO1379" s="53"/>
      <c r="TNP1379" s="53"/>
      <c r="TNQ1379" s="53"/>
      <c r="TNR1379" s="53"/>
      <c r="TNS1379" s="53"/>
      <c r="TNT1379" s="53"/>
      <c r="TNU1379" s="53"/>
      <c r="TNV1379" s="53"/>
      <c r="TNW1379" s="53"/>
      <c r="TNX1379" s="53"/>
      <c r="TNY1379" s="53"/>
      <c r="TNZ1379" s="53"/>
      <c r="TOA1379" s="53"/>
      <c r="TOB1379" s="53"/>
      <c r="TOC1379" s="53"/>
      <c r="TOD1379" s="53"/>
      <c r="TOE1379" s="53"/>
      <c r="TOF1379" s="53"/>
      <c r="TOG1379" s="53"/>
      <c r="TOH1379" s="53"/>
      <c r="TOI1379" s="53"/>
      <c r="TOJ1379" s="53"/>
      <c r="TOK1379" s="53"/>
      <c r="TOL1379" s="53"/>
      <c r="TOM1379" s="53"/>
      <c r="TON1379" s="53"/>
      <c r="TOO1379" s="53"/>
      <c r="TOP1379" s="53"/>
      <c r="TOQ1379" s="53"/>
      <c r="TOR1379" s="53"/>
      <c r="TOS1379" s="53"/>
      <c r="TOT1379" s="53"/>
      <c r="TOU1379" s="53"/>
      <c r="TOV1379" s="53"/>
      <c r="TOW1379" s="53"/>
      <c r="TOX1379" s="53"/>
      <c r="TOY1379" s="53"/>
      <c r="TOZ1379" s="53"/>
      <c r="TPA1379" s="53"/>
      <c r="TPB1379" s="53"/>
      <c r="TPC1379" s="53"/>
      <c r="TPD1379" s="53"/>
      <c r="TPE1379" s="53"/>
      <c r="TPF1379" s="53"/>
      <c r="TPG1379" s="53"/>
      <c r="TPH1379" s="53"/>
      <c r="TPI1379" s="53"/>
      <c r="TPJ1379" s="53"/>
      <c r="TPK1379" s="53"/>
      <c r="TPL1379" s="53"/>
      <c r="TPM1379" s="53"/>
      <c r="TPN1379" s="53"/>
      <c r="TPO1379" s="53"/>
      <c r="TPP1379" s="53"/>
      <c r="TPQ1379" s="53"/>
      <c r="TPR1379" s="53"/>
      <c r="TPS1379" s="53"/>
      <c r="TPT1379" s="53"/>
      <c r="TPU1379" s="53"/>
      <c r="TPV1379" s="53"/>
      <c r="TPW1379" s="53"/>
      <c r="TPX1379" s="53"/>
      <c r="TPY1379" s="53"/>
      <c r="TPZ1379" s="53"/>
      <c r="TQA1379" s="53"/>
      <c r="TQB1379" s="53"/>
      <c r="TQC1379" s="53"/>
      <c r="TQD1379" s="53"/>
      <c r="TQE1379" s="53"/>
      <c r="TQF1379" s="53"/>
      <c r="TQG1379" s="53"/>
      <c r="TQH1379" s="53"/>
      <c r="TQI1379" s="53"/>
      <c r="TQJ1379" s="53"/>
      <c r="TQK1379" s="53"/>
      <c r="TQL1379" s="53"/>
      <c r="TQM1379" s="53"/>
      <c r="TQN1379" s="53"/>
      <c r="TQO1379" s="53"/>
      <c r="TQP1379" s="53"/>
      <c r="TQQ1379" s="53"/>
      <c r="TQR1379" s="53"/>
      <c r="TQS1379" s="53"/>
      <c r="TQT1379" s="53"/>
      <c r="TQU1379" s="53"/>
      <c r="TQV1379" s="53"/>
      <c r="TQW1379" s="53"/>
      <c r="TQX1379" s="53"/>
      <c r="TQY1379" s="53"/>
      <c r="TQZ1379" s="53"/>
      <c r="TRA1379" s="53"/>
      <c r="TRB1379" s="53"/>
      <c r="TRC1379" s="53"/>
      <c r="TRD1379" s="53"/>
      <c r="TRE1379" s="53"/>
      <c r="TRF1379" s="53"/>
      <c r="TRG1379" s="53"/>
      <c r="TRH1379" s="53"/>
      <c r="TRI1379" s="53"/>
      <c r="TRJ1379" s="53"/>
      <c r="TRK1379" s="53"/>
      <c r="TRL1379" s="53"/>
      <c r="TRM1379" s="53"/>
      <c r="TRN1379" s="53"/>
      <c r="TRO1379" s="53"/>
      <c r="TRP1379" s="53"/>
      <c r="TRQ1379" s="53"/>
      <c r="TRR1379" s="53"/>
      <c r="TRS1379" s="53"/>
      <c r="TRT1379" s="53"/>
      <c r="TRU1379" s="53"/>
      <c r="TRV1379" s="53"/>
      <c r="TRW1379" s="53"/>
      <c r="TRX1379" s="53"/>
      <c r="TRY1379" s="53"/>
      <c r="TRZ1379" s="53"/>
      <c r="TSA1379" s="53"/>
      <c r="TSB1379" s="53"/>
      <c r="TSC1379" s="53"/>
      <c r="TSD1379" s="53"/>
      <c r="TSE1379" s="53"/>
      <c r="TSF1379" s="53"/>
      <c r="TSG1379" s="53"/>
      <c r="TSH1379" s="53"/>
      <c r="TSI1379" s="53"/>
      <c r="TSJ1379" s="53"/>
      <c r="TSK1379" s="53"/>
      <c r="TSL1379" s="53"/>
      <c r="TSM1379" s="53"/>
      <c r="TSN1379" s="53"/>
      <c r="TSO1379" s="53"/>
      <c r="TSP1379" s="53"/>
      <c r="TSQ1379" s="53"/>
      <c r="TSR1379" s="53"/>
      <c r="TSS1379" s="53"/>
      <c r="TST1379" s="53"/>
      <c r="TSU1379" s="53"/>
      <c r="TSV1379" s="53"/>
      <c r="TSW1379" s="53"/>
      <c r="TSX1379" s="53"/>
      <c r="TSY1379" s="53"/>
      <c r="TSZ1379" s="53"/>
      <c r="TTA1379" s="53"/>
      <c r="TTB1379" s="53"/>
      <c r="TTC1379" s="53"/>
      <c r="TTD1379" s="53"/>
      <c r="TTE1379" s="53"/>
      <c r="TTF1379" s="53"/>
      <c r="TTG1379" s="53"/>
      <c r="TTH1379" s="53"/>
      <c r="TTI1379" s="53"/>
      <c r="TTJ1379" s="53"/>
      <c r="TTK1379" s="53"/>
      <c r="TTL1379" s="53"/>
      <c r="TTM1379" s="53"/>
      <c r="TTN1379" s="53"/>
      <c r="TTO1379" s="53"/>
      <c r="TTP1379" s="53"/>
      <c r="TTQ1379" s="53"/>
      <c r="TTR1379" s="53"/>
      <c r="TTS1379" s="53"/>
      <c r="TTT1379" s="53"/>
      <c r="TTU1379" s="53"/>
      <c r="TTV1379" s="53"/>
      <c r="TTW1379" s="53"/>
      <c r="TTX1379" s="53"/>
      <c r="TTY1379" s="53"/>
      <c r="TTZ1379" s="53"/>
      <c r="TUA1379" s="53"/>
      <c r="TUB1379" s="53"/>
      <c r="TUC1379" s="53"/>
      <c r="TUD1379" s="53"/>
      <c r="TUE1379" s="53"/>
      <c r="TUF1379" s="53"/>
      <c r="TUG1379" s="53"/>
      <c r="TUH1379" s="53"/>
      <c r="TUI1379" s="53"/>
      <c r="TUJ1379" s="53"/>
      <c r="TUK1379" s="53"/>
      <c r="TUL1379" s="53"/>
      <c r="TUM1379" s="53"/>
      <c r="TUN1379" s="53"/>
      <c r="TUO1379" s="53"/>
      <c r="TUP1379" s="53"/>
      <c r="TUQ1379" s="53"/>
      <c r="TUR1379" s="53"/>
      <c r="TUS1379" s="53"/>
      <c r="TUT1379" s="53"/>
      <c r="TUU1379" s="53"/>
      <c r="TUV1379" s="53"/>
      <c r="TUW1379" s="53"/>
      <c r="TUX1379" s="53"/>
      <c r="TUY1379" s="53"/>
      <c r="TUZ1379" s="53"/>
      <c r="TVA1379" s="53"/>
      <c r="TVB1379" s="53"/>
      <c r="TVC1379" s="53"/>
      <c r="TVD1379" s="53"/>
      <c r="TVE1379" s="53"/>
      <c r="TVF1379" s="53"/>
      <c r="TVG1379" s="53"/>
      <c r="TVH1379" s="53"/>
      <c r="TVI1379" s="53"/>
      <c r="TVJ1379" s="53"/>
      <c r="TVK1379" s="53"/>
      <c r="TVL1379" s="53"/>
      <c r="TVM1379" s="53"/>
      <c r="TVN1379" s="53"/>
      <c r="TVO1379" s="53"/>
      <c r="TVP1379" s="53"/>
      <c r="TVQ1379" s="53"/>
      <c r="TVR1379" s="53"/>
      <c r="TVS1379" s="53"/>
      <c r="TVT1379" s="53"/>
      <c r="TVU1379" s="53"/>
      <c r="TVV1379" s="53"/>
      <c r="TVW1379" s="53"/>
      <c r="TVX1379" s="53"/>
      <c r="TVY1379" s="53"/>
      <c r="TVZ1379" s="53"/>
      <c r="TWA1379" s="53"/>
      <c r="TWB1379" s="53"/>
      <c r="TWC1379" s="53"/>
      <c r="TWD1379" s="53"/>
      <c r="TWE1379" s="53"/>
      <c r="TWF1379" s="53"/>
      <c r="TWG1379" s="53"/>
      <c r="TWH1379" s="53"/>
      <c r="TWI1379" s="53"/>
      <c r="TWJ1379" s="53"/>
      <c r="TWK1379" s="53"/>
      <c r="TWL1379" s="53"/>
      <c r="TWM1379" s="53"/>
      <c r="TWN1379" s="53"/>
      <c r="TWO1379" s="53"/>
      <c r="TWP1379" s="53"/>
      <c r="TWQ1379" s="53"/>
      <c r="TWR1379" s="53"/>
      <c r="TWS1379" s="53"/>
      <c r="TWT1379" s="53"/>
      <c r="TWU1379" s="53"/>
      <c r="TWV1379" s="53"/>
      <c r="TWW1379" s="53"/>
      <c r="TWX1379" s="53"/>
      <c r="TWY1379" s="53"/>
      <c r="TWZ1379" s="53"/>
      <c r="TXA1379" s="53"/>
      <c r="TXB1379" s="53"/>
      <c r="TXC1379" s="53"/>
      <c r="TXD1379" s="53"/>
      <c r="TXE1379" s="53"/>
      <c r="TXF1379" s="53"/>
      <c r="TXG1379" s="53"/>
      <c r="TXH1379" s="53"/>
      <c r="TXI1379" s="53"/>
      <c r="TXJ1379" s="53"/>
      <c r="TXK1379" s="53"/>
      <c r="TXL1379" s="53"/>
      <c r="TXM1379" s="53"/>
      <c r="TXN1379" s="53"/>
      <c r="TXO1379" s="53"/>
      <c r="TXP1379" s="53"/>
      <c r="TXQ1379" s="53"/>
      <c r="TXR1379" s="53"/>
      <c r="TXS1379" s="53"/>
      <c r="TXT1379" s="53"/>
      <c r="TXU1379" s="53"/>
      <c r="TXV1379" s="53"/>
      <c r="TXW1379" s="53"/>
      <c r="TXX1379" s="53"/>
      <c r="TXY1379" s="53"/>
      <c r="TXZ1379" s="53"/>
      <c r="TYA1379" s="53"/>
      <c r="TYB1379" s="53"/>
      <c r="TYC1379" s="53"/>
      <c r="TYD1379" s="53"/>
      <c r="TYE1379" s="53"/>
      <c r="TYF1379" s="53"/>
      <c r="TYG1379" s="53"/>
      <c r="TYH1379" s="53"/>
      <c r="TYI1379" s="53"/>
      <c r="TYJ1379" s="53"/>
      <c r="TYK1379" s="53"/>
      <c r="TYL1379" s="53"/>
      <c r="TYM1379" s="53"/>
      <c r="TYN1379" s="53"/>
      <c r="TYO1379" s="53"/>
      <c r="TYP1379" s="53"/>
      <c r="TYQ1379" s="53"/>
      <c r="TYR1379" s="53"/>
      <c r="TYS1379" s="53"/>
      <c r="TYT1379" s="53"/>
      <c r="TYU1379" s="53"/>
      <c r="TYV1379" s="53"/>
      <c r="TYW1379" s="53"/>
      <c r="TYX1379" s="53"/>
      <c r="TYY1379" s="53"/>
      <c r="TYZ1379" s="53"/>
      <c r="TZA1379" s="53"/>
      <c r="TZB1379" s="53"/>
      <c r="TZC1379" s="53"/>
      <c r="TZD1379" s="53"/>
      <c r="TZE1379" s="53"/>
      <c r="TZF1379" s="53"/>
      <c r="TZG1379" s="53"/>
      <c r="TZH1379" s="53"/>
      <c r="TZI1379" s="53"/>
      <c r="TZJ1379" s="53"/>
      <c r="TZK1379" s="53"/>
      <c r="TZL1379" s="53"/>
      <c r="TZM1379" s="53"/>
      <c r="TZN1379" s="53"/>
      <c r="TZO1379" s="53"/>
      <c r="TZP1379" s="53"/>
      <c r="TZQ1379" s="53"/>
      <c r="TZR1379" s="53"/>
      <c r="TZS1379" s="53"/>
      <c r="TZT1379" s="53"/>
      <c r="TZU1379" s="53"/>
      <c r="TZV1379" s="53"/>
      <c r="TZW1379" s="53"/>
      <c r="TZX1379" s="53"/>
      <c r="TZY1379" s="53"/>
      <c r="TZZ1379" s="53"/>
      <c r="UAA1379" s="53"/>
      <c r="UAB1379" s="53"/>
      <c r="UAC1379" s="53"/>
      <c r="UAD1379" s="53"/>
      <c r="UAE1379" s="53"/>
      <c r="UAF1379" s="53"/>
      <c r="UAG1379" s="53"/>
      <c r="UAH1379" s="53"/>
      <c r="UAI1379" s="53"/>
      <c r="UAJ1379" s="53"/>
      <c r="UAK1379" s="53"/>
      <c r="UAL1379" s="53"/>
      <c r="UAM1379" s="53"/>
      <c r="UAN1379" s="53"/>
      <c r="UAO1379" s="53"/>
      <c r="UAP1379" s="53"/>
      <c r="UAQ1379" s="53"/>
      <c r="UAR1379" s="53"/>
      <c r="UAS1379" s="53"/>
      <c r="UAT1379" s="53"/>
      <c r="UAU1379" s="53"/>
      <c r="UAV1379" s="53"/>
      <c r="UAW1379" s="53"/>
      <c r="UAX1379" s="53"/>
      <c r="UAY1379" s="53"/>
      <c r="UAZ1379" s="53"/>
      <c r="UBA1379" s="53"/>
      <c r="UBB1379" s="53"/>
      <c r="UBC1379" s="53"/>
      <c r="UBD1379" s="53"/>
      <c r="UBE1379" s="53"/>
      <c r="UBF1379" s="53"/>
      <c r="UBG1379" s="53"/>
      <c r="UBH1379" s="53"/>
      <c r="UBI1379" s="53"/>
      <c r="UBJ1379" s="53"/>
      <c r="UBK1379" s="53"/>
      <c r="UBL1379" s="53"/>
      <c r="UBM1379" s="53"/>
      <c r="UBN1379" s="53"/>
      <c r="UBO1379" s="53"/>
      <c r="UBP1379" s="53"/>
      <c r="UBQ1379" s="53"/>
      <c r="UBR1379" s="53"/>
      <c r="UBS1379" s="53"/>
      <c r="UBT1379" s="53"/>
      <c r="UBU1379" s="53"/>
      <c r="UBV1379" s="53"/>
      <c r="UBW1379" s="53"/>
      <c r="UBX1379" s="53"/>
      <c r="UBY1379" s="53"/>
      <c r="UBZ1379" s="53"/>
      <c r="UCA1379" s="53"/>
      <c r="UCB1379" s="53"/>
      <c r="UCC1379" s="53"/>
      <c r="UCD1379" s="53"/>
      <c r="UCE1379" s="53"/>
      <c r="UCF1379" s="53"/>
      <c r="UCG1379" s="53"/>
      <c r="UCH1379" s="53"/>
      <c r="UCI1379" s="53"/>
      <c r="UCJ1379" s="53"/>
      <c r="UCK1379" s="53"/>
      <c r="UCL1379" s="53"/>
      <c r="UCM1379" s="53"/>
      <c r="UCN1379" s="53"/>
      <c r="UCO1379" s="53"/>
      <c r="UCP1379" s="53"/>
      <c r="UCQ1379" s="53"/>
      <c r="UCR1379" s="53"/>
      <c r="UCS1379" s="53"/>
      <c r="UCT1379" s="53"/>
      <c r="UCU1379" s="53"/>
      <c r="UCV1379" s="53"/>
      <c r="UCW1379" s="53"/>
      <c r="UCX1379" s="53"/>
      <c r="UCY1379" s="53"/>
      <c r="UCZ1379" s="53"/>
      <c r="UDA1379" s="53"/>
      <c r="UDB1379" s="53"/>
      <c r="UDC1379" s="53"/>
      <c r="UDD1379" s="53"/>
      <c r="UDE1379" s="53"/>
      <c r="UDF1379" s="53"/>
      <c r="UDG1379" s="53"/>
      <c r="UDH1379" s="53"/>
      <c r="UDI1379" s="53"/>
      <c r="UDJ1379" s="53"/>
      <c r="UDK1379" s="53"/>
      <c r="UDL1379" s="53"/>
      <c r="UDM1379" s="53"/>
      <c r="UDN1379" s="53"/>
      <c r="UDO1379" s="53"/>
      <c r="UDP1379" s="53"/>
      <c r="UDQ1379" s="53"/>
      <c r="UDR1379" s="53"/>
      <c r="UDS1379" s="53"/>
      <c r="UDT1379" s="53"/>
      <c r="UDU1379" s="53"/>
      <c r="UDV1379" s="53"/>
      <c r="UDW1379" s="53"/>
      <c r="UDX1379" s="53"/>
      <c r="UDY1379" s="53"/>
      <c r="UDZ1379" s="53"/>
      <c r="UEA1379" s="53"/>
      <c r="UEB1379" s="53"/>
      <c r="UEC1379" s="53"/>
      <c r="UED1379" s="53"/>
      <c r="UEE1379" s="53"/>
      <c r="UEF1379" s="53"/>
      <c r="UEG1379" s="53"/>
      <c r="UEH1379" s="53"/>
      <c r="UEI1379" s="53"/>
      <c r="UEJ1379" s="53"/>
      <c r="UEK1379" s="53"/>
      <c r="UEL1379" s="53"/>
      <c r="UEM1379" s="53"/>
      <c r="UEN1379" s="53"/>
      <c r="UEO1379" s="53"/>
      <c r="UEP1379" s="53"/>
      <c r="UEQ1379" s="53"/>
      <c r="UER1379" s="53"/>
      <c r="UES1379" s="53"/>
      <c r="UET1379" s="53"/>
      <c r="UEU1379" s="53"/>
      <c r="UEV1379" s="53"/>
      <c r="UEW1379" s="53"/>
      <c r="UEX1379" s="53"/>
      <c r="UEY1379" s="53"/>
      <c r="UEZ1379" s="53"/>
      <c r="UFA1379" s="53"/>
      <c r="UFB1379" s="53"/>
      <c r="UFC1379" s="53"/>
      <c r="UFD1379" s="53"/>
      <c r="UFE1379" s="53"/>
      <c r="UFF1379" s="53"/>
      <c r="UFG1379" s="53"/>
      <c r="UFH1379" s="53"/>
      <c r="UFI1379" s="53"/>
      <c r="UFJ1379" s="53"/>
      <c r="UFK1379" s="53"/>
      <c r="UFL1379" s="53"/>
      <c r="UFM1379" s="53"/>
      <c r="UFN1379" s="53"/>
      <c r="UFO1379" s="53"/>
      <c r="UFP1379" s="53"/>
      <c r="UFQ1379" s="53"/>
      <c r="UFR1379" s="53"/>
      <c r="UFS1379" s="53"/>
      <c r="UFT1379" s="53"/>
      <c r="UFU1379" s="53"/>
      <c r="UFV1379" s="53"/>
      <c r="UFW1379" s="53"/>
      <c r="UFX1379" s="53"/>
      <c r="UFY1379" s="53"/>
      <c r="UFZ1379" s="53"/>
      <c r="UGA1379" s="53"/>
      <c r="UGB1379" s="53"/>
      <c r="UGC1379" s="53"/>
      <c r="UGD1379" s="53"/>
      <c r="UGE1379" s="53"/>
      <c r="UGF1379" s="53"/>
      <c r="UGG1379" s="53"/>
      <c r="UGH1379" s="53"/>
      <c r="UGI1379" s="53"/>
      <c r="UGJ1379" s="53"/>
      <c r="UGK1379" s="53"/>
      <c r="UGL1379" s="53"/>
      <c r="UGM1379" s="53"/>
      <c r="UGN1379" s="53"/>
      <c r="UGO1379" s="53"/>
      <c r="UGP1379" s="53"/>
      <c r="UGQ1379" s="53"/>
      <c r="UGR1379" s="53"/>
      <c r="UGS1379" s="53"/>
      <c r="UGT1379" s="53"/>
      <c r="UGU1379" s="53"/>
      <c r="UGV1379" s="53"/>
      <c r="UGW1379" s="53"/>
      <c r="UGX1379" s="53"/>
      <c r="UGY1379" s="53"/>
      <c r="UGZ1379" s="53"/>
      <c r="UHA1379" s="53"/>
      <c r="UHB1379" s="53"/>
      <c r="UHC1379" s="53"/>
      <c r="UHD1379" s="53"/>
      <c r="UHE1379" s="53"/>
      <c r="UHF1379" s="53"/>
      <c r="UHG1379" s="53"/>
      <c r="UHH1379" s="53"/>
      <c r="UHI1379" s="53"/>
      <c r="UHJ1379" s="53"/>
      <c r="UHK1379" s="53"/>
      <c r="UHL1379" s="53"/>
      <c r="UHM1379" s="53"/>
      <c r="UHN1379" s="53"/>
      <c r="UHO1379" s="53"/>
      <c r="UHP1379" s="53"/>
      <c r="UHQ1379" s="53"/>
      <c r="UHR1379" s="53"/>
      <c r="UHS1379" s="53"/>
      <c r="UHT1379" s="53"/>
      <c r="UHU1379" s="53"/>
      <c r="UHV1379" s="53"/>
      <c r="UHW1379" s="53"/>
      <c r="UHX1379" s="53"/>
      <c r="UHY1379" s="53"/>
      <c r="UHZ1379" s="53"/>
      <c r="UIA1379" s="53"/>
      <c r="UIB1379" s="53"/>
      <c r="UIC1379" s="53"/>
      <c r="UID1379" s="53"/>
      <c r="UIE1379" s="53"/>
      <c r="UIF1379" s="53"/>
      <c r="UIG1379" s="53"/>
      <c r="UIH1379" s="53"/>
      <c r="UII1379" s="53"/>
      <c r="UIJ1379" s="53"/>
      <c r="UIK1379" s="53"/>
      <c r="UIL1379" s="53"/>
      <c r="UIM1379" s="53"/>
      <c r="UIN1379" s="53"/>
      <c r="UIO1379" s="53"/>
      <c r="UIP1379" s="53"/>
      <c r="UIQ1379" s="53"/>
      <c r="UIR1379" s="53"/>
      <c r="UIS1379" s="53"/>
      <c r="UIT1379" s="53"/>
      <c r="UIU1379" s="53"/>
      <c r="UIV1379" s="53"/>
      <c r="UIW1379" s="53"/>
      <c r="UIX1379" s="53"/>
      <c r="UIY1379" s="53"/>
      <c r="UIZ1379" s="53"/>
      <c r="UJA1379" s="53"/>
      <c r="UJB1379" s="53"/>
      <c r="UJC1379" s="53"/>
      <c r="UJD1379" s="53"/>
      <c r="UJE1379" s="53"/>
      <c r="UJF1379" s="53"/>
      <c r="UJG1379" s="53"/>
      <c r="UJH1379" s="53"/>
      <c r="UJI1379" s="53"/>
      <c r="UJJ1379" s="53"/>
      <c r="UJK1379" s="53"/>
      <c r="UJL1379" s="53"/>
      <c r="UJM1379" s="53"/>
      <c r="UJN1379" s="53"/>
      <c r="UJO1379" s="53"/>
      <c r="UJP1379" s="53"/>
      <c r="UJQ1379" s="53"/>
      <c r="UJR1379" s="53"/>
      <c r="UJS1379" s="53"/>
      <c r="UJT1379" s="53"/>
      <c r="UJU1379" s="53"/>
      <c r="UJV1379" s="53"/>
      <c r="UJW1379" s="53"/>
      <c r="UJX1379" s="53"/>
      <c r="UJY1379" s="53"/>
      <c r="UJZ1379" s="53"/>
      <c r="UKA1379" s="53"/>
      <c r="UKB1379" s="53"/>
      <c r="UKC1379" s="53"/>
      <c r="UKD1379" s="53"/>
      <c r="UKE1379" s="53"/>
      <c r="UKF1379" s="53"/>
      <c r="UKG1379" s="53"/>
      <c r="UKH1379" s="53"/>
      <c r="UKI1379" s="53"/>
      <c r="UKJ1379" s="53"/>
      <c r="UKK1379" s="53"/>
      <c r="UKL1379" s="53"/>
      <c r="UKM1379" s="53"/>
      <c r="UKN1379" s="53"/>
      <c r="UKO1379" s="53"/>
      <c r="UKP1379" s="53"/>
      <c r="UKQ1379" s="53"/>
      <c r="UKR1379" s="53"/>
      <c r="UKS1379" s="53"/>
      <c r="UKT1379" s="53"/>
      <c r="UKU1379" s="53"/>
      <c r="UKV1379" s="53"/>
      <c r="UKW1379" s="53"/>
      <c r="UKX1379" s="53"/>
      <c r="UKY1379" s="53"/>
      <c r="UKZ1379" s="53"/>
      <c r="ULA1379" s="53"/>
      <c r="ULB1379" s="53"/>
      <c r="ULC1379" s="53"/>
      <c r="ULD1379" s="53"/>
      <c r="ULE1379" s="53"/>
      <c r="ULF1379" s="53"/>
      <c r="ULG1379" s="53"/>
      <c r="ULH1379" s="53"/>
      <c r="ULI1379" s="53"/>
      <c r="ULJ1379" s="53"/>
      <c r="ULK1379" s="53"/>
      <c r="ULL1379" s="53"/>
      <c r="ULM1379" s="53"/>
      <c r="ULN1379" s="53"/>
      <c r="ULO1379" s="53"/>
      <c r="ULP1379" s="53"/>
      <c r="ULQ1379" s="53"/>
      <c r="ULR1379" s="53"/>
      <c r="ULS1379" s="53"/>
      <c r="ULT1379" s="53"/>
      <c r="ULU1379" s="53"/>
      <c r="ULV1379" s="53"/>
      <c r="ULW1379" s="53"/>
      <c r="ULX1379" s="53"/>
      <c r="ULY1379" s="53"/>
      <c r="ULZ1379" s="53"/>
      <c r="UMA1379" s="53"/>
      <c r="UMB1379" s="53"/>
      <c r="UMC1379" s="53"/>
      <c r="UMD1379" s="53"/>
      <c r="UME1379" s="53"/>
      <c r="UMF1379" s="53"/>
      <c r="UMG1379" s="53"/>
      <c r="UMH1379" s="53"/>
      <c r="UMI1379" s="53"/>
      <c r="UMJ1379" s="53"/>
      <c r="UMK1379" s="53"/>
      <c r="UML1379" s="53"/>
      <c r="UMM1379" s="53"/>
      <c r="UMN1379" s="53"/>
      <c r="UMO1379" s="53"/>
      <c r="UMP1379" s="53"/>
      <c r="UMQ1379" s="53"/>
      <c r="UMR1379" s="53"/>
      <c r="UMS1379" s="53"/>
      <c r="UMT1379" s="53"/>
      <c r="UMU1379" s="53"/>
      <c r="UMV1379" s="53"/>
      <c r="UMW1379" s="53"/>
      <c r="UMX1379" s="53"/>
      <c r="UMY1379" s="53"/>
      <c r="UMZ1379" s="53"/>
      <c r="UNA1379" s="53"/>
      <c r="UNB1379" s="53"/>
      <c r="UNC1379" s="53"/>
      <c r="UND1379" s="53"/>
      <c r="UNE1379" s="53"/>
      <c r="UNF1379" s="53"/>
      <c r="UNG1379" s="53"/>
      <c r="UNH1379" s="53"/>
      <c r="UNI1379" s="53"/>
      <c r="UNJ1379" s="53"/>
      <c r="UNK1379" s="53"/>
      <c r="UNL1379" s="53"/>
      <c r="UNM1379" s="53"/>
      <c r="UNN1379" s="53"/>
      <c r="UNO1379" s="53"/>
      <c r="UNP1379" s="53"/>
      <c r="UNQ1379" s="53"/>
      <c r="UNR1379" s="53"/>
      <c r="UNS1379" s="53"/>
      <c r="UNT1379" s="53"/>
      <c r="UNU1379" s="53"/>
      <c r="UNV1379" s="53"/>
      <c r="UNW1379" s="53"/>
      <c r="UNX1379" s="53"/>
      <c r="UNY1379" s="53"/>
      <c r="UNZ1379" s="53"/>
      <c r="UOA1379" s="53"/>
      <c r="UOB1379" s="53"/>
      <c r="UOC1379" s="53"/>
      <c r="UOD1379" s="53"/>
      <c r="UOE1379" s="53"/>
      <c r="UOF1379" s="53"/>
      <c r="UOG1379" s="53"/>
      <c r="UOH1379" s="53"/>
      <c r="UOI1379" s="53"/>
      <c r="UOJ1379" s="53"/>
      <c r="UOK1379" s="53"/>
      <c r="UOL1379" s="53"/>
      <c r="UOM1379" s="53"/>
      <c r="UON1379" s="53"/>
      <c r="UOO1379" s="53"/>
      <c r="UOP1379" s="53"/>
      <c r="UOQ1379" s="53"/>
      <c r="UOR1379" s="53"/>
      <c r="UOS1379" s="53"/>
      <c r="UOT1379" s="53"/>
      <c r="UOU1379" s="53"/>
      <c r="UOV1379" s="53"/>
      <c r="UOW1379" s="53"/>
      <c r="UOX1379" s="53"/>
      <c r="UOY1379" s="53"/>
      <c r="UOZ1379" s="53"/>
      <c r="UPA1379" s="53"/>
      <c r="UPB1379" s="53"/>
      <c r="UPC1379" s="53"/>
      <c r="UPD1379" s="53"/>
      <c r="UPE1379" s="53"/>
      <c r="UPF1379" s="53"/>
      <c r="UPG1379" s="53"/>
      <c r="UPH1379" s="53"/>
      <c r="UPI1379" s="53"/>
      <c r="UPJ1379" s="53"/>
      <c r="UPK1379" s="53"/>
      <c r="UPL1379" s="53"/>
      <c r="UPM1379" s="53"/>
      <c r="UPN1379" s="53"/>
      <c r="UPO1379" s="53"/>
      <c r="UPP1379" s="53"/>
      <c r="UPQ1379" s="53"/>
      <c r="UPR1379" s="53"/>
      <c r="UPS1379" s="53"/>
      <c r="UPT1379" s="53"/>
      <c r="UPU1379" s="53"/>
      <c r="UPV1379" s="53"/>
      <c r="UPW1379" s="53"/>
      <c r="UPX1379" s="53"/>
      <c r="UPY1379" s="53"/>
      <c r="UPZ1379" s="53"/>
      <c r="UQA1379" s="53"/>
      <c r="UQB1379" s="53"/>
      <c r="UQC1379" s="53"/>
      <c r="UQD1379" s="53"/>
      <c r="UQE1379" s="53"/>
      <c r="UQF1379" s="53"/>
      <c r="UQG1379" s="53"/>
      <c r="UQH1379" s="53"/>
      <c r="UQI1379" s="53"/>
      <c r="UQJ1379" s="53"/>
      <c r="UQK1379" s="53"/>
      <c r="UQL1379" s="53"/>
      <c r="UQM1379" s="53"/>
      <c r="UQN1379" s="53"/>
      <c r="UQO1379" s="53"/>
      <c r="UQP1379" s="53"/>
      <c r="UQQ1379" s="53"/>
      <c r="UQR1379" s="53"/>
      <c r="UQS1379" s="53"/>
      <c r="UQT1379" s="53"/>
      <c r="UQU1379" s="53"/>
      <c r="UQV1379" s="53"/>
      <c r="UQW1379" s="53"/>
      <c r="UQX1379" s="53"/>
      <c r="UQY1379" s="53"/>
      <c r="UQZ1379" s="53"/>
      <c r="URA1379" s="53"/>
      <c r="URB1379" s="53"/>
      <c r="URC1379" s="53"/>
      <c r="URD1379" s="53"/>
      <c r="URE1379" s="53"/>
      <c r="URF1379" s="53"/>
      <c r="URG1379" s="53"/>
      <c r="URH1379" s="53"/>
      <c r="URI1379" s="53"/>
      <c r="URJ1379" s="53"/>
      <c r="URK1379" s="53"/>
      <c r="URL1379" s="53"/>
      <c r="URM1379" s="53"/>
      <c r="URN1379" s="53"/>
      <c r="URO1379" s="53"/>
      <c r="URP1379" s="53"/>
      <c r="URQ1379" s="53"/>
      <c r="URR1379" s="53"/>
      <c r="URS1379" s="53"/>
      <c r="URT1379" s="53"/>
      <c r="URU1379" s="53"/>
      <c r="URV1379" s="53"/>
      <c r="URW1379" s="53"/>
      <c r="URX1379" s="53"/>
      <c r="URY1379" s="53"/>
      <c r="URZ1379" s="53"/>
      <c r="USA1379" s="53"/>
      <c r="USB1379" s="53"/>
      <c r="USC1379" s="53"/>
      <c r="USD1379" s="53"/>
      <c r="USE1379" s="53"/>
      <c r="USF1379" s="53"/>
      <c r="USG1379" s="53"/>
      <c r="USH1379" s="53"/>
      <c r="USI1379" s="53"/>
      <c r="USJ1379" s="53"/>
      <c r="USK1379" s="53"/>
      <c r="USL1379" s="53"/>
      <c r="USM1379" s="53"/>
      <c r="USN1379" s="53"/>
      <c r="USO1379" s="53"/>
      <c r="USP1379" s="53"/>
      <c r="USQ1379" s="53"/>
      <c r="USR1379" s="53"/>
      <c r="USS1379" s="53"/>
      <c r="UST1379" s="53"/>
      <c r="USU1379" s="53"/>
      <c r="USV1379" s="53"/>
      <c r="USW1379" s="53"/>
      <c r="USX1379" s="53"/>
      <c r="USY1379" s="53"/>
      <c r="USZ1379" s="53"/>
      <c r="UTA1379" s="53"/>
      <c r="UTB1379" s="53"/>
      <c r="UTC1379" s="53"/>
      <c r="UTD1379" s="53"/>
      <c r="UTE1379" s="53"/>
      <c r="UTF1379" s="53"/>
      <c r="UTG1379" s="53"/>
      <c r="UTH1379" s="53"/>
      <c r="UTI1379" s="53"/>
      <c r="UTJ1379" s="53"/>
      <c r="UTK1379" s="53"/>
      <c r="UTL1379" s="53"/>
      <c r="UTM1379" s="53"/>
      <c r="UTN1379" s="53"/>
      <c r="UTO1379" s="53"/>
      <c r="UTP1379" s="53"/>
      <c r="UTQ1379" s="53"/>
      <c r="UTR1379" s="53"/>
      <c r="UTS1379" s="53"/>
      <c r="UTT1379" s="53"/>
      <c r="UTU1379" s="53"/>
      <c r="UTV1379" s="53"/>
      <c r="UTW1379" s="53"/>
      <c r="UTX1379" s="53"/>
      <c r="UTY1379" s="53"/>
      <c r="UTZ1379" s="53"/>
      <c r="UUA1379" s="53"/>
      <c r="UUB1379" s="53"/>
      <c r="UUC1379" s="53"/>
      <c r="UUD1379" s="53"/>
      <c r="UUE1379" s="53"/>
      <c r="UUF1379" s="53"/>
      <c r="UUG1379" s="53"/>
      <c r="UUH1379" s="53"/>
      <c r="UUI1379" s="53"/>
      <c r="UUJ1379" s="53"/>
      <c r="UUK1379" s="53"/>
      <c r="UUL1379" s="53"/>
      <c r="UUM1379" s="53"/>
      <c r="UUN1379" s="53"/>
      <c r="UUO1379" s="53"/>
      <c r="UUP1379" s="53"/>
      <c r="UUQ1379" s="53"/>
      <c r="UUR1379" s="53"/>
      <c r="UUS1379" s="53"/>
      <c r="UUT1379" s="53"/>
      <c r="UUU1379" s="53"/>
      <c r="UUV1379" s="53"/>
      <c r="UUW1379" s="53"/>
      <c r="UUX1379" s="53"/>
      <c r="UUY1379" s="53"/>
      <c r="UUZ1379" s="53"/>
      <c r="UVA1379" s="53"/>
      <c r="UVB1379" s="53"/>
      <c r="UVC1379" s="53"/>
      <c r="UVD1379" s="53"/>
      <c r="UVE1379" s="53"/>
      <c r="UVF1379" s="53"/>
      <c r="UVG1379" s="53"/>
      <c r="UVH1379" s="53"/>
      <c r="UVI1379" s="53"/>
      <c r="UVJ1379" s="53"/>
      <c r="UVK1379" s="53"/>
      <c r="UVL1379" s="53"/>
      <c r="UVM1379" s="53"/>
      <c r="UVN1379" s="53"/>
      <c r="UVO1379" s="53"/>
      <c r="UVP1379" s="53"/>
      <c r="UVQ1379" s="53"/>
      <c r="UVR1379" s="53"/>
      <c r="UVS1379" s="53"/>
      <c r="UVT1379" s="53"/>
      <c r="UVU1379" s="53"/>
      <c r="UVV1379" s="53"/>
      <c r="UVW1379" s="53"/>
      <c r="UVX1379" s="53"/>
      <c r="UVY1379" s="53"/>
      <c r="UVZ1379" s="53"/>
      <c r="UWA1379" s="53"/>
      <c r="UWB1379" s="53"/>
      <c r="UWC1379" s="53"/>
      <c r="UWD1379" s="53"/>
      <c r="UWE1379" s="53"/>
      <c r="UWF1379" s="53"/>
      <c r="UWG1379" s="53"/>
      <c r="UWH1379" s="53"/>
      <c r="UWI1379" s="53"/>
      <c r="UWJ1379" s="53"/>
      <c r="UWK1379" s="53"/>
      <c r="UWL1379" s="53"/>
      <c r="UWM1379" s="53"/>
      <c r="UWN1379" s="53"/>
      <c r="UWO1379" s="53"/>
      <c r="UWP1379" s="53"/>
      <c r="UWQ1379" s="53"/>
      <c r="UWR1379" s="53"/>
      <c r="UWS1379" s="53"/>
      <c r="UWT1379" s="53"/>
      <c r="UWU1379" s="53"/>
      <c r="UWV1379" s="53"/>
      <c r="UWW1379" s="53"/>
      <c r="UWX1379" s="53"/>
      <c r="UWY1379" s="53"/>
      <c r="UWZ1379" s="53"/>
      <c r="UXA1379" s="53"/>
      <c r="UXB1379" s="53"/>
      <c r="UXC1379" s="53"/>
      <c r="UXD1379" s="53"/>
      <c r="UXE1379" s="53"/>
      <c r="UXF1379" s="53"/>
      <c r="UXG1379" s="53"/>
      <c r="UXH1379" s="53"/>
      <c r="UXI1379" s="53"/>
      <c r="UXJ1379" s="53"/>
      <c r="UXK1379" s="53"/>
      <c r="UXL1379" s="53"/>
      <c r="UXM1379" s="53"/>
      <c r="UXN1379" s="53"/>
      <c r="UXO1379" s="53"/>
      <c r="UXP1379" s="53"/>
      <c r="UXQ1379" s="53"/>
      <c r="UXR1379" s="53"/>
      <c r="UXS1379" s="53"/>
      <c r="UXT1379" s="53"/>
      <c r="UXU1379" s="53"/>
      <c r="UXV1379" s="53"/>
      <c r="UXW1379" s="53"/>
      <c r="UXX1379" s="53"/>
      <c r="UXY1379" s="53"/>
      <c r="UXZ1379" s="53"/>
      <c r="UYA1379" s="53"/>
      <c r="UYB1379" s="53"/>
      <c r="UYC1379" s="53"/>
      <c r="UYD1379" s="53"/>
      <c r="UYE1379" s="53"/>
      <c r="UYF1379" s="53"/>
      <c r="UYG1379" s="53"/>
      <c r="UYH1379" s="53"/>
      <c r="UYI1379" s="53"/>
      <c r="UYJ1379" s="53"/>
      <c r="UYK1379" s="53"/>
      <c r="UYL1379" s="53"/>
      <c r="UYM1379" s="53"/>
      <c r="UYN1379" s="53"/>
      <c r="UYO1379" s="53"/>
      <c r="UYP1379" s="53"/>
      <c r="UYQ1379" s="53"/>
      <c r="UYR1379" s="53"/>
      <c r="UYS1379" s="53"/>
      <c r="UYT1379" s="53"/>
      <c r="UYU1379" s="53"/>
      <c r="UYV1379" s="53"/>
      <c r="UYW1379" s="53"/>
      <c r="UYX1379" s="53"/>
      <c r="UYY1379" s="53"/>
      <c r="UYZ1379" s="53"/>
      <c r="UZA1379" s="53"/>
      <c r="UZB1379" s="53"/>
      <c r="UZC1379" s="53"/>
      <c r="UZD1379" s="53"/>
      <c r="UZE1379" s="53"/>
      <c r="UZF1379" s="53"/>
      <c r="UZG1379" s="53"/>
      <c r="UZH1379" s="53"/>
      <c r="UZI1379" s="53"/>
      <c r="UZJ1379" s="53"/>
      <c r="UZK1379" s="53"/>
      <c r="UZL1379" s="53"/>
      <c r="UZM1379" s="53"/>
      <c r="UZN1379" s="53"/>
      <c r="UZO1379" s="53"/>
      <c r="UZP1379" s="53"/>
      <c r="UZQ1379" s="53"/>
      <c r="UZR1379" s="53"/>
      <c r="UZS1379" s="53"/>
      <c r="UZT1379" s="53"/>
      <c r="UZU1379" s="53"/>
      <c r="UZV1379" s="53"/>
      <c r="UZW1379" s="53"/>
      <c r="UZX1379" s="53"/>
      <c r="UZY1379" s="53"/>
      <c r="UZZ1379" s="53"/>
      <c r="VAA1379" s="53"/>
      <c r="VAB1379" s="53"/>
      <c r="VAC1379" s="53"/>
      <c r="VAD1379" s="53"/>
      <c r="VAE1379" s="53"/>
      <c r="VAF1379" s="53"/>
      <c r="VAG1379" s="53"/>
      <c r="VAH1379" s="53"/>
      <c r="VAI1379" s="53"/>
      <c r="VAJ1379" s="53"/>
      <c r="VAK1379" s="53"/>
      <c r="VAL1379" s="53"/>
      <c r="VAM1379" s="53"/>
      <c r="VAN1379" s="53"/>
      <c r="VAO1379" s="53"/>
      <c r="VAP1379" s="53"/>
      <c r="VAQ1379" s="53"/>
      <c r="VAR1379" s="53"/>
      <c r="VAS1379" s="53"/>
      <c r="VAT1379" s="53"/>
      <c r="VAU1379" s="53"/>
      <c r="VAV1379" s="53"/>
      <c r="VAW1379" s="53"/>
      <c r="VAX1379" s="53"/>
      <c r="VAY1379" s="53"/>
      <c r="VAZ1379" s="53"/>
      <c r="VBA1379" s="53"/>
      <c r="VBB1379" s="53"/>
      <c r="VBC1379" s="53"/>
      <c r="VBD1379" s="53"/>
      <c r="VBE1379" s="53"/>
      <c r="VBF1379" s="53"/>
      <c r="VBG1379" s="53"/>
      <c r="VBH1379" s="53"/>
      <c r="VBI1379" s="53"/>
      <c r="VBJ1379" s="53"/>
      <c r="VBK1379" s="53"/>
      <c r="VBL1379" s="53"/>
      <c r="VBM1379" s="53"/>
      <c r="VBN1379" s="53"/>
      <c r="VBO1379" s="53"/>
      <c r="VBP1379" s="53"/>
      <c r="VBQ1379" s="53"/>
      <c r="VBR1379" s="53"/>
      <c r="VBS1379" s="53"/>
      <c r="VBT1379" s="53"/>
      <c r="VBU1379" s="53"/>
      <c r="VBV1379" s="53"/>
      <c r="VBW1379" s="53"/>
      <c r="VBX1379" s="53"/>
      <c r="VBY1379" s="53"/>
      <c r="VBZ1379" s="53"/>
      <c r="VCA1379" s="53"/>
      <c r="VCB1379" s="53"/>
      <c r="VCC1379" s="53"/>
      <c r="VCD1379" s="53"/>
      <c r="VCE1379" s="53"/>
      <c r="VCF1379" s="53"/>
      <c r="VCG1379" s="53"/>
      <c r="VCH1379" s="53"/>
      <c r="VCI1379" s="53"/>
      <c r="VCJ1379" s="53"/>
      <c r="VCK1379" s="53"/>
      <c r="VCL1379" s="53"/>
      <c r="VCM1379" s="53"/>
      <c r="VCN1379" s="53"/>
      <c r="VCO1379" s="53"/>
      <c r="VCP1379" s="53"/>
      <c r="VCQ1379" s="53"/>
      <c r="VCR1379" s="53"/>
      <c r="VCS1379" s="53"/>
      <c r="VCT1379" s="53"/>
      <c r="VCU1379" s="53"/>
      <c r="VCV1379" s="53"/>
      <c r="VCW1379" s="53"/>
      <c r="VCX1379" s="53"/>
      <c r="VCY1379" s="53"/>
      <c r="VCZ1379" s="53"/>
      <c r="VDA1379" s="53"/>
      <c r="VDB1379" s="53"/>
      <c r="VDC1379" s="53"/>
      <c r="VDD1379" s="53"/>
      <c r="VDE1379" s="53"/>
      <c r="VDF1379" s="53"/>
      <c r="VDG1379" s="53"/>
      <c r="VDH1379" s="53"/>
      <c r="VDI1379" s="53"/>
      <c r="VDJ1379" s="53"/>
      <c r="VDK1379" s="53"/>
      <c r="VDL1379" s="53"/>
      <c r="VDM1379" s="53"/>
      <c r="VDN1379" s="53"/>
      <c r="VDO1379" s="53"/>
      <c r="VDP1379" s="53"/>
      <c r="VDQ1379" s="53"/>
      <c r="VDR1379" s="53"/>
      <c r="VDS1379" s="53"/>
      <c r="VDT1379" s="53"/>
      <c r="VDU1379" s="53"/>
      <c r="VDV1379" s="53"/>
      <c r="VDW1379" s="53"/>
      <c r="VDX1379" s="53"/>
      <c r="VDY1379" s="53"/>
      <c r="VDZ1379" s="53"/>
      <c r="VEA1379" s="53"/>
      <c r="VEB1379" s="53"/>
      <c r="VEC1379" s="53"/>
      <c r="VED1379" s="53"/>
      <c r="VEE1379" s="53"/>
      <c r="VEF1379" s="53"/>
      <c r="VEG1379" s="53"/>
      <c r="VEH1379" s="53"/>
      <c r="VEI1379" s="53"/>
      <c r="VEJ1379" s="53"/>
      <c r="VEK1379" s="53"/>
      <c r="VEL1379" s="53"/>
      <c r="VEM1379" s="53"/>
      <c r="VEN1379" s="53"/>
      <c r="VEO1379" s="53"/>
      <c r="VEP1379" s="53"/>
      <c r="VEQ1379" s="53"/>
      <c r="VER1379" s="53"/>
      <c r="VES1379" s="53"/>
      <c r="VET1379" s="53"/>
      <c r="VEU1379" s="53"/>
      <c r="VEV1379" s="53"/>
      <c r="VEW1379" s="53"/>
      <c r="VEX1379" s="53"/>
      <c r="VEY1379" s="53"/>
      <c r="VEZ1379" s="53"/>
      <c r="VFA1379" s="53"/>
      <c r="VFB1379" s="53"/>
      <c r="VFC1379" s="53"/>
      <c r="VFD1379" s="53"/>
      <c r="VFE1379" s="53"/>
      <c r="VFF1379" s="53"/>
      <c r="VFG1379" s="53"/>
      <c r="VFH1379" s="53"/>
      <c r="VFI1379" s="53"/>
      <c r="VFJ1379" s="53"/>
      <c r="VFK1379" s="53"/>
      <c r="VFL1379" s="53"/>
      <c r="VFM1379" s="53"/>
      <c r="VFN1379" s="53"/>
      <c r="VFO1379" s="53"/>
      <c r="VFP1379" s="53"/>
      <c r="VFQ1379" s="53"/>
      <c r="VFR1379" s="53"/>
      <c r="VFS1379" s="53"/>
      <c r="VFT1379" s="53"/>
      <c r="VFU1379" s="53"/>
      <c r="VFV1379" s="53"/>
      <c r="VFW1379" s="53"/>
      <c r="VFX1379" s="53"/>
      <c r="VFY1379" s="53"/>
      <c r="VFZ1379" s="53"/>
      <c r="VGA1379" s="53"/>
      <c r="VGB1379" s="53"/>
      <c r="VGC1379" s="53"/>
      <c r="VGD1379" s="53"/>
      <c r="VGE1379" s="53"/>
      <c r="VGF1379" s="53"/>
      <c r="VGG1379" s="53"/>
      <c r="VGH1379" s="53"/>
      <c r="VGI1379" s="53"/>
      <c r="VGJ1379" s="53"/>
      <c r="VGK1379" s="53"/>
      <c r="VGL1379" s="53"/>
      <c r="VGM1379" s="53"/>
      <c r="VGN1379" s="53"/>
      <c r="VGO1379" s="53"/>
      <c r="VGP1379" s="53"/>
      <c r="VGQ1379" s="53"/>
      <c r="VGR1379" s="53"/>
      <c r="VGS1379" s="53"/>
      <c r="VGT1379" s="53"/>
      <c r="VGU1379" s="53"/>
      <c r="VGV1379" s="53"/>
      <c r="VGW1379" s="53"/>
      <c r="VGX1379" s="53"/>
      <c r="VGY1379" s="53"/>
      <c r="VGZ1379" s="53"/>
      <c r="VHA1379" s="53"/>
      <c r="VHB1379" s="53"/>
      <c r="VHC1379" s="53"/>
      <c r="VHD1379" s="53"/>
      <c r="VHE1379" s="53"/>
      <c r="VHF1379" s="53"/>
      <c r="VHG1379" s="53"/>
      <c r="VHH1379" s="53"/>
      <c r="VHI1379" s="53"/>
      <c r="VHJ1379" s="53"/>
      <c r="VHK1379" s="53"/>
      <c r="VHL1379" s="53"/>
      <c r="VHM1379" s="53"/>
      <c r="VHN1379" s="53"/>
      <c r="VHO1379" s="53"/>
      <c r="VHP1379" s="53"/>
      <c r="VHQ1379" s="53"/>
      <c r="VHR1379" s="53"/>
      <c r="VHS1379" s="53"/>
      <c r="VHT1379" s="53"/>
      <c r="VHU1379" s="53"/>
      <c r="VHV1379" s="53"/>
      <c r="VHW1379" s="53"/>
      <c r="VHX1379" s="53"/>
      <c r="VHY1379" s="53"/>
      <c r="VHZ1379" s="53"/>
      <c r="VIA1379" s="53"/>
      <c r="VIB1379" s="53"/>
      <c r="VIC1379" s="53"/>
      <c r="VID1379" s="53"/>
      <c r="VIE1379" s="53"/>
      <c r="VIF1379" s="53"/>
      <c r="VIG1379" s="53"/>
      <c r="VIH1379" s="53"/>
      <c r="VII1379" s="53"/>
      <c r="VIJ1379" s="53"/>
      <c r="VIK1379" s="53"/>
      <c r="VIL1379" s="53"/>
      <c r="VIM1379" s="53"/>
      <c r="VIN1379" s="53"/>
      <c r="VIO1379" s="53"/>
      <c r="VIP1379" s="53"/>
      <c r="VIQ1379" s="53"/>
      <c r="VIR1379" s="53"/>
      <c r="VIS1379" s="53"/>
      <c r="VIT1379" s="53"/>
      <c r="VIU1379" s="53"/>
      <c r="VIV1379" s="53"/>
      <c r="VIW1379" s="53"/>
      <c r="VIX1379" s="53"/>
      <c r="VIY1379" s="53"/>
      <c r="VIZ1379" s="53"/>
      <c r="VJA1379" s="53"/>
      <c r="VJB1379" s="53"/>
      <c r="VJC1379" s="53"/>
      <c r="VJD1379" s="53"/>
      <c r="VJE1379" s="53"/>
      <c r="VJF1379" s="53"/>
      <c r="VJG1379" s="53"/>
      <c r="VJH1379" s="53"/>
      <c r="VJI1379" s="53"/>
      <c r="VJJ1379" s="53"/>
      <c r="VJK1379" s="53"/>
      <c r="VJL1379" s="53"/>
      <c r="VJM1379" s="53"/>
      <c r="VJN1379" s="53"/>
      <c r="VJO1379" s="53"/>
      <c r="VJP1379" s="53"/>
      <c r="VJQ1379" s="53"/>
      <c r="VJR1379" s="53"/>
      <c r="VJS1379" s="53"/>
      <c r="VJT1379" s="53"/>
      <c r="VJU1379" s="53"/>
      <c r="VJV1379" s="53"/>
      <c r="VJW1379" s="53"/>
      <c r="VJX1379" s="53"/>
      <c r="VJY1379" s="53"/>
      <c r="VJZ1379" s="53"/>
      <c r="VKA1379" s="53"/>
      <c r="VKB1379" s="53"/>
      <c r="VKC1379" s="53"/>
      <c r="VKD1379" s="53"/>
      <c r="VKE1379" s="53"/>
      <c r="VKF1379" s="53"/>
      <c r="VKG1379" s="53"/>
      <c r="VKH1379" s="53"/>
      <c r="VKI1379" s="53"/>
      <c r="VKJ1379" s="53"/>
      <c r="VKK1379" s="53"/>
      <c r="VKL1379" s="53"/>
      <c r="VKM1379" s="53"/>
      <c r="VKN1379" s="53"/>
      <c r="VKO1379" s="53"/>
      <c r="VKP1379" s="53"/>
      <c r="VKQ1379" s="53"/>
      <c r="VKR1379" s="53"/>
      <c r="VKS1379" s="53"/>
      <c r="VKT1379" s="53"/>
      <c r="VKU1379" s="53"/>
      <c r="VKV1379" s="53"/>
      <c r="VKW1379" s="53"/>
      <c r="VKX1379" s="53"/>
      <c r="VKY1379" s="53"/>
      <c r="VKZ1379" s="53"/>
      <c r="VLA1379" s="53"/>
      <c r="VLB1379" s="53"/>
      <c r="VLC1379" s="53"/>
      <c r="VLD1379" s="53"/>
      <c r="VLE1379" s="53"/>
      <c r="VLF1379" s="53"/>
      <c r="VLG1379" s="53"/>
      <c r="VLH1379" s="53"/>
      <c r="VLI1379" s="53"/>
      <c r="VLJ1379" s="53"/>
      <c r="VLK1379" s="53"/>
      <c r="VLL1379" s="53"/>
      <c r="VLM1379" s="53"/>
      <c r="VLN1379" s="53"/>
      <c r="VLO1379" s="53"/>
      <c r="VLP1379" s="53"/>
      <c r="VLQ1379" s="53"/>
      <c r="VLR1379" s="53"/>
      <c r="VLS1379" s="53"/>
      <c r="VLT1379" s="53"/>
      <c r="VLU1379" s="53"/>
      <c r="VLV1379" s="53"/>
      <c r="VLW1379" s="53"/>
      <c r="VLX1379" s="53"/>
      <c r="VLY1379" s="53"/>
      <c r="VLZ1379" s="53"/>
      <c r="VMA1379" s="53"/>
      <c r="VMB1379" s="53"/>
      <c r="VMC1379" s="53"/>
      <c r="VMD1379" s="53"/>
      <c r="VME1379" s="53"/>
      <c r="VMF1379" s="53"/>
      <c r="VMG1379" s="53"/>
      <c r="VMH1379" s="53"/>
      <c r="VMI1379" s="53"/>
      <c r="VMJ1379" s="53"/>
      <c r="VMK1379" s="53"/>
      <c r="VML1379" s="53"/>
      <c r="VMM1379" s="53"/>
      <c r="VMN1379" s="53"/>
      <c r="VMO1379" s="53"/>
      <c r="VMP1379" s="53"/>
      <c r="VMQ1379" s="53"/>
      <c r="VMR1379" s="53"/>
      <c r="VMS1379" s="53"/>
      <c r="VMT1379" s="53"/>
      <c r="VMU1379" s="53"/>
      <c r="VMV1379" s="53"/>
      <c r="VMW1379" s="53"/>
      <c r="VMX1379" s="53"/>
      <c r="VMY1379" s="53"/>
      <c r="VMZ1379" s="53"/>
      <c r="VNA1379" s="53"/>
      <c r="VNB1379" s="53"/>
      <c r="VNC1379" s="53"/>
      <c r="VND1379" s="53"/>
      <c r="VNE1379" s="53"/>
      <c r="VNF1379" s="53"/>
      <c r="VNG1379" s="53"/>
      <c r="VNH1379" s="53"/>
      <c r="VNI1379" s="53"/>
      <c r="VNJ1379" s="53"/>
      <c r="VNK1379" s="53"/>
      <c r="VNL1379" s="53"/>
      <c r="VNM1379" s="53"/>
      <c r="VNN1379" s="53"/>
      <c r="VNO1379" s="53"/>
      <c r="VNP1379" s="53"/>
      <c r="VNQ1379" s="53"/>
      <c r="VNR1379" s="53"/>
      <c r="VNS1379" s="53"/>
      <c r="VNT1379" s="53"/>
      <c r="VNU1379" s="53"/>
      <c r="VNV1379" s="53"/>
      <c r="VNW1379" s="53"/>
      <c r="VNX1379" s="53"/>
      <c r="VNY1379" s="53"/>
      <c r="VNZ1379" s="53"/>
      <c r="VOA1379" s="53"/>
      <c r="VOB1379" s="53"/>
      <c r="VOC1379" s="53"/>
      <c r="VOD1379" s="53"/>
      <c r="VOE1379" s="53"/>
      <c r="VOF1379" s="53"/>
      <c r="VOG1379" s="53"/>
      <c r="VOH1379" s="53"/>
      <c r="VOI1379" s="53"/>
      <c r="VOJ1379" s="53"/>
      <c r="VOK1379" s="53"/>
      <c r="VOL1379" s="53"/>
      <c r="VOM1379" s="53"/>
      <c r="VON1379" s="53"/>
      <c r="VOO1379" s="53"/>
      <c r="VOP1379" s="53"/>
      <c r="VOQ1379" s="53"/>
      <c r="VOR1379" s="53"/>
      <c r="VOS1379" s="53"/>
      <c r="VOT1379" s="53"/>
      <c r="VOU1379" s="53"/>
      <c r="VOV1379" s="53"/>
      <c r="VOW1379" s="53"/>
      <c r="VOX1379" s="53"/>
      <c r="VOY1379" s="53"/>
      <c r="VOZ1379" s="53"/>
      <c r="VPA1379" s="53"/>
      <c r="VPB1379" s="53"/>
      <c r="VPC1379" s="53"/>
      <c r="VPD1379" s="53"/>
      <c r="VPE1379" s="53"/>
      <c r="VPF1379" s="53"/>
      <c r="VPG1379" s="53"/>
      <c r="VPH1379" s="53"/>
      <c r="VPI1379" s="53"/>
      <c r="VPJ1379" s="53"/>
      <c r="VPK1379" s="53"/>
      <c r="VPL1379" s="53"/>
      <c r="VPM1379" s="53"/>
      <c r="VPN1379" s="53"/>
      <c r="VPO1379" s="53"/>
      <c r="VPP1379" s="53"/>
      <c r="VPQ1379" s="53"/>
      <c r="VPR1379" s="53"/>
      <c r="VPS1379" s="53"/>
      <c r="VPT1379" s="53"/>
      <c r="VPU1379" s="53"/>
      <c r="VPV1379" s="53"/>
      <c r="VPW1379" s="53"/>
      <c r="VPX1379" s="53"/>
      <c r="VPY1379" s="53"/>
      <c r="VPZ1379" s="53"/>
      <c r="VQA1379" s="53"/>
      <c r="VQB1379" s="53"/>
      <c r="VQC1379" s="53"/>
      <c r="VQD1379" s="53"/>
      <c r="VQE1379" s="53"/>
      <c r="VQF1379" s="53"/>
      <c r="VQG1379" s="53"/>
      <c r="VQH1379" s="53"/>
      <c r="VQI1379" s="53"/>
      <c r="VQJ1379" s="53"/>
      <c r="VQK1379" s="53"/>
      <c r="VQL1379" s="53"/>
      <c r="VQM1379" s="53"/>
      <c r="VQN1379" s="53"/>
      <c r="VQO1379" s="53"/>
      <c r="VQP1379" s="53"/>
      <c r="VQQ1379" s="53"/>
      <c r="VQR1379" s="53"/>
      <c r="VQS1379" s="53"/>
      <c r="VQT1379" s="53"/>
      <c r="VQU1379" s="53"/>
      <c r="VQV1379" s="53"/>
      <c r="VQW1379" s="53"/>
      <c r="VQX1379" s="53"/>
      <c r="VQY1379" s="53"/>
      <c r="VQZ1379" s="53"/>
      <c r="VRA1379" s="53"/>
      <c r="VRB1379" s="53"/>
      <c r="VRC1379" s="53"/>
      <c r="VRD1379" s="53"/>
      <c r="VRE1379" s="53"/>
      <c r="VRF1379" s="53"/>
      <c r="VRG1379" s="53"/>
      <c r="VRH1379" s="53"/>
      <c r="VRI1379" s="53"/>
      <c r="VRJ1379" s="53"/>
      <c r="VRK1379" s="53"/>
      <c r="VRL1379" s="53"/>
      <c r="VRM1379" s="53"/>
      <c r="VRN1379" s="53"/>
      <c r="VRO1379" s="53"/>
      <c r="VRP1379" s="53"/>
      <c r="VRQ1379" s="53"/>
      <c r="VRR1379" s="53"/>
      <c r="VRS1379" s="53"/>
      <c r="VRT1379" s="53"/>
      <c r="VRU1379" s="53"/>
      <c r="VRV1379" s="53"/>
      <c r="VRW1379" s="53"/>
      <c r="VRX1379" s="53"/>
      <c r="VRY1379" s="53"/>
      <c r="VRZ1379" s="53"/>
      <c r="VSA1379" s="53"/>
      <c r="VSB1379" s="53"/>
      <c r="VSC1379" s="53"/>
      <c r="VSD1379" s="53"/>
      <c r="VSE1379" s="53"/>
      <c r="VSF1379" s="53"/>
      <c r="VSG1379" s="53"/>
      <c r="VSH1379" s="53"/>
      <c r="VSI1379" s="53"/>
      <c r="VSJ1379" s="53"/>
      <c r="VSK1379" s="53"/>
      <c r="VSL1379" s="53"/>
      <c r="VSM1379" s="53"/>
      <c r="VSN1379" s="53"/>
      <c r="VSO1379" s="53"/>
      <c r="VSP1379" s="53"/>
      <c r="VSQ1379" s="53"/>
      <c r="VSR1379" s="53"/>
      <c r="VSS1379" s="53"/>
      <c r="VST1379" s="53"/>
      <c r="VSU1379" s="53"/>
      <c r="VSV1379" s="53"/>
      <c r="VSW1379" s="53"/>
      <c r="VSX1379" s="53"/>
      <c r="VSY1379" s="53"/>
      <c r="VSZ1379" s="53"/>
      <c r="VTA1379" s="53"/>
      <c r="VTB1379" s="53"/>
      <c r="VTC1379" s="53"/>
      <c r="VTD1379" s="53"/>
      <c r="VTE1379" s="53"/>
      <c r="VTF1379" s="53"/>
      <c r="VTG1379" s="53"/>
      <c r="VTH1379" s="53"/>
      <c r="VTI1379" s="53"/>
      <c r="VTJ1379" s="53"/>
      <c r="VTK1379" s="53"/>
      <c r="VTL1379" s="53"/>
      <c r="VTM1379" s="53"/>
      <c r="VTN1379" s="53"/>
      <c r="VTO1379" s="53"/>
      <c r="VTP1379" s="53"/>
      <c r="VTQ1379" s="53"/>
      <c r="VTR1379" s="53"/>
      <c r="VTS1379" s="53"/>
      <c r="VTT1379" s="53"/>
      <c r="VTU1379" s="53"/>
      <c r="VTV1379" s="53"/>
      <c r="VTW1379" s="53"/>
      <c r="VTX1379" s="53"/>
      <c r="VTY1379" s="53"/>
      <c r="VTZ1379" s="53"/>
      <c r="VUA1379" s="53"/>
      <c r="VUB1379" s="53"/>
      <c r="VUC1379" s="53"/>
      <c r="VUD1379" s="53"/>
      <c r="VUE1379" s="53"/>
      <c r="VUF1379" s="53"/>
      <c r="VUG1379" s="53"/>
      <c r="VUH1379" s="53"/>
      <c r="VUI1379" s="53"/>
      <c r="VUJ1379" s="53"/>
      <c r="VUK1379" s="53"/>
      <c r="VUL1379" s="53"/>
      <c r="VUM1379" s="53"/>
      <c r="VUN1379" s="53"/>
      <c r="VUO1379" s="53"/>
      <c r="VUP1379" s="53"/>
      <c r="VUQ1379" s="53"/>
      <c r="VUR1379" s="53"/>
      <c r="VUS1379" s="53"/>
      <c r="VUT1379" s="53"/>
      <c r="VUU1379" s="53"/>
      <c r="VUV1379" s="53"/>
      <c r="VUW1379" s="53"/>
      <c r="VUX1379" s="53"/>
      <c r="VUY1379" s="53"/>
      <c r="VUZ1379" s="53"/>
      <c r="VVA1379" s="53"/>
      <c r="VVB1379" s="53"/>
      <c r="VVC1379" s="53"/>
      <c r="VVD1379" s="53"/>
      <c r="VVE1379" s="53"/>
      <c r="VVF1379" s="53"/>
      <c r="VVG1379" s="53"/>
      <c r="VVH1379" s="53"/>
      <c r="VVI1379" s="53"/>
      <c r="VVJ1379" s="53"/>
      <c r="VVK1379" s="53"/>
      <c r="VVL1379" s="53"/>
      <c r="VVM1379" s="53"/>
      <c r="VVN1379" s="53"/>
      <c r="VVO1379" s="53"/>
      <c r="VVP1379" s="53"/>
      <c r="VVQ1379" s="53"/>
      <c r="VVR1379" s="53"/>
      <c r="VVS1379" s="53"/>
      <c r="VVT1379" s="53"/>
      <c r="VVU1379" s="53"/>
      <c r="VVV1379" s="53"/>
      <c r="VVW1379" s="53"/>
      <c r="VVX1379" s="53"/>
      <c r="VVY1379" s="53"/>
      <c r="VVZ1379" s="53"/>
      <c r="VWA1379" s="53"/>
      <c r="VWB1379" s="53"/>
      <c r="VWC1379" s="53"/>
      <c r="VWD1379" s="53"/>
      <c r="VWE1379" s="53"/>
      <c r="VWF1379" s="53"/>
      <c r="VWG1379" s="53"/>
      <c r="VWH1379" s="53"/>
      <c r="VWI1379" s="53"/>
      <c r="VWJ1379" s="53"/>
      <c r="VWK1379" s="53"/>
      <c r="VWL1379" s="53"/>
      <c r="VWM1379" s="53"/>
      <c r="VWN1379" s="53"/>
      <c r="VWO1379" s="53"/>
      <c r="VWP1379" s="53"/>
      <c r="VWQ1379" s="53"/>
      <c r="VWR1379" s="53"/>
      <c r="VWS1379" s="53"/>
      <c r="VWT1379" s="53"/>
      <c r="VWU1379" s="53"/>
      <c r="VWV1379" s="53"/>
      <c r="VWW1379" s="53"/>
      <c r="VWX1379" s="53"/>
      <c r="VWY1379" s="53"/>
      <c r="VWZ1379" s="53"/>
      <c r="VXA1379" s="53"/>
      <c r="VXB1379" s="53"/>
      <c r="VXC1379" s="53"/>
      <c r="VXD1379" s="53"/>
      <c r="VXE1379" s="53"/>
      <c r="VXF1379" s="53"/>
      <c r="VXG1379" s="53"/>
      <c r="VXH1379" s="53"/>
      <c r="VXI1379" s="53"/>
      <c r="VXJ1379" s="53"/>
      <c r="VXK1379" s="53"/>
      <c r="VXL1379" s="53"/>
      <c r="VXM1379" s="53"/>
      <c r="VXN1379" s="53"/>
      <c r="VXO1379" s="53"/>
      <c r="VXP1379" s="53"/>
      <c r="VXQ1379" s="53"/>
      <c r="VXR1379" s="53"/>
      <c r="VXS1379" s="53"/>
      <c r="VXT1379" s="53"/>
      <c r="VXU1379" s="53"/>
      <c r="VXV1379" s="53"/>
      <c r="VXW1379" s="53"/>
      <c r="VXX1379" s="53"/>
      <c r="VXY1379" s="53"/>
      <c r="VXZ1379" s="53"/>
      <c r="VYA1379" s="53"/>
      <c r="VYB1379" s="53"/>
      <c r="VYC1379" s="53"/>
      <c r="VYD1379" s="53"/>
      <c r="VYE1379" s="53"/>
      <c r="VYF1379" s="53"/>
      <c r="VYG1379" s="53"/>
      <c r="VYH1379" s="53"/>
      <c r="VYI1379" s="53"/>
      <c r="VYJ1379" s="53"/>
      <c r="VYK1379" s="53"/>
      <c r="VYL1379" s="53"/>
      <c r="VYM1379" s="53"/>
      <c r="VYN1379" s="53"/>
      <c r="VYO1379" s="53"/>
      <c r="VYP1379" s="53"/>
      <c r="VYQ1379" s="53"/>
      <c r="VYR1379" s="53"/>
      <c r="VYS1379" s="53"/>
      <c r="VYT1379" s="53"/>
      <c r="VYU1379" s="53"/>
      <c r="VYV1379" s="53"/>
      <c r="VYW1379" s="53"/>
      <c r="VYX1379" s="53"/>
      <c r="VYY1379" s="53"/>
      <c r="VYZ1379" s="53"/>
      <c r="VZA1379" s="53"/>
      <c r="VZB1379" s="53"/>
      <c r="VZC1379" s="53"/>
      <c r="VZD1379" s="53"/>
      <c r="VZE1379" s="53"/>
      <c r="VZF1379" s="53"/>
      <c r="VZG1379" s="53"/>
      <c r="VZH1379" s="53"/>
      <c r="VZI1379" s="53"/>
      <c r="VZJ1379" s="53"/>
      <c r="VZK1379" s="53"/>
      <c r="VZL1379" s="53"/>
      <c r="VZM1379" s="53"/>
      <c r="VZN1379" s="53"/>
      <c r="VZO1379" s="53"/>
      <c r="VZP1379" s="53"/>
      <c r="VZQ1379" s="53"/>
      <c r="VZR1379" s="53"/>
      <c r="VZS1379" s="53"/>
      <c r="VZT1379" s="53"/>
      <c r="VZU1379" s="53"/>
      <c r="VZV1379" s="53"/>
      <c r="VZW1379" s="53"/>
      <c r="VZX1379" s="53"/>
      <c r="VZY1379" s="53"/>
      <c r="VZZ1379" s="53"/>
      <c r="WAA1379" s="53"/>
      <c r="WAB1379" s="53"/>
      <c r="WAC1379" s="53"/>
      <c r="WAD1379" s="53"/>
      <c r="WAE1379" s="53"/>
      <c r="WAF1379" s="53"/>
      <c r="WAG1379" s="53"/>
      <c r="WAH1379" s="53"/>
      <c r="WAI1379" s="53"/>
      <c r="WAJ1379" s="53"/>
      <c r="WAK1379" s="53"/>
      <c r="WAL1379" s="53"/>
      <c r="WAM1379" s="53"/>
      <c r="WAN1379" s="53"/>
      <c r="WAO1379" s="53"/>
      <c r="WAP1379" s="53"/>
      <c r="WAQ1379" s="53"/>
      <c r="WAR1379" s="53"/>
      <c r="WAS1379" s="53"/>
      <c r="WAT1379" s="53"/>
      <c r="WAU1379" s="53"/>
      <c r="WAV1379" s="53"/>
      <c r="WAW1379" s="53"/>
      <c r="WAX1379" s="53"/>
      <c r="WAY1379" s="53"/>
      <c r="WAZ1379" s="53"/>
      <c r="WBA1379" s="53"/>
      <c r="WBB1379" s="53"/>
      <c r="WBC1379" s="53"/>
      <c r="WBD1379" s="53"/>
      <c r="WBE1379" s="53"/>
      <c r="WBF1379" s="53"/>
      <c r="WBG1379" s="53"/>
      <c r="WBH1379" s="53"/>
      <c r="WBI1379" s="53"/>
      <c r="WBJ1379" s="53"/>
      <c r="WBK1379" s="53"/>
      <c r="WBL1379" s="53"/>
      <c r="WBM1379" s="53"/>
      <c r="WBN1379" s="53"/>
      <c r="WBO1379" s="53"/>
      <c r="WBP1379" s="53"/>
      <c r="WBQ1379" s="53"/>
      <c r="WBR1379" s="53"/>
      <c r="WBS1379" s="53"/>
      <c r="WBT1379" s="53"/>
      <c r="WBU1379" s="53"/>
      <c r="WBV1379" s="53"/>
      <c r="WBW1379" s="53"/>
      <c r="WBX1379" s="53"/>
      <c r="WBY1379" s="53"/>
      <c r="WBZ1379" s="53"/>
      <c r="WCA1379" s="53"/>
      <c r="WCB1379" s="53"/>
      <c r="WCC1379" s="53"/>
      <c r="WCD1379" s="53"/>
      <c r="WCE1379" s="53"/>
      <c r="WCF1379" s="53"/>
      <c r="WCG1379" s="53"/>
      <c r="WCH1379" s="53"/>
      <c r="WCI1379" s="53"/>
      <c r="WCJ1379" s="53"/>
      <c r="WCK1379" s="53"/>
      <c r="WCL1379" s="53"/>
      <c r="WCM1379" s="53"/>
      <c r="WCN1379" s="53"/>
      <c r="WCO1379" s="53"/>
      <c r="WCP1379" s="53"/>
      <c r="WCQ1379" s="53"/>
      <c r="WCR1379" s="53"/>
      <c r="WCS1379" s="53"/>
      <c r="WCT1379" s="53"/>
      <c r="WCU1379" s="53"/>
      <c r="WCV1379" s="53"/>
      <c r="WCW1379" s="53"/>
      <c r="WCX1379" s="53"/>
      <c r="WCY1379" s="53"/>
      <c r="WCZ1379" s="53"/>
      <c r="WDA1379" s="53"/>
      <c r="WDB1379" s="53"/>
      <c r="WDC1379" s="53"/>
      <c r="WDD1379" s="53"/>
      <c r="WDE1379" s="53"/>
      <c r="WDF1379" s="53"/>
      <c r="WDG1379" s="53"/>
      <c r="WDH1379" s="53"/>
      <c r="WDI1379" s="53"/>
      <c r="WDJ1379" s="53"/>
      <c r="WDK1379" s="53"/>
      <c r="WDL1379" s="53"/>
      <c r="WDM1379" s="53"/>
      <c r="WDN1379" s="53"/>
      <c r="WDO1379" s="53"/>
      <c r="WDP1379" s="53"/>
      <c r="WDQ1379" s="53"/>
      <c r="WDR1379" s="53"/>
      <c r="WDS1379" s="53"/>
      <c r="WDT1379" s="53"/>
      <c r="WDU1379" s="53"/>
      <c r="WDV1379" s="53"/>
      <c r="WDW1379" s="53"/>
      <c r="WDX1379" s="53"/>
      <c r="WDY1379" s="53"/>
      <c r="WDZ1379" s="53"/>
      <c r="WEA1379" s="53"/>
      <c r="WEB1379" s="53"/>
      <c r="WEC1379" s="53"/>
      <c r="WED1379" s="53"/>
      <c r="WEE1379" s="53"/>
      <c r="WEF1379" s="53"/>
      <c r="WEG1379" s="53"/>
      <c r="WEH1379" s="53"/>
      <c r="WEI1379" s="53"/>
      <c r="WEJ1379" s="53"/>
      <c r="WEK1379" s="53"/>
      <c r="WEL1379" s="53"/>
      <c r="WEM1379" s="53"/>
      <c r="WEN1379" s="53"/>
      <c r="WEO1379" s="53"/>
      <c r="WEP1379" s="53"/>
      <c r="WEQ1379" s="53"/>
      <c r="WER1379" s="53"/>
      <c r="WES1379" s="53"/>
      <c r="WET1379" s="53"/>
      <c r="WEU1379" s="53"/>
      <c r="WEV1379" s="53"/>
      <c r="WEW1379" s="53"/>
      <c r="WEX1379" s="53"/>
      <c r="WEY1379" s="53"/>
      <c r="WEZ1379" s="53"/>
      <c r="WFA1379" s="53"/>
      <c r="WFB1379" s="53"/>
      <c r="WFC1379" s="53"/>
      <c r="WFD1379" s="53"/>
      <c r="WFE1379" s="53"/>
      <c r="WFF1379" s="53"/>
      <c r="WFG1379" s="53"/>
      <c r="WFH1379" s="53"/>
      <c r="WFI1379" s="53"/>
      <c r="WFJ1379" s="53"/>
      <c r="WFK1379" s="53"/>
      <c r="WFL1379" s="53"/>
      <c r="WFM1379" s="53"/>
      <c r="WFN1379" s="53"/>
      <c r="WFO1379" s="53"/>
      <c r="WFP1379" s="53"/>
      <c r="WFQ1379" s="53"/>
      <c r="WFR1379" s="53"/>
      <c r="WFS1379" s="53"/>
      <c r="WFT1379" s="53"/>
      <c r="WFU1379" s="53"/>
      <c r="WFV1379" s="53"/>
      <c r="WFW1379" s="53"/>
      <c r="WFX1379" s="53"/>
      <c r="WFY1379" s="53"/>
      <c r="WFZ1379" s="53"/>
      <c r="WGA1379" s="53"/>
      <c r="WGB1379" s="53"/>
      <c r="WGC1379" s="53"/>
      <c r="WGD1379" s="53"/>
      <c r="WGE1379" s="53"/>
      <c r="WGF1379" s="53"/>
      <c r="WGG1379" s="53"/>
      <c r="WGH1379" s="53"/>
      <c r="WGI1379" s="53"/>
      <c r="WGJ1379" s="53"/>
      <c r="WGK1379" s="53"/>
      <c r="WGL1379" s="53"/>
      <c r="WGM1379" s="53"/>
      <c r="WGN1379" s="53"/>
      <c r="WGO1379" s="53"/>
      <c r="WGP1379" s="53"/>
      <c r="WGQ1379" s="53"/>
      <c r="WGR1379" s="53"/>
      <c r="WGS1379" s="53"/>
      <c r="WGT1379" s="53"/>
      <c r="WGU1379" s="53"/>
      <c r="WGV1379" s="53"/>
      <c r="WGW1379" s="53"/>
      <c r="WGX1379" s="53"/>
      <c r="WGY1379" s="53"/>
      <c r="WGZ1379" s="53"/>
      <c r="WHA1379" s="53"/>
      <c r="WHB1379" s="53"/>
      <c r="WHC1379" s="53"/>
      <c r="WHD1379" s="53"/>
      <c r="WHE1379" s="53"/>
      <c r="WHF1379" s="53"/>
      <c r="WHG1379" s="53"/>
      <c r="WHH1379" s="53"/>
      <c r="WHI1379" s="53"/>
      <c r="WHJ1379" s="53"/>
      <c r="WHK1379" s="53"/>
      <c r="WHL1379" s="53"/>
      <c r="WHM1379" s="53"/>
      <c r="WHN1379" s="53"/>
      <c r="WHO1379" s="53"/>
      <c r="WHP1379" s="53"/>
      <c r="WHQ1379" s="53"/>
      <c r="WHR1379" s="53"/>
      <c r="WHS1379" s="53"/>
      <c r="WHT1379" s="53"/>
      <c r="WHU1379" s="53"/>
      <c r="WHV1379" s="53"/>
      <c r="WHW1379" s="53"/>
      <c r="WHX1379" s="53"/>
      <c r="WHY1379" s="53"/>
      <c r="WHZ1379" s="53"/>
      <c r="WIA1379" s="53"/>
      <c r="WIB1379" s="53"/>
      <c r="WIC1379" s="53"/>
      <c r="WID1379" s="53"/>
      <c r="WIE1379" s="53"/>
      <c r="WIF1379" s="53"/>
      <c r="WIG1379" s="53"/>
      <c r="WIH1379" s="53"/>
      <c r="WII1379" s="53"/>
      <c r="WIJ1379" s="53"/>
      <c r="WIK1379" s="53"/>
      <c r="WIL1379" s="53"/>
      <c r="WIM1379" s="53"/>
      <c r="WIN1379" s="53"/>
      <c r="WIO1379" s="53"/>
      <c r="WIP1379" s="53"/>
      <c r="WIQ1379" s="53"/>
      <c r="WIR1379" s="53"/>
      <c r="WIS1379" s="53"/>
      <c r="WIT1379" s="53"/>
      <c r="WIU1379" s="53"/>
      <c r="WIV1379" s="53"/>
      <c r="WIW1379" s="53"/>
      <c r="WIX1379" s="53"/>
      <c r="WIY1379" s="53"/>
      <c r="WIZ1379" s="53"/>
      <c r="WJA1379" s="53"/>
      <c r="WJB1379" s="53"/>
      <c r="WJC1379" s="53"/>
      <c r="WJD1379" s="53"/>
      <c r="WJE1379" s="53"/>
      <c r="WJF1379" s="53"/>
      <c r="WJG1379" s="53"/>
      <c r="WJH1379" s="53"/>
      <c r="WJI1379" s="53"/>
      <c r="WJJ1379" s="53"/>
      <c r="WJK1379" s="53"/>
      <c r="WJL1379" s="53"/>
      <c r="WJM1379" s="53"/>
      <c r="WJN1379" s="53"/>
      <c r="WJO1379" s="53"/>
      <c r="WJP1379" s="53"/>
      <c r="WJQ1379" s="53"/>
      <c r="WJR1379" s="53"/>
      <c r="WJS1379" s="53"/>
      <c r="WJT1379" s="53"/>
      <c r="WJU1379" s="53"/>
      <c r="WJV1379" s="53"/>
      <c r="WJW1379" s="53"/>
      <c r="WJX1379" s="53"/>
      <c r="WJY1379" s="53"/>
      <c r="WJZ1379" s="53"/>
      <c r="WKA1379" s="53"/>
      <c r="WKB1379" s="53"/>
      <c r="WKC1379" s="53"/>
      <c r="WKD1379" s="53"/>
      <c r="WKE1379" s="53"/>
      <c r="WKF1379" s="53"/>
      <c r="WKG1379" s="53"/>
      <c r="WKH1379" s="53"/>
      <c r="WKI1379" s="53"/>
      <c r="WKJ1379" s="53"/>
      <c r="WKK1379" s="53"/>
      <c r="WKL1379" s="53"/>
      <c r="WKM1379" s="53"/>
      <c r="WKN1379" s="53"/>
      <c r="WKO1379" s="53"/>
      <c r="WKP1379" s="53"/>
      <c r="WKQ1379" s="53"/>
      <c r="WKR1379" s="53"/>
      <c r="WKS1379" s="53"/>
      <c r="WKT1379" s="53"/>
      <c r="WKU1379" s="53"/>
      <c r="WKV1379" s="53"/>
      <c r="WKW1379" s="53"/>
      <c r="WKX1379" s="53"/>
      <c r="WKY1379" s="53"/>
      <c r="WKZ1379" s="53"/>
      <c r="WLA1379" s="53"/>
      <c r="WLB1379" s="53"/>
      <c r="WLC1379" s="53"/>
      <c r="WLD1379" s="53"/>
      <c r="WLE1379" s="53"/>
      <c r="WLF1379" s="53"/>
      <c r="WLG1379" s="53"/>
      <c r="WLH1379" s="53"/>
      <c r="WLI1379" s="53"/>
      <c r="WLJ1379" s="53"/>
      <c r="WLK1379" s="53"/>
      <c r="WLL1379" s="53"/>
      <c r="WLM1379" s="53"/>
      <c r="WLN1379" s="53"/>
      <c r="WLO1379" s="53"/>
      <c r="WLP1379" s="53"/>
      <c r="WLQ1379" s="53"/>
      <c r="WLR1379" s="53"/>
      <c r="WLS1379" s="53"/>
      <c r="WLT1379" s="53"/>
      <c r="WLU1379" s="53"/>
      <c r="WLV1379" s="53"/>
      <c r="WLW1379" s="53"/>
      <c r="WLX1379" s="53"/>
      <c r="WLY1379" s="53"/>
      <c r="WLZ1379" s="53"/>
      <c r="WMA1379" s="53"/>
      <c r="WMB1379" s="53"/>
      <c r="WMC1379" s="53"/>
      <c r="WMD1379" s="53"/>
      <c r="WME1379" s="53"/>
      <c r="WMF1379" s="53"/>
      <c r="WMG1379" s="53"/>
      <c r="WMH1379" s="53"/>
      <c r="WMI1379" s="53"/>
      <c r="WMJ1379" s="53"/>
      <c r="WMK1379" s="53"/>
      <c r="WML1379" s="53"/>
      <c r="WMM1379" s="53"/>
      <c r="WMN1379" s="53"/>
      <c r="WMO1379" s="53"/>
      <c r="WMP1379" s="53"/>
      <c r="WMQ1379" s="53"/>
      <c r="WMR1379" s="53"/>
      <c r="WMS1379" s="53"/>
      <c r="WMT1379" s="53"/>
      <c r="WMU1379" s="53"/>
      <c r="WMV1379" s="53"/>
      <c r="WMW1379" s="53"/>
      <c r="WMX1379" s="53"/>
      <c r="WMY1379" s="53"/>
      <c r="WMZ1379" s="53"/>
      <c r="WNA1379" s="53"/>
      <c r="WNB1379" s="53"/>
      <c r="WNC1379" s="53"/>
      <c r="WND1379" s="53"/>
      <c r="WNE1379" s="53"/>
      <c r="WNF1379" s="53"/>
      <c r="WNG1379" s="53"/>
      <c r="WNH1379" s="53"/>
      <c r="WNI1379" s="53"/>
      <c r="WNJ1379" s="53"/>
      <c r="WNK1379" s="53"/>
      <c r="WNL1379" s="53"/>
      <c r="WNM1379" s="53"/>
      <c r="WNN1379" s="53"/>
      <c r="WNO1379" s="53"/>
      <c r="WNP1379" s="53"/>
      <c r="WNQ1379" s="53"/>
      <c r="WNR1379" s="53"/>
      <c r="WNS1379" s="53"/>
      <c r="WNT1379" s="53"/>
      <c r="WNU1379" s="53"/>
      <c r="WNV1379" s="53"/>
      <c r="WNW1379" s="53"/>
      <c r="WNX1379" s="53"/>
      <c r="WNY1379" s="53"/>
      <c r="WNZ1379" s="53"/>
      <c r="WOA1379" s="53"/>
      <c r="WOB1379" s="53"/>
      <c r="WOC1379" s="53"/>
      <c r="WOD1379" s="53"/>
      <c r="WOE1379" s="53"/>
      <c r="WOF1379" s="53"/>
      <c r="WOG1379" s="53"/>
      <c r="WOH1379" s="53"/>
      <c r="WOI1379" s="53"/>
      <c r="WOJ1379" s="53"/>
      <c r="WOK1379" s="53"/>
      <c r="WOL1379" s="53"/>
      <c r="WOM1379" s="53"/>
      <c r="WON1379" s="53"/>
      <c r="WOO1379" s="53"/>
      <c r="WOP1379" s="53"/>
      <c r="WOQ1379" s="53"/>
      <c r="WOR1379" s="53"/>
      <c r="WOS1379" s="53"/>
      <c r="WOT1379" s="53"/>
      <c r="WOU1379" s="53"/>
      <c r="WOV1379" s="53"/>
      <c r="WOW1379" s="53"/>
      <c r="WOX1379" s="53"/>
      <c r="WOY1379" s="53"/>
      <c r="WOZ1379" s="53"/>
      <c r="WPA1379" s="53"/>
      <c r="WPB1379" s="53"/>
      <c r="WPC1379" s="53"/>
      <c r="WPD1379" s="53"/>
      <c r="WPE1379" s="53"/>
      <c r="WPF1379" s="53"/>
      <c r="WPG1379" s="53"/>
      <c r="WPH1379" s="53"/>
      <c r="WPI1379" s="53"/>
      <c r="WPJ1379" s="53"/>
      <c r="WPK1379" s="53"/>
      <c r="WPL1379" s="53"/>
      <c r="WPM1379" s="53"/>
      <c r="WPN1379" s="53"/>
      <c r="WPO1379" s="53"/>
      <c r="WPP1379" s="53"/>
      <c r="WPQ1379" s="53"/>
      <c r="WPR1379" s="53"/>
      <c r="WPS1379" s="53"/>
      <c r="WPT1379" s="53"/>
      <c r="WPU1379" s="53"/>
      <c r="WPV1379" s="53"/>
      <c r="WPW1379" s="53"/>
      <c r="WPX1379" s="53"/>
      <c r="WPY1379" s="53"/>
      <c r="WPZ1379" s="53"/>
      <c r="WQA1379" s="53"/>
      <c r="WQB1379" s="53"/>
      <c r="WQC1379" s="53"/>
      <c r="WQD1379" s="53"/>
      <c r="WQE1379" s="53"/>
      <c r="WQF1379" s="53"/>
      <c r="WQG1379" s="53"/>
      <c r="WQH1379" s="53"/>
      <c r="WQI1379" s="53"/>
      <c r="WQJ1379" s="53"/>
      <c r="WQK1379" s="53"/>
      <c r="WQL1379" s="53"/>
      <c r="WQM1379" s="53"/>
      <c r="WQN1379" s="53"/>
      <c r="WQO1379" s="53"/>
      <c r="WQP1379" s="53"/>
      <c r="WQQ1379" s="53"/>
      <c r="WQR1379" s="53"/>
      <c r="WQS1379" s="53"/>
      <c r="WQT1379" s="53"/>
      <c r="WQU1379" s="53"/>
      <c r="WQV1379" s="53"/>
      <c r="WQW1379" s="53"/>
      <c r="WQX1379" s="53"/>
      <c r="WQY1379" s="53"/>
      <c r="WQZ1379" s="53"/>
      <c r="WRA1379" s="53"/>
      <c r="WRB1379" s="53"/>
      <c r="WRC1379" s="53"/>
      <c r="WRD1379" s="53"/>
      <c r="WRE1379" s="53"/>
      <c r="WRF1379" s="53"/>
      <c r="WRG1379" s="53"/>
      <c r="WRH1379" s="53"/>
      <c r="WRI1379" s="53"/>
      <c r="WRJ1379" s="53"/>
      <c r="WRK1379" s="53"/>
      <c r="WRL1379" s="53"/>
      <c r="WRM1379" s="53"/>
      <c r="WRN1379" s="53"/>
      <c r="WRO1379" s="53"/>
      <c r="WRP1379" s="53"/>
      <c r="WRQ1379" s="53"/>
      <c r="WRR1379" s="53"/>
      <c r="WRS1379" s="53"/>
      <c r="WRT1379" s="53"/>
      <c r="WRU1379" s="53"/>
      <c r="WRV1379" s="53"/>
      <c r="WRW1379" s="53"/>
      <c r="WRX1379" s="53"/>
      <c r="WRY1379" s="53"/>
      <c r="WRZ1379" s="53"/>
      <c r="WSA1379" s="53"/>
      <c r="WSB1379" s="53"/>
      <c r="WSC1379" s="53"/>
      <c r="WSD1379" s="53"/>
      <c r="WSE1379" s="53"/>
      <c r="WSF1379" s="53"/>
      <c r="WSG1379" s="53"/>
      <c r="WSH1379" s="53"/>
      <c r="WSI1379" s="53"/>
      <c r="WSJ1379" s="53"/>
      <c r="WSK1379" s="53"/>
      <c r="WSL1379" s="53"/>
      <c r="WSM1379" s="53"/>
      <c r="WSN1379" s="53"/>
      <c r="WSO1379" s="53"/>
      <c r="WSP1379" s="53"/>
      <c r="WSQ1379" s="53"/>
      <c r="WSR1379" s="53"/>
      <c r="WSS1379" s="53"/>
      <c r="WST1379" s="53"/>
      <c r="WSU1379" s="53"/>
      <c r="WSV1379" s="53"/>
      <c r="WSW1379" s="53"/>
      <c r="WSX1379" s="53"/>
      <c r="WSY1379" s="53"/>
      <c r="WSZ1379" s="53"/>
      <c r="WTA1379" s="53"/>
      <c r="WTB1379" s="53"/>
      <c r="WTC1379" s="53"/>
      <c r="WTD1379" s="53"/>
      <c r="WTE1379" s="53"/>
      <c r="WTF1379" s="53"/>
      <c r="WTG1379" s="53"/>
      <c r="WTH1379" s="53"/>
      <c r="WTI1379" s="53"/>
      <c r="WTJ1379" s="53"/>
      <c r="WTK1379" s="53"/>
      <c r="WTL1379" s="53"/>
      <c r="WTM1379" s="53"/>
      <c r="WTN1379" s="53"/>
      <c r="WTO1379" s="53"/>
      <c r="WTP1379" s="53"/>
      <c r="WTQ1379" s="53"/>
      <c r="WTR1379" s="53"/>
      <c r="WTS1379" s="53"/>
      <c r="WTT1379" s="53"/>
      <c r="WTU1379" s="53"/>
      <c r="WTV1379" s="53"/>
      <c r="WTW1379" s="53"/>
      <c r="WTX1379" s="53"/>
      <c r="WTY1379" s="53"/>
      <c r="WTZ1379" s="53"/>
      <c r="WUA1379" s="53"/>
      <c r="WUB1379" s="53"/>
      <c r="WUC1379" s="53"/>
      <c r="WUD1379" s="53"/>
      <c r="WUE1379" s="53"/>
      <c r="WUF1379" s="53"/>
      <c r="WUG1379" s="53"/>
      <c r="WUH1379" s="53"/>
      <c r="WUI1379" s="53"/>
      <c r="WUJ1379" s="53"/>
      <c r="WUK1379" s="53"/>
      <c r="WUL1379" s="53"/>
      <c r="WUM1379" s="53"/>
      <c r="WUN1379" s="53"/>
      <c r="WUO1379" s="53"/>
      <c r="WUP1379" s="53"/>
      <c r="WUQ1379" s="53"/>
      <c r="WUR1379" s="53"/>
      <c r="WUS1379" s="53"/>
      <c r="WUT1379" s="53"/>
      <c r="WUU1379" s="53"/>
      <c r="WUV1379" s="53"/>
      <c r="WUW1379" s="53"/>
      <c r="WUX1379" s="53"/>
      <c r="WUY1379" s="53"/>
      <c r="WUZ1379" s="53"/>
      <c r="WVA1379" s="53"/>
      <c r="WVB1379" s="53"/>
      <c r="WVC1379" s="53"/>
      <c r="WVD1379" s="53"/>
      <c r="WVE1379" s="53"/>
      <c r="WVF1379" s="53"/>
      <c r="WVG1379" s="53"/>
      <c r="WVH1379" s="53"/>
      <c r="WVI1379" s="53"/>
      <c r="WVJ1379" s="53"/>
      <c r="WVK1379" s="53"/>
      <c r="WVL1379" s="53"/>
      <c r="WVM1379" s="53"/>
      <c r="WVN1379" s="53"/>
      <c r="WVO1379" s="53"/>
      <c r="WVP1379" s="53"/>
      <c r="WVQ1379" s="53"/>
      <c r="WVR1379" s="53"/>
      <c r="WVS1379" s="53"/>
      <c r="WVT1379" s="53"/>
      <c r="WVU1379" s="53"/>
      <c r="WVV1379" s="53"/>
      <c r="WVW1379" s="53"/>
      <c r="WVX1379" s="53"/>
      <c r="WVY1379" s="53"/>
      <c r="WVZ1379" s="53"/>
      <c r="WWA1379" s="53"/>
      <c r="WWB1379" s="53"/>
      <c r="WWC1379" s="53"/>
      <c r="WWD1379" s="53"/>
      <c r="WWE1379" s="53"/>
      <c r="WWF1379" s="53"/>
      <c r="WWG1379" s="53"/>
      <c r="WWH1379" s="53"/>
      <c r="WWI1379" s="53"/>
      <c r="WWJ1379" s="53"/>
      <c r="WWK1379" s="53"/>
      <c r="WWL1379" s="53"/>
      <c r="WWM1379" s="53"/>
      <c r="WWN1379" s="53"/>
      <c r="WWO1379" s="53"/>
      <c r="WWP1379" s="53"/>
      <c r="WWQ1379" s="53"/>
      <c r="WWR1379" s="53"/>
      <c r="WWS1379" s="53"/>
      <c r="WWT1379" s="53"/>
      <c r="WWU1379" s="53"/>
      <c r="WWV1379" s="53"/>
      <c r="WWW1379" s="53"/>
      <c r="WWX1379" s="53"/>
      <c r="WWY1379" s="53"/>
      <c r="WWZ1379" s="53"/>
      <c r="WXA1379" s="53"/>
      <c r="WXB1379" s="53"/>
      <c r="WXC1379" s="53"/>
      <c r="WXD1379" s="53"/>
      <c r="WXE1379" s="53"/>
      <c r="WXF1379" s="53"/>
      <c r="WXG1379" s="53"/>
      <c r="WXH1379" s="53"/>
      <c r="WXI1379" s="53"/>
      <c r="WXJ1379" s="53"/>
      <c r="WXK1379" s="53"/>
      <c r="WXL1379" s="53"/>
      <c r="WXM1379" s="53"/>
      <c r="WXN1379" s="53"/>
      <c r="WXO1379" s="53"/>
      <c r="WXP1379" s="53"/>
      <c r="WXQ1379" s="53"/>
      <c r="WXR1379" s="53"/>
      <c r="WXS1379" s="53"/>
      <c r="WXT1379" s="53"/>
      <c r="WXU1379" s="53"/>
      <c r="WXV1379" s="53"/>
      <c r="WXW1379" s="53"/>
      <c r="WXX1379" s="53"/>
      <c r="WXY1379" s="53"/>
      <c r="WXZ1379" s="53"/>
      <c r="WYA1379" s="53"/>
      <c r="WYB1379" s="53"/>
      <c r="WYC1379" s="53"/>
      <c r="WYD1379" s="53"/>
      <c r="WYE1379" s="53"/>
      <c r="WYF1379" s="53"/>
      <c r="WYG1379" s="53"/>
      <c r="WYH1379" s="53"/>
      <c r="WYI1379" s="53"/>
      <c r="WYJ1379" s="53"/>
      <c r="WYK1379" s="53"/>
      <c r="WYL1379" s="53"/>
      <c r="WYM1379" s="53"/>
      <c r="WYN1379" s="53"/>
      <c r="WYO1379" s="53"/>
      <c r="WYP1379" s="53"/>
      <c r="WYQ1379" s="53"/>
      <c r="WYR1379" s="53"/>
      <c r="WYS1379" s="53"/>
      <c r="WYT1379" s="53"/>
      <c r="WYU1379" s="53"/>
      <c r="WYV1379" s="53"/>
      <c r="WYW1379" s="53"/>
      <c r="WYX1379" s="53"/>
      <c r="WYY1379" s="53"/>
      <c r="WYZ1379" s="53"/>
      <c r="WZA1379" s="53"/>
      <c r="WZB1379" s="53"/>
      <c r="WZC1379" s="53"/>
      <c r="WZD1379" s="53"/>
      <c r="WZE1379" s="53"/>
      <c r="WZF1379" s="53"/>
      <c r="WZG1379" s="53"/>
      <c r="WZH1379" s="53"/>
      <c r="WZI1379" s="53"/>
      <c r="WZJ1379" s="53"/>
      <c r="WZK1379" s="53"/>
      <c r="WZL1379" s="53"/>
      <c r="WZM1379" s="53"/>
      <c r="WZN1379" s="53"/>
      <c r="WZO1379" s="53"/>
      <c r="WZP1379" s="53"/>
      <c r="WZQ1379" s="53"/>
      <c r="WZR1379" s="53"/>
      <c r="WZS1379" s="53"/>
      <c r="WZT1379" s="53"/>
      <c r="WZU1379" s="53"/>
      <c r="WZV1379" s="53"/>
      <c r="WZW1379" s="53"/>
      <c r="WZX1379" s="53"/>
      <c r="WZY1379" s="53"/>
      <c r="WZZ1379" s="53"/>
      <c r="XAA1379" s="53"/>
      <c r="XAB1379" s="53"/>
      <c r="XAC1379" s="53"/>
      <c r="XAD1379" s="53"/>
      <c r="XAE1379" s="53"/>
      <c r="XAF1379" s="53"/>
      <c r="XAG1379" s="53"/>
      <c r="XAH1379" s="53"/>
      <c r="XAI1379" s="53"/>
      <c r="XAJ1379" s="53"/>
      <c r="XAK1379" s="53"/>
      <c r="XAL1379" s="53"/>
      <c r="XAM1379" s="53"/>
      <c r="XAN1379" s="53"/>
      <c r="XAO1379" s="53"/>
      <c r="XAP1379" s="53"/>
      <c r="XAQ1379" s="53"/>
      <c r="XAR1379" s="53"/>
      <c r="XAS1379" s="53"/>
      <c r="XAT1379" s="53"/>
      <c r="XAU1379" s="53"/>
      <c r="XAV1379" s="53"/>
      <c r="XAW1379" s="53"/>
      <c r="XAX1379" s="53"/>
      <c r="XAY1379" s="53"/>
      <c r="XAZ1379" s="53"/>
      <c r="XBA1379" s="53"/>
      <c r="XBB1379" s="53"/>
      <c r="XBC1379" s="53"/>
      <c r="XBD1379" s="53"/>
      <c r="XBE1379" s="53"/>
      <c r="XBF1379" s="53"/>
      <c r="XBG1379" s="53"/>
      <c r="XBH1379" s="53"/>
      <c r="XBI1379" s="53"/>
      <c r="XBJ1379" s="53"/>
      <c r="XBK1379" s="53"/>
      <c r="XBL1379" s="53"/>
      <c r="XBM1379" s="53"/>
      <c r="XBN1379" s="53"/>
      <c r="XBO1379" s="53"/>
      <c r="XBP1379" s="53"/>
      <c r="XBQ1379" s="53"/>
      <c r="XBR1379" s="53"/>
      <c r="XBS1379" s="53"/>
      <c r="XBT1379" s="53"/>
      <c r="XBU1379" s="53"/>
      <c r="XBV1379" s="53"/>
      <c r="XBW1379" s="53"/>
      <c r="XBX1379" s="53"/>
      <c r="XBY1379" s="53"/>
      <c r="XBZ1379" s="53"/>
      <c r="XCA1379" s="53"/>
      <c r="XCB1379" s="53"/>
      <c r="XCC1379" s="53"/>
      <c r="XCD1379" s="53"/>
      <c r="XCE1379" s="53"/>
      <c r="XCF1379" s="53"/>
      <c r="XCG1379" s="53"/>
      <c r="XCH1379" s="53"/>
      <c r="XCI1379" s="53"/>
      <c r="XCJ1379" s="53"/>
      <c r="XCK1379" s="53"/>
      <c r="XCL1379" s="53"/>
      <c r="XCM1379" s="53"/>
      <c r="XCN1379" s="53"/>
      <c r="XCO1379" s="53"/>
      <c r="XCP1379" s="53"/>
      <c r="XCQ1379" s="53"/>
      <c r="XCR1379" s="53"/>
      <c r="XCS1379" s="53"/>
      <c r="XCT1379" s="53"/>
      <c r="XCU1379" s="53"/>
      <c r="XCV1379" s="53"/>
      <c r="XCW1379" s="53"/>
      <c r="XCX1379" s="53"/>
      <c r="XCY1379" s="53"/>
      <c r="XCZ1379" s="53"/>
      <c r="XDA1379" s="53"/>
      <c r="XDB1379" s="53"/>
      <c r="XDC1379" s="53"/>
      <c r="XDD1379" s="53"/>
      <c r="XDE1379" s="53"/>
      <c r="XDF1379" s="53"/>
      <c r="XDG1379" s="53"/>
      <c r="XDH1379" s="53"/>
      <c r="XDI1379" s="53"/>
      <c r="XDJ1379" s="53"/>
      <c r="XDK1379" s="53"/>
      <c r="XDL1379" s="53"/>
      <c r="XDM1379" s="53"/>
      <c r="XDN1379" s="53"/>
      <c r="XDO1379" s="53"/>
      <c r="XDP1379" s="53"/>
      <c r="XDQ1379" s="53"/>
      <c r="XDR1379" s="53"/>
      <c r="XDS1379" s="53"/>
      <c r="XDT1379" s="53"/>
      <c r="XDU1379" s="53"/>
      <c r="XDV1379" s="53"/>
      <c r="XDW1379" s="53"/>
      <c r="XDX1379" s="53"/>
      <c r="XDY1379" s="53"/>
      <c r="XDZ1379" s="53"/>
      <c r="XEA1379" s="53"/>
      <c r="XEB1379" s="53"/>
      <c r="XEC1379" s="53"/>
      <c r="XED1379" s="53"/>
      <c r="XEE1379" s="53"/>
      <c r="XEF1379" s="53"/>
      <c r="XEG1379" s="53"/>
      <c r="XEH1379" s="53"/>
      <c r="XEI1379" s="53"/>
      <c r="XEJ1379" s="53"/>
      <c r="XEK1379" s="53"/>
      <c r="XEL1379" s="53"/>
      <c r="XEM1379" s="53"/>
      <c r="XEN1379" s="53"/>
      <c r="XEO1379" s="53"/>
      <c r="XEP1379" s="53"/>
      <c r="XEQ1379" s="53"/>
      <c r="XER1379" s="53"/>
      <c r="XES1379" s="53"/>
      <c r="XET1379" s="53"/>
      <c r="XEU1379" s="53"/>
      <c r="XEV1379" s="53"/>
      <c r="XEW1379" s="53"/>
      <c r="XEX1379" s="53"/>
      <c r="XEY1379" s="53"/>
      <c r="XEZ1379" s="53"/>
      <c r="XFA1379" s="53"/>
      <c r="XFB1379" s="53"/>
    </row>
    <row r="1380" spans="1:16382" ht="11.25" customHeight="1" x14ac:dyDescent="0.15">
      <c r="A1380" s="130"/>
      <c r="B1380" s="130"/>
      <c r="C1380" s="124"/>
      <c r="D1380" s="124"/>
      <c r="E1380" s="273"/>
      <c r="F1380" s="124"/>
      <c r="G1380" s="124"/>
      <c r="H1380" s="124"/>
      <c r="I1380" s="124"/>
      <c r="J1380" s="124"/>
      <c r="K1380" s="125"/>
      <c r="L1380" s="129"/>
      <c r="M1380" s="129"/>
      <c r="N1380" s="129"/>
      <c r="O1380" s="128"/>
      <c r="P1380" s="129"/>
      <c r="Q1380" s="124"/>
      <c r="R1380" s="117"/>
      <c r="S1380" s="117"/>
      <c r="T1380" s="117"/>
      <c r="U1380" s="117"/>
      <c r="V1380" s="117"/>
      <c r="X1380" s="45"/>
      <c r="Y1380" s="128"/>
      <c r="Z1380" s="126"/>
      <c r="AA1380" s="128"/>
      <c r="AB1380" s="129"/>
      <c r="AC1380" s="160"/>
      <c r="AD1380" s="137"/>
      <c r="AE1380" s="110"/>
      <c r="AF1380" s="110"/>
      <c r="AG1380" s="121"/>
      <c r="AH1380" s="110"/>
    </row>
    <row r="1381" spans="1:16382" ht="11.25" customHeight="1" x14ac:dyDescent="0.15">
      <c r="A1381" s="110" t="s">
        <v>322</v>
      </c>
      <c r="B1381" s="110"/>
      <c r="C1381" s="111" t="s">
        <v>164</v>
      </c>
      <c r="D1381" s="111">
        <v>2024</v>
      </c>
      <c r="E1381" s="146">
        <v>45322</v>
      </c>
      <c r="F1381" s="111"/>
      <c r="G1381" s="111" t="s">
        <v>714</v>
      </c>
      <c r="H1381" s="111"/>
      <c r="I1381" s="111"/>
      <c r="J1381" s="111"/>
      <c r="K1381" s="112" t="s">
        <v>715</v>
      </c>
      <c r="L1381" s="120">
        <v>291.42</v>
      </c>
      <c r="M1381" s="120">
        <f>L1381*0.35</f>
        <v>101.997</v>
      </c>
      <c r="N1381" s="120">
        <f>L1381-M1381</f>
        <v>189.423</v>
      </c>
      <c r="O1381" s="119">
        <f>IFERROR(N1381/L1381,"")</f>
        <v>0.65</v>
      </c>
      <c r="P1381" s="120">
        <v>291.42</v>
      </c>
      <c r="Q1381" s="111"/>
      <c r="R1381" s="117"/>
      <c r="S1381" s="117"/>
      <c r="T1381" s="117"/>
      <c r="U1381" s="117">
        <v>102</v>
      </c>
      <c r="V1381" s="117"/>
      <c r="W1381" s="26">
        <f t="shared" ref="W1381:W1382" si="974">SUM(S1381:V1381)</f>
        <v>102</v>
      </c>
      <c r="X1381" s="118" t="str">
        <f t="shared" ref="X1381" si="975">IFERROR(S1381/R1381,"")</f>
        <v/>
      </c>
      <c r="Y1381" s="119">
        <f t="shared" ref="Y1381" si="976">U1381/P1381</f>
        <v>0.35001029442042408</v>
      </c>
      <c r="Z1381" s="117">
        <f t="shared" ref="Z1381" si="977">P1381-W1381</f>
        <v>189.42000000000002</v>
      </c>
      <c r="AA1381" s="119">
        <f t="shared" ref="AA1381" si="978">Z1381/P1381</f>
        <v>0.64998970557957592</v>
      </c>
      <c r="AB1381" s="120">
        <f t="shared" ref="AB1381" si="979">M1381-W1381</f>
        <v>-3.0000000000001137E-3</v>
      </c>
      <c r="AC1381" s="119">
        <f t="shared" ref="AC1381" si="980">IFERROR(AA1381-O1381,"")</f>
        <v>-1.0294420424106221E-5</v>
      </c>
      <c r="AD1381" s="110"/>
      <c r="AE1381" s="110"/>
      <c r="AF1381" s="110"/>
      <c r="AG1381" s="121"/>
      <c r="AH1381" s="110"/>
    </row>
    <row r="1382" spans="1:16382" ht="11.25" customHeight="1" x14ac:dyDescent="0.15">
      <c r="A1382" s="110" t="s">
        <v>322</v>
      </c>
      <c r="B1382" s="110"/>
      <c r="C1382" s="111" t="s">
        <v>164</v>
      </c>
      <c r="D1382" s="111">
        <v>2024</v>
      </c>
      <c r="E1382" s="146">
        <v>45322</v>
      </c>
      <c r="F1382" s="111"/>
      <c r="G1382" s="111" t="s">
        <v>716</v>
      </c>
      <c r="H1382" s="111"/>
      <c r="I1382" s="111"/>
      <c r="J1382" s="111"/>
      <c r="K1382" s="112" t="s">
        <v>717</v>
      </c>
      <c r="L1382" s="120">
        <v>302.86</v>
      </c>
      <c r="M1382" s="120">
        <f t="shared" ref="M1382:M1384" si="981">L1382*0.35</f>
        <v>106.001</v>
      </c>
      <c r="N1382" s="120">
        <f t="shared" ref="N1382:N1384" si="982">L1382-M1382</f>
        <v>196.85900000000001</v>
      </c>
      <c r="O1382" s="119">
        <f>IFERROR(N1382/L1382,"")</f>
        <v>0.65</v>
      </c>
      <c r="P1382" s="120">
        <v>302.86</v>
      </c>
      <c r="Q1382" s="111"/>
      <c r="R1382" s="117"/>
      <c r="S1382" s="117"/>
      <c r="T1382" s="117"/>
      <c r="U1382" s="117">
        <v>109.18</v>
      </c>
      <c r="V1382" s="117"/>
      <c r="W1382" s="26">
        <f t="shared" si="974"/>
        <v>109.18</v>
      </c>
      <c r="X1382" s="118" t="str">
        <f t="shared" ref="X1382:X1383" si="983">IFERROR(S1382/R1382,"")</f>
        <v/>
      </c>
      <c r="Y1382" s="119">
        <f t="shared" ref="Y1382:Y1383" si="984">U1382/P1382</f>
        <v>0.36049659908868786</v>
      </c>
      <c r="Z1382" s="117">
        <f t="shared" ref="Z1382:Z1383" si="985">P1382-W1382</f>
        <v>193.68</v>
      </c>
      <c r="AA1382" s="119">
        <f t="shared" ref="AA1382:AA1383" si="986">Z1382/P1382</f>
        <v>0.63950340091131219</v>
      </c>
      <c r="AB1382" s="120">
        <f t="shared" ref="AB1382:AB1383" si="987">M1382-W1382</f>
        <v>-3.179000000000002</v>
      </c>
      <c r="AC1382" s="119">
        <f t="shared" ref="AC1382:AC1383" si="988">IFERROR(AA1382-O1382,"")</f>
        <v>-1.049659908868783E-2</v>
      </c>
      <c r="AD1382" s="110"/>
      <c r="AE1382" s="110"/>
      <c r="AF1382" s="110"/>
      <c r="AG1382" s="121"/>
      <c r="AH1382" s="110"/>
    </row>
    <row r="1383" spans="1:16382" ht="11.25" customHeight="1" x14ac:dyDescent="0.15">
      <c r="A1383" s="110" t="s">
        <v>322</v>
      </c>
      <c r="B1383" s="110"/>
      <c r="C1383" s="111" t="s">
        <v>201</v>
      </c>
      <c r="D1383" s="111">
        <v>2024</v>
      </c>
      <c r="E1383" s="146">
        <v>45322</v>
      </c>
      <c r="F1383" s="111"/>
      <c r="G1383" s="111" t="s">
        <v>202</v>
      </c>
      <c r="H1383" s="111"/>
      <c r="I1383" s="111"/>
      <c r="J1383" s="111"/>
      <c r="K1383" s="112" t="s">
        <v>203</v>
      </c>
      <c r="L1383" s="120">
        <v>14639</v>
      </c>
      <c r="M1383" s="120">
        <f t="shared" si="981"/>
        <v>5123.6499999999996</v>
      </c>
      <c r="N1383" s="120">
        <f t="shared" si="982"/>
        <v>9515.35</v>
      </c>
      <c r="O1383" s="119">
        <f>IFERROR(N1383/L1383,"")</f>
        <v>0.65</v>
      </c>
      <c r="P1383" s="120">
        <v>14639</v>
      </c>
      <c r="Q1383" s="111">
        <v>2777</v>
      </c>
      <c r="R1383" s="117">
        <v>39</v>
      </c>
      <c r="S1383" s="117">
        <v>1790.5</v>
      </c>
      <c r="T1383" s="117">
        <v>1192.74</v>
      </c>
      <c r="U1383" s="117"/>
      <c r="V1383" s="117"/>
      <c r="W1383" s="26">
        <f>SUM(S1383:V1383)</f>
        <v>2983.24</v>
      </c>
      <c r="X1383" s="118">
        <f t="shared" si="983"/>
        <v>45.910256410256409</v>
      </c>
      <c r="Y1383" s="119">
        <f t="shared" si="984"/>
        <v>0</v>
      </c>
      <c r="Z1383" s="117">
        <f t="shared" si="985"/>
        <v>11655.76</v>
      </c>
      <c r="AA1383" s="119">
        <f t="shared" si="986"/>
        <v>0.79621285606940362</v>
      </c>
      <c r="AB1383" s="120">
        <f t="shared" si="987"/>
        <v>2140.41</v>
      </c>
      <c r="AC1383" s="119">
        <f t="shared" si="988"/>
        <v>0.1462128560694036</v>
      </c>
      <c r="AD1383" s="110"/>
      <c r="AE1383" s="110"/>
      <c r="AF1383" s="110"/>
      <c r="AG1383" s="121"/>
      <c r="AH1383" s="110"/>
    </row>
    <row r="1384" spans="1:16382" ht="11.25" customHeight="1" x14ac:dyDescent="0.15">
      <c r="A1384" s="110" t="s">
        <v>322</v>
      </c>
      <c r="B1384" s="110"/>
      <c r="C1384" s="111" t="s">
        <v>201</v>
      </c>
      <c r="D1384" s="111">
        <v>2024</v>
      </c>
      <c r="E1384" s="146">
        <v>45322</v>
      </c>
      <c r="F1384" s="111"/>
      <c r="G1384" s="111">
        <v>1642014</v>
      </c>
      <c r="H1384" s="111"/>
      <c r="I1384" s="111"/>
      <c r="J1384" s="111"/>
      <c r="K1384" s="112" t="s">
        <v>718</v>
      </c>
      <c r="L1384" s="120">
        <v>-15233.28</v>
      </c>
      <c r="M1384" s="120">
        <f t="shared" si="981"/>
        <v>-5331.6480000000001</v>
      </c>
      <c r="N1384" s="120">
        <f t="shared" si="982"/>
        <v>-9901.6320000000014</v>
      </c>
      <c r="O1384" s="119">
        <f t="shared" ref="O1384:O1385" si="989">IFERROR(N1384/L1384,"")</f>
        <v>0.65</v>
      </c>
      <c r="P1384" s="120">
        <v>-15233.28</v>
      </c>
      <c r="Q1384" s="111"/>
      <c r="R1384" s="117"/>
      <c r="S1384" s="117"/>
      <c r="T1384" s="117"/>
      <c r="U1384" s="117"/>
      <c r="V1384" s="117"/>
      <c r="W1384" s="26">
        <f>SUM(S1384:V1384)</f>
        <v>0</v>
      </c>
      <c r="X1384" s="118"/>
      <c r="Y1384" s="119"/>
      <c r="Z1384" s="117"/>
      <c r="AA1384" s="119"/>
      <c r="AB1384" s="120"/>
      <c r="AC1384" s="119"/>
      <c r="AD1384" s="110"/>
      <c r="AE1384" s="110"/>
      <c r="AF1384" s="110"/>
      <c r="AG1384" s="121"/>
      <c r="AH1384" s="110"/>
    </row>
    <row r="1385" spans="1:16382" s="216" customFormat="1" ht="11.25" customHeight="1" x14ac:dyDescent="0.15">
      <c r="A1385" s="53" t="s">
        <v>322</v>
      </c>
      <c r="B1385" s="53"/>
      <c r="C1385" s="54" t="s">
        <v>177</v>
      </c>
      <c r="D1385" s="54">
        <v>2024</v>
      </c>
      <c r="E1385" s="70">
        <v>45322</v>
      </c>
      <c r="F1385" s="54"/>
      <c r="G1385" s="54"/>
      <c r="H1385" s="54"/>
      <c r="I1385" s="54"/>
      <c r="J1385" s="54"/>
      <c r="K1385" s="106"/>
      <c r="L1385" s="24">
        <f>SUM(L1381:L1384)</f>
        <v>0</v>
      </c>
      <c r="M1385" s="24">
        <v>0</v>
      </c>
      <c r="N1385" s="24">
        <v>0</v>
      </c>
      <c r="O1385" s="57" t="str">
        <f t="shared" si="989"/>
        <v/>
      </c>
      <c r="P1385" s="24">
        <f>SUM(P1381:P1384)</f>
        <v>0</v>
      </c>
      <c r="Q1385" s="24"/>
      <c r="R1385" s="117">
        <f>SUM(R1381:R1384)</f>
        <v>39</v>
      </c>
      <c r="S1385" s="117">
        <f t="shared" ref="S1385:W1385" si="990">SUM(S1381:S1384)</f>
        <v>1790.5</v>
      </c>
      <c r="T1385" s="117">
        <f t="shared" si="990"/>
        <v>1192.74</v>
      </c>
      <c r="U1385" s="117">
        <f t="shared" si="990"/>
        <v>211.18</v>
      </c>
      <c r="V1385" s="117">
        <f t="shared" si="990"/>
        <v>0</v>
      </c>
      <c r="W1385" s="26">
        <f t="shared" si="990"/>
        <v>3194.4199999999996</v>
      </c>
      <c r="X1385" s="56">
        <f t="shared" ref="X1385" si="991">IFERROR(S1385/R1385,"")</f>
        <v>45.910256410256409</v>
      </c>
      <c r="Y1385" s="57">
        <f>IFERROR(U1385/P1385,0)</f>
        <v>0</v>
      </c>
      <c r="Z1385" s="28">
        <f t="shared" ref="Z1385" si="992">P1385-W1385</f>
        <v>-3194.4199999999996</v>
      </c>
      <c r="AA1385" s="57">
        <f>IFERROR(Z1385/P1385,0)</f>
        <v>0</v>
      </c>
      <c r="AB1385" s="58">
        <f t="shared" ref="AB1385" si="993">M1385-W1385</f>
        <v>-3194.4199999999996</v>
      </c>
      <c r="AC1385" s="57" t="str">
        <f t="shared" ref="AC1385" si="994">IFERROR(AA1385-O1385,"")</f>
        <v/>
      </c>
      <c r="AD1385" s="53"/>
      <c r="AE1385" s="53"/>
      <c r="AF1385" s="53"/>
      <c r="AG1385" s="61"/>
      <c r="AH1385" s="53"/>
    </row>
    <row r="1386" spans="1:16382" ht="11.25" customHeight="1" x14ac:dyDescent="0.15">
      <c r="A1386" s="130"/>
      <c r="B1386" s="130"/>
      <c r="C1386" s="124"/>
      <c r="D1386" s="124"/>
      <c r="E1386" s="273"/>
      <c r="F1386" s="124"/>
      <c r="G1386" s="124"/>
      <c r="H1386" s="124"/>
      <c r="I1386" s="124"/>
      <c r="J1386" s="124"/>
      <c r="K1386" s="125"/>
      <c r="L1386" s="129"/>
      <c r="M1386" s="129"/>
      <c r="N1386" s="129"/>
      <c r="O1386" s="128"/>
      <c r="P1386" s="129"/>
      <c r="Q1386" s="124"/>
      <c r="R1386" s="117"/>
      <c r="S1386" s="117"/>
      <c r="T1386" s="117"/>
      <c r="U1386" s="117"/>
      <c r="V1386" s="117"/>
      <c r="X1386" s="45"/>
      <c r="Y1386" s="128"/>
      <c r="Z1386" s="126"/>
      <c r="AA1386" s="128"/>
      <c r="AB1386" s="129"/>
      <c r="AC1386" s="160"/>
      <c r="AD1386" s="137"/>
      <c r="AE1386" s="110"/>
      <c r="AF1386" s="110"/>
      <c r="AG1386" s="121"/>
      <c r="AH1386" s="110"/>
    </row>
    <row r="1387" spans="1:16382" ht="11.25" customHeight="1" x14ac:dyDescent="0.15">
      <c r="A1387" s="110" t="s">
        <v>719</v>
      </c>
      <c r="B1387" s="110"/>
      <c r="C1387" s="111" t="s">
        <v>164</v>
      </c>
      <c r="D1387" s="111">
        <v>2024</v>
      </c>
      <c r="E1387" s="146">
        <v>45322</v>
      </c>
      <c r="F1387" s="111"/>
      <c r="G1387" s="111" t="s">
        <v>720</v>
      </c>
      <c r="H1387" s="111"/>
      <c r="I1387" s="111"/>
      <c r="J1387" s="111"/>
      <c r="K1387" s="112" t="s">
        <v>721</v>
      </c>
      <c r="L1387" s="120">
        <v>4709</v>
      </c>
      <c r="M1387" s="120">
        <v>1647.92</v>
      </c>
      <c r="N1387" s="120">
        <f>L1387-M1387</f>
        <v>3061.08</v>
      </c>
      <c r="O1387" s="119">
        <f>IFERROR(N1387/L1387,"")</f>
        <v>0.65004884264174978</v>
      </c>
      <c r="P1387" s="120">
        <v>4709</v>
      </c>
      <c r="Q1387" s="111"/>
      <c r="R1387" s="117"/>
      <c r="S1387" s="117"/>
      <c r="T1387" s="117"/>
      <c r="U1387" s="117">
        <v>1647.92</v>
      </c>
      <c r="V1387" s="117"/>
      <c r="W1387" s="26">
        <f t="shared" ref="W1387:W1397" si="995">SUM(S1387:V1387)</f>
        <v>1647.92</v>
      </c>
      <c r="X1387" s="118" t="str">
        <f t="shared" ref="X1387:X1394" si="996">IFERROR(S1387/R1387,"")</f>
        <v/>
      </c>
      <c r="Y1387" s="119">
        <f t="shared" ref="Y1387:Y1389" si="997">U1387/P1387</f>
        <v>0.34995115735825016</v>
      </c>
      <c r="Z1387" s="117">
        <f t="shared" ref="Z1387" si="998">P1387-W1387</f>
        <v>3061.08</v>
      </c>
      <c r="AA1387" s="119">
        <f t="shared" ref="AA1387" si="999">Z1387/P1387</f>
        <v>0.65004884264174978</v>
      </c>
      <c r="AB1387" s="120">
        <f t="shared" ref="AB1387" si="1000">M1387-W1387</f>
        <v>0</v>
      </c>
      <c r="AC1387" s="119">
        <f t="shared" ref="AC1387" si="1001">IFERROR(AA1387-O1387,"")</f>
        <v>0</v>
      </c>
      <c r="AD1387" s="110"/>
      <c r="AE1387" s="110"/>
      <c r="AF1387" s="110"/>
      <c r="AG1387" s="121"/>
      <c r="AH1387" s="110"/>
    </row>
    <row r="1388" spans="1:16382" ht="11.25" customHeight="1" x14ac:dyDescent="0.15">
      <c r="A1388" s="110" t="s">
        <v>719</v>
      </c>
      <c r="B1388" s="110"/>
      <c r="C1388" s="111" t="s">
        <v>164</v>
      </c>
      <c r="D1388" s="111">
        <v>2024</v>
      </c>
      <c r="E1388" s="146">
        <v>45322</v>
      </c>
      <c r="F1388" s="111"/>
      <c r="G1388" s="111" t="s">
        <v>722</v>
      </c>
      <c r="H1388" s="111"/>
      <c r="I1388" s="111"/>
      <c r="J1388" s="111"/>
      <c r="K1388" s="112" t="s">
        <v>723</v>
      </c>
      <c r="L1388" s="120">
        <v>114</v>
      </c>
      <c r="M1388" s="120">
        <v>39.590000000000003</v>
      </c>
      <c r="N1388" s="120">
        <f t="shared" ref="N1388:N1397" si="1002">L1388-M1388</f>
        <v>74.41</v>
      </c>
      <c r="O1388" s="119">
        <f t="shared" ref="O1388:O1406" si="1003">IFERROR(N1388/L1388,"")</f>
        <v>0.65271929824561403</v>
      </c>
      <c r="P1388" s="120">
        <v>114</v>
      </c>
      <c r="Q1388" s="111"/>
      <c r="R1388" s="117"/>
      <c r="S1388" s="117"/>
      <c r="T1388" s="117"/>
      <c r="U1388" s="117">
        <v>41.63</v>
      </c>
      <c r="V1388" s="117"/>
      <c r="W1388" s="26">
        <f t="shared" si="995"/>
        <v>41.63</v>
      </c>
      <c r="X1388" s="118" t="str">
        <f t="shared" si="996"/>
        <v/>
      </c>
      <c r="Y1388" s="119">
        <f t="shared" si="997"/>
        <v>0.36517543859649126</v>
      </c>
      <c r="Z1388" s="117">
        <f t="shared" ref="Z1388:Z1398" si="1004">P1388-W1388</f>
        <v>72.37</v>
      </c>
      <c r="AA1388" s="119">
        <f t="shared" ref="AA1388:AA1398" si="1005">Z1388/P1388</f>
        <v>0.63482456140350885</v>
      </c>
      <c r="AB1388" s="120">
        <f t="shared" ref="AB1388:AB1398" si="1006">M1388-W1388</f>
        <v>-2.0399999999999991</v>
      </c>
      <c r="AC1388" s="119">
        <f t="shared" ref="AC1388:AC1398" si="1007">IFERROR(AA1388-O1388,"")</f>
        <v>-1.7894736842105186E-2</v>
      </c>
      <c r="AD1388" s="110"/>
      <c r="AE1388" s="110"/>
      <c r="AF1388" s="110"/>
      <c r="AG1388" s="121"/>
      <c r="AH1388" s="110"/>
    </row>
    <row r="1389" spans="1:16382" ht="11.25" customHeight="1" x14ac:dyDescent="0.15">
      <c r="A1389" s="110" t="s">
        <v>719</v>
      </c>
      <c r="B1389" s="110"/>
      <c r="C1389" s="111" t="s">
        <v>164</v>
      </c>
      <c r="D1389" s="111">
        <v>2024</v>
      </c>
      <c r="E1389" s="146">
        <v>45322</v>
      </c>
      <c r="F1389" s="169"/>
      <c r="G1389" s="169" t="s">
        <v>724</v>
      </c>
      <c r="H1389" s="111"/>
      <c r="I1389" s="111"/>
      <c r="J1389" s="111"/>
      <c r="K1389" s="112" t="s">
        <v>725</v>
      </c>
      <c r="L1389" s="120">
        <v>52</v>
      </c>
      <c r="M1389" s="120">
        <v>18.03</v>
      </c>
      <c r="N1389" s="120">
        <f t="shared" si="1002"/>
        <v>33.97</v>
      </c>
      <c r="O1389" s="119">
        <f t="shared" si="1003"/>
        <v>0.65326923076923071</v>
      </c>
      <c r="P1389" s="120">
        <v>52</v>
      </c>
      <c r="Q1389" s="111"/>
      <c r="R1389" s="117"/>
      <c r="S1389" s="117"/>
      <c r="T1389" s="117"/>
      <c r="U1389" s="117">
        <v>18.04</v>
      </c>
      <c r="V1389" s="117"/>
      <c r="W1389" s="26">
        <f t="shared" si="995"/>
        <v>18.04</v>
      </c>
      <c r="X1389" s="118" t="str">
        <f t="shared" si="996"/>
        <v/>
      </c>
      <c r="Y1389" s="119">
        <f t="shared" si="997"/>
        <v>0.34692307692307689</v>
      </c>
      <c r="Z1389" s="117">
        <f t="shared" si="1004"/>
        <v>33.96</v>
      </c>
      <c r="AA1389" s="119">
        <f t="shared" si="1005"/>
        <v>0.65307692307692311</v>
      </c>
      <c r="AB1389" s="120">
        <f t="shared" si="1006"/>
        <v>-9.9999999999980105E-3</v>
      </c>
      <c r="AC1389" s="119">
        <f t="shared" si="1007"/>
        <v>-1.9230769230760281E-4</v>
      </c>
      <c r="AD1389" s="110"/>
      <c r="AE1389" s="110"/>
      <c r="AF1389" s="110"/>
      <c r="AG1389" s="121"/>
      <c r="AH1389" s="110"/>
    </row>
    <row r="1390" spans="1:16382" ht="11.25" customHeight="1" x14ac:dyDescent="0.15">
      <c r="A1390" s="110" t="s">
        <v>719</v>
      </c>
      <c r="B1390" s="110"/>
      <c r="C1390" s="111" t="s">
        <v>164</v>
      </c>
      <c r="D1390" s="111">
        <v>2024</v>
      </c>
      <c r="E1390" s="146">
        <v>45322</v>
      </c>
      <c r="F1390" s="169"/>
      <c r="G1390" s="169" t="s">
        <v>726</v>
      </c>
      <c r="H1390" s="111"/>
      <c r="I1390" s="111"/>
      <c r="J1390" s="111"/>
      <c r="K1390" s="112" t="s">
        <v>727</v>
      </c>
      <c r="L1390" s="120">
        <v>70</v>
      </c>
      <c r="M1390" s="120">
        <v>24.36</v>
      </c>
      <c r="N1390" s="120">
        <f t="shared" si="1002"/>
        <v>45.64</v>
      </c>
      <c r="O1390" s="119">
        <f t="shared" si="1003"/>
        <v>0.65200000000000002</v>
      </c>
      <c r="P1390" s="120">
        <v>70</v>
      </c>
      <c r="Q1390" s="111"/>
      <c r="R1390" s="117"/>
      <c r="S1390" s="117"/>
      <c r="T1390" s="117"/>
      <c r="U1390" s="117">
        <v>24.36</v>
      </c>
      <c r="V1390" s="117"/>
      <c r="W1390" s="26">
        <f t="shared" si="995"/>
        <v>24.36</v>
      </c>
      <c r="X1390" s="118" t="str">
        <f t="shared" si="996"/>
        <v/>
      </c>
      <c r="Y1390" s="119">
        <f>IFERROR(U1390/P1390,0)</f>
        <v>0.34799999999999998</v>
      </c>
      <c r="Z1390" s="117">
        <f t="shared" si="1004"/>
        <v>45.64</v>
      </c>
      <c r="AA1390" s="119">
        <f t="shared" si="1005"/>
        <v>0.65200000000000002</v>
      </c>
      <c r="AB1390" s="120">
        <f t="shared" si="1006"/>
        <v>0</v>
      </c>
      <c r="AC1390" s="119">
        <f t="shared" si="1007"/>
        <v>0</v>
      </c>
      <c r="AD1390" s="110"/>
      <c r="AE1390" s="110"/>
      <c r="AF1390" s="110"/>
      <c r="AG1390" s="121"/>
      <c r="AH1390" s="110"/>
    </row>
    <row r="1391" spans="1:16382" ht="11.25" customHeight="1" x14ac:dyDescent="0.15">
      <c r="A1391" s="110" t="s">
        <v>719</v>
      </c>
      <c r="B1391" s="110"/>
      <c r="C1391" s="111" t="s">
        <v>164</v>
      </c>
      <c r="D1391" s="111">
        <v>2024</v>
      </c>
      <c r="E1391" s="146">
        <v>45322</v>
      </c>
      <c r="F1391" s="169"/>
      <c r="G1391" s="169" t="s">
        <v>728</v>
      </c>
      <c r="H1391" s="109"/>
      <c r="I1391" s="236"/>
      <c r="J1391" s="111"/>
      <c r="K1391" s="112" t="s">
        <v>729</v>
      </c>
      <c r="L1391" s="120">
        <v>22</v>
      </c>
      <c r="M1391" s="120">
        <v>7.7</v>
      </c>
      <c r="N1391" s="120">
        <f t="shared" si="1002"/>
        <v>14.3</v>
      </c>
      <c r="O1391" s="119">
        <f t="shared" si="1003"/>
        <v>0.65</v>
      </c>
      <c r="P1391" s="120">
        <v>22</v>
      </c>
      <c r="Q1391" s="111"/>
      <c r="R1391" s="117"/>
      <c r="S1391" s="117"/>
      <c r="T1391" s="117"/>
      <c r="U1391" s="117">
        <v>8.2100000000000009</v>
      </c>
      <c r="V1391" s="117"/>
      <c r="W1391" s="26">
        <f t="shared" si="995"/>
        <v>8.2100000000000009</v>
      </c>
      <c r="X1391" s="118" t="str">
        <f t="shared" si="996"/>
        <v/>
      </c>
      <c r="Y1391" s="119">
        <f t="shared" ref="Y1391:Y1394" si="1008">U1391/P1391</f>
        <v>0.37318181818181823</v>
      </c>
      <c r="Z1391" s="117">
        <f t="shared" si="1004"/>
        <v>13.79</v>
      </c>
      <c r="AA1391" s="119">
        <f t="shared" si="1005"/>
        <v>0.62681818181818183</v>
      </c>
      <c r="AB1391" s="120">
        <f t="shared" si="1006"/>
        <v>-0.51000000000000068</v>
      </c>
      <c r="AC1391" s="119">
        <f t="shared" si="1007"/>
        <v>-2.3181818181818192E-2</v>
      </c>
      <c r="AD1391" s="110"/>
      <c r="AE1391" s="110"/>
      <c r="AF1391" s="110"/>
      <c r="AG1391" s="121"/>
      <c r="AH1391" s="110"/>
    </row>
    <row r="1392" spans="1:16382" ht="11.25" customHeight="1" x14ac:dyDescent="0.15">
      <c r="A1392" s="110" t="s">
        <v>719</v>
      </c>
      <c r="B1392" s="110"/>
      <c r="C1392" s="111" t="s">
        <v>164</v>
      </c>
      <c r="D1392" s="111">
        <v>2024</v>
      </c>
      <c r="E1392" s="146">
        <v>45322</v>
      </c>
      <c r="F1392" s="111"/>
      <c r="G1392" s="111" t="s">
        <v>730</v>
      </c>
      <c r="H1392" s="111"/>
      <c r="I1392" s="111"/>
      <c r="J1392" s="111"/>
      <c r="K1392" s="112" t="s">
        <v>731</v>
      </c>
      <c r="L1392" s="120">
        <v>5</v>
      </c>
      <c r="M1392" s="120">
        <v>1.69</v>
      </c>
      <c r="N1392" s="120">
        <f t="shared" si="1002"/>
        <v>3.31</v>
      </c>
      <c r="O1392" s="119">
        <f t="shared" si="1003"/>
        <v>0.66200000000000003</v>
      </c>
      <c r="P1392" s="120">
        <v>5</v>
      </c>
      <c r="Q1392" s="111"/>
      <c r="R1392" s="117"/>
      <c r="S1392" s="117"/>
      <c r="T1392" s="117"/>
      <c r="U1392" s="117">
        <v>1.69</v>
      </c>
      <c r="V1392" s="117"/>
      <c r="W1392" s="26">
        <f t="shared" si="995"/>
        <v>1.69</v>
      </c>
      <c r="X1392" s="118" t="str">
        <f t="shared" si="996"/>
        <v/>
      </c>
      <c r="Y1392" s="119">
        <f t="shared" si="1008"/>
        <v>0.33799999999999997</v>
      </c>
      <c r="Z1392" s="117">
        <f t="shared" si="1004"/>
        <v>3.31</v>
      </c>
      <c r="AA1392" s="119">
        <f t="shared" si="1005"/>
        <v>0.66200000000000003</v>
      </c>
      <c r="AB1392" s="120">
        <f t="shared" si="1006"/>
        <v>0</v>
      </c>
      <c r="AC1392" s="119">
        <f t="shared" si="1007"/>
        <v>0</v>
      </c>
      <c r="AD1392" s="110"/>
      <c r="AE1392" s="110"/>
      <c r="AF1392" s="110"/>
      <c r="AG1392" s="121"/>
      <c r="AH1392" s="110"/>
    </row>
    <row r="1393" spans="1:34" ht="11.25" customHeight="1" x14ac:dyDescent="0.15">
      <c r="A1393" s="110" t="s">
        <v>719</v>
      </c>
      <c r="B1393" s="110"/>
      <c r="C1393" s="111" t="s">
        <v>164</v>
      </c>
      <c r="D1393" s="111">
        <v>2024</v>
      </c>
      <c r="E1393" s="146">
        <v>45322</v>
      </c>
      <c r="F1393" s="111"/>
      <c r="G1393" s="111" t="s">
        <v>732</v>
      </c>
      <c r="H1393" s="111"/>
      <c r="I1393" s="111"/>
      <c r="J1393" s="111"/>
      <c r="K1393" s="112" t="s">
        <v>733</v>
      </c>
      <c r="L1393" s="120">
        <v>33</v>
      </c>
      <c r="M1393" s="120">
        <v>11.54</v>
      </c>
      <c r="N1393" s="120">
        <f t="shared" si="1002"/>
        <v>21.46</v>
      </c>
      <c r="O1393" s="119">
        <f t="shared" si="1003"/>
        <v>0.65030303030303038</v>
      </c>
      <c r="P1393" s="120">
        <v>33</v>
      </c>
      <c r="Q1393" s="111"/>
      <c r="R1393" s="117"/>
      <c r="S1393" s="117"/>
      <c r="T1393" s="117"/>
      <c r="U1393" s="117">
        <v>11.54</v>
      </c>
      <c r="V1393" s="117"/>
      <c r="W1393" s="26">
        <f t="shared" si="995"/>
        <v>11.54</v>
      </c>
      <c r="X1393" s="118" t="str">
        <f t="shared" si="996"/>
        <v/>
      </c>
      <c r="Y1393" s="119">
        <f t="shared" si="1008"/>
        <v>0.34969696969696967</v>
      </c>
      <c r="Z1393" s="117">
        <f t="shared" si="1004"/>
        <v>21.46</v>
      </c>
      <c r="AA1393" s="119">
        <f t="shared" si="1005"/>
        <v>0.65030303030303038</v>
      </c>
      <c r="AB1393" s="120">
        <f t="shared" si="1006"/>
        <v>0</v>
      </c>
      <c r="AC1393" s="119">
        <f t="shared" si="1007"/>
        <v>0</v>
      </c>
      <c r="AD1393" s="110"/>
      <c r="AE1393" s="110"/>
      <c r="AF1393" s="110"/>
      <c r="AG1393" s="121"/>
      <c r="AH1393" s="110"/>
    </row>
    <row r="1394" spans="1:34" ht="11.25" customHeight="1" x14ac:dyDescent="0.15">
      <c r="A1394" s="110" t="s">
        <v>719</v>
      </c>
      <c r="B1394" s="110"/>
      <c r="C1394" s="111" t="s">
        <v>164</v>
      </c>
      <c r="D1394" s="111">
        <v>2024</v>
      </c>
      <c r="E1394" s="146">
        <v>45322</v>
      </c>
      <c r="F1394" s="111"/>
      <c r="G1394" s="111" t="s">
        <v>734</v>
      </c>
      <c r="H1394" s="111"/>
      <c r="I1394" s="111"/>
      <c r="J1394" s="111"/>
      <c r="K1394" s="112" t="s">
        <v>735</v>
      </c>
      <c r="L1394" s="120">
        <v>590</v>
      </c>
      <c r="M1394" s="120">
        <v>206.38</v>
      </c>
      <c r="N1394" s="120">
        <f t="shared" si="1002"/>
        <v>383.62</v>
      </c>
      <c r="O1394" s="119">
        <f t="shared" si="1003"/>
        <v>0.65020338983050852</v>
      </c>
      <c r="P1394" s="120">
        <v>590</v>
      </c>
      <c r="Q1394" s="111"/>
      <c r="R1394" s="117"/>
      <c r="S1394" s="117"/>
      <c r="T1394" s="117"/>
      <c r="U1394" s="117">
        <v>206.38</v>
      </c>
      <c r="V1394" s="117"/>
      <c r="W1394" s="26">
        <f t="shared" si="995"/>
        <v>206.38</v>
      </c>
      <c r="X1394" s="118" t="str">
        <f t="shared" si="996"/>
        <v/>
      </c>
      <c r="Y1394" s="119">
        <f t="shared" si="1008"/>
        <v>0.34979661016949154</v>
      </c>
      <c r="Z1394" s="117">
        <f t="shared" si="1004"/>
        <v>383.62</v>
      </c>
      <c r="AA1394" s="119">
        <f t="shared" si="1005"/>
        <v>0.65020338983050852</v>
      </c>
      <c r="AB1394" s="120">
        <f t="shared" si="1006"/>
        <v>0</v>
      </c>
      <c r="AC1394" s="119">
        <f t="shared" si="1007"/>
        <v>0</v>
      </c>
      <c r="AD1394" s="110"/>
      <c r="AE1394" s="110"/>
      <c r="AF1394" s="110"/>
      <c r="AG1394" s="121"/>
      <c r="AH1394" s="110"/>
    </row>
    <row r="1395" spans="1:34" ht="11.25" customHeight="1" x14ac:dyDescent="0.15">
      <c r="A1395" s="110" t="s">
        <v>719</v>
      </c>
      <c r="B1395" s="110"/>
      <c r="C1395" s="111" t="s">
        <v>279</v>
      </c>
      <c r="D1395" s="111">
        <v>2024</v>
      </c>
      <c r="E1395" s="146">
        <v>45322</v>
      </c>
      <c r="F1395" s="111"/>
      <c r="G1395" s="111">
        <v>51005021</v>
      </c>
      <c r="H1395" s="111"/>
      <c r="I1395" s="111"/>
      <c r="J1395" s="111"/>
      <c r="K1395" s="112" t="s">
        <v>736</v>
      </c>
      <c r="L1395" s="120">
        <f>10112-5885</f>
        <v>4227</v>
      </c>
      <c r="M1395" s="120">
        <v>1543.24</v>
      </c>
      <c r="N1395" s="120">
        <f t="shared" si="1002"/>
        <v>2683.76</v>
      </c>
      <c r="O1395" s="119">
        <f t="shared" si="1003"/>
        <v>0.63490891885497991</v>
      </c>
      <c r="P1395" s="120">
        <f>L1395</f>
        <v>4227</v>
      </c>
      <c r="Q1395" s="111">
        <v>2612</v>
      </c>
      <c r="R1395" s="117">
        <v>34</v>
      </c>
      <c r="S1395" s="117">
        <v>1560.95</v>
      </c>
      <c r="T1395" s="117">
        <v>1373.17</v>
      </c>
      <c r="U1395" s="117">
        <v>1017.85</v>
      </c>
      <c r="V1395" s="117"/>
      <c r="W1395" s="26">
        <f t="shared" si="995"/>
        <v>3951.97</v>
      </c>
      <c r="X1395" s="118">
        <f t="shared" ref="X1395:X1398" si="1009">IFERROR(S1395/R1395,"")</f>
        <v>45.910294117647062</v>
      </c>
      <c r="Y1395" s="119">
        <f t="shared" ref="Y1395:Y1398" si="1010">U1395/P1395</f>
        <v>0.24079725573692928</v>
      </c>
      <c r="Z1395" s="117">
        <f t="shared" si="1004"/>
        <v>275.0300000000002</v>
      </c>
      <c r="AA1395" s="119">
        <f t="shared" si="1005"/>
        <v>6.5065057960728701E-2</v>
      </c>
      <c r="AB1395" s="120">
        <f t="shared" si="1006"/>
        <v>-2408.7299999999996</v>
      </c>
      <c r="AC1395" s="119">
        <f t="shared" si="1007"/>
        <v>-0.56984386089425121</v>
      </c>
      <c r="AD1395" s="110" t="s">
        <v>737</v>
      </c>
      <c r="AE1395" s="110"/>
      <c r="AF1395" s="110"/>
      <c r="AG1395" s="121"/>
      <c r="AH1395" s="110"/>
    </row>
    <row r="1396" spans="1:34" ht="11.25" customHeight="1" x14ac:dyDescent="0.15">
      <c r="A1396" s="110" t="s">
        <v>719</v>
      </c>
      <c r="B1396" s="110"/>
      <c r="C1396" s="111" t="s">
        <v>55</v>
      </c>
      <c r="D1396" s="111">
        <v>2024</v>
      </c>
      <c r="E1396" s="146">
        <v>45322</v>
      </c>
      <c r="F1396" s="111"/>
      <c r="G1396" s="111" t="s">
        <v>56</v>
      </c>
      <c r="H1396" s="111"/>
      <c r="I1396" s="111"/>
      <c r="J1396" s="111"/>
      <c r="K1396" s="112" t="s">
        <v>71</v>
      </c>
      <c r="L1396" s="120">
        <v>173</v>
      </c>
      <c r="M1396" s="120">
        <v>86.25</v>
      </c>
      <c r="N1396" s="120">
        <f t="shared" si="1002"/>
        <v>86.75</v>
      </c>
      <c r="O1396" s="119">
        <f t="shared" si="1003"/>
        <v>0.50144508670520227</v>
      </c>
      <c r="P1396" s="120">
        <v>173</v>
      </c>
      <c r="Q1396" s="111">
        <v>2613</v>
      </c>
      <c r="R1396" s="117">
        <v>1</v>
      </c>
      <c r="S1396" s="117">
        <v>42.5</v>
      </c>
      <c r="T1396" s="117"/>
      <c r="U1396" s="117">
        <v>539.42999999999995</v>
      </c>
      <c r="V1396" s="117"/>
      <c r="W1396" s="26">
        <f>SUM(S1396:V1396)</f>
        <v>581.92999999999995</v>
      </c>
      <c r="X1396" s="118">
        <f t="shared" si="1009"/>
        <v>42.5</v>
      </c>
      <c r="Y1396" s="119">
        <f t="shared" si="1010"/>
        <v>3.1180924855491328</v>
      </c>
      <c r="Z1396" s="117">
        <f t="shared" si="1004"/>
        <v>-408.92999999999995</v>
      </c>
      <c r="AA1396" s="119">
        <f t="shared" si="1005"/>
        <v>-2.3637572254335257</v>
      </c>
      <c r="AB1396" s="120">
        <f t="shared" si="1006"/>
        <v>-495.67999999999995</v>
      </c>
      <c r="AC1396" s="119">
        <f t="shared" si="1007"/>
        <v>-2.8652023121387282</v>
      </c>
      <c r="AD1396" s="110" t="s">
        <v>738</v>
      </c>
      <c r="AE1396" s="110"/>
      <c r="AF1396" s="110"/>
      <c r="AG1396" s="121"/>
      <c r="AH1396" s="110"/>
    </row>
    <row r="1397" spans="1:34" ht="11.25" customHeight="1" x14ac:dyDescent="0.15">
      <c r="A1397" s="110" t="s">
        <v>719</v>
      </c>
      <c r="B1397" s="110"/>
      <c r="C1397" s="111" t="s">
        <v>175</v>
      </c>
      <c r="D1397" s="111">
        <v>2024</v>
      </c>
      <c r="E1397" s="146">
        <v>45322</v>
      </c>
      <c r="F1397" s="111"/>
      <c r="G1397" s="111">
        <v>81000000</v>
      </c>
      <c r="H1397" s="111">
        <v>4111</v>
      </c>
      <c r="I1397" s="111" t="str">
        <f>MID(G1397,2,1)</f>
        <v>1</v>
      </c>
      <c r="J1397" s="111" t="str">
        <f>IF(I1397="1","Small/Medium","Large")</f>
        <v>Small/Medium</v>
      </c>
      <c r="K1397" s="147" t="s">
        <v>145</v>
      </c>
      <c r="L1397" s="120">
        <v>8865</v>
      </c>
      <c r="M1397" s="120">
        <v>3508.36</v>
      </c>
      <c r="N1397" s="120">
        <f t="shared" si="1002"/>
        <v>5356.6399999999994</v>
      </c>
      <c r="O1397" s="119">
        <f t="shared" si="1003"/>
        <v>0.60424591088550472</v>
      </c>
      <c r="P1397" s="120">
        <v>8865</v>
      </c>
      <c r="Q1397" s="111">
        <v>2614</v>
      </c>
      <c r="R1397" s="117">
        <v>20.5</v>
      </c>
      <c r="S1397" s="117">
        <v>920.04</v>
      </c>
      <c r="T1397" s="117">
        <v>915.45</v>
      </c>
      <c r="U1397" s="117">
        <v>43.42</v>
      </c>
      <c r="V1397" s="117"/>
      <c r="W1397" s="26">
        <f t="shared" si="995"/>
        <v>1878.91</v>
      </c>
      <c r="X1397" s="118">
        <f t="shared" si="1009"/>
        <v>44.879999999999995</v>
      </c>
      <c r="Y1397" s="119">
        <f t="shared" si="1010"/>
        <v>4.8979131415679642E-3</v>
      </c>
      <c r="Z1397" s="117">
        <f t="shared" si="1004"/>
        <v>6986.09</v>
      </c>
      <c r="AA1397" s="119">
        <f t="shared" si="1005"/>
        <v>0.78805301748448964</v>
      </c>
      <c r="AB1397" s="120">
        <f t="shared" si="1006"/>
        <v>1629.45</v>
      </c>
      <c r="AC1397" s="119">
        <f t="shared" si="1007"/>
        <v>0.18380710659898492</v>
      </c>
      <c r="AD1397" s="110" t="s">
        <v>739</v>
      </c>
      <c r="AE1397" s="110"/>
      <c r="AF1397" s="110"/>
      <c r="AG1397" s="121"/>
      <c r="AH1397" s="110"/>
    </row>
    <row r="1398" spans="1:34" s="216" customFormat="1" ht="11.25" customHeight="1" x14ac:dyDescent="0.15">
      <c r="A1398" s="53" t="s">
        <v>719</v>
      </c>
      <c r="B1398" s="53"/>
      <c r="C1398" s="54" t="s">
        <v>177</v>
      </c>
      <c r="D1398" s="54">
        <v>2024</v>
      </c>
      <c r="E1398" s="70">
        <v>45322</v>
      </c>
      <c r="F1398" s="54"/>
      <c r="G1398" s="54"/>
      <c r="H1398" s="54"/>
      <c r="I1398" s="54"/>
      <c r="J1398" s="54"/>
      <c r="K1398" s="106"/>
      <c r="L1398" s="24">
        <f>SUM(L1387:L1397)</f>
        <v>18860</v>
      </c>
      <c r="M1398" s="24">
        <f>SUM(M1387:M1397)</f>
        <v>7095.0599999999995</v>
      </c>
      <c r="N1398" s="24">
        <f>SUM(N1387:N1397)</f>
        <v>11764.939999999999</v>
      </c>
      <c r="O1398" s="57">
        <f t="shared" si="1003"/>
        <v>0.62380381760339332</v>
      </c>
      <c r="P1398" s="24">
        <f>SUM(P1387:P1397)</f>
        <v>18860</v>
      </c>
      <c r="Q1398" s="24"/>
      <c r="R1398" s="117">
        <f t="shared" ref="R1398:W1398" si="1011">SUM(R1387:R1397)</f>
        <v>55.5</v>
      </c>
      <c r="S1398" s="117">
        <f t="shared" si="1011"/>
        <v>2523.4899999999998</v>
      </c>
      <c r="T1398" s="117">
        <f t="shared" si="1011"/>
        <v>2288.62</v>
      </c>
      <c r="U1398" s="117">
        <f t="shared" si="1011"/>
        <v>3560.47</v>
      </c>
      <c r="V1398" s="117">
        <f t="shared" si="1011"/>
        <v>0</v>
      </c>
      <c r="W1398" s="26">
        <f t="shared" si="1011"/>
        <v>8372.58</v>
      </c>
      <c r="X1398" s="56">
        <f t="shared" si="1009"/>
        <v>45.468288288288285</v>
      </c>
      <c r="Y1398" s="57">
        <f t="shared" si="1010"/>
        <v>0.18878419936373275</v>
      </c>
      <c r="Z1398" s="28">
        <f t="shared" si="1004"/>
        <v>10487.42</v>
      </c>
      <c r="AA1398" s="57">
        <f t="shared" si="1005"/>
        <v>0.55606680805938491</v>
      </c>
      <c r="AB1398" s="58">
        <f t="shared" si="1006"/>
        <v>-1277.5200000000004</v>
      </c>
      <c r="AC1398" s="57">
        <f t="shared" si="1007"/>
        <v>-6.7737009544008409E-2</v>
      </c>
      <c r="AD1398" s="53"/>
      <c r="AE1398" s="53"/>
      <c r="AF1398" s="53"/>
      <c r="AG1398" s="61"/>
      <c r="AH1398" s="53"/>
    </row>
    <row r="1399" spans="1:34" ht="11.25" customHeight="1" x14ac:dyDescent="0.15">
      <c r="A1399" s="130"/>
      <c r="B1399" s="130"/>
      <c r="C1399" s="124"/>
      <c r="D1399" s="124"/>
      <c r="E1399" s="273"/>
      <c r="F1399" s="124"/>
      <c r="G1399" s="124"/>
      <c r="H1399" s="124"/>
      <c r="I1399" s="124"/>
      <c r="J1399" s="124"/>
      <c r="K1399" s="125"/>
      <c r="L1399" s="129"/>
      <c r="M1399" s="129"/>
      <c r="N1399" s="129"/>
      <c r="O1399" s="128"/>
      <c r="P1399" s="129"/>
      <c r="Q1399" s="124"/>
      <c r="R1399" s="117"/>
      <c r="S1399" s="117"/>
      <c r="T1399" s="117"/>
      <c r="U1399" s="117"/>
      <c r="V1399" s="117"/>
      <c r="X1399" s="45"/>
      <c r="Y1399" s="128"/>
      <c r="Z1399" s="126"/>
      <c r="AA1399" s="128"/>
      <c r="AB1399" s="129"/>
      <c r="AC1399" s="160"/>
      <c r="AD1399" s="137"/>
      <c r="AE1399" s="110"/>
      <c r="AF1399" s="110"/>
      <c r="AG1399" s="121"/>
      <c r="AH1399" s="110"/>
    </row>
    <row r="1400" spans="1:34" ht="11.25" customHeight="1" x14ac:dyDescent="0.15">
      <c r="A1400" s="110" t="s">
        <v>174</v>
      </c>
      <c r="B1400" s="110"/>
      <c r="C1400" s="111" t="s">
        <v>37</v>
      </c>
      <c r="D1400" s="111">
        <v>2024</v>
      </c>
      <c r="E1400" s="146">
        <v>45351</v>
      </c>
      <c r="F1400" s="111"/>
      <c r="G1400" s="111">
        <v>13000000</v>
      </c>
      <c r="H1400" s="111"/>
      <c r="I1400" s="111"/>
      <c r="J1400" s="111"/>
      <c r="K1400" s="112" t="s">
        <v>580</v>
      </c>
      <c r="L1400" s="148">
        <f>88939-12499</f>
        <v>76440</v>
      </c>
      <c r="M1400" s="148">
        <v>22192</v>
      </c>
      <c r="N1400" s="120">
        <f t="shared" ref="N1400:N1405" si="1012">L1400-M1400</f>
        <v>54248</v>
      </c>
      <c r="O1400" s="119">
        <f t="shared" si="1003"/>
        <v>0.70968079539508111</v>
      </c>
      <c r="P1400" s="148">
        <f>L1400</f>
        <v>76440</v>
      </c>
      <c r="Q1400" s="111">
        <v>2312</v>
      </c>
      <c r="R1400" s="117">
        <v>40.5</v>
      </c>
      <c r="S1400" s="117">
        <v>1612.62</v>
      </c>
      <c r="T1400" s="117"/>
      <c r="U1400" s="117">
        <v>21525.62</v>
      </c>
      <c r="V1400" s="117"/>
      <c r="W1400" s="26">
        <f>SUM(S1400:V1400)</f>
        <v>23138.239999999998</v>
      </c>
      <c r="X1400" s="118">
        <f t="shared" ref="X1400:X1406" si="1013">IFERROR(S1400/R1400,"")</f>
        <v>39.817777777777778</v>
      </c>
      <c r="Y1400" s="119">
        <f t="shared" ref="Y1400:Y1406" si="1014">U1400/P1400</f>
        <v>0.28160151753008894</v>
      </c>
      <c r="Z1400" s="117">
        <f t="shared" ref="Z1400:Z1406" si="1015">P1400-W1400</f>
        <v>53301.760000000002</v>
      </c>
      <c r="AA1400" s="119">
        <f t="shared" ref="AA1400:AA1406" si="1016">Z1400/P1400</f>
        <v>0.69730193615907909</v>
      </c>
      <c r="AB1400" s="120">
        <f t="shared" ref="AB1400:AB1406" si="1017">M1400-W1400</f>
        <v>-946.23999999999796</v>
      </c>
      <c r="AC1400" s="119">
        <f t="shared" ref="AC1400:AC1406" si="1018">IFERROR(AA1400-O1400,"")</f>
        <v>-1.2378859236002016E-2</v>
      </c>
      <c r="AD1400" s="151"/>
      <c r="AE1400" s="110"/>
      <c r="AF1400" s="110"/>
      <c r="AG1400" s="152"/>
      <c r="AH1400" s="110"/>
    </row>
    <row r="1401" spans="1:34" ht="11.25" customHeight="1" x14ac:dyDescent="0.15">
      <c r="A1401" s="110" t="s">
        <v>174</v>
      </c>
      <c r="B1401" s="110"/>
      <c r="C1401" s="111" t="s">
        <v>47</v>
      </c>
      <c r="D1401" s="111">
        <v>2024</v>
      </c>
      <c r="E1401" s="146">
        <v>45351</v>
      </c>
      <c r="F1401" s="111"/>
      <c r="G1401" s="111">
        <v>53000011</v>
      </c>
      <c r="H1401" s="111"/>
      <c r="I1401" s="111"/>
      <c r="J1401" s="111"/>
      <c r="K1401" s="112" t="s">
        <v>740</v>
      </c>
      <c r="L1401" s="148">
        <v>14915</v>
      </c>
      <c r="M1401" s="148">
        <v>4169.12</v>
      </c>
      <c r="N1401" s="120">
        <f t="shared" si="1012"/>
        <v>10745.880000000001</v>
      </c>
      <c r="O1401" s="119">
        <f t="shared" si="1003"/>
        <v>0.72047468990948715</v>
      </c>
      <c r="P1401" s="148">
        <f t="shared" ref="P1401:P1405" si="1019">L1401</f>
        <v>14915</v>
      </c>
      <c r="Q1401" s="111">
        <v>2843</v>
      </c>
      <c r="R1401" s="117">
        <v>8</v>
      </c>
      <c r="S1401" s="117">
        <v>367.28</v>
      </c>
      <c r="T1401" s="117">
        <v>900.13</v>
      </c>
      <c r="U1401" s="117"/>
      <c r="V1401" s="117"/>
      <c r="W1401" s="26">
        <f t="shared" ref="W1401:W1405" si="1020">SUM(S1401:V1401)</f>
        <v>1267.4099999999999</v>
      </c>
      <c r="X1401" s="118">
        <f t="shared" si="1013"/>
        <v>45.91</v>
      </c>
      <c r="Y1401" s="119">
        <f t="shared" si="1014"/>
        <v>0</v>
      </c>
      <c r="Z1401" s="117">
        <f t="shared" si="1015"/>
        <v>13647.59</v>
      </c>
      <c r="AA1401" s="119">
        <f t="shared" si="1016"/>
        <v>0.9150244720080456</v>
      </c>
      <c r="AB1401" s="120">
        <f t="shared" si="1017"/>
        <v>2901.71</v>
      </c>
      <c r="AC1401" s="119">
        <f t="shared" si="1018"/>
        <v>0.19454978209855844</v>
      </c>
      <c r="AD1401" s="110" t="s">
        <v>741</v>
      </c>
      <c r="AE1401" s="110"/>
      <c r="AF1401" s="110"/>
      <c r="AG1401" s="152"/>
      <c r="AH1401" s="110"/>
    </row>
    <row r="1402" spans="1:34" ht="11.25" customHeight="1" x14ac:dyDescent="0.15">
      <c r="A1402" s="110" t="s">
        <v>174</v>
      </c>
      <c r="B1402" s="110"/>
      <c r="C1402" s="111" t="s">
        <v>248</v>
      </c>
      <c r="D1402" s="111">
        <v>2024</v>
      </c>
      <c r="E1402" s="146">
        <v>45351</v>
      </c>
      <c r="F1402" s="111"/>
      <c r="G1402" s="111">
        <v>96000000</v>
      </c>
      <c r="H1402" s="111"/>
      <c r="I1402" s="111"/>
      <c r="J1402" s="111"/>
      <c r="K1402" s="112" t="s">
        <v>250</v>
      </c>
      <c r="L1402" s="148">
        <v>5908</v>
      </c>
      <c r="M1402" s="148">
        <v>2954</v>
      </c>
      <c r="N1402" s="120">
        <f t="shared" si="1012"/>
        <v>2954</v>
      </c>
      <c r="O1402" s="119">
        <f t="shared" si="1003"/>
        <v>0.5</v>
      </c>
      <c r="P1402" s="148">
        <f t="shared" si="1019"/>
        <v>5908</v>
      </c>
      <c r="Q1402" s="111">
        <v>2851</v>
      </c>
      <c r="R1402" s="117">
        <v>8</v>
      </c>
      <c r="S1402" s="117">
        <v>452.4</v>
      </c>
      <c r="T1402" s="117"/>
      <c r="U1402" s="117"/>
      <c r="V1402" s="117"/>
      <c r="W1402" s="26">
        <f t="shared" si="1020"/>
        <v>452.4</v>
      </c>
      <c r="X1402" s="118">
        <f t="shared" si="1013"/>
        <v>56.55</v>
      </c>
      <c r="Y1402" s="119">
        <f t="shared" si="1014"/>
        <v>0</v>
      </c>
      <c r="Z1402" s="117">
        <f t="shared" si="1015"/>
        <v>5455.6</v>
      </c>
      <c r="AA1402" s="119">
        <f t="shared" si="1016"/>
        <v>0.92342586323628983</v>
      </c>
      <c r="AB1402" s="120">
        <f t="shared" si="1017"/>
        <v>2501.6</v>
      </c>
      <c r="AC1402" s="119">
        <f t="shared" si="1018"/>
        <v>0.42342586323628983</v>
      </c>
      <c r="AD1402" s="151"/>
      <c r="AE1402" s="110"/>
      <c r="AF1402" s="110"/>
      <c r="AG1402" s="152"/>
      <c r="AH1402" s="110"/>
    </row>
    <row r="1403" spans="1:34" ht="11.25" customHeight="1" x14ac:dyDescent="0.15">
      <c r="A1403" s="110" t="s">
        <v>174</v>
      </c>
      <c r="B1403" s="110"/>
      <c r="C1403" s="111" t="s">
        <v>55</v>
      </c>
      <c r="D1403" s="111">
        <v>2024</v>
      </c>
      <c r="E1403" s="146">
        <v>45351</v>
      </c>
      <c r="F1403" s="111"/>
      <c r="G1403" s="111" t="s">
        <v>56</v>
      </c>
      <c r="H1403" s="111"/>
      <c r="I1403" s="111"/>
      <c r="J1403" s="111"/>
      <c r="K1403" s="112" t="s">
        <v>71</v>
      </c>
      <c r="L1403" s="148">
        <v>2992</v>
      </c>
      <c r="M1403" s="148">
        <v>1495.56</v>
      </c>
      <c r="N1403" s="120">
        <f t="shared" si="1012"/>
        <v>1496.44</v>
      </c>
      <c r="O1403" s="119">
        <f t="shared" si="1003"/>
        <v>0.50014705882352939</v>
      </c>
      <c r="P1403" s="148">
        <f t="shared" si="1019"/>
        <v>2992</v>
      </c>
      <c r="Q1403" s="111">
        <v>2845</v>
      </c>
      <c r="R1403" s="117">
        <v>6</v>
      </c>
      <c r="S1403" s="117">
        <v>255</v>
      </c>
      <c r="T1403" s="117"/>
      <c r="U1403" s="117"/>
      <c r="V1403" s="117">
        <v>992.5</v>
      </c>
      <c r="W1403" s="26">
        <f t="shared" si="1020"/>
        <v>1247.5</v>
      </c>
      <c r="X1403" s="118">
        <f t="shared" si="1013"/>
        <v>42.5</v>
      </c>
      <c r="Y1403" s="119">
        <f t="shared" si="1014"/>
        <v>0</v>
      </c>
      <c r="Z1403" s="117">
        <f t="shared" si="1015"/>
        <v>1744.5</v>
      </c>
      <c r="AA1403" s="119">
        <f t="shared" si="1016"/>
        <v>0.58305481283422456</v>
      </c>
      <c r="AB1403" s="120">
        <f t="shared" si="1017"/>
        <v>248.05999999999995</v>
      </c>
      <c r="AC1403" s="119">
        <f t="shared" si="1018"/>
        <v>8.2907754010695167E-2</v>
      </c>
      <c r="AD1403" s="151" t="s">
        <v>742</v>
      </c>
      <c r="AE1403" s="110"/>
      <c r="AF1403" s="110"/>
      <c r="AG1403" s="152"/>
      <c r="AH1403" s="110"/>
    </row>
    <row r="1404" spans="1:34" ht="11.25" customHeight="1" x14ac:dyDescent="0.15">
      <c r="A1404" s="110" t="s">
        <v>174</v>
      </c>
      <c r="B1404" s="110"/>
      <c r="C1404" s="111" t="s">
        <v>58</v>
      </c>
      <c r="D1404" s="111">
        <v>2024</v>
      </c>
      <c r="E1404" s="146">
        <v>45351</v>
      </c>
      <c r="F1404" s="111"/>
      <c r="G1404" s="111">
        <v>73152012</v>
      </c>
      <c r="H1404" s="111"/>
      <c r="I1404" s="111"/>
      <c r="J1404" s="111"/>
      <c r="K1404" s="112" t="s">
        <v>743</v>
      </c>
      <c r="L1404" s="148">
        <f>49997-35708</f>
        <v>14289</v>
      </c>
      <c r="M1404" s="148">
        <v>1428.9</v>
      </c>
      <c r="N1404" s="120">
        <f t="shared" si="1012"/>
        <v>12860.1</v>
      </c>
      <c r="O1404" s="119">
        <f t="shared" si="1003"/>
        <v>0.9</v>
      </c>
      <c r="P1404" s="148">
        <f t="shared" si="1019"/>
        <v>14289</v>
      </c>
      <c r="Q1404" s="111">
        <v>2846</v>
      </c>
      <c r="R1404" s="117"/>
      <c r="S1404" s="117"/>
      <c r="T1404" s="117"/>
      <c r="U1404" s="117">
        <v>2123.3000000000002</v>
      </c>
      <c r="V1404" s="117"/>
      <c r="W1404" s="26">
        <f t="shared" si="1020"/>
        <v>2123.3000000000002</v>
      </c>
      <c r="X1404" s="118" t="str">
        <f t="shared" si="1013"/>
        <v/>
      </c>
      <c r="Y1404" s="119">
        <f t="shared" si="1014"/>
        <v>0.14859682273077193</v>
      </c>
      <c r="Z1404" s="117">
        <f t="shared" si="1015"/>
        <v>12165.7</v>
      </c>
      <c r="AA1404" s="119">
        <f t="shared" si="1016"/>
        <v>0.8514031772692281</v>
      </c>
      <c r="AB1404" s="120">
        <f t="shared" si="1017"/>
        <v>-694.40000000000009</v>
      </c>
      <c r="AC1404" s="119">
        <f t="shared" si="1018"/>
        <v>-4.8596822730771927E-2</v>
      </c>
      <c r="AD1404" s="151"/>
      <c r="AE1404" s="110"/>
      <c r="AF1404" s="110"/>
      <c r="AG1404" s="152"/>
      <c r="AH1404" s="110"/>
    </row>
    <row r="1405" spans="1:34" ht="11.25" customHeight="1" x14ac:dyDescent="0.15">
      <c r="A1405" s="110" t="s">
        <v>174</v>
      </c>
      <c r="B1405" s="110"/>
      <c r="C1405" s="111" t="s">
        <v>49</v>
      </c>
      <c r="D1405" s="111">
        <v>2024</v>
      </c>
      <c r="E1405" s="146">
        <v>45351</v>
      </c>
      <c r="F1405" s="111"/>
      <c r="G1405" s="111">
        <v>63652012</v>
      </c>
      <c r="H1405" s="111"/>
      <c r="I1405" s="111"/>
      <c r="J1405" s="111"/>
      <c r="K1405" s="112" t="s">
        <v>744</v>
      </c>
      <c r="L1405" s="148">
        <v>9523</v>
      </c>
      <c r="M1405" s="148">
        <v>3582.44</v>
      </c>
      <c r="N1405" s="120">
        <f t="shared" si="1012"/>
        <v>5940.5599999999995</v>
      </c>
      <c r="O1405" s="119">
        <f t="shared" si="1003"/>
        <v>0.62381182400504043</v>
      </c>
      <c r="P1405" s="148">
        <f t="shared" si="1019"/>
        <v>9523</v>
      </c>
      <c r="Q1405" s="111">
        <v>2847</v>
      </c>
      <c r="R1405" s="117">
        <v>24</v>
      </c>
      <c r="S1405" s="117">
        <v>1357.2</v>
      </c>
      <c r="T1405" s="117">
        <v>900.13</v>
      </c>
      <c r="U1405" s="117"/>
      <c r="V1405" s="117"/>
      <c r="W1405" s="26">
        <f t="shared" si="1020"/>
        <v>2257.33</v>
      </c>
      <c r="X1405" s="118">
        <f t="shared" si="1013"/>
        <v>56.550000000000004</v>
      </c>
      <c r="Y1405" s="119">
        <f t="shared" si="1014"/>
        <v>0</v>
      </c>
      <c r="Z1405" s="117">
        <f t="shared" si="1015"/>
        <v>7265.67</v>
      </c>
      <c r="AA1405" s="119">
        <f t="shared" si="1016"/>
        <v>0.76296020161713751</v>
      </c>
      <c r="AB1405" s="120">
        <f t="shared" si="1017"/>
        <v>1325.1100000000001</v>
      </c>
      <c r="AC1405" s="119">
        <f t="shared" si="1018"/>
        <v>0.13914837761209708</v>
      </c>
      <c r="AD1405" s="110" t="s">
        <v>741</v>
      </c>
      <c r="AE1405" s="110"/>
      <c r="AF1405" s="110"/>
      <c r="AG1405" s="152"/>
      <c r="AH1405" s="110"/>
    </row>
    <row r="1406" spans="1:34" s="216" customFormat="1" ht="11.25" customHeight="1" x14ac:dyDescent="0.15">
      <c r="A1406" s="53" t="s">
        <v>174</v>
      </c>
      <c r="B1406" s="53"/>
      <c r="C1406" s="54" t="s">
        <v>177</v>
      </c>
      <c r="D1406" s="54">
        <v>2024</v>
      </c>
      <c r="E1406" s="70">
        <v>45351</v>
      </c>
      <c r="F1406" s="54"/>
      <c r="G1406" s="54"/>
      <c r="H1406" s="54"/>
      <c r="I1406" s="54"/>
      <c r="J1406" s="54"/>
      <c r="K1406" s="106"/>
      <c r="L1406" s="24">
        <f>SUM(L1400:L1405)</f>
        <v>124067</v>
      </c>
      <c r="M1406" s="24">
        <f t="shared" ref="M1406:N1406" si="1021">SUM(M1400:M1405)</f>
        <v>35822.020000000004</v>
      </c>
      <c r="N1406" s="24">
        <f t="shared" si="1021"/>
        <v>88244.98000000001</v>
      </c>
      <c r="O1406" s="57">
        <f t="shared" si="1003"/>
        <v>0.71126874994962408</v>
      </c>
      <c r="P1406" s="24">
        <f>L1406</f>
        <v>124067</v>
      </c>
      <c r="Q1406" s="24"/>
      <c r="R1406" s="117">
        <f>SUM(R1400:R1405)</f>
        <v>86.5</v>
      </c>
      <c r="S1406" s="117">
        <f t="shared" ref="S1406:W1406" si="1022">SUM(S1400:S1405)</f>
        <v>4044.5</v>
      </c>
      <c r="T1406" s="117">
        <f t="shared" si="1022"/>
        <v>1800.26</v>
      </c>
      <c r="U1406" s="117">
        <f t="shared" si="1022"/>
        <v>23648.92</v>
      </c>
      <c r="V1406" s="117">
        <f t="shared" si="1022"/>
        <v>992.5</v>
      </c>
      <c r="W1406" s="26">
        <f t="shared" si="1022"/>
        <v>30486.18</v>
      </c>
      <c r="X1406" s="56">
        <f t="shared" si="1013"/>
        <v>46.75722543352601</v>
      </c>
      <c r="Y1406" s="57">
        <f t="shared" si="1014"/>
        <v>0.19061410366979131</v>
      </c>
      <c r="Z1406" s="28">
        <f t="shared" si="1015"/>
        <v>93580.82</v>
      </c>
      <c r="AA1406" s="57">
        <f t="shared" si="1016"/>
        <v>0.7542764796440633</v>
      </c>
      <c r="AB1406" s="58">
        <f t="shared" si="1017"/>
        <v>5335.8400000000038</v>
      </c>
      <c r="AC1406" s="57">
        <f t="shared" si="1018"/>
        <v>4.3007729694439223E-2</v>
      </c>
      <c r="AD1406" s="53"/>
      <c r="AE1406" s="53"/>
      <c r="AF1406" s="53"/>
      <c r="AG1406" s="61"/>
      <c r="AH1406" s="53"/>
    </row>
    <row r="1407" spans="1:34" ht="11.25" customHeight="1" x14ac:dyDescent="0.15">
      <c r="A1407" s="130"/>
      <c r="B1407" s="130"/>
      <c r="C1407" s="124"/>
      <c r="D1407" s="124"/>
      <c r="E1407" s="273"/>
      <c r="F1407" s="124"/>
      <c r="G1407" s="124"/>
      <c r="H1407" s="124"/>
      <c r="I1407" s="124"/>
      <c r="J1407" s="124"/>
      <c r="K1407" s="125"/>
      <c r="L1407" s="129"/>
      <c r="M1407" s="129"/>
      <c r="N1407" s="129"/>
      <c r="O1407" s="128"/>
      <c r="P1407" s="129"/>
      <c r="Q1407" s="124"/>
      <c r="R1407" s="117"/>
      <c r="S1407" s="117"/>
      <c r="T1407" s="117"/>
      <c r="U1407" s="117"/>
      <c r="V1407" s="117"/>
      <c r="X1407" s="45"/>
      <c r="Y1407" s="128"/>
      <c r="Z1407" s="126"/>
      <c r="AA1407" s="128"/>
      <c r="AB1407" s="129"/>
      <c r="AC1407" s="160"/>
      <c r="AD1407" s="137"/>
      <c r="AE1407" s="110"/>
      <c r="AF1407" s="110"/>
      <c r="AG1407" s="121"/>
      <c r="AH1407" s="110"/>
    </row>
    <row r="1408" spans="1:34" ht="11.25" customHeight="1" x14ac:dyDescent="0.15">
      <c r="A1408" s="110" t="s">
        <v>174</v>
      </c>
      <c r="B1408" s="110"/>
      <c r="C1408" s="111" t="s">
        <v>175</v>
      </c>
      <c r="D1408" s="111">
        <v>2024</v>
      </c>
      <c r="E1408" s="146">
        <v>45351</v>
      </c>
      <c r="F1408" s="111"/>
      <c r="G1408" s="111">
        <v>81100011</v>
      </c>
      <c r="H1408" s="111">
        <v>4101</v>
      </c>
      <c r="I1408" s="111" t="str">
        <f>MID(G1408,2,1)</f>
        <v>1</v>
      </c>
      <c r="J1408" s="111" t="str">
        <f>IF(I1408="1","Small/Medium","Large")</f>
        <v>Small/Medium</v>
      </c>
      <c r="K1408" s="147" t="s">
        <v>145</v>
      </c>
      <c r="L1408" s="120">
        <v>6843.13</v>
      </c>
      <c r="M1408" s="120">
        <f>L1408*0.3</f>
        <v>2052.9389999999999</v>
      </c>
      <c r="N1408" s="120">
        <f>L1408-M1408</f>
        <v>4790.1910000000007</v>
      </c>
      <c r="O1408" s="119">
        <f>IFERROR(N1408/L1408,"")</f>
        <v>0.70000000000000007</v>
      </c>
      <c r="P1408" s="117">
        <f>L1408</f>
        <v>6843.13</v>
      </c>
      <c r="Q1408" s="111">
        <v>2910</v>
      </c>
      <c r="R1408" s="117">
        <v>11.5</v>
      </c>
      <c r="S1408" s="117">
        <v>516.12</v>
      </c>
      <c r="T1408" s="117">
        <v>884.99</v>
      </c>
      <c r="U1408" s="117">
        <v>407.57</v>
      </c>
      <c r="V1408" s="117"/>
      <c r="W1408" s="26">
        <f t="shared" ref="W1408:W1409" si="1023">SUM(S1408:V1408)</f>
        <v>1808.68</v>
      </c>
      <c r="X1408" s="118">
        <f t="shared" ref="X1408:X1410" si="1024">IFERROR(S1408/R1408,"")</f>
        <v>44.88</v>
      </c>
      <c r="Y1408" s="119">
        <f t="shared" ref="Y1408:Y1410" si="1025">U1408/P1408</f>
        <v>5.9559002970862744E-2</v>
      </c>
      <c r="Z1408" s="117">
        <f t="shared" ref="Z1408:Z1410" si="1026">P1408-W1408</f>
        <v>5034.45</v>
      </c>
      <c r="AA1408" s="119">
        <f t="shared" ref="AA1408:AA1410" si="1027">Z1408/P1408</f>
        <v>0.73569404643781422</v>
      </c>
      <c r="AB1408" s="120">
        <f t="shared" ref="AB1408:AB1410" si="1028">M1408-W1408</f>
        <v>244.25899999999979</v>
      </c>
      <c r="AC1408" s="119">
        <f t="shared" ref="AC1408:AC1410" si="1029">IFERROR(AA1408-O1408,"")</f>
        <v>3.5694046437814153E-2</v>
      </c>
      <c r="AD1408" s="110" t="s">
        <v>741</v>
      </c>
      <c r="AE1408" s="110"/>
      <c r="AF1408" s="110"/>
      <c r="AG1408" s="121"/>
      <c r="AH1408" s="110"/>
    </row>
    <row r="1409" spans="1:34" ht="11.25" customHeight="1" x14ac:dyDescent="0.15">
      <c r="A1409" s="110" t="s">
        <v>174</v>
      </c>
      <c r="B1409" s="110"/>
      <c r="C1409" s="111" t="s">
        <v>175</v>
      </c>
      <c r="D1409" s="111">
        <v>2024</v>
      </c>
      <c r="E1409" s="146">
        <v>45351</v>
      </c>
      <c r="F1409" s="111"/>
      <c r="G1409" s="111">
        <v>82100011</v>
      </c>
      <c r="H1409" s="111">
        <v>4101</v>
      </c>
      <c r="I1409" s="111" t="str">
        <f>MID(G1409,2,1)</f>
        <v>2</v>
      </c>
      <c r="J1409" s="111" t="str">
        <f>IF(I1409="1","Small/Medium","Large")</f>
        <v>Large</v>
      </c>
      <c r="K1409" s="147" t="s">
        <v>176</v>
      </c>
      <c r="L1409" s="120">
        <v>12708.666666666666</v>
      </c>
      <c r="M1409" s="120">
        <f>L1409*0.3</f>
        <v>3812.5999999999995</v>
      </c>
      <c r="N1409" s="120">
        <f>L1409-M1409</f>
        <v>8896.0666666666657</v>
      </c>
      <c r="O1409" s="119">
        <f>IFERROR(N1409/L1409,"")</f>
        <v>0.7</v>
      </c>
      <c r="P1409" s="117">
        <f>L1409</f>
        <v>12708.666666666666</v>
      </c>
      <c r="Q1409" s="111">
        <v>2911</v>
      </c>
      <c r="R1409" s="117">
        <v>14</v>
      </c>
      <c r="S1409" s="117">
        <v>628.32000000000005</v>
      </c>
      <c r="T1409" s="117">
        <v>884.99</v>
      </c>
      <c r="U1409" s="117">
        <v>407.57</v>
      </c>
      <c r="V1409" s="117"/>
      <c r="W1409" s="26">
        <f t="shared" si="1023"/>
        <v>1920.8799999999999</v>
      </c>
      <c r="X1409" s="118">
        <f t="shared" si="1024"/>
        <v>44.88</v>
      </c>
      <c r="Y1409" s="119">
        <f t="shared" si="1025"/>
        <v>3.2070240780569692E-2</v>
      </c>
      <c r="Z1409" s="117">
        <f t="shared" si="1026"/>
        <v>10787.786666666667</v>
      </c>
      <c r="AA1409" s="119">
        <f t="shared" si="1027"/>
        <v>0.8488527514032419</v>
      </c>
      <c r="AB1409" s="120">
        <f t="shared" si="1028"/>
        <v>1891.7199999999996</v>
      </c>
      <c r="AC1409" s="119">
        <f t="shared" si="1029"/>
        <v>0.14885275140324195</v>
      </c>
      <c r="AD1409" s="110" t="s">
        <v>741</v>
      </c>
      <c r="AE1409" s="110"/>
      <c r="AF1409" s="110"/>
      <c r="AG1409" s="121"/>
      <c r="AH1409" s="110"/>
    </row>
    <row r="1410" spans="1:34" s="216" customFormat="1" ht="11.25" customHeight="1" x14ac:dyDescent="0.15">
      <c r="A1410" s="53" t="s">
        <v>174</v>
      </c>
      <c r="B1410" s="53"/>
      <c r="C1410" s="54" t="s">
        <v>177</v>
      </c>
      <c r="D1410" s="54">
        <v>2024</v>
      </c>
      <c r="E1410" s="70">
        <v>45351</v>
      </c>
      <c r="F1410" s="54"/>
      <c r="G1410" s="54"/>
      <c r="H1410" s="54"/>
      <c r="I1410" s="54"/>
      <c r="J1410" s="54"/>
      <c r="K1410" s="106"/>
      <c r="L1410" s="24">
        <f>SUM(L1408:L1409)</f>
        <v>19551.796666666665</v>
      </c>
      <c r="M1410" s="24">
        <f t="shared" ref="M1410:N1410" si="1030">SUM(M1408:M1409)</f>
        <v>5865.5389999999989</v>
      </c>
      <c r="N1410" s="24">
        <f t="shared" si="1030"/>
        <v>13686.257666666666</v>
      </c>
      <c r="O1410" s="57">
        <f>IFERROR(N1410/L1410,"")</f>
        <v>0.70000000000000007</v>
      </c>
      <c r="P1410" s="24">
        <f>SUM(P1408:P1409)</f>
        <v>19551.796666666665</v>
      </c>
      <c r="Q1410" s="24"/>
      <c r="R1410" s="117">
        <f>SUM(R1408:R1409)</f>
        <v>25.5</v>
      </c>
      <c r="S1410" s="117">
        <f t="shared" ref="S1410:W1410" si="1031">SUM(S1408:S1409)</f>
        <v>1144.44</v>
      </c>
      <c r="T1410" s="117">
        <f t="shared" si="1031"/>
        <v>1769.98</v>
      </c>
      <c r="U1410" s="117">
        <f t="shared" si="1031"/>
        <v>815.14</v>
      </c>
      <c r="V1410" s="117">
        <f t="shared" si="1031"/>
        <v>0</v>
      </c>
      <c r="W1410" s="26">
        <f t="shared" si="1031"/>
        <v>3729.56</v>
      </c>
      <c r="X1410" s="56">
        <f t="shared" si="1024"/>
        <v>44.88</v>
      </c>
      <c r="Y1410" s="57">
        <f t="shared" si="1025"/>
        <v>4.1691309187442113E-2</v>
      </c>
      <c r="Z1410" s="28">
        <f t="shared" si="1026"/>
        <v>15822.236666666666</v>
      </c>
      <c r="AA1410" s="57">
        <f t="shared" si="1027"/>
        <v>0.80924719791309885</v>
      </c>
      <c r="AB1410" s="58">
        <f t="shared" si="1028"/>
        <v>2135.9789999999989</v>
      </c>
      <c r="AC1410" s="57">
        <f t="shared" si="1029"/>
        <v>0.10924719791309878</v>
      </c>
      <c r="AD1410" s="53"/>
      <c r="AE1410" s="53"/>
      <c r="AF1410" s="53"/>
      <c r="AG1410" s="61"/>
      <c r="AH1410" s="53"/>
    </row>
    <row r="1411" spans="1:34" ht="11.25" customHeight="1" x14ac:dyDescent="0.15">
      <c r="A1411" s="130"/>
      <c r="B1411" s="130"/>
      <c r="C1411" s="124"/>
      <c r="D1411" s="124"/>
      <c r="E1411" s="273"/>
      <c r="F1411" s="124"/>
      <c r="G1411" s="124"/>
      <c r="H1411" s="124"/>
      <c r="I1411" s="124"/>
      <c r="J1411" s="124"/>
      <c r="K1411" s="125"/>
      <c r="L1411" s="129"/>
      <c r="M1411" s="129"/>
      <c r="N1411" s="129"/>
      <c r="O1411" s="128"/>
      <c r="P1411" s="129"/>
      <c r="Q1411" s="124"/>
      <c r="R1411" s="117"/>
      <c r="S1411" s="117"/>
      <c r="T1411" s="117"/>
      <c r="U1411" s="117"/>
      <c r="V1411" s="117"/>
      <c r="X1411" s="45"/>
      <c r="Y1411" s="128"/>
      <c r="Z1411" s="126"/>
      <c r="AA1411" s="128"/>
      <c r="AB1411" s="129"/>
      <c r="AC1411" s="160"/>
      <c r="AD1411" s="137"/>
      <c r="AE1411" s="110"/>
      <c r="AF1411" s="110"/>
      <c r="AG1411" s="121"/>
      <c r="AH1411" s="110"/>
    </row>
    <row r="1412" spans="1:34" ht="11.25" customHeight="1" x14ac:dyDescent="0.15">
      <c r="A1412" s="110" t="s">
        <v>147</v>
      </c>
      <c r="B1412" s="110"/>
      <c r="C1412" s="111" t="s">
        <v>175</v>
      </c>
      <c r="D1412" s="111">
        <v>2024</v>
      </c>
      <c r="E1412" s="146">
        <v>45351</v>
      </c>
      <c r="F1412" s="111"/>
      <c r="G1412" s="111">
        <v>81100111</v>
      </c>
      <c r="H1412" s="111">
        <v>4101</v>
      </c>
      <c r="I1412" s="111" t="str">
        <f>MID(G1412,2,1)</f>
        <v>1</v>
      </c>
      <c r="J1412" s="111" t="str">
        <f>IF(I1412="1","Small/Medium","Large")</f>
        <v>Small/Medium</v>
      </c>
      <c r="K1412" s="147" t="s">
        <v>145</v>
      </c>
      <c r="L1412" s="120">
        <v>9353</v>
      </c>
      <c r="M1412" s="120">
        <f>L1412*0.3</f>
        <v>2805.9</v>
      </c>
      <c r="N1412" s="120">
        <f>L1412-M1412</f>
        <v>6547.1</v>
      </c>
      <c r="O1412" s="119">
        <f>IFERROR(N1412/L1412,"")</f>
        <v>0.70000000000000007</v>
      </c>
      <c r="P1412" s="117">
        <f>L1412</f>
        <v>9353</v>
      </c>
      <c r="Q1412" s="111">
        <v>1799</v>
      </c>
      <c r="R1412" s="117">
        <v>17.5</v>
      </c>
      <c r="S1412" s="117">
        <v>785.4</v>
      </c>
      <c r="T1412" s="117">
        <v>944.07</v>
      </c>
      <c r="U1412" s="117">
        <v>616.91999999999996</v>
      </c>
      <c r="V1412" s="117"/>
      <c r="W1412" s="26">
        <f t="shared" ref="W1412" si="1032">SUM(S1412:V1412)</f>
        <v>2346.39</v>
      </c>
      <c r="X1412" s="118">
        <f t="shared" ref="X1412:X1413" si="1033">IFERROR(S1412/R1412,"")</f>
        <v>44.879999999999995</v>
      </c>
      <c r="Y1412" s="119">
        <f t="shared" ref="Y1412:Y1413" si="1034">U1412/P1412</f>
        <v>6.5959585159841752E-2</v>
      </c>
      <c r="Z1412" s="117">
        <f t="shared" ref="Z1412:Z1413" si="1035">P1412-W1412</f>
        <v>7006.6100000000006</v>
      </c>
      <c r="AA1412" s="119">
        <f t="shared" ref="AA1412:AA1413" si="1036">Z1412/P1412</f>
        <v>0.74912969100823268</v>
      </c>
      <c r="AB1412" s="120">
        <f t="shared" ref="AB1412:AB1413" si="1037">M1412-W1412</f>
        <v>459.51000000000022</v>
      </c>
      <c r="AC1412" s="119">
        <f t="shared" ref="AC1412:AC1413" si="1038">IFERROR(AA1412-O1412,"")</f>
        <v>4.9129691008232612E-2</v>
      </c>
      <c r="AD1412" s="110" t="s">
        <v>745</v>
      </c>
      <c r="AE1412" s="110"/>
      <c r="AF1412" s="110"/>
      <c r="AG1412" s="121"/>
      <c r="AH1412" s="110"/>
    </row>
    <row r="1413" spans="1:34" s="216" customFormat="1" ht="11.25" customHeight="1" x14ac:dyDescent="0.15">
      <c r="A1413" s="53" t="s">
        <v>147</v>
      </c>
      <c r="B1413" s="53"/>
      <c r="C1413" s="54" t="s">
        <v>177</v>
      </c>
      <c r="D1413" s="54">
        <v>2024</v>
      </c>
      <c r="E1413" s="70">
        <v>45351</v>
      </c>
      <c r="F1413" s="54"/>
      <c r="G1413" s="54"/>
      <c r="H1413" s="54"/>
      <c r="I1413" s="54"/>
      <c r="J1413" s="54"/>
      <c r="K1413" s="106"/>
      <c r="L1413" s="24">
        <f>SUM(L1412)</f>
        <v>9353</v>
      </c>
      <c r="M1413" s="24">
        <f t="shared" ref="M1413:N1413" si="1039">SUM(M1411:M1412)</f>
        <v>2805.9</v>
      </c>
      <c r="N1413" s="24">
        <f t="shared" si="1039"/>
        <v>6547.1</v>
      </c>
      <c r="O1413" s="57">
        <f>IFERROR(N1413/L1413,"")</f>
        <v>0.70000000000000007</v>
      </c>
      <c r="P1413" s="24">
        <f>L1413</f>
        <v>9353</v>
      </c>
      <c r="Q1413" s="24"/>
      <c r="R1413" s="117">
        <f>SUM(R1412)</f>
        <v>17.5</v>
      </c>
      <c r="S1413" s="117">
        <f t="shared" ref="S1413:V1413" si="1040">SUM(S1412)</f>
        <v>785.4</v>
      </c>
      <c r="T1413" s="117">
        <f t="shared" si="1040"/>
        <v>944.07</v>
      </c>
      <c r="U1413" s="117">
        <f t="shared" si="1040"/>
        <v>616.91999999999996</v>
      </c>
      <c r="V1413" s="117">
        <f t="shared" si="1040"/>
        <v>0</v>
      </c>
      <c r="W1413" s="26">
        <f t="shared" ref="W1413" si="1041">SUM(W1411:W1412)</f>
        <v>2346.39</v>
      </c>
      <c r="X1413" s="56">
        <f t="shared" si="1033"/>
        <v>44.879999999999995</v>
      </c>
      <c r="Y1413" s="57">
        <f t="shared" si="1034"/>
        <v>6.5959585159841752E-2</v>
      </c>
      <c r="Z1413" s="28">
        <f t="shared" si="1035"/>
        <v>7006.6100000000006</v>
      </c>
      <c r="AA1413" s="57">
        <f t="shared" si="1036"/>
        <v>0.74912969100823268</v>
      </c>
      <c r="AB1413" s="58">
        <f t="shared" si="1037"/>
        <v>459.51000000000022</v>
      </c>
      <c r="AC1413" s="57">
        <f t="shared" si="1038"/>
        <v>4.9129691008232612E-2</v>
      </c>
      <c r="AD1413" s="53"/>
      <c r="AE1413" s="53"/>
      <c r="AF1413" s="53"/>
      <c r="AG1413" s="61"/>
      <c r="AH1413" s="53"/>
    </row>
    <row r="1414" spans="1:34" ht="11.25" customHeight="1" x14ac:dyDescent="0.15">
      <c r="A1414" s="130"/>
      <c r="B1414" s="130"/>
      <c r="C1414" s="124"/>
      <c r="D1414" s="124"/>
      <c r="E1414" s="273"/>
      <c r="F1414" s="124"/>
      <c r="G1414" s="124"/>
      <c r="H1414" s="124"/>
      <c r="I1414" s="124"/>
      <c r="J1414" s="124"/>
      <c r="K1414" s="125"/>
      <c r="L1414" s="129"/>
      <c r="M1414" s="129"/>
      <c r="N1414" s="129"/>
      <c r="O1414" s="128"/>
      <c r="P1414" s="129"/>
      <c r="Q1414" s="124"/>
      <c r="R1414" s="117"/>
      <c r="S1414" s="117"/>
      <c r="T1414" s="117"/>
      <c r="U1414" s="117"/>
      <c r="V1414" s="117"/>
      <c r="X1414" s="45"/>
      <c r="Y1414" s="128"/>
      <c r="Z1414" s="126"/>
      <c r="AA1414" s="128"/>
      <c r="AB1414" s="129"/>
      <c r="AC1414" s="160"/>
      <c r="AD1414" s="137"/>
      <c r="AE1414" s="110"/>
      <c r="AF1414" s="110"/>
      <c r="AG1414" s="121"/>
      <c r="AH1414" s="110"/>
    </row>
    <row r="1415" spans="1:34" ht="11.25" customHeight="1" x14ac:dyDescent="0.15">
      <c r="A1415" s="110" t="s">
        <v>36</v>
      </c>
      <c r="B1415" s="110"/>
      <c r="C1415" s="111" t="s">
        <v>175</v>
      </c>
      <c r="D1415" s="111">
        <v>2024</v>
      </c>
      <c r="E1415" s="146">
        <v>45351</v>
      </c>
      <c r="F1415" s="111"/>
      <c r="G1415" s="111">
        <v>81100111</v>
      </c>
      <c r="H1415" s="111">
        <v>4101</v>
      </c>
      <c r="I1415" s="111" t="str">
        <f>MID(G1415,2,1)</f>
        <v>1</v>
      </c>
      <c r="J1415" s="111" t="str">
        <f>IF(I1415="1","Small/Medium","Large")</f>
        <v>Small/Medium</v>
      </c>
      <c r="K1415" s="147" t="s">
        <v>145</v>
      </c>
      <c r="L1415" s="120">
        <v>17086</v>
      </c>
      <c r="M1415" s="120">
        <f>L1415*0.3</f>
        <v>5125.8</v>
      </c>
      <c r="N1415" s="120">
        <f>L1415-M1415</f>
        <v>11960.2</v>
      </c>
      <c r="O1415" s="119">
        <f>IFERROR(N1415/L1415,"")</f>
        <v>0.70000000000000007</v>
      </c>
      <c r="P1415" s="117">
        <f>L1415</f>
        <v>17086</v>
      </c>
      <c r="Q1415" s="111">
        <v>2290</v>
      </c>
      <c r="R1415" s="117">
        <v>29.5</v>
      </c>
      <c r="S1415" s="117">
        <v>1323.96</v>
      </c>
      <c r="T1415" s="117">
        <v>1447.57</v>
      </c>
      <c r="U1415" s="117">
        <v>832.72</v>
      </c>
      <c r="V1415" s="117"/>
      <c r="W1415" s="26">
        <f t="shared" ref="W1415" si="1042">SUM(S1415:V1415)</f>
        <v>3604.25</v>
      </c>
      <c r="X1415" s="118">
        <f t="shared" ref="X1415:X1416" si="1043">IFERROR(S1415/R1415,"")</f>
        <v>44.88</v>
      </c>
      <c r="Y1415" s="119">
        <f t="shared" ref="Y1415:Y1416" si="1044">U1415/P1415</f>
        <v>4.8736977642514341E-2</v>
      </c>
      <c r="Z1415" s="117">
        <f t="shared" ref="Z1415:Z1416" si="1045">P1415-W1415</f>
        <v>13481.75</v>
      </c>
      <c r="AA1415" s="119">
        <f t="shared" ref="AA1415:AA1416" si="1046">Z1415/P1415</f>
        <v>0.78905244059463886</v>
      </c>
      <c r="AB1415" s="120">
        <f t="shared" ref="AB1415:AB1416" si="1047">M1415-W1415</f>
        <v>1521.5500000000002</v>
      </c>
      <c r="AC1415" s="119">
        <f t="shared" ref="AC1415:AC1416" si="1048">IFERROR(AA1415-O1415,"")</f>
        <v>8.9052440594638793E-2</v>
      </c>
      <c r="AD1415" s="110" t="s">
        <v>746</v>
      </c>
      <c r="AE1415" s="110"/>
      <c r="AF1415" s="110"/>
      <c r="AG1415" s="121"/>
      <c r="AH1415" s="110"/>
    </row>
    <row r="1416" spans="1:34" s="216" customFormat="1" ht="11.25" customHeight="1" x14ac:dyDescent="0.15">
      <c r="A1416" s="53" t="s">
        <v>36</v>
      </c>
      <c r="B1416" s="53"/>
      <c r="C1416" s="54" t="s">
        <v>177</v>
      </c>
      <c r="D1416" s="54">
        <v>2024</v>
      </c>
      <c r="E1416" s="70">
        <v>45351</v>
      </c>
      <c r="F1416" s="54"/>
      <c r="G1416" s="54"/>
      <c r="H1416" s="54"/>
      <c r="I1416" s="54"/>
      <c r="J1416" s="54"/>
      <c r="K1416" s="106"/>
      <c r="L1416" s="24">
        <f>SUM(L1415)</f>
        <v>17086</v>
      </c>
      <c r="M1416" s="24">
        <f t="shared" ref="M1416:N1416" si="1049">SUM(M1414:M1415)</f>
        <v>5125.8</v>
      </c>
      <c r="N1416" s="24">
        <f t="shared" si="1049"/>
        <v>11960.2</v>
      </c>
      <c r="O1416" s="57">
        <f>IFERROR(N1416/L1416,"")</f>
        <v>0.70000000000000007</v>
      </c>
      <c r="P1416" s="24">
        <f>L1416</f>
        <v>17086</v>
      </c>
      <c r="Q1416" s="24"/>
      <c r="R1416" s="117">
        <f>SUM(R1415)</f>
        <v>29.5</v>
      </c>
      <c r="S1416" s="117">
        <f t="shared" ref="S1416:V1416" si="1050">SUM(S1415)</f>
        <v>1323.96</v>
      </c>
      <c r="T1416" s="117">
        <f t="shared" si="1050"/>
        <v>1447.57</v>
      </c>
      <c r="U1416" s="117">
        <f t="shared" si="1050"/>
        <v>832.72</v>
      </c>
      <c r="V1416" s="117">
        <f t="shared" si="1050"/>
        <v>0</v>
      </c>
      <c r="W1416" s="26">
        <f t="shared" ref="W1416" si="1051">SUM(W1414:W1415)</f>
        <v>3604.25</v>
      </c>
      <c r="X1416" s="56">
        <f t="shared" si="1043"/>
        <v>44.88</v>
      </c>
      <c r="Y1416" s="57">
        <f t="shared" si="1044"/>
        <v>4.8736977642514341E-2</v>
      </c>
      <c r="Z1416" s="28">
        <f t="shared" si="1045"/>
        <v>13481.75</v>
      </c>
      <c r="AA1416" s="57">
        <f t="shared" si="1046"/>
        <v>0.78905244059463886</v>
      </c>
      <c r="AB1416" s="58">
        <f t="shared" si="1047"/>
        <v>1521.5500000000002</v>
      </c>
      <c r="AC1416" s="57">
        <f t="shared" si="1048"/>
        <v>8.9052440594638793E-2</v>
      </c>
      <c r="AD1416" s="53"/>
      <c r="AE1416" s="53"/>
      <c r="AF1416" s="53"/>
      <c r="AG1416" s="61"/>
      <c r="AH1416" s="53"/>
    </row>
    <row r="1417" spans="1:34" ht="11.25" customHeight="1" x14ac:dyDescent="0.15">
      <c r="A1417" s="130"/>
      <c r="B1417" s="130"/>
      <c r="C1417" s="124"/>
      <c r="D1417" s="124"/>
      <c r="E1417" s="273"/>
      <c r="F1417" s="124"/>
      <c r="G1417" s="124"/>
      <c r="H1417" s="124"/>
      <c r="I1417" s="124"/>
      <c r="J1417" s="124"/>
      <c r="K1417" s="125"/>
      <c r="L1417" s="129"/>
      <c r="M1417" s="129"/>
      <c r="N1417" s="129"/>
      <c r="O1417" s="128"/>
      <c r="P1417" s="129"/>
      <c r="Q1417" s="124"/>
      <c r="R1417" s="117"/>
      <c r="S1417" s="117"/>
      <c r="T1417" s="117"/>
      <c r="U1417" s="117"/>
      <c r="V1417" s="117"/>
      <c r="X1417" s="45"/>
      <c r="Y1417" s="128"/>
      <c r="Z1417" s="126"/>
      <c r="AA1417" s="128"/>
      <c r="AB1417" s="129"/>
      <c r="AC1417" s="160"/>
      <c r="AD1417" s="137"/>
      <c r="AE1417" s="110"/>
      <c r="AF1417" s="110"/>
      <c r="AG1417" s="121"/>
      <c r="AH1417" s="110"/>
    </row>
    <row r="1418" spans="1:34" ht="11.25" customHeight="1" x14ac:dyDescent="0.15">
      <c r="A1418" s="110" t="s">
        <v>317</v>
      </c>
      <c r="B1418" s="110"/>
      <c r="C1418" s="111" t="s">
        <v>175</v>
      </c>
      <c r="D1418" s="111">
        <v>2024</v>
      </c>
      <c r="E1418" s="146">
        <v>45351</v>
      </c>
      <c r="F1418" s="111"/>
      <c r="G1418" s="111">
        <v>81000000</v>
      </c>
      <c r="H1418" s="111">
        <v>4111</v>
      </c>
      <c r="I1418" s="111" t="str">
        <f>MID(G1418,2,1)</f>
        <v>1</v>
      </c>
      <c r="J1418" s="111" t="str">
        <f>IF(I1418="1","Small/Medium","Large")</f>
        <v>Small/Medium</v>
      </c>
      <c r="K1418" s="147" t="s">
        <v>145</v>
      </c>
      <c r="L1418" s="120">
        <v>8865</v>
      </c>
      <c r="M1418" s="120">
        <f>L1418*0.3</f>
        <v>2659.5</v>
      </c>
      <c r="N1418" s="120">
        <f>L1418-M1418</f>
        <v>6205.5</v>
      </c>
      <c r="O1418" s="119">
        <f>IFERROR(N1418/L1418,"")</f>
        <v>0.7</v>
      </c>
      <c r="P1418" s="117">
        <f>L1418</f>
        <v>8865</v>
      </c>
      <c r="Q1418" s="111">
        <v>3084</v>
      </c>
      <c r="R1418" s="117">
        <v>8</v>
      </c>
      <c r="S1418" s="117">
        <v>359.04</v>
      </c>
      <c r="T1418" s="117">
        <v>37.14</v>
      </c>
      <c r="U1418" s="117">
        <v>102.38</v>
      </c>
      <c r="V1418" s="117"/>
      <c r="W1418" s="26">
        <f t="shared" ref="W1418" si="1052">SUM(S1418:V1418)</f>
        <v>498.56</v>
      </c>
      <c r="X1418" s="118">
        <f t="shared" ref="X1418:X1419" si="1053">IFERROR(S1418/R1418,"")</f>
        <v>44.88</v>
      </c>
      <c r="Y1418" s="119">
        <f t="shared" ref="Y1418:Y1419" si="1054">U1418/P1418</f>
        <v>1.1548787366046248E-2</v>
      </c>
      <c r="Z1418" s="117">
        <f t="shared" ref="Z1418:Z1419" si="1055">P1418-W1418</f>
        <v>8366.44</v>
      </c>
      <c r="AA1418" s="119">
        <f t="shared" ref="AA1418:AA1419" si="1056">Z1418/P1418</f>
        <v>0.94376085730400461</v>
      </c>
      <c r="AB1418" s="120">
        <f t="shared" ref="AB1418:AB1419" si="1057">M1418-W1418</f>
        <v>2160.94</v>
      </c>
      <c r="AC1418" s="119">
        <f t="shared" ref="AC1418:AC1419" si="1058">IFERROR(AA1418-O1418,"")</f>
        <v>0.24376085730400465</v>
      </c>
      <c r="AD1418" s="110" t="s">
        <v>747</v>
      </c>
      <c r="AE1418" s="110"/>
      <c r="AF1418" s="110"/>
      <c r="AG1418" s="121"/>
      <c r="AH1418" s="110"/>
    </row>
    <row r="1419" spans="1:34" s="216" customFormat="1" ht="11.25" customHeight="1" x14ac:dyDescent="0.15">
      <c r="A1419" s="53" t="s">
        <v>317</v>
      </c>
      <c r="B1419" s="53"/>
      <c r="C1419" s="54" t="s">
        <v>177</v>
      </c>
      <c r="D1419" s="54">
        <v>2024</v>
      </c>
      <c r="E1419" s="70">
        <v>45351</v>
      </c>
      <c r="F1419" s="54"/>
      <c r="G1419" s="54"/>
      <c r="H1419" s="54"/>
      <c r="I1419" s="54"/>
      <c r="J1419" s="54"/>
      <c r="K1419" s="106"/>
      <c r="L1419" s="24">
        <f>SUM(L1418)</f>
        <v>8865</v>
      </c>
      <c r="M1419" s="24">
        <f t="shared" ref="M1419:N1419" si="1059">SUM(M1417:M1418)</f>
        <v>2659.5</v>
      </c>
      <c r="N1419" s="24">
        <f t="shared" si="1059"/>
        <v>6205.5</v>
      </c>
      <c r="O1419" s="57">
        <f>IFERROR(N1419/L1419,"")</f>
        <v>0.7</v>
      </c>
      <c r="P1419" s="24">
        <f>L1419</f>
        <v>8865</v>
      </c>
      <c r="Q1419" s="24"/>
      <c r="R1419" s="117">
        <f>SUM(R1418)</f>
        <v>8</v>
      </c>
      <c r="S1419" s="117">
        <f t="shared" ref="S1419:V1419" si="1060">SUM(S1418)</f>
        <v>359.04</v>
      </c>
      <c r="T1419" s="117">
        <f t="shared" si="1060"/>
        <v>37.14</v>
      </c>
      <c r="U1419" s="117">
        <f t="shared" si="1060"/>
        <v>102.38</v>
      </c>
      <c r="V1419" s="117">
        <f t="shared" si="1060"/>
        <v>0</v>
      </c>
      <c r="W1419" s="26">
        <f t="shared" ref="W1419" si="1061">SUM(W1417:W1418)</f>
        <v>498.56</v>
      </c>
      <c r="X1419" s="56">
        <f t="shared" si="1053"/>
        <v>44.88</v>
      </c>
      <c r="Y1419" s="57">
        <f t="shared" si="1054"/>
        <v>1.1548787366046248E-2</v>
      </c>
      <c r="Z1419" s="28">
        <f t="shared" si="1055"/>
        <v>8366.44</v>
      </c>
      <c r="AA1419" s="57">
        <f t="shared" si="1056"/>
        <v>0.94376085730400461</v>
      </c>
      <c r="AB1419" s="58">
        <f t="shared" si="1057"/>
        <v>2160.94</v>
      </c>
      <c r="AC1419" s="57">
        <f t="shared" si="1058"/>
        <v>0.24376085730400465</v>
      </c>
      <c r="AD1419" s="53"/>
      <c r="AE1419" s="53"/>
      <c r="AF1419" s="53"/>
      <c r="AG1419" s="61"/>
      <c r="AH1419" s="53"/>
    </row>
    <row r="1420" spans="1:34" ht="11.25" customHeight="1" x14ac:dyDescent="0.15">
      <c r="A1420" s="130"/>
      <c r="B1420" s="130"/>
      <c r="C1420" s="124"/>
      <c r="D1420" s="124"/>
      <c r="E1420" s="273"/>
      <c r="F1420" s="124"/>
      <c r="G1420" s="124"/>
      <c r="H1420" s="124"/>
      <c r="I1420" s="124"/>
      <c r="J1420" s="124"/>
      <c r="K1420" s="125"/>
      <c r="L1420" s="129"/>
      <c r="M1420" s="129"/>
      <c r="N1420" s="129"/>
      <c r="O1420" s="128"/>
      <c r="P1420" s="129"/>
      <c r="Q1420" s="124"/>
      <c r="R1420" s="117"/>
      <c r="S1420" s="117"/>
      <c r="T1420" s="117"/>
      <c r="U1420" s="117"/>
      <c r="V1420" s="117"/>
      <c r="X1420" s="45"/>
      <c r="Y1420" s="128"/>
      <c r="Z1420" s="126"/>
      <c r="AA1420" s="128"/>
      <c r="AB1420" s="129"/>
      <c r="AC1420" s="160"/>
      <c r="AD1420" s="137"/>
      <c r="AE1420" s="110"/>
      <c r="AF1420" s="110"/>
      <c r="AG1420" s="121"/>
      <c r="AH1420" s="110"/>
    </row>
    <row r="1421" spans="1:34" ht="11.25" customHeight="1" x14ac:dyDescent="0.15">
      <c r="A1421" s="110" t="s">
        <v>748</v>
      </c>
      <c r="B1421" s="110"/>
      <c r="C1421" s="111" t="s">
        <v>164</v>
      </c>
      <c r="D1421" s="111">
        <v>2024</v>
      </c>
      <c r="E1421" s="146">
        <v>45351</v>
      </c>
      <c r="F1421" s="111"/>
      <c r="G1421" s="111" t="s">
        <v>473</v>
      </c>
      <c r="H1421" s="111"/>
      <c r="I1421" s="111"/>
      <c r="J1421" s="111"/>
      <c r="K1421" s="112" t="s">
        <v>474</v>
      </c>
      <c r="L1421" s="120">
        <v>8398.81</v>
      </c>
      <c r="M1421" s="120">
        <v>3225.26</v>
      </c>
      <c r="N1421" s="120">
        <f t="shared" ref="N1421:N1426" si="1062">L1421-M1421</f>
        <v>5173.5499999999993</v>
      </c>
      <c r="O1421" s="119">
        <f t="shared" ref="O1421:O1426" si="1063">IFERROR(N1421/L1421,"")</f>
        <v>0.61598607421765694</v>
      </c>
      <c r="P1421" s="117">
        <v>8398.81</v>
      </c>
      <c r="Q1421" s="111"/>
      <c r="R1421" s="117"/>
      <c r="S1421" s="117"/>
      <c r="T1421" s="117"/>
      <c r="U1421" s="117">
        <v>3363.58</v>
      </c>
      <c r="V1421" s="117"/>
      <c r="W1421" s="26">
        <f>SUM(S1421:V1421)</f>
        <v>3363.58</v>
      </c>
      <c r="X1421" s="118" t="str">
        <f t="shared" ref="X1421:X1428" si="1064">IFERROR(S1421/R1421,"")</f>
        <v/>
      </c>
      <c r="Y1421" s="119">
        <f>IFERROR(U1421/P1421,0)</f>
        <v>0.40048292555731113</v>
      </c>
      <c r="Z1421" s="117">
        <f t="shared" ref="Z1421:Z1426" si="1065">P1421-W1421</f>
        <v>5035.2299999999996</v>
      </c>
      <c r="AA1421" s="119">
        <f t="shared" ref="AA1421:AA1426" si="1066">Z1421/P1421</f>
        <v>0.59951707444268887</v>
      </c>
      <c r="AB1421" s="120">
        <f t="shared" ref="AB1421:AB1426" si="1067">M1421-W1421</f>
        <v>-138.31999999999971</v>
      </c>
      <c r="AC1421" s="119">
        <f t="shared" ref="AC1421:AC1426" si="1068">IFERROR(AA1421-O1421,"")</f>
        <v>-1.6468999774968074E-2</v>
      </c>
      <c r="AD1421" s="110"/>
      <c r="AE1421" s="110"/>
      <c r="AF1421" s="110"/>
      <c r="AG1421" s="121"/>
      <c r="AH1421" s="110"/>
    </row>
    <row r="1422" spans="1:34" ht="11.25" customHeight="1" x14ac:dyDescent="0.15">
      <c r="A1422" s="110" t="s">
        <v>748</v>
      </c>
      <c r="B1422" s="110"/>
      <c r="C1422" s="111" t="s">
        <v>164</v>
      </c>
      <c r="D1422" s="111">
        <v>2024</v>
      </c>
      <c r="E1422" s="146">
        <v>45351</v>
      </c>
      <c r="F1422" s="111"/>
      <c r="G1422" s="111" t="s">
        <v>320</v>
      </c>
      <c r="H1422" s="111"/>
      <c r="I1422" s="111"/>
      <c r="J1422" s="111"/>
      <c r="K1422" s="112" t="s">
        <v>749</v>
      </c>
      <c r="L1422" s="120">
        <v>27.26</v>
      </c>
      <c r="M1422" s="120">
        <v>11.14</v>
      </c>
      <c r="N1422" s="120">
        <f t="shared" si="1062"/>
        <v>16.12</v>
      </c>
      <c r="O1422" s="119">
        <f t="shared" si="1063"/>
        <v>0.59134262655906089</v>
      </c>
      <c r="P1422" s="117">
        <v>27.26</v>
      </c>
      <c r="Q1422" s="111"/>
      <c r="R1422" s="117"/>
      <c r="S1422" s="117"/>
      <c r="T1422" s="117"/>
      <c r="U1422" s="117">
        <v>10.41</v>
      </c>
      <c r="V1422" s="117"/>
      <c r="W1422" s="26">
        <f t="shared" ref="W1422:W1431" si="1069">SUM(S1422:V1422)</f>
        <v>10.41</v>
      </c>
      <c r="X1422" s="118" t="str">
        <f t="shared" si="1064"/>
        <v/>
      </c>
      <c r="Y1422" s="119">
        <f t="shared" ref="Y1422:Y1428" si="1070">U1422/P1422</f>
        <v>0.38187820983125459</v>
      </c>
      <c r="Z1422" s="117">
        <f t="shared" si="1065"/>
        <v>16.850000000000001</v>
      </c>
      <c r="AA1422" s="119">
        <f t="shared" si="1066"/>
        <v>0.61812179016874547</v>
      </c>
      <c r="AB1422" s="120">
        <f t="shared" si="1067"/>
        <v>0.73000000000000043</v>
      </c>
      <c r="AC1422" s="119">
        <f t="shared" si="1068"/>
        <v>2.6779163609684575E-2</v>
      </c>
      <c r="AD1422" s="110"/>
      <c r="AE1422" s="110"/>
      <c r="AF1422" s="110"/>
      <c r="AG1422" s="121"/>
      <c r="AH1422" s="110"/>
    </row>
    <row r="1423" spans="1:34" ht="11.25" customHeight="1" x14ac:dyDescent="0.15">
      <c r="A1423" s="110" t="s">
        <v>748</v>
      </c>
      <c r="B1423" s="110"/>
      <c r="C1423" s="111" t="s">
        <v>164</v>
      </c>
      <c r="D1423" s="111">
        <v>2024</v>
      </c>
      <c r="E1423" s="146">
        <v>45351</v>
      </c>
      <c r="F1423" s="111"/>
      <c r="G1423" s="111" t="s">
        <v>732</v>
      </c>
      <c r="H1423" s="111"/>
      <c r="I1423" s="111"/>
      <c r="J1423" s="111"/>
      <c r="K1423" s="112" t="s">
        <v>750</v>
      </c>
      <c r="L1423" s="120">
        <v>30.67</v>
      </c>
      <c r="M1423" s="120">
        <v>12.35</v>
      </c>
      <c r="N1423" s="120">
        <f t="shared" si="1062"/>
        <v>18.32</v>
      </c>
      <c r="O1423" s="119">
        <f t="shared" si="1063"/>
        <v>0.59732637756765572</v>
      </c>
      <c r="P1423" s="117">
        <v>30.67</v>
      </c>
      <c r="Q1423" s="111"/>
      <c r="R1423" s="117"/>
      <c r="S1423" s="117"/>
      <c r="T1423" s="117"/>
      <c r="U1423" s="117">
        <v>11.55</v>
      </c>
      <c r="V1423" s="117"/>
      <c r="W1423" s="26">
        <f t="shared" si="1069"/>
        <v>11.55</v>
      </c>
      <c r="X1423" s="118" t="str">
        <f t="shared" si="1064"/>
        <v/>
      </c>
      <c r="Y1423" s="119">
        <f t="shared" si="1070"/>
        <v>0.37658950114118028</v>
      </c>
      <c r="Z1423" s="117">
        <f t="shared" si="1065"/>
        <v>19.12</v>
      </c>
      <c r="AA1423" s="119">
        <f t="shared" si="1066"/>
        <v>0.62341049885881972</v>
      </c>
      <c r="AB1423" s="120">
        <f t="shared" si="1067"/>
        <v>0.79999999999999893</v>
      </c>
      <c r="AC1423" s="119">
        <f t="shared" si="1068"/>
        <v>2.6084121291163997E-2</v>
      </c>
      <c r="AD1423" s="110"/>
      <c r="AE1423" s="110"/>
      <c r="AF1423" s="110"/>
      <c r="AG1423" s="121"/>
      <c r="AH1423" s="110"/>
    </row>
    <row r="1424" spans="1:34" ht="11.25" customHeight="1" x14ac:dyDescent="0.15">
      <c r="A1424" s="110" t="s">
        <v>748</v>
      </c>
      <c r="B1424" s="110"/>
      <c r="C1424" s="111" t="s">
        <v>164</v>
      </c>
      <c r="D1424" s="111">
        <v>2024</v>
      </c>
      <c r="E1424" s="146">
        <v>45351</v>
      </c>
      <c r="F1424" s="111"/>
      <c r="G1424" s="111" t="s">
        <v>726</v>
      </c>
      <c r="H1424" s="111"/>
      <c r="I1424" s="111"/>
      <c r="J1424" s="111"/>
      <c r="K1424" s="112" t="s">
        <v>751</v>
      </c>
      <c r="L1424" s="120">
        <v>9.3699999999999992</v>
      </c>
      <c r="M1424" s="120">
        <v>3.73</v>
      </c>
      <c r="N1424" s="120">
        <f t="shared" si="1062"/>
        <v>5.6399999999999988</v>
      </c>
      <c r="O1424" s="119">
        <f t="shared" si="1063"/>
        <v>0.60192102454642471</v>
      </c>
      <c r="P1424" s="117">
        <v>9.3699999999999992</v>
      </c>
      <c r="Q1424" s="111"/>
      <c r="R1424" s="117"/>
      <c r="S1424" s="117"/>
      <c r="T1424" s="117"/>
      <c r="U1424" s="117">
        <v>3.48</v>
      </c>
      <c r="V1424" s="117"/>
      <c r="W1424" s="26">
        <f t="shared" si="1069"/>
        <v>3.48</v>
      </c>
      <c r="X1424" s="118" t="str">
        <f t="shared" si="1064"/>
        <v/>
      </c>
      <c r="Y1424" s="119">
        <f t="shared" si="1070"/>
        <v>0.37139807897545363</v>
      </c>
      <c r="Z1424" s="117">
        <f t="shared" si="1065"/>
        <v>5.8899999999999988</v>
      </c>
      <c r="AA1424" s="119">
        <f t="shared" si="1066"/>
        <v>0.62860192102454637</v>
      </c>
      <c r="AB1424" s="120">
        <f t="shared" si="1067"/>
        <v>0.25</v>
      </c>
      <c r="AC1424" s="119">
        <f t="shared" si="1068"/>
        <v>2.6680896478121663E-2</v>
      </c>
      <c r="AD1424" s="110"/>
      <c r="AE1424" s="110"/>
      <c r="AF1424" s="110"/>
      <c r="AG1424" s="121"/>
      <c r="AH1424" s="110"/>
    </row>
    <row r="1425" spans="1:34" ht="11.25" customHeight="1" x14ac:dyDescent="0.15">
      <c r="A1425" s="110" t="s">
        <v>748</v>
      </c>
      <c r="B1425" s="110"/>
      <c r="C1425" s="111" t="s">
        <v>164</v>
      </c>
      <c r="D1425" s="111">
        <v>2024</v>
      </c>
      <c r="E1425" s="146">
        <v>45351</v>
      </c>
      <c r="F1425" s="111"/>
      <c r="G1425" s="111" t="s">
        <v>752</v>
      </c>
      <c r="H1425" s="111"/>
      <c r="I1425" s="111"/>
      <c r="J1425" s="111"/>
      <c r="K1425" s="112" t="s">
        <v>753</v>
      </c>
      <c r="L1425" s="120">
        <v>1072.31</v>
      </c>
      <c r="M1425" s="120">
        <v>440.42</v>
      </c>
      <c r="N1425" s="120">
        <f t="shared" si="1062"/>
        <v>631.88999999999987</v>
      </c>
      <c r="O1425" s="119">
        <f t="shared" si="1063"/>
        <v>0.58927921962865204</v>
      </c>
      <c r="P1425" s="117">
        <v>1072.31</v>
      </c>
      <c r="Q1425" s="111"/>
      <c r="R1425" s="117"/>
      <c r="S1425" s="117"/>
      <c r="T1425" s="117"/>
      <c r="U1425" s="117">
        <v>411.6</v>
      </c>
      <c r="V1425" s="117"/>
      <c r="W1425" s="26">
        <f t="shared" si="1069"/>
        <v>411.6</v>
      </c>
      <c r="X1425" s="118" t="str">
        <f t="shared" si="1064"/>
        <v/>
      </c>
      <c r="Y1425" s="119">
        <f t="shared" si="1070"/>
        <v>0.38384422415159797</v>
      </c>
      <c r="Z1425" s="117">
        <f t="shared" si="1065"/>
        <v>660.70999999999992</v>
      </c>
      <c r="AA1425" s="119">
        <f t="shared" si="1066"/>
        <v>0.61615577584840198</v>
      </c>
      <c r="AB1425" s="120">
        <f t="shared" si="1067"/>
        <v>28.819999999999993</v>
      </c>
      <c r="AC1425" s="119">
        <f t="shared" si="1068"/>
        <v>2.6876556219749936E-2</v>
      </c>
      <c r="AD1425" s="110"/>
      <c r="AE1425" s="110"/>
      <c r="AF1425" s="110"/>
      <c r="AG1425" s="121"/>
      <c r="AH1425" s="110"/>
    </row>
    <row r="1426" spans="1:34" ht="11.25" customHeight="1" x14ac:dyDescent="0.15">
      <c r="A1426" s="110" t="s">
        <v>748</v>
      </c>
      <c r="B1426" s="110"/>
      <c r="C1426" s="111" t="s">
        <v>180</v>
      </c>
      <c r="D1426" s="111">
        <v>2024</v>
      </c>
      <c r="E1426" s="146">
        <v>45351</v>
      </c>
      <c r="F1426" s="111"/>
      <c r="G1426" s="111">
        <v>91020002</v>
      </c>
      <c r="H1426" s="111"/>
      <c r="I1426" s="111"/>
      <c r="J1426" s="111"/>
      <c r="K1426" s="112" t="s">
        <v>754</v>
      </c>
      <c r="L1426" s="120">
        <v>260.63</v>
      </c>
      <c r="M1426" s="120">
        <v>107</v>
      </c>
      <c r="N1426" s="120">
        <f t="shared" si="1062"/>
        <v>153.63</v>
      </c>
      <c r="O1426" s="119">
        <f t="shared" si="1063"/>
        <v>0.58945631738479831</v>
      </c>
      <c r="P1426" s="117">
        <v>260.63</v>
      </c>
      <c r="Q1426" s="111">
        <v>2941</v>
      </c>
      <c r="R1426" s="117"/>
      <c r="S1426" s="117"/>
      <c r="T1426" s="117"/>
      <c r="U1426" s="117">
        <v>5.59</v>
      </c>
      <c r="V1426" s="117"/>
      <c r="W1426" s="26">
        <f t="shared" si="1069"/>
        <v>5.59</v>
      </c>
      <c r="X1426" s="118" t="str">
        <f t="shared" si="1064"/>
        <v/>
      </c>
      <c r="Y1426" s="119">
        <f t="shared" si="1070"/>
        <v>2.1448029774009131E-2</v>
      </c>
      <c r="Z1426" s="117">
        <f t="shared" si="1065"/>
        <v>255.04</v>
      </c>
      <c r="AA1426" s="119">
        <f t="shared" si="1066"/>
        <v>0.97855197022599083</v>
      </c>
      <c r="AB1426" s="120">
        <f t="shared" si="1067"/>
        <v>101.41</v>
      </c>
      <c r="AC1426" s="119">
        <f t="shared" si="1068"/>
        <v>0.38909565284119252</v>
      </c>
      <c r="AD1426" s="110"/>
      <c r="AE1426" s="110"/>
      <c r="AF1426" s="110"/>
      <c r="AG1426" s="121"/>
      <c r="AH1426" s="110"/>
    </row>
    <row r="1427" spans="1:34" ht="11.25" customHeight="1" x14ac:dyDescent="0.15">
      <c r="A1427" s="110" t="s">
        <v>748</v>
      </c>
      <c r="B1427" s="110"/>
      <c r="C1427" s="111" t="s">
        <v>180</v>
      </c>
      <c r="D1427" s="111">
        <v>2024</v>
      </c>
      <c r="E1427" s="146">
        <v>45351</v>
      </c>
      <c r="F1427" s="111"/>
      <c r="G1427" s="111">
        <v>91020022</v>
      </c>
      <c r="H1427" s="111"/>
      <c r="I1427" s="111"/>
      <c r="J1427" s="111"/>
      <c r="K1427" s="112" t="s">
        <v>755</v>
      </c>
      <c r="L1427" s="120">
        <v>6511</v>
      </c>
      <c r="M1427" s="120">
        <v>2129.4</v>
      </c>
      <c r="N1427" s="120">
        <f t="shared" ref="N1427:N1431" si="1071">L1427-M1427</f>
        <v>4381.6000000000004</v>
      </c>
      <c r="O1427" s="119">
        <f t="shared" ref="O1427:O1432" si="1072">IFERROR(N1427/L1427,"")</f>
        <v>0.67295346336968209</v>
      </c>
      <c r="P1427" s="117">
        <v>6511</v>
      </c>
      <c r="Q1427" s="111">
        <v>2942</v>
      </c>
      <c r="R1427" s="117"/>
      <c r="S1427" s="117"/>
      <c r="T1427" s="117"/>
      <c r="U1427" s="117">
        <v>2491.6</v>
      </c>
      <c r="V1427" s="117"/>
      <c r="W1427" s="26">
        <f t="shared" si="1069"/>
        <v>2491.6</v>
      </c>
      <c r="X1427" s="118" t="str">
        <f t="shared" si="1064"/>
        <v/>
      </c>
      <c r="Y1427" s="119">
        <f t="shared" si="1070"/>
        <v>0.38267547227768389</v>
      </c>
      <c r="Z1427" s="117">
        <f t="shared" ref="Z1427:Z1432" si="1073">P1427-W1427</f>
        <v>4019.4</v>
      </c>
      <c r="AA1427" s="119">
        <f t="shared" ref="AA1427:AA1432" si="1074">Z1427/P1427</f>
        <v>0.61732452772231605</v>
      </c>
      <c r="AB1427" s="120">
        <f>M1427-W1427</f>
        <v>-362.19999999999982</v>
      </c>
      <c r="AC1427" s="119">
        <f t="shared" ref="AC1427:AC1432" si="1075">IFERROR(AA1427-O1427,"")</f>
        <v>-5.562893564736604E-2</v>
      </c>
      <c r="AD1427" s="110"/>
      <c r="AE1427" s="110"/>
      <c r="AF1427" s="110"/>
      <c r="AG1427" s="121"/>
      <c r="AH1427" s="110"/>
    </row>
    <row r="1428" spans="1:34" s="53" customFormat="1" ht="11.25" customHeight="1" x14ac:dyDescent="0.15">
      <c r="A1428" s="53" t="s">
        <v>748</v>
      </c>
      <c r="C1428" s="54" t="s">
        <v>360</v>
      </c>
      <c r="D1428" s="54">
        <v>2024</v>
      </c>
      <c r="E1428" s="70">
        <v>45351</v>
      </c>
      <c r="F1428" s="54"/>
      <c r="I1428" s="111"/>
      <c r="J1428" s="111"/>
      <c r="L1428" s="97">
        <f>SUM(L1421:L1427)</f>
        <v>16310.05</v>
      </c>
      <c r="M1428" s="97">
        <f t="shared" ref="M1428:N1428" si="1076">SUM(M1421:M1427)</f>
        <v>5929.3</v>
      </c>
      <c r="N1428" s="97">
        <f t="shared" si="1076"/>
        <v>10380.75</v>
      </c>
      <c r="O1428" s="57">
        <f t="shared" si="1072"/>
        <v>0.63646340753093955</v>
      </c>
      <c r="P1428" s="97">
        <f>SUM(P1421:P1427)</f>
        <v>16310.05</v>
      </c>
      <c r="Q1428" s="97"/>
      <c r="R1428" s="117">
        <f t="shared" ref="R1428:W1428" si="1077">SUM(R1421:R1427)</f>
        <v>0</v>
      </c>
      <c r="S1428" s="117">
        <f t="shared" si="1077"/>
        <v>0</v>
      </c>
      <c r="T1428" s="117">
        <f t="shared" si="1077"/>
        <v>0</v>
      </c>
      <c r="U1428" s="117">
        <f t="shared" si="1077"/>
        <v>6297.8099999999995</v>
      </c>
      <c r="V1428" s="117">
        <f t="shared" si="1077"/>
        <v>0</v>
      </c>
      <c r="W1428" s="26">
        <f t="shared" si="1077"/>
        <v>6297.8099999999995</v>
      </c>
      <c r="X1428" s="56" t="str">
        <f t="shared" si="1064"/>
        <v/>
      </c>
      <c r="Y1428" s="57">
        <f t="shared" si="1070"/>
        <v>0.38613063724513413</v>
      </c>
      <c r="Z1428" s="28">
        <f t="shared" si="1073"/>
        <v>10012.24</v>
      </c>
      <c r="AA1428" s="57">
        <f t="shared" si="1074"/>
        <v>0.61386936275486592</v>
      </c>
      <c r="AB1428" s="58">
        <f t="shared" ref="AB1428:AB1432" si="1078">M1428-W1428</f>
        <v>-368.50999999999931</v>
      </c>
      <c r="AC1428" s="57">
        <f t="shared" si="1075"/>
        <v>-2.259404477607363E-2</v>
      </c>
      <c r="AG1428" s="61"/>
    </row>
    <row r="1429" spans="1:34" ht="11.25" customHeight="1" x14ac:dyDescent="0.15">
      <c r="A1429" s="110" t="s">
        <v>748</v>
      </c>
      <c r="B1429" s="110"/>
      <c r="C1429" s="111" t="s">
        <v>279</v>
      </c>
      <c r="D1429" s="111">
        <v>2024</v>
      </c>
      <c r="E1429" s="146">
        <v>45351</v>
      </c>
      <c r="F1429" s="111"/>
      <c r="G1429" s="111">
        <v>51020022</v>
      </c>
      <c r="H1429" s="111"/>
      <c r="I1429" s="111"/>
      <c r="J1429" s="111"/>
      <c r="K1429" s="112" t="s">
        <v>756</v>
      </c>
      <c r="L1429" s="120">
        <v>9433.9500000000007</v>
      </c>
      <c r="M1429" s="120">
        <v>5026.91</v>
      </c>
      <c r="N1429" s="120">
        <f t="shared" si="1071"/>
        <v>4407.0400000000009</v>
      </c>
      <c r="O1429" s="119">
        <f t="shared" si="1072"/>
        <v>0.46714684729090156</v>
      </c>
      <c r="P1429" s="117">
        <v>9433.9500000000007</v>
      </c>
      <c r="Q1429" s="111">
        <v>2943</v>
      </c>
      <c r="R1429" s="117">
        <v>18.25</v>
      </c>
      <c r="S1429" s="117">
        <v>837.86</v>
      </c>
      <c r="T1429" s="117">
        <v>1268.23</v>
      </c>
      <c r="U1429" s="117">
        <v>494.79</v>
      </c>
      <c r="V1429" s="117"/>
      <c r="W1429" s="26">
        <f t="shared" si="1069"/>
        <v>2600.88</v>
      </c>
      <c r="X1429" s="118">
        <f t="shared" ref="X1429:X1432" si="1079">IFERROR(S1429/R1429,"")</f>
        <v>45.910136986301367</v>
      </c>
      <c r="Y1429" s="119">
        <f t="shared" ref="Y1429:Y1432" si="1080">U1429/P1429</f>
        <v>5.2447808182150633E-2</v>
      </c>
      <c r="Z1429" s="117">
        <f t="shared" si="1073"/>
        <v>6833.0700000000006</v>
      </c>
      <c r="AA1429" s="119">
        <f t="shared" si="1074"/>
        <v>0.72430636159827011</v>
      </c>
      <c r="AB1429" s="120">
        <f t="shared" si="1078"/>
        <v>2426.0299999999997</v>
      </c>
      <c r="AC1429" s="119">
        <f t="shared" si="1075"/>
        <v>0.25715951430736855</v>
      </c>
      <c r="AD1429" s="110" t="s">
        <v>757</v>
      </c>
      <c r="AE1429" s="110"/>
      <c r="AF1429" s="110"/>
      <c r="AG1429" s="121"/>
      <c r="AH1429" s="110"/>
    </row>
    <row r="1430" spans="1:34" ht="11.25" customHeight="1" x14ac:dyDescent="0.15">
      <c r="A1430" s="110" t="s">
        <v>748</v>
      </c>
      <c r="B1430" s="110"/>
      <c r="C1430" s="111" t="s">
        <v>55</v>
      </c>
      <c r="D1430" s="111">
        <v>2024</v>
      </c>
      <c r="E1430" s="146">
        <v>45351</v>
      </c>
      <c r="F1430" s="111"/>
      <c r="G1430" s="111" t="s">
        <v>56</v>
      </c>
      <c r="H1430" s="111"/>
      <c r="I1430" s="111"/>
      <c r="J1430" s="111"/>
      <c r="K1430" s="112" t="s">
        <v>71</v>
      </c>
      <c r="L1430" s="120">
        <v>1433</v>
      </c>
      <c r="M1430" s="120">
        <v>716.45</v>
      </c>
      <c r="N1430" s="120">
        <f t="shared" si="1071"/>
        <v>716.55</v>
      </c>
      <c r="O1430" s="119">
        <f t="shared" si="1072"/>
        <v>0.50003489183531047</v>
      </c>
      <c r="P1430" s="117">
        <v>1433</v>
      </c>
      <c r="Q1430" s="111">
        <v>2944</v>
      </c>
      <c r="R1430" s="117"/>
      <c r="S1430" s="117"/>
      <c r="T1430" s="117"/>
      <c r="U1430" s="117"/>
      <c r="V1430" s="117">
        <v>360.07</v>
      </c>
      <c r="W1430" s="26">
        <f t="shared" si="1069"/>
        <v>360.07</v>
      </c>
      <c r="X1430" s="118" t="str">
        <f t="shared" si="1079"/>
        <v/>
      </c>
      <c r="Y1430" s="119">
        <f t="shared" si="1080"/>
        <v>0</v>
      </c>
      <c r="Z1430" s="117">
        <f t="shared" si="1073"/>
        <v>1072.93</v>
      </c>
      <c r="AA1430" s="119">
        <f t="shared" si="1074"/>
        <v>0.74872993719469649</v>
      </c>
      <c r="AB1430" s="120">
        <f t="shared" si="1078"/>
        <v>356.38000000000005</v>
      </c>
      <c r="AC1430" s="119">
        <f t="shared" si="1075"/>
        <v>0.24869504535938602</v>
      </c>
      <c r="AD1430" s="110"/>
      <c r="AE1430" s="110"/>
      <c r="AF1430" s="110"/>
      <c r="AG1430" s="121"/>
      <c r="AH1430" s="110"/>
    </row>
    <row r="1431" spans="1:34" ht="11.25" customHeight="1" x14ac:dyDescent="0.15">
      <c r="A1431" s="110" t="s">
        <v>748</v>
      </c>
      <c r="B1431" s="110"/>
      <c r="C1431" s="111" t="s">
        <v>175</v>
      </c>
      <c r="D1431" s="111">
        <v>2024</v>
      </c>
      <c r="E1431" s="146">
        <v>45351</v>
      </c>
      <c r="F1431" s="111"/>
      <c r="G1431" s="111">
        <v>81030201</v>
      </c>
      <c r="H1431" s="111">
        <v>4111</v>
      </c>
      <c r="I1431" s="111" t="str">
        <f>MID(G1431,2,1)</f>
        <v>1</v>
      </c>
      <c r="J1431" s="111" t="str">
        <f>IF(I1431="1","Small/Medium","Large")</f>
        <v>Small/Medium</v>
      </c>
      <c r="K1431" s="147" t="s">
        <v>145</v>
      </c>
      <c r="L1431" s="120">
        <v>14896</v>
      </c>
      <c r="M1431" s="120">
        <f>L1431*0.3</f>
        <v>4468.8</v>
      </c>
      <c r="N1431" s="120">
        <f t="shared" si="1071"/>
        <v>10427.200000000001</v>
      </c>
      <c r="O1431" s="119">
        <f t="shared" si="1072"/>
        <v>0.70000000000000007</v>
      </c>
      <c r="P1431" s="117">
        <v>14896</v>
      </c>
      <c r="Q1431" s="111">
        <v>3150</v>
      </c>
      <c r="R1431" s="117">
        <v>23.25</v>
      </c>
      <c r="S1431" s="117">
        <v>1043.46</v>
      </c>
      <c r="T1431" s="117">
        <v>1268.22</v>
      </c>
      <c r="U1431" s="117">
        <v>461.15</v>
      </c>
      <c r="V1431" s="117"/>
      <c r="W1431" s="26">
        <f t="shared" si="1069"/>
        <v>2772.8300000000004</v>
      </c>
      <c r="X1431" s="118">
        <f t="shared" si="1079"/>
        <v>44.88</v>
      </c>
      <c r="Y1431" s="119">
        <f t="shared" si="1080"/>
        <v>3.0957975295381308E-2</v>
      </c>
      <c r="Z1431" s="117">
        <f t="shared" si="1073"/>
        <v>12123.17</v>
      </c>
      <c r="AA1431" s="119">
        <f t="shared" si="1074"/>
        <v>0.81385405477980666</v>
      </c>
      <c r="AB1431" s="120">
        <f t="shared" si="1078"/>
        <v>1695.9699999999998</v>
      </c>
      <c r="AC1431" s="119">
        <f t="shared" si="1075"/>
        <v>0.11385405477980659</v>
      </c>
      <c r="AD1431" s="110" t="s">
        <v>757</v>
      </c>
      <c r="AE1431" s="110"/>
      <c r="AF1431" s="110"/>
      <c r="AG1431" s="121"/>
      <c r="AH1431" s="110"/>
    </row>
    <row r="1432" spans="1:34" s="216" customFormat="1" ht="11.25" customHeight="1" x14ac:dyDescent="0.15">
      <c r="A1432" s="53" t="s">
        <v>748</v>
      </c>
      <c r="B1432" s="53"/>
      <c r="C1432" s="54" t="s">
        <v>177</v>
      </c>
      <c r="D1432" s="54">
        <v>2024</v>
      </c>
      <c r="E1432" s="70">
        <v>45351</v>
      </c>
      <c r="F1432" s="54"/>
      <c r="G1432" s="54"/>
      <c r="H1432" s="54"/>
      <c r="I1432" s="54"/>
      <c r="J1432" s="54"/>
      <c r="K1432" s="106"/>
      <c r="L1432" s="24">
        <f>SUM(L1428:L1431)</f>
        <v>42073</v>
      </c>
      <c r="M1432" s="24">
        <f t="shared" ref="M1432:N1432" si="1081">SUM(M1428:M1431)</f>
        <v>16141.46</v>
      </c>
      <c r="N1432" s="24">
        <f t="shared" si="1081"/>
        <v>25931.54</v>
      </c>
      <c r="O1432" s="57">
        <f t="shared" si="1072"/>
        <v>0.61634635039098706</v>
      </c>
      <c r="P1432" s="24">
        <f>SUM(P1428:P1431)</f>
        <v>42073</v>
      </c>
      <c r="Q1432" s="24"/>
      <c r="R1432" s="117">
        <f>SUM(R1428:R1431)</f>
        <v>41.5</v>
      </c>
      <c r="S1432" s="117">
        <f t="shared" ref="S1432:W1432" si="1082">SUM(S1428:S1431)</f>
        <v>1881.3200000000002</v>
      </c>
      <c r="T1432" s="117">
        <f t="shared" si="1082"/>
        <v>2536.4499999999998</v>
      </c>
      <c r="U1432" s="117">
        <f t="shared" si="1082"/>
        <v>7253.7499999999991</v>
      </c>
      <c r="V1432" s="117">
        <f t="shared" si="1082"/>
        <v>360.07</v>
      </c>
      <c r="W1432" s="26">
        <f t="shared" si="1082"/>
        <v>12031.589999999998</v>
      </c>
      <c r="X1432" s="56">
        <f t="shared" si="1079"/>
        <v>45.333012048192778</v>
      </c>
      <c r="Y1432" s="57">
        <f t="shared" si="1080"/>
        <v>0.17240867064388085</v>
      </c>
      <c r="Z1432" s="28">
        <f t="shared" si="1073"/>
        <v>30041.410000000003</v>
      </c>
      <c r="AA1432" s="57">
        <f t="shared" si="1074"/>
        <v>0.71403061345756191</v>
      </c>
      <c r="AB1432" s="58">
        <f t="shared" si="1078"/>
        <v>4109.8700000000008</v>
      </c>
      <c r="AC1432" s="57">
        <f t="shared" si="1075"/>
        <v>9.768426306657485E-2</v>
      </c>
      <c r="AD1432" s="53"/>
      <c r="AE1432" s="53"/>
      <c r="AF1432" s="53"/>
      <c r="AG1432" s="61"/>
      <c r="AH1432" s="53"/>
    </row>
    <row r="1433" spans="1:34" ht="11.25" customHeight="1" x14ac:dyDescent="0.15">
      <c r="A1433" s="130"/>
      <c r="B1433" s="130"/>
      <c r="C1433" s="124"/>
      <c r="D1433" s="124"/>
      <c r="E1433" s="273"/>
      <c r="F1433" s="124"/>
      <c r="G1433" s="124"/>
      <c r="H1433" s="124"/>
      <c r="I1433" s="124"/>
      <c r="J1433" s="124"/>
      <c r="K1433" s="125"/>
      <c r="L1433" s="129"/>
      <c r="M1433" s="129"/>
      <c r="N1433" s="129"/>
      <c r="O1433" s="128"/>
      <c r="P1433" s="129"/>
      <c r="Q1433" s="124"/>
      <c r="R1433" s="117"/>
      <c r="S1433" s="117"/>
      <c r="T1433" s="117"/>
      <c r="U1433" s="117"/>
      <c r="V1433" s="117"/>
      <c r="X1433" s="45"/>
      <c r="Y1433" s="128"/>
      <c r="Z1433" s="126"/>
      <c r="AA1433" s="128"/>
      <c r="AB1433" s="129"/>
      <c r="AC1433" s="160"/>
      <c r="AD1433" s="137"/>
      <c r="AE1433" s="110"/>
      <c r="AF1433" s="110"/>
      <c r="AG1433" s="121"/>
      <c r="AH1433" s="110"/>
    </row>
    <row r="1434" spans="1:34" ht="11.25" customHeight="1" x14ac:dyDescent="0.15">
      <c r="A1434" s="110" t="s">
        <v>758</v>
      </c>
      <c r="B1434" s="110"/>
      <c r="C1434" s="111" t="s">
        <v>180</v>
      </c>
      <c r="D1434" s="111">
        <v>2024</v>
      </c>
      <c r="E1434" s="146">
        <v>45351</v>
      </c>
      <c r="F1434" s="111"/>
      <c r="G1434" s="111">
        <v>91000032</v>
      </c>
      <c r="H1434" s="111"/>
      <c r="I1434" s="111"/>
      <c r="J1434" s="111"/>
      <c r="K1434" s="112" t="s">
        <v>759</v>
      </c>
      <c r="L1434" s="120">
        <v>73957</v>
      </c>
      <c r="M1434" s="120">
        <v>10358.290000000001</v>
      </c>
      <c r="N1434" s="120">
        <f t="shared" ref="N1434:N1435" si="1083">L1434-M1434</f>
        <v>63598.71</v>
      </c>
      <c r="O1434" s="119">
        <f t="shared" ref="O1434:O1436" si="1084">IFERROR(N1434/L1434,"")</f>
        <v>0.85994172289303239</v>
      </c>
      <c r="P1434" s="117">
        <v>73957</v>
      </c>
      <c r="Q1434" s="111">
        <v>2827</v>
      </c>
      <c r="R1434" s="117"/>
      <c r="S1434" s="117"/>
      <c r="T1434" s="117"/>
      <c r="U1434" s="117">
        <v>10938.7</v>
      </c>
      <c r="V1434" s="117"/>
      <c r="W1434" s="26">
        <f>SUM(S1434:V1434)</f>
        <v>10938.7</v>
      </c>
      <c r="X1434" s="118" t="str">
        <f t="shared" ref="X1434:X1442" si="1085">IFERROR(S1434/R1434,"")</f>
        <v/>
      </c>
      <c r="Y1434" s="119">
        <f t="shared" ref="Y1434:Y1436" si="1086">U1434/P1434</f>
        <v>0.14790621577403087</v>
      </c>
      <c r="Z1434" s="117">
        <f t="shared" ref="Z1434:Z1442" si="1087">P1434-W1434</f>
        <v>63018.3</v>
      </c>
      <c r="AA1434" s="119">
        <f t="shared" ref="AA1434:AA1442" si="1088">Z1434/P1434</f>
        <v>0.85209378422596915</v>
      </c>
      <c r="AB1434" s="120">
        <f t="shared" ref="AB1434" si="1089">M1434-W1434</f>
        <v>-580.40999999999985</v>
      </c>
      <c r="AC1434" s="119">
        <f t="shared" ref="AC1434:AC1442" si="1090">IFERROR(AA1434-O1434,"")</f>
        <v>-7.8479386670632367E-3</v>
      </c>
      <c r="AD1434" s="110" t="s">
        <v>760</v>
      </c>
      <c r="AE1434" s="110"/>
      <c r="AF1434" s="110"/>
      <c r="AG1434" s="121"/>
      <c r="AH1434" s="110"/>
    </row>
    <row r="1435" spans="1:34" ht="11.25" customHeight="1" x14ac:dyDescent="0.15">
      <c r="A1435" s="110" t="s">
        <v>758</v>
      </c>
      <c r="B1435" s="110"/>
      <c r="C1435" s="111" t="s">
        <v>180</v>
      </c>
      <c r="D1435" s="111">
        <v>2024</v>
      </c>
      <c r="E1435" s="146">
        <v>45351</v>
      </c>
      <c r="F1435" s="111"/>
      <c r="G1435" s="111">
        <v>91024112</v>
      </c>
      <c r="H1435" s="111"/>
      <c r="I1435" s="111"/>
      <c r="J1435" s="111"/>
      <c r="K1435" s="112" t="s">
        <v>761</v>
      </c>
      <c r="L1435" s="120">
        <v>20690</v>
      </c>
      <c r="M1435" s="120">
        <v>6641.81</v>
      </c>
      <c r="N1435" s="120">
        <f t="shared" si="1083"/>
        <v>14048.189999999999</v>
      </c>
      <c r="O1435" s="119">
        <f t="shared" si="1084"/>
        <v>0.67898453359110678</v>
      </c>
      <c r="P1435" s="117">
        <v>20690</v>
      </c>
      <c r="Q1435" s="111">
        <v>2828</v>
      </c>
      <c r="R1435" s="117"/>
      <c r="S1435" s="117"/>
      <c r="T1435" s="117"/>
      <c r="U1435" s="117">
        <f>10823.21-2202.83</f>
        <v>8620.3799999999992</v>
      </c>
      <c r="V1435" s="117"/>
      <c r="W1435" s="26">
        <f>SUM(S1435:V1435)</f>
        <v>8620.3799999999992</v>
      </c>
      <c r="X1435" s="118" t="str">
        <f t="shared" si="1085"/>
        <v/>
      </c>
      <c r="Y1435" s="119">
        <f t="shared" si="1086"/>
        <v>0.41664475592073463</v>
      </c>
      <c r="Z1435" s="117">
        <f t="shared" si="1087"/>
        <v>12069.62</v>
      </c>
      <c r="AA1435" s="119">
        <f t="shared" si="1088"/>
        <v>0.58335524407926542</v>
      </c>
      <c r="AB1435" s="120">
        <f>M1435-W1435</f>
        <v>-1978.5699999999988</v>
      </c>
      <c r="AC1435" s="119">
        <f t="shared" si="1090"/>
        <v>-9.5629289511841353E-2</v>
      </c>
      <c r="AD1435" s="110" t="s">
        <v>762</v>
      </c>
      <c r="AE1435" s="110"/>
      <c r="AF1435" s="110"/>
      <c r="AG1435" s="121"/>
      <c r="AH1435" s="110"/>
    </row>
    <row r="1436" spans="1:34" s="53" customFormat="1" ht="11.25" customHeight="1" x14ac:dyDescent="0.15">
      <c r="A1436" s="53" t="s">
        <v>758</v>
      </c>
      <c r="C1436" s="54" t="s">
        <v>360</v>
      </c>
      <c r="D1436" s="54">
        <v>2024</v>
      </c>
      <c r="E1436" s="70">
        <v>45351</v>
      </c>
      <c r="F1436" s="54"/>
      <c r="I1436" s="111"/>
      <c r="J1436" s="111"/>
      <c r="L1436" s="97">
        <f>SUM(L1434:L1435)</f>
        <v>94647</v>
      </c>
      <c r="M1436" s="97">
        <f>SUM(M1434:M1435)</f>
        <v>17000.100000000002</v>
      </c>
      <c r="N1436" s="97">
        <f>SUM(N1434:N1435)</f>
        <v>77646.899999999994</v>
      </c>
      <c r="O1436" s="57">
        <f t="shared" si="1084"/>
        <v>0.82038416431582606</v>
      </c>
      <c r="P1436" s="97">
        <f>SUM(P1434:P1435)</f>
        <v>94647</v>
      </c>
      <c r="Q1436" s="97"/>
      <c r="R1436" s="117">
        <f>SUM(R1434:R1435)</f>
        <v>0</v>
      </c>
      <c r="S1436" s="117">
        <f t="shared" ref="S1436:V1436" si="1091">SUM(S1434:S1435)</f>
        <v>0</v>
      </c>
      <c r="T1436" s="117">
        <f t="shared" si="1091"/>
        <v>0</v>
      </c>
      <c r="U1436" s="117">
        <f t="shared" si="1091"/>
        <v>19559.080000000002</v>
      </c>
      <c r="V1436" s="117">
        <f t="shared" si="1091"/>
        <v>0</v>
      </c>
      <c r="W1436" s="26">
        <f>SUM(W1434:W1435)</f>
        <v>19559.080000000002</v>
      </c>
      <c r="X1436" s="56" t="str">
        <f t="shared" si="1085"/>
        <v/>
      </c>
      <c r="Y1436" s="57">
        <f t="shared" si="1086"/>
        <v>0.2066529314188511</v>
      </c>
      <c r="Z1436" s="28">
        <f t="shared" si="1087"/>
        <v>75087.92</v>
      </c>
      <c r="AA1436" s="57">
        <f t="shared" si="1088"/>
        <v>0.7933470685811489</v>
      </c>
      <c r="AB1436" s="58">
        <f t="shared" ref="AB1436:AB1442" si="1092">M1436-W1436</f>
        <v>-2558.9799999999996</v>
      </c>
      <c r="AC1436" s="57">
        <f t="shared" si="1090"/>
        <v>-2.7037095734677163E-2</v>
      </c>
      <c r="AG1436" s="61"/>
    </row>
    <row r="1437" spans="1:34" ht="11.25" customHeight="1" x14ac:dyDescent="0.15">
      <c r="A1437" s="110" t="s">
        <v>758</v>
      </c>
      <c r="B1437" s="110"/>
      <c r="C1437" s="111" t="s">
        <v>279</v>
      </c>
      <c r="D1437" s="111">
        <v>2024</v>
      </c>
      <c r="E1437" s="146">
        <v>45351</v>
      </c>
      <c r="F1437" s="111"/>
      <c r="G1437" s="111">
        <v>51024122</v>
      </c>
      <c r="H1437" s="111"/>
      <c r="I1437" s="111"/>
      <c r="J1437" s="111"/>
      <c r="K1437" s="112" t="s">
        <v>449</v>
      </c>
      <c r="L1437" s="120">
        <v>15321</v>
      </c>
      <c r="M1437" s="120">
        <v>5169.12</v>
      </c>
      <c r="N1437" s="120">
        <f t="shared" ref="N1437:N1441" si="1093">L1437-M1437</f>
        <v>10151.880000000001</v>
      </c>
      <c r="O1437" s="119">
        <f t="shared" ref="O1437:O1442" si="1094">IFERROR(N1437/L1437,"")</f>
        <v>0.66261210103779133</v>
      </c>
      <c r="P1437" s="117">
        <v>15321</v>
      </c>
      <c r="Q1437" s="111">
        <v>2829</v>
      </c>
      <c r="R1437" s="117">
        <v>48</v>
      </c>
      <c r="S1437" s="117">
        <v>2203.69</v>
      </c>
      <c r="T1437" s="117">
        <v>1645.47</v>
      </c>
      <c r="U1437" s="117">
        <v>1866.12</v>
      </c>
      <c r="V1437" s="117"/>
      <c r="W1437" s="26">
        <f>SUM(S1437:V1437)</f>
        <v>5715.28</v>
      </c>
      <c r="X1437" s="118">
        <f t="shared" si="1085"/>
        <v>45.910208333333337</v>
      </c>
      <c r="Y1437" s="119">
        <f>IFERROR(U1437/P1437,0)</f>
        <v>0.12180144899158017</v>
      </c>
      <c r="Z1437" s="117">
        <f t="shared" si="1087"/>
        <v>9605.7200000000012</v>
      </c>
      <c r="AA1437" s="119">
        <f t="shared" si="1088"/>
        <v>0.62696429736962345</v>
      </c>
      <c r="AB1437" s="120">
        <f t="shared" si="1092"/>
        <v>-546.15999999999985</v>
      </c>
      <c r="AC1437" s="119">
        <f t="shared" si="1090"/>
        <v>-3.5647803668167888E-2</v>
      </c>
      <c r="AD1437" s="110" t="s">
        <v>763</v>
      </c>
      <c r="AE1437" s="110"/>
      <c r="AF1437" s="110"/>
      <c r="AG1437" s="121"/>
      <c r="AH1437" s="110"/>
    </row>
    <row r="1438" spans="1:34" ht="11.25" customHeight="1" x14ac:dyDescent="0.15">
      <c r="A1438" s="110" t="s">
        <v>758</v>
      </c>
      <c r="B1438" s="110"/>
      <c r="C1438" s="111" t="s">
        <v>248</v>
      </c>
      <c r="D1438" s="111">
        <v>2024</v>
      </c>
      <c r="E1438" s="146">
        <v>45351</v>
      </c>
      <c r="F1438" s="111"/>
      <c r="G1438" s="111">
        <v>96000000</v>
      </c>
      <c r="H1438" s="111"/>
      <c r="I1438" s="111"/>
      <c r="J1438" s="111"/>
      <c r="K1438" s="112" t="s">
        <v>250</v>
      </c>
      <c r="L1438" s="120">
        <v>7379</v>
      </c>
      <c r="M1438" s="120">
        <v>3689.5</v>
      </c>
      <c r="N1438" s="120">
        <f t="shared" si="1093"/>
        <v>3689.5</v>
      </c>
      <c r="O1438" s="119">
        <f t="shared" si="1094"/>
        <v>0.5</v>
      </c>
      <c r="P1438" s="117">
        <v>7379</v>
      </c>
      <c r="Q1438" s="111">
        <v>2830</v>
      </c>
      <c r="R1438" s="117">
        <v>8</v>
      </c>
      <c r="S1438" s="117">
        <v>452.4</v>
      </c>
      <c r="T1438" s="117"/>
      <c r="U1438" s="117"/>
      <c r="V1438" s="117"/>
      <c r="W1438" s="26">
        <f>SUM(S1438:V1438)</f>
        <v>452.4</v>
      </c>
      <c r="X1438" s="118">
        <f t="shared" si="1085"/>
        <v>56.55</v>
      </c>
      <c r="Y1438" s="119">
        <f t="shared" ref="Y1438:Y1442" si="1095">U1438/P1438</f>
        <v>0</v>
      </c>
      <c r="Z1438" s="117">
        <f t="shared" si="1087"/>
        <v>6926.6</v>
      </c>
      <c r="AA1438" s="119">
        <f t="shared" si="1088"/>
        <v>0.93869087952297059</v>
      </c>
      <c r="AB1438" s="120">
        <f t="shared" si="1092"/>
        <v>3237.1</v>
      </c>
      <c r="AC1438" s="119">
        <f t="shared" si="1090"/>
        <v>0.43869087952297059</v>
      </c>
      <c r="AD1438" s="110"/>
      <c r="AE1438" s="110">
        <f>3594.44-1391.61</f>
        <v>2202.83</v>
      </c>
      <c r="AF1438" s="110"/>
      <c r="AG1438" s="121"/>
      <c r="AH1438" s="110"/>
    </row>
    <row r="1439" spans="1:34" ht="11.25" customHeight="1" x14ac:dyDescent="0.15">
      <c r="A1439" s="110" t="s">
        <v>758</v>
      </c>
      <c r="B1439" s="110"/>
      <c r="C1439" s="111" t="s">
        <v>55</v>
      </c>
      <c r="D1439" s="111">
        <v>2024</v>
      </c>
      <c r="E1439" s="146">
        <v>45351</v>
      </c>
      <c r="F1439" s="111"/>
      <c r="G1439" s="111" t="s">
        <v>56</v>
      </c>
      <c r="H1439" s="111"/>
      <c r="I1439" s="111"/>
      <c r="J1439" s="111"/>
      <c r="K1439" s="112" t="s">
        <v>71</v>
      </c>
      <c r="L1439" s="120">
        <v>3083</v>
      </c>
      <c r="M1439" s="120">
        <v>1541.06</v>
      </c>
      <c r="N1439" s="120">
        <f t="shared" si="1093"/>
        <v>1541.94</v>
      </c>
      <c r="O1439" s="119">
        <f t="shared" si="1094"/>
        <v>0.50014271813168998</v>
      </c>
      <c r="P1439" s="117">
        <v>3083</v>
      </c>
      <c r="Q1439" s="111">
        <v>2831</v>
      </c>
      <c r="R1439" s="117">
        <v>4</v>
      </c>
      <c r="S1439" s="117">
        <v>170</v>
      </c>
      <c r="T1439" s="117"/>
      <c r="U1439" s="117"/>
      <c r="V1439" s="117">
        <v>1324.13</v>
      </c>
      <c r="W1439" s="26">
        <f t="shared" ref="W1439:W1441" si="1096">SUM(S1439:V1439)</f>
        <v>1494.13</v>
      </c>
      <c r="X1439" s="118">
        <f t="shared" si="1085"/>
        <v>42.5</v>
      </c>
      <c r="Y1439" s="119">
        <f t="shared" si="1095"/>
        <v>0</v>
      </c>
      <c r="Z1439" s="117">
        <f t="shared" si="1087"/>
        <v>1588.87</v>
      </c>
      <c r="AA1439" s="119">
        <f t="shared" si="1088"/>
        <v>0.51536490431397985</v>
      </c>
      <c r="AB1439" s="120">
        <f t="shared" si="1092"/>
        <v>46.929999999999836</v>
      </c>
      <c r="AC1439" s="119">
        <f t="shared" si="1090"/>
        <v>1.5222186182289876E-2</v>
      </c>
      <c r="AD1439" s="110"/>
      <c r="AE1439" s="110"/>
      <c r="AF1439" s="110"/>
      <c r="AG1439" s="121"/>
      <c r="AH1439" s="110"/>
    </row>
    <row r="1440" spans="1:34" ht="11.25" customHeight="1" x14ac:dyDescent="0.15">
      <c r="A1440" s="110" t="s">
        <v>758</v>
      </c>
      <c r="B1440" s="110"/>
      <c r="C1440" s="111" t="s">
        <v>58</v>
      </c>
      <c r="D1440" s="111">
        <v>2024</v>
      </c>
      <c r="E1440" s="146">
        <v>45351</v>
      </c>
      <c r="F1440" s="111"/>
      <c r="G1440" s="111">
        <v>71142012</v>
      </c>
      <c r="H1440" s="111"/>
      <c r="I1440" s="111"/>
      <c r="J1440" s="111"/>
      <c r="K1440" s="112" t="s">
        <v>672</v>
      </c>
      <c r="L1440" s="120">
        <v>24987</v>
      </c>
      <c r="M1440" s="120">
        <v>2498.6999999999998</v>
      </c>
      <c r="N1440" s="120">
        <f t="shared" si="1093"/>
        <v>22488.3</v>
      </c>
      <c r="O1440" s="119">
        <f t="shared" si="1094"/>
        <v>0.9</v>
      </c>
      <c r="P1440" s="117">
        <f>49997-23820-1190</f>
        <v>24987</v>
      </c>
      <c r="Q1440" s="111">
        <v>2914</v>
      </c>
      <c r="R1440" s="117"/>
      <c r="S1440" s="117"/>
      <c r="T1440" s="117"/>
      <c r="U1440" s="117">
        <v>2751.47</v>
      </c>
      <c r="V1440" s="117"/>
      <c r="W1440" s="26">
        <f t="shared" si="1096"/>
        <v>2751.47</v>
      </c>
      <c r="X1440" s="118" t="str">
        <f t="shared" si="1085"/>
        <v/>
      </c>
      <c r="Y1440" s="119">
        <f t="shared" si="1095"/>
        <v>0.11011606035138272</v>
      </c>
      <c r="Z1440" s="117">
        <f t="shared" si="1087"/>
        <v>22235.53</v>
      </c>
      <c r="AA1440" s="119">
        <f t="shared" si="1088"/>
        <v>0.88988393964861723</v>
      </c>
      <c r="AB1440" s="120">
        <f t="shared" si="1092"/>
        <v>-252.76999999999998</v>
      </c>
      <c r="AC1440" s="119">
        <f t="shared" si="1090"/>
        <v>-1.0116060351382794E-2</v>
      </c>
      <c r="AD1440" s="110"/>
      <c r="AE1440" s="110"/>
      <c r="AF1440" s="110"/>
      <c r="AG1440" s="121"/>
      <c r="AH1440" s="110"/>
    </row>
    <row r="1441" spans="1:34" ht="11.25" customHeight="1" x14ac:dyDescent="0.15">
      <c r="A1441" s="110" t="s">
        <v>758</v>
      </c>
      <c r="B1441" s="110"/>
      <c r="C1441" s="111" t="s">
        <v>49</v>
      </c>
      <c r="D1441" s="111">
        <v>2024</v>
      </c>
      <c r="E1441" s="146">
        <v>45351</v>
      </c>
      <c r="F1441" s="111"/>
      <c r="G1441" s="111">
        <v>61642012</v>
      </c>
      <c r="H1441" s="111"/>
      <c r="I1441" s="111"/>
      <c r="J1441" s="111"/>
      <c r="K1441" s="112" t="s">
        <v>682</v>
      </c>
      <c r="L1441" s="120">
        <v>9523</v>
      </c>
      <c r="M1441" s="120">
        <v>4509.92</v>
      </c>
      <c r="N1441" s="120">
        <f t="shared" si="1093"/>
        <v>5013.08</v>
      </c>
      <c r="O1441" s="119">
        <f t="shared" si="1094"/>
        <v>0.5264181455423711</v>
      </c>
      <c r="P1441" s="117">
        <v>9523</v>
      </c>
      <c r="Q1441" s="111">
        <v>2832</v>
      </c>
      <c r="R1441" s="117">
        <v>36</v>
      </c>
      <c r="S1441" s="117">
        <v>2035.8</v>
      </c>
      <c r="T1441" s="117">
        <v>1456.19</v>
      </c>
      <c r="U1441" s="117"/>
      <c r="V1441" s="117"/>
      <c r="W1441" s="26">
        <f t="shared" si="1096"/>
        <v>3491.99</v>
      </c>
      <c r="X1441" s="118">
        <f t="shared" si="1085"/>
        <v>56.55</v>
      </c>
      <c r="Y1441" s="119">
        <f t="shared" si="1095"/>
        <v>0</v>
      </c>
      <c r="Z1441" s="117">
        <f t="shared" si="1087"/>
        <v>6031.01</v>
      </c>
      <c r="AA1441" s="119">
        <f t="shared" si="1088"/>
        <v>0.63330988133991395</v>
      </c>
      <c r="AB1441" s="120">
        <f t="shared" si="1092"/>
        <v>1017.9300000000003</v>
      </c>
      <c r="AC1441" s="119">
        <f t="shared" si="1090"/>
        <v>0.10689173579754285</v>
      </c>
      <c r="AD1441" s="110"/>
      <c r="AE1441" s="110"/>
      <c r="AF1441" s="110"/>
      <c r="AG1441" s="121"/>
      <c r="AH1441" s="110"/>
    </row>
    <row r="1442" spans="1:34" s="216" customFormat="1" ht="11.25" customHeight="1" x14ac:dyDescent="0.15">
      <c r="A1442" s="53" t="s">
        <v>758</v>
      </c>
      <c r="B1442" s="53"/>
      <c r="C1442" s="54" t="s">
        <v>177</v>
      </c>
      <c r="D1442" s="54">
        <v>2024</v>
      </c>
      <c r="E1442" s="70">
        <v>45351</v>
      </c>
      <c r="F1442" s="54"/>
      <c r="G1442" s="54"/>
      <c r="H1442" s="54"/>
      <c r="I1442" s="54"/>
      <c r="J1442" s="54"/>
      <c r="K1442" s="106"/>
      <c r="L1442" s="24">
        <f>SUM(L1436:L1441)</f>
        <v>154940</v>
      </c>
      <c r="M1442" s="24">
        <f>SUM(M1436:M1441)</f>
        <v>34408.400000000001</v>
      </c>
      <c r="N1442" s="24">
        <f>SUM(N1436:N1441)</f>
        <v>120531.6</v>
      </c>
      <c r="O1442" s="57">
        <f t="shared" si="1094"/>
        <v>0.77792435781592884</v>
      </c>
      <c r="P1442" s="24">
        <f>SUM(P1436:P1441)</f>
        <v>154940</v>
      </c>
      <c r="Q1442" s="24"/>
      <c r="R1442" s="117">
        <f>SUM(R1436:R1441)</f>
        <v>96</v>
      </c>
      <c r="S1442" s="117">
        <f t="shared" ref="S1442:W1442" si="1097">SUM(S1436:S1441)</f>
        <v>4861.8900000000003</v>
      </c>
      <c r="T1442" s="117">
        <f t="shared" si="1097"/>
        <v>3101.66</v>
      </c>
      <c r="U1442" s="117">
        <f t="shared" si="1097"/>
        <v>24176.670000000002</v>
      </c>
      <c r="V1442" s="117">
        <f t="shared" si="1097"/>
        <v>1324.13</v>
      </c>
      <c r="W1442" s="26">
        <f t="shared" si="1097"/>
        <v>33464.350000000006</v>
      </c>
      <c r="X1442" s="56">
        <f t="shared" si="1085"/>
        <v>50.644687500000003</v>
      </c>
      <c r="Y1442" s="57">
        <f t="shared" si="1095"/>
        <v>0.15603891829095135</v>
      </c>
      <c r="Z1442" s="28">
        <f t="shared" si="1087"/>
        <v>121475.65</v>
      </c>
      <c r="AA1442" s="57">
        <f t="shared" si="1088"/>
        <v>0.78401736155931323</v>
      </c>
      <c r="AB1442" s="58">
        <f t="shared" si="1092"/>
        <v>944.04999999999563</v>
      </c>
      <c r="AC1442" s="57">
        <f t="shared" si="1090"/>
        <v>6.0930037433843953E-3</v>
      </c>
      <c r="AD1442" s="53"/>
      <c r="AE1442" s="53"/>
      <c r="AF1442" s="53"/>
      <c r="AG1442" s="61"/>
      <c r="AH1442" s="53"/>
    </row>
    <row r="1443" spans="1:34" ht="11.25" customHeight="1" x14ac:dyDescent="0.15">
      <c r="A1443" s="130"/>
      <c r="B1443" s="130"/>
      <c r="C1443" s="124"/>
      <c r="D1443" s="124"/>
      <c r="E1443" s="273"/>
      <c r="F1443" s="124"/>
      <c r="G1443" s="124"/>
      <c r="H1443" s="124"/>
      <c r="I1443" s="124"/>
      <c r="J1443" s="124"/>
      <c r="K1443" s="125"/>
      <c r="L1443" s="129"/>
      <c r="M1443" s="129"/>
      <c r="N1443" s="129"/>
      <c r="O1443" s="128"/>
      <c r="P1443" s="129"/>
      <c r="Q1443" s="124"/>
      <c r="R1443" s="117"/>
      <c r="S1443" s="117"/>
      <c r="T1443" s="117"/>
      <c r="U1443" s="117"/>
      <c r="V1443" s="117"/>
      <c r="X1443" s="45"/>
      <c r="Y1443" s="128"/>
      <c r="Z1443" s="126"/>
      <c r="AA1443" s="128"/>
      <c r="AB1443" s="129"/>
      <c r="AC1443" s="160"/>
      <c r="AD1443" s="137"/>
      <c r="AE1443" s="110"/>
      <c r="AF1443" s="110"/>
      <c r="AG1443" s="121"/>
      <c r="AH1443" s="110"/>
    </row>
    <row r="1444" spans="1:34" ht="11.25" customHeight="1" x14ac:dyDescent="0.15">
      <c r="A1444" s="110" t="s">
        <v>420</v>
      </c>
      <c r="B1444" s="110"/>
      <c r="C1444" s="111" t="s">
        <v>175</v>
      </c>
      <c r="D1444" s="111">
        <v>2024</v>
      </c>
      <c r="E1444" s="146">
        <v>45351</v>
      </c>
      <c r="F1444" s="111"/>
      <c r="G1444" s="111">
        <v>81000211</v>
      </c>
      <c r="H1444" s="111">
        <v>4111</v>
      </c>
      <c r="I1444" s="111" t="str">
        <f>MID(G1444,2,1)</f>
        <v>1</v>
      </c>
      <c r="J1444" s="111" t="str">
        <f>IF(I1444="1","Small/Medium","Large")</f>
        <v>Small/Medium</v>
      </c>
      <c r="K1444" s="147" t="s">
        <v>145</v>
      </c>
      <c r="L1444" s="120">
        <v>12462</v>
      </c>
      <c r="M1444" s="120">
        <f>L1444*0.3</f>
        <v>3738.6</v>
      </c>
      <c r="N1444" s="120">
        <f>L1444-M1444</f>
        <v>8723.4</v>
      </c>
      <c r="O1444" s="119">
        <f>IFERROR(N1444/L1444,"")</f>
        <v>0.7</v>
      </c>
      <c r="P1444" s="117">
        <f>L1444</f>
        <v>12462</v>
      </c>
      <c r="Q1444" s="111">
        <v>2175</v>
      </c>
      <c r="R1444" s="117">
        <v>16.5</v>
      </c>
      <c r="S1444" s="117">
        <v>740.52</v>
      </c>
      <c r="T1444" s="117">
        <v>924.26</v>
      </c>
      <c r="U1444" s="117">
        <v>747.2</v>
      </c>
      <c r="V1444" s="117"/>
      <c r="W1444" s="26">
        <f t="shared" ref="W1444:W1445" si="1098">SUM(S1444:V1444)</f>
        <v>2411.98</v>
      </c>
      <c r="X1444" s="118">
        <f t="shared" ref="X1444:X1446" si="1099">IFERROR(S1444/R1444,"")</f>
        <v>44.879999999999995</v>
      </c>
      <c r="Y1444" s="119">
        <f t="shared" ref="Y1444:Y1446" si="1100">U1444/P1444</f>
        <v>5.9958273150377148E-2</v>
      </c>
      <c r="Z1444" s="117">
        <f t="shared" ref="Z1444:Z1446" si="1101">P1444-W1444</f>
        <v>10050.02</v>
      </c>
      <c r="AA1444" s="119">
        <f t="shared" ref="AA1444:AA1446" si="1102">Z1444/P1444</f>
        <v>0.80645321778205747</v>
      </c>
      <c r="AB1444" s="120">
        <f t="shared" ref="AB1444:AB1446" si="1103">M1444-W1444</f>
        <v>1326.62</v>
      </c>
      <c r="AC1444" s="119">
        <f t="shared" ref="AC1444:AC1446" si="1104">IFERROR(AA1444-O1444,"")</f>
        <v>0.10645321778205752</v>
      </c>
      <c r="AD1444" s="110" t="s">
        <v>764</v>
      </c>
      <c r="AE1444" s="110"/>
      <c r="AF1444" s="110"/>
      <c r="AG1444" s="121"/>
      <c r="AH1444" s="110"/>
    </row>
    <row r="1445" spans="1:34" ht="11.25" customHeight="1" x14ac:dyDescent="0.15">
      <c r="A1445" s="110" t="s">
        <v>420</v>
      </c>
      <c r="B1445" s="110"/>
      <c r="C1445" s="111" t="s">
        <v>175</v>
      </c>
      <c r="D1445" s="111">
        <v>2024</v>
      </c>
      <c r="E1445" s="146">
        <v>45351</v>
      </c>
      <c r="F1445" s="111"/>
      <c r="G1445" s="111">
        <v>82000211</v>
      </c>
      <c r="H1445" s="111">
        <v>4111</v>
      </c>
      <c r="I1445" s="111" t="str">
        <f>MID(G1445,2,1)</f>
        <v>2</v>
      </c>
      <c r="J1445" s="111" t="str">
        <f>IF(I1445="1","Small/Medium","Large")</f>
        <v>Large</v>
      </c>
      <c r="K1445" s="147" t="s">
        <v>176</v>
      </c>
      <c r="L1445" s="120">
        <v>16977</v>
      </c>
      <c r="M1445" s="120">
        <f>L1445*0.3</f>
        <v>5093.0999999999995</v>
      </c>
      <c r="N1445" s="120">
        <f>L1445-M1445</f>
        <v>11883.900000000001</v>
      </c>
      <c r="O1445" s="119">
        <f>IFERROR(N1445/L1445,"")</f>
        <v>0.70000000000000007</v>
      </c>
      <c r="P1445" s="117">
        <f t="shared" ref="P1445" si="1105">L1445</f>
        <v>16977</v>
      </c>
      <c r="Q1445" s="111">
        <v>2176</v>
      </c>
      <c r="R1445" s="117">
        <v>25.5</v>
      </c>
      <c r="S1445" s="117">
        <v>1144.44</v>
      </c>
      <c r="T1445" s="117">
        <v>924.26</v>
      </c>
      <c r="U1445" s="117">
        <v>747.2</v>
      </c>
      <c r="V1445" s="117"/>
      <c r="W1445" s="26">
        <f t="shared" si="1098"/>
        <v>2815.8999999999996</v>
      </c>
      <c r="X1445" s="118">
        <f t="shared" si="1099"/>
        <v>44.88</v>
      </c>
      <c r="Y1445" s="119">
        <f t="shared" si="1100"/>
        <v>4.4012487483065327E-2</v>
      </c>
      <c r="Z1445" s="117">
        <f t="shared" si="1101"/>
        <v>14161.1</v>
      </c>
      <c r="AA1445" s="119">
        <f t="shared" si="1102"/>
        <v>0.83413441715261827</v>
      </c>
      <c r="AB1445" s="120">
        <f t="shared" si="1103"/>
        <v>2277.1999999999998</v>
      </c>
      <c r="AC1445" s="119">
        <f t="shared" si="1104"/>
        <v>0.1341344171526182</v>
      </c>
      <c r="AD1445" s="110" t="s">
        <v>764</v>
      </c>
      <c r="AE1445" s="110"/>
      <c r="AF1445" s="110"/>
      <c r="AG1445" s="121"/>
      <c r="AH1445" s="110"/>
    </row>
    <row r="1446" spans="1:34" s="216" customFormat="1" ht="11.25" customHeight="1" x14ac:dyDescent="0.15">
      <c r="A1446" s="53" t="s">
        <v>420</v>
      </c>
      <c r="B1446" s="53"/>
      <c r="C1446" s="54" t="s">
        <v>177</v>
      </c>
      <c r="D1446" s="54">
        <v>2024</v>
      </c>
      <c r="E1446" s="70">
        <v>45351</v>
      </c>
      <c r="F1446" s="54"/>
      <c r="G1446" s="54"/>
      <c r="H1446" s="54"/>
      <c r="I1446" s="54"/>
      <c r="J1446" s="54"/>
      <c r="K1446" s="106"/>
      <c r="L1446" s="24">
        <f>SUM(L1444:L1445)</f>
        <v>29439</v>
      </c>
      <c r="M1446" s="24">
        <f t="shared" ref="M1446:N1446" si="1106">SUM(M1444:M1445)</f>
        <v>8831.6999999999989</v>
      </c>
      <c r="N1446" s="24">
        <f t="shared" si="1106"/>
        <v>20607.300000000003</v>
      </c>
      <c r="O1446" s="57">
        <f>IFERROR(N1446/L1446,"")</f>
        <v>0.70000000000000007</v>
      </c>
      <c r="P1446" s="24">
        <f>SUM(P1444:P1445)</f>
        <v>29439</v>
      </c>
      <c r="Q1446" s="24"/>
      <c r="R1446" s="117">
        <f>SUM(R1444:R1445)</f>
        <v>42</v>
      </c>
      <c r="S1446" s="117">
        <f t="shared" ref="S1446:V1446" si="1107">SUM(S1444:S1445)</f>
        <v>1884.96</v>
      </c>
      <c r="T1446" s="117">
        <f t="shared" si="1107"/>
        <v>1848.52</v>
      </c>
      <c r="U1446" s="117">
        <f t="shared" si="1107"/>
        <v>1494.4</v>
      </c>
      <c r="V1446" s="117">
        <f t="shared" si="1107"/>
        <v>0</v>
      </c>
      <c r="W1446" s="26">
        <f>SUM(W1444:W1445)</f>
        <v>5227.8799999999992</v>
      </c>
      <c r="X1446" s="56">
        <f t="shared" si="1099"/>
        <v>44.88</v>
      </c>
      <c r="Y1446" s="57">
        <f t="shared" si="1100"/>
        <v>5.076259383810592E-2</v>
      </c>
      <c r="Z1446" s="28">
        <f t="shared" si="1101"/>
        <v>24211.120000000003</v>
      </c>
      <c r="AA1446" s="57">
        <f t="shared" si="1102"/>
        <v>0.82241652230035001</v>
      </c>
      <c r="AB1446" s="58">
        <f t="shared" si="1103"/>
        <v>3603.8199999999997</v>
      </c>
      <c r="AC1446" s="57">
        <f t="shared" si="1104"/>
        <v>0.12241652230034994</v>
      </c>
      <c r="AD1446" s="53"/>
      <c r="AE1446" s="53"/>
      <c r="AF1446" s="53"/>
      <c r="AG1446" s="61"/>
      <c r="AH1446" s="53"/>
    </row>
    <row r="1447" spans="1:34" ht="11.25" customHeight="1" x14ac:dyDescent="0.15">
      <c r="A1447" s="130"/>
      <c r="B1447" s="130"/>
      <c r="C1447" s="124"/>
      <c r="D1447" s="124"/>
      <c r="E1447" s="273"/>
      <c r="F1447" s="124"/>
      <c r="G1447" s="124"/>
      <c r="H1447" s="124"/>
      <c r="I1447" s="124"/>
      <c r="J1447" s="124"/>
      <c r="K1447" s="125"/>
      <c r="L1447" s="129"/>
      <c r="M1447" s="129"/>
      <c r="N1447" s="129"/>
      <c r="O1447" s="128"/>
      <c r="P1447" s="129"/>
      <c r="Q1447" s="124"/>
      <c r="R1447" s="117"/>
      <c r="S1447" s="117"/>
      <c r="T1447" s="117"/>
      <c r="U1447" s="117"/>
      <c r="V1447" s="117"/>
      <c r="X1447" s="45"/>
      <c r="Y1447" s="128"/>
      <c r="Z1447" s="126"/>
      <c r="AA1447" s="128"/>
      <c r="AB1447" s="129"/>
      <c r="AC1447" s="160"/>
      <c r="AD1447" s="137"/>
      <c r="AE1447" s="110"/>
      <c r="AF1447" s="110"/>
      <c r="AG1447" s="121"/>
      <c r="AH1447" s="110"/>
    </row>
    <row r="1448" spans="1:34" ht="11.25" customHeight="1" x14ac:dyDescent="0.15">
      <c r="A1448" s="110" t="s">
        <v>382</v>
      </c>
      <c r="B1448" s="110"/>
      <c r="C1448" s="111" t="s">
        <v>175</v>
      </c>
      <c r="D1448" s="111">
        <v>2024</v>
      </c>
      <c r="E1448" s="146">
        <v>45322</v>
      </c>
      <c r="F1448" s="111"/>
      <c r="G1448" s="111">
        <v>81100011</v>
      </c>
      <c r="H1448" s="111">
        <v>4101</v>
      </c>
      <c r="I1448" s="111" t="str">
        <f>MID(G1448,2,1)</f>
        <v>1</v>
      </c>
      <c r="J1448" s="111" t="str">
        <f>IF(I1448="1","Small/Medium","Large")</f>
        <v>Small/Medium</v>
      </c>
      <c r="K1448" s="147" t="s">
        <v>145</v>
      </c>
      <c r="L1448" s="120">
        <f>14031-1135</f>
        <v>12896</v>
      </c>
      <c r="M1448" s="120">
        <f>L1448*0.3</f>
        <v>3868.7999999999997</v>
      </c>
      <c r="N1448" s="120">
        <f>L1448-M1448</f>
        <v>9027.2000000000007</v>
      </c>
      <c r="O1448" s="119">
        <f>IFERROR(N1448/L1448,"")</f>
        <v>0.70000000000000007</v>
      </c>
      <c r="P1448" s="117">
        <f>L1448</f>
        <v>12896</v>
      </c>
      <c r="Q1448" s="111">
        <v>2742</v>
      </c>
      <c r="R1448" s="117">
        <v>33</v>
      </c>
      <c r="S1448" s="117">
        <v>1481.04</v>
      </c>
      <c r="T1448" s="117">
        <v>1138.56</v>
      </c>
      <c r="U1448" s="117">
        <v>711.85</v>
      </c>
      <c r="V1448" s="117"/>
      <c r="W1448" s="26">
        <f t="shared" ref="W1448" si="1108">SUM(S1448:V1448)</f>
        <v>3331.45</v>
      </c>
      <c r="X1448" s="118">
        <f t="shared" ref="X1448:X1449" si="1109">IFERROR(S1448/R1448,"")</f>
        <v>44.879999999999995</v>
      </c>
      <c r="Y1448" s="119">
        <f t="shared" ref="Y1448:Y1449" si="1110">U1448/P1448</f>
        <v>5.5199286600496278E-2</v>
      </c>
      <c r="Z1448" s="117">
        <f t="shared" ref="Z1448:Z1449" si="1111">P1448-W1448</f>
        <v>9564.5499999999993</v>
      </c>
      <c r="AA1448" s="119">
        <f t="shared" ref="AA1448:AA1449" si="1112">Z1448/P1448</f>
        <v>0.74166795905707195</v>
      </c>
      <c r="AB1448" s="120">
        <f t="shared" ref="AB1448:AB1449" si="1113">M1448-W1448</f>
        <v>537.34999999999991</v>
      </c>
      <c r="AC1448" s="119">
        <f t="shared" ref="AC1448:AC1449" si="1114">IFERROR(AA1448-O1448,"")</f>
        <v>4.1667959057071879E-2</v>
      </c>
      <c r="AD1448" s="110"/>
      <c r="AE1448" s="110"/>
      <c r="AF1448" s="110"/>
      <c r="AG1448" s="121"/>
      <c r="AH1448" s="110"/>
    </row>
    <row r="1449" spans="1:34" s="216" customFormat="1" ht="11.25" customHeight="1" x14ac:dyDescent="0.15">
      <c r="A1449" s="53" t="s">
        <v>382</v>
      </c>
      <c r="B1449" s="53"/>
      <c r="C1449" s="54" t="s">
        <v>177</v>
      </c>
      <c r="D1449" s="54">
        <v>2024</v>
      </c>
      <c r="E1449" s="70">
        <v>45322</v>
      </c>
      <c r="F1449" s="54"/>
      <c r="G1449" s="54"/>
      <c r="H1449" s="54"/>
      <c r="I1449" s="54"/>
      <c r="J1449" s="54"/>
      <c r="K1449" s="106"/>
      <c r="L1449" s="24">
        <f>SUM(L1448)</f>
        <v>12896</v>
      </c>
      <c r="M1449" s="24">
        <f t="shared" ref="M1449:N1449" si="1115">SUM(M1447:M1448)</f>
        <v>3868.7999999999997</v>
      </c>
      <c r="N1449" s="24">
        <f t="shared" si="1115"/>
        <v>9027.2000000000007</v>
      </c>
      <c r="O1449" s="57">
        <f>IFERROR(N1449/L1449,"")</f>
        <v>0.70000000000000007</v>
      </c>
      <c r="P1449" s="24">
        <f>SUM(P1448)</f>
        <v>12896</v>
      </c>
      <c r="Q1449" s="24"/>
      <c r="R1449" s="117">
        <f>SUM(R1448)</f>
        <v>33</v>
      </c>
      <c r="S1449" s="117">
        <f t="shared" ref="S1449:W1449" si="1116">SUM(S1448)</f>
        <v>1481.04</v>
      </c>
      <c r="T1449" s="117">
        <f t="shared" si="1116"/>
        <v>1138.56</v>
      </c>
      <c r="U1449" s="117">
        <f t="shared" si="1116"/>
        <v>711.85</v>
      </c>
      <c r="V1449" s="117">
        <f t="shared" si="1116"/>
        <v>0</v>
      </c>
      <c r="W1449" s="26">
        <f t="shared" si="1116"/>
        <v>3331.45</v>
      </c>
      <c r="X1449" s="56">
        <f t="shared" si="1109"/>
        <v>44.879999999999995</v>
      </c>
      <c r="Y1449" s="57">
        <f t="shared" si="1110"/>
        <v>5.5199286600496278E-2</v>
      </c>
      <c r="Z1449" s="28">
        <f t="shared" si="1111"/>
        <v>9564.5499999999993</v>
      </c>
      <c r="AA1449" s="57">
        <f t="shared" si="1112"/>
        <v>0.74166795905707195</v>
      </c>
      <c r="AB1449" s="58">
        <f t="shared" si="1113"/>
        <v>537.34999999999991</v>
      </c>
      <c r="AC1449" s="57">
        <f t="shared" si="1114"/>
        <v>4.1667959057071879E-2</v>
      </c>
      <c r="AD1449" s="53"/>
      <c r="AE1449" s="53"/>
      <c r="AF1449" s="53"/>
      <c r="AG1449" s="61"/>
      <c r="AH1449" s="53"/>
    </row>
    <row r="1450" spans="1:34" ht="11.25" customHeight="1" x14ac:dyDescent="0.15">
      <c r="A1450" s="130"/>
      <c r="B1450" s="130"/>
      <c r="C1450" s="124"/>
      <c r="D1450" s="124"/>
      <c r="E1450" s="273"/>
      <c r="F1450" s="124"/>
      <c r="G1450" s="124"/>
      <c r="H1450" s="124"/>
      <c r="I1450" s="124"/>
      <c r="J1450" s="124"/>
      <c r="K1450" s="125"/>
      <c r="L1450" s="129"/>
      <c r="M1450" s="129"/>
      <c r="N1450" s="129"/>
      <c r="O1450" s="128"/>
      <c r="P1450" s="129"/>
      <c r="Q1450" s="124"/>
      <c r="R1450" s="117"/>
      <c r="S1450" s="117"/>
      <c r="T1450" s="117"/>
      <c r="U1450" s="117"/>
      <c r="V1450" s="117"/>
      <c r="X1450" s="45"/>
      <c r="Y1450" s="128"/>
      <c r="Z1450" s="126"/>
      <c r="AA1450" s="128"/>
      <c r="AB1450" s="129"/>
      <c r="AC1450" s="160"/>
      <c r="AD1450" s="137"/>
      <c r="AE1450" s="110"/>
      <c r="AF1450" s="110"/>
      <c r="AG1450" s="121"/>
      <c r="AH1450" s="110"/>
    </row>
    <row r="1451" spans="1:34" ht="11.25" customHeight="1" x14ac:dyDescent="0.15">
      <c r="A1451" s="110" t="s">
        <v>576</v>
      </c>
      <c r="B1451" s="110"/>
      <c r="C1451" s="111" t="s">
        <v>201</v>
      </c>
      <c r="D1451" s="111">
        <v>2024</v>
      </c>
      <c r="E1451" s="146">
        <v>45382</v>
      </c>
      <c r="F1451" s="111"/>
      <c r="G1451" s="111" t="s">
        <v>765</v>
      </c>
      <c r="H1451" s="111"/>
      <c r="I1451" s="111"/>
      <c r="J1451" s="111"/>
      <c r="K1451" s="112" t="s">
        <v>766</v>
      </c>
      <c r="L1451" s="120">
        <v>0</v>
      </c>
      <c r="M1451" s="169">
        <v>0</v>
      </c>
      <c r="N1451" s="120">
        <v>0</v>
      </c>
      <c r="O1451" s="119"/>
      <c r="P1451" s="117">
        <v>0</v>
      </c>
      <c r="Q1451" s="111">
        <v>3049</v>
      </c>
      <c r="R1451" s="117">
        <v>20</v>
      </c>
      <c r="S1451" s="117">
        <v>918.2</v>
      </c>
      <c r="T1451" s="117">
        <v>1247.51</v>
      </c>
      <c r="U1451" s="117"/>
      <c r="V1451" s="117"/>
      <c r="W1451" s="26">
        <f t="shared" ref="W1451" si="1117">SUM(S1451:V1451)</f>
        <v>2165.71</v>
      </c>
      <c r="X1451" s="118">
        <f t="shared" ref="X1451:X1452" si="1118">IFERROR(S1451/R1451,"")</f>
        <v>45.910000000000004</v>
      </c>
      <c r="Y1451" s="119">
        <f>IFERROR(U1451/P1451,0)</f>
        <v>0</v>
      </c>
      <c r="Z1451" s="117">
        <f t="shared" ref="Z1451:Z1452" si="1119">P1451-W1451</f>
        <v>-2165.71</v>
      </c>
      <c r="AA1451" s="119">
        <f>IFERROR(Z1451/P1451,0)</f>
        <v>0</v>
      </c>
      <c r="AB1451" s="120">
        <f t="shared" ref="AB1451:AB1452" si="1120">M1451-W1451</f>
        <v>-2165.71</v>
      </c>
      <c r="AC1451" s="119">
        <f t="shared" ref="AC1451:AC1452" si="1121">IFERROR(AA1451-O1451,"")</f>
        <v>0</v>
      </c>
      <c r="AD1451" s="110" t="s">
        <v>767</v>
      </c>
      <c r="AE1451" s="110"/>
      <c r="AF1451" s="110"/>
      <c r="AG1451" s="121"/>
      <c r="AH1451" s="110"/>
    </row>
    <row r="1452" spans="1:34" s="216" customFormat="1" ht="11.25" customHeight="1" x14ac:dyDescent="0.15">
      <c r="A1452" s="53" t="s">
        <v>576</v>
      </c>
      <c r="B1452" s="53"/>
      <c r="C1452" s="54" t="s">
        <v>177</v>
      </c>
      <c r="D1452" s="54">
        <v>2024</v>
      </c>
      <c r="E1452" s="70">
        <v>45382</v>
      </c>
      <c r="F1452" s="54"/>
      <c r="G1452" s="54"/>
      <c r="H1452" s="54"/>
      <c r="I1452" s="54"/>
      <c r="J1452" s="54"/>
      <c r="K1452" s="106"/>
      <c r="L1452" s="24">
        <f>SUM(L1451)</f>
        <v>0</v>
      </c>
      <c r="M1452" s="24">
        <f t="shared" ref="M1452:N1452" si="1122">SUM(M1451)</f>
        <v>0</v>
      </c>
      <c r="N1452" s="24">
        <f t="shared" si="1122"/>
        <v>0</v>
      </c>
      <c r="O1452" s="57"/>
      <c r="P1452" s="24">
        <f>SUM(P1451)</f>
        <v>0</v>
      </c>
      <c r="Q1452" s="24"/>
      <c r="R1452" s="117">
        <f>SUM(R1451)</f>
        <v>20</v>
      </c>
      <c r="S1452" s="117">
        <f t="shared" ref="S1452:V1452" si="1123">SUM(S1451)</f>
        <v>918.2</v>
      </c>
      <c r="T1452" s="117">
        <f t="shared" si="1123"/>
        <v>1247.51</v>
      </c>
      <c r="U1452" s="117">
        <f t="shared" si="1123"/>
        <v>0</v>
      </c>
      <c r="V1452" s="117">
        <f t="shared" si="1123"/>
        <v>0</v>
      </c>
      <c r="W1452" s="26">
        <f t="shared" ref="W1452" si="1124">SUM(W1451)</f>
        <v>2165.71</v>
      </c>
      <c r="X1452" s="56">
        <f t="shared" si="1118"/>
        <v>45.910000000000004</v>
      </c>
      <c r="Y1452" s="57">
        <f>IFERROR(U1452/P1452,0)</f>
        <v>0</v>
      </c>
      <c r="Z1452" s="28">
        <f t="shared" si="1119"/>
        <v>-2165.71</v>
      </c>
      <c r="AA1452" s="57">
        <f>IFERROR(Z1452/P1452,0)</f>
        <v>0</v>
      </c>
      <c r="AB1452" s="58">
        <f t="shared" si="1120"/>
        <v>-2165.71</v>
      </c>
      <c r="AC1452" s="57">
        <f t="shared" si="1121"/>
        <v>0</v>
      </c>
      <c r="AD1452" s="53"/>
      <c r="AE1452" s="53"/>
      <c r="AF1452" s="53"/>
      <c r="AG1452" s="61"/>
      <c r="AH1452" s="53"/>
    </row>
    <row r="1453" spans="1:34" ht="11.25" customHeight="1" x14ac:dyDescent="0.15">
      <c r="A1453" s="130"/>
      <c r="B1453" s="130"/>
      <c r="C1453" s="124"/>
      <c r="D1453" s="124"/>
      <c r="E1453" s="273"/>
      <c r="F1453" s="124"/>
      <c r="G1453" s="124"/>
      <c r="H1453" s="124"/>
      <c r="I1453" s="124"/>
      <c r="J1453" s="124"/>
      <c r="K1453" s="125"/>
      <c r="L1453" s="129"/>
      <c r="M1453" s="129"/>
      <c r="N1453" s="129"/>
      <c r="O1453" s="128"/>
      <c r="P1453" s="129"/>
      <c r="Q1453" s="124"/>
      <c r="R1453" s="117"/>
      <c r="S1453" s="117"/>
      <c r="T1453" s="117"/>
      <c r="U1453" s="117"/>
      <c r="V1453" s="117"/>
      <c r="X1453" s="45"/>
      <c r="Y1453" s="128"/>
      <c r="Z1453" s="126"/>
      <c r="AA1453" s="128"/>
      <c r="AB1453" s="129"/>
      <c r="AC1453" s="160"/>
      <c r="AD1453" s="137"/>
      <c r="AE1453" s="110"/>
      <c r="AF1453" s="110"/>
      <c r="AG1453" s="121"/>
      <c r="AH1453" s="110"/>
    </row>
    <row r="1454" spans="1:34" ht="11.25" customHeight="1" x14ac:dyDescent="0.15">
      <c r="A1454" s="110" t="s">
        <v>121</v>
      </c>
      <c r="B1454" s="110"/>
      <c r="C1454" s="111" t="s">
        <v>175</v>
      </c>
      <c r="D1454" s="111">
        <v>2024</v>
      </c>
      <c r="E1454" s="146">
        <v>45382</v>
      </c>
      <c r="F1454" s="111"/>
      <c r="G1454" s="111">
        <v>81000011</v>
      </c>
      <c r="H1454" s="111">
        <v>4111</v>
      </c>
      <c r="I1454" s="111" t="str">
        <f>MID(G1454,2,1)</f>
        <v>1</v>
      </c>
      <c r="J1454" s="111" t="str">
        <f>IF(I1454="1","Small/Medium","Large")</f>
        <v>Small/Medium</v>
      </c>
      <c r="K1454" s="147" t="s">
        <v>145</v>
      </c>
      <c r="L1454" s="120">
        <v>11062</v>
      </c>
      <c r="M1454" s="120">
        <f>L1454*0.3</f>
        <v>3318.6</v>
      </c>
      <c r="N1454" s="120">
        <f>L1454-M1454</f>
        <v>7743.4</v>
      </c>
      <c r="O1454" s="119">
        <f>IFERROR(N1454/L1454,"")</f>
        <v>0.7</v>
      </c>
      <c r="P1454" s="117">
        <f>L1454</f>
        <v>11062</v>
      </c>
      <c r="Q1454" s="111">
        <v>2720</v>
      </c>
      <c r="R1454" s="117">
        <v>21</v>
      </c>
      <c r="S1454" s="117">
        <v>942.48</v>
      </c>
      <c r="T1454" s="117">
        <v>1243.6500000000001</v>
      </c>
      <c r="U1454" s="117">
        <v>1444.04</v>
      </c>
      <c r="V1454" s="117"/>
      <c r="W1454" s="26">
        <f t="shared" ref="W1454" si="1125">SUM(S1454:V1454)</f>
        <v>3630.17</v>
      </c>
      <c r="X1454" s="118">
        <f t="shared" ref="X1454:X1455" si="1126">IFERROR(S1454/R1454,"")</f>
        <v>44.88</v>
      </c>
      <c r="Y1454" s="119">
        <f>IFERROR(U1454/P1454,0)</f>
        <v>0.13054058940517085</v>
      </c>
      <c r="Z1454" s="117">
        <f t="shared" ref="Z1454:Z1455" si="1127">P1454-W1454</f>
        <v>7431.83</v>
      </c>
      <c r="AA1454" s="119">
        <f>IFERROR(Z1454/P1454,0)</f>
        <v>0.67183420719580544</v>
      </c>
      <c r="AB1454" s="120">
        <f t="shared" ref="AB1454:AB1455" si="1128">M1454-W1454</f>
        <v>-311.57000000000016</v>
      </c>
      <c r="AC1454" s="119">
        <f t="shared" ref="AC1454:AC1455" si="1129">IFERROR(AA1454-O1454,"")</f>
        <v>-2.8165792804194512E-2</v>
      </c>
      <c r="AD1454" s="110" t="s">
        <v>768</v>
      </c>
      <c r="AE1454" s="110"/>
      <c r="AF1454" s="110"/>
      <c r="AG1454" s="121"/>
      <c r="AH1454" s="110"/>
    </row>
    <row r="1455" spans="1:34" s="216" customFormat="1" ht="11.25" customHeight="1" x14ac:dyDescent="0.15">
      <c r="A1455" s="53" t="s">
        <v>121</v>
      </c>
      <c r="B1455" s="53"/>
      <c r="C1455" s="54" t="s">
        <v>177</v>
      </c>
      <c r="D1455" s="54">
        <v>2024</v>
      </c>
      <c r="E1455" s="70">
        <v>45382</v>
      </c>
      <c r="F1455" s="54"/>
      <c r="G1455" s="54"/>
      <c r="H1455" s="54"/>
      <c r="I1455" s="54"/>
      <c r="J1455" s="54"/>
      <c r="K1455" s="106"/>
      <c r="L1455" s="24">
        <f>SUM(L1454)</f>
        <v>11062</v>
      </c>
      <c r="M1455" s="24">
        <f t="shared" ref="M1455:N1455" si="1130">SUM(M1453:M1454)</f>
        <v>3318.6</v>
      </c>
      <c r="N1455" s="24">
        <f t="shared" si="1130"/>
        <v>7743.4</v>
      </c>
      <c r="O1455" s="57">
        <f>IFERROR(N1455/L1455,"")</f>
        <v>0.7</v>
      </c>
      <c r="P1455" s="24">
        <f>SUM(P1454)</f>
        <v>11062</v>
      </c>
      <c r="Q1455" s="24"/>
      <c r="R1455" s="117">
        <f>SUM(R1454)</f>
        <v>21</v>
      </c>
      <c r="S1455" s="117">
        <f t="shared" ref="S1455:W1455" si="1131">SUM(S1454)</f>
        <v>942.48</v>
      </c>
      <c r="T1455" s="117">
        <f t="shared" si="1131"/>
        <v>1243.6500000000001</v>
      </c>
      <c r="U1455" s="117">
        <f t="shared" si="1131"/>
        <v>1444.04</v>
      </c>
      <c r="V1455" s="117">
        <f t="shared" si="1131"/>
        <v>0</v>
      </c>
      <c r="W1455" s="26">
        <f t="shared" si="1131"/>
        <v>3630.17</v>
      </c>
      <c r="X1455" s="56">
        <f t="shared" si="1126"/>
        <v>44.88</v>
      </c>
      <c r="Y1455" s="57">
        <f>IFERROR(U1455/P1455,0)</f>
        <v>0.13054058940517085</v>
      </c>
      <c r="Z1455" s="28">
        <f t="shared" si="1127"/>
        <v>7431.83</v>
      </c>
      <c r="AA1455" s="57">
        <f>IFERROR(Z1455/P1455,0)</f>
        <v>0.67183420719580544</v>
      </c>
      <c r="AB1455" s="58">
        <f t="shared" si="1128"/>
        <v>-311.57000000000016</v>
      </c>
      <c r="AC1455" s="57">
        <f t="shared" si="1129"/>
        <v>-2.8165792804194512E-2</v>
      </c>
      <c r="AD1455" s="53"/>
      <c r="AE1455" s="53"/>
      <c r="AF1455" s="53"/>
      <c r="AG1455" s="61"/>
      <c r="AH1455" s="53"/>
    </row>
    <row r="1456" spans="1:34" ht="11.25" customHeight="1" x14ac:dyDescent="0.15">
      <c r="A1456" s="130"/>
      <c r="B1456" s="130"/>
      <c r="C1456" s="124"/>
      <c r="D1456" s="124"/>
      <c r="E1456" s="273"/>
      <c r="F1456" s="124"/>
      <c r="G1456" s="124"/>
      <c r="H1456" s="124"/>
      <c r="I1456" s="124"/>
      <c r="J1456" s="124"/>
      <c r="K1456" s="125"/>
      <c r="L1456" s="129"/>
      <c r="M1456" s="129"/>
      <c r="N1456" s="129"/>
      <c r="O1456" s="128"/>
      <c r="P1456" s="129"/>
      <c r="Q1456" s="124"/>
      <c r="R1456" s="117"/>
      <c r="S1456" s="117"/>
      <c r="T1456" s="117"/>
      <c r="U1456" s="117"/>
      <c r="V1456" s="117"/>
      <c r="X1456" s="45"/>
      <c r="Y1456" s="128"/>
      <c r="Z1456" s="126"/>
      <c r="AA1456" s="128"/>
      <c r="AB1456" s="129"/>
      <c r="AC1456" s="160"/>
      <c r="AD1456" s="137"/>
      <c r="AE1456" s="110"/>
      <c r="AF1456" s="110"/>
      <c r="AG1456" s="121"/>
      <c r="AH1456" s="110"/>
    </row>
    <row r="1457" spans="1:34" ht="11.25" customHeight="1" x14ac:dyDescent="0.15">
      <c r="A1457" s="110" t="s">
        <v>194</v>
      </c>
      <c r="B1457" s="110"/>
      <c r="C1457" s="111" t="s">
        <v>175</v>
      </c>
      <c r="D1457" s="111">
        <v>2024</v>
      </c>
      <c r="E1457" s="146">
        <v>45382</v>
      </c>
      <c r="F1457" s="111"/>
      <c r="G1457" s="111">
        <v>81100211</v>
      </c>
      <c r="H1457" s="111">
        <v>4101</v>
      </c>
      <c r="I1457" s="111" t="str">
        <f>MID(G1457,2,1)</f>
        <v>1</v>
      </c>
      <c r="J1457" s="111" t="str">
        <f>IF(I1457="1","Small/Medium","Large")</f>
        <v>Small/Medium</v>
      </c>
      <c r="K1457" s="147" t="s">
        <v>145</v>
      </c>
      <c r="L1457" s="120">
        <v>7884.0999999999995</v>
      </c>
      <c r="M1457" s="120">
        <f>L1457*0.3</f>
        <v>2365.2299999999996</v>
      </c>
      <c r="N1457" s="120">
        <f>L1457-M1457</f>
        <v>5518.87</v>
      </c>
      <c r="O1457" s="119">
        <f>IFERROR(N1457/L1457,"")</f>
        <v>0.70000000000000007</v>
      </c>
      <c r="P1457" s="120">
        <v>7884.0999999999995</v>
      </c>
      <c r="Q1457" s="111">
        <v>3035</v>
      </c>
      <c r="R1457" s="117">
        <v>14</v>
      </c>
      <c r="S1457" s="117">
        <v>628.32000000000005</v>
      </c>
      <c r="T1457" s="117">
        <v>748.89</v>
      </c>
      <c r="U1457" s="117">
        <v>322.89999999999998</v>
      </c>
      <c r="V1457" s="117">
        <v>16.440000000000001</v>
      </c>
      <c r="W1457" s="26">
        <f t="shared" ref="W1457:W1458" si="1132">SUM(S1457:V1457)</f>
        <v>1716.5500000000002</v>
      </c>
      <c r="X1457" s="118">
        <f t="shared" ref="X1457:X1459" si="1133">IFERROR(S1457/R1457,"")</f>
        <v>44.88</v>
      </c>
      <c r="Y1457" s="119">
        <f t="shared" ref="Y1457:Y1459" si="1134">U1457/P1457</f>
        <v>4.0955847845664056E-2</v>
      </c>
      <c r="Z1457" s="117">
        <f t="shared" ref="Z1457:Z1459" si="1135">P1457-W1457</f>
        <v>6167.5499999999993</v>
      </c>
      <c r="AA1457" s="119">
        <f t="shared" ref="AA1457:AA1459" si="1136">Z1457/P1457</f>
        <v>0.78227698786164557</v>
      </c>
      <c r="AB1457" s="120">
        <f t="shared" ref="AB1457:AB1459" si="1137">M1457-W1457</f>
        <v>648.67999999999938</v>
      </c>
      <c r="AC1457" s="119">
        <f t="shared" ref="AC1457:AC1459" si="1138">IFERROR(AA1457-O1457,"")</f>
        <v>8.2276987861645501E-2</v>
      </c>
      <c r="AD1457" s="110" t="s">
        <v>769</v>
      </c>
      <c r="AE1457" s="110"/>
      <c r="AF1457" s="110"/>
      <c r="AG1457" s="121"/>
      <c r="AH1457" s="110"/>
    </row>
    <row r="1458" spans="1:34" ht="11.25" customHeight="1" x14ac:dyDescent="0.15">
      <c r="A1458" s="110" t="s">
        <v>194</v>
      </c>
      <c r="B1458" s="110"/>
      <c r="C1458" s="111" t="s">
        <v>175</v>
      </c>
      <c r="D1458" s="111">
        <v>2024</v>
      </c>
      <c r="E1458" s="146">
        <v>45382</v>
      </c>
      <c r="F1458" s="111"/>
      <c r="G1458" s="111">
        <v>82100211</v>
      </c>
      <c r="H1458" s="111">
        <v>4101</v>
      </c>
      <c r="I1458" s="111" t="str">
        <f>MID(G1458,2,1)</f>
        <v>2</v>
      </c>
      <c r="J1458" s="111" t="str">
        <f>IF(I1458="1","Small/Medium","Large")</f>
        <v>Large</v>
      </c>
      <c r="K1458" s="147" t="s">
        <v>176</v>
      </c>
      <c r="L1458" s="120">
        <v>14641.9</v>
      </c>
      <c r="M1458" s="120">
        <f>L1458*0.3</f>
        <v>4392.57</v>
      </c>
      <c r="N1458" s="120">
        <f>L1458-M1458</f>
        <v>10249.33</v>
      </c>
      <c r="O1458" s="119">
        <f>IFERROR(N1458/L1458,"")</f>
        <v>0.70000000000000007</v>
      </c>
      <c r="P1458" s="120">
        <v>14641.9</v>
      </c>
      <c r="Q1458" s="111">
        <v>3036</v>
      </c>
      <c r="R1458" s="117">
        <v>13</v>
      </c>
      <c r="S1458" s="117">
        <v>583.44000000000005</v>
      </c>
      <c r="T1458" s="117">
        <v>748.89</v>
      </c>
      <c r="U1458" s="117">
        <v>306.33999999999997</v>
      </c>
      <c r="V1458" s="117"/>
      <c r="W1458" s="26">
        <f t="shared" si="1132"/>
        <v>1638.6699999999998</v>
      </c>
      <c r="X1458" s="118">
        <f t="shared" si="1133"/>
        <v>44.88</v>
      </c>
      <c r="Y1458" s="119">
        <f t="shared" si="1134"/>
        <v>2.092214808187462E-2</v>
      </c>
      <c r="Z1458" s="117">
        <f t="shared" si="1135"/>
        <v>13003.23</v>
      </c>
      <c r="AA1458" s="119">
        <f t="shared" si="1136"/>
        <v>0.88808351375163064</v>
      </c>
      <c r="AB1458" s="120">
        <f t="shared" si="1137"/>
        <v>2753.8999999999996</v>
      </c>
      <c r="AC1458" s="119">
        <f t="shared" si="1138"/>
        <v>0.18808351375163057</v>
      </c>
      <c r="AD1458" s="110"/>
      <c r="AE1458" s="110"/>
      <c r="AF1458" s="110"/>
      <c r="AG1458" s="121"/>
      <c r="AH1458" s="110"/>
    </row>
    <row r="1459" spans="1:34" s="216" customFormat="1" ht="11.25" customHeight="1" x14ac:dyDescent="0.15">
      <c r="A1459" s="53" t="s">
        <v>194</v>
      </c>
      <c r="B1459" s="53"/>
      <c r="C1459" s="54" t="s">
        <v>177</v>
      </c>
      <c r="D1459" s="54">
        <v>2024</v>
      </c>
      <c r="E1459" s="70">
        <v>45382</v>
      </c>
      <c r="F1459" s="54"/>
      <c r="G1459" s="54"/>
      <c r="H1459" s="54"/>
      <c r="I1459" s="54"/>
      <c r="J1459" s="54"/>
      <c r="K1459" s="106"/>
      <c r="L1459" s="24">
        <f>SUM(L1457:L1458)</f>
        <v>22526</v>
      </c>
      <c r="M1459" s="24">
        <f t="shared" ref="M1459:N1459" si="1139">SUM(M1457:M1458)</f>
        <v>6757.7999999999993</v>
      </c>
      <c r="N1459" s="24">
        <f t="shared" si="1139"/>
        <v>15768.2</v>
      </c>
      <c r="O1459" s="57">
        <f>IFERROR(N1459/L1459,"")</f>
        <v>0.70000000000000007</v>
      </c>
      <c r="P1459" s="24">
        <f>SUM(P1457:P1458)</f>
        <v>22526</v>
      </c>
      <c r="Q1459" s="24"/>
      <c r="R1459" s="117">
        <f>SUM(R1457:R1458)</f>
        <v>27</v>
      </c>
      <c r="S1459" s="117">
        <f t="shared" ref="S1459:V1459" si="1140">SUM(S1457:S1458)</f>
        <v>1211.7600000000002</v>
      </c>
      <c r="T1459" s="117">
        <f t="shared" si="1140"/>
        <v>1497.78</v>
      </c>
      <c r="U1459" s="117">
        <f t="shared" si="1140"/>
        <v>629.24</v>
      </c>
      <c r="V1459" s="117">
        <f t="shared" si="1140"/>
        <v>16.440000000000001</v>
      </c>
      <c r="W1459" s="26">
        <f>SUM(W1457:W1458)</f>
        <v>3355.2200000000003</v>
      </c>
      <c r="X1459" s="56">
        <f t="shared" si="1133"/>
        <v>44.88000000000001</v>
      </c>
      <c r="Y1459" s="57">
        <f t="shared" si="1134"/>
        <v>2.7933942999200923E-2</v>
      </c>
      <c r="Z1459" s="28">
        <f t="shared" si="1135"/>
        <v>19170.78</v>
      </c>
      <c r="AA1459" s="57">
        <f t="shared" si="1136"/>
        <v>0.8510512296901358</v>
      </c>
      <c r="AB1459" s="58">
        <f t="shared" si="1137"/>
        <v>3402.579999999999</v>
      </c>
      <c r="AC1459" s="57">
        <f t="shared" si="1138"/>
        <v>0.15105122969013574</v>
      </c>
      <c r="AD1459" s="53"/>
      <c r="AE1459" s="53"/>
      <c r="AF1459" s="53"/>
      <c r="AG1459" s="61"/>
      <c r="AH1459" s="53"/>
    </row>
    <row r="1460" spans="1:34" ht="11.25" customHeight="1" x14ac:dyDescent="0.15">
      <c r="A1460" s="130"/>
      <c r="B1460" s="130"/>
      <c r="C1460" s="124"/>
      <c r="D1460" s="124"/>
      <c r="E1460" s="273"/>
      <c r="F1460" s="124"/>
      <c r="G1460" s="124"/>
      <c r="H1460" s="124"/>
      <c r="I1460" s="124"/>
      <c r="J1460" s="124"/>
      <c r="K1460" s="125"/>
      <c r="L1460" s="129"/>
      <c r="M1460" s="129"/>
      <c r="N1460" s="129"/>
      <c r="O1460" s="128"/>
      <c r="P1460" s="129"/>
      <c r="Q1460" s="124"/>
      <c r="R1460" s="117"/>
      <c r="S1460" s="117"/>
      <c r="T1460" s="117"/>
      <c r="U1460" s="117"/>
      <c r="V1460" s="117"/>
      <c r="X1460" s="45"/>
      <c r="Y1460" s="128"/>
      <c r="Z1460" s="126"/>
      <c r="AA1460" s="128"/>
      <c r="AB1460" s="129"/>
      <c r="AC1460" s="160"/>
      <c r="AD1460" s="137"/>
      <c r="AE1460" s="110"/>
      <c r="AF1460" s="110"/>
      <c r="AG1460" s="121"/>
      <c r="AH1460" s="110"/>
    </row>
    <row r="1461" spans="1:34" ht="11.25" customHeight="1" x14ac:dyDescent="0.15">
      <c r="A1461" s="110" t="s">
        <v>193</v>
      </c>
      <c r="B1461" s="110"/>
      <c r="C1461" s="111" t="s">
        <v>175</v>
      </c>
      <c r="D1461" s="111">
        <v>2024</v>
      </c>
      <c r="E1461" s="146">
        <v>45382</v>
      </c>
      <c r="F1461" s="111"/>
      <c r="G1461" s="111">
        <v>81100211</v>
      </c>
      <c r="H1461" s="111">
        <v>4101</v>
      </c>
      <c r="I1461" s="111" t="str">
        <f>MID(G1461,2,1)</f>
        <v>1</v>
      </c>
      <c r="J1461" s="111" t="str">
        <f>IF(I1461="1","Small/Medium","Large")</f>
        <v>Small/Medium</v>
      </c>
      <c r="K1461" s="147" t="s">
        <v>145</v>
      </c>
      <c r="L1461" s="120">
        <v>11217</v>
      </c>
      <c r="M1461" s="120">
        <f>L1461*0.3</f>
        <v>3365.1</v>
      </c>
      <c r="N1461" s="120">
        <f>L1461-M1461</f>
        <v>7851.9</v>
      </c>
      <c r="O1461" s="119">
        <f>IFERROR(N1461/L1461,"")</f>
        <v>0.7</v>
      </c>
      <c r="P1461" s="120">
        <v>11217</v>
      </c>
      <c r="Q1461" s="111">
        <v>2169</v>
      </c>
      <c r="R1461" s="117">
        <v>26</v>
      </c>
      <c r="S1461" s="117">
        <v>1166.8800000000001</v>
      </c>
      <c r="T1461" s="117">
        <v>1737.36</v>
      </c>
      <c r="U1461" s="117">
        <v>1580.09</v>
      </c>
      <c r="V1461" s="117">
        <v>46.24</v>
      </c>
      <c r="W1461" s="26">
        <f t="shared" ref="W1461" si="1141">SUM(S1461:V1461)</f>
        <v>4530.57</v>
      </c>
      <c r="X1461" s="118">
        <f t="shared" ref="X1461:X1462" si="1142">IFERROR(S1461/R1461,"")</f>
        <v>44.88</v>
      </c>
      <c r="Y1461" s="119">
        <f>IFERROR(U1461/P1461,0)</f>
        <v>0.14086565035214407</v>
      </c>
      <c r="Z1461" s="117">
        <f t="shared" ref="Z1461:Z1462" si="1143">P1461-W1461</f>
        <v>6686.43</v>
      </c>
      <c r="AA1461" s="119">
        <f>IFERROR(Z1461/P1461,0)</f>
        <v>0.59609788713559775</v>
      </c>
      <c r="AB1461" s="120">
        <f t="shared" ref="AB1461:AB1462" si="1144">M1461-W1461</f>
        <v>-1165.4699999999998</v>
      </c>
      <c r="AC1461" s="119">
        <f t="shared" ref="AC1461:AC1462" si="1145">IFERROR(AA1461-O1461,"")</f>
        <v>-0.10390211286440221</v>
      </c>
      <c r="AD1461" s="110" t="s">
        <v>770</v>
      </c>
      <c r="AE1461" s="110"/>
      <c r="AF1461" s="110"/>
      <c r="AG1461" s="121"/>
      <c r="AH1461" s="110"/>
    </row>
    <row r="1462" spans="1:34" s="216" customFormat="1" ht="11.25" customHeight="1" x14ac:dyDescent="0.15">
      <c r="A1462" s="53" t="s">
        <v>193</v>
      </c>
      <c r="B1462" s="53"/>
      <c r="C1462" s="54" t="s">
        <v>177</v>
      </c>
      <c r="D1462" s="54">
        <v>2024</v>
      </c>
      <c r="E1462" s="70">
        <v>45382</v>
      </c>
      <c r="F1462" s="54"/>
      <c r="G1462" s="54"/>
      <c r="H1462" s="54"/>
      <c r="I1462" s="54"/>
      <c r="J1462" s="54"/>
      <c r="K1462" s="106"/>
      <c r="L1462" s="24">
        <f>SUM(L1461)</f>
        <v>11217</v>
      </c>
      <c r="M1462" s="24">
        <f t="shared" ref="M1462:N1462" si="1146">SUM(M1460:M1461)</f>
        <v>3365.1</v>
      </c>
      <c r="N1462" s="24">
        <f t="shared" si="1146"/>
        <v>7851.9</v>
      </c>
      <c r="O1462" s="57">
        <f>IFERROR(N1462/L1462,"")</f>
        <v>0.7</v>
      </c>
      <c r="P1462" s="24">
        <f>SUM(P1461)</f>
        <v>11217</v>
      </c>
      <c r="Q1462" s="24"/>
      <c r="R1462" s="117">
        <f>SUM(R1461)</f>
        <v>26</v>
      </c>
      <c r="S1462" s="117">
        <f t="shared" ref="S1462:V1462" si="1147">SUM(S1461)</f>
        <v>1166.8800000000001</v>
      </c>
      <c r="T1462" s="117">
        <f t="shared" si="1147"/>
        <v>1737.36</v>
      </c>
      <c r="U1462" s="117">
        <f t="shared" si="1147"/>
        <v>1580.09</v>
      </c>
      <c r="V1462" s="117">
        <f t="shared" si="1147"/>
        <v>46.24</v>
      </c>
      <c r="W1462" s="26">
        <f t="shared" ref="W1462" si="1148">SUM(W1461)</f>
        <v>4530.57</v>
      </c>
      <c r="X1462" s="56">
        <f t="shared" si="1142"/>
        <v>44.88</v>
      </c>
      <c r="Y1462" s="57">
        <f>IFERROR(U1462/P1462,0)</f>
        <v>0.14086565035214407</v>
      </c>
      <c r="Z1462" s="28">
        <f t="shared" si="1143"/>
        <v>6686.43</v>
      </c>
      <c r="AA1462" s="57">
        <f>IFERROR(Z1462/P1462,0)</f>
        <v>0.59609788713559775</v>
      </c>
      <c r="AB1462" s="58">
        <f t="shared" si="1144"/>
        <v>-1165.4699999999998</v>
      </c>
      <c r="AC1462" s="57">
        <f t="shared" si="1145"/>
        <v>-0.10390211286440221</v>
      </c>
      <c r="AD1462" s="53"/>
      <c r="AE1462" s="53"/>
      <c r="AF1462" s="53"/>
      <c r="AG1462" s="61"/>
      <c r="AH1462" s="53"/>
    </row>
    <row r="1463" spans="1:34" ht="11.25" customHeight="1" x14ac:dyDescent="0.15">
      <c r="A1463" s="130"/>
      <c r="B1463" s="130"/>
      <c r="C1463" s="124"/>
      <c r="D1463" s="124"/>
      <c r="E1463" s="273"/>
      <c r="F1463" s="124"/>
      <c r="G1463" s="124"/>
      <c r="H1463" s="124"/>
      <c r="I1463" s="124"/>
      <c r="J1463" s="124"/>
      <c r="K1463" s="125"/>
      <c r="L1463" s="129"/>
      <c r="M1463" s="129"/>
      <c r="N1463" s="129"/>
      <c r="O1463" s="128"/>
      <c r="P1463" s="129"/>
      <c r="Q1463" s="124"/>
      <c r="R1463" s="117"/>
      <c r="S1463" s="117"/>
      <c r="T1463" s="117"/>
      <c r="U1463" s="117"/>
      <c r="V1463" s="117"/>
      <c r="X1463" s="45"/>
      <c r="Y1463" s="128"/>
      <c r="Z1463" s="126"/>
      <c r="AA1463" s="128"/>
      <c r="AB1463" s="129"/>
      <c r="AC1463" s="160"/>
      <c r="AD1463" s="137"/>
      <c r="AE1463" s="110"/>
      <c r="AF1463" s="110"/>
      <c r="AG1463" s="121"/>
      <c r="AH1463" s="110"/>
    </row>
    <row r="1464" spans="1:34" ht="11.25" customHeight="1" x14ac:dyDescent="0.15">
      <c r="A1464" s="110" t="s">
        <v>137</v>
      </c>
      <c r="B1464" s="110"/>
      <c r="C1464" s="111" t="s">
        <v>175</v>
      </c>
      <c r="D1464" s="111">
        <v>2024</v>
      </c>
      <c r="E1464" s="146">
        <v>45382</v>
      </c>
      <c r="F1464" s="111"/>
      <c r="G1464" s="111">
        <v>81110111</v>
      </c>
      <c r="H1464" s="111">
        <v>4101</v>
      </c>
      <c r="I1464" s="111" t="str">
        <f>MID(G1464,2,1)</f>
        <v>1</v>
      </c>
      <c r="J1464" s="111" t="str">
        <f>IF(I1464="1","Small/Medium","Large")</f>
        <v>Small/Medium</v>
      </c>
      <c r="K1464" s="147" t="s">
        <v>145</v>
      </c>
      <c r="L1464" s="120">
        <v>19685</v>
      </c>
      <c r="M1464" s="120">
        <f>L1464*0.3</f>
        <v>5905.5</v>
      </c>
      <c r="N1464" s="120">
        <f>L1464-M1464</f>
        <v>13779.5</v>
      </c>
      <c r="O1464" s="119">
        <f>IFERROR(N1464/L1464,"")</f>
        <v>0.7</v>
      </c>
      <c r="P1464" s="120">
        <v>19685</v>
      </c>
      <c r="Q1464" s="111">
        <v>3162</v>
      </c>
      <c r="R1464" s="117">
        <v>48</v>
      </c>
      <c r="S1464" s="117">
        <v>3433.44</v>
      </c>
      <c r="T1464" s="117">
        <v>2616.14</v>
      </c>
      <c r="U1464" s="117">
        <v>1612.06</v>
      </c>
      <c r="V1464" s="117"/>
      <c r="W1464" s="26">
        <f t="shared" ref="W1464:W1465" si="1149">SUM(S1464:V1464)</f>
        <v>7661.6399999999994</v>
      </c>
      <c r="X1464" s="118">
        <f t="shared" ref="X1464:X1466" si="1150">IFERROR(S1464/R1464,"")</f>
        <v>71.53</v>
      </c>
      <c r="Y1464" s="119">
        <f t="shared" ref="Y1464:Y1466" si="1151">U1464/P1464</f>
        <v>8.1892811785623562E-2</v>
      </c>
      <c r="Z1464" s="117">
        <f t="shared" ref="Z1464:Z1466" si="1152">P1464-W1464</f>
        <v>12023.36</v>
      </c>
      <c r="AA1464" s="119">
        <f t="shared" ref="AA1464:AA1466" si="1153">Z1464/P1464</f>
        <v>0.61078790957581919</v>
      </c>
      <c r="AB1464" s="120">
        <f t="shared" ref="AB1464:AB1466" si="1154">M1464-W1464</f>
        <v>-1756.1399999999994</v>
      </c>
      <c r="AC1464" s="119">
        <f t="shared" ref="AC1464:AC1466" si="1155">IFERROR(AA1464-O1464,"")</f>
        <v>-8.9212090424180768E-2</v>
      </c>
      <c r="AD1464" s="110" t="s">
        <v>771</v>
      </c>
      <c r="AE1464" s="110"/>
      <c r="AF1464" s="110"/>
      <c r="AG1464" s="121"/>
      <c r="AH1464" s="110"/>
    </row>
    <row r="1465" spans="1:34" ht="11.25" customHeight="1" x14ac:dyDescent="0.15">
      <c r="A1465" s="110" t="s">
        <v>137</v>
      </c>
      <c r="B1465" s="110"/>
      <c r="C1465" s="111" t="s">
        <v>175</v>
      </c>
      <c r="D1465" s="111">
        <v>2024</v>
      </c>
      <c r="E1465" s="146">
        <v>45382</v>
      </c>
      <c r="F1465" s="111"/>
      <c r="G1465" s="111">
        <v>82110111</v>
      </c>
      <c r="H1465" s="111">
        <v>4101</v>
      </c>
      <c r="I1465" s="111" t="str">
        <f>MID(G1465,2,1)</f>
        <v>2</v>
      </c>
      <c r="J1465" s="111" t="str">
        <f>IF(I1465="1","Small/Medium","Large")</f>
        <v>Large</v>
      </c>
      <c r="K1465" s="147" t="s">
        <v>176</v>
      </c>
      <c r="L1465" s="120">
        <v>20320.62</v>
      </c>
      <c r="M1465" s="120">
        <f>L1465*0.3</f>
        <v>6096.1859999999997</v>
      </c>
      <c r="N1465" s="120">
        <f>L1465-M1465</f>
        <v>14224.433999999999</v>
      </c>
      <c r="O1465" s="119">
        <f>IFERROR(N1465/L1465,"")</f>
        <v>0.7</v>
      </c>
      <c r="P1465" s="120">
        <v>20320.62</v>
      </c>
      <c r="Q1465" s="111">
        <v>3163</v>
      </c>
      <c r="R1465" s="117">
        <v>43</v>
      </c>
      <c r="S1465" s="117">
        <v>3075.8</v>
      </c>
      <c r="T1465" s="117">
        <v>2714.79</v>
      </c>
      <c r="U1465" s="117">
        <v>1123.83</v>
      </c>
      <c r="V1465" s="117"/>
      <c r="W1465" s="26">
        <f t="shared" si="1149"/>
        <v>6914.42</v>
      </c>
      <c r="X1465" s="118">
        <f t="shared" si="1150"/>
        <v>71.530232558139545</v>
      </c>
      <c r="Y1465" s="119">
        <f t="shared" si="1151"/>
        <v>5.5304907035316833E-2</v>
      </c>
      <c r="Z1465" s="117">
        <f t="shared" si="1152"/>
        <v>13406.199999999999</v>
      </c>
      <c r="AA1465" s="119">
        <f t="shared" si="1153"/>
        <v>0.65973380733461873</v>
      </c>
      <c r="AB1465" s="120">
        <f t="shared" si="1154"/>
        <v>-818.23400000000038</v>
      </c>
      <c r="AC1465" s="119">
        <f t="shared" si="1155"/>
        <v>-4.0266192665381229E-2</v>
      </c>
      <c r="AD1465" s="110" t="s">
        <v>771</v>
      </c>
      <c r="AE1465" s="110"/>
      <c r="AF1465" s="110"/>
      <c r="AG1465" s="121"/>
      <c r="AH1465" s="110"/>
    </row>
    <row r="1466" spans="1:34" s="216" customFormat="1" ht="11.25" customHeight="1" x14ac:dyDescent="0.15">
      <c r="A1466" s="53" t="s">
        <v>137</v>
      </c>
      <c r="B1466" s="53"/>
      <c r="C1466" s="54" t="s">
        <v>177</v>
      </c>
      <c r="D1466" s="54">
        <v>2024</v>
      </c>
      <c r="E1466" s="70">
        <v>45382</v>
      </c>
      <c r="F1466" s="54"/>
      <c r="G1466" s="54"/>
      <c r="H1466" s="54"/>
      <c r="I1466" s="54"/>
      <c r="J1466" s="54"/>
      <c r="K1466" s="106"/>
      <c r="L1466" s="24">
        <v>40005.619999999995</v>
      </c>
      <c r="M1466" s="24">
        <f t="shared" ref="M1466:N1466" si="1156">SUM(M1464:M1465)</f>
        <v>12001.686</v>
      </c>
      <c r="N1466" s="24">
        <f t="shared" si="1156"/>
        <v>28003.934000000001</v>
      </c>
      <c r="O1466" s="57">
        <f>IFERROR(N1466/L1466,"")</f>
        <v>0.70000000000000007</v>
      </c>
      <c r="P1466" s="24">
        <f>SUM(P1464:P1465)</f>
        <v>40005.619999999995</v>
      </c>
      <c r="Q1466" s="24"/>
      <c r="R1466" s="117">
        <f>SUM(R1464:R1465)</f>
        <v>91</v>
      </c>
      <c r="S1466" s="117">
        <f t="shared" ref="S1466:V1466" si="1157">SUM(S1464:S1465)</f>
        <v>6509.24</v>
      </c>
      <c r="T1466" s="117">
        <f t="shared" si="1157"/>
        <v>5330.93</v>
      </c>
      <c r="U1466" s="117">
        <f t="shared" si="1157"/>
        <v>2735.89</v>
      </c>
      <c r="V1466" s="117">
        <f t="shared" si="1157"/>
        <v>0</v>
      </c>
      <c r="W1466" s="26">
        <f>SUM(W1464:W1465)</f>
        <v>14576.06</v>
      </c>
      <c r="X1466" s="56">
        <f t="shared" si="1150"/>
        <v>71.530109890109884</v>
      </c>
      <c r="Y1466" s="57">
        <f t="shared" si="1151"/>
        <v>6.8387641536364147E-2</v>
      </c>
      <c r="Z1466" s="28">
        <f t="shared" si="1152"/>
        <v>25429.559999999998</v>
      </c>
      <c r="AA1466" s="57">
        <f t="shared" si="1153"/>
        <v>0.63564969121838388</v>
      </c>
      <c r="AB1466" s="58">
        <f t="shared" si="1154"/>
        <v>-2574.3739999999998</v>
      </c>
      <c r="AC1466" s="57">
        <f t="shared" si="1155"/>
        <v>-6.4350308781616183E-2</v>
      </c>
      <c r="AD1466" s="53"/>
      <c r="AE1466" s="53"/>
      <c r="AF1466" s="53"/>
      <c r="AG1466" s="61"/>
      <c r="AH1466" s="53"/>
    </row>
    <row r="1467" spans="1:34" ht="11.25" customHeight="1" x14ac:dyDescent="0.15">
      <c r="A1467" s="130"/>
      <c r="B1467" s="130"/>
      <c r="C1467" s="124"/>
      <c r="D1467" s="124"/>
      <c r="E1467" s="273"/>
      <c r="F1467" s="124"/>
      <c r="G1467" s="124"/>
      <c r="H1467" s="124"/>
      <c r="I1467" s="124"/>
      <c r="J1467" s="124"/>
      <c r="K1467" s="125"/>
      <c r="L1467" s="129"/>
      <c r="M1467" s="129"/>
      <c r="N1467" s="129"/>
      <c r="O1467" s="128"/>
      <c r="P1467" s="129"/>
      <c r="Q1467" s="124"/>
      <c r="R1467" s="117"/>
      <c r="S1467" s="117"/>
      <c r="T1467" s="117"/>
      <c r="U1467" s="117"/>
      <c r="V1467" s="117"/>
      <c r="X1467" s="45"/>
      <c r="Y1467" s="128"/>
      <c r="Z1467" s="126"/>
      <c r="AA1467" s="128"/>
      <c r="AB1467" s="129"/>
      <c r="AC1467" s="160"/>
      <c r="AD1467" s="137"/>
      <c r="AE1467" s="110"/>
      <c r="AF1467" s="110"/>
      <c r="AG1467" s="121"/>
      <c r="AH1467" s="110"/>
    </row>
    <row r="1468" spans="1:34" ht="11.25" customHeight="1" x14ac:dyDescent="0.15">
      <c r="A1468" s="110" t="s">
        <v>233</v>
      </c>
      <c r="B1468" s="110"/>
      <c r="C1468" s="111" t="s">
        <v>175</v>
      </c>
      <c r="D1468" s="111">
        <v>2024</v>
      </c>
      <c r="E1468" s="146">
        <v>45382</v>
      </c>
      <c r="F1468" s="111"/>
      <c r="G1468" s="111">
        <v>81100111</v>
      </c>
      <c r="H1468" s="111">
        <v>4101</v>
      </c>
      <c r="I1468" s="111" t="str">
        <f>MID(G1468,2,1)</f>
        <v>1</v>
      </c>
      <c r="J1468" s="111" t="str">
        <f>IF(I1468="1","Small/Medium","Large")</f>
        <v>Small/Medium</v>
      </c>
      <c r="K1468" s="147" t="s">
        <v>145</v>
      </c>
      <c r="L1468" s="120">
        <v>25403</v>
      </c>
      <c r="M1468" s="120">
        <f>L1468*0.3</f>
        <v>7620.9</v>
      </c>
      <c r="N1468" s="120">
        <f>L1468-M1468</f>
        <v>17782.099999999999</v>
      </c>
      <c r="O1468" s="119">
        <f>IFERROR(N1468/L1468,"")</f>
        <v>0.7</v>
      </c>
      <c r="P1468" s="120">
        <v>25403</v>
      </c>
      <c r="Q1468" s="111">
        <v>2168</v>
      </c>
      <c r="R1468" s="117">
        <v>25.5</v>
      </c>
      <c r="S1468" s="117">
        <v>1144.44</v>
      </c>
      <c r="T1468" s="117">
        <v>1141.19</v>
      </c>
      <c r="U1468" s="117">
        <v>666.3</v>
      </c>
      <c r="V1468" s="117"/>
      <c r="W1468" s="26">
        <f t="shared" ref="W1468" si="1158">SUM(S1468:V1468)</f>
        <v>2951.9300000000003</v>
      </c>
      <c r="X1468" s="118">
        <f t="shared" ref="X1468:X1469" si="1159">IFERROR(S1468/R1468,"")</f>
        <v>44.88</v>
      </c>
      <c r="Y1468" s="119">
        <f>IFERROR(U1468/P1468,0)</f>
        <v>2.6229185529268194E-2</v>
      </c>
      <c r="Z1468" s="117">
        <f t="shared" ref="Z1468:Z1469" si="1160">P1468-W1468</f>
        <v>22451.07</v>
      </c>
      <c r="AA1468" s="119">
        <f>IFERROR(Z1468/P1468,0)</f>
        <v>0.88379600834547101</v>
      </c>
      <c r="AB1468" s="120">
        <f t="shared" ref="AB1468:AB1469" si="1161">M1468-W1468</f>
        <v>4668.9699999999993</v>
      </c>
      <c r="AC1468" s="119">
        <f t="shared" ref="AC1468:AC1469" si="1162">IFERROR(AA1468-O1468,"")</f>
        <v>0.18379600834547105</v>
      </c>
      <c r="AD1468" s="110" t="s">
        <v>772</v>
      </c>
      <c r="AE1468" s="110"/>
      <c r="AF1468" s="110"/>
      <c r="AG1468" s="121"/>
      <c r="AH1468" s="110"/>
    </row>
    <row r="1469" spans="1:34" s="216" customFormat="1" ht="11.25" customHeight="1" x14ac:dyDescent="0.15">
      <c r="A1469" s="53" t="s">
        <v>233</v>
      </c>
      <c r="B1469" s="53"/>
      <c r="C1469" s="54" t="s">
        <v>177</v>
      </c>
      <c r="D1469" s="54">
        <v>2024</v>
      </c>
      <c r="E1469" s="70">
        <v>45382</v>
      </c>
      <c r="F1469" s="54"/>
      <c r="G1469" s="54"/>
      <c r="H1469" s="54"/>
      <c r="I1469" s="54"/>
      <c r="J1469" s="54"/>
      <c r="K1469" s="106"/>
      <c r="L1469" s="24">
        <f>SUM(L1468)</f>
        <v>25403</v>
      </c>
      <c r="M1469" s="24">
        <f t="shared" ref="M1469:N1469" si="1163">SUM(M1467:M1468)</f>
        <v>7620.9</v>
      </c>
      <c r="N1469" s="24">
        <f t="shared" si="1163"/>
        <v>17782.099999999999</v>
      </c>
      <c r="O1469" s="57">
        <f>IFERROR(N1469/L1469,"")</f>
        <v>0.7</v>
      </c>
      <c r="P1469" s="24">
        <f>SUM(P1468)</f>
        <v>25403</v>
      </c>
      <c r="Q1469" s="24"/>
      <c r="R1469" s="117">
        <f>SUM(R1468)</f>
        <v>25.5</v>
      </c>
      <c r="S1469" s="117">
        <f t="shared" ref="S1469:V1469" si="1164">SUM(S1468)</f>
        <v>1144.44</v>
      </c>
      <c r="T1469" s="117">
        <f t="shared" si="1164"/>
        <v>1141.19</v>
      </c>
      <c r="U1469" s="117">
        <f t="shared" si="1164"/>
        <v>666.3</v>
      </c>
      <c r="V1469" s="117">
        <f t="shared" si="1164"/>
        <v>0</v>
      </c>
      <c r="W1469" s="26">
        <f t="shared" ref="W1469" si="1165">SUM(W1468)</f>
        <v>2951.9300000000003</v>
      </c>
      <c r="X1469" s="56">
        <f t="shared" si="1159"/>
        <v>44.88</v>
      </c>
      <c r="Y1469" s="57">
        <f>IFERROR(U1469/P1469,0)</f>
        <v>2.6229185529268194E-2</v>
      </c>
      <c r="Z1469" s="28">
        <f t="shared" si="1160"/>
        <v>22451.07</v>
      </c>
      <c r="AA1469" s="57">
        <f>IFERROR(Z1469/P1469,0)</f>
        <v>0.88379600834547101</v>
      </c>
      <c r="AB1469" s="58">
        <f t="shared" si="1161"/>
        <v>4668.9699999999993</v>
      </c>
      <c r="AC1469" s="57">
        <f t="shared" si="1162"/>
        <v>0.18379600834547105</v>
      </c>
      <c r="AD1469" s="53"/>
      <c r="AE1469" s="53"/>
      <c r="AF1469" s="53"/>
      <c r="AG1469" s="61"/>
      <c r="AH1469" s="53"/>
    </row>
    <row r="1470" spans="1:34" ht="11.25" customHeight="1" x14ac:dyDescent="0.15">
      <c r="A1470" s="130"/>
      <c r="B1470" s="130"/>
      <c r="C1470" s="124"/>
      <c r="D1470" s="124"/>
      <c r="E1470" s="273"/>
      <c r="F1470" s="124"/>
      <c r="G1470" s="124"/>
      <c r="H1470" s="124"/>
      <c r="I1470" s="124"/>
      <c r="J1470" s="124"/>
      <c r="K1470" s="125"/>
      <c r="L1470" s="129"/>
      <c r="M1470" s="129"/>
      <c r="N1470" s="129"/>
      <c r="O1470" s="128"/>
      <c r="P1470" s="129"/>
      <c r="Q1470" s="124"/>
      <c r="R1470" s="117"/>
      <c r="S1470" s="117"/>
      <c r="T1470" s="117"/>
      <c r="U1470" s="117"/>
      <c r="V1470" s="117"/>
      <c r="X1470" s="45"/>
      <c r="Y1470" s="128"/>
      <c r="Z1470" s="126"/>
      <c r="AA1470" s="128"/>
      <c r="AB1470" s="129"/>
      <c r="AC1470" s="160"/>
      <c r="AD1470" s="137"/>
      <c r="AE1470" s="110"/>
      <c r="AF1470" s="110"/>
      <c r="AG1470" s="121"/>
      <c r="AH1470" s="110"/>
    </row>
    <row r="1471" spans="1:34" ht="11.25" customHeight="1" x14ac:dyDescent="0.15">
      <c r="A1471" s="110" t="s">
        <v>409</v>
      </c>
      <c r="B1471" s="110"/>
      <c r="C1471" s="111" t="s">
        <v>175</v>
      </c>
      <c r="D1471" s="111">
        <v>2024</v>
      </c>
      <c r="E1471" s="146">
        <v>45382</v>
      </c>
      <c r="F1471" s="111"/>
      <c r="G1471" s="111">
        <v>81100112</v>
      </c>
      <c r="H1471" s="111">
        <v>4101</v>
      </c>
      <c r="I1471" s="111" t="str">
        <f>MID(G1471,2,1)</f>
        <v>1</v>
      </c>
      <c r="J1471" s="111" t="str">
        <f>IF(I1471="1","Small/Medium","Large")</f>
        <v>Small/Medium</v>
      </c>
      <c r="K1471" s="147" t="s">
        <v>145</v>
      </c>
      <c r="L1471" s="120">
        <v>9680</v>
      </c>
      <c r="M1471" s="120">
        <f>L1471*0.3</f>
        <v>2904</v>
      </c>
      <c r="N1471" s="120">
        <f>L1471-M1471</f>
        <v>6776</v>
      </c>
      <c r="O1471" s="119">
        <f>IFERROR(N1471/L1471,"")</f>
        <v>0.7</v>
      </c>
      <c r="P1471" s="117">
        <v>9680</v>
      </c>
      <c r="Q1471" s="111">
        <v>1986</v>
      </c>
      <c r="R1471" s="117">
        <v>25</v>
      </c>
      <c r="S1471" s="117">
        <v>1122</v>
      </c>
      <c r="T1471" s="117">
        <v>1146.5999999999999</v>
      </c>
      <c r="U1471" s="117">
        <v>576.12</v>
      </c>
      <c r="V1471" s="117">
        <v>21.75</v>
      </c>
      <c r="W1471" s="26">
        <f t="shared" ref="W1471" si="1166">SUM(S1471:V1471)</f>
        <v>2866.47</v>
      </c>
      <c r="X1471" s="118">
        <f t="shared" ref="X1471:X1472" si="1167">IFERROR(S1471/R1471,"")</f>
        <v>44.88</v>
      </c>
      <c r="Y1471" s="119">
        <f>IFERROR(U1471/P1471,0)</f>
        <v>5.9516528925619837E-2</v>
      </c>
      <c r="Z1471" s="117">
        <f t="shared" ref="Z1471:Z1472" si="1168">P1471-W1471</f>
        <v>6813.5300000000007</v>
      </c>
      <c r="AA1471" s="119">
        <f>IFERROR(Z1471/P1471,0)</f>
        <v>0.70387706611570255</v>
      </c>
      <c r="AB1471" s="120">
        <f t="shared" ref="AB1471:AB1472" si="1169">M1471-W1471</f>
        <v>37.5300000000002</v>
      </c>
      <c r="AC1471" s="119">
        <f t="shared" ref="AC1471:AC1472" si="1170">IFERROR(AA1471-O1471,"")</f>
        <v>3.8770661157025987E-3</v>
      </c>
      <c r="AD1471" s="110"/>
      <c r="AE1471" s="110"/>
      <c r="AF1471" s="110"/>
      <c r="AG1471" s="121"/>
      <c r="AH1471" s="110"/>
    </row>
    <row r="1472" spans="1:34" s="216" customFormat="1" ht="11.25" customHeight="1" x14ac:dyDescent="0.15">
      <c r="A1472" s="53" t="s">
        <v>409</v>
      </c>
      <c r="B1472" s="53"/>
      <c r="C1472" s="54" t="s">
        <v>177</v>
      </c>
      <c r="D1472" s="54">
        <v>2024</v>
      </c>
      <c r="E1472" s="70">
        <v>45382</v>
      </c>
      <c r="F1472" s="54"/>
      <c r="G1472" s="54"/>
      <c r="H1472" s="54"/>
      <c r="I1472" s="54"/>
      <c r="J1472" s="54"/>
      <c r="K1472" s="106"/>
      <c r="L1472" s="24">
        <f>SUM(L1471)</f>
        <v>9680</v>
      </c>
      <c r="M1472" s="24">
        <f t="shared" ref="M1472:N1472" si="1171">SUM(M1470:M1471)</f>
        <v>2904</v>
      </c>
      <c r="N1472" s="24">
        <f t="shared" si="1171"/>
        <v>6776</v>
      </c>
      <c r="O1472" s="57">
        <f>IFERROR(N1472/L1472,"")</f>
        <v>0.7</v>
      </c>
      <c r="P1472" s="24">
        <f>SUM(P1471)</f>
        <v>9680</v>
      </c>
      <c r="Q1472" s="24"/>
      <c r="R1472" s="117">
        <f>SUM(R1471)</f>
        <v>25</v>
      </c>
      <c r="S1472" s="117">
        <f t="shared" ref="S1472:V1472" si="1172">SUM(S1471)</f>
        <v>1122</v>
      </c>
      <c r="T1472" s="117">
        <f t="shared" si="1172"/>
        <v>1146.5999999999999</v>
      </c>
      <c r="U1472" s="117">
        <f t="shared" si="1172"/>
        <v>576.12</v>
      </c>
      <c r="V1472" s="117">
        <f t="shared" si="1172"/>
        <v>21.75</v>
      </c>
      <c r="W1472" s="26">
        <f t="shared" ref="W1472" si="1173">SUM(W1471)</f>
        <v>2866.47</v>
      </c>
      <c r="X1472" s="56">
        <f t="shared" si="1167"/>
        <v>44.88</v>
      </c>
      <c r="Y1472" s="57">
        <f>IFERROR(U1472/P1472,0)</f>
        <v>5.9516528925619837E-2</v>
      </c>
      <c r="Z1472" s="28">
        <f t="shared" si="1168"/>
        <v>6813.5300000000007</v>
      </c>
      <c r="AA1472" s="57">
        <f>IFERROR(Z1472/P1472,0)</f>
        <v>0.70387706611570255</v>
      </c>
      <c r="AB1472" s="58">
        <f t="shared" si="1169"/>
        <v>37.5300000000002</v>
      </c>
      <c r="AC1472" s="57">
        <f t="shared" si="1170"/>
        <v>3.8770661157025987E-3</v>
      </c>
      <c r="AD1472" s="53"/>
      <c r="AE1472" s="53"/>
      <c r="AF1472" s="53"/>
      <c r="AG1472" s="61"/>
      <c r="AH1472" s="53"/>
    </row>
    <row r="1473" spans="1:34" ht="11.25" customHeight="1" x14ac:dyDescent="0.15">
      <c r="A1473" s="130"/>
      <c r="B1473" s="130"/>
      <c r="C1473" s="124"/>
      <c r="D1473" s="124"/>
      <c r="E1473" s="273"/>
      <c r="F1473" s="124"/>
      <c r="G1473" s="124"/>
      <c r="H1473" s="124"/>
      <c r="I1473" s="124"/>
      <c r="J1473" s="124"/>
      <c r="K1473" s="125"/>
      <c r="L1473" s="129"/>
      <c r="M1473" s="129"/>
      <c r="N1473" s="129"/>
      <c r="O1473" s="128"/>
      <c r="P1473" s="129"/>
      <c r="Q1473" s="124"/>
      <c r="R1473" s="117"/>
      <c r="S1473" s="117"/>
      <c r="T1473" s="117"/>
      <c r="U1473" s="117"/>
      <c r="V1473" s="117"/>
      <c r="X1473" s="45"/>
      <c r="Y1473" s="128"/>
      <c r="Z1473" s="126"/>
      <c r="AA1473" s="128"/>
      <c r="AB1473" s="129"/>
      <c r="AC1473" s="160"/>
      <c r="AD1473" s="137"/>
      <c r="AE1473" s="110"/>
      <c r="AF1473" s="110"/>
      <c r="AG1473" s="121"/>
      <c r="AH1473" s="110"/>
    </row>
    <row r="1474" spans="1:34" ht="11.25" customHeight="1" x14ac:dyDescent="0.15">
      <c r="A1474" s="110" t="s">
        <v>409</v>
      </c>
      <c r="B1474" s="110"/>
      <c r="C1474" s="111" t="s">
        <v>37</v>
      </c>
      <c r="D1474" s="111">
        <v>2024</v>
      </c>
      <c r="E1474" s="146">
        <v>45382</v>
      </c>
      <c r="F1474" s="111"/>
      <c r="G1474" s="111">
        <v>13000000</v>
      </c>
      <c r="H1474" s="111"/>
      <c r="I1474" s="111"/>
      <c r="J1474" s="111"/>
      <c r="K1474" s="112" t="s">
        <v>580</v>
      </c>
      <c r="L1474" s="120">
        <v>95165</v>
      </c>
      <c r="M1474" s="120">
        <v>23745.439999999999</v>
      </c>
      <c r="N1474" s="120">
        <f t="shared" ref="N1474:N1478" si="1174">L1474-M1474</f>
        <v>71419.56</v>
      </c>
      <c r="O1474" s="119">
        <f t="shared" ref="O1474:O1478" si="1175">IFERROR(N1474/L1474,"")</f>
        <v>0.75048137445489416</v>
      </c>
      <c r="P1474" s="120">
        <v>95165</v>
      </c>
      <c r="Q1474" s="111">
        <v>2400</v>
      </c>
      <c r="R1474" s="117">
        <f>32.5/2</f>
        <v>16.25</v>
      </c>
      <c r="S1474" s="117">
        <f>1268.8/2</f>
        <v>634.4</v>
      </c>
      <c r="T1474" s="117"/>
      <c r="U1474" s="117">
        <f>43279.75/2</f>
        <v>21639.875</v>
      </c>
      <c r="V1474" s="117"/>
      <c r="W1474" s="26">
        <f t="shared" ref="W1474:W1478" si="1176">SUM(S1474:V1474)</f>
        <v>22274.275000000001</v>
      </c>
      <c r="X1474" s="118">
        <f t="shared" ref="X1474:X1478" si="1177">IFERROR(S1474/R1474,"")</f>
        <v>39.04</v>
      </c>
      <c r="Y1474" s="119">
        <f t="shared" ref="Y1474:Y1478" si="1178">IFERROR(U1474/P1474,0)</f>
        <v>0.22739321179004887</v>
      </c>
      <c r="Z1474" s="117">
        <f t="shared" ref="Z1474:Z1478" si="1179">P1474-W1474</f>
        <v>72890.725000000006</v>
      </c>
      <c r="AA1474" s="119">
        <f t="shared" ref="AA1474:AA1478" si="1180">IFERROR(Z1474/P1474,0)</f>
        <v>0.76594047181211589</v>
      </c>
      <c r="AB1474" s="120">
        <f t="shared" ref="AB1474:AB1478" si="1181">M1474-W1474</f>
        <v>1471.1649999999972</v>
      </c>
      <c r="AC1474" s="119">
        <f t="shared" ref="AC1474:AC1478" si="1182">IFERROR(AA1474-O1474,"")</f>
        <v>1.5459097357221729E-2</v>
      </c>
      <c r="AD1474" s="110"/>
      <c r="AE1474" s="110"/>
      <c r="AF1474" s="110"/>
      <c r="AG1474" s="121"/>
      <c r="AH1474" s="110"/>
    </row>
    <row r="1475" spans="1:34" ht="11.25" customHeight="1" x14ac:dyDescent="0.15">
      <c r="A1475" s="110" t="s">
        <v>409</v>
      </c>
      <c r="B1475" s="110"/>
      <c r="C1475" s="111" t="s">
        <v>47</v>
      </c>
      <c r="D1475" s="111">
        <v>2024</v>
      </c>
      <c r="E1475" s="146">
        <v>45382</v>
      </c>
      <c r="F1475" s="111"/>
      <c r="G1475" s="111">
        <v>53000011</v>
      </c>
      <c r="H1475" s="111"/>
      <c r="I1475" s="111"/>
      <c r="J1475" s="111"/>
      <c r="K1475" s="112" t="s">
        <v>740</v>
      </c>
      <c r="L1475" s="120">
        <v>13054</v>
      </c>
      <c r="M1475" s="120">
        <v>4246.96</v>
      </c>
      <c r="N1475" s="120">
        <f t="shared" si="1174"/>
        <v>8807.0400000000009</v>
      </c>
      <c r="O1475" s="119">
        <f t="shared" si="1175"/>
        <v>0.67466217251417193</v>
      </c>
      <c r="P1475" s="120">
        <v>13054</v>
      </c>
      <c r="Q1475" s="111">
        <v>3129</v>
      </c>
      <c r="R1475" s="117">
        <v>8</v>
      </c>
      <c r="S1475" s="117">
        <v>367.28</v>
      </c>
      <c r="T1475" s="117">
        <v>872.7</v>
      </c>
      <c r="U1475" s="117"/>
      <c r="V1475" s="117"/>
      <c r="W1475" s="26">
        <f t="shared" si="1176"/>
        <v>1239.98</v>
      </c>
      <c r="X1475" s="118">
        <f t="shared" si="1177"/>
        <v>45.91</v>
      </c>
      <c r="Y1475" s="119">
        <f t="shared" si="1178"/>
        <v>0</v>
      </c>
      <c r="Z1475" s="117">
        <f t="shared" si="1179"/>
        <v>11814.02</v>
      </c>
      <c r="AA1475" s="119">
        <f t="shared" si="1180"/>
        <v>0.90501149073081055</v>
      </c>
      <c r="AB1475" s="120">
        <f t="shared" si="1181"/>
        <v>3006.98</v>
      </c>
      <c r="AC1475" s="119">
        <f t="shared" si="1182"/>
        <v>0.23034931821663862</v>
      </c>
      <c r="AD1475" s="110"/>
      <c r="AE1475" s="110"/>
      <c r="AF1475" s="110"/>
      <c r="AG1475" s="121"/>
      <c r="AH1475" s="110"/>
    </row>
    <row r="1476" spans="1:34" ht="11.25" customHeight="1" x14ac:dyDescent="0.15">
      <c r="A1476" s="110" t="s">
        <v>409</v>
      </c>
      <c r="B1476" s="110"/>
      <c r="C1476" s="111" t="s">
        <v>248</v>
      </c>
      <c r="D1476" s="111">
        <v>2024</v>
      </c>
      <c r="E1476" s="146">
        <v>45382</v>
      </c>
      <c r="F1476" s="111"/>
      <c r="G1476" s="111">
        <v>96000000</v>
      </c>
      <c r="H1476" s="111"/>
      <c r="I1476" s="111"/>
      <c r="J1476" s="111"/>
      <c r="K1476" s="112" t="s">
        <v>250</v>
      </c>
      <c r="L1476" s="120">
        <v>6863</v>
      </c>
      <c r="M1476" s="120">
        <v>3431.5</v>
      </c>
      <c r="N1476" s="120">
        <f t="shared" si="1174"/>
        <v>3431.5</v>
      </c>
      <c r="O1476" s="119">
        <f t="shared" si="1175"/>
        <v>0.5</v>
      </c>
      <c r="P1476" s="120">
        <v>6863</v>
      </c>
      <c r="Q1476" s="111">
        <v>3130</v>
      </c>
      <c r="R1476" s="117">
        <v>8</v>
      </c>
      <c r="S1476" s="117">
        <v>452.4</v>
      </c>
      <c r="T1476" s="117"/>
      <c r="U1476" s="117"/>
      <c r="V1476" s="117"/>
      <c r="W1476" s="26">
        <f t="shared" si="1176"/>
        <v>452.4</v>
      </c>
      <c r="X1476" s="118">
        <f t="shared" si="1177"/>
        <v>56.55</v>
      </c>
      <c r="Y1476" s="119">
        <f t="shared" si="1178"/>
        <v>0</v>
      </c>
      <c r="Z1476" s="117">
        <f t="shared" si="1179"/>
        <v>6410.6</v>
      </c>
      <c r="AA1476" s="119">
        <f t="shared" si="1180"/>
        <v>0.93408130555150815</v>
      </c>
      <c r="AB1476" s="120">
        <f t="shared" si="1181"/>
        <v>2979.1</v>
      </c>
      <c r="AC1476" s="119">
        <f t="shared" si="1182"/>
        <v>0.43408130555150815</v>
      </c>
      <c r="AD1476" s="110"/>
      <c r="AE1476" s="110"/>
      <c r="AF1476" s="110"/>
      <c r="AG1476" s="121"/>
      <c r="AH1476" s="110"/>
    </row>
    <row r="1477" spans="1:34" ht="11.25" customHeight="1" x14ac:dyDescent="0.15">
      <c r="A1477" s="110" t="s">
        <v>409</v>
      </c>
      <c r="B1477" s="110"/>
      <c r="C1477" s="111" t="s">
        <v>55</v>
      </c>
      <c r="D1477" s="111">
        <v>2024</v>
      </c>
      <c r="E1477" s="146">
        <v>45382</v>
      </c>
      <c r="F1477" s="111"/>
      <c r="G1477" s="111" t="s">
        <v>56</v>
      </c>
      <c r="H1477" s="111"/>
      <c r="I1477" s="111"/>
      <c r="J1477" s="111"/>
      <c r="K1477" s="112" t="s">
        <v>71</v>
      </c>
      <c r="L1477" s="120">
        <v>3427</v>
      </c>
      <c r="M1477" s="120">
        <v>1713.3</v>
      </c>
      <c r="N1477" s="120">
        <f t="shared" si="1174"/>
        <v>1713.7</v>
      </c>
      <c r="O1477" s="119">
        <f t="shared" si="1175"/>
        <v>0.50005836008170412</v>
      </c>
      <c r="P1477" s="120">
        <v>3427</v>
      </c>
      <c r="Q1477" s="111">
        <v>3131</v>
      </c>
      <c r="R1477" s="117">
        <v>4</v>
      </c>
      <c r="S1477" s="117">
        <v>170</v>
      </c>
      <c r="T1477" s="117"/>
      <c r="U1477" s="117"/>
      <c r="V1477" s="117">
        <v>1228.6300000000001</v>
      </c>
      <c r="W1477" s="26">
        <f t="shared" si="1176"/>
        <v>1398.63</v>
      </c>
      <c r="X1477" s="118">
        <f t="shared" si="1177"/>
        <v>42.5</v>
      </c>
      <c r="Y1477" s="119">
        <f t="shared" si="1178"/>
        <v>0</v>
      </c>
      <c r="Z1477" s="117">
        <f t="shared" si="1179"/>
        <v>2028.37</v>
      </c>
      <c r="AA1477" s="119">
        <f t="shared" si="1180"/>
        <v>0.59187919463087246</v>
      </c>
      <c r="AB1477" s="120">
        <f t="shared" si="1181"/>
        <v>314.66999999999985</v>
      </c>
      <c r="AC1477" s="119">
        <f t="shared" si="1182"/>
        <v>9.182083454916834E-2</v>
      </c>
      <c r="AD1477" s="110"/>
      <c r="AE1477" s="110"/>
      <c r="AF1477" s="110"/>
      <c r="AG1477" s="121"/>
      <c r="AH1477" s="110"/>
    </row>
    <row r="1478" spans="1:34" ht="11.25" customHeight="1" x14ac:dyDescent="0.15">
      <c r="A1478" s="110" t="s">
        <v>409</v>
      </c>
      <c r="B1478" s="110"/>
      <c r="C1478" s="111" t="s">
        <v>58</v>
      </c>
      <c r="D1478" s="111">
        <v>2024</v>
      </c>
      <c r="E1478" s="146">
        <v>45382</v>
      </c>
      <c r="F1478" s="111"/>
      <c r="G1478" s="111">
        <v>73152012</v>
      </c>
      <c r="H1478" s="111"/>
      <c r="I1478" s="111"/>
      <c r="J1478" s="111"/>
      <c r="K1478" s="112" t="s">
        <v>743</v>
      </c>
      <c r="L1478" s="120">
        <v>15364</v>
      </c>
      <c r="M1478" s="120">
        <v>1536.4</v>
      </c>
      <c r="N1478" s="120">
        <f t="shared" si="1174"/>
        <v>13827.6</v>
      </c>
      <c r="O1478" s="119">
        <f t="shared" si="1175"/>
        <v>0.9</v>
      </c>
      <c r="P1478" s="120">
        <v>15364</v>
      </c>
      <c r="Q1478" s="111">
        <v>3132</v>
      </c>
      <c r="R1478" s="117"/>
      <c r="S1478" s="117"/>
      <c r="T1478" s="117"/>
      <c r="U1478" s="117">
        <v>2124</v>
      </c>
      <c r="V1478" s="117"/>
      <c r="W1478" s="26">
        <f t="shared" si="1176"/>
        <v>2124</v>
      </c>
      <c r="X1478" s="118" t="str">
        <f t="shared" si="1177"/>
        <v/>
      </c>
      <c r="Y1478" s="119">
        <f t="shared" si="1178"/>
        <v>0.13824524863316845</v>
      </c>
      <c r="Z1478" s="117">
        <f t="shared" si="1179"/>
        <v>13240</v>
      </c>
      <c r="AA1478" s="119">
        <f t="shared" si="1180"/>
        <v>0.86175475136683155</v>
      </c>
      <c r="AB1478" s="120">
        <f t="shared" si="1181"/>
        <v>-587.59999999999991</v>
      </c>
      <c r="AC1478" s="119">
        <f t="shared" si="1182"/>
        <v>-3.8245248633168472E-2</v>
      </c>
      <c r="AD1478" s="110" t="s">
        <v>773</v>
      </c>
      <c r="AE1478" s="110"/>
      <c r="AF1478" s="110"/>
      <c r="AG1478" s="121"/>
      <c r="AH1478" s="110"/>
    </row>
    <row r="1479" spans="1:34" ht="11.25" customHeight="1" x14ac:dyDescent="0.15">
      <c r="A1479" s="110" t="s">
        <v>409</v>
      </c>
      <c r="B1479" s="110"/>
      <c r="C1479" s="111" t="s">
        <v>49</v>
      </c>
      <c r="D1479" s="111">
        <v>2024</v>
      </c>
      <c r="E1479" s="146">
        <v>45382</v>
      </c>
      <c r="F1479" s="111"/>
      <c r="G1479" s="111">
        <v>63652012</v>
      </c>
      <c r="H1479" s="111"/>
      <c r="I1479" s="111"/>
      <c r="J1479" s="111"/>
      <c r="K1479" s="112" t="s">
        <v>744</v>
      </c>
      <c r="L1479" s="120">
        <v>10238</v>
      </c>
      <c r="M1479" s="120">
        <v>4611.62</v>
      </c>
      <c r="N1479" s="120">
        <f>L1479-M1479</f>
        <v>5626.38</v>
      </c>
      <c r="O1479" s="119">
        <f>IFERROR(N1479/L1479,"")</f>
        <v>0.54955850752100022</v>
      </c>
      <c r="P1479" s="120">
        <v>10238</v>
      </c>
      <c r="Q1479" s="111">
        <v>3133</v>
      </c>
      <c r="R1479" s="117">
        <v>32</v>
      </c>
      <c r="S1479" s="117">
        <v>1809.6</v>
      </c>
      <c r="T1479" s="117">
        <v>2894.64</v>
      </c>
      <c r="U1479" s="117"/>
      <c r="V1479" s="117"/>
      <c r="W1479" s="26">
        <f t="shared" ref="W1479" si="1183">SUM(S1479:V1479)</f>
        <v>4704.24</v>
      </c>
      <c r="X1479" s="118">
        <f t="shared" ref="X1479:X1480" si="1184">IFERROR(S1479/R1479,"")</f>
        <v>56.55</v>
      </c>
      <c r="Y1479" s="119">
        <f>IFERROR(U1479/P1479,0)</f>
        <v>0</v>
      </c>
      <c r="Z1479" s="117">
        <f t="shared" ref="Z1479:Z1480" si="1185">P1479-W1479</f>
        <v>5533.76</v>
      </c>
      <c r="AA1479" s="119">
        <f>IFERROR(Z1479/P1479,0)</f>
        <v>0.54051181871459275</v>
      </c>
      <c r="AB1479" s="120">
        <f t="shared" ref="AB1479:AB1480" si="1186">M1479-W1479</f>
        <v>-92.619999999999891</v>
      </c>
      <c r="AC1479" s="119">
        <f t="shared" ref="AC1479:AC1480" si="1187">IFERROR(AA1479-O1479,"")</f>
        <v>-9.0466888064074658E-3</v>
      </c>
      <c r="AD1479" s="110"/>
      <c r="AE1479" s="110"/>
      <c r="AF1479" s="110"/>
      <c r="AG1479" s="121"/>
      <c r="AH1479" s="110"/>
    </row>
    <row r="1480" spans="1:34" s="216" customFormat="1" ht="11.25" customHeight="1" x14ac:dyDescent="0.15">
      <c r="A1480" s="53" t="s">
        <v>409</v>
      </c>
      <c r="B1480" s="53"/>
      <c r="C1480" s="54" t="s">
        <v>177</v>
      </c>
      <c r="D1480" s="54">
        <v>2024</v>
      </c>
      <c r="E1480" s="70">
        <v>45382</v>
      </c>
      <c r="F1480" s="54"/>
      <c r="G1480" s="54"/>
      <c r="H1480" s="54"/>
      <c r="I1480" s="54"/>
      <c r="J1480" s="54"/>
      <c r="K1480" s="106"/>
      <c r="L1480" s="24">
        <f>SUM(L1474:L1479)</f>
        <v>144111</v>
      </c>
      <c r="M1480" s="24">
        <f t="shared" ref="M1480:N1480" si="1188">SUM(M1474:M1479)</f>
        <v>39285.22</v>
      </c>
      <c r="N1480" s="24">
        <f t="shared" si="1188"/>
        <v>104825.78000000001</v>
      </c>
      <c r="O1480" s="57">
        <f>IFERROR(N1480/L1480,"")</f>
        <v>0.72739610439175362</v>
      </c>
      <c r="P1480" s="24">
        <f>SUM(P1474:P1479)</f>
        <v>144111</v>
      </c>
      <c r="Q1480" s="24"/>
      <c r="R1480" s="117">
        <f>SUM(R1474:R1479)</f>
        <v>68.25</v>
      </c>
      <c r="S1480" s="117">
        <f t="shared" ref="S1480:W1480" si="1189">SUM(S1474:S1479)</f>
        <v>3433.68</v>
      </c>
      <c r="T1480" s="117">
        <f t="shared" si="1189"/>
        <v>3767.34</v>
      </c>
      <c r="U1480" s="117">
        <f t="shared" si="1189"/>
        <v>23763.875</v>
      </c>
      <c r="V1480" s="117">
        <f t="shared" si="1189"/>
        <v>1228.6300000000001</v>
      </c>
      <c r="W1480" s="26">
        <f t="shared" si="1189"/>
        <v>32193.525000000001</v>
      </c>
      <c r="X1480" s="56">
        <f t="shared" si="1184"/>
        <v>50.310329670329665</v>
      </c>
      <c r="Y1480" s="57">
        <f>IFERROR(U1480/P1480,0)</f>
        <v>0.16489979946013836</v>
      </c>
      <c r="Z1480" s="28">
        <f t="shared" si="1185"/>
        <v>111917.47500000001</v>
      </c>
      <c r="AA1480" s="57">
        <f>IFERROR(Z1480/P1480,0)</f>
        <v>0.77660605366696511</v>
      </c>
      <c r="AB1480" s="58">
        <f t="shared" si="1186"/>
        <v>7091.6949999999997</v>
      </c>
      <c r="AC1480" s="57">
        <f t="shared" si="1187"/>
        <v>4.9209949275211495E-2</v>
      </c>
      <c r="AD1480" s="53"/>
      <c r="AE1480" s="53"/>
      <c r="AF1480" s="53"/>
      <c r="AG1480" s="61"/>
      <c r="AH1480" s="53"/>
    </row>
    <row r="1481" spans="1:34" ht="11.25" customHeight="1" x14ac:dyDescent="0.15">
      <c r="A1481" s="130"/>
      <c r="B1481" s="130"/>
      <c r="C1481" s="124"/>
      <c r="D1481" s="124"/>
      <c r="E1481" s="273"/>
      <c r="F1481" s="124"/>
      <c r="G1481" s="124"/>
      <c r="H1481" s="124"/>
      <c r="I1481" s="124"/>
      <c r="J1481" s="124"/>
      <c r="K1481" s="125"/>
      <c r="L1481" s="129"/>
      <c r="M1481" s="129"/>
      <c r="N1481" s="129"/>
      <c r="O1481" s="128"/>
      <c r="P1481" s="129"/>
      <c r="Q1481" s="124"/>
      <c r="R1481" s="117"/>
      <c r="S1481" s="117"/>
      <c r="T1481" s="117"/>
      <c r="U1481" s="117"/>
      <c r="V1481" s="117"/>
      <c r="X1481" s="45"/>
      <c r="Y1481" s="128"/>
      <c r="Z1481" s="126"/>
      <c r="AA1481" s="128"/>
      <c r="AB1481" s="129"/>
      <c r="AC1481" s="160"/>
      <c r="AD1481" s="137"/>
      <c r="AE1481" s="110"/>
      <c r="AF1481" s="110"/>
      <c r="AG1481" s="121"/>
      <c r="AH1481" s="110"/>
    </row>
    <row r="1482" spans="1:34" ht="11.25" customHeight="1" x14ac:dyDescent="0.15">
      <c r="A1482" s="110" t="s">
        <v>510</v>
      </c>
      <c r="B1482" s="110"/>
      <c r="C1482" s="111" t="s">
        <v>180</v>
      </c>
      <c r="D1482" s="111">
        <v>2024</v>
      </c>
      <c r="E1482" s="146">
        <v>45412</v>
      </c>
      <c r="F1482" s="111"/>
      <c r="G1482" s="111">
        <v>94000032</v>
      </c>
      <c r="H1482" s="111"/>
      <c r="I1482" s="111"/>
      <c r="J1482" s="111"/>
      <c r="K1482" s="112" t="s">
        <v>774</v>
      </c>
      <c r="L1482" s="120">
        <v>79134</v>
      </c>
      <c r="M1482" s="120">
        <v>10358.290000000001</v>
      </c>
      <c r="N1482" s="120">
        <f t="shared" ref="N1482:N1486" si="1190">L1482-M1482</f>
        <v>68775.709999999992</v>
      </c>
      <c r="O1482" s="119">
        <f t="shared" ref="O1482:O1486" si="1191">IFERROR(N1482/L1482,"")</f>
        <v>0.86910443045972641</v>
      </c>
      <c r="P1482" s="120">
        <v>79134</v>
      </c>
      <c r="Q1482" s="111">
        <v>2959</v>
      </c>
      <c r="R1482" s="117">
        <v>4</v>
      </c>
      <c r="S1482" s="117">
        <v>156.16</v>
      </c>
      <c r="T1482" s="117"/>
      <c r="U1482" s="117">
        <v>11024.14</v>
      </c>
      <c r="V1482" s="117"/>
      <c r="W1482" s="26">
        <f t="shared" ref="W1482:W1488" si="1192">SUM(S1482:V1482)</f>
        <v>11180.3</v>
      </c>
      <c r="X1482" s="118">
        <f t="shared" ref="X1482:X1487" si="1193">IFERROR(S1482/R1482,"")</f>
        <v>39.04</v>
      </c>
      <c r="Y1482" s="119">
        <f t="shared" ref="Y1482:Y1486" si="1194">IFERROR(U1482/P1482,0)</f>
        <v>0.13930977835064573</v>
      </c>
      <c r="Z1482" s="117">
        <f t="shared" ref="Z1482:Z1487" si="1195">P1482-W1482</f>
        <v>67953.7</v>
      </c>
      <c r="AA1482" s="119">
        <f t="shared" ref="AA1482:AA1486" si="1196">IFERROR(Z1482/P1482,0)</f>
        <v>0.8587168600096039</v>
      </c>
      <c r="AB1482" s="120">
        <f t="shared" ref="AB1482:AB1487" si="1197">M1482-W1482</f>
        <v>-822.0099999999984</v>
      </c>
      <c r="AC1482" s="119">
        <f t="shared" ref="AC1482:AC1487" si="1198">IFERROR(AA1482-O1482,"")</f>
        <v>-1.0387570450122507E-2</v>
      </c>
      <c r="AD1482" s="110"/>
      <c r="AE1482" s="110"/>
      <c r="AF1482" s="110"/>
      <c r="AG1482" s="121"/>
      <c r="AH1482" s="110"/>
    </row>
    <row r="1483" spans="1:34" ht="11.25" customHeight="1" x14ac:dyDescent="0.15">
      <c r="A1483" s="110" t="s">
        <v>510</v>
      </c>
      <c r="B1483" s="110"/>
      <c r="C1483" s="111" t="s">
        <v>47</v>
      </c>
      <c r="D1483" s="111">
        <v>2024</v>
      </c>
      <c r="E1483" s="146">
        <v>45412</v>
      </c>
      <c r="F1483" s="111"/>
      <c r="G1483" s="111">
        <v>54000021</v>
      </c>
      <c r="H1483" s="111"/>
      <c r="I1483" s="111"/>
      <c r="J1483" s="111"/>
      <c r="K1483" s="112" t="s">
        <v>775</v>
      </c>
      <c r="L1483" s="120">
        <v>15959</v>
      </c>
      <c r="M1483" s="120">
        <v>4169.12</v>
      </c>
      <c r="N1483" s="120">
        <f t="shared" si="1190"/>
        <v>11789.880000000001</v>
      </c>
      <c r="O1483" s="119">
        <f t="shared" si="1191"/>
        <v>0.73876057397080019</v>
      </c>
      <c r="P1483" s="120">
        <v>15959</v>
      </c>
      <c r="Q1483" s="111">
        <v>3029</v>
      </c>
      <c r="R1483" s="117">
        <v>88</v>
      </c>
      <c r="S1483" s="117">
        <v>4040.1</v>
      </c>
      <c r="T1483" s="117">
        <v>3350.08</v>
      </c>
      <c r="U1483" s="117">
        <v>1512.69</v>
      </c>
      <c r="V1483" s="117"/>
      <c r="W1483" s="26">
        <f t="shared" si="1192"/>
        <v>8902.8700000000008</v>
      </c>
      <c r="X1483" s="118">
        <f t="shared" si="1193"/>
        <v>45.910227272727269</v>
      </c>
      <c r="Y1483" s="119">
        <f t="shared" si="1194"/>
        <v>9.4786014161288304E-2</v>
      </c>
      <c r="Z1483" s="117">
        <f t="shared" si="1195"/>
        <v>7056.1299999999992</v>
      </c>
      <c r="AA1483" s="119">
        <f t="shared" si="1196"/>
        <v>0.44214111159847103</v>
      </c>
      <c r="AB1483" s="120">
        <f t="shared" si="1197"/>
        <v>-4733.7500000000009</v>
      </c>
      <c r="AC1483" s="119">
        <f t="shared" si="1198"/>
        <v>-0.29661946237232917</v>
      </c>
      <c r="AD1483" s="110" t="s">
        <v>776</v>
      </c>
      <c r="AE1483" s="110"/>
      <c r="AF1483" s="110"/>
      <c r="AG1483" s="121"/>
      <c r="AH1483" s="110"/>
    </row>
    <row r="1484" spans="1:34" ht="11.25" customHeight="1" x14ac:dyDescent="0.15">
      <c r="A1484" s="110" t="s">
        <v>510</v>
      </c>
      <c r="B1484" s="110"/>
      <c r="C1484" s="111" t="s">
        <v>248</v>
      </c>
      <c r="D1484" s="111">
        <v>2024</v>
      </c>
      <c r="E1484" s="146">
        <v>45412</v>
      </c>
      <c r="F1484" s="111"/>
      <c r="G1484" s="111">
        <v>96000000</v>
      </c>
      <c r="H1484" s="111"/>
      <c r="I1484" s="111"/>
      <c r="J1484" s="111"/>
      <c r="K1484" s="112" t="s">
        <v>250</v>
      </c>
      <c r="L1484" s="120">
        <v>6333</v>
      </c>
      <c r="M1484" s="120">
        <v>2948.5</v>
      </c>
      <c r="N1484" s="120">
        <f t="shared" si="1190"/>
        <v>3384.5</v>
      </c>
      <c r="O1484" s="119">
        <f t="shared" si="1191"/>
        <v>0.53442286436128217</v>
      </c>
      <c r="P1484" s="120">
        <v>6333</v>
      </c>
      <c r="Q1484" s="111">
        <v>2956</v>
      </c>
      <c r="R1484" s="117">
        <v>12</v>
      </c>
      <c r="S1484" s="117">
        <v>678.6</v>
      </c>
      <c r="T1484" s="117"/>
      <c r="U1484" s="117"/>
      <c r="V1484" s="117"/>
      <c r="W1484" s="26">
        <f t="shared" si="1192"/>
        <v>678.6</v>
      </c>
      <c r="X1484" s="118">
        <f t="shared" si="1193"/>
        <v>56.550000000000004</v>
      </c>
      <c r="Y1484" s="119">
        <f t="shared" si="1194"/>
        <v>0</v>
      </c>
      <c r="Z1484" s="117">
        <f t="shared" si="1195"/>
        <v>5654.4</v>
      </c>
      <c r="AA1484" s="119">
        <f t="shared" si="1196"/>
        <v>0.8928469919469445</v>
      </c>
      <c r="AB1484" s="120">
        <f t="shared" si="1197"/>
        <v>2269.9</v>
      </c>
      <c r="AC1484" s="119">
        <f t="shared" si="1198"/>
        <v>0.35842412758566233</v>
      </c>
      <c r="AD1484" s="110"/>
      <c r="AE1484" s="110"/>
      <c r="AF1484" s="110"/>
      <c r="AG1484" s="121"/>
      <c r="AH1484" s="110"/>
    </row>
    <row r="1485" spans="1:34" ht="11.25" customHeight="1" x14ac:dyDescent="0.15">
      <c r="A1485" s="110" t="s">
        <v>510</v>
      </c>
      <c r="B1485" s="110"/>
      <c r="C1485" s="111" t="s">
        <v>55</v>
      </c>
      <c r="D1485" s="111">
        <v>2024</v>
      </c>
      <c r="E1485" s="146">
        <v>45412</v>
      </c>
      <c r="F1485" s="111"/>
      <c r="G1485" s="111" t="s">
        <v>56</v>
      </c>
      <c r="H1485" s="111"/>
      <c r="I1485" s="111"/>
      <c r="J1485" s="111"/>
      <c r="K1485" s="112" t="s">
        <v>71</v>
      </c>
      <c r="L1485" s="120">
        <v>4783</v>
      </c>
      <c r="M1485" s="120">
        <v>2079.25</v>
      </c>
      <c r="N1485" s="120">
        <f t="shared" si="1190"/>
        <v>2703.75</v>
      </c>
      <c r="O1485" s="119">
        <f t="shared" si="1191"/>
        <v>0.56528329500313612</v>
      </c>
      <c r="P1485" s="120">
        <v>4783</v>
      </c>
      <c r="Q1485" s="111">
        <v>2957</v>
      </c>
      <c r="R1485" s="117">
        <v>8</v>
      </c>
      <c r="S1485" s="117">
        <v>340</v>
      </c>
      <c r="T1485" s="117"/>
      <c r="U1485" s="117"/>
      <c r="V1485" s="117">
        <v>1496</v>
      </c>
      <c r="W1485" s="26">
        <f t="shared" si="1192"/>
        <v>1836</v>
      </c>
      <c r="X1485" s="118">
        <f t="shared" si="1193"/>
        <v>42.5</v>
      </c>
      <c r="Y1485" s="119">
        <f t="shared" si="1194"/>
        <v>0</v>
      </c>
      <c r="Z1485" s="117">
        <f t="shared" si="1195"/>
        <v>2947</v>
      </c>
      <c r="AA1485" s="119">
        <f t="shared" si="1196"/>
        <v>0.61614049759565126</v>
      </c>
      <c r="AB1485" s="120">
        <f t="shared" si="1197"/>
        <v>243.25</v>
      </c>
      <c r="AC1485" s="119">
        <f t="shared" si="1198"/>
        <v>5.0857202592515138E-2</v>
      </c>
      <c r="AD1485" s="110"/>
      <c r="AE1485" s="110"/>
      <c r="AF1485" s="110"/>
      <c r="AG1485" s="121"/>
      <c r="AH1485" s="110"/>
    </row>
    <row r="1486" spans="1:34" ht="11.25" customHeight="1" x14ac:dyDescent="0.15">
      <c r="A1486" s="110" t="s">
        <v>510</v>
      </c>
      <c r="B1486" s="110"/>
      <c r="C1486" s="111" t="s">
        <v>58</v>
      </c>
      <c r="D1486" s="111">
        <v>2024</v>
      </c>
      <c r="E1486" s="146">
        <v>45412</v>
      </c>
      <c r="F1486" s="111"/>
      <c r="G1486" s="111">
        <v>74112002</v>
      </c>
      <c r="H1486" s="111"/>
      <c r="I1486" s="111"/>
      <c r="J1486" s="111"/>
      <c r="K1486" s="112" t="s">
        <v>777</v>
      </c>
      <c r="L1486" s="120">
        <v>117785</v>
      </c>
      <c r="M1486" s="120">
        <v>10956.7</v>
      </c>
      <c r="N1486" s="120">
        <f t="shared" si="1190"/>
        <v>106828.3</v>
      </c>
      <c r="O1486" s="119">
        <f t="shared" si="1191"/>
        <v>0.9069771193275884</v>
      </c>
      <c r="P1486" s="120">
        <v>117785</v>
      </c>
      <c r="Q1486" s="111">
        <v>3030</v>
      </c>
      <c r="R1486" s="117"/>
      <c r="S1486" s="117"/>
      <c r="T1486" s="117"/>
      <c r="U1486" s="117">
        <v>1979.03</v>
      </c>
      <c r="V1486" s="117"/>
      <c r="W1486" s="26">
        <f t="shared" si="1192"/>
        <v>1979.03</v>
      </c>
      <c r="X1486" s="118" t="str">
        <f t="shared" si="1193"/>
        <v/>
      </c>
      <c r="Y1486" s="119">
        <f t="shared" si="1194"/>
        <v>1.6802054590992061E-2</v>
      </c>
      <c r="Z1486" s="117">
        <f t="shared" si="1195"/>
        <v>115805.97</v>
      </c>
      <c r="AA1486" s="119">
        <f t="shared" si="1196"/>
        <v>0.98319794540900796</v>
      </c>
      <c r="AB1486" s="120">
        <f t="shared" si="1197"/>
        <v>8977.67</v>
      </c>
      <c r="AC1486" s="119">
        <f t="shared" si="1198"/>
        <v>7.6220826081419557E-2</v>
      </c>
      <c r="AD1486" s="110"/>
      <c r="AE1486" s="110"/>
      <c r="AF1486" s="110"/>
      <c r="AG1486" s="121"/>
      <c r="AH1486" s="110"/>
    </row>
    <row r="1487" spans="1:34" ht="11.25" customHeight="1" x14ac:dyDescent="0.15">
      <c r="A1487" s="110" t="s">
        <v>510</v>
      </c>
      <c r="B1487" s="110"/>
      <c r="C1487" s="111" t="s">
        <v>452</v>
      </c>
      <c r="D1487" s="111">
        <v>2024</v>
      </c>
      <c r="E1487" s="146">
        <v>45412</v>
      </c>
      <c r="F1487" s="111"/>
      <c r="G1487" s="111">
        <v>64612002</v>
      </c>
      <c r="H1487" s="111"/>
      <c r="I1487" s="111"/>
      <c r="J1487" s="111"/>
      <c r="K1487" s="112" t="s">
        <v>85</v>
      </c>
      <c r="L1487" s="120">
        <v>10238</v>
      </c>
      <c r="M1487" s="120">
        <v>3582.44</v>
      </c>
      <c r="N1487" s="120">
        <f>L1487-M1487</f>
        <v>6655.5599999999995</v>
      </c>
      <c r="O1487" s="119">
        <f>IFERROR(N1487/L1487,"")</f>
        <v>0.6500840007814026</v>
      </c>
      <c r="P1487" s="120">
        <v>10238</v>
      </c>
      <c r="Q1487" s="111">
        <v>3031</v>
      </c>
      <c r="R1487" s="117">
        <v>64</v>
      </c>
      <c r="S1487" s="117">
        <v>3619.2</v>
      </c>
      <c r="T1487" s="117">
        <v>2515.02</v>
      </c>
      <c r="U1487" s="117"/>
      <c r="V1487" s="117"/>
      <c r="W1487" s="26">
        <f t="shared" si="1192"/>
        <v>6134.2199999999993</v>
      </c>
      <c r="X1487" s="118">
        <f t="shared" si="1193"/>
        <v>56.55</v>
      </c>
      <c r="Y1487" s="119">
        <f>IFERROR(U1487/P1487,0)</f>
        <v>0</v>
      </c>
      <c r="Z1487" s="117">
        <f t="shared" si="1195"/>
        <v>4103.7800000000007</v>
      </c>
      <c r="AA1487" s="119">
        <f>IFERROR(Z1487/P1487,0)</f>
        <v>0.40083805430748198</v>
      </c>
      <c r="AB1487" s="120">
        <f t="shared" si="1197"/>
        <v>-2551.7799999999993</v>
      </c>
      <c r="AC1487" s="119">
        <f t="shared" si="1198"/>
        <v>-0.24924594647392062</v>
      </c>
      <c r="AD1487" s="110" t="s">
        <v>778</v>
      </c>
      <c r="AE1487" s="110"/>
      <c r="AF1487" s="110"/>
      <c r="AG1487" s="121"/>
      <c r="AH1487" s="110"/>
    </row>
    <row r="1488" spans="1:34" ht="11.25" customHeight="1" x14ac:dyDescent="0.15">
      <c r="A1488" s="110" t="s">
        <v>510</v>
      </c>
      <c r="B1488" s="110"/>
      <c r="C1488" s="111" t="s">
        <v>175</v>
      </c>
      <c r="D1488" s="111">
        <v>2024</v>
      </c>
      <c r="E1488" s="146">
        <v>45412</v>
      </c>
      <c r="F1488" s="111"/>
      <c r="G1488" s="111">
        <v>82000001</v>
      </c>
      <c r="H1488" s="111">
        <v>4111</v>
      </c>
      <c r="I1488" s="111" t="str">
        <f>MID(G1488,2,1)</f>
        <v>2</v>
      </c>
      <c r="J1488" s="111" t="str">
        <f>IF(I1488="1","Small/Medium","Large")</f>
        <v>Large</v>
      </c>
      <c r="K1488" s="147" t="s">
        <v>176</v>
      </c>
      <c r="L1488" s="120">
        <v>16531</v>
      </c>
      <c r="M1488" s="120">
        <f>L1488*0.3</f>
        <v>4959.3</v>
      </c>
      <c r="N1488" s="120">
        <f>L1488-M1488</f>
        <v>11571.7</v>
      </c>
      <c r="O1488" s="119">
        <f>IFERROR(N1488/L1488,"")</f>
        <v>0.70000000000000007</v>
      </c>
      <c r="P1488" s="120">
        <v>16531</v>
      </c>
      <c r="Q1488" s="111">
        <v>2960</v>
      </c>
      <c r="R1488" s="117">
        <v>28</v>
      </c>
      <c r="S1488" s="117">
        <v>1256.6400000000001</v>
      </c>
      <c r="T1488" s="117">
        <v>1803.89</v>
      </c>
      <c r="U1488" s="117">
        <v>1180</v>
      </c>
      <c r="V1488" s="117"/>
      <c r="W1488" s="26">
        <f t="shared" si="1192"/>
        <v>4240.5300000000007</v>
      </c>
      <c r="X1488" s="118">
        <f t="shared" ref="X1488:X1489" si="1199">IFERROR(S1488/R1488,"")</f>
        <v>44.88</v>
      </c>
      <c r="Y1488" s="119">
        <f>IFERROR(U1488/P1488,0)</f>
        <v>7.1381041679269258E-2</v>
      </c>
      <c r="Z1488" s="117">
        <f t="shared" ref="Z1488:Z1489" si="1200">P1488-W1488</f>
        <v>12290.47</v>
      </c>
      <c r="AA1488" s="119">
        <f>IFERROR(Z1488/P1488,0)</f>
        <v>0.7434801282439053</v>
      </c>
      <c r="AB1488" s="120">
        <f t="shared" ref="AB1488:AB1489" si="1201">M1488-W1488</f>
        <v>718.76999999999953</v>
      </c>
      <c r="AC1488" s="119">
        <f t="shared" ref="AC1488:AC1489" si="1202">IFERROR(AA1488-O1488,"")</f>
        <v>4.3480128243905236E-2</v>
      </c>
      <c r="AD1488" s="110" t="s">
        <v>779</v>
      </c>
      <c r="AE1488" s="110"/>
      <c r="AF1488" s="110"/>
      <c r="AG1488" s="121"/>
      <c r="AH1488" s="110"/>
    </row>
    <row r="1489" spans="1:34" s="216" customFormat="1" ht="11.25" customHeight="1" x14ac:dyDescent="0.15">
      <c r="A1489" s="53" t="s">
        <v>510</v>
      </c>
      <c r="B1489" s="53"/>
      <c r="C1489" s="54" t="s">
        <v>177</v>
      </c>
      <c r="D1489" s="54">
        <v>2024</v>
      </c>
      <c r="E1489" s="70">
        <v>45412</v>
      </c>
      <c r="F1489" s="54"/>
      <c r="G1489" s="54"/>
      <c r="H1489" s="54"/>
      <c r="I1489" s="54"/>
      <c r="J1489" s="54"/>
      <c r="K1489" s="106"/>
      <c r="L1489" s="24">
        <f>SUM(L1482:L1488)</f>
        <v>250763</v>
      </c>
      <c r="M1489" s="24">
        <f t="shared" ref="M1489:N1489" si="1203">SUM(M1482:M1488)</f>
        <v>39053.600000000006</v>
      </c>
      <c r="N1489" s="24">
        <f t="shared" si="1203"/>
        <v>211709.40000000002</v>
      </c>
      <c r="O1489" s="57">
        <f>IFERROR(N1489/L1489,"")</f>
        <v>0.84426091568532846</v>
      </c>
      <c r="P1489" s="24">
        <f>SUM(P1482:P1488)</f>
        <v>250763</v>
      </c>
      <c r="Q1489" s="24"/>
      <c r="R1489" s="117">
        <f>SUM(R1482:R1488)</f>
        <v>204</v>
      </c>
      <c r="S1489" s="117">
        <f t="shared" ref="S1489:W1489" si="1204">SUM(S1482:S1488)</f>
        <v>10090.700000000001</v>
      </c>
      <c r="T1489" s="117">
        <f t="shared" si="1204"/>
        <v>7668.9900000000007</v>
      </c>
      <c r="U1489" s="117">
        <f t="shared" si="1204"/>
        <v>15695.86</v>
      </c>
      <c r="V1489" s="117">
        <f t="shared" si="1204"/>
        <v>1496</v>
      </c>
      <c r="W1489" s="26">
        <f t="shared" si="1204"/>
        <v>34951.549999999996</v>
      </c>
      <c r="X1489" s="56">
        <f t="shared" si="1199"/>
        <v>49.464215686274514</v>
      </c>
      <c r="Y1489" s="57">
        <f>IFERROR(U1489/P1489,0)</f>
        <v>6.2592407970872899E-2</v>
      </c>
      <c r="Z1489" s="28">
        <f t="shared" si="1200"/>
        <v>215811.45</v>
      </c>
      <c r="AA1489" s="57">
        <f>IFERROR(Z1489/P1489,0)</f>
        <v>0.86061919023141376</v>
      </c>
      <c r="AB1489" s="58">
        <f t="shared" si="1201"/>
        <v>4102.0500000000102</v>
      </c>
      <c r="AC1489" s="57">
        <f t="shared" si="1202"/>
        <v>1.6358274546085294E-2</v>
      </c>
      <c r="AD1489" s="53"/>
      <c r="AE1489" s="53"/>
      <c r="AF1489" s="53"/>
      <c r="AG1489" s="61"/>
      <c r="AH1489" s="53"/>
    </row>
    <row r="1490" spans="1:34" ht="11.25" customHeight="1" x14ac:dyDescent="0.15">
      <c r="A1490" s="130"/>
      <c r="B1490" s="130"/>
      <c r="C1490" s="124"/>
      <c r="D1490" s="124"/>
      <c r="E1490" s="273"/>
      <c r="F1490" s="124"/>
      <c r="G1490" s="124"/>
      <c r="H1490" s="124"/>
      <c r="I1490" s="124"/>
      <c r="J1490" s="124"/>
      <c r="K1490" s="125"/>
      <c r="L1490" s="129"/>
      <c r="M1490" s="129"/>
      <c r="N1490" s="129"/>
      <c r="O1490" s="128"/>
      <c r="P1490" s="129"/>
      <c r="Q1490" s="124"/>
      <c r="R1490" s="117"/>
      <c r="S1490" s="117"/>
      <c r="T1490" s="117"/>
      <c r="U1490" s="117"/>
      <c r="V1490" s="117"/>
      <c r="X1490" s="45"/>
      <c r="Y1490" s="128"/>
      <c r="Z1490" s="126"/>
      <c r="AA1490" s="128"/>
      <c r="AB1490" s="129"/>
      <c r="AC1490" s="160"/>
      <c r="AD1490" s="137"/>
      <c r="AE1490" s="110"/>
      <c r="AF1490" s="110"/>
      <c r="AG1490" s="121"/>
      <c r="AH1490" s="110"/>
    </row>
    <row r="1491" spans="1:34" ht="11.25" customHeight="1" x14ac:dyDescent="0.15">
      <c r="A1491" s="110" t="s">
        <v>196</v>
      </c>
      <c r="B1491" s="110"/>
      <c r="C1491" s="111" t="s">
        <v>175</v>
      </c>
      <c r="D1491" s="111">
        <v>2024</v>
      </c>
      <c r="E1491" s="146">
        <v>45412</v>
      </c>
      <c r="F1491" s="111"/>
      <c r="G1491" s="111">
        <v>81010111</v>
      </c>
      <c r="H1491" s="111">
        <v>4111</v>
      </c>
      <c r="I1491" s="111" t="str">
        <f>MID(G1491,2,1)</f>
        <v>1</v>
      </c>
      <c r="J1491" s="111" t="str">
        <f>IF(I1491="1","Small/Medium","Large")</f>
        <v>Small/Medium</v>
      </c>
      <c r="K1491" s="147" t="s">
        <v>145</v>
      </c>
      <c r="L1491" s="120">
        <v>25571</v>
      </c>
      <c r="M1491" s="120">
        <f>L1491*0.3</f>
        <v>7671.2999999999993</v>
      </c>
      <c r="N1491" s="120">
        <f>L1491-M1491</f>
        <v>17899.7</v>
      </c>
      <c r="O1491" s="119">
        <f>IFERROR(N1491/L1491,"")</f>
        <v>0.70000000000000007</v>
      </c>
      <c r="P1491" s="120">
        <v>25571</v>
      </c>
      <c r="Q1491" s="111">
        <v>3011</v>
      </c>
      <c r="R1491" s="117">
        <v>33</v>
      </c>
      <c r="S1491" s="117">
        <v>1481.04</v>
      </c>
      <c r="T1491" s="117">
        <v>1487.87</v>
      </c>
      <c r="U1491" s="117">
        <v>1285.3900000000001</v>
      </c>
      <c r="V1491" s="117"/>
      <c r="W1491" s="26">
        <f t="shared" ref="W1491" si="1205">SUM(S1491:V1491)</f>
        <v>4254.3</v>
      </c>
      <c r="X1491" s="118">
        <f t="shared" ref="X1491:X1492" si="1206">IFERROR(S1491/R1491,"")</f>
        <v>44.879999999999995</v>
      </c>
      <c r="Y1491" s="119">
        <f>IFERROR(U1491/P1491,0)</f>
        <v>5.0267490516600843E-2</v>
      </c>
      <c r="Z1491" s="117">
        <f t="shared" ref="Z1491:Z1492" si="1207">P1491-W1491</f>
        <v>21316.7</v>
      </c>
      <c r="AA1491" s="119">
        <f>IFERROR(Z1491/P1491,0)</f>
        <v>0.83362793789840051</v>
      </c>
      <c r="AB1491" s="120">
        <f t="shared" ref="AB1491:AB1492" si="1208">M1491-W1491</f>
        <v>3416.9999999999991</v>
      </c>
      <c r="AC1491" s="119">
        <f t="shared" ref="AC1491:AC1492" si="1209">IFERROR(AA1491-O1491,"")</f>
        <v>0.13362793789840044</v>
      </c>
      <c r="AD1491" s="110" t="s">
        <v>780</v>
      </c>
      <c r="AE1491" s="110"/>
      <c r="AF1491" s="110"/>
      <c r="AG1491" s="121"/>
      <c r="AH1491" s="110"/>
    </row>
    <row r="1492" spans="1:34" s="216" customFormat="1" ht="11.25" customHeight="1" x14ac:dyDescent="0.15">
      <c r="A1492" s="53" t="s">
        <v>196</v>
      </c>
      <c r="B1492" s="53"/>
      <c r="C1492" s="54" t="s">
        <v>177</v>
      </c>
      <c r="D1492" s="54">
        <v>2024</v>
      </c>
      <c r="E1492" s="70">
        <v>45412</v>
      </c>
      <c r="F1492" s="54"/>
      <c r="G1492" s="54"/>
      <c r="H1492" s="54"/>
      <c r="I1492" s="54"/>
      <c r="J1492" s="54"/>
      <c r="K1492" s="106"/>
      <c r="L1492" s="24">
        <f>SUM(L1491)</f>
        <v>25571</v>
      </c>
      <c r="M1492" s="24">
        <f t="shared" ref="M1492:N1492" si="1210">SUM(M1490:M1491)</f>
        <v>7671.2999999999993</v>
      </c>
      <c r="N1492" s="24">
        <f t="shared" si="1210"/>
        <v>17899.7</v>
      </c>
      <c r="O1492" s="57">
        <f>IFERROR(N1492/L1492,"")</f>
        <v>0.70000000000000007</v>
      </c>
      <c r="P1492" s="24">
        <f>SUM(P1491)</f>
        <v>25571</v>
      </c>
      <c r="Q1492" s="24"/>
      <c r="R1492" s="117">
        <f>SUM(R1491)</f>
        <v>33</v>
      </c>
      <c r="S1492" s="117">
        <f t="shared" ref="S1492:V1492" si="1211">SUM(S1491)</f>
        <v>1481.04</v>
      </c>
      <c r="T1492" s="117">
        <f t="shared" si="1211"/>
        <v>1487.87</v>
      </c>
      <c r="U1492" s="117">
        <f t="shared" si="1211"/>
        <v>1285.3900000000001</v>
      </c>
      <c r="V1492" s="117">
        <f t="shared" si="1211"/>
        <v>0</v>
      </c>
      <c r="W1492" s="26">
        <f t="shared" ref="W1492" si="1212">SUM(W1491)</f>
        <v>4254.3</v>
      </c>
      <c r="X1492" s="56">
        <f t="shared" si="1206"/>
        <v>44.879999999999995</v>
      </c>
      <c r="Y1492" s="57">
        <f>IFERROR(U1492/P1492,0)</f>
        <v>5.0267490516600843E-2</v>
      </c>
      <c r="Z1492" s="28">
        <f t="shared" si="1207"/>
        <v>21316.7</v>
      </c>
      <c r="AA1492" s="57">
        <f>IFERROR(Z1492/P1492,0)</f>
        <v>0.83362793789840051</v>
      </c>
      <c r="AB1492" s="58">
        <f t="shared" si="1208"/>
        <v>3416.9999999999991</v>
      </c>
      <c r="AC1492" s="57">
        <f t="shared" si="1209"/>
        <v>0.13362793789840044</v>
      </c>
      <c r="AD1492" s="53"/>
      <c r="AE1492" s="53"/>
      <c r="AF1492" s="53"/>
      <c r="AG1492" s="61"/>
      <c r="AH1492" s="53"/>
    </row>
    <row r="1493" spans="1:34" ht="11.25" customHeight="1" x14ac:dyDescent="0.15">
      <c r="A1493" s="130"/>
      <c r="B1493" s="130"/>
      <c r="C1493" s="124"/>
      <c r="D1493" s="124"/>
      <c r="E1493" s="273"/>
      <c r="F1493" s="124"/>
      <c r="G1493" s="124"/>
      <c r="H1493" s="124"/>
      <c r="I1493" s="124"/>
      <c r="J1493" s="124"/>
      <c r="K1493" s="125"/>
      <c r="L1493" s="129"/>
      <c r="M1493" s="129"/>
      <c r="N1493" s="129"/>
      <c r="O1493" s="128"/>
      <c r="P1493" s="129"/>
      <c r="Q1493" s="124"/>
      <c r="R1493" s="117"/>
      <c r="S1493" s="117"/>
      <c r="T1493" s="117"/>
      <c r="U1493" s="117"/>
      <c r="V1493" s="117"/>
      <c r="X1493" s="45"/>
      <c r="Y1493" s="128"/>
      <c r="Z1493" s="126"/>
      <c r="AA1493" s="128"/>
      <c r="AB1493" s="129"/>
      <c r="AC1493" s="160"/>
      <c r="AD1493" s="137"/>
      <c r="AE1493" s="110"/>
      <c r="AF1493" s="110"/>
      <c r="AG1493" s="121"/>
      <c r="AH1493" s="110"/>
    </row>
    <row r="1494" spans="1:34" ht="11.25" customHeight="1" x14ac:dyDescent="0.15">
      <c r="A1494" s="110" t="s">
        <v>174</v>
      </c>
      <c r="B1494" s="110"/>
      <c r="C1494" s="111" t="s">
        <v>201</v>
      </c>
      <c r="D1494" s="111">
        <v>2024</v>
      </c>
      <c r="E1494" s="146">
        <v>45412</v>
      </c>
      <c r="F1494" s="111"/>
      <c r="G1494" s="111" t="s">
        <v>781</v>
      </c>
      <c r="H1494" s="111"/>
      <c r="I1494" s="111"/>
      <c r="J1494" s="111"/>
      <c r="K1494" s="112" t="s">
        <v>782</v>
      </c>
      <c r="L1494" s="120">
        <v>0</v>
      </c>
      <c r="M1494" s="120">
        <v>0</v>
      </c>
      <c r="N1494" s="120"/>
      <c r="O1494" s="119"/>
      <c r="P1494" s="117">
        <v>0</v>
      </c>
      <c r="Q1494" s="111">
        <v>3379</v>
      </c>
      <c r="R1494" s="117">
        <v>11</v>
      </c>
      <c r="S1494" s="117">
        <v>505.01</v>
      </c>
      <c r="T1494" s="117">
        <v>1040.46</v>
      </c>
      <c r="U1494" s="117"/>
      <c r="V1494" s="117"/>
      <c r="W1494" s="26">
        <f t="shared" ref="W1494" si="1213">SUM(S1494:V1494)</f>
        <v>1545.47</v>
      </c>
      <c r="X1494" s="118">
        <f t="shared" ref="X1494:X1495" si="1214">IFERROR(S1494/R1494,"")</f>
        <v>45.91</v>
      </c>
      <c r="Y1494" s="119">
        <f>IFERROR(U1494/P1494,0)</f>
        <v>0</v>
      </c>
      <c r="Z1494" s="117">
        <f t="shared" ref="Z1494:Z1495" si="1215">P1494-W1494</f>
        <v>-1545.47</v>
      </c>
      <c r="AA1494" s="119">
        <f>IFERROR(Z1494/P1494,0)</f>
        <v>0</v>
      </c>
      <c r="AB1494" s="120">
        <f t="shared" ref="AB1494:AB1495" si="1216">M1494-W1494</f>
        <v>-1545.47</v>
      </c>
      <c r="AC1494" s="119">
        <f t="shared" ref="AC1494:AC1495" si="1217">IFERROR(AA1494-O1494,"")</f>
        <v>0</v>
      </c>
      <c r="AD1494" s="110"/>
      <c r="AE1494" s="110"/>
      <c r="AF1494" s="110"/>
      <c r="AG1494" s="121"/>
      <c r="AH1494" s="110"/>
    </row>
    <row r="1495" spans="1:34" s="216" customFormat="1" ht="11.25" customHeight="1" x14ac:dyDescent="0.15">
      <c r="A1495" s="53" t="s">
        <v>174</v>
      </c>
      <c r="B1495" s="53"/>
      <c r="C1495" s="54" t="s">
        <v>177</v>
      </c>
      <c r="D1495" s="54">
        <v>2024</v>
      </c>
      <c r="E1495" s="70">
        <v>45412</v>
      </c>
      <c r="F1495" s="54"/>
      <c r="G1495" s="54"/>
      <c r="H1495" s="54"/>
      <c r="I1495" s="54"/>
      <c r="J1495" s="54"/>
      <c r="K1495" s="106"/>
      <c r="L1495" s="24">
        <v>0</v>
      </c>
      <c r="M1495" s="24">
        <v>0</v>
      </c>
      <c r="N1495" s="24"/>
      <c r="O1495" s="57"/>
      <c r="P1495" s="24">
        <f>SUM(P1494)</f>
        <v>0</v>
      </c>
      <c r="Q1495" s="24"/>
      <c r="R1495" s="117">
        <f>SUM(R1494)</f>
        <v>11</v>
      </c>
      <c r="S1495" s="117">
        <f t="shared" ref="S1495:V1495" si="1218">SUM(S1494)</f>
        <v>505.01</v>
      </c>
      <c r="T1495" s="117">
        <f t="shared" si="1218"/>
        <v>1040.46</v>
      </c>
      <c r="U1495" s="117">
        <f t="shared" si="1218"/>
        <v>0</v>
      </c>
      <c r="V1495" s="117">
        <f t="shared" si="1218"/>
        <v>0</v>
      </c>
      <c r="W1495" s="26">
        <f t="shared" ref="W1495" si="1219">SUM(W1494)</f>
        <v>1545.47</v>
      </c>
      <c r="X1495" s="56">
        <f t="shared" si="1214"/>
        <v>45.91</v>
      </c>
      <c r="Y1495" s="57">
        <f>IFERROR(U1495/P1495,0)</f>
        <v>0</v>
      </c>
      <c r="Z1495" s="28">
        <f t="shared" si="1215"/>
        <v>-1545.47</v>
      </c>
      <c r="AA1495" s="57">
        <f>IFERROR(Z1495/P1495,0)</f>
        <v>0</v>
      </c>
      <c r="AB1495" s="58">
        <f t="shared" si="1216"/>
        <v>-1545.47</v>
      </c>
      <c r="AC1495" s="57">
        <f t="shared" si="1217"/>
        <v>0</v>
      </c>
      <c r="AD1495" s="53"/>
      <c r="AE1495" s="53"/>
      <c r="AF1495" s="53"/>
      <c r="AG1495" s="61"/>
      <c r="AH1495" s="53"/>
    </row>
    <row r="1496" spans="1:34" ht="11.25" customHeight="1" x14ac:dyDescent="0.15">
      <c r="A1496" s="130"/>
      <c r="B1496" s="130"/>
      <c r="C1496" s="124"/>
      <c r="D1496" s="124"/>
      <c r="E1496" s="273"/>
      <c r="F1496" s="124"/>
      <c r="G1496" s="124"/>
      <c r="H1496" s="124"/>
      <c r="I1496" s="124"/>
      <c r="J1496" s="124"/>
      <c r="K1496" s="125"/>
      <c r="L1496" s="129"/>
      <c r="M1496" s="129"/>
      <c r="N1496" s="129"/>
      <c r="O1496" s="275"/>
      <c r="P1496" s="129"/>
      <c r="Q1496" s="124"/>
      <c r="R1496" s="117"/>
      <c r="S1496" s="117"/>
      <c r="T1496" s="117"/>
      <c r="U1496" s="117"/>
      <c r="V1496" s="117"/>
      <c r="X1496" s="45"/>
      <c r="Y1496" s="128"/>
      <c r="Z1496" s="126"/>
      <c r="AA1496" s="128"/>
      <c r="AB1496" s="129"/>
      <c r="AC1496" s="160"/>
      <c r="AD1496" s="137"/>
      <c r="AE1496" s="110"/>
      <c r="AF1496" s="110"/>
      <c r="AG1496" s="121"/>
      <c r="AH1496" s="110"/>
    </row>
    <row r="1497" spans="1:34" ht="11.25" customHeight="1" x14ac:dyDescent="0.15">
      <c r="A1497" s="110" t="s">
        <v>125</v>
      </c>
      <c r="B1497" s="110"/>
      <c r="C1497" s="111" t="s">
        <v>201</v>
      </c>
      <c r="D1497" s="111">
        <v>2024</v>
      </c>
      <c r="E1497" s="146">
        <v>45412</v>
      </c>
      <c r="F1497" s="111"/>
      <c r="G1497" s="111" t="s">
        <v>781</v>
      </c>
      <c r="H1497" s="111"/>
      <c r="I1497" s="111"/>
      <c r="J1497" s="111"/>
      <c r="K1497" s="112" t="s">
        <v>783</v>
      </c>
      <c r="L1497" s="120">
        <v>0</v>
      </c>
      <c r="M1497" s="120">
        <v>0</v>
      </c>
      <c r="N1497" s="120"/>
      <c r="O1497" s="163"/>
      <c r="P1497" s="117">
        <v>0</v>
      </c>
      <c r="Q1497" s="111">
        <v>3380</v>
      </c>
      <c r="R1497" s="117">
        <v>4</v>
      </c>
      <c r="S1497" s="117">
        <v>183.63</v>
      </c>
      <c r="T1497" s="117">
        <v>841.94</v>
      </c>
      <c r="U1497" s="117"/>
      <c r="V1497" s="117"/>
      <c r="W1497" s="26">
        <f t="shared" ref="W1497" si="1220">SUM(S1497:V1497)</f>
        <v>1025.5700000000002</v>
      </c>
      <c r="X1497" s="118">
        <f t="shared" ref="X1497:X1498" si="1221">IFERROR(S1497/R1497,"")</f>
        <v>45.907499999999999</v>
      </c>
      <c r="Y1497" s="119">
        <f>IFERROR(U1497/P1497,0)</f>
        <v>0</v>
      </c>
      <c r="Z1497" s="117">
        <f t="shared" ref="Z1497:Z1498" si="1222">P1497-W1497</f>
        <v>-1025.5700000000002</v>
      </c>
      <c r="AA1497" s="119">
        <f>IFERROR(Z1497/P1497,0)</f>
        <v>0</v>
      </c>
      <c r="AB1497" s="120">
        <f t="shared" ref="AB1497:AB1498" si="1223">M1497-W1497</f>
        <v>-1025.5700000000002</v>
      </c>
      <c r="AC1497" s="119">
        <f t="shared" ref="AC1497:AC1498" si="1224">IFERROR(AA1497-O1497,"")</f>
        <v>0</v>
      </c>
      <c r="AD1497" s="110"/>
      <c r="AE1497" s="110"/>
      <c r="AF1497" s="110"/>
      <c r="AG1497" s="121"/>
      <c r="AH1497" s="110"/>
    </row>
    <row r="1498" spans="1:34" s="216" customFormat="1" ht="11.25" customHeight="1" x14ac:dyDescent="0.15">
      <c r="A1498" s="53" t="s">
        <v>125</v>
      </c>
      <c r="B1498" s="53"/>
      <c r="C1498" s="54" t="s">
        <v>177</v>
      </c>
      <c r="D1498" s="54">
        <v>2024</v>
      </c>
      <c r="E1498" s="70">
        <v>45412</v>
      </c>
      <c r="F1498" s="54"/>
      <c r="G1498" s="54"/>
      <c r="H1498" s="54"/>
      <c r="I1498" s="54"/>
      <c r="J1498" s="54"/>
      <c r="K1498" s="106"/>
      <c r="L1498" s="24">
        <f>SUM(L1497)</f>
        <v>0</v>
      </c>
      <c r="M1498" s="24">
        <f>SUM(M1497)</f>
        <v>0</v>
      </c>
      <c r="N1498" s="24"/>
      <c r="O1498" s="57"/>
      <c r="P1498" s="24">
        <f>SUM(P1497)</f>
        <v>0</v>
      </c>
      <c r="Q1498" s="24"/>
      <c r="R1498" s="117">
        <f>SUM(R1497)</f>
        <v>4</v>
      </c>
      <c r="S1498" s="117">
        <f t="shared" ref="S1498:V1498" si="1225">SUM(S1497)</f>
        <v>183.63</v>
      </c>
      <c r="T1498" s="117">
        <f t="shared" si="1225"/>
        <v>841.94</v>
      </c>
      <c r="U1498" s="117">
        <f t="shared" si="1225"/>
        <v>0</v>
      </c>
      <c r="V1498" s="117">
        <f t="shared" si="1225"/>
        <v>0</v>
      </c>
      <c r="W1498" s="26">
        <f t="shared" ref="W1498" si="1226">SUM(W1497)</f>
        <v>1025.5700000000002</v>
      </c>
      <c r="X1498" s="56">
        <f t="shared" si="1221"/>
        <v>45.907499999999999</v>
      </c>
      <c r="Y1498" s="57">
        <f>IFERROR(U1498/P1498,0)</f>
        <v>0</v>
      </c>
      <c r="Z1498" s="28">
        <f t="shared" si="1222"/>
        <v>-1025.5700000000002</v>
      </c>
      <c r="AA1498" s="57">
        <f>IFERROR(Z1498/P1498,0)</f>
        <v>0</v>
      </c>
      <c r="AB1498" s="58">
        <f t="shared" si="1223"/>
        <v>-1025.5700000000002</v>
      </c>
      <c r="AC1498" s="57">
        <f t="shared" si="1224"/>
        <v>0</v>
      </c>
      <c r="AD1498" s="53"/>
      <c r="AE1498" s="53"/>
      <c r="AF1498" s="53"/>
      <c r="AG1498" s="61"/>
      <c r="AH1498" s="53"/>
    </row>
    <row r="1499" spans="1:34" ht="11.25" customHeight="1" x14ac:dyDescent="0.15">
      <c r="A1499" s="130"/>
      <c r="B1499" s="130"/>
      <c r="C1499" s="124"/>
      <c r="D1499" s="124"/>
      <c r="E1499" s="273"/>
      <c r="F1499" s="124"/>
      <c r="G1499" s="124"/>
      <c r="H1499" s="124"/>
      <c r="I1499" s="124"/>
      <c r="J1499" s="124"/>
      <c r="K1499" s="125"/>
      <c r="L1499" s="129"/>
      <c r="M1499" s="129"/>
      <c r="N1499" s="129"/>
      <c r="O1499" s="128"/>
      <c r="P1499" s="129"/>
      <c r="Q1499" s="124"/>
      <c r="R1499" s="117"/>
      <c r="S1499" s="117"/>
      <c r="T1499" s="117"/>
      <c r="U1499" s="117"/>
      <c r="V1499" s="117"/>
      <c r="X1499" s="45"/>
      <c r="Y1499" s="128"/>
      <c r="Z1499" s="126"/>
      <c r="AA1499" s="128"/>
      <c r="AB1499" s="129"/>
      <c r="AC1499" s="160"/>
      <c r="AD1499" s="137"/>
      <c r="AE1499" s="110"/>
      <c r="AF1499" s="110"/>
      <c r="AG1499" s="121"/>
      <c r="AH1499" s="110"/>
    </row>
    <row r="1500" spans="1:34" ht="11.25" customHeight="1" x14ac:dyDescent="0.15">
      <c r="A1500" s="110" t="s">
        <v>784</v>
      </c>
      <c r="B1500" s="110"/>
      <c r="C1500" s="111" t="s">
        <v>37</v>
      </c>
      <c r="D1500" s="111">
        <v>2024</v>
      </c>
      <c r="E1500" s="146">
        <v>45412</v>
      </c>
      <c r="F1500" s="111"/>
      <c r="G1500" s="111">
        <v>12510112</v>
      </c>
      <c r="H1500" s="111"/>
      <c r="I1500" s="111"/>
      <c r="J1500" s="111"/>
      <c r="K1500" s="112" t="s">
        <v>578</v>
      </c>
      <c r="L1500" s="117">
        <v>144337</v>
      </c>
      <c r="M1500" s="120">
        <v>31392.37</v>
      </c>
      <c r="N1500" s="120">
        <f t="shared" ref="N1500" si="1227">L1500-M1500</f>
        <v>112944.63</v>
      </c>
      <c r="O1500" s="119">
        <f t="shared" ref="O1500" si="1228">IFERROR(N1500/L1500,"")</f>
        <v>0.7825064259337523</v>
      </c>
      <c r="P1500" s="117">
        <v>144337</v>
      </c>
      <c r="Q1500" s="111">
        <v>2306</v>
      </c>
      <c r="R1500" s="117">
        <v>28</v>
      </c>
      <c r="S1500" s="117">
        <v>1086.49</v>
      </c>
      <c r="T1500" s="117"/>
      <c r="U1500" s="117">
        <v>32376.6</v>
      </c>
      <c r="V1500" s="117"/>
      <c r="W1500" s="26">
        <f t="shared" ref="W1500" si="1229">SUM(S1500:V1500)</f>
        <v>33463.089999999997</v>
      </c>
      <c r="X1500" s="118">
        <f t="shared" ref="X1500" si="1230">IFERROR(S1500/R1500,"")</f>
        <v>38.803214285714283</v>
      </c>
      <c r="Y1500" s="119">
        <f t="shared" ref="Y1500" si="1231">IFERROR(U1500/P1500,0)</f>
        <v>0.22431254633254119</v>
      </c>
      <c r="Z1500" s="117">
        <f t="shared" ref="Z1500" si="1232">P1500-W1500</f>
        <v>110873.91</v>
      </c>
      <c r="AA1500" s="119">
        <f t="shared" ref="AA1500" si="1233">IFERROR(Z1500/P1500,0)</f>
        <v>0.76816000055425848</v>
      </c>
      <c r="AB1500" s="120">
        <f t="shared" ref="AB1500" si="1234">M1500-W1500</f>
        <v>-2070.7199999999975</v>
      </c>
      <c r="AC1500" s="119">
        <f t="shared" ref="AC1500" si="1235">IFERROR(AA1500-O1500,"")</f>
        <v>-1.4346425379493821E-2</v>
      </c>
      <c r="AD1500" s="110" t="s">
        <v>785</v>
      </c>
      <c r="AE1500" s="110"/>
      <c r="AF1500" s="110"/>
      <c r="AG1500" s="121"/>
      <c r="AH1500" s="110"/>
    </row>
    <row r="1501" spans="1:34" ht="11.25" customHeight="1" x14ac:dyDescent="0.15">
      <c r="A1501" s="110" t="s">
        <v>784</v>
      </c>
      <c r="B1501" s="110"/>
      <c r="C1501" s="111" t="s">
        <v>37</v>
      </c>
      <c r="D1501" s="111">
        <v>2024</v>
      </c>
      <c r="E1501" s="146">
        <v>45412</v>
      </c>
      <c r="F1501" s="111"/>
      <c r="G1501" s="111">
        <v>21001011</v>
      </c>
      <c r="H1501" s="111"/>
      <c r="I1501" s="111"/>
      <c r="J1501" s="111"/>
      <c r="K1501" s="112" t="s">
        <v>685</v>
      </c>
      <c r="L1501" s="117">
        <v>12470</v>
      </c>
      <c r="M1501" s="120">
        <v>3765.04</v>
      </c>
      <c r="N1501" s="120">
        <f t="shared" ref="N1501:N1505" si="1236">L1501-M1501</f>
        <v>8704.9599999999991</v>
      </c>
      <c r="O1501" s="119">
        <f t="shared" ref="O1501:O1506" si="1237">IFERROR(N1501/L1501,"")</f>
        <v>0.69807217321571768</v>
      </c>
      <c r="P1501" s="117">
        <v>12470</v>
      </c>
      <c r="Q1501" s="111">
        <v>3012</v>
      </c>
      <c r="R1501" s="117"/>
      <c r="S1501" s="117"/>
      <c r="T1501" s="117"/>
      <c r="U1501" s="117">
        <v>4096.2</v>
      </c>
      <c r="V1501" s="117"/>
      <c r="W1501" s="26">
        <f t="shared" ref="W1501:W1505" si="1238">SUM(S1501:V1501)</f>
        <v>4096.2</v>
      </c>
      <c r="X1501" s="118" t="str">
        <f t="shared" ref="X1501:X1504" si="1239">IFERROR(S1501/R1501,"")</f>
        <v/>
      </c>
      <c r="Y1501" s="119">
        <f t="shared" ref="Y1501:Y1504" si="1240">IFERROR(U1501/P1501,0)</f>
        <v>0.32848436246992779</v>
      </c>
      <c r="Z1501" s="117">
        <f t="shared" ref="Z1501:Z1504" si="1241">P1501-W1501</f>
        <v>8373.7999999999993</v>
      </c>
      <c r="AA1501" s="119">
        <f t="shared" ref="AA1501:AA1504" si="1242">IFERROR(Z1501/P1501,0)</f>
        <v>0.67151563753007215</v>
      </c>
      <c r="AB1501" s="120">
        <f t="shared" ref="AB1501:AB1504" si="1243">M1501-W1501</f>
        <v>-331.15999999999985</v>
      </c>
      <c r="AC1501" s="119">
        <f t="shared" ref="AC1501:AC1504" si="1244">IFERROR(AA1501-O1501,"")</f>
        <v>-2.6556535685645533E-2</v>
      </c>
      <c r="AD1501" s="110" t="s">
        <v>785</v>
      </c>
      <c r="AE1501" s="110"/>
      <c r="AF1501" s="110"/>
      <c r="AG1501" s="121"/>
      <c r="AH1501" s="110"/>
    </row>
    <row r="1502" spans="1:34" ht="11.25" customHeight="1" x14ac:dyDescent="0.15">
      <c r="A1502" s="110" t="s">
        <v>784</v>
      </c>
      <c r="B1502" s="110"/>
      <c r="C1502" s="111" t="s">
        <v>37</v>
      </c>
      <c r="D1502" s="111">
        <v>2024</v>
      </c>
      <c r="E1502" s="146">
        <v>45412</v>
      </c>
      <c r="F1502" s="111"/>
      <c r="G1502" s="111">
        <v>21010011</v>
      </c>
      <c r="H1502" s="111"/>
      <c r="I1502" s="111"/>
      <c r="J1502" s="111"/>
      <c r="K1502" s="112" t="s">
        <v>439</v>
      </c>
      <c r="L1502" s="117">
        <v>19005</v>
      </c>
      <c r="M1502" s="120">
        <v>6283.7</v>
      </c>
      <c r="N1502" s="120">
        <f t="shared" si="1236"/>
        <v>12721.3</v>
      </c>
      <c r="O1502" s="119">
        <f t="shared" si="1237"/>
        <v>0.66936595632728224</v>
      </c>
      <c r="P1502" s="117">
        <v>19005</v>
      </c>
      <c r="Q1502" s="111">
        <v>3013</v>
      </c>
      <c r="R1502" s="117"/>
      <c r="S1502" s="117"/>
      <c r="T1502" s="117"/>
      <c r="U1502" s="117">
        <v>6998.16</v>
      </c>
      <c r="V1502" s="117"/>
      <c r="W1502" s="26">
        <f t="shared" si="1238"/>
        <v>6998.16</v>
      </c>
      <c r="X1502" s="118" t="str">
        <f t="shared" si="1239"/>
        <v/>
      </c>
      <c r="Y1502" s="119">
        <f t="shared" si="1240"/>
        <v>0.36822730860299918</v>
      </c>
      <c r="Z1502" s="117">
        <f t="shared" si="1241"/>
        <v>12006.84</v>
      </c>
      <c r="AA1502" s="119">
        <f t="shared" si="1242"/>
        <v>0.63177269139700076</v>
      </c>
      <c r="AB1502" s="120">
        <f t="shared" si="1243"/>
        <v>-714.46</v>
      </c>
      <c r="AC1502" s="119">
        <f t="shared" si="1244"/>
        <v>-3.7593264930281478E-2</v>
      </c>
      <c r="AD1502" s="110" t="s">
        <v>785</v>
      </c>
      <c r="AE1502" s="110"/>
      <c r="AF1502" s="110"/>
      <c r="AG1502" s="121"/>
      <c r="AH1502" s="110"/>
    </row>
    <row r="1503" spans="1:34" ht="11.25" customHeight="1" x14ac:dyDescent="0.15">
      <c r="A1503" s="110" t="s">
        <v>784</v>
      </c>
      <c r="B1503" s="110"/>
      <c r="C1503" s="111" t="s">
        <v>37</v>
      </c>
      <c r="D1503" s="111">
        <v>2024</v>
      </c>
      <c r="E1503" s="146">
        <v>45412</v>
      </c>
      <c r="F1503" s="111"/>
      <c r="G1503" s="111">
        <v>21050011</v>
      </c>
      <c r="H1503" s="111"/>
      <c r="I1503" s="111"/>
      <c r="J1503" s="111"/>
      <c r="K1503" s="112" t="s">
        <v>582</v>
      </c>
      <c r="L1503" s="117">
        <v>27413</v>
      </c>
      <c r="M1503" s="120">
        <v>8254.11</v>
      </c>
      <c r="N1503" s="120">
        <f t="shared" si="1236"/>
        <v>19158.89</v>
      </c>
      <c r="O1503" s="119">
        <f t="shared" si="1237"/>
        <v>0.69889796811731653</v>
      </c>
      <c r="P1503" s="117">
        <v>27413</v>
      </c>
      <c r="Q1503" s="111">
        <v>3014</v>
      </c>
      <c r="R1503" s="117"/>
      <c r="S1503" s="117"/>
      <c r="T1503" s="117"/>
      <c r="U1503" s="117">
        <v>8224.02</v>
      </c>
      <c r="V1503" s="117"/>
      <c r="W1503" s="26">
        <f t="shared" si="1238"/>
        <v>8224.02</v>
      </c>
      <c r="X1503" s="118" t="str">
        <f t="shared" si="1239"/>
        <v/>
      </c>
      <c r="Y1503" s="119">
        <f t="shared" si="1240"/>
        <v>0.30000437748513481</v>
      </c>
      <c r="Z1503" s="117">
        <f t="shared" si="1241"/>
        <v>19188.98</v>
      </c>
      <c r="AA1503" s="119">
        <f t="shared" si="1242"/>
        <v>0.69999562251486525</v>
      </c>
      <c r="AB1503" s="120">
        <f t="shared" si="1243"/>
        <v>30.090000000000146</v>
      </c>
      <c r="AC1503" s="119">
        <f t="shared" si="1244"/>
        <v>1.0976543975487196E-3</v>
      </c>
      <c r="AD1503" s="110" t="s">
        <v>785</v>
      </c>
      <c r="AE1503" s="110"/>
      <c r="AF1503" s="110"/>
      <c r="AG1503" s="121"/>
      <c r="AH1503" s="110"/>
    </row>
    <row r="1504" spans="1:34" ht="11.25" customHeight="1" x14ac:dyDescent="0.15">
      <c r="A1504" s="110" t="s">
        <v>784</v>
      </c>
      <c r="B1504" s="110"/>
      <c r="C1504" s="111" t="s">
        <v>37</v>
      </c>
      <c r="D1504" s="111">
        <v>2024</v>
      </c>
      <c r="E1504" s="146">
        <v>45412</v>
      </c>
      <c r="F1504" s="111"/>
      <c r="G1504" s="111">
        <v>13000000</v>
      </c>
      <c r="H1504" s="111"/>
      <c r="I1504" s="111"/>
      <c r="J1504" s="111"/>
      <c r="K1504" s="112" t="s">
        <v>580</v>
      </c>
      <c r="L1504" s="117">
        <v>88939</v>
      </c>
      <c r="M1504" s="120">
        <v>22192</v>
      </c>
      <c r="N1504" s="120">
        <f t="shared" si="1236"/>
        <v>66747</v>
      </c>
      <c r="O1504" s="119">
        <f t="shared" si="1237"/>
        <v>0.75048066652424694</v>
      </c>
      <c r="P1504" s="117">
        <v>88939</v>
      </c>
      <c r="Q1504" s="111">
        <v>2400</v>
      </c>
      <c r="R1504" s="117">
        <f>32.5/2</f>
        <v>16.25</v>
      </c>
      <c r="S1504" s="117">
        <f>1268.8/2</f>
        <v>634.4</v>
      </c>
      <c r="T1504" s="117"/>
      <c r="U1504" s="117">
        <f>43279.75/2</f>
        <v>21639.875</v>
      </c>
      <c r="V1504" s="117"/>
      <c r="W1504" s="26">
        <f t="shared" si="1238"/>
        <v>22274.275000000001</v>
      </c>
      <c r="X1504" s="118">
        <f t="shared" si="1239"/>
        <v>39.04</v>
      </c>
      <c r="Y1504" s="119">
        <f t="shared" si="1240"/>
        <v>0.24331142693306648</v>
      </c>
      <c r="Z1504" s="117">
        <f t="shared" si="1241"/>
        <v>66664.725000000006</v>
      </c>
      <c r="AA1504" s="119">
        <f t="shared" si="1242"/>
        <v>0.74955559428372265</v>
      </c>
      <c r="AB1504" s="120">
        <f t="shared" si="1243"/>
        <v>-82.275000000001455</v>
      </c>
      <c r="AC1504" s="119">
        <f t="shared" si="1244"/>
        <v>-9.2507224052429393E-4</v>
      </c>
      <c r="AD1504" s="110" t="s">
        <v>785</v>
      </c>
      <c r="AE1504" s="110"/>
      <c r="AF1504" s="110"/>
      <c r="AG1504" s="121"/>
      <c r="AH1504" s="110"/>
    </row>
    <row r="1505" spans="1:34" ht="11.25" customHeight="1" x14ac:dyDescent="0.15">
      <c r="A1505" s="110" t="s">
        <v>784</v>
      </c>
      <c r="B1505" s="110"/>
      <c r="C1505" s="111" t="s">
        <v>37</v>
      </c>
      <c r="D1505" s="111">
        <v>2024</v>
      </c>
      <c r="E1505" s="146">
        <v>45412</v>
      </c>
      <c r="F1505" s="111"/>
      <c r="G1505" s="111">
        <v>31080020</v>
      </c>
      <c r="H1505" s="111"/>
      <c r="I1505" s="111"/>
      <c r="J1505" s="111"/>
      <c r="K1505" s="112" t="s">
        <v>584</v>
      </c>
      <c r="L1505" s="117">
        <v>43159</v>
      </c>
      <c r="M1505" s="120">
        <v>15082.59</v>
      </c>
      <c r="N1505" s="120">
        <f t="shared" si="1236"/>
        <v>28076.41</v>
      </c>
      <c r="O1505" s="119">
        <f t="shared" si="1237"/>
        <v>0.65053430338979124</v>
      </c>
      <c r="P1505" s="117">
        <v>43159</v>
      </c>
      <c r="Q1505" s="111">
        <v>3015</v>
      </c>
      <c r="R1505" s="117">
        <v>19</v>
      </c>
      <c r="S1505" s="117">
        <v>741.76</v>
      </c>
      <c r="T1505" s="117"/>
      <c r="U1505" s="117">
        <v>16076.74</v>
      </c>
      <c r="V1505" s="117"/>
      <c r="W1505" s="26">
        <f t="shared" si="1238"/>
        <v>16818.5</v>
      </c>
      <c r="X1505" s="118">
        <f t="shared" ref="X1505:X1513" si="1245">IFERROR(S1505/R1505,"")</f>
        <v>39.04</v>
      </c>
      <c r="Y1505" s="119">
        <f t="shared" ref="Y1505:Y1513" si="1246">IFERROR(U1505/P1505,0)</f>
        <v>0.37250028962672904</v>
      </c>
      <c r="Z1505" s="117">
        <f t="shared" ref="Z1505:Z1513" si="1247">P1505-W1505</f>
        <v>26340.5</v>
      </c>
      <c r="AA1505" s="119">
        <f t="shared" ref="AA1505:AA1513" si="1248">IFERROR(Z1505/P1505,0)</f>
        <v>0.61031302856878056</v>
      </c>
      <c r="AB1505" s="120">
        <f t="shared" ref="AB1505:AB1513" si="1249">M1505-W1505</f>
        <v>-1735.9099999999999</v>
      </c>
      <c r="AC1505" s="119">
        <f t="shared" ref="AC1505:AC1513" si="1250">IFERROR(AA1505-O1505,"")</f>
        <v>-4.0221274821010677E-2</v>
      </c>
      <c r="AD1505" s="110" t="s">
        <v>785</v>
      </c>
      <c r="AE1505" s="110"/>
      <c r="AF1505" s="110"/>
      <c r="AG1505" s="121"/>
      <c r="AH1505" s="110"/>
    </row>
    <row r="1506" spans="1:34" s="216" customFormat="1" ht="11.25" customHeight="1" x14ac:dyDescent="0.15">
      <c r="A1506" s="53" t="s">
        <v>784</v>
      </c>
      <c r="B1506" s="53"/>
      <c r="C1506" s="54" t="s">
        <v>360</v>
      </c>
      <c r="D1506" s="54">
        <v>2024</v>
      </c>
      <c r="E1506" s="70">
        <v>45412</v>
      </c>
      <c r="F1506" s="54"/>
      <c r="G1506" s="54"/>
      <c r="H1506" s="54"/>
      <c r="I1506" s="54"/>
      <c r="J1506" s="54"/>
      <c r="K1506" s="106"/>
      <c r="L1506" s="24">
        <f>SUM(L1500:L1505)</f>
        <v>335323</v>
      </c>
      <c r="M1506" s="24">
        <f t="shared" ref="M1506" si="1251">SUM(M1500:M1505)</f>
        <v>86969.81</v>
      </c>
      <c r="N1506" s="24">
        <f>SUM(N1500:N1505)</f>
        <v>248353.18999999997</v>
      </c>
      <c r="O1506" s="57">
        <f t="shared" si="1237"/>
        <v>0.7406386976139423</v>
      </c>
      <c r="P1506" s="24">
        <f>SUM(P1500:P1505)</f>
        <v>335323</v>
      </c>
      <c r="Q1506" s="24"/>
      <c r="R1506" s="117">
        <f>SUM(R1500:R1505)</f>
        <v>63.25</v>
      </c>
      <c r="S1506" s="117">
        <f t="shared" ref="S1506:V1506" si="1252">SUM(S1500:S1505)</f>
        <v>2462.6499999999996</v>
      </c>
      <c r="T1506" s="117">
        <f t="shared" si="1252"/>
        <v>0</v>
      </c>
      <c r="U1506" s="117">
        <f t="shared" si="1252"/>
        <v>89411.595000000001</v>
      </c>
      <c r="V1506" s="117">
        <f t="shared" si="1252"/>
        <v>0</v>
      </c>
      <c r="W1506" s="26">
        <f>SUM(W1500:W1505)</f>
        <v>91874.244999999995</v>
      </c>
      <c r="X1506" s="56">
        <f t="shared" si="1245"/>
        <v>38.935177865612644</v>
      </c>
      <c r="Y1506" s="57">
        <f t="shared" si="1246"/>
        <v>0.26664319178821616</v>
      </c>
      <c r="Z1506" s="28">
        <f>P1506-W1506</f>
        <v>243448.755</v>
      </c>
      <c r="AA1506" s="57">
        <f>IFERROR(Z1506/P1506,0)</f>
        <v>0.72601269522221856</v>
      </c>
      <c r="AB1506" s="58">
        <f t="shared" si="1249"/>
        <v>-4904.4349999999977</v>
      </c>
      <c r="AC1506" s="57">
        <f t="shared" si="1250"/>
        <v>-1.4626002391723736E-2</v>
      </c>
      <c r="AD1506" s="53"/>
      <c r="AE1506" s="53"/>
      <c r="AF1506" s="53"/>
      <c r="AG1506" s="61"/>
      <c r="AH1506" s="53"/>
    </row>
    <row r="1507" spans="1:34" ht="11.25" customHeight="1" x14ac:dyDescent="0.15">
      <c r="A1507" s="110" t="s">
        <v>784</v>
      </c>
      <c r="B1507" s="110"/>
      <c r="C1507" s="111" t="s">
        <v>47</v>
      </c>
      <c r="D1507" s="111">
        <v>2024</v>
      </c>
      <c r="E1507" s="146">
        <v>45412</v>
      </c>
      <c r="F1507" s="111"/>
      <c r="G1507" s="111">
        <v>50000010</v>
      </c>
      <c r="H1507" s="111"/>
      <c r="I1507" s="111"/>
      <c r="J1507" s="111"/>
      <c r="K1507" s="112" t="s">
        <v>740</v>
      </c>
      <c r="L1507" s="117">
        <v>36858</v>
      </c>
      <c r="M1507" s="120">
        <v>10272.799999999999</v>
      </c>
      <c r="N1507" s="120">
        <f t="shared" ref="N1507" si="1253">L1507-M1507</f>
        <v>26585.200000000001</v>
      </c>
      <c r="O1507" s="119">
        <f t="shared" ref="O1507" si="1254">IFERROR(N1507/L1507,"")</f>
        <v>0.72128710185034461</v>
      </c>
      <c r="P1507" s="117">
        <v>36858</v>
      </c>
      <c r="Q1507" s="111">
        <v>3018</v>
      </c>
      <c r="R1507" s="117">
        <v>68.5</v>
      </c>
      <c r="S1507" s="117">
        <v>3144.86</v>
      </c>
      <c r="T1507" s="117">
        <v>3812.85</v>
      </c>
      <c r="U1507" s="117"/>
      <c r="V1507" s="117"/>
      <c r="W1507" s="26">
        <f t="shared" ref="W1507:W1511" si="1255">SUM(S1507:V1507)</f>
        <v>6957.71</v>
      </c>
      <c r="X1507" s="118">
        <f t="shared" si="1245"/>
        <v>45.910364963503653</v>
      </c>
      <c r="Y1507" s="119">
        <f t="shared" si="1246"/>
        <v>0</v>
      </c>
      <c r="Z1507" s="117">
        <f t="shared" si="1247"/>
        <v>29900.29</v>
      </c>
      <c r="AA1507" s="119">
        <f t="shared" si="1248"/>
        <v>0.81122931249660868</v>
      </c>
      <c r="AB1507" s="120">
        <f t="shared" si="1249"/>
        <v>3315.0899999999992</v>
      </c>
      <c r="AC1507" s="119">
        <f t="shared" si="1250"/>
        <v>8.9942210646264065E-2</v>
      </c>
      <c r="AD1507" s="110"/>
      <c r="AE1507" s="110"/>
      <c r="AF1507" s="110"/>
      <c r="AG1507" s="121"/>
      <c r="AH1507" s="110"/>
    </row>
    <row r="1508" spans="1:34" ht="11.25" customHeight="1" x14ac:dyDescent="0.15">
      <c r="A1508" s="110" t="s">
        <v>784</v>
      </c>
      <c r="B1508" s="110"/>
      <c r="C1508" s="111" t="s">
        <v>248</v>
      </c>
      <c r="D1508" s="111">
        <v>2024</v>
      </c>
      <c r="E1508" s="146">
        <v>45412</v>
      </c>
      <c r="F1508" s="111"/>
      <c r="G1508" s="111">
        <v>96000000</v>
      </c>
      <c r="H1508" s="111"/>
      <c r="I1508" s="111"/>
      <c r="J1508" s="111"/>
      <c r="K1508" s="112" t="s">
        <v>250</v>
      </c>
      <c r="L1508" s="117">
        <v>25347</v>
      </c>
      <c r="M1508" s="120">
        <v>12673.5</v>
      </c>
      <c r="N1508" s="120">
        <f t="shared" ref="N1508:N1512" si="1256">L1508-M1508</f>
        <v>12673.5</v>
      </c>
      <c r="O1508" s="119">
        <f t="shared" ref="O1508:O1513" si="1257">IFERROR(N1508/L1508,"")</f>
        <v>0.5</v>
      </c>
      <c r="P1508" s="117">
        <v>25347</v>
      </c>
      <c r="Q1508" s="111">
        <v>3019</v>
      </c>
      <c r="R1508" s="117">
        <v>8</v>
      </c>
      <c r="S1508" s="117">
        <v>452.4</v>
      </c>
      <c r="T1508" s="117"/>
      <c r="U1508" s="117"/>
      <c r="V1508" s="117"/>
      <c r="W1508" s="26">
        <f t="shared" si="1255"/>
        <v>452.4</v>
      </c>
      <c r="X1508" s="118">
        <f t="shared" si="1245"/>
        <v>56.55</v>
      </c>
      <c r="Y1508" s="119">
        <f t="shared" si="1246"/>
        <v>0</v>
      </c>
      <c r="Z1508" s="117">
        <f t="shared" si="1247"/>
        <v>24894.6</v>
      </c>
      <c r="AA1508" s="119">
        <f t="shared" si="1248"/>
        <v>0.98215173393300981</v>
      </c>
      <c r="AB1508" s="120">
        <f t="shared" si="1249"/>
        <v>12221.1</v>
      </c>
      <c r="AC1508" s="119">
        <f t="shared" si="1250"/>
        <v>0.48215173393300981</v>
      </c>
      <c r="AD1508" s="110"/>
      <c r="AE1508" s="110"/>
      <c r="AF1508" s="110"/>
      <c r="AG1508" s="121"/>
      <c r="AH1508" s="110"/>
    </row>
    <row r="1509" spans="1:34" ht="11.25" customHeight="1" x14ac:dyDescent="0.15">
      <c r="A1509" s="110" t="s">
        <v>784</v>
      </c>
      <c r="B1509" s="110"/>
      <c r="C1509" s="111" t="s">
        <v>55</v>
      </c>
      <c r="D1509" s="111">
        <v>2024</v>
      </c>
      <c r="E1509" s="146">
        <v>45412</v>
      </c>
      <c r="F1509" s="111"/>
      <c r="G1509" s="111" t="s">
        <v>56</v>
      </c>
      <c r="H1509" s="111"/>
      <c r="I1509" s="111"/>
      <c r="J1509" s="111"/>
      <c r="K1509" s="112" t="s">
        <v>71</v>
      </c>
      <c r="L1509" s="117">
        <v>15708</v>
      </c>
      <c r="M1509" s="120">
        <v>7853.75</v>
      </c>
      <c r="N1509" s="120">
        <f t="shared" si="1256"/>
        <v>7854.25</v>
      </c>
      <c r="O1509" s="119">
        <f t="shared" si="1257"/>
        <v>0.5000159154570919</v>
      </c>
      <c r="P1509" s="117">
        <v>15708</v>
      </c>
      <c r="Q1509" s="111">
        <v>3023</v>
      </c>
      <c r="R1509" s="117">
        <v>24.5</v>
      </c>
      <c r="S1509" s="117">
        <v>1041.25</v>
      </c>
      <c r="T1509" s="117"/>
      <c r="U1509" s="117"/>
      <c r="V1509" s="117">
        <v>9830.11</v>
      </c>
      <c r="W1509" s="26">
        <f t="shared" si="1255"/>
        <v>10871.36</v>
      </c>
      <c r="X1509" s="118">
        <f t="shared" si="1245"/>
        <v>42.5</v>
      </c>
      <c r="Y1509" s="119">
        <f t="shared" si="1246"/>
        <v>0</v>
      </c>
      <c r="Z1509" s="117">
        <f t="shared" si="1247"/>
        <v>4836.6399999999994</v>
      </c>
      <c r="AA1509" s="119">
        <f t="shared" si="1248"/>
        <v>0.30790934555640437</v>
      </c>
      <c r="AB1509" s="120">
        <f t="shared" si="1249"/>
        <v>-3017.6100000000006</v>
      </c>
      <c r="AC1509" s="119">
        <f t="shared" si="1250"/>
        <v>-0.19210656990068753</v>
      </c>
      <c r="AD1509" s="110" t="s">
        <v>786</v>
      </c>
      <c r="AE1509" s="110"/>
      <c r="AF1509" s="110"/>
      <c r="AG1509" s="121"/>
      <c r="AH1509" s="110"/>
    </row>
    <row r="1510" spans="1:34" ht="11.25" customHeight="1" x14ac:dyDescent="0.15">
      <c r="A1510" s="110" t="s">
        <v>784</v>
      </c>
      <c r="B1510" s="110"/>
      <c r="C1510" s="111" t="s">
        <v>58</v>
      </c>
      <c r="D1510" s="111">
        <v>2024</v>
      </c>
      <c r="E1510" s="146">
        <v>45412</v>
      </c>
      <c r="F1510" s="111"/>
      <c r="G1510" s="111">
        <v>721220124</v>
      </c>
      <c r="H1510" s="111"/>
      <c r="I1510" s="111"/>
      <c r="J1510" s="111"/>
      <c r="K1510" s="112" t="s">
        <v>689</v>
      </c>
      <c r="L1510" s="117">
        <v>49997</v>
      </c>
      <c r="M1510" s="120">
        <v>4999.7</v>
      </c>
      <c r="N1510" s="120">
        <f t="shared" si="1256"/>
        <v>44997.3</v>
      </c>
      <c r="O1510" s="119">
        <f t="shared" si="1257"/>
        <v>0.9</v>
      </c>
      <c r="P1510" s="117">
        <v>49997</v>
      </c>
      <c r="Q1510" s="111">
        <v>3020</v>
      </c>
      <c r="R1510" s="117"/>
      <c r="S1510" s="117"/>
      <c r="T1510" s="117"/>
      <c r="U1510" s="117">
        <v>1940.6</v>
      </c>
      <c r="V1510" s="117"/>
      <c r="W1510" s="26">
        <f t="shared" si="1255"/>
        <v>1940.6</v>
      </c>
      <c r="X1510" s="118" t="str">
        <f t="shared" si="1245"/>
        <v/>
      </c>
      <c r="Y1510" s="119">
        <f t="shared" si="1246"/>
        <v>3.881432885973158E-2</v>
      </c>
      <c r="Z1510" s="117">
        <f t="shared" si="1247"/>
        <v>48056.4</v>
      </c>
      <c r="AA1510" s="119">
        <f t="shared" si="1248"/>
        <v>0.96118567114026843</v>
      </c>
      <c r="AB1510" s="120">
        <f t="shared" si="1249"/>
        <v>3059.1</v>
      </c>
      <c r="AC1510" s="119">
        <f t="shared" si="1250"/>
        <v>6.1185671140268405E-2</v>
      </c>
      <c r="AD1510" s="110"/>
      <c r="AE1510" s="110"/>
      <c r="AF1510" s="110"/>
      <c r="AG1510" s="121"/>
      <c r="AH1510" s="110"/>
    </row>
    <row r="1511" spans="1:34" ht="11.25" customHeight="1" x14ac:dyDescent="0.15">
      <c r="A1511" s="110" t="s">
        <v>784</v>
      </c>
      <c r="B1511" s="110"/>
      <c r="C1511" s="111" t="s">
        <v>58</v>
      </c>
      <c r="D1511" s="111">
        <v>2024</v>
      </c>
      <c r="E1511" s="146">
        <v>45412</v>
      </c>
      <c r="F1511" s="111"/>
      <c r="G1511" s="111">
        <v>73122012</v>
      </c>
      <c r="H1511" s="111"/>
      <c r="I1511" s="111"/>
      <c r="J1511" s="111"/>
      <c r="K1511" s="112" t="s">
        <v>690</v>
      </c>
      <c r="L1511" s="117">
        <v>49997</v>
      </c>
      <c r="M1511" s="120">
        <v>4999.7</v>
      </c>
      <c r="N1511" s="120">
        <f t="shared" si="1256"/>
        <v>44997.3</v>
      </c>
      <c r="O1511" s="119">
        <f t="shared" si="1257"/>
        <v>0.9</v>
      </c>
      <c r="P1511" s="117">
        <v>49997</v>
      </c>
      <c r="Q1511" s="111">
        <v>3021</v>
      </c>
      <c r="R1511" s="117"/>
      <c r="S1511" s="117"/>
      <c r="T1511" s="117"/>
      <c r="U1511" s="117">
        <v>1997.4</v>
      </c>
      <c r="V1511" s="117"/>
      <c r="W1511" s="26">
        <f t="shared" si="1255"/>
        <v>1997.4</v>
      </c>
      <c r="X1511" s="118" t="str">
        <f t="shared" si="1245"/>
        <v/>
      </c>
      <c r="Y1511" s="119">
        <f t="shared" si="1246"/>
        <v>3.995039702382143E-2</v>
      </c>
      <c r="Z1511" s="117">
        <f t="shared" si="1247"/>
        <v>47999.6</v>
      </c>
      <c r="AA1511" s="119">
        <f t="shared" si="1248"/>
        <v>0.96004960297617858</v>
      </c>
      <c r="AB1511" s="120">
        <f t="shared" si="1249"/>
        <v>3002.2999999999997</v>
      </c>
      <c r="AC1511" s="119">
        <f t="shared" si="1250"/>
        <v>6.0049602976178562E-2</v>
      </c>
      <c r="AD1511" s="110"/>
      <c r="AE1511" s="110"/>
      <c r="AF1511" s="110"/>
      <c r="AG1511" s="121"/>
      <c r="AH1511" s="110"/>
    </row>
    <row r="1512" spans="1:34" ht="11.25" customHeight="1" x14ac:dyDescent="0.15">
      <c r="A1512" s="110" t="s">
        <v>784</v>
      </c>
      <c r="B1512" s="110"/>
      <c r="C1512" s="111" t="s">
        <v>49</v>
      </c>
      <c r="D1512" s="111">
        <v>2024</v>
      </c>
      <c r="E1512" s="146">
        <v>45412</v>
      </c>
      <c r="F1512" s="111"/>
      <c r="G1512" s="111">
        <v>60622012</v>
      </c>
      <c r="H1512" s="111"/>
      <c r="I1512" s="111"/>
      <c r="J1512" s="111"/>
      <c r="K1512" s="112" t="s">
        <v>85</v>
      </c>
      <c r="L1512" s="117">
        <v>19046</v>
      </c>
      <c r="M1512" s="120">
        <v>4509.92</v>
      </c>
      <c r="N1512" s="120">
        <f t="shared" si="1256"/>
        <v>14536.08</v>
      </c>
      <c r="O1512" s="119">
        <f t="shared" si="1257"/>
        <v>0.76320907277118555</v>
      </c>
      <c r="P1512" s="117">
        <v>19046</v>
      </c>
      <c r="Q1512" s="111">
        <v>3022</v>
      </c>
      <c r="R1512" s="117">
        <v>80</v>
      </c>
      <c r="S1512" s="117">
        <v>4524</v>
      </c>
      <c r="T1512" s="117">
        <v>4157.42</v>
      </c>
      <c r="U1512" s="117">
        <v>97.4</v>
      </c>
      <c r="V1512" s="117"/>
      <c r="W1512" s="26">
        <f t="shared" ref="W1512" si="1258">SUM(S1512:V1512)</f>
        <v>8778.82</v>
      </c>
      <c r="X1512" s="118">
        <f t="shared" si="1245"/>
        <v>56.55</v>
      </c>
      <c r="Y1512" s="119">
        <f t="shared" si="1246"/>
        <v>5.1139346844481784E-3</v>
      </c>
      <c r="Z1512" s="117">
        <f t="shared" si="1247"/>
        <v>10267.18</v>
      </c>
      <c r="AA1512" s="119">
        <f t="shared" si="1248"/>
        <v>0.53907277118555075</v>
      </c>
      <c r="AB1512" s="120">
        <f t="shared" si="1249"/>
        <v>-4268.8999999999996</v>
      </c>
      <c r="AC1512" s="119">
        <f t="shared" si="1250"/>
        <v>-0.2241363015856348</v>
      </c>
      <c r="AD1512" s="110" t="s">
        <v>787</v>
      </c>
      <c r="AE1512" s="110"/>
      <c r="AF1512" s="110"/>
      <c r="AG1512" s="121"/>
      <c r="AH1512" s="110"/>
    </row>
    <row r="1513" spans="1:34" s="216" customFormat="1" ht="11.25" customHeight="1" x14ac:dyDescent="0.15">
      <c r="A1513" s="53" t="s">
        <v>784</v>
      </c>
      <c r="B1513" s="53"/>
      <c r="C1513" s="54" t="s">
        <v>177</v>
      </c>
      <c r="D1513" s="54">
        <v>2024</v>
      </c>
      <c r="E1513" s="70">
        <v>45412</v>
      </c>
      <c r="F1513" s="54"/>
      <c r="G1513" s="54"/>
      <c r="H1513" s="54"/>
      <c r="I1513" s="54"/>
      <c r="J1513" s="54"/>
      <c r="K1513" s="106"/>
      <c r="L1513" s="24">
        <f>SUM(L1506:L1512)</f>
        <v>532276</v>
      </c>
      <c r="M1513" s="24">
        <f>SUM(M1506:M1512)</f>
        <v>132279.18</v>
      </c>
      <c r="N1513" s="24">
        <f>SUM(N1506:N1512)</f>
        <v>399996.81999999995</v>
      </c>
      <c r="O1513" s="57">
        <f t="shared" si="1257"/>
        <v>0.7514838542410327</v>
      </c>
      <c r="P1513" s="24">
        <f>SUM(P1506:P1512)</f>
        <v>532276</v>
      </c>
      <c r="Q1513" s="24"/>
      <c r="R1513" s="117">
        <f>SUM(R1506:R1512)</f>
        <v>244.25</v>
      </c>
      <c r="S1513" s="117">
        <f t="shared" ref="S1513:U1513" si="1259">SUM(S1506:S1512)</f>
        <v>11625.16</v>
      </c>
      <c r="T1513" s="117">
        <f t="shared" si="1259"/>
        <v>7970.27</v>
      </c>
      <c r="U1513" s="117">
        <f t="shared" si="1259"/>
        <v>93446.994999999995</v>
      </c>
      <c r="V1513" s="117">
        <f t="shared" ref="V1513" si="1260">SUM(V1506:V1512)</f>
        <v>9830.11</v>
      </c>
      <c r="W1513" s="26">
        <f t="shared" ref="W1513" si="1261">SUM(W1506:W1512)</f>
        <v>122872.535</v>
      </c>
      <c r="X1513" s="56">
        <f t="shared" si="1245"/>
        <v>47.595332650972367</v>
      </c>
      <c r="Y1513" s="57">
        <f t="shared" si="1246"/>
        <v>0.17556116563587312</v>
      </c>
      <c r="Z1513" s="28">
        <f t="shared" si="1247"/>
        <v>409403.46499999997</v>
      </c>
      <c r="AA1513" s="57">
        <f t="shared" si="1248"/>
        <v>0.76915634933756161</v>
      </c>
      <c r="AB1513" s="58">
        <f t="shared" si="1249"/>
        <v>9406.6449999999895</v>
      </c>
      <c r="AC1513" s="57">
        <f t="shared" si="1250"/>
        <v>1.7672495096528906E-2</v>
      </c>
      <c r="AD1513" s="53"/>
      <c r="AE1513" s="53"/>
      <c r="AF1513" s="53"/>
      <c r="AG1513" s="61"/>
      <c r="AH1513" s="53"/>
    </row>
    <row r="1514" spans="1:34" ht="11.25" customHeight="1" x14ac:dyDescent="0.15">
      <c r="A1514" s="130"/>
      <c r="B1514" s="130"/>
      <c r="C1514" s="124"/>
      <c r="D1514" s="124"/>
      <c r="E1514" s="273"/>
      <c r="F1514" s="124"/>
      <c r="G1514" s="124"/>
      <c r="H1514" s="124"/>
      <c r="I1514" s="124"/>
      <c r="J1514" s="124"/>
      <c r="K1514" s="125"/>
      <c r="L1514" s="129"/>
      <c r="M1514" s="129"/>
      <c r="N1514" s="129"/>
      <c r="O1514" s="128"/>
      <c r="P1514" s="129"/>
      <c r="Q1514" s="124"/>
      <c r="R1514" s="117"/>
      <c r="S1514" s="117"/>
      <c r="T1514" s="117"/>
      <c r="U1514" s="117"/>
      <c r="V1514" s="117"/>
      <c r="X1514" s="45"/>
      <c r="Y1514" s="128"/>
      <c r="Z1514" s="126"/>
      <c r="AA1514" s="128"/>
      <c r="AB1514" s="129"/>
      <c r="AC1514" s="160"/>
      <c r="AD1514" s="137"/>
      <c r="AE1514" s="110"/>
      <c r="AF1514" s="110"/>
      <c r="AG1514" s="121"/>
      <c r="AH1514" s="110"/>
    </row>
    <row r="1515" spans="1:34" ht="11.25" customHeight="1" x14ac:dyDescent="0.15">
      <c r="A1515" s="110" t="s">
        <v>788</v>
      </c>
      <c r="B1515" s="110"/>
      <c r="C1515" s="111" t="s">
        <v>37</v>
      </c>
      <c r="D1515" s="111">
        <v>2024</v>
      </c>
      <c r="E1515" s="146">
        <v>45412</v>
      </c>
      <c r="F1515" s="111"/>
      <c r="G1515" s="111">
        <v>91024002</v>
      </c>
      <c r="H1515" s="111"/>
      <c r="I1515" s="111"/>
      <c r="J1515" s="111"/>
      <c r="K1515" s="112" t="s">
        <v>789</v>
      </c>
      <c r="L1515" s="120">
        <v>79165</v>
      </c>
      <c r="M1515" s="120">
        <v>12181.29</v>
      </c>
      <c r="N1515" s="120">
        <f t="shared" ref="N1515:N1517" si="1262">L1515-M1515</f>
        <v>66983.709999999992</v>
      </c>
      <c r="O1515" s="119">
        <f t="shared" ref="O1515:O1534" si="1263">IFERROR(N1515/L1515,"")</f>
        <v>0.84612783427019511</v>
      </c>
      <c r="P1515" s="120">
        <v>79165</v>
      </c>
      <c r="Q1515" s="111">
        <v>3053</v>
      </c>
      <c r="R1515" s="117">
        <v>11.5</v>
      </c>
      <c r="S1515" s="117">
        <v>483.46</v>
      </c>
      <c r="T1515" s="117">
        <v>0</v>
      </c>
      <c r="U1515" s="117">
        <v>13805.31</v>
      </c>
      <c r="V1515" s="117"/>
      <c r="W1515" s="26">
        <f t="shared" ref="W1515:W1517" si="1264">SUM(S1515:V1515)</f>
        <v>14288.769999999999</v>
      </c>
      <c r="X1515" s="118">
        <f t="shared" ref="X1515:X1523" si="1265">IFERROR(S1515/R1515,"")</f>
        <v>42.04</v>
      </c>
      <c r="Y1515" s="119">
        <f t="shared" ref="Y1515:Y1523" si="1266">IFERROR(U1515/P1515,0)</f>
        <v>0.17438653445335692</v>
      </c>
      <c r="Z1515" s="117">
        <f t="shared" ref="Z1515:Z1517" si="1267">P1515-W1515</f>
        <v>64876.23</v>
      </c>
      <c r="AA1515" s="119">
        <f t="shared" ref="AA1515:AA1517" si="1268">IFERROR(Z1515/P1515,0)</f>
        <v>0.81950647382050157</v>
      </c>
      <c r="AB1515" s="120">
        <f t="shared" ref="AB1515:AB1523" si="1269">M1515-W1515</f>
        <v>-2107.4799999999977</v>
      </c>
      <c r="AC1515" s="119">
        <f t="shared" ref="AC1515:AC1523" si="1270">IFERROR(AA1515-O1515,"")</f>
        <v>-2.6621360449693543E-2</v>
      </c>
      <c r="AD1515" s="110" t="s">
        <v>790</v>
      </c>
      <c r="AE1515" s="110"/>
      <c r="AF1515" s="110"/>
      <c r="AG1515" s="121"/>
      <c r="AH1515" s="110"/>
    </row>
    <row r="1516" spans="1:34" ht="11.25" customHeight="1" x14ac:dyDescent="0.15">
      <c r="A1516" s="110" t="s">
        <v>788</v>
      </c>
      <c r="B1516" s="110"/>
      <c r="C1516" s="111" t="s">
        <v>180</v>
      </c>
      <c r="D1516" s="111">
        <v>2024</v>
      </c>
      <c r="E1516" s="146">
        <v>45412</v>
      </c>
      <c r="F1516" s="111"/>
      <c r="G1516" s="111">
        <v>92500022</v>
      </c>
      <c r="H1516" s="111"/>
      <c r="I1516" s="111"/>
      <c r="J1516" s="111"/>
      <c r="K1516" s="112" t="s">
        <v>791</v>
      </c>
      <c r="L1516" s="120">
        <v>2630</v>
      </c>
      <c r="M1516" s="120">
        <v>920.4</v>
      </c>
      <c r="N1516" s="120">
        <f t="shared" si="1262"/>
        <v>1709.6</v>
      </c>
      <c r="O1516" s="119">
        <f t="shared" si="1263"/>
        <v>0.65003802281368817</v>
      </c>
      <c r="P1516" s="120">
        <v>2630</v>
      </c>
      <c r="Q1516" s="111">
        <v>3054</v>
      </c>
      <c r="R1516" s="117">
        <v>0</v>
      </c>
      <c r="S1516" s="117">
        <v>0</v>
      </c>
      <c r="T1516" s="117">
        <v>0</v>
      </c>
      <c r="U1516" s="117">
        <v>1326.91</v>
      </c>
      <c r="V1516" s="117"/>
      <c r="W1516" s="26">
        <f t="shared" si="1264"/>
        <v>1326.91</v>
      </c>
      <c r="X1516" s="118" t="str">
        <f t="shared" si="1265"/>
        <v/>
      </c>
      <c r="Y1516" s="119">
        <f t="shared" si="1266"/>
        <v>0.50452851711026614</v>
      </c>
      <c r="Z1516" s="117">
        <f t="shared" si="1267"/>
        <v>1303.0899999999999</v>
      </c>
      <c r="AA1516" s="119">
        <f t="shared" si="1268"/>
        <v>0.49547148288973381</v>
      </c>
      <c r="AB1516" s="120">
        <f t="shared" si="1269"/>
        <v>-406.5100000000001</v>
      </c>
      <c r="AC1516" s="119">
        <f t="shared" si="1270"/>
        <v>-0.15456653992395436</v>
      </c>
      <c r="AD1516" s="110" t="s">
        <v>792</v>
      </c>
      <c r="AE1516" s="110"/>
      <c r="AF1516" s="110"/>
      <c r="AG1516" s="121"/>
      <c r="AH1516" s="110"/>
    </row>
    <row r="1517" spans="1:34" ht="11.25" customHeight="1" x14ac:dyDescent="0.15">
      <c r="A1517" s="110" t="s">
        <v>788</v>
      </c>
      <c r="B1517" s="110"/>
      <c r="C1517" s="111" t="s">
        <v>180</v>
      </c>
      <c r="D1517" s="54">
        <v>2024</v>
      </c>
      <c r="E1517" s="70">
        <v>45412</v>
      </c>
      <c r="F1517" s="111"/>
      <c r="G1517" s="111">
        <v>91024012</v>
      </c>
      <c r="H1517" s="111"/>
      <c r="I1517" s="111"/>
      <c r="J1517" s="111"/>
      <c r="K1517" s="112" t="s">
        <v>793</v>
      </c>
      <c r="L1517" s="120">
        <v>8309</v>
      </c>
      <c r="M1517" s="120">
        <v>2907.81</v>
      </c>
      <c r="N1517" s="120">
        <f t="shared" si="1262"/>
        <v>5401.1900000000005</v>
      </c>
      <c r="O1517" s="119">
        <f t="shared" si="1263"/>
        <v>0.65004091948489595</v>
      </c>
      <c r="P1517" s="120">
        <v>8309</v>
      </c>
      <c r="Q1517" s="111">
        <v>3055</v>
      </c>
      <c r="R1517" s="117">
        <v>0</v>
      </c>
      <c r="S1517" s="117">
        <v>0</v>
      </c>
      <c r="T1517" s="117">
        <v>0</v>
      </c>
      <c r="U1517" s="117">
        <v>4315.63</v>
      </c>
      <c r="V1517" s="117"/>
      <c r="W1517" s="26">
        <f t="shared" si="1264"/>
        <v>4315.63</v>
      </c>
      <c r="X1517" s="118" t="str">
        <f t="shared" si="1265"/>
        <v/>
      </c>
      <c r="Y1517" s="119">
        <f t="shared" si="1266"/>
        <v>0.51939222529786977</v>
      </c>
      <c r="Z1517" s="117">
        <f t="shared" si="1267"/>
        <v>3993.37</v>
      </c>
      <c r="AA1517" s="119">
        <f t="shared" si="1268"/>
        <v>0.48060777470213023</v>
      </c>
      <c r="AB1517" s="120">
        <f t="shared" si="1269"/>
        <v>-1407.8200000000002</v>
      </c>
      <c r="AC1517" s="119">
        <f t="shared" si="1270"/>
        <v>-0.16943314478276572</v>
      </c>
      <c r="AD1517" s="110" t="s">
        <v>794</v>
      </c>
      <c r="AE1517" s="110"/>
      <c r="AF1517" s="110"/>
      <c r="AG1517" s="121"/>
      <c r="AH1517" s="110"/>
    </row>
    <row r="1518" spans="1:34" s="216" customFormat="1" ht="11.25" customHeight="1" x14ac:dyDescent="0.15">
      <c r="A1518" s="53" t="s">
        <v>788</v>
      </c>
      <c r="B1518" s="53"/>
      <c r="C1518" s="54" t="s">
        <v>360</v>
      </c>
      <c r="D1518" s="54"/>
      <c r="E1518" s="70"/>
      <c r="F1518" s="54"/>
      <c r="G1518" s="54"/>
      <c r="H1518" s="54"/>
      <c r="I1518" s="54"/>
      <c r="J1518" s="54"/>
      <c r="K1518" s="106"/>
      <c r="L1518" s="24">
        <f>SUM(L1515:L1517)</f>
        <v>90104</v>
      </c>
      <c r="M1518" s="24">
        <f t="shared" ref="M1518:N1518" si="1271">SUM(M1515:M1517)</f>
        <v>16009.5</v>
      </c>
      <c r="N1518" s="24">
        <f t="shared" si="1271"/>
        <v>74094.5</v>
      </c>
      <c r="O1518" s="57">
        <f t="shared" si="1263"/>
        <v>0.82232198348574981</v>
      </c>
      <c r="P1518" s="24">
        <f>SUM(P1515:P1517)</f>
        <v>90104</v>
      </c>
      <c r="Q1518" s="24"/>
      <c r="R1518" s="117">
        <f>SUM(R1515:R1517)</f>
        <v>11.5</v>
      </c>
      <c r="S1518" s="117">
        <f t="shared" ref="S1518:V1518" si="1272">SUM(S1515:S1517)</f>
        <v>483.46</v>
      </c>
      <c r="T1518" s="117">
        <f t="shared" si="1272"/>
        <v>0</v>
      </c>
      <c r="U1518" s="117">
        <f t="shared" si="1272"/>
        <v>19447.849999999999</v>
      </c>
      <c r="V1518" s="117">
        <f t="shared" si="1272"/>
        <v>0</v>
      </c>
      <c r="W1518" s="26">
        <f>SUM(W1515:W1517)</f>
        <v>19931.309999999998</v>
      </c>
      <c r="X1518" s="56">
        <f t="shared" si="1265"/>
        <v>42.04</v>
      </c>
      <c r="Y1518" s="57">
        <f t="shared" si="1266"/>
        <v>0.21583780964219124</v>
      </c>
      <c r="Z1518" s="28">
        <f>P1518-W1518</f>
        <v>70172.69</v>
      </c>
      <c r="AA1518" s="57">
        <f>IFERROR(Z1518/P1518,0)</f>
        <v>0.77879661280298329</v>
      </c>
      <c r="AB1518" s="58">
        <f t="shared" si="1269"/>
        <v>-3921.8099999999977</v>
      </c>
      <c r="AC1518" s="57">
        <f t="shared" si="1270"/>
        <v>-4.3525370682766518E-2</v>
      </c>
      <c r="AD1518" s="53"/>
      <c r="AE1518" s="53"/>
      <c r="AF1518" s="53"/>
      <c r="AG1518" s="61"/>
      <c r="AH1518" s="53"/>
    </row>
    <row r="1519" spans="1:34" ht="11.25" customHeight="1" x14ac:dyDescent="0.15">
      <c r="A1519" s="110" t="s">
        <v>788</v>
      </c>
      <c r="B1519" s="110"/>
      <c r="C1519" s="111" t="s">
        <v>279</v>
      </c>
      <c r="D1519" s="111">
        <v>2024</v>
      </c>
      <c r="E1519" s="146">
        <v>45412</v>
      </c>
      <c r="F1519" s="111"/>
      <c r="G1519" s="111">
        <v>51024022</v>
      </c>
      <c r="H1519" s="111"/>
      <c r="I1519" s="111"/>
      <c r="J1519" s="111"/>
      <c r="K1519" s="112" t="s">
        <v>795</v>
      </c>
      <c r="L1519" s="120">
        <v>14319</v>
      </c>
      <c r="M1519" s="120">
        <v>5011.3999999999996</v>
      </c>
      <c r="N1519" s="120">
        <f t="shared" ref="N1519" si="1273">L1519-M1519</f>
        <v>9307.6</v>
      </c>
      <c r="O1519" s="119">
        <f t="shared" si="1263"/>
        <v>0.65001745931978494</v>
      </c>
      <c r="P1519" s="120">
        <v>14319</v>
      </c>
      <c r="Q1519" s="111">
        <v>3056</v>
      </c>
      <c r="R1519" s="117">
        <v>43.5</v>
      </c>
      <c r="S1519" s="117">
        <v>1997.09</v>
      </c>
      <c r="T1519" s="117">
        <v>1859.1</v>
      </c>
      <c r="U1519" s="117">
        <v>2320.71</v>
      </c>
      <c r="V1519" s="117"/>
      <c r="W1519" s="26">
        <f t="shared" ref="W1519:W1523" si="1274">SUM(S1519:V1519)</f>
        <v>6176.9</v>
      </c>
      <c r="X1519" s="118">
        <f t="shared" si="1265"/>
        <v>45.910114942528736</v>
      </c>
      <c r="Y1519" s="119">
        <f t="shared" si="1266"/>
        <v>0.16207207207207208</v>
      </c>
      <c r="Z1519" s="117">
        <f t="shared" ref="Z1519:Z1523" si="1275">P1519-W1519</f>
        <v>8142.1</v>
      </c>
      <c r="AA1519" s="119">
        <f t="shared" ref="AA1519:AA1523" si="1276">IFERROR(Z1519/P1519,0)</f>
        <v>0.5686221104825756</v>
      </c>
      <c r="AB1519" s="120">
        <f t="shared" si="1269"/>
        <v>-1165.5</v>
      </c>
      <c r="AC1519" s="119">
        <f t="shared" si="1270"/>
        <v>-8.1395348837209336E-2</v>
      </c>
      <c r="AD1519" s="110" t="s">
        <v>796</v>
      </c>
      <c r="AE1519" s="110"/>
      <c r="AF1519" s="110"/>
      <c r="AG1519" s="121"/>
      <c r="AH1519" s="110"/>
    </row>
    <row r="1520" spans="1:34" ht="11.25" customHeight="1" x14ac:dyDescent="0.15">
      <c r="A1520" s="110" t="s">
        <v>788</v>
      </c>
      <c r="B1520" s="110"/>
      <c r="C1520" s="111" t="s">
        <v>248</v>
      </c>
      <c r="D1520" s="111">
        <v>2024</v>
      </c>
      <c r="E1520" s="146">
        <v>45412</v>
      </c>
      <c r="F1520" s="111"/>
      <c r="G1520" s="111">
        <v>96000000</v>
      </c>
      <c r="H1520" s="111"/>
      <c r="I1520" s="111"/>
      <c r="J1520" s="111"/>
      <c r="K1520" s="112" t="s">
        <v>250</v>
      </c>
      <c r="L1520" s="120">
        <v>7978</v>
      </c>
      <c r="M1520" s="120">
        <v>3989</v>
      </c>
      <c r="N1520" s="120">
        <f t="shared" ref="N1520:N1524" si="1277">L1520-M1520</f>
        <v>3989</v>
      </c>
      <c r="O1520" s="119">
        <f t="shared" si="1263"/>
        <v>0.5</v>
      </c>
      <c r="P1520" s="120">
        <v>7978</v>
      </c>
      <c r="Q1520" s="111">
        <v>3057</v>
      </c>
      <c r="R1520" s="117">
        <v>6</v>
      </c>
      <c r="S1520" s="117">
        <v>339.3</v>
      </c>
      <c r="T1520" s="117"/>
      <c r="U1520" s="117"/>
      <c r="V1520" s="117"/>
      <c r="W1520" s="26">
        <f t="shared" si="1274"/>
        <v>339.3</v>
      </c>
      <c r="X1520" s="118">
        <f t="shared" si="1265"/>
        <v>56.550000000000004</v>
      </c>
      <c r="Y1520" s="119">
        <f t="shared" si="1266"/>
        <v>0</v>
      </c>
      <c r="Z1520" s="117">
        <f t="shared" si="1275"/>
        <v>7638.7</v>
      </c>
      <c r="AA1520" s="119">
        <f t="shared" si="1276"/>
        <v>0.95747054399598897</v>
      </c>
      <c r="AB1520" s="120">
        <f t="shared" si="1269"/>
        <v>3649.7</v>
      </c>
      <c r="AC1520" s="119">
        <f t="shared" si="1270"/>
        <v>0.45747054399598897</v>
      </c>
      <c r="AD1520" s="110"/>
      <c r="AE1520" s="110"/>
      <c r="AF1520" s="110"/>
      <c r="AG1520" s="121"/>
      <c r="AH1520" s="110"/>
    </row>
    <row r="1521" spans="1:34" ht="11.25" customHeight="1" x14ac:dyDescent="0.15">
      <c r="A1521" s="110" t="s">
        <v>788</v>
      </c>
      <c r="B1521" s="110"/>
      <c r="C1521" s="111" t="s">
        <v>55</v>
      </c>
      <c r="D1521" s="111">
        <v>2024</v>
      </c>
      <c r="E1521" s="146">
        <v>45412</v>
      </c>
      <c r="F1521" s="111"/>
      <c r="G1521" s="111" t="s">
        <v>56</v>
      </c>
      <c r="H1521" s="111"/>
      <c r="I1521" s="111"/>
      <c r="J1521" s="111"/>
      <c r="K1521" s="112" t="s">
        <v>71</v>
      </c>
      <c r="L1521" s="120">
        <v>3677</v>
      </c>
      <c r="M1521" s="120">
        <v>1838.48</v>
      </c>
      <c r="N1521" s="120">
        <f t="shared" si="1277"/>
        <v>1838.52</v>
      </c>
      <c r="O1521" s="119">
        <f t="shared" si="1263"/>
        <v>0.50000543921675278</v>
      </c>
      <c r="P1521" s="120">
        <v>3677</v>
      </c>
      <c r="Q1521" s="111">
        <v>3058</v>
      </c>
      <c r="R1521" s="117">
        <v>7.5</v>
      </c>
      <c r="S1521" s="117">
        <v>318.75</v>
      </c>
      <c r="T1521" s="117"/>
      <c r="U1521" s="117">
        <v>1955</v>
      </c>
      <c r="V1521" s="117"/>
      <c r="W1521" s="26">
        <f t="shared" si="1274"/>
        <v>2273.75</v>
      </c>
      <c r="X1521" s="118">
        <f t="shared" si="1265"/>
        <v>42.5</v>
      </c>
      <c r="Y1521" s="119">
        <f t="shared" si="1266"/>
        <v>0.53168343758498782</v>
      </c>
      <c r="Z1521" s="117">
        <f t="shared" si="1275"/>
        <v>1403.25</v>
      </c>
      <c r="AA1521" s="119">
        <f t="shared" si="1276"/>
        <v>0.3816290454174599</v>
      </c>
      <c r="AB1521" s="120">
        <f t="shared" si="1269"/>
        <v>-435.27</v>
      </c>
      <c r="AC1521" s="119">
        <f t="shared" si="1270"/>
        <v>-0.11837639379929288</v>
      </c>
      <c r="AD1521" s="110" t="s">
        <v>797</v>
      </c>
      <c r="AE1521" s="110"/>
      <c r="AF1521" s="110"/>
      <c r="AG1521" s="121"/>
      <c r="AH1521" s="110"/>
    </row>
    <row r="1522" spans="1:34" ht="11.25" customHeight="1" x14ac:dyDescent="0.15">
      <c r="A1522" s="110" t="s">
        <v>788</v>
      </c>
      <c r="B1522" s="110"/>
      <c r="C1522" s="111" t="s">
        <v>58</v>
      </c>
      <c r="D1522" s="111">
        <v>2024</v>
      </c>
      <c r="E1522" s="70">
        <v>45443</v>
      </c>
      <c r="F1522" s="111"/>
      <c r="G1522" s="111">
        <v>71132012</v>
      </c>
      <c r="H1522" s="111"/>
      <c r="I1522" s="111"/>
      <c r="J1522" s="111"/>
      <c r="K1522" s="112" t="s">
        <v>712</v>
      </c>
      <c r="L1522" s="120">
        <v>26177</v>
      </c>
      <c r="M1522" s="120">
        <v>2617.6999999999998</v>
      </c>
      <c r="N1522" s="120">
        <f t="shared" si="1277"/>
        <v>23559.3</v>
      </c>
      <c r="O1522" s="119">
        <f t="shared" si="1263"/>
        <v>0.9</v>
      </c>
      <c r="P1522" s="120">
        <v>26177</v>
      </c>
      <c r="Q1522" s="111">
        <v>3059</v>
      </c>
      <c r="R1522" s="117">
        <v>0</v>
      </c>
      <c r="S1522" s="117">
        <v>0</v>
      </c>
      <c r="T1522" s="117">
        <v>0</v>
      </c>
      <c r="U1522" s="117"/>
      <c r="V1522" s="117">
        <v>2060.1799999999998</v>
      </c>
      <c r="W1522" s="26">
        <f>SUM(S1522:V1522)</f>
        <v>2060.1799999999998</v>
      </c>
      <c r="X1522" s="118" t="str">
        <f t="shared" si="1265"/>
        <v/>
      </c>
      <c r="Y1522" s="119">
        <f>IFERROR(V1522/P1522,0)</f>
        <v>7.8701913893876291E-2</v>
      </c>
      <c r="Z1522" s="117">
        <f t="shared" si="1275"/>
        <v>24116.82</v>
      </c>
      <c r="AA1522" s="119">
        <f t="shared" si="1276"/>
        <v>0.92129808610612374</v>
      </c>
      <c r="AB1522" s="120">
        <f t="shared" si="1269"/>
        <v>557.52</v>
      </c>
      <c r="AC1522" s="119">
        <f t="shared" si="1270"/>
        <v>2.1298086106123715E-2</v>
      </c>
      <c r="AD1522" s="110"/>
      <c r="AE1522" s="110"/>
      <c r="AF1522" s="110"/>
      <c r="AG1522" s="121"/>
      <c r="AH1522" s="110"/>
    </row>
    <row r="1523" spans="1:34" ht="11.25" customHeight="1" x14ac:dyDescent="0.15">
      <c r="A1523" s="110" t="s">
        <v>788</v>
      </c>
      <c r="B1523" s="110"/>
      <c r="C1523" s="111" t="s">
        <v>49</v>
      </c>
      <c r="D1523" s="111">
        <v>2024</v>
      </c>
      <c r="E1523" s="70">
        <v>45443</v>
      </c>
      <c r="F1523" s="111"/>
      <c r="G1523" s="111">
        <v>61732012</v>
      </c>
      <c r="H1523" s="111"/>
      <c r="I1523" s="111"/>
      <c r="J1523" s="111"/>
      <c r="K1523" s="112" t="s">
        <v>85</v>
      </c>
      <c r="L1523" s="120">
        <v>9523</v>
      </c>
      <c r="M1523" s="120">
        <v>4509.92</v>
      </c>
      <c r="N1523" s="120">
        <f t="shared" si="1277"/>
        <v>5013.08</v>
      </c>
      <c r="O1523" s="119">
        <f t="shared" si="1263"/>
        <v>0.5264181455423711</v>
      </c>
      <c r="P1523" s="120">
        <v>9523</v>
      </c>
      <c r="Q1523" s="111">
        <v>3060</v>
      </c>
      <c r="R1523" s="117">
        <v>32</v>
      </c>
      <c r="S1523" s="117">
        <v>1809.6</v>
      </c>
      <c r="T1523" s="117">
        <v>1755.28</v>
      </c>
      <c r="U1523" s="117">
        <v>0</v>
      </c>
      <c r="V1523" s="117">
        <v>0</v>
      </c>
      <c r="W1523" s="26">
        <f t="shared" si="1274"/>
        <v>3564.88</v>
      </c>
      <c r="X1523" s="118">
        <f t="shared" si="1265"/>
        <v>56.55</v>
      </c>
      <c r="Y1523" s="119">
        <f t="shared" si="1266"/>
        <v>0</v>
      </c>
      <c r="Z1523" s="117">
        <f t="shared" si="1275"/>
        <v>5958.12</v>
      </c>
      <c r="AA1523" s="119">
        <f t="shared" si="1276"/>
        <v>0.62565578074136297</v>
      </c>
      <c r="AB1523" s="120">
        <f t="shared" si="1269"/>
        <v>945.04</v>
      </c>
      <c r="AC1523" s="119">
        <f t="shared" si="1270"/>
        <v>9.9237635198991869E-2</v>
      </c>
      <c r="AD1523" s="110"/>
      <c r="AE1523" s="110"/>
      <c r="AF1523" s="110"/>
      <c r="AG1523" s="121"/>
      <c r="AH1523" s="110"/>
    </row>
    <row r="1524" spans="1:34" ht="11.25" customHeight="1" x14ac:dyDescent="0.15">
      <c r="A1524" s="110" t="s">
        <v>788</v>
      </c>
      <c r="B1524" s="110"/>
      <c r="C1524" s="111" t="s">
        <v>175</v>
      </c>
      <c r="D1524" s="111">
        <v>2024</v>
      </c>
      <c r="E1524" s="146">
        <v>45412</v>
      </c>
      <c r="F1524" s="111"/>
      <c r="G1524" s="111">
        <v>81100011</v>
      </c>
      <c r="H1524" s="111">
        <v>4101</v>
      </c>
      <c r="I1524" s="111" t="str">
        <f>MID(G1524,2,1)</f>
        <v>1</v>
      </c>
      <c r="J1524" s="111" t="str">
        <f>IF(I1524="1","Small/Medium","Large")</f>
        <v>Small/Medium</v>
      </c>
      <c r="K1524" s="147" t="s">
        <v>145</v>
      </c>
      <c r="L1524" s="120">
        <f>18536-2780</f>
        <v>15756</v>
      </c>
      <c r="M1524" s="120">
        <v>5560.8</v>
      </c>
      <c r="N1524" s="120">
        <f t="shared" si="1277"/>
        <v>10195.200000000001</v>
      </c>
      <c r="O1524" s="119">
        <f t="shared" si="1263"/>
        <v>0.64706778370144713</v>
      </c>
      <c r="P1524" s="120">
        <f>18536-2780</f>
        <v>15756</v>
      </c>
      <c r="Q1524" s="111">
        <v>3061</v>
      </c>
      <c r="R1524" s="117">
        <v>18.5</v>
      </c>
      <c r="S1524" s="117">
        <v>830.28</v>
      </c>
      <c r="T1524" s="117">
        <v>619.70000000000005</v>
      </c>
      <c r="U1524" s="117">
        <v>229.96</v>
      </c>
      <c r="V1524" s="117"/>
      <c r="W1524" s="26">
        <f t="shared" ref="W1524" si="1278">SUM(S1524:V1524)</f>
        <v>1679.94</v>
      </c>
      <c r="X1524" s="118">
        <f t="shared" ref="X1524" si="1279">IFERROR(S1524/R1524,"")</f>
        <v>44.879999999999995</v>
      </c>
      <c r="Y1524" s="119">
        <f t="shared" ref="Y1524" si="1280">IFERROR(U1524/P1524,0)</f>
        <v>1.4595074892104596E-2</v>
      </c>
      <c r="Z1524" s="117">
        <f t="shared" ref="Z1524" si="1281">P1524-W1524</f>
        <v>14076.06</v>
      </c>
      <c r="AA1524" s="119">
        <f t="shared" ref="AA1524" si="1282">IFERROR(Z1524/P1524,0)</f>
        <v>0.89337776085300835</v>
      </c>
      <c r="AB1524" s="120">
        <f t="shared" ref="AB1524" si="1283">M1524-W1524</f>
        <v>3880.86</v>
      </c>
      <c r="AC1524" s="119">
        <f t="shared" ref="AC1524" si="1284">IFERROR(AA1524-O1524,"")</f>
        <v>0.24630997715156122</v>
      </c>
      <c r="AD1524" s="110" t="s">
        <v>631</v>
      </c>
      <c r="AE1524" s="110"/>
      <c r="AF1524" s="110"/>
      <c r="AG1524" s="121"/>
      <c r="AH1524" s="110"/>
    </row>
    <row r="1525" spans="1:34" s="216" customFormat="1" ht="11.25" customHeight="1" x14ac:dyDescent="0.15">
      <c r="A1525" s="53" t="s">
        <v>788</v>
      </c>
      <c r="B1525" s="53"/>
      <c r="C1525" s="54" t="s">
        <v>177</v>
      </c>
      <c r="D1525" s="54"/>
      <c r="E1525" s="70"/>
      <c r="F1525" s="54"/>
      <c r="G1525" s="54"/>
      <c r="H1525" s="54"/>
      <c r="I1525" s="54"/>
      <c r="J1525" s="54"/>
      <c r="K1525" s="106"/>
      <c r="L1525" s="24">
        <f>SUM(L1518:L1524)</f>
        <v>167534</v>
      </c>
      <c r="M1525" s="24">
        <f t="shared" ref="M1525:N1525" si="1285">SUM(M1518:M1524)</f>
        <v>39536.800000000003</v>
      </c>
      <c r="N1525" s="24">
        <f t="shared" si="1285"/>
        <v>127997.20000000001</v>
      </c>
      <c r="O1525" s="57">
        <f t="shared" si="1263"/>
        <v>0.76400730597968181</v>
      </c>
      <c r="P1525" s="24">
        <f>SUM(P1518:P1524)</f>
        <v>167534</v>
      </c>
      <c r="Q1525" s="24"/>
      <c r="R1525" s="117">
        <f>SUM(R1518:R1524)</f>
        <v>119</v>
      </c>
      <c r="S1525" s="117">
        <f t="shared" ref="S1525:W1525" si="1286">SUM(S1518:S1524)</f>
        <v>5778.48</v>
      </c>
      <c r="T1525" s="117">
        <f t="shared" si="1286"/>
        <v>4234.08</v>
      </c>
      <c r="U1525" s="117">
        <f t="shared" si="1286"/>
        <v>23953.519999999997</v>
      </c>
      <c r="V1525" s="117">
        <f t="shared" si="1286"/>
        <v>2060.1799999999998</v>
      </c>
      <c r="W1525" s="26">
        <f t="shared" si="1286"/>
        <v>36026.26</v>
      </c>
      <c r="X1525" s="118">
        <f t="shared" ref="X1525" si="1287">IFERROR(S1525/R1525,"")</f>
        <v>48.558655462184873</v>
      </c>
      <c r="Y1525" s="119">
        <f t="shared" ref="Y1525" si="1288">IFERROR(U1525/P1525,0)</f>
        <v>0.14297706734155452</v>
      </c>
      <c r="Z1525" s="117">
        <f t="shared" ref="Z1525" si="1289">P1525-W1525</f>
        <v>131507.74</v>
      </c>
      <c r="AA1525" s="119">
        <f>IFERROR(Z1525/P1525,0)</f>
        <v>0.78496150035216727</v>
      </c>
      <c r="AB1525" s="120">
        <f t="shared" ref="AB1525" si="1290">M1525-W1525</f>
        <v>3510.5400000000009</v>
      </c>
      <c r="AC1525" s="119">
        <f t="shared" ref="AC1525" si="1291">IFERROR(AA1525-O1525,"")</f>
        <v>2.0954194372485468E-2</v>
      </c>
      <c r="AD1525" s="53"/>
      <c r="AE1525" s="53"/>
      <c r="AF1525" s="53"/>
      <c r="AG1525" s="61"/>
      <c r="AH1525" s="53"/>
    </row>
    <row r="1526" spans="1:34" ht="11.25" customHeight="1" x14ac:dyDescent="0.15">
      <c r="A1526" s="130"/>
      <c r="B1526" s="130"/>
      <c r="C1526" s="124"/>
      <c r="D1526" s="124"/>
      <c r="E1526" s="273"/>
      <c r="F1526" s="124"/>
      <c r="G1526" s="124"/>
      <c r="H1526" s="124"/>
      <c r="I1526" s="124"/>
      <c r="J1526" s="124"/>
      <c r="K1526" s="125"/>
      <c r="L1526" s="129"/>
      <c r="M1526" s="129"/>
      <c r="N1526" s="129"/>
      <c r="O1526" s="128"/>
      <c r="P1526" s="129"/>
      <c r="Q1526" s="124"/>
      <c r="R1526" s="117"/>
      <c r="S1526" s="117"/>
      <c r="T1526" s="117"/>
      <c r="U1526" s="117"/>
      <c r="V1526" s="117"/>
      <c r="X1526" s="45"/>
      <c r="Y1526" s="128"/>
      <c r="Z1526" s="126"/>
      <c r="AA1526" s="128"/>
      <c r="AB1526" s="129"/>
      <c r="AC1526" s="160"/>
      <c r="AD1526" s="137"/>
      <c r="AE1526" s="110"/>
      <c r="AF1526" s="110"/>
      <c r="AG1526" s="121"/>
      <c r="AH1526" s="110"/>
    </row>
    <row r="1527" spans="1:34" ht="11.25" customHeight="1" x14ac:dyDescent="0.15">
      <c r="A1527" s="110" t="s">
        <v>798</v>
      </c>
      <c r="B1527" s="110"/>
      <c r="C1527" s="111" t="s">
        <v>799</v>
      </c>
      <c r="D1527" s="111">
        <v>2024</v>
      </c>
      <c r="E1527" s="146">
        <v>45443</v>
      </c>
      <c r="F1527" s="111"/>
      <c r="G1527" s="111">
        <v>2264202</v>
      </c>
      <c r="H1527" s="111"/>
      <c r="I1527" s="111"/>
      <c r="J1527" s="111"/>
      <c r="K1527" s="112" t="s">
        <v>800</v>
      </c>
      <c r="L1527" s="120">
        <v>9250</v>
      </c>
      <c r="M1527" s="120">
        <f>L1527*0.35</f>
        <v>3237.5</v>
      </c>
      <c r="N1527" s="120">
        <f>L1527-M1527</f>
        <v>6012.5</v>
      </c>
      <c r="O1527" s="119">
        <f t="shared" si="1263"/>
        <v>0.65</v>
      </c>
      <c r="P1527" s="117">
        <f>L1527</f>
        <v>9250</v>
      </c>
      <c r="Q1527" s="111">
        <v>3170</v>
      </c>
      <c r="R1527" s="117">
        <v>16</v>
      </c>
      <c r="S1527" s="117">
        <v>904.8</v>
      </c>
      <c r="T1527" s="117">
        <v>797.95</v>
      </c>
      <c r="U1527" s="117">
        <v>28.46</v>
      </c>
      <c r="V1527" s="117"/>
      <c r="W1527" s="26">
        <f t="shared" ref="W1527" si="1292">SUM(S1527:V1527)</f>
        <v>1731.21</v>
      </c>
      <c r="X1527" s="118">
        <f t="shared" ref="X1527:X1528" si="1293">IFERROR(S1527/R1527,"")</f>
        <v>56.55</v>
      </c>
      <c r="Y1527" s="119">
        <f>IFERROR(U1527/P1527,0)</f>
        <v>3.076756756756757E-3</v>
      </c>
      <c r="Z1527" s="117">
        <f t="shared" ref="Z1527:Z1528" si="1294">P1527-W1527</f>
        <v>7518.79</v>
      </c>
      <c r="AA1527" s="119">
        <f>IFERROR(Z1527/P1527,0)</f>
        <v>0.81284216216216221</v>
      </c>
      <c r="AB1527" s="120">
        <f t="shared" ref="AB1527:AB1528" si="1295">M1527-W1527</f>
        <v>1506.29</v>
      </c>
      <c r="AC1527" s="119">
        <f t="shared" ref="AC1527:AC1528" si="1296">IFERROR(AA1527-O1527,"")</f>
        <v>0.16284216216216219</v>
      </c>
      <c r="AD1527" s="110" t="s">
        <v>801</v>
      </c>
      <c r="AE1527" s="110"/>
      <c r="AF1527" s="110"/>
      <c r="AG1527" s="121"/>
      <c r="AH1527" s="110"/>
    </row>
    <row r="1528" spans="1:34" s="216" customFormat="1" ht="11.25" customHeight="1" x14ac:dyDescent="0.15">
      <c r="A1528" s="53" t="s">
        <v>798</v>
      </c>
      <c r="B1528" s="53"/>
      <c r="C1528" s="54" t="s">
        <v>177</v>
      </c>
      <c r="D1528" s="54"/>
      <c r="E1528" s="70"/>
      <c r="F1528" s="54"/>
      <c r="G1528" s="54"/>
      <c r="H1528" s="54"/>
      <c r="I1528" s="54"/>
      <c r="J1528" s="54"/>
      <c r="K1528" s="106"/>
      <c r="L1528" s="24">
        <f>SUM(L1527)</f>
        <v>9250</v>
      </c>
      <c r="M1528" s="24">
        <f t="shared" ref="M1528:N1528" si="1297">SUM(M1527)</f>
        <v>3237.5</v>
      </c>
      <c r="N1528" s="24">
        <f t="shared" si="1297"/>
        <v>6012.5</v>
      </c>
      <c r="O1528" s="57">
        <f t="shared" si="1263"/>
        <v>0.65</v>
      </c>
      <c r="P1528" s="24">
        <f>SUM(P1527)</f>
        <v>9250</v>
      </c>
      <c r="Q1528" s="24"/>
      <c r="R1528" s="117">
        <f>SUM(R1527)</f>
        <v>16</v>
      </c>
      <c r="S1528" s="117">
        <f t="shared" ref="S1528:V1528" si="1298">SUM(S1527)</f>
        <v>904.8</v>
      </c>
      <c r="T1528" s="117">
        <f t="shared" si="1298"/>
        <v>797.95</v>
      </c>
      <c r="U1528" s="117">
        <f t="shared" si="1298"/>
        <v>28.46</v>
      </c>
      <c r="V1528" s="117">
        <f t="shared" si="1298"/>
        <v>0</v>
      </c>
      <c r="W1528" s="26">
        <f t="shared" ref="W1528" si="1299">SUM(W1527)</f>
        <v>1731.21</v>
      </c>
      <c r="X1528" s="56">
        <f t="shared" si="1293"/>
        <v>56.55</v>
      </c>
      <c r="Y1528" s="57">
        <f>IFERROR(U1528/P1528,0)</f>
        <v>3.076756756756757E-3</v>
      </c>
      <c r="Z1528" s="28">
        <f t="shared" si="1294"/>
        <v>7518.79</v>
      </c>
      <c r="AA1528" s="57">
        <f>IFERROR(Z1528/P1528,0)</f>
        <v>0.81284216216216221</v>
      </c>
      <c r="AB1528" s="58">
        <f t="shared" si="1295"/>
        <v>1506.29</v>
      </c>
      <c r="AC1528" s="57">
        <f t="shared" si="1296"/>
        <v>0.16284216216216219</v>
      </c>
      <c r="AD1528" s="53"/>
      <c r="AE1528" s="53"/>
      <c r="AF1528" s="53"/>
      <c r="AG1528" s="61"/>
      <c r="AH1528" s="53"/>
    </row>
    <row r="1529" spans="1:34" ht="11.25" customHeight="1" x14ac:dyDescent="0.15">
      <c r="A1529" s="130"/>
      <c r="B1529" s="130"/>
      <c r="C1529" s="124"/>
      <c r="D1529" s="124"/>
      <c r="E1529" s="273"/>
      <c r="F1529" s="124"/>
      <c r="G1529" s="124"/>
      <c r="H1529" s="124"/>
      <c r="I1529" s="124"/>
      <c r="J1529" s="124"/>
      <c r="K1529" s="125"/>
      <c r="L1529" s="129"/>
      <c r="M1529" s="129"/>
      <c r="N1529" s="129"/>
      <c r="O1529" s="128"/>
      <c r="P1529" s="129"/>
      <c r="Q1529" s="124"/>
      <c r="R1529" s="117"/>
      <c r="S1529" s="117"/>
      <c r="T1529" s="117"/>
      <c r="U1529" s="117"/>
      <c r="V1529" s="117"/>
      <c r="X1529" s="45"/>
      <c r="Y1529" s="128"/>
      <c r="Z1529" s="126"/>
      <c r="AA1529" s="128"/>
      <c r="AB1529" s="129"/>
      <c r="AC1529" s="160"/>
      <c r="AD1529" s="137"/>
      <c r="AE1529" s="110"/>
      <c r="AF1529" s="110"/>
      <c r="AG1529" s="121"/>
      <c r="AH1529" s="110"/>
    </row>
    <row r="1530" spans="1:34" ht="11.25" customHeight="1" x14ac:dyDescent="0.15">
      <c r="A1530" s="110" t="s">
        <v>292</v>
      </c>
      <c r="B1530" s="110"/>
      <c r="C1530" s="111" t="s">
        <v>175</v>
      </c>
      <c r="D1530" s="111">
        <v>2024</v>
      </c>
      <c r="E1530" s="146">
        <v>45443</v>
      </c>
      <c r="F1530" s="111"/>
      <c r="G1530" s="111">
        <v>81100210</v>
      </c>
      <c r="H1530" s="111">
        <v>4101</v>
      </c>
      <c r="I1530" s="111" t="str">
        <f>MID(G1530,2,1)</f>
        <v>1</v>
      </c>
      <c r="J1530" s="111" t="str">
        <f>IF(I1530="1","Small/Medium","Large")</f>
        <v>Small/Medium</v>
      </c>
      <c r="K1530" s="147" t="s">
        <v>145</v>
      </c>
      <c r="L1530" s="120">
        <v>7870</v>
      </c>
      <c r="M1530" s="120">
        <f>L1530*0.3</f>
        <v>2361</v>
      </c>
      <c r="N1530" s="120">
        <f>L1530-M1530</f>
        <v>5509</v>
      </c>
      <c r="O1530" s="119">
        <f t="shared" si="1263"/>
        <v>0.7</v>
      </c>
      <c r="P1530" s="117">
        <f>L1530</f>
        <v>7870</v>
      </c>
      <c r="Q1530" s="111">
        <v>2927</v>
      </c>
      <c r="R1530" s="117">
        <v>20</v>
      </c>
      <c r="S1530" s="117">
        <v>897.6</v>
      </c>
      <c r="T1530" s="117">
        <v>909.26</v>
      </c>
      <c r="U1530" s="117">
        <v>84.18</v>
      </c>
      <c r="V1530" s="117">
        <v>20.72</v>
      </c>
      <c r="W1530" s="26">
        <f t="shared" ref="W1530" si="1300">SUM(S1530:V1530)</f>
        <v>1911.7600000000002</v>
      </c>
      <c r="X1530" s="118">
        <f t="shared" ref="X1530:X1531" si="1301">IFERROR(S1530/R1530,"")</f>
        <v>44.88</v>
      </c>
      <c r="Y1530" s="119">
        <f>IFERROR(U1530/P1530,0)</f>
        <v>1.0696315120711564E-2</v>
      </c>
      <c r="Z1530" s="117">
        <f t="shared" ref="Z1530:Z1531" si="1302">P1530-W1530</f>
        <v>5958.24</v>
      </c>
      <c r="AA1530" s="119">
        <f>IFERROR(Z1530/P1530,0)</f>
        <v>0.75708259212198215</v>
      </c>
      <c r="AB1530" s="120">
        <f t="shared" ref="AB1530:AB1531" si="1303">M1530-W1530</f>
        <v>449.23999999999978</v>
      </c>
      <c r="AC1530" s="119">
        <f t="shared" ref="AC1530:AC1531" si="1304">IFERROR(AA1530-O1530,"")</f>
        <v>5.708259212198219E-2</v>
      </c>
      <c r="AD1530" s="110" t="s">
        <v>802</v>
      </c>
      <c r="AE1530" s="110"/>
      <c r="AF1530" s="110"/>
      <c r="AG1530" s="121"/>
      <c r="AH1530" s="110"/>
    </row>
    <row r="1531" spans="1:34" s="216" customFormat="1" ht="11.25" customHeight="1" x14ac:dyDescent="0.15">
      <c r="A1531" s="53" t="s">
        <v>292</v>
      </c>
      <c r="B1531" s="53"/>
      <c r="C1531" s="54" t="s">
        <v>177</v>
      </c>
      <c r="D1531" s="54"/>
      <c r="E1531" s="70"/>
      <c r="F1531" s="54"/>
      <c r="G1531" s="54"/>
      <c r="H1531" s="54"/>
      <c r="I1531" s="54"/>
      <c r="J1531" s="54"/>
      <c r="K1531" s="106"/>
      <c r="L1531" s="24">
        <f>SUM(L1530)</f>
        <v>7870</v>
      </c>
      <c r="M1531" s="24">
        <f t="shared" ref="M1531:N1531" si="1305">SUM(M1530)</f>
        <v>2361</v>
      </c>
      <c r="N1531" s="24">
        <f t="shared" si="1305"/>
        <v>5509</v>
      </c>
      <c r="O1531" s="57">
        <f t="shared" si="1263"/>
        <v>0.7</v>
      </c>
      <c r="P1531" s="24">
        <f>SUM(P1530)</f>
        <v>7870</v>
      </c>
      <c r="Q1531" s="24"/>
      <c r="R1531" s="117">
        <f>SUM(R1530)</f>
        <v>20</v>
      </c>
      <c r="S1531" s="117">
        <f t="shared" ref="S1531:V1531" si="1306">SUM(S1530)</f>
        <v>897.6</v>
      </c>
      <c r="T1531" s="117">
        <f t="shared" si="1306"/>
        <v>909.26</v>
      </c>
      <c r="U1531" s="117">
        <f t="shared" si="1306"/>
        <v>84.18</v>
      </c>
      <c r="V1531" s="117">
        <f t="shared" si="1306"/>
        <v>20.72</v>
      </c>
      <c r="W1531" s="26">
        <f t="shared" ref="W1531" si="1307">SUM(W1530)</f>
        <v>1911.7600000000002</v>
      </c>
      <c r="X1531" s="56">
        <f t="shared" si="1301"/>
        <v>44.88</v>
      </c>
      <c r="Y1531" s="57">
        <f>IFERROR(U1531/P1531,0)</f>
        <v>1.0696315120711564E-2</v>
      </c>
      <c r="Z1531" s="28">
        <f t="shared" si="1302"/>
        <v>5958.24</v>
      </c>
      <c r="AA1531" s="57">
        <f>IFERROR(Z1531/P1531,0)</f>
        <v>0.75708259212198215</v>
      </c>
      <c r="AB1531" s="58">
        <f t="shared" si="1303"/>
        <v>449.23999999999978</v>
      </c>
      <c r="AC1531" s="57">
        <f t="shared" si="1304"/>
        <v>5.708259212198219E-2</v>
      </c>
      <c r="AD1531" s="53"/>
      <c r="AE1531" s="53"/>
      <c r="AF1531" s="53"/>
      <c r="AG1531" s="61"/>
      <c r="AH1531" s="53"/>
    </row>
    <row r="1532" spans="1:34" ht="11.25" customHeight="1" x14ac:dyDescent="0.15">
      <c r="A1532" s="130"/>
      <c r="B1532" s="130"/>
      <c r="C1532" s="124"/>
      <c r="D1532" s="124"/>
      <c r="E1532" s="273"/>
      <c r="F1532" s="124"/>
      <c r="G1532" s="124"/>
      <c r="H1532" s="124"/>
      <c r="I1532" s="124"/>
      <c r="J1532" s="124"/>
      <c r="K1532" s="125"/>
      <c r="L1532" s="129"/>
      <c r="M1532" s="129"/>
      <c r="N1532" s="129"/>
      <c r="O1532" s="128"/>
      <c r="P1532" s="129"/>
      <c r="Q1532" s="124"/>
      <c r="R1532" s="117"/>
      <c r="S1532" s="117"/>
      <c r="T1532" s="117"/>
      <c r="U1532" s="117"/>
      <c r="V1532" s="117"/>
      <c r="X1532" s="45"/>
      <c r="Y1532" s="128"/>
      <c r="Z1532" s="126"/>
      <c r="AA1532" s="128"/>
      <c r="AB1532" s="129"/>
      <c r="AC1532" s="160"/>
      <c r="AD1532" s="137"/>
      <c r="AE1532" s="110"/>
      <c r="AF1532" s="110"/>
      <c r="AG1532" s="121"/>
      <c r="AH1532" s="110"/>
    </row>
    <row r="1533" spans="1:34" ht="11.25" customHeight="1" x14ac:dyDescent="0.15">
      <c r="A1533" s="110" t="s">
        <v>382</v>
      </c>
      <c r="B1533" s="110"/>
      <c r="C1533" s="111" t="s">
        <v>201</v>
      </c>
      <c r="D1533" s="111">
        <v>2024</v>
      </c>
      <c r="E1533" s="146">
        <v>45443</v>
      </c>
      <c r="F1533" s="111"/>
      <c r="G1533" s="111" t="s">
        <v>202</v>
      </c>
      <c r="H1533" s="111"/>
      <c r="I1533" s="111"/>
      <c r="J1533" s="111"/>
      <c r="K1533" s="112" t="s">
        <v>203</v>
      </c>
      <c r="L1533" s="120">
        <v>0</v>
      </c>
      <c r="M1533" s="120">
        <v>0</v>
      </c>
      <c r="N1533" s="120">
        <v>0</v>
      </c>
      <c r="O1533" s="119" t="str">
        <f t="shared" si="1263"/>
        <v/>
      </c>
      <c r="P1533" s="117">
        <v>0</v>
      </c>
      <c r="Q1533" s="111">
        <v>3454</v>
      </c>
      <c r="R1533" s="117">
        <v>20</v>
      </c>
      <c r="S1533" s="117">
        <v>918.2</v>
      </c>
      <c r="T1533" s="117">
        <v>864.83</v>
      </c>
      <c r="U1533" s="117">
        <v>479.83</v>
      </c>
      <c r="V1533" s="117"/>
      <c r="W1533" s="26">
        <f t="shared" ref="W1533" si="1308">SUM(S1533:V1533)</f>
        <v>2262.86</v>
      </c>
      <c r="X1533" s="118">
        <f t="shared" ref="X1533:X1534" si="1309">IFERROR(S1533/R1533,"")</f>
        <v>45.910000000000004</v>
      </c>
      <c r="Y1533" s="119">
        <f>IFERROR(U1533/P1533,0)</f>
        <v>0</v>
      </c>
      <c r="Z1533" s="117">
        <f t="shared" ref="Z1533:Z1534" si="1310">P1533-W1533</f>
        <v>-2262.86</v>
      </c>
      <c r="AA1533" s="119">
        <f>IFERROR(Z1533/P1533,0)</f>
        <v>0</v>
      </c>
      <c r="AB1533" s="120">
        <f t="shared" ref="AB1533:AB1534" si="1311">M1533-W1533</f>
        <v>-2262.86</v>
      </c>
      <c r="AC1533" s="119" t="str">
        <f t="shared" ref="AC1533:AC1534" si="1312">IFERROR(AA1533-O1533,"")</f>
        <v/>
      </c>
      <c r="AD1533" s="110" t="s">
        <v>803</v>
      </c>
      <c r="AE1533" s="110"/>
      <c r="AF1533" s="110"/>
      <c r="AG1533" s="121"/>
      <c r="AH1533" s="110"/>
    </row>
    <row r="1534" spans="1:34" s="216" customFormat="1" ht="11.25" customHeight="1" x14ac:dyDescent="0.15">
      <c r="A1534" s="53" t="s">
        <v>382</v>
      </c>
      <c r="B1534" s="53"/>
      <c r="C1534" s="54" t="s">
        <v>177</v>
      </c>
      <c r="D1534" s="54"/>
      <c r="E1534" s="70"/>
      <c r="F1534" s="54"/>
      <c r="G1534" s="54"/>
      <c r="H1534" s="54"/>
      <c r="I1534" s="54"/>
      <c r="J1534" s="54"/>
      <c r="K1534" s="106"/>
      <c r="L1534" s="24">
        <f>SUM(L1533)</f>
        <v>0</v>
      </c>
      <c r="M1534" s="24">
        <f t="shared" ref="M1534:N1534" si="1313">SUM(M1533)</f>
        <v>0</v>
      </c>
      <c r="N1534" s="24">
        <f t="shared" si="1313"/>
        <v>0</v>
      </c>
      <c r="O1534" s="57" t="str">
        <f t="shared" si="1263"/>
        <v/>
      </c>
      <c r="P1534" s="24">
        <f>SUM(P1533)</f>
        <v>0</v>
      </c>
      <c r="Q1534" s="24"/>
      <c r="R1534" s="117">
        <f>SUM(R1533)</f>
        <v>20</v>
      </c>
      <c r="S1534" s="117">
        <f t="shared" ref="S1534:V1534" si="1314">SUM(S1533)</f>
        <v>918.2</v>
      </c>
      <c r="T1534" s="117">
        <f t="shared" si="1314"/>
        <v>864.83</v>
      </c>
      <c r="U1534" s="117">
        <f t="shared" si="1314"/>
        <v>479.83</v>
      </c>
      <c r="V1534" s="117">
        <f t="shared" si="1314"/>
        <v>0</v>
      </c>
      <c r="W1534" s="26">
        <f t="shared" ref="W1534" si="1315">SUM(W1533)</f>
        <v>2262.86</v>
      </c>
      <c r="X1534" s="56">
        <f t="shared" si="1309"/>
        <v>45.910000000000004</v>
      </c>
      <c r="Y1534" s="57">
        <f>IFERROR(U1534/P1534,0)</f>
        <v>0</v>
      </c>
      <c r="Z1534" s="28">
        <f t="shared" si="1310"/>
        <v>-2262.86</v>
      </c>
      <c r="AA1534" s="57">
        <f>IFERROR(Z1534/P1534,0)</f>
        <v>0</v>
      </c>
      <c r="AB1534" s="58">
        <f t="shared" si="1311"/>
        <v>-2262.86</v>
      </c>
      <c r="AC1534" s="57" t="str">
        <f t="shared" si="1312"/>
        <v/>
      </c>
      <c r="AD1534" s="53"/>
      <c r="AE1534" s="53"/>
      <c r="AF1534" s="53"/>
      <c r="AG1534" s="61"/>
      <c r="AH1534" s="53"/>
    </row>
    <row r="1535" spans="1:34" ht="11.25" customHeight="1" x14ac:dyDescent="0.15">
      <c r="A1535" s="130"/>
      <c r="B1535" s="130"/>
      <c r="C1535" s="124"/>
      <c r="D1535" s="124"/>
      <c r="E1535" s="273"/>
      <c r="F1535" s="124"/>
      <c r="G1535" s="124"/>
      <c r="H1535" s="124"/>
      <c r="I1535" s="124"/>
      <c r="J1535" s="124"/>
      <c r="K1535" s="125"/>
      <c r="L1535" s="129"/>
      <c r="M1535" s="129"/>
      <c r="N1535" s="129"/>
      <c r="O1535" s="128"/>
      <c r="P1535" s="129"/>
      <c r="Q1535" s="124"/>
      <c r="R1535" s="117"/>
      <c r="S1535" s="117"/>
      <c r="T1535" s="117"/>
      <c r="U1535" s="117"/>
      <c r="V1535" s="117"/>
      <c r="X1535" s="45"/>
      <c r="Y1535" s="128"/>
      <c r="Z1535" s="126"/>
      <c r="AA1535" s="128"/>
      <c r="AB1535" s="129"/>
      <c r="AC1535" s="160"/>
      <c r="AD1535" s="137"/>
      <c r="AE1535" s="110"/>
      <c r="AF1535" s="110"/>
      <c r="AG1535" s="121"/>
      <c r="AH1535" s="110"/>
    </row>
    <row r="1536" spans="1:34" ht="11.25" customHeight="1" x14ac:dyDescent="0.15">
      <c r="A1536" s="110" t="s">
        <v>152</v>
      </c>
      <c r="B1536" s="110"/>
      <c r="C1536" s="111" t="s">
        <v>175</v>
      </c>
      <c r="D1536" s="111">
        <v>2024</v>
      </c>
      <c r="E1536" s="146">
        <v>45443</v>
      </c>
      <c r="F1536" s="111"/>
      <c r="G1536" s="111">
        <v>81110111</v>
      </c>
      <c r="H1536" s="111">
        <v>4101</v>
      </c>
      <c r="I1536" s="111" t="str">
        <f>MID(G1536,2,1)</f>
        <v>1</v>
      </c>
      <c r="J1536" s="111" t="str">
        <f>IF(I1536="1","Small/Medium","Large")</f>
        <v>Small/Medium</v>
      </c>
      <c r="K1536" s="147" t="s">
        <v>145</v>
      </c>
      <c r="L1536" s="120">
        <v>17017</v>
      </c>
      <c r="M1536" s="120">
        <f>L1536*0.3</f>
        <v>5105.0999999999995</v>
      </c>
      <c r="N1536" s="120">
        <f>L1536-M1536</f>
        <v>11911.900000000001</v>
      </c>
      <c r="O1536" s="119">
        <f t="shared" ref="O1536:O1537" si="1316">IFERROR(N1536/L1536,"")</f>
        <v>0.70000000000000007</v>
      </c>
      <c r="P1536" s="120">
        <v>17017</v>
      </c>
      <c r="Q1536" s="111">
        <v>3376</v>
      </c>
      <c r="R1536" s="117">
        <v>23.5</v>
      </c>
      <c r="S1536" s="117">
        <v>1680.96</v>
      </c>
      <c r="T1536" s="117">
        <v>1202.04</v>
      </c>
      <c r="U1536" s="117">
        <v>915.1</v>
      </c>
      <c r="V1536" s="117"/>
      <c r="W1536" s="26">
        <f t="shared" ref="W1536" si="1317">SUM(S1536:V1536)</f>
        <v>3798.1</v>
      </c>
      <c r="X1536" s="118">
        <f t="shared" ref="X1536:X1537" si="1318">IFERROR(S1536/R1536,"")</f>
        <v>71.530212765957444</v>
      </c>
      <c r="Y1536" s="119">
        <f>IFERROR(U1536/P1536,0)</f>
        <v>5.3775636128577303E-2</v>
      </c>
      <c r="Z1536" s="117">
        <f t="shared" ref="Z1536:Z1537" si="1319">P1536-W1536</f>
        <v>13218.9</v>
      </c>
      <c r="AA1536" s="119">
        <f>IFERROR(Z1536/P1536,0)</f>
        <v>0.77680554739378271</v>
      </c>
      <c r="AB1536" s="120">
        <f t="shared" ref="AB1536:AB1537" si="1320">M1536-W1536</f>
        <v>1306.9999999999995</v>
      </c>
      <c r="AC1536" s="119">
        <f t="shared" ref="AC1536:AC1537" si="1321">IFERROR(AA1536-O1536,"")</f>
        <v>7.6805547393782647E-2</v>
      </c>
      <c r="AD1536" s="110" t="s">
        <v>804</v>
      </c>
      <c r="AE1536" s="110"/>
      <c r="AF1536" s="110"/>
      <c r="AG1536" s="121"/>
      <c r="AH1536" s="110"/>
    </row>
    <row r="1537" spans="1:34" s="216" customFormat="1" ht="11.25" customHeight="1" x14ac:dyDescent="0.15">
      <c r="A1537" s="53" t="s">
        <v>152</v>
      </c>
      <c r="B1537" s="53"/>
      <c r="C1537" s="54" t="s">
        <v>177</v>
      </c>
      <c r="D1537" s="54"/>
      <c r="E1537" s="70"/>
      <c r="F1537" s="54"/>
      <c r="G1537" s="54"/>
      <c r="H1537" s="54"/>
      <c r="I1537" s="54"/>
      <c r="J1537" s="54"/>
      <c r="K1537" s="106"/>
      <c r="L1537" s="24">
        <f>SUM(L1536)</f>
        <v>17017</v>
      </c>
      <c r="M1537" s="24">
        <f t="shared" ref="M1537:N1537" si="1322">SUM(M1536)</f>
        <v>5105.0999999999995</v>
      </c>
      <c r="N1537" s="24">
        <f t="shared" si="1322"/>
        <v>11911.900000000001</v>
      </c>
      <c r="O1537" s="57">
        <f t="shared" si="1316"/>
        <v>0.70000000000000007</v>
      </c>
      <c r="P1537" s="24">
        <f>SUM(P1536)</f>
        <v>17017</v>
      </c>
      <c r="Q1537" s="24"/>
      <c r="R1537" s="117">
        <f>SUM(R1536)</f>
        <v>23.5</v>
      </c>
      <c r="S1537" s="117">
        <f t="shared" ref="S1537:V1537" si="1323">SUM(S1536)</f>
        <v>1680.96</v>
      </c>
      <c r="T1537" s="117">
        <f t="shared" si="1323"/>
        <v>1202.04</v>
      </c>
      <c r="U1537" s="117">
        <f t="shared" si="1323"/>
        <v>915.1</v>
      </c>
      <c r="V1537" s="117">
        <f t="shared" si="1323"/>
        <v>0</v>
      </c>
      <c r="W1537" s="26">
        <f t="shared" ref="W1537" si="1324">SUM(W1536)</f>
        <v>3798.1</v>
      </c>
      <c r="X1537" s="56">
        <f t="shared" si="1318"/>
        <v>71.530212765957444</v>
      </c>
      <c r="Y1537" s="57">
        <f>IFERROR(U1537/P1537,0)</f>
        <v>5.3775636128577303E-2</v>
      </c>
      <c r="Z1537" s="28">
        <f t="shared" si="1319"/>
        <v>13218.9</v>
      </c>
      <c r="AA1537" s="57">
        <f>IFERROR(Z1537/P1537,0)</f>
        <v>0.77680554739378271</v>
      </c>
      <c r="AB1537" s="58">
        <f t="shared" si="1320"/>
        <v>1306.9999999999995</v>
      </c>
      <c r="AC1537" s="57">
        <f t="shared" si="1321"/>
        <v>7.6805547393782647E-2</v>
      </c>
      <c r="AD1537" s="53"/>
      <c r="AE1537" s="53"/>
      <c r="AF1537" s="53"/>
      <c r="AG1537" s="61"/>
      <c r="AH1537" s="53"/>
    </row>
    <row r="1538" spans="1:34" ht="11.25" customHeight="1" x14ac:dyDescent="0.15">
      <c r="A1538" s="130"/>
      <c r="B1538" s="130"/>
      <c r="C1538" s="124"/>
      <c r="D1538" s="124"/>
      <c r="E1538" s="273"/>
      <c r="F1538" s="124"/>
      <c r="G1538" s="124"/>
      <c r="H1538" s="124"/>
      <c r="I1538" s="124"/>
      <c r="J1538" s="124"/>
      <c r="K1538" s="125"/>
      <c r="L1538" s="129"/>
      <c r="M1538" s="129"/>
      <c r="N1538" s="129"/>
      <c r="O1538" s="128"/>
      <c r="P1538" s="129"/>
      <c r="Q1538" s="124"/>
      <c r="R1538" s="117"/>
      <c r="S1538" s="117"/>
      <c r="T1538" s="117"/>
      <c r="U1538" s="117"/>
      <c r="V1538" s="117"/>
      <c r="X1538" s="45"/>
      <c r="Y1538" s="128"/>
      <c r="Z1538" s="126"/>
      <c r="AA1538" s="128"/>
      <c r="AB1538" s="129"/>
      <c r="AC1538" s="160"/>
      <c r="AD1538" s="137"/>
      <c r="AE1538" s="110"/>
      <c r="AF1538" s="110"/>
      <c r="AG1538" s="121"/>
      <c r="AH1538" s="110"/>
    </row>
    <row r="1539" spans="1:34" ht="11.25" customHeight="1" x14ac:dyDescent="0.15">
      <c r="A1539" s="110" t="s">
        <v>540</v>
      </c>
      <c r="B1539" s="110"/>
      <c r="C1539" s="111" t="s">
        <v>175</v>
      </c>
      <c r="D1539" s="111">
        <v>2024</v>
      </c>
      <c r="E1539" s="146">
        <v>45443</v>
      </c>
      <c r="F1539" s="111"/>
      <c r="G1539" s="111">
        <v>81010101</v>
      </c>
      <c r="H1539" s="111">
        <v>4111</v>
      </c>
      <c r="I1539" s="111" t="str">
        <f>MID(G1539,2,1)</f>
        <v>1</v>
      </c>
      <c r="J1539" s="111" t="str">
        <f>IF(I1539="1","Small/Medium","Large")</f>
        <v>Small/Medium</v>
      </c>
      <c r="K1539" s="147" t="s">
        <v>145</v>
      </c>
      <c r="L1539" s="120">
        <v>22864</v>
      </c>
      <c r="M1539" s="120">
        <f>L1539*0.3</f>
        <v>6859.2</v>
      </c>
      <c r="N1539" s="120">
        <f>L1539-M1539</f>
        <v>16004.8</v>
      </c>
      <c r="O1539" s="119">
        <f t="shared" ref="O1539:O1540" si="1325">IFERROR(N1539/L1539,"")</f>
        <v>0.7</v>
      </c>
      <c r="P1539" s="120">
        <v>22864</v>
      </c>
      <c r="Q1539" s="111">
        <v>3383</v>
      </c>
      <c r="R1539" s="117">
        <v>21.5</v>
      </c>
      <c r="S1539" s="117">
        <v>964.92</v>
      </c>
      <c r="T1539" s="117">
        <v>1202.01</v>
      </c>
      <c r="U1539" s="117">
        <v>695.3</v>
      </c>
      <c r="V1539" s="117"/>
      <c r="W1539" s="26">
        <f t="shared" ref="W1539" si="1326">SUM(S1539:V1539)</f>
        <v>2862.2299999999996</v>
      </c>
      <c r="X1539" s="118">
        <f t="shared" ref="X1539:X1540" si="1327">IFERROR(S1539/R1539,"")</f>
        <v>44.879999999999995</v>
      </c>
      <c r="Y1539" s="119">
        <f>IFERROR(U1539/P1539,0)</f>
        <v>3.041025192442267E-2</v>
      </c>
      <c r="Z1539" s="117">
        <f t="shared" ref="Z1539:Z1540" si="1328">P1539-W1539</f>
        <v>20001.77</v>
      </c>
      <c r="AA1539" s="119">
        <f>IFERROR(Z1539/P1539,0)</f>
        <v>0.87481499300209942</v>
      </c>
      <c r="AB1539" s="120">
        <f t="shared" ref="AB1539:AB1540" si="1329">M1539-W1539</f>
        <v>3996.9700000000003</v>
      </c>
      <c r="AC1539" s="119">
        <f t="shared" ref="AC1539:AC1540" si="1330">IFERROR(AA1539-O1539,"")</f>
        <v>0.17481499300209946</v>
      </c>
      <c r="AD1539" s="110" t="s">
        <v>805</v>
      </c>
      <c r="AE1539" s="110"/>
      <c r="AF1539" s="110"/>
      <c r="AG1539" s="121"/>
      <c r="AH1539" s="110"/>
    </row>
    <row r="1540" spans="1:34" s="216" customFormat="1" ht="11.25" customHeight="1" x14ac:dyDescent="0.15">
      <c r="A1540" s="53" t="s">
        <v>540</v>
      </c>
      <c r="B1540" s="53"/>
      <c r="C1540" s="54" t="s">
        <v>177</v>
      </c>
      <c r="D1540" s="54"/>
      <c r="E1540" s="70"/>
      <c r="F1540" s="54"/>
      <c r="G1540" s="54"/>
      <c r="H1540" s="54"/>
      <c r="I1540" s="54"/>
      <c r="J1540" s="54"/>
      <c r="K1540" s="106"/>
      <c r="L1540" s="24">
        <f>SUM(L1539)</f>
        <v>22864</v>
      </c>
      <c r="M1540" s="24">
        <f t="shared" ref="M1540:N1540" si="1331">SUM(M1539)</f>
        <v>6859.2</v>
      </c>
      <c r="N1540" s="24">
        <f t="shared" si="1331"/>
        <v>16004.8</v>
      </c>
      <c r="O1540" s="57">
        <f t="shared" si="1325"/>
        <v>0.7</v>
      </c>
      <c r="P1540" s="24">
        <f>SUM(P1539)</f>
        <v>22864</v>
      </c>
      <c r="Q1540" s="24"/>
      <c r="R1540" s="117">
        <f>SUM(R1539)</f>
        <v>21.5</v>
      </c>
      <c r="S1540" s="117">
        <f t="shared" ref="S1540" si="1332">SUM(S1539)</f>
        <v>964.92</v>
      </c>
      <c r="T1540" s="117">
        <f t="shared" ref="T1540" si="1333">SUM(T1539)</f>
        <v>1202.01</v>
      </c>
      <c r="U1540" s="117">
        <f t="shared" ref="U1540" si="1334">SUM(U1539)</f>
        <v>695.3</v>
      </c>
      <c r="V1540" s="117">
        <f t="shared" ref="V1540" si="1335">SUM(V1539)</f>
        <v>0</v>
      </c>
      <c r="W1540" s="26">
        <f t="shared" ref="W1540" si="1336">SUM(W1539)</f>
        <v>2862.2299999999996</v>
      </c>
      <c r="X1540" s="56">
        <f t="shared" si="1327"/>
        <v>44.879999999999995</v>
      </c>
      <c r="Y1540" s="57">
        <f>IFERROR(U1540/P1540,0)</f>
        <v>3.041025192442267E-2</v>
      </c>
      <c r="Z1540" s="28">
        <f t="shared" si="1328"/>
        <v>20001.77</v>
      </c>
      <c r="AA1540" s="57">
        <f>IFERROR(Z1540/P1540,0)</f>
        <v>0.87481499300209942</v>
      </c>
      <c r="AB1540" s="58">
        <f t="shared" si="1329"/>
        <v>3996.9700000000003</v>
      </c>
      <c r="AC1540" s="57">
        <f t="shared" si="1330"/>
        <v>0.17481499300209946</v>
      </c>
      <c r="AD1540" s="53"/>
      <c r="AE1540" s="53"/>
      <c r="AF1540" s="53"/>
      <c r="AG1540" s="61"/>
      <c r="AH1540" s="53"/>
    </row>
    <row r="1541" spans="1:34" ht="11.25" customHeight="1" x14ac:dyDescent="0.15">
      <c r="A1541" s="130"/>
      <c r="B1541" s="130"/>
      <c r="C1541" s="124"/>
      <c r="D1541" s="124"/>
      <c r="E1541" s="273"/>
      <c r="F1541" s="124"/>
      <c r="G1541" s="124"/>
      <c r="H1541" s="124"/>
      <c r="I1541" s="124"/>
      <c r="J1541" s="124"/>
      <c r="K1541" s="125"/>
      <c r="L1541" s="129"/>
      <c r="M1541" s="129"/>
      <c r="N1541" s="129"/>
      <c r="O1541" s="128"/>
      <c r="P1541" s="129"/>
      <c r="Q1541" s="124"/>
      <c r="R1541" s="117"/>
      <c r="S1541" s="117"/>
      <c r="T1541" s="117"/>
      <c r="U1541" s="117"/>
      <c r="V1541" s="117"/>
      <c r="X1541" s="45"/>
      <c r="Y1541" s="128"/>
      <c r="Z1541" s="126"/>
      <c r="AA1541" s="128"/>
      <c r="AB1541" s="129"/>
      <c r="AC1541" s="160"/>
      <c r="AD1541" s="137"/>
      <c r="AE1541" s="110"/>
      <c r="AF1541" s="110"/>
      <c r="AG1541" s="121"/>
      <c r="AH1541" s="110"/>
    </row>
    <row r="1542" spans="1:34" ht="11.25" customHeight="1" x14ac:dyDescent="0.15">
      <c r="A1542" s="110" t="s">
        <v>296</v>
      </c>
      <c r="B1542" s="110"/>
      <c r="C1542" s="111" t="s">
        <v>175</v>
      </c>
      <c r="D1542" s="111">
        <v>2024</v>
      </c>
      <c r="E1542" s="146">
        <v>45443</v>
      </c>
      <c r="F1542" s="111"/>
      <c r="G1542" s="111">
        <v>81100311</v>
      </c>
      <c r="H1542" s="111">
        <v>4101</v>
      </c>
      <c r="I1542" s="111" t="str">
        <f>MID(G1542,2,1)</f>
        <v>1</v>
      </c>
      <c r="J1542" s="111" t="str">
        <f>IF(I1542="1","Small/Medium","Large")</f>
        <v>Small/Medium</v>
      </c>
      <c r="K1542" s="147" t="s">
        <v>145</v>
      </c>
      <c r="L1542" s="120">
        <v>12141</v>
      </c>
      <c r="M1542" s="120">
        <f>L1542*0.3</f>
        <v>3642.2999999999997</v>
      </c>
      <c r="N1542" s="120">
        <f>L1542-M1542</f>
        <v>8498.7000000000007</v>
      </c>
      <c r="O1542" s="119">
        <f>IFERROR(N1542/L1542,"")</f>
        <v>0.70000000000000007</v>
      </c>
      <c r="P1542" s="120">
        <v>12141</v>
      </c>
      <c r="Q1542" s="111">
        <v>3428</v>
      </c>
      <c r="R1542" s="117">
        <v>21</v>
      </c>
      <c r="S1542" s="117">
        <v>942.48</v>
      </c>
      <c r="T1542" s="117">
        <v>1197.8800000000001</v>
      </c>
      <c r="U1542" s="117">
        <v>297.5</v>
      </c>
      <c r="V1542" s="117"/>
      <c r="W1542" s="26">
        <f t="shared" ref="W1542:W1543" si="1337">SUM(S1542:V1542)</f>
        <v>2437.86</v>
      </c>
      <c r="X1542" s="118">
        <f t="shared" ref="X1542:X1544" si="1338">IFERROR(S1542/R1542,"")</f>
        <v>44.88</v>
      </c>
      <c r="Y1542" s="119">
        <f t="shared" ref="Y1542:Y1544" si="1339">U1542/P1542</f>
        <v>2.4503747631990775E-2</v>
      </c>
      <c r="Z1542" s="117">
        <f t="shared" ref="Z1542:Z1544" si="1340">P1542-W1542</f>
        <v>9703.14</v>
      </c>
      <c r="AA1542" s="119">
        <f t="shared" ref="AA1542:AA1544" si="1341">Z1542/P1542</f>
        <v>0.79920434890042003</v>
      </c>
      <c r="AB1542" s="120">
        <f t="shared" ref="AB1542:AB1544" si="1342">M1542-W1542</f>
        <v>1204.4399999999996</v>
      </c>
      <c r="AC1542" s="119">
        <f t="shared" ref="AC1542:AC1544" si="1343">IFERROR(AA1542-O1542,"")</f>
        <v>9.9204348900419959E-2</v>
      </c>
      <c r="AD1542" s="110" t="s">
        <v>806</v>
      </c>
      <c r="AE1542" s="110"/>
      <c r="AF1542" s="110"/>
      <c r="AG1542" s="121"/>
      <c r="AH1542" s="110"/>
    </row>
    <row r="1543" spans="1:34" ht="11.25" customHeight="1" x14ac:dyDescent="0.15">
      <c r="A1543" s="110" t="s">
        <v>296</v>
      </c>
      <c r="B1543" s="110"/>
      <c r="C1543" s="111" t="s">
        <v>175</v>
      </c>
      <c r="D1543" s="111">
        <v>2024</v>
      </c>
      <c r="E1543" s="146">
        <v>45443</v>
      </c>
      <c r="F1543" s="111"/>
      <c r="G1543" s="111">
        <v>82100311</v>
      </c>
      <c r="H1543" s="111">
        <v>4101</v>
      </c>
      <c r="I1543" s="111" t="str">
        <f>MID(G1543,2,1)</f>
        <v>2</v>
      </c>
      <c r="J1543" s="111" t="str">
        <f>IF(I1543="1","Small/Medium","Large")</f>
        <v>Large</v>
      </c>
      <c r="K1543" s="147" t="s">
        <v>176</v>
      </c>
      <c r="L1543" s="120">
        <v>16339</v>
      </c>
      <c r="M1543" s="120">
        <f>L1543*0.3</f>
        <v>4901.7</v>
      </c>
      <c r="N1543" s="120">
        <f>L1543-M1543</f>
        <v>11437.3</v>
      </c>
      <c r="O1543" s="119">
        <f>IFERROR(N1543/L1543,"")</f>
        <v>0.7</v>
      </c>
      <c r="P1543" s="120">
        <v>16339</v>
      </c>
      <c r="Q1543" s="111">
        <v>3429</v>
      </c>
      <c r="R1543" s="117">
        <v>21</v>
      </c>
      <c r="S1543" s="117">
        <v>942.48</v>
      </c>
      <c r="T1543" s="117">
        <v>1527.92</v>
      </c>
      <c r="U1543" s="117">
        <v>297.5</v>
      </c>
      <c r="V1543" s="117"/>
      <c r="W1543" s="26">
        <f t="shared" si="1337"/>
        <v>2767.9</v>
      </c>
      <c r="X1543" s="118">
        <f t="shared" si="1338"/>
        <v>44.88</v>
      </c>
      <c r="Y1543" s="119">
        <f t="shared" si="1339"/>
        <v>1.8207968663932921E-2</v>
      </c>
      <c r="Z1543" s="117">
        <f t="shared" si="1340"/>
        <v>13571.1</v>
      </c>
      <c r="AA1543" s="119">
        <f t="shared" si="1341"/>
        <v>0.83059550768100865</v>
      </c>
      <c r="AB1543" s="120">
        <f t="shared" si="1342"/>
        <v>2133.7999999999997</v>
      </c>
      <c r="AC1543" s="119">
        <f t="shared" si="1343"/>
        <v>0.13059550768100869</v>
      </c>
      <c r="AD1543" s="110"/>
      <c r="AE1543" s="110"/>
      <c r="AF1543" s="110"/>
      <c r="AG1543" s="121"/>
      <c r="AH1543" s="110"/>
    </row>
    <row r="1544" spans="1:34" s="216" customFormat="1" ht="11.25" customHeight="1" x14ac:dyDescent="0.15">
      <c r="A1544" s="53" t="s">
        <v>296</v>
      </c>
      <c r="B1544" s="53"/>
      <c r="C1544" s="54" t="s">
        <v>177</v>
      </c>
      <c r="D1544" s="54"/>
      <c r="E1544" s="70"/>
      <c r="F1544" s="54"/>
      <c r="G1544" s="54"/>
      <c r="H1544" s="54"/>
      <c r="I1544" s="54"/>
      <c r="J1544" s="54"/>
      <c r="K1544" s="106"/>
      <c r="L1544" s="24">
        <f>SUM(L1542:L1543)</f>
        <v>28480</v>
      </c>
      <c r="M1544" s="24">
        <f t="shared" ref="M1544:N1544" si="1344">SUM(M1542:M1543)</f>
        <v>8544</v>
      </c>
      <c r="N1544" s="24">
        <f t="shared" si="1344"/>
        <v>19936</v>
      </c>
      <c r="O1544" s="57">
        <f>IFERROR(N1544/L1544,"")</f>
        <v>0.7</v>
      </c>
      <c r="P1544" s="24">
        <f>SUM(P1542:P1543)</f>
        <v>28480</v>
      </c>
      <c r="Q1544" s="24"/>
      <c r="R1544" s="117">
        <f>SUM(R1542:R1543)</f>
        <v>42</v>
      </c>
      <c r="S1544" s="117">
        <f t="shared" ref="S1544:V1544" si="1345">SUM(S1542:S1543)</f>
        <v>1884.96</v>
      </c>
      <c r="T1544" s="117">
        <f t="shared" si="1345"/>
        <v>2725.8</v>
      </c>
      <c r="U1544" s="117">
        <f t="shared" si="1345"/>
        <v>595</v>
      </c>
      <c r="V1544" s="117">
        <f t="shared" si="1345"/>
        <v>0</v>
      </c>
      <c r="W1544" s="26">
        <f>SUM(W1542:W1543)</f>
        <v>5205.76</v>
      </c>
      <c r="X1544" s="56">
        <f t="shared" si="1338"/>
        <v>44.88</v>
      </c>
      <c r="Y1544" s="57">
        <f t="shared" si="1339"/>
        <v>2.0891853932584269E-2</v>
      </c>
      <c r="Z1544" s="28">
        <f t="shared" si="1340"/>
        <v>23274.239999999998</v>
      </c>
      <c r="AA1544" s="57">
        <f t="shared" si="1341"/>
        <v>0.81721348314606734</v>
      </c>
      <c r="AB1544" s="58">
        <f t="shared" si="1342"/>
        <v>3338.24</v>
      </c>
      <c r="AC1544" s="57">
        <f t="shared" si="1343"/>
        <v>0.11721348314606739</v>
      </c>
      <c r="AD1544" s="53"/>
      <c r="AE1544" s="53"/>
      <c r="AF1544" s="53"/>
      <c r="AG1544" s="61"/>
      <c r="AH1544" s="53"/>
    </row>
    <row r="1545" spans="1:34" ht="11.25" customHeight="1" x14ac:dyDescent="0.15">
      <c r="A1545" s="130"/>
      <c r="B1545" s="130"/>
      <c r="C1545" s="124"/>
      <c r="D1545" s="124"/>
      <c r="E1545" s="273"/>
      <c r="F1545" s="124"/>
      <c r="G1545" s="124"/>
      <c r="H1545" s="124"/>
      <c r="I1545" s="124"/>
      <c r="J1545" s="124"/>
      <c r="K1545" s="125"/>
      <c r="L1545" s="129"/>
      <c r="M1545" s="129"/>
      <c r="N1545" s="129"/>
      <c r="O1545" s="128"/>
      <c r="P1545" s="129"/>
      <c r="Q1545" s="124"/>
      <c r="R1545" s="117"/>
      <c r="S1545" s="117"/>
      <c r="T1545" s="117"/>
      <c r="U1545" s="117"/>
      <c r="V1545" s="117"/>
      <c r="X1545" s="45"/>
      <c r="Y1545" s="128"/>
      <c r="Z1545" s="126"/>
      <c r="AA1545" s="128"/>
      <c r="AB1545" s="129"/>
      <c r="AC1545" s="160"/>
      <c r="AD1545" s="137"/>
      <c r="AE1545" s="110"/>
      <c r="AF1545" s="110"/>
      <c r="AG1545" s="121"/>
      <c r="AH1545" s="110"/>
    </row>
    <row r="1546" spans="1:34" ht="11.25" customHeight="1" x14ac:dyDescent="0.15">
      <c r="A1546" s="110" t="s">
        <v>308</v>
      </c>
      <c r="B1546" s="110"/>
      <c r="C1546" s="111" t="s">
        <v>175</v>
      </c>
      <c r="D1546" s="111">
        <v>2024</v>
      </c>
      <c r="E1546" s="146">
        <v>45443</v>
      </c>
      <c r="F1546" s="111"/>
      <c r="G1546" s="111">
        <v>81100311</v>
      </c>
      <c r="H1546" s="111">
        <v>4101</v>
      </c>
      <c r="I1546" s="111" t="str">
        <f>MID(G1546,2,1)</f>
        <v>1</v>
      </c>
      <c r="J1546" s="111" t="str">
        <f>IF(I1546="1","Small/Medium","Large")</f>
        <v>Small/Medium</v>
      </c>
      <c r="K1546" s="147" t="s">
        <v>145</v>
      </c>
      <c r="L1546" s="117">
        <f>25166.4+19188</f>
        <v>44354.400000000001</v>
      </c>
      <c r="M1546" s="120">
        <f>L1546*0.3</f>
        <v>13306.32</v>
      </c>
      <c r="N1546" s="120">
        <f>L1546-M1546</f>
        <v>31048.080000000002</v>
      </c>
      <c r="O1546" s="119">
        <f>IFERROR(N1546/L1546,"")</f>
        <v>0.70000000000000007</v>
      </c>
      <c r="P1546" s="117">
        <f>25166.4+19188</f>
        <v>44354.400000000001</v>
      </c>
      <c r="Q1546" s="111">
        <v>2309</v>
      </c>
      <c r="R1546" s="117">
        <v>21</v>
      </c>
      <c r="S1546" s="117">
        <v>942.48</v>
      </c>
      <c r="T1546" s="117">
        <v>1095.94</v>
      </c>
      <c r="U1546" s="117">
        <v>321.95</v>
      </c>
      <c r="V1546" s="117"/>
      <c r="W1546" s="26">
        <f t="shared" ref="W1546:W1547" si="1346">SUM(S1546:V1546)</f>
        <v>2360.37</v>
      </c>
      <c r="X1546" s="118">
        <f t="shared" ref="X1546:X1548" si="1347">IFERROR(S1546/R1546,"")</f>
        <v>44.88</v>
      </c>
      <c r="Y1546" s="119">
        <f t="shared" ref="Y1546:Y1548" si="1348">U1546/P1546</f>
        <v>7.258580884872752E-3</v>
      </c>
      <c r="Z1546" s="117">
        <f t="shared" ref="Z1546:Z1548" si="1349">P1546-W1546</f>
        <v>41994.03</v>
      </c>
      <c r="AA1546" s="119">
        <f t="shared" ref="AA1546:AA1548" si="1350">Z1546/P1546</f>
        <v>0.94678385909853358</v>
      </c>
      <c r="AB1546" s="120">
        <f t="shared" ref="AB1546:AB1548" si="1351">M1546-W1546</f>
        <v>10945.95</v>
      </c>
      <c r="AC1546" s="119">
        <f t="shared" ref="AC1546:AC1548" si="1352">IFERROR(AA1546-O1546,"")</f>
        <v>0.24678385909853351</v>
      </c>
      <c r="AD1546" s="110" t="s">
        <v>807</v>
      </c>
      <c r="AE1546" s="110"/>
      <c r="AF1546" s="110"/>
      <c r="AG1546" s="121"/>
      <c r="AH1546" s="110"/>
    </row>
    <row r="1547" spans="1:34" ht="11.25" customHeight="1" x14ac:dyDescent="0.15">
      <c r="A1547" s="110" t="s">
        <v>308</v>
      </c>
      <c r="B1547" s="110"/>
      <c r="C1547" s="111" t="s">
        <v>175</v>
      </c>
      <c r="D1547" s="111">
        <v>2024</v>
      </c>
      <c r="E1547" s="146">
        <v>45443</v>
      </c>
      <c r="F1547" s="111"/>
      <c r="G1547" s="111">
        <v>82100311</v>
      </c>
      <c r="H1547" s="111">
        <v>4101</v>
      </c>
      <c r="I1547" s="111" t="str">
        <f>MID(G1547,2,1)</f>
        <v>2</v>
      </c>
      <c r="J1547" s="111" t="str">
        <f>IF(I1547="1","Small/Medium","Large")</f>
        <v>Large</v>
      </c>
      <c r="K1547" s="147" t="s">
        <v>176</v>
      </c>
      <c r="L1547" s="117">
        <f>10785.6+8224</f>
        <v>19009.599999999999</v>
      </c>
      <c r="M1547" s="120">
        <f>L1547*0.3</f>
        <v>5702.8799999999992</v>
      </c>
      <c r="N1547" s="120">
        <f>L1547-M1547</f>
        <v>13306.72</v>
      </c>
      <c r="O1547" s="119">
        <f>IFERROR(N1547/L1547,"")</f>
        <v>0.70000000000000007</v>
      </c>
      <c r="P1547" s="117">
        <f>10785.6+8224</f>
        <v>19009.599999999999</v>
      </c>
      <c r="Q1547" s="111">
        <v>2308</v>
      </c>
      <c r="R1547" s="117">
        <v>29</v>
      </c>
      <c r="S1547" s="117">
        <v>1301.52</v>
      </c>
      <c r="T1547" s="117">
        <v>1597.45</v>
      </c>
      <c r="U1547" s="117">
        <v>271.76</v>
      </c>
      <c r="V1547" s="117"/>
      <c r="W1547" s="26">
        <f t="shared" si="1346"/>
        <v>3170.7300000000005</v>
      </c>
      <c r="X1547" s="118">
        <f t="shared" si="1347"/>
        <v>44.88</v>
      </c>
      <c r="Y1547" s="119">
        <f t="shared" si="1348"/>
        <v>1.4295934685632523E-2</v>
      </c>
      <c r="Z1547" s="117">
        <f t="shared" si="1349"/>
        <v>15838.869999999999</v>
      </c>
      <c r="AA1547" s="119">
        <f t="shared" si="1350"/>
        <v>0.83320374968437005</v>
      </c>
      <c r="AB1547" s="120">
        <f t="shared" si="1351"/>
        <v>2532.1499999999987</v>
      </c>
      <c r="AC1547" s="119">
        <f t="shared" si="1352"/>
        <v>0.13320374968436999</v>
      </c>
      <c r="AD1547" s="110"/>
      <c r="AE1547" s="110"/>
      <c r="AF1547" s="110"/>
      <c r="AG1547" s="121"/>
      <c r="AH1547" s="110"/>
    </row>
    <row r="1548" spans="1:34" s="216" customFormat="1" ht="11.25" customHeight="1" x14ac:dyDescent="0.15">
      <c r="A1548" s="53" t="s">
        <v>308</v>
      </c>
      <c r="B1548" s="53"/>
      <c r="C1548" s="54" t="s">
        <v>177</v>
      </c>
      <c r="D1548" s="54"/>
      <c r="E1548" s="70"/>
      <c r="F1548" s="54"/>
      <c r="G1548" s="54"/>
      <c r="H1548" s="54"/>
      <c r="I1548" s="54"/>
      <c r="J1548" s="54"/>
      <c r="K1548" s="106"/>
      <c r="L1548" s="24">
        <f>SUM(L1546:L1547)</f>
        <v>63364</v>
      </c>
      <c r="M1548" s="24">
        <f t="shared" ref="M1548:N1548" si="1353">SUM(M1546:M1547)</f>
        <v>19009.199999999997</v>
      </c>
      <c r="N1548" s="24">
        <f t="shared" si="1353"/>
        <v>44354.8</v>
      </c>
      <c r="O1548" s="57">
        <f>IFERROR(N1548/L1548,"")</f>
        <v>0.70000000000000007</v>
      </c>
      <c r="P1548" s="24">
        <f>SUM(P1546:P1547)</f>
        <v>63364</v>
      </c>
      <c r="Q1548" s="24"/>
      <c r="R1548" s="117">
        <f>SUM(R1546:R1547)</f>
        <v>50</v>
      </c>
      <c r="S1548" s="117">
        <f t="shared" ref="S1548:V1548" si="1354">SUM(S1546:S1547)</f>
        <v>2244</v>
      </c>
      <c r="T1548" s="117">
        <f t="shared" si="1354"/>
        <v>2693.3900000000003</v>
      </c>
      <c r="U1548" s="117">
        <f t="shared" si="1354"/>
        <v>593.71</v>
      </c>
      <c r="V1548" s="117">
        <f t="shared" si="1354"/>
        <v>0</v>
      </c>
      <c r="W1548" s="26">
        <f>SUM(W1546:W1547)</f>
        <v>5531.1</v>
      </c>
      <c r="X1548" s="56">
        <f t="shared" si="1347"/>
        <v>44.88</v>
      </c>
      <c r="Y1548" s="57">
        <f t="shared" si="1348"/>
        <v>9.3698314500347199E-3</v>
      </c>
      <c r="Z1548" s="28">
        <f t="shared" si="1349"/>
        <v>57832.9</v>
      </c>
      <c r="AA1548" s="57">
        <f t="shared" si="1350"/>
        <v>0.91270910927340443</v>
      </c>
      <c r="AB1548" s="58">
        <f t="shared" si="1351"/>
        <v>13478.099999999997</v>
      </c>
      <c r="AC1548" s="57">
        <f t="shared" si="1352"/>
        <v>0.21270910927340436</v>
      </c>
      <c r="AD1548" s="53"/>
      <c r="AE1548" s="53"/>
      <c r="AF1548" s="53"/>
      <c r="AG1548" s="61"/>
      <c r="AH1548" s="53"/>
    </row>
    <row r="1549" spans="1:34" ht="11.25" customHeight="1" x14ac:dyDescent="0.15">
      <c r="A1549" s="130"/>
      <c r="B1549" s="130"/>
      <c r="C1549" s="124"/>
      <c r="D1549" s="124"/>
      <c r="E1549" s="273"/>
      <c r="F1549" s="124"/>
      <c r="G1549" s="124"/>
      <c r="H1549" s="124"/>
      <c r="I1549" s="124"/>
      <c r="J1549" s="124"/>
      <c r="K1549" s="125"/>
      <c r="L1549" s="129"/>
      <c r="M1549" s="129"/>
      <c r="N1549" s="129"/>
      <c r="O1549" s="128"/>
      <c r="P1549" s="129"/>
      <c r="Q1549" s="124"/>
      <c r="R1549" s="117"/>
      <c r="S1549" s="117"/>
      <c r="T1549" s="117"/>
      <c r="U1549" s="117"/>
      <c r="V1549" s="117"/>
      <c r="X1549" s="45"/>
      <c r="Y1549" s="128"/>
      <c r="Z1549" s="126"/>
      <c r="AA1549" s="128"/>
      <c r="AB1549" s="129"/>
      <c r="AC1549" s="160"/>
      <c r="AD1549" s="137"/>
      <c r="AE1549" s="110"/>
      <c r="AF1549" s="110"/>
      <c r="AG1549" s="121"/>
      <c r="AH1549" s="110"/>
    </row>
    <row r="1550" spans="1:34" ht="11.25" customHeight="1" x14ac:dyDescent="0.15">
      <c r="A1550" s="110" t="s">
        <v>510</v>
      </c>
      <c r="B1550" s="110"/>
      <c r="C1550" s="111" t="s">
        <v>164</v>
      </c>
      <c r="D1550" s="111">
        <v>2024</v>
      </c>
      <c r="E1550" s="146">
        <v>45443</v>
      </c>
      <c r="F1550" s="111"/>
      <c r="G1550" s="111" t="s">
        <v>808</v>
      </c>
      <c r="H1550" s="111"/>
      <c r="I1550" s="111"/>
      <c r="J1550" s="111"/>
      <c r="K1550" s="147" t="s">
        <v>809</v>
      </c>
      <c r="L1550" s="120">
        <v>941</v>
      </c>
      <c r="M1550" s="120">
        <v>411.08</v>
      </c>
      <c r="N1550" s="120">
        <f t="shared" ref="N1550:N1557" si="1355">L1550-M1550</f>
        <v>529.92000000000007</v>
      </c>
      <c r="O1550" s="119">
        <f t="shared" ref="O1550:O1558" si="1356">IFERROR(N1550/L1550,"")</f>
        <v>0.56314558979808726</v>
      </c>
      <c r="P1550" s="120">
        <v>941</v>
      </c>
      <c r="Q1550" s="111"/>
      <c r="R1550" s="117"/>
      <c r="S1550" s="117"/>
      <c r="T1550" s="117"/>
      <c r="U1550" s="117">
        <v>437.37</v>
      </c>
      <c r="V1550" s="117"/>
      <c r="W1550" s="26">
        <f t="shared" ref="W1550:W1557" si="1357">SUM(S1550:V1550)</f>
        <v>437.37</v>
      </c>
      <c r="X1550" s="118" t="str">
        <f t="shared" ref="X1550" si="1358">IFERROR(S1550/R1550,"")</f>
        <v/>
      </c>
      <c r="Y1550" s="119">
        <f t="shared" ref="Y1550" si="1359">U1550/P1550</f>
        <v>0.46479277364505844</v>
      </c>
      <c r="Z1550" s="117">
        <f t="shared" ref="Z1550" si="1360">P1550-W1550</f>
        <v>503.63</v>
      </c>
      <c r="AA1550" s="119">
        <f t="shared" ref="AA1550" si="1361">Z1550/P1550</f>
        <v>0.53520722635494156</v>
      </c>
      <c r="AB1550" s="120">
        <f t="shared" ref="AB1550" si="1362">M1550-W1550</f>
        <v>-26.29000000000002</v>
      </c>
      <c r="AC1550" s="119">
        <f t="shared" ref="AC1550" si="1363">IFERROR(AA1550-O1550,"")</f>
        <v>-2.7938363443145708E-2</v>
      </c>
      <c r="AD1550" s="110" t="s">
        <v>810</v>
      </c>
      <c r="AE1550" s="110"/>
      <c r="AF1550" s="110"/>
      <c r="AG1550" s="121"/>
      <c r="AH1550" s="110"/>
    </row>
    <row r="1551" spans="1:34" ht="11.25" customHeight="1" x14ac:dyDescent="0.15">
      <c r="A1551" s="110" t="s">
        <v>510</v>
      </c>
      <c r="B1551" s="110"/>
      <c r="C1551" s="111" t="s">
        <v>164</v>
      </c>
      <c r="D1551" s="111">
        <v>2024</v>
      </c>
      <c r="E1551" s="146">
        <v>45443</v>
      </c>
      <c r="F1551" s="111"/>
      <c r="G1551" s="111" t="s">
        <v>811</v>
      </c>
      <c r="H1551" s="111"/>
      <c r="I1551" s="111"/>
      <c r="J1551" s="111"/>
      <c r="K1551" s="147" t="s">
        <v>812</v>
      </c>
      <c r="L1551" s="120">
        <v>833</v>
      </c>
      <c r="M1551" s="120">
        <v>363.86</v>
      </c>
      <c r="N1551" s="120">
        <f t="shared" si="1355"/>
        <v>469.14</v>
      </c>
      <c r="O1551" s="119">
        <f t="shared" si="1356"/>
        <v>0.56319327731092439</v>
      </c>
      <c r="P1551" s="120">
        <v>833</v>
      </c>
      <c r="Q1551" s="111"/>
      <c r="R1551" s="117"/>
      <c r="S1551" s="117"/>
      <c r="T1551" s="117"/>
      <c r="U1551" s="117">
        <v>388.54</v>
      </c>
      <c r="V1551" s="117"/>
      <c r="W1551" s="26">
        <f t="shared" si="1357"/>
        <v>388.54</v>
      </c>
      <c r="X1551" s="118" t="str">
        <f t="shared" ref="X1551:X1558" si="1364">IFERROR(S1551/R1551,"")</f>
        <v/>
      </c>
      <c r="Y1551" s="119">
        <f t="shared" ref="Y1551:Y1558" si="1365">U1551/P1551</f>
        <v>0.46643457382953185</v>
      </c>
      <c r="Z1551" s="117">
        <f t="shared" ref="Z1551:Z1558" si="1366">P1551-W1551</f>
        <v>444.46</v>
      </c>
      <c r="AA1551" s="119">
        <f t="shared" ref="AA1551:AA1558" si="1367">Z1551/P1551</f>
        <v>0.5335654261704682</v>
      </c>
      <c r="AB1551" s="120">
        <f t="shared" ref="AB1551:AB1558" si="1368">M1551-W1551</f>
        <v>-24.680000000000007</v>
      </c>
      <c r="AC1551" s="119">
        <f t="shared" ref="AC1551:AC1558" si="1369">IFERROR(AA1551-O1551,"")</f>
        <v>-2.9627851140456185E-2</v>
      </c>
      <c r="AD1551" s="110" t="s">
        <v>810</v>
      </c>
      <c r="AE1551" s="110"/>
      <c r="AF1551" s="110"/>
      <c r="AG1551" s="121"/>
      <c r="AH1551" s="110"/>
    </row>
    <row r="1552" spans="1:34" ht="11.25" customHeight="1" x14ac:dyDescent="0.15">
      <c r="A1552" s="110" t="s">
        <v>510</v>
      </c>
      <c r="B1552" s="110"/>
      <c r="C1552" s="111" t="s">
        <v>164</v>
      </c>
      <c r="D1552" s="111">
        <v>2024</v>
      </c>
      <c r="E1552" s="146">
        <v>45443</v>
      </c>
      <c r="F1552" s="111"/>
      <c r="G1552" s="111" t="s">
        <v>378</v>
      </c>
      <c r="H1552" s="111"/>
      <c r="I1552" s="111"/>
      <c r="J1552" s="111"/>
      <c r="K1552" s="147" t="s">
        <v>813</v>
      </c>
      <c r="L1552" s="120">
        <v>1139</v>
      </c>
      <c r="M1552" s="120">
        <v>498.34</v>
      </c>
      <c r="N1552" s="120">
        <f t="shared" si="1355"/>
        <v>640.66000000000008</v>
      </c>
      <c r="O1552" s="119">
        <f t="shared" si="1356"/>
        <v>0.56247585601404748</v>
      </c>
      <c r="P1552" s="120">
        <v>1139</v>
      </c>
      <c r="Q1552" s="111"/>
      <c r="R1552" s="117"/>
      <c r="S1552" s="117"/>
      <c r="T1552" s="117"/>
      <c r="U1552" s="117">
        <v>498.96</v>
      </c>
      <c r="V1552" s="117"/>
      <c r="W1552" s="26">
        <f t="shared" si="1357"/>
        <v>498.96</v>
      </c>
      <c r="X1552" s="118" t="str">
        <f t="shared" si="1364"/>
        <v/>
      </c>
      <c r="Y1552" s="119">
        <f t="shared" si="1365"/>
        <v>0.43806848112379276</v>
      </c>
      <c r="Z1552" s="117">
        <f t="shared" si="1366"/>
        <v>640.04</v>
      </c>
      <c r="AA1552" s="119">
        <f t="shared" si="1367"/>
        <v>0.56193151887620718</v>
      </c>
      <c r="AB1552" s="120">
        <f t="shared" si="1368"/>
        <v>-0.62000000000000455</v>
      </c>
      <c r="AC1552" s="119">
        <f t="shared" si="1369"/>
        <v>-5.4433713784030058E-4</v>
      </c>
      <c r="AD1552" s="110" t="s">
        <v>810</v>
      </c>
      <c r="AE1552" s="110"/>
      <c r="AF1552" s="110"/>
      <c r="AG1552" s="121"/>
      <c r="AH1552" s="110"/>
    </row>
    <row r="1553" spans="1:34" ht="11.25" customHeight="1" x14ac:dyDescent="0.15">
      <c r="A1553" s="110" t="s">
        <v>510</v>
      </c>
      <c r="B1553" s="110"/>
      <c r="C1553" s="111" t="s">
        <v>164</v>
      </c>
      <c r="D1553" s="111">
        <v>2024</v>
      </c>
      <c r="E1553" s="146">
        <v>45443</v>
      </c>
      <c r="F1553" s="111"/>
      <c r="G1553" s="111" t="s">
        <v>814</v>
      </c>
      <c r="H1553" s="111"/>
      <c r="I1553" s="111"/>
      <c r="J1553" s="111"/>
      <c r="K1553" s="147" t="s">
        <v>815</v>
      </c>
      <c r="L1553" s="120">
        <v>8667</v>
      </c>
      <c r="M1553" s="120">
        <v>3792</v>
      </c>
      <c r="N1553" s="120">
        <f t="shared" si="1355"/>
        <v>4875</v>
      </c>
      <c r="O1553" s="119">
        <f t="shared" si="1356"/>
        <v>0.56247836621668401</v>
      </c>
      <c r="P1553" s="120">
        <v>8667</v>
      </c>
      <c r="Q1553" s="111"/>
      <c r="R1553" s="117"/>
      <c r="S1553" s="117"/>
      <c r="T1553" s="117"/>
      <c r="U1553" s="117">
        <v>3792</v>
      </c>
      <c r="V1553" s="117"/>
      <c r="W1553" s="26">
        <f t="shared" si="1357"/>
        <v>3792</v>
      </c>
      <c r="X1553" s="118" t="str">
        <f t="shared" si="1364"/>
        <v/>
      </c>
      <c r="Y1553" s="119">
        <f t="shared" si="1365"/>
        <v>0.43752163378331604</v>
      </c>
      <c r="Z1553" s="117">
        <f t="shared" si="1366"/>
        <v>4875</v>
      </c>
      <c r="AA1553" s="119">
        <f t="shared" si="1367"/>
        <v>0.56247836621668401</v>
      </c>
      <c r="AB1553" s="120">
        <f t="shared" si="1368"/>
        <v>0</v>
      </c>
      <c r="AC1553" s="119">
        <f t="shared" si="1369"/>
        <v>0</v>
      </c>
      <c r="AD1553" s="110"/>
      <c r="AE1553" s="110"/>
      <c r="AF1553" s="110"/>
      <c r="AG1553" s="121"/>
      <c r="AH1553" s="110"/>
    </row>
    <row r="1554" spans="1:34" ht="11.25" customHeight="1" x14ac:dyDescent="0.15">
      <c r="A1554" s="110" t="s">
        <v>510</v>
      </c>
      <c r="B1554" s="110"/>
      <c r="C1554" s="111" t="s">
        <v>37</v>
      </c>
      <c r="D1554" s="111">
        <v>2024</v>
      </c>
      <c r="E1554" s="146">
        <v>45443</v>
      </c>
      <c r="F1554" s="111"/>
      <c r="G1554" s="111">
        <v>94000001</v>
      </c>
      <c r="H1554" s="111"/>
      <c r="I1554" s="111"/>
      <c r="J1554" s="111"/>
      <c r="K1554" s="147" t="s">
        <v>816</v>
      </c>
      <c r="L1554" s="120">
        <v>1429</v>
      </c>
      <c r="M1554" s="120">
        <v>500</v>
      </c>
      <c r="N1554" s="120">
        <f t="shared" si="1355"/>
        <v>929</v>
      </c>
      <c r="O1554" s="119">
        <f t="shared" si="1356"/>
        <v>0.65010496850944721</v>
      </c>
      <c r="P1554" s="120">
        <v>1429</v>
      </c>
      <c r="Q1554" s="111">
        <v>3462</v>
      </c>
      <c r="R1554" s="117"/>
      <c r="S1554" s="117"/>
      <c r="T1554" s="117"/>
      <c r="U1554" s="117">
        <v>82.86</v>
      </c>
      <c r="V1554" s="117"/>
      <c r="W1554" s="26">
        <f t="shared" si="1357"/>
        <v>82.86</v>
      </c>
      <c r="X1554" s="118" t="str">
        <f t="shared" si="1364"/>
        <v/>
      </c>
      <c r="Y1554" s="119">
        <f t="shared" si="1365"/>
        <v>5.7984604618614419E-2</v>
      </c>
      <c r="Z1554" s="117">
        <f t="shared" si="1366"/>
        <v>1346.14</v>
      </c>
      <c r="AA1554" s="119">
        <f t="shared" si="1367"/>
        <v>0.94201539538138568</v>
      </c>
      <c r="AB1554" s="120">
        <f t="shared" si="1368"/>
        <v>417.14</v>
      </c>
      <c r="AC1554" s="119">
        <f t="shared" si="1369"/>
        <v>0.29191042687193847</v>
      </c>
      <c r="AD1554" s="110" t="s">
        <v>817</v>
      </c>
      <c r="AE1554" s="110"/>
      <c r="AF1554" s="110"/>
      <c r="AG1554" s="121"/>
      <c r="AH1554" s="110"/>
    </row>
    <row r="1555" spans="1:34" s="216" customFormat="1" ht="11.25" customHeight="1" x14ac:dyDescent="0.15">
      <c r="A1555" s="53" t="s">
        <v>510</v>
      </c>
      <c r="B1555" s="53"/>
      <c r="C1555" s="54" t="s">
        <v>360</v>
      </c>
      <c r="D1555" s="54"/>
      <c r="E1555" s="70"/>
      <c r="F1555" s="54"/>
      <c r="G1555" s="54"/>
      <c r="H1555" s="54"/>
      <c r="I1555" s="54"/>
      <c r="J1555" s="54"/>
      <c r="K1555" s="106"/>
      <c r="L1555" s="24">
        <f>SUM(L1550:L1554)</f>
        <v>13009</v>
      </c>
      <c r="M1555" s="24">
        <f t="shared" ref="M1555:N1555" si="1370">SUM(M1550:M1554)</f>
        <v>5565.28</v>
      </c>
      <c r="N1555" s="24">
        <f t="shared" si="1370"/>
        <v>7443.72</v>
      </c>
      <c r="O1555" s="57">
        <f t="shared" si="1356"/>
        <v>0.57219770927819202</v>
      </c>
      <c r="P1555" s="24">
        <f>SUM(P1550:P1554)</f>
        <v>13009</v>
      </c>
      <c r="Q1555" s="24"/>
      <c r="R1555" s="117">
        <f>SUM(R1550:R1554)</f>
        <v>0</v>
      </c>
      <c r="S1555" s="117">
        <f t="shared" ref="S1555:V1555" si="1371">SUM(S1550:S1554)</f>
        <v>0</v>
      </c>
      <c r="T1555" s="117">
        <f t="shared" si="1371"/>
        <v>0</v>
      </c>
      <c r="U1555" s="117">
        <f t="shared" si="1371"/>
        <v>5199.7299999999996</v>
      </c>
      <c r="V1555" s="117">
        <f t="shared" si="1371"/>
        <v>0</v>
      </c>
      <c r="W1555" s="26">
        <f>SUM(W1550:W1554)</f>
        <v>5199.7299999999996</v>
      </c>
      <c r="X1555" s="56" t="str">
        <f t="shared" si="1364"/>
        <v/>
      </c>
      <c r="Y1555" s="57">
        <f t="shared" si="1365"/>
        <v>0.39970251364440001</v>
      </c>
      <c r="Z1555" s="28">
        <f t="shared" si="1366"/>
        <v>7809.27</v>
      </c>
      <c r="AA1555" s="57">
        <f t="shared" si="1367"/>
        <v>0.60029748635559999</v>
      </c>
      <c r="AB1555" s="58">
        <f t="shared" si="1368"/>
        <v>365.55000000000018</v>
      </c>
      <c r="AC1555" s="57">
        <f t="shared" si="1369"/>
        <v>2.8099777077407961E-2</v>
      </c>
      <c r="AD1555" s="53"/>
      <c r="AE1555" s="53"/>
      <c r="AF1555" s="53"/>
      <c r="AG1555" s="61"/>
      <c r="AH1555" s="53"/>
    </row>
    <row r="1556" spans="1:34" ht="11.25" customHeight="1" x14ac:dyDescent="0.15">
      <c r="A1556" s="110" t="s">
        <v>510</v>
      </c>
      <c r="B1556" s="110"/>
      <c r="C1556" s="111" t="s">
        <v>47</v>
      </c>
      <c r="D1556" s="111">
        <v>2024</v>
      </c>
      <c r="E1556" s="146">
        <v>45443</v>
      </c>
      <c r="F1556" s="111"/>
      <c r="G1556" s="111">
        <v>54000001</v>
      </c>
      <c r="H1556" s="111"/>
      <c r="I1556" s="111"/>
      <c r="J1556" s="111"/>
      <c r="K1556" s="112" t="s">
        <v>218</v>
      </c>
      <c r="L1556" s="120">
        <v>28205</v>
      </c>
      <c r="M1556" s="120">
        <v>11494.72</v>
      </c>
      <c r="N1556" s="120">
        <f t="shared" si="1355"/>
        <v>16710.28</v>
      </c>
      <c r="O1556" s="119">
        <f t="shared" si="1356"/>
        <v>0.59245807480943091</v>
      </c>
      <c r="P1556" s="120">
        <v>28205</v>
      </c>
      <c r="Q1556" s="111">
        <v>3463</v>
      </c>
      <c r="R1556" s="117">
        <v>49</v>
      </c>
      <c r="S1556" s="117">
        <v>2249.6</v>
      </c>
      <c r="T1556" s="117">
        <v>2229.36</v>
      </c>
      <c r="U1556" s="117"/>
      <c r="V1556" s="117"/>
      <c r="W1556" s="26">
        <f t="shared" si="1357"/>
        <v>4478.96</v>
      </c>
      <c r="X1556" s="118">
        <f t="shared" si="1364"/>
        <v>45.910204081632649</v>
      </c>
      <c r="Y1556" s="119">
        <f t="shared" si="1365"/>
        <v>0</v>
      </c>
      <c r="Z1556" s="117">
        <f t="shared" si="1366"/>
        <v>23726.04</v>
      </c>
      <c r="AA1556" s="119">
        <f t="shared" si="1367"/>
        <v>0.84119978727176037</v>
      </c>
      <c r="AB1556" s="120">
        <f t="shared" si="1368"/>
        <v>7015.7599999999993</v>
      </c>
      <c r="AC1556" s="119">
        <f t="shared" si="1369"/>
        <v>0.24874171246232946</v>
      </c>
      <c r="AD1556" s="110" t="s">
        <v>818</v>
      </c>
      <c r="AE1556" s="110"/>
      <c r="AF1556" s="110"/>
      <c r="AG1556" s="121"/>
      <c r="AH1556" s="110"/>
    </row>
    <row r="1557" spans="1:34" ht="11.25" customHeight="1" x14ac:dyDescent="0.15">
      <c r="A1557" s="110" t="s">
        <v>510</v>
      </c>
      <c r="B1557" s="110"/>
      <c r="C1557" s="111" t="s">
        <v>55</v>
      </c>
      <c r="D1557" s="111">
        <v>2024</v>
      </c>
      <c r="E1557" s="146">
        <v>45443</v>
      </c>
      <c r="F1557" s="111"/>
      <c r="G1557" s="111" t="s">
        <v>56</v>
      </c>
      <c r="H1557" s="111"/>
      <c r="I1557" s="111"/>
      <c r="J1557" s="111"/>
      <c r="K1557" s="112" t="s">
        <v>71</v>
      </c>
      <c r="L1557" s="120">
        <v>1792</v>
      </c>
      <c r="M1557" s="120">
        <v>895.97</v>
      </c>
      <c r="N1557" s="120">
        <f t="shared" si="1355"/>
        <v>896.03</v>
      </c>
      <c r="O1557" s="119">
        <f t="shared" si="1356"/>
        <v>0.50001674107142857</v>
      </c>
      <c r="P1557" s="279">
        <v>1792</v>
      </c>
      <c r="Q1557" s="111">
        <v>3464</v>
      </c>
      <c r="R1557" s="117"/>
      <c r="S1557" s="117"/>
      <c r="T1557" s="117"/>
      <c r="U1557" s="117"/>
      <c r="V1557" s="117">
        <v>1104.25</v>
      </c>
      <c r="W1557" s="26">
        <f t="shared" si="1357"/>
        <v>1104.25</v>
      </c>
      <c r="X1557" s="118" t="str">
        <f t="shared" si="1364"/>
        <v/>
      </c>
      <c r="Y1557" s="119">
        <f t="shared" si="1365"/>
        <v>0</v>
      </c>
      <c r="Z1557" s="117">
        <f t="shared" si="1366"/>
        <v>687.75</v>
      </c>
      <c r="AA1557" s="119">
        <f t="shared" si="1367"/>
        <v>0.3837890625</v>
      </c>
      <c r="AB1557" s="120">
        <f t="shared" si="1368"/>
        <v>-208.27999999999997</v>
      </c>
      <c r="AC1557" s="119">
        <f t="shared" si="1369"/>
        <v>-0.11622767857142857</v>
      </c>
      <c r="AD1557" s="110" t="s">
        <v>819</v>
      </c>
      <c r="AE1557" s="110"/>
      <c r="AF1557" s="110"/>
      <c r="AG1557" s="121"/>
      <c r="AH1557" s="110"/>
    </row>
    <row r="1558" spans="1:34" s="216" customFormat="1" ht="11.25" customHeight="1" x14ac:dyDescent="0.15">
      <c r="A1558" s="53" t="s">
        <v>510</v>
      </c>
      <c r="B1558" s="53"/>
      <c r="C1558" s="54" t="s">
        <v>177</v>
      </c>
      <c r="D1558" s="54"/>
      <c r="E1558" s="70"/>
      <c r="F1558" s="54"/>
      <c r="G1558" s="54"/>
      <c r="H1558" s="54"/>
      <c r="I1558" s="54"/>
      <c r="J1558" s="54"/>
      <c r="K1558" s="106"/>
      <c r="L1558" s="24">
        <f>SUM(L1555:L1557)</f>
        <v>43006</v>
      </c>
      <c r="M1558" s="24">
        <f t="shared" ref="M1558:N1558" si="1372">SUM(M1555:M1557)</f>
        <v>17955.97</v>
      </c>
      <c r="N1558" s="24">
        <f t="shared" si="1372"/>
        <v>25050.03</v>
      </c>
      <c r="O1558" s="57">
        <f t="shared" si="1356"/>
        <v>0.58247756127052042</v>
      </c>
      <c r="P1558" s="24">
        <f>SUM(P1555:P1557)</f>
        <v>43006</v>
      </c>
      <c r="Q1558" s="24"/>
      <c r="R1558" s="117">
        <f>SUM(R1555:R1557)</f>
        <v>49</v>
      </c>
      <c r="S1558" s="117">
        <f t="shared" ref="S1558:V1558" si="1373">SUM(S1555:S1557)</f>
        <v>2249.6</v>
      </c>
      <c r="T1558" s="117">
        <f t="shared" si="1373"/>
        <v>2229.36</v>
      </c>
      <c r="U1558" s="117">
        <f t="shared" si="1373"/>
        <v>5199.7299999999996</v>
      </c>
      <c r="V1558" s="117">
        <f t="shared" si="1373"/>
        <v>1104.25</v>
      </c>
      <c r="W1558" s="26">
        <f>SUM(W1555:W1557)</f>
        <v>10782.939999999999</v>
      </c>
      <c r="X1558" s="56">
        <f t="shared" si="1364"/>
        <v>45.910204081632649</v>
      </c>
      <c r="Y1558" s="57">
        <f t="shared" si="1365"/>
        <v>0.12090708273264195</v>
      </c>
      <c r="Z1558" s="28">
        <f t="shared" si="1366"/>
        <v>32223.06</v>
      </c>
      <c r="AA1558" s="57">
        <f t="shared" si="1367"/>
        <v>0.74926893921778359</v>
      </c>
      <c r="AB1558" s="58">
        <f t="shared" si="1368"/>
        <v>7173.0300000000025</v>
      </c>
      <c r="AC1558" s="57">
        <f t="shared" si="1369"/>
        <v>0.16679137794726318</v>
      </c>
      <c r="AD1558" s="53"/>
      <c r="AE1558" s="53"/>
      <c r="AF1558" s="53"/>
      <c r="AG1558" s="61"/>
      <c r="AH1558" s="53"/>
    </row>
    <row r="1559" spans="1:34" ht="11.25" customHeight="1" x14ac:dyDescent="0.15">
      <c r="A1559" s="130"/>
      <c r="B1559" s="130"/>
      <c r="C1559" s="124"/>
      <c r="D1559" s="124"/>
      <c r="E1559" s="273"/>
      <c r="F1559" s="124"/>
      <c r="G1559" s="124"/>
      <c r="H1559" s="124"/>
      <c r="I1559" s="124"/>
      <c r="J1559" s="124"/>
      <c r="K1559" s="125"/>
      <c r="L1559" s="129"/>
      <c r="M1559" s="129"/>
      <c r="N1559" s="129"/>
      <c r="O1559" s="128"/>
      <c r="P1559" s="129"/>
      <c r="Q1559" s="124"/>
      <c r="R1559" s="117"/>
      <c r="S1559" s="117"/>
      <c r="T1559" s="117"/>
      <c r="U1559" s="117"/>
      <c r="V1559" s="117"/>
      <c r="X1559" s="45"/>
      <c r="Y1559" s="128"/>
      <c r="Z1559" s="126"/>
      <c r="AA1559" s="128"/>
      <c r="AB1559" s="129"/>
      <c r="AC1559" s="160"/>
      <c r="AD1559" s="137"/>
      <c r="AE1559" s="110"/>
      <c r="AF1559" s="110"/>
      <c r="AG1559" s="121"/>
      <c r="AH1559" s="110"/>
    </row>
    <row r="1560" spans="1:34" ht="11.25" customHeight="1" x14ac:dyDescent="0.15">
      <c r="A1560" s="110" t="s">
        <v>264</v>
      </c>
      <c r="B1560" s="110"/>
      <c r="C1560" s="111" t="s">
        <v>175</v>
      </c>
      <c r="D1560" s="111">
        <v>2024</v>
      </c>
      <c r="E1560" s="146">
        <v>45443</v>
      </c>
      <c r="F1560" s="111"/>
      <c r="G1560" s="111">
        <v>81100010</v>
      </c>
      <c r="H1560" s="111">
        <v>4101</v>
      </c>
      <c r="I1560" s="111" t="str">
        <f>MID(G1560,2,1)</f>
        <v>1</v>
      </c>
      <c r="J1560" s="111" t="str">
        <f>IF(I1560="1","Small/Medium","Large")</f>
        <v>Small/Medium</v>
      </c>
      <c r="K1560" s="147" t="s">
        <v>145</v>
      </c>
      <c r="L1560" s="120">
        <f>10553-592</f>
        <v>9961</v>
      </c>
      <c r="M1560" s="120">
        <f>L1560*0.39</f>
        <v>3884.79</v>
      </c>
      <c r="N1560" s="120">
        <f>L1560-M1560</f>
        <v>6076.21</v>
      </c>
      <c r="O1560" s="119">
        <f>IFERROR(N1560/L1560,"")</f>
        <v>0.61</v>
      </c>
      <c r="P1560" s="120">
        <f>10553-592</f>
        <v>9961</v>
      </c>
      <c r="Q1560" s="111">
        <v>2850</v>
      </c>
      <c r="R1560" s="117">
        <v>34.5</v>
      </c>
      <c r="S1560" s="117">
        <v>1548.36</v>
      </c>
      <c r="T1560" s="117">
        <v>2498.0500000000002</v>
      </c>
      <c r="U1560" s="117">
        <v>512.94000000000005</v>
      </c>
      <c r="V1560" s="117">
        <v>19.559999999999999</v>
      </c>
      <c r="W1560" s="26">
        <f>SUM(S1560:V1560)</f>
        <v>4578.9100000000008</v>
      </c>
      <c r="X1560" s="118">
        <f t="shared" ref="X1560:X1561" si="1374">IFERROR(S1560/R1560,"")</f>
        <v>44.879999999999995</v>
      </c>
      <c r="Y1560" s="119">
        <f>IFERROR(U1560/P1560,0)</f>
        <v>5.1494829836361819E-2</v>
      </c>
      <c r="Z1560" s="117">
        <f t="shared" ref="Z1560:Z1561" si="1375">P1560-W1560</f>
        <v>5382.0899999999992</v>
      </c>
      <c r="AA1560" s="119">
        <f>IFERROR(Z1560/P1560,0)</f>
        <v>0.54031623330990852</v>
      </c>
      <c r="AB1560" s="120">
        <f t="shared" ref="AB1560:AB1561" si="1376">M1560-W1560</f>
        <v>-694.1200000000008</v>
      </c>
      <c r="AC1560" s="119">
        <f t="shared" ref="AC1560:AC1561" si="1377">IFERROR(AA1560-O1560,"")</f>
        <v>-6.9683766690091464E-2</v>
      </c>
      <c r="AD1560" s="110"/>
      <c r="AE1560" s="110"/>
      <c r="AF1560" s="110"/>
      <c r="AG1560" s="121"/>
      <c r="AH1560" s="110"/>
    </row>
    <row r="1561" spans="1:34" s="216" customFormat="1" ht="11.25" customHeight="1" x14ac:dyDescent="0.15">
      <c r="A1561" s="53" t="s">
        <v>264</v>
      </c>
      <c r="B1561" s="53"/>
      <c r="C1561" s="54" t="s">
        <v>177</v>
      </c>
      <c r="D1561" s="54"/>
      <c r="E1561" s="70"/>
      <c r="F1561" s="54"/>
      <c r="G1561" s="54"/>
      <c r="H1561" s="54"/>
      <c r="I1561" s="54"/>
      <c r="J1561" s="54"/>
      <c r="K1561" s="106"/>
      <c r="L1561" s="24">
        <f>SUM(L1560)</f>
        <v>9961</v>
      </c>
      <c r="M1561" s="24">
        <f t="shared" ref="M1561:N1561" si="1378">SUM(M1560)</f>
        <v>3884.79</v>
      </c>
      <c r="N1561" s="24">
        <f t="shared" si="1378"/>
        <v>6076.21</v>
      </c>
      <c r="O1561" s="57">
        <f>IFERROR(N1561/L1561,"")</f>
        <v>0.61</v>
      </c>
      <c r="P1561" s="24">
        <f>SUM(P1560)</f>
        <v>9961</v>
      </c>
      <c r="Q1561" s="24"/>
      <c r="R1561" s="117">
        <f>SUM(R1560)</f>
        <v>34.5</v>
      </c>
      <c r="S1561" s="117">
        <f t="shared" ref="S1561:W1561" si="1379">SUM(S1560)</f>
        <v>1548.36</v>
      </c>
      <c r="T1561" s="117">
        <f t="shared" si="1379"/>
        <v>2498.0500000000002</v>
      </c>
      <c r="U1561" s="117">
        <f t="shared" si="1379"/>
        <v>512.94000000000005</v>
      </c>
      <c r="V1561" s="117">
        <f t="shared" si="1379"/>
        <v>19.559999999999999</v>
      </c>
      <c r="W1561" s="26">
        <f t="shared" si="1379"/>
        <v>4578.9100000000008</v>
      </c>
      <c r="X1561" s="56">
        <f t="shared" si="1374"/>
        <v>44.879999999999995</v>
      </c>
      <c r="Y1561" s="57">
        <f>IFERROR(U1561/P1561,0)</f>
        <v>5.1494829836361819E-2</v>
      </c>
      <c r="Z1561" s="28">
        <f t="shared" si="1375"/>
        <v>5382.0899999999992</v>
      </c>
      <c r="AA1561" s="57">
        <f>IFERROR(Z1561/P1561,0)</f>
        <v>0.54031623330990852</v>
      </c>
      <c r="AB1561" s="58">
        <f t="shared" si="1376"/>
        <v>-694.1200000000008</v>
      </c>
      <c r="AC1561" s="57">
        <f t="shared" si="1377"/>
        <v>-6.9683766690091464E-2</v>
      </c>
      <c r="AD1561" s="53"/>
      <c r="AE1561" s="53"/>
      <c r="AF1561" s="53"/>
      <c r="AG1561" s="61"/>
      <c r="AH1561" s="53"/>
    </row>
    <row r="1562" spans="1:34" ht="11.25" customHeight="1" x14ac:dyDescent="0.15">
      <c r="A1562" s="130"/>
      <c r="B1562" s="130"/>
      <c r="C1562" s="124"/>
      <c r="D1562" s="124"/>
      <c r="E1562" s="273"/>
      <c r="F1562" s="124"/>
      <c r="G1562" s="124"/>
      <c r="H1562" s="124"/>
      <c r="I1562" s="124"/>
      <c r="J1562" s="124"/>
      <c r="K1562" s="125"/>
      <c r="L1562" s="129"/>
      <c r="M1562" s="129"/>
      <c r="N1562" s="129"/>
      <c r="O1562" s="128"/>
      <c r="P1562" s="129"/>
      <c r="Q1562" s="124"/>
      <c r="R1562" s="117"/>
      <c r="S1562" s="117"/>
      <c r="T1562" s="117"/>
      <c r="U1562" s="117"/>
      <c r="V1562" s="117"/>
      <c r="X1562" s="45"/>
      <c r="Y1562" s="128"/>
      <c r="Z1562" s="126"/>
      <c r="AA1562" s="128"/>
      <c r="AB1562" s="129"/>
      <c r="AC1562" s="160"/>
      <c r="AD1562" s="137"/>
      <c r="AE1562" s="110"/>
      <c r="AF1562" s="110"/>
      <c r="AG1562" s="121"/>
      <c r="AH1562" s="110"/>
    </row>
    <row r="1563" spans="1:34" ht="11.25" customHeight="1" x14ac:dyDescent="0.15">
      <c r="A1563" s="110" t="s">
        <v>299</v>
      </c>
      <c r="B1563" s="110"/>
      <c r="C1563" s="111" t="s">
        <v>175</v>
      </c>
      <c r="D1563" s="111">
        <v>2024</v>
      </c>
      <c r="E1563" s="146">
        <v>45443</v>
      </c>
      <c r="F1563" s="111"/>
      <c r="G1563" s="111">
        <v>81000000</v>
      </c>
      <c r="H1563" s="111">
        <v>4111</v>
      </c>
      <c r="I1563" s="111" t="str">
        <f>MID(G1563,2,1)</f>
        <v>1</v>
      </c>
      <c r="J1563" s="111" t="str">
        <f>IF(I1563="1","Small/Medium","Large")</f>
        <v>Small/Medium</v>
      </c>
      <c r="K1563" s="147" t="s">
        <v>145</v>
      </c>
      <c r="L1563" s="120">
        <v>8865</v>
      </c>
      <c r="M1563" s="120">
        <f>L1563*0.25</f>
        <v>2216.25</v>
      </c>
      <c r="N1563" s="120">
        <f>L1563-M1563</f>
        <v>6648.75</v>
      </c>
      <c r="O1563" s="119">
        <f>IFERROR(N1563/L1563,"")</f>
        <v>0.75</v>
      </c>
      <c r="P1563" s="120">
        <v>8865</v>
      </c>
      <c r="Q1563" s="111">
        <v>3196</v>
      </c>
      <c r="R1563" s="117">
        <v>22</v>
      </c>
      <c r="S1563" s="117">
        <v>987.36</v>
      </c>
      <c r="T1563" s="117">
        <v>587.37</v>
      </c>
      <c r="U1563" s="117">
        <v>307.49</v>
      </c>
      <c r="V1563" s="117"/>
      <c r="W1563" s="26">
        <f>SUM(S1563:V1563)</f>
        <v>1882.22</v>
      </c>
      <c r="X1563" s="118">
        <f t="shared" ref="X1563:X1564" si="1380">IFERROR(S1563/R1563,"")</f>
        <v>44.88</v>
      </c>
      <c r="Y1563" s="119">
        <f>IFERROR(U1563/P1563,0)</f>
        <v>3.4685843203609699E-2</v>
      </c>
      <c r="Z1563" s="117">
        <f t="shared" ref="Z1563:Z1564" si="1381">P1563-W1563</f>
        <v>6982.78</v>
      </c>
      <c r="AA1563" s="119">
        <f>IFERROR(Z1563/P1563,0)</f>
        <v>0.7876796390298928</v>
      </c>
      <c r="AB1563" s="120">
        <f t="shared" ref="AB1563:AB1564" si="1382">M1563-W1563</f>
        <v>334.03</v>
      </c>
      <c r="AC1563" s="119">
        <f t="shared" ref="AC1563:AC1564" si="1383">IFERROR(AA1563-O1563,"")</f>
        <v>3.7679639029892797E-2</v>
      </c>
      <c r="AD1563" s="110"/>
      <c r="AE1563" s="110"/>
      <c r="AF1563" s="110"/>
      <c r="AG1563" s="121"/>
      <c r="AH1563" s="110"/>
    </row>
    <row r="1564" spans="1:34" s="216" customFormat="1" ht="11.25" customHeight="1" x14ac:dyDescent="0.15">
      <c r="A1564" s="53" t="s">
        <v>299</v>
      </c>
      <c r="B1564" s="53"/>
      <c r="C1564" s="54" t="s">
        <v>177</v>
      </c>
      <c r="D1564" s="54"/>
      <c r="E1564" s="70"/>
      <c r="F1564" s="54"/>
      <c r="G1564" s="54"/>
      <c r="H1564" s="54"/>
      <c r="I1564" s="54"/>
      <c r="J1564" s="54"/>
      <c r="K1564" s="106"/>
      <c r="L1564" s="24">
        <f>SUM(L1563)</f>
        <v>8865</v>
      </c>
      <c r="M1564" s="24">
        <f t="shared" ref="M1564:N1564" si="1384">SUM(M1563)</f>
        <v>2216.25</v>
      </c>
      <c r="N1564" s="24">
        <f t="shared" si="1384"/>
        <v>6648.75</v>
      </c>
      <c r="O1564" s="57">
        <f>IFERROR(N1564/L1564,"")</f>
        <v>0.75</v>
      </c>
      <c r="P1564" s="24">
        <f>SUM(P1563)</f>
        <v>8865</v>
      </c>
      <c r="Q1564" s="24"/>
      <c r="R1564" s="117">
        <f>SUM(R1563)</f>
        <v>22</v>
      </c>
      <c r="S1564" s="117">
        <f t="shared" ref="S1564:V1564" si="1385">SUM(S1563)</f>
        <v>987.36</v>
      </c>
      <c r="T1564" s="117">
        <f t="shared" si="1385"/>
        <v>587.37</v>
      </c>
      <c r="U1564" s="117">
        <f t="shared" si="1385"/>
        <v>307.49</v>
      </c>
      <c r="V1564" s="117">
        <f t="shared" si="1385"/>
        <v>0</v>
      </c>
      <c r="W1564" s="26">
        <f t="shared" ref="W1564" si="1386">SUM(W1563)</f>
        <v>1882.22</v>
      </c>
      <c r="X1564" s="56">
        <f t="shared" si="1380"/>
        <v>44.88</v>
      </c>
      <c r="Y1564" s="57">
        <f>IFERROR(U1564/P1564,0)</f>
        <v>3.4685843203609699E-2</v>
      </c>
      <c r="Z1564" s="28">
        <f t="shared" si="1381"/>
        <v>6982.78</v>
      </c>
      <c r="AA1564" s="57">
        <f>IFERROR(Z1564/P1564,0)</f>
        <v>0.7876796390298928</v>
      </c>
      <c r="AB1564" s="58">
        <f t="shared" si="1382"/>
        <v>334.03</v>
      </c>
      <c r="AC1564" s="57">
        <f t="shared" si="1383"/>
        <v>3.7679639029892797E-2</v>
      </c>
      <c r="AD1564" s="53"/>
      <c r="AE1564" s="53"/>
      <c r="AF1564" s="53"/>
      <c r="AG1564" s="61"/>
      <c r="AH1564" s="53"/>
    </row>
    <row r="1565" spans="1:34" ht="11.25" customHeight="1" x14ac:dyDescent="0.15">
      <c r="A1565" s="130"/>
      <c r="B1565" s="130"/>
      <c r="C1565" s="124"/>
      <c r="D1565" s="124"/>
      <c r="E1565" s="273"/>
      <c r="F1565" s="124"/>
      <c r="G1565" s="124"/>
      <c r="H1565" s="124"/>
      <c r="I1565" s="124"/>
      <c r="J1565" s="124"/>
      <c r="K1565" s="125"/>
      <c r="L1565" s="129"/>
      <c r="M1565" s="129"/>
      <c r="N1565" s="129"/>
      <c r="O1565" s="128"/>
      <c r="P1565" s="129"/>
      <c r="Q1565" s="124"/>
      <c r="R1565" s="117"/>
      <c r="S1565" s="117"/>
      <c r="T1565" s="117"/>
      <c r="U1565" s="117"/>
      <c r="V1565" s="117"/>
      <c r="X1565" s="45"/>
      <c r="Y1565" s="128"/>
      <c r="Z1565" s="126"/>
      <c r="AA1565" s="128"/>
      <c r="AB1565" s="129"/>
      <c r="AC1565" s="160"/>
      <c r="AD1565" s="137"/>
      <c r="AE1565" s="110"/>
      <c r="AF1565" s="110"/>
      <c r="AG1565" s="121"/>
      <c r="AH1565" s="110"/>
    </row>
    <row r="1566" spans="1:34" ht="11.25" customHeight="1" x14ac:dyDescent="0.15">
      <c r="A1566" s="110" t="s">
        <v>196</v>
      </c>
      <c r="B1566" s="110"/>
      <c r="C1566" s="111" t="s">
        <v>180</v>
      </c>
      <c r="D1566" s="111">
        <v>2024</v>
      </c>
      <c r="E1566" s="146">
        <v>45443</v>
      </c>
      <c r="F1566" s="111"/>
      <c r="G1566" s="111">
        <v>91000032</v>
      </c>
      <c r="H1566" s="111"/>
      <c r="I1566" s="111"/>
      <c r="J1566" s="111"/>
      <c r="K1566" s="112" t="s">
        <v>759</v>
      </c>
      <c r="L1566" s="120">
        <v>79134</v>
      </c>
      <c r="M1566" s="120">
        <v>11111.87</v>
      </c>
      <c r="N1566" s="120">
        <f t="shared" ref="N1566:N1570" si="1387">L1566-M1566</f>
        <v>68022.13</v>
      </c>
      <c r="O1566" s="119">
        <f t="shared" ref="O1566:O1572" si="1388">IFERROR(N1566/L1566,"")</f>
        <v>0.85958159577425641</v>
      </c>
      <c r="P1566" s="117">
        <v>79134</v>
      </c>
      <c r="Q1566" s="111">
        <v>3216</v>
      </c>
      <c r="R1566" s="117">
        <v>0</v>
      </c>
      <c r="S1566" s="117">
        <v>0</v>
      </c>
      <c r="T1566" s="117">
        <v>0</v>
      </c>
      <c r="U1566" s="117">
        <v>11027.58</v>
      </c>
      <c r="V1566" s="117"/>
      <c r="W1566" s="26">
        <f t="shared" ref="W1566:W1571" si="1389">SUM(S1566:V1566)</f>
        <v>11027.58</v>
      </c>
      <c r="X1566" s="118" t="str">
        <f t="shared" ref="X1566:X1570" si="1390">IFERROR(S1566/R1566,"")</f>
        <v/>
      </c>
      <c r="Y1566" s="119">
        <f t="shared" ref="Y1566:Y1570" si="1391">U1566/P1566</f>
        <v>0.13935324891955417</v>
      </c>
      <c r="Z1566" s="117">
        <f t="shared" ref="Z1566:Z1570" si="1392">P1566-W1566</f>
        <v>68106.42</v>
      </c>
      <c r="AA1566" s="119">
        <f t="shared" ref="AA1566:AA1570" si="1393">Z1566/P1566</f>
        <v>0.86064675108044575</v>
      </c>
      <c r="AB1566" s="120">
        <f t="shared" ref="AB1566:AB1570" si="1394">M1566-W1566</f>
        <v>84.290000000000873</v>
      </c>
      <c r="AC1566" s="119">
        <f t="shared" ref="AC1566:AC1570" si="1395">IFERROR(AA1566-O1566,"")</f>
        <v>1.065155306189336E-3</v>
      </c>
      <c r="AD1566" s="110"/>
      <c r="AE1566" s="110"/>
      <c r="AF1566" s="110"/>
      <c r="AG1566" s="121"/>
      <c r="AH1566" s="110"/>
    </row>
    <row r="1567" spans="1:34" ht="11.25" customHeight="1" x14ac:dyDescent="0.15">
      <c r="A1567" s="110" t="s">
        <v>196</v>
      </c>
      <c r="B1567" s="110"/>
      <c r="C1567" s="111" t="s">
        <v>279</v>
      </c>
      <c r="D1567" s="111">
        <v>2024</v>
      </c>
      <c r="E1567" s="146">
        <v>45443</v>
      </c>
      <c r="F1567" s="111"/>
      <c r="G1567" s="111">
        <v>51012022</v>
      </c>
      <c r="H1567" s="111"/>
      <c r="I1567" s="111"/>
      <c r="J1567" s="111"/>
      <c r="K1567" s="112" t="s">
        <v>820</v>
      </c>
      <c r="L1567" s="120">
        <v>14558</v>
      </c>
      <c r="M1567" s="120">
        <v>4948.24</v>
      </c>
      <c r="N1567" s="120">
        <f t="shared" si="1387"/>
        <v>9609.76</v>
      </c>
      <c r="O1567" s="119">
        <f t="shared" si="1388"/>
        <v>0.66010166231625222</v>
      </c>
      <c r="P1567" s="117">
        <v>14558</v>
      </c>
      <c r="Q1567" s="111">
        <v>3217</v>
      </c>
      <c r="R1567" s="117">
        <v>45.5</v>
      </c>
      <c r="S1567" s="117">
        <v>2088.91</v>
      </c>
      <c r="T1567" s="117">
        <v>2410.62</v>
      </c>
      <c r="U1567" s="117">
        <v>550</v>
      </c>
      <c r="V1567" s="117"/>
      <c r="W1567" s="26">
        <f t="shared" si="1389"/>
        <v>5049.53</v>
      </c>
      <c r="X1567" s="118">
        <f t="shared" si="1390"/>
        <v>45.910109890109887</v>
      </c>
      <c r="Y1567" s="119">
        <f t="shared" si="1391"/>
        <v>3.7779914823464759E-2</v>
      </c>
      <c r="Z1567" s="117">
        <f t="shared" si="1392"/>
        <v>9508.4700000000012</v>
      </c>
      <c r="AA1567" s="119">
        <f t="shared" si="1393"/>
        <v>0.65314397582085459</v>
      </c>
      <c r="AB1567" s="120">
        <f t="shared" si="1394"/>
        <v>-101.28999999999996</v>
      </c>
      <c r="AC1567" s="119">
        <f t="shared" si="1395"/>
        <v>-6.9576864953976303E-3</v>
      </c>
      <c r="AD1567" s="110"/>
      <c r="AE1567" s="110"/>
      <c r="AF1567" s="110"/>
      <c r="AG1567" s="121"/>
      <c r="AH1567" s="110"/>
    </row>
    <row r="1568" spans="1:34" ht="11.25" customHeight="1" x14ac:dyDescent="0.15">
      <c r="A1568" s="110" t="s">
        <v>196</v>
      </c>
      <c r="B1568" s="110"/>
      <c r="C1568" s="111" t="s">
        <v>248</v>
      </c>
      <c r="D1568" s="111">
        <v>2024</v>
      </c>
      <c r="E1568" s="146">
        <v>45443</v>
      </c>
      <c r="F1568" s="111"/>
      <c r="G1568" s="111">
        <v>96000000</v>
      </c>
      <c r="H1568" s="111"/>
      <c r="I1568" s="111"/>
      <c r="J1568" s="111"/>
      <c r="K1568" s="112" t="s">
        <v>250</v>
      </c>
      <c r="L1568" s="120">
        <v>6104</v>
      </c>
      <c r="M1568" s="120">
        <v>3052</v>
      </c>
      <c r="N1568" s="120">
        <f t="shared" si="1387"/>
        <v>3052</v>
      </c>
      <c r="O1568" s="119">
        <f t="shared" si="1388"/>
        <v>0.5</v>
      </c>
      <c r="P1568" s="117">
        <v>6104</v>
      </c>
      <c r="Q1568" s="111">
        <v>3218</v>
      </c>
      <c r="R1568" s="117">
        <v>4</v>
      </c>
      <c r="S1568" s="117">
        <v>226.2</v>
      </c>
      <c r="T1568" s="117"/>
      <c r="U1568" s="117"/>
      <c r="V1568" s="117"/>
      <c r="W1568" s="26">
        <f t="shared" si="1389"/>
        <v>226.2</v>
      </c>
      <c r="X1568" s="118">
        <f t="shared" si="1390"/>
        <v>56.55</v>
      </c>
      <c r="Y1568" s="119">
        <f t="shared" si="1391"/>
        <v>0</v>
      </c>
      <c r="Z1568" s="117">
        <f t="shared" si="1392"/>
        <v>5877.8</v>
      </c>
      <c r="AA1568" s="119">
        <f t="shared" si="1393"/>
        <v>0.96294233289646136</v>
      </c>
      <c r="AB1568" s="120">
        <f t="shared" si="1394"/>
        <v>2825.8</v>
      </c>
      <c r="AC1568" s="119">
        <f t="shared" si="1395"/>
        <v>0.46294233289646136</v>
      </c>
      <c r="AD1568" s="110"/>
      <c r="AE1568" s="110"/>
      <c r="AF1568" s="110"/>
      <c r="AG1568" s="121"/>
      <c r="AH1568" s="110"/>
    </row>
    <row r="1569" spans="1:34" ht="11.25" customHeight="1" x14ac:dyDescent="0.15">
      <c r="A1569" s="110" t="s">
        <v>196</v>
      </c>
      <c r="B1569" s="110"/>
      <c r="C1569" s="111" t="s">
        <v>55</v>
      </c>
      <c r="D1569" s="111">
        <v>2024</v>
      </c>
      <c r="E1569" s="146">
        <v>45443</v>
      </c>
      <c r="F1569" s="111"/>
      <c r="G1569" s="111" t="s">
        <v>56</v>
      </c>
      <c r="H1569" s="111"/>
      <c r="I1569" s="111"/>
      <c r="J1569" s="111"/>
      <c r="K1569" s="112" t="s">
        <v>71</v>
      </c>
      <c r="L1569" s="120">
        <v>6224</v>
      </c>
      <c r="M1569" s="120">
        <v>1818.7</v>
      </c>
      <c r="N1569" s="120">
        <f t="shared" si="1387"/>
        <v>4405.3</v>
      </c>
      <c r="O1569" s="119">
        <f t="shared" si="1388"/>
        <v>0.70779241645244217</v>
      </c>
      <c r="P1569" s="117">
        <v>6224</v>
      </c>
      <c r="Q1569" s="111">
        <v>3219</v>
      </c>
      <c r="R1569" s="117">
        <v>4</v>
      </c>
      <c r="S1569" s="117">
        <v>170</v>
      </c>
      <c r="T1569" s="117"/>
      <c r="U1569" s="117"/>
      <c r="V1569" s="117">
        <v>1276.76</v>
      </c>
      <c r="W1569" s="26">
        <f t="shared" si="1389"/>
        <v>1446.76</v>
      </c>
      <c r="X1569" s="118">
        <f t="shared" si="1390"/>
        <v>42.5</v>
      </c>
      <c r="Y1569" s="119">
        <f t="shared" si="1391"/>
        <v>0</v>
      </c>
      <c r="Z1569" s="117">
        <f t="shared" si="1392"/>
        <v>4777.24</v>
      </c>
      <c r="AA1569" s="119">
        <f t="shared" si="1393"/>
        <v>0.76755141388174808</v>
      </c>
      <c r="AB1569" s="120">
        <f t="shared" si="1394"/>
        <v>371.94000000000005</v>
      </c>
      <c r="AC1569" s="119">
        <f t="shared" si="1395"/>
        <v>5.9758997429305905E-2</v>
      </c>
      <c r="AD1569" s="110"/>
      <c r="AE1569" s="110"/>
      <c r="AF1569" s="110"/>
      <c r="AG1569" s="121"/>
      <c r="AH1569" s="110"/>
    </row>
    <row r="1570" spans="1:34" ht="11.25" customHeight="1" x14ac:dyDescent="0.15">
      <c r="A1570" s="110" t="s">
        <v>196</v>
      </c>
      <c r="B1570" s="110"/>
      <c r="C1570" s="111" t="s">
        <v>58</v>
      </c>
      <c r="D1570" s="111">
        <v>2024</v>
      </c>
      <c r="E1570" s="146">
        <v>45443</v>
      </c>
      <c r="F1570" s="111"/>
      <c r="G1570" s="111">
        <v>71122012</v>
      </c>
      <c r="H1570" s="111"/>
      <c r="I1570" s="111"/>
      <c r="J1570" s="111"/>
      <c r="K1570" s="112" t="s">
        <v>712</v>
      </c>
      <c r="L1570" s="120">
        <v>11919</v>
      </c>
      <c r="M1570" s="120">
        <v>1191.9000000000001</v>
      </c>
      <c r="N1570" s="120">
        <f t="shared" si="1387"/>
        <v>10727.1</v>
      </c>
      <c r="O1570" s="119">
        <f t="shared" si="1388"/>
        <v>0.9</v>
      </c>
      <c r="P1570" s="117">
        <v>11919</v>
      </c>
      <c r="Q1570" s="111">
        <v>3469</v>
      </c>
      <c r="R1570" s="117"/>
      <c r="S1570" s="117"/>
      <c r="T1570" s="117"/>
      <c r="U1570" s="117">
        <v>1870.91</v>
      </c>
      <c r="V1570" s="117"/>
      <c r="W1570" s="26">
        <f t="shared" si="1389"/>
        <v>1870.91</v>
      </c>
      <c r="X1570" s="118" t="str">
        <f t="shared" si="1390"/>
        <v/>
      </c>
      <c r="Y1570" s="119">
        <f t="shared" si="1391"/>
        <v>0.15696870542830776</v>
      </c>
      <c r="Z1570" s="117">
        <f t="shared" si="1392"/>
        <v>10048.09</v>
      </c>
      <c r="AA1570" s="119">
        <f t="shared" si="1393"/>
        <v>0.84303129457169224</v>
      </c>
      <c r="AB1570" s="120">
        <f t="shared" si="1394"/>
        <v>-679.01</v>
      </c>
      <c r="AC1570" s="119">
        <f t="shared" si="1395"/>
        <v>-5.6968705428307786E-2</v>
      </c>
      <c r="AD1570" s="110"/>
      <c r="AE1570" s="110"/>
      <c r="AF1570" s="110"/>
      <c r="AG1570" s="121"/>
      <c r="AH1570" s="110"/>
    </row>
    <row r="1571" spans="1:34" ht="11.25" customHeight="1" x14ac:dyDescent="0.15">
      <c r="A1571" s="110" t="s">
        <v>196</v>
      </c>
      <c r="B1571" s="110"/>
      <c r="C1571" s="111" t="s">
        <v>49</v>
      </c>
      <c r="D1571" s="111">
        <v>2024</v>
      </c>
      <c r="E1571" s="146">
        <v>45443</v>
      </c>
      <c r="F1571" s="111"/>
      <c r="G1571" s="111">
        <v>61622012</v>
      </c>
      <c r="H1571" s="111"/>
      <c r="I1571" s="111"/>
      <c r="J1571" s="111"/>
      <c r="K1571" s="112" t="s">
        <v>85</v>
      </c>
      <c r="L1571" s="120">
        <v>10238</v>
      </c>
      <c r="M1571" s="120">
        <v>4131.92</v>
      </c>
      <c r="N1571" s="120">
        <f>L1571-M1571</f>
        <v>6106.08</v>
      </c>
      <c r="O1571" s="119">
        <f t="shared" si="1388"/>
        <v>0.59641336198476269</v>
      </c>
      <c r="P1571" s="117">
        <v>10238</v>
      </c>
      <c r="Q1571" s="111">
        <v>3221</v>
      </c>
      <c r="R1571" s="117">
        <v>24</v>
      </c>
      <c r="S1571" s="117">
        <v>1357.2</v>
      </c>
      <c r="T1571" s="117">
        <v>1469.75</v>
      </c>
      <c r="U1571" s="117"/>
      <c r="V1571" s="117"/>
      <c r="W1571" s="26">
        <f t="shared" si="1389"/>
        <v>2826.95</v>
      </c>
      <c r="X1571" s="118">
        <f t="shared" ref="X1571:X1572" si="1396">IFERROR(S1571/R1571,"")</f>
        <v>56.550000000000004</v>
      </c>
      <c r="Y1571" s="119">
        <f t="shared" ref="Y1571:Y1572" si="1397">U1571/P1571</f>
        <v>0</v>
      </c>
      <c r="Z1571" s="117">
        <f t="shared" ref="Z1571:Z1572" si="1398">P1571-W1571</f>
        <v>7411.05</v>
      </c>
      <c r="AA1571" s="119">
        <f t="shared" ref="AA1571:AA1572" si="1399">Z1571/P1571</f>
        <v>0.72387673373705808</v>
      </c>
      <c r="AB1571" s="120">
        <f t="shared" ref="AB1571:AB1572" si="1400">M1571-W1571</f>
        <v>1304.9700000000003</v>
      </c>
      <c r="AC1571" s="119">
        <f t="shared" ref="AC1571:AC1572" si="1401">IFERROR(AA1571-O1571,"")</f>
        <v>0.12746337175229538</v>
      </c>
      <c r="AD1571" s="110"/>
      <c r="AE1571" s="110"/>
      <c r="AF1571" s="110"/>
      <c r="AG1571" s="121"/>
      <c r="AH1571" s="110"/>
    </row>
    <row r="1572" spans="1:34" s="216" customFormat="1" ht="11.25" customHeight="1" x14ac:dyDescent="0.15">
      <c r="A1572" s="53" t="s">
        <v>196</v>
      </c>
      <c r="B1572" s="53"/>
      <c r="C1572" s="54" t="s">
        <v>177</v>
      </c>
      <c r="D1572" s="54"/>
      <c r="E1572" s="70"/>
      <c r="F1572" s="54"/>
      <c r="G1572" s="54"/>
      <c r="H1572" s="54"/>
      <c r="I1572" s="54"/>
      <c r="J1572" s="54"/>
      <c r="K1572" s="106"/>
      <c r="L1572" s="24">
        <f>SUM(L1566:L1571)</f>
        <v>128177</v>
      </c>
      <c r="M1572" s="24">
        <f t="shared" ref="M1572:N1572" si="1402">SUM(M1566:M1571)</f>
        <v>26254.630000000005</v>
      </c>
      <c r="N1572" s="24">
        <f t="shared" si="1402"/>
        <v>101922.37000000001</v>
      </c>
      <c r="O1572" s="57">
        <f t="shared" si="1388"/>
        <v>0.79516894606676713</v>
      </c>
      <c r="P1572" s="24">
        <f>SUM(P1566:P1571)</f>
        <v>128177</v>
      </c>
      <c r="Q1572" s="24"/>
      <c r="R1572" s="117">
        <f>SUM(R1566:R1571)</f>
        <v>77.5</v>
      </c>
      <c r="S1572" s="117">
        <f t="shared" ref="S1572:W1572" si="1403">SUM(S1566:S1571)</f>
        <v>3842.3099999999995</v>
      </c>
      <c r="T1572" s="117">
        <f t="shared" si="1403"/>
        <v>3880.37</v>
      </c>
      <c r="U1572" s="117">
        <f t="shared" si="1403"/>
        <v>13448.49</v>
      </c>
      <c r="V1572" s="117">
        <f t="shared" si="1403"/>
        <v>1276.76</v>
      </c>
      <c r="W1572" s="26">
        <f t="shared" si="1403"/>
        <v>22447.93</v>
      </c>
      <c r="X1572" s="56">
        <f t="shared" si="1396"/>
        <v>49.578193548387091</v>
      </c>
      <c r="Y1572" s="57">
        <f t="shared" si="1397"/>
        <v>0.10492124172043346</v>
      </c>
      <c r="Z1572" s="28">
        <f t="shared" si="1398"/>
        <v>105729.07</v>
      </c>
      <c r="AA1572" s="57">
        <f t="shared" si="1399"/>
        <v>0.82486772197820202</v>
      </c>
      <c r="AB1572" s="58">
        <f t="shared" si="1400"/>
        <v>3806.7000000000044</v>
      </c>
      <c r="AC1572" s="57">
        <f t="shared" si="1401"/>
        <v>2.9698775911434883E-2</v>
      </c>
      <c r="AD1572" s="53"/>
      <c r="AE1572" s="53"/>
      <c r="AF1572" s="53"/>
      <c r="AG1572" s="61"/>
      <c r="AH1572" s="53"/>
    </row>
    <row r="1573" spans="1:34" ht="11.25" customHeight="1" x14ac:dyDescent="0.15">
      <c r="A1573" s="130"/>
      <c r="B1573" s="130"/>
      <c r="C1573" s="124"/>
      <c r="D1573" s="124"/>
      <c r="E1573" s="273"/>
      <c r="F1573" s="124"/>
      <c r="G1573" s="124"/>
      <c r="H1573" s="124"/>
      <c r="I1573" s="124"/>
      <c r="J1573" s="124"/>
      <c r="K1573" s="125"/>
      <c r="L1573" s="129"/>
      <c r="M1573" s="129"/>
      <c r="N1573" s="129"/>
      <c r="O1573" s="128"/>
      <c r="P1573" s="129"/>
      <c r="Q1573" s="124"/>
      <c r="R1573" s="117"/>
      <c r="S1573" s="117"/>
      <c r="T1573" s="117"/>
      <c r="U1573" s="117"/>
      <c r="V1573" s="117"/>
      <c r="X1573" s="45"/>
      <c r="Y1573" s="128"/>
      <c r="Z1573" s="126"/>
      <c r="AA1573" s="128"/>
      <c r="AB1573" s="129"/>
      <c r="AC1573" s="160"/>
      <c r="AD1573" s="137"/>
      <c r="AE1573" s="110"/>
      <c r="AF1573" s="110"/>
      <c r="AG1573" s="121"/>
      <c r="AH1573" s="110"/>
    </row>
    <row r="1574" spans="1:34" s="110" customFormat="1" ht="11.25" customHeight="1" x14ac:dyDescent="0.15">
      <c r="A1574" s="110" t="s">
        <v>821</v>
      </c>
      <c r="C1574" s="111" t="s">
        <v>175</v>
      </c>
      <c r="D1574" s="111">
        <v>2024</v>
      </c>
      <c r="E1574" s="146">
        <v>45443</v>
      </c>
      <c r="F1574" s="54"/>
      <c r="G1574" s="111">
        <v>81100010</v>
      </c>
      <c r="H1574" s="111">
        <v>4101</v>
      </c>
      <c r="I1574" s="111" t="str">
        <f>MID(G1574,2,1)</f>
        <v>1</v>
      </c>
      <c r="J1574" s="111" t="str">
        <f>IF(I1574="1","Small/Medium","Large")</f>
        <v>Small/Medium</v>
      </c>
      <c r="K1574" s="147" t="s">
        <v>145</v>
      </c>
      <c r="L1574" s="132">
        <v>12084</v>
      </c>
      <c r="M1574" s="219">
        <f>L1574*0.3</f>
        <v>3625.2</v>
      </c>
      <c r="N1574" s="219">
        <f>L1574-M1574</f>
        <v>8458.7999999999993</v>
      </c>
      <c r="O1574" s="163">
        <f>IFERROR(N1574/L1574,"")</f>
        <v>0.7</v>
      </c>
      <c r="P1574" s="132">
        <v>12084</v>
      </c>
      <c r="Q1574" s="132">
        <v>2934</v>
      </c>
      <c r="R1574" s="117">
        <v>25</v>
      </c>
      <c r="S1574" s="117">
        <v>1122</v>
      </c>
      <c r="T1574" s="117">
        <v>1076.3900000000001</v>
      </c>
      <c r="U1574" s="117"/>
      <c r="V1574" s="117">
        <v>143.13999999999999</v>
      </c>
      <c r="W1574" s="26">
        <f>SUM(S1574:V1574)</f>
        <v>2341.5300000000002</v>
      </c>
      <c r="X1574" s="118">
        <f t="shared" ref="X1574:X1575" si="1404">IFERROR(S1574/R1574,"")</f>
        <v>44.88</v>
      </c>
      <c r="Y1574" s="119">
        <f>IFERROR(U1574/P1574,0)</f>
        <v>0</v>
      </c>
      <c r="Z1574" s="117">
        <f t="shared" ref="Z1574:Z1575" si="1405">P1574-W1574</f>
        <v>9742.4699999999993</v>
      </c>
      <c r="AA1574" s="119">
        <f>IFERROR(Z1574/P1574,0)</f>
        <v>0.80622889771598805</v>
      </c>
      <c r="AB1574" s="120">
        <f t="shared" ref="AB1574:AB1575" si="1406">M1574-W1574</f>
        <v>1283.6699999999996</v>
      </c>
      <c r="AC1574" s="119">
        <f t="shared" ref="AC1574:AC1575" si="1407">IFERROR(AA1574-O1574,"")</f>
        <v>0.10622889771598809</v>
      </c>
      <c r="AD1574" s="110" t="s">
        <v>822</v>
      </c>
      <c r="AG1574" s="121"/>
    </row>
    <row r="1575" spans="1:34" s="216" customFormat="1" ht="11.25" customHeight="1" x14ac:dyDescent="0.15">
      <c r="A1575" s="53" t="s">
        <v>821</v>
      </c>
      <c r="B1575" s="53"/>
      <c r="C1575" s="54" t="s">
        <v>177</v>
      </c>
      <c r="D1575" s="54"/>
      <c r="E1575" s="70"/>
      <c r="F1575" s="54"/>
      <c r="G1575" s="54"/>
      <c r="H1575" s="54"/>
      <c r="I1575" s="54"/>
      <c r="J1575" s="54"/>
      <c r="K1575" s="106"/>
      <c r="L1575" s="238">
        <f>SUBTOTAL(9,L1574)</f>
        <v>12084</v>
      </c>
      <c r="M1575" s="238">
        <f t="shared" ref="M1575:N1575" si="1408">SUBTOTAL(9,M1574)</f>
        <v>3625.2</v>
      </c>
      <c r="N1575" s="238">
        <f t="shared" si="1408"/>
        <v>8458.7999999999993</v>
      </c>
      <c r="O1575" s="57">
        <f>IFERROR(N1575/L1575,"")</f>
        <v>0.7</v>
      </c>
      <c r="P1575" s="238">
        <f>SUBTOTAL(9,P1574)</f>
        <v>12084</v>
      </c>
      <c r="Q1575" s="238"/>
      <c r="R1575" s="117">
        <f>SUBTOTAL(9,R1574)</f>
        <v>25</v>
      </c>
      <c r="S1575" s="117">
        <f t="shared" ref="S1575:W1575" si="1409">SUBTOTAL(9,S1574)</f>
        <v>1122</v>
      </c>
      <c r="T1575" s="117">
        <f t="shared" si="1409"/>
        <v>1076.3900000000001</v>
      </c>
      <c r="U1575" s="117">
        <f t="shared" si="1409"/>
        <v>0</v>
      </c>
      <c r="V1575" s="117">
        <f t="shared" si="1409"/>
        <v>143.13999999999999</v>
      </c>
      <c r="W1575" s="26">
        <f t="shared" si="1409"/>
        <v>2341.5300000000002</v>
      </c>
      <c r="X1575" s="56">
        <f t="shared" si="1404"/>
        <v>44.88</v>
      </c>
      <c r="Y1575" s="57">
        <f>IFERROR(U1575/P1575,0)</f>
        <v>0</v>
      </c>
      <c r="Z1575" s="28">
        <f t="shared" si="1405"/>
        <v>9742.4699999999993</v>
      </c>
      <c r="AA1575" s="57">
        <f>IFERROR(Z1575/P1575,0)</f>
        <v>0.80622889771598805</v>
      </c>
      <c r="AB1575" s="58">
        <f t="shared" si="1406"/>
        <v>1283.6699999999996</v>
      </c>
      <c r="AC1575" s="57">
        <f t="shared" si="1407"/>
        <v>0.10622889771598809</v>
      </c>
      <c r="AD1575" s="53"/>
      <c r="AE1575" s="53"/>
      <c r="AF1575" s="53"/>
      <c r="AG1575" s="61"/>
      <c r="AH1575" s="53"/>
    </row>
    <row r="1576" spans="1:34" ht="11.25" customHeight="1" x14ac:dyDescent="0.15">
      <c r="A1576" s="130"/>
      <c r="B1576" s="130"/>
      <c r="C1576" s="124"/>
      <c r="D1576" s="124"/>
      <c r="E1576" s="273"/>
      <c r="F1576" s="124"/>
      <c r="G1576" s="124"/>
      <c r="H1576" s="124"/>
      <c r="I1576" s="124"/>
      <c r="J1576" s="124"/>
      <c r="K1576" s="125"/>
      <c r="L1576" s="129"/>
      <c r="M1576" s="129"/>
      <c r="N1576" s="129"/>
      <c r="O1576" s="128"/>
      <c r="P1576" s="129"/>
      <c r="Q1576" s="124"/>
      <c r="R1576" s="117"/>
      <c r="S1576" s="117"/>
      <c r="T1576" s="117"/>
      <c r="U1576" s="117"/>
      <c r="V1576" s="117"/>
      <c r="X1576" s="45"/>
      <c r="Y1576" s="128"/>
      <c r="Z1576" s="126"/>
      <c r="AA1576" s="128"/>
      <c r="AB1576" s="129"/>
      <c r="AC1576" s="160"/>
      <c r="AD1576" s="137"/>
      <c r="AE1576" s="110"/>
      <c r="AF1576" s="110"/>
      <c r="AG1576" s="121"/>
      <c r="AH1576" s="110"/>
    </row>
    <row r="1577" spans="1:34" ht="11.25" customHeight="1" x14ac:dyDescent="0.15">
      <c r="A1577" s="110" t="s">
        <v>436</v>
      </c>
      <c r="B1577" s="110"/>
      <c r="C1577" s="111" t="s">
        <v>175</v>
      </c>
      <c r="D1577" s="111">
        <v>2024</v>
      </c>
      <c r="E1577" s="146">
        <v>45443</v>
      </c>
      <c r="F1577" s="111"/>
      <c r="G1577" s="111">
        <v>81100011</v>
      </c>
      <c r="H1577" s="111">
        <v>4101</v>
      </c>
      <c r="I1577" s="111" t="str">
        <f>MID(G1577,2,1)</f>
        <v>1</v>
      </c>
      <c r="J1577" s="111" t="str">
        <f>IF(I1577="1","Small/Medium","Large")</f>
        <v>Small/Medium</v>
      </c>
      <c r="K1577" s="147" t="s">
        <v>145</v>
      </c>
      <c r="L1577" s="120">
        <v>13607</v>
      </c>
      <c r="M1577" s="120">
        <f>L1577*0.3</f>
        <v>4082.1</v>
      </c>
      <c r="N1577" s="120">
        <f>L1577-M1577</f>
        <v>9524.9</v>
      </c>
      <c r="O1577" s="119">
        <f>IFERROR(N1577/L1577,"")</f>
        <v>0.7</v>
      </c>
      <c r="P1577" s="117">
        <v>13607</v>
      </c>
      <c r="Q1577" s="111">
        <v>3576</v>
      </c>
      <c r="R1577" s="117">
        <v>29</v>
      </c>
      <c r="S1577" s="117">
        <v>1301.52</v>
      </c>
      <c r="T1577" s="117">
        <v>1322.31</v>
      </c>
      <c r="U1577" s="117">
        <v>526.25</v>
      </c>
      <c r="V1577" s="117"/>
      <c r="W1577" s="26">
        <f>SUM(S1577:V1577)</f>
        <v>3150.08</v>
      </c>
      <c r="X1577" s="118">
        <f t="shared" ref="X1577:X1578" si="1410">IFERROR(S1577/R1577,"")</f>
        <v>44.88</v>
      </c>
      <c r="Y1577" s="119">
        <f>IFERROR(U1577/P1577,0)</f>
        <v>3.8674946718600722E-2</v>
      </c>
      <c r="Z1577" s="117">
        <f t="shared" ref="Z1577:Z1578" si="1411">P1577-W1577</f>
        <v>10456.92</v>
      </c>
      <c r="AA1577" s="119">
        <f>IFERROR(Z1577/P1577,0)</f>
        <v>0.76849562725067977</v>
      </c>
      <c r="AB1577" s="120">
        <f t="shared" ref="AB1577:AB1578" si="1412">M1577-W1577</f>
        <v>932.02</v>
      </c>
      <c r="AC1577" s="119">
        <f t="shared" ref="AC1577:AC1578" si="1413">IFERROR(AA1577-O1577,"")</f>
        <v>6.8495627250679814E-2</v>
      </c>
      <c r="AD1577" s="110" t="s">
        <v>823</v>
      </c>
      <c r="AE1577" s="110"/>
      <c r="AF1577" s="110"/>
      <c r="AG1577" s="121"/>
      <c r="AH1577" s="110"/>
    </row>
    <row r="1578" spans="1:34" s="216" customFormat="1" ht="11.25" customHeight="1" x14ac:dyDescent="0.15">
      <c r="A1578" s="53" t="s">
        <v>436</v>
      </c>
      <c r="B1578" s="53"/>
      <c r="C1578" s="54" t="s">
        <v>177</v>
      </c>
      <c r="D1578" s="54"/>
      <c r="E1578" s="70"/>
      <c r="F1578" s="54"/>
      <c r="G1578" s="54"/>
      <c r="H1578" s="54"/>
      <c r="I1578" s="54"/>
      <c r="J1578" s="54"/>
      <c r="K1578" s="106"/>
      <c r="L1578" s="24">
        <f>SUBTOTAL(9,L1577)</f>
        <v>13607</v>
      </c>
      <c r="M1578" s="24">
        <f t="shared" ref="M1578:N1578" si="1414">SUBTOTAL(9,M1577)</f>
        <v>4082.1</v>
      </c>
      <c r="N1578" s="24">
        <f t="shared" si="1414"/>
        <v>9524.9</v>
      </c>
      <c r="O1578" s="57">
        <f>IFERROR(N1578/L1578,"")</f>
        <v>0.7</v>
      </c>
      <c r="P1578" s="24">
        <f>SUM(P1577)</f>
        <v>13607</v>
      </c>
      <c r="Q1578" s="24"/>
      <c r="R1578" s="117">
        <f>SUM(R1577)</f>
        <v>29</v>
      </c>
      <c r="S1578" s="117">
        <f t="shared" ref="S1578:W1578" si="1415">SUM(S1577)</f>
        <v>1301.52</v>
      </c>
      <c r="T1578" s="117">
        <f t="shared" si="1415"/>
        <v>1322.31</v>
      </c>
      <c r="U1578" s="117">
        <f t="shared" si="1415"/>
        <v>526.25</v>
      </c>
      <c r="V1578" s="117">
        <f t="shared" si="1415"/>
        <v>0</v>
      </c>
      <c r="W1578" s="26">
        <f t="shared" si="1415"/>
        <v>3150.08</v>
      </c>
      <c r="X1578" s="56">
        <f t="shared" si="1410"/>
        <v>44.88</v>
      </c>
      <c r="Y1578" s="57">
        <f>IFERROR(U1578/P1578,0)</f>
        <v>3.8674946718600722E-2</v>
      </c>
      <c r="Z1578" s="28">
        <f t="shared" si="1411"/>
        <v>10456.92</v>
      </c>
      <c r="AA1578" s="57">
        <f>IFERROR(Z1578/P1578,0)</f>
        <v>0.76849562725067977</v>
      </c>
      <c r="AB1578" s="58">
        <f t="shared" si="1412"/>
        <v>932.02</v>
      </c>
      <c r="AC1578" s="57">
        <f t="shared" si="1413"/>
        <v>6.8495627250679814E-2</v>
      </c>
      <c r="AD1578" s="53"/>
      <c r="AE1578" s="53"/>
      <c r="AF1578" s="53"/>
      <c r="AG1578" s="61"/>
      <c r="AH1578" s="53"/>
    </row>
    <row r="1579" spans="1:34" ht="11.25" customHeight="1" x14ac:dyDescent="0.15">
      <c r="A1579" s="130"/>
      <c r="B1579" s="130"/>
      <c r="C1579" s="124"/>
      <c r="D1579" s="124"/>
      <c r="E1579" s="273"/>
      <c r="F1579" s="124"/>
      <c r="G1579" s="124"/>
      <c r="H1579" s="124"/>
      <c r="I1579" s="124"/>
      <c r="J1579" s="124"/>
      <c r="K1579" s="125"/>
      <c r="L1579" s="129"/>
      <c r="M1579" s="129"/>
      <c r="N1579" s="129"/>
      <c r="O1579" s="128"/>
      <c r="P1579" s="129"/>
      <c r="Q1579" s="124"/>
      <c r="R1579" s="117"/>
      <c r="S1579" s="117"/>
      <c r="T1579" s="117"/>
      <c r="U1579" s="117"/>
      <c r="V1579" s="117"/>
      <c r="X1579" s="45"/>
      <c r="Y1579" s="128"/>
      <c r="Z1579" s="126"/>
      <c r="AA1579" s="128"/>
      <c r="AB1579" s="129"/>
      <c r="AC1579" s="160"/>
      <c r="AD1579" s="137"/>
      <c r="AE1579" s="110"/>
      <c r="AF1579" s="110"/>
      <c r="AG1579" s="121"/>
      <c r="AH1579" s="110"/>
    </row>
    <row r="1580" spans="1:34" ht="11.25" customHeight="1" x14ac:dyDescent="0.15">
      <c r="A1580" s="110" t="s">
        <v>576</v>
      </c>
      <c r="B1580" s="110"/>
      <c r="C1580" s="111" t="s">
        <v>175</v>
      </c>
      <c r="D1580" s="111">
        <v>2024</v>
      </c>
      <c r="E1580" s="146">
        <v>45473</v>
      </c>
      <c r="F1580" s="111"/>
      <c r="G1580" s="111">
        <v>80100011</v>
      </c>
      <c r="H1580" s="111">
        <v>4101</v>
      </c>
      <c r="I1580" s="111" t="str">
        <f>MID(G1580,2,1)</f>
        <v>0</v>
      </c>
      <c r="J1580" s="111" t="s">
        <v>502</v>
      </c>
      <c r="K1580" s="112" t="s">
        <v>503</v>
      </c>
      <c r="L1580" s="120">
        <v>10672</v>
      </c>
      <c r="M1580" s="120">
        <f>L1580*0.3</f>
        <v>3201.6</v>
      </c>
      <c r="N1580" s="120">
        <f>L1580-M1580</f>
        <v>7470.4</v>
      </c>
      <c r="O1580" s="119">
        <f>IFERROR(N1580/L1580,"")</f>
        <v>0.7</v>
      </c>
      <c r="P1580" s="120">
        <v>10672</v>
      </c>
      <c r="Q1580" s="111">
        <v>1881</v>
      </c>
      <c r="R1580" s="117">
        <v>22</v>
      </c>
      <c r="S1580" s="117">
        <v>987.36</v>
      </c>
      <c r="T1580" s="117">
        <v>873.97</v>
      </c>
      <c r="U1580" s="117"/>
      <c r="V1580" s="117"/>
      <c r="W1580" s="26">
        <f>SUM(S1580:V1580)</f>
        <v>1861.33</v>
      </c>
      <c r="X1580" s="118">
        <f t="shared" ref="X1580:X1582" si="1416">IFERROR(S1580/R1580,"")</f>
        <v>44.88</v>
      </c>
      <c r="Y1580" s="119">
        <f t="shared" ref="Y1580:Y1582" si="1417">U1580/P1580</f>
        <v>0</v>
      </c>
      <c r="Z1580" s="117">
        <f t="shared" ref="Z1580:Z1582" si="1418">P1580-W1580</f>
        <v>8810.67</v>
      </c>
      <c r="AA1580" s="119">
        <f t="shared" ref="AA1580:AA1582" si="1419">Z1580/P1580</f>
        <v>0.82558751874062974</v>
      </c>
      <c r="AB1580" s="120">
        <f t="shared" ref="AB1580:AB1582" si="1420">M1580-W1580</f>
        <v>1340.27</v>
      </c>
      <c r="AC1580" s="119">
        <f t="shared" ref="AC1580:AC1582" si="1421">IFERROR(AA1580-O1580,"")</f>
        <v>0.12558751874062979</v>
      </c>
      <c r="AD1580" s="110" t="s">
        <v>824</v>
      </c>
      <c r="AE1580" s="110"/>
      <c r="AF1580" s="110"/>
      <c r="AG1580" s="121"/>
      <c r="AH1580" s="110"/>
    </row>
    <row r="1581" spans="1:34" ht="11.25" customHeight="1" x14ac:dyDescent="0.15">
      <c r="A1581" s="110" t="s">
        <v>576</v>
      </c>
      <c r="B1581" s="110"/>
      <c r="C1581" s="111" t="s">
        <v>175</v>
      </c>
      <c r="D1581" s="111">
        <v>2024</v>
      </c>
      <c r="E1581" s="146">
        <v>45473</v>
      </c>
      <c r="F1581" s="111"/>
      <c r="G1581" s="111">
        <v>81100011</v>
      </c>
      <c r="H1581" s="111">
        <v>4101</v>
      </c>
      <c r="I1581" s="111" t="str">
        <f>MID(G1581,2,1)</f>
        <v>1</v>
      </c>
      <c r="J1581" s="111" t="str">
        <f>IF(I1581="1","Small/Medium","Large")</f>
        <v>Small/Medium</v>
      </c>
      <c r="K1581" s="147" t="s">
        <v>145</v>
      </c>
      <c r="L1581" s="120">
        <v>10672</v>
      </c>
      <c r="M1581" s="120">
        <f>L1581*0.3</f>
        <v>3201.6</v>
      </c>
      <c r="N1581" s="120">
        <f>L1581-M1581</f>
        <v>7470.4</v>
      </c>
      <c r="O1581" s="119">
        <f>IFERROR(N1581/L1581,"")</f>
        <v>0.7</v>
      </c>
      <c r="P1581" s="120">
        <v>10672</v>
      </c>
      <c r="Q1581" s="111">
        <v>1882</v>
      </c>
      <c r="R1581" s="117">
        <v>28</v>
      </c>
      <c r="S1581" s="117">
        <v>1256.6400000000001</v>
      </c>
      <c r="T1581" s="117">
        <v>2041.11</v>
      </c>
      <c r="U1581" s="117">
        <v>698.22</v>
      </c>
      <c r="V1581" s="117"/>
      <c r="W1581" s="26">
        <f>SUM(S1581:V1581)</f>
        <v>3995.9700000000003</v>
      </c>
      <c r="X1581" s="118">
        <f t="shared" si="1416"/>
        <v>44.88</v>
      </c>
      <c r="Y1581" s="119">
        <f t="shared" si="1417"/>
        <v>6.5425412293853069E-2</v>
      </c>
      <c r="Z1581" s="117">
        <f t="shared" si="1418"/>
        <v>6676.03</v>
      </c>
      <c r="AA1581" s="119">
        <f t="shared" si="1419"/>
        <v>0.62556502998500751</v>
      </c>
      <c r="AB1581" s="120">
        <f t="shared" si="1420"/>
        <v>-794.37000000000035</v>
      </c>
      <c r="AC1581" s="119">
        <f t="shared" si="1421"/>
        <v>-7.4434970014992441E-2</v>
      </c>
      <c r="AD1581" s="110" t="s">
        <v>825</v>
      </c>
      <c r="AE1581" s="110"/>
      <c r="AF1581" s="110"/>
      <c r="AG1581" s="121"/>
      <c r="AH1581" s="110"/>
    </row>
    <row r="1582" spans="1:34" s="216" customFormat="1" ht="11.25" customHeight="1" x14ac:dyDescent="0.15">
      <c r="A1582" s="53" t="s">
        <v>576</v>
      </c>
      <c r="B1582" s="53"/>
      <c r="C1582" s="54" t="s">
        <v>177</v>
      </c>
      <c r="D1582" s="54"/>
      <c r="E1582" s="70"/>
      <c r="F1582" s="54"/>
      <c r="G1582" s="54"/>
      <c r="H1582" s="54"/>
      <c r="I1582" s="54"/>
      <c r="J1582" s="54"/>
      <c r="K1582" s="106"/>
      <c r="L1582" s="24">
        <f>SUM(L1580:L1581)</f>
        <v>21344</v>
      </c>
      <c r="M1582" s="24">
        <f>SUM(M1580:M1581)</f>
        <v>6403.2</v>
      </c>
      <c r="N1582" s="24">
        <f t="shared" ref="N1582" si="1422">SUM(N1580:N1581)</f>
        <v>14940.8</v>
      </c>
      <c r="O1582" s="57">
        <f>IFERROR(N1582/L1582,"")</f>
        <v>0.7</v>
      </c>
      <c r="P1582" s="24">
        <f>SUM(P1580:P1581)</f>
        <v>21344</v>
      </c>
      <c r="Q1582" s="24"/>
      <c r="R1582" s="117">
        <f>SUM(R1580:R1581)</f>
        <v>50</v>
      </c>
      <c r="S1582" s="117">
        <f t="shared" ref="S1582:W1582" si="1423">SUM(S1580:S1581)</f>
        <v>2244</v>
      </c>
      <c r="T1582" s="117">
        <f t="shared" si="1423"/>
        <v>2915.08</v>
      </c>
      <c r="U1582" s="117">
        <f t="shared" si="1423"/>
        <v>698.22</v>
      </c>
      <c r="V1582" s="117">
        <f t="shared" si="1423"/>
        <v>0</v>
      </c>
      <c r="W1582" s="26">
        <f t="shared" si="1423"/>
        <v>5857.3</v>
      </c>
      <c r="X1582" s="56">
        <f t="shared" si="1416"/>
        <v>44.88</v>
      </c>
      <c r="Y1582" s="57">
        <f t="shared" si="1417"/>
        <v>3.2712706146926535E-2</v>
      </c>
      <c r="Z1582" s="28">
        <f t="shared" si="1418"/>
        <v>15486.7</v>
      </c>
      <c r="AA1582" s="57">
        <f t="shared" si="1419"/>
        <v>0.72557627436281857</v>
      </c>
      <c r="AB1582" s="58">
        <f t="shared" si="1420"/>
        <v>545.89999999999964</v>
      </c>
      <c r="AC1582" s="57">
        <f t="shared" si="1421"/>
        <v>2.5576274362818618E-2</v>
      </c>
      <c r="AD1582" s="53"/>
      <c r="AE1582" s="53"/>
      <c r="AF1582" s="53"/>
      <c r="AG1582" s="61"/>
      <c r="AH1582" s="53"/>
    </row>
    <row r="1583" spans="1:34" ht="11.25" customHeight="1" x14ac:dyDescent="0.15">
      <c r="A1583" s="130"/>
      <c r="B1583" s="130"/>
      <c r="C1583" s="124"/>
      <c r="D1583" s="124"/>
      <c r="E1583" s="273"/>
      <c r="F1583" s="124"/>
      <c r="G1583" s="124"/>
      <c r="H1583" s="124"/>
      <c r="I1583" s="124"/>
      <c r="J1583" s="124"/>
      <c r="K1583" s="125"/>
      <c r="L1583" s="129"/>
      <c r="M1583" s="129"/>
      <c r="N1583" s="129"/>
      <c r="O1583" s="128"/>
      <c r="P1583" s="129"/>
      <c r="Q1583" s="124"/>
      <c r="R1583" s="117"/>
      <c r="S1583" s="117"/>
      <c r="T1583" s="117"/>
      <c r="U1583" s="117"/>
      <c r="V1583" s="117"/>
      <c r="X1583" s="45"/>
      <c r="Y1583" s="128"/>
      <c r="Z1583" s="126"/>
      <c r="AA1583" s="128"/>
      <c r="AB1583" s="129"/>
      <c r="AC1583" s="160"/>
      <c r="AD1583" s="137"/>
      <c r="AE1583" s="110"/>
      <c r="AF1583" s="110"/>
      <c r="AG1583" s="121"/>
      <c r="AH1583" s="110"/>
    </row>
    <row r="1584" spans="1:34" ht="11.25" customHeight="1" x14ac:dyDescent="0.15">
      <c r="A1584" s="110" t="s">
        <v>125</v>
      </c>
      <c r="B1584" s="110"/>
      <c r="C1584" s="111" t="s">
        <v>175</v>
      </c>
      <c r="D1584" s="111">
        <v>2024</v>
      </c>
      <c r="E1584" s="146">
        <v>45473</v>
      </c>
      <c r="F1584" s="111"/>
      <c r="G1584" s="111">
        <v>81100011</v>
      </c>
      <c r="H1584" s="111">
        <v>4101</v>
      </c>
      <c r="I1584" s="111" t="str">
        <f>MID(G1584,2,1)</f>
        <v>1</v>
      </c>
      <c r="J1584" s="111" t="str">
        <f>IF(I1584="1","Small/Medium","Large")</f>
        <v>Small/Medium</v>
      </c>
      <c r="K1584" s="147" t="s">
        <v>145</v>
      </c>
      <c r="L1584" s="120">
        <v>9398</v>
      </c>
      <c r="M1584" s="120">
        <f>L1584*0.3</f>
        <v>2819.4</v>
      </c>
      <c r="N1584" s="120">
        <f>L1584-M1584</f>
        <v>6578.6</v>
      </c>
      <c r="O1584" s="119">
        <f>IFERROR(N1584/L1584,"")</f>
        <v>0.70000000000000007</v>
      </c>
      <c r="P1584" s="120">
        <v>9398</v>
      </c>
      <c r="Q1584" s="111">
        <v>3457</v>
      </c>
      <c r="R1584" s="117">
        <v>16</v>
      </c>
      <c r="S1584" s="117">
        <v>718.08</v>
      </c>
      <c r="T1584" s="117">
        <v>968.09</v>
      </c>
      <c r="U1584" s="117">
        <v>756.98</v>
      </c>
      <c r="V1584" s="117"/>
      <c r="W1584" s="26">
        <f>SUM(S1584:V1584)</f>
        <v>2443.15</v>
      </c>
      <c r="X1584" s="118">
        <f t="shared" ref="X1584:X1585" si="1424">IFERROR(S1584/R1584,"")</f>
        <v>44.88</v>
      </c>
      <c r="Y1584" s="119">
        <f>IFERROR(U1584/P1584,0)</f>
        <v>8.0546924877633541E-2</v>
      </c>
      <c r="Z1584" s="117">
        <f t="shared" ref="Z1584:Z1585" si="1425">P1584-W1584</f>
        <v>6954.85</v>
      </c>
      <c r="AA1584" s="119">
        <f>IFERROR(Z1584/P1584,0)</f>
        <v>0.74003511385401155</v>
      </c>
      <c r="AB1584" s="120">
        <f t="shared" ref="AB1584:AB1585" si="1426">M1584-W1584</f>
        <v>376.25</v>
      </c>
      <c r="AC1584" s="119">
        <f t="shared" ref="AC1584:AC1585" si="1427">IFERROR(AA1584-O1584,"")</f>
        <v>4.0035113854011484E-2</v>
      </c>
      <c r="AD1584" s="110" t="s">
        <v>826</v>
      </c>
      <c r="AE1584" s="110"/>
      <c r="AF1584" s="110"/>
      <c r="AG1584" s="121"/>
      <c r="AH1584" s="110"/>
    </row>
    <row r="1585" spans="1:34" s="216" customFormat="1" ht="11.25" customHeight="1" x14ac:dyDescent="0.15">
      <c r="A1585" s="53" t="s">
        <v>125</v>
      </c>
      <c r="B1585" s="53"/>
      <c r="C1585" s="54" t="s">
        <v>177</v>
      </c>
      <c r="D1585" s="54"/>
      <c r="E1585" s="70"/>
      <c r="F1585" s="54"/>
      <c r="G1585" s="54"/>
      <c r="H1585" s="54"/>
      <c r="I1585" s="54"/>
      <c r="J1585" s="54"/>
      <c r="K1585" s="106"/>
      <c r="L1585" s="24">
        <f>SUM(L1584)</f>
        <v>9398</v>
      </c>
      <c r="M1585" s="24">
        <f t="shared" ref="M1585:N1585" si="1428">SUBTOTAL(9,M1584)</f>
        <v>2819.4</v>
      </c>
      <c r="N1585" s="24">
        <f t="shared" si="1428"/>
        <v>6578.6</v>
      </c>
      <c r="O1585" s="57">
        <f>IFERROR(N1585/L1585,"")</f>
        <v>0.70000000000000007</v>
      </c>
      <c r="P1585" s="24">
        <f>SUM(P1584)</f>
        <v>9398</v>
      </c>
      <c r="Q1585" s="24"/>
      <c r="R1585" s="117">
        <f>SUM(R1584)</f>
        <v>16</v>
      </c>
      <c r="S1585" s="117">
        <f t="shared" ref="S1585:V1585" si="1429">SUM(S1584)</f>
        <v>718.08</v>
      </c>
      <c r="T1585" s="117">
        <f t="shared" si="1429"/>
        <v>968.09</v>
      </c>
      <c r="U1585" s="117">
        <f t="shared" si="1429"/>
        <v>756.98</v>
      </c>
      <c r="V1585" s="117">
        <f t="shared" si="1429"/>
        <v>0</v>
      </c>
      <c r="W1585" s="26">
        <f t="shared" ref="W1585" si="1430">SUM(W1584)</f>
        <v>2443.15</v>
      </c>
      <c r="X1585" s="56">
        <f t="shared" si="1424"/>
        <v>44.88</v>
      </c>
      <c r="Y1585" s="57">
        <f>IFERROR(U1585/P1585,0)</f>
        <v>8.0546924877633541E-2</v>
      </c>
      <c r="Z1585" s="28">
        <f t="shared" si="1425"/>
        <v>6954.85</v>
      </c>
      <c r="AA1585" s="57">
        <f>IFERROR(Z1585/P1585,0)</f>
        <v>0.74003511385401155</v>
      </c>
      <c r="AB1585" s="58">
        <f t="shared" si="1426"/>
        <v>376.25</v>
      </c>
      <c r="AC1585" s="57">
        <f t="shared" si="1427"/>
        <v>4.0035113854011484E-2</v>
      </c>
      <c r="AD1585" s="53"/>
      <c r="AE1585" s="53"/>
      <c r="AF1585" s="53"/>
      <c r="AG1585" s="61"/>
      <c r="AH1585" s="53"/>
    </row>
    <row r="1586" spans="1:34" ht="11.25" customHeight="1" x14ac:dyDescent="0.15">
      <c r="A1586" s="130"/>
      <c r="B1586" s="130"/>
      <c r="C1586" s="124"/>
      <c r="D1586" s="124"/>
      <c r="E1586" s="273"/>
      <c r="F1586" s="124"/>
      <c r="G1586" s="124"/>
      <c r="H1586" s="124"/>
      <c r="I1586" s="124"/>
      <c r="J1586" s="124"/>
      <c r="K1586" s="125"/>
      <c r="L1586" s="129"/>
      <c r="M1586" s="129"/>
      <c r="N1586" s="129"/>
      <c r="O1586" s="128"/>
      <c r="P1586" s="129"/>
      <c r="Q1586" s="124"/>
      <c r="R1586" s="117"/>
      <c r="S1586" s="117"/>
      <c r="T1586" s="117"/>
      <c r="U1586" s="117"/>
      <c r="V1586" s="117"/>
      <c r="X1586" s="45"/>
      <c r="Y1586" s="128"/>
      <c r="Z1586" s="126"/>
      <c r="AA1586" s="128"/>
      <c r="AB1586" s="129"/>
      <c r="AC1586" s="160"/>
      <c r="AD1586" s="137"/>
      <c r="AE1586" s="110"/>
      <c r="AF1586" s="110"/>
      <c r="AG1586" s="121"/>
      <c r="AH1586" s="110"/>
    </row>
    <row r="1587" spans="1:34" ht="11.25" customHeight="1" x14ac:dyDescent="0.15">
      <c r="A1587" s="110" t="s">
        <v>237</v>
      </c>
      <c r="B1587" s="110"/>
      <c r="C1587" s="111" t="s">
        <v>175</v>
      </c>
      <c r="D1587" s="111">
        <v>2024</v>
      </c>
      <c r="E1587" s="146">
        <v>45473</v>
      </c>
      <c r="F1587" s="111"/>
      <c r="G1587" s="111">
        <v>81100011</v>
      </c>
      <c r="H1587" s="111">
        <v>4101</v>
      </c>
      <c r="I1587" s="111" t="str">
        <f>MID(G1587,2,1)</f>
        <v>1</v>
      </c>
      <c r="J1587" s="111" t="str">
        <f>IF(I1587="1","Small/Medium","Large")</f>
        <v>Small/Medium</v>
      </c>
      <c r="K1587" s="147" t="s">
        <v>145</v>
      </c>
      <c r="L1587" s="120">
        <v>39884.269499724993</v>
      </c>
      <c r="M1587" s="120">
        <f>L1587*0.3</f>
        <v>11965.280849917497</v>
      </c>
      <c r="N1587" s="120">
        <f>L1587-M1587</f>
        <v>27918.988649807496</v>
      </c>
      <c r="O1587" s="119">
        <f>IFERROR(N1587/L1587,"")</f>
        <v>0.70000000000000007</v>
      </c>
      <c r="P1587" s="120">
        <v>39884.269499724993</v>
      </c>
      <c r="Q1587" s="111">
        <v>3009</v>
      </c>
      <c r="R1587" s="117">
        <v>76</v>
      </c>
      <c r="S1587" s="117">
        <v>3410.88</v>
      </c>
      <c r="T1587" s="117">
        <v>2919.61</v>
      </c>
      <c r="U1587" s="117">
        <v>1320</v>
      </c>
      <c r="V1587" s="117"/>
      <c r="W1587" s="26">
        <f>SUM(S1587:V1587)</f>
        <v>7650.49</v>
      </c>
      <c r="X1587" s="118">
        <f t="shared" ref="X1587:X1589" si="1431">IFERROR(S1587/R1587,"")</f>
        <v>44.88</v>
      </c>
      <c r="Y1587" s="119">
        <f t="shared" ref="Y1587:Y1589" si="1432">U1587/P1587</f>
        <v>3.3095754706228268E-2</v>
      </c>
      <c r="Z1587" s="117">
        <f t="shared" ref="Z1587:Z1589" si="1433">P1587-W1587</f>
        <v>32233.779499724995</v>
      </c>
      <c r="AA1587" s="119">
        <f t="shared" ref="AA1587:AA1589" si="1434">Z1587/P1587</f>
        <v>0.80818277240723313</v>
      </c>
      <c r="AB1587" s="120">
        <f t="shared" ref="AB1587:AB1589" si="1435">M1587-W1587</f>
        <v>4314.7908499174973</v>
      </c>
      <c r="AC1587" s="119">
        <f t="shared" ref="AC1587:AC1589" si="1436">IFERROR(AA1587-O1587,"")</f>
        <v>0.10818277240723306</v>
      </c>
      <c r="AD1587" s="110" t="s">
        <v>827</v>
      </c>
      <c r="AE1587" s="110"/>
      <c r="AF1587" s="110"/>
      <c r="AG1587" s="121"/>
      <c r="AH1587" s="110"/>
    </row>
    <row r="1588" spans="1:34" ht="11.25" customHeight="1" x14ac:dyDescent="0.15">
      <c r="A1588" s="110" t="s">
        <v>237</v>
      </c>
      <c r="B1588" s="110"/>
      <c r="C1588" s="111" t="s">
        <v>175</v>
      </c>
      <c r="D1588" s="111">
        <v>2024</v>
      </c>
      <c r="E1588" s="146">
        <v>45473</v>
      </c>
      <c r="F1588" s="111"/>
      <c r="G1588" s="111">
        <v>82100011</v>
      </c>
      <c r="H1588" s="111">
        <v>4101</v>
      </c>
      <c r="I1588" s="111" t="str">
        <f>MID(G1588,2,1)</f>
        <v>2</v>
      </c>
      <c r="J1588" s="111" t="str">
        <f>IF(I1588="1","Small/Medium","Large")</f>
        <v>Large</v>
      </c>
      <c r="K1588" s="147" t="s">
        <v>176</v>
      </c>
      <c r="L1588" s="120">
        <v>13294.730500275013</v>
      </c>
      <c r="M1588" s="120">
        <f>L1588*0.3</f>
        <v>3988.4191500825036</v>
      </c>
      <c r="N1588" s="120">
        <f>L1588-M1588</f>
        <v>9306.3113501925091</v>
      </c>
      <c r="O1588" s="119">
        <f>IFERROR(N1588/L1588,"")</f>
        <v>0.70000000000000007</v>
      </c>
      <c r="P1588" s="120">
        <v>13294.730500275013</v>
      </c>
      <c r="Q1588" s="111">
        <v>3010</v>
      </c>
      <c r="R1588" s="117">
        <v>21</v>
      </c>
      <c r="S1588" s="117">
        <v>942.48</v>
      </c>
      <c r="T1588" s="117">
        <v>1768.55</v>
      </c>
      <c r="U1588" s="117">
        <v>440</v>
      </c>
      <c r="V1588" s="117"/>
      <c r="W1588" s="26">
        <f>SUM(S1588:V1588)</f>
        <v>3151.0299999999997</v>
      </c>
      <c r="X1588" s="118">
        <f t="shared" si="1431"/>
        <v>44.88</v>
      </c>
      <c r="Y1588" s="119">
        <f t="shared" si="1432"/>
        <v>3.3095819429427187E-2</v>
      </c>
      <c r="Z1588" s="117">
        <f t="shared" si="1433"/>
        <v>10143.700500275012</v>
      </c>
      <c r="AA1588" s="119">
        <f t="shared" si="1434"/>
        <v>0.76298654568930002</v>
      </c>
      <c r="AB1588" s="120">
        <f t="shared" si="1435"/>
        <v>837.38915008250387</v>
      </c>
      <c r="AC1588" s="119">
        <f t="shared" si="1436"/>
        <v>6.2986545689299955E-2</v>
      </c>
      <c r="AD1588" s="110"/>
      <c r="AE1588" s="110"/>
      <c r="AF1588" s="110"/>
      <c r="AG1588" s="121"/>
      <c r="AH1588" s="110"/>
    </row>
    <row r="1589" spans="1:34" s="216" customFormat="1" ht="11.25" customHeight="1" x14ac:dyDescent="0.15">
      <c r="A1589" s="53" t="s">
        <v>237</v>
      </c>
      <c r="B1589" s="53"/>
      <c r="C1589" s="54" t="s">
        <v>177</v>
      </c>
      <c r="D1589" s="54"/>
      <c r="E1589" s="70"/>
      <c r="F1589" s="54"/>
      <c r="G1589" s="54"/>
      <c r="H1589" s="54"/>
      <c r="I1589" s="54"/>
      <c r="J1589" s="54"/>
      <c r="K1589" s="106"/>
      <c r="L1589" s="24">
        <f>SUM(L1587:L1588)</f>
        <v>53179.000000000007</v>
      </c>
      <c r="M1589" s="24">
        <f>SUM(M1587:M1588)</f>
        <v>15953.7</v>
      </c>
      <c r="N1589" s="24">
        <f t="shared" ref="N1589" si="1437">SUM(N1587:N1588)</f>
        <v>37225.300000000003</v>
      </c>
      <c r="O1589" s="57">
        <f>IFERROR(N1589/L1589,"")</f>
        <v>0.7</v>
      </c>
      <c r="P1589" s="24">
        <f>SUM(P1587:P1588)</f>
        <v>53179.000000000007</v>
      </c>
      <c r="Q1589" s="24"/>
      <c r="R1589" s="117">
        <f>SUM(R1587:R1588)</f>
        <v>97</v>
      </c>
      <c r="S1589" s="117">
        <f t="shared" ref="S1589:W1589" si="1438">SUM(S1587:S1588)</f>
        <v>4353.3600000000006</v>
      </c>
      <c r="T1589" s="117">
        <f t="shared" si="1438"/>
        <v>4688.16</v>
      </c>
      <c r="U1589" s="117">
        <f t="shared" si="1438"/>
        <v>1760</v>
      </c>
      <c r="V1589" s="117">
        <f t="shared" si="1438"/>
        <v>0</v>
      </c>
      <c r="W1589" s="26">
        <f t="shared" si="1438"/>
        <v>10801.52</v>
      </c>
      <c r="X1589" s="56">
        <f t="shared" si="1431"/>
        <v>44.88</v>
      </c>
      <c r="Y1589" s="57">
        <f t="shared" si="1432"/>
        <v>3.3095770887004265E-2</v>
      </c>
      <c r="Z1589" s="28">
        <f t="shared" si="1433"/>
        <v>42377.48000000001</v>
      </c>
      <c r="AA1589" s="57">
        <f t="shared" si="1434"/>
        <v>0.79688373230034426</v>
      </c>
      <c r="AB1589" s="58">
        <f t="shared" si="1435"/>
        <v>5152.18</v>
      </c>
      <c r="AC1589" s="57">
        <f t="shared" si="1436"/>
        <v>9.6883732300344305E-2</v>
      </c>
      <c r="AD1589" s="53"/>
      <c r="AE1589" s="53"/>
      <c r="AF1589" s="53"/>
      <c r="AG1589" s="61"/>
      <c r="AH1589" s="53"/>
    </row>
    <row r="1590" spans="1:34" ht="11.25" customHeight="1" x14ac:dyDescent="0.15">
      <c r="A1590" s="130"/>
      <c r="B1590" s="130"/>
      <c r="C1590" s="124"/>
      <c r="D1590" s="124"/>
      <c r="E1590" s="273"/>
      <c r="F1590" s="124"/>
      <c r="G1590" s="124"/>
      <c r="H1590" s="124"/>
      <c r="I1590" s="124"/>
      <c r="J1590" s="124"/>
      <c r="K1590" s="125"/>
      <c r="L1590" s="129"/>
      <c r="M1590" s="129"/>
      <c r="N1590" s="129"/>
      <c r="O1590" s="128"/>
      <c r="P1590" s="129"/>
      <c r="Q1590" s="124"/>
      <c r="R1590" s="117"/>
      <c r="S1590" s="117"/>
      <c r="T1590" s="117"/>
      <c r="U1590" s="117"/>
      <c r="V1590" s="117"/>
      <c r="X1590" s="45"/>
      <c r="Y1590" s="128"/>
      <c r="Z1590" s="126"/>
      <c r="AA1590" s="128"/>
      <c r="AB1590" s="129"/>
      <c r="AC1590" s="160"/>
      <c r="AD1590" s="137"/>
      <c r="AE1590" s="110"/>
      <c r="AF1590" s="110"/>
      <c r="AG1590" s="121"/>
      <c r="AH1590" s="110"/>
    </row>
    <row r="1591" spans="1:34" ht="11.25" customHeight="1" x14ac:dyDescent="0.15">
      <c r="A1591" s="110" t="s">
        <v>237</v>
      </c>
      <c r="B1591" s="110"/>
      <c r="C1591" s="111" t="s">
        <v>164</v>
      </c>
      <c r="D1591" s="111">
        <v>2024</v>
      </c>
      <c r="E1591" s="146">
        <v>45473</v>
      </c>
      <c r="F1591" s="111"/>
      <c r="G1591" s="111" t="s">
        <v>828</v>
      </c>
      <c r="H1591" s="111"/>
      <c r="I1591" s="111"/>
      <c r="J1591" s="111"/>
      <c r="K1591" s="112" t="s">
        <v>829</v>
      </c>
      <c r="L1591" s="120">
        <v>6642</v>
      </c>
      <c r="M1591" s="120">
        <v>3363.57</v>
      </c>
      <c r="N1591" s="120">
        <f t="shared" ref="N1591:N1592" si="1439">L1591-M1591</f>
        <v>3278.43</v>
      </c>
      <c r="O1591" s="119">
        <f t="shared" ref="O1591:O1594" si="1440">IFERROR(N1591/L1591,"")</f>
        <v>0.49359078590785904</v>
      </c>
      <c r="P1591" s="120">
        <v>6642</v>
      </c>
      <c r="Q1591" s="111"/>
      <c r="R1591" s="117"/>
      <c r="S1591" s="117"/>
      <c r="T1591" s="117"/>
      <c r="U1591" s="117">
        <v>3150.3</v>
      </c>
      <c r="V1591" s="117"/>
      <c r="W1591" s="26">
        <f t="shared" ref="W1591:W1593" si="1441">SUM(S1591:V1591)</f>
        <v>3150.3</v>
      </c>
      <c r="X1591" s="118" t="str">
        <f t="shared" ref="X1591:X1593" si="1442">IFERROR(S1591/R1591,"")</f>
        <v/>
      </c>
      <c r="Y1591" s="119">
        <f t="shared" ref="Y1591:Y1593" si="1443">U1591/P1591</f>
        <v>0.47429990966576335</v>
      </c>
      <c r="Z1591" s="117">
        <f t="shared" ref="Z1591:Z1593" si="1444">P1591-W1591</f>
        <v>3491.7</v>
      </c>
      <c r="AA1591" s="119">
        <f t="shared" ref="AA1591:AA1593" si="1445">Z1591/P1591</f>
        <v>0.5257000903342367</v>
      </c>
      <c r="AB1591" s="120">
        <f t="shared" ref="AB1591:AB1593" si="1446">M1591-W1591</f>
        <v>213.26999999999998</v>
      </c>
      <c r="AC1591" s="119">
        <f t="shared" ref="AC1591:AC1593" si="1447">IFERROR(AA1591-O1591,"")</f>
        <v>3.2109304426377661E-2</v>
      </c>
      <c r="AD1591" s="110" t="s">
        <v>830</v>
      </c>
      <c r="AE1591" s="110"/>
      <c r="AF1591" s="110"/>
      <c r="AG1591" s="121"/>
      <c r="AH1591" s="110"/>
    </row>
    <row r="1592" spans="1:34" ht="11.25" customHeight="1" x14ac:dyDescent="0.15">
      <c r="A1592" s="110" t="s">
        <v>237</v>
      </c>
      <c r="B1592" s="110"/>
      <c r="C1592" s="111" t="s">
        <v>201</v>
      </c>
      <c r="D1592" s="111">
        <v>2024</v>
      </c>
      <c r="E1592" s="146">
        <v>45473</v>
      </c>
      <c r="F1592" s="111"/>
      <c r="G1592" s="111" t="s">
        <v>202</v>
      </c>
      <c r="H1592" s="111"/>
      <c r="I1592" s="111"/>
      <c r="J1592" s="111"/>
      <c r="K1592" s="112" t="s">
        <v>203</v>
      </c>
      <c r="L1592" s="120">
        <v>5832</v>
      </c>
      <c r="M1592" s="120">
        <v>3048.68</v>
      </c>
      <c r="N1592" s="120">
        <f t="shared" si="1439"/>
        <v>2783.32</v>
      </c>
      <c r="O1592" s="119">
        <f t="shared" si="1440"/>
        <v>0.47724965706447192</v>
      </c>
      <c r="P1592" s="120">
        <v>5832</v>
      </c>
      <c r="Q1592" s="111">
        <v>3753</v>
      </c>
      <c r="R1592" s="117">
        <v>6</v>
      </c>
      <c r="S1592" s="117">
        <v>275.45999999999998</v>
      </c>
      <c r="T1592" s="117">
        <v>589.52</v>
      </c>
      <c r="U1592" s="117">
        <v>612.48</v>
      </c>
      <c r="V1592" s="117"/>
      <c r="W1592" s="26">
        <f t="shared" si="1441"/>
        <v>1477.46</v>
      </c>
      <c r="X1592" s="118">
        <f t="shared" si="1442"/>
        <v>45.91</v>
      </c>
      <c r="Y1592" s="119">
        <f t="shared" si="1443"/>
        <v>0.10502057613168725</v>
      </c>
      <c r="Z1592" s="117">
        <f t="shared" si="1444"/>
        <v>4354.54</v>
      </c>
      <c r="AA1592" s="119">
        <f t="shared" si="1445"/>
        <v>0.74666323731138551</v>
      </c>
      <c r="AB1592" s="120">
        <f t="shared" si="1446"/>
        <v>1571.2199999999998</v>
      </c>
      <c r="AC1592" s="119">
        <f t="shared" si="1447"/>
        <v>0.26941358024691359</v>
      </c>
      <c r="AD1592" s="110"/>
      <c r="AE1592" s="110"/>
      <c r="AF1592" s="110"/>
      <c r="AG1592" s="121"/>
      <c r="AH1592" s="110"/>
    </row>
    <row r="1593" spans="1:34" ht="11.25" customHeight="1" x14ac:dyDescent="0.15">
      <c r="A1593" s="110" t="s">
        <v>237</v>
      </c>
      <c r="B1593" s="110"/>
      <c r="C1593" s="111" t="s">
        <v>55</v>
      </c>
      <c r="D1593" s="111">
        <v>2024</v>
      </c>
      <c r="E1593" s="146">
        <v>45473</v>
      </c>
      <c r="F1593" s="111"/>
      <c r="G1593" s="111" t="s">
        <v>56</v>
      </c>
      <c r="H1593" s="111"/>
      <c r="I1593" s="111"/>
      <c r="J1593" s="111"/>
      <c r="K1593" s="112" t="s">
        <v>71</v>
      </c>
      <c r="L1593" s="120">
        <v>736</v>
      </c>
      <c r="M1593" s="120">
        <v>367.84</v>
      </c>
      <c r="N1593" s="120">
        <f>L1593-M1593</f>
        <v>368.16</v>
      </c>
      <c r="O1593" s="119">
        <f t="shared" si="1440"/>
        <v>0.50021739130434784</v>
      </c>
      <c r="P1593" s="120">
        <v>736</v>
      </c>
      <c r="Q1593" s="111">
        <v>3754</v>
      </c>
      <c r="R1593" s="117">
        <v>1</v>
      </c>
      <c r="S1593" s="117">
        <v>42.5</v>
      </c>
      <c r="T1593" s="117"/>
      <c r="U1593" s="117"/>
      <c r="V1593" s="117">
        <v>1027.7</v>
      </c>
      <c r="W1593" s="26">
        <f t="shared" si="1441"/>
        <v>1070.2</v>
      </c>
      <c r="X1593" s="118">
        <f t="shared" si="1442"/>
        <v>42.5</v>
      </c>
      <c r="Y1593" s="119">
        <f t="shared" si="1443"/>
        <v>0</v>
      </c>
      <c r="Z1593" s="117">
        <f t="shared" si="1444"/>
        <v>-334.20000000000005</v>
      </c>
      <c r="AA1593" s="119">
        <f t="shared" si="1445"/>
        <v>-0.4540760869565218</v>
      </c>
      <c r="AB1593" s="120">
        <f t="shared" si="1446"/>
        <v>-702.36000000000013</v>
      </c>
      <c r="AC1593" s="119">
        <f t="shared" si="1447"/>
        <v>-0.95429347826086963</v>
      </c>
      <c r="AD1593" s="110" t="s">
        <v>831</v>
      </c>
      <c r="AE1593" s="110"/>
      <c r="AF1593" s="110"/>
      <c r="AG1593" s="121"/>
      <c r="AH1593" s="110"/>
    </row>
    <row r="1594" spans="1:34" s="216" customFormat="1" ht="11.25" customHeight="1" x14ac:dyDescent="0.15">
      <c r="A1594" s="53" t="s">
        <v>237</v>
      </c>
      <c r="B1594" s="53"/>
      <c r="C1594" s="54" t="s">
        <v>177</v>
      </c>
      <c r="D1594" s="54"/>
      <c r="E1594" s="70"/>
      <c r="F1594" s="54"/>
      <c r="G1594" s="54"/>
      <c r="H1594" s="54"/>
      <c r="I1594" s="54"/>
      <c r="J1594" s="54"/>
      <c r="K1594" s="106"/>
      <c r="L1594" s="24">
        <f>SUM(L1591:L1593)</f>
        <v>13210</v>
      </c>
      <c r="M1594" s="24">
        <f t="shared" ref="M1594:N1594" si="1448">SUM(M1591:M1593)</f>
        <v>6780.09</v>
      </c>
      <c r="N1594" s="24">
        <f t="shared" si="1448"/>
        <v>6429.91</v>
      </c>
      <c r="O1594" s="57">
        <f t="shared" si="1440"/>
        <v>0.48674564723694169</v>
      </c>
      <c r="P1594" s="24">
        <f>SUM(P1591:P1593)</f>
        <v>13210</v>
      </c>
      <c r="Q1594" s="24"/>
      <c r="R1594" s="117">
        <f>SUM(R1591:R1593)</f>
        <v>7</v>
      </c>
      <c r="S1594" s="117">
        <f t="shared" ref="S1594:V1594" si="1449">SUM(S1591:S1593)</f>
        <v>317.95999999999998</v>
      </c>
      <c r="T1594" s="117">
        <f t="shared" si="1449"/>
        <v>589.52</v>
      </c>
      <c r="U1594" s="117">
        <f t="shared" si="1449"/>
        <v>3762.78</v>
      </c>
      <c r="V1594" s="117">
        <f t="shared" si="1449"/>
        <v>1027.7</v>
      </c>
      <c r="W1594" s="26">
        <f t="shared" ref="W1594" si="1450">SUM(S1594:V1594)</f>
        <v>5697.96</v>
      </c>
      <c r="X1594" s="56">
        <f t="shared" ref="X1594" si="1451">IFERROR(S1594/R1594,"")</f>
        <v>45.42285714285714</v>
      </c>
      <c r="Y1594" s="57">
        <f t="shared" ref="Y1594" si="1452">U1594/P1594</f>
        <v>0.28484330052990159</v>
      </c>
      <c r="Z1594" s="28">
        <f t="shared" ref="Z1594" si="1453">P1594-W1594</f>
        <v>7512.04</v>
      </c>
      <c r="AA1594" s="57">
        <f t="shared" ref="AA1594" si="1454">Z1594/P1594</f>
        <v>0.56866313398940194</v>
      </c>
      <c r="AB1594" s="58">
        <f t="shared" ref="AB1594" si="1455">M1594-W1594</f>
        <v>1082.1300000000001</v>
      </c>
      <c r="AC1594" s="57">
        <f t="shared" ref="AC1594" si="1456">IFERROR(AA1594-O1594,"")</f>
        <v>8.1917486752460245E-2</v>
      </c>
      <c r="AD1594" s="53"/>
      <c r="AE1594" s="53"/>
      <c r="AF1594" s="53"/>
      <c r="AG1594" s="61"/>
      <c r="AH1594" s="53"/>
    </row>
    <row r="1595" spans="1:34" ht="11.25" customHeight="1" x14ac:dyDescent="0.15">
      <c r="A1595" s="130"/>
      <c r="B1595" s="130"/>
      <c r="C1595" s="124"/>
      <c r="D1595" s="124"/>
      <c r="E1595" s="273"/>
      <c r="F1595" s="124"/>
      <c r="G1595" s="124"/>
      <c r="H1595" s="124"/>
      <c r="I1595" s="124"/>
      <c r="J1595" s="124"/>
      <c r="K1595" s="125"/>
      <c r="L1595" s="129"/>
      <c r="M1595" s="129"/>
      <c r="N1595" s="129"/>
      <c r="O1595" s="128"/>
      <c r="P1595" s="129"/>
      <c r="Q1595" s="124"/>
      <c r="R1595" s="117"/>
      <c r="S1595" s="117"/>
      <c r="T1595" s="117"/>
      <c r="U1595" s="117"/>
      <c r="V1595" s="117"/>
      <c r="X1595" s="45"/>
      <c r="Y1595" s="128"/>
      <c r="Z1595" s="126"/>
      <c r="AA1595" s="128"/>
      <c r="AB1595" s="129"/>
      <c r="AC1595" s="160"/>
      <c r="AD1595" s="137"/>
      <c r="AE1595" s="110"/>
      <c r="AF1595" s="110"/>
      <c r="AG1595" s="121"/>
      <c r="AH1595" s="110"/>
    </row>
    <row r="1596" spans="1:34" ht="11.25" customHeight="1" x14ac:dyDescent="0.15">
      <c r="A1596" s="110" t="s">
        <v>832</v>
      </c>
      <c r="B1596" s="110"/>
      <c r="C1596" s="111" t="s">
        <v>37</v>
      </c>
      <c r="D1596" s="111">
        <v>2024</v>
      </c>
      <c r="E1596" s="146">
        <v>45473</v>
      </c>
      <c r="F1596" s="111"/>
      <c r="G1596" s="111">
        <v>12612112</v>
      </c>
      <c r="H1596" s="111"/>
      <c r="I1596" s="111"/>
      <c r="J1596" s="111"/>
      <c r="K1596" s="112" t="s">
        <v>833</v>
      </c>
      <c r="L1596" s="120">
        <v>145186</v>
      </c>
      <c r="M1596" s="120">
        <v>34853.379999999997</v>
      </c>
      <c r="N1596" s="120">
        <f t="shared" ref="N1596:N1597" si="1457">L1596-M1596</f>
        <v>110332.62</v>
      </c>
      <c r="O1596" s="119">
        <f t="shared" ref="O1596:O1598" si="1458">IFERROR(N1596/L1596,"")</f>
        <v>0.75993980135825767</v>
      </c>
      <c r="P1596" s="120">
        <v>145186</v>
      </c>
      <c r="Q1596" s="111">
        <v>2067</v>
      </c>
      <c r="R1596" s="117">
        <v>39</v>
      </c>
      <c r="S1596" s="117">
        <v>1517.1</v>
      </c>
      <c r="T1596" s="117"/>
      <c r="U1596" s="117">
        <v>32387.94</v>
      </c>
      <c r="V1596" s="117"/>
      <c r="W1596" s="26">
        <f t="shared" ref="W1596:W1598" si="1459">SUM(S1596:V1596)</f>
        <v>33905.040000000001</v>
      </c>
      <c r="X1596" s="118">
        <f t="shared" ref="X1596:X1598" si="1460">IFERROR(S1596/R1596,"")</f>
        <v>38.9</v>
      </c>
      <c r="Y1596" s="119">
        <f t="shared" ref="Y1596:Y1598" si="1461">U1596/P1596</f>
        <v>0.22307894700590966</v>
      </c>
      <c r="Z1596" s="117">
        <f t="shared" ref="Z1596:Z1598" si="1462">P1596-W1596</f>
        <v>111280.95999999999</v>
      </c>
      <c r="AA1596" s="119">
        <f t="shared" ref="AA1596:AA1598" si="1463">Z1596/P1596</f>
        <v>0.76647169837312135</v>
      </c>
      <c r="AB1596" s="120">
        <f t="shared" ref="AB1596:AB1598" si="1464">M1596-W1596</f>
        <v>948.33999999999651</v>
      </c>
      <c r="AC1596" s="119">
        <f t="shared" ref="AC1596:AC1598" si="1465">IFERROR(AA1596-O1596,"")</f>
        <v>6.5318970148636746E-3</v>
      </c>
      <c r="AD1596" s="110" t="s">
        <v>834</v>
      </c>
      <c r="AE1596" s="110"/>
      <c r="AF1596" s="110"/>
      <c r="AG1596" s="121"/>
      <c r="AH1596" s="110"/>
    </row>
    <row r="1597" spans="1:34" ht="11.25" customHeight="1" x14ac:dyDescent="0.15">
      <c r="A1597" s="110" t="s">
        <v>832</v>
      </c>
      <c r="B1597" s="110"/>
      <c r="C1597" s="111" t="s">
        <v>37</v>
      </c>
      <c r="D1597" s="111">
        <v>2024</v>
      </c>
      <c r="E1597" s="146">
        <v>45473</v>
      </c>
      <c r="F1597" s="111"/>
      <c r="G1597" s="111">
        <v>21010011</v>
      </c>
      <c r="H1597" s="111"/>
      <c r="I1597" s="111"/>
      <c r="J1597" s="111"/>
      <c r="K1597" s="112" t="s">
        <v>439</v>
      </c>
      <c r="L1597" s="120">
        <v>16843.439999999999</v>
      </c>
      <c r="M1597" s="120">
        <v>5509.54</v>
      </c>
      <c r="N1597" s="120">
        <f t="shared" si="1457"/>
        <v>11333.899999999998</v>
      </c>
      <c r="O1597" s="119">
        <f t="shared" si="1458"/>
        <v>0.67289698541390586</v>
      </c>
      <c r="P1597" s="120">
        <v>16843</v>
      </c>
      <c r="Q1597" s="111">
        <v>3235</v>
      </c>
      <c r="R1597" s="117"/>
      <c r="S1597" s="117"/>
      <c r="T1597" s="117"/>
      <c r="U1597" s="117">
        <v>7189.67</v>
      </c>
      <c r="V1597" s="117"/>
      <c r="W1597" s="26">
        <f t="shared" si="1459"/>
        <v>7189.67</v>
      </c>
      <c r="X1597" s="118" t="str">
        <f t="shared" si="1460"/>
        <v/>
      </c>
      <c r="Y1597" s="119">
        <f t="shared" si="1461"/>
        <v>0.42686397910111024</v>
      </c>
      <c r="Z1597" s="117">
        <f t="shared" si="1462"/>
        <v>9653.33</v>
      </c>
      <c r="AA1597" s="119">
        <f t="shared" si="1463"/>
        <v>0.57313602089888971</v>
      </c>
      <c r="AB1597" s="120">
        <f t="shared" si="1464"/>
        <v>-1680.13</v>
      </c>
      <c r="AC1597" s="119">
        <f t="shared" si="1465"/>
        <v>-9.9760964515016148E-2</v>
      </c>
      <c r="AD1597" s="110" t="s">
        <v>834</v>
      </c>
      <c r="AE1597" s="110"/>
      <c r="AF1597" s="110"/>
      <c r="AG1597" s="121"/>
      <c r="AH1597" s="110"/>
    </row>
    <row r="1598" spans="1:34" ht="11.25" customHeight="1" x14ac:dyDescent="0.15">
      <c r="A1598" s="110" t="s">
        <v>832</v>
      </c>
      <c r="B1598" s="110"/>
      <c r="C1598" s="111" t="s">
        <v>37</v>
      </c>
      <c r="D1598" s="111">
        <v>2024</v>
      </c>
      <c r="E1598" s="146">
        <v>45473</v>
      </c>
      <c r="F1598" s="111"/>
      <c r="G1598" s="111">
        <v>21050011</v>
      </c>
      <c r="H1598" s="111"/>
      <c r="I1598" s="111"/>
      <c r="J1598" s="111"/>
      <c r="K1598" s="112" t="s">
        <v>582</v>
      </c>
      <c r="L1598" s="120">
        <v>27412.99</v>
      </c>
      <c r="M1598" s="120">
        <v>7547.42</v>
      </c>
      <c r="N1598" s="120">
        <f>L1598-M1598</f>
        <v>19865.57</v>
      </c>
      <c r="O1598" s="119">
        <f t="shared" si="1458"/>
        <v>0.72467724243141662</v>
      </c>
      <c r="P1598" s="120">
        <v>27413</v>
      </c>
      <c r="Q1598" s="111">
        <v>3236</v>
      </c>
      <c r="R1598" s="117"/>
      <c r="S1598" s="117"/>
      <c r="T1598" s="117"/>
      <c r="U1598" s="117">
        <v>8161.8</v>
      </c>
      <c r="V1598" s="117"/>
      <c r="W1598" s="26">
        <f t="shared" si="1459"/>
        <v>8161.8</v>
      </c>
      <c r="X1598" s="118" t="str">
        <f t="shared" si="1460"/>
        <v/>
      </c>
      <c r="Y1598" s="119">
        <f t="shared" si="1461"/>
        <v>0.29773465144274613</v>
      </c>
      <c r="Z1598" s="117">
        <f t="shared" si="1462"/>
        <v>19251.2</v>
      </c>
      <c r="AA1598" s="119">
        <f t="shared" si="1463"/>
        <v>0.70226534855725387</v>
      </c>
      <c r="AB1598" s="120">
        <f t="shared" si="1464"/>
        <v>-614.38000000000011</v>
      </c>
      <c r="AC1598" s="119">
        <f t="shared" si="1465"/>
        <v>-2.2411893874162758E-2</v>
      </c>
      <c r="AD1598" s="110" t="s">
        <v>834</v>
      </c>
      <c r="AE1598" s="110"/>
      <c r="AF1598" s="110"/>
      <c r="AG1598" s="121"/>
      <c r="AH1598" s="110"/>
    </row>
    <row r="1599" spans="1:34" ht="11.25" customHeight="1" x14ac:dyDescent="0.15">
      <c r="A1599" s="110" t="s">
        <v>832</v>
      </c>
      <c r="B1599" s="110"/>
      <c r="C1599" s="111" t="s">
        <v>37</v>
      </c>
      <c r="D1599" s="111">
        <v>2024</v>
      </c>
      <c r="E1599" s="146">
        <v>45473</v>
      </c>
      <c r="F1599" s="111"/>
      <c r="G1599" s="111">
        <v>92612142</v>
      </c>
      <c r="H1599" s="111"/>
      <c r="I1599" s="111"/>
      <c r="J1599" s="111"/>
      <c r="K1599" s="112" t="s">
        <v>685</v>
      </c>
      <c r="L1599" s="120">
        <f>12470.13+1326</f>
        <v>13796.13</v>
      </c>
      <c r="M1599" s="120">
        <f>4119.84+464.38</f>
        <v>4584.22</v>
      </c>
      <c r="N1599" s="120">
        <f t="shared" ref="N1599:N1600" si="1466">L1599-M1599</f>
        <v>9211.91</v>
      </c>
      <c r="O1599" s="119">
        <f t="shared" ref="O1599:O1600" si="1467">IFERROR(N1599/L1599,"")</f>
        <v>0.6677169612057875</v>
      </c>
      <c r="P1599" s="120">
        <v>13797</v>
      </c>
      <c r="Q1599" s="111">
        <v>3237</v>
      </c>
      <c r="R1599" s="117"/>
      <c r="S1599" s="117"/>
      <c r="T1599" s="117"/>
      <c r="U1599" s="117">
        <v>4423.38</v>
      </c>
      <c r="V1599" s="117"/>
      <c r="W1599" s="26">
        <f t="shared" ref="W1599:W1600" si="1468">SUM(S1599:V1599)</f>
        <v>4423.38</v>
      </c>
      <c r="X1599" s="118" t="str">
        <f t="shared" ref="X1599:X1600" si="1469">IFERROR(S1599/R1599,"")</f>
        <v/>
      </c>
      <c r="Y1599" s="119">
        <f t="shared" ref="Y1599:Y1600" si="1470">U1599/P1599</f>
        <v>0.32060447923461621</v>
      </c>
      <c r="Z1599" s="117">
        <f t="shared" ref="Z1599:Z1600" si="1471">P1599-W1599</f>
        <v>9373.619999999999</v>
      </c>
      <c r="AA1599" s="119">
        <f t="shared" ref="AA1599:AA1600" si="1472">Z1599/P1599</f>
        <v>0.67939552076538368</v>
      </c>
      <c r="AB1599" s="120">
        <f t="shared" ref="AB1599:AB1600" si="1473">M1599-W1599</f>
        <v>160.84000000000015</v>
      </c>
      <c r="AC1599" s="119">
        <f t="shared" ref="AC1599:AC1600" si="1474">IFERROR(AA1599-O1599,"")</f>
        <v>1.167855955959618E-2</v>
      </c>
      <c r="AD1599" s="110" t="s">
        <v>834</v>
      </c>
      <c r="AE1599" s="110"/>
      <c r="AF1599" s="110"/>
      <c r="AG1599" s="121"/>
      <c r="AH1599" s="110"/>
    </row>
    <row r="1600" spans="1:34" ht="11.25" customHeight="1" x14ac:dyDescent="0.15">
      <c r="A1600" s="110" t="s">
        <v>832</v>
      </c>
      <c r="B1600" s="110"/>
      <c r="C1600" s="111" t="s">
        <v>37</v>
      </c>
      <c r="D1600" s="111">
        <v>2024</v>
      </c>
      <c r="E1600" s="146">
        <v>45473</v>
      </c>
      <c r="F1600" s="111"/>
      <c r="G1600" s="111">
        <v>31080020</v>
      </c>
      <c r="H1600" s="111"/>
      <c r="I1600" s="111"/>
      <c r="J1600" s="111"/>
      <c r="K1600" s="112" t="s">
        <v>584</v>
      </c>
      <c r="L1600" s="120">
        <v>43159</v>
      </c>
      <c r="M1600" s="120">
        <v>14242.24</v>
      </c>
      <c r="N1600" s="120">
        <f t="shared" si="1466"/>
        <v>28916.760000000002</v>
      </c>
      <c r="O1600" s="119">
        <f t="shared" si="1467"/>
        <v>0.67000532913181499</v>
      </c>
      <c r="P1600" s="120">
        <v>43159</v>
      </c>
      <c r="Q1600" s="111">
        <v>3238</v>
      </c>
      <c r="R1600" s="117">
        <v>20</v>
      </c>
      <c r="S1600" s="117">
        <v>780.8</v>
      </c>
      <c r="T1600" s="117"/>
      <c r="U1600" s="117">
        <v>15946.2</v>
      </c>
      <c r="V1600" s="117"/>
      <c r="W1600" s="26">
        <f t="shared" si="1468"/>
        <v>16727</v>
      </c>
      <c r="X1600" s="118">
        <f t="shared" si="1469"/>
        <v>39.04</v>
      </c>
      <c r="Y1600" s="119">
        <f t="shared" si="1470"/>
        <v>0.36947565976968882</v>
      </c>
      <c r="Z1600" s="117">
        <f t="shared" si="1471"/>
        <v>26432</v>
      </c>
      <c r="AA1600" s="119">
        <f t="shared" si="1472"/>
        <v>0.61243309622558451</v>
      </c>
      <c r="AB1600" s="120">
        <f t="shared" si="1473"/>
        <v>-2484.7600000000002</v>
      </c>
      <c r="AC1600" s="119">
        <f t="shared" si="1474"/>
        <v>-5.7572232906230481E-2</v>
      </c>
      <c r="AD1600" s="110" t="s">
        <v>834</v>
      </c>
      <c r="AE1600" s="110"/>
      <c r="AF1600" s="110"/>
      <c r="AG1600" s="121"/>
      <c r="AH1600" s="110"/>
    </row>
    <row r="1601" spans="1:34" s="216" customFormat="1" ht="11.25" customHeight="1" x14ac:dyDescent="0.15">
      <c r="A1601" s="53" t="s">
        <v>832</v>
      </c>
      <c r="B1601" s="53"/>
      <c r="C1601" s="54" t="s">
        <v>360</v>
      </c>
      <c r="D1601" s="54"/>
      <c r="E1601" s="70"/>
      <c r="F1601" s="54"/>
      <c r="G1601" s="54"/>
      <c r="H1601" s="54"/>
      <c r="I1601" s="54"/>
      <c r="J1601" s="54"/>
      <c r="K1601" s="106"/>
      <c r="L1601" s="24">
        <f>SUM(L1596:L1600)</f>
        <v>246397.56</v>
      </c>
      <c r="M1601" s="24">
        <f>SUM(M1596:M1600)</f>
        <v>66736.800000000003</v>
      </c>
      <c r="N1601" s="24">
        <f t="shared" ref="N1601" si="1475">L1601-M1601</f>
        <v>179660.76</v>
      </c>
      <c r="O1601" s="57">
        <f t="shared" ref="O1601" si="1476">IFERROR(N1601/L1601,"")</f>
        <v>0.72914991528325201</v>
      </c>
      <c r="P1601" s="24">
        <f>SUM(P1596:P1600)</f>
        <v>246398</v>
      </c>
      <c r="Q1601" s="24"/>
      <c r="R1601" s="117">
        <f>SUM(R1596:R1600)</f>
        <v>59</v>
      </c>
      <c r="S1601" s="117">
        <f t="shared" ref="S1601:W1601" si="1477">SUM(S1596:S1600)</f>
        <v>2297.8999999999996</v>
      </c>
      <c r="T1601" s="117">
        <f t="shared" si="1477"/>
        <v>0</v>
      </c>
      <c r="U1601" s="117">
        <f t="shared" si="1477"/>
        <v>68108.990000000005</v>
      </c>
      <c r="V1601" s="117">
        <f t="shared" si="1477"/>
        <v>0</v>
      </c>
      <c r="W1601" s="26">
        <f t="shared" si="1477"/>
        <v>70406.89</v>
      </c>
      <c r="X1601" s="56">
        <f t="shared" ref="X1601" si="1478">IFERROR(S1601/R1601,"")</f>
        <v>38.947457627118638</v>
      </c>
      <c r="Y1601" s="57">
        <f t="shared" ref="Y1601" si="1479">U1601/P1601</f>
        <v>0.27641859917694139</v>
      </c>
      <c r="Z1601" s="28">
        <f t="shared" ref="Z1601" si="1480">P1601-W1601</f>
        <v>175991.11</v>
      </c>
      <c r="AA1601" s="57">
        <f t="shared" ref="AA1601" si="1481">Z1601/P1601</f>
        <v>0.71425543226811905</v>
      </c>
      <c r="AB1601" s="58">
        <f t="shared" ref="AB1601" si="1482">M1601-W1601</f>
        <v>-3670.0899999999965</v>
      </c>
      <c r="AC1601" s="57">
        <f t="shared" ref="AC1601" si="1483">IFERROR(AA1601-O1601,"")</f>
        <v>-1.4894483015132964E-2</v>
      </c>
      <c r="AD1601" s="110"/>
      <c r="AE1601" s="53"/>
      <c r="AF1601" s="53"/>
      <c r="AG1601" s="61"/>
      <c r="AH1601" s="53"/>
    </row>
    <row r="1602" spans="1:34" ht="11.25" customHeight="1" x14ac:dyDescent="0.15">
      <c r="A1602" s="110" t="s">
        <v>832</v>
      </c>
      <c r="B1602" s="110"/>
      <c r="C1602" s="111" t="s">
        <v>47</v>
      </c>
      <c r="D1602" s="111">
        <v>2024</v>
      </c>
      <c r="E1602" s="146">
        <v>45473</v>
      </c>
      <c r="F1602" s="111"/>
      <c r="G1602" s="111">
        <v>52612112</v>
      </c>
      <c r="H1602" s="111"/>
      <c r="I1602" s="111"/>
      <c r="J1602" s="111"/>
      <c r="K1602" s="112" t="s">
        <v>835</v>
      </c>
      <c r="L1602" s="120">
        <v>31705</v>
      </c>
      <c r="M1602" s="120">
        <v>13236.5</v>
      </c>
      <c r="N1602" s="120">
        <f t="shared" ref="N1602:N1603" si="1484">L1602-M1602</f>
        <v>18468.5</v>
      </c>
      <c r="O1602" s="119">
        <f t="shared" ref="O1602:O1606" si="1485">IFERROR(N1602/L1602,"")</f>
        <v>0.58251064500867367</v>
      </c>
      <c r="P1602" s="120">
        <v>31705</v>
      </c>
      <c r="Q1602" s="111">
        <v>3245</v>
      </c>
      <c r="R1602" s="117">
        <v>86.5</v>
      </c>
      <c r="S1602" s="117">
        <v>3971.22</v>
      </c>
      <c r="T1602" s="117">
        <v>5289.58</v>
      </c>
      <c r="U1602" s="117">
        <v>5085.82</v>
      </c>
      <c r="V1602" s="117"/>
      <c r="W1602" s="26">
        <f t="shared" ref="W1602:W1604" si="1486">SUM(S1602:V1602)</f>
        <v>14346.619999999999</v>
      </c>
      <c r="X1602" s="118">
        <f t="shared" ref="X1602:X1604" si="1487">IFERROR(S1602/R1602,"")</f>
        <v>45.910057803468206</v>
      </c>
      <c r="Y1602" s="119">
        <f t="shared" ref="Y1602:Y1604" si="1488">U1602/P1602</f>
        <v>0.16041066077905691</v>
      </c>
      <c r="Z1602" s="117">
        <f t="shared" ref="Z1602:Z1604" si="1489">P1602-W1602</f>
        <v>17358.38</v>
      </c>
      <c r="AA1602" s="119">
        <f t="shared" ref="AA1602:AA1604" si="1490">Z1602/P1602</f>
        <v>0.54749660936760769</v>
      </c>
      <c r="AB1602" s="120">
        <f t="shared" ref="AB1602:AB1604" si="1491">M1602-W1602</f>
        <v>-1110.119999999999</v>
      </c>
      <c r="AC1602" s="119">
        <f t="shared" ref="AC1602:AC1604" si="1492">IFERROR(AA1602-O1602,"")</f>
        <v>-3.5014035641065977E-2</v>
      </c>
      <c r="AD1602" s="110" t="s">
        <v>836</v>
      </c>
      <c r="AE1602" s="110"/>
      <c r="AF1602" s="110"/>
      <c r="AG1602" s="121"/>
      <c r="AH1602" s="110"/>
    </row>
    <row r="1603" spans="1:34" ht="11.25" customHeight="1" x14ac:dyDescent="0.15">
      <c r="A1603" s="110" t="s">
        <v>832</v>
      </c>
      <c r="B1603" s="110"/>
      <c r="C1603" s="111" t="s">
        <v>248</v>
      </c>
      <c r="D1603" s="111">
        <v>2024</v>
      </c>
      <c r="E1603" s="146">
        <v>45473</v>
      </c>
      <c r="F1603" s="111"/>
      <c r="G1603" s="111">
        <v>96000000</v>
      </c>
      <c r="H1603" s="111"/>
      <c r="I1603" s="111"/>
      <c r="J1603" s="111"/>
      <c r="K1603" s="112" t="s">
        <v>250</v>
      </c>
      <c r="L1603" s="120">
        <v>17007</v>
      </c>
      <c r="M1603" s="120">
        <v>8503.5</v>
      </c>
      <c r="N1603" s="120">
        <f t="shared" si="1484"/>
        <v>8503.5</v>
      </c>
      <c r="O1603" s="119">
        <f t="shared" si="1485"/>
        <v>0.5</v>
      </c>
      <c r="P1603" s="120">
        <v>17007</v>
      </c>
      <c r="Q1603" s="111">
        <v>3244</v>
      </c>
      <c r="R1603" s="117">
        <v>8</v>
      </c>
      <c r="S1603" s="117">
        <v>452.4</v>
      </c>
      <c r="T1603" s="117"/>
      <c r="U1603" s="117"/>
      <c r="V1603" s="117"/>
      <c r="W1603" s="26">
        <f t="shared" si="1486"/>
        <v>452.4</v>
      </c>
      <c r="X1603" s="118">
        <f t="shared" si="1487"/>
        <v>56.55</v>
      </c>
      <c r="Y1603" s="119">
        <f t="shared" si="1488"/>
        <v>0</v>
      </c>
      <c r="Z1603" s="117">
        <f t="shared" si="1489"/>
        <v>16554.599999999999</v>
      </c>
      <c r="AA1603" s="119">
        <f t="shared" si="1490"/>
        <v>0.97339918856941254</v>
      </c>
      <c r="AB1603" s="120">
        <f t="shared" si="1491"/>
        <v>8051.1</v>
      </c>
      <c r="AC1603" s="119">
        <f t="shared" si="1492"/>
        <v>0.47339918856941254</v>
      </c>
      <c r="AD1603" s="110" t="s">
        <v>834</v>
      </c>
      <c r="AE1603" s="110"/>
      <c r="AF1603" s="110"/>
      <c r="AG1603" s="121"/>
      <c r="AH1603" s="110"/>
    </row>
    <row r="1604" spans="1:34" ht="11.25" customHeight="1" x14ac:dyDescent="0.15">
      <c r="A1604" s="110" t="s">
        <v>832</v>
      </c>
      <c r="B1604" s="110"/>
      <c r="C1604" s="111" t="s">
        <v>55</v>
      </c>
      <c r="D1604" s="111">
        <v>2024</v>
      </c>
      <c r="E1604" s="146">
        <v>45473</v>
      </c>
      <c r="F1604" s="111"/>
      <c r="G1604" s="111" t="s">
        <v>56</v>
      </c>
      <c r="H1604" s="111"/>
      <c r="I1604" s="111"/>
      <c r="J1604" s="111"/>
      <c r="K1604" s="112" t="s">
        <v>71</v>
      </c>
      <c r="L1604" s="120">
        <v>25481</v>
      </c>
      <c r="M1604" s="120">
        <v>12740.4</v>
      </c>
      <c r="N1604" s="120">
        <f>L1604-M1604</f>
        <v>12740.6</v>
      </c>
      <c r="O1604" s="119">
        <f t="shared" si="1485"/>
        <v>0.50000392449275932</v>
      </c>
      <c r="P1604" s="120">
        <v>25481</v>
      </c>
      <c r="Q1604" s="111">
        <v>3243</v>
      </c>
      <c r="R1604" s="117">
        <v>24</v>
      </c>
      <c r="S1604" s="117">
        <v>1020</v>
      </c>
      <c r="T1604" s="117"/>
      <c r="U1604" s="117"/>
      <c r="V1604" s="117">
        <v>11648.59</v>
      </c>
      <c r="W1604" s="26">
        <f t="shared" si="1486"/>
        <v>12668.59</v>
      </c>
      <c r="X1604" s="118">
        <f t="shared" si="1487"/>
        <v>42.5</v>
      </c>
      <c r="Y1604" s="119">
        <f t="shared" si="1488"/>
        <v>0</v>
      </c>
      <c r="Z1604" s="117">
        <f t="shared" si="1489"/>
        <v>12812.41</v>
      </c>
      <c r="AA1604" s="119">
        <f t="shared" si="1490"/>
        <v>0.50282210274322048</v>
      </c>
      <c r="AB1604" s="120">
        <f t="shared" si="1491"/>
        <v>71.809999999999491</v>
      </c>
      <c r="AC1604" s="119">
        <f t="shared" si="1492"/>
        <v>2.8181782504611563E-3</v>
      </c>
      <c r="AD1604" s="110" t="s">
        <v>834</v>
      </c>
      <c r="AE1604" s="110"/>
      <c r="AF1604" s="110"/>
      <c r="AG1604" s="121"/>
      <c r="AH1604" s="110"/>
    </row>
    <row r="1605" spans="1:34" ht="11.25" customHeight="1" x14ac:dyDescent="0.15">
      <c r="A1605" s="110" t="s">
        <v>832</v>
      </c>
      <c r="B1605" s="110"/>
      <c r="C1605" s="111" t="s">
        <v>58</v>
      </c>
      <c r="D1605" s="111">
        <v>2024</v>
      </c>
      <c r="E1605" s="146">
        <v>45473</v>
      </c>
      <c r="F1605" s="111"/>
      <c r="G1605" s="111">
        <v>72142012</v>
      </c>
      <c r="H1605" s="111"/>
      <c r="I1605" s="111"/>
      <c r="J1605" s="111"/>
      <c r="K1605" s="112" t="s">
        <v>712</v>
      </c>
      <c r="L1605" s="120">
        <v>30830</v>
      </c>
      <c r="M1605" s="120">
        <v>2680.4</v>
      </c>
      <c r="N1605" s="120">
        <f t="shared" ref="N1605:N1606" si="1493">L1605-M1605</f>
        <v>28149.599999999999</v>
      </c>
      <c r="O1605" s="119">
        <f t="shared" si="1485"/>
        <v>0.91305870904962694</v>
      </c>
      <c r="P1605" s="120">
        <v>30830</v>
      </c>
      <c r="Q1605" s="111">
        <v>3242</v>
      </c>
      <c r="R1605" s="117"/>
      <c r="S1605" s="117"/>
      <c r="T1605" s="117"/>
      <c r="U1605" s="117">
        <v>2062.4499999999998</v>
      </c>
      <c r="V1605" s="117"/>
      <c r="W1605" s="26">
        <f t="shared" ref="W1605:W1606" si="1494">SUM(S1605:V1605)</f>
        <v>2062.4499999999998</v>
      </c>
      <c r="X1605" s="118" t="str">
        <f t="shared" ref="X1605:X1606" si="1495">IFERROR(S1605/R1605,"")</f>
        <v/>
      </c>
      <c r="Y1605" s="119">
        <f t="shared" ref="Y1605:Y1606" si="1496">U1605/P1605</f>
        <v>6.6897502432695419E-2</v>
      </c>
      <c r="Z1605" s="117">
        <f t="shared" ref="Z1605:Z1606" si="1497">P1605-W1605</f>
        <v>28767.55</v>
      </c>
      <c r="AA1605" s="119">
        <f t="shared" ref="AA1605:AA1606" si="1498">Z1605/P1605</f>
        <v>0.93310249756730457</v>
      </c>
      <c r="AB1605" s="120">
        <f t="shared" ref="AB1605:AB1606" si="1499">M1605-W1605</f>
        <v>617.95000000000027</v>
      </c>
      <c r="AC1605" s="119">
        <f t="shared" ref="AC1605:AC1606" si="1500">IFERROR(AA1605-O1605,"")</f>
        <v>2.004378851767763E-2</v>
      </c>
      <c r="AD1605" s="110" t="s">
        <v>834</v>
      </c>
      <c r="AE1605" s="110"/>
      <c r="AF1605" s="110"/>
      <c r="AG1605" s="121"/>
      <c r="AH1605" s="110"/>
    </row>
    <row r="1606" spans="1:34" ht="11.25" customHeight="1" x14ac:dyDescent="0.15">
      <c r="A1606" s="110" t="s">
        <v>832</v>
      </c>
      <c r="B1606" s="110"/>
      <c r="C1606" s="111" t="s">
        <v>49</v>
      </c>
      <c r="D1606" s="111">
        <v>2024</v>
      </c>
      <c r="E1606" s="146">
        <v>45473</v>
      </c>
      <c r="F1606" s="111"/>
      <c r="G1606" s="111">
        <v>62642012</v>
      </c>
      <c r="H1606" s="111"/>
      <c r="I1606" s="111"/>
      <c r="J1606" s="111"/>
      <c r="K1606" s="112" t="s">
        <v>85</v>
      </c>
      <c r="L1606" s="120">
        <v>9744</v>
      </c>
      <c r="M1606" s="120">
        <v>3893.82</v>
      </c>
      <c r="N1606" s="120">
        <f t="shared" si="1493"/>
        <v>5850.18</v>
      </c>
      <c r="O1606" s="119">
        <f t="shared" si="1485"/>
        <v>0.60038793103448274</v>
      </c>
      <c r="P1606" s="120">
        <v>9744</v>
      </c>
      <c r="Q1606" s="111">
        <v>3241</v>
      </c>
      <c r="R1606" s="117">
        <v>34</v>
      </c>
      <c r="S1606" s="117">
        <v>1922.7</v>
      </c>
      <c r="T1606" s="117">
        <v>1502.35</v>
      </c>
      <c r="U1606" s="117"/>
      <c r="V1606" s="117"/>
      <c r="W1606" s="26">
        <f t="shared" si="1494"/>
        <v>3425.05</v>
      </c>
      <c r="X1606" s="118">
        <f t="shared" si="1495"/>
        <v>56.550000000000004</v>
      </c>
      <c r="Y1606" s="119">
        <f t="shared" si="1496"/>
        <v>0</v>
      </c>
      <c r="Z1606" s="117">
        <f t="shared" si="1497"/>
        <v>6318.95</v>
      </c>
      <c r="AA1606" s="119">
        <f t="shared" si="1498"/>
        <v>0.64849651067323477</v>
      </c>
      <c r="AB1606" s="120">
        <f t="shared" si="1499"/>
        <v>468.77</v>
      </c>
      <c r="AC1606" s="119">
        <f t="shared" si="1500"/>
        <v>4.8108579638752036E-2</v>
      </c>
      <c r="AD1606" s="110" t="s">
        <v>834</v>
      </c>
      <c r="AE1606" s="110"/>
      <c r="AF1606" s="110"/>
      <c r="AG1606" s="121"/>
      <c r="AH1606" s="110"/>
    </row>
    <row r="1607" spans="1:34" s="216" customFormat="1" ht="11.25" customHeight="1" x14ac:dyDescent="0.15">
      <c r="A1607" s="53" t="s">
        <v>832</v>
      </c>
      <c r="B1607" s="53"/>
      <c r="C1607" s="54" t="s">
        <v>177</v>
      </c>
      <c r="D1607" s="54"/>
      <c r="E1607" s="70"/>
      <c r="F1607" s="54"/>
      <c r="G1607" s="54"/>
      <c r="H1607" s="54"/>
      <c r="I1607" s="54"/>
      <c r="J1607" s="54"/>
      <c r="K1607" s="106"/>
      <c r="L1607" s="24">
        <f>SUM(L1601:L1606)</f>
        <v>361164.56</v>
      </c>
      <c r="M1607" s="24">
        <f t="shared" ref="M1607" si="1501">SUM(M1601:M1606)</f>
        <v>107791.42</v>
      </c>
      <c r="N1607" s="24">
        <f t="shared" ref="N1607" si="1502">L1607-M1607</f>
        <v>253373.14</v>
      </c>
      <c r="O1607" s="57">
        <f t="shared" ref="O1607" si="1503">IFERROR(N1607/L1607,"")</f>
        <v>0.7015448581112167</v>
      </c>
      <c r="P1607" s="24">
        <f>SUM(P1601:P1606)</f>
        <v>361165</v>
      </c>
      <c r="Q1607" s="24"/>
      <c r="R1607" s="117">
        <f>SUM(R1601:R1606)</f>
        <v>211.5</v>
      </c>
      <c r="S1607" s="117">
        <f t="shared" ref="S1607:W1607" si="1504">SUM(S1601:S1606)</f>
        <v>9664.2199999999993</v>
      </c>
      <c r="T1607" s="117">
        <f t="shared" si="1504"/>
        <v>6791.93</v>
      </c>
      <c r="U1607" s="117">
        <f t="shared" si="1504"/>
        <v>75257.259999999995</v>
      </c>
      <c r="V1607" s="117">
        <f t="shared" si="1504"/>
        <v>11648.59</v>
      </c>
      <c r="W1607" s="26">
        <f t="shared" si="1504"/>
        <v>103361.99999999999</v>
      </c>
      <c r="X1607" s="56">
        <f t="shared" ref="X1607" si="1505">IFERROR(S1607/R1607,"")</f>
        <v>45.693711583924348</v>
      </c>
      <c r="Y1607" s="57">
        <f t="shared" ref="Y1607" si="1506">U1607/P1607</f>
        <v>0.20837362424376668</v>
      </c>
      <c r="Z1607" s="28">
        <f t="shared" ref="Z1607" si="1507">P1607-W1607</f>
        <v>257803</v>
      </c>
      <c r="AA1607" s="57">
        <f t="shared" ref="AA1607" si="1508">Z1607/P1607</f>
        <v>0.7138094776625642</v>
      </c>
      <c r="AB1607" s="58">
        <f t="shared" ref="AB1607" si="1509">M1607-W1607</f>
        <v>4429.4200000000128</v>
      </c>
      <c r="AC1607" s="57">
        <f t="shared" ref="AC1607" si="1510">IFERROR(AA1607-O1607,"")</f>
        <v>1.22646195513475E-2</v>
      </c>
      <c r="AD1607" s="53"/>
      <c r="AE1607" s="53"/>
      <c r="AF1607" s="53"/>
      <c r="AG1607" s="61"/>
      <c r="AH1607" s="53"/>
    </row>
    <row r="1608" spans="1:34" ht="11.25" customHeight="1" x14ac:dyDescent="0.15">
      <c r="A1608" s="130"/>
      <c r="B1608" s="130"/>
      <c r="C1608" s="124"/>
      <c r="D1608" s="124"/>
      <c r="E1608" s="273"/>
      <c r="F1608" s="124"/>
      <c r="G1608" s="124"/>
      <c r="H1608" s="124"/>
      <c r="I1608" s="124"/>
      <c r="J1608" s="124"/>
      <c r="K1608" s="125"/>
      <c r="L1608" s="129"/>
      <c r="M1608" s="129"/>
      <c r="N1608" s="129"/>
      <c r="O1608" s="128"/>
      <c r="P1608" s="129"/>
      <c r="Q1608" s="124"/>
      <c r="R1608" s="117"/>
      <c r="S1608" s="117"/>
      <c r="T1608" s="117"/>
      <c r="U1608" s="117"/>
      <c r="V1608" s="117"/>
      <c r="X1608" s="45"/>
      <c r="Y1608" s="128"/>
      <c r="Z1608" s="126"/>
      <c r="AA1608" s="128"/>
      <c r="AB1608" s="129"/>
      <c r="AC1608" s="160"/>
      <c r="AD1608" s="137"/>
      <c r="AE1608" s="110"/>
      <c r="AF1608" s="110"/>
      <c r="AG1608" s="121"/>
      <c r="AH1608" s="110"/>
    </row>
    <row r="1609" spans="1:34" ht="11.25" customHeight="1" x14ac:dyDescent="0.15">
      <c r="A1609" s="110" t="s">
        <v>137</v>
      </c>
      <c r="B1609" s="110"/>
      <c r="C1609" s="111" t="s">
        <v>175</v>
      </c>
      <c r="D1609" s="111">
        <v>2024</v>
      </c>
      <c r="E1609" s="146">
        <v>45473</v>
      </c>
      <c r="F1609" s="111"/>
      <c r="G1609" s="111">
        <v>81110111</v>
      </c>
      <c r="H1609" s="111">
        <v>4101</v>
      </c>
      <c r="I1609" s="111" t="str">
        <f>MID(G1609,2,1)</f>
        <v>1</v>
      </c>
      <c r="J1609" s="111" t="str">
        <f>IF(I1609="1","Small/Medium","Large")</f>
        <v>Small/Medium</v>
      </c>
      <c r="K1609" s="147" t="s">
        <v>145</v>
      </c>
      <c r="L1609" s="120">
        <v>19685</v>
      </c>
      <c r="M1609" s="120">
        <f>L1609*0.3</f>
        <v>5905.5</v>
      </c>
      <c r="N1609" s="120">
        <f>L1609-M1609</f>
        <v>13779.5</v>
      </c>
      <c r="O1609" s="119">
        <f>IFERROR(N1609/L1609,"")</f>
        <v>0.7</v>
      </c>
      <c r="P1609" s="120">
        <v>19685</v>
      </c>
      <c r="Q1609" s="111">
        <v>3164</v>
      </c>
      <c r="R1609" s="117">
        <v>34</v>
      </c>
      <c r="S1609" s="117">
        <v>2432.0300000000002</v>
      </c>
      <c r="T1609" s="117">
        <v>1999.08</v>
      </c>
      <c r="U1609" s="117">
        <v>677.95</v>
      </c>
      <c r="V1609" s="117"/>
      <c r="W1609" s="26">
        <f>SUM(S1609:V1609)</f>
        <v>5109.0600000000004</v>
      </c>
      <c r="X1609" s="118">
        <f t="shared" ref="X1609:X1611" si="1511">IFERROR(S1609/R1609,"")</f>
        <v>71.53029411764706</v>
      </c>
      <c r="Y1609" s="119">
        <f t="shared" ref="Y1609:Y1611" si="1512">U1609/P1609</f>
        <v>3.4439928879857765E-2</v>
      </c>
      <c r="Z1609" s="117">
        <f t="shared" ref="Z1609:Z1611" si="1513">P1609-W1609</f>
        <v>14575.939999999999</v>
      </c>
      <c r="AA1609" s="119">
        <f t="shared" ref="AA1609:AA1611" si="1514">Z1609/P1609</f>
        <v>0.74045923291846572</v>
      </c>
      <c r="AB1609" s="120">
        <f t="shared" ref="AB1609:AB1611" si="1515">M1609-W1609</f>
        <v>796.4399999999996</v>
      </c>
      <c r="AC1609" s="119">
        <f t="shared" ref="AC1609:AC1611" si="1516">IFERROR(AA1609-O1609,"")</f>
        <v>4.045923291846576E-2</v>
      </c>
      <c r="AD1609" s="110" t="s">
        <v>837</v>
      </c>
      <c r="AE1609" s="110"/>
      <c r="AF1609" s="110"/>
      <c r="AG1609" s="121"/>
      <c r="AH1609" s="110"/>
    </row>
    <row r="1610" spans="1:34" ht="11.25" customHeight="1" x14ac:dyDescent="0.15">
      <c r="A1610" s="110" t="s">
        <v>137</v>
      </c>
      <c r="B1610" s="110"/>
      <c r="C1610" s="111" t="s">
        <v>175</v>
      </c>
      <c r="D1610" s="111">
        <v>2024</v>
      </c>
      <c r="E1610" s="146">
        <v>45473</v>
      </c>
      <c r="F1610" s="111"/>
      <c r="G1610" s="111">
        <v>82110111</v>
      </c>
      <c r="H1610" s="111">
        <v>4101</v>
      </c>
      <c r="I1610" s="111" t="str">
        <f>MID(G1610,2,1)</f>
        <v>2</v>
      </c>
      <c r="J1610" s="111" t="str">
        <f>IF(I1610="1","Small/Medium","Large")</f>
        <v>Large</v>
      </c>
      <c r="K1610" s="147" t="s">
        <v>176</v>
      </c>
      <c r="L1610" s="120">
        <v>20320.62</v>
      </c>
      <c r="M1610" s="120">
        <f>L1610*0.3</f>
        <v>6096.1859999999997</v>
      </c>
      <c r="N1610" s="120">
        <f>L1610-M1610</f>
        <v>14224.433999999999</v>
      </c>
      <c r="O1610" s="119">
        <f>IFERROR(N1610/L1610,"")</f>
        <v>0.7</v>
      </c>
      <c r="P1610" s="120">
        <v>20320.62</v>
      </c>
      <c r="Q1610" s="111">
        <v>3165</v>
      </c>
      <c r="R1610" s="117">
        <v>26.5</v>
      </c>
      <c r="S1610" s="117">
        <v>1895.55</v>
      </c>
      <c r="T1610" s="117">
        <v>2784.19</v>
      </c>
      <c r="U1610" s="117">
        <v>365.05</v>
      </c>
      <c r="V1610" s="117"/>
      <c r="W1610" s="26">
        <f>SUM(S1610:V1610)</f>
        <v>5044.79</v>
      </c>
      <c r="X1610" s="118">
        <f t="shared" si="1511"/>
        <v>71.530188679245285</v>
      </c>
      <c r="Y1610" s="119">
        <f t="shared" si="1512"/>
        <v>1.7964510925355625E-2</v>
      </c>
      <c r="Z1610" s="117">
        <f t="shared" si="1513"/>
        <v>15275.829999999998</v>
      </c>
      <c r="AA1610" s="119">
        <f t="shared" si="1514"/>
        <v>0.75174035044206322</v>
      </c>
      <c r="AB1610" s="120">
        <f t="shared" si="1515"/>
        <v>1051.3959999999997</v>
      </c>
      <c r="AC1610" s="119">
        <f t="shared" si="1516"/>
        <v>5.1740350442063265E-2</v>
      </c>
      <c r="AD1610" s="110"/>
      <c r="AE1610" s="110"/>
      <c r="AF1610" s="110"/>
      <c r="AG1610" s="121"/>
      <c r="AH1610" s="110"/>
    </row>
    <row r="1611" spans="1:34" s="216" customFormat="1" ht="11.25" customHeight="1" x14ac:dyDescent="0.15">
      <c r="A1611" s="53" t="s">
        <v>137</v>
      </c>
      <c r="B1611" s="53"/>
      <c r="C1611" s="54" t="s">
        <v>177</v>
      </c>
      <c r="D1611" s="54"/>
      <c r="E1611" s="70"/>
      <c r="F1611" s="54"/>
      <c r="G1611" s="54"/>
      <c r="H1611" s="54"/>
      <c r="I1611" s="54"/>
      <c r="J1611" s="54"/>
      <c r="K1611" s="106"/>
      <c r="L1611" s="24">
        <f>SUM(L1609:L1610)</f>
        <v>40005.619999999995</v>
      </c>
      <c r="M1611" s="24">
        <f t="shared" ref="M1611" si="1517">SUM(M1609:M1610)</f>
        <v>12001.686</v>
      </c>
      <c r="N1611" s="24">
        <f t="shared" ref="N1611" si="1518">SUM(N1609:N1610)</f>
        <v>28003.934000000001</v>
      </c>
      <c r="O1611" s="57">
        <f>IFERROR(N1611/L1611,"")</f>
        <v>0.70000000000000007</v>
      </c>
      <c r="P1611" s="24">
        <f>SUM(P1609:P1610)</f>
        <v>40005.619999999995</v>
      </c>
      <c r="Q1611" s="24"/>
      <c r="R1611" s="117">
        <f>SUM(R1609:R1610)</f>
        <v>60.5</v>
      </c>
      <c r="S1611" s="117">
        <f t="shared" ref="S1611:V1611" si="1519">SUM(S1609:S1610)</f>
        <v>4327.58</v>
      </c>
      <c r="T1611" s="117">
        <f t="shared" si="1519"/>
        <v>4783.2700000000004</v>
      </c>
      <c r="U1611" s="117">
        <f t="shared" si="1519"/>
        <v>1043</v>
      </c>
      <c r="V1611" s="117">
        <f t="shared" si="1519"/>
        <v>0</v>
      </c>
      <c r="W1611" s="26">
        <f t="shared" ref="W1611" si="1520">SUM(W1609:W1610)</f>
        <v>10153.85</v>
      </c>
      <c r="X1611" s="56">
        <f t="shared" si="1511"/>
        <v>71.530247933884297</v>
      </c>
      <c r="Y1611" s="57">
        <f t="shared" si="1512"/>
        <v>2.6071336977154712E-2</v>
      </c>
      <c r="Z1611" s="28">
        <f t="shared" si="1513"/>
        <v>29851.769999999997</v>
      </c>
      <c r="AA1611" s="57">
        <f t="shared" si="1514"/>
        <v>0.74618941038784048</v>
      </c>
      <c r="AB1611" s="58">
        <f t="shared" si="1515"/>
        <v>1847.8359999999993</v>
      </c>
      <c r="AC1611" s="57">
        <f t="shared" si="1516"/>
        <v>4.6189410387840413E-2</v>
      </c>
      <c r="AD1611" s="53"/>
      <c r="AE1611" s="53"/>
      <c r="AF1611" s="53"/>
      <c r="AG1611" s="61"/>
      <c r="AH1611" s="53"/>
    </row>
    <row r="1612" spans="1:34" ht="11.25" customHeight="1" x14ac:dyDescent="0.15">
      <c r="A1612" s="130"/>
      <c r="B1612" s="130"/>
      <c r="C1612" s="124"/>
      <c r="D1612" s="124"/>
      <c r="E1612" s="273"/>
      <c r="F1612" s="124"/>
      <c r="G1612" s="124"/>
      <c r="H1612" s="124"/>
      <c r="I1612" s="124"/>
      <c r="J1612" s="124"/>
      <c r="K1612" s="125"/>
      <c r="L1612" s="129"/>
      <c r="M1612" s="129"/>
      <c r="N1612" s="129"/>
      <c r="O1612" s="128"/>
      <c r="P1612" s="129"/>
      <c r="Q1612" s="124"/>
      <c r="R1612" s="117"/>
      <c r="S1612" s="117"/>
      <c r="T1612" s="117"/>
      <c r="U1612" s="117"/>
      <c r="V1612" s="117"/>
      <c r="X1612" s="45"/>
      <c r="Y1612" s="128"/>
      <c r="Z1612" s="126"/>
      <c r="AA1612" s="128"/>
      <c r="AB1612" s="129"/>
      <c r="AC1612" s="160"/>
      <c r="AD1612" s="137"/>
      <c r="AE1612" s="110"/>
      <c r="AF1612" s="110"/>
      <c r="AG1612" s="121"/>
      <c r="AH1612" s="110"/>
    </row>
    <row r="1613" spans="1:34" ht="11.25" customHeight="1" x14ac:dyDescent="0.15">
      <c r="A1613" s="110" t="s">
        <v>127</v>
      </c>
      <c r="B1613" s="110"/>
      <c r="C1613" s="111" t="s">
        <v>175</v>
      </c>
      <c r="D1613" s="111">
        <v>2024</v>
      </c>
      <c r="E1613" s="146">
        <v>45473</v>
      </c>
      <c r="F1613" s="111"/>
      <c r="G1613" s="111">
        <v>81000112</v>
      </c>
      <c r="H1613" s="111">
        <v>4111</v>
      </c>
      <c r="I1613" s="111" t="str">
        <f>MID(G1613,2,1)</f>
        <v>1</v>
      </c>
      <c r="J1613" s="111" t="str">
        <f>IF(I1613="1","Small/Medium","Large")</f>
        <v>Small/Medium</v>
      </c>
      <c r="K1613" s="147" t="s">
        <v>145</v>
      </c>
      <c r="L1613" s="120">
        <v>13640</v>
      </c>
      <c r="M1613" s="120">
        <f>L1613*0.3</f>
        <v>4092</v>
      </c>
      <c r="N1613" s="120">
        <f>L1613-M1613</f>
        <v>9548</v>
      </c>
      <c r="O1613" s="119">
        <f>IFERROR(N1613/L1613,"")</f>
        <v>0.7</v>
      </c>
      <c r="P1613" s="120">
        <v>13640</v>
      </c>
      <c r="Q1613" s="111">
        <v>3473</v>
      </c>
      <c r="R1613" s="117">
        <v>18.5</v>
      </c>
      <c r="S1613" s="117">
        <v>830.28</v>
      </c>
      <c r="T1613" s="117">
        <v>1193.8800000000001</v>
      </c>
      <c r="U1613" s="117">
        <v>450</v>
      </c>
      <c r="V1613" s="117"/>
      <c r="W1613" s="26">
        <f>SUM(S1613:V1613)</f>
        <v>2474.16</v>
      </c>
      <c r="X1613" s="118">
        <f t="shared" ref="X1613:X1615" si="1521">IFERROR(S1613/R1613,"")</f>
        <v>44.879999999999995</v>
      </c>
      <c r="Y1613" s="119">
        <f t="shared" ref="Y1613:Y1615" si="1522">U1613/P1613</f>
        <v>3.2991202346041054E-2</v>
      </c>
      <c r="Z1613" s="117">
        <f t="shared" ref="Z1613:Z1615" si="1523">P1613-W1613</f>
        <v>11165.84</v>
      </c>
      <c r="AA1613" s="119">
        <f t="shared" ref="AA1613:AA1615" si="1524">Z1613/P1613</f>
        <v>0.81860997067448682</v>
      </c>
      <c r="AB1613" s="120">
        <f t="shared" ref="AB1613:AB1615" si="1525">M1613-W1613</f>
        <v>1617.8400000000001</v>
      </c>
      <c r="AC1613" s="119">
        <f t="shared" ref="AC1613:AC1615" si="1526">IFERROR(AA1613-O1613,"")</f>
        <v>0.11860997067448686</v>
      </c>
      <c r="AD1613" s="110" t="s">
        <v>838</v>
      </c>
      <c r="AE1613" s="110"/>
      <c r="AF1613" s="110"/>
      <c r="AG1613" s="121"/>
      <c r="AH1613" s="110"/>
    </row>
    <row r="1614" spans="1:34" ht="11.25" customHeight="1" x14ac:dyDescent="0.15">
      <c r="A1614" s="110" t="s">
        <v>127</v>
      </c>
      <c r="B1614" s="110"/>
      <c r="C1614" s="111" t="s">
        <v>175</v>
      </c>
      <c r="D1614" s="111">
        <v>2024</v>
      </c>
      <c r="E1614" s="146">
        <v>45473</v>
      </c>
      <c r="F1614" s="111"/>
      <c r="G1614" s="111">
        <v>82000112</v>
      </c>
      <c r="H1614" s="111">
        <v>4111</v>
      </c>
      <c r="I1614" s="111" t="str">
        <f>MID(G1614,2,1)</f>
        <v>2</v>
      </c>
      <c r="J1614" s="111" t="str">
        <f>IF(I1614="1","Small/Medium","Large")</f>
        <v>Large</v>
      </c>
      <c r="K1614" s="147" t="s">
        <v>176</v>
      </c>
      <c r="L1614" s="120">
        <v>18155</v>
      </c>
      <c r="M1614" s="120">
        <f>L1614*0.3</f>
        <v>5446.5</v>
      </c>
      <c r="N1614" s="120">
        <f>L1614-M1614</f>
        <v>12708.5</v>
      </c>
      <c r="O1614" s="119">
        <f>IFERROR(N1614/L1614,"")</f>
        <v>0.7</v>
      </c>
      <c r="P1614" s="120">
        <v>18155</v>
      </c>
      <c r="Q1614" s="111">
        <v>3474</v>
      </c>
      <c r="R1614" s="117">
        <v>14</v>
      </c>
      <c r="S1614" s="117">
        <v>628.32000000000005</v>
      </c>
      <c r="T1614" s="117">
        <v>1193.8800000000001</v>
      </c>
      <c r="U1614" s="117">
        <v>588.62</v>
      </c>
      <c r="V1614" s="117"/>
      <c r="W1614" s="26">
        <f>SUM(S1614:V1614)</f>
        <v>2410.8200000000002</v>
      </c>
      <c r="X1614" s="118">
        <f t="shared" si="1521"/>
        <v>44.88</v>
      </c>
      <c r="Y1614" s="119">
        <f t="shared" si="1522"/>
        <v>3.2421922335444782E-2</v>
      </c>
      <c r="Z1614" s="117">
        <f t="shared" si="1523"/>
        <v>15744.18</v>
      </c>
      <c r="AA1614" s="119">
        <f t="shared" si="1524"/>
        <v>0.86720903332415311</v>
      </c>
      <c r="AB1614" s="120">
        <f t="shared" si="1525"/>
        <v>3035.68</v>
      </c>
      <c r="AC1614" s="119">
        <f t="shared" si="1526"/>
        <v>0.16720903332415316</v>
      </c>
      <c r="AD1614" s="110"/>
      <c r="AE1614" s="110"/>
      <c r="AF1614" s="110"/>
      <c r="AG1614" s="121"/>
      <c r="AH1614" s="110"/>
    </row>
    <row r="1615" spans="1:34" s="216" customFormat="1" ht="11.25" customHeight="1" x14ac:dyDescent="0.15">
      <c r="A1615" s="53" t="s">
        <v>127</v>
      </c>
      <c r="B1615" s="53"/>
      <c r="C1615" s="54" t="s">
        <v>177</v>
      </c>
      <c r="D1615" s="54"/>
      <c r="E1615" s="70"/>
      <c r="F1615" s="54"/>
      <c r="G1615" s="54"/>
      <c r="H1615" s="54"/>
      <c r="I1615" s="54"/>
      <c r="J1615" s="54"/>
      <c r="K1615" s="106"/>
      <c r="L1615" s="24">
        <f>SUM(L1613:L1614)</f>
        <v>31795</v>
      </c>
      <c r="M1615" s="24">
        <f t="shared" ref="M1615" si="1527">SUM(M1613:M1614)</f>
        <v>9538.5</v>
      </c>
      <c r="N1615" s="24">
        <f t="shared" ref="N1615" si="1528">SUM(N1613:N1614)</f>
        <v>22256.5</v>
      </c>
      <c r="O1615" s="57">
        <f>IFERROR(N1615/L1615,"")</f>
        <v>0.7</v>
      </c>
      <c r="P1615" s="24">
        <f>SUM(P1613:P1614)</f>
        <v>31795</v>
      </c>
      <c r="Q1615" s="24"/>
      <c r="R1615" s="117">
        <f>SUM(R1613:R1614)</f>
        <v>32.5</v>
      </c>
      <c r="S1615" s="117">
        <f t="shared" ref="S1615:V1615" si="1529">SUM(S1613:S1614)</f>
        <v>1458.6</v>
      </c>
      <c r="T1615" s="117">
        <f t="shared" si="1529"/>
        <v>2387.7600000000002</v>
      </c>
      <c r="U1615" s="117">
        <f t="shared" si="1529"/>
        <v>1038.6199999999999</v>
      </c>
      <c r="V1615" s="117">
        <f t="shared" si="1529"/>
        <v>0</v>
      </c>
      <c r="W1615" s="26">
        <f t="shared" ref="W1615" si="1530">SUM(W1613:W1614)</f>
        <v>4884.9799999999996</v>
      </c>
      <c r="X1615" s="56">
        <f t="shared" si="1521"/>
        <v>44.879999999999995</v>
      </c>
      <c r="Y1615" s="57">
        <f t="shared" si="1522"/>
        <v>3.2666142475231953E-2</v>
      </c>
      <c r="Z1615" s="28">
        <f t="shared" si="1523"/>
        <v>26910.02</v>
      </c>
      <c r="AA1615" s="57">
        <f t="shared" si="1524"/>
        <v>0.84636011951564716</v>
      </c>
      <c r="AB1615" s="58">
        <f t="shared" si="1525"/>
        <v>4653.5200000000004</v>
      </c>
      <c r="AC1615" s="57">
        <f t="shared" si="1526"/>
        <v>0.1463601195156472</v>
      </c>
      <c r="AD1615" s="53"/>
      <c r="AE1615" s="53"/>
      <c r="AF1615" s="53"/>
      <c r="AG1615" s="61"/>
      <c r="AH1615" s="53"/>
    </row>
    <row r="1616" spans="1:34" ht="11.25" customHeight="1" x14ac:dyDescent="0.15">
      <c r="A1616" s="130"/>
      <c r="B1616" s="130"/>
      <c r="C1616" s="124"/>
      <c r="D1616" s="124"/>
      <c r="E1616" s="273"/>
      <c r="F1616" s="124"/>
      <c r="G1616" s="124"/>
      <c r="H1616" s="124"/>
      <c r="I1616" s="124"/>
      <c r="J1616" s="124"/>
      <c r="K1616" s="125"/>
      <c r="L1616" s="129"/>
      <c r="M1616" s="129"/>
      <c r="N1616" s="129"/>
      <c r="O1616" s="128"/>
      <c r="P1616" s="129"/>
      <c r="Q1616" s="124"/>
      <c r="R1616" s="117"/>
      <c r="S1616" s="117"/>
      <c r="T1616" s="117"/>
      <c r="U1616" s="117"/>
      <c r="V1616" s="117"/>
      <c r="X1616" s="45"/>
      <c r="Y1616" s="128"/>
      <c r="Z1616" s="126"/>
      <c r="AA1616" s="128"/>
      <c r="AB1616" s="129"/>
      <c r="AC1616" s="160"/>
      <c r="AD1616" s="137"/>
      <c r="AE1616" s="110"/>
      <c r="AF1616" s="110"/>
      <c r="AG1616" s="121"/>
      <c r="AH1616" s="110"/>
    </row>
    <row r="1617" spans="1:34" ht="11.25" customHeight="1" x14ac:dyDescent="0.15">
      <c r="A1617" s="110" t="s">
        <v>306</v>
      </c>
      <c r="B1617" s="110"/>
      <c r="C1617" s="111" t="s">
        <v>175</v>
      </c>
      <c r="D1617" s="111">
        <v>2024</v>
      </c>
      <c r="E1617" s="146">
        <v>45473</v>
      </c>
      <c r="F1617" s="111"/>
      <c r="G1617" s="111">
        <v>81000011</v>
      </c>
      <c r="H1617" s="111">
        <v>4111</v>
      </c>
      <c r="I1617" s="111" t="str">
        <f>MID(G1617,2,1)</f>
        <v>1</v>
      </c>
      <c r="J1617" s="111" t="str">
        <f>IF(I1617="1","Small/Medium","Large")</f>
        <v>Small/Medium</v>
      </c>
      <c r="K1617" s="147" t="s">
        <v>145</v>
      </c>
      <c r="L1617" s="120">
        <v>9402</v>
      </c>
      <c r="M1617" s="120">
        <f>L1617*0.3</f>
        <v>2820.6</v>
      </c>
      <c r="N1617" s="120">
        <f>L1617-M1617</f>
        <v>6581.4</v>
      </c>
      <c r="O1617" s="119">
        <f>IFERROR(N1617/L1617,"")</f>
        <v>0.7</v>
      </c>
      <c r="P1617" s="120">
        <v>9402</v>
      </c>
      <c r="Q1617" s="111">
        <v>2855</v>
      </c>
      <c r="R1617" s="117">
        <v>16</v>
      </c>
      <c r="S1617" s="117">
        <v>718.08</v>
      </c>
      <c r="T1617" s="117">
        <v>783.6</v>
      </c>
      <c r="U1617" s="117">
        <v>600</v>
      </c>
      <c r="V1617" s="117"/>
      <c r="W1617" s="26">
        <f>SUM(S1617:V1617)</f>
        <v>2101.6800000000003</v>
      </c>
      <c r="X1617" s="118">
        <f t="shared" ref="X1617:X1619" si="1531">IFERROR(S1617/R1617,"")</f>
        <v>44.88</v>
      </c>
      <c r="Y1617" s="119">
        <f t="shared" ref="Y1617:Y1619" si="1532">U1617/P1617</f>
        <v>6.3816209317166556E-2</v>
      </c>
      <c r="Z1617" s="117">
        <f t="shared" ref="Z1617:Z1619" si="1533">P1617-W1617</f>
        <v>7300.32</v>
      </c>
      <c r="AA1617" s="119">
        <f t="shared" ref="AA1617:AA1619" si="1534">Z1617/P1617</f>
        <v>0.77646458200382895</v>
      </c>
      <c r="AB1617" s="120">
        <f t="shared" ref="AB1617:AB1619" si="1535">M1617-W1617</f>
        <v>718.91999999999962</v>
      </c>
      <c r="AC1617" s="119">
        <f t="shared" ref="AC1617:AC1619" si="1536">IFERROR(AA1617-O1617,"")</f>
        <v>7.6464582003828996E-2</v>
      </c>
      <c r="AD1617" s="110" t="s">
        <v>839</v>
      </c>
      <c r="AE1617" s="110"/>
      <c r="AF1617" s="110"/>
      <c r="AG1617" s="121"/>
      <c r="AH1617" s="110"/>
    </row>
    <row r="1618" spans="1:34" ht="11.25" customHeight="1" x14ac:dyDescent="0.15">
      <c r="A1618" s="110" t="s">
        <v>306</v>
      </c>
      <c r="B1618" s="110"/>
      <c r="C1618" s="111" t="s">
        <v>175</v>
      </c>
      <c r="D1618" s="111">
        <v>2024</v>
      </c>
      <c r="E1618" s="146">
        <v>45473</v>
      </c>
      <c r="F1618" s="111"/>
      <c r="G1618" s="111">
        <v>82000011</v>
      </c>
      <c r="H1618" s="111">
        <v>4111</v>
      </c>
      <c r="I1618" s="111" t="str">
        <f>MID(G1618,2,1)</f>
        <v>2</v>
      </c>
      <c r="J1618" s="111" t="str">
        <f>IF(I1618="1","Small/Medium","Large")</f>
        <v>Large</v>
      </c>
      <c r="K1618" s="147" t="s">
        <v>176</v>
      </c>
      <c r="L1618" s="120">
        <v>13165</v>
      </c>
      <c r="M1618" s="120">
        <f>L1618*0.3</f>
        <v>3949.5</v>
      </c>
      <c r="N1618" s="120">
        <f>L1618-M1618</f>
        <v>9215.5</v>
      </c>
      <c r="O1618" s="119">
        <f>IFERROR(N1618/L1618,"")</f>
        <v>0.7</v>
      </c>
      <c r="P1618" s="120">
        <v>13165</v>
      </c>
      <c r="Q1618" s="111">
        <v>2856</v>
      </c>
      <c r="R1618" s="117">
        <v>14</v>
      </c>
      <c r="S1618" s="117">
        <v>628.32000000000005</v>
      </c>
      <c r="T1618" s="117">
        <v>783.6</v>
      </c>
      <c r="U1618" s="117">
        <v>600</v>
      </c>
      <c r="V1618" s="117"/>
      <c r="W1618" s="26">
        <f>SUM(S1618:V1618)</f>
        <v>2011.92</v>
      </c>
      <c r="X1618" s="118">
        <f t="shared" si="1531"/>
        <v>44.88</v>
      </c>
      <c r="Y1618" s="119">
        <f t="shared" si="1532"/>
        <v>4.5575389289783517E-2</v>
      </c>
      <c r="Z1618" s="117">
        <f t="shared" si="1533"/>
        <v>11153.08</v>
      </c>
      <c r="AA1618" s="119">
        <f t="shared" si="1534"/>
        <v>0.84717660463349787</v>
      </c>
      <c r="AB1618" s="120">
        <f t="shared" si="1535"/>
        <v>1937.58</v>
      </c>
      <c r="AC1618" s="119">
        <f t="shared" si="1536"/>
        <v>0.14717660463349791</v>
      </c>
      <c r="AD1618" s="110"/>
      <c r="AE1618" s="110"/>
      <c r="AF1618" s="110"/>
      <c r="AG1618" s="121"/>
      <c r="AH1618" s="110"/>
    </row>
    <row r="1619" spans="1:34" s="216" customFormat="1" ht="11.25" customHeight="1" x14ac:dyDescent="0.15">
      <c r="A1619" s="53" t="s">
        <v>306</v>
      </c>
      <c r="B1619" s="53"/>
      <c r="C1619" s="54" t="s">
        <v>177</v>
      </c>
      <c r="D1619" s="54"/>
      <c r="E1619" s="70"/>
      <c r="F1619" s="54"/>
      <c r="G1619" s="54"/>
      <c r="H1619" s="54"/>
      <c r="I1619" s="54"/>
      <c r="J1619" s="54"/>
      <c r="K1619" s="106"/>
      <c r="L1619" s="24">
        <f>SUM(L1617:L1618)</f>
        <v>22567</v>
      </c>
      <c r="M1619" s="24">
        <f t="shared" ref="M1619" si="1537">SUM(M1617:M1618)</f>
        <v>6770.1</v>
      </c>
      <c r="N1619" s="24">
        <f t="shared" ref="N1619" si="1538">SUM(N1617:N1618)</f>
        <v>15796.9</v>
      </c>
      <c r="O1619" s="57">
        <f>IFERROR(N1619/L1619,"")</f>
        <v>0.7</v>
      </c>
      <c r="P1619" s="24">
        <f>SUM(P1617:P1618)</f>
        <v>22567</v>
      </c>
      <c r="Q1619" s="24"/>
      <c r="R1619" s="117">
        <f>SUM(R1617:R1618)</f>
        <v>30</v>
      </c>
      <c r="S1619" s="117">
        <f t="shared" ref="S1619:V1619" si="1539">SUM(S1617:S1618)</f>
        <v>1346.4</v>
      </c>
      <c r="T1619" s="117">
        <f t="shared" si="1539"/>
        <v>1567.2</v>
      </c>
      <c r="U1619" s="117">
        <f t="shared" si="1539"/>
        <v>1200</v>
      </c>
      <c r="V1619" s="117">
        <f t="shared" si="1539"/>
        <v>0</v>
      </c>
      <c r="W1619" s="26">
        <f t="shared" ref="W1619" si="1540">SUM(W1617:W1618)</f>
        <v>4113.6000000000004</v>
      </c>
      <c r="X1619" s="56">
        <f t="shared" si="1531"/>
        <v>44.88</v>
      </c>
      <c r="Y1619" s="57">
        <f t="shared" si="1532"/>
        <v>5.3174990029689367E-2</v>
      </c>
      <c r="Z1619" s="28">
        <f t="shared" si="1533"/>
        <v>18453.400000000001</v>
      </c>
      <c r="AA1619" s="57">
        <f t="shared" si="1534"/>
        <v>0.81771613417822486</v>
      </c>
      <c r="AB1619" s="58">
        <f t="shared" si="1535"/>
        <v>2656.5</v>
      </c>
      <c r="AC1619" s="57">
        <f t="shared" si="1536"/>
        <v>0.11771613417822491</v>
      </c>
      <c r="AD1619" s="53"/>
      <c r="AE1619" s="53"/>
      <c r="AF1619" s="53"/>
      <c r="AG1619" s="61"/>
      <c r="AH1619" s="53"/>
    </row>
    <row r="1620" spans="1:34" ht="11.25" customHeight="1" x14ac:dyDescent="0.15">
      <c r="A1620" s="130"/>
      <c r="B1620" s="130"/>
      <c r="C1620" s="124"/>
      <c r="D1620" s="124"/>
      <c r="E1620" s="273"/>
      <c r="F1620" s="124"/>
      <c r="G1620" s="124"/>
      <c r="H1620" s="124"/>
      <c r="I1620" s="124"/>
      <c r="J1620" s="124"/>
      <c r="K1620" s="125"/>
      <c r="L1620" s="129"/>
      <c r="M1620" s="129"/>
      <c r="N1620" s="129"/>
      <c r="O1620" s="128"/>
      <c r="P1620" s="129"/>
      <c r="Q1620" s="124"/>
      <c r="R1620" s="117"/>
      <c r="S1620" s="117"/>
      <c r="T1620" s="117"/>
      <c r="U1620" s="117"/>
      <c r="V1620" s="117"/>
      <c r="X1620" s="45"/>
      <c r="Y1620" s="128"/>
      <c r="Z1620" s="126"/>
      <c r="AA1620" s="128"/>
      <c r="AB1620" s="129"/>
      <c r="AC1620" s="160"/>
      <c r="AD1620" s="137"/>
      <c r="AE1620" s="110"/>
      <c r="AF1620" s="110"/>
      <c r="AG1620" s="121"/>
      <c r="AH1620" s="110"/>
    </row>
    <row r="1621" spans="1:34" ht="11.25" customHeight="1" x14ac:dyDescent="0.15">
      <c r="A1621" s="110" t="s">
        <v>174</v>
      </c>
      <c r="B1621" s="110"/>
      <c r="C1621" s="111" t="s">
        <v>175</v>
      </c>
      <c r="D1621" s="111">
        <v>2024</v>
      </c>
      <c r="E1621" s="146">
        <v>45473</v>
      </c>
      <c r="F1621" s="111"/>
      <c r="G1621" s="111">
        <v>81100011</v>
      </c>
      <c r="H1621" s="111">
        <v>4101</v>
      </c>
      <c r="I1621" s="111" t="str">
        <f>MID(G1621,2,1)</f>
        <v>1</v>
      </c>
      <c r="J1621" s="111" t="str">
        <f>IF(I1621="1","Small/Medium","Large")</f>
        <v>Small/Medium</v>
      </c>
      <c r="K1621" s="147" t="s">
        <v>145</v>
      </c>
      <c r="L1621" s="120">
        <v>6843.13</v>
      </c>
      <c r="M1621" s="120">
        <f>L1621*0.3</f>
        <v>2052.9389999999999</v>
      </c>
      <c r="N1621" s="120">
        <f>L1621-M1621</f>
        <v>4790.1910000000007</v>
      </c>
      <c r="O1621" s="119">
        <f>IFERROR(N1621/L1621,"")</f>
        <v>0.70000000000000007</v>
      </c>
      <c r="P1621" s="120">
        <v>6843.13</v>
      </c>
      <c r="Q1621" s="111">
        <v>3608</v>
      </c>
      <c r="R1621" s="117">
        <v>20.5</v>
      </c>
      <c r="S1621" s="117">
        <v>920.04</v>
      </c>
      <c r="T1621" s="117">
        <v>1567.22</v>
      </c>
      <c r="U1621" s="117">
        <v>600</v>
      </c>
      <c r="V1621" s="117"/>
      <c r="W1621" s="26">
        <f>SUM(S1621:V1621)</f>
        <v>3087.26</v>
      </c>
      <c r="X1621" s="118">
        <f t="shared" ref="X1621:X1623" si="1541">IFERROR(S1621/R1621,"")</f>
        <v>44.879999999999995</v>
      </c>
      <c r="Y1621" s="119">
        <f t="shared" ref="Y1621:Y1623" si="1542">U1621/P1621</f>
        <v>8.7679176049556273E-2</v>
      </c>
      <c r="Z1621" s="117">
        <f t="shared" ref="Z1621:Z1623" si="1543">P1621-W1621</f>
        <v>3755.87</v>
      </c>
      <c r="AA1621" s="119">
        <f t="shared" ref="AA1621:AA1623" si="1544">Z1621/P1621</f>
        <v>0.54885264491541152</v>
      </c>
      <c r="AB1621" s="120">
        <f t="shared" ref="AB1621:AB1623" si="1545">M1621-W1621</f>
        <v>-1034.3210000000004</v>
      </c>
      <c r="AC1621" s="119">
        <f t="shared" ref="AC1621:AC1623" si="1546">IFERROR(AA1621-O1621,"")</f>
        <v>-0.15114735508458854</v>
      </c>
      <c r="AD1621" s="110" t="s">
        <v>840</v>
      </c>
      <c r="AE1621" s="110"/>
      <c r="AF1621" s="110"/>
      <c r="AG1621" s="121"/>
      <c r="AH1621" s="110"/>
    </row>
    <row r="1622" spans="1:34" ht="11.25" customHeight="1" x14ac:dyDescent="0.15">
      <c r="A1622" s="110" t="s">
        <v>174</v>
      </c>
      <c r="B1622" s="110"/>
      <c r="C1622" s="111" t="s">
        <v>175</v>
      </c>
      <c r="D1622" s="111">
        <v>2024</v>
      </c>
      <c r="E1622" s="146">
        <v>45473</v>
      </c>
      <c r="F1622" s="111"/>
      <c r="G1622" s="111">
        <v>82100011</v>
      </c>
      <c r="H1622" s="111">
        <v>4101</v>
      </c>
      <c r="I1622" s="111" t="str">
        <f>MID(G1622,2,1)</f>
        <v>2</v>
      </c>
      <c r="J1622" s="111" t="str">
        <f>IF(I1622="1","Small/Medium","Large")</f>
        <v>Large</v>
      </c>
      <c r="K1622" s="147" t="s">
        <v>176</v>
      </c>
      <c r="L1622" s="120">
        <v>12708.666666666666</v>
      </c>
      <c r="M1622" s="120">
        <f>L1622*0.3</f>
        <v>3812.5999999999995</v>
      </c>
      <c r="N1622" s="120">
        <f>L1622-M1622</f>
        <v>8896.0666666666657</v>
      </c>
      <c r="O1622" s="119">
        <f>IFERROR(N1622/L1622,"")</f>
        <v>0.7</v>
      </c>
      <c r="P1622" s="120">
        <v>12708.666666666666</v>
      </c>
      <c r="Q1622" s="111">
        <v>3609</v>
      </c>
      <c r="R1622" s="117">
        <v>49.5</v>
      </c>
      <c r="S1622" s="117">
        <v>2221.56</v>
      </c>
      <c r="T1622" s="117">
        <v>2304.2199999999998</v>
      </c>
      <c r="U1622" s="117">
        <v>1769</v>
      </c>
      <c r="V1622" s="117">
        <v>39.46</v>
      </c>
      <c r="W1622" s="26">
        <f>SUM(S1622:V1622)</f>
        <v>6334.24</v>
      </c>
      <c r="X1622" s="118">
        <f t="shared" si="1541"/>
        <v>44.879999999999995</v>
      </c>
      <c r="Y1622" s="119">
        <f t="shared" si="1542"/>
        <v>0.1391963489482243</v>
      </c>
      <c r="Z1622" s="117">
        <f t="shared" si="1543"/>
        <v>6374.4266666666663</v>
      </c>
      <c r="AA1622" s="119">
        <f t="shared" si="1544"/>
        <v>0.50158107328332369</v>
      </c>
      <c r="AB1622" s="120">
        <f t="shared" si="1545"/>
        <v>-2521.6400000000003</v>
      </c>
      <c r="AC1622" s="119">
        <f t="shared" si="1546"/>
        <v>-0.19841892671667627</v>
      </c>
      <c r="AD1622" s="110" t="s">
        <v>841</v>
      </c>
      <c r="AE1622" s="110"/>
      <c r="AF1622" s="110"/>
      <c r="AG1622" s="121"/>
      <c r="AH1622" s="110"/>
    </row>
    <row r="1623" spans="1:34" s="216" customFormat="1" ht="11.25" customHeight="1" x14ac:dyDescent="0.15">
      <c r="A1623" s="53" t="s">
        <v>174</v>
      </c>
      <c r="B1623" s="53"/>
      <c r="C1623" s="54" t="s">
        <v>177</v>
      </c>
      <c r="D1623" s="54"/>
      <c r="E1623" s="70"/>
      <c r="F1623" s="54"/>
      <c r="G1623" s="54"/>
      <c r="H1623" s="54"/>
      <c r="I1623" s="54"/>
      <c r="J1623" s="54"/>
      <c r="K1623" s="106"/>
      <c r="L1623" s="24">
        <f>SUM(L1621:L1622)</f>
        <v>19551.796666666665</v>
      </c>
      <c r="M1623" s="24">
        <f t="shared" ref="M1623" si="1547">SUM(M1621:M1622)</f>
        <v>5865.5389999999989</v>
      </c>
      <c r="N1623" s="24">
        <f t="shared" ref="N1623" si="1548">SUM(N1621:N1622)</f>
        <v>13686.257666666666</v>
      </c>
      <c r="O1623" s="57">
        <f>IFERROR(N1623/L1623,"")</f>
        <v>0.70000000000000007</v>
      </c>
      <c r="P1623" s="24">
        <f>SUM(P1621:P1622)</f>
        <v>19551.796666666665</v>
      </c>
      <c r="Q1623" s="24"/>
      <c r="R1623" s="117">
        <f>SUM(R1621:R1622)</f>
        <v>70</v>
      </c>
      <c r="S1623" s="117">
        <f t="shared" ref="S1623:V1623" si="1549">SUM(S1621:S1622)</f>
        <v>3141.6</v>
      </c>
      <c r="T1623" s="117">
        <f t="shared" si="1549"/>
        <v>3871.4399999999996</v>
      </c>
      <c r="U1623" s="117">
        <f t="shared" si="1549"/>
        <v>2369</v>
      </c>
      <c r="V1623" s="117">
        <f t="shared" si="1549"/>
        <v>39.46</v>
      </c>
      <c r="W1623" s="26">
        <f t="shared" ref="W1623" si="1550">SUM(W1621:W1622)</f>
        <v>9421.5</v>
      </c>
      <c r="X1623" s="56">
        <f t="shared" si="1541"/>
        <v>44.879999999999995</v>
      </c>
      <c r="Y1623" s="57">
        <f t="shared" si="1542"/>
        <v>0.12116533535963192</v>
      </c>
      <c r="Z1623" s="28">
        <f t="shared" si="1543"/>
        <v>10130.296666666665</v>
      </c>
      <c r="AA1623" s="57">
        <f t="shared" si="1544"/>
        <v>0.51812612617527554</v>
      </c>
      <c r="AB1623" s="58">
        <f t="shared" si="1545"/>
        <v>-3555.9610000000011</v>
      </c>
      <c r="AC1623" s="57">
        <f t="shared" si="1546"/>
        <v>-0.18187387382472453</v>
      </c>
      <c r="AD1623" s="53"/>
      <c r="AE1623" s="53"/>
      <c r="AF1623" s="53"/>
      <c r="AG1623" s="61"/>
      <c r="AH1623" s="53"/>
    </row>
    <row r="1624" spans="1:34" ht="11.25" customHeight="1" x14ac:dyDescent="0.15">
      <c r="A1624" s="130"/>
      <c r="B1624" s="130"/>
      <c r="C1624" s="124"/>
      <c r="D1624" s="124"/>
      <c r="E1624" s="273"/>
      <c r="F1624" s="124"/>
      <c r="G1624" s="124"/>
      <c r="H1624" s="124"/>
      <c r="I1624" s="124"/>
      <c r="J1624" s="124"/>
      <c r="K1624" s="125"/>
      <c r="L1624" s="129"/>
      <c r="M1624" s="129"/>
      <c r="N1624" s="129"/>
      <c r="O1624" s="128"/>
      <c r="P1624" s="129"/>
      <c r="Q1624" s="124"/>
      <c r="R1624" s="117"/>
      <c r="S1624" s="117"/>
      <c r="T1624" s="117"/>
      <c r="U1624" s="117"/>
      <c r="V1624" s="117"/>
      <c r="X1624" s="45"/>
      <c r="Y1624" s="128"/>
      <c r="Z1624" s="126"/>
      <c r="AA1624" s="128"/>
      <c r="AB1624" s="129"/>
      <c r="AC1624" s="160"/>
      <c r="AD1624" s="137"/>
      <c r="AE1624" s="110"/>
      <c r="AF1624" s="110"/>
      <c r="AG1624" s="121"/>
      <c r="AH1624" s="110"/>
    </row>
    <row r="1625" spans="1:34" ht="11.25" customHeight="1" x14ac:dyDescent="0.15">
      <c r="A1625" s="110" t="s">
        <v>179</v>
      </c>
      <c r="B1625" s="110"/>
      <c r="C1625" s="111" t="s">
        <v>175</v>
      </c>
      <c r="D1625" s="111">
        <v>2024</v>
      </c>
      <c r="E1625" s="146">
        <v>45504</v>
      </c>
      <c r="F1625" s="111"/>
      <c r="G1625" s="111">
        <v>81100011</v>
      </c>
      <c r="H1625" s="111">
        <v>4101</v>
      </c>
      <c r="I1625" s="111" t="str">
        <f>MID(G1625,2,1)</f>
        <v>1</v>
      </c>
      <c r="J1625" s="111" t="str">
        <f>IF(I1625="1","Small/Medium","Large")</f>
        <v>Small/Medium</v>
      </c>
      <c r="K1625" s="147" t="s">
        <v>145</v>
      </c>
      <c r="L1625" s="120">
        <v>9680</v>
      </c>
      <c r="M1625" s="120">
        <f>L1625*0.3</f>
        <v>2904</v>
      </c>
      <c r="N1625" s="120">
        <f>L1625-M1625</f>
        <v>6776</v>
      </c>
      <c r="O1625" s="119">
        <f>IFERROR(N1625/L1625,"")</f>
        <v>0.7</v>
      </c>
      <c r="P1625" s="117">
        <v>9680</v>
      </c>
      <c r="Q1625" s="111">
        <v>1987</v>
      </c>
      <c r="R1625" s="117">
        <v>33</v>
      </c>
      <c r="S1625" s="117">
        <v>1481.04</v>
      </c>
      <c r="T1625" s="117">
        <v>2021.22</v>
      </c>
      <c r="U1625" s="117">
        <v>1036.5999999999999</v>
      </c>
      <c r="V1625" s="117">
        <v>23.8</v>
      </c>
      <c r="W1625" s="26">
        <f>SUM(S1625:V1625)</f>
        <v>4562.6600000000008</v>
      </c>
      <c r="X1625" s="118">
        <f t="shared" ref="X1625:X1626" si="1551">IFERROR(S1625/R1625,"")</f>
        <v>44.879999999999995</v>
      </c>
      <c r="Y1625" s="119">
        <f t="shared" ref="Y1625:Y1626" si="1552">U1625/P1625</f>
        <v>0.10708677685950413</v>
      </c>
      <c r="Z1625" s="117">
        <f t="shared" ref="Z1625:Z1626" si="1553">P1625-W1625</f>
        <v>5117.3399999999992</v>
      </c>
      <c r="AA1625" s="119">
        <f t="shared" ref="AA1625:AA1626" si="1554">Z1625/P1625</f>
        <v>0.52865082644628092</v>
      </c>
      <c r="AB1625" s="120">
        <f t="shared" ref="AB1625:AB1626" si="1555">M1625-W1625</f>
        <v>-1658.6600000000008</v>
      </c>
      <c r="AC1625" s="119">
        <f t="shared" ref="AC1625:AC1626" si="1556">IFERROR(AA1625-O1625,"")</f>
        <v>-0.17134917355371904</v>
      </c>
      <c r="AD1625" s="110" t="s">
        <v>842</v>
      </c>
      <c r="AE1625" s="110"/>
      <c r="AF1625" s="110"/>
      <c r="AG1625" s="121"/>
      <c r="AH1625" s="110"/>
    </row>
    <row r="1626" spans="1:34" s="216" customFormat="1" ht="11.25" customHeight="1" x14ac:dyDescent="0.15">
      <c r="A1626" s="53" t="s">
        <v>179</v>
      </c>
      <c r="B1626" s="53"/>
      <c r="C1626" s="54" t="s">
        <v>177</v>
      </c>
      <c r="D1626" s="54"/>
      <c r="E1626" s="70"/>
      <c r="F1626" s="54"/>
      <c r="G1626" s="54"/>
      <c r="H1626" s="54"/>
      <c r="I1626" s="54"/>
      <c r="J1626" s="54"/>
      <c r="K1626" s="106"/>
      <c r="L1626" s="24">
        <f>SUM(L1625)</f>
        <v>9680</v>
      </c>
      <c r="M1626" s="24">
        <f t="shared" ref="M1626:N1626" si="1557">SUM(M1625)</f>
        <v>2904</v>
      </c>
      <c r="N1626" s="24">
        <f t="shared" si="1557"/>
        <v>6776</v>
      </c>
      <c r="O1626" s="57">
        <f>IFERROR(N1626/L1626,"")</f>
        <v>0.7</v>
      </c>
      <c r="P1626" s="24">
        <f>SUM(P1625)</f>
        <v>9680</v>
      </c>
      <c r="Q1626" s="24"/>
      <c r="R1626" s="117">
        <f>SUM(R1625)</f>
        <v>33</v>
      </c>
      <c r="S1626" s="117">
        <f t="shared" ref="S1626:W1626" si="1558">SUM(S1625)</f>
        <v>1481.04</v>
      </c>
      <c r="T1626" s="117">
        <f t="shared" si="1558"/>
        <v>2021.22</v>
      </c>
      <c r="U1626" s="117">
        <f t="shared" si="1558"/>
        <v>1036.5999999999999</v>
      </c>
      <c r="V1626" s="117">
        <f t="shared" si="1558"/>
        <v>23.8</v>
      </c>
      <c r="W1626" s="26">
        <f t="shared" si="1558"/>
        <v>4562.6600000000008</v>
      </c>
      <c r="X1626" s="56">
        <f t="shared" si="1551"/>
        <v>44.879999999999995</v>
      </c>
      <c r="Y1626" s="57">
        <f t="shared" si="1552"/>
        <v>0.10708677685950413</v>
      </c>
      <c r="Z1626" s="28">
        <f t="shared" si="1553"/>
        <v>5117.3399999999992</v>
      </c>
      <c r="AA1626" s="57">
        <f t="shared" si="1554"/>
        <v>0.52865082644628092</v>
      </c>
      <c r="AB1626" s="58">
        <f t="shared" si="1555"/>
        <v>-1658.6600000000008</v>
      </c>
      <c r="AC1626" s="57">
        <f t="shared" si="1556"/>
        <v>-0.17134917355371904</v>
      </c>
      <c r="AD1626" s="53"/>
      <c r="AE1626" s="53"/>
      <c r="AF1626" s="53"/>
      <c r="AG1626" s="61"/>
      <c r="AH1626" s="53"/>
    </row>
    <row r="1627" spans="1:34" ht="11.25" customHeight="1" x14ac:dyDescent="0.15">
      <c r="A1627" s="130"/>
      <c r="B1627" s="130"/>
      <c r="C1627" s="124"/>
      <c r="D1627" s="124"/>
      <c r="E1627" s="273"/>
      <c r="F1627" s="124"/>
      <c r="G1627" s="124"/>
      <c r="H1627" s="124"/>
      <c r="I1627" s="124"/>
      <c r="J1627" s="124"/>
      <c r="K1627" s="125"/>
      <c r="L1627" s="129"/>
      <c r="M1627" s="129"/>
      <c r="N1627" s="129"/>
      <c r="O1627" s="128"/>
      <c r="P1627" s="129"/>
      <c r="Q1627" s="124"/>
      <c r="R1627" s="117"/>
      <c r="S1627" s="117"/>
      <c r="T1627" s="117"/>
      <c r="U1627" s="117"/>
      <c r="V1627" s="117"/>
      <c r="X1627" s="45"/>
      <c r="Y1627" s="128"/>
      <c r="Z1627" s="126"/>
      <c r="AA1627" s="128"/>
      <c r="AB1627" s="129"/>
      <c r="AC1627" s="160"/>
      <c r="AD1627" s="137"/>
      <c r="AE1627" s="110"/>
      <c r="AF1627" s="110"/>
      <c r="AG1627" s="121"/>
      <c r="AH1627" s="110"/>
    </row>
    <row r="1628" spans="1:34" ht="11.25" customHeight="1" x14ac:dyDescent="0.15">
      <c r="A1628" s="110" t="s">
        <v>365</v>
      </c>
      <c r="B1628" s="110"/>
      <c r="C1628" s="111" t="s">
        <v>175</v>
      </c>
      <c r="D1628" s="111">
        <v>2024</v>
      </c>
      <c r="E1628" s="146">
        <v>45504</v>
      </c>
      <c r="F1628" s="111"/>
      <c r="G1628" s="111">
        <v>81100011</v>
      </c>
      <c r="H1628" s="111">
        <v>4101</v>
      </c>
      <c r="I1628" s="111" t="str">
        <f>MID(G1628,2,1)</f>
        <v>1</v>
      </c>
      <c r="J1628" s="111" t="str">
        <f>IF(I1628="1","Small/Medium","Large")</f>
        <v>Small/Medium</v>
      </c>
      <c r="K1628" s="147" t="s">
        <v>145</v>
      </c>
      <c r="L1628" s="120">
        <v>9116</v>
      </c>
      <c r="M1628" s="120">
        <f>L1628*0.3</f>
        <v>2734.7999999999997</v>
      </c>
      <c r="N1628" s="120">
        <f>L1628-M1628</f>
        <v>6381.2000000000007</v>
      </c>
      <c r="O1628" s="119">
        <f>IFERROR(N1628/L1628,"")</f>
        <v>0.70000000000000007</v>
      </c>
      <c r="P1628" s="120">
        <v>9116</v>
      </c>
      <c r="Q1628" s="111">
        <v>2987</v>
      </c>
      <c r="R1628" s="117">
        <v>9</v>
      </c>
      <c r="S1628" s="117">
        <v>403.92</v>
      </c>
      <c r="T1628" s="117">
        <v>438.79</v>
      </c>
      <c r="U1628" s="117">
        <v>205.19</v>
      </c>
      <c r="V1628" s="117"/>
      <c r="W1628" s="26">
        <f>SUM(S1628:V1628)</f>
        <v>1047.9000000000001</v>
      </c>
      <c r="X1628" s="118">
        <f t="shared" ref="X1628" si="1559">IFERROR(S1628/R1628,"")</f>
        <v>44.88</v>
      </c>
      <c r="Y1628" s="119">
        <f t="shared" ref="Y1628" si="1560">U1628/P1628</f>
        <v>2.2508775778850371E-2</v>
      </c>
      <c r="Z1628" s="117">
        <f t="shared" ref="Z1628" si="1561">P1628-W1628</f>
        <v>8068.1</v>
      </c>
      <c r="AA1628" s="119">
        <f t="shared" ref="AA1628" si="1562">Z1628/P1628</f>
        <v>0.8850482667836771</v>
      </c>
      <c r="AB1628" s="120">
        <f t="shared" ref="AB1628" si="1563">M1628-W1628</f>
        <v>1686.8999999999996</v>
      </c>
      <c r="AC1628" s="119">
        <f t="shared" ref="AC1628" si="1564">IFERROR(AA1628-O1628,"")</f>
        <v>0.18504826678367703</v>
      </c>
      <c r="AD1628" s="110"/>
      <c r="AE1628" s="110"/>
      <c r="AF1628" s="110"/>
      <c r="AG1628" s="121"/>
      <c r="AH1628" s="110"/>
    </row>
    <row r="1629" spans="1:34" ht="11.25" customHeight="1" x14ac:dyDescent="0.15">
      <c r="A1629" s="110" t="s">
        <v>365</v>
      </c>
      <c r="B1629" s="110"/>
      <c r="C1629" s="111" t="s">
        <v>175</v>
      </c>
      <c r="D1629" s="111">
        <v>2024</v>
      </c>
      <c r="E1629" s="146">
        <v>45504</v>
      </c>
      <c r="F1629" s="111"/>
      <c r="G1629" s="111">
        <v>81100011</v>
      </c>
      <c r="H1629" s="111">
        <v>4101</v>
      </c>
      <c r="I1629" s="111" t="str">
        <f>MID(G1629,2,1)</f>
        <v>1</v>
      </c>
      <c r="J1629" s="111" t="str">
        <f>IF(I1629="1","Small/Medium","Large")</f>
        <v>Small/Medium</v>
      </c>
      <c r="K1629" s="147" t="s">
        <v>145</v>
      </c>
      <c r="L1629" s="120">
        <v>9116</v>
      </c>
      <c r="M1629" s="120">
        <f t="shared" ref="M1629:M1630" si="1565">L1629*0.3</f>
        <v>2734.7999999999997</v>
      </c>
      <c r="N1629" s="120">
        <f>L1629-M1629</f>
        <v>6381.2000000000007</v>
      </c>
      <c r="O1629" s="119">
        <f>IFERROR(N1629/L1629,"")</f>
        <v>0.70000000000000007</v>
      </c>
      <c r="P1629" s="120">
        <v>9116</v>
      </c>
      <c r="Q1629" s="111">
        <v>2988</v>
      </c>
      <c r="R1629" s="117">
        <v>9</v>
      </c>
      <c r="S1629" s="117">
        <v>403.92</v>
      </c>
      <c r="T1629" s="117">
        <v>438.79</v>
      </c>
      <c r="U1629" s="117">
        <v>357.07</v>
      </c>
      <c r="V1629" s="117"/>
      <c r="W1629" s="26">
        <f>SUM(S1629:V1629)</f>
        <v>1199.78</v>
      </c>
      <c r="X1629" s="118">
        <f t="shared" ref="X1629:X1631" si="1566">IFERROR(S1629/R1629,"")</f>
        <v>44.88</v>
      </c>
      <c r="Y1629" s="119">
        <f t="shared" ref="Y1629:Y1631" si="1567">U1629/P1629</f>
        <v>3.9169591926283456E-2</v>
      </c>
      <c r="Z1629" s="117">
        <f t="shared" ref="Z1629:Z1631" si="1568">P1629-W1629</f>
        <v>7916.22</v>
      </c>
      <c r="AA1629" s="119">
        <f t="shared" ref="AA1629:AA1631" si="1569">Z1629/P1629</f>
        <v>0.86838745063624401</v>
      </c>
      <c r="AB1629" s="120">
        <f t="shared" ref="AB1629:AB1631" si="1570">M1629-W1629</f>
        <v>1535.0199999999998</v>
      </c>
      <c r="AC1629" s="119">
        <f t="shared" ref="AC1629:AC1631" si="1571">IFERROR(AA1629-O1629,"")</f>
        <v>0.16838745063624394</v>
      </c>
      <c r="AD1629" s="110"/>
      <c r="AE1629" s="110"/>
      <c r="AF1629" s="110"/>
      <c r="AG1629" s="121"/>
      <c r="AH1629" s="110"/>
    </row>
    <row r="1630" spans="1:34" ht="11.25" customHeight="1" x14ac:dyDescent="0.15">
      <c r="A1630" s="110" t="s">
        <v>365</v>
      </c>
      <c r="B1630" s="110"/>
      <c r="C1630" s="111" t="s">
        <v>175</v>
      </c>
      <c r="D1630" s="111">
        <v>2024</v>
      </c>
      <c r="E1630" s="146">
        <v>45504</v>
      </c>
      <c r="F1630" s="111"/>
      <c r="G1630" s="111">
        <v>82100011</v>
      </c>
      <c r="H1630" s="111">
        <v>4101</v>
      </c>
      <c r="I1630" s="111" t="str">
        <f>MID(G1630,2,1)</f>
        <v>2</v>
      </c>
      <c r="J1630" s="111" t="str">
        <f>IF(I1630="1","Small/Medium","Large")</f>
        <v>Large</v>
      </c>
      <c r="K1630" s="147" t="s">
        <v>145</v>
      </c>
      <c r="L1630" s="120">
        <v>12763</v>
      </c>
      <c r="M1630" s="120">
        <f t="shared" si="1565"/>
        <v>3828.8999999999996</v>
      </c>
      <c r="N1630" s="120">
        <f>L1630-M1630</f>
        <v>8934.1</v>
      </c>
      <c r="O1630" s="119">
        <f>IFERROR(N1630/L1630,"")</f>
        <v>0.70000000000000007</v>
      </c>
      <c r="P1630" s="120">
        <v>12763</v>
      </c>
      <c r="Q1630" s="111">
        <v>2989</v>
      </c>
      <c r="R1630" s="117">
        <v>16</v>
      </c>
      <c r="S1630" s="117">
        <v>718.08</v>
      </c>
      <c r="T1630" s="117">
        <v>718.02</v>
      </c>
      <c r="U1630" s="117">
        <v>349.6</v>
      </c>
      <c r="V1630" s="117"/>
      <c r="W1630" s="26">
        <f>SUM(S1630:V1630)</f>
        <v>1785.6999999999998</v>
      </c>
      <c r="X1630" s="118">
        <f t="shared" si="1566"/>
        <v>44.88</v>
      </c>
      <c r="Y1630" s="119">
        <f t="shared" si="1567"/>
        <v>2.7391679072318421E-2</v>
      </c>
      <c r="Z1630" s="117">
        <f t="shared" si="1568"/>
        <v>10977.3</v>
      </c>
      <c r="AA1630" s="119">
        <f t="shared" si="1569"/>
        <v>0.86008775366293189</v>
      </c>
      <c r="AB1630" s="120">
        <f t="shared" si="1570"/>
        <v>2043.1999999999998</v>
      </c>
      <c r="AC1630" s="119">
        <f t="shared" si="1571"/>
        <v>0.16008775366293182</v>
      </c>
      <c r="AD1630" s="110"/>
      <c r="AE1630" s="110"/>
      <c r="AF1630" s="110"/>
      <c r="AG1630" s="121"/>
      <c r="AH1630" s="110"/>
    </row>
    <row r="1631" spans="1:34" s="216" customFormat="1" ht="11.25" customHeight="1" x14ac:dyDescent="0.15">
      <c r="A1631" s="53" t="s">
        <v>365</v>
      </c>
      <c r="B1631" s="53"/>
      <c r="C1631" s="54" t="s">
        <v>177</v>
      </c>
      <c r="D1631" s="54"/>
      <c r="E1631" s="70"/>
      <c r="F1631" s="54"/>
      <c r="G1631" s="54"/>
      <c r="H1631" s="54"/>
      <c r="I1631" s="54"/>
      <c r="J1631" s="54"/>
      <c r="K1631" s="106"/>
      <c r="L1631" s="24">
        <f>SUM(L1628:L1630)</f>
        <v>30995</v>
      </c>
      <c r="M1631" s="24">
        <f t="shared" ref="M1631:N1631" si="1572">SUM(M1628:M1630)</f>
        <v>9298.5</v>
      </c>
      <c r="N1631" s="24">
        <f t="shared" si="1572"/>
        <v>21696.5</v>
      </c>
      <c r="O1631" s="57">
        <f>IFERROR(N1631/L1631,"")</f>
        <v>0.7</v>
      </c>
      <c r="P1631" s="24">
        <f>SUM(P1628:P1630)</f>
        <v>30995</v>
      </c>
      <c r="Q1631" s="24"/>
      <c r="R1631" s="117">
        <f>SUM(R1628:R1630)</f>
        <v>34</v>
      </c>
      <c r="S1631" s="117">
        <f t="shared" ref="S1631:W1631" si="1573">SUM(S1628:S1630)</f>
        <v>1525.92</v>
      </c>
      <c r="T1631" s="117">
        <f t="shared" si="1573"/>
        <v>1595.6</v>
      </c>
      <c r="U1631" s="117">
        <f t="shared" si="1573"/>
        <v>911.86</v>
      </c>
      <c r="V1631" s="117">
        <f t="shared" si="1573"/>
        <v>0</v>
      </c>
      <c r="W1631" s="26">
        <f t="shared" si="1573"/>
        <v>4033.38</v>
      </c>
      <c r="X1631" s="56">
        <f t="shared" si="1566"/>
        <v>44.88</v>
      </c>
      <c r="Y1631" s="57">
        <f t="shared" si="1567"/>
        <v>2.9419583803839331E-2</v>
      </c>
      <c r="Z1631" s="28">
        <f t="shared" si="1568"/>
        <v>26961.62</v>
      </c>
      <c r="AA1631" s="57">
        <f t="shared" si="1569"/>
        <v>0.86986997902887564</v>
      </c>
      <c r="AB1631" s="58">
        <f t="shared" si="1570"/>
        <v>5265.12</v>
      </c>
      <c r="AC1631" s="57">
        <f t="shared" si="1571"/>
        <v>0.16986997902887568</v>
      </c>
      <c r="AD1631" s="53"/>
      <c r="AE1631" s="53"/>
      <c r="AF1631" s="53"/>
      <c r="AG1631" s="61"/>
      <c r="AH1631" s="53"/>
    </row>
    <row r="1632" spans="1:34" ht="11.25" customHeight="1" x14ac:dyDescent="0.15">
      <c r="A1632" s="130"/>
      <c r="B1632" s="130"/>
      <c r="C1632" s="124"/>
      <c r="D1632" s="124"/>
      <c r="E1632" s="273"/>
      <c r="F1632" s="124"/>
      <c r="G1632" s="124"/>
      <c r="H1632" s="124"/>
      <c r="I1632" s="124"/>
      <c r="J1632" s="124"/>
      <c r="K1632" s="125"/>
      <c r="L1632" s="129"/>
      <c r="M1632" s="129"/>
      <c r="N1632" s="129"/>
      <c r="O1632" s="128"/>
      <c r="P1632" s="129"/>
      <c r="Q1632" s="124"/>
      <c r="R1632" s="117"/>
      <c r="S1632" s="117"/>
      <c r="T1632" s="117"/>
      <c r="U1632" s="117"/>
      <c r="V1632" s="117"/>
      <c r="X1632" s="45"/>
      <c r="Y1632" s="128"/>
      <c r="Z1632" s="126"/>
      <c r="AA1632" s="128"/>
      <c r="AB1632" s="129"/>
      <c r="AC1632" s="160"/>
      <c r="AD1632" s="137"/>
      <c r="AE1632" s="110"/>
      <c r="AF1632" s="110"/>
      <c r="AG1632" s="121"/>
      <c r="AH1632" s="110"/>
    </row>
    <row r="1633" spans="1:34" ht="11.25" customHeight="1" x14ac:dyDescent="0.15">
      <c r="A1633" s="110" t="s">
        <v>264</v>
      </c>
      <c r="B1633" s="110"/>
      <c r="C1633" s="111" t="s">
        <v>180</v>
      </c>
      <c r="D1633" s="111">
        <v>2024</v>
      </c>
      <c r="E1633" s="146">
        <v>45535</v>
      </c>
      <c r="F1633" s="111"/>
      <c r="G1633" s="111">
        <v>92510112</v>
      </c>
      <c r="H1633" s="111"/>
      <c r="I1633" s="111"/>
      <c r="J1633" s="111"/>
      <c r="K1633" s="112" t="s">
        <v>843</v>
      </c>
      <c r="L1633" s="120">
        <v>14822</v>
      </c>
      <c r="M1633" s="120">
        <v>5031.8100000000004</v>
      </c>
      <c r="N1633" s="120">
        <f>L1633-M1633</f>
        <v>9790.1899999999987</v>
      </c>
      <c r="O1633" s="119">
        <f>IFERROR(N1633/L1633,"")</f>
        <v>0.66051747402509775</v>
      </c>
      <c r="P1633" s="120">
        <v>14822</v>
      </c>
      <c r="Q1633" s="111">
        <v>3806</v>
      </c>
      <c r="R1633" s="117">
        <v>0</v>
      </c>
      <c r="S1633" s="117">
        <v>0</v>
      </c>
      <c r="T1633" s="117">
        <v>0</v>
      </c>
      <c r="U1633" s="117">
        <v>4930.75</v>
      </c>
      <c r="V1633" s="117"/>
      <c r="W1633" s="26">
        <f>SUM(S1633:V1633)</f>
        <v>4930.75</v>
      </c>
      <c r="X1633" s="118" t="str">
        <f t="shared" ref="X1633:X1636" si="1574">IFERROR(S1633/R1633,"")</f>
        <v/>
      </c>
      <c r="Y1633" s="119">
        <f t="shared" ref="Y1633:Y1636" si="1575">U1633/P1633</f>
        <v>0.33266428282283095</v>
      </c>
      <c r="Z1633" s="117">
        <f t="shared" ref="Z1633:Z1636" si="1576">P1633-W1633</f>
        <v>9891.25</v>
      </c>
      <c r="AA1633" s="119">
        <f t="shared" ref="AA1633:AA1636" si="1577">Z1633/P1633</f>
        <v>0.66733571717716911</v>
      </c>
      <c r="AB1633" s="120">
        <f t="shared" ref="AB1633:AB1636" si="1578">M1633-W1633</f>
        <v>101.0600000000004</v>
      </c>
      <c r="AC1633" s="119">
        <f t="shared" ref="AC1633:AC1636" si="1579">IFERROR(AA1633-O1633,"")</f>
        <v>6.8182431520713571E-3</v>
      </c>
      <c r="AD1633" s="110"/>
      <c r="AE1633" s="110"/>
      <c r="AF1633" s="110"/>
      <c r="AG1633" s="121"/>
      <c r="AH1633" s="110"/>
    </row>
    <row r="1634" spans="1:34" ht="11.25" customHeight="1" x14ac:dyDescent="0.15">
      <c r="A1634" s="110" t="s">
        <v>264</v>
      </c>
      <c r="B1634" s="110"/>
      <c r="C1634" s="111" t="s">
        <v>279</v>
      </c>
      <c r="D1634" s="111">
        <v>2024</v>
      </c>
      <c r="E1634" s="146">
        <v>45535</v>
      </c>
      <c r="F1634" s="111"/>
      <c r="G1634" s="111">
        <v>52510122</v>
      </c>
      <c r="H1634" s="111"/>
      <c r="I1634" s="111"/>
      <c r="J1634" s="111"/>
      <c r="K1634" s="112" t="s">
        <v>844</v>
      </c>
      <c r="L1634" s="120">
        <v>15973</v>
      </c>
      <c r="M1634" s="120">
        <v>4898.24</v>
      </c>
      <c r="N1634" s="120">
        <f>L1634-M1634</f>
        <v>11074.76</v>
      </c>
      <c r="O1634" s="119">
        <f>IFERROR(N1634/L1634,"")</f>
        <v>0.69334251549489767</v>
      </c>
      <c r="P1634" s="120">
        <v>15973</v>
      </c>
      <c r="Q1634" s="111">
        <v>3807</v>
      </c>
      <c r="R1634" s="117">
        <v>42.5</v>
      </c>
      <c r="S1634" s="117">
        <v>1951.18</v>
      </c>
      <c r="T1634" s="117">
        <v>4144.55</v>
      </c>
      <c r="U1634" s="117">
        <v>2150.65</v>
      </c>
      <c r="V1634" s="117"/>
      <c r="W1634" s="26">
        <f>SUM(S1634:V1634)</f>
        <v>8246.380000000001</v>
      </c>
      <c r="X1634" s="118">
        <f t="shared" si="1574"/>
        <v>45.910117647058826</v>
      </c>
      <c r="Y1634" s="119">
        <f t="shared" si="1575"/>
        <v>0.13464283478369748</v>
      </c>
      <c r="Z1634" s="117">
        <f t="shared" si="1576"/>
        <v>7726.619999999999</v>
      </c>
      <c r="AA1634" s="119">
        <f t="shared" si="1577"/>
        <v>0.48373004445000933</v>
      </c>
      <c r="AB1634" s="120">
        <f t="shared" si="1578"/>
        <v>-3348.1400000000012</v>
      </c>
      <c r="AC1634" s="119">
        <f t="shared" si="1579"/>
        <v>-0.20961247104488834</v>
      </c>
      <c r="AD1634" s="110" t="s">
        <v>845</v>
      </c>
      <c r="AE1634" s="110"/>
      <c r="AF1634" s="110"/>
      <c r="AG1634" s="121"/>
      <c r="AH1634" s="110"/>
    </row>
    <row r="1635" spans="1:34" ht="11.25" customHeight="1" x14ac:dyDescent="0.15">
      <c r="A1635" s="110" t="s">
        <v>264</v>
      </c>
      <c r="B1635" s="110"/>
      <c r="C1635" s="111" t="s">
        <v>55</v>
      </c>
      <c r="D1635" s="111">
        <v>2024</v>
      </c>
      <c r="E1635" s="146">
        <v>45535</v>
      </c>
      <c r="F1635" s="111"/>
      <c r="G1635" s="111" t="s">
        <v>56</v>
      </c>
      <c r="H1635" s="111"/>
      <c r="I1635" s="111"/>
      <c r="J1635" s="111"/>
      <c r="K1635" s="112" t="s">
        <v>71</v>
      </c>
      <c r="L1635" s="120">
        <v>2593</v>
      </c>
      <c r="M1635" s="120">
        <v>1296.23</v>
      </c>
      <c r="N1635" s="120">
        <f>L1635-M1635</f>
        <v>1296.77</v>
      </c>
      <c r="O1635" s="119">
        <f>IFERROR(N1635/L1635,"")</f>
        <v>0.50010412649440805</v>
      </c>
      <c r="P1635" s="120">
        <v>2593</v>
      </c>
      <c r="Q1635" s="111">
        <v>3808</v>
      </c>
      <c r="R1635" s="117">
        <v>5</v>
      </c>
      <c r="S1635" s="117">
        <v>212.5</v>
      </c>
      <c r="T1635" s="117">
        <v>0</v>
      </c>
      <c r="U1635" s="117">
        <v>0</v>
      </c>
      <c r="V1635" s="117">
        <v>1275.4000000000001</v>
      </c>
      <c r="W1635" s="26">
        <f>SUM(S1635:V1635)</f>
        <v>1487.9</v>
      </c>
      <c r="X1635" s="118">
        <f t="shared" si="1574"/>
        <v>42.5</v>
      </c>
      <c r="Y1635" s="119">
        <f t="shared" si="1575"/>
        <v>0</v>
      </c>
      <c r="Z1635" s="117">
        <f t="shared" si="1576"/>
        <v>1105.0999999999999</v>
      </c>
      <c r="AA1635" s="119">
        <f t="shared" si="1577"/>
        <v>0.42618588507520244</v>
      </c>
      <c r="AB1635" s="120">
        <f t="shared" si="1578"/>
        <v>-191.67000000000007</v>
      </c>
      <c r="AC1635" s="119">
        <f t="shared" si="1579"/>
        <v>-7.391824141920561E-2</v>
      </c>
      <c r="AD1635" s="110" t="s">
        <v>846</v>
      </c>
      <c r="AE1635" s="110"/>
      <c r="AF1635" s="110"/>
      <c r="AG1635" s="121"/>
      <c r="AH1635" s="110"/>
    </row>
    <row r="1636" spans="1:34" s="216" customFormat="1" ht="11.25" customHeight="1" x14ac:dyDescent="0.15">
      <c r="A1636" s="53" t="s">
        <v>264</v>
      </c>
      <c r="B1636" s="53"/>
      <c r="C1636" s="54" t="s">
        <v>177</v>
      </c>
      <c r="D1636" s="54"/>
      <c r="E1636" s="70"/>
      <c r="F1636" s="54"/>
      <c r="G1636" s="54"/>
      <c r="H1636" s="54"/>
      <c r="I1636" s="54"/>
      <c r="J1636" s="54"/>
      <c r="K1636" s="106"/>
      <c r="L1636" s="24">
        <f>SUM(L1633:L1635)</f>
        <v>33388</v>
      </c>
      <c r="M1636" s="24">
        <f t="shared" ref="M1636" si="1580">SUM(M1633:M1635)</f>
        <v>11226.279999999999</v>
      </c>
      <c r="N1636" s="24">
        <f t="shared" ref="N1636" si="1581">SUM(N1633:N1635)</f>
        <v>22161.719999999998</v>
      </c>
      <c r="O1636" s="57">
        <f>IFERROR(N1636/L1636,"")</f>
        <v>0.66376302863304171</v>
      </c>
      <c r="P1636" s="24">
        <f>SUM(P1633:P1635)</f>
        <v>33388</v>
      </c>
      <c r="Q1636" s="24"/>
      <c r="R1636" s="117">
        <f>SUM(R1633:R1635)</f>
        <v>47.5</v>
      </c>
      <c r="S1636" s="117">
        <f t="shared" ref="S1636:V1636" si="1582">SUM(S1633:S1635)</f>
        <v>2163.6800000000003</v>
      </c>
      <c r="T1636" s="117">
        <f t="shared" si="1582"/>
        <v>4144.55</v>
      </c>
      <c r="U1636" s="117">
        <f t="shared" si="1582"/>
        <v>7081.4</v>
      </c>
      <c r="V1636" s="117">
        <f t="shared" si="1582"/>
        <v>1275.4000000000001</v>
      </c>
      <c r="W1636" s="26">
        <f t="shared" ref="W1636" si="1583">SUM(W1633:W1635)</f>
        <v>14665.03</v>
      </c>
      <c r="X1636" s="56">
        <f t="shared" si="1574"/>
        <v>45.551157894736846</v>
      </c>
      <c r="Y1636" s="57">
        <f t="shared" si="1575"/>
        <v>0.21209416556846769</v>
      </c>
      <c r="Z1636" s="28">
        <f t="shared" si="1576"/>
        <v>18722.97</v>
      </c>
      <c r="AA1636" s="57">
        <f t="shared" si="1577"/>
        <v>0.56076943812148083</v>
      </c>
      <c r="AB1636" s="58">
        <f t="shared" si="1578"/>
        <v>-3438.7500000000018</v>
      </c>
      <c r="AC1636" s="57">
        <f t="shared" si="1579"/>
        <v>-0.10299359051156087</v>
      </c>
      <c r="AD1636" s="53"/>
      <c r="AE1636" s="53"/>
      <c r="AF1636" s="53"/>
      <c r="AG1636" s="61"/>
      <c r="AH1636" s="53"/>
    </row>
    <row r="1637" spans="1:34" ht="11.25" customHeight="1" x14ac:dyDescent="0.15">
      <c r="A1637" s="130"/>
      <c r="B1637" s="130"/>
      <c r="C1637" s="124"/>
      <c r="D1637" s="124"/>
      <c r="E1637" s="273"/>
      <c r="F1637" s="124"/>
      <c r="G1637" s="124"/>
      <c r="H1637" s="124"/>
      <c r="I1637" s="124"/>
      <c r="J1637" s="124"/>
      <c r="K1637" s="125"/>
      <c r="L1637" s="129"/>
      <c r="M1637" s="129"/>
      <c r="N1637" s="129"/>
      <c r="O1637" s="128"/>
      <c r="P1637" s="129"/>
      <c r="Q1637" s="124"/>
      <c r="R1637" s="117"/>
      <c r="S1637" s="117"/>
      <c r="T1637" s="117"/>
      <c r="U1637" s="117"/>
      <c r="V1637" s="117"/>
      <c r="X1637" s="45"/>
      <c r="Y1637" s="128"/>
      <c r="Z1637" s="126"/>
      <c r="AA1637" s="128"/>
      <c r="AB1637" s="129"/>
      <c r="AC1637" s="160"/>
      <c r="AD1637" s="137"/>
      <c r="AE1637" s="110"/>
      <c r="AF1637" s="110"/>
      <c r="AG1637" s="121"/>
      <c r="AH1637" s="110"/>
    </row>
    <row r="1638" spans="1:34" ht="11.25" customHeight="1" x14ac:dyDescent="0.15">
      <c r="A1638" s="110" t="s">
        <v>294</v>
      </c>
      <c r="B1638" s="110"/>
      <c r="C1638" s="111" t="s">
        <v>175</v>
      </c>
      <c r="D1638" s="111">
        <v>2024</v>
      </c>
      <c r="E1638" s="146">
        <v>45535</v>
      </c>
      <c r="F1638" s="111"/>
      <c r="G1638" s="111">
        <v>81000311</v>
      </c>
      <c r="H1638" s="111">
        <v>4111</v>
      </c>
      <c r="I1638" s="111" t="str">
        <f>MID(G1638,2,1)</f>
        <v>1</v>
      </c>
      <c r="J1638" s="111" t="str">
        <f>IF(I1638="1","Small/Medium","Large")</f>
        <v>Small/Medium</v>
      </c>
      <c r="K1638" s="147" t="s">
        <v>145</v>
      </c>
      <c r="L1638" s="120">
        <f>13952-2093.08</f>
        <v>11858.92</v>
      </c>
      <c r="M1638" s="120">
        <f>L1638*0.3</f>
        <v>3557.6759999999999</v>
      </c>
      <c r="N1638" s="120">
        <f>L1638-M1638</f>
        <v>8301.2440000000006</v>
      </c>
      <c r="O1638" s="119">
        <f>IFERROR(N1638/L1638,"")</f>
        <v>0.70000000000000007</v>
      </c>
      <c r="P1638" s="120">
        <f>13952-2093.08</f>
        <v>11858.92</v>
      </c>
      <c r="Q1638" s="111">
        <v>3812</v>
      </c>
      <c r="R1638" s="117">
        <v>25.5</v>
      </c>
      <c r="S1638" s="117">
        <v>1144.44</v>
      </c>
      <c r="T1638" s="117">
        <v>1485.34</v>
      </c>
      <c r="U1638" s="117">
        <v>210.3</v>
      </c>
      <c r="V1638" s="117"/>
      <c r="W1638" s="26">
        <f>SUM(S1638:V1638)</f>
        <v>2840.08</v>
      </c>
      <c r="X1638" s="118">
        <f t="shared" ref="X1638:X1640" si="1584">IFERROR(S1638/R1638,"")</f>
        <v>44.88</v>
      </c>
      <c r="Y1638" s="119">
        <f t="shared" ref="Y1638:Y1640" si="1585">U1638/P1638</f>
        <v>1.7733486691874134E-2</v>
      </c>
      <c r="Z1638" s="117">
        <f t="shared" ref="Z1638:Z1640" si="1586">P1638-W1638</f>
        <v>9018.84</v>
      </c>
      <c r="AA1638" s="119">
        <f t="shared" ref="AA1638:AA1640" si="1587">Z1638/P1638</f>
        <v>0.76051107520752315</v>
      </c>
      <c r="AB1638" s="120">
        <f t="shared" ref="AB1638:AB1640" si="1588">M1638-W1638</f>
        <v>717.596</v>
      </c>
      <c r="AC1638" s="119">
        <f t="shared" ref="AC1638:AC1640" si="1589">IFERROR(AA1638-O1638,"")</f>
        <v>6.051107520752308E-2</v>
      </c>
      <c r="AD1638" s="110"/>
      <c r="AE1638" s="110"/>
      <c r="AF1638" s="110"/>
      <c r="AG1638" s="121"/>
      <c r="AH1638" s="110"/>
    </row>
    <row r="1639" spans="1:34" ht="11.25" customHeight="1" x14ac:dyDescent="0.15">
      <c r="A1639" s="110" t="s">
        <v>294</v>
      </c>
      <c r="B1639" s="110"/>
      <c r="C1639" s="111" t="s">
        <v>175</v>
      </c>
      <c r="D1639" s="111">
        <v>2024</v>
      </c>
      <c r="E1639" s="146">
        <v>45535</v>
      </c>
      <c r="F1639" s="111"/>
      <c r="G1639" s="111">
        <v>82000311</v>
      </c>
      <c r="H1639" s="111">
        <v>4111</v>
      </c>
      <c r="I1639" s="111" t="str">
        <f>MID(G1639,2,1)</f>
        <v>2</v>
      </c>
      <c r="J1639" s="111" t="str">
        <f>IF(I1639="1","Small/Medium","Large")</f>
        <v>Large</v>
      </c>
      <c r="K1639" s="147" t="s">
        <v>176</v>
      </c>
      <c r="L1639" s="120">
        <f>18777-2816.92</f>
        <v>15960.08</v>
      </c>
      <c r="M1639" s="120">
        <f>L1639*0.3</f>
        <v>4788.0239999999994</v>
      </c>
      <c r="N1639" s="120">
        <f>L1639-M1639</f>
        <v>11172.056</v>
      </c>
      <c r="O1639" s="119">
        <f>IFERROR(N1639/L1639,"")</f>
        <v>0.70000000000000007</v>
      </c>
      <c r="P1639" s="120">
        <f>18777-2816.92</f>
        <v>15960.08</v>
      </c>
      <c r="Q1639" s="111">
        <v>3813</v>
      </c>
      <c r="R1639" s="117">
        <v>21.5</v>
      </c>
      <c r="S1639" s="117">
        <v>964.92</v>
      </c>
      <c r="T1639" s="117">
        <v>1485.34</v>
      </c>
      <c r="U1639" s="117">
        <v>210.3</v>
      </c>
      <c r="V1639" s="117"/>
      <c r="W1639" s="26">
        <f>SUM(S1639:V1639)</f>
        <v>2660.56</v>
      </c>
      <c r="X1639" s="118">
        <f t="shared" si="1584"/>
        <v>44.879999999999995</v>
      </c>
      <c r="Y1639" s="119">
        <f t="shared" si="1585"/>
        <v>1.3176625681074281E-2</v>
      </c>
      <c r="Z1639" s="117">
        <f t="shared" si="1586"/>
        <v>13299.52</v>
      </c>
      <c r="AA1639" s="119">
        <f t="shared" si="1587"/>
        <v>0.83329908120761298</v>
      </c>
      <c r="AB1639" s="120">
        <f t="shared" si="1588"/>
        <v>2127.4639999999995</v>
      </c>
      <c r="AC1639" s="119">
        <f t="shared" si="1589"/>
        <v>0.13329908120761291</v>
      </c>
      <c r="AD1639" s="110"/>
      <c r="AE1639" s="110"/>
      <c r="AF1639" s="110"/>
      <c r="AG1639" s="121"/>
      <c r="AH1639" s="110"/>
    </row>
    <row r="1640" spans="1:34" s="216" customFormat="1" ht="11.25" customHeight="1" x14ac:dyDescent="0.15">
      <c r="A1640" s="53" t="s">
        <v>294</v>
      </c>
      <c r="B1640" s="53"/>
      <c r="C1640" s="54" t="s">
        <v>177</v>
      </c>
      <c r="D1640" s="54"/>
      <c r="E1640" s="70"/>
      <c r="F1640" s="54"/>
      <c r="G1640" s="54"/>
      <c r="H1640" s="54"/>
      <c r="I1640" s="54"/>
      <c r="J1640" s="54"/>
      <c r="K1640" s="106"/>
      <c r="L1640" s="24">
        <f>SUM(L1638:L1639)</f>
        <v>27819</v>
      </c>
      <c r="M1640" s="24">
        <f t="shared" ref="M1640:N1640" si="1590">SUM(M1638:M1639)</f>
        <v>8345.6999999999989</v>
      </c>
      <c r="N1640" s="24">
        <f t="shared" si="1590"/>
        <v>19473.300000000003</v>
      </c>
      <c r="O1640" s="57">
        <f>IFERROR(N1640/L1640,"")</f>
        <v>0.70000000000000007</v>
      </c>
      <c r="P1640" s="24">
        <f>SUM(P1638:P1639)</f>
        <v>27819</v>
      </c>
      <c r="Q1640" s="24"/>
      <c r="R1640" s="117">
        <f>SUM(R1638:R1639)</f>
        <v>47</v>
      </c>
      <c r="S1640" s="117">
        <f t="shared" ref="S1640:V1640" si="1591">SUM(S1638:S1639)</f>
        <v>2109.36</v>
      </c>
      <c r="T1640" s="117">
        <f t="shared" si="1591"/>
        <v>2970.68</v>
      </c>
      <c r="U1640" s="117">
        <f t="shared" si="1591"/>
        <v>420.6</v>
      </c>
      <c r="V1640" s="117">
        <f t="shared" si="1591"/>
        <v>0</v>
      </c>
      <c r="W1640" s="26">
        <f t="shared" ref="W1640" si="1592">SUM(W1638:W1639)</f>
        <v>5500.6399999999994</v>
      </c>
      <c r="X1640" s="56">
        <f t="shared" si="1584"/>
        <v>44.88</v>
      </c>
      <c r="Y1640" s="57">
        <f t="shared" si="1585"/>
        <v>1.511916316186779E-2</v>
      </c>
      <c r="Z1640" s="28">
        <f t="shared" si="1586"/>
        <v>22318.36</v>
      </c>
      <c r="AA1640" s="57">
        <f t="shared" si="1587"/>
        <v>0.80227039074014161</v>
      </c>
      <c r="AB1640" s="58">
        <f t="shared" si="1588"/>
        <v>2845.0599999999995</v>
      </c>
      <c r="AC1640" s="57">
        <f t="shared" si="1589"/>
        <v>0.10227039074014155</v>
      </c>
      <c r="AD1640" s="53"/>
      <c r="AE1640" s="53"/>
      <c r="AF1640" s="53"/>
      <c r="AG1640" s="61"/>
      <c r="AH1640" s="53"/>
    </row>
    <row r="1641" spans="1:34" ht="11.25" customHeight="1" x14ac:dyDescent="0.15">
      <c r="A1641" s="130"/>
      <c r="B1641" s="130"/>
      <c r="C1641" s="124"/>
      <c r="D1641" s="124"/>
      <c r="E1641" s="273"/>
      <c r="F1641" s="124"/>
      <c r="G1641" s="124"/>
      <c r="H1641" s="124"/>
      <c r="I1641" s="124"/>
      <c r="J1641" s="124"/>
      <c r="K1641" s="125"/>
      <c r="L1641" s="129"/>
      <c r="M1641" s="129"/>
      <c r="N1641" s="129"/>
      <c r="O1641" s="128"/>
      <c r="P1641" s="129"/>
      <c r="Q1641" s="124"/>
      <c r="R1641" s="117"/>
      <c r="S1641" s="117"/>
      <c r="T1641" s="117"/>
      <c r="U1641" s="117"/>
      <c r="V1641" s="117"/>
      <c r="X1641" s="45"/>
      <c r="Y1641" s="128"/>
      <c r="Z1641" s="126"/>
      <c r="AA1641" s="128"/>
      <c r="AB1641" s="129"/>
      <c r="AC1641" s="160"/>
      <c r="AD1641" s="137"/>
      <c r="AE1641" s="110"/>
      <c r="AF1641" s="110"/>
      <c r="AG1641" s="121"/>
      <c r="AH1641" s="110"/>
    </row>
    <row r="1642" spans="1:34" ht="11.25" customHeight="1" x14ac:dyDescent="0.15">
      <c r="A1642" s="110" t="s">
        <v>231</v>
      </c>
      <c r="B1642" s="110"/>
      <c r="C1642" s="111" t="s">
        <v>175</v>
      </c>
      <c r="D1642" s="111">
        <v>2024</v>
      </c>
      <c r="E1642" s="146">
        <v>45535</v>
      </c>
      <c r="F1642" s="111"/>
      <c r="G1642" s="111">
        <v>81100011</v>
      </c>
      <c r="H1642" s="111">
        <v>4101</v>
      </c>
      <c r="I1642" s="111" t="str">
        <f>MID(G1642,2,1)</f>
        <v>1</v>
      </c>
      <c r="J1642" s="111" t="str">
        <f>IF(I1642="1","Small/Medium","Large")</f>
        <v>Small/Medium</v>
      </c>
      <c r="K1642" s="147" t="s">
        <v>145</v>
      </c>
      <c r="L1642" s="120">
        <v>12217.171249958434</v>
      </c>
      <c r="M1642" s="120">
        <f>L1642*0.3</f>
        <v>3665.1513749875298</v>
      </c>
      <c r="N1642" s="120">
        <f>L1642-M1642</f>
        <v>8552.0198749709034</v>
      </c>
      <c r="O1642" s="119">
        <f>IFERROR(N1642/L1642,"")</f>
        <v>0.7</v>
      </c>
      <c r="P1642" s="120">
        <v>12217.171249958434</v>
      </c>
      <c r="Q1642" s="111">
        <v>3845</v>
      </c>
      <c r="R1642" s="117">
        <v>45.5</v>
      </c>
      <c r="S1642" s="117">
        <v>2042.04</v>
      </c>
      <c r="T1642" s="117">
        <v>1331.95</v>
      </c>
      <c r="U1642" s="117">
        <v>2560.46</v>
      </c>
      <c r="V1642" s="117">
        <v>32.369999999999997</v>
      </c>
      <c r="W1642" s="26">
        <f>SUM(S1642:V1642)</f>
        <v>5966.82</v>
      </c>
      <c r="X1642" s="118">
        <f t="shared" ref="X1642:X1645" si="1593">IFERROR(S1642/R1642,"")</f>
        <v>44.88</v>
      </c>
      <c r="Y1642" s="119">
        <f t="shared" ref="Y1642:Y1645" si="1594">U1642/P1642</f>
        <v>0.20957879263652882</v>
      </c>
      <c r="Z1642" s="117">
        <f t="shared" ref="Z1642:Z1645" si="1595">P1642-W1642</f>
        <v>6250.351249958434</v>
      </c>
      <c r="AA1642" s="119">
        <f t="shared" ref="AA1642:AA1645" si="1596">Z1642/P1642</f>
        <v>0.51160380108281611</v>
      </c>
      <c r="AB1642" s="120">
        <f t="shared" ref="AB1642:AB1645" si="1597">M1642-W1642</f>
        <v>-2301.6686250124699</v>
      </c>
      <c r="AC1642" s="119">
        <f t="shared" ref="AC1642:AC1645" si="1598">IFERROR(AA1642-O1642,"")</f>
        <v>-0.18839619891718384</v>
      </c>
      <c r="AD1642" s="110" t="s">
        <v>847</v>
      </c>
      <c r="AE1642" s="110"/>
      <c r="AF1642" s="110"/>
      <c r="AG1642" s="121"/>
      <c r="AH1642" s="110"/>
    </row>
    <row r="1643" spans="1:34" ht="11.25" customHeight="1" x14ac:dyDescent="0.15">
      <c r="A1643" s="110" t="s">
        <v>231</v>
      </c>
      <c r="B1643" s="110"/>
      <c r="C1643" s="111" t="s">
        <v>175</v>
      </c>
      <c r="D1643" s="111">
        <v>2024</v>
      </c>
      <c r="E1643" s="146">
        <v>45535</v>
      </c>
      <c r="F1643" s="111"/>
      <c r="G1643" s="111">
        <v>80100011</v>
      </c>
      <c r="H1643" s="111">
        <v>4101</v>
      </c>
      <c r="I1643" s="111" t="str">
        <f>MID(G1643,2,1)</f>
        <v>0</v>
      </c>
      <c r="J1643" s="111" t="s">
        <v>502</v>
      </c>
      <c r="K1643" s="147" t="s">
        <v>503</v>
      </c>
      <c r="L1643" s="120">
        <v>18325.756874937651</v>
      </c>
      <c r="M1643" s="120">
        <f t="shared" ref="M1643:M1644" si="1599">L1643*0.3</f>
        <v>5497.7270624812954</v>
      </c>
      <c r="N1643" s="120">
        <f>L1643-M1643</f>
        <v>12828.029812456356</v>
      </c>
      <c r="O1643" s="119">
        <f>IFERROR(N1643/L1643,"")</f>
        <v>0.7</v>
      </c>
      <c r="P1643" s="120">
        <v>18325.756874937651</v>
      </c>
      <c r="Q1643" s="111">
        <v>3846</v>
      </c>
      <c r="R1643" s="117">
        <v>34.5</v>
      </c>
      <c r="S1643" s="117">
        <v>1548.36</v>
      </c>
      <c r="T1643" s="117">
        <v>4077.22</v>
      </c>
      <c r="U1643" s="117"/>
      <c r="V1643" s="117"/>
      <c r="W1643" s="26">
        <f>SUM(S1643:V1643)</f>
        <v>5625.58</v>
      </c>
      <c r="X1643" s="118">
        <f t="shared" si="1593"/>
        <v>44.879999999999995</v>
      </c>
      <c r="Y1643" s="119">
        <f t="shared" si="1594"/>
        <v>0</v>
      </c>
      <c r="Z1643" s="117">
        <f t="shared" si="1595"/>
        <v>12700.176874937652</v>
      </c>
      <c r="AA1643" s="119">
        <f t="shared" si="1596"/>
        <v>0.69302332021584567</v>
      </c>
      <c r="AB1643" s="120">
        <f t="shared" si="1597"/>
        <v>-127.85293751870449</v>
      </c>
      <c r="AC1643" s="119">
        <f t="shared" si="1598"/>
        <v>-6.9766797841542827E-3</v>
      </c>
      <c r="AD1643" s="110"/>
      <c r="AE1643" s="110"/>
      <c r="AF1643" s="110"/>
      <c r="AG1643" s="121"/>
      <c r="AH1643" s="110"/>
    </row>
    <row r="1644" spans="1:34" ht="11.25" customHeight="1" x14ac:dyDescent="0.15">
      <c r="A1644" s="110" t="s">
        <v>231</v>
      </c>
      <c r="B1644" s="110"/>
      <c r="C1644" s="111" t="s">
        <v>175</v>
      </c>
      <c r="D1644" s="111">
        <v>2024</v>
      </c>
      <c r="E1644" s="146">
        <v>45535</v>
      </c>
      <c r="F1644" s="111"/>
      <c r="G1644" s="111">
        <v>82100011</v>
      </c>
      <c r="H1644" s="111">
        <v>4101</v>
      </c>
      <c r="I1644" s="111" t="str">
        <f>MID(G1644,2,1)</f>
        <v>2</v>
      </c>
      <c r="J1644" s="111" t="str">
        <f>IF(I1644="1","Small/Medium","Large")</f>
        <v>Large</v>
      </c>
      <c r="K1644" s="147" t="s">
        <v>176</v>
      </c>
      <c r="L1644" s="120">
        <v>8552.071875103913</v>
      </c>
      <c r="M1644" s="120">
        <f t="shared" si="1599"/>
        <v>2565.6215625311738</v>
      </c>
      <c r="N1644" s="120">
        <f>L1644-M1644</f>
        <v>5986.4503125727388</v>
      </c>
      <c r="O1644" s="119">
        <f>IFERROR(N1644/L1644,"")</f>
        <v>0.7</v>
      </c>
      <c r="P1644" s="120">
        <v>8552.071875103913</v>
      </c>
      <c r="Q1644" s="111">
        <v>3847</v>
      </c>
      <c r="R1644" s="117">
        <v>35.5</v>
      </c>
      <c r="S1644" s="117">
        <v>1593.24</v>
      </c>
      <c r="T1644" s="117">
        <v>1089.78</v>
      </c>
      <c r="U1644" s="117">
        <v>636.44000000000005</v>
      </c>
      <c r="V1644" s="117"/>
      <c r="W1644" s="26">
        <f>SUM(S1644:V1644)</f>
        <v>3319.46</v>
      </c>
      <c r="X1644" s="118">
        <f t="shared" si="1593"/>
        <v>44.88</v>
      </c>
      <c r="Y1644" s="119">
        <f t="shared" si="1594"/>
        <v>7.4419393252850422E-2</v>
      </c>
      <c r="Z1644" s="117">
        <f t="shared" si="1595"/>
        <v>5232.611875103913</v>
      </c>
      <c r="AA1644" s="119">
        <f t="shared" si="1596"/>
        <v>0.61185312185420959</v>
      </c>
      <c r="AB1644" s="120">
        <f t="shared" si="1597"/>
        <v>-753.83843746882621</v>
      </c>
      <c r="AC1644" s="119">
        <f t="shared" si="1598"/>
        <v>-8.8146878145790364E-2</v>
      </c>
      <c r="AD1644" s="110" t="s">
        <v>848</v>
      </c>
      <c r="AE1644" s="110"/>
      <c r="AF1644" s="110"/>
      <c r="AG1644" s="121"/>
      <c r="AH1644" s="110"/>
    </row>
    <row r="1645" spans="1:34" s="216" customFormat="1" ht="11.25" customHeight="1" x14ac:dyDescent="0.15">
      <c r="A1645" s="53" t="s">
        <v>231</v>
      </c>
      <c r="B1645" s="53"/>
      <c r="C1645" s="54" t="s">
        <v>177</v>
      </c>
      <c r="D1645" s="54"/>
      <c r="E1645" s="70"/>
      <c r="F1645" s="54"/>
      <c r="G1645" s="54"/>
      <c r="H1645" s="54"/>
      <c r="I1645" s="54"/>
      <c r="J1645" s="54"/>
      <c r="K1645" s="106"/>
      <c r="L1645" s="24">
        <f>SUM(L1642:L1644)</f>
        <v>39095</v>
      </c>
      <c r="M1645" s="24">
        <f t="shared" ref="M1645:N1645" si="1600">SUM(M1642:M1644)</f>
        <v>11728.5</v>
      </c>
      <c r="N1645" s="24">
        <f t="shared" si="1600"/>
        <v>27366.499999999996</v>
      </c>
      <c r="O1645" s="57">
        <f>IFERROR(N1645/L1645,"")</f>
        <v>0.7</v>
      </c>
      <c r="P1645" s="24">
        <f>SUM(P1642:P1644)</f>
        <v>39095</v>
      </c>
      <c r="Q1645" s="24"/>
      <c r="R1645" s="117">
        <f>SUM(R1642:R1644)</f>
        <v>115.5</v>
      </c>
      <c r="S1645" s="117">
        <f t="shared" ref="S1645:V1645" si="1601">SUM(S1642:S1644)</f>
        <v>5183.6399999999994</v>
      </c>
      <c r="T1645" s="117">
        <f t="shared" si="1601"/>
        <v>6498.95</v>
      </c>
      <c r="U1645" s="117">
        <f t="shared" si="1601"/>
        <v>3196.9</v>
      </c>
      <c r="V1645" s="117">
        <f t="shared" si="1601"/>
        <v>32.369999999999997</v>
      </c>
      <c r="W1645" s="26">
        <f t="shared" ref="W1645" si="1602">SUM(W1642:W1644)</f>
        <v>14911.86</v>
      </c>
      <c r="X1645" s="56">
        <f t="shared" si="1593"/>
        <v>44.879999999999995</v>
      </c>
      <c r="Y1645" s="57">
        <f t="shared" si="1594"/>
        <v>8.1772605192479864E-2</v>
      </c>
      <c r="Z1645" s="28">
        <f t="shared" si="1595"/>
        <v>24183.14</v>
      </c>
      <c r="AA1645" s="57">
        <f t="shared" si="1596"/>
        <v>0.61857373065609411</v>
      </c>
      <c r="AB1645" s="58">
        <f t="shared" si="1597"/>
        <v>-3183.3600000000006</v>
      </c>
      <c r="AC1645" s="57">
        <f t="shared" si="1598"/>
        <v>-8.1426269343905844E-2</v>
      </c>
      <c r="AD1645" s="53"/>
      <c r="AE1645" s="53"/>
      <c r="AF1645" s="53"/>
      <c r="AG1645" s="61"/>
      <c r="AH1645" s="53"/>
    </row>
    <row r="1646" spans="1:34" ht="11.25" customHeight="1" x14ac:dyDescent="0.15">
      <c r="A1646" s="130"/>
      <c r="B1646" s="130"/>
      <c r="C1646" s="124"/>
      <c r="D1646" s="124"/>
      <c r="E1646" s="273"/>
      <c r="F1646" s="124"/>
      <c r="G1646" s="124"/>
      <c r="H1646" s="124"/>
      <c r="I1646" s="124"/>
      <c r="J1646" s="124"/>
      <c r="K1646" s="125"/>
      <c r="L1646" s="129"/>
      <c r="M1646" s="129"/>
      <c r="N1646" s="129"/>
      <c r="O1646" s="128"/>
      <c r="P1646" s="129"/>
      <c r="Q1646" s="124"/>
      <c r="R1646" s="117"/>
      <c r="S1646" s="117"/>
      <c r="T1646" s="117"/>
      <c r="U1646" s="117"/>
      <c r="V1646" s="117"/>
      <c r="X1646" s="45"/>
      <c r="Y1646" s="128"/>
      <c r="Z1646" s="126"/>
      <c r="AA1646" s="128"/>
      <c r="AB1646" s="129"/>
      <c r="AC1646" s="160"/>
      <c r="AD1646" s="137"/>
      <c r="AE1646" s="110"/>
      <c r="AF1646" s="110"/>
      <c r="AG1646" s="121"/>
      <c r="AH1646" s="110"/>
    </row>
    <row r="1647" spans="1:34" ht="11.25" customHeight="1" x14ac:dyDescent="0.15">
      <c r="A1647" s="110" t="s">
        <v>832</v>
      </c>
      <c r="B1647" s="110"/>
      <c r="C1647" s="111" t="s">
        <v>201</v>
      </c>
      <c r="D1647" s="111">
        <v>2024</v>
      </c>
      <c r="E1647" s="146">
        <v>45535</v>
      </c>
      <c r="F1647" s="111"/>
      <c r="G1647" s="111" t="s">
        <v>765</v>
      </c>
      <c r="H1647" s="111"/>
      <c r="I1647" s="111"/>
      <c r="J1647" s="111"/>
      <c r="K1647" s="112" t="s">
        <v>766</v>
      </c>
      <c r="L1647" s="120">
        <v>0</v>
      </c>
      <c r="M1647" s="120">
        <v>0</v>
      </c>
      <c r="N1647" s="120">
        <v>0</v>
      </c>
      <c r="O1647" s="119"/>
      <c r="P1647" s="117">
        <v>0</v>
      </c>
      <c r="Q1647" s="111">
        <v>3744</v>
      </c>
      <c r="R1647" s="117">
        <v>24</v>
      </c>
      <c r="S1647" s="117">
        <v>1101.8399999999999</v>
      </c>
      <c r="T1647" s="117">
        <v>834.75</v>
      </c>
      <c r="U1647" s="117">
        <v>3018.71</v>
      </c>
      <c r="V1647" s="117">
        <v>593.16999999999996</v>
      </c>
      <c r="W1647" s="26">
        <f>SUM(S1647:V1647)</f>
        <v>5548.47</v>
      </c>
      <c r="X1647" s="118">
        <f t="shared" ref="X1647:X1648" si="1603">IFERROR(S1647/R1647,"")</f>
        <v>45.91</v>
      </c>
      <c r="Y1647" s="119">
        <f>IFERROR(U1647/P1647,0)</f>
        <v>0</v>
      </c>
      <c r="Z1647" s="117">
        <f t="shared" ref="Z1647:Z1648" si="1604">P1647-W1647</f>
        <v>-5548.47</v>
      </c>
      <c r="AA1647" s="119">
        <f>IFERROR(Z1647/P1647,0)</f>
        <v>0</v>
      </c>
      <c r="AB1647" s="120">
        <f t="shared" ref="AB1647:AB1648" si="1605">M1647-W1647</f>
        <v>-5548.47</v>
      </c>
      <c r="AC1647" s="119">
        <f t="shared" ref="AC1647:AC1648" si="1606">IFERROR(AA1647-O1647,"")</f>
        <v>0</v>
      </c>
      <c r="AD1647" s="110" t="s">
        <v>849</v>
      </c>
      <c r="AE1647" s="110"/>
      <c r="AF1647" s="110"/>
      <c r="AG1647" s="121"/>
      <c r="AH1647" s="110"/>
    </row>
    <row r="1648" spans="1:34" s="216" customFormat="1" ht="11.25" customHeight="1" x14ac:dyDescent="0.15">
      <c r="A1648" s="53" t="s">
        <v>832</v>
      </c>
      <c r="B1648" s="53"/>
      <c r="C1648" s="54" t="s">
        <v>177</v>
      </c>
      <c r="D1648" s="54"/>
      <c r="E1648" s="70"/>
      <c r="F1648" s="54"/>
      <c r="G1648" s="54"/>
      <c r="H1648" s="54"/>
      <c r="I1648" s="54"/>
      <c r="J1648" s="54"/>
      <c r="K1648" s="106"/>
      <c r="L1648" s="24"/>
      <c r="M1648" s="24"/>
      <c r="N1648" s="24"/>
      <c r="O1648" s="57"/>
      <c r="P1648" s="24">
        <f>SUM(P1647)</f>
        <v>0</v>
      </c>
      <c r="Q1648" s="24"/>
      <c r="R1648" s="117">
        <f>SUM(R1647)</f>
        <v>24</v>
      </c>
      <c r="S1648" s="117">
        <f t="shared" ref="S1648:W1648" si="1607">SUM(S1647)</f>
        <v>1101.8399999999999</v>
      </c>
      <c r="T1648" s="117">
        <f t="shared" si="1607"/>
        <v>834.75</v>
      </c>
      <c r="U1648" s="117">
        <f t="shared" si="1607"/>
        <v>3018.71</v>
      </c>
      <c r="V1648" s="117">
        <f t="shared" si="1607"/>
        <v>593.16999999999996</v>
      </c>
      <c r="W1648" s="26">
        <f t="shared" si="1607"/>
        <v>5548.47</v>
      </c>
      <c r="X1648" s="56">
        <f t="shared" si="1603"/>
        <v>45.91</v>
      </c>
      <c r="Y1648" s="57">
        <f>IFERROR(U1648/P1648,0)</f>
        <v>0</v>
      </c>
      <c r="Z1648" s="28">
        <f t="shared" si="1604"/>
        <v>-5548.47</v>
      </c>
      <c r="AA1648" s="57">
        <f>IFERROR(Z1648/P1648,0)</f>
        <v>0</v>
      </c>
      <c r="AB1648" s="58">
        <f t="shared" si="1605"/>
        <v>-5548.47</v>
      </c>
      <c r="AC1648" s="57">
        <f t="shared" si="1606"/>
        <v>0</v>
      </c>
      <c r="AD1648" s="53"/>
      <c r="AE1648" s="53"/>
      <c r="AF1648" s="53"/>
      <c r="AG1648" s="61"/>
      <c r="AH1648" s="53"/>
    </row>
    <row r="1649" spans="1:34" ht="11.25" customHeight="1" x14ac:dyDescent="0.15">
      <c r="A1649" s="130"/>
      <c r="B1649" s="130"/>
      <c r="C1649" s="124"/>
      <c r="D1649" s="124"/>
      <c r="E1649" s="273"/>
      <c r="F1649" s="124"/>
      <c r="G1649" s="124"/>
      <c r="H1649" s="124"/>
      <c r="I1649" s="124"/>
      <c r="J1649" s="124"/>
      <c r="K1649" s="125"/>
      <c r="L1649" s="129"/>
      <c r="M1649" s="129"/>
      <c r="N1649" s="129"/>
      <c r="O1649" s="128"/>
      <c r="P1649" s="129"/>
      <c r="Q1649" s="124"/>
      <c r="R1649" s="117"/>
      <c r="S1649" s="117"/>
      <c r="T1649" s="117"/>
      <c r="U1649" s="117"/>
      <c r="V1649" s="117"/>
      <c r="X1649" s="45"/>
      <c r="Y1649" s="128"/>
      <c r="Z1649" s="126"/>
      <c r="AA1649" s="128"/>
      <c r="AB1649" s="129"/>
      <c r="AC1649" s="160"/>
      <c r="AD1649" s="137"/>
      <c r="AE1649" s="110"/>
      <c r="AF1649" s="110"/>
      <c r="AG1649" s="121"/>
      <c r="AH1649" s="110"/>
    </row>
    <row r="1650" spans="1:34" ht="11.25" customHeight="1" x14ac:dyDescent="0.15">
      <c r="A1650" s="110" t="s">
        <v>277</v>
      </c>
      <c r="B1650" s="110"/>
      <c r="C1650" s="111" t="s">
        <v>175</v>
      </c>
      <c r="D1650" s="111">
        <v>2024</v>
      </c>
      <c r="E1650" s="146">
        <v>45535</v>
      </c>
      <c r="F1650" s="111"/>
      <c r="G1650" s="111">
        <v>81110111</v>
      </c>
      <c r="H1650" s="111">
        <v>4101</v>
      </c>
      <c r="I1650" s="111" t="str">
        <f>MID(G1650,2,1)</f>
        <v>1</v>
      </c>
      <c r="J1650" s="111" t="str">
        <f>IF(I1650="1","Small/Medium","Large")</f>
        <v>Small/Medium</v>
      </c>
      <c r="K1650" s="147" t="s">
        <v>145</v>
      </c>
      <c r="L1650" s="120">
        <v>14241.6</v>
      </c>
      <c r="M1650" s="120">
        <f>L1650*0.3</f>
        <v>4272.4799999999996</v>
      </c>
      <c r="N1650" s="120">
        <f>L1650-M1650</f>
        <v>9969.1200000000008</v>
      </c>
      <c r="O1650" s="119">
        <f>IFERROR(N1650/L1650,"")</f>
        <v>0.70000000000000007</v>
      </c>
      <c r="P1650" s="120">
        <v>14241.6</v>
      </c>
      <c r="Q1650" s="111">
        <v>3896</v>
      </c>
      <c r="R1650" s="117">
        <v>14</v>
      </c>
      <c r="S1650" s="117">
        <v>1001.42</v>
      </c>
      <c r="T1650" s="117">
        <v>958.86</v>
      </c>
      <c r="U1650" s="117">
        <v>520.54999999999995</v>
      </c>
      <c r="V1650" s="117"/>
      <c r="W1650" s="26">
        <f>SUM(S1650:V1650)</f>
        <v>2480.83</v>
      </c>
      <c r="X1650" s="118">
        <f t="shared" ref="X1650:X1652" si="1608">IFERROR(S1650/R1650,"")</f>
        <v>71.53</v>
      </c>
      <c r="Y1650" s="119">
        <f t="shared" ref="Y1650:Y1652" si="1609">U1650/P1650</f>
        <v>3.6551370632513194E-2</v>
      </c>
      <c r="Z1650" s="117">
        <f t="shared" ref="Z1650:Z1652" si="1610">P1650-W1650</f>
        <v>11760.77</v>
      </c>
      <c r="AA1650" s="119">
        <f t="shared" ref="AA1650:AA1652" si="1611">Z1650/P1650</f>
        <v>0.82580398269857325</v>
      </c>
      <c r="AB1650" s="120">
        <f t="shared" ref="AB1650:AB1652" si="1612">M1650-W1650</f>
        <v>1791.6499999999996</v>
      </c>
      <c r="AC1650" s="119">
        <f t="shared" ref="AC1650:AC1652" si="1613">IFERROR(AA1650-O1650,"")</f>
        <v>0.12580398269857318</v>
      </c>
      <c r="AD1650" s="110"/>
      <c r="AE1650" s="110"/>
      <c r="AF1650" s="110"/>
      <c r="AG1650" s="121"/>
      <c r="AH1650" s="110"/>
    </row>
    <row r="1651" spans="1:34" ht="11.25" customHeight="1" x14ac:dyDescent="0.15">
      <c r="A1651" s="110" t="s">
        <v>277</v>
      </c>
      <c r="B1651" s="110"/>
      <c r="C1651" s="111" t="s">
        <v>175</v>
      </c>
      <c r="D1651" s="111">
        <v>2024</v>
      </c>
      <c r="E1651" s="146">
        <v>45535</v>
      </c>
      <c r="F1651" s="111"/>
      <c r="G1651" s="111">
        <v>82110111</v>
      </c>
      <c r="H1651" s="111">
        <v>4101</v>
      </c>
      <c r="I1651" s="111" t="str">
        <f>MID(G1651,2,1)</f>
        <v>2</v>
      </c>
      <c r="J1651" s="111" t="str">
        <f>IF(I1651="1","Small/Medium","Large")</f>
        <v>Large</v>
      </c>
      <c r="K1651" s="147" t="s">
        <v>176</v>
      </c>
      <c r="L1651" s="120">
        <v>17406.400000000001</v>
      </c>
      <c r="M1651" s="120">
        <f>L1651*0.3</f>
        <v>5221.92</v>
      </c>
      <c r="N1651" s="120">
        <f>L1651-M1651</f>
        <v>12184.480000000001</v>
      </c>
      <c r="O1651" s="119">
        <f>IFERROR(N1651/L1651,"")</f>
        <v>0.70000000000000007</v>
      </c>
      <c r="P1651" s="120">
        <v>17406.400000000001</v>
      </c>
      <c r="Q1651" s="111">
        <v>3897</v>
      </c>
      <c r="R1651" s="117">
        <v>13</v>
      </c>
      <c r="S1651" s="117">
        <v>929.89</v>
      </c>
      <c r="T1651" s="117">
        <v>958.86</v>
      </c>
      <c r="U1651" s="117">
        <v>520.54999999999995</v>
      </c>
      <c r="V1651" s="117"/>
      <c r="W1651" s="26">
        <f>SUM(S1651:V1651)</f>
        <v>2409.3000000000002</v>
      </c>
      <c r="X1651" s="118">
        <f t="shared" si="1608"/>
        <v>71.53</v>
      </c>
      <c r="Y1651" s="119">
        <f t="shared" si="1609"/>
        <v>2.990566688114716E-2</v>
      </c>
      <c r="Z1651" s="117">
        <f t="shared" si="1610"/>
        <v>14997.100000000002</v>
      </c>
      <c r="AA1651" s="119">
        <f t="shared" si="1611"/>
        <v>0.86158539387811384</v>
      </c>
      <c r="AB1651" s="120">
        <f t="shared" si="1612"/>
        <v>2812.62</v>
      </c>
      <c r="AC1651" s="119">
        <f t="shared" si="1613"/>
        <v>0.16158539387811377</v>
      </c>
      <c r="AD1651" s="110"/>
      <c r="AE1651" s="110"/>
      <c r="AF1651" s="110"/>
      <c r="AG1651" s="121"/>
      <c r="AH1651" s="110"/>
    </row>
    <row r="1652" spans="1:34" s="216" customFormat="1" ht="11.25" customHeight="1" x14ac:dyDescent="0.15">
      <c r="A1652" s="53" t="s">
        <v>277</v>
      </c>
      <c r="B1652" s="53"/>
      <c r="C1652" s="54" t="s">
        <v>177</v>
      </c>
      <c r="D1652" s="54"/>
      <c r="E1652" s="70"/>
      <c r="F1652" s="54"/>
      <c r="G1652" s="54"/>
      <c r="H1652" s="54"/>
      <c r="I1652" s="54"/>
      <c r="J1652" s="54"/>
      <c r="K1652" s="106"/>
      <c r="L1652" s="24">
        <f>SUM(L1650:L1651)</f>
        <v>31648</v>
      </c>
      <c r="M1652" s="24">
        <f t="shared" ref="M1652:N1652" si="1614">SUM(M1650:M1651)</f>
        <v>9494.4</v>
      </c>
      <c r="N1652" s="24">
        <f t="shared" si="1614"/>
        <v>22153.600000000002</v>
      </c>
      <c r="O1652" s="57">
        <f>IFERROR(N1652/L1652,"")</f>
        <v>0.70000000000000007</v>
      </c>
      <c r="P1652" s="24">
        <f>SUM(P1650:P1651)</f>
        <v>31648</v>
      </c>
      <c r="Q1652" s="24"/>
      <c r="R1652" s="117">
        <f>SUM(R1650:R1651)</f>
        <v>27</v>
      </c>
      <c r="S1652" s="117">
        <f t="shared" ref="S1652:V1652" si="1615">SUM(S1650:S1651)</f>
        <v>1931.31</v>
      </c>
      <c r="T1652" s="117">
        <f t="shared" si="1615"/>
        <v>1917.72</v>
      </c>
      <c r="U1652" s="117">
        <f t="shared" si="1615"/>
        <v>1041.0999999999999</v>
      </c>
      <c r="V1652" s="117">
        <f t="shared" si="1615"/>
        <v>0</v>
      </c>
      <c r="W1652" s="26">
        <f t="shared" ref="W1652" si="1616">SUM(W1650:W1651)</f>
        <v>4890.13</v>
      </c>
      <c r="X1652" s="56">
        <f t="shared" si="1608"/>
        <v>71.53</v>
      </c>
      <c r="Y1652" s="57">
        <f t="shared" si="1609"/>
        <v>3.2896233569261878E-2</v>
      </c>
      <c r="Z1652" s="28">
        <f t="shared" si="1610"/>
        <v>26757.87</v>
      </c>
      <c r="AA1652" s="57">
        <f t="shared" si="1611"/>
        <v>0.84548375884732052</v>
      </c>
      <c r="AB1652" s="58">
        <f t="shared" si="1612"/>
        <v>4604.2699999999995</v>
      </c>
      <c r="AC1652" s="57">
        <f t="shared" si="1613"/>
        <v>0.14548375884732045</v>
      </c>
      <c r="AD1652" s="53"/>
      <c r="AE1652" s="53"/>
      <c r="AF1652" s="53"/>
      <c r="AG1652" s="61"/>
      <c r="AH1652" s="53"/>
    </row>
    <row r="1653" spans="1:34" ht="11.25" customHeight="1" x14ac:dyDescent="0.15">
      <c r="A1653" s="130"/>
      <c r="B1653" s="130"/>
      <c r="C1653" s="124"/>
      <c r="D1653" s="124"/>
      <c r="E1653" s="273"/>
      <c r="F1653" s="124"/>
      <c r="G1653" s="124"/>
      <c r="H1653" s="124"/>
      <c r="I1653" s="124"/>
      <c r="J1653" s="124"/>
      <c r="K1653" s="125"/>
      <c r="L1653" s="129"/>
      <c r="M1653" s="129"/>
      <c r="N1653" s="129"/>
      <c r="O1653" s="128"/>
      <c r="P1653" s="129"/>
      <c r="Q1653" s="124"/>
      <c r="R1653" s="117"/>
      <c r="S1653" s="117"/>
      <c r="T1653" s="117"/>
      <c r="U1653" s="117"/>
      <c r="V1653" s="117"/>
      <c r="X1653" s="45"/>
      <c r="Y1653" s="128"/>
      <c r="Z1653" s="126"/>
      <c r="AA1653" s="128"/>
      <c r="AB1653" s="129"/>
      <c r="AC1653" s="160"/>
      <c r="AD1653" s="137"/>
      <c r="AE1653" s="110"/>
      <c r="AF1653" s="110"/>
      <c r="AG1653" s="121"/>
      <c r="AH1653" s="110"/>
    </row>
    <row r="1654" spans="1:34" ht="11.25" customHeight="1" x14ac:dyDescent="0.15">
      <c r="A1654" s="110" t="s">
        <v>195</v>
      </c>
      <c r="B1654" s="110"/>
      <c r="C1654" s="111" t="s">
        <v>175</v>
      </c>
      <c r="D1654" s="111">
        <v>2024</v>
      </c>
      <c r="E1654" s="146">
        <v>45535</v>
      </c>
      <c r="F1654" s="111"/>
      <c r="G1654" s="111">
        <v>81110111</v>
      </c>
      <c r="H1654" s="111">
        <v>4101</v>
      </c>
      <c r="I1654" s="111" t="str">
        <f>MID(G1654,2,1)</f>
        <v>1</v>
      </c>
      <c r="J1654" s="111" t="str">
        <f>IF(I1654="1","Small/Medium","Large")</f>
        <v>Small/Medium</v>
      </c>
      <c r="K1654" s="147" t="s">
        <v>145</v>
      </c>
      <c r="L1654" s="117">
        <v>14662.800000000001</v>
      </c>
      <c r="M1654" s="120">
        <f>L1654*0.3</f>
        <v>4398.84</v>
      </c>
      <c r="N1654" s="120">
        <f>L1654-M1654</f>
        <v>10263.960000000001</v>
      </c>
      <c r="O1654" s="119">
        <f>IFERROR(N1654/L1654,"")</f>
        <v>0.70000000000000007</v>
      </c>
      <c r="P1654" s="117">
        <v>14662.800000000001</v>
      </c>
      <c r="Q1654" s="111">
        <v>3894</v>
      </c>
      <c r="R1654" s="117">
        <v>18</v>
      </c>
      <c r="S1654" s="117">
        <v>1287.54</v>
      </c>
      <c r="T1654" s="117">
        <v>870.81</v>
      </c>
      <c r="U1654" s="117">
        <v>444.12</v>
      </c>
      <c r="V1654" s="117">
        <v>29.86</v>
      </c>
      <c r="W1654" s="26">
        <f>SUM(S1654:V1654)</f>
        <v>2632.33</v>
      </c>
      <c r="X1654" s="118">
        <f t="shared" ref="X1654:X1656" si="1617">IFERROR(S1654/R1654,"")</f>
        <v>71.53</v>
      </c>
      <c r="Y1654" s="119">
        <f t="shared" ref="Y1654:Y1656" si="1618">U1654/P1654</f>
        <v>3.0288894344872738E-2</v>
      </c>
      <c r="Z1654" s="117">
        <f t="shared" ref="Z1654:Z1656" si="1619">P1654-W1654</f>
        <v>12030.470000000001</v>
      </c>
      <c r="AA1654" s="119">
        <f t="shared" ref="AA1654:AA1656" si="1620">Z1654/P1654</f>
        <v>0.82047562539214891</v>
      </c>
      <c r="AB1654" s="120">
        <f t="shared" ref="AB1654:AB1656" si="1621">M1654-W1654</f>
        <v>1766.5100000000002</v>
      </c>
      <c r="AC1654" s="119">
        <f t="shared" ref="AC1654:AC1656" si="1622">IFERROR(AA1654-O1654,"")</f>
        <v>0.12047562539214884</v>
      </c>
      <c r="AD1654" s="110"/>
      <c r="AE1654" s="110"/>
      <c r="AF1654" s="110"/>
      <c r="AG1654" s="121"/>
      <c r="AH1654" s="110"/>
    </row>
    <row r="1655" spans="1:34" ht="11.25" customHeight="1" x14ac:dyDescent="0.15">
      <c r="A1655" s="110" t="s">
        <v>195</v>
      </c>
      <c r="B1655" s="110"/>
      <c r="C1655" s="111" t="s">
        <v>175</v>
      </c>
      <c r="D1655" s="111">
        <v>2024</v>
      </c>
      <c r="E1655" s="146">
        <v>45535</v>
      </c>
      <c r="F1655" s="111"/>
      <c r="G1655" s="111">
        <v>82110111</v>
      </c>
      <c r="H1655" s="111">
        <v>4101</v>
      </c>
      <c r="I1655" s="111" t="str">
        <f>MID(G1655,2,1)</f>
        <v>2</v>
      </c>
      <c r="J1655" s="111" t="str">
        <f>IF(I1655="1","Small/Medium","Large")</f>
        <v>Large</v>
      </c>
      <c r="K1655" s="147" t="s">
        <v>176</v>
      </c>
      <c r="L1655" s="117">
        <v>17921.2</v>
      </c>
      <c r="M1655" s="120">
        <f>L1655*0.3</f>
        <v>5376.36</v>
      </c>
      <c r="N1655" s="120">
        <f>L1655-M1655</f>
        <v>12544.84</v>
      </c>
      <c r="O1655" s="119">
        <f>IFERROR(N1655/L1655,"")</f>
        <v>0.7</v>
      </c>
      <c r="P1655" s="117">
        <v>17921.2</v>
      </c>
      <c r="Q1655" s="111">
        <v>3895</v>
      </c>
      <c r="R1655" s="117">
        <v>9</v>
      </c>
      <c r="S1655" s="117">
        <v>643.77</v>
      </c>
      <c r="T1655" s="117">
        <v>870.81</v>
      </c>
      <c r="U1655" s="117">
        <v>396.15</v>
      </c>
      <c r="V1655" s="117"/>
      <c r="W1655" s="26">
        <f>SUM(S1655:V1655)</f>
        <v>1910.73</v>
      </c>
      <c r="X1655" s="118">
        <f t="shared" si="1617"/>
        <v>71.53</v>
      </c>
      <c r="Y1655" s="119">
        <f t="shared" si="1618"/>
        <v>2.2105104568890473E-2</v>
      </c>
      <c r="Z1655" s="117">
        <f t="shared" si="1619"/>
        <v>16010.470000000001</v>
      </c>
      <c r="AA1655" s="119">
        <f t="shared" si="1620"/>
        <v>0.8933815815905185</v>
      </c>
      <c r="AB1655" s="120">
        <f t="shared" si="1621"/>
        <v>3465.6299999999997</v>
      </c>
      <c r="AC1655" s="119">
        <f t="shared" si="1622"/>
        <v>0.19338158159051855</v>
      </c>
      <c r="AD1655" s="110"/>
      <c r="AE1655" s="110"/>
      <c r="AF1655" s="110"/>
      <c r="AG1655" s="121"/>
      <c r="AH1655" s="110"/>
    </row>
    <row r="1656" spans="1:34" s="216" customFormat="1" ht="11.25" customHeight="1" x14ac:dyDescent="0.15">
      <c r="A1656" s="53" t="s">
        <v>195</v>
      </c>
      <c r="B1656" s="53"/>
      <c r="C1656" s="54" t="s">
        <v>177</v>
      </c>
      <c r="D1656" s="54"/>
      <c r="E1656" s="70"/>
      <c r="F1656" s="54"/>
      <c r="G1656" s="54"/>
      <c r="H1656" s="54"/>
      <c r="I1656" s="54"/>
      <c r="J1656" s="54"/>
      <c r="K1656" s="106"/>
      <c r="L1656" s="24">
        <f>SUM(L1654:L1655)</f>
        <v>32584</v>
      </c>
      <c r="M1656" s="24">
        <f t="shared" ref="M1656:N1656" si="1623">SUM(M1654:M1655)</f>
        <v>9775.2000000000007</v>
      </c>
      <c r="N1656" s="24">
        <f t="shared" si="1623"/>
        <v>22808.800000000003</v>
      </c>
      <c r="O1656" s="57">
        <f>IFERROR(N1656/L1656,"")</f>
        <v>0.70000000000000007</v>
      </c>
      <c r="P1656" s="24">
        <f>SUM(P1654:P1655)</f>
        <v>32584</v>
      </c>
      <c r="Q1656" s="24"/>
      <c r="R1656" s="117">
        <f>SUM(R1654:R1655)</f>
        <v>27</v>
      </c>
      <c r="S1656" s="117">
        <f t="shared" ref="S1656" si="1624">SUM(S1654:S1655)</f>
        <v>1931.31</v>
      </c>
      <c r="T1656" s="117">
        <f t="shared" ref="T1656" si="1625">SUM(T1654:T1655)</f>
        <v>1741.62</v>
      </c>
      <c r="U1656" s="117">
        <f t="shared" ref="U1656" si="1626">SUM(U1654:U1655)</f>
        <v>840.27</v>
      </c>
      <c r="V1656" s="117">
        <f t="shared" ref="V1656" si="1627">SUM(V1654:V1655)</f>
        <v>29.86</v>
      </c>
      <c r="W1656" s="26">
        <f t="shared" ref="W1656" si="1628">SUM(W1654:W1655)</f>
        <v>4543.0599999999995</v>
      </c>
      <c r="X1656" s="56">
        <f t="shared" si="1617"/>
        <v>71.53</v>
      </c>
      <c r="Y1656" s="57">
        <f t="shared" si="1618"/>
        <v>2.5787809968082494E-2</v>
      </c>
      <c r="Z1656" s="28">
        <f t="shared" si="1619"/>
        <v>28040.940000000002</v>
      </c>
      <c r="AA1656" s="57">
        <f t="shared" si="1620"/>
        <v>0.86057390130125222</v>
      </c>
      <c r="AB1656" s="58">
        <f t="shared" si="1621"/>
        <v>5232.1400000000012</v>
      </c>
      <c r="AC1656" s="57">
        <f t="shared" si="1622"/>
        <v>0.16057390130125215</v>
      </c>
      <c r="AD1656" s="53"/>
      <c r="AE1656" s="53"/>
      <c r="AF1656" s="53"/>
      <c r="AG1656" s="61"/>
      <c r="AH1656" s="53"/>
    </row>
    <row r="1657" spans="1:34" ht="11.25" customHeight="1" x14ac:dyDescent="0.15">
      <c r="A1657" s="130"/>
      <c r="B1657" s="130"/>
      <c r="C1657" s="124"/>
      <c r="D1657" s="124"/>
      <c r="E1657" s="273"/>
      <c r="F1657" s="124"/>
      <c r="G1657" s="124"/>
      <c r="H1657" s="124"/>
      <c r="I1657" s="124"/>
      <c r="J1657" s="124"/>
      <c r="K1657" s="125"/>
      <c r="L1657" s="129"/>
      <c r="M1657" s="129"/>
      <c r="N1657" s="129"/>
      <c r="O1657" s="128"/>
      <c r="P1657" s="129"/>
      <c r="Q1657" s="124"/>
      <c r="R1657" s="117"/>
      <c r="S1657" s="117"/>
      <c r="T1657" s="117"/>
      <c r="U1657" s="117"/>
      <c r="V1657" s="117"/>
      <c r="X1657" s="45"/>
      <c r="Y1657" s="128"/>
      <c r="Z1657" s="126"/>
      <c r="AA1657" s="128"/>
      <c r="AB1657" s="129"/>
      <c r="AC1657" s="160"/>
      <c r="AD1657" s="137"/>
      <c r="AE1657" s="110"/>
      <c r="AF1657" s="110"/>
      <c r="AG1657" s="121"/>
      <c r="AH1657" s="110"/>
    </row>
    <row r="1658" spans="1:34" ht="11.25" customHeight="1" x14ac:dyDescent="0.15">
      <c r="A1658" s="110" t="s">
        <v>239</v>
      </c>
      <c r="B1658" s="110"/>
      <c r="C1658" s="111" t="s">
        <v>175</v>
      </c>
      <c r="D1658" s="111">
        <v>2024</v>
      </c>
      <c r="E1658" s="146">
        <v>45535</v>
      </c>
      <c r="F1658" s="111"/>
      <c r="G1658" s="111">
        <v>81000211</v>
      </c>
      <c r="H1658" s="111">
        <v>4111</v>
      </c>
      <c r="I1658" s="111" t="str">
        <f>MID(G1658,2,1)</f>
        <v>1</v>
      </c>
      <c r="J1658" s="111" t="str">
        <f>IF(I1658="1","Small/Medium","Large")</f>
        <v>Small/Medium</v>
      </c>
      <c r="K1658" s="147" t="s">
        <v>145</v>
      </c>
      <c r="L1658" s="120">
        <v>12218</v>
      </c>
      <c r="M1658" s="120">
        <f>L1658*0.3</f>
        <v>3665.4</v>
      </c>
      <c r="N1658" s="120">
        <f>L1658-M1658</f>
        <v>8552.6</v>
      </c>
      <c r="O1658" s="119">
        <f>IFERROR(N1658/L1658,"")</f>
        <v>0.70000000000000007</v>
      </c>
      <c r="P1658" s="117">
        <f>L1658</f>
        <v>12218</v>
      </c>
      <c r="Q1658" s="111">
        <v>2726</v>
      </c>
      <c r="R1658" s="117">
        <v>20</v>
      </c>
      <c r="S1658" s="117">
        <v>897.6</v>
      </c>
      <c r="T1658" s="117">
        <v>1155.04</v>
      </c>
      <c r="U1658" s="117">
        <v>427.06</v>
      </c>
      <c r="V1658" s="117"/>
      <c r="W1658" s="26">
        <f>SUM(S1658:V1658)</f>
        <v>2479.6999999999998</v>
      </c>
      <c r="X1658" s="118">
        <f t="shared" ref="X1658:X1659" si="1629">IFERROR(S1658/R1658,"")</f>
        <v>44.88</v>
      </c>
      <c r="Y1658" s="119">
        <f>IFERROR(U1658/P1658,0)</f>
        <v>3.4953347520052379E-2</v>
      </c>
      <c r="Z1658" s="117">
        <f t="shared" ref="Z1658:Z1659" si="1630">P1658-W1658</f>
        <v>9738.2999999999993</v>
      </c>
      <c r="AA1658" s="119">
        <f>IFERROR(Z1658/P1658,0)</f>
        <v>0.79704534293665075</v>
      </c>
      <c r="AB1658" s="120">
        <f t="shared" ref="AB1658:AB1659" si="1631">M1658-W1658</f>
        <v>1185.7000000000003</v>
      </c>
      <c r="AC1658" s="119">
        <f t="shared" ref="AC1658:AC1659" si="1632">IFERROR(AA1658-O1658,"")</f>
        <v>9.704534293665068E-2</v>
      </c>
      <c r="AD1658" s="110"/>
      <c r="AE1658" s="110"/>
      <c r="AF1658" s="110"/>
      <c r="AG1658" s="121"/>
      <c r="AH1658" s="110"/>
    </row>
    <row r="1659" spans="1:34" s="216" customFormat="1" ht="11.25" customHeight="1" x14ac:dyDescent="0.15">
      <c r="A1659" s="53" t="s">
        <v>239</v>
      </c>
      <c r="B1659" s="53"/>
      <c r="C1659" s="54" t="s">
        <v>177</v>
      </c>
      <c r="D1659" s="54"/>
      <c r="E1659" s="70"/>
      <c r="F1659" s="54"/>
      <c r="G1659" s="54"/>
      <c r="H1659" s="54"/>
      <c r="I1659" s="54"/>
      <c r="J1659" s="54"/>
      <c r="K1659" s="106"/>
      <c r="L1659" s="24">
        <f>SUM(L1658)</f>
        <v>12218</v>
      </c>
      <c r="M1659" s="24">
        <f t="shared" ref="M1659" si="1633">SUM(M1658)</f>
        <v>3665.4</v>
      </c>
      <c r="N1659" s="24">
        <f t="shared" ref="N1659" si="1634">SUM(N1658)</f>
        <v>8552.6</v>
      </c>
      <c r="O1659" s="57">
        <f>IFERROR(N1659/L1659,"")</f>
        <v>0.70000000000000007</v>
      </c>
      <c r="P1659" s="24">
        <f>SUM(P1658)</f>
        <v>12218</v>
      </c>
      <c r="Q1659" s="24"/>
      <c r="R1659" s="117">
        <f>SUM(R1658)</f>
        <v>20</v>
      </c>
      <c r="S1659" s="117">
        <f t="shared" ref="S1659" si="1635">SUM(S1658)</f>
        <v>897.6</v>
      </c>
      <c r="T1659" s="117">
        <f t="shared" ref="T1659" si="1636">SUM(T1658)</f>
        <v>1155.04</v>
      </c>
      <c r="U1659" s="117">
        <f t="shared" ref="U1659" si="1637">SUM(U1658)</f>
        <v>427.06</v>
      </c>
      <c r="V1659" s="117">
        <f t="shared" ref="V1659" si="1638">SUM(V1658)</f>
        <v>0</v>
      </c>
      <c r="W1659" s="26">
        <f t="shared" ref="W1659" si="1639">SUM(W1658)</f>
        <v>2479.6999999999998</v>
      </c>
      <c r="X1659" s="56">
        <f t="shared" si="1629"/>
        <v>44.88</v>
      </c>
      <c r="Y1659" s="57">
        <f>IFERROR(U1659/P1659,0)</f>
        <v>3.4953347520052379E-2</v>
      </c>
      <c r="Z1659" s="28">
        <f t="shared" si="1630"/>
        <v>9738.2999999999993</v>
      </c>
      <c r="AA1659" s="57">
        <f>IFERROR(Z1659/P1659,0)</f>
        <v>0.79704534293665075</v>
      </c>
      <c r="AB1659" s="58">
        <f t="shared" si="1631"/>
        <v>1185.7000000000003</v>
      </c>
      <c r="AC1659" s="57">
        <f t="shared" si="1632"/>
        <v>9.704534293665068E-2</v>
      </c>
      <c r="AD1659" s="53"/>
      <c r="AE1659" s="53"/>
      <c r="AF1659" s="53"/>
      <c r="AG1659" s="61"/>
      <c r="AH1659" s="53"/>
    </row>
    <row r="1660" spans="1:34" ht="11.25" customHeight="1" x14ac:dyDescent="0.15">
      <c r="A1660" s="130"/>
      <c r="B1660" s="130"/>
      <c r="C1660" s="124"/>
      <c r="D1660" s="124"/>
      <c r="E1660" s="273"/>
      <c r="F1660" s="124"/>
      <c r="G1660" s="124"/>
      <c r="H1660" s="124"/>
      <c r="I1660" s="124"/>
      <c r="J1660" s="124"/>
      <c r="K1660" s="125"/>
      <c r="L1660" s="129"/>
      <c r="M1660" s="129"/>
      <c r="N1660" s="129"/>
      <c r="O1660" s="128"/>
      <c r="P1660" s="129"/>
      <c r="Q1660" s="124"/>
      <c r="R1660" s="117"/>
      <c r="S1660" s="117"/>
      <c r="T1660" s="117"/>
      <c r="U1660" s="117"/>
      <c r="V1660" s="117"/>
      <c r="X1660" s="45"/>
      <c r="Y1660" s="128"/>
      <c r="Z1660" s="126"/>
      <c r="AA1660" s="128"/>
      <c r="AB1660" s="129"/>
      <c r="AC1660" s="160"/>
      <c r="AD1660" s="137"/>
      <c r="AE1660" s="110"/>
      <c r="AF1660" s="110"/>
      <c r="AG1660" s="121"/>
      <c r="AH1660" s="110"/>
    </row>
    <row r="1661" spans="1:34" ht="11.25" customHeight="1" x14ac:dyDescent="0.15">
      <c r="A1661" s="110" t="s">
        <v>454</v>
      </c>
      <c r="B1661" s="110"/>
      <c r="C1661" s="111" t="s">
        <v>175</v>
      </c>
      <c r="D1661" s="111">
        <v>2024</v>
      </c>
      <c r="E1661" s="146">
        <v>45535</v>
      </c>
      <c r="F1661" s="111"/>
      <c r="G1661" s="111">
        <v>81100011</v>
      </c>
      <c r="H1661" s="111">
        <v>4101</v>
      </c>
      <c r="I1661" s="111" t="str">
        <f>MID(G1661,2,1)</f>
        <v>1</v>
      </c>
      <c r="J1661" s="111" t="str">
        <f>IF(I1661="1","Small/Medium","Large")</f>
        <v>Small/Medium</v>
      </c>
      <c r="K1661" s="147" t="s">
        <v>145</v>
      </c>
      <c r="L1661" s="120">
        <v>13028</v>
      </c>
      <c r="M1661" s="120">
        <f>L1661*0.3</f>
        <v>3908.3999999999996</v>
      </c>
      <c r="N1661" s="120">
        <f>L1661-M1661</f>
        <v>9119.6</v>
      </c>
      <c r="O1661" s="119">
        <f>IFERROR(N1661/L1661,"")</f>
        <v>0.70000000000000007</v>
      </c>
      <c r="P1661" s="117">
        <f>L1661</f>
        <v>13028</v>
      </c>
      <c r="Q1661" s="111">
        <v>3046</v>
      </c>
      <c r="R1661" s="117">
        <v>28</v>
      </c>
      <c r="S1661" s="117">
        <v>1256.6400000000001</v>
      </c>
      <c r="T1661" s="117">
        <v>1139.28</v>
      </c>
      <c r="U1661" s="117">
        <v>907.71</v>
      </c>
      <c r="V1661" s="117"/>
      <c r="W1661" s="26">
        <f>SUM(S1661:V1661)</f>
        <v>3303.63</v>
      </c>
      <c r="X1661" s="118">
        <f t="shared" ref="X1661:X1662" si="1640">IFERROR(S1661/R1661,"")</f>
        <v>44.88</v>
      </c>
      <c r="Y1661" s="119">
        <f>IFERROR(U1661/P1661,0)</f>
        <v>6.9673779551734732E-2</v>
      </c>
      <c r="Z1661" s="117">
        <f t="shared" ref="Z1661:Z1662" si="1641">P1661-W1661</f>
        <v>9724.369999999999</v>
      </c>
      <c r="AA1661" s="119">
        <f>IFERROR(Z1661/P1661,0)</f>
        <v>0.74642078599938588</v>
      </c>
      <c r="AB1661" s="120">
        <f t="shared" ref="AB1661:AB1662" si="1642">M1661-W1661</f>
        <v>604.76999999999953</v>
      </c>
      <c r="AC1661" s="119">
        <f t="shared" ref="AC1661:AC1662" si="1643">IFERROR(AA1661-O1661,"")</f>
        <v>4.6420785999385816E-2</v>
      </c>
      <c r="AD1661" s="110"/>
      <c r="AE1661" s="110"/>
      <c r="AF1661" s="110"/>
      <c r="AG1661" s="121"/>
      <c r="AH1661" s="110"/>
    </row>
    <row r="1662" spans="1:34" s="216" customFormat="1" ht="11.25" customHeight="1" x14ac:dyDescent="0.15">
      <c r="A1662" s="53" t="s">
        <v>454</v>
      </c>
      <c r="B1662" s="53"/>
      <c r="C1662" s="54" t="s">
        <v>177</v>
      </c>
      <c r="D1662" s="54"/>
      <c r="E1662" s="70"/>
      <c r="F1662" s="54"/>
      <c r="G1662" s="54"/>
      <c r="H1662" s="54"/>
      <c r="I1662" s="54"/>
      <c r="J1662" s="54"/>
      <c r="K1662" s="106"/>
      <c r="L1662" s="24">
        <f>SUM(L1661)</f>
        <v>13028</v>
      </c>
      <c r="M1662" s="24">
        <f t="shared" ref="M1662:N1662" si="1644">SUM(M1661)</f>
        <v>3908.3999999999996</v>
      </c>
      <c r="N1662" s="24">
        <f t="shared" si="1644"/>
        <v>9119.6</v>
      </c>
      <c r="O1662" s="57">
        <f>IFERROR(N1662/L1662,"")</f>
        <v>0.70000000000000007</v>
      </c>
      <c r="P1662" s="24">
        <f>SUM(P1661)</f>
        <v>13028</v>
      </c>
      <c r="Q1662" s="24"/>
      <c r="R1662" s="117">
        <f>SUM(R1661)</f>
        <v>28</v>
      </c>
      <c r="S1662" s="117">
        <f t="shared" ref="S1662:V1662" si="1645">SUM(S1661)</f>
        <v>1256.6400000000001</v>
      </c>
      <c r="T1662" s="117">
        <f t="shared" si="1645"/>
        <v>1139.28</v>
      </c>
      <c r="U1662" s="117">
        <f t="shared" si="1645"/>
        <v>907.71</v>
      </c>
      <c r="V1662" s="117">
        <f t="shared" si="1645"/>
        <v>0</v>
      </c>
      <c r="W1662" s="26">
        <f t="shared" ref="W1662" si="1646">SUM(W1661)</f>
        <v>3303.63</v>
      </c>
      <c r="X1662" s="56">
        <f t="shared" si="1640"/>
        <v>44.88</v>
      </c>
      <c r="Y1662" s="57">
        <f>IFERROR(U1662/P1662,0)</f>
        <v>6.9673779551734732E-2</v>
      </c>
      <c r="Z1662" s="28">
        <f t="shared" si="1641"/>
        <v>9724.369999999999</v>
      </c>
      <c r="AA1662" s="57">
        <f>IFERROR(Z1662/P1662,0)</f>
        <v>0.74642078599938588</v>
      </c>
      <c r="AB1662" s="58">
        <f t="shared" si="1642"/>
        <v>604.76999999999953</v>
      </c>
      <c r="AC1662" s="57">
        <f t="shared" si="1643"/>
        <v>4.6420785999385816E-2</v>
      </c>
      <c r="AD1662" s="53"/>
      <c r="AE1662" s="53"/>
      <c r="AF1662" s="53"/>
      <c r="AG1662" s="61"/>
      <c r="AH1662" s="53"/>
    </row>
    <row r="1663" spans="1:34" ht="11.25" customHeight="1" x14ac:dyDescent="0.15">
      <c r="A1663" s="130"/>
      <c r="B1663" s="130"/>
      <c r="C1663" s="124"/>
      <c r="D1663" s="124"/>
      <c r="E1663" s="273"/>
      <c r="F1663" s="124"/>
      <c r="G1663" s="124"/>
      <c r="H1663" s="124"/>
      <c r="I1663" s="124"/>
      <c r="J1663" s="124"/>
      <c r="K1663" s="125"/>
      <c r="L1663" s="129"/>
      <c r="M1663" s="129"/>
      <c r="N1663" s="129"/>
      <c r="O1663" s="128"/>
      <c r="P1663" s="129"/>
      <c r="Q1663" s="124"/>
      <c r="R1663" s="117"/>
      <c r="S1663" s="117"/>
      <c r="T1663" s="117"/>
      <c r="U1663" s="117"/>
      <c r="V1663" s="117"/>
      <c r="X1663" s="45"/>
      <c r="Y1663" s="128"/>
      <c r="Z1663" s="126"/>
      <c r="AA1663" s="128"/>
      <c r="AB1663" s="129"/>
      <c r="AC1663" s="160"/>
      <c r="AD1663" s="137"/>
      <c r="AE1663" s="110"/>
      <c r="AF1663" s="110"/>
      <c r="AG1663" s="121"/>
      <c r="AH1663" s="110"/>
    </row>
    <row r="1664" spans="1:34" ht="11.25" customHeight="1" x14ac:dyDescent="0.15">
      <c r="A1664" s="110" t="s">
        <v>557</v>
      </c>
      <c r="B1664" s="110"/>
      <c r="C1664" s="111" t="s">
        <v>37</v>
      </c>
      <c r="D1664" s="111">
        <v>2024</v>
      </c>
      <c r="E1664" s="146">
        <v>45535</v>
      </c>
      <c r="F1664" s="111"/>
      <c r="G1664" s="111">
        <v>11012011</v>
      </c>
      <c r="H1664" s="111"/>
      <c r="I1664" s="111"/>
      <c r="J1664" s="111"/>
      <c r="K1664" s="112" t="s">
        <v>850</v>
      </c>
      <c r="L1664" s="120">
        <f>133321-4730</f>
        <v>128591</v>
      </c>
      <c r="M1664" s="120">
        <v>26982.19</v>
      </c>
      <c r="N1664" s="120">
        <f>L1664-M1664</f>
        <v>101608.81</v>
      </c>
      <c r="O1664" s="119">
        <f>IFERROR(N1664/L1664,"")</f>
        <v>0.79017046294064119</v>
      </c>
      <c r="P1664" s="117">
        <v>128591</v>
      </c>
      <c r="Q1664" s="111">
        <v>3510</v>
      </c>
      <c r="R1664" s="117">
        <v>34</v>
      </c>
      <c r="S1664" s="117">
        <v>1348.57</v>
      </c>
      <c r="T1664" s="117"/>
      <c r="U1664" s="117">
        <v>22652.37</v>
      </c>
      <c r="V1664" s="117"/>
      <c r="W1664" s="26">
        <f t="shared" ref="W1664:W1668" si="1647">SUM(S1664:V1664)</f>
        <v>24000.94</v>
      </c>
      <c r="X1664" s="118">
        <f t="shared" ref="X1664:X1675" si="1648">IFERROR(S1664/R1664,"")</f>
        <v>39.663823529411765</v>
      </c>
      <c r="Y1664" s="119">
        <f>U1664/P1664</f>
        <v>0.17615828479442572</v>
      </c>
      <c r="Z1664" s="117">
        <f t="shared" ref="Z1664:Z1675" si="1649">P1664-W1664</f>
        <v>104590.06</v>
      </c>
      <c r="AA1664" s="119">
        <f t="shared" ref="AA1664:AA1675" si="1650">Z1664/P1664</f>
        <v>0.81335443382507333</v>
      </c>
      <c r="AB1664" s="120">
        <f t="shared" ref="AB1664:AB1675" si="1651">M1664-W1664</f>
        <v>2981.25</v>
      </c>
      <c r="AC1664" s="119">
        <f t="shared" ref="AC1664:AC1675" si="1652">IFERROR(AA1664-O1664,"")</f>
        <v>2.3183970884432137E-2</v>
      </c>
      <c r="AD1664" s="110"/>
      <c r="AE1664" s="110"/>
      <c r="AF1664" s="110"/>
      <c r="AG1664" s="121"/>
      <c r="AH1664" s="110"/>
    </row>
    <row r="1665" spans="1:34" ht="11.25" customHeight="1" x14ac:dyDescent="0.15">
      <c r="A1665" s="110" t="s">
        <v>557</v>
      </c>
      <c r="B1665" s="110"/>
      <c r="C1665" s="111" t="s">
        <v>37</v>
      </c>
      <c r="D1665" s="111">
        <v>2024</v>
      </c>
      <c r="E1665" s="146">
        <v>45535</v>
      </c>
      <c r="F1665" s="111"/>
      <c r="G1665" s="111">
        <v>21010011</v>
      </c>
      <c r="H1665" s="111"/>
      <c r="I1665" s="111"/>
      <c r="J1665" s="111"/>
      <c r="K1665" s="112" t="s">
        <v>439</v>
      </c>
      <c r="L1665" s="120">
        <v>20335</v>
      </c>
      <c r="M1665" s="120">
        <v>6921.21</v>
      </c>
      <c r="N1665" s="120">
        <f t="shared" ref="N1665:N1668" si="1653">L1665-M1665</f>
        <v>13413.79</v>
      </c>
      <c r="O1665" s="119">
        <f t="shared" ref="O1665:O1669" si="1654">IFERROR(N1665/L1665,"")</f>
        <v>0.6596405212687485</v>
      </c>
      <c r="P1665" s="117">
        <v>20335</v>
      </c>
      <c r="Q1665" s="111">
        <v>3511</v>
      </c>
      <c r="R1665" s="117"/>
      <c r="S1665" s="117"/>
      <c r="T1665" s="117"/>
      <c r="U1665" s="117">
        <v>7189.65</v>
      </c>
      <c r="V1665" s="117"/>
      <c r="W1665" s="26">
        <f t="shared" si="1647"/>
        <v>7189.65</v>
      </c>
      <c r="X1665" s="118" t="str">
        <f t="shared" si="1648"/>
        <v/>
      </c>
      <c r="Y1665" s="119">
        <f t="shared" ref="Y1665:Y1675" si="1655">U1665/P1665</f>
        <v>0.35356036390459794</v>
      </c>
      <c r="Z1665" s="117">
        <f t="shared" si="1649"/>
        <v>13145.35</v>
      </c>
      <c r="AA1665" s="119">
        <f t="shared" si="1650"/>
        <v>0.646439636095402</v>
      </c>
      <c r="AB1665" s="120">
        <f t="shared" si="1651"/>
        <v>-268.4399999999996</v>
      </c>
      <c r="AC1665" s="119">
        <f t="shared" si="1652"/>
        <v>-1.3200885173346499E-2</v>
      </c>
      <c r="AD1665" s="110"/>
      <c r="AE1665" s="110"/>
      <c r="AF1665" s="110"/>
      <c r="AG1665" s="121"/>
      <c r="AH1665" s="110"/>
    </row>
    <row r="1666" spans="1:34" ht="11.25" customHeight="1" x14ac:dyDescent="0.15">
      <c r="A1666" s="110" t="s">
        <v>557</v>
      </c>
      <c r="B1666" s="110"/>
      <c r="C1666" s="111" t="s">
        <v>37</v>
      </c>
      <c r="D1666" s="111">
        <v>2024</v>
      </c>
      <c r="E1666" s="146">
        <v>45535</v>
      </c>
      <c r="F1666" s="111"/>
      <c r="G1666" s="111">
        <v>91012041</v>
      </c>
      <c r="H1666" s="111"/>
      <c r="I1666" s="111"/>
      <c r="J1666" s="111"/>
      <c r="K1666" s="112" t="s">
        <v>851</v>
      </c>
      <c r="L1666" s="120">
        <v>14822</v>
      </c>
      <c r="M1666" s="120">
        <v>5025.13</v>
      </c>
      <c r="N1666" s="120">
        <f t="shared" si="1653"/>
        <v>9796.869999999999</v>
      </c>
      <c r="O1666" s="119">
        <f t="shared" si="1654"/>
        <v>0.6609681554446093</v>
      </c>
      <c r="P1666" s="117">
        <v>14822</v>
      </c>
      <c r="Q1666" s="111">
        <v>3512</v>
      </c>
      <c r="R1666" s="117"/>
      <c r="S1666" s="117"/>
      <c r="T1666" s="117"/>
      <c r="U1666" s="117">
        <v>4423.37</v>
      </c>
      <c r="V1666" s="117"/>
      <c r="W1666" s="26">
        <f t="shared" si="1647"/>
        <v>4423.37</v>
      </c>
      <c r="X1666" s="118" t="str">
        <f t="shared" si="1648"/>
        <v/>
      </c>
      <c r="Y1666" s="119">
        <f t="shared" si="1655"/>
        <v>0.29843273512346513</v>
      </c>
      <c r="Z1666" s="117">
        <f t="shared" si="1649"/>
        <v>10398.630000000001</v>
      </c>
      <c r="AA1666" s="119">
        <f t="shared" si="1650"/>
        <v>0.70156726487653498</v>
      </c>
      <c r="AB1666" s="120">
        <f t="shared" si="1651"/>
        <v>601.76000000000022</v>
      </c>
      <c r="AC1666" s="119">
        <f t="shared" si="1652"/>
        <v>4.0599109431925684E-2</v>
      </c>
      <c r="AD1666" s="110"/>
      <c r="AE1666" s="110"/>
      <c r="AF1666" s="110"/>
      <c r="AG1666" s="121"/>
      <c r="AH1666" s="110"/>
    </row>
    <row r="1667" spans="1:34" ht="11.25" customHeight="1" x14ac:dyDescent="0.15">
      <c r="A1667" s="110" t="s">
        <v>557</v>
      </c>
      <c r="B1667" s="110"/>
      <c r="C1667" s="111" t="s">
        <v>37</v>
      </c>
      <c r="D1667" s="111">
        <v>2024</v>
      </c>
      <c r="E1667" s="146">
        <v>45535</v>
      </c>
      <c r="F1667" s="111"/>
      <c r="G1667" s="111">
        <v>91012061</v>
      </c>
      <c r="H1667" s="111"/>
      <c r="I1667" s="111"/>
      <c r="J1667" s="111"/>
      <c r="K1667" s="112" t="s">
        <v>562</v>
      </c>
      <c r="L1667" s="120">
        <v>2268</v>
      </c>
      <c r="M1667" s="120">
        <v>790.48</v>
      </c>
      <c r="N1667" s="120">
        <f t="shared" si="1653"/>
        <v>1477.52</v>
      </c>
      <c r="O1667" s="119">
        <f t="shared" si="1654"/>
        <v>0.65146384479717812</v>
      </c>
      <c r="P1667" s="117">
        <v>2268</v>
      </c>
      <c r="Q1667" s="111">
        <v>3513</v>
      </c>
      <c r="R1667" s="117"/>
      <c r="S1667" s="117"/>
      <c r="T1667" s="117"/>
      <c r="U1667" s="117">
        <v>939.49</v>
      </c>
      <c r="V1667" s="117"/>
      <c r="W1667" s="26">
        <f t="shared" si="1647"/>
        <v>939.49</v>
      </c>
      <c r="X1667" s="118" t="str">
        <f t="shared" si="1648"/>
        <v/>
      </c>
      <c r="Y1667" s="119">
        <f t="shared" si="1655"/>
        <v>0.41423721340388009</v>
      </c>
      <c r="Z1667" s="117">
        <f t="shared" si="1649"/>
        <v>1328.51</v>
      </c>
      <c r="AA1667" s="119">
        <f t="shared" si="1650"/>
        <v>0.58576278659611991</v>
      </c>
      <c r="AB1667" s="120">
        <f t="shared" si="1651"/>
        <v>-149.01</v>
      </c>
      <c r="AC1667" s="119">
        <f t="shared" si="1652"/>
        <v>-6.5701058201058204E-2</v>
      </c>
      <c r="AD1667" s="110"/>
      <c r="AE1667" s="110"/>
      <c r="AF1667" s="110"/>
      <c r="AG1667" s="121"/>
      <c r="AH1667" s="110"/>
    </row>
    <row r="1668" spans="1:34" ht="11.25" customHeight="1" x14ac:dyDescent="0.15">
      <c r="A1668" s="110" t="s">
        <v>557</v>
      </c>
      <c r="B1668" s="110"/>
      <c r="C1668" s="111" t="s">
        <v>37</v>
      </c>
      <c r="D1668" s="111">
        <v>2024</v>
      </c>
      <c r="E1668" s="146">
        <v>45535</v>
      </c>
      <c r="F1668" s="111"/>
      <c r="G1668" s="111">
        <v>31030020</v>
      </c>
      <c r="H1668" s="111"/>
      <c r="I1668" s="111"/>
      <c r="J1668" s="111"/>
      <c r="K1668" s="112" t="s">
        <v>441</v>
      </c>
      <c r="L1668" s="120">
        <v>40534</v>
      </c>
      <c r="M1668" s="120">
        <v>13810.73</v>
      </c>
      <c r="N1668" s="120">
        <f t="shared" si="1653"/>
        <v>26723.27</v>
      </c>
      <c r="O1668" s="119">
        <f t="shared" si="1654"/>
        <v>0.65928035723096656</v>
      </c>
      <c r="P1668" s="117">
        <v>40534</v>
      </c>
      <c r="Q1668" s="111">
        <v>3514</v>
      </c>
      <c r="R1668" s="117">
        <v>25.5</v>
      </c>
      <c r="S1668" s="117">
        <v>1027.02</v>
      </c>
      <c r="T1668" s="117"/>
      <c r="U1668" s="117">
        <v>10052.219999999999</v>
      </c>
      <c r="V1668" s="117"/>
      <c r="W1668" s="26">
        <f t="shared" si="1647"/>
        <v>11079.24</v>
      </c>
      <c r="X1668" s="118">
        <f t="shared" si="1648"/>
        <v>40.275294117647057</v>
      </c>
      <c r="Y1668" s="119">
        <f t="shared" si="1655"/>
        <v>0.24799476982286475</v>
      </c>
      <c r="Z1668" s="117">
        <f t="shared" si="1649"/>
        <v>29454.760000000002</v>
      </c>
      <c r="AA1668" s="119">
        <f t="shared" si="1650"/>
        <v>0.72666798243449948</v>
      </c>
      <c r="AB1668" s="120">
        <f t="shared" si="1651"/>
        <v>2731.49</v>
      </c>
      <c r="AC1668" s="119">
        <f t="shared" si="1652"/>
        <v>6.7387625203532919E-2</v>
      </c>
      <c r="AD1668" s="110"/>
      <c r="AE1668" s="110"/>
      <c r="AF1668" s="110"/>
      <c r="AG1668" s="121"/>
      <c r="AH1668" s="110"/>
    </row>
    <row r="1669" spans="1:34" s="216" customFormat="1" ht="11.25" customHeight="1" x14ac:dyDescent="0.15">
      <c r="A1669" s="53" t="s">
        <v>557</v>
      </c>
      <c r="B1669" s="53"/>
      <c r="C1669" s="54" t="s">
        <v>360</v>
      </c>
      <c r="D1669" s="54"/>
      <c r="E1669" s="70"/>
      <c r="F1669" s="54"/>
      <c r="G1669" s="54"/>
      <c r="H1669" s="54"/>
      <c r="I1669" s="54"/>
      <c r="J1669" s="54"/>
      <c r="K1669" s="106"/>
      <c r="L1669" s="24">
        <f>SUM(L1664:L1668)</f>
        <v>206550</v>
      </c>
      <c r="M1669" s="24">
        <f t="shared" ref="M1669" si="1656">SUM(M1664:M1668)</f>
        <v>53529.740000000005</v>
      </c>
      <c r="N1669" s="24">
        <f>SUM(N1664:N1668)</f>
        <v>153020.26</v>
      </c>
      <c r="O1669" s="57">
        <f t="shared" si="1654"/>
        <v>0.74083882837085457</v>
      </c>
      <c r="P1669" s="24">
        <v>206550</v>
      </c>
      <c r="Q1669" s="24"/>
      <c r="R1669" s="117">
        <f>SUM(R1664:R1668)</f>
        <v>59.5</v>
      </c>
      <c r="S1669" s="117">
        <f t="shared" ref="S1669:V1669" si="1657">SUM(S1664:S1668)</f>
        <v>2375.59</v>
      </c>
      <c r="T1669" s="117">
        <f t="shared" si="1657"/>
        <v>0</v>
      </c>
      <c r="U1669" s="117">
        <f t="shared" si="1657"/>
        <v>45257.1</v>
      </c>
      <c r="V1669" s="117">
        <f t="shared" si="1657"/>
        <v>0</v>
      </c>
      <c r="W1669" s="26">
        <f t="shared" ref="W1669" si="1658">SUM(W1664:W1668)</f>
        <v>47632.689999999995</v>
      </c>
      <c r="X1669" s="56">
        <f t="shared" si="1648"/>
        <v>39.92588235294118</v>
      </c>
      <c r="Y1669" s="57">
        <f t="shared" si="1655"/>
        <v>0.21910965867828613</v>
      </c>
      <c r="Z1669" s="28">
        <f t="shared" si="1649"/>
        <v>158917.31</v>
      </c>
      <c r="AA1669" s="57">
        <f t="shared" si="1650"/>
        <v>0.76938905833938509</v>
      </c>
      <c r="AB1669" s="58">
        <f t="shared" si="1651"/>
        <v>5897.0500000000102</v>
      </c>
      <c r="AC1669" s="57">
        <f t="shared" si="1652"/>
        <v>2.8550229968530516E-2</v>
      </c>
      <c r="AD1669" s="53"/>
      <c r="AE1669" s="53"/>
      <c r="AF1669" s="53"/>
      <c r="AG1669" s="61"/>
      <c r="AH1669" s="53"/>
    </row>
    <row r="1670" spans="1:34" ht="11.25" customHeight="1" x14ac:dyDescent="0.15">
      <c r="A1670" s="110" t="s">
        <v>557</v>
      </c>
      <c r="B1670" s="110"/>
      <c r="C1670" s="111" t="s">
        <v>47</v>
      </c>
      <c r="D1670" s="111">
        <v>2024</v>
      </c>
      <c r="E1670" s="146">
        <v>45535</v>
      </c>
      <c r="F1670" s="111"/>
      <c r="G1670" s="111">
        <v>51012011</v>
      </c>
      <c r="H1670" s="111"/>
      <c r="I1670" s="111"/>
      <c r="J1670" s="111"/>
      <c r="K1670" s="112" t="s">
        <v>852</v>
      </c>
      <c r="L1670" s="120">
        <v>55139</v>
      </c>
      <c r="M1670" s="120">
        <v>20703.04</v>
      </c>
      <c r="N1670" s="120">
        <f>L1670-M1670</f>
        <v>34435.96</v>
      </c>
      <c r="O1670" s="119">
        <f>IFERROR(N1670/L1670,"")</f>
        <v>0.62453000598487463</v>
      </c>
      <c r="P1670" s="117">
        <v>55139</v>
      </c>
      <c r="Q1670" s="111">
        <v>3515</v>
      </c>
      <c r="R1670" s="117">
        <v>136</v>
      </c>
      <c r="S1670" s="117">
        <v>6243.76</v>
      </c>
      <c r="T1670" s="117">
        <v>6463.06</v>
      </c>
      <c r="U1670" s="117">
        <v>2922.07</v>
      </c>
      <c r="V1670" s="117"/>
      <c r="W1670" s="26">
        <f t="shared" ref="W1670:W1674" si="1659">SUM(S1670:V1670)</f>
        <v>15628.89</v>
      </c>
      <c r="X1670" s="118">
        <f t="shared" si="1648"/>
        <v>45.910000000000004</v>
      </c>
      <c r="Y1670" s="119">
        <f t="shared" si="1655"/>
        <v>5.29946136128693E-2</v>
      </c>
      <c r="Z1670" s="117">
        <f t="shared" si="1649"/>
        <v>39510.11</v>
      </c>
      <c r="AA1670" s="119">
        <f t="shared" si="1650"/>
        <v>0.71655470719454473</v>
      </c>
      <c r="AB1670" s="120">
        <f t="shared" si="1651"/>
        <v>5074.1500000000015</v>
      </c>
      <c r="AC1670" s="119">
        <f t="shared" si="1652"/>
        <v>9.2024701209670101E-2</v>
      </c>
      <c r="AD1670" s="110"/>
      <c r="AE1670" s="110"/>
      <c r="AF1670" s="110"/>
      <c r="AG1670" s="121"/>
      <c r="AH1670" s="110"/>
    </row>
    <row r="1671" spans="1:34" ht="11.25" customHeight="1" x14ac:dyDescent="0.15">
      <c r="A1671" s="110" t="s">
        <v>557</v>
      </c>
      <c r="B1671" s="110"/>
      <c r="C1671" s="111" t="s">
        <v>248</v>
      </c>
      <c r="D1671" s="111">
        <v>2024</v>
      </c>
      <c r="E1671" s="146">
        <v>45535</v>
      </c>
      <c r="F1671" s="111"/>
      <c r="G1671" s="111">
        <v>96000000</v>
      </c>
      <c r="H1671" s="111"/>
      <c r="I1671" s="111"/>
      <c r="J1671" s="111"/>
      <c r="K1671" s="112" t="s">
        <v>250</v>
      </c>
      <c r="L1671" s="120">
        <v>16355</v>
      </c>
      <c r="M1671" s="120">
        <v>8696</v>
      </c>
      <c r="N1671" s="120">
        <f t="shared" ref="N1671:N1674" si="1660">L1671-M1671</f>
        <v>7659</v>
      </c>
      <c r="O1671" s="119">
        <f t="shared" ref="O1671:O1674" si="1661">IFERROR(N1671/L1671,"")</f>
        <v>0.46829715683277284</v>
      </c>
      <c r="P1671" s="117">
        <v>16355</v>
      </c>
      <c r="Q1671" s="111">
        <v>3516</v>
      </c>
      <c r="R1671" s="117">
        <v>8</v>
      </c>
      <c r="S1671" s="117">
        <v>452.4</v>
      </c>
      <c r="T1671" s="117"/>
      <c r="U1671" s="117"/>
      <c r="V1671" s="117"/>
      <c r="W1671" s="26">
        <f t="shared" si="1659"/>
        <v>452.4</v>
      </c>
      <c r="X1671" s="118">
        <f t="shared" si="1648"/>
        <v>56.55</v>
      </c>
      <c r="Y1671" s="119">
        <f t="shared" si="1655"/>
        <v>0</v>
      </c>
      <c r="Z1671" s="117">
        <f t="shared" si="1649"/>
        <v>15902.6</v>
      </c>
      <c r="AA1671" s="119">
        <f t="shared" si="1650"/>
        <v>0.97233873433200857</v>
      </c>
      <c r="AB1671" s="120">
        <f t="shared" si="1651"/>
        <v>8243.6</v>
      </c>
      <c r="AC1671" s="119">
        <f t="shared" si="1652"/>
        <v>0.50404157749923573</v>
      </c>
      <c r="AD1671" s="110"/>
      <c r="AE1671" s="110"/>
      <c r="AF1671" s="110"/>
      <c r="AG1671" s="121"/>
      <c r="AH1671" s="110"/>
    </row>
    <row r="1672" spans="1:34" ht="11.25" customHeight="1" x14ac:dyDescent="0.15">
      <c r="A1672" s="110" t="s">
        <v>557</v>
      </c>
      <c r="B1672" s="110"/>
      <c r="C1672" s="111" t="s">
        <v>55</v>
      </c>
      <c r="D1672" s="111">
        <v>2024</v>
      </c>
      <c r="E1672" s="146">
        <v>45535</v>
      </c>
      <c r="F1672" s="111"/>
      <c r="G1672" s="111" t="s">
        <v>56</v>
      </c>
      <c r="H1672" s="111"/>
      <c r="I1672" s="111"/>
      <c r="J1672" s="111"/>
      <c r="K1672" s="112" t="s">
        <v>71</v>
      </c>
      <c r="L1672" s="120">
        <v>3955</v>
      </c>
      <c r="M1672" s="120">
        <v>1900</v>
      </c>
      <c r="N1672" s="120">
        <f t="shared" si="1660"/>
        <v>2055</v>
      </c>
      <c r="O1672" s="119">
        <f t="shared" si="1661"/>
        <v>0.51959544879898867</v>
      </c>
      <c r="P1672" s="117">
        <v>3955</v>
      </c>
      <c r="Q1672" s="111">
        <v>3517</v>
      </c>
      <c r="R1672" s="117">
        <v>17</v>
      </c>
      <c r="S1672" s="117">
        <v>722.5</v>
      </c>
      <c r="T1672" s="117"/>
      <c r="U1672" s="117"/>
      <c r="V1672" s="117">
        <v>767.41</v>
      </c>
      <c r="W1672" s="26">
        <f t="shared" si="1659"/>
        <v>1489.9099999999999</v>
      </c>
      <c r="X1672" s="118">
        <f t="shared" si="1648"/>
        <v>42.5</v>
      </c>
      <c r="Y1672" s="119">
        <f t="shared" si="1655"/>
        <v>0</v>
      </c>
      <c r="Z1672" s="117">
        <f t="shared" si="1649"/>
        <v>2465.09</v>
      </c>
      <c r="AA1672" s="119">
        <f t="shared" si="1650"/>
        <v>0.6232844500632112</v>
      </c>
      <c r="AB1672" s="120">
        <f t="shared" si="1651"/>
        <v>410.09000000000015</v>
      </c>
      <c r="AC1672" s="119">
        <f t="shared" si="1652"/>
        <v>0.10368900126422254</v>
      </c>
      <c r="AD1672" s="110"/>
      <c r="AE1672" s="110"/>
      <c r="AF1672" s="110"/>
      <c r="AG1672" s="121"/>
      <c r="AH1672" s="110"/>
    </row>
    <row r="1673" spans="1:34" ht="11.25" customHeight="1" x14ac:dyDescent="0.15">
      <c r="A1673" s="110" t="s">
        <v>557</v>
      </c>
      <c r="B1673" s="110"/>
      <c r="C1673" s="111" t="s">
        <v>58</v>
      </c>
      <c r="D1673" s="111">
        <v>2024</v>
      </c>
      <c r="E1673" s="146">
        <v>45535</v>
      </c>
      <c r="F1673" s="111"/>
      <c r="G1673" s="111">
        <v>71122012</v>
      </c>
      <c r="H1673" s="111"/>
      <c r="I1673" s="111"/>
      <c r="J1673" s="111"/>
      <c r="K1673" s="112" t="s">
        <v>712</v>
      </c>
      <c r="L1673" s="120">
        <v>37111</v>
      </c>
      <c r="M1673" s="120">
        <v>5310.8</v>
      </c>
      <c r="N1673" s="120">
        <f t="shared" si="1660"/>
        <v>31800.2</v>
      </c>
      <c r="O1673" s="119">
        <f t="shared" si="1661"/>
        <v>0.85689418231791115</v>
      </c>
      <c r="P1673" s="117">
        <v>37111</v>
      </c>
      <c r="Q1673" s="111">
        <v>3518</v>
      </c>
      <c r="R1673" s="117"/>
      <c r="S1673" s="117"/>
      <c r="T1673" s="117"/>
      <c r="U1673" s="117">
        <v>1873.86</v>
      </c>
      <c r="V1673" s="117"/>
      <c r="W1673" s="26">
        <f t="shared" si="1659"/>
        <v>1873.86</v>
      </c>
      <c r="X1673" s="118" t="str">
        <f t="shared" si="1648"/>
        <v/>
      </c>
      <c r="Y1673" s="119">
        <f t="shared" si="1655"/>
        <v>5.0493384710732662E-2</v>
      </c>
      <c r="Z1673" s="117">
        <f t="shared" si="1649"/>
        <v>35237.14</v>
      </c>
      <c r="AA1673" s="119">
        <f t="shared" si="1650"/>
        <v>0.94950661528926728</v>
      </c>
      <c r="AB1673" s="120">
        <f t="shared" si="1651"/>
        <v>3436.9400000000005</v>
      </c>
      <c r="AC1673" s="119">
        <f t="shared" si="1652"/>
        <v>9.2612432971356129E-2</v>
      </c>
      <c r="AD1673" s="110"/>
      <c r="AE1673" s="110"/>
      <c r="AF1673" s="110"/>
      <c r="AG1673" s="121"/>
      <c r="AH1673" s="110"/>
    </row>
    <row r="1674" spans="1:34" ht="11.25" customHeight="1" x14ac:dyDescent="0.15">
      <c r="A1674" s="110" t="s">
        <v>557</v>
      </c>
      <c r="B1674" s="110"/>
      <c r="C1674" s="111" t="s">
        <v>49</v>
      </c>
      <c r="D1674" s="111">
        <v>2024</v>
      </c>
      <c r="E1674" s="146">
        <v>45535</v>
      </c>
      <c r="F1674" s="111"/>
      <c r="G1674" s="111">
        <v>61622012</v>
      </c>
      <c r="H1674" s="111"/>
      <c r="I1674" s="111"/>
      <c r="J1674" s="111"/>
      <c r="K1674" s="112" t="s">
        <v>85</v>
      </c>
      <c r="L1674" s="120">
        <v>10238</v>
      </c>
      <c r="M1674" s="120">
        <v>7072.32</v>
      </c>
      <c r="N1674" s="120">
        <f t="shared" si="1660"/>
        <v>3165.6800000000003</v>
      </c>
      <c r="O1674" s="119">
        <f t="shared" si="1661"/>
        <v>0.30920882984958004</v>
      </c>
      <c r="P1674" s="117">
        <v>10238</v>
      </c>
      <c r="Q1674" s="111">
        <v>3519</v>
      </c>
      <c r="R1674" s="117">
        <v>29</v>
      </c>
      <c r="S1674" s="117">
        <v>1639.95</v>
      </c>
      <c r="T1674" s="117">
        <v>1215.1600000000001</v>
      </c>
      <c r="U1674" s="117"/>
      <c r="V1674" s="117"/>
      <c r="W1674" s="26">
        <f t="shared" si="1659"/>
        <v>2855.11</v>
      </c>
      <c r="X1674" s="118">
        <f t="shared" si="1648"/>
        <v>56.550000000000004</v>
      </c>
      <c r="Y1674" s="119">
        <f t="shared" si="1655"/>
        <v>0</v>
      </c>
      <c r="Z1674" s="117">
        <f t="shared" si="1649"/>
        <v>7382.8899999999994</v>
      </c>
      <c r="AA1674" s="119">
        <f t="shared" si="1650"/>
        <v>0.72112619652275833</v>
      </c>
      <c r="AB1674" s="120">
        <f t="shared" si="1651"/>
        <v>4217.2099999999991</v>
      </c>
      <c r="AC1674" s="119">
        <f t="shared" si="1652"/>
        <v>0.4119173666731783</v>
      </c>
      <c r="AD1674" s="110"/>
      <c r="AE1674" s="110"/>
      <c r="AF1674" s="110"/>
      <c r="AG1674" s="121"/>
      <c r="AH1674" s="110"/>
    </row>
    <row r="1675" spans="1:34" s="216" customFormat="1" ht="11.25" customHeight="1" x14ac:dyDescent="0.15">
      <c r="A1675" s="53" t="s">
        <v>557</v>
      </c>
      <c r="B1675" s="53"/>
      <c r="C1675" s="54" t="s">
        <v>177</v>
      </c>
      <c r="D1675" s="54"/>
      <c r="E1675" s="70"/>
      <c r="F1675" s="54"/>
      <c r="G1675" s="54"/>
      <c r="H1675" s="54"/>
      <c r="I1675" s="54"/>
      <c r="J1675" s="54"/>
      <c r="K1675" s="106"/>
      <c r="L1675" s="24">
        <f>SUM(L1669:L1674)</f>
        <v>329348</v>
      </c>
      <c r="M1675" s="24">
        <f t="shared" ref="M1675:N1675" si="1662">SUM(M1669:M1674)</f>
        <v>97211.9</v>
      </c>
      <c r="N1675" s="24">
        <f t="shared" si="1662"/>
        <v>232136.1</v>
      </c>
      <c r="O1675" s="57">
        <f>IFERROR(N1675/L1675,"")</f>
        <v>0.70483531097805363</v>
      </c>
      <c r="P1675" s="24">
        <v>329348</v>
      </c>
      <c r="Q1675" s="24"/>
      <c r="R1675" s="117">
        <f>SUM(R1669:R1674)</f>
        <v>249.5</v>
      </c>
      <c r="S1675" s="117">
        <f t="shared" ref="S1675:V1675" si="1663">SUM(S1669:S1674)</f>
        <v>11434.2</v>
      </c>
      <c r="T1675" s="117">
        <f t="shared" si="1663"/>
        <v>7678.22</v>
      </c>
      <c r="U1675" s="117">
        <f>SUM(U1669:U1674)</f>
        <v>50053.03</v>
      </c>
      <c r="V1675" s="117">
        <f t="shared" si="1663"/>
        <v>767.41</v>
      </c>
      <c r="W1675" s="26">
        <f t="shared" ref="W1675" si="1664">SUM(W1669:W1674)</f>
        <v>69932.86</v>
      </c>
      <c r="X1675" s="56">
        <f t="shared" si="1648"/>
        <v>45.828456913827658</v>
      </c>
      <c r="Y1675" s="57">
        <f t="shared" si="1655"/>
        <v>0.15197611644825534</v>
      </c>
      <c r="Z1675" s="28">
        <f t="shared" si="1649"/>
        <v>259415.14</v>
      </c>
      <c r="AA1675" s="57">
        <f t="shared" si="1650"/>
        <v>0.78766271542562882</v>
      </c>
      <c r="AB1675" s="58">
        <f t="shared" si="1651"/>
        <v>27279.039999999994</v>
      </c>
      <c r="AC1675" s="57">
        <f t="shared" si="1652"/>
        <v>8.2827404447575192E-2</v>
      </c>
      <c r="AD1675" s="53"/>
      <c r="AE1675" s="53"/>
      <c r="AF1675" s="53"/>
      <c r="AG1675" s="61"/>
      <c r="AH1675" s="53"/>
    </row>
    <row r="1676" spans="1:34" ht="11.25" customHeight="1" x14ac:dyDescent="0.15">
      <c r="A1676" s="110" t="s">
        <v>115</v>
      </c>
      <c r="B1676" s="110"/>
      <c r="C1676" s="111" t="s">
        <v>175</v>
      </c>
      <c r="D1676" s="111">
        <v>2024</v>
      </c>
      <c r="E1676" s="146">
        <v>45535</v>
      </c>
      <c r="F1676" s="111"/>
      <c r="G1676" s="111">
        <v>81000311</v>
      </c>
      <c r="H1676" s="111">
        <v>4111</v>
      </c>
      <c r="I1676" s="111" t="str">
        <f>MID(G1676,2,1)</f>
        <v>1</v>
      </c>
      <c r="J1676" s="111" t="str">
        <f>IF(I1676="1","Small/Medium","Large")</f>
        <v>Small/Medium</v>
      </c>
      <c r="K1676" s="147" t="s">
        <v>145</v>
      </c>
      <c r="L1676" s="120">
        <v>32247</v>
      </c>
      <c r="M1676" s="120">
        <f>L1676*0.3</f>
        <v>9674.1</v>
      </c>
      <c r="N1676" s="120">
        <f>L1676-M1676</f>
        <v>22572.9</v>
      </c>
      <c r="O1676" s="119">
        <f>IFERROR(N1676/L1676,"")</f>
        <v>0.70000000000000007</v>
      </c>
      <c r="P1676" s="120">
        <v>32247</v>
      </c>
      <c r="Q1676" s="111">
        <v>2145</v>
      </c>
      <c r="R1676" s="117">
        <v>15</v>
      </c>
      <c r="S1676" s="117">
        <v>673.2</v>
      </c>
      <c r="T1676" s="117">
        <v>653.45000000000005</v>
      </c>
      <c r="U1676" s="117">
        <v>1290.25</v>
      </c>
      <c r="V1676" s="117"/>
      <c r="W1676" s="26">
        <f>SUM(S1676:V1676)</f>
        <v>2616.9</v>
      </c>
      <c r="X1676" s="118">
        <f t="shared" ref="X1676:X1678" si="1665">IFERROR(S1676/R1676,"")</f>
        <v>44.88</v>
      </c>
      <c r="Y1676" s="119">
        <f t="shared" ref="Y1676:Y1678" si="1666">U1676/P1676</f>
        <v>4.0011473935559899E-2</v>
      </c>
      <c r="Z1676" s="117">
        <f t="shared" ref="Z1676:Z1678" si="1667">P1676-W1676</f>
        <v>29630.1</v>
      </c>
      <c r="AA1676" s="119">
        <f t="shared" ref="AA1676:AA1678" si="1668">Z1676/P1676</f>
        <v>0.91884826495487948</v>
      </c>
      <c r="AB1676" s="120">
        <f t="shared" ref="AB1676:AB1678" si="1669">M1676-W1676</f>
        <v>7057.2000000000007</v>
      </c>
      <c r="AC1676" s="119">
        <f t="shared" ref="AC1676:AC1678" si="1670">IFERROR(AA1676-O1676,"")</f>
        <v>0.21884826495487941</v>
      </c>
      <c r="AD1676" s="110"/>
      <c r="AE1676" s="110"/>
      <c r="AF1676" s="110"/>
      <c r="AG1676" s="121"/>
      <c r="AH1676" s="110"/>
    </row>
    <row r="1677" spans="1:34" ht="11.25" customHeight="1" x14ac:dyDescent="0.15">
      <c r="A1677" s="110" t="s">
        <v>115</v>
      </c>
      <c r="B1677" s="110"/>
      <c r="C1677" s="111" t="s">
        <v>175</v>
      </c>
      <c r="D1677" s="111">
        <v>2024</v>
      </c>
      <c r="E1677" s="146">
        <v>45535</v>
      </c>
      <c r="F1677" s="111"/>
      <c r="G1677" s="111">
        <v>82000311</v>
      </c>
      <c r="H1677" s="111">
        <v>4111</v>
      </c>
      <c r="I1677" s="111" t="str">
        <f>MID(G1677,2,1)</f>
        <v>2</v>
      </c>
      <c r="J1677" s="111" t="str">
        <f>IF(I1677="1","Small/Medium","Large")</f>
        <v>Large</v>
      </c>
      <c r="K1677" s="147" t="s">
        <v>145</v>
      </c>
      <c r="L1677" s="120">
        <v>14466</v>
      </c>
      <c r="M1677" s="120">
        <f>L1677*0.3</f>
        <v>4339.8</v>
      </c>
      <c r="N1677" s="120">
        <f>L1677-M1677</f>
        <v>10126.200000000001</v>
      </c>
      <c r="O1677" s="119">
        <f>IFERROR(N1677/L1677,"")</f>
        <v>0.70000000000000007</v>
      </c>
      <c r="P1677" s="120">
        <v>14466</v>
      </c>
      <c r="Q1677" s="111">
        <v>2146</v>
      </c>
      <c r="R1677" s="117">
        <v>19</v>
      </c>
      <c r="S1677" s="117">
        <v>852.72</v>
      </c>
      <c r="T1677" s="117">
        <v>351.86</v>
      </c>
      <c r="U1677" s="117">
        <v>694.75</v>
      </c>
      <c r="V1677" s="117"/>
      <c r="W1677" s="26">
        <f>SUM(S1677:V1677)</f>
        <v>1899.33</v>
      </c>
      <c r="X1677" s="118">
        <f t="shared" si="1665"/>
        <v>44.88</v>
      </c>
      <c r="Y1677" s="119">
        <f t="shared" si="1666"/>
        <v>4.8026406746854697E-2</v>
      </c>
      <c r="Z1677" s="117">
        <f t="shared" si="1667"/>
        <v>12566.67</v>
      </c>
      <c r="AA1677" s="119">
        <f t="shared" si="1668"/>
        <v>0.86870385732061384</v>
      </c>
      <c r="AB1677" s="120">
        <f t="shared" si="1669"/>
        <v>2440.4700000000003</v>
      </c>
      <c r="AC1677" s="119">
        <f t="shared" si="1670"/>
        <v>0.16870385732061377</v>
      </c>
      <c r="AD1677" s="110"/>
      <c r="AE1677" s="110"/>
      <c r="AF1677" s="110"/>
      <c r="AG1677" s="121"/>
      <c r="AH1677" s="110"/>
    </row>
    <row r="1678" spans="1:34" s="216" customFormat="1" ht="11.25" customHeight="1" x14ac:dyDescent="0.15">
      <c r="A1678" s="53" t="s">
        <v>115</v>
      </c>
      <c r="B1678" s="53"/>
      <c r="C1678" s="54" t="s">
        <v>177</v>
      </c>
      <c r="D1678" s="54"/>
      <c r="E1678" s="70"/>
      <c r="F1678" s="54"/>
      <c r="G1678" s="54"/>
      <c r="H1678" s="54"/>
      <c r="I1678" s="54"/>
      <c r="J1678" s="54"/>
      <c r="K1678" s="106"/>
      <c r="L1678" s="24">
        <f>SUM(L1676:L1677)</f>
        <v>46713</v>
      </c>
      <c r="M1678" s="24">
        <f t="shared" ref="M1678:N1678" si="1671">SUM(M1676:M1677)</f>
        <v>14013.900000000001</v>
      </c>
      <c r="N1678" s="24">
        <f t="shared" si="1671"/>
        <v>32699.100000000002</v>
      </c>
      <c r="O1678" s="57">
        <f>IFERROR(N1678/L1678,"")</f>
        <v>0.70000000000000007</v>
      </c>
      <c r="P1678" s="24">
        <f>SUM(P1676:P1677)</f>
        <v>46713</v>
      </c>
      <c r="Q1678" s="24"/>
      <c r="R1678" s="117">
        <f>SUM(R1676:R1677)</f>
        <v>34</v>
      </c>
      <c r="S1678" s="117">
        <f t="shared" ref="S1678:V1678" si="1672">SUM(S1676:S1677)</f>
        <v>1525.92</v>
      </c>
      <c r="T1678" s="117">
        <f t="shared" si="1672"/>
        <v>1005.3100000000001</v>
      </c>
      <c r="U1678" s="117">
        <f t="shared" si="1672"/>
        <v>1985</v>
      </c>
      <c r="V1678" s="117">
        <f t="shared" si="1672"/>
        <v>0</v>
      </c>
      <c r="W1678" s="26">
        <f t="shared" ref="W1678" si="1673">SUM(W1676:W1677)</f>
        <v>4516.2299999999996</v>
      </c>
      <c r="X1678" s="56">
        <f t="shared" si="1665"/>
        <v>44.88</v>
      </c>
      <c r="Y1678" s="57">
        <f t="shared" si="1666"/>
        <v>4.2493524286601157E-2</v>
      </c>
      <c r="Z1678" s="28">
        <f t="shared" si="1667"/>
        <v>42196.770000000004</v>
      </c>
      <c r="AA1678" s="57">
        <f t="shared" si="1668"/>
        <v>0.90331963265044002</v>
      </c>
      <c r="AB1678" s="58">
        <f t="shared" si="1669"/>
        <v>9497.6700000000019</v>
      </c>
      <c r="AC1678" s="57">
        <f t="shared" si="1670"/>
        <v>0.20331963265043995</v>
      </c>
      <c r="AD1678" s="53"/>
      <c r="AE1678" s="53"/>
      <c r="AF1678" s="53"/>
      <c r="AG1678" s="61"/>
      <c r="AH1678" s="53"/>
    </row>
    <row r="1679" spans="1:34" ht="11.25" customHeight="1" x14ac:dyDescent="0.15">
      <c r="A1679" s="130"/>
      <c r="B1679" s="130"/>
      <c r="C1679" s="124"/>
      <c r="D1679" s="124"/>
      <c r="E1679" s="273"/>
      <c r="F1679" s="124"/>
      <c r="G1679" s="124"/>
      <c r="H1679" s="124"/>
      <c r="I1679" s="124"/>
      <c r="J1679" s="124"/>
      <c r="K1679" s="125"/>
      <c r="L1679" s="129"/>
      <c r="M1679" s="129"/>
      <c r="N1679" s="129"/>
      <c r="O1679" s="128"/>
      <c r="P1679" s="129"/>
      <c r="Q1679" s="124"/>
      <c r="R1679" s="117"/>
      <c r="S1679" s="117"/>
      <c r="T1679" s="117"/>
      <c r="U1679" s="117"/>
      <c r="V1679" s="117"/>
      <c r="X1679" s="45"/>
      <c r="Y1679" s="128"/>
      <c r="Z1679" s="126"/>
      <c r="AA1679" s="128"/>
      <c r="AB1679" s="129"/>
      <c r="AC1679" s="160"/>
      <c r="AD1679" s="137"/>
      <c r="AE1679" s="110"/>
      <c r="AF1679" s="110"/>
      <c r="AG1679" s="121"/>
      <c r="AH1679" s="110"/>
    </row>
    <row r="1680" spans="1:34" ht="11.25" customHeight="1" x14ac:dyDescent="0.15">
      <c r="A1680" s="110" t="s">
        <v>109</v>
      </c>
      <c r="B1680" s="110"/>
      <c r="C1680" s="111" t="s">
        <v>175</v>
      </c>
      <c r="D1680" s="111">
        <v>2024</v>
      </c>
      <c r="E1680" s="146">
        <v>45535</v>
      </c>
      <c r="F1680" s="111"/>
      <c r="G1680" s="111">
        <v>81100311</v>
      </c>
      <c r="H1680" s="111">
        <v>4101</v>
      </c>
      <c r="I1680" s="111" t="str">
        <f>MID(G1680,2,1)</f>
        <v>1</v>
      </c>
      <c r="J1680" s="111" t="str">
        <f>IF(I1680="1","Small/Medium","Large")</f>
        <v>Small/Medium</v>
      </c>
      <c r="K1680" s="147" t="s">
        <v>145</v>
      </c>
      <c r="L1680" s="120">
        <v>11572</v>
      </c>
      <c r="M1680" s="120">
        <f>L1680*0.3</f>
        <v>3471.6</v>
      </c>
      <c r="N1680" s="120">
        <f>L1680-M1680</f>
        <v>8100.4</v>
      </c>
      <c r="O1680" s="119">
        <f>IFERROR(N1680/L1680,"")</f>
        <v>0.7</v>
      </c>
      <c r="P1680" s="120">
        <v>11572</v>
      </c>
      <c r="Q1680" s="111">
        <v>2727</v>
      </c>
      <c r="R1680" s="117">
        <v>20</v>
      </c>
      <c r="S1680" s="117">
        <v>897.6</v>
      </c>
      <c r="T1680" s="117">
        <v>1005.3</v>
      </c>
      <c r="U1680" s="117">
        <v>649.42999999999995</v>
      </c>
      <c r="V1680" s="117">
        <v>249.25</v>
      </c>
      <c r="W1680" s="26">
        <f>SUM(S1680:V1680)</f>
        <v>2801.58</v>
      </c>
      <c r="X1680" s="118">
        <f t="shared" ref="X1680:X1681" si="1674">IFERROR(S1680/R1680,"")</f>
        <v>44.88</v>
      </c>
      <c r="Y1680" s="119">
        <f>IFERROR(U1680/P1680,0)</f>
        <v>5.6120808848945727E-2</v>
      </c>
      <c r="Z1680" s="117">
        <f t="shared" ref="Z1680:Z1681" si="1675">P1680-W1680</f>
        <v>8770.42</v>
      </c>
      <c r="AA1680" s="119">
        <f>IFERROR(Z1680/P1680,0)</f>
        <v>0.75790010369858274</v>
      </c>
      <c r="AB1680" s="120">
        <f t="shared" ref="AB1680:AB1681" si="1676">M1680-W1680</f>
        <v>670.02</v>
      </c>
      <c r="AC1680" s="119">
        <f t="shared" ref="AC1680:AC1681" si="1677">IFERROR(AA1680-O1680,"")</f>
        <v>5.7900103698582783E-2</v>
      </c>
      <c r="AD1680" s="110"/>
      <c r="AE1680" s="110"/>
      <c r="AF1680" s="110"/>
      <c r="AG1680" s="121"/>
      <c r="AH1680" s="110"/>
    </row>
    <row r="1681" spans="1:34" s="216" customFormat="1" ht="11.25" customHeight="1" x14ac:dyDescent="0.15">
      <c r="A1681" s="53" t="s">
        <v>109</v>
      </c>
      <c r="B1681" s="53"/>
      <c r="C1681" s="54" t="s">
        <v>177</v>
      </c>
      <c r="D1681" s="54"/>
      <c r="E1681" s="70"/>
      <c r="F1681" s="54"/>
      <c r="G1681" s="54"/>
      <c r="H1681" s="54"/>
      <c r="I1681" s="54"/>
      <c r="J1681" s="54"/>
      <c r="K1681" s="106"/>
      <c r="L1681" s="24">
        <f>SUM(L1680)</f>
        <v>11572</v>
      </c>
      <c r="M1681" s="24">
        <f t="shared" ref="M1681:N1681" si="1678">SUM(M1680)</f>
        <v>3471.6</v>
      </c>
      <c r="N1681" s="24">
        <f t="shared" si="1678"/>
        <v>8100.4</v>
      </c>
      <c r="O1681" s="57">
        <f>IFERROR(N1681/L1681,"")</f>
        <v>0.7</v>
      </c>
      <c r="P1681" s="24">
        <f>SUM(P1680)</f>
        <v>11572</v>
      </c>
      <c r="Q1681" s="24"/>
      <c r="R1681" s="117">
        <f>SUM(R1680)</f>
        <v>20</v>
      </c>
      <c r="S1681" s="117">
        <f t="shared" ref="S1681:V1681" si="1679">SUM(S1680)</f>
        <v>897.6</v>
      </c>
      <c r="T1681" s="117">
        <f t="shared" si="1679"/>
        <v>1005.3</v>
      </c>
      <c r="U1681" s="117">
        <f t="shared" si="1679"/>
        <v>649.42999999999995</v>
      </c>
      <c r="V1681" s="117">
        <f t="shared" si="1679"/>
        <v>249.25</v>
      </c>
      <c r="W1681" s="26">
        <f t="shared" ref="W1681" si="1680">SUM(W1680)</f>
        <v>2801.58</v>
      </c>
      <c r="X1681" s="56">
        <f t="shared" si="1674"/>
        <v>44.88</v>
      </c>
      <c r="Y1681" s="57">
        <f>IFERROR(U1681/P1681,0)</f>
        <v>5.6120808848945727E-2</v>
      </c>
      <c r="Z1681" s="28">
        <f t="shared" si="1675"/>
        <v>8770.42</v>
      </c>
      <c r="AA1681" s="57">
        <f>IFERROR(Z1681/P1681,0)</f>
        <v>0.75790010369858274</v>
      </c>
      <c r="AB1681" s="58">
        <f t="shared" si="1676"/>
        <v>670.02</v>
      </c>
      <c r="AC1681" s="57">
        <f t="shared" si="1677"/>
        <v>5.7900103698582783E-2</v>
      </c>
      <c r="AD1681" s="53"/>
      <c r="AE1681" s="53"/>
      <c r="AF1681" s="53"/>
      <c r="AG1681" s="61"/>
      <c r="AH1681" s="53"/>
    </row>
    <row r="1682" spans="1:34" ht="11.25" customHeight="1" x14ac:dyDescent="0.15">
      <c r="A1682" s="130"/>
      <c r="B1682" s="130"/>
      <c r="C1682" s="124"/>
      <c r="D1682" s="124"/>
      <c r="E1682" s="273"/>
      <c r="F1682" s="124"/>
      <c r="G1682" s="124"/>
      <c r="H1682" s="124"/>
      <c r="I1682" s="124"/>
      <c r="J1682" s="124"/>
      <c r="K1682" s="125"/>
      <c r="L1682" s="129"/>
      <c r="M1682" s="129"/>
      <c r="N1682" s="129"/>
      <c r="O1682" s="128"/>
      <c r="P1682" s="129"/>
      <c r="Q1682" s="124"/>
      <c r="R1682" s="117"/>
      <c r="S1682" s="117"/>
      <c r="T1682" s="117"/>
      <c r="U1682" s="117"/>
      <c r="V1682" s="117"/>
      <c r="X1682" s="45"/>
      <c r="Y1682" s="128"/>
      <c r="Z1682" s="126"/>
      <c r="AA1682" s="128"/>
      <c r="AB1682" s="129"/>
      <c r="AC1682" s="160"/>
      <c r="AD1682" s="137"/>
      <c r="AE1682" s="110"/>
      <c r="AF1682" s="110"/>
      <c r="AG1682" s="121"/>
      <c r="AH1682" s="110"/>
    </row>
    <row r="1683" spans="1:34" ht="11.25" customHeight="1" x14ac:dyDescent="0.15">
      <c r="A1683" s="110" t="s">
        <v>301</v>
      </c>
      <c r="B1683" s="110"/>
      <c r="C1683" s="111" t="s">
        <v>175</v>
      </c>
      <c r="D1683" s="111">
        <v>2024</v>
      </c>
      <c r="E1683" s="146">
        <v>45565</v>
      </c>
      <c r="F1683" s="111"/>
      <c r="G1683" s="111">
        <v>81100011</v>
      </c>
      <c r="H1683" s="111">
        <v>4111</v>
      </c>
      <c r="I1683" s="111" t="str">
        <f>MID(G1683,2,1)</f>
        <v>1</v>
      </c>
      <c r="J1683" s="111" t="str">
        <f>IF(I1683="1","Small/Medium","Large")</f>
        <v>Small/Medium</v>
      </c>
      <c r="K1683" s="147" t="s">
        <v>145</v>
      </c>
      <c r="L1683" s="120">
        <v>10471</v>
      </c>
      <c r="M1683" s="120">
        <f>L1683*0.3</f>
        <v>3141.2999999999997</v>
      </c>
      <c r="N1683" s="120">
        <f>L1683-M1683</f>
        <v>7329.7000000000007</v>
      </c>
      <c r="O1683" s="119">
        <f>IFERROR(N1683/L1683,"")</f>
        <v>0.70000000000000007</v>
      </c>
      <c r="P1683" s="120">
        <v>10471</v>
      </c>
      <c r="Q1683" s="111">
        <v>2748</v>
      </c>
      <c r="R1683" s="117">
        <v>25</v>
      </c>
      <c r="S1683" s="117">
        <v>1172</v>
      </c>
      <c r="T1683" s="117">
        <v>1063.5999999999999</v>
      </c>
      <c r="U1683" s="117">
        <v>355</v>
      </c>
      <c r="V1683" s="117"/>
      <c r="W1683" s="26">
        <f>SUM(S1683:V1683)</f>
        <v>2590.6</v>
      </c>
      <c r="X1683" s="118">
        <f t="shared" ref="X1683:X1684" si="1681">IFERROR(S1683/R1683,"")</f>
        <v>46.88</v>
      </c>
      <c r="Y1683" s="119">
        <f>IFERROR(U1683/P1683,0)</f>
        <v>3.3903161111641676E-2</v>
      </c>
      <c r="Z1683" s="117">
        <f t="shared" ref="Z1683:Z1684" si="1682">P1683-W1683</f>
        <v>7880.4</v>
      </c>
      <c r="AA1683" s="119">
        <f>IFERROR(Z1683/P1683,0)</f>
        <v>0.75259287556107346</v>
      </c>
      <c r="AB1683" s="120">
        <f t="shared" ref="AB1683:AB1684" si="1683">M1683-W1683</f>
        <v>550.69999999999982</v>
      </c>
      <c r="AC1683" s="119">
        <f t="shared" ref="AC1683:AC1684" si="1684">IFERROR(AA1683-O1683,"")</f>
        <v>5.2592875561073393E-2</v>
      </c>
      <c r="AD1683" s="110"/>
      <c r="AE1683" s="110"/>
      <c r="AF1683" s="110"/>
      <c r="AG1683" s="121"/>
      <c r="AH1683" s="110"/>
    </row>
    <row r="1684" spans="1:34" s="216" customFormat="1" ht="11.25" customHeight="1" x14ac:dyDescent="0.15">
      <c r="A1684" s="53" t="s">
        <v>301</v>
      </c>
      <c r="B1684" s="53"/>
      <c r="C1684" s="54" t="s">
        <v>177</v>
      </c>
      <c r="D1684" s="54"/>
      <c r="E1684" s="70"/>
      <c r="F1684" s="54"/>
      <c r="G1684" s="54"/>
      <c r="H1684" s="54"/>
      <c r="I1684" s="54"/>
      <c r="J1684" s="54"/>
      <c r="K1684" s="106"/>
      <c r="L1684" s="24">
        <f>SUM(L1683)</f>
        <v>10471</v>
      </c>
      <c r="M1684" s="24">
        <f t="shared" ref="M1684:N1684" si="1685">SUM(M1683)</f>
        <v>3141.2999999999997</v>
      </c>
      <c r="N1684" s="24">
        <f t="shared" si="1685"/>
        <v>7329.7000000000007</v>
      </c>
      <c r="O1684" s="57">
        <f>IFERROR(N1684/L1684,"")</f>
        <v>0.70000000000000007</v>
      </c>
      <c r="P1684" s="24">
        <f>SUM(P1683)</f>
        <v>10471</v>
      </c>
      <c r="Q1684" s="24"/>
      <c r="R1684" s="117">
        <f>SUM(R1683)</f>
        <v>25</v>
      </c>
      <c r="S1684" s="117">
        <f t="shared" ref="S1684" si="1686">SUM(S1683)</f>
        <v>1172</v>
      </c>
      <c r="T1684" s="117">
        <f t="shared" ref="T1684" si="1687">SUM(T1683)</f>
        <v>1063.5999999999999</v>
      </c>
      <c r="U1684" s="117">
        <f t="shared" ref="U1684" si="1688">SUM(U1683)</f>
        <v>355</v>
      </c>
      <c r="V1684" s="117">
        <f t="shared" ref="V1684" si="1689">SUM(V1683)</f>
        <v>0</v>
      </c>
      <c r="W1684" s="26">
        <f t="shared" ref="W1684" si="1690">SUM(W1683)</f>
        <v>2590.6</v>
      </c>
      <c r="X1684" s="56">
        <f t="shared" si="1681"/>
        <v>46.88</v>
      </c>
      <c r="Y1684" s="57">
        <f>IFERROR(U1684/P1684,0)</f>
        <v>3.3903161111641676E-2</v>
      </c>
      <c r="Z1684" s="28">
        <f t="shared" si="1682"/>
        <v>7880.4</v>
      </c>
      <c r="AA1684" s="57">
        <f>IFERROR(Z1684/P1684,0)</f>
        <v>0.75259287556107346</v>
      </c>
      <c r="AB1684" s="58">
        <f t="shared" si="1683"/>
        <v>550.69999999999982</v>
      </c>
      <c r="AC1684" s="57">
        <f t="shared" si="1684"/>
        <v>5.2592875561073393E-2</v>
      </c>
      <c r="AD1684" s="53"/>
      <c r="AE1684" s="53"/>
      <c r="AF1684" s="53"/>
      <c r="AG1684" s="61"/>
      <c r="AH1684" s="53"/>
    </row>
    <row r="1685" spans="1:34" ht="11.25" customHeight="1" x14ac:dyDescent="0.15">
      <c r="A1685" s="130"/>
      <c r="B1685" s="130"/>
      <c r="C1685" s="124"/>
      <c r="D1685" s="124"/>
      <c r="E1685" s="273"/>
      <c r="F1685" s="124"/>
      <c r="G1685" s="124"/>
      <c r="H1685" s="124"/>
      <c r="I1685" s="124"/>
      <c r="J1685" s="124"/>
      <c r="K1685" s="125"/>
      <c r="L1685" s="129"/>
      <c r="M1685" s="129"/>
      <c r="N1685" s="129"/>
      <c r="O1685" s="128"/>
      <c r="P1685" s="129"/>
      <c r="Q1685" s="124"/>
      <c r="R1685" s="117"/>
      <c r="S1685" s="117"/>
      <c r="T1685" s="117"/>
      <c r="U1685" s="117"/>
      <c r="V1685" s="117"/>
      <c r="X1685" s="45"/>
      <c r="Y1685" s="128"/>
      <c r="Z1685" s="126"/>
      <c r="AA1685" s="128"/>
      <c r="AB1685" s="129"/>
      <c r="AC1685" s="160"/>
      <c r="AD1685" s="137"/>
      <c r="AE1685" s="110"/>
      <c r="AF1685" s="110"/>
      <c r="AG1685" s="121"/>
      <c r="AH1685" s="110"/>
    </row>
    <row r="1686" spans="1:34" ht="11.25" customHeight="1" x14ac:dyDescent="0.15">
      <c r="A1686" s="110" t="s">
        <v>377</v>
      </c>
      <c r="B1686" s="110"/>
      <c r="C1686" s="111" t="s">
        <v>175</v>
      </c>
      <c r="D1686" s="111">
        <v>2024</v>
      </c>
      <c r="E1686" s="146">
        <v>45565</v>
      </c>
      <c r="F1686" s="111"/>
      <c r="G1686" s="111">
        <v>81100010</v>
      </c>
      <c r="H1686" s="111">
        <v>4101</v>
      </c>
      <c r="I1686" s="111" t="str">
        <f>MID(G1686,2,1)</f>
        <v>1</v>
      </c>
      <c r="J1686" s="111" t="str">
        <f>IF(I1686="1","Small/Medium","Large")</f>
        <v>Small/Medium</v>
      </c>
      <c r="K1686" s="147" t="s">
        <v>145</v>
      </c>
      <c r="L1686" s="120">
        <v>11410</v>
      </c>
      <c r="M1686" s="120">
        <f>L1686*0.3</f>
        <v>3423</v>
      </c>
      <c r="N1686" s="120">
        <f>L1686-M1686</f>
        <v>7987</v>
      </c>
      <c r="O1686" s="119">
        <f>IFERROR(N1686/L1686,"")</f>
        <v>0.7</v>
      </c>
      <c r="P1686" s="117">
        <v>11410</v>
      </c>
      <c r="Q1686" s="111">
        <v>4037</v>
      </c>
      <c r="R1686" s="117">
        <v>27.5</v>
      </c>
      <c r="S1686" s="117">
        <v>1289.2</v>
      </c>
      <c r="T1686" s="117">
        <v>702.6</v>
      </c>
      <c r="U1686" s="117">
        <v>380</v>
      </c>
      <c r="V1686" s="117"/>
      <c r="W1686" s="26">
        <f>SUM(S1686:V1686)</f>
        <v>2371.8000000000002</v>
      </c>
      <c r="X1686" s="118">
        <f t="shared" ref="X1686:X1687" si="1691">IFERROR(S1686/R1686,"")</f>
        <v>46.88</v>
      </c>
      <c r="Y1686" s="119">
        <f>IFERROR(U1686/P1686,0)</f>
        <v>3.3304119193689745E-2</v>
      </c>
      <c r="Z1686" s="117">
        <f t="shared" ref="Z1686:Z1687" si="1692">P1686-W1686</f>
        <v>9038.2000000000007</v>
      </c>
      <c r="AA1686" s="119">
        <f>IFERROR(Z1686/P1686,0)</f>
        <v>0.79212971078001759</v>
      </c>
      <c r="AB1686" s="120">
        <f t="shared" ref="AB1686:AB1687" si="1693">M1686-W1686</f>
        <v>1051.1999999999998</v>
      </c>
      <c r="AC1686" s="119">
        <f t="shared" ref="AC1686:AC1687" si="1694">IFERROR(AA1686-O1686,"")</f>
        <v>9.2129710780017637E-2</v>
      </c>
      <c r="AD1686" s="110"/>
      <c r="AE1686" s="110"/>
      <c r="AF1686" s="110"/>
      <c r="AG1686" s="121"/>
      <c r="AH1686" s="110"/>
    </row>
    <row r="1687" spans="1:34" s="216" customFormat="1" ht="11.25" customHeight="1" x14ac:dyDescent="0.15">
      <c r="A1687" s="53" t="s">
        <v>377</v>
      </c>
      <c r="B1687" s="53"/>
      <c r="C1687" s="54" t="s">
        <v>177</v>
      </c>
      <c r="D1687" s="54"/>
      <c r="E1687" s="70"/>
      <c r="F1687" s="54"/>
      <c r="G1687" s="54"/>
      <c r="H1687" s="54"/>
      <c r="I1687" s="54"/>
      <c r="J1687" s="54"/>
      <c r="K1687" s="106"/>
      <c r="L1687" s="24">
        <f>SUM(L1686)</f>
        <v>11410</v>
      </c>
      <c r="M1687" s="24">
        <f t="shared" ref="M1687:N1687" si="1695">SUM(M1686)</f>
        <v>3423</v>
      </c>
      <c r="N1687" s="24">
        <f t="shared" si="1695"/>
        <v>7987</v>
      </c>
      <c r="O1687" s="57">
        <f>IFERROR(N1687/L1687,"")</f>
        <v>0.7</v>
      </c>
      <c r="P1687" s="24">
        <f>SUM(P1686)</f>
        <v>11410</v>
      </c>
      <c r="Q1687" s="24"/>
      <c r="R1687" s="117">
        <f>SUM(R1686)</f>
        <v>27.5</v>
      </c>
      <c r="S1687" s="117">
        <f t="shared" ref="S1687:V1687" si="1696">SUM(S1686)</f>
        <v>1289.2</v>
      </c>
      <c r="T1687" s="117">
        <f t="shared" si="1696"/>
        <v>702.6</v>
      </c>
      <c r="U1687" s="117">
        <f t="shared" si="1696"/>
        <v>380</v>
      </c>
      <c r="V1687" s="117">
        <f t="shared" si="1696"/>
        <v>0</v>
      </c>
      <c r="W1687" s="26">
        <f t="shared" ref="W1687" si="1697">SUM(W1686)</f>
        <v>2371.8000000000002</v>
      </c>
      <c r="X1687" s="56">
        <f t="shared" si="1691"/>
        <v>46.88</v>
      </c>
      <c r="Y1687" s="57">
        <f>IFERROR(U1687/P1687,0)</f>
        <v>3.3304119193689745E-2</v>
      </c>
      <c r="Z1687" s="28">
        <f t="shared" si="1692"/>
        <v>9038.2000000000007</v>
      </c>
      <c r="AA1687" s="57">
        <f>IFERROR(Z1687/P1687,0)</f>
        <v>0.79212971078001759</v>
      </c>
      <c r="AB1687" s="58">
        <f t="shared" si="1693"/>
        <v>1051.1999999999998</v>
      </c>
      <c r="AC1687" s="57">
        <f t="shared" si="1694"/>
        <v>9.2129710780017637E-2</v>
      </c>
      <c r="AD1687" s="53"/>
      <c r="AE1687" s="53"/>
      <c r="AF1687" s="53"/>
      <c r="AG1687" s="61"/>
      <c r="AH1687" s="53"/>
    </row>
    <row r="1688" spans="1:34" ht="11.25" customHeight="1" x14ac:dyDescent="0.15">
      <c r="A1688" s="130"/>
      <c r="B1688" s="130"/>
      <c r="C1688" s="124"/>
      <c r="D1688" s="124"/>
      <c r="E1688" s="273"/>
      <c r="F1688" s="124"/>
      <c r="G1688" s="124"/>
      <c r="H1688" s="124"/>
      <c r="I1688" s="124"/>
      <c r="J1688" s="124"/>
      <c r="K1688" s="125"/>
      <c r="L1688" s="129"/>
      <c r="M1688" s="129"/>
      <c r="N1688" s="129"/>
      <c r="O1688" s="128"/>
      <c r="P1688" s="129"/>
      <c r="Q1688" s="124"/>
      <c r="R1688" s="117"/>
      <c r="S1688" s="117"/>
      <c r="T1688" s="117"/>
      <c r="U1688" s="117"/>
      <c r="V1688" s="117"/>
      <c r="X1688" s="45"/>
      <c r="Y1688" s="128"/>
      <c r="Z1688" s="126"/>
      <c r="AA1688" s="128"/>
      <c r="AB1688" s="129"/>
      <c r="AC1688" s="160"/>
      <c r="AD1688" s="137"/>
      <c r="AE1688" s="110"/>
      <c r="AF1688" s="110"/>
      <c r="AG1688" s="121"/>
      <c r="AH1688" s="110"/>
    </row>
    <row r="1689" spans="1:34" ht="11.25" customHeight="1" x14ac:dyDescent="0.15">
      <c r="A1689" s="110" t="s">
        <v>315</v>
      </c>
      <c r="B1689" s="110"/>
      <c r="C1689" s="111" t="s">
        <v>175</v>
      </c>
      <c r="D1689" s="111">
        <v>2024</v>
      </c>
      <c r="E1689" s="146">
        <v>45565</v>
      </c>
      <c r="F1689" s="111"/>
      <c r="G1689" s="111">
        <v>81100010</v>
      </c>
      <c r="H1689" s="111">
        <v>4101</v>
      </c>
      <c r="I1689" s="111" t="str">
        <f>MID(G1689,2,1)</f>
        <v>1</v>
      </c>
      <c r="J1689" s="111" t="str">
        <f>IF(I1689="1","Small/Medium","Large")</f>
        <v>Small/Medium</v>
      </c>
      <c r="K1689" s="147" t="s">
        <v>145</v>
      </c>
      <c r="L1689" s="120">
        <v>19269</v>
      </c>
      <c r="M1689" s="120">
        <f>L1689*0.3</f>
        <v>5780.7</v>
      </c>
      <c r="N1689" s="120">
        <f>L1689-M1689</f>
        <v>13488.3</v>
      </c>
      <c r="O1689" s="119">
        <f>IFERROR(N1689/L1689,"")</f>
        <v>0.7</v>
      </c>
      <c r="P1689" s="117">
        <v>19269</v>
      </c>
      <c r="Q1689" s="111">
        <v>3401</v>
      </c>
      <c r="R1689" s="117">
        <v>37</v>
      </c>
      <c r="S1689" s="117">
        <v>1734.56</v>
      </c>
      <c r="T1689" s="117">
        <v>1601.98</v>
      </c>
      <c r="U1689" s="117">
        <v>772.95</v>
      </c>
      <c r="V1689" s="117"/>
      <c r="W1689" s="26">
        <f>SUM(S1689:V1689)</f>
        <v>4109.49</v>
      </c>
      <c r="X1689" s="118">
        <f t="shared" ref="X1689:X1690" si="1698">IFERROR(S1689/R1689,"")</f>
        <v>46.879999999999995</v>
      </c>
      <c r="Y1689" s="119">
        <f>IFERROR(U1689/P1689,0)</f>
        <v>4.0113654055737198E-2</v>
      </c>
      <c r="Z1689" s="117">
        <f t="shared" ref="Z1689:Z1690" si="1699">P1689-W1689</f>
        <v>15159.51</v>
      </c>
      <c r="AA1689" s="119">
        <f>IFERROR(Z1689/P1689,0)</f>
        <v>0.78673049976646425</v>
      </c>
      <c r="AB1689" s="120">
        <f t="shared" ref="AB1689:AB1690" si="1700">M1689-W1689</f>
        <v>1671.21</v>
      </c>
      <c r="AC1689" s="119">
        <f t="shared" ref="AC1689:AC1690" si="1701">IFERROR(AA1689-O1689,"")</f>
        <v>8.6730499766464297E-2</v>
      </c>
      <c r="AD1689" s="110"/>
      <c r="AE1689" s="110"/>
      <c r="AF1689" s="110"/>
      <c r="AG1689" s="121"/>
      <c r="AH1689" s="110"/>
    </row>
    <row r="1690" spans="1:34" s="216" customFormat="1" ht="11.25" customHeight="1" x14ac:dyDescent="0.15">
      <c r="A1690" s="53" t="s">
        <v>315</v>
      </c>
      <c r="B1690" s="53"/>
      <c r="C1690" s="54" t="s">
        <v>177</v>
      </c>
      <c r="D1690" s="54"/>
      <c r="E1690" s="70"/>
      <c r="F1690" s="54"/>
      <c r="G1690" s="54"/>
      <c r="H1690" s="54"/>
      <c r="I1690" s="54"/>
      <c r="J1690" s="54"/>
      <c r="K1690" s="106"/>
      <c r="L1690" s="24">
        <f>SUM(L1689)</f>
        <v>19269</v>
      </c>
      <c r="M1690" s="24">
        <f t="shared" ref="M1690:N1690" si="1702">SUM(M1689)</f>
        <v>5780.7</v>
      </c>
      <c r="N1690" s="24">
        <f t="shared" si="1702"/>
        <v>13488.3</v>
      </c>
      <c r="O1690" s="57">
        <f>IFERROR(N1690/L1690,"")</f>
        <v>0.7</v>
      </c>
      <c r="P1690" s="24">
        <f>SUM(P1689)</f>
        <v>19269</v>
      </c>
      <c r="Q1690" s="24"/>
      <c r="R1690" s="117">
        <f>SUM(R1689)</f>
        <v>37</v>
      </c>
      <c r="S1690" s="117">
        <f t="shared" ref="S1690:V1690" si="1703">SUM(S1689)</f>
        <v>1734.56</v>
      </c>
      <c r="T1690" s="117">
        <f t="shared" si="1703"/>
        <v>1601.98</v>
      </c>
      <c r="U1690" s="117">
        <f t="shared" si="1703"/>
        <v>772.95</v>
      </c>
      <c r="V1690" s="117">
        <f t="shared" si="1703"/>
        <v>0</v>
      </c>
      <c r="W1690" s="26">
        <f t="shared" ref="W1690" si="1704">SUM(W1689)</f>
        <v>4109.49</v>
      </c>
      <c r="X1690" s="56">
        <f t="shared" si="1698"/>
        <v>46.879999999999995</v>
      </c>
      <c r="Y1690" s="57">
        <f>IFERROR(U1690/P1690,0)</f>
        <v>4.0113654055737198E-2</v>
      </c>
      <c r="Z1690" s="28">
        <f t="shared" si="1699"/>
        <v>15159.51</v>
      </c>
      <c r="AA1690" s="57">
        <f>IFERROR(Z1690/P1690,0)</f>
        <v>0.78673049976646425</v>
      </c>
      <c r="AB1690" s="58">
        <f t="shared" si="1700"/>
        <v>1671.21</v>
      </c>
      <c r="AC1690" s="57">
        <f t="shared" si="1701"/>
        <v>8.6730499766464297E-2</v>
      </c>
      <c r="AD1690" s="53"/>
      <c r="AE1690" s="53"/>
      <c r="AF1690" s="53"/>
      <c r="AG1690" s="61"/>
      <c r="AH1690" s="53"/>
    </row>
    <row r="1691" spans="1:34" ht="11.25" customHeight="1" x14ac:dyDescent="0.15">
      <c r="A1691" s="130"/>
      <c r="B1691" s="130"/>
      <c r="C1691" s="124"/>
      <c r="D1691" s="124"/>
      <c r="E1691" s="273"/>
      <c r="F1691" s="124"/>
      <c r="G1691" s="124"/>
      <c r="H1691" s="124"/>
      <c r="I1691" s="124"/>
      <c r="J1691" s="124"/>
      <c r="K1691" s="125"/>
      <c r="L1691" s="129"/>
      <c r="M1691" s="129"/>
      <c r="N1691" s="129"/>
      <c r="O1691" s="128"/>
      <c r="P1691" s="129"/>
      <c r="Q1691" s="124"/>
      <c r="R1691" s="117"/>
      <c r="S1691" s="117"/>
      <c r="T1691" s="117"/>
      <c r="U1691" s="117"/>
      <c r="V1691" s="117"/>
      <c r="X1691" s="45"/>
      <c r="Y1691" s="128"/>
      <c r="Z1691" s="126"/>
      <c r="AA1691" s="128"/>
      <c r="AB1691" s="129"/>
      <c r="AC1691" s="160"/>
      <c r="AD1691" s="137"/>
      <c r="AE1691" s="110"/>
      <c r="AF1691" s="110"/>
      <c r="AG1691" s="121"/>
      <c r="AH1691" s="110"/>
    </row>
    <row r="1692" spans="1:34" ht="11.25" customHeight="1" x14ac:dyDescent="0.15">
      <c r="A1692" s="110" t="s">
        <v>253</v>
      </c>
      <c r="B1692" s="110"/>
      <c r="C1692" s="111" t="s">
        <v>175</v>
      </c>
      <c r="D1692" s="111">
        <v>2024</v>
      </c>
      <c r="E1692" s="146">
        <v>45565</v>
      </c>
      <c r="F1692" s="111"/>
      <c r="G1692" s="111">
        <v>81000010</v>
      </c>
      <c r="H1692" s="111">
        <v>4111</v>
      </c>
      <c r="I1692" s="111" t="str">
        <f>MID(G1692,2,1)</f>
        <v>1</v>
      </c>
      <c r="J1692" s="111" t="str">
        <f>IF(I1692="1","Small/Medium","Large")</f>
        <v>Small/Medium</v>
      </c>
      <c r="K1692" s="147" t="s">
        <v>145</v>
      </c>
      <c r="L1692" s="120">
        <v>8865</v>
      </c>
      <c r="M1692" s="120">
        <f>L1692*0.3</f>
        <v>2659.5</v>
      </c>
      <c r="N1692" s="120">
        <f>L1692-M1692</f>
        <v>6205.5</v>
      </c>
      <c r="O1692" s="119">
        <f>IFERROR(N1692/L1692,"")</f>
        <v>0.7</v>
      </c>
      <c r="P1692" s="117">
        <v>8865</v>
      </c>
      <c r="Q1692" s="111">
        <v>3848</v>
      </c>
      <c r="R1692" s="117">
        <v>26</v>
      </c>
      <c r="S1692" s="117">
        <v>1218.8800000000001</v>
      </c>
      <c r="T1692" s="117">
        <v>1269.53</v>
      </c>
      <c r="U1692" s="117"/>
      <c r="V1692" s="117"/>
      <c r="W1692" s="26">
        <f>SUM(S1692:V1692)</f>
        <v>2488.41</v>
      </c>
      <c r="X1692" s="118">
        <f t="shared" ref="X1692:X1693" si="1705">IFERROR(S1692/R1692,"")</f>
        <v>46.88</v>
      </c>
      <c r="Y1692" s="119">
        <f>IFERROR(U1692/P1692,0)</f>
        <v>0</v>
      </c>
      <c r="Z1692" s="117">
        <f t="shared" ref="Z1692:Z1693" si="1706">P1692-W1692</f>
        <v>6376.59</v>
      </c>
      <c r="AA1692" s="119">
        <f>IFERROR(Z1692/P1692,0)</f>
        <v>0.71929949238578683</v>
      </c>
      <c r="AB1692" s="120">
        <f t="shared" ref="AB1692:AB1693" si="1707">M1692-W1692</f>
        <v>171.09000000000015</v>
      </c>
      <c r="AC1692" s="119">
        <f t="shared" ref="AC1692:AC1693" si="1708">IFERROR(AA1692-O1692,"")</f>
        <v>1.9299492385786876E-2</v>
      </c>
      <c r="AD1692" s="110"/>
      <c r="AE1692" s="110"/>
      <c r="AF1692" s="110"/>
      <c r="AG1692" s="121"/>
      <c r="AH1692" s="110"/>
    </row>
    <row r="1693" spans="1:34" s="216" customFormat="1" ht="11.25" customHeight="1" x14ac:dyDescent="0.15">
      <c r="A1693" s="53" t="s">
        <v>253</v>
      </c>
      <c r="B1693" s="53"/>
      <c r="C1693" s="54" t="s">
        <v>177</v>
      </c>
      <c r="D1693" s="54"/>
      <c r="E1693" s="70"/>
      <c r="F1693" s="54"/>
      <c r="G1693" s="54"/>
      <c r="H1693" s="54"/>
      <c r="I1693" s="54"/>
      <c r="J1693" s="54"/>
      <c r="K1693" s="106"/>
      <c r="L1693" s="24">
        <f>SUM(L1692)</f>
        <v>8865</v>
      </c>
      <c r="M1693" s="24">
        <f t="shared" ref="M1693:N1693" si="1709">SUM(M1692)</f>
        <v>2659.5</v>
      </c>
      <c r="N1693" s="24">
        <f t="shared" si="1709"/>
        <v>6205.5</v>
      </c>
      <c r="O1693" s="57">
        <f>IFERROR(N1693/L1693,"")</f>
        <v>0.7</v>
      </c>
      <c r="P1693" s="24">
        <f>SUM(P1692)</f>
        <v>8865</v>
      </c>
      <c r="Q1693" s="24"/>
      <c r="R1693" s="117">
        <f>SUM(R1692)</f>
        <v>26</v>
      </c>
      <c r="S1693" s="117">
        <f t="shared" ref="S1693:V1693" si="1710">SUM(S1692)</f>
        <v>1218.8800000000001</v>
      </c>
      <c r="T1693" s="117">
        <f t="shared" si="1710"/>
        <v>1269.53</v>
      </c>
      <c r="U1693" s="117">
        <f t="shared" si="1710"/>
        <v>0</v>
      </c>
      <c r="V1693" s="117">
        <f t="shared" si="1710"/>
        <v>0</v>
      </c>
      <c r="W1693" s="26">
        <f t="shared" ref="W1693" si="1711">SUM(W1692)</f>
        <v>2488.41</v>
      </c>
      <c r="X1693" s="56">
        <f t="shared" si="1705"/>
        <v>46.88</v>
      </c>
      <c r="Y1693" s="57">
        <f>IFERROR(U1693/P1693,0)</f>
        <v>0</v>
      </c>
      <c r="Z1693" s="28">
        <f t="shared" si="1706"/>
        <v>6376.59</v>
      </c>
      <c r="AA1693" s="57">
        <f>IFERROR(Z1693/P1693,0)</f>
        <v>0.71929949238578683</v>
      </c>
      <c r="AB1693" s="58">
        <f t="shared" si="1707"/>
        <v>171.09000000000015</v>
      </c>
      <c r="AC1693" s="57">
        <f t="shared" si="1708"/>
        <v>1.9299492385786876E-2</v>
      </c>
      <c r="AD1693" s="53"/>
      <c r="AE1693" s="53"/>
      <c r="AF1693" s="53"/>
      <c r="AG1693" s="61"/>
      <c r="AH1693" s="53"/>
    </row>
    <row r="1694" spans="1:34" ht="11.25" customHeight="1" x14ac:dyDescent="0.15">
      <c r="A1694" s="130"/>
      <c r="B1694" s="130"/>
      <c r="C1694" s="124"/>
      <c r="D1694" s="124"/>
      <c r="E1694" s="273"/>
      <c r="F1694" s="124"/>
      <c r="G1694" s="124"/>
      <c r="H1694" s="124"/>
      <c r="I1694" s="124"/>
      <c r="J1694" s="124"/>
      <c r="K1694" s="125"/>
      <c r="L1694" s="129"/>
      <c r="M1694" s="129"/>
      <c r="N1694" s="129"/>
      <c r="O1694" s="128"/>
      <c r="P1694" s="129"/>
      <c r="Q1694" s="124"/>
      <c r="R1694" s="117"/>
      <c r="S1694" s="117"/>
      <c r="T1694" s="117"/>
      <c r="U1694" s="117"/>
      <c r="V1694" s="117"/>
      <c r="X1694" s="45"/>
      <c r="Y1694" s="128"/>
      <c r="Z1694" s="126"/>
      <c r="AA1694" s="128"/>
      <c r="AB1694" s="129"/>
      <c r="AC1694" s="160"/>
      <c r="AD1694" s="137"/>
      <c r="AE1694" s="110"/>
      <c r="AF1694" s="110"/>
      <c r="AG1694" s="121"/>
      <c r="AH1694" s="110"/>
    </row>
    <row r="1695" spans="1:34" ht="11.25" customHeight="1" x14ac:dyDescent="0.15">
      <c r="A1695" s="110" t="s">
        <v>436</v>
      </c>
      <c r="B1695" s="110"/>
      <c r="C1695" s="111" t="s">
        <v>201</v>
      </c>
      <c r="D1695" s="111">
        <v>2024</v>
      </c>
      <c r="E1695" s="146">
        <v>45565</v>
      </c>
      <c r="F1695" s="111"/>
      <c r="G1695" s="111" t="s">
        <v>202</v>
      </c>
      <c r="H1695" s="111"/>
      <c r="I1695" s="111"/>
      <c r="J1695" s="111"/>
      <c r="K1695" s="112" t="s">
        <v>203</v>
      </c>
      <c r="L1695" s="120">
        <v>7680</v>
      </c>
      <c r="M1695" s="120">
        <f>L1695*0.35</f>
        <v>2688</v>
      </c>
      <c r="N1695" s="120">
        <f>L1695-M1695</f>
        <v>4992</v>
      </c>
      <c r="O1695" s="119">
        <f>IFERROR(N1695/L1695,"")</f>
        <v>0.65</v>
      </c>
      <c r="P1695" s="117">
        <f>L1695</f>
        <v>7680</v>
      </c>
      <c r="Q1695" s="111">
        <v>4181</v>
      </c>
      <c r="R1695" s="117">
        <v>25.5</v>
      </c>
      <c r="S1695" s="117">
        <v>1221.71</v>
      </c>
      <c r="T1695" s="117">
        <v>1616.37</v>
      </c>
      <c r="U1695" s="117"/>
      <c r="V1695" s="117"/>
      <c r="W1695" s="26">
        <f>SUM(S1695:V1695)</f>
        <v>2838.08</v>
      </c>
      <c r="X1695" s="118">
        <f t="shared" ref="X1695:X1696" si="1712">IFERROR(S1695/R1695,"")</f>
        <v>47.910196078431376</v>
      </c>
      <c r="Y1695" s="119">
        <f>IFERROR(U1695/P1695,0)</f>
        <v>0</v>
      </c>
      <c r="Z1695" s="117">
        <f t="shared" ref="Z1695:Z1696" si="1713">P1695-W1695</f>
        <v>4841.92</v>
      </c>
      <c r="AA1695" s="119">
        <f>IFERROR(Z1695/P1695,0)</f>
        <v>0.63045833333333334</v>
      </c>
      <c r="AB1695" s="120">
        <f t="shared" ref="AB1695:AB1696" si="1714">M1695-W1695</f>
        <v>-150.07999999999993</v>
      </c>
      <c r="AC1695" s="119">
        <f t="shared" ref="AC1695:AC1696" si="1715">IFERROR(AA1695-O1695,"")</f>
        <v>-1.9541666666666679E-2</v>
      </c>
      <c r="AD1695" s="110"/>
      <c r="AE1695" s="110"/>
      <c r="AF1695" s="110"/>
      <c r="AG1695" s="121"/>
      <c r="AH1695" s="110"/>
    </row>
    <row r="1696" spans="1:34" s="216" customFormat="1" ht="11.25" customHeight="1" x14ac:dyDescent="0.15">
      <c r="A1696" s="53" t="s">
        <v>436</v>
      </c>
      <c r="B1696" s="53"/>
      <c r="C1696" s="54" t="s">
        <v>177</v>
      </c>
      <c r="D1696" s="54"/>
      <c r="E1696" s="70"/>
      <c r="F1696" s="54"/>
      <c r="G1696" s="54"/>
      <c r="H1696" s="54"/>
      <c r="I1696" s="54"/>
      <c r="J1696" s="54"/>
      <c r="K1696" s="106"/>
      <c r="L1696" s="24">
        <f>SUM(L1695)</f>
        <v>7680</v>
      </c>
      <c r="M1696" s="24">
        <f t="shared" ref="M1696:N1696" si="1716">SUM(M1695)</f>
        <v>2688</v>
      </c>
      <c r="N1696" s="24">
        <f t="shared" si="1716"/>
        <v>4992</v>
      </c>
      <c r="O1696" s="57">
        <f>IFERROR(N1696/L1696,"")</f>
        <v>0.65</v>
      </c>
      <c r="P1696" s="24">
        <f>SUM(P1695)</f>
        <v>7680</v>
      </c>
      <c r="Q1696" s="24"/>
      <c r="R1696" s="117">
        <f>SUM(R1695)</f>
        <v>25.5</v>
      </c>
      <c r="S1696" s="117">
        <f t="shared" ref="S1696:V1696" si="1717">SUM(S1695)</f>
        <v>1221.71</v>
      </c>
      <c r="T1696" s="117">
        <f t="shared" si="1717"/>
        <v>1616.37</v>
      </c>
      <c r="U1696" s="117">
        <f t="shared" si="1717"/>
        <v>0</v>
      </c>
      <c r="V1696" s="117">
        <f t="shared" si="1717"/>
        <v>0</v>
      </c>
      <c r="W1696" s="26">
        <f t="shared" ref="W1696" si="1718">SUM(W1695)</f>
        <v>2838.08</v>
      </c>
      <c r="X1696" s="56">
        <f t="shared" si="1712"/>
        <v>47.910196078431376</v>
      </c>
      <c r="Y1696" s="57">
        <f>IFERROR(U1696/P1696,0)</f>
        <v>0</v>
      </c>
      <c r="Z1696" s="28">
        <f t="shared" si="1713"/>
        <v>4841.92</v>
      </c>
      <c r="AA1696" s="57">
        <f>IFERROR(Z1696/P1696,0)</f>
        <v>0.63045833333333334</v>
      </c>
      <c r="AB1696" s="58">
        <f t="shared" si="1714"/>
        <v>-150.07999999999993</v>
      </c>
      <c r="AC1696" s="57">
        <f t="shared" si="1715"/>
        <v>-1.9541666666666679E-2</v>
      </c>
      <c r="AD1696" s="53"/>
      <c r="AE1696" s="53"/>
      <c r="AF1696" s="53"/>
      <c r="AG1696" s="61"/>
      <c r="AH1696" s="53"/>
    </row>
    <row r="1697" spans="1:34" ht="11.25" customHeight="1" x14ac:dyDescent="0.15">
      <c r="A1697" s="130"/>
      <c r="B1697" s="130"/>
      <c r="C1697" s="124"/>
      <c r="D1697" s="124"/>
      <c r="E1697" s="273"/>
      <c r="F1697" s="124"/>
      <c r="G1697" s="124"/>
      <c r="H1697" s="124"/>
      <c r="I1697" s="124"/>
      <c r="J1697" s="124"/>
      <c r="K1697" s="125"/>
      <c r="L1697" s="129"/>
      <c r="M1697" s="129"/>
      <c r="N1697" s="129"/>
      <c r="O1697" s="128"/>
      <c r="P1697" s="129"/>
      <c r="Q1697" s="124"/>
      <c r="R1697" s="117"/>
      <c r="S1697" s="117"/>
      <c r="T1697" s="117"/>
      <c r="U1697" s="117"/>
      <c r="V1697" s="117"/>
      <c r="X1697" s="45"/>
      <c r="Y1697" s="128"/>
      <c r="Z1697" s="126"/>
      <c r="AA1697" s="128"/>
      <c r="AB1697" s="129"/>
      <c r="AC1697" s="160"/>
      <c r="AD1697" s="137"/>
      <c r="AE1697" s="110"/>
      <c r="AF1697" s="110"/>
      <c r="AG1697" s="121"/>
      <c r="AH1697" s="110"/>
    </row>
    <row r="1698" spans="1:34" ht="11.25" customHeight="1" x14ac:dyDescent="0.15">
      <c r="A1698" s="110" t="s">
        <v>510</v>
      </c>
      <c r="B1698" s="110"/>
      <c r="C1698" s="111" t="s">
        <v>175</v>
      </c>
      <c r="D1698" s="111">
        <v>2024</v>
      </c>
      <c r="E1698" s="146">
        <v>45565</v>
      </c>
      <c r="F1698" s="111"/>
      <c r="G1698" s="111">
        <v>81100011</v>
      </c>
      <c r="H1698" s="111">
        <v>4101</v>
      </c>
      <c r="I1698" s="111" t="str">
        <f>MID(G1698,2,1)</f>
        <v>1</v>
      </c>
      <c r="J1698" s="111" t="str">
        <f>IF(I1698="1","Small/Medium","Large")</f>
        <v>Small/Medium</v>
      </c>
      <c r="K1698" s="147" t="s">
        <v>145</v>
      </c>
      <c r="L1698" s="120">
        <v>10165</v>
      </c>
      <c r="M1698" s="120">
        <f>L1698*0.3</f>
        <v>3049.5</v>
      </c>
      <c r="N1698" s="120">
        <f>L1698-M1698</f>
        <v>7115.5</v>
      </c>
      <c r="O1698" s="119">
        <f>IFERROR(N1698/L1698,"")</f>
        <v>0.7</v>
      </c>
      <c r="P1698" s="117">
        <f>L1698</f>
        <v>10165</v>
      </c>
      <c r="Q1698" s="111">
        <v>4133</v>
      </c>
      <c r="R1698" s="117">
        <v>32.5</v>
      </c>
      <c r="S1698" s="117">
        <v>1523.6</v>
      </c>
      <c r="T1698" s="117">
        <v>1271.3499999999999</v>
      </c>
      <c r="U1698" s="117">
        <v>2160</v>
      </c>
      <c r="V1698" s="117"/>
      <c r="W1698" s="26">
        <f>SUM(S1698:V1698)</f>
        <v>4954.95</v>
      </c>
      <c r="X1698" s="118">
        <f t="shared" ref="X1698:X1699" si="1719">IFERROR(S1698/R1698,"")</f>
        <v>46.879999999999995</v>
      </c>
      <c r="Y1698" s="119">
        <f>IFERROR(U1698/P1698,0)</f>
        <v>0.21249385145105756</v>
      </c>
      <c r="Z1698" s="117">
        <f t="shared" ref="Z1698:Z1699" si="1720">P1698-W1698</f>
        <v>5210.05</v>
      </c>
      <c r="AA1698" s="119">
        <f>IFERROR(Z1698/P1698,0)</f>
        <v>0.51254795868175107</v>
      </c>
      <c r="AB1698" s="120">
        <f t="shared" ref="AB1698:AB1699" si="1721">M1698-W1698</f>
        <v>-1905.4499999999998</v>
      </c>
      <c r="AC1698" s="119">
        <f t="shared" ref="AC1698:AC1699" si="1722">IFERROR(AA1698-O1698,"")</f>
        <v>-0.18745204131824889</v>
      </c>
      <c r="AD1698" s="110" t="s">
        <v>853</v>
      </c>
      <c r="AE1698" s="110"/>
      <c r="AF1698" s="110"/>
      <c r="AG1698" s="121"/>
      <c r="AH1698" s="110"/>
    </row>
    <row r="1699" spans="1:34" s="216" customFormat="1" ht="11.25" customHeight="1" x14ac:dyDescent="0.15">
      <c r="A1699" s="53" t="s">
        <v>510</v>
      </c>
      <c r="B1699" s="53"/>
      <c r="C1699" s="54" t="s">
        <v>177</v>
      </c>
      <c r="D1699" s="54"/>
      <c r="E1699" s="70"/>
      <c r="F1699" s="54"/>
      <c r="G1699" s="54"/>
      <c r="H1699" s="54"/>
      <c r="I1699" s="54"/>
      <c r="J1699" s="54"/>
      <c r="K1699" s="106"/>
      <c r="L1699" s="24">
        <f>SUM(L1698)</f>
        <v>10165</v>
      </c>
      <c r="M1699" s="24">
        <f t="shared" ref="M1699:N1699" si="1723">SUM(M1698)</f>
        <v>3049.5</v>
      </c>
      <c r="N1699" s="24">
        <f t="shared" si="1723"/>
        <v>7115.5</v>
      </c>
      <c r="O1699" s="57">
        <f>IFERROR(N1699/L1699,"")</f>
        <v>0.7</v>
      </c>
      <c r="P1699" s="24">
        <f>SUM(P1698)</f>
        <v>10165</v>
      </c>
      <c r="Q1699" s="24"/>
      <c r="R1699" s="117">
        <f>SUM(R1698)</f>
        <v>32.5</v>
      </c>
      <c r="S1699" s="117">
        <f t="shared" ref="S1699:V1699" si="1724">SUM(S1698)</f>
        <v>1523.6</v>
      </c>
      <c r="T1699" s="117">
        <f t="shared" si="1724"/>
        <v>1271.3499999999999</v>
      </c>
      <c r="U1699" s="117">
        <f t="shared" si="1724"/>
        <v>2160</v>
      </c>
      <c r="V1699" s="117">
        <f t="shared" si="1724"/>
        <v>0</v>
      </c>
      <c r="W1699" s="26">
        <f t="shared" ref="W1699" si="1725">SUM(W1698)</f>
        <v>4954.95</v>
      </c>
      <c r="X1699" s="56">
        <f t="shared" si="1719"/>
        <v>46.879999999999995</v>
      </c>
      <c r="Y1699" s="57">
        <f>IFERROR(U1699/P1699,0)</f>
        <v>0.21249385145105756</v>
      </c>
      <c r="Z1699" s="28">
        <f t="shared" si="1720"/>
        <v>5210.05</v>
      </c>
      <c r="AA1699" s="57">
        <f>IFERROR(Z1699/P1699,0)</f>
        <v>0.51254795868175107</v>
      </c>
      <c r="AB1699" s="58">
        <f t="shared" si="1721"/>
        <v>-1905.4499999999998</v>
      </c>
      <c r="AC1699" s="57">
        <f t="shared" si="1722"/>
        <v>-0.18745204131824889</v>
      </c>
      <c r="AD1699" s="53"/>
      <c r="AE1699" s="53"/>
      <c r="AF1699" s="53"/>
      <c r="AG1699" s="61"/>
      <c r="AH1699" s="53"/>
    </row>
    <row r="1700" spans="1:34" ht="11.25" customHeight="1" x14ac:dyDescent="0.15">
      <c r="A1700" s="130"/>
      <c r="B1700" s="130"/>
      <c r="C1700" s="124"/>
      <c r="D1700" s="124"/>
      <c r="E1700" s="273"/>
      <c r="F1700" s="124"/>
      <c r="G1700" s="124"/>
      <c r="H1700" s="124"/>
      <c r="I1700" s="124"/>
      <c r="J1700" s="124"/>
      <c r="K1700" s="125"/>
      <c r="L1700" s="129"/>
      <c r="M1700" s="129"/>
      <c r="N1700" s="129"/>
      <c r="O1700" s="128"/>
      <c r="P1700" s="129"/>
      <c r="Q1700" s="124"/>
      <c r="R1700" s="117"/>
      <c r="S1700" s="117"/>
      <c r="T1700" s="117"/>
      <c r="U1700" s="117"/>
      <c r="V1700" s="117"/>
      <c r="X1700" s="45"/>
      <c r="Y1700" s="128"/>
      <c r="Z1700" s="126"/>
      <c r="AA1700" s="128"/>
      <c r="AB1700" s="129"/>
      <c r="AC1700" s="160"/>
      <c r="AD1700" s="137"/>
      <c r="AE1700" s="110"/>
      <c r="AF1700" s="110"/>
      <c r="AG1700" s="121"/>
      <c r="AH1700" s="110"/>
    </row>
    <row r="1701" spans="1:34" ht="11.25" customHeight="1" x14ac:dyDescent="0.15">
      <c r="A1701" s="110" t="s">
        <v>409</v>
      </c>
      <c r="B1701" s="110"/>
      <c r="C1701" s="111" t="s">
        <v>201</v>
      </c>
      <c r="D1701" s="111">
        <v>2024</v>
      </c>
      <c r="E1701" s="146">
        <v>45565</v>
      </c>
      <c r="F1701" s="111"/>
      <c r="G1701" s="111" t="s">
        <v>765</v>
      </c>
      <c r="H1701" s="111"/>
      <c r="I1701" s="111"/>
      <c r="J1701" s="111"/>
      <c r="K1701" s="112" t="s">
        <v>854</v>
      </c>
      <c r="L1701" s="120">
        <v>0</v>
      </c>
      <c r="M1701" s="120">
        <v>0</v>
      </c>
      <c r="N1701" s="120">
        <v>0</v>
      </c>
      <c r="O1701" s="119"/>
      <c r="P1701" s="117">
        <v>0</v>
      </c>
      <c r="Q1701" s="111">
        <v>4183</v>
      </c>
      <c r="R1701" s="117">
        <v>24</v>
      </c>
      <c r="S1701" s="117">
        <v>1149.8399999999999</v>
      </c>
      <c r="T1701" s="117">
        <v>1661.17</v>
      </c>
      <c r="U1701" s="117">
        <v>209.36</v>
      </c>
      <c r="V1701" s="117"/>
      <c r="W1701" s="26">
        <f>SUM(S1701:V1701)</f>
        <v>3020.3700000000003</v>
      </c>
      <c r="X1701" s="118">
        <f t="shared" ref="X1701:X1702" si="1726">IFERROR(S1701/R1701,"")</f>
        <v>47.91</v>
      </c>
      <c r="Y1701" s="119">
        <f>IFERROR(U1701/P1701,0)</f>
        <v>0</v>
      </c>
      <c r="Z1701" s="117">
        <f t="shared" ref="Z1701:Z1702" si="1727">P1701-W1701</f>
        <v>-3020.3700000000003</v>
      </c>
      <c r="AA1701" s="119">
        <f>IFERROR(Z1701/P1701,0)</f>
        <v>0</v>
      </c>
      <c r="AB1701" s="120">
        <f t="shared" ref="AB1701:AB1702" si="1728">M1701-W1701</f>
        <v>-3020.3700000000003</v>
      </c>
      <c r="AC1701" s="119">
        <f t="shared" ref="AC1701:AC1702" si="1729">IFERROR(AA1701-O1701,"")</f>
        <v>0</v>
      </c>
      <c r="AD1701" s="110"/>
      <c r="AE1701" s="110"/>
      <c r="AF1701" s="110"/>
      <c r="AG1701" s="121"/>
      <c r="AH1701" s="110"/>
    </row>
    <row r="1702" spans="1:34" s="216" customFormat="1" ht="11.25" customHeight="1" x14ac:dyDescent="0.15">
      <c r="A1702" s="53" t="s">
        <v>409</v>
      </c>
      <c r="B1702" s="53"/>
      <c r="C1702" s="54" t="s">
        <v>177</v>
      </c>
      <c r="D1702" s="54"/>
      <c r="E1702" s="70"/>
      <c r="F1702" s="54"/>
      <c r="G1702" s="54"/>
      <c r="H1702" s="54"/>
      <c r="I1702" s="54"/>
      <c r="J1702" s="54"/>
      <c r="K1702" s="106"/>
      <c r="L1702" s="24">
        <f>SUM(L1701)</f>
        <v>0</v>
      </c>
      <c r="M1702" s="24">
        <f t="shared" ref="M1702:N1702" si="1730">SUM(M1701)</f>
        <v>0</v>
      </c>
      <c r="N1702" s="24">
        <f t="shared" si="1730"/>
        <v>0</v>
      </c>
      <c r="O1702" s="57"/>
      <c r="P1702" s="24">
        <f>SUM(P1701)</f>
        <v>0</v>
      </c>
      <c r="Q1702" s="24"/>
      <c r="R1702" s="117">
        <f>SUM(R1701)</f>
        <v>24</v>
      </c>
      <c r="S1702" s="117">
        <f t="shared" ref="S1702:V1702" si="1731">SUM(S1701)</f>
        <v>1149.8399999999999</v>
      </c>
      <c r="T1702" s="117">
        <f t="shared" si="1731"/>
        <v>1661.17</v>
      </c>
      <c r="U1702" s="117">
        <f t="shared" si="1731"/>
        <v>209.36</v>
      </c>
      <c r="V1702" s="117">
        <f t="shared" si="1731"/>
        <v>0</v>
      </c>
      <c r="W1702" s="26">
        <f t="shared" ref="W1702" si="1732">SUM(W1701)</f>
        <v>3020.3700000000003</v>
      </c>
      <c r="X1702" s="56">
        <f t="shared" si="1726"/>
        <v>47.91</v>
      </c>
      <c r="Y1702" s="57">
        <f>IFERROR(U1702/P1702,0)</f>
        <v>0</v>
      </c>
      <c r="Z1702" s="28">
        <f t="shared" si="1727"/>
        <v>-3020.3700000000003</v>
      </c>
      <c r="AA1702" s="57">
        <f>IFERROR(Z1702/P1702,0)</f>
        <v>0</v>
      </c>
      <c r="AB1702" s="58">
        <f t="shared" si="1728"/>
        <v>-3020.3700000000003</v>
      </c>
      <c r="AC1702" s="57">
        <f t="shared" si="1729"/>
        <v>0</v>
      </c>
      <c r="AD1702" s="53"/>
      <c r="AE1702" s="53"/>
      <c r="AF1702" s="53"/>
      <c r="AG1702" s="61"/>
      <c r="AH1702" s="53"/>
    </row>
    <row r="1703" spans="1:34" ht="11.25" customHeight="1" x14ac:dyDescent="0.15">
      <c r="A1703" s="130"/>
      <c r="B1703" s="130"/>
      <c r="C1703" s="124"/>
      <c r="D1703" s="124"/>
      <c r="E1703" s="273"/>
      <c r="F1703" s="124"/>
      <c r="G1703" s="124"/>
      <c r="H1703" s="124"/>
      <c r="I1703" s="124"/>
      <c r="J1703" s="124"/>
      <c r="K1703" s="125"/>
      <c r="L1703" s="129"/>
      <c r="M1703" s="129"/>
      <c r="N1703" s="129"/>
      <c r="O1703" s="128"/>
      <c r="P1703" s="129"/>
      <c r="Q1703" s="124"/>
      <c r="R1703" s="117"/>
      <c r="S1703" s="117"/>
      <c r="T1703" s="117"/>
      <c r="U1703" s="117"/>
      <c r="V1703" s="117"/>
      <c r="X1703" s="45"/>
      <c r="Y1703" s="128"/>
      <c r="Z1703" s="126"/>
      <c r="AA1703" s="128"/>
      <c r="AB1703" s="129"/>
      <c r="AC1703" s="160"/>
      <c r="AD1703" s="137"/>
      <c r="AE1703" s="110"/>
      <c r="AF1703" s="110"/>
      <c r="AG1703" s="121"/>
      <c r="AH1703" s="110"/>
    </row>
    <row r="1704" spans="1:34" ht="11.25" customHeight="1" x14ac:dyDescent="0.15">
      <c r="A1704" s="110" t="s">
        <v>223</v>
      </c>
      <c r="B1704" s="110"/>
      <c r="C1704" s="111" t="s">
        <v>175</v>
      </c>
      <c r="D1704" s="111">
        <v>2024</v>
      </c>
      <c r="E1704" s="146">
        <v>45565</v>
      </c>
      <c r="F1704" s="111"/>
      <c r="G1704" s="111">
        <v>81010111</v>
      </c>
      <c r="H1704" s="111">
        <v>4111</v>
      </c>
      <c r="I1704" s="111" t="str">
        <f>MID(G1704,2,1)</f>
        <v>1</v>
      </c>
      <c r="J1704" s="111" t="str">
        <f>IF(I1704="1","Small/Medium","Large")</f>
        <v>Small/Medium</v>
      </c>
      <c r="K1704" s="147" t="s">
        <v>145</v>
      </c>
      <c r="L1704" s="120">
        <v>34377.25</v>
      </c>
      <c r="M1704" s="120">
        <f>L1704*0.3</f>
        <v>10313.174999999999</v>
      </c>
      <c r="N1704" s="120">
        <f>L1704-M1704</f>
        <v>24064.075000000001</v>
      </c>
      <c r="O1704" s="119">
        <f>IFERROR(N1704/L1704,"")</f>
        <v>0.70000000000000007</v>
      </c>
      <c r="P1704" s="120">
        <v>34377.25</v>
      </c>
      <c r="Q1704" s="111">
        <v>4165</v>
      </c>
      <c r="R1704" s="117">
        <v>28</v>
      </c>
      <c r="S1704" s="117">
        <v>1312.64</v>
      </c>
      <c r="T1704" s="117">
        <v>1928.5</v>
      </c>
      <c r="U1704" s="117">
        <v>470.04</v>
      </c>
      <c r="V1704" s="117"/>
      <c r="W1704" s="26">
        <f>SUM(S1704:V1704)</f>
        <v>3711.1800000000003</v>
      </c>
      <c r="X1704" s="118">
        <f t="shared" ref="X1704:X1706" si="1733">IFERROR(S1704/R1704,"")</f>
        <v>46.88</v>
      </c>
      <c r="Y1704" s="119">
        <f t="shared" ref="Y1704:Y1706" si="1734">U1704/P1704</f>
        <v>1.3672995949356042E-2</v>
      </c>
      <c r="Z1704" s="117">
        <f t="shared" ref="Z1704:Z1706" si="1735">P1704-W1704</f>
        <v>30666.07</v>
      </c>
      <c r="AA1704" s="119">
        <f t="shared" ref="AA1704:AA1706" si="1736">Z1704/P1704</f>
        <v>0.89204546611494517</v>
      </c>
      <c r="AB1704" s="120">
        <f t="shared" ref="AB1704:AB1706" si="1737">M1704-W1704</f>
        <v>6601.994999999999</v>
      </c>
      <c r="AC1704" s="119">
        <f t="shared" ref="AC1704:AC1706" si="1738">IFERROR(AA1704-O1704,"")</f>
        <v>0.19204546611494511</v>
      </c>
      <c r="AD1704" s="110" t="s">
        <v>855</v>
      </c>
      <c r="AE1704" s="110"/>
      <c r="AF1704" s="110"/>
      <c r="AG1704" s="121"/>
      <c r="AH1704" s="110"/>
    </row>
    <row r="1705" spans="1:34" ht="11.25" customHeight="1" x14ac:dyDescent="0.15">
      <c r="A1705" s="110" t="s">
        <v>223</v>
      </c>
      <c r="B1705" s="110"/>
      <c r="C1705" s="111" t="s">
        <v>175</v>
      </c>
      <c r="D1705" s="111">
        <v>2024</v>
      </c>
      <c r="E1705" s="146">
        <v>45565</v>
      </c>
      <c r="F1705" s="111"/>
      <c r="G1705" s="111">
        <v>82010111</v>
      </c>
      <c r="H1705" s="111">
        <v>4111</v>
      </c>
      <c r="I1705" s="111" t="str">
        <f>MID(G1705,2,1)</f>
        <v>2</v>
      </c>
      <c r="J1705" s="111" t="str">
        <f>IF(I1705="1","Small/Medium","Large")</f>
        <v>Large</v>
      </c>
      <c r="K1705" s="147" t="s">
        <v>176</v>
      </c>
      <c r="L1705" s="120">
        <v>22110.75</v>
      </c>
      <c r="M1705" s="120">
        <f>L1705*0.3</f>
        <v>6633.2249999999995</v>
      </c>
      <c r="N1705" s="120">
        <f>L1705-M1705</f>
        <v>15477.525000000001</v>
      </c>
      <c r="O1705" s="119">
        <f>IFERROR(N1705/L1705,"")</f>
        <v>0.70000000000000007</v>
      </c>
      <c r="P1705" s="120">
        <v>22110.75</v>
      </c>
      <c r="Q1705" s="111">
        <v>4166</v>
      </c>
      <c r="R1705" s="117">
        <v>27</v>
      </c>
      <c r="S1705" s="117">
        <v>1265.76</v>
      </c>
      <c r="T1705" s="117">
        <v>1747.39</v>
      </c>
      <c r="U1705" s="117">
        <v>403.4</v>
      </c>
      <c r="V1705" s="117"/>
      <c r="W1705" s="26">
        <f>SUM(S1705:V1705)</f>
        <v>3416.55</v>
      </c>
      <c r="X1705" s="118">
        <f t="shared" si="1733"/>
        <v>46.88</v>
      </c>
      <c r="Y1705" s="119">
        <f t="shared" si="1734"/>
        <v>1.8244519068778761E-2</v>
      </c>
      <c r="Z1705" s="117">
        <f t="shared" si="1735"/>
        <v>18694.2</v>
      </c>
      <c r="AA1705" s="119">
        <f t="shared" si="1736"/>
        <v>0.84548013975102609</v>
      </c>
      <c r="AB1705" s="120">
        <f t="shared" si="1737"/>
        <v>3216.6749999999993</v>
      </c>
      <c r="AC1705" s="119">
        <f t="shared" si="1738"/>
        <v>0.14548013975102603</v>
      </c>
      <c r="AD1705" s="110" t="s">
        <v>855</v>
      </c>
      <c r="AE1705" s="110"/>
      <c r="AF1705" s="110"/>
      <c r="AG1705" s="121"/>
      <c r="AH1705" s="110"/>
    </row>
    <row r="1706" spans="1:34" s="216" customFormat="1" ht="11.25" customHeight="1" x14ac:dyDescent="0.15">
      <c r="A1706" s="53" t="s">
        <v>223</v>
      </c>
      <c r="B1706" s="53"/>
      <c r="C1706" s="54" t="s">
        <v>177</v>
      </c>
      <c r="D1706" s="54"/>
      <c r="E1706" s="70"/>
      <c r="F1706" s="54"/>
      <c r="G1706" s="54"/>
      <c r="H1706" s="54"/>
      <c r="I1706" s="54"/>
      <c r="J1706" s="54"/>
      <c r="K1706" s="106"/>
      <c r="L1706" s="24">
        <f>SUM(L1704:L1705)</f>
        <v>56488</v>
      </c>
      <c r="M1706" s="24">
        <f t="shared" ref="M1706:N1706" si="1739">SUM(M1704:M1705)</f>
        <v>16946.399999999998</v>
      </c>
      <c r="N1706" s="24">
        <f t="shared" si="1739"/>
        <v>39541.600000000006</v>
      </c>
      <c r="O1706" s="57">
        <f>IFERROR(N1706/L1706,"")</f>
        <v>0.70000000000000007</v>
      </c>
      <c r="P1706" s="24">
        <f>SUM(P1704:P1705)</f>
        <v>56488</v>
      </c>
      <c r="Q1706" s="24"/>
      <c r="R1706" s="117">
        <f>SUM(R1704:R1705)</f>
        <v>55</v>
      </c>
      <c r="S1706" s="117">
        <f t="shared" ref="S1706:V1706" si="1740">SUM(S1704:S1705)</f>
        <v>2578.4</v>
      </c>
      <c r="T1706" s="117">
        <f t="shared" si="1740"/>
        <v>3675.8900000000003</v>
      </c>
      <c r="U1706" s="117">
        <f t="shared" si="1740"/>
        <v>873.44</v>
      </c>
      <c r="V1706" s="117">
        <f t="shared" si="1740"/>
        <v>0</v>
      </c>
      <c r="W1706" s="26">
        <f t="shared" ref="W1706" si="1741">SUM(W1704:W1705)</f>
        <v>7127.7300000000005</v>
      </c>
      <c r="X1706" s="56">
        <f t="shared" si="1733"/>
        <v>46.88</v>
      </c>
      <c r="Y1706" s="57">
        <f t="shared" si="1734"/>
        <v>1.5462399093612803E-2</v>
      </c>
      <c r="Z1706" s="28">
        <f t="shared" si="1735"/>
        <v>49360.27</v>
      </c>
      <c r="AA1706" s="57">
        <f t="shared" si="1736"/>
        <v>0.87381868715479383</v>
      </c>
      <c r="AB1706" s="58">
        <f t="shared" si="1737"/>
        <v>9818.6699999999983</v>
      </c>
      <c r="AC1706" s="57">
        <f t="shared" si="1738"/>
        <v>0.17381868715479376</v>
      </c>
      <c r="AD1706" s="53"/>
      <c r="AE1706" s="53"/>
      <c r="AF1706" s="53"/>
      <c r="AG1706" s="61"/>
      <c r="AH1706" s="53"/>
    </row>
    <row r="1707" spans="1:34" ht="11.25" customHeight="1" x14ac:dyDescent="0.15">
      <c r="A1707" s="130"/>
      <c r="B1707" s="130"/>
      <c r="C1707" s="124"/>
      <c r="D1707" s="124"/>
      <c r="E1707" s="273"/>
      <c r="F1707" s="124"/>
      <c r="G1707" s="124"/>
      <c r="H1707" s="124"/>
      <c r="I1707" s="124"/>
      <c r="J1707" s="124"/>
      <c r="K1707" s="125"/>
      <c r="L1707" s="129"/>
      <c r="M1707" s="129"/>
      <c r="N1707" s="129"/>
      <c r="O1707" s="128"/>
      <c r="P1707" s="129"/>
      <c r="Q1707" s="124"/>
      <c r="R1707" s="117"/>
      <c r="S1707" s="117"/>
      <c r="T1707" s="117"/>
      <c r="U1707" s="117"/>
      <c r="V1707" s="117"/>
      <c r="X1707" s="45"/>
      <c r="Y1707" s="128"/>
      <c r="Z1707" s="126"/>
      <c r="AA1707" s="128"/>
      <c r="AB1707" s="129"/>
      <c r="AC1707" s="160"/>
      <c r="AD1707" s="137"/>
      <c r="AE1707" s="110"/>
      <c r="AF1707" s="110"/>
      <c r="AG1707" s="121"/>
      <c r="AH1707" s="110"/>
    </row>
    <row r="1708" spans="1:34" ht="11.25" customHeight="1" x14ac:dyDescent="0.15">
      <c r="A1708" s="110" t="s">
        <v>856</v>
      </c>
      <c r="B1708" s="110"/>
      <c r="C1708" s="111" t="s">
        <v>164</v>
      </c>
      <c r="D1708" s="111">
        <v>2024</v>
      </c>
      <c r="E1708" s="146">
        <v>45565</v>
      </c>
      <c r="F1708" s="111"/>
      <c r="G1708" s="111" t="s">
        <v>720</v>
      </c>
      <c r="H1708" s="111"/>
      <c r="I1708" s="111"/>
      <c r="J1708" s="111"/>
      <c r="K1708" s="112" t="s">
        <v>857</v>
      </c>
      <c r="L1708" s="120">
        <v>4709</v>
      </c>
      <c r="M1708" s="120">
        <v>1647.92</v>
      </c>
      <c r="N1708" s="120">
        <f>L1708-M1708</f>
        <v>3061.08</v>
      </c>
      <c r="O1708" s="119">
        <f>IFERROR(N1708/L1708,"")</f>
        <v>0.65004884264174978</v>
      </c>
      <c r="P1708" s="120">
        <v>4709</v>
      </c>
      <c r="Q1708" s="111"/>
      <c r="R1708" s="117"/>
      <c r="S1708" s="117"/>
      <c r="T1708" s="117"/>
      <c r="U1708" s="117">
        <v>1691.2</v>
      </c>
      <c r="V1708" s="117"/>
      <c r="W1708" s="26">
        <f>SUM(S1708:V1708)</f>
        <v>1691.2</v>
      </c>
      <c r="X1708" s="118" t="str">
        <f t="shared" ref="X1708" si="1742">IFERROR(S1708/R1708,"")</f>
        <v/>
      </c>
      <c r="Y1708" s="119">
        <f t="shared" ref="Y1708" si="1743">U1708/P1708</f>
        <v>0.35914206837969848</v>
      </c>
      <c r="Z1708" s="117">
        <f t="shared" ref="Z1708" si="1744">P1708-W1708</f>
        <v>3017.8</v>
      </c>
      <c r="AA1708" s="119">
        <f t="shared" ref="AA1708" si="1745">Z1708/P1708</f>
        <v>0.64085793162030158</v>
      </c>
      <c r="AB1708" s="120">
        <f t="shared" ref="AB1708" si="1746">M1708-W1708</f>
        <v>-43.279999999999973</v>
      </c>
      <c r="AC1708" s="119">
        <f t="shared" ref="AC1708" si="1747">IFERROR(AA1708-O1708,"")</f>
        <v>-9.1909110214482004E-3</v>
      </c>
      <c r="AD1708" s="110"/>
      <c r="AE1708" s="110"/>
      <c r="AF1708" s="110"/>
      <c r="AG1708" s="121"/>
      <c r="AH1708" s="110"/>
    </row>
    <row r="1709" spans="1:34" ht="11.25" customHeight="1" x14ac:dyDescent="0.15">
      <c r="A1709" s="110" t="s">
        <v>856</v>
      </c>
      <c r="B1709" s="110"/>
      <c r="C1709" s="111" t="s">
        <v>164</v>
      </c>
      <c r="D1709" s="111">
        <v>2024</v>
      </c>
      <c r="E1709" s="146">
        <v>45565</v>
      </c>
      <c r="F1709" s="111"/>
      <c r="G1709" s="111" t="s">
        <v>858</v>
      </c>
      <c r="H1709" s="111"/>
      <c r="I1709" s="111"/>
      <c r="J1709" s="111"/>
      <c r="K1709" s="112" t="s">
        <v>859</v>
      </c>
      <c r="L1709" s="120">
        <v>54</v>
      </c>
      <c r="M1709" s="120">
        <v>18.73</v>
      </c>
      <c r="N1709" s="120">
        <f t="shared" ref="N1709:N1720" si="1748">L1709-M1709</f>
        <v>35.269999999999996</v>
      </c>
      <c r="O1709" s="119">
        <f t="shared" ref="O1709:O1720" si="1749">IFERROR(N1709/L1709,"")</f>
        <v>0.65314814814814803</v>
      </c>
      <c r="P1709" s="120">
        <v>54</v>
      </c>
      <c r="Q1709" s="111"/>
      <c r="R1709" s="117"/>
      <c r="S1709" s="117"/>
      <c r="T1709" s="117"/>
      <c r="U1709" s="117">
        <v>17.46</v>
      </c>
      <c r="V1709" s="117"/>
      <c r="W1709" s="26">
        <f t="shared" ref="W1709:W1719" si="1750">SUM(S1709:V1709)</f>
        <v>17.46</v>
      </c>
      <c r="X1709" s="118" t="str">
        <f t="shared" ref="X1709:X1719" si="1751">IFERROR(S1709/R1709,"")</f>
        <v/>
      </c>
      <c r="Y1709" s="119">
        <f t="shared" ref="Y1709:Y1719" si="1752">U1709/P1709</f>
        <v>0.32333333333333336</v>
      </c>
      <c r="Z1709" s="117">
        <f t="shared" ref="Z1709:Z1719" si="1753">P1709-W1709</f>
        <v>36.54</v>
      </c>
      <c r="AA1709" s="119">
        <f t="shared" ref="AA1709:AA1719" si="1754">Z1709/P1709</f>
        <v>0.67666666666666664</v>
      </c>
      <c r="AB1709" s="120">
        <f t="shared" ref="AB1709:AB1719" si="1755">M1709-W1709</f>
        <v>1.2699999999999996</v>
      </c>
      <c r="AC1709" s="119">
        <f t="shared" ref="AC1709:AC1719" si="1756">IFERROR(AA1709-O1709,"")</f>
        <v>2.3518518518518605E-2</v>
      </c>
      <c r="AD1709" s="110"/>
      <c r="AE1709" s="110"/>
      <c r="AF1709" s="110"/>
      <c r="AG1709" s="121"/>
      <c r="AH1709" s="110"/>
    </row>
    <row r="1710" spans="1:34" ht="11.25" customHeight="1" x14ac:dyDescent="0.15">
      <c r="A1710" s="110" t="s">
        <v>856</v>
      </c>
      <c r="B1710" s="110"/>
      <c r="C1710" s="111" t="s">
        <v>164</v>
      </c>
      <c r="D1710" s="111">
        <v>2024</v>
      </c>
      <c r="E1710" s="146">
        <v>45565</v>
      </c>
      <c r="F1710" s="111"/>
      <c r="G1710" s="111" t="s">
        <v>860</v>
      </c>
      <c r="H1710" s="111"/>
      <c r="I1710" s="111"/>
      <c r="J1710" s="111"/>
      <c r="K1710" s="112" t="s">
        <v>861</v>
      </c>
      <c r="L1710" s="120">
        <v>53</v>
      </c>
      <c r="M1710" s="120">
        <v>18.329999999999998</v>
      </c>
      <c r="N1710" s="120">
        <f t="shared" si="1748"/>
        <v>34.67</v>
      </c>
      <c r="O1710" s="119">
        <f t="shared" si="1749"/>
        <v>0.65415094339622648</v>
      </c>
      <c r="P1710" s="120">
        <v>53</v>
      </c>
      <c r="Q1710" s="111"/>
      <c r="R1710" s="117"/>
      <c r="S1710" s="117"/>
      <c r="T1710" s="117"/>
      <c r="U1710" s="117">
        <v>18.62</v>
      </c>
      <c r="V1710" s="117"/>
      <c r="W1710" s="26">
        <f t="shared" si="1750"/>
        <v>18.62</v>
      </c>
      <c r="X1710" s="118" t="str">
        <f t="shared" si="1751"/>
        <v/>
      </c>
      <c r="Y1710" s="119">
        <f t="shared" si="1752"/>
        <v>0.35132075471698115</v>
      </c>
      <c r="Z1710" s="117">
        <f t="shared" si="1753"/>
        <v>34.379999999999995</v>
      </c>
      <c r="AA1710" s="119">
        <f t="shared" si="1754"/>
        <v>0.64867924528301879</v>
      </c>
      <c r="AB1710" s="120">
        <f t="shared" si="1755"/>
        <v>-0.2900000000000027</v>
      </c>
      <c r="AC1710" s="119">
        <f t="shared" si="1756"/>
        <v>-5.4716981132076903E-3</v>
      </c>
      <c r="AD1710" s="110"/>
      <c r="AE1710" s="110"/>
      <c r="AF1710" s="110"/>
      <c r="AG1710" s="121"/>
      <c r="AH1710" s="110"/>
    </row>
    <row r="1711" spans="1:34" ht="11.25" customHeight="1" x14ac:dyDescent="0.15">
      <c r="A1711" s="110" t="s">
        <v>856</v>
      </c>
      <c r="B1711" s="110"/>
      <c r="C1711" s="111" t="s">
        <v>164</v>
      </c>
      <c r="D1711" s="111">
        <v>2024</v>
      </c>
      <c r="E1711" s="146">
        <v>45565</v>
      </c>
      <c r="F1711" s="111"/>
      <c r="G1711" s="111" t="s">
        <v>862</v>
      </c>
      <c r="H1711" s="111"/>
      <c r="I1711" s="111"/>
      <c r="J1711" s="111"/>
      <c r="K1711" s="112" t="s">
        <v>863</v>
      </c>
      <c r="L1711" s="120">
        <v>31</v>
      </c>
      <c r="M1711" s="120">
        <v>10.64</v>
      </c>
      <c r="N1711" s="120">
        <f t="shared" si="1748"/>
        <v>20.36</v>
      </c>
      <c r="O1711" s="119">
        <f t="shared" si="1749"/>
        <v>0.65677419354838706</v>
      </c>
      <c r="P1711" s="120">
        <v>31</v>
      </c>
      <c r="Q1711" s="111"/>
      <c r="R1711" s="117"/>
      <c r="S1711" s="117"/>
      <c r="T1711" s="117"/>
      <c r="U1711" s="117">
        <v>11.78</v>
      </c>
      <c r="V1711" s="117"/>
      <c r="W1711" s="26">
        <f t="shared" si="1750"/>
        <v>11.78</v>
      </c>
      <c r="X1711" s="118" t="str">
        <f t="shared" si="1751"/>
        <v/>
      </c>
      <c r="Y1711" s="119">
        <f t="shared" si="1752"/>
        <v>0.38</v>
      </c>
      <c r="Z1711" s="117">
        <f t="shared" si="1753"/>
        <v>19.22</v>
      </c>
      <c r="AA1711" s="119">
        <f t="shared" si="1754"/>
        <v>0.62</v>
      </c>
      <c r="AB1711" s="120">
        <f t="shared" si="1755"/>
        <v>-1.1399999999999988</v>
      </c>
      <c r="AC1711" s="119">
        <f t="shared" si="1756"/>
        <v>-3.6774193548387069E-2</v>
      </c>
      <c r="AD1711" s="110"/>
      <c r="AE1711" s="110"/>
      <c r="AF1711" s="110"/>
      <c r="AG1711" s="121"/>
      <c r="AH1711" s="110"/>
    </row>
    <row r="1712" spans="1:34" ht="11.25" customHeight="1" x14ac:dyDescent="0.15">
      <c r="A1712" s="110" t="s">
        <v>856</v>
      </c>
      <c r="B1712" s="110"/>
      <c r="C1712" s="111" t="s">
        <v>164</v>
      </c>
      <c r="D1712" s="111">
        <v>2024</v>
      </c>
      <c r="E1712" s="146">
        <v>45565</v>
      </c>
      <c r="F1712" s="111"/>
      <c r="G1712" s="111" t="s">
        <v>864</v>
      </c>
      <c r="H1712" s="111"/>
      <c r="I1712" s="111"/>
      <c r="J1712" s="111"/>
      <c r="K1712" s="112" t="s">
        <v>865</v>
      </c>
      <c r="L1712" s="120">
        <v>48</v>
      </c>
      <c r="M1712" s="120">
        <v>16.57</v>
      </c>
      <c r="N1712" s="120">
        <f t="shared" si="1748"/>
        <v>31.43</v>
      </c>
      <c r="O1712" s="119">
        <f t="shared" si="1749"/>
        <v>0.65479166666666666</v>
      </c>
      <c r="P1712" s="120">
        <v>48</v>
      </c>
      <c r="Q1712" s="111"/>
      <c r="R1712" s="117"/>
      <c r="S1712" s="117"/>
      <c r="T1712" s="117"/>
      <c r="U1712" s="117">
        <v>16.57</v>
      </c>
      <c r="V1712" s="117"/>
      <c r="W1712" s="26">
        <f t="shared" si="1750"/>
        <v>16.57</v>
      </c>
      <c r="X1712" s="118" t="str">
        <f t="shared" si="1751"/>
        <v/>
      </c>
      <c r="Y1712" s="119">
        <f t="shared" si="1752"/>
        <v>0.34520833333333334</v>
      </c>
      <c r="Z1712" s="117">
        <f t="shared" si="1753"/>
        <v>31.43</v>
      </c>
      <c r="AA1712" s="119">
        <f t="shared" si="1754"/>
        <v>0.65479166666666666</v>
      </c>
      <c r="AB1712" s="120">
        <f t="shared" si="1755"/>
        <v>0</v>
      </c>
      <c r="AC1712" s="119">
        <f t="shared" si="1756"/>
        <v>0</v>
      </c>
      <c r="AD1712" s="110"/>
      <c r="AE1712" s="110"/>
      <c r="AF1712" s="110"/>
      <c r="AG1712" s="121"/>
      <c r="AH1712" s="110"/>
    </row>
    <row r="1713" spans="1:34" ht="11.25" customHeight="1" x14ac:dyDescent="0.15">
      <c r="A1713" s="110" t="s">
        <v>856</v>
      </c>
      <c r="B1713" s="110"/>
      <c r="C1713" s="111" t="s">
        <v>164</v>
      </c>
      <c r="D1713" s="111">
        <v>2024</v>
      </c>
      <c r="E1713" s="146">
        <v>45565</v>
      </c>
      <c r="F1713" s="111"/>
      <c r="G1713" s="111" t="s">
        <v>866</v>
      </c>
      <c r="H1713" s="111"/>
      <c r="I1713" s="111"/>
      <c r="J1713" s="111"/>
      <c r="K1713" s="112" t="s">
        <v>867</v>
      </c>
      <c r="L1713" s="120">
        <v>14</v>
      </c>
      <c r="M1713" s="120">
        <v>4.6100000000000003</v>
      </c>
      <c r="N1713" s="120">
        <f t="shared" si="1748"/>
        <v>9.39</v>
      </c>
      <c r="O1713" s="119">
        <f t="shared" si="1749"/>
        <v>0.67071428571428571</v>
      </c>
      <c r="P1713" s="120">
        <v>14</v>
      </c>
      <c r="Q1713" s="111"/>
      <c r="R1713" s="117"/>
      <c r="S1713" s="117"/>
      <c r="T1713" s="117"/>
      <c r="U1713" s="117">
        <v>4.26</v>
      </c>
      <c r="V1713" s="117"/>
      <c r="W1713" s="26">
        <f t="shared" si="1750"/>
        <v>4.26</v>
      </c>
      <c r="X1713" s="118" t="str">
        <f t="shared" si="1751"/>
        <v/>
      </c>
      <c r="Y1713" s="119">
        <f t="shared" si="1752"/>
        <v>0.30428571428571427</v>
      </c>
      <c r="Z1713" s="117">
        <f t="shared" si="1753"/>
        <v>9.74</v>
      </c>
      <c r="AA1713" s="119">
        <f t="shared" si="1754"/>
        <v>0.69571428571428573</v>
      </c>
      <c r="AB1713" s="120">
        <f t="shared" si="1755"/>
        <v>0.35000000000000053</v>
      </c>
      <c r="AC1713" s="119">
        <f t="shared" si="1756"/>
        <v>2.5000000000000022E-2</v>
      </c>
      <c r="AD1713" s="110"/>
      <c r="AE1713" s="110"/>
      <c r="AF1713" s="110"/>
      <c r="AG1713" s="121"/>
      <c r="AH1713" s="110"/>
    </row>
    <row r="1714" spans="1:34" ht="11.25" customHeight="1" x14ac:dyDescent="0.15">
      <c r="A1714" s="110" t="s">
        <v>856</v>
      </c>
      <c r="B1714" s="110"/>
      <c r="C1714" s="111" t="s">
        <v>164</v>
      </c>
      <c r="D1714" s="111">
        <v>2024</v>
      </c>
      <c r="E1714" s="146">
        <v>45565</v>
      </c>
      <c r="F1714" s="111"/>
      <c r="G1714" s="111" t="s">
        <v>868</v>
      </c>
      <c r="H1714" s="111"/>
      <c r="I1714" s="111"/>
      <c r="J1714" s="111"/>
      <c r="K1714" s="112" t="s">
        <v>869</v>
      </c>
      <c r="L1714" s="120">
        <v>15</v>
      </c>
      <c r="M1714" s="120">
        <v>5.01</v>
      </c>
      <c r="N1714" s="120">
        <f t="shared" si="1748"/>
        <v>9.99</v>
      </c>
      <c r="O1714" s="119">
        <f t="shared" si="1749"/>
        <v>0.66600000000000004</v>
      </c>
      <c r="P1714" s="120">
        <v>15</v>
      </c>
      <c r="Q1714" s="111"/>
      <c r="R1714" s="117"/>
      <c r="S1714" s="117"/>
      <c r="T1714" s="117"/>
      <c r="U1714" s="117">
        <v>5.51</v>
      </c>
      <c r="V1714" s="117"/>
      <c r="W1714" s="26">
        <f t="shared" si="1750"/>
        <v>5.51</v>
      </c>
      <c r="X1714" s="118" t="str">
        <f t="shared" si="1751"/>
        <v/>
      </c>
      <c r="Y1714" s="119">
        <f t="shared" si="1752"/>
        <v>0.36733333333333335</v>
      </c>
      <c r="Z1714" s="117">
        <f t="shared" si="1753"/>
        <v>9.49</v>
      </c>
      <c r="AA1714" s="119">
        <f t="shared" si="1754"/>
        <v>0.63266666666666671</v>
      </c>
      <c r="AB1714" s="120">
        <f t="shared" si="1755"/>
        <v>-0.5</v>
      </c>
      <c r="AC1714" s="119">
        <f t="shared" si="1756"/>
        <v>-3.3333333333333326E-2</v>
      </c>
      <c r="AD1714" s="110"/>
      <c r="AE1714" s="110"/>
      <c r="AF1714" s="110"/>
      <c r="AG1714" s="121"/>
      <c r="AH1714" s="110"/>
    </row>
    <row r="1715" spans="1:34" ht="11.25" customHeight="1" x14ac:dyDescent="0.15">
      <c r="A1715" s="110" t="s">
        <v>856</v>
      </c>
      <c r="B1715" s="110"/>
      <c r="C1715" s="111" t="s">
        <v>164</v>
      </c>
      <c r="D1715" s="111">
        <v>2024</v>
      </c>
      <c r="E1715" s="146">
        <v>45565</v>
      </c>
      <c r="F1715" s="111"/>
      <c r="G1715" s="111" t="s">
        <v>870</v>
      </c>
      <c r="H1715" s="111"/>
      <c r="I1715" s="111"/>
      <c r="J1715" s="111"/>
      <c r="K1715" s="112" t="s">
        <v>871</v>
      </c>
      <c r="L1715" s="120">
        <v>1227</v>
      </c>
      <c r="M1715" s="120">
        <v>429.33</v>
      </c>
      <c r="N1715" s="120">
        <f t="shared" si="1748"/>
        <v>797.67000000000007</v>
      </c>
      <c r="O1715" s="119">
        <f t="shared" si="1749"/>
        <v>0.65009779951100255</v>
      </c>
      <c r="P1715" s="120">
        <v>1227</v>
      </c>
      <c r="Q1715" s="111"/>
      <c r="R1715" s="117"/>
      <c r="S1715" s="117"/>
      <c r="T1715" s="117"/>
      <c r="U1715" s="117">
        <v>460.28</v>
      </c>
      <c r="V1715" s="117"/>
      <c r="W1715" s="26">
        <f t="shared" si="1750"/>
        <v>460.28</v>
      </c>
      <c r="X1715" s="118" t="str">
        <f t="shared" si="1751"/>
        <v/>
      </c>
      <c r="Y1715" s="119">
        <f t="shared" si="1752"/>
        <v>0.37512632436837812</v>
      </c>
      <c r="Z1715" s="117">
        <f t="shared" si="1753"/>
        <v>766.72</v>
      </c>
      <c r="AA1715" s="119">
        <f t="shared" si="1754"/>
        <v>0.62487367563162188</v>
      </c>
      <c r="AB1715" s="120">
        <f t="shared" si="1755"/>
        <v>-30.949999999999989</v>
      </c>
      <c r="AC1715" s="119">
        <f t="shared" si="1756"/>
        <v>-2.5224123879380667E-2</v>
      </c>
      <c r="AD1715" s="110"/>
      <c r="AE1715" s="110"/>
      <c r="AF1715" s="110"/>
      <c r="AG1715" s="121"/>
      <c r="AH1715" s="110"/>
    </row>
    <row r="1716" spans="1:34" ht="11.25" customHeight="1" x14ac:dyDescent="0.15">
      <c r="A1716" s="110" t="s">
        <v>856</v>
      </c>
      <c r="B1716" s="110"/>
      <c r="C1716" s="111" t="s">
        <v>37</v>
      </c>
      <c r="D1716" s="111">
        <v>2024</v>
      </c>
      <c r="E1716" s="146">
        <v>45565</v>
      </c>
      <c r="F1716" s="111"/>
      <c r="G1716" s="111">
        <v>91010001</v>
      </c>
      <c r="H1716" s="111"/>
      <c r="I1716" s="111"/>
      <c r="J1716" s="111"/>
      <c r="K1716" s="112" t="s">
        <v>872</v>
      </c>
      <c r="L1716" s="120">
        <v>72</v>
      </c>
      <c r="M1716" s="120">
        <v>25</v>
      </c>
      <c r="N1716" s="120">
        <f t="shared" si="1748"/>
        <v>47</v>
      </c>
      <c r="O1716" s="119">
        <f t="shared" si="1749"/>
        <v>0.65277777777777779</v>
      </c>
      <c r="P1716" s="120">
        <v>72</v>
      </c>
      <c r="Q1716" s="111">
        <v>4173</v>
      </c>
      <c r="R1716" s="117"/>
      <c r="S1716" s="117"/>
      <c r="T1716" s="117"/>
      <c r="U1716" s="117">
        <v>0</v>
      </c>
      <c r="V1716" s="117"/>
      <c r="W1716" s="26">
        <f t="shared" si="1750"/>
        <v>0</v>
      </c>
      <c r="X1716" s="118" t="str">
        <f t="shared" si="1751"/>
        <v/>
      </c>
      <c r="Y1716" s="119">
        <f t="shared" si="1752"/>
        <v>0</v>
      </c>
      <c r="Z1716" s="117">
        <f t="shared" si="1753"/>
        <v>72</v>
      </c>
      <c r="AA1716" s="119">
        <f t="shared" si="1754"/>
        <v>1</v>
      </c>
      <c r="AB1716" s="120">
        <f t="shared" si="1755"/>
        <v>25</v>
      </c>
      <c r="AC1716" s="119">
        <f t="shared" si="1756"/>
        <v>0.34722222222222221</v>
      </c>
      <c r="AD1716" s="110" t="s">
        <v>873</v>
      </c>
      <c r="AE1716" s="110"/>
      <c r="AF1716" s="110"/>
      <c r="AG1716" s="121"/>
      <c r="AH1716" s="110"/>
    </row>
    <row r="1717" spans="1:34" ht="11.25" customHeight="1" x14ac:dyDescent="0.15">
      <c r="A1717" s="110" t="s">
        <v>856</v>
      </c>
      <c r="B1717" s="110"/>
      <c r="C1717" s="111" t="s">
        <v>47</v>
      </c>
      <c r="D1717" s="111">
        <v>2024</v>
      </c>
      <c r="E1717" s="146">
        <v>45565</v>
      </c>
      <c r="F1717" s="111"/>
      <c r="G1717" s="111">
        <v>51010021</v>
      </c>
      <c r="H1717" s="111"/>
      <c r="I1717" s="111"/>
      <c r="J1717" s="111"/>
      <c r="K1717" s="112" t="s">
        <v>874</v>
      </c>
      <c r="L1717" s="120">
        <v>7959</v>
      </c>
      <c r="M1717" s="120">
        <v>2616.5100000000002</v>
      </c>
      <c r="N1717" s="120">
        <f t="shared" si="1748"/>
        <v>5342.49</v>
      </c>
      <c r="O1717" s="119">
        <f t="shared" si="1749"/>
        <v>0.67125141349415751</v>
      </c>
      <c r="P1717" s="120">
        <v>7959</v>
      </c>
      <c r="Q1717" s="111">
        <v>4174</v>
      </c>
      <c r="R1717" s="117">
        <v>48</v>
      </c>
      <c r="S1717" s="117">
        <v>3529.44</v>
      </c>
      <c r="T1717" s="117">
        <v>2004.74</v>
      </c>
      <c r="U1717" s="117"/>
      <c r="V1717" s="117"/>
      <c r="W1717" s="26">
        <f t="shared" si="1750"/>
        <v>5534.18</v>
      </c>
      <c r="X1717" s="118">
        <f t="shared" si="1751"/>
        <v>73.53</v>
      </c>
      <c r="Y1717" s="119">
        <f t="shared" si="1752"/>
        <v>0</v>
      </c>
      <c r="Z1717" s="117">
        <f t="shared" si="1753"/>
        <v>2424.8199999999997</v>
      </c>
      <c r="AA1717" s="119">
        <f t="shared" si="1754"/>
        <v>0.30466390250031405</v>
      </c>
      <c r="AB1717" s="120">
        <f t="shared" si="1755"/>
        <v>-2917.67</v>
      </c>
      <c r="AC1717" s="119">
        <f t="shared" si="1756"/>
        <v>-0.36658751099384346</v>
      </c>
      <c r="AD1717" s="110" t="s">
        <v>875</v>
      </c>
      <c r="AE1717" s="110"/>
      <c r="AF1717" s="110"/>
      <c r="AG1717" s="121"/>
      <c r="AH1717" s="110"/>
    </row>
    <row r="1718" spans="1:34" ht="11.25" customHeight="1" x14ac:dyDescent="0.15">
      <c r="A1718" s="110" t="s">
        <v>856</v>
      </c>
      <c r="B1718" s="110"/>
      <c r="C1718" s="111" t="s">
        <v>55</v>
      </c>
      <c r="D1718" s="111">
        <v>2024</v>
      </c>
      <c r="E1718" s="146">
        <v>45565</v>
      </c>
      <c r="F1718" s="111"/>
      <c r="G1718" s="111" t="s">
        <v>56</v>
      </c>
      <c r="H1718" s="111"/>
      <c r="I1718" s="111"/>
      <c r="J1718" s="111"/>
      <c r="K1718" s="112" t="str">
        <f>VLOOKUP($G1718,'[1]EOM OH 9.30.24'!$C:$D,2,)</f>
        <v>Shipping / Crating / Handling</v>
      </c>
      <c r="L1718" s="120">
        <v>282</v>
      </c>
      <c r="M1718" s="120">
        <v>140.79</v>
      </c>
      <c r="N1718" s="120">
        <f t="shared" si="1748"/>
        <v>141.21</v>
      </c>
      <c r="O1718" s="119">
        <f t="shared" si="1749"/>
        <v>0.50074468085106383</v>
      </c>
      <c r="P1718" s="120">
        <v>282</v>
      </c>
      <c r="Q1718" s="111">
        <v>4175</v>
      </c>
      <c r="R1718" s="117">
        <v>0.25</v>
      </c>
      <c r="S1718" s="117">
        <v>11.13</v>
      </c>
      <c r="T1718" s="117"/>
      <c r="U1718" s="117"/>
      <c r="V1718" s="117">
        <v>101.45</v>
      </c>
      <c r="W1718" s="26">
        <f t="shared" si="1750"/>
        <v>112.58</v>
      </c>
      <c r="X1718" s="118">
        <f t="shared" si="1751"/>
        <v>44.52</v>
      </c>
      <c r="Y1718" s="119">
        <f t="shared" si="1752"/>
        <v>0</v>
      </c>
      <c r="Z1718" s="117">
        <f t="shared" si="1753"/>
        <v>169.42000000000002</v>
      </c>
      <c r="AA1718" s="119">
        <f t="shared" si="1754"/>
        <v>0.60078014184397166</v>
      </c>
      <c r="AB1718" s="120">
        <f t="shared" si="1755"/>
        <v>28.209999999999994</v>
      </c>
      <c r="AC1718" s="119">
        <f t="shared" si="1756"/>
        <v>0.10003546099290783</v>
      </c>
      <c r="AD1718" s="110"/>
      <c r="AE1718" s="110"/>
      <c r="AF1718" s="110"/>
      <c r="AG1718" s="121"/>
      <c r="AH1718" s="110"/>
    </row>
    <row r="1719" spans="1:34" ht="11.25" customHeight="1" x14ac:dyDescent="0.15">
      <c r="A1719" s="110" t="s">
        <v>856</v>
      </c>
      <c r="B1719" s="110"/>
      <c r="C1719" s="111" t="s">
        <v>175</v>
      </c>
      <c r="D1719" s="111">
        <v>2024</v>
      </c>
      <c r="E1719" s="146">
        <v>45565</v>
      </c>
      <c r="F1719" s="111"/>
      <c r="G1719" s="111">
        <v>81010100</v>
      </c>
      <c r="H1719" s="111">
        <v>4111</v>
      </c>
      <c r="I1719" s="111" t="str">
        <f>MID(G1719,2,1)</f>
        <v>1</v>
      </c>
      <c r="J1719" s="111" t="str">
        <f>IF(I1719="1","Small/Medium","Large")</f>
        <v>Small/Medium</v>
      </c>
      <c r="K1719" s="147" t="s">
        <v>145</v>
      </c>
      <c r="L1719" s="120">
        <v>15255</v>
      </c>
      <c r="M1719" s="120">
        <v>5970.46</v>
      </c>
      <c r="N1719" s="120">
        <f t="shared" si="1748"/>
        <v>9284.5400000000009</v>
      </c>
      <c r="O1719" s="119">
        <f t="shared" si="1749"/>
        <v>0.6086227466404458</v>
      </c>
      <c r="P1719" s="120">
        <v>15255</v>
      </c>
      <c r="Q1719" s="111">
        <v>4167</v>
      </c>
      <c r="R1719" s="117">
        <v>16</v>
      </c>
      <c r="S1719" s="117">
        <v>1176.48</v>
      </c>
      <c r="T1719" s="117">
        <v>1079.47</v>
      </c>
      <c r="U1719" s="117"/>
      <c r="V1719" s="117"/>
      <c r="W1719" s="26">
        <f t="shared" si="1750"/>
        <v>2255.9499999999998</v>
      </c>
      <c r="X1719" s="118">
        <f t="shared" si="1751"/>
        <v>73.53</v>
      </c>
      <c r="Y1719" s="119">
        <f t="shared" si="1752"/>
        <v>0</v>
      </c>
      <c r="Z1719" s="117">
        <f t="shared" si="1753"/>
        <v>12999.05</v>
      </c>
      <c r="AA1719" s="119">
        <f t="shared" si="1754"/>
        <v>0.85211733857751548</v>
      </c>
      <c r="AB1719" s="120">
        <f t="shared" si="1755"/>
        <v>3714.51</v>
      </c>
      <c r="AC1719" s="119">
        <f t="shared" si="1756"/>
        <v>0.24349459193706968</v>
      </c>
      <c r="AD1719" s="110" t="s">
        <v>876</v>
      </c>
      <c r="AE1719" s="110"/>
      <c r="AF1719" s="110"/>
      <c r="AG1719" s="121"/>
      <c r="AH1719" s="110"/>
    </row>
    <row r="1720" spans="1:34" s="216" customFormat="1" ht="11.25" customHeight="1" x14ac:dyDescent="0.15">
      <c r="A1720" s="53" t="s">
        <v>856</v>
      </c>
      <c r="B1720" s="53"/>
      <c r="C1720" s="54" t="s">
        <v>177</v>
      </c>
      <c r="D1720" s="54"/>
      <c r="E1720" s="70"/>
      <c r="F1720" s="54"/>
      <c r="G1720" s="54"/>
      <c r="H1720" s="54"/>
      <c r="I1720" s="54"/>
      <c r="J1720" s="54"/>
      <c r="K1720" s="106"/>
      <c r="L1720" s="24">
        <f>SUM(L1708:L1719)</f>
        <v>29719</v>
      </c>
      <c r="M1720" s="24">
        <f>SUM(M1708:M1719)</f>
        <v>10903.9</v>
      </c>
      <c r="N1720" s="24">
        <f t="shared" si="1748"/>
        <v>18815.099999999999</v>
      </c>
      <c r="O1720" s="57">
        <f t="shared" si="1749"/>
        <v>0.63310003701335837</v>
      </c>
      <c r="P1720" s="24">
        <f>SUM(P1708:P1719)</f>
        <v>29719</v>
      </c>
      <c r="Q1720" s="24"/>
      <c r="R1720" s="117">
        <f>SUM(R1708:R1719)</f>
        <v>64.25</v>
      </c>
      <c r="S1720" s="117">
        <f t="shared" ref="S1720:V1720" si="1757">SUM(S1708:S1719)</f>
        <v>4717.05</v>
      </c>
      <c r="T1720" s="117">
        <f t="shared" si="1757"/>
        <v>3084.21</v>
      </c>
      <c r="U1720" s="117">
        <f t="shared" si="1757"/>
        <v>2225.6799999999998</v>
      </c>
      <c r="V1720" s="117">
        <f t="shared" si="1757"/>
        <v>101.45</v>
      </c>
      <c r="W1720" s="26">
        <f>SUM(W1708:W1719)</f>
        <v>10128.39</v>
      </c>
      <c r="X1720" s="56">
        <f t="shared" ref="X1720" si="1758">IFERROR(S1720/R1720,"")</f>
        <v>73.417120622568092</v>
      </c>
      <c r="Y1720" s="57">
        <f t="shared" ref="Y1720" si="1759">U1720/P1720</f>
        <v>7.4890810592550219E-2</v>
      </c>
      <c r="Z1720" s="28">
        <f>P1720-W1720</f>
        <v>19590.61</v>
      </c>
      <c r="AA1720" s="57">
        <f t="shared" ref="AA1720" si="1760">Z1720/P1720</f>
        <v>0.65919479121100977</v>
      </c>
      <c r="AB1720" s="58">
        <f t="shared" ref="AB1720" si="1761">M1720-W1720</f>
        <v>775.51000000000022</v>
      </c>
      <c r="AC1720" s="57">
        <f t="shared" ref="AC1720" si="1762">IFERROR(AA1720-O1720,"")</f>
        <v>2.6094754197651393E-2</v>
      </c>
      <c r="AD1720" s="53"/>
      <c r="AE1720" s="53"/>
      <c r="AF1720" s="53"/>
      <c r="AG1720" s="61"/>
      <c r="AH1720" s="53"/>
    </row>
    <row r="1721" spans="1:34" ht="11.25" customHeight="1" x14ac:dyDescent="0.15">
      <c r="A1721" s="130"/>
      <c r="B1721" s="130"/>
      <c r="C1721" s="124"/>
      <c r="D1721" s="124"/>
      <c r="E1721" s="273"/>
      <c r="F1721" s="124"/>
      <c r="G1721" s="124"/>
      <c r="H1721" s="124"/>
      <c r="I1721" s="124"/>
      <c r="J1721" s="124"/>
      <c r="K1721" s="125"/>
      <c r="L1721" s="129"/>
      <c r="M1721" s="129"/>
      <c r="N1721" s="129"/>
      <c r="O1721" s="128"/>
      <c r="P1721" s="129"/>
      <c r="Q1721" s="124"/>
      <c r="R1721" s="117"/>
      <c r="S1721" s="117"/>
      <c r="T1721" s="117"/>
      <c r="U1721" s="117"/>
      <c r="V1721" s="117"/>
      <c r="X1721" s="45"/>
      <c r="Y1721" s="128"/>
      <c r="Z1721" s="126"/>
      <c r="AA1721" s="128"/>
      <c r="AB1721" s="129"/>
      <c r="AC1721" s="160"/>
      <c r="AD1721" s="137"/>
      <c r="AE1721" s="110"/>
      <c r="AF1721" s="110"/>
      <c r="AG1721" s="121"/>
      <c r="AH1721" s="110"/>
    </row>
    <row r="1722" spans="1:34" ht="11.25" customHeight="1" x14ac:dyDescent="0.15">
      <c r="A1722" s="110" t="s">
        <v>137</v>
      </c>
      <c r="B1722" s="110"/>
      <c r="C1722" s="111" t="s">
        <v>175</v>
      </c>
      <c r="D1722" s="111">
        <v>2024</v>
      </c>
      <c r="E1722" s="146">
        <v>45596</v>
      </c>
      <c r="F1722" s="111"/>
      <c r="G1722" s="111">
        <v>81110111</v>
      </c>
      <c r="H1722" s="111">
        <v>4101</v>
      </c>
      <c r="I1722" s="111" t="str">
        <f>MID(G1722,2,1)</f>
        <v>1</v>
      </c>
      <c r="J1722" s="111" t="str">
        <f>IF(I1722="1","Small/Medium","Large")</f>
        <v>Small/Medium</v>
      </c>
      <c r="K1722" s="147" t="s">
        <v>145</v>
      </c>
      <c r="L1722" s="120">
        <v>30405.19</v>
      </c>
      <c r="M1722" s="120">
        <f>L1722*0.3</f>
        <v>9121.5569999999989</v>
      </c>
      <c r="N1722" s="120">
        <f>L1722-M1722</f>
        <v>21283.633000000002</v>
      </c>
      <c r="O1722" s="119">
        <f>IFERROR(N1722/L1722,"")</f>
        <v>0.70000000000000007</v>
      </c>
      <c r="P1722" s="120">
        <v>30405.19</v>
      </c>
      <c r="Q1722" s="111">
        <v>3140</v>
      </c>
      <c r="R1722" s="117">
        <v>47</v>
      </c>
      <c r="S1722" s="117">
        <v>3455.92</v>
      </c>
      <c r="T1722" s="117">
        <v>3224.23</v>
      </c>
      <c r="U1722" s="117">
        <v>2092.34</v>
      </c>
      <c r="V1722" s="117"/>
      <c r="W1722" s="26">
        <f>SUM(S1722:V1722)</f>
        <v>8772.49</v>
      </c>
      <c r="X1722" s="118">
        <f t="shared" ref="X1722:X1724" si="1763">IFERROR(S1722/R1722,"")</f>
        <v>73.530212765957444</v>
      </c>
      <c r="Y1722" s="119">
        <f t="shared" ref="Y1722:Y1724" si="1764">U1722/P1722</f>
        <v>6.8815225295418322E-2</v>
      </c>
      <c r="Z1722" s="117">
        <f t="shared" ref="Z1722:Z1724" si="1765">P1722-W1722</f>
        <v>21632.699999999997</v>
      </c>
      <c r="AA1722" s="119">
        <f t="shared" ref="AA1722:AA1724" si="1766">Z1722/P1722</f>
        <v>0.71148050711079258</v>
      </c>
      <c r="AB1722" s="120">
        <f t="shared" ref="AB1722:AB1724" si="1767">M1722-W1722</f>
        <v>349.0669999999991</v>
      </c>
      <c r="AC1722" s="119">
        <f t="shared" ref="AC1722:AC1724" si="1768">IFERROR(AA1722-O1722,"")</f>
        <v>1.1480507110792515E-2</v>
      </c>
      <c r="AD1722" s="110" t="s">
        <v>877</v>
      </c>
      <c r="AE1722" s="110"/>
      <c r="AF1722" s="110"/>
      <c r="AG1722" s="121"/>
      <c r="AH1722" s="110"/>
    </row>
    <row r="1723" spans="1:34" ht="11.25" customHeight="1" x14ac:dyDescent="0.15">
      <c r="A1723" s="110" t="s">
        <v>137</v>
      </c>
      <c r="B1723" s="110"/>
      <c r="C1723" s="111" t="s">
        <v>175</v>
      </c>
      <c r="D1723" s="111">
        <v>2024</v>
      </c>
      <c r="E1723" s="146">
        <v>45596</v>
      </c>
      <c r="F1723" s="111"/>
      <c r="G1723" s="111">
        <v>82110111</v>
      </c>
      <c r="H1723" s="111">
        <v>4101</v>
      </c>
      <c r="I1723" s="111" t="str">
        <f>MID(G1723,2,1)</f>
        <v>2</v>
      </c>
      <c r="J1723" s="111" t="str">
        <f>IF(I1723="1","Small/Medium","Large")</f>
        <v>Large</v>
      </c>
      <c r="K1723" s="147" t="s">
        <v>176</v>
      </c>
      <c r="L1723" s="120">
        <v>10135.07</v>
      </c>
      <c r="M1723" s="120">
        <f>L1723*0.3</f>
        <v>3040.5209999999997</v>
      </c>
      <c r="N1723" s="120">
        <f>L1723-M1723</f>
        <v>7094.549</v>
      </c>
      <c r="O1723" s="119">
        <f>IFERROR(N1723/L1723,"")</f>
        <v>0.70000000000000007</v>
      </c>
      <c r="P1723" s="120">
        <v>10135.07</v>
      </c>
      <c r="Q1723" s="111">
        <v>3144</v>
      </c>
      <c r="R1723" s="117">
        <v>20.5</v>
      </c>
      <c r="S1723" s="117">
        <v>1507.37</v>
      </c>
      <c r="T1723" s="117">
        <v>1736.13</v>
      </c>
      <c r="U1723" s="117">
        <v>678.65</v>
      </c>
      <c r="V1723" s="117"/>
      <c r="W1723" s="26">
        <f>SUM(S1723:V1723)</f>
        <v>3922.15</v>
      </c>
      <c r="X1723" s="118">
        <f t="shared" si="1763"/>
        <v>73.530243902439025</v>
      </c>
      <c r="Y1723" s="119">
        <f t="shared" si="1764"/>
        <v>6.6960563666555825E-2</v>
      </c>
      <c r="Z1723" s="117">
        <f t="shared" si="1765"/>
        <v>6212.92</v>
      </c>
      <c r="AA1723" s="119">
        <f t="shared" si="1766"/>
        <v>0.6130120462907509</v>
      </c>
      <c r="AB1723" s="120">
        <f t="shared" si="1767"/>
        <v>-881.62900000000036</v>
      </c>
      <c r="AC1723" s="119">
        <f t="shared" si="1768"/>
        <v>-8.6987953709249166E-2</v>
      </c>
      <c r="AD1723" s="110" t="s">
        <v>877</v>
      </c>
      <c r="AE1723" s="110"/>
      <c r="AF1723" s="110"/>
      <c r="AG1723" s="121"/>
      <c r="AH1723" s="110"/>
    </row>
    <row r="1724" spans="1:34" s="216" customFormat="1" ht="11.25" customHeight="1" x14ac:dyDescent="0.15">
      <c r="A1724" s="53" t="s">
        <v>137</v>
      </c>
      <c r="B1724" s="53"/>
      <c r="C1724" s="54" t="s">
        <v>177</v>
      </c>
      <c r="D1724" s="54"/>
      <c r="E1724" s="70"/>
      <c r="F1724" s="54"/>
      <c r="G1724" s="54"/>
      <c r="H1724" s="54"/>
      <c r="I1724" s="54"/>
      <c r="J1724" s="54"/>
      <c r="K1724" s="106"/>
      <c r="L1724" s="24">
        <f>SUM(L1722:L1723)</f>
        <v>40540.259999999995</v>
      </c>
      <c r="M1724" s="24">
        <f t="shared" ref="M1724:N1724" si="1769">SUM(M1722:M1723)</f>
        <v>12162.077999999998</v>
      </c>
      <c r="N1724" s="24">
        <f t="shared" si="1769"/>
        <v>28378.182000000001</v>
      </c>
      <c r="O1724" s="57">
        <f>IFERROR(N1724/L1724,"")</f>
        <v>0.70000000000000007</v>
      </c>
      <c r="P1724" s="24">
        <f>SUM(P1722:P1723)</f>
        <v>40540.259999999995</v>
      </c>
      <c r="Q1724" s="24"/>
      <c r="R1724" s="117">
        <f>SUM(R1722:R1723)</f>
        <v>67.5</v>
      </c>
      <c r="S1724" s="117">
        <f t="shared" ref="S1724:V1724" si="1770">SUM(S1722:S1723)</f>
        <v>4963.29</v>
      </c>
      <c r="T1724" s="117">
        <f t="shared" si="1770"/>
        <v>4960.3600000000006</v>
      </c>
      <c r="U1724" s="117">
        <f t="shared" si="1770"/>
        <v>2770.9900000000002</v>
      </c>
      <c r="V1724" s="117">
        <f t="shared" si="1770"/>
        <v>0</v>
      </c>
      <c r="W1724" s="26">
        <f t="shared" ref="W1724" si="1771">SUM(W1722:W1723)</f>
        <v>12694.64</v>
      </c>
      <c r="X1724" s="56">
        <f t="shared" si="1763"/>
        <v>73.530222222222221</v>
      </c>
      <c r="Y1724" s="57">
        <f t="shared" si="1764"/>
        <v>6.8351559659459521E-2</v>
      </c>
      <c r="Z1724" s="28">
        <f t="shared" si="1765"/>
        <v>27845.619999999995</v>
      </c>
      <c r="AA1724" s="57">
        <f t="shared" si="1766"/>
        <v>0.68686337976125456</v>
      </c>
      <c r="AB1724" s="58">
        <f t="shared" si="1767"/>
        <v>-532.56200000000172</v>
      </c>
      <c r="AC1724" s="57">
        <f t="shared" si="1768"/>
        <v>-1.3136620238745511E-2</v>
      </c>
      <c r="AD1724" s="53"/>
      <c r="AE1724" s="53"/>
      <c r="AF1724" s="53"/>
      <c r="AG1724" s="61"/>
      <c r="AH1724" s="53"/>
    </row>
    <row r="1725" spans="1:34" ht="11.25" customHeight="1" x14ac:dyDescent="0.15">
      <c r="A1725" s="130"/>
      <c r="B1725" s="130"/>
      <c r="C1725" s="124"/>
      <c r="D1725" s="124"/>
      <c r="E1725" s="273"/>
      <c r="F1725" s="124"/>
      <c r="G1725" s="124"/>
      <c r="H1725" s="124"/>
      <c r="I1725" s="124"/>
      <c r="J1725" s="124"/>
      <c r="K1725" s="125"/>
      <c r="L1725" s="129"/>
      <c r="M1725" s="129"/>
      <c r="N1725" s="129"/>
      <c r="O1725" s="128"/>
      <c r="P1725" s="129"/>
      <c r="Q1725" s="124"/>
      <c r="R1725" s="117"/>
      <c r="S1725" s="117"/>
      <c r="T1725" s="117"/>
      <c r="U1725" s="117"/>
      <c r="V1725" s="117"/>
      <c r="X1725" s="45"/>
      <c r="Y1725" s="128"/>
      <c r="Z1725" s="126"/>
      <c r="AA1725" s="128"/>
      <c r="AB1725" s="129"/>
      <c r="AC1725" s="160"/>
      <c r="AD1725" s="137"/>
      <c r="AE1725" s="110"/>
      <c r="AF1725" s="110"/>
      <c r="AG1725" s="121"/>
      <c r="AH1725" s="110"/>
    </row>
    <row r="1726" spans="1:34" ht="11.25" customHeight="1" x14ac:dyDescent="0.15">
      <c r="A1726" s="110" t="s">
        <v>214</v>
      </c>
      <c r="B1726" s="110"/>
      <c r="C1726" s="111" t="s">
        <v>175</v>
      </c>
      <c r="D1726" s="111">
        <v>2024</v>
      </c>
      <c r="E1726" s="146">
        <v>45596</v>
      </c>
      <c r="F1726" s="111"/>
      <c r="G1726" s="111">
        <v>81000000</v>
      </c>
      <c r="H1726" s="111">
        <v>4111</v>
      </c>
      <c r="I1726" s="111" t="str">
        <f>MID(G1726,2,1)</f>
        <v>1</v>
      </c>
      <c r="J1726" s="111" t="str">
        <f>IF(I1726="1","Small/Medium","Large")</f>
        <v>Small/Medium</v>
      </c>
      <c r="K1726" s="147" t="s">
        <v>145</v>
      </c>
      <c r="L1726" s="120">
        <v>8865</v>
      </c>
      <c r="M1726" s="120">
        <f>L1726*0.3</f>
        <v>2659.5</v>
      </c>
      <c r="N1726" s="120">
        <f>L1726-M1726</f>
        <v>6205.5</v>
      </c>
      <c r="O1726" s="119">
        <f>IFERROR(N1726/L1726,"")</f>
        <v>0.7</v>
      </c>
      <c r="P1726" s="120">
        <v>8865</v>
      </c>
      <c r="Q1726" s="111">
        <v>4001</v>
      </c>
      <c r="R1726" s="117">
        <v>19</v>
      </c>
      <c r="S1726" s="117">
        <v>890.72</v>
      </c>
      <c r="T1726" s="117">
        <v>1830.57</v>
      </c>
      <c r="U1726" s="117"/>
      <c r="V1726" s="117"/>
      <c r="W1726" s="26">
        <f>SUM(S1726:V1726)</f>
        <v>2721.29</v>
      </c>
      <c r="X1726" s="118">
        <f t="shared" ref="X1726:X1727" si="1772">IFERROR(S1726/R1726,"")</f>
        <v>46.88</v>
      </c>
      <c r="Y1726" s="119">
        <f>IFERROR(U1726/P1726,0)</f>
        <v>0</v>
      </c>
      <c r="Z1726" s="117">
        <f t="shared" ref="Z1726:Z1727" si="1773">P1726-W1726</f>
        <v>6143.71</v>
      </c>
      <c r="AA1726" s="119">
        <f>IFERROR(Z1726/P1726,0)</f>
        <v>0.69302989283699945</v>
      </c>
      <c r="AB1726" s="120">
        <f t="shared" ref="AB1726:AB1727" si="1774">M1726-W1726</f>
        <v>-61.789999999999964</v>
      </c>
      <c r="AC1726" s="119">
        <f t="shared" ref="AC1726:AC1733" si="1775">IFERROR(AA1726-O1726,"")</f>
        <v>-6.9701071630005051E-3</v>
      </c>
      <c r="AD1726" s="110"/>
      <c r="AE1726" s="110"/>
      <c r="AF1726" s="110"/>
      <c r="AG1726" s="121"/>
      <c r="AH1726" s="110"/>
    </row>
    <row r="1727" spans="1:34" s="216" customFormat="1" ht="11.25" customHeight="1" x14ac:dyDescent="0.15">
      <c r="A1727" s="53" t="s">
        <v>214</v>
      </c>
      <c r="B1727" s="53"/>
      <c r="C1727" s="54" t="s">
        <v>177</v>
      </c>
      <c r="D1727" s="54"/>
      <c r="E1727" s="70"/>
      <c r="F1727" s="54"/>
      <c r="G1727" s="54"/>
      <c r="H1727" s="54"/>
      <c r="I1727" s="54"/>
      <c r="J1727" s="54"/>
      <c r="K1727" s="106"/>
      <c r="L1727" s="24">
        <f>SUM(L1726)</f>
        <v>8865</v>
      </c>
      <c r="M1727" s="24">
        <f t="shared" ref="M1727:N1727" si="1776">SUM(M1725:M1726)</f>
        <v>2659.5</v>
      </c>
      <c r="N1727" s="24">
        <f t="shared" si="1776"/>
        <v>6205.5</v>
      </c>
      <c r="O1727" s="57">
        <f>IFERROR(N1727/L1727,"")</f>
        <v>0.7</v>
      </c>
      <c r="P1727" s="24">
        <f>SUM(P1726)</f>
        <v>8865</v>
      </c>
      <c r="Q1727" s="24"/>
      <c r="R1727" s="117">
        <f>SUM(R1726)</f>
        <v>19</v>
      </c>
      <c r="S1727" s="117">
        <f t="shared" ref="S1727:V1727" si="1777">SUM(S1726)</f>
        <v>890.72</v>
      </c>
      <c r="T1727" s="117">
        <f t="shared" si="1777"/>
        <v>1830.57</v>
      </c>
      <c r="U1727" s="117">
        <f t="shared" si="1777"/>
        <v>0</v>
      </c>
      <c r="V1727" s="117">
        <f t="shared" si="1777"/>
        <v>0</v>
      </c>
      <c r="W1727" s="26">
        <f t="shared" ref="W1727" si="1778">SUM(W1726)</f>
        <v>2721.29</v>
      </c>
      <c r="X1727" s="56">
        <f t="shared" si="1772"/>
        <v>46.88</v>
      </c>
      <c r="Y1727" s="57">
        <f>IFERROR(U1727/P1727,0)</f>
        <v>0</v>
      </c>
      <c r="Z1727" s="28">
        <f t="shared" si="1773"/>
        <v>6143.71</v>
      </c>
      <c r="AA1727" s="57">
        <f>IFERROR(Z1727/P1727,0)</f>
        <v>0.69302989283699945</v>
      </c>
      <c r="AB1727" s="58">
        <f t="shared" si="1774"/>
        <v>-61.789999999999964</v>
      </c>
      <c r="AC1727" s="57">
        <f t="shared" si="1775"/>
        <v>-6.9701071630005051E-3</v>
      </c>
      <c r="AD1727" s="53"/>
      <c r="AE1727" s="53"/>
      <c r="AF1727" s="53"/>
      <c r="AG1727" s="61"/>
      <c r="AH1727" s="53"/>
    </row>
    <row r="1728" spans="1:34" ht="11.25" customHeight="1" x14ac:dyDescent="0.15">
      <c r="A1728" s="130"/>
      <c r="B1728" s="130"/>
      <c r="C1728" s="124"/>
      <c r="D1728" s="124"/>
      <c r="E1728" s="273"/>
      <c r="F1728" s="124"/>
      <c r="G1728" s="124"/>
      <c r="H1728" s="124"/>
      <c r="I1728" s="124"/>
      <c r="J1728" s="124"/>
      <c r="K1728" s="125"/>
      <c r="L1728" s="129"/>
      <c r="M1728" s="129"/>
      <c r="N1728" s="129"/>
      <c r="O1728" s="128"/>
      <c r="P1728" s="129"/>
      <c r="Q1728" s="124"/>
      <c r="R1728" s="117"/>
      <c r="S1728" s="117"/>
      <c r="T1728" s="117"/>
      <c r="U1728" s="117"/>
      <c r="V1728" s="117"/>
      <c r="X1728" s="45"/>
      <c r="Y1728" s="128"/>
      <c r="Z1728" s="126"/>
      <c r="AA1728" s="128"/>
      <c r="AB1728" s="129"/>
      <c r="AC1728" s="160"/>
      <c r="AD1728" s="137"/>
      <c r="AE1728" s="110"/>
      <c r="AF1728" s="110"/>
      <c r="AG1728" s="121"/>
      <c r="AH1728" s="110"/>
    </row>
    <row r="1729" spans="1:34" ht="11.25" customHeight="1" x14ac:dyDescent="0.15">
      <c r="A1729" s="110" t="s">
        <v>426</v>
      </c>
      <c r="B1729" s="110"/>
      <c r="C1729" s="111" t="s">
        <v>175</v>
      </c>
      <c r="D1729" s="111">
        <v>2024</v>
      </c>
      <c r="E1729" s="146">
        <v>45596</v>
      </c>
      <c r="F1729" s="111"/>
      <c r="G1729" s="111">
        <v>81000000</v>
      </c>
      <c r="H1729" s="111">
        <v>4111</v>
      </c>
      <c r="I1729" s="111" t="str">
        <f>MID(G1729,2,1)</f>
        <v>1</v>
      </c>
      <c r="J1729" s="111" t="str">
        <f>IF(I1729="1","Small/Medium","Large")</f>
        <v>Small/Medium</v>
      </c>
      <c r="K1729" s="147" t="s">
        <v>145</v>
      </c>
      <c r="L1729" s="120">
        <v>8865</v>
      </c>
      <c r="M1729" s="120">
        <f>L1729*0.3</f>
        <v>2659.5</v>
      </c>
      <c r="N1729" s="120">
        <f>L1729-M1729</f>
        <v>6205.5</v>
      </c>
      <c r="O1729" s="119">
        <f>IFERROR(N1729/L1729,"")</f>
        <v>0.7</v>
      </c>
      <c r="P1729" s="120">
        <v>8865</v>
      </c>
      <c r="Q1729" s="111">
        <v>4247</v>
      </c>
      <c r="R1729" s="117">
        <v>20</v>
      </c>
      <c r="S1729" s="117">
        <v>937.6</v>
      </c>
      <c r="T1729" s="117">
        <v>1630.07</v>
      </c>
      <c r="U1729" s="117">
        <v>29.44</v>
      </c>
      <c r="V1729" s="117"/>
      <c r="W1729" s="26">
        <f>SUM(S1729:V1729)</f>
        <v>2597.11</v>
      </c>
      <c r="X1729" s="118">
        <f t="shared" ref="X1729:X1730" si="1779">IFERROR(S1729/R1729,"")</f>
        <v>46.88</v>
      </c>
      <c r="Y1729" s="119">
        <f>IFERROR(U1729/P1729,0)</f>
        <v>3.3209249858996053E-3</v>
      </c>
      <c r="Z1729" s="117">
        <f t="shared" ref="Z1729:Z1730" si="1780">P1729-W1729</f>
        <v>6267.8899999999994</v>
      </c>
      <c r="AA1729" s="119">
        <f>IFERROR(Z1729/P1729,0)</f>
        <v>0.70703778905809356</v>
      </c>
      <c r="AB1729" s="120">
        <f t="shared" ref="AB1729:AB1730" si="1781">M1729-W1729</f>
        <v>62.389999999999873</v>
      </c>
      <c r="AC1729" s="119">
        <f t="shared" si="1775"/>
        <v>7.037789058093602E-3</v>
      </c>
      <c r="AD1729" s="110" t="s">
        <v>878</v>
      </c>
      <c r="AE1729" s="110"/>
      <c r="AF1729" s="110"/>
      <c r="AG1729" s="121"/>
      <c r="AH1729" s="110"/>
    </row>
    <row r="1730" spans="1:34" s="216" customFormat="1" ht="11.25" customHeight="1" x14ac:dyDescent="0.15">
      <c r="A1730" s="53" t="s">
        <v>426</v>
      </c>
      <c r="B1730" s="53"/>
      <c r="C1730" s="54" t="s">
        <v>177</v>
      </c>
      <c r="D1730" s="54"/>
      <c r="E1730" s="70"/>
      <c r="F1730" s="54"/>
      <c r="G1730" s="54"/>
      <c r="H1730" s="54"/>
      <c r="I1730" s="54"/>
      <c r="J1730" s="54"/>
      <c r="K1730" s="106"/>
      <c r="L1730" s="24">
        <f>SUM(L1729)</f>
        <v>8865</v>
      </c>
      <c r="M1730" s="24">
        <f t="shared" ref="M1730:N1730" si="1782">SUM(M1728:M1729)</f>
        <v>2659.5</v>
      </c>
      <c r="N1730" s="24">
        <f t="shared" si="1782"/>
        <v>6205.5</v>
      </c>
      <c r="O1730" s="57">
        <f>IFERROR(N1730/L1730,"")</f>
        <v>0.7</v>
      </c>
      <c r="P1730" s="24">
        <f>SUM(P1729)</f>
        <v>8865</v>
      </c>
      <c r="Q1730" s="24"/>
      <c r="R1730" s="117">
        <f>SUM(R1729)</f>
        <v>20</v>
      </c>
      <c r="S1730" s="117">
        <f t="shared" ref="S1730:V1730" si="1783">SUM(S1729)</f>
        <v>937.6</v>
      </c>
      <c r="T1730" s="117">
        <f t="shared" si="1783"/>
        <v>1630.07</v>
      </c>
      <c r="U1730" s="117">
        <f t="shared" si="1783"/>
        <v>29.44</v>
      </c>
      <c r="V1730" s="117">
        <f t="shared" si="1783"/>
        <v>0</v>
      </c>
      <c r="W1730" s="26">
        <f t="shared" ref="W1730" si="1784">SUM(W1729)</f>
        <v>2597.11</v>
      </c>
      <c r="X1730" s="56">
        <f t="shared" si="1779"/>
        <v>46.88</v>
      </c>
      <c r="Y1730" s="57">
        <f>IFERROR(U1730/P1730,0)</f>
        <v>3.3209249858996053E-3</v>
      </c>
      <c r="Z1730" s="28">
        <f t="shared" si="1780"/>
        <v>6267.8899999999994</v>
      </c>
      <c r="AA1730" s="57">
        <f>IFERROR(Z1730/P1730,0)</f>
        <v>0.70703778905809356</v>
      </c>
      <c r="AB1730" s="58">
        <f t="shared" si="1781"/>
        <v>62.389999999999873</v>
      </c>
      <c r="AC1730" s="57">
        <f t="shared" si="1775"/>
        <v>7.037789058093602E-3</v>
      </c>
      <c r="AD1730" s="53"/>
      <c r="AE1730" s="53"/>
      <c r="AF1730" s="53"/>
      <c r="AG1730" s="61"/>
      <c r="AH1730" s="53"/>
    </row>
    <row r="1731" spans="1:34" ht="11.25" customHeight="1" x14ac:dyDescent="0.15">
      <c r="A1731" s="130"/>
      <c r="B1731" s="130"/>
      <c r="C1731" s="124"/>
      <c r="D1731" s="124"/>
      <c r="E1731" s="273"/>
      <c r="F1731" s="124"/>
      <c r="G1731" s="124"/>
      <c r="H1731" s="124"/>
      <c r="I1731" s="124"/>
      <c r="J1731" s="124"/>
      <c r="K1731" s="125"/>
      <c r="L1731" s="129"/>
      <c r="M1731" s="129"/>
      <c r="N1731" s="129"/>
      <c r="O1731" s="128"/>
      <c r="P1731" s="129"/>
      <c r="Q1731" s="124"/>
      <c r="R1731" s="117"/>
      <c r="S1731" s="117"/>
      <c r="T1731" s="117"/>
      <c r="U1731" s="117"/>
      <c r="V1731" s="117"/>
      <c r="X1731" s="45"/>
      <c r="Y1731" s="128"/>
      <c r="Z1731" s="126"/>
      <c r="AA1731" s="128"/>
      <c r="AB1731" s="129"/>
      <c r="AC1731" s="160"/>
      <c r="AD1731" s="137"/>
      <c r="AE1731" s="110"/>
      <c r="AF1731" s="110"/>
      <c r="AG1731" s="121"/>
      <c r="AH1731" s="110"/>
    </row>
    <row r="1732" spans="1:34" ht="11.25" customHeight="1" x14ac:dyDescent="0.15">
      <c r="A1732" s="110" t="s">
        <v>683</v>
      </c>
      <c r="B1732" s="110"/>
      <c r="C1732" s="111" t="s">
        <v>175</v>
      </c>
      <c r="D1732" s="111">
        <v>2024</v>
      </c>
      <c r="E1732" s="146">
        <v>45596</v>
      </c>
      <c r="F1732" s="111"/>
      <c r="G1732" s="111">
        <v>80100111</v>
      </c>
      <c r="H1732" s="111">
        <v>4101</v>
      </c>
      <c r="I1732" s="111" t="str">
        <f>MID(G1732,2,1)</f>
        <v>0</v>
      </c>
      <c r="J1732" s="111" t="s">
        <v>502</v>
      </c>
      <c r="K1732" s="147" t="s">
        <v>503</v>
      </c>
      <c r="L1732" s="120">
        <v>12876</v>
      </c>
      <c r="M1732" s="120">
        <f>L1732*0.3</f>
        <v>3862.7999999999997</v>
      </c>
      <c r="N1732" s="120">
        <f>L1732-M1732</f>
        <v>9013.2000000000007</v>
      </c>
      <c r="O1732" s="119">
        <f>IFERROR(N1732/L1732,"")</f>
        <v>0.70000000000000007</v>
      </c>
      <c r="P1732" s="120">
        <v>12876</v>
      </c>
      <c r="Q1732" s="111">
        <v>3667</v>
      </c>
      <c r="R1732" s="117">
        <v>20</v>
      </c>
      <c r="S1732" s="117">
        <v>937.6</v>
      </c>
      <c r="T1732" s="117">
        <v>1512.2</v>
      </c>
      <c r="U1732" s="117"/>
      <c r="V1732" s="117"/>
      <c r="W1732" s="26">
        <f>SUM(S1732:V1732)</f>
        <v>2449.8000000000002</v>
      </c>
      <c r="X1732" s="118">
        <f t="shared" ref="X1732:X1733" si="1785">IFERROR(S1732/R1732,"")</f>
        <v>46.88</v>
      </c>
      <c r="Y1732" s="119">
        <f>IFERROR(U1732/P1732,0)</f>
        <v>0</v>
      </c>
      <c r="Z1732" s="117">
        <f t="shared" ref="Z1732:Z1733" si="1786">P1732-W1732</f>
        <v>10426.200000000001</v>
      </c>
      <c r="AA1732" s="119">
        <f>IFERROR(Z1732/P1732,0)</f>
        <v>0.80973904939422181</v>
      </c>
      <c r="AB1732" s="120">
        <f t="shared" ref="AB1732:AB1733" si="1787">M1732-W1732</f>
        <v>1412.9999999999995</v>
      </c>
      <c r="AC1732" s="119">
        <f t="shared" si="1775"/>
        <v>0.10973904939422174</v>
      </c>
      <c r="AD1732" s="110"/>
      <c r="AE1732" s="110"/>
      <c r="AF1732" s="110"/>
      <c r="AG1732" s="121"/>
      <c r="AH1732" s="110"/>
    </row>
    <row r="1733" spans="1:34" s="216" customFormat="1" ht="11.25" customHeight="1" x14ac:dyDescent="0.15">
      <c r="A1733" s="53" t="s">
        <v>683</v>
      </c>
      <c r="B1733" s="53"/>
      <c r="C1733" s="54" t="s">
        <v>177</v>
      </c>
      <c r="D1733" s="54"/>
      <c r="E1733" s="70"/>
      <c r="F1733" s="54"/>
      <c r="G1733" s="54"/>
      <c r="H1733" s="54"/>
      <c r="I1733" s="54"/>
      <c r="J1733" s="54"/>
      <c r="K1733" s="106"/>
      <c r="L1733" s="24">
        <f>SUM(L1732)</f>
        <v>12876</v>
      </c>
      <c r="M1733" s="24">
        <f t="shared" ref="M1733:N1733" si="1788">SUM(M1731:M1732)</f>
        <v>3862.7999999999997</v>
      </c>
      <c r="N1733" s="24">
        <f t="shared" si="1788"/>
        <v>9013.2000000000007</v>
      </c>
      <c r="O1733" s="57">
        <f>IFERROR(N1733/L1733,"")</f>
        <v>0.70000000000000007</v>
      </c>
      <c r="P1733" s="24">
        <f>SUM(P1732)</f>
        <v>12876</v>
      </c>
      <c r="Q1733" s="24"/>
      <c r="R1733" s="117">
        <f>SUM(R1732)</f>
        <v>20</v>
      </c>
      <c r="S1733" s="117">
        <f t="shared" ref="S1733:V1733" si="1789">SUM(S1732)</f>
        <v>937.6</v>
      </c>
      <c r="T1733" s="117">
        <f t="shared" si="1789"/>
        <v>1512.2</v>
      </c>
      <c r="U1733" s="117">
        <f t="shared" si="1789"/>
        <v>0</v>
      </c>
      <c r="V1733" s="117">
        <f t="shared" si="1789"/>
        <v>0</v>
      </c>
      <c r="W1733" s="26">
        <f t="shared" ref="W1733" si="1790">SUM(W1732)</f>
        <v>2449.8000000000002</v>
      </c>
      <c r="X1733" s="56">
        <f t="shared" si="1785"/>
        <v>46.88</v>
      </c>
      <c r="Y1733" s="57">
        <f>IFERROR(U1733/P1733,0)</f>
        <v>0</v>
      </c>
      <c r="Z1733" s="28">
        <f t="shared" si="1786"/>
        <v>10426.200000000001</v>
      </c>
      <c r="AA1733" s="57">
        <f>IFERROR(Z1733/P1733,0)</f>
        <v>0.80973904939422181</v>
      </c>
      <c r="AB1733" s="58">
        <f t="shared" si="1787"/>
        <v>1412.9999999999995</v>
      </c>
      <c r="AC1733" s="57">
        <f t="shared" si="1775"/>
        <v>0.10973904939422174</v>
      </c>
      <c r="AD1733" s="53"/>
      <c r="AE1733" s="53"/>
      <c r="AF1733" s="53"/>
      <c r="AG1733" s="61"/>
      <c r="AH1733" s="53"/>
    </row>
    <row r="1734" spans="1:34" ht="11.25" customHeight="1" x14ac:dyDescent="0.15">
      <c r="A1734" s="130"/>
      <c r="B1734" s="130"/>
      <c r="C1734" s="124"/>
      <c r="D1734" s="124"/>
      <c r="E1734" s="273"/>
      <c r="F1734" s="124"/>
      <c r="G1734" s="124"/>
      <c r="H1734" s="124"/>
      <c r="I1734" s="124"/>
      <c r="J1734" s="124"/>
      <c r="K1734" s="125"/>
      <c r="L1734" s="129"/>
      <c r="M1734" s="129"/>
      <c r="N1734" s="129"/>
      <c r="O1734" s="128"/>
      <c r="P1734" s="129"/>
      <c r="Q1734" s="124"/>
      <c r="R1734" s="117"/>
      <c r="S1734" s="117"/>
      <c r="T1734" s="117"/>
      <c r="U1734" s="117"/>
      <c r="V1734" s="117"/>
      <c r="X1734" s="45"/>
      <c r="Y1734" s="128"/>
      <c r="Z1734" s="126"/>
      <c r="AA1734" s="128"/>
      <c r="AB1734" s="129"/>
      <c r="AC1734" s="160"/>
      <c r="AD1734" s="137"/>
      <c r="AE1734" s="110"/>
      <c r="AF1734" s="110"/>
      <c r="AG1734" s="121"/>
      <c r="AH1734" s="110"/>
    </row>
    <row r="1735" spans="1:34" ht="11.25" customHeight="1" x14ac:dyDescent="0.15">
      <c r="A1735" s="110" t="s">
        <v>330</v>
      </c>
      <c r="B1735" s="110"/>
      <c r="C1735" s="111" t="s">
        <v>175</v>
      </c>
      <c r="D1735" s="111">
        <v>2024</v>
      </c>
      <c r="E1735" s="146">
        <v>45596</v>
      </c>
      <c r="F1735" s="111"/>
      <c r="G1735" s="111">
        <v>81100011</v>
      </c>
      <c r="H1735" s="111">
        <v>4101</v>
      </c>
      <c r="I1735" s="111" t="str">
        <f>MID(G1735,2,1)</f>
        <v>1</v>
      </c>
      <c r="J1735" s="111" t="str">
        <f t="shared" ref="J1735:J1736" si="1791">IF(I1735="1","Small/Medium","Large")</f>
        <v>Small/Medium</v>
      </c>
      <c r="K1735" s="147" t="s">
        <v>145</v>
      </c>
      <c r="L1735" s="120">
        <v>800</v>
      </c>
      <c r="M1735" s="120">
        <f>L1735*0.3</f>
        <v>240</v>
      </c>
      <c r="N1735" s="120">
        <f>L1735-M1735</f>
        <v>560</v>
      </c>
      <c r="O1735" s="119">
        <f>IFERROR(N1735/L1735,"")</f>
        <v>0.7</v>
      </c>
      <c r="P1735" s="120">
        <v>800</v>
      </c>
      <c r="Q1735" s="111">
        <v>4278</v>
      </c>
      <c r="R1735" s="117">
        <v>7</v>
      </c>
      <c r="S1735" s="117">
        <v>328.16</v>
      </c>
      <c r="T1735" s="117">
        <v>978.48</v>
      </c>
      <c r="U1735" s="117">
        <v>231.65</v>
      </c>
      <c r="V1735" s="117">
        <v>25.74</v>
      </c>
      <c r="W1735" s="26">
        <f>SUM(S1735:V1735)</f>
        <v>1564.0300000000002</v>
      </c>
      <c r="X1735" s="118">
        <f t="shared" ref="X1735:X1737" si="1792">IFERROR(S1735/R1735,"")</f>
        <v>46.88</v>
      </c>
      <c r="Y1735" s="119">
        <f t="shared" ref="Y1735:Y1737" si="1793">U1735/P1735</f>
        <v>0.2895625</v>
      </c>
      <c r="Z1735" s="117">
        <f t="shared" ref="Z1735:Z1737" si="1794">P1735-W1735</f>
        <v>-764.0300000000002</v>
      </c>
      <c r="AA1735" s="119">
        <f t="shared" ref="AA1735:AA1737" si="1795">Z1735/P1735</f>
        <v>-0.95503750000000021</v>
      </c>
      <c r="AB1735" s="120">
        <f t="shared" ref="AB1735:AB1737" si="1796">M1735-W1735</f>
        <v>-1324.0300000000002</v>
      </c>
      <c r="AC1735" s="119">
        <f t="shared" ref="AC1735:AC1737" si="1797">IFERROR(AA1735-O1735,"")</f>
        <v>-1.6550375000000002</v>
      </c>
      <c r="AD1735" s="110" t="s">
        <v>879</v>
      </c>
      <c r="AE1735" s="110"/>
      <c r="AF1735" s="110"/>
      <c r="AG1735" s="121"/>
      <c r="AH1735" s="110"/>
    </row>
    <row r="1736" spans="1:34" ht="11.25" customHeight="1" x14ac:dyDescent="0.15">
      <c r="A1736" s="110" t="s">
        <v>330</v>
      </c>
      <c r="B1736" s="110"/>
      <c r="C1736" s="111" t="s">
        <v>175</v>
      </c>
      <c r="D1736" s="111">
        <v>2024</v>
      </c>
      <c r="E1736" s="146">
        <v>45596</v>
      </c>
      <c r="F1736" s="111"/>
      <c r="G1736" s="111">
        <v>81100011</v>
      </c>
      <c r="H1736" s="111">
        <v>4101</v>
      </c>
      <c r="I1736" s="111" t="str">
        <f>MID(G1736,2,1)</f>
        <v>1</v>
      </c>
      <c r="J1736" s="111" t="str">
        <f t="shared" si="1791"/>
        <v>Small/Medium</v>
      </c>
      <c r="K1736" s="147" t="s">
        <v>145</v>
      </c>
      <c r="L1736" s="120">
        <v>1500</v>
      </c>
      <c r="M1736" s="120">
        <f>L1736*0.3</f>
        <v>450</v>
      </c>
      <c r="N1736" s="120">
        <f>L1736-M1736</f>
        <v>1050</v>
      </c>
      <c r="O1736" s="119">
        <f>IFERROR(N1736/L1736,"")</f>
        <v>0.7</v>
      </c>
      <c r="P1736" s="120">
        <v>1500</v>
      </c>
      <c r="Q1736" s="111">
        <v>4279</v>
      </c>
      <c r="R1736" s="117">
        <v>14</v>
      </c>
      <c r="S1736" s="117">
        <v>656.32</v>
      </c>
      <c r="T1736" s="117">
        <v>978.48</v>
      </c>
      <c r="U1736" s="117">
        <v>231.65</v>
      </c>
      <c r="V1736" s="117"/>
      <c r="W1736" s="26">
        <f>SUM(S1736:V1736)</f>
        <v>1866.4500000000003</v>
      </c>
      <c r="X1736" s="118">
        <f t="shared" si="1792"/>
        <v>46.88</v>
      </c>
      <c r="Y1736" s="119">
        <f t="shared" si="1793"/>
        <v>0.15443333333333334</v>
      </c>
      <c r="Z1736" s="117">
        <f t="shared" si="1794"/>
        <v>-366.45000000000027</v>
      </c>
      <c r="AA1736" s="119">
        <f t="shared" si="1795"/>
        <v>-0.24430000000000018</v>
      </c>
      <c r="AB1736" s="120">
        <f t="shared" si="1796"/>
        <v>-1416.4500000000003</v>
      </c>
      <c r="AC1736" s="119">
        <f t="shared" si="1797"/>
        <v>-0.94430000000000014</v>
      </c>
      <c r="AD1736" s="110" t="s">
        <v>879</v>
      </c>
      <c r="AE1736" s="110"/>
      <c r="AF1736" s="110"/>
      <c r="AG1736" s="121"/>
      <c r="AH1736" s="110"/>
    </row>
    <row r="1737" spans="1:34" s="216" customFormat="1" ht="11.25" customHeight="1" x14ac:dyDescent="0.15">
      <c r="A1737" s="53" t="s">
        <v>330</v>
      </c>
      <c r="B1737" s="53"/>
      <c r="C1737" s="54" t="s">
        <v>177</v>
      </c>
      <c r="D1737" s="54"/>
      <c r="E1737" s="70"/>
      <c r="F1737" s="54"/>
      <c r="G1737" s="54"/>
      <c r="H1737" s="54"/>
      <c r="I1737" s="54"/>
      <c r="J1737" s="54"/>
      <c r="K1737" s="106"/>
      <c r="L1737" s="24">
        <f>SUM(L1735:L1736)</f>
        <v>2300</v>
      </c>
      <c r="M1737" s="24">
        <f t="shared" ref="M1737:N1737" si="1798">SUM(M1735:M1736)</f>
        <v>690</v>
      </c>
      <c r="N1737" s="24">
        <f t="shared" si="1798"/>
        <v>1610</v>
      </c>
      <c r="O1737" s="57">
        <f>IFERROR(N1737/L1737,"")</f>
        <v>0.7</v>
      </c>
      <c r="P1737" s="24">
        <f>SUM(P1735:P1736)</f>
        <v>2300</v>
      </c>
      <c r="Q1737" s="24"/>
      <c r="R1737" s="117">
        <f>SUM(R1735:R1736)</f>
        <v>21</v>
      </c>
      <c r="S1737" s="117">
        <f t="shared" ref="S1737:V1737" si="1799">SUM(S1735:S1736)</f>
        <v>984.48</v>
      </c>
      <c r="T1737" s="117">
        <f t="shared" si="1799"/>
        <v>1956.96</v>
      </c>
      <c r="U1737" s="117">
        <f t="shared" si="1799"/>
        <v>463.3</v>
      </c>
      <c r="V1737" s="117">
        <f t="shared" si="1799"/>
        <v>25.74</v>
      </c>
      <c r="W1737" s="26">
        <f t="shared" ref="W1737" si="1800">SUM(W1735:W1736)</f>
        <v>3430.4800000000005</v>
      </c>
      <c r="X1737" s="56">
        <f t="shared" si="1792"/>
        <v>46.88</v>
      </c>
      <c r="Y1737" s="57">
        <f t="shared" si="1793"/>
        <v>0.20143478260869566</v>
      </c>
      <c r="Z1737" s="28">
        <f t="shared" si="1794"/>
        <v>-1130.4800000000005</v>
      </c>
      <c r="AA1737" s="57">
        <f t="shared" si="1795"/>
        <v>-0.49151304347826108</v>
      </c>
      <c r="AB1737" s="58">
        <f t="shared" si="1796"/>
        <v>-2740.4800000000005</v>
      </c>
      <c r="AC1737" s="57">
        <f t="shared" si="1797"/>
        <v>-1.191513043478261</v>
      </c>
      <c r="AD1737" s="53"/>
      <c r="AE1737" s="53"/>
      <c r="AF1737" s="53"/>
      <c r="AG1737" s="61"/>
      <c r="AH1737" s="53"/>
    </row>
    <row r="1738" spans="1:34" ht="11.25" customHeight="1" x14ac:dyDescent="0.15">
      <c r="A1738" s="130"/>
      <c r="B1738" s="130"/>
      <c r="C1738" s="124"/>
      <c r="D1738" s="124"/>
      <c r="E1738" s="273"/>
      <c r="F1738" s="124"/>
      <c r="G1738" s="124"/>
      <c r="H1738" s="124"/>
      <c r="I1738" s="124"/>
      <c r="J1738" s="124"/>
      <c r="K1738" s="125"/>
      <c r="L1738" s="129"/>
      <c r="M1738" s="129"/>
      <c r="N1738" s="129"/>
      <c r="O1738" s="128"/>
      <c r="P1738" s="129"/>
      <c r="Q1738" s="124"/>
      <c r="R1738" s="117"/>
      <c r="S1738" s="117"/>
      <c r="T1738" s="117"/>
      <c r="U1738" s="117"/>
      <c r="V1738" s="117"/>
      <c r="X1738" s="45"/>
      <c r="Y1738" s="128"/>
      <c r="Z1738" s="126"/>
      <c r="AA1738" s="128"/>
      <c r="AB1738" s="129"/>
      <c r="AC1738" s="160"/>
      <c r="AD1738" s="137"/>
      <c r="AE1738" s="110"/>
      <c r="AF1738" s="110"/>
      <c r="AG1738" s="121"/>
      <c r="AH1738" s="110"/>
    </row>
    <row r="1739" spans="1:34" ht="11.25" customHeight="1" x14ac:dyDescent="0.15">
      <c r="A1739" s="110" t="s">
        <v>199</v>
      </c>
      <c r="B1739" s="110"/>
      <c r="C1739" s="111" t="s">
        <v>175</v>
      </c>
      <c r="D1739" s="111">
        <v>2024</v>
      </c>
      <c r="E1739" s="146">
        <v>45596</v>
      </c>
      <c r="F1739" s="111"/>
      <c r="G1739" s="111">
        <v>81000211</v>
      </c>
      <c r="H1739" s="111">
        <v>4111</v>
      </c>
      <c r="I1739" s="111" t="str">
        <f>MID(G1739,2,1)</f>
        <v>1</v>
      </c>
      <c r="J1739" s="111" t="str">
        <f>IF(I1739="1","Small/Medium","Large")</f>
        <v>Small/Medium</v>
      </c>
      <c r="K1739" s="147" t="s">
        <v>145</v>
      </c>
      <c r="L1739" s="120">
        <v>7941.6556322173001</v>
      </c>
      <c r="M1739" s="120">
        <f>L1739*0.3</f>
        <v>2382.4966896651899</v>
      </c>
      <c r="N1739" s="120">
        <f>L1739-M1739</f>
        <v>5559.1589425521106</v>
      </c>
      <c r="O1739" s="119">
        <f>IFERROR(N1739/L1739,"")</f>
        <v>0.70000000000000007</v>
      </c>
      <c r="P1739" s="117">
        <v>7941.6556322173001</v>
      </c>
      <c r="Q1739" s="111">
        <v>4267</v>
      </c>
      <c r="R1739" s="117">
        <v>10.5</v>
      </c>
      <c r="S1739" s="117">
        <v>492.24</v>
      </c>
      <c r="T1739" s="117">
        <v>632.91</v>
      </c>
      <c r="U1739" s="117">
        <v>113.9</v>
      </c>
      <c r="V1739" s="117"/>
      <c r="W1739" s="26">
        <f t="shared" ref="W1739:W1742" si="1801">SUM(S1739:V1739)</f>
        <v>1239.0500000000002</v>
      </c>
      <c r="X1739" s="118">
        <f t="shared" ref="X1739:X1743" si="1802">IFERROR(S1739/R1739,"")</f>
        <v>46.88</v>
      </c>
      <c r="Y1739" s="119">
        <f t="shared" ref="Y1739:Y1743" si="1803">U1739/P1739</f>
        <v>1.4342097576975807E-2</v>
      </c>
      <c r="Z1739" s="117">
        <f t="shared" ref="Z1739:Z1743" si="1804">P1739-W1739</f>
        <v>6702.6056322172999</v>
      </c>
      <c r="AA1739" s="119">
        <f t="shared" ref="AA1739:AA1743" si="1805">Z1739/P1739</f>
        <v>0.84398089549822763</v>
      </c>
      <c r="AB1739" s="120">
        <f t="shared" ref="AB1739:AB1743" si="1806">M1739-W1739</f>
        <v>1143.4466896651898</v>
      </c>
      <c r="AC1739" s="119">
        <f t="shared" ref="AC1739:AC1743" si="1807">IFERROR(AA1739-O1739,"")</f>
        <v>0.14398089549822757</v>
      </c>
      <c r="AD1739" s="110"/>
      <c r="AE1739" s="110"/>
      <c r="AF1739" s="110"/>
      <c r="AG1739" s="121"/>
      <c r="AH1739" s="110"/>
    </row>
    <row r="1740" spans="1:34" ht="11.25" customHeight="1" x14ac:dyDescent="0.15">
      <c r="A1740" s="110" t="s">
        <v>199</v>
      </c>
      <c r="B1740" s="110"/>
      <c r="C1740" s="111" t="s">
        <v>175</v>
      </c>
      <c r="D1740" s="111">
        <v>2024</v>
      </c>
      <c r="E1740" s="146">
        <v>45596</v>
      </c>
      <c r="F1740" s="111"/>
      <c r="G1740" s="111">
        <v>81000211</v>
      </c>
      <c r="H1740" s="111">
        <v>4111</v>
      </c>
      <c r="I1740" s="111" t="str">
        <f t="shared" ref="I1740:I1742" si="1808">MID(G1740,2,1)</f>
        <v>1</v>
      </c>
      <c r="J1740" s="111" t="str">
        <f t="shared" ref="J1740:J1741" si="1809">IF(I1740="1","Small/Medium","Large")</f>
        <v>Small/Medium</v>
      </c>
      <c r="K1740" s="147" t="s">
        <v>145</v>
      </c>
      <c r="L1740" s="120">
        <v>15883.3112644346</v>
      </c>
      <c r="M1740" s="120">
        <f t="shared" ref="M1740:M1742" si="1810">L1740*0.3</f>
        <v>4764.9933793303799</v>
      </c>
      <c r="N1740" s="120">
        <f t="shared" ref="N1740:N1742" si="1811">L1740-M1740</f>
        <v>11118.317885104221</v>
      </c>
      <c r="O1740" s="119">
        <f t="shared" ref="O1740:O1742" si="1812">IFERROR(N1740/L1740,"")</f>
        <v>0.70000000000000007</v>
      </c>
      <c r="P1740" s="117">
        <v>15883.3112644346</v>
      </c>
      <c r="Q1740" s="111">
        <v>4268</v>
      </c>
      <c r="R1740" s="117">
        <v>20</v>
      </c>
      <c r="S1740" s="117">
        <v>937.6</v>
      </c>
      <c r="T1740" s="117">
        <v>1265.8399999999999</v>
      </c>
      <c r="U1740" s="117">
        <v>320.25</v>
      </c>
      <c r="V1740" s="117"/>
      <c r="W1740" s="26">
        <f t="shared" si="1801"/>
        <v>2523.69</v>
      </c>
      <c r="X1740" s="118">
        <f t="shared" si="1802"/>
        <v>46.88</v>
      </c>
      <c r="Y1740" s="119">
        <f t="shared" si="1803"/>
        <v>2.0162672295989913E-2</v>
      </c>
      <c r="Z1740" s="117">
        <f t="shared" si="1804"/>
        <v>13359.6212644346</v>
      </c>
      <c r="AA1740" s="119">
        <f t="shared" si="1805"/>
        <v>0.8411105872079101</v>
      </c>
      <c r="AB1740" s="120">
        <f t="shared" si="1806"/>
        <v>2241.3033793303798</v>
      </c>
      <c r="AC1740" s="119">
        <f t="shared" si="1807"/>
        <v>0.14111058720791003</v>
      </c>
      <c r="AD1740" s="110"/>
      <c r="AE1740" s="110"/>
      <c r="AF1740" s="110"/>
      <c r="AG1740" s="121"/>
      <c r="AH1740" s="110"/>
    </row>
    <row r="1741" spans="1:34" ht="11.25" customHeight="1" x14ac:dyDescent="0.15">
      <c r="A1741" s="110" t="s">
        <v>199</v>
      </c>
      <c r="B1741" s="110"/>
      <c r="C1741" s="111" t="s">
        <v>175</v>
      </c>
      <c r="D1741" s="111">
        <v>2024</v>
      </c>
      <c r="E1741" s="146">
        <v>45596</v>
      </c>
      <c r="F1741" s="111"/>
      <c r="G1741" s="111">
        <v>81000211</v>
      </c>
      <c r="H1741" s="111">
        <v>4111</v>
      </c>
      <c r="I1741" s="111" t="str">
        <f t="shared" si="1808"/>
        <v>1</v>
      </c>
      <c r="J1741" s="111" t="str">
        <f t="shared" si="1809"/>
        <v>Small/Medium</v>
      </c>
      <c r="K1741" s="147" t="s">
        <v>145</v>
      </c>
      <c r="L1741" s="120">
        <v>7941.6556322173001</v>
      </c>
      <c r="M1741" s="120">
        <f t="shared" si="1810"/>
        <v>2382.4966896651899</v>
      </c>
      <c r="N1741" s="120">
        <f t="shared" si="1811"/>
        <v>5559.1589425521106</v>
      </c>
      <c r="O1741" s="119">
        <f t="shared" si="1812"/>
        <v>0.70000000000000007</v>
      </c>
      <c r="P1741" s="117">
        <v>7941.6556322173001</v>
      </c>
      <c r="Q1741" s="111">
        <v>4269</v>
      </c>
      <c r="R1741" s="117">
        <v>13</v>
      </c>
      <c r="S1741" s="117">
        <v>609.44000000000005</v>
      </c>
      <c r="T1741" s="117">
        <v>632.91999999999996</v>
      </c>
      <c r="U1741" s="117">
        <v>113.9</v>
      </c>
      <c r="V1741" s="117"/>
      <c r="W1741" s="26">
        <f t="shared" si="1801"/>
        <v>1356.2600000000002</v>
      </c>
      <c r="X1741" s="118">
        <f t="shared" si="1802"/>
        <v>46.88</v>
      </c>
      <c r="Y1741" s="119">
        <f t="shared" si="1803"/>
        <v>1.4342097576975807E-2</v>
      </c>
      <c r="Z1741" s="117">
        <f t="shared" si="1804"/>
        <v>6585.3956322172999</v>
      </c>
      <c r="AA1741" s="119">
        <f t="shared" si="1805"/>
        <v>0.82922200825505521</v>
      </c>
      <c r="AB1741" s="120">
        <f t="shared" si="1806"/>
        <v>1026.2366896651897</v>
      </c>
      <c r="AC1741" s="119">
        <f t="shared" si="1807"/>
        <v>0.12922200825505514</v>
      </c>
      <c r="AD1741" s="110"/>
      <c r="AE1741" s="110"/>
      <c r="AF1741" s="110"/>
      <c r="AG1741" s="121"/>
      <c r="AH1741" s="110"/>
    </row>
    <row r="1742" spans="1:34" ht="11.25" customHeight="1" x14ac:dyDescent="0.15">
      <c r="A1742" s="110" t="s">
        <v>199</v>
      </c>
      <c r="B1742" s="110"/>
      <c r="C1742" s="111" t="s">
        <v>175</v>
      </c>
      <c r="D1742" s="111">
        <v>2024</v>
      </c>
      <c r="E1742" s="146">
        <v>45596</v>
      </c>
      <c r="F1742" s="111"/>
      <c r="G1742" s="111">
        <v>82000211</v>
      </c>
      <c r="H1742" s="111">
        <v>4111</v>
      </c>
      <c r="I1742" s="111" t="str">
        <f t="shared" si="1808"/>
        <v>2</v>
      </c>
      <c r="J1742" s="111" t="str">
        <f>IF(I1742="1","Small/Medium","Large")</f>
        <v>Large</v>
      </c>
      <c r="K1742" s="147" t="s">
        <v>176</v>
      </c>
      <c r="L1742" s="120">
        <v>12982.377471130801</v>
      </c>
      <c r="M1742" s="120">
        <f t="shared" si="1810"/>
        <v>3894.7132413392401</v>
      </c>
      <c r="N1742" s="120">
        <f t="shared" si="1811"/>
        <v>9087.6642297915605</v>
      </c>
      <c r="O1742" s="119">
        <f t="shared" si="1812"/>
        <v>0.7</v>
      </c>
      <c r="P1742" s="117">
        <v>12982.377471130801</v>
      </c>
      <c r="Q1742" s="111">
        <v>4270</v>
      </c>
      <c r="R1742" s="117">
        <v>23</v>
      </c>
      <c r="S1742" s="117">
        <v>1078.24</v>
      </c>
      <c r="T1742" s="117">
        <v>843.89</v>
      </c>
      <c r="U1742" s="117">
        <v>151.9</v>
      </c>
      <c r="V1742" s="117"/>
      <c r="W1742" s="26">
        <f t="shared" si="1801"/>
        <v>2074.0300000000002</v>
      </c>
      <c r="X1742" s="118">
        <f t="shared" si="1802"/>
        <v>46.88</v>
      </c>
      <c r="Y1742" s="119">
        <f t="shared" si="1803"/>
        <v>1.1700476306268507E-2</v>
      </c>
      <c r="Z1742" s="117">
        <f t="shared" si="1804"/>
        <v>10908.347471130801</v>
      </c>
      <c r="AA1742" s="119">
        <f t="shared" si="1805"/>
        <v>0.84024266706063144</v>
      </c>
      <c r="AB1742" s="120">
        <f t="shared" si="1806"/>
        <v>1820.6832413392399</v>
      </c>
      <c r="AC1742" s="119">
        <f t="shared" si="1807"/>
        <v>0.14024266706063149</v>
      </c>
      <c r="AD1742" s="110"/>
      <c r="AE1742" s="110"/>
      <c r="AF1742" s="110"/>
      <c r="AG1742" s="121"/>
      <c r="AH1742" s="110"/>
    </row>
    <row r="1743" spans="1:34" s="216" customFormat="1" ht="11.25" customHeight="1" x14ac:dyDescent="0.15">
      <c r="A1743" s="53" t="s">
        <v>199</v>
      </c>
      <c r="B1743" s="53"/>
      <c r="C1743" s="54" t="s">
        <v>177</v>
      </c>
      <c r="D1743" s="54"/>
      <c r="E1743" s="70"/>
      <c r="F1743" s="54"/>
      <c r="G1743" s="54"/>
      <c r="H1743" s="54"/>
      <c r="I1743" s="54"/>
      <c r="J1743" s="54"/>
      <c r="K1743" s="106"/>
      <c r="L1743" s="24">
        <f>SUM(L1739:L1742)</f>
        <v>44749</v>
      </c>
      <c r="M1743" s="24">
        <f t="shared" ref="M1743:N1743" si="1813">SUM(M1739:M1742)</f>
        <v>13424.7</v>
      </c>
      <c r="N1743" s="24">
        <f t="shared" si="1813"/>
        <v>31324.300000000003</v>
      </c>
      <c r="O1743" s="57">
        <f>IFERROR(N1743/L1743,"")</f>
        <v>0.70000000000000007</v>
      </c>
      <c r="P1743" s="24">
        <f>SUM(P1739:P1742)</f>
        <v>44749</v>
      </c>
      <c r="Q1743" s="24"/>
      <c r="R1743" s="117">
        <f>SUM(R1739:R1742)</f>
        <v>66.5</v>
      </c>
      <c r="S1743" s="117">
        <f t="shared" ref="S1743:V1743" si="1814">SUM(S1739:S1742)</f>
        <v>3117.5200000000004</v>
      </c>
      <c r="T1743" s="117">
        <f t="shared" si="1814"/>
        <v>3375.56</v>
      </c>
      <c r="U1743" s="117">
        <f t="shared" si="1814"/>
        <v>699.94999999999993</v>
      </c>
      <c r="V1743" s="117">
        <f t="shared" si="1814"/>
        <v>0</v>
      </c>
      <c r="W1743" s="26">
        <f>SUM(W1739:W1742)</f>
        <v>7193.0300000000007</v>
      </c>
      <c r="X1743" s="56">
        <f t="shared" si="1802"/>
        <v>46.88000000000001</v>
      </c>
      <c r="Y1743" s="57">
        <f t="shared" si="1803"/>
        <v>1.5641690317102056E-2</v>
      </c>
      <c r="Z1743" s="28">
        <f t="shared" si="1804"/>
        <v>37555.97</v>
      </c>
      <c r="AA1743" s="57">
        <f t="shared" si="1805"/>
        <v>0.83925830744821117</v>
      </c>
      <c r="AB1743" s="58">
        <f t="shared" si="1806"/>
        <v>6231.67</v>
      </c>
      <c r="AC1743" s="57">
        <f t="shared" si="1807"/>
        <v>0.1392583074482111</v>
      </c>
      <c r="AD1743" s="53"/>
      <c r="AE1743" s="53"/>
      <c r="AF1743" s="53"/>
      <c r="AG1743" s="61"/>
      <c r="AH1743" s="53"/>
    </row>
    <row r="1744" spans="1:34" ht="11.25" customHeight="1" x14ac:dyDescent="0.15">
      <c r="A1744" s="130"/>
      <c r="B1744" s="130"/>
      <c r="C1744" s="124"/>
      <c r="D1744" s="124"/>
      <c r="E1744" s="273"/>
      <c r="F1744" s="124"/>
      <c r="G1744" s="124"/>
      <c r="H1744" s="124"/>
      <c r="I1744" s="124"/>
      <c r="J1744" s="124"/>
      <c r="K1744" s="125"/>
      <c r="L1744" s="129"/>
      <c r="M1744" s="129"/>
      <c r="N1744" s="129"/>
      <c r="O1744" s="128"/>
      <c r="P1744" s="129"/>
      <c r="Q1744" s="124"/>
      <c r="R1744" s="117"/>
      <c r="S1744" s="117"/>
      <c r="T1744" s="117"/>
      <c r="U1744" s="117"/>
      <c r="V1744" s="117"/>
      <c r="X1744" s="45"/>
      <c r="Y1744" s="128"/>
      <c r="Z1744" s="126"/>
      <c r="AA1744" s="128"/>
      <c r="AB1744" s="129"/>
      <c r="AC1744" s="160"/>
      <c r="AD1744" s="137"/>
      <c r="AE1744" s="110"/>
      <c r="AF1744" s="110"/>
      <c r="AG1744" s="121"/>
      <c r="AH1744" s="110"/>
    </row>
    <row r="1745" spans="1:34" ht="11.25" customHeight="1" x14ac:dyDescent="0.15">
      <c r="A1745" s="110" t="s">
        <v>307</v>
      </c>
      <c r="B1745" s="110"/>
      <c r="C1745" s="111" t="s">
        <v>175</v>
      </c>
      <c r="D1745" s="111">
        <v>2024</v>
      </c>
      <c r="E1745" s="146">
        <v>45596</v>
      </c>
      <c r="F1745" s="111"/>
      <c r="G1745" s="111">
        <v>81100311</v>
      </c>
      <c r="H1745" s="111">
        <v>4101</v>
      </c>
      <c r="I1745" s="111" t="str">
        <f>MID(G1745,2,1)</f>
        <v>1</v>
      </c>
      <c r="J1745" s="111" t="str">
        <f t="shared" ref="J1745" si="1815">IF(I1745="1","Small/Medium","Large")</f>
        <v>Small/Medium</v>
      </c>
      <c r="K1745" s="147" t="s">
        <v>145</v>
      </c>
      <c r="L1745" s="120">
        <v>15353.612406947892</v>
      </c>
      <c r="M1745" s="120">
        <f>L1745*0.3</f>
        <v>4606.0837220843678</v>
      </c>
      <c r="N1745" s="120">
        <f>L1745-M1745</f>
        <v>10747.528684863524</v>
      </c>
      <c r="O1745" s="119">
        <f>IFERROR(N1745/L1745,"")</f>
        <v>0.7</v>
      </c>
      <c r="P1745" s="120">
        <v>15353.612406947892</v>
      </c>
      <c r="Q1745" s="111">
        <v>3669</v>
      </c>
      <c r="R1745" s="117">
        <v>31.5</v>
      </c>
      <c r="S1745" s="117">
        <v>1476.72</v>
      </c>
      <c r="T1745" s="117">
        <v>1709.32</v>
      </c>
      <c r="U1745" s="117">
        <v>463.9</v>
      </c>
      <c r="V1745" s="117"/>
      <c r="W1745" s="26">
        <f>SUM(S1745:V1745)</f>
        <v>3649.94</v>
      </c>
      <c r="X1745" s="118">
        <f t="shared" ref="X1745:X1747" si="1816">IFERROR(S1745/R1745,"")</f>
        <v>46.88</v>
      </c>
      <c r="Y1745" s="119">
        <f t="shared" ref="Y1745:Y1747" si="1817">U1745/P1745</f>
        <v>3.0214387839442507E-2</v>
      </c>
      <c r="Z1745" s="117">
        <f t="shared" ref="Z1745:Z1747" si="1818">P1745-W1745</f>
        <v>11703.672406947891</v>
      </c>
      <c r="AA1745" s="119">
        <f t="shared" ref="AA1745:AA1747" si="1819">Z1745/P1745</f>
        <v>0.7622748377868187</v>
      </c>
      <c r="AB1745" s="120">
        <f t="shared" ref="AB1745:AB1747" si="1820">M1745-W1745</f>
        <v>956.14372208436771</v>
      </c>
      <c r="AC1745" s="119">
        <f t="shared" ref="AC1745:AC1747" si="1821">IFERROR(AA1745-O1745,"")</f>
        <v>6.2274837786818749E-2</v>
      </c>
      <c r="AD1745" s="110"/>
      <c r="AE1745" s="110"/>
      <c r="AF1745" s="110"/>
      <c r="AG1745" s="121"/>
      <c r="AH1745" s="110"/>
    </row>
    <row r="1746" spans="1:34" ht="11.25" customHeight="1" x14ac:dyDescent="0.15">
      <c r="A1746" s="110" t="s">
        <v>307</v>
      </c>
      <c r="B1746" s="110"/>
      <c r="C1746" s="111" t="s">
        <v>175</v>
      </c>
      <c r="D1746" s="111">
        <v>2024</v>
      </c>
      <c r="E1746" s="146">
        <v>45596</v>
      </c>
      <c r="F1746" s="111"/>
      <c r="G1746" s="111">
        <v>80100311</v>
      </c>
      <c r="H1746" s="111">
        <v>4101</v>
      </c>
      <c r="I1746" s="111" t="str">
        <f>MID(G1746,2,1)</f>
        <v>0</v>
      </c>
      <c r="J1746" s="111" t="s">
        <v>502</v>
      </c>
      <c r="K1746" s="147" t="s">
        <v>503</v>
      </c>
      <c r="L1746" s="120">
        <v>23330.38759305211</v>
      </c>
      <c r="M1746" s="120">
        <f>L1746*0.3</f>
        <v>6999.116277915633</v>
      </c>
      <c r="N1746" s="120">
        <f>L1746-M1746</f>
        <v>16331.271315136477</v>
      </c>
      <c r="O1746" s="119">
        <f>IFERROR(N1746/L1746,"")</f>
        <v>0.7</v>
      </c>
      <c r="P1746" s="120">
        <v>23330.38759305211</v>
      </c>
      <c r="Q1746" s="111">
        <v>3670</v>
      </c>
      <c r="R1746" s="117">
        <v>0</v>
      </c>
      <c r="S1746" s="117">
        <v>0</v>
      </c>
      <c r="T1746" s="117">
        <v>0</v>
      </c>
      <c r="U1746" s="117">
        <v>0</v>
      </c>
      <c r="V1746" s="117"/>
      <c r="W1746" s="26">
        <f>SUM(S1746:V1746)</f>
        <v>0</v>
      </c>
      <c r="X1746" s="118" t="str">
        <f t="shared" si="1816"/>
        <v/>
      </c>
      <c r="Y1746" s="119">
        <f t="shared" si="1817"/>
        <v>0</v>
      </c>
      <c r="Z1746" s="117">
        <f t="shared" si="1818"/>
        <v>23330.38759305211</v>
      </c>
      <c r="AA1746" s="119">
        <f t="shared" si="1819"/>
        <v>1</v>
      </c>
      <c r="AB1746" s="120">
        <f t="shared" si="1820"/>
        <v>6999.116277915633</v>
      </c>
      <c r="AC1746" s="119">
        <f t="shared" si="1821"/>
        <v>0.30000000000000004</v>
      </c>
      <c r="AD1746" s="110" t="s">
        <v>880</v>
      </c>
      <c r="AE1746" s="110"/>
      <c r="AF1746" s="110"/>
      <c r="AG1746" s="121"/>
      <c r="AH1746" s="110"/>
    </row>
    <row r="1747" spans="1:34" s="216" customFormat="1" ht="11.25" customHeight="1" x14ac:dyDescent="0.15">
      <c r="A1747" s="53" t="s">
        <v>307</v>
      </c>
      <c r="B1747" s="53"/>
      <c r="C1747" s="54" t="s">
        <v>177</v>
      </c>
      <c r="D1747" s="54"/>
      <c r="E1747" s="70"/>
      <c r="F1747" s="54"/>
      <c r="G1747" s="54"/>
      <c r="H1747" s="54"/>
      <c r="I1747" s="54"/>
      <c r="J1747" s="54"/>
      <c r="K1747" s="106"/>
      <c r="L1747" s="24">
        <f>SUM(L1745:L1746)</f>
        <v>38684</v>
      </c>
      <c r="M1747" s="24">
        <f t="shared" ref="M1747" si="1822">SUM(M1745:M1746)</f>
        <v>11605.2</v>
      </c>
      <c r="N1747" s="24">
        <f t="shared" ref="N1747" si="1823">SUM(N1745:N1746)</f>
        <v>27078.800000000003</v>
      </c>
      <c r="O1747" s="57">
        <f>IFERROR(N1747/L1747,"")</f>
        <v>0.70000000000000007</v>
      </c>
      <c r="P1747" s="24">
        <f>SUM(P1745:P1746)</f>
        <v>38684</v>
      </c>
      <c r="Q1747" s="24"/>
      <c r="R1747" s="117">
        <f>SUM(R1745:R1746)</f>
        <v>31.5</v>
      </c>
      <c r="S1747" s="117">
        <f t="shared" ref="S1747:V1747" si="1824">SUM(S1745:S1746)</f>
        <v>1476.72</v>
      </c>
      <c r="T1747" s="117">
        <f t="shared" si="1824"/>
        <v>1709.32</v>
      </c>
      <c r="U1747" s="117">
        <f t="shared" si="1824"/>
        <v>463.9</v>
      </c>
      <c r="V1747" s="117">
        <f t="shared" si="1824"/>
        <v>0</v>
      </c>
      <c r="W1747" s="26">
        <f t="shared" ref="W1747" si="1825">SUM(W1745:W1746)</f>
        <v>3649.94</v>
      </c>
      <c r="X1747" s="56">
        <f t="shared" si="1816"/>
        <v>46.88</v>
      </c>
      <c r="Y1747" s="57">
        <f t="shared" si="1817"/>
        <v>1.1992038051907765E-2</v>
      </c>
      <c r="Z1747" s="28">
        <f t="shared" si="1818"/>
        <v>35034.06</v>
      </c>
      <c r="AA1747" s="57">
        <f t="shared" si="1819"/>
        <v>0.90564729603970628</v>
      </c>
      <c r="AB1747" s="58">
        <f t="shared" si="1820"/>
        <v>7955.26</v>
      </c>
      <c r="AC1747" s="57">
        <f t="shared" si="1821"/>
        <v>0.20564729603970622</v>
      </c>
      <c r="AD1747" s="53"/>
      <c r="AE1747" s="53"/>
      <c r="AF1747" s="53"/>
      <c r="AG1747" s="61"/>
      <c r="AH1747" s="53"/>
    </row>
    <row r="1748" spans="1:34" ht="11.25" customHeight="1" x14ac:dyDescent="0.15">
      <c r="A1748" s="130"/>
      <c r="B1748" s="130"/>
      <c r="C1748" s="124"/>
      <c r="D1748" s="124"/>
      <c r="E1748" s="273"/>
      <c r="F1748" s="124"/>
      <c r="G1748" s="124"/>
      <c r="H1748" s="124"/>
      <c r="I1748" s="124"/>
      <c r="J1748" s="124"/>
      <c r="K1748" s="125"/>
      <c r="L1748" s="129"/>
      <c r="M1748" s="129"/>
      <c r="N1748" s="129"/>
      <c r="O1748" s="128"/>
      <c r="P1748" s="129"/>
      <c r="Q1748" s="124"/>
      <c r="R1748" s="117"/>
      <c r="S1748" s="117"/>
      <c r="T1748" s="117"/>
      <c r="U1748" s="117"/>
      <c r="V1748" s="117"/>
      <c r="X1748" s="45"/>
      <c r="Y1748" s="128"/>
      <c r="Z1748" s="126"/>
      <c r="AA1748" s="128"/>
      <c r="AB1748" s="129"/>
      <c r="AC1748" s="160"/>
      <c r="AD1748" s="137"/>
      <c r="AE1748" s="110"/>
      <c r="AF1748" s="110"/>
      <c r="AG1748" s="121"/>
      <c r="AH1748" s="110"/>
    </row>
    <row r="1749" spans="1:34" ht="11.25" customHeight="1" x14ac:dyDescent="0.15">
      <c r="A1749" s="110" t="s">
        <v>296</v>
      </c>
      <c r="B1749" s="110"/>
      <c r="C1749" s="111" t="s">
        <v>175</v>
      </c>
      <c r="D1749" s="111">
        <v>2024</v>
      </c>
      <c r="E1749" s="146">
        <v>45596</v>
      </c>
      <c r="F1749" s="111"/>
      <c r="G1749" s="111">
        <v>81100311</v>
      </c>
      <c r="H1749" s="111">
        <v>4101</v>
      </c>
      <c r="I1749" s="111" t="str">
        <f>MID(G1749,2,1)</f>
        <v>1</v>
      </c>
      <c r="J1749" s="111" t="str">
        <f t="shared" ref="J1749" si="1826">IF(I1749="1","Small/Medium","Large")</f>
        <v>Small/Medium</v>
      </c>
      <c r="K1749" s="147" t="s">
        <v>145</v>
      </c>
      <c r="L1749" s="120">
        <v>0</v>
      </c>
      <c r="M1749" s="120">
        <v>0</v>
      </c>
      <c r="N1749" s="120">
        <f>L1749-M1749</f>
        <v>0</v>
      </c>
      <c r="O1749" s="119" t="str">
        <f>IFERROR(N1749/L1749,"")</f>
        <v/>
      </c>
      <c r="P1749" s="120">
        <v>0</v>
      </c>
      <c r="Q1749" s="111">
        <v>4319</v>
      </c>
      <c r="R1749" s="117">
        <v>17.5</v>
      </c>
      <c r="S1749" s="117">
        <v>820.4</v>
      </c>
      <c r="T1749" s="117">
        <v>984.59</v>
      </c>
      <c r="U1749" s="117">
        <v>297.5</v>
      </c>
      <c r="V1749" s="117"/>
      <c r="W1749" s="26">
        <f>SUM(S1749:V1749)</f>
        <v>2102.4899999999998</v>
      </c>
      <c r="X1749" s="118">
        <f t="shared" ref="X1749:X1751" si="1827">IFERROR(S1749/R1749,"")</f>
        <v>46.879999999999995</v>
      </c>
      <c r="Y1749" s="119">
        <f>IFERROR(U1749/P1749,0)</f>
        <v>0</v>
      </c>
      <c r="Z1749" s="117">
        <f t="shared" ref="Z1749:Z1751" si="1828">P1749-W1749</f>
        <v>-2102.4899999999998</v>
      </c>
      <c r="AA1749" s="119">
        <f>IFERROR(Z1749/P1749,0)</f>
        <v>0</v>
      </c>
      <c r="AB1749" s="120">
        <f t="shared" ref="AB1749:AB1751" si="1829">M1749-W1749</f>
        <v>-2102.4899999999998</v>
      </c>
      <c r="AC1749" s="119" t="str">
        <f t="shared" ref="AC1749:AC1751" si="1830">IFERROR(AA1749-O1749,"")</f>
        <v/>
      </c>
      <c r="AD1749" s="110" t="s">
        <v>881</v>
      </c>
      <c r="AE1749" s="110"/>
      <c r="AF1749" s="110"/>
      <c r="AG1749" s="121"/>
      <c r="AH1749" s="110"/>
    </row>
    <row r="1750" spans="1:34" ht="11.25" customHeight="1" x14ac:dyDescent="0.15">
      <c r="A1750" s="110" t="s">
        <v>296</v>
      </c>
      <c r="B1750" s="110"/>
      <c r="C1750" s="111" t="s">
        <v>175</v>
      </c>
      <c r="D1750" s="111">
        <v>2024</v>
      </c>
      <c r="E1750" s="146">
        <v>45596</v>
      </c>
      <c r="F1750" s="111"/>
      <c r="G1750" s="111">
        <v>82100311</v>
      </c>
      <c r="H1750" s="111">
        <v>4101</v>
      </c>
      <c r="I1750" s="111" t="str">
        <f>MID(G1750,2,1)</f>
        <v>2</v>
      </c>
      <c r="J1750" s="111" t="str">
        <f>IF(I1750="1","Small/Medium","Large")</f>
        <v>Large</v>
      </c>
      <c r="K1750" s="147" t="s">
        <v>176</v>
      </c>
      <c r="L1750" s="120">
        <v>0</v>
      </c>
      <c r="M1750" s="120">
        <v>0</v>
      </c>
      <c r="N1750" s="120">
        <f>L1750-M1750</f>
        <v>0</v>
      </c>
      <c r="O1750" s="119" t="str">
        <f>IFERROR(N1750/L1750,"")</f>
        <v/>
      </c>
      <c r="P1750" s="120">
        <v>0</v>
      </c>
      <c r="Q1750" s="111">
        <v>4320</v>
      </c>
      <c r="R1750" s="117">
        <v>13</v>
      </c>
      <c r="S1750" s="117">
        <v>609.44000000000005</v>
      </c>
      <c r="T1750" s="117">
        <v>984.59</v>
      </c>
      <c r="U1750" s="117">
        <v>297.5</v>
      </c>
      <c r="V1750" s="117"/>
      <c r="W1750" s="26">
        <f>SUM(S1750:V1750)</f>
        <v>1891.5300000000002</v>
      </c>
      <c r="X1750" s="118">
        <f t="shared" si="1827"/>
        <v>46.88</v>
      </c>
      <c r="Y1750" s="119">
        <f t="shared" ref="Y1750:Y1751" si="1831">IFERROR(U1750/P1750,0)</f>
        <v>0</v>
      </c>
      <c r="Z1750" s="117">
        <f t="shared" si="1828"/>
        <v>-1891.5300000000002</v>
      </c>
      <c r="AA1750" s="119">
        <f t="shared" ref="AA1750:AA1751" si="1832">IFERROR(Z1750/P1750,0)</f>
        <v>0</v>
      </c>
      <c r="AB1750" s="120">
        <f t="shared" si="1829"/>
        <v>-1891.5300000000002</v>
      </c>
      <c r="AC1750" s="119" t="str">
        <f t="shared" si="1830"/>
        <v/>
      </c>
      <c r="AD1750" s="110" t="s">
        <v>881</v>
      </c>
      <c r="AE1750" s="110"/>
      <c r="AF1750" s="110"/>
      <c r="AG1750" s="121"/>
      <c r="AH1750" s="110"/>
    </row>
    <row r="1751" spans="1:34" s="216" customFormat="1" ht="11.25" customHeight="1" x14ac:dyDescent="0.15">
      <c r="A1751" s="53" t="s">
        <v>296</v>
      </c>
      <c r="B1751" s="53"/>
      <c r="C1751" s="54" t="s">
        <v>177</v>
      </c>
      <c r="D1751" s="54"/>
      <c r="E1751" s="70"/>
      <c r="F1751" s="54"/>
      <c r="G1751" s="54"/>
      <c r="H1751" s="54"/>
      <c r="I1751" s="54"/>
      <c r="J1751" s="54"/>
      <c r="K1751" s="106"/>
      <c r="L1751" s="24">
        <f>SUM(L1749:L1750)</f>
        <v>0</v>
      </c>
      <c r="M1751" s="24">
        <f>SUM(M1749:M1750)</f>
        <v>0</v>
      </c>
      <c r="N1751" s="24">
        <f>SUM(N1749:N1750)</f>
        <v>0</v>
      </c>
      <c r="O1751" s="57" t="str">
        <f>IFERROR(N1751/L1751,"")</f>
        <v/>
      </c>
      <c r="P1751" s="24">
        <f>SUM(P1749:P1750)</f>
        <v>0</v>
      </c>
      <c r="Q1751" s="24"/>
      <c r="R1751" s="117">
        <f>SUM(R1749:R1750)</f>
        <v>30.5</v>
      </c>
      <c r="S1751" s="117">
        <f t="shared" ref="S1751:V1751" si="1833">SUM(S1749:S1750)</f>
        <v>1429.8400000000001</v>
      </c>
      <c r="T1751" s="117">
        <f t="shared" si="1833"/>
        <v>1969.18</v>
      </c>
      <c r="U1751" s="117">
        <f t="shared" si="1833"/>
        <v>595</v>
      </c>
      <c r="V1751" s="117">
        <f t="shared" si="1833"/>
        <v>0</v>
      </c>
      <c r="W1751" s="26">
        <f t="shared" ref="W1751" si="1834">SUM(W1749:W1750)</f>
        <v>3994.02</v>
      </c>
      <c r="X1751" s="56">
        <f t="shared" si="1827"/>
        <v>46.88</v>
      </c>
      <c r="Y1751" s="119">
        <f t="shared" si="1831"/>
        <v>0</v>
      </c>
      <c r="Z1751" s="28">
        <f t="shared" si="1828"/>
        <v>-3994.02</v>
      </c>
      <c r="AA1751" s="119">
        <f t="shared" si="1832"/>
        <v>0</v>
      </c>
      <c r="AB1751" s="58">
        <f t="shared" si="1829"/>
        <v>-3994.02</v>
      </c>
      <c r="AC1751" s="57" t="str">
        <f t="shared" si="1830"/>
        <v/>
      </c>
      <c r="AD1751" s="53"/>
      <c r="AE1751" s="53"/>
      <c r="AF1751" s="53"/>
      <c r="AG1751" s="61"/>
      <c r="AH1751" s="53"/>
    </row>
    <row r="1752" spans="1:34" ht="11.25" customHeight="1" x14ac:dyDescent="0.15">
      <c r="A1752" s="130"/>
      <c r="B1752" s="130"/>
      <c r="C1752" s="124"/>
      <c r="D1752" s="124"/>
      <c r="E1752" s="273"/>
      <c r="F1752" s="124"/>
      <c r="G1752" s="124"/>
      <c r="H1752" s="124"/>
      <c r="I1752" s="124"/>
      <c r="J1752" s="124"/>
      <c r="K1752" s="125"/>
      <c r="L1752" s="129"/>
      <c r="M1752" s="129"/>
      <c r="N1752" s="129"/>
      <c r="O1752" s="128"/>
      <c r="P1752" s="129"/>
      <c r="Q1752" s="124"/>
      <c r="R1752" s="117"/>
      <c r="S1752" s="117"/>
      <c r="T1752" s="117"/>
      <c r="U1752" s="117"/>
      <c r="V1752" s="117"/>
      <c r="X1752" s="45"/>
      <c r="Y1752" s="128"/>
      <c r="Z1752" s="126"/>
      <c r="AA1752" s="128"/>
      <c r="AB1752" s="129"/>
      <c r="AC1752" s="160"/>
      <c r="AD1752" s="137"/>
      <c r="AE1752" s="110"/>
      <c r="AF1752" s="110"/>
      <c r="AG1752" s="121"/>
      <c r="AH1752" s="110"/>
    </row>
    <row r="1753" spans="1:34" ht="11.25" customHeight="1" x14ac:dyDescent="0.15">
      <c r="A1753" s="110" t="s">
        <v>882</v>
      </c>
      <c r="B1753" s="110"/>
      <c r="C1753" s="111" t="s">
        <v>37</v>
      </c>
      <c r="D1753" s="111">
        <v>2024</v>
      </c>
      <c r="E1753" s="146">
        <v>45596</v>
      </c>
      <c r="F1753" s="111"/>
      <c r="G1753" s="111">
        <v>11012112</v>
      </c>
      <c r="H1753" s="111"/>
      <c r="I1753" s="111"/>
      <c r="J1753" s="111"/>
      <c r="K1753" s="112" t="s">
        <v>883</v>
      </c>
      <c r="L1753" s="120">
        <v>143315.70000000001</v>
      </c>
      <c r="M1753" s="120">
        <v>34451.75</v>
      </c>
      <c r="N1753" s="120">
        <f>L1753-M1753</f>
        <v>108863.95000000001</v>
      </c>
      <c r="O1753" s="119">
        <f>IFERROR(N1753/L1753,"")</f>
        <v>0.75960937985161436</v>
      </c>
      <c r="P1753" s="120">
        <v>143315.70000000001</v>
      </c>
      <c r="Q1753" s="111">
        <v>3877</v>
      </c>
      <c r="R1753" s="117">
        <v>39</v>
      </c>
      <c r="S1753" s="117">
        <v>1545.5</v>
      </c>
      <c r="T1753" s="117"/>
      <c r="U1753" s="117">
        <v>33391.01</v>
      </c>
      <c r="V1753" s="117"/>
      <c r="W1753" s="26">
        <f>SUM(S1753:V1753)</f>
        <v>34936.51</v>
      </c>
      <c r="X1753" s="118">
        <f t="shared" ref="X1753:X1756" si="1835">IFERROR(S1753/R1753,"")</f>
        <v>39.628205128205131</v>
      </c>
      <c r="Y1753" s="119">
        <f t="shared" ref="Y1753:Y1756" si="1836">U1753/P1753</f>
        <v>0.2329891979734251</v>
      </c>
      <c r="Z1753" s="117">
        <f t="shared" ref="Z1753:Z1757" si="1837">P1753-W1753</f>
        <v>108379.19</v>
      </c>
      <c r="AA1753" s="119">
        <f t="shared" ref="AA1753:AA1756" si="1838">Z1753/P1753</f>
        <v>0.7562269172184205</v>
      </c>
      <c r="AB1753" s="120">
        <f t="shared" ref="AB1753:AB1757" si="1839">M1753-W1753</f>
        <v>-484.76000000000204</v>
      </c>
      <c r="AC1753" s="119">
        <f t="shared" ref="AC1753:AC1757" si="1840">IFERROR(AA1753-O1753,"")</f>
        <v>-3.3824626331938612E-3</v>
      </c>
      <c r="AD1753" s="110"/>
      <c r="AE1753" s="110"/>
      <c r="AF1753" s="110"/>
      <c r="AG1753" s="121"/>
      <c r="AH1753" s="110"/>
    </row>
    <row r="1754" spans="1:34" ht="11.25" customHeight="1" x14ac:dyDescent="0.15">
      <c r="A1754" s="110" t="s">
        <v>882</v>
      </c>
      <c r="B1754" s="110"/>
      <c r="C1754" s="111" t="s">
        <v>37</v>
      </c>
      <c r="D1754" s="111">
        <v>2024</v>
      </c>
      <c r="E1754" s="146">
        <v>45596</v>
      </c>
      <c r="F1754" s="111"/>
      <c r="G1754" s="111">
        <v>21010011</v>
      </c>
      <c r="H1754" s="111"/>
      <c r="I1754" s="111"/>
      <c r="J1754" s="111"/>
      <c r="K1754" s="112" t="s">
        <v>439</v>
      </c>
      <c r="L1754" s="120">
        <v>20335.23</v>
      </c>
      <c r="M1754" s="120">
        <v>6921.21</v>
      </c>
      <c r="N1754" s="120">
        <f t="shared" ref="N1754:N1756" si="1841">L1754-M1754</f>
        <v>13414.02</v>
      </c>
      <c r="O1754" s="119">
        <f t="shared" ref="O1754:O1756" si="1842">IFERROR(N1754/L1754,"")</f>
        <v>0.65964437087753625</v>
      </c>
      <c r="P1754" s="120">
        <v>20335.23</v>
      </c>
      <c r="Q1754" s="111">
        <v>4043</v>
      </c>
      <c r="R1754" s="117"/>
      <c r="S1754" s="117"/>
      <c r="T1754" s="117"/>
      <c r="U1754" s="117">
        <v>7305.09</v>
      </c>
      <c r="V1754" s="117"/>
      <c r="W1754" s="26">
        <f t="shared" ref="W1754:W1756" si="1843">SUM(S1754:V1754)</f>
        <v>7305.09</v>
      </c>
      <c r="X1754" s="118" t="str">
        <f t="shared" si="1835"/>
        <v/>
      </c>
      <c r="Y1754" s="119">
        <f t="shared" si="1836"/>
        <v>0.35923321250853818</v>
      </c>
      <c r="Z1754" s="117">
        <f t="shared" si="1837"/>
        <v>13030.14</v>
      </c>
      <c r="AA1754" s="119">
        <f t="shared" si="1838"/>
        <v>0.64076678749146188</v>
      </c>
      <c r="AB1754" s="120">
        <f t="shared" si="1839"/>
        <v>-383.88000000000011</v>
      </c>
      <c r="AC1754" s="119">
        <f t="shared" si="1840"/>
        <v>-1.887758338607437E-2</v>
      </c>
      <c r="AD1754" s="110"/>
      <c r="AE1754" s="110"/>
      <c r="AF1754" s="110"/>
      <c r="AG1754" s="121"/>
      <c r="AH1754" s="110"/>
    </row>
    <row r="1755" spans="1:34" ht="11.25" customHeight="1" x14ac:dyDescent="0.15">
      <c r="A1755" s="110" t="s">
        <v>882</v>
      </c>
      <c r="B1755" s="110"/>
      <c r="C1755" s="111" t="s">
        <v>37</v>
      </c>
      <c r="D1755" s="111">
        <v>2024</v>
      </c>
      <c r="E1755" s="146">
        <v>45596</v>
      </c>
      <c r="F1755" s="111"/>
      <c r="G1755" s="111">
        <v>21050011</v>
      </c>
      <c r="H1755" s="111"/>
      <c r="I1755" s="111"/>
      <c r="J1755" s="111"/>
      <c r="K1755" s="112" t="s">
        <v>582</v>
      </c>
      <c r="L1755" s="120">
        <v>29332.07</v>
      </c>
      <c r="M1755" s="120">
        <v>8310.99</v>
      </c>
      <c r="N1755" s="120">
        <f t="shared" si="1841"/>
        <v>21021.08</v>
      </c>
      <c r="O1755" s="119">
        <f t="shared" si="1842"/>
        <v>0.71665859245528873</v>
      </c>
      <c r="P1755" s="120">
        <v>29332.07</v>
      </c>
      <c r="Q1755" s="111">
        <v>4044</v>
      </c>
      <c r="R1755" s="117"/>
      <c r="S1755" s="117"/>
      <c r="T1755" s="117"/>
      <c r="U1755" s="117">
        <v>8281.16</v>
      </c>
      <c r="V1755" s="117"/>
      <c r="W1755" s="26">
        <f t="shared" si="1843"/>
        <v>8281.16</v>
      </c>
      <c r="X1755" s="118" t="str">
        <f t="shared" si="1835"/>
        <v/>
      </c>
      <c r="Y1755" s="119">
        <f t="shared" si="1836"/>
        <v>0.28232443192723866</v>
      </c>
      <c r="Z1755" s="117">
        <f t="shared" si="1837"/>
        <v>21050.91</v>
      </c>
      <c r="AA1755" s="119">
        <f t="shared" si="1838"/>
        <v>0.71767556807276134</v>
      </c>
      <c r="AB1755" s="120">
        <f t="shared" si="1839"/>
        <v>29.829999999999927</v>
      </c>
      <c r="AC1755" s="119">
        <f t="shared" si="1840"/>
        <v>1.0169756174726041E-3</v>
      </c>
      <c r="AD1755" s="110"/>
      <c r="AE1755" s="110"/>
      <c r="AF1755" s="110"/>
      <c r="AG1755" s="121"/>
      <c r="AH1755" s="110"/>
    </row>
    <row r="1756" spans="1:34" ht="11.25" customHeight="1" x14ac:dyDescent="0.15">
      <c r="A1756" s="110" t="s">
        <v>882</v>
      </c>
      <c r="B1756" s="110"/>
      <c r="C1756" s="111" t="s">
        <v>37</v>
      </c>
      <c r="D1756" s="111">
        <v>2024</v>
      </c>
      <c r="E1756" s="146">
        <v>45596</v>
      </c>
      <c r="F1756" s="111"/>
      <c r="G1756" s="111">
        <v>91012142</v>
      </c>
      <c r="H1756" s="111"/>
      <c r="I1756" s="111"/>
      <c r="J1756" s="111"/>
      <c r="K1756" s="112" t="s">
        <v>685</v>
      </c>
      <c r="L1756" s="120">
        <v>14822</v>
      </c>
      <c r="M1756" s="120">
        <v>5025.13</v>
      </c>
      <c r="N1756" s="120">
        <f t="shared" si="1841"/>
        <v>9796.869999999999</v>
      </c>
      <c r="O1756" s="119">
        <f t="shared" si="1842"/>
        <v>0.6609681554446093</v>
      </c>
      <c r="P1756" s="120">
        <v>14822</v>
      </c>
      <c r="Q1756" s="111">
        <v>4045</v>
      </c>
      <c r="R1756" s="117"/>
      <c r="S1756" s="117"/>
      <c r="T1756" s="117"/>
      <c r="U1756" s="117">
        <v>4448.22</v>
      </c>
      <c r="V1756" s="117"/>
      <c r="W1756" s="26">
        <f t="shared" si="1843"/>
        <v>4448.22</v>
      </c>
      <c r="X1756" s="118" t="str">
        <f t="shared" si="1835"/>
        <v/>
      </c>
      <c r="Y1756" s="119">
        <f t="shared" si="1836"/>
        <v>0.3001092969909594</v>
      </c>
      <c r="Z1756" s="117">
        <f t="shared" si="1837"/>
        <v>10373.779999999999</v>
      </c>
      <c r="AA1756" s="119">
        <f t="shared" si="1838"/>
        <v>0.69989070300904055</v>
      </c>
      <c r="AB1756" s="120">
        <f t="shared" si="1839"/>
        <v>576.90999999999985</v>
      </c>
      <c r="AC1756" s="119">
        <f t="shared" si="1840"/>
        <v>3.8922547564431254E-2</v>
      </c>
      <c r="AD1756" s="110"/>
      <c r="AE1756" s="110"/>
      <c r="AF1756" s="110"/>
      <c r="AG1756" s="121"/>
      <c r="AH1756" s="110"/>
    </row>
    <row r="1757" spans="1:34" s="216" customFormat="1" ht="11.25" customHeight="1" x14ac:dyDescent="0.15">
      <c r="A1757" s="53" t="s">
        <v>882</v>
      </c>
      <c r="B1757" s="53"/>
      <c r="C1757" s="54"/>
      <c r="D1757" s="54"/>
      <c r="E1757" s="70"/>
      <c r="F1757" s="54"/>
      <c r="G1757" s="54"/>
      <c r="H1757" s="54"/>
      <c r="I1757" s="54"/>
      <c r="J1757" s="54"/>
      <c r="K1757" s="106"/>
      <c r="L1757" s="24">
        <f>SUM(L1753:L1756)</f>
        <v>207805.00000000003</v>
      </c>
      <c r="M1757" s="24">
        <f t="shared" ref="M1757:N1757" si="1844">SUM(M1753:M1756)</f>
        <v>54709.079999999994</v>
      </c>
      <c r="N1757" s="24">
        <f t="shared" si="1844"/>
        <v>153095.92000000001</v>
      </c>
      <c r="O1757" s="57">
        <f>IFERROR(N1757/L1757,"")</f>
        <v>0.7367287601357041</v>
      </c>
      <c r="P1757" s="24">
        <f>SUM(P1753:P1756)</f>
        <v>207805.00000000003</v>
      </c>
      <c r="Q1757" s="24"/>
      <c r="R1757" s="117">
        <f>SUM(R1753:R1756)</f>
        <v>39</v>
      </c>
      <c r="S1757" s="117">
        <f t="shared" ref="S1757:V1757" si="1845">SUM(S1753:S1756)</f>
        <v>1545.5</v>
      </c>
      <c r="T1757" s="117">
        <f t="shared" si="1845"/>
        <v>0</v>
      </c>
      <c r="U1757" s="117">
        <f t="shared" si="1845"/>
        <v>53425.48000000001</v>
      </c>
      <c r="V1757" s="117">
        <f t="shared" si="1845"/>
        <v>0</v>
      </c>
      <c r="W1757" s="26">
        <f>SUM(W1753:W1756)</f>
        <v>54970.98000000001</v>
      </c>
      <c r="X1757" s="56">
        <f>IFERROR(S1757/R1757,"")</f>
        <v>39.628205128205131</v>
      </c>
      <c r="Y1757" s="119">
        <f t="shared" ref="Y1757" si="1846">IFERROR(U1757/P1757,0)</f>
        <v>0.25709429513245591</v>
      </c>
      <c r="Z1757" s="28">
        <f t="shared" si="1837"/>
        <v>152834.02000000002</v>
      </c>
      <c r="AA1757" s="57">
        <f t="shared" ref="AA1757" si="1847">IFERROR(Z1757/P1757,0)</f>
        <v>0.73546844397391786</v>
      </c>
      <c r="AB1757" s="58">
        <f t="shared" si="1839"/>
        <v>-261.90000000001601</v>
      </c>
      <c r="AC1757" s="57">
        <f t="shared" si="1840"/>
        <v>-1.2603161617862346E-3</v>
      </c>
      <c r="AD1757" s="53"/>
      <c r="AE1757" s="53"/>
      <c r="AF1757" s="53"/>
      <c r="AG1757" s="61"/>
      <c r="AH1757" s="53"/>
    </row>
    <row r="1758" spans="1:34" ht="11.25" customHeight="1" x14ac:dyDescent="0.15">
      <c r="A1758" s="110" t="s">
        <v>882</v>
      </c>
      <c r="B1758" s="110"/>
      <c r="C1758" s="111" t="s">
        <v>47</v>
      </c>
      <c r="D1758" s="111">
        <v>2024</v>
      </c>
      <c r="E1758" s="146">
        <v>45596</v>
      </c>
      <c r="F1758" s="111"/>
      <c r="G1758" s="111">
        <v>51012112</v>
      </c>
      <c r="H1758" s="111"/>
      <c r="I1758" s="111"/>
      <c r="J1758" s="111"/>
      <c r="K1758" s="112" t="s">
        <v>852</v>
      </c>
      <c r="L1758" s="120">
        <v>24458</v>
      </c>
      <c r="M1758" s="120">
        <v>7196.48</v>
      </c>
      <c r="N1758" s="120">
        <f t="shared" ref="N1758" si="1848">L1758-M1758</f>
        <v>17261.52</v>
      </c>
      <c r="O1758" s="119">
        <f t="shared" ref="O1758" si="1849">IFERROR(N1758/L1758,"")</f>
        <v>0.70576171395862297</v>
      </c>
      <c r="P1758" s="120">
        <v>24458</v>
      </c>
      <c r="Q1758" s="111">
        <v>4046</v>
      </c>
      <c r="R1758" s="117">
        <v>36</v>
      </c>
      <c r="S1758" s="117">
        <v>1724.77</v>
      </c>
      <c r="T1758" s="117">
        <v>1087.1500000000001</v>
      </c>
      <c r="U1758" s="117">
        <v>3016.27</v>
      </c>
      <c r="V1758" s="117"/>
      <c r="W1758" s="26">
        <f t="shared" ref="W1758:W1761" si="1850">SUM(S1758:V1758)</f>
        <v>5828.1900000000005</v>
      </c>
      <c r="X1758" s="118">
        <f t="shared" ref="X1758:X1761" si="1851">IFERROR(S1758/R1758,"")</f>
        <v>47.910277777777779</v>
      </c>
      <c r="Y1758" s="119">
        <f t="shared" ref="Y1758:Y1761" si="1852">U1758/P1758</f>
        <v>0.12332447460953472</v>
      </c>
      <c r="Z1758" s="117">
        <f t="shared" ref="Z1758:Z1761" si="1853">P1758-W1758</f>
        <v>18629.809999999998</v>
      </c>
      <c r="AA1758" s="119">
        <f t="shared" ref="AA1758:AA1761" si="1854">Z1758/P1758</f>
        <v>0.7617061902036143</v>
      </c>
      <c r="AB1758" s="120">
        <f t="shared" ref="AB1758:AB1761" si="1855">M1758-W1758</f>
        <v>1368.2899999999991</v>
      </c>
      <c r="AC1758" s="119">
        <f t="shared" ref="AC1758:AC1761" si="1856">IFERROR(AA1758-O1758,"")</f>
        <v>5.5944476244991326E-2</v>
      </c>
      <c r="AD1758" s="110"/>
      <c r="AE1758" s="110"/>
      <c r="AF1758" s="110"/>
      <c r="AG1758" s="121"/>
      <c r="AH1758" s="110"/>
    </row>
    <row r="1759" spans="1:34" ht="11.25" customHeight="1" x14ac:dyDescent="0.15">
      <c r="A1759" s="110" t="s">
        <v>882</v>
      </c>
      <c r="B1759" s="110"/>
      <c r="C1759" s="111" t="s">
        <v>248</v>
      </c>
      <c r="D1759" s="111">
        <v>2024</v>
      </c>
      <c r="E1759" s="146">
        <v>45596</v>
      </c>
      <c r="F1759" s="111"/>
      <c r="G1759" s="111">
        <v>96000000</v>
      </c>
      <c r="H1759" s="111"/>
      <c r="I1759" s="111"/>
      <c r="J1759" s="111"/>
      <c r="K1759" s="112" t="s">
        <v>250</v>
      </c>
      <c r="L1759" s="120">
        <v>13315</v>
      </c>
      <c r="M1759" s="120">
        <v>6657.5</v>
      </c>
      <c r="N1759" s="120">
        <f t="shared" ref="N1759:N1762" si="1857">L1759-M1759</f>
        <v>6657.5</v>
      </c>
      <c r="O1759" s="119">
        <f t="shared" ref="O1759:O1762" si="1858">IFERROR(N1759/L1759,"")</f>
        <v>0.5</v>
      </c>
      <c r="P1759" s="120">
        <v>13315</v>
      </c>
      <c r="Q1759" s="111">
        <v>4047</v>
      </c>
      <c r="R1759" s="117">
        <v>8</v>
      </c>
      <c r="S1759" s="117">
        <v>452.4</v>
      </c>
      <c r="T1759" s="117"/>
      <c r="U1759" s="117"/>
      <c r="V1759" s="117"/>
      <c r="W1759" s="26">
        <f t="shared" si="1850"/>
        <v>452.4</v>
      </c>
      <c r="X1759" s="118">
        <f t="shared" si="1851"/>
        <v>56.55</v>
      </c>
      <c r="Y1759" s="119">
        <f t="shared" si="1852"/>
        <v>0</v>
      </c>
      <c r="Z1759" s="117">
        <f t="shared" si="1853"/>
        <v>12862.6</v>
      </c>
      <c r="AA1759" s="119">
        <f t="shared" si="1854"/>
        <v>0.96602328201276755</v>
      </c>
      <c r="AB1759" s="120">
        <f t="shared" si="1855"/>
        <v>6205.1</v>
      </c>
      <c r="AC1759" s="119">
        <f t="shared" si="1856"/>
        <v>0.46602328201276755</v>
      </c>
      <c r="AD1759" s="110"/>
      <c r="AE1759" s="110"/>
      <c r="AF1759" s="110"/>
      <c r="AG1759" s="121"/>
      <c r="AH1759" s="110"/>
    </row>
    <row r="1760" spans="1:34" ht="11.25" customHeight="1" x14ac:dyDescent="0.15">
      <c r="A1760" s="110" t="s">
        <v>882</v>
      </c>
      <c r="B1760" s="110"/>
      <c r="C1760" s="111" t="s">
        <v>55</v>
      </c>
      <c r="D1760" s="111">
        <v>2024</v>
      </c>
      <c r="E1760" s="146">
        <v>45596</v>
      </c>
      <c r="F1760" s="111"/>
      <c r="G1760" s="111" t="s">
        <v>56</v>
      </c>
      <c r="H1760" s="111"/>
      <c r="I1760" s="111"/>
      <c r="J1760" s="111"/>
      <c r="K1760" s="112" t="s">
        <v>71</v>
      </c>
      <c r="L1760" s="120">
        <v>8435</v>
      </c>
      <c r="M1760" s="120">
        <v>3900</v>
      </c>
      <c r="N1760" s="120">
        <f t="shared" si="1857"/>
        <v>4535</v>
      </c>
      <c r="O1760" s="119">
        <f t="shared" si="1858"/>
        <v>0.53764078245406044</v>
      </c>
      <c r="P1760" s="120">
        <v>8435</v>
      </c>
      <c r="Q1760" s="111">
        <v>4048</v>
      </c>
      <c r="R1760" s="117">
        <v>20.5</v>
      </c>
      <c r="S1760" s="117">
        <v>912.25</v>
      </c>
      <c r="T1760" s="117"/>
      <c r="U1760" s="117"/>
      <c r="V1760" s="117">
        <v>3612.29</v>
      </c>
      <c r="W1760" s="26">
        <f t="shared" si="1850"/>
        <v>4524.54</v>
      </c>
      <c r="X1760" s="118">
        <f t="shared" si="1851"/>
        <v>44.5</v>
      </c>
      <c r="Y1760" s="119">
        <f t="shared" si="1852"/>
        <v>0</v>
      </c>
      <c r="Z1760" s="117">
        <f t="shared" si="1853"/>
        <v>3910.46</v>
      </c>
      <c r="AA1760" s="119">
        <f t="shared" si="1854"/>
        <v>0.46359928867812683</v>
      </c>
      <c r="AB1760" s="120">
        <f t="shared" si="1855"/>
        <v>-624.54</v>
      </c>
      <c r="AC1760" s="119">
        <f t="shared" si="1856"/>
        <v>-7.4041493775933609E-2</v>
      </c>
      <c r="AD1760" s="110"/>
      <c r="AE1760" s="110"/>
      <c r="AF1760" s="110"/>
      <c r="AG1760" s="121"/>
      <c r="AH1760" s="110"/>
    </row>
    <row r="1761" spans="1:34" ht="11.25" customHeight="1" x14ac:dyDescent="0.15">
      <c r="A1761" s="110" t="s">
        <v>882</v>
      </c>
      <c r="B1761" s="110"/>
      <c r="C1761" s="111" t="s">
        <v>58</v>
      </c>
      <c r="D1761" s="111">
        <v>2024</v>
      </c>
      <c r="E1761" s="146">
        <v>45596</v>
      </c>
      <c r="F1761" s="111"/>
      <c r="G1761" s="111">
        <v>71152012</v>
      </c>
      <c r="H1761" s="111"/>
      <c r="I1761" s="111"/>
      <c r="J1761" s="111"/>
      <c r="K1761" s="112" t="s">
        <v>712</v>
      </c>
      <c r="L1761" s="120">
        <f>65338-48049</f>
        <v>17289</v>
      </c>
      <c r="M1761" s="120">
        <v>1536.4</v>
      </c>
      <c r="N1761" s="120">
        <f t="shared" si="1857"/>
        <v>15752.6</v>
      </c>
      <c r="O1761" s="119">
        <f t="shared" si="1858"/>
        <v>0.91113424720920821</v>
      </c>
      <c r="P1761" s="120">
        <f>65338-48049</f>
        <v>17289</v>
      </c>
      <c r="Q1761" s="111">
        <v>4049</v>
      </c>
      <c r="R1761" s="117"/>
      <c r="S1761" s="117"/>
      <c r="T1761" s="117"/>
      <c r="U1761" s="117">
        <v>2767.41</v>
      </c>
      <c r="V1761" s="117"/>
      <c r="W1761" s="26">
        <f t="shared" si="1850"/>
        <v>2767.41</v>
      </c>
      <c r="X1761" s="118" t="str">
        <f t="shared" si="1851"/>
        <v/>
      </c>
      <c r="Y1761" s="119">
        <f t="shared" si="1852"/>
        <v>0.16006767308693387</v>
      </c>
      <c r="Z1761" s="117">
        <f t="shared" si="1853"/>
        <v>14521.59</v>
      </c>
      <c r="AA1761" s="119">
        <f t="shared" si="1854"/>
        <v>0.83993232691306607</v>
      </c>
      <c r="AB1761" s="120">
        <f t="shared" si="1855"/>
        <v>-1231.0099999999998</v>
      </c>
      <c r="AC1761" s="119">
        <f t="shared" si="1856"/>
        <v>-7.120192029614214E-2</v>
      </c>
      <c r="AD1761" s="110"/>
      <c r="AE1761" s="110"/>
      <c r="AF1761" s="110"/>
      <c r="AG1761" s="121"/>
      <c r="AH1761" s="110"/>
    </row>
    <row r="1762" spans="1:34" ht="11.25" customHeight="1" x14ac:dyDescent="0.15">
      <c r="A1762" s="110" t="s">
        <v>882</v>
      </c>
      <c r="B1762" s="110"/>
      <c r="C1762" s="111" t="s">
        <v>49</v>
      </c>
      <c r="D1762" s="111">
        <v>2024</v>
      </c>
      <c r="E1762" s="146">
        <v>45596</v>
      </c>
      <c r="F1762" s="111"/>
      <c r="G1762" s="111">
        <v>61652012</v>
      </c>
      <c r="H1762" s="111"/>
      <c r="I1762" s="111"/>
      <c r="J1762" s="111"/>
      <c r="K1762" s="112" t="s">
        <v>85</v>
      </c>
      <c r="L1762" s="120">
        <v>10238</v>
      </c>
      <c r="M1762" s="120">
        <v>2636.44</v>
      </c>
      <c r="N1762" s="120">
        <f t="shared" si="1857"/>
        <v>7601.5599999999995</v>
      </c>
      <c r="O1762" s="119">
        <f t="shared" si="1858"/>
        <v>0.74248486032428207</v>
      </c>
      <c r="P1762" s="120">
        <v>10238</v>
      </c>
      <c r="Q1762" s="111">
        <v>4050</v>
      </c>
      <c r="R1762" s="117">
        <v>24</v>
      </c>
      <c r="S1762" s="117">
        <v>1357.2</v>
      </c>
      <c r="T1762" s="117">
        <v>711.79</v>
      </c>
      <c r="U1762" s="117"/>
      <c r="V1762" s="117"/>
      <c r="W1762" s="26">
        <f t="shared" ref="W1762:W1763" si="1859">SUM(S1762:V1762)</f>
        <v>2068.9899999999998</v>
      </c>
      <c r="X1762" s="118">
        <f t="shared" ref="X1762:X1763" si="1860">IFERROR(S1762/R1762,"")</f>
        <v>56.550000000000004</v>
      </c>
      <c r="Y1762" s="119">
        <f t="shared" ref="Y1762:Y1763" si="1861">U1762/P1762</f>
        <v>0</v>
      </c>
      <c r="Z1762" s="117">
        <f t="shared" ref="Z1762:Z1763" si="1862">P1762-W1762</f>
        <v>8169.01</v>
      </c>
      <c r="AA1762" s="119">
        <f>Z1762/P1762</f>
        <v>0.79791072475092795</v>
      </c>
      <c r="AB1762" s="120">
        <f t="shared" ref="AB1762:AB1763" si="1863">M1762-W1762</f>
        <v>567.45000000000027</v>
      </c>
      <c r="AC1762" s="119">
        <f t="shared" ref="AC1762:AC1763" si="1864">IFERROR(AA1762-O1762,"")</f>
        <v>5.5425864426645877E-2</v>
      </c>
      <c r="AD1762" s="110"/>
      <c r="AE1762" s="110"/>
      <c r="AF1762" s="110"/>
      <c r="AG1762" s="121"/>
      <c r="AH1762" s="110"/>
    </row>
    <row r="1763" spans="1:34" s="216" customFormat="1" ht="11.25" customHeight="1" x14ac:dyDescent="0.15">
      <c r="A1763" s="53" t="s">
        <v>882</v>
      </c>
      <c r="B1763" s="53"/>
      <c r="C1763" s="54" t="s">
        <v>177</v>
      </c>
      <c r="D1763" s="54"/>
      <c r="E1763" s="70"/>
      <c r="F1763" s="54"/>
      <c r="G1763" s="54"/>
      <c r="H1763" s="54"/>
      <c r="I1763" s="54"/>
      <c r="J1763" s="54"/>
      <c r="K1763" s="106"/>
      <c r="L1763" s="24">
        <f>SUM(L1757:L1762)</f>
        <v>281540</v>
      </c>
      <c r="M1763" s="24">
        <f>SUM(M1757:M1762)</f>
        <v>76635.899999999994</v>
      </c>
      <c r="N1763" s="24">
        <f t="shared" ref="N1763" si="1865">SUM(N1757:N1762)</f>
        <v>204904.1</v>
      </c>
      <c r="O1763" s="57">
        <f>IFERROR(N1763/L1763,"")</f>
        <v>0.72779747105207082</v>
      </c>
      <c r="P1763" s="24">
        <f>SUM(P1757:P1762)</f>
        <v>281540</v>
      </c>
      <c r="Q1763" s="24"/>
      <c r="R1763" s="117">
        <f>SUM(R1757:R1762)</f>
        <v>127.5</v>
      </c>
      <c r="S1763" s="117">
        <f t="shared" ref="S1763:V1763" si="1866">SUM(S1757:S1762)</f>
        <v>5992.12</v>
      </c>
      <c r="T1763" s="117">
        <f t="shared" si="1866"/>
        <v>1798.94</v>
      </c>
      <c r="U1763" s="117">
        <f t="shared" si="1866"/>
        <v>59209.16</v>
      </c>
      <c r="V1763" s="117">
        <f t="shared" si="1866"/>
        <v>3612.29</v>
      </c>
      <c r="W1763" s="26">
        <f t="shared" si="1859"/>
        <v>70612.509999999995</v>
      </c>
      <c r="X1763" s="56">
        <f t="shared" si="1860"/>
        <v>46.997019607843136</v>
      </c>
      <c r="Y1763" s="57">
        <f t="shared" si="1861"/>
        <v>0.21030461035732045</v>
      </c>
      <c r="Z1763" s="28">
        <f t="shared" si="1862"/>
        <v>210927.49</v>
      </c>
      <c r="AA1763" s="57">
        <f>Z1763/P1763</f>
        <v>0.74919190878738362</v>
      </c>
      <c r="AB1763" s="58">
        <f t="shared" si="1863"/>
        <v>6023.3899999999994</v>
      </c>
      <c r="AC1763" s="57">
        <f t="shared" si="1864"/>
        <v>2.1394437735312799E-2</v>
      </c>
      <c r="AD1763" s="53"/>
      <c r="AE1763" s="53"/>
      <c r="AF1763" s="53"/>
      <c r="AG1763" s="61"/>
      <c r="AH1763" s="53"/>
    </row>
    <row r="1764" spans="1:34" ht="11.25" customHeight="1" x14ac:dyDescent="0.15">
      <c r="A1764" s="130"/>
      <c r="B1764" s="130"/>
      <c r="C1764" s="124"/>
      <c r="D1764" s="124"/>
      <c r="E1764" s="273"/>
      <c r="F1764" s="124"/>
      <c r="G1764" s="124"/>
      <c r="H1764" s="124"/>
      <c r="I1764" s="124"/>
      <c r="J1764" s="124"/>
      <c r="K1764" s="125"/>
      <c r="L1764" s="129"/>
      <c r="M1764" s="129"/>
      <c r="N1764" s="129"/>
      <c r="O1764" s="128"/>
      <c r="P1764" s="129"/>
      <c r="Q1764" s="124"/>
      <c r="R1764" s="117"/>
      <c r="S1764" s="117"/>
      <c r="T1764" s="117"/>
      <c r="U1764" s="117"/>
      <c r="V1764" s="117"/>
      <c r="X1764" s="45"/>
      <c r="Y1764" s="128"/>
      <c r="Z1764" s="126"/>
      <c r="AA1764" s="128"/>
      <c r="AB1764" s="129"/>
      <c r="AC1764" s="160"/>
      <c r="AD1764" s="137"/>
      <c r="AE1764" s="110"/>
      <c r="AF1764" s="110"/>
      <c r="AG1764" s="121"/>
      <c r="AH1764" s="110"/>
    </row>
    <row r="1765" spans="1:34" ht="11.25" customHeight="1" x14ac:dyDescent="0.15">
      <c r="A1765" s="110" t="s">
        <v>418</v>
      </c>
      <c r="B1765" s="110"/>
      <c r="C1765" s="111" t="s">
        <v>175</v>
      </c>
      <c r="D1765" s="111">
        <v>2024</v>
      </c>
      <c r="E1765" s="146">
        <v>45626</v>
      </c>
      <c r="F1765" s="111"/>
      <c r="G1765" s="111">
        <v>81000011</v>
      </c>
      <c r="H1765" s="111">
        <v>4111</v>
      </c>
      <c r="I1765" s="111" t="str">
        <f>MID(G1765,2,1)</f>
        <v>1</v>
      </c>
      <c r="J1765" s="111" t="str">
        <f>IF(I1765="1","Small/Medium","Large")</f>
        <v>Small/Medium</v>
      </c>
      <c r="K1765" s="147" t="s">
        <v>145</v>
      </c>
      <c r="L1765" s="120">
        <f>11062-1217</f>
        <v>9845</v>
      </c>
      <c r="M1765" s="120">
        <f>L1765*0.3</f>
        <v>2953.5</v>
      </c>
      <c r="N1765" s="120">
        <f>L1765-M1765</f>
        <v>6891.5</v>
      </c>
      <c r="O1765" s="119">
        <f>IFERROR(N1765/L1765,"")</f>
        <v>0.7</v>
      </c>
      <c r="P1765" s="120">
        <f>11062-1217</f>
        <v>9845</v>
      </c>
      <c r="Q1765" s="111">
        <v>4422</v>
      </c>
      <c r="R1765" s="117">
        <v>11</v>
      </c>
      <c r="S1765" s="117">
        <v>515.67999999999995</v>
      </c>
      <c r="T1765" s="117">
        <v>42.35</v>
      </c>
      <c r="U1765" s="117">
        <v>481.31</v>
      </c>
      <c r="V1765" s="117"/>
      <c r="W1765" s="26">
        <f>SUM(S1765:V1765)</f>
        <v>1039.3399999999999</v>
      </c>
      <c r="X1765" s="118">
        <f t="shared" ref="X1765:X1766" si="1867">IFERROR(S1765/R1765,"")</f>
        <v>46.879999999999995</v>
      </c>
      <c r="Y1765" s="119">
        <f t="shared" ref="Y1765:Y1766" si="1868">U1765/P1765</f>
        <v>4.8888776028440835E-2</v>
      </c>
      <c r="Z1765" s="117">
        <f t="shared" ref="Z1765:Z1766" si="1869">P1765-W1765</f>
        <v>8805.66</v>
      </c>
      <c r="AA1765" s="119">
        <f t="shared" ref="AA1765" si="1870">Z1765/P1765</f>
        <v>0.89442965972574906</v>
      </c>
      <c r="AB1765" s="120">
        <f t="shared" ref="AB1765:AB1766" si="1871">M1765-W1765</f>
        <v>1914.16</v>
      </c>
      <c r="AC1765" s="119">
        <f t="shared" ref="AC1765:AC1766" si="1872">IFERROR(AA1765-O1765,"")</f>
        <v>0.1944296597257491</v>
      </c>
      <c r="AD1765" s="110"/>
      <c r="AE1765" s="110"/>
      <c r="AF1765" s="110"/>
      <c r="AG1765" s="121"/>
      <c r="AH1765" s="110"/>
    </row>
    <row r="1766" spans="1:34" s="216" customFormat="1" ht="11.25" customHeight="1" x14ac:dyDescent="0.15">
      <c r="A1766" s="53" t="s">
        <v>418</v>
      </c>
      <c r="B1766" s="53"/>
      <c r="C1766" s="54" t="s">
        <v>177</v>
      </c>
      <c r="D1766" s="54"/>
      <c r="E1766" s="70"/>
      <c r="F1766" s="54"/>
      <c r="G1766" s="54"/>
      <c r="H1766" s="54"/>
      <c r="I1766" s="54"/>
      <c r="J1766" s="54"/>
      <c r="K1766" s="106"/>
      <c r="L1766" s="24">
        <f>SUM(L1765)</f>
        <v>9845</v>
      </c>
      <c r="M1766" s="24">
        <f t="shared" ref="M1766:N1766" si="1873">SUM(M1764:M1765)</f>
        <v>2953.5</v>
      </c>
      <c r="N1766" s="24">
        <f t="shared" si="1873"/>
        <v>6891.5</v>
      </c>
      <c r="O1766" s="57">
        <f>IFERROR(N1766/L1766,"")</f>
        <v>0.7</v>
      </c>
      <c r="P1766" s="24">
        <f>SUM(P1765)</f>
        <v>9845</v>
      </c>
      <c r="Q1766" s="24"/>
      <c r="R1766" s="117">
        <f>SUM(R1765)</f>
        <v>11</v>
      </c>
      <c r="S1766" s="117">
        <f t="shared" ref="S1766:V1766" si="1874">SUM(S1765)</f>
        <v>515.67999999999995</v>
      </c>
      <c r="T1766" s="117">
        <f t="shared" si="1874"/>
        <v>42.35</v>
      </c>
      <c r="U1766" s="117">
        <f t="shared" si="1874"/>
        <v>481.31</v>
      </c>
      <c r="V1766" s="117">
        <f t="shared" si="1874"/>
        <v>0</v>
      </c>
      <c r="W1766" s="26">
        <f t="shared" ref="W1766" si="1875">SUM(W1764:W1765)</f>
        <v>1039.3399999999999</v>
      </c>
      <c r="X1766" s="56">
        <f t="shared" si="1867"/>
        <v>46.879999999999995</v>
      </c>
      <c r="Y1766" s="57">
        <f t="shared" si="1868"/>
        <v>4.8888776028440835E-2</v>
      </c>
      <c r="Z1766" s="28">
        <f t="shared" si="1869"/>
        <v>8805.66</v>
      </c>
      <c r="AA1766" s="57" t="s">
        <v>884</v>
      </c>
      <c r="AB1766" s="58">
        <f t="shared" si="1871"/>
        <v>1914.16</v>
      </c>
      <c r="AC1766" s="57" t="str">
        <f t="shared" si="1872"/>
        <v/>
      </c>
      <c r="AD1766" s="53"/>
      <c r="AE1766" s="53"/>
      <c r="AF1766" s="53"/>
      <c r="AG1766" s="61"/>
      <c r="AH1766" s="53"/>
    </row>
    <row r="1767" spans="1:34" ht="11.25" customHeight="1" x14ac:dyDescent="0.15">
      <c r="A1767" s="130"/>
      <c r="B1767" s="130"/>
      <c r="C1767" s="124"/>
      <c r="D1767" s="124"/>
      <c r="E1767" s="273"/>
      <c r="F1767" s="124"/>
      <c r="G1767" s="124"/>
      <c r="H1767" s="124"/>
      <c r="I1767" s="124"/>
      <c r="J1767" s="124"/>
      <c r="K1767" s="125"/>
      <c r="L1767" s="129"/>
      <c r="M1767" s="129"/>
      <c r="N1767" s="129"/>
      <c r="O1767" s="128"/>
      <c r="P1767" s="129"/>
      <c r="Q1767" s="124"/>
      <c r="R1767" s="117"/>
      <c r="S1767" s="117"/>
      <c r="T1767" s="117"/>
      <c r="U1767" s="117"/>
      <c r="V1767" s="117"/>
      <c r="X1767" s="45"/>
      <c r="Y1767" s="128"/>
      <c r="Z1767" s="126"/>
      <c r="AA1767" s="128"/>
      <c r="AB1767" s="129"/>
      <c r="AC1767" s="160"/>
      <c r="AD1767" s="137"/>
      <c r="AE1767" s="110"/>
      <c r="AF1767" s="110"/>
      <c r="AG1767" s="121"/>
      <c r="AH1767" s="110"/>
    </row>
    <row r="1768" spans="1:34" ht="11.25" customHeight="1" x14ac:dyDescent="0.15">
      <c r="A1768" s="110" t="s">
        <v>625</v>
      </c>
      <c r="B1768" s="110"/>
      <c r="C1768" s="111" t="s">
        <v>175</v>
      </c>
      <c r="D1768" s="111">
        <v>2024</v>
      </c>
      <c r="E1768" s="146">
        <v>45626</v>
      </c>
      <c r="F1768" s="111"/>
      <c r="G1768" s="111">
        <v>81100211</v>
      </c>
      <c r="H1768" s="111">
        <v>4101</v>
      </c>
      <c r="I1768" s="111" t="str">
        <f>MID(G1768,2,1)</f>
        <v>1</v>
      </c>
      <c r="J1768" s="111" t="str">
        <f t="shared" ref="J1768" si="1876">IF(I1768="1","Small/Medium","Large")</f>
        <v>Small/Medium</v>
      </c>
      <c r="K1768" s="147" t="s">
        <v>145</v>
      </c>
      <c r="L1768" s="120">
        <v>12230.623440748441</v>
      </c>
      <c r="M1768" s="120">
        <f>L1768*0.3</f>
        <v>3669.1870322245322</v>
      </c>
      <c r="N1768" s="120">
        <f>L1768-M1768</f>
        <v>8561.4364085239085</v>
      </c>
      <c r="O1768" s="119">
        <f>IFERROR(N1768/L1768,"")</f>
        <v>0.7</v>
      </c>
      <c r="P1768" s="120">
        <v>12230.623440748441</v>
      </c>
      <c r="Q1768" s="111">
        <v>4376</v>
      </c>
      <c r="R1768" s="117">
        <v>13</v>
      </c>
      <c r="S1768" s="117">
        <v>609.44000000000005</v>
      </c>
      <c r="T1768" s="117">
        <v>838.67</v>
      </c>
      <c r="U1768" s="117">
        <v>664.35</v>
      </c>
      <c r="V1768" s="117"/>
      <c r="W1768" s="26">
        <f>SUM(S1768:V1768)</f>
        <v>2112.46</v>
      </c>
      <c r="X1768" s="118">
        <f t="shared" ref="X1768:X1770" si="1877">IFERROR(S1768/R1768,"")</f>
        <v>46.88</v>
      </c>
      <c r="Y1768" s="119">
        <f>IFERROR(U1768/P1768,0)</f>
        <v>5.4318572002356229E-2</v>
      </c>
      <c r="Z1768" s="117">
        <f t="shared" ref="Z1768:Z1770" si="1878">P1768-W1768</f>
        <v>10118.163440748442</v>
      </c>
      <c r="AA1768" s="119">
        <f>IFERROR(Z1768/P1768,0)</f>
        <v>0.82728108585520077</v>
      </c>
      <c r="AB1768" s="120">
        <f t="shared" ref="AB1768:AB1770" si="1879">M1768-W1768</f>
        <v>1556.7270322245322</v>
      </c>
      <c r="AC1768" s="119">
        <f t="shared" ref="AC1768:AC1770" si="1880">IFERROR(AA1768-O1768,"")</f>
        <v>0.12728108585520082</v>
      </c>
      <c r="AD1768" s="110"/>
      <c r="AE1768" s="110"/>
      <c r="AF1768" s="110"/>
      <c r="AG1768" s="121"/>
      <c r="AH1768" s="110"/>
    </row>
    <row r="1769" spans="1:34" ht="11.25" customHeight="1" x14ac:dyDescent="0.15">
      <c r="A1769" s="110" t="s">
        <v>625</v>
      </c>
      <c r="B1769" s="110"/>
      <c r="C1769" s="111" t="s">
        <v>175</v>
      </c>
      <c r="D1769" s="111">
        <v>2024</v>
      </c>
      <c r="E1769" s="146">
        <v>45626</v>
      </c>
      <c r="F1769" s="111"/>
      <c r="G1769" s="111">
        <v>82100211</v>
      </c>
      <c r="H1769" s="111">
        <v>4101</v>
      </c>
      <c r="I1769" s="111" t="str">
        <f>MID(G1769,2,1)</f>
        <v>2</v>
      </c>
      <c r="J1769" s="111" t="str">
        <f>IF(I1769="1","Small/Medium","Large")</f>
        <v>Large</v>
      </c>
      <c r="K1769" s="147" t="s">
        <v>176</v>
      </c>
      <c r="L1769" s="120">
        <v>16660.376559251559</v>
      </c>
      <c r="M1769" s="120">
        <f>L1769*0.3</f>
        <v>4998.112967775468</v>
      </c>
      <c r="N1769" s="120">
        <f>L1769-M1769</f>
        <v>11662.26359147609</v>
      </c>
      <c r="O1769" s="119">
        <f>IFERROR(N1769/L1769,"")</f>
        <v>0.7</v>
      </c>
      <c r="P1769" s="120">
        <v>16660.376559251559</v>
      </c>
      <c r="Q1769" s="111">
        <v>4377</v>
      </c>
      <c r="R1769" s="117">
        <v>13.5</v>
      </c>
      <c r="S1769" s="117">
        <v>632.88</v>
      </c>
      <c r="T1769" s="117">
        <v>838.67</v>
      </c>
      <c r="U1769" s="117">
        <v>645.73</v>
      </c>
      <c r="V1769" s="117"/>
      <c r="W1769" s="26">
        <f>SUM(S1769:V1769)</f>
        <v>2117.2799999999997</v>
      </c>
      <c r="X1769" s="118">
        <f t="shared" si="1877"/>
        <v>46.88</v>
      </c>
      <c r="Y1769" s="119">
        <f t="shared" ref="Y1769:Y1770" si="1881">IFERROR(U1769/P1769,0)</f>
        <v>3.8758427680401025E-2</v>
      </c>
      <c r="Z1769" s="117">
        <f t="shared" si="1878"/>
        <v>14543.09655925156</v>
      </c>
      <c r="AA1769" s="119">
        <f t="shared" ref="AA1769:AA1770" si="1882">IFERROR(Z1769/P1769,0)</f>
        <v>0.8729152373915422</v>
      </c>
      <c r="AB1769" s="120">
        <f t="shared" si="1879"/>
        <v>2880.8329677754682</v>
      </c>
      <c r="AC1769" s="119">
        <f t="shared" si="1880"/>
        <v>0.17291523739154224</v>
      </c>
      <c r="AD1769" s="110"/>
      <c r="AE1769" s="110"/>
      <c r="AF1769" s="110"/>
      <c r="AG1769" s="121"/>
      <c r="AH1769" s="110"/>
    </row>
    <row r="1770" spans="1:34" s="216" customFormat="1" ht="11.25" customHeight="1" x14ac:dyDescent="0.15">
      <c r="A1770" s="53" t="s">
        <v>625</v>
      </c>
      <c r="B1770" s="53"/>
      <c r="C1770" s="54" t="s">
        <v>177</v>
      </c>
      <c r="D1770" s="54"/>
      <c r="E1770" s="70"/>
      <c r="F1770" s="54"/>
      <c r="G1770" s="54"/>
      <c r="H1770" s="54"/>
      <c r="I1770" s="54"/>
      <c r="J1770" s="54"/>
      <c r="K1770" s="106"/>
      <c r="L1770" s="24">
        <f>SUM(L1768:L1769)</f>
        <v>28891</v>
      </c>
      <c r="M1770" s="24">
        <f t="shared" ref="M1770:N1770" si="1883">SUM(M1768:M1769)</f>
        <v>8667.2999999999993</v>
      </c>
      <c r="N1770" s="24">
        <f t="shared" si="1883"/>
        <v>20223.699999999997</v>
      </c>
      <c r="O1770" s="57">
        <f>IFERROR(N1770/L1770,"")</f>
        <v>0.69999999999999984</v>
      </c>
      <c r="P1770" s="24">
        <f>SUM(P1768:P1769)</f>
        <v>28891</v>
      </c>
      <c r="Q1770" s="24"/>
      <c r="R1770" s="117">
        <f>SUM(R1768:R1769)</f>
        <v>26.5</v>
      </c>
      <c r="S1770" s="117">
        <f t="shared" ref="S1770:V1770" si="1884">SUM(S1768:S1769)</f>
        <v>1242.3200000000002</v>
      </c>
      <c r="T1770" s="117">
        <f t="shared" si="1884"/>
        <v>1677.34</v>
      </c>
      <c r="U1770" s="117">
        <f t="shared" si="1884"/>
        <v>1310.08</v>
      </c>
      <c r="V1770" s="117">
        <f t="shared" si="1884"/>
        <v>0</v>
      </c>
      <c r="W1770" s="26">
        <f t="shared" ref="W1770" si="1885">SUM(W1768:W1769)</f>
        <v>4229.74</v>
      </c>
      <c r="X1770" s="56">
        <f t="shared" si="1877"/>
        <v>46.88000000000001</v>
      </c>
      <c r="Y1770" s="119">
        <f t="shared" si="1881"/>
        <v>4.5345609359316044E-2</v>
      </c>
      <c r="Z1770" s="28">
        <f t="shared" si="1878"/>
        <v>24661.260000000002</v>
      </c>
      <c r="AA1770" s="119">
        <f t="shared" si="1882"/>
        <v>0.85359662178533113</v>
      </c>
      <c r="AB1770" s="58">
        <f t="shared" si="1879"/>
        <v>4437.5599999999995</v>
      </c>
      <c r="AC1770" s="57">
        <f t="shared" si="1880"/>
        <v>0.15359662178533129</v>
      </c>
      <c r="AD1770" s="53"/>
      <c r="AE1770" s="53"/>
      <c r="AF1770" s="53"/>
      <c r="AG1770" s="61"/>
      <c r="AH1770" s="53"/>
    </row>
    <row r="1771" spans="1:34" ht="11.25" customHeight="1" x14ac:dyDescent="0.15">
      <c r="A1771" s="130"/>
      <c r="B1771" s="130"/>
      <c r="C1771" s="124"/>
      <c r="D1771" s="124"/>
      <c r="E1771" s="273"/>
      <c r="F1771" s="124"/>
      <c r="G1771" s="124"/>
      <c r="H1771" s="124"/>
      <c r="I1771" s="124"/>
      <c r="J1771" s="124"/>
      <c r="K1771" s="125"/>
      <c r="L1771" s="129"/>
      <c r="M1771" s="129"/>
      <c r="N1771" s="129"/>
      <c r="O1771" s="128"/>
      <c r="P1771" s="129"/>
      <c r="Q1771" s="124"/>
      <c r="R1771" s="117"/>
      <c r="S1771" s="117"/>
      <c r="T1771" s="117"/>
      <c r="U1771" s="117"/>
      <c r="V1771" s="117"/>
      <c r="X1771" s="45"/>
      <c r="Y1771" s="128"/>
      <c r="Z1771" s="126"/>
      <c r="AA1771" s="128"/>
      <c r="AB1771" s="129"/>
      <c r="AC1771" s="160"/>
      <c r="AD1771" s="137"/>
      <c r="AE1771" s="110"/>
      <c r="AF1771" s="110"/>
      <c r="AG1771" s="121"/>
      <c r="AH1771" s="110"/>
    </row>
    <row r="1772" spans="1:34" ht="11.25" customHeight="1" x14ac:dyDescent="0.15">
      <c r="A1772" s="110" t="s">
        <v>593</v>
      </c>
      <c r="B1772" s="110"/>
      <c r="C1772" s="111" t="s">
        <v>175</v>
      </c>
      <c r="D1772" s="111">
        <v>2024</v>
      </c>
      <c r="E1772" s="146">
        <v>45626</v>
      </c>
      <c r="F1772" s="111"/>
      <c r="G1772" s="111">
        <v>81100211</v>
      </c>
      <c r="H1772" s="111">
        <v>4101</v>
      </c>
      <c r="I1772" s="111" t="str">
        <f>MID(G1772,2,1)</f>
        <v>1</v>
      </c>
      <c r="J1772" s="111" t="str">
        <f t="shared" ref="J1772" si="1886">IF(I1772="1","Small/Medium","Large")</f>
        <v>Small/Medium</v>
      </c>
      <c r="K1772" s="147" t="s">
        <v>145</v>
      </c>
      <c r="L1772" s="120">
        <v>12190</v>
      </c>
      <c r="M1772" s="120">
        <f>L1772*0.3</f>
        <v>3657</v>
      </c>
      <c r="N1772" s="120">
        <f>L1772-M1772</f>
        <v>8533</v>
      </c>
      <c r="O1772" s="119">
        <f>IFERROR(N1772/L1772,"")</f>
        <v>0.7</v>
      </c>
      <c r="P1772" s="120">
        <v>12190</v>
      </c>
      <c r="Q1772" s="111">
        <v>3024</v>
      </c>
      <c r="R1772" s="117">
        <v>22</v>
      </c>
      <c r="S1772" s="117">
        <v>1031.3599999999999</v>
      </c>
      <c r="T1772" s="117">
        <v>1303.2</v>
      </c>
      <c r="U1772" s="117">
        <v>749.09</v>
      </c>
      <c r="V1772" s="117"/>
      <c r="W1772" s="26">
        <f>SUM(S1772:V1772)</f>
        <v>3083.65</v>
      </c>
      <c r="X1772" s="118">
        <f t="shared" ref="X1772:X1773" si="1887">IFERROR(S1772/R1772,"")</f>
        <v>46.879999999999995</v>
      </c>
      <c r="Y1772" s="119">
        <f t="shared" ref="Y1772:Y1773" si="1888">IFERROR(U1772/P1772,0)</f>
        <v>6.1451189499589831E-2</v>
      </c>
      <c r="Z1772" s="117">
        <f t="shared" ref="Z1772:Z1773" si="1889">P1772-W1772</f>
        <v>9106.35</v>
      </c>
      <c r="AA1772" s="119">
        <f t="shared" ref="AA1772:AA1773" si="1890">IFERROR(Z1772/P1772,0)</f>
        <v>0.7470344544708778</v>
      </c>
      <c r="AB1772" s="120">
        <f t="shared" ref="AB1772:AB1773" si="1891">M1772-W1772</f>
        <v>573.34999999999991</v>
      </c>
      <c r="AC1772" s="119">
        <f t="shared" ref="AC1772:AC1773" si="1892">IFERROR(AA1772-O1772,"")</f>
        <v>4.703445447087784E-2</v>
      </c>
      <c r="AD1772" s="110"/>
      <c r="AE1772" s="110"/>
      <c r="AF1772" s="110"/>
      <c r="AG1772" s="121"/>
      <c r="AH1772" s="110"/>
    </row>
    <row r="1773" spans="1:34" s="216" customFormat="1" ht="11.25" customHeight="1" x14ac:dyDescent="0.15">
      <c r="A1773" s="53" t="s">
        <v>593</v>
      </c>
      <c r="B1773" s="53"/>
      <c r="C1773" s="54" t="s">
        <v>177</v>
      </c>
      <c r="D1773" s="54"/>
      <c r="E1773" s="70"/>
      <c r="F1773" s="54"/>
      <c r="G1773" s="54"/>
      <c r="H1773" s="54"/>
      <c r="I1773" s="54"/>
      <c r="J1773" s="54"/>
      <c r="K1773" s="106"/>
      <c r="L1773" s="24">
        <f>SUM(L1772)</f>
        <v>12190</v>
      </c>
      <c r="M1773" s="24">
        <f t="shared" ref="M1773:N1773" si="1893">SUM(M1771:M1772)</f>
        <v>3657</v>
      </c>
      <c r="N1773" s="24">
        <f t="shared" si="1893"/>
        <v>8533</v>
      </c>
      <c r="O1773" s="57">
        <f>IFERROR(N1773/L1773,"")</f>
        <v>0.7</v>
      </c>
      <c r="P1773" s="24">
        <f>SUM(P1772)</f>
        <v>12190</v>
      </c>
      <c r="Q1773" s="24"/>
      <c r="R1773" s="117">
        <f>SUM(R1772)</f>
        <v>22</v>
      </c>
      <c r="S1773" s="117">
        <f t="shared" ref="S1773:V1773" si="1894">SUM(S1772)</f>
        <v>1031.3599999999999</v>
      </c>
      <c r="T1773" s="117">
        <f t="shared" si="1894"/>
        <v>1303.2</v>
      </c>
      <c r="U1773" s="117">
        <f t="shared" si="1894"/>
        <v>749.09</v>
      </c>
      <c r="V1773" s="117">
        <f t="shared" si="1894"/>
        <v>0</v>
      </c>
      <c r="W1773" s="26">
        <f t="shared" ref="W1773" si="1895">SUM(W1771:W1772)</f>
        <v>3083.65</v>
      </c>
      <c r="X1773" s="56">
        <f t="shared" si="1887"/>
        <v>46.879999999999995</v>
      </c>
      <c r="Y1773" s="119">
        <f t="shared" si="1888"/>
        <v>6.1451189499589831E-2</v>
      </c>
      <c r="Z1773" s="28">
        <f t="shared" si="1889"/>
        <v>9106.35</v>
      </c>
      <c r="AA1773" s="119">
        <f t="shared" si="1890"/>
        <v>0.7470344544708778</v>
      </c>
      <c r="AB1773" s="58">
        <f t="shared" si="1891"/>
        <v>573.34999999999991</v>
      </c>
      <c r="AC1773" s="57">
        <f t="shared" si="1892"/>
        <v>4.703445447087784E-2</v>
      </c>
      <c r="AD1773" s="53"/>
      <c r="AE1773" s="53"/>
      <c r="AF1773" s="53"/>
      <c r="AG1773" s="61"/>
      <c r="AH1773" s="53"/>
    </row>
    <row r="1774" spans="1:34" ht="11.25" customHeight="1" x14ac:dyDescent="0.15">
      <c r="A1774" s="130"/>
      <c r="B1774" s="130"/>
      <c r="C1774" s="124"/>
      <c r="D1774" s="124"/>
      <c r="E1774" s="273"/>
      <c r="F1774" s="124"/>
      <c r="G1774" s="124"/>
      <c r="H1774" s="124"/>
      <c r="I1774" s="124"/>
      <c r="J1774" s="124"/>
      <c r="K1774" s="125"/>
      <c r="L1774" s="129"/>
      <c r="M1774" s="129"/>
      <c r="N1774" s="129"/>
      <c r="O1774" s="128"/>
      <c r="P1774" s="129"/>
      <c r="Q1774" s="124"/>
      <c r="R1774" s="117"/>
      <c r="S1774" s="117"/>
      <c r="T1774" s="117"/>
      <c r="U1774" s="117"/>
      <c r="V1774" s="117"/>
      <c r="X1774" s="45"/>
      <c r="Y1774" s="128"/>
      <c r="Z1774" s="126"/>
      <c r="AA1774" s="128"/>
      <c r="AB1774" s="129"/>
      <c r="AC1774" s="160"/>
      <c r="AD1774" s="137"/>
      <c r="AE1774" s="110"/>
      <c r="AF1774" s="110"/>
      <c r="AG1774" s="121"/>
      <c r="AH1774" s="110"/>
    </row>
    <row r="1775" spans="1:34" ht="11.25" customHeight="1" x14ac:dyDescent="0.15">
      <c r="A1775" s="110" t="s">
        <v>885</v>
      </c>
      <c r="B1775" s="110"/>
      <c r="C1775" s="111" t="s">
        <v>37</v>
      </c>
      <c r="D1775" s="111">
        <v>2024</v>
      </c>
      <c r="E1775" s="146">
        <v>45657</v>
      </c>
      <c r="F1775" s="111"/>
      <c r="G1775" s="111">
        <v>11024112</v>
      </c>
      <c r="H1775" s="111"/>
      <c r="I1775" s="111"/>
      <c r="J1775" s="111"/>
      <c r="K1775" s="112" t="s">
        <v>511</v>
      </c>
      <c r="L1775" s="120">
        <f>143315.7+330.01</f>
        <v>143645.71000000002</v>
      </c>
      <c r="M1775" s="120">
        <v>35025.24</v>
      </c>
      <c r="N1775" s="120">
        <f>L1775-M1775</f>
        <v>108620.47000000003</v>
      </c>
      <c r="O1775" s="119">
        <f>IFERROR(N1775/L1775,"")</f>
        <v>0.75616925837882676</v>
      </c>
      <c r="P1775" s="117">
        <v>143646</v>
      </c>
      <c r="Q1775" s="111">
        <v>2226</v>
      </c>
      <c r="R1775" s="117">
        <v>33</v>
      </c>
      <c r="S1775" s="117">
        <v>1323.42</v>
      </c>
      <c r="T1775" s="117"/>
      <c r="U1775" s="117">
        <v>33322.17</v>
      </c>
      <c r="V1775" s="117"/>
      <c r="W1775" s="26">
        <f t="shared" ref="W1775:W1786" si="1896">SUM(S1775:V1775)</f>
        <v>34645.589999999997</v>
      </c>
      <c r="X1775" s="118">
        <f t="shared" ref="X1775:X1786" si="1897">IFERROR(S1775/R1775,"")</f>
        <v>40.103636363636369</v>
      </c>
      <c r="Y1775" s="119">
        <f t="shared" ref="Y1775:Y1786" si="1898">U1775/P1775</f>
        <v>0.23197422831126518</v>
      </c>
      <c r="Z1775" s="117">
        <f t="shared" ref="Z1775:Z1786" si="1899">P1775-W1775</f>
        <v>109000.41</v>
      </c>
      <c r="AA1775" s="119">
        <f t="shared" ref="AA1775:AA1778" si="1900">Z1775/P1775</f>
        <v>0.75881270623616393</v>
      </c>
      <c r="AB1775" s="120">
        <f t="shared" ref="AB1775:AB1786" si="1901">M1775-W1775</f>
        <v>379.65000000000146</v>
      </c>
      <c r="AC1775" s="119">
        <f t="shared" ref="AC1775:AC1786" si="1902">IFERROR(AA1775-O1775,"")</f>
        <v>2.6434478573371667E-3</v>
      </c>
      <c r="AD1775" s="110"/>
      <c r="AE1775" s="110"/>
      <c r="AF1775" s="110"/>
      <c r="AG1775" s="121"/>
      <c r="AH1775" s="110"/>
    </row>
    <row r="1776" spans="1:34" ht="11.25" customHeight="1" x14ac:dyDescent="0.15">
      <c r="A1776" s="110" t="s">
        <v>885</v>
      </c>
      <c r="B1776" s="110"/>
      <c r="C1776" s="111" t="s">
        <v>37</v>
      </c>
      <c r="D1776" s="111">
        <v>2024</v>
      </c>
      <c r="E1776" s="146">
        <v>45657</v>
      </c>
      <c r="F1776" s="111"/>
      <c r="G1776" s="111">
        <v>21010011</v>
      </c>
      <c r="H1776" s="111"/>
      <c r="I1776" s="111"/>
      <c r="J1776" s="111"/>
      <c r="K1776" s="112" t="s">
        <v>439</v>
      </c>
      <c r="L1776" s="120">
        <v>20335.23</v>
      </c>
      <c r="M1776" s="120">
        <f>7012.75+84.84</f>
        <v>7097.59</v>
      </c>
      <c r="N1776" s="120">
        <f t="shared" ref="N1776:N1779" si="1903">L1776-M1776</f>
        <v>13237.64</v>
      </c>
      <c r="O1776" s="119">
        <f t="shared" ref="O1776:O1779" si="1904">IFERROR(N1776/L1776,"")</f>
        <v>0.65097075371166191</v>
      </c>
      <c r="P1776" s="117">
        <v>20335</v>
      </c>
      <c r="Q1776" s="111">
        <v>4025</v>
      </c>
      <c r="R1776" s="117"/>
      <c r="S1776" s="117"/>
      <c r="T1776" s="117"/>
      <c r="U1776" s="117">
        <v>7314.93</v>
      </c>
      <c r="V1776" s="117"/>
      <c r="W1776" s="26">
        <f t="shared" si="1896"/>
        <v>7314.93</v>
      </c>
      <c r="X1776" s="118" t="str">
        <f t="shared" si="1897"/>
        <v/>
      </c>
      <c r="Y1776" s="119">
        <f t="shared" si="1898"/>
        <v>0.35972117039586921</v>
      </c>
      <c r="Z1776" s="117">
        <f t="shared" si="1899"/>
        <v>13020.07</v>
      </c>
      <c r="AA1776" s="119">
        <f t="shared" si="1900"/>
        <v>0.64027882960413074</v>
      </c>
      <c r="AB1776" s="120">
        <f t="shared" si="1901"/>
        <v>-217.34000000000015</v>
      </c>
      <c r="AC1776" s="119">
        <f t="shared" si="1902"/>
        <v>-1.069192410753117E-2</v>
      </c>
      <c r="AD1776" s="110"/>
      <c r="AE1776" s="110"/>
      <c r="AF1776" s="110"/>
      <c r="AG1776" s="121"/>
      <c r="AH1776" s="110"/>
    </row>
    <row r="1777" spans="1:34" ht="11.25" customHeight="1" x14ac:dyDescent="0.15">
      <c r="A1777" s="110" t="s">
        <v>885</v>
      </c>
      <c r="B1777" s="110"/>
      <c r="C1777" s="111" t="s">
        <v>37</v>
      </c>
      <c r="D1777" s="111">
        <v>2024</v>
      </c>
      <c r="E1777" s="146">
        <v>45657</v>
      </c>
      <c r="F1777" s="111"/>
      <c r="G1777" s="111">
        <v>21050011</v>
      </c>
      <c r="H1777" s="111"/>
      <c r="I1777" s="111"/>
      <c r="J1777" s="111"/>
      <c r="K1777" s="112" t="s">
        <v>582</v>
      </c>
      <c r="L1777" s="120">
        <v>29332.07</v>
      </c>
      <c r="M1777" s="120">
        <v>8310.99</v>
      </c>
      <c r="N1777" s="120">
        <f t="shared" si="1903"/>
        <v>21021.08</v>
      </c>
      <c r="O1777" s="119">
        <f t="shared" si="1904"/>
        <v>0.71665859245528873</v>
      </c>
      <c r="P1777" s="117">
        <v>29332</v>
      </c>
      <c r="Q1777" s="111">
        <v>4026</v>
      </c>
      <c r="R1777" s="117"/>
      <c r="S1777" s="117"/>
      <c r="T1777" s="117"/>
      <c r="U1777" s="117">
        <v>8301.24</v>
      </c>
      <c r="V1777" s="117"/>
      <c r="W1777" s="26">
        <f t="shared" si="1896"/>
        <v>8301.24</v>
      </c>
      <c r="X1777" s="118" t="str">
        <f t="shared" si="1897"/>
        <v/>
      </c>
      <c r="Y1777" s="119">
        <f t="shared" si="1898"/>
        <v>0.28300968225828443</v>
      </c>
      <c r="Z1777" s="117">
        <f t="shared" si="1899"/>
        <v>21030.760000000002</v>
      </c>
      <c r="AA1777" s="119">
        <f t="shared" si="1900"/>
        <v>0.71699031774171562</v>
      </c>
      <c r="AB1777" s="120">
        <f t="shared" si="1901"/>
        <v>9.75</v>
      </c>
      <c r="AC1777" s="119">
        <f t="shared" si="1902"/>
        <v>3.3172528642688714E-4</v>
      </c>
      <c r="AD1777" s="110"/>
      <c r="AE1777" s="110"/>
      <c r="AF1777" s="110"/>
      <c r="AG1777" s="121"/>
      <c r="AH1777" s="110"/>
    </row>
    <row r="1778" spans="1:34" ht="11.25" customHeight="1" x14ac:dyDescent="0.15">
      <c r="A1778" s="110" t="s">
        <v>885</v>
      </c>
      <c r="B1778" s="110"/>
      <c r="C1778" s="111" t="s">
        <v>37</v>
      </c>
      <c r="D1778" s="111">
        <v>2024</v>
      </c>
      <c r="E1778" s="146">
        <v>45657</v>
      </c>
      <c r="F1778" s="111"/>
      <c r="G1778" s="111">
        <v>91012112</v>
      </c>
      <c r="H1778" s="315"/>
      <c r="I1778" s="315"/>
      <c r="J1778" s="111"/>
      <c r="K1778" s="112" t="s">
        <v>667</v>
      </c>
      <c r="L1778" s="120">
        <v>14821.87</v>
      </c>
      <c r="M1778" s="120">
        <v>5031.8100000000004</v>
      </c>
      <c r="N1778" s="120">
        <f t="shared" si="1903"/>
        <v>9790.0600000000013</v>
      </c>
      <c r="O1778" s="119">
        <f t="shared" si="1904"/>
        <v>0.66051449648391203</v>
      </c>
      <c r="P1778" s="117">
        <v>14822</v>
      </c>
      <c r="Q1778" s="111">
        <v>4027</v>
      </c>
      <c r="R1778" s="117"/>
      <c r="S1778" s="117"/>
      <c r="T1778" s="117"/>
      <c r="U1778" s="117">
        <v>4537.54</v>
      </c>
      <c r="V1778" s="117"/>
      <c r="W1778" s="26">
        <f t="shared" si="1896"/>
        <v>4537.54</v>
      </c>
      <c r="X1778" s="118" t="str">
        <f t="shared" si="1897"/>
        <v/>
      </c>
      <c r="Y1778" s="119">
        <f t="shared" si="1898"/>
        <v>0.30613547429496696</v>
      </c>
      <c r="Z1778" s="117">
        <f t="shared" si="1899"/>
        <v>10284.459999999999</v>
      </c>
      <c r="AA1778" s="119">
        <f t="shared" si="1900"/>
        <v>0.69386452570503299</v>
      </c>
      <c r="AB1778" s="120">
        <f t="shared" si="1901"/>
        <v>494.27000000000044</v>
      </c>
      <c r="AC1778" s="119">
        <f t="shared" si="1902"/>
        <v>3.3350029221120958E-2</v>
      </c>
      <c r="AD1778" s="110"/>
      <c r="AE1778" s="110"/>
      <c r="AF1778" s="110"/>
      <c r="AG1778" s="121"/>
      <c r="AH1778" s="110"/>
    </row>
    <row r="1779" spans="1:34" ht="11.25" customHeight="1" x14ac:dyDescent="0.15">
      <c r="A1779" s="110" t="s">
        <v>885</v>
      </c>
      <c r="B1779" s="110"/>
      <c r="C1779" s="111" t="s">
        <v>37</v>
      </c>
      <c r="D1779" s="111">
        <v>2024</v>
      </c>
      <c r="E1779" s="146">
        <v>45657</v>
      </c>
      <c r="F1779" s="111"/>
      <c r="G1779" s="111">
        <v>31080020</v>
      </c>
      <c r="H1779" s="315"/>
      <c r="I1779" s="315"/>
      <c r="J1779" s="111"/>
      <c r="K1779" s="112" t="s">
        <v>584</v>
      </c>
      <c r="L1779" s="120">
        <v>48395.93</v>
      </c>
      <c r="M1779" s="120">
        <v>16880.689999999999</v>
      </c>
      <c r="N1779" s="120">
        <f t="shared" si="1903"/>
        <v>31515.24</v>
      </c>
      <c r="O1779" s="119">
        <f t="shared" si="1904"/>
        <v>0.65119608198458012</v>
      </c>
      <c r="P1779" s="117">
        <v>48396</v>
      </c>
      <c r="Q1779" s="111">
        <v>4028</v>
      </c>
      <c r="R1779" s="117">
        <v>9.5</v>
      </c>
      <c r="S1779" s="117">
        <v>395.88</v>
      </c>
      <c r="T1779" s="117"/>
      <c r="U1779" s="117">
        <v>16484.52</v>
      </c>
      <c r="V1779" s="117"/>
      <c r="W1779" s="26">
        <f t="shared" si="1896"/>
        <v>16880.400000000001</v>
      </c>
      <c r="X1779" s="118">
        <f t="shared" si="1897"/>
        <v>41.671578947368424</v>
      </c>
      <c r="Y1779" s="119">
        <f t="shared" si="1898"/>
        <v>0.34061740639722293</v>
      </c>
      <c r="Z1779" s="117">
        <f t="shared" si="1899"/>
        <v>31515.599999999999</v>
      </c>
      <c r="AA1779" s="119">
        <f>Z1779/P1779</f>
        <v>0.65120257872551446</v>
      </c>
      <c r="AB1779" s="120">
        <f t="shared" si="1901"/>
        <v>0.28999999999723514</v>
      </c>
      <c r="AC1779" s="119">
        <f t="shared" si="1902"/>
        <v>6.4967409343363869E-6</v>
      </c>
      <c r="AD1779" s="110"/>
      <c r="AE1779" s="110"/>
      <c r="AF1779" s="110"/>
      <c r="AG1779" s="121"/>
      <c r="AH1779" s="110"/>
    </row>
    <row r="1780" spans="1:34" s="216" customFormat="1" ht="11.25" customHeight="1" x14ac:dyDescent="0.15">
      <c r="A1780" s="53" t="s">
        <v>885</v>
      </c>
      <c r="B1780" s="53"/>
      <c r="C1780" s="54" t="s">
        <v>360</v>
      </c>
      <c r="D1780" s="54"/>
      <c r="E1780" s="70"/>
      <c r="F1780" s="54"/>
      <c r="G1780" s="53"/>
      <c r="H1780" s="54"/>
      <c r="I1780" s="54"/>
      <c r="J1780" s="54"/>
      <c r="K1780" s="53"/>
      <c r="L1780" s="24">
        <f>SUM(L1775:L1779)</f>
        <v>256530.81000000003</v>
      </c>
      <c r="M1780" s="24">
        <f t="shared" ref="M1780" si="1905">SUM(M1775:M1779)</f>
        <v>72346.319999999992</v>
      </c>
      <c r="N1780" s="24">
        <f>SUM(N1775:N1779)</f>
        <v>184184.49000000002</v>
      </c>
      <c r="O1780" s="57">
        <f>IFERROR(N1780/L1780,"")</f>
        <v>0.71798194532656723</v>
      </c>
      <c r="P1780" s="24">
        <f>SUM(P1775:P1779)</f>
        <v>256531</v>
      </c>
      <c r="Q1780" s="24"/>
      <c r="R1780" s="117">
        <f>SUM(R1775:R1779)</f>
        <v>42.5</v>
      </c>
      <c r="S1780" s="117">
        <f t="shared" ref="S1780:V1780" si="1906">SUM(S1775:S1779)</f>
        <v>1719.3000000000002</v>
      </c>
      <c r="T1780" s="117">
        <f t="shared" si="1906"/>
        <v>0</v>
      </c>
      <c r="U1780" s="117">
        <f t="shared" si="1906"/>
        <v>69960.399999999994</v>
      </c>
      <c r="V1780" s="117">
        <f t="shared" si="1906"/>
        <v>0</v>
      </c>
      <c r="W1780" s="26">
        <f t="shared" si="1896"/>
        <v>71679.7</v>
      </c>
      <c r="X1780" s="56">
        <f t="shared" si="1897"/>
        <v>40.45411764705883</v>
      </c>
      <c r="Y1780" s="57">
        <f t="shared" si="1898"/>
        <v>0.27271713749995125</v>
      </c>
      <c r="Z1780" s="28">
        <f t="shared" si="1899"/>
        <v>184851.3</v>
      </c>
      <c r="AA1780" s="57">
        <f>Z1780/P1780</f>
        <v>0.72058074852551923</v>
      </c>
      <c r="AB1780" s="58">
        <f t="shared" si="1901"/>
        <v>666.61999999999534</v>
      </c>
      <c r="AC1780" s="57">
        <f t="shared" si="1902"/>
        <v>2.5988031989520044E-3</v>
      </c>
      <c r="AD1780" s="53"/>
      <c r="AE1780" s="53"/>
      <c r="AF1780" s="53"/>
      <c r="AG1780" s="61"/>
      <c r="AH1780" s="53"/>
    </row>
    <row r="1781" spans="1:34" ht="11.25" customHeight="1" x14ac:dyDescent="0.15">
      <c r="A1781" s="110" t="s">
        <v>885</v>
      </c>
      <c r="B1781" s="110"/>
      <c r="C1781" s="111" t="s">
        <v>47</v>
      </c>
      <c r="D1781" s="111">
        <v>2024</v>
      </c>
      <c r="E1781" s="146">
        <v>45657</v>
      </c>
      <c r="F1781" s="111"/>
      <c r="G1781" s="111">
        <v>51012112</v>
      </c>
      <c r="H1781" s="315"/>
      <c r="I1781" s="315"/>
      <c r="J1781" s="111"/>
      <c r="K1781" s="112" t="s">
        <v>669</v>
      </c>
      <c r="L1781" s="120">
        <v>44378</v>
      </c>
      <c r="M1781" s="120">
        <v>16859.2</v>
      </c>
      <c r="N1781" s="120">
        <f t="shared" ref="N1781:N1785" si="1907">L1781-M1781</f>
        <v>27518.799999999999</v>
      </c>
      <c r="O1781" s="119">
        <f t="shared" ref="O1781:O1785" si="1908">IFERROR(N1781/L1781,"")</f>
        <v>0.62010004957411324</v>
      </c>
      <c r="P1781" s="117">
        <v>44378</v>
      </c>
      <c r="Q1781" s="111">
        <v>4029</v>
      </c>
      <c r="R1781" s="117">
        <v>120</v>
      </c>
      <c r="S1781" s="117">
        <v>5989.22</v>
      </c>
      <c r="T1781" s="117">
        <v>6238.83</v>
      </c>
      <c r="U1781" s="117">
        <v>7854.09</v>
      </c>
      <c r="V1781" s="117"/>
      <c r="W1781" s="26">
        <f t="shared" si="1896"/>
        <v>20082.14</v>
      </c>
      <c r="X1781" s="118">
        <f t="shared" si="1897"/>
        <v>49.910166666666669</v>
      </c>
      <c r="Y1781" s="119">
        <f>U1781/P1781</f>
        <v>0.17698161251070352</v>
      </c>
      <c r="Z1781" s="117">
        <f t="shared" si="1899"/>
        <v>24295.86</v>
      </c>
      <c r="AA1781" s="119">
        <f t="shared" ref="AA1781:AA1784" si="1909">Z1781/P1781</f>
        <v>0.54747532561178969</v>
      </c>
      <c r="AB1781" s="120">
        <f t="shared" si="1901"/>
        <v>-3222.9399999999987</v>
      </c>
      <c r="AC1781" s="119">
        <f t="shared" si="1902"/>
        <v>-7.2624723962323556E-2</v>
      </c>
      <c r="AD1781" s="110" t="s">
        <v>886</v>
      </c>
      <c r="AE1781" s="110"/>
      <c r="AF1781" s="110"/>
      <c r="AG1781" s="121"/>
      <c r="AH1781" s="110"/>
    </row>
    <row r="1782" spans="1:34" ht="11.25" customHeight="1" x14ac:dyDescent="0.15">
      <c r="A1782" s="110" t="s">
        <v>885</v>
      </c>
      <c r="B1782" s="110"/>
      <c r="C1782" s="111" t="s">
        <v>248</v>
      </c>
      <c r="D1782" s="111">
        <v>2024</v>
      </c>
      <c r="E1782" s="146">
        <v>45657</v>
      </c>
      <c r="F1782" s="111"/>
      <c r="G1782" s="111">
        <v>96000000</v>
      </c>
      <c r="H1782" s="316"/>
      <c r="I1782" s="315"/>
      <c r="J1782" s="111"/>
      <c r="K1782" s="112" t="s">
        <v>250</v>
      </c>
      <c r="L1782" s="120">
        <v>18666</v>
      </c>
      <c r="M1782" s="120">
        <v>9333</v>
      </c>
      <c r="N1782" s="120">
        <f t="shared" si="1907"/>
        <v>9333</v>
      </c>
      <c r="O1782" s="119">
        <f t="shared" si="1908"/>
        <v>0.5</v>
      </c>
      <c r="P1782" s="117">
        <v>19306</v>
      </c>
      <c r="Q1782" s="111">
        <v>4030</v>
      </c>
      <c r="R1782" s="117">
        <v>10</v>
      </c>
      <c r="S1782" s="117">
        <v>565.5</v>
      </c>
      <c r="T1782" s="117"/>
      <c r="U1782" s="117"/>
      <c r="V1782" s="117"/>
      <c r="W1782" s="26">
        <f t="shared" si="1896"/>
        <v>565.5</v>
      </c>
      <c r="X1782" s="118">
        <f t="shared" si="1897"/>
        <v>56.55</v>
      </c>
      <c r="Y1782" s="119">
        <f t="shared" si="1898"/>
        <v>0</v>
      </c>
      <c r="Z1782" s="117">
        <f t="shared" si="1899"/>
        <v>18740.5</v>
      </c>
      <c r="AA1782" s="119">
        <f t="shared" si="1909"/>
        <v>0.97070858800372939</v>
      </c>
      <c r="AB1782" s="120">
        <f t="shared" si="1901"/>
        <v>8767.5</v>
      </c>
      <c r="AC1782" s="119">
        <f t="shared" si="1902"/>
        <v>0.47070858800372939</v>
      </c>
      <c r="AD1782" s="110"/>
      <c r="AE1782" s="110"/>
      <c r="AF1782" s="110"/>
      <c r="AG1782" s="121"/>
      <c r="AH1782" s="110"/>
    </row>
    <row r="1783" spans="1:34" ht="11.25" customHeight="1" x14ac:dyDescent="0.15">
      <c r="A1783" s="110" t="s">
        <v>885</v>
      </c>
      <c r="B1783" s="110"/>
      <c r="C1783" s="111" t="s">
        <v>55</v>
      </c>
      <c r="D1783" s="111">
        <v>2024</v>
      </c>
      <c r="E1783" s="146">
        <v>45657</v>
      </c>
      <c r="F1783" s="111"/>
      <c r="G1783" s="111" t="s">
        <v>56</v>
      </c>
      <c r="H1783" s="316"/>
      <c r="I1783" s="315"/>
      <c r="J1783" s="111"/>
      <c r="K1783" s="112" t="s">
        <v>71</v>
      </c>
      <c r="L1783" s="120">
        <v>24260</v>
      </c>
      <c r="M1783" s="120">
        <v>12130</v>
      </c>
      <c r="N1783" s="120">
        <f t="shared" si="1907"/>
        <v>12130</v>
      </c>
      <c r="O1783" s="119">
        <f t="shared" si="1908"/>
        <v>0.5</v>
      </c>
      <c r="P1783" s="117">
        <v>24260</v>
      </c>
      <c r="Q1783" s="111">
        <v>4031</v>
      </c>
      <c r="R1783" s="117">
        <v>28.5</v>
      </c>
      <c r="S1783" s="117">
        <v>1268.25</v>
      </c>
      <c r="T1783" s="117"/>
      <c r="U1783" s="117">
        <v>13007.53</v>
      </c>
      <c r="V1783" s="117">
        <v>755.42</v>
      </c>
      <c r="W1783" s="26">
        <f t="shared" si="1896"/>
        <v>15031.2</v>
      </c>
      <c r="X1783" s="118">
        <f t="shared" si="1897"/>
        <v>44.5</v>
      </c>
      <c r="Y1783" s="119">
        <f t="shared" si="1898"/>
        <v>0.53617188788128611</v>
      </c>
      <c r="Z1783" s="117">
        <f t="shared" si="1899"/>
        <v>9228.7999999999993</v>
      </c>
      <c r="AA1783" s="119">
        <f t="shared" si="1909"/>
        <v>0.38041220115416319</v>
      </c>
      <c r="AB1783" s="120">
        <f t="shared" si="1901"/>
        <v>-2901.2000000000007</v>
      </c>
      <c r="AC1783" s="119">
        <f t="shared" si="1902"/>
        <v>-0.11958779884583681</v>
      </c>
      <c r="AD1783" s="110" t="s">
        <v>887</v>
      </c>
      <c r="AE1783" s="110"/>
      <c r="AF1783" s="110"/>
      <c r="AG1783" s="121"/>
      <c r="AH1783" s="110"/>
    </row>
    <row r="1784" spans="1:34" ht="11.25" customHeight="1" x14ac:dyDescent="0.15">
      <c r="A1784" s="110" t="s">
        <v>885</v>
      </c>
      <c r="B1784" s="110"/>
      <c r="C1784" s="111" t="s">
        <v>58</v>
      </c>
      <c r="D1784" s="111">
        <v>2024</v>
      </c>
      <c r="E1784" s="146">
        <v>45657</v>
      </c>
      <c r="F1784" s="111"/>
      <c r="G1784" s="111">
        <v>71142012</v>
      </c>
      <c r="H1784" s="315"/>
      <c r="I1784" s="315"/>
      <c r="J1784" s="111"/>
      <c r="K1784" s="112" t="s">
        <v>672</v>
      </c>
      <c r="L1784" s="117">
        <f>53748-25592</f>
        <v>28156</v>
      </c>
      <c r="M1784" s="120">
        <v>2815.6</v>
      </c>
      <c r="N1784" s="120">
        <f t="shared" si="1907"/>
        <v>25340.400000000001</v>
      </c>
      <c r="O1784" s="119">
        <f t="shared" si="1908"/>
        <v>0.9</v>
      </c>
      <c r="P1784" s="117">
        <f>53748-26232</f>
        <v>27516</v>
      </c>
      <c r="Q1784" s="111">
        <v>4032</v>
      </c>
      <c r="R1784" s="117"/>
      <c r="S1784" s="117"/>
      <c r="T1784" s="117"/>
      <c r="U1784" s="117">
        <v>2762.91</v>
      </c>
      <c r="V1784" s="117"/>
      <c r="W1784" s="26">
        <f t="shared" si="1896"/>
        <v>2762.91</v>
      </c>
      <c r="X1784" s="118" t="str">
        <f t="shared" si="1897"/>
        <v/>
      </c>
      <c r="Y1784" s="119">
        <f t="shared" si="1898"/>
        <v>0.10041103358046227</v>
      </c>
      <c r="Z1784" s="117">
        <f t="shared" si="1899"/>
        <v>24753.09</v>
      </c>
      <c r="AA1784" s="119">
        <f t="shared" si="1909"/>
        <v>0.89958896641953778</v>
      </c>
      <c r="AB1784" s="120">
        <f t="shared" si="1901"/>
        <v>52.690000000000055</v>
      </c>
      <c r="AC1784" s="119">
        <f t="shared" si="1902"/>
        <v>-4.1103358046223892E-4</v>
      </c>
      <c r="AD1784" s="110"/>
      <c r="AE1784" s="110"/>
      <c r="AF1784" s="110"/>
      <c r="AG1784" s="121"/>
      <c r="AH1784" s="110"/>
    </row>
    <row r="1785" spans="1:34" ht="11.25" customHeight="1" x14ac:dyDescent="0.15">
      <c r="A1785" s="110" t="s">
        <v>885</v>
      </c>
      <c r="B1785" s="110"/>
      <c r="C1785" s="111" t="s">
        <v>49</v>
      </c>
      <c r="D1785" s="111">
        <v>2024</v>
      </c>
      <c r="E1785" s="146">
        <v>45657</v>
      </c>
      <c r="F1785" s="111"/>
      <c r="G1785" s="111">
        <v>61642012</v>
      </c>
      <c r="H1785" s="111"/>
      <c r="I1785" s="111"/>
      <c r="J1785" s="111"/>
      <c r="K1785" s="112" t="s">
        <v>453</v>
      </c>
      <c r="L1785" s="120">
        <v>19980</v>
      </c>
      <c r="M1785" s="120">
        <v>7072.32</v>
      </c>
      <c r="N1785" s="120">
        <f t="shared" si="1907"/>
        <v>12907.68</v>
      </c>
      <c r="O1785" s="119">
        <f t="shared" si="1908"/>
        <v>0.64603003003003001</v>
      </c>
      <c r="P1785" s="117">
        <v>19980</v>
      </c>
      <c r="Q1785" s="111">
        <v>4033</v>
      </c>
      <c r="R1785" s="117">
        <v>28</v>
      </c>
      <c r="S1785" s="117">
        <v>1639.41</v>
      </c>
      <c r="T1785" s="117">
        <v>1928.31</v>
      </c>
      <c r="U1785" s="117"/>
      <c r="V1785" s="117"/>
      <c r="W1785" s="26">
        <f t="shared" si="1896"/>
        <v>3567.7200000000003</v>
      </c>
      <c r="X1785" s="118">
        <f t="shared" si="1897"/>
        <v>58.550357142857145</v>
      </c>
      <c r="Y1785" s="119">
        <f t="shared" si="1898"/>
        <v>0</v>
      </c>
      <c r="Z1785" s="117">
        <f t="shared" si="1899"/>
        <v>16412.28</v>
      </c>
      <c r="AA1785" s="119">
        <f>Z1785/P1785</f>
        <v>0.8214354354354354</v>
      </c>
      <c r="AB1785" s="120">
        <f t="shared" si="1901"/>
        <v>3504.5999999999995</v>
      </c>
      <c r="AC1785" s="119">
        <f t="shared" si="1902"/>
        <v>0.17540540540540539</v>
      </c>
      <c r="AD1785" s="110"/>
      <c r="AE1785" s="110"/>
      <c r="AF1785" s="110"/>
      <c r="AG1785" s="121"/>
      <c r="AH1785" s="110"/>
    </row>
    <row r="1786" spans="1:34" s="216" customFormat="1" ht="11.25" customHeight="1" x14ac:dyDescent="0.15">
      <c r="A1786" s="53" t="s">
        <v>885</v>
      </c>
      <c r="B1786" s="53"/>
      <c r="C1786" s="54" t="s">
        <v>177</v>
      </c>
      <c r="D1786" s="54"/>
      <c r="E1786" s="70"/>
      <c r="F1786" s="54"/>
      <c r="G1786" s="54"/>
      <c r="H1786" s="54"/>
      <c r="I1786" s="54"/>
      <c r="J1786" s="54"/>
      <c r="K1786" s="106"/>
      <c r="L1786" s="24">
        <f>SUM(L1780:L1785)</f>
        <v>391970.81000000006</v>
      </c>
      <c r="M1786" s="24">
        <f t="shared" ref="M1786:N1786" si="1910">SUM(M1780:M1785)</f>
        <v>120556.44</v>
      </c>
      <c r="N1786" s="24">
        <f t="shared" si="1910"/>
        <v>271414.37</v>
      </c>
      <c r="O1786" s="57">
        <f>IFERROR(N1786/L1786,"")</f>
        <v>0.6924351586282661</v>
      </c>
      <c r="P1786" s="24">
        <f>SUM(P1780:P1785)</f>
        <v>391971</v>
      </c>
      <c r="Q1786" s="24"/>
      <c r="R1786" s="117">
        <f>SUM(R1780:R1785)</f>
        <v>229</v>
      </c>
      <c r="S1786" s="117">
        <f t="shared" ref="S1786:V1786" si="1911">SUM(S1780:S1785)</f>
        <v>11181.68</v>
      </c>
      <c r="T1786" s="117">
        <f t="shared" si="1911"/>
        <v>8167.1399999999994</v>
      </c>
      <c r="U1786" s="117">
        <f t="shared" si="1911"/>
        <v>93584.93</v>
      </c>
      <c r="V1786" s="117">
        <f t="shared" si="1911"/>
        <v>755.42</v>
      </c>
      <c r="W1786" s="26">
        <f t="shared" si="1896"/>
        <v>113689.17</v>
      </c>
      <c r="X1786" s="56">
        <f t="shared" si="1897"/>
        <v>48.828296943231443</v>
      </c>
      <c r="Y1786" s="57">
        <f t="shared" si="1898"/>
        <v>0.23875472930395358</v>
      </c>
      <c r="Z1786" s="28">
        <f t="shared" si="1899"/>
        <v>278281.83</v>
      </c>
      <c r="AA1786" s="57">
        <f>Z1786/P1786</f>
        <v>0.70995514974322083</v>
      </c>
      <c r="AB1786" s="58">
        <f t="shared" si="1901"/>
        <v>6867.2700000000041</v>
      </c>
      <c r="AC1786" s="57">
        <f t="shared" si="1902"/>
        <v>1.7519991114954725E-2</v>
      </c>
      <c r="AD1786" s="53"/>
      <c r="AE1786" s="53"/>
      <c r="AF1786" s="53"/>
      <c r="AG1786" s="61"/>
      <c r="AH1786" s="53"/>
    </row>
    <row r="1787" spans="1:34" ht="11.25" customHeight="1" x14ac:dyDescent="0.15">
      <c r="A1787" s="130"/>
      <c r="B1787" s="130"/>
      <c r="C1787" s="124"/>
      <c r="D1787" s="124"/>
      <c r="E1787" s="273"/>
      <c r="F1787" s="124"/>
      <c r="G1787" s="124"/>
      <c r="H1787" s="124"/>
      <c r="I1787" s="124"/>
      <c r="J1787" s="124"/>
      <c r="K1787" s="125"/>
      <c r="L1787" s="129"/>
      <c r="M1787" s="129"/>
      <c r="N1787" s="129"/>
      <c r="O1787" s="128"/>
      <c r="P1787" s="129"/>
      <c r="Q1787" s="124"/>
      <c r="R1787" s="117"/>
      <c r="S1787" s="117"/>
      <c r="T1787" s="117"/>
      <c r="U1787" s="117"/>
      <c r="V1787" s="117"/>
      <c r="X1787" s="45"/>
      <c r="Y1787" s="128"/>
      <c r="Z1787" s="126"/>
      <c r="AA1787" s="128"/>
      <c r="AB1787" s="129"/>
      <c r="AC1787" s="160"/>
      <c r="AD1787" s="137"/>
      <c r="AE1787" s="110"/>
      <c r="AF1787" s="110"/>
      <c r="AG1787" s="121"/>
      <c r="AH1787" s="110"/>
    </row>
    <row r="1788" spans="1:34" ht="11.25" customHeight="1" x14ac:dyDescent="0.15">
      <c r="A1788" s="110" t="s">
        <v>324</v>
      </c>
      <c r="B1788" s="110"/>
      <c r="C1788" s="111" t="s">
        <v>175</v>
      </c>
      <c r="D1788" s="111">
        <v>2024</v>
      </c>
      <c r="E1788" s="146">
        <v>45657</v>
      </c>
      <c r="F1788" s="111"/>
      <c r="G1788" s="111">
        <v>81110111</v>
      </c>
      <c r="H1788" s="111">
        <v>4101</v>
      </c>
      <c r="I1788" s="111" t="str">
        <f>MID(G1788,2,1)</f>
        <v>1</v>
      </c>
      <c r="J1788" s="111" t="str">
        <f t="shared" ref="J1788" si="1912">IF(I1788="1","Small/Medium","Large")</f>
        <v>Small/Medium</v>
      </c>
      <c r="K1788" s="147" t="s">
        <v>145</v>
      </c>
      <c r="L1788" s="120">
        <v>38689.64</v>
      </c>
      <c r="M1788" s="120">
        <f>L1788*0.3</f>
        <v>11606.892</v>
      </c>
      <c r="N1788" s="120">
        <f>L1788-M1788</f>
        <v>27082.748</v>
      </c>
      <c r="O1788" s="119">
        <f>IFERROR(N1788/L1788,"")</f>
        <v>0.7</v>
      </c>
      <c r="P1788" s="120">
        <v>38689.64</v>
      </c>
      <c r="Q1788" s="111">
        <v>2860</v>
      </c>
      <c r="R1788" s="117">
        <v>39</v>
      </c>
      <c r="S1788" s="117">
        <v>2945.68</v>
      </c>
      <c r="T1788" s="117">
        <v>2240.25</v>
      </c>
      <c r="U1788" s="117">
        <v>2951.52</v>
      </c>
      <c r="V1788" s="117"/>
      <c r="W1788" s="26">
        <f>SUM(S1788:V1788)</f>
        <v>8137.4500000000007</v>
      </c>
      <c r="X1788" s="118">
        <f t="shared" ref="X1788:X1790" si="1913">IFERROR(S1788/R1788,"")</f>
        <v>75.530256410256399</v>
      </c>
      <c r="Y1788" s="119">
        <f>IFERROR(U1788/P1788,0)</f>
        <v>7.62870887400348E-2</v>
      </c>
      <c r="Z1788" s="117">
        <f t="shared" ref="Z1788:Z1790" si="1914">P1788-W1788</f>
        <v>30552.19</v>
      </c>
      <c r="AA1788" s="119">
        <f>IFERROR(Z1788/P1788,0)</f>
        <v>0.78967366974725017</v>
      </c>
      <c r="AB1788" s="120">
        <f t="shared" ref="AB1788:AB1790" si="1915">M1788-W1788</f>
        <v>3469.4419999999991</v>
      </c>
      <c r="AC1788" s="119">
        <f t="shared" ref="AC1788:AC1790" si="1916">IFERROR(AA1788-O1788,"")</f>
        <v>8.9673669747250218E-2</v>
      </c>
      <c r="AD1788" s="110"/>
      <c r="AE1788" s="110"/>
      <c r="AF1788" s="110"/>
      <c r="AG1788" s="121"/>
      <c r="AH1788" s="110"/>
    </row>
    <row r="1789" spans="1:34" ht="11.25" customHeight="1" x14ac:dyDescent="0.15">
      <c r="A1789" s="110" t="s">
        <v>324</v>
      </c>
      <c r="B1789" s="110"/>
      <c r="C1789" s="111" t="s">
        <v>175</v>
      </c>
      <c r="D1789" s="111">
        <v>2024</v>
      </c>
      <c r="E1789" s="146">
        <v>45657</v>
      </c>
      <c r="F1789" s="111"/>
      <c r="G1789" s="111">
        <v>82110111</v>
      </c>
      <c r="H1789" s="111">
        <v>4101</v>
      </c>
      <c r="I1789" s="111" t="str">
        <f>MID(G1789,2,1)</f>
        <v>2</v>
      </c>
      <c r="J1789" s="111" t="str">
        <f>IF(I1789="1","Small/Medium","Large")</f>
        <v>Large</v>
      </c>
      <c r="K1789" s="147" t="s">
        <v>176</v>
      </c>
      <c r="L1789" s="120">
        <v>16550.89</v>
      </c>
      <c r="M1789" s="120">
        <f>L1789*0.3</f>
        <v>4965.2669999999998</v>
      </c>
      <c r="N1789" s="120">
        <f>L1789-M1789</f>
        <v>11585.623</v>
      </c>
      <c r="O1789" s="119">
        <f>IFERROR(N1789/L1789,"")</f>
        <v>0.7</v>
      </c>
      <c r="P1789" s="120">
        <v>16550.89</v>
      </c>
      <c r="Q1789" s="111">
        <v>2859</v>
      </c>
      <c r="R1789" s="117">
        <v>52.5</v>
      </c>
      <c r="S1789" s="117">
        <v>3965.33</v>
      </c>
      <c r="T1789" s="117">
        <v>2240.2249999999999</v>
      </c>
      <c r="U1789" s="117">
        <v>4091.68</v>
      </c>
      <c r="V1789" s="117">
        <v>653.21</v>
      </c>
      <c r="W1789" s="26">
        <f>SUM(S1789:V1789)</f>
        <v>10950.445</v>
      </c>
      <c r="X1789" s="118">
        <f t="shared" si="1913"/>
        <v>75.530095238095242</v>
      </c>
      <c r="Y1789" s="119">
        <f t="shared" ref="Y1789:Y1790" si="1917">IFERROR(U1789/P1789,0)</f>
        <v>0.24721812543011282</v>
      </c>
      <c r="Z1789" s="117">
        <f t="shared" si="1914"/>
        <v>5600.4449999999997</v>
      </c>
      <c r="AA1789" s="119">
        <f t="shared" ref="AA1789:AA1790" si="1918">IFERROR(Z1789/P1789,0)</f>
        <v>0.33837727155458103</v>
      </c>
      <c r="AB1789" s="120">
        <f t="shared" si="1915"/>
        <v>-5985.1779999999999</v>
      </c>
      <c r="AC1789" s="119">
        <f t="shared" si="1916"/>
        <v>-0.36162272844541893</v>
      </c>
      <c r="AD1789" s="110" t="s">
        <v>888</v>
      </c>
      <c r="AE1789" s="110"/>
      <c r="AF1789" s="110"/>
      <c r="AG1789" s="121"/>
      <c r="AH1789" s="110"/>
    </row>
    <row r="1790" spans="1:34" s="216" customFormat="1" ht="11.25" customHeight="1" x14ac:dyDescent="0.15">
      <c r="A1790" s="53" t="s">
        <v>324</v>
      </c>
      <c r="B1790" s="53"/>
      <c r="C1790" s="54" t="s">
        <v>177</v>
      </c>
      <c r="D1790" s="54"/>
      <c r="E1790" s="70"/>
      <c r="F1790" s="54"/>
      <c r="G1790" s="54"/>
      <c r="H1790" s="54"/>
      <c r="I1790" s="54"/>
      <c r="J1790" s="54"/>
      <c r="K1790" s="106"/>
      <c r="L1790" s="24">
        <f>SUM(L1788:L1789)</f>
        <v>55240.53</v>
      </c>
      <c r="M1790" s="24">
        <f>SUM(M1788:M1789)</f>
        <v>16572.159</v>
      </c>
      <c r="N1790" s="24">
        <f t="shared" ref="N1790" si="1919">SUM(N1788:N1789)</f>
        <v>38668.370999999999</v>
      </c>
      <c r="O1790" s="57">
        <f>IFERROR(N1790/L1790,"")</f>
        <v>0.7</v>
      </c>
      <c r="P1790" s="24">
        <f>SUM(P1788:P1789)</f>
        <v>55240.53</v>
      </c>
      <c r="Q1790" s="24"/>
      <c r="R1790" s="117">
        <f>SUM(R1788:R1789)</f>
        <v>91.5</v>
      </c>
      <c r="S1790" s="117">
        <f t="shared" ref="S1790:V1790" si="1920">SUM(S1788:S1789)</f>
        <v>6911.01</v>
      </c>
      <c r="T1790" s="117">
        <f t="shared" si="1920"/>
        <v>4480.4750000000004</v>
      </c>
      <c r="U1790" s="117">
        <f t="shared" si="1920"/>
        <v>7043.2</v>
      </c>
      <c r="V1790" s="117">
        <f t="shared" si="1920"/>
        <v>653.21</v>
      </c>
      <c r="W1790" s="26">
        <f t="shared" ref="W1790" si="1921">SUM(W1788:W1789)</f>
        <v>19087.895</v>
      </c>
      <c r="X1790" s="56">
        <f t="shared" si="1913"/>
        <v>75.530163934426227</v>
      </c>
      <c r="Y1790" s="119">
        <f t="shared" si="1917"/>
        <v>0.12750058697843775</v>
      </c>
      <c r="Z1790" s="28">
        <f t="shared" si="1914"/>
        <v>36152.634999999995</v>
      </c>
      <c r="AA1790" s="119">
        <f t="shared" si="1918"/>
        <v>0.65445851080719164</v>
      </c>
      <c r="AB1790" s="58">
        <f t="shared" si="1915"/>
        <v>-2515.7360000000008</v>
      </c>
      <c r="AC1790" s="57">
        <f t="shared" si="1916"/>
        <v>-4.5541489192808315E-2</v>
      </c>
      <c r="AD1790" s="53"/>
      <c r="AE1790" s="53"/>
      <c r="AF1790" s="53"/>
      <c r="AG1790" s="61"/>
      <c r="AH1790" s="53"/>
    </row>
    <row r="1791" spans="1:34" ht="11.25" customHeight="1" x14ac:dyDescent="0.15">
      <c r="A1791" s="130"/>
      <c r="B1791" s="130"/>
      <c r="C1791" s="124"/>
      <c r="D1791" s="124"/>
      <c r="E1791" s="273"/>
      <c r="F1791" s="124"/>
      <c r="G1791" s="124"/>
      <c r="H1791" s="124"/>
      <c r="I1791" s="124"/>
      <c r="J1791" s="124"/>
      <c r="K1791" s="125"/>
      <c r="L1791" s="129"/>
      <c r="M1791" s="129"/>
      <c r="N1791" s="129"/>
      <c r="O1791" s="128"/>
      <c r="P1791" s="129"/>
      <c r="Q1791" s="124"/>
      <c r="R1791" s="117"/>
      <c r="S1791" s="117"/>
      <c r="T1791" s="117"/>
      <c r="U1791" s="117"/>
      <c r="V1791" s="117"/>
      <c r="X1791" s="45"/>
      <c r="Y1791" s="128"/>
      <c r="Z1791" s="126"/>
      <c r="AA1791" s="128"/>
      <c r="AB1791" s="129"/>
      <c r="AC1791" s="160"/>
      <c r="AD1791" s="137"/>
      <c r="AE1791" s="110"/>
      <c r="AF1791" s="110"/>
      <c r="AG1791" s="121"/>
      <c r="AH1791" s="110"/>
    </row>
    <row r="1792" spans="1:34" s="110" customFormat="1" ht="11.25" customHeight="1" x14ac:dyDescent="0.15">
      <c r="A1792" s="110" t="s">
        <v>322</v>
      </c>
      <c r="C1792" s="111" t="s">
        <v>175</v>
      </c>
      <c r="D1792" s="111">
        <v>2024</v>
      </c>
      <c r="E1792" s="146">
        <v>45657</v>
      </c>
      <c r="F1792" s="111"/>
      <c r="G1792" s="111">
        <v>81110111</v>
      </c>
      <c r="H1792" s="111">
        <v>4101</v>
      </c>
      <c r="I1792" s="111" t="str">
        <f>MID(G1792,2,1)</f>
        <v>1</v>
      </c>
      <c r="J1792" s="111" t="str">
        <f t="shared" ref="J1792" si="1922">IF(I1792="1","Small/Medium","Large")</f>
        <v>Small/Medium</v>
      </c>
      <c r="K1792" s="147" t="s">
        <v>145</v>
      </c>
      <c r="L1792" s="120">
        <v>25793.09</v>
      </c>
      <c r="M1792" s="120">
        <f>L1792*0.3</f>
        <v>7737.9269999999997</v>
      </c>
      <c r="N1792" s="120">
        <f>L1792-M1792</f>
        <v>18055.163</v>
      </c>
      <c r="O1792" s="119">
        <f>IFERROR(N1792/L1792,"")</f>
        <v>0.70000000000000007</v>
      </c>
      <c r="P1792" s="120">
        <v>25793.09</v>
      </c>
      <c r="Q1792" s="111">
        <v>2862</v>
      </c>
      <c r="R1792" s="117">
        <v>58</v>
      </c>
      <c r="S1792" s="117">
        <v>4380.74</v>
      </c>
      <c r="T1792" s="117">
        <v>2240.2399999999998</v>
      </c>
      <c r="U1792" s="117">
        <v>1812.85</v>
      </c>
      <c r="V1792" s="117"/>
      <c r="W1792" s="26">
        <f>SUM(S1792:V1792)</f>
        <v>8433.83</v>
      </c>
      <c r="X1792" s="118">
        <f t="shared" ref="X1792:X1794" si="1923">IFERROR(S1792/R1792,"")</f>
        <v>75.53</v>
      </c>
      <c r="Y1792" s="119">
        <f>IFERROR(U1792/P1792,0)</f>
        <v>7.0284328089422393E-2</v>
      </c>
      <c r="Z1792" s="117">
        <f t="shared" ref="Z1792:Z1794" si="1924">P1792-W1792</f>
        <v>17359.260000000002</v>
      </c>
      <c r="AA1792" s="119">
        <f>IFERROR(Z1792/P1792,0)</f>
        <v>0.67301978940871376</v>
      </c>
      <c r="AB1792" s="120">
        <f t="shared" ref="AB1792:AB1794" si="1925">M1792-W1792</f>
        <v>-695.90300000000025</v>
      </c>
      <c r="AC1792" s="119">
        <f t="shared" ref="AC1792:AC1794" si="1926">IFERROR(AA1792-O1792,"")</f>
        <v>-2.6980210591286302E-2</v>
      </c>
      <c r="AG1792" s="121"/>
    </row>
    <row r="1793" spans="1:34" s="110" customFormat="1" ht="11.25" customHeight="1" x14ac:dyDescent="0.15">
      <c r="A1793" s="110" t="s">
        <v>322</v>
      </c>
      <c r="C1793" s="111" t="s">
        <v>175</v>
      </c>
      <c r="D1793" s="111">
        <v>2024</v>
      </c>
      <c r="E1793" s="146">
        <v>45657</v>
      </c>
      <c r="F1793" s="111"/>
      <c r="G1793" s="111">
        <v>82110111</v>
      </c>
      <c r="H1793" s="111">
        <v>4101</v>
      </c>
      <c r="I1793" s="111" t="str">
        <f>MID(G1793,2,1)</f>
        <v>2</v>
      </c>
      <c r="J1793" s="111" t="str">
        <f>IF(I1793="1","Small/Medium","Large")</f>
        <v>Large</v>
      </c>
      <c r="K1793" s="147" t="s">
        <v>176</v>
      </c>
      <c r="L1793" s="120">
        <v>16550.89</v>
      </c>
      <c r="M1793" s="120">
        <f>L1793*0.3</f>
        <v>4965.2669999999998</v>
      </c>
      <c r="N1793" s="120">
        <f>L1793-M1793</f>
        <v>11585.623</v>
      </c>
      <c r="O1793" s="119">
        <f>IFERROR(N1793/L1793,"")</f>
        <v>0.7</v>
      </c>
      <c r="P1793" s="120">
        <v>16550.89</v>
      </c>
      <c r="Q1793" s="111">
        <v>2861</v>
      </c>
      <c r="R1793" s="117">
        <v>18</v>
      </c>
      <c r="S1793" s="117">
        <v>1359.54</v>
      </c>
      <c r="T1793" s="117">
        <v>2240.25</v>
      </c>
      <c r="U1793" s="117">
        <v>993.85</v>
      </c>
      <c r="V1793" s="117"/>
      <c r="W1793" s="26">
        <f>SUM(S1793:V1793)</f>
        <v>4593.6400000000003</v>
      </c>
      <c r="X1793" s="118">
        <f t="shared" si="1923"/>
        <v>75.53</v>
      </c>
      <c r="Y1793" s="119">
        <f t="shared" ref="Y1793:Y1794" si="1927">IFERROR(U1793/P1793,0)</f>
        <v>6.0048130342235377E-2</v>
      </c>
      <c r="Z1793" s="117">
        <f t="shared" si="1924"/>
        <v>11957.25</v>
      </c>
      <c r="AA1793" s="119">
        <f t="shared" ref="AA1793:AA1794" si="1928">IFERROR(Z1793/P1793,0)</f>
        <v>0.72245359615102267</v>
      </c>
      <c r="AB1793" s="120">
        <f t="shared" si="1925"/>
        <v>371.6269999999995</v>
      </c>
      <c r="AC1793" s="119">
        <f t="shared" si="1926"/>
        <v>2.2453596151022714E-2</v>
      </c>
      <c r="AG1793" s="121"/>
    </row>
    <row r="1794" spans="1:34" s="216" customFormat="1" ht="11.25" customHeight="1" x14ac:dyDescent="0.15">
      <c r="A1794" s="53" t="s">
        <v>322</v>
      </c>
      <c r="B1794" s="53"/>
      <c r="C1794" s="54" t="s">
        <v>177</v>
      </c>
      <c r="D1794" s="54"/>
      <c r="E1794" s="70"/>
      <c r="F1794" s="54"/>
      <c r="G1794" s="54"/>
      <c r="H1794" s="54"/>
      <c r="I1794" s="54"/>
      <c r="J1794" s="54"/>
      <c r="K1794" s="106"/>
      <c r="L1794" s="24">
        <f>SUM(L1792:L1793)</f>
        <v>42343.979999999996</v>
      </c>
      <c r="M1794" s="24">
        <f>SUM(M1792:M1793)</f>
        <v>12703.194</v>
      </c>
      <c r="N1794" s="24">
        <f t="shared" ref="N1794" si="1929">SUM(N1792:N1793)</f>
        <v>29640.786</v>
      </c>
      <c r="O1794" s="57">
        <f>IFERROR(N1794/L1794,"")</f>
        <v>0.70000000000000007</v>
      </c>
      <c r="P1794" s="24">
        <f>SUM(P1792:P1793)</f>
        <v>42343.979999999996</v>
      </c>
      <c r="Q1794" s="24"/>
      <c r="R1794" s="117">
        <f>SUM(R1792:R1793)</f>
        <v>76</v>
      </c>
      <c r="S1794" s="117">
        <f t="shared" ref="S1794:V1794" si="1930">SUM(S1792:S1793)</f>
        <v>5740.28</v>
      </c>
      <c r="T1794" s="117">
        <f t="shared" si="1930"/>
        <v>4480.49</v>
      </c>
      <c r="U1794" s="117">
        <f t="shared" si="1930"/>
        <v>2806.7</v>
      </c>
      <c r="V1794" s="117">
        <f t="shared" si="1930"/>
        <v>0</v>
      </c>
      <c r="W1794" s="26">
        <f t="shared" ref="W1794" si="1931">SUM(W1792:W1793)</f>
        <v>13027.470000000001</v>
      </c>
      <c r="X1794" s="56">
        <f t="shared" si="1923"/>
        <v>75.53</v>
      </c>
      <c r="Y1794" s="119">
        <f t="shared" si="1927"/>
        <v>6.6283330003462121E-2</v>
      </c>
      <c r="Z1794" s="28">
        <f t="shared" si="1924"/>
        <v>29316.509999999995</v>
      </c>
      <c r="AA1794" s="119">
        <f t="shared" si="1928"/>
        <v>0.69234186299917955</v>
      </c>
      <c r="AB1794" s="58">
        <f t="shared" si="1925"/>
        <v>-324.27600000000166</v>
      </c>
      <c r="AC1794" s="57">
        <f t="shared" si="1926"/>
        <v>-7.6581370008205196E-3</v>
      </c>
      <c r="AD1794" s="53"/>
      <c r="AE1794" s="53"/>
      <c r="AF1794" s="53"/>
      <c r="AG1794" s="61"/>
      <c r="AH1794" s="53"/>
    </row>
    <row r="1795" spans="1:34" ht="11.25" customHeight="1" x14ac:dyDescent="0.15">
      <c r="A1795" s="130"/>
      <c r="B1795" s="130"/>
      <c r="C1795" s="124"/>
      <c r="D1795" s="124"/>
      <c r="E1795" s="273"/>
      <c r="F1795" s="124"/>
      <c r="G1795" s="124"/>
      <c r="H1795" s="124"/>
      <c r="I1795" s="124"/>
      <c r="J1795" s="124"/>
      <c r="K1795" s="125"/>
      <c r="L1795" s="129"/>
      <c r="M1795" s="129"/>
      <c r="N1795" s="129"/>
      <c r="O1795" s="128"/>
      <c r="P1795" s="129"/>
      <c r="Q1795" s="124"/>
      <c r="R1795" s="117"/>
      <c r="S1795" s="117"/>
      <c r="T1795" s="117"/>
      <c r="U1795" s="117"/>
      <c r="V1795" s="117"/>
      <c r="X1795" s="45"/>
      <c r="Y1795" s="128"/>
      <c r="Z1795" s="126"/>
      <c r="AA1795" s="128"/>
      <c r="AB1795" s="129"/>
      <c r="AC1795" s="160"/>
      <c r="AD1795" s="137"/>
      <c r="AE1795" s="110"/>
      <c r="AF1795" s="110"/>
      <c r="AG1795" s="121"/>
      <c r="AH1795" s="110"/>
    </row>
    <row r="1796" spans="1:34" ht="11.25" customHeight="1" x14ac:dyDescent="0.15">
      <c r="A1796" s="110" t="s">
        <v>994</v>
      </c>
      <c r="B1796" s="110"/>
      <c r="C1796" s="111" t="s">
        <v>175</v>
      </c>
      <c r="D1796" s="111">
        <v>2024</v>
      </c>
      <c r="E1796" s="146">
        <v>45657</v>
      </c>
      <c r="F1796" s="111"/>
      <c r="G1796" s="111">
        <v>81000011</v>
      </c>
      <c r="H1796" s="111">
        <v>4111</v>
      </c>
      <c r="I1796" s="111" t="str">
        <f>MID(G1796,2,1)</f>
        <v>1</v>
      </c>
      <c r="J1796" s="111" t="str">
        <f>IF(I1796="1","Small/Medium","Large")</f>
        <v>Small/Medium</v>
      </c>
      <c r="K1796" s="147" t="s">
        <v>145</v>
      </c>
      <c r="L1796" s="120">
        <v>19414.2</v>
      </c>
      <c r="M1796" s="120">
        <f>L1796*0.3</f>
        <v>5824.26</v>
      </c>
      <c r="N1796" s="120">
        <f>L1796-M1796</f>
        <v>13589.94</v>
      </c>
      <c r="O1796" s="119">
        <f>IFERROR(N1796/L1796,"")</f>
        <v>0.7</v>
      </c>
      <c r="P1796" s="120">
        <f>19414.2-1355</f>
        <v>18059.2</v>
      </c>
      <c r="Q1796" s="111">
        <v>3694</v>
      </c>
      <c r="R1796" s="117">
        <v>34.5</v>
      </c>
      <c r="S1796" s="117">
        <v>1686.36</v>
      </c>
      <c r="T1796" s="117">
        <v>1594.8</v>
      </c>
      <c r="U1796" s="117">
        <v>887.25</v>
      </c>
      <c r="V1796" s="117"/>
      <c r="W1796" s="26">
        <f>SUM(S1796:V1796)</f>
        <v>4168.41</v>
      </c>
      <c r="X1796" s="118">
        <f t="shared" ref="X1796:X1798" si="1932">IFERROR(S1796/R1796,"")</f>
        <v>48.879999999999995</v>
      </c>
      <c r="Y1796" s="119">
        <f>IFERROR(U1796/P1796,0)</f>
        <v>4.9130083281651457E-2</v>
      </c>
      <c r="Z1796" s="117">
        <f t="shared" ref="Z1796:Z1798" si="1933">P1796-W1796</f>
        <v>13890.79</v>
      </c>
      <c r="AA1796" s="119">
        <f>IFERROR(Z1796/P1796,0)</f>
        <v>0.76918080535128908</v>
      </c>
      <c r="AB1796" s="120">
        <f t="shared" ref="AB1796:AB1798" si="1934">M1796-W1796</f>
        <v>1655.8500000000004</v>
      </c>
      <c r="AC1796" s="119">
        <f t="shared" ref="AC1796:AC1798" si="1935">IFERROR(AA1796-O1796,"")</f>
        <v>6.9180805351289121E-2</v>
      </c>
      <c r="AD1796" s="110"/>
      <c r="AE1796" s="110"/>
      <c r="AF1796" s="110"/>
      <c r="AG1796" s="121"/>
      <c r="AH1796" s="110"/>
    </row>
    <row r="1797" spans="1:34" s="110" customFormat="1" ht="11.25" customHeight="1" x14ac:dyDescent="0.15">
      <c r="A1797" s="110" t="s">
        <v>994</v>
      </c>
      <c r="C1797" s="111" t="s">
        <v>175</v>
      </c>
      <c r="D1797" s="111">
        <v>2024</v>
      </c>
      <c r="E1797" s="146">
        <v>45657</v>
      </c>
      <c r="F1797" s="111"/>
      <c r="G1797" s="111">
        <v>81000011</v>
      </c>
      <c r="H1797" s="111">
        <v>4111</v>
      </c>
      <c r="I1797" s="111" t="str">
        <f>MID(G1797,2,1)</f>
        <v>1</v>
      </c>
      <c r="J1797" s="111" t="str">
        <f>IF(I1797="1","Small/Medium","Large")</f>
        <v>Small/Medium</v>
      </c>
      <c r="K1797" s="147" t="s">
        <v>145</v>
      </c>
      <c r="L1797" s="120">
        <v>10453.799999999999</v>
      </c>
      <c r="M1797" s="120">
        <f>L1797*0.3</f>
        <v>3136.14</v>
      </c>
      <c r="N1797" s="120">
        <f>L1797-M1797</f>
        <v>7317.66</v>
      </c>
      <c r="O1797" s="119">
        <f>IFERROR(N1797/L1797,"")</f>
        <v>0.70000000000000007</v>
      </c>
      <c r="P1797" s="120">
        <f>10453.8-730</f>
        <v>9723.7999999999993</v>
      </c>
      <c r="Q1797" s="111">
        <v>3695</v>
      </c>
      <c r="R1797" s="117">
        <v>34</v>
      </c>
      <c r="S1797" s="117">
        <v>1661.92</v>
      </c>
      <c r="T1797" s="117">
        <v>858.74</v>
      </c>
      <c r="U1797" s="117">
        <v>477.75</v>
      </c>
      <c r="V1797" s="117"/>
      <c r="W1797" s="26">
        <f>SUM(S1797:V1797)</f>
        <v>2998.41</v>
      </c>
      <c r="X1797" s="118">
        <f t="shared" si="1932"/>
        <v>48.88</v>
      </c>
      <c r="Y1797" s="119">
        <f t="shared" ref="Y1797:Y1798" si="1936">IFERROR(U1797/P1797,0)</f>
        <v>4.9132026573973142E-2</v>
      </c>
      <c r="Z1797" s="117">
        <f t="shared" si="1933"/>
        <v>6725.3899999999994</v>
      </c>
      <c r="AA1797" s="119">
        <f t="shared" ref="AA1797:AA1798" si="1937">IFERROR(Z1797/P1797,0)</f>
        <v>0.69164215635862525</v>
      </c>
      <c r="AB1797" s="120">
        <f t="shared" si="1934"/>
        <v>137.73000000000002</v>
      </c>
      <c r="AC1797" s="119">
        <f t="shared" si="1935"/>
        <v>-8.3578436413748181E-3</v>
      </c>
      <c r="AG1797" s="121"/>
    </row>
    <row r="1798" spans="1:34" s="216" customFormat="1" ht="11.25" customHeight="1" x14ac:dyDescent="0.15">
      <c r="A1798" s="53" t="s">
        <v>994</v>
      </c>
      <c r="B1798" s="53"/>
      <c r="C1798" s="54" t="s">
        <v>177</v>
      </c>
      <c r="D1798" s="54"/>
      <c r="E1798" s="70"/>
      <c r="F1798" s="54"/>
      <c r="G1798" s="54"/>
      <c r="H1798" s="54"/>
      <c r="I1798" s="54"/>
      <c r="J1798" s="54"/>
      <c r="K1798" s="106"/>
      <c r="L1798" s="24">
        <f>SUM(L1796:L1797)</f>
        <v>29868</v>
      </c>
      <c r="M1798" s="24">
        <f>SUM(M1796:M1797)</f>
        <v>8960.4</v>
      </c>
      <c r="N1798" s="24">
        <f t="shared" ref="N1798" si="1938">SUM(N1796:N1797)</f>
        <v>20907.599999999999</v>
      </c>
      <c r="O1798" s="57">
        <f>IFERROR(N1798/L1798,"")</f>
        <v>0.7</v>
      </c>
      <c r="P1798" s="24">
        <f>SUM(P1796:P1797)</f>
        <v>27783</v>
      </c>
      <c r="Q1798" s="24"/>
      <c r="R1798" s="117">
        <f>SUM(R1796:R1797)</f>
        <v>68.5</v>
      </c>
      <c r="S1798" s="117">
        <f t="shared" ref="S1798:V1798" si="1939">SUM(S1796:S1797)</f>
        <v>3348.2799999999997</v>
      </c>
      <c r="T1798" s="117">
        <f t="shared" si="1939"/>
        <v>2453.54</v>
      </c>
      <c r="U1798" s="117">
        <f t="shared" si="1939"/>
        <v>1365</v>
      </c>
      <c r="V1798" s="117">
        <f t="shared" si="1939"/>
        <v>0</v>
      </c>
      <c r="W1798" s="26">
        <f t="shared" ref="W1798" si="1940">SUM(W1796:W1797)</f>
        <v>7166.82</v>
      </c>
      <c r="X1798" s="56">
        <f t="shared" si="1932"/>
        <v>48.879999999999995</v>
      </c>
      <c r="Y1798" s="119">
        <f t="shared" si="1936"/>
        <v>4.91307634164777E-2</v>
      </c>
      <c r="Z1798" s="28">
        <f t="shared" si="1933"/>
        <v>20616.18</v>
      </c>
      <c r="AA1798" s="119">
        <f t="shared" si="1937"/>
        <v>0.74204297592052693</v>
      </c>
      <c r="AB1798" s="58">
        <f t="shared" si="1934"/>
        <v>1793.58</v>
      </c>
      <c r="AC1798" s="57">
        <f t="shared" si="1935"/>
        <v>4.204297592052697E-2</v>
      </c>
      <c r="AD1798" s="53"/>
      <c r="AE1798" s="53"/>
      <c r="AF1798" s="53"/>
      <c r="AG1798" s="61"/>
      <c r="AH1798" s="53"/>
    </row>
    <row r="1799" spans="1:34" ht="11.25" customHeight="1" x14ac:dyDescent="0.15">
      <c r="A1799" s="130"/>
      <c r="B1799" s="130"/>
      <c r="C1799" s="124"/>
      <c r="D1799" s="124"/>
      <c r="E1799" s="273"/>
      <c r="F1799" s="124"/>
      <c r="G1799" s="124"/>
      <c r="H1799" s="124"/>
      <c r="I1799" s="124"/>
      <c r="J1799" s="124"/>
      <c r="K1799" s="125"/>
      <c r="L1799" s="129"/>
      <c r="M1799" s="129"/>
      <c r="N1799" s="129"/>
      <c r="O1799" s="128"/>
      <c r="P1799" s="129"/>
      <c r="Q1799" s="124"/>
      <c r="R1799" s="117"/>
      <c r="S1799" s="117"/>
      <c r="T1799" s="117"/>
      <c r="U1799" s="117"/>
      <c r="V1799" s="117"/>
      <c r="X1799" s="45"/>
      <c r="Y1799" s="128"/>
      <c r="Z1799" s="126"/>
      <c r="AA1799" s="128"/>
      <c r="AB1799" s="129"/>
      <c r="AC1799" s="160"/>
      <c r="AD1799" s="137"/>
      <c r="AE1799" s="110"/>
      <c r="AF1799" s="110"/>
      <c r="AG1799" s="121"/>
      <c r="AH1799" s="110"/>
    </row>
    <row r="1800" spans="1:34" ht="11.25" customHeight="1" x14ac:dyDescent="0.15">
      <c r="A1800" s="110" t="s">
        <v>889</v>
      </c>
      <c r="B1800" s="110"/>
      <c r="C1800" s="111" t="s">
        <v>37</v>
      </c>
      <c r="D1800" s="111">
        <v>2024</v>
      </c>
      <c r="E1800" s="146">
        <v>45657</v>
      </c>
      <c r="F1800" s="111"/>
      <c r="G1800" s="111">
        <v>13000000</v>
      </c>
      <c r="H1800" s="111"/>
      <c r="I1800" s="111"/>
      <c r="J1800" s="111"/>
      <c r="K1800" s="112" t="s">
        <v>580</v>
      </c>
      <c r="L1800" s="120">
        <v>85648</v>
      </c>
      <c r="M1800" s="120">
        <v>22256.240000000002</v>
      </c>
      <c r="N1800" s="120">
        <f t="shared" ref="N1800:N1804" si="1941">L1800-M1800</f>
        <v>63391.759999999995</v>
      </c>
      <c r="O1800" s="119">
        <f t="shared" ref="O1800:O1804" si="1942">IFERROR(N1800/L1800,"")</f>
        <v>0.74014291051746683</v>
      </c>
      <c r="P1800" s="120">
        <v>85648</v>
      </c>
      <c r="Q1800" s="111">
        <v>2874</v>
      </c>
      <c r="R1800" s="117"/>
      <c r="S1800" s="117"/>
      <c r="T1800" s="117"/>
      <c r="U1800" s="117">
        <v>22447.48</v>
      </c>
      <c r="V1800" s="117"/>
      <c r="W1800" s="26">
        <f t="shared" ref="W1800:W1804" si="1943">SUM(S1800:V1800)</f>
        <v>22447.48</v>
      </c>
      <c r="X1800" s="118" t="str">
        <f t="shared" ref="X1800:X1805" si="1944">IFERROR(S1800/R1800,"")</f>
        <v/>
      </c>
      <c r="Y1800" s="119">
        <f>U1800/P1800</f>
        <v>0.26208994956099385</v>
      </c>
      <c r="Z1800" s="117">
        <f t="shared" ref="Z1800:Z1805" si="1945">P1800-W1800</f>
        <v>63200.520000000004</v>
      </c>
      <c r="AA1800" s="119">
        <f t="shared" ref="AA1800:AA1803" si="1946">Z1800/P1800</f>
        <v>0.73791005043900626</v>
      </c>
      <c r="AB1800" s="120">
        <f t="shared" ref="AB1800:AB1805" si="1947">M1800-W1800</f>
        <v>-191.23999999999796</v>
      </c>
      <c r="AC1800" s="119">
        <f t="shared" ref="AC1800:AC1805" si="1948">IFERROR(AA1800-O1800,"")</f>
        <v>-2.2328600784605745E-3</v>
      </c>
      <c r="AD1800" s="110"/>
      <c r="AE1800" s="110"/>
      <c r="AF1800" s="110"/>
      <c r="AG1800" s="121"/>
      <c r="AH1800" s="110"/>
    </row>
    <row r="1801" spans="1:34" ht="11.25" customHeight="1" x14ac:dyDescent="0.15">
      <c r="A1801" s="110" t="s">
        <v>889</v>
      </c>
      <c r="B1801" s="110"/>
      <c r="C1801" s="111" t="s">
        <v>248</v>
      </c>
      <c r="D1801" s="111">
        <v>2024</v>
      </c>
      <c r="E1801" s="146">
        <v>45657</v>
      </c>
      <c r="F1801" s="111"/>
      <c r="G1801" s="111">
        <v>96000000</v>
      </c>
      <c r="H1801" s="111"/>
      <c r="I1801" s="111"/>
      <c r="J1801" s="111"/>
      <c r="K1801" s="112" t="s">
        <v>250</v>
      </c>
      <c r="L1801" s="120">
        <v>6826</v>
      </c>
      <c r="M1801" s="120">
        <v>2933</v>
      </c>
      <c r="N1801" s="120">
        <f t="shared" si="1941"/>
        <v>3893</v>
      </c>
      <c r="O1801" s="119">
        <f t="shared" si="1942"/>
        <v>0.57031936712569586</v>
      </c>
      <c r="P1801" s="120">
        <v>6826</v>
      </c>
      <c r="Q1801" s="111">
        <v>4327</v>
      </c>
      <c r="R1801" s="117">
        <v>5</v>
      </c>
      <c r="S1801" s="117">
        <v>282.75</v>
      </c>
      <c r="T1801" s="117"/>
      <c r="U1801" s="117"/>
      <c r="V1801" s="117"/>
      <c r="W1801" s="26">
        <f t="shared" si="1943"/>
        <v>282.75</v>
      </c>
      <c r="X1801" s="118">
        <f t="shared" si="1944"/>
        <v>56.55</v>
      </c>
      <c r="Y1801" s="119">
        <f t="shared" ref="Y1801:Y1805" si="1949">U1801/P1801</f>
        <v>0</v>
      </c>
      <c r="Z1801" s="117">
        <f t="shared" si="1945"/>
        <v>6543.25</v>
      </c>
      <c r="AA1801" s="119">
        <f t="shared" si="1946"/>
        <v>0.95857749780251977</v>
      </c>
      <c r="AB1801" s="120">
        <f t="shared" si="1947"/>
        <v>2650.25</v>
      </c>
      <c r="AC1801" s="119">
        <f t="shared" si="1948"/>
        <v>0.38825813067682391</v>
      </c>
      <c r="AD1801" s="110"/>
      <c r="AE1801" s="110"/>
      <c r="AF1801" s="110"/>
      <c r="AG1801" s="121"/>
      <c r="AH1801" s="110"/>
    </row>
    <row r="1802" spans="1:34" ht="11.25" customHeight="1" x14ac:dyDescent="0.15">
      <c r="A1802" s="110" t="s">
        <v>889</v>
      </c>
      <c r="B1802" s="110"/>
      <c r="C1802" s="111" t="s">
        <v>55</v>
      </c>
      <c r="D1802" s="111">
        <v>2024</v>
      </c>
      <c r="E1802" s="146">
        <v>45657</v>
      </c>
      <c r="F1802" s="111"/>
      <c r="G1802" s="111" t="s">
        <v>56</v>
      </c>
      <c r="H1802" s="111"/>
      <c r="I1802" s="111"/>
      <c r="J1802" s="111"/>
      <c r="K1802" s="112" t="s">
        <v>71</v>
      </c>
      <c r="L1802" s="120">
        <v>3619</v>
      </c>
      <c r="M1802" s="120">
        <v>1809.49</v>
      </c>
      <c r="N1802" s="120">
        <f t="shared" si="1941"/>
        <v>1809.51</v>
      </c>
      <c r="O1802" s="119">
        <f t="shared" si="1942"/>
        <v>0.50000276319425252</v>
      </c>
      <c r="P1802" s="120">
        <v>3619</v>
      </c>
      <c r="Q1802" s="111">
        <v>4328</v>
      </c>
      <c r="R1802" s="117">
        <v>6</v>
      </c>
      <c r="S1802" s="117">
        <v>267</v>
      </c>
      <c r="T1802" s="117"/>
      <c r="U1802" s="117">
        <v>166.77</v>
      </c>
      <c r="V1802" s="117">
        <f>23.56+1059.49</f>
        <v>1083.05</v>
      </c>
      <c r="W1802" s="26">
        <f t="shared" si="1943"/>
        <v>1516.82</v>
      </c>
      <c r="X1802" s="118">
        <f t="shared" si="1944"/>
        <v>44.5</v>
      </c>
      <c r="Y1802" s="119" t="e">
        <f>#REF!/P1802</f>
        <v>#REF!</v>
      </c>
      <c r="Z1802" s="117">
        <f t="shared" si="1945"/>
        <v>2102.1800000000003</v>
      </c>
      <c r="AA1802" s="119">
        <f t="shared" si="1946"/>
        <v>0.58087316938380773</v>
      </c>
      <c r="AB1802" s="120">
        <f t="shared" si="1947"/>
        <v>292.67000000000007</v>
      </c>
      <c r="AC1802" s="119">
        <f t="shared" si="1948"/>
        <v>8.0870406189555211E-2</v>
      </c>
      <c r="AD1802" s="110"/>
      <c r="AE1802" s="110"/>
      <c r="AF1802" s="110"/>
      <c r="AG1802" s="121"/>
      <c r="AH1802" s="110"/>
    </row>
    <row r="1803" spans="1:34" ht="11.25" customHeight="1" x14ac:dyDescent="0.15">
      <c r="A1803" s="110" t="s">
        <v>889</v>
      </c>
      <c r="B1803" s="110"/>
      <c r="C1803" s="111" t="s">
        <v>58</v>
      </c>
      <c r="D1803" s="111">
        <v>2024</v>
      </c>
      <c r="E1803" s="146">
        <v>45657</v>
      </c>
      <c r="F1803" s="111"/>
      <c r="G1803" s="111">
        <v>73152012</v>
      </c>
      <c r="H1803" s="111"/>
      <c r="I1803" s="111"/>
      <c r="J1803" s="111"/>
      <c r="K1803" s="112" t="s">
        <v>743</v>
      </c>
      <c r="L1803" s="120">
        <f>53748-39348-2304</f>
        <v>12096</v>
      </c>
      <c r="M1803" s="120">
        <v>1305.5999999999999</v>
      </c>
      <c r="N1803" s="120">
        <f t="shared" si="1941"/>
        <v>10790.4</v>
      </c>
      <c r="O1803" s="119">
        <f t="shared" si="1942"/>
        <v>0.892063492063492</v>
      </c>
      <c r="P1803" s="120">
        <f>53748-39348-2304</f>
        <v>12096</v>
      </c>
      <c r="Q1803" s="111">
        <v>4329</v>
      </c>
      <c r="R1803" s="117"/>
      <c r="S1803" s="117"/>
      <c r="T1803" s="117"/>
      <c r="U1803" s="117">
        <v>2384.04</v>
      </c>
      <c r="V1803" s="117"/>
      <c r="W1803" s="26">
        <f t="shared" si="1943"/>
        <v>2384.04</v>
      </c>
      <c r="X1803" s="118" t="str">
        <f t="shared" si="1944"/>
        <v/>
      </c>
      <c r="Y1803" s="119">
        <f t="shared" si="1949"/>
        <v>0.19709325396825397</v>
      </c>
      <c r="Z1803" s="117">
        <f t="shared" si="1945"/>
        <v>9711.9599999999991</v>
      </c>
      <c r="AA1803" s="119">
        <f t="shared" si="1946"/>
        <v>0.80290674603174594</v>
      </c>
      <c r="AB1803" s="120">
        <f t="shared" si="1947"/>
        <v>-1078.44</v>
      </c>
      <c r="AC1803" s="119">
        <f t="shared" si="1948"/>
        <v>-8.9156746031746059E-2</v>
      </c>
      <c r="AD1803" s="110" t="s">
        <v>890</v>
      </c>
      <c r="AE1803" s="110"/>
      <c r="AF1803" s="110"/>
      <c r="AG1803" s="121"/>
      <c r="AH1803" s="110"/>
    </row>
    <row r="1804" spans="1:34" ht="11.25" customHeight="1" x14ac:dyDescent="0.15">
      <c r="A1804" s="110" t="s">
        <v>889</v>
      </c>
      <c r="B1804" s="110"/>
      <c r="C1804" s="111" t="s">
        <v>49</v>
      </c>
      <c r="D1804" s="111">
        <v>2024</v>
      </c>
      <c r="E1804" s="146">
        <v>45657</v>
      </c>
      <c r="F1804" s="111"/>
      <c r="G1804" s="111">
        <v>63652012</v>
      </c>
      <c r="H1804" s="111"/>
      <c r="I1804" s="111"/>
      <c r="J1804" s="111"/>
      <c r="K1804" s="112" t="s">
        <v>744</v>
      </c>
      <c r="L1804" s="120">
        <v>14985</v>
      </c>
      <c r="M1804" s="120">
        <v>7072.32</v>
      </c>
      <c r="N1804" s="120">
        <f t="shared" si="1941"/>
        <v>7912.68</v>
      </c>
      <c r="O1804" s="119">
        <f t="shared" si="1942"/>
        <v>0.52804004004004002</v>
      </c>
      <c r="P1804" s="120">
        <f>16806-4995</f>
        <v>11811</v>
      </c>
      <c r="Q1804" s="111">
        <v>4330</v>
      </c>
      <c r="R1804" s="117">
        <v>59</v>
      </c>
      <c r="S1804" s="117">
        <v>3454.45</v>
      </c>
      <c r="T1804" s="117">
        <v>4033.45</v>
      </c>
      <c r="U1804" s="117"/>
      <c r="V1804" s="117"/>
      <c r="W1804" s="26">
        <f t="shared" si="1943"/>
        <v>7487.9</v>
      </c>
      <c r="X1804" s="118">
        <f t="shared" si="1944"/>
        <v>58.55</v>
      </c>
      <c r="Y1804" s="119">
        <f t="shared" si="1949"/>
        <v>0</v>
      </c>
      <c r="Z1804" s="117">
        <f t="shared" si="1945"/>
        <v>4323.1000000000004</v>
      </c>
      <c r="AA1804" s="119">
        <f>Z1804/P1804</f>
        <v>0.3660231987130641</v>
      </c>
      <c r="AB1804" s="120">
        <f t="shared" si="1947"/>
        <v>-415.57999999999993</v>
      </c>
      <c r="AC1804" s="119">
        <f t="shared" si="1948"/>
        <v>-0.16201684132697591</v>
      </c>
      <c r="AD1804" s="110" t="s">
        <v>891</v>
      </c>
      <c r="AE1804" s="110"/>
      <c r="AF1804" s="110"/>
      <c r="AG1804" s="121"/>
      <c r="AH1804" s="110"/>
    </row>
    <row r="1805" spans="1:34" s="216" customFormat="1" ht="11.25" customHeight="1" x14ac:dyDescent="0.15">
      <c r="A1805" s="53" t="s">
        <v>889</v>
      </c>
      <c r="B1805" s="53"/>
      <c r="C1805" s="54" t="s">
        <v>177</v>
      </c>
      <c r="D1805" s="54"/>
      <c r="E1805" s="70"/>
      <c r="F1805" s="54"/>
      <c r="G1805" s="54"/>
      <c r="H1805" s="54"/>
      <c r="I1805" s="54"/>
      <c r="J1805" s="54"/>
      <c r="K1805" s="106"/>
      <c r="L1805" s="24">
        <f t="shared" ref="L1805:M1805" si="1950">SUM(L1800:L1804)</f>
        <v>123174</v>
      </c>
      <c r="M1805" s="24">
        <f t="shared" si="1950"/>
        <v>35376.65</v>
      </c>
      <c r="N1805" s="24">
        <f>SUM(N1800:N1804)</f>
        <v>87797.349999999977</v>
      </c>
      <c r="O1805" s="57">
        <f>IFERROR(N1805/L1805,"")</f>
        <v>0.71279125464789628</v>
      </c>
      <c r="P1805" s="24">
        <f t="shared" ref="P1805" si="1951">SUM(P1800:P1804)</f>
        <v>120000</v>
      </c>
      <c r="Q1805" s="24"/>
      <c r="R1805" s="117">
        <f>SUM(R1800:R1804)</f>
        <v>70</v>
      </c>
      <c r="S1805" s="117">
        <f t="shared" ref="S1805:V1805" si="1952">SUM(S1800:S1804)</f>
        <v>4004.2</v>
      </c>
      <c r="T1805" s="117">
        <f t="shared" si="1952"/>
        <v>4033.45</v>
      </c>
      <c r="U1805" s="117">
        <f t="shared" si="1952"/>
        <v>24998.29</v>
      </c>
      <c r="V1805" s="117">
        <f t="shared" si="1952"/>
        <v>1083.05</v>
      </c>
      <c r="W1805" s="26">
        <f>SUM(S1805:V1805)</f>
        <v>34118.990000000005</v>
      </c>
      <c r="X1805" s="56">
        <f t="shared" si="1944"/>
        <v>57.202857142857141</v>
      </c>
      <c r="Y1805" s="57">
        <f t="shared" si="1949"/>
        <v>0.20831908333333335</v>
      </c>
      <c r="Z1805" s="28">
        <f t="shared" si="1945"/>
        <v>85881.01</v>
      </c>
      <c r="AA1805" s="57">
        <f>Z1805/P1805</f>
        <v>0.7156750833333333</v>
      </c>
      <c r="AB1805" s="58">
        <f t="shared" si="1947"/>
        <v>1257.6599999999962</v>
      </c>
      <c r="AC1805" s="57">
        <f t="shared" si="1948"/>
        <v>2.8838286854370176E-3</v>
      </c>
      <c r="AD1805" s="53"/>
      <c r="AE1805" s="53"/>
      <c r="AF1805" s="53"/>
      <c r="AG1805" s="61"/>
      <c r="AH1805" s="53"/>
    </row>
    <row r="1806" spans="1:34" ht="11.25" customHeight="1" x14ac:dyDescent="0.15">
      <c r="A1806" s="130"/>
      <c r="B1806" s="130"/>
      <c r="C1806" s="124"/>
      <c r="D1806" s="124"/>
      <c r="E1806" s="273"/>
      <c r="F1806" s="124"/>
      <c r="G1806" s="124"/>
      <c r="H1806" s="124"/>
      <c r="I1806" s="124"/>
      <c r="J1806" s="124"/>
      <c r="K1806" s="125"/>
      <c r="L1806" s="129"/>
      <c r="M1806" s="129"/>
      <c r="N1806" s="129"/>
      <c r="O1806" s="128"/>
      <c r="P1806" s="129"/>
      <c r="Q1806" s="124"/>
      <c r="R1806" s="117"/>
      <c r="S1806" s="117"/>
      <c r="T1806" s="117"/>
      <c r="U1806" s="117"/>
      <c r="V1806" s="117"/>
      <c r="X1806" s="45"/>
      <c r="Y1806" s="128"/>
      <c r="Z1806" s="126"/>
      <c r="AA1806" s="128"/>
      <c r="AB1806" s="129"/>
      <c r="AC1806" s="160"/>
      <c r="AD1806" s="137"/>
      <c r="AE1806" s="110"/>
      <c r="AF1806" s="110"/>
      <c r="AG1806" s="121"/>
      <c r="AH1806" s="110"/>
    </row>
    <row r="1807" spans="1:34" ht="11.25" customHeight="1" x14ac:dyDescent="0.15">
      <c r="A1807" s="110" t="s">
        <v>137</v>
      </c>
      <c r="B1807" s="110"/>
      <c r="C1807" s="111" t="s">
        <v>175</v>
      </c>
      <c r="D1807" s="111">
        <v>2024</v>
      </c>
      <c r="E1807" s="146">
        <v>45688</v>
      </c>
      <c r="F1807" s="111"/>
      <c r="G1807" s="111">
        <v>81110111</v>
      </c>
      <c r="H1807" s="111">
        <v>4101</v>
      </c>
      <c r="I1807" s="111" t="str">
        <f>MID(G1807,2,1)</f>
        <v>1</v>
      </c>
      <c r="J1807" s="111" t="str">
        <f t="shared" ref="J1807" si="1953">IF(I1807="1","Small/Medium","Large")</f>
        <v>Small/Medium</v>
      </c>
      <c r="K1807" s="147" t="s">
        <v>145</v>
      </c>
      <c r="L1807" s="120">
        <v>30405.19</v>
      </c>
      <c r="M1807" s="120">
        <f>L1807*0.3</f>
        <v>9121.5569999999989</v>
      </c>
      <c r="N1807" s="120">
        <f>L1807-M1807</f>
        <v>21283.633000000002</v>
      </c>
      <c r="O1807" s="119">
        <f>IFERROR(N1807/L1807,"")</f>
        <v>0.70000000000000007</v>
      </c>
      <c r="P1807" s="120">
        <v>30405.19</v>
      </c>
      <c r="Q1807" s="111">
        <v>3141</v>
      </c>
      <c r="R1807" s="117">
        <v>43.5</v>
      </c>
      <c r="S1807" s="117">
        <v>3285.56</v>
      </c>
      <c r="T1807" s="117">
        <v>2390.4699999999998</v>
      </c>
      <c r="U1807" s="117">
        <v>561.95000000000005</v>
      </c>
      <c r="V1807" s="117"/>
      <c r="W1807" s="26">
        <f>SUM(S1807:V1807)</f>
        <v>6237.98</v>
      </c>
      <c r="X1807" s="118">
        <f t="shared" ref="X1807:X1809" si="1954">IFERROR(S1807/R1807,"")</f>
        <v>75.530114942528741</v>
      </c>
      <c r="Y1807" s="119">
        <f>IFERROR(U1807/P1807,0)</f>
        <v>1.8482042046111209E-2</v>
      </c>
      <c r="Z1807" s="117">
        <f t="shared" ref="Z1807:Z1809" si="1955">P1807-W1807</f>
        <v>24167.21</v>
      </c>
      <c r="AA1807" s="119">
        <f>IFERROR(Z1807/P1807,0)</f>
        <v>0.79483831543233241</v>
      </c>
      <c r="AB1807" s="120">
        <f t="shared" ref="AB1807:AB1809" si="1956">M1807-W1807</f>
        <v>2883.5769999999993</v>
      </c>
      <c r="AC1807" s="119">
        <f t="shared" ref="AC1807:AC1809" si="1957">IFERROR(AA1807-O1807,"")</f>
        <v>9.4838315432332343E-2</v>
      </c>
      <c r="AD1807" s="110"/>
      <c r="AE1807" s="110"/>
      <c r="AF1807" s="110"/>
      <c r="AG1807" s="121"/>
      <c r="AH1807" s="110"/>
    </row>
    <row r="1808" spans="1:34" ht="11.25" customHeight="1" x14ac:dyDescent="0.15">
      <c r="A1808" s="110" t="s">
        <v>137</v>
      </c>
      <c r="B1808" s="110"/>
      <c r="C1808" s="111" t="s">
        <v>175</v>
      </c>
      <c r="D1808" s="111">
        <v>2024</v>
      </c>
      <c r="E1808" s="146">
        <v>45688</v>
      </c>
      <c r="F1808" s="111"/>
      <c r="G1808" s="111">
        <v>82110111</v>
      </c>
      <c r="H1808" s="111">
        <v>4101</v>
      </c>
      <c r="I1808" s="111" t="str">
        <f>MID(G1808,2,1)</f>
        <v>2</v>
      </c>
      <c r="J1808" s="111" t="str">
        <f>IF(I1808="1","Small/Medium","Large")</f>
        <v>Large</v>
      </c>
      <c r="K1808" s="147" t="s">
        <v>176</v>
      </c>
      <c r="L1808" s="120">
        <v>10135.06</v>
      </c>
      <c r="M1808" s="120">
        <f>L1808*0.3</f>
        <v>3040.5179999999996</v>
      </c>
      <c r="N1808" s="120">
        <f>L1808-M1808</f>
        <v>7094.5419999999995</v>
      </c>
      <c r="O1808" s="119">
        <f>IFERROR(N1808/L1808,"")</f>
        <v>0.7</v>
      </c>
      <c r="P1808" s="120">
        <v>10135.06</v>
      </c>
      <c r="Q1808" s="111">
        <v>3145</v>
      </c>
      <c r="R1808" s="117">
        <v>35.5</v>
      </c>
      <c r="S1808" s="117">
        <v>2681.32</v>
      </c>
      <c r="T1808" s="117">
        <v>2405.17</v>
      </c>
      <c r="U1808" s="117">
        <v>881.74</v>
      </c>
      <c r="V1808" s="117">
        <v>564.05999999999995</v>
      </c>
      <c r="W1808" s="26">
        <f>SUM(S1808:V1808)</f>
        <v>6532.2899999999991</v>
      </c>
      <c r="X1808" s="118">
        <f t="shared" si="1954"/>
        <v>75.53014084507042</v>
      </c>
      <c r="Y1808" s="119">
        <f t="shared" ref="Y1808:Y1809" si="1958">IFERROR(U1808/P1808,0)</f>
        <v>8.699899161919121E-2</v>
      </c>
      <c r="Z1808" s="117">
        <f t="shared" si="1955"/>
        <v>3602.7700000000004</v>
      </c>
      <c r="AA1808" s="119">
        <f t="shared" ref="AA1808:AA1809" si="1959">IFERROR(Z1808/P1808,0)</f>
        <v>0.35547594192831622</v>
      </c>
      <c r="AB1808" s="120">
        <f t="shared" si="1956"/>
        <v>-3491.7719999999995</v>
      </c>
      <c r="AC1808" s="119">
        <f t="shared" si="1957"/>
        <v>-0.34452405807168374</v>
      </c>
      <c r="AD1808" s="110" t="s">
        <v>892</v>
      </c>
      <c r="AE1808" s="110"/>
      <c r="AF1808" s="110"/>
      <c r="AG1808" s="121"/>
      <c r="AH1808" s="110"/>
    </row>
    <row r="1809" spans="1:34" ht="11.25" customHeight="1" x14ac:dyDescent="0.15">
      <c r="A1809" s="53" t="s">
        <v>137</v>
      </c>
      <c r="C1809" s="54" t="s">
        <v>177</v>
      </c>
      <c r="D1809" s="54"/>
      <c r="E1809" s="70"/>
      <c r="F1809" s="111"/>
      <c r="G1809" s="111"/>
      <c r="H1809" s="111"/>
      <c r="I1809" s="111"/>
      <c r="J1809" s="111"/>
      <c r="K1809" s="112"/>
      <c r="L1809" s="24">
        <f>SUM(L1807:L1808)</f>
        <v>40540.25</v>
      </c>
      <c r="M1809" s="24">
        <f t="shared" ref="M1809:N1809" si="1960">SUM(M1807:M1808)</f>
        <v>12162.074999999999</v>
      </c>
      <c r="N1809" s="24">
        <f t="shared" si="1960"/>
        <v>28378.175000000003</v>
      </c>
      <c r="O1809" s="57">
        <f>IFERROR(N1809/L1809,"")</f>
        <v>0.70000000000000007</v>
      </c>
      <c r="P1809" s="24">
        <f>SUM(P1807:P1808)</f>
        <v>40540.25</v>
      </c>
      <c r="Q1809" s="111"/>
      <c r="R1809" s="117">
        <f>SUM(R1807:R1808)</f>
        <v>79</v>
      </c>
      <c r="S1809" s="117">
        <f t="shared" ref="S1809:W1809" si="1961">SUM(S1807:S1808)</f>
        <v>5966.88</v>
      </c>
      <c r="T1809" s="117">
        <f t="shared" si="1961"/>
        <v>4795.6399999999994</v>
      </c>
      <c r="U1809" s="117">
        <f t="shared" si="1961"/>
        <v>1443.69</v>
      </c>
      <c r="V1809" s="117">
        <f t="shared" si="1961"/>
        <v>564.05999999999995</v>
      </c>
      <c r="W1809" s="26">
        <f t="shared" si="1961"/>
        <v>12770.269999999999</v>
      </c>
      <c r="X1809" s="56">
        <f t="shared" si="1954"/>
        <v>75.530126582278484</v>
      </c>
      <c r="Y1809" s="119">
        <f t="shared" si="1958"/>
        <v>3.5611275214139038E-2</v>
      </c>
      <c r="Z1809" s="28">
        <f t="shared" si="1955"/>
        <v>27769.980000000003</v>
      </c>
      <c r="AA1809" s="119">
        <f t="shared" si="1959"/>
        <v>0.68499774915053568</v>
      </c>
      <c r="AB1809" s="58">
        <f t="shared" si="1956"/>
        <v>-608.19499999999971</v>
      </c>
      <c r="AC1809" s="57">
        <f t="shared" si="1957"/>
        <v>-1.5002250849464382E-2</v>
      </c>
      <c r="AD1809" s="110"/>
      <c r="AE1809" s="110"/>
      <c r="AF1809" s="110"/>
      <c r="AG1809" s="121"/>
      <c r="AH1809" s="110"/>
    </row>
    <row r="1810" spans="1:34" ht="11.25" customHeight="1" x14ac:dyDescent="0.15">
      <c r="A1810" s="130"/>
      <c r="B1810" s="130"/>
      <c r="C1810" s="124"/>
      <c r="D1810" s="124"/>
      <c r="E1810" s="273"/>
      <c r="F1810" s="124"/>
      <c r="G1810" s="124"/>
      <c r="H1810" s="124"/>
      <c r="I1810" s="124"/>
      <c r="J1810" s="124"/>
      <c r="K1810" s="125"/>
      <c r="L1810" s="129"/>
      <c r="M1810" s="129"/>
      <c r="N1810" s="129"/>
      <c r="O1810" s="128"/>
      <c r="P1810" s="129"/>
      <c r="Q1810" s="124"/>
      <c r="R1810" s="117"/>
      <c r="S1810" s="117"/>
      <c r="T1810" s="117"/>
      <c r="U1810" s="117"/>
      <c r="V1810" s="117"/>
      <c r="X1810" s="45"/>
      <c r="Y1810" s="128"/>
      <c r="Z1810" s="126"/>
      <c r="AA1810" s="128"/>
      <c r="AB1810" s="129"/>
      <c r="AC1810" s="160"/>
      <c r="AD1810" s="137"/>
      <c r="AE1810" s="110"/>
      <c r="AF1810" s="110"/>
      <c r="AG1810" s="121"/>
      <c r="AH1810" s="110"/>
    </row>
    <row r="1811" spans="1:34" ht="11.25" customHeight="1" x14ac:dyDescent="0.15">
      <c r="A1811" s="110" t="s">
        <v>665</v>
      </c>
      <c r="B1811" s="110"/>
      <c r="C1811" s="111" t="s">
        <v>175</v>
      </c>
      <c r="D1811" s="111">
        <v>2025</v>
      </c>
      <c r="E1811" s="146">
        <v>45688</v>
      </c>
      <c r="F1811" s="111"/>
      <c r="G1811" s="111">
        <v>81110101</v>
      </c>
      <c r="H1811" s="111">
        <v>4101</v>
      </c>
      <c r="I1811" s="111" t="str">
        <f>MID(G1811,2,1)</f>
        <v>1</v>
      </c>
      <c r="J1811" s="111" t="str">
        <f t="shared" ref="J1811" si="1962">IF(I1811="1","Small/Medium","Large")</f>
        <v>Small/Medium</v>
      </c>
      <c r="K1811" s="147" t="s">
        <v>145</v>
      </c>
      <c r="L1811" s="120">
        <v>22864</v>
      </c>
      <c r="M1811" s="120">
        <f>L1811*0.3</f>
        <v>6859.2</v>
      </c>
      <c r="N1811" s="120">
        <f t="shared" ref="N1811" si="1963">L1811-M1811</f>
        <v>16004.8</v>
      </c>
      <c r="O1811" s="119">
        <f t="shared" ref="O1811" si="1964">IFERROR(N1811/L1811,"")</f>
        <v>0.7</v>
      </c>
      <c r="P1811" s="120">
        <v>22864</v>
      </c>
      <c r="Q1811" s="111">
        <v>4598</v>
      </c>
      <c r="R1811" s="117">
        <v>30.5</v>
      </c>
      <c r="S1811" s="117">
        <v>2303.67</v>
      </c>
      <c r="T1811" s="117">
        <v>2405.15</v>
      </c>
      <c r="U1811" s="117">
        <v>650</v>
      </c>
      <c r="V1811" s="117"/>
      <c r="W1811" s="26">
        <f>SUM(S1811:V1811)</f>
        <v>5358.82</v>
      </c>
      <c r="X1811" s="118">
        <f t="shared" ref="X1811:X1812" si="1965">IFERROR(S1811/R1811,"")</f>
        <v>75.530163934426227</v>
      </c>
      <c r="Y1811" s="119">
        <f t="shared" ref="Y1811:Y1812" si="1966">IFERROR(U1811/P1811,0)</f>
        <v>2.8428971308607418E-2</v>
      </c>
      <c r="Z1811" s="117">
        <f t="shared" ref="Z1811:Z1812" si="1967">P1811-W1811</f>
        <v>17505.18</v>
      </c>
      <c r="AA1811" s="119">
        <f t="shared" ref="AA1811:AA1812" si="1968">IFERROR(Z1811/P1811,0)</f>
        <v>0.76562193841847448</v>
      </c>
      <c r="AB1811" s="120">
        <f t="shared" ref="AB1811:AB1812" si="1969">M1811-W1811</f>
        <v>1500.38</v>
      </c>
      <c r="AC1811" s="119">
        <f t="shared" ref="AC1811:AC1812" si="1970">IFERROR(AA1811-O1811,"")</f>
        <v>6.5621938418474524E-2</v>
      </c>
      <c r="AD1811" s="110"/>
      <c r="AE1811" s="110"/>
      <c r="AF1811" s="110"/>
      <c r="AG1811" s="121"/>
      <c r="AH1811" s="110"/>
    </row>
    <row r="1812" spans="1:34" ht="11.25" customHeight="1" x14ac:dyDescent="0.15">
      <c r="A1812" s="53" t="s">
        <v>665</v>
      </c>
      <c r="C1812" s="54" t="s">
        <v>177</v>
      </c>
      <c r="D1812" s="111"/>
      <c r="E1812" s="146"/>
      <c r="F1812" s="111"/>
      <c r="G1812" s="111"/>
      <c r="H1812" s="111"/>
      <c r="I1812" s="111"/>
      <c r="J1812" s="111"/>
      <c r="K1812" s="112"/>
      <c r="L1812" s="24">
        <f>SUM(L1811)</f>
        <v>22864</v>
      </c>
      <c r="M1812" s="24">
        <f t="shared" ref="M1812:N1812" si="1971">SUM(M1811)</f>
        <v>6859.2</v>
      </c>
      <c r="N1812" s="24">
        <f t="shared" si="1971"/>
        <v>16004.8</v>
      </c>
      <c r="O1812" s="57">
        <f>IFERROR(N1812/L1812,"")</f>
        <v>0.7</v>
      </c>
      <c r="P1812" s="24">
        <f>SUM(P1811)</f>
        <v>22864</v>
      </c>
      <c r="Q1812" s="111"/>
      <c r="R1812" s="117">
        <f>SUM(R1810:R1811)</f>
        <v>30.5</v>
      </c>
      <c r="S1812" s="117">
        <f t="shared" ref="S1812:W1812" si="1972">SUM(S1810:S1811)</f>
        <v>2303.67</v>
      </c>
      <c r="T1812" s="117">
        <f t="shared" si="1972"/>
        <v>2405.15</v>
      </c>
      <c r="U1812" s="117">
        <f t="shared" si="1972"/>
        <v>650</v>
      </c>
      <c r="V1812" s="117">
        <f t="shared" si="1972"/>
        <v>0</v>
      </c>
      <c r="W1812" s="26">
        <f t="shared" si="1972"/>
        <v>5358.82</v>
      </c>
      <c r="X1812" s="56">
        <f t="shared" si="1965"/>
        <v>75.530163934426227</v>
      </c>
      <c r="Y1812" s="119">
        <f t="shared" si="1966"/>
        <v>2.8428971308607418E-2</v>
      </c>
      <c r="Z1812" s="28">
        <f t="shared" si="1967"/>
        <v>17505.18</v>
      </c>
      <c r="AA1812" s="119">
        <f t="shared" si="1968"/>
        <v>0.76562193841847448</v>
      </c>
      <c r="AB1812" s="58">
        <f t="shared" si="1969"/>
        <v>1500.38</v>
      </c>
      <c r="AC1812" s="57">
        <f t="shared" si="1970"/>
        <v>6.5621938418474524E-2</v>
      </c>
      <c r="AD1812" s="110"/>
      <c r="AE1812" s="110"/>
      <c r="AF1812" s="110"/>
      <c r="AG1812" s="121"/>
      <c r="AH1812" s="110"/>
    </row>
    <row r="1813" spans="1:34" ht="11.25" customHeight="1" x14ac:dyDescent="0.15">
      <c r="A1813" s="130"/>
      <c r="B1813" s="130"/>
      <c r="C1813" s="124"/>
      <c r="D1813" s="124"/>
      <c r="E1813" s="273"/>
      <c r="F1813" s="124"/>
      <c r="G1813" s="124"/>
      <c r="H1813" s="124"/>
      <c r="I1813" s="124"/>
      <c r="J1813" s="124"/>
      <c r="K1813" s="125"/>
      <c r="L1813" s="129"/>
      <c r="M1813" s="129"/>
      <c r="N1813" s="129"/>
      <c r="O1813" s="128"/>
      <c r="P1813" s="129"/>
      <c r="Q1813" s="124"/>
      <c r="R1813" s="117"/>
      <c r="S1813" s="117"/>
      <c r="T1813" s="117"/>
      <c r="U1813" s="117"/>
      <c r="V1813" s="117"/>
      <c r="X1813" s="45"/>
      <c r="Y1813" s="128"/>
      <c r="Z1813" s="126"/>
      <c r="AA1813" s="128"/>
      <c r="AB1813" s="129"/>
      <c r="AC1813" s="160"/>
      <c r="AD1813" s="137"/>
      <c r="AE1813" s="110"/>
      <c r="AF1813" s="110"/>
      <c r="AG1813" s="121"/>
      <c r="AH1813" s="110"/>
    </row>
    <row r="1814" spans="1:34" s="110" customFormat="1" ht="11.25" customHeight="1" x14ac:dyDescent="0.15">
      <c r="A1814" s="110" t="s">
        <v>382</v>
      </c>
      <c r="C1814" s="111" t="s">
        <v>175</v>
      </c>
      <c r="D1814" s="111">
        <v>2025</v>
      </c>
      <c r="E1814" s="146">
        <v>45716</v>
      </c>
      <c r="F1814" s="111"/>
      <c r="G1814" s="111">
        <v>81100001</v>
      </c>
      <c r="H1814" s="111">
        <v>4101</v>
      </c>
      <c r="I1814" s="111" t="str">
        <f t="shared" ref="I1814" si="1973">MID(G1814,2,1)</f>
        <v>1</v>
      </c>
      <c r="J1814" s="111" t="str">
        <f t="shared" ref="J1814" si="1974">IF(I1814="1","Small/Medium","Large")</f>
        <v>Small/Medium</v>
      </c>
      <c r="K1814" s="147" t="s">
        <v>145</v>
      </c>
      <c r="L1814" s="120">
        <v>12896</v>
      </c>
      <c r="M1814" s="120">
        <f t="shared" ref="M1814" si="1975">L1814*0.3</f>
        <v>3868.7999999999997</v>
      </c>
      <c r="N1814" s="120">
        <f t="shared" ref="N1814" si="1976">L1814-M1814</f>
        <v>9027.2000000000007</v>
      </c>
      <c r="O1814" s="119">
        <f t="shared" ref="O1814" si="1977">IFERROR(N1814/L1814,"")</f>
        <v>0.70000000000000007</v>
      </c>
      <c r="P1814" s="120">
        <v>12896</v>
      </c>
      <c r="Q1814" s="111">
        <v>4617</v>
      </c>
      <c r="R1814" s="117">
        <v>34</v>
      </c>
      <c r="S1814" s="117">
        <v>1661.92</v>
      </c>
      <c r="T1814" s="117">
        <v>1578.87</v>
      </c>
      <c r="U1814" s="117">
        <v>488.74</v>
      </c>
      <c r="V1814" s="117"/>
      <c r="W1814" s="26">
        <f t="shared" ref="W1814" si="1978">SUM(S1814:V1814)</f>
        <v>3729.5299999999997</v>
      </c>
      <c r="X1814" s="118">
        <f t="shared" ref="X1814:X1815" si="1979">IFERROR(S1814/R1814,"")</f>
        <v>48.88</v>
      </c>
      <c r="Y1814" s="119">
        <f t="shared" ref="Y1814:Y1815" si="1980">IFERROR(U1814/P1814,0)</f>
        <v>3.7898573200992554E-2</v>
      </c>
      <c r="Z1814" s="117">
        <f t="shared" ref="Z1814:Z1815" si="1981">P1814-W1814</f>
        <v>9166.4700000000012</v>
      </c>
      <c r="AA1814" s="119">
        <f t="shared" ref="AA1814:AA1815" si="1982">IFERROR(Z1814/P1814,0)</f>
        <v>0.71079947270471477</v>
      </c>
      <c r="AB1814" s="120">
        <f t="shared" ref="AB1814:AB1815" si="1983">M1814-W1814</f>
        <v>139.26999999999998</v>
      </c>
      <c r="AC1814" s="119">
        <f t="shared" ref="AC1814:AC1815" si="1984">IFERROR(AA1814-O1814,"")</f>
        <v>1.0799472704714708E-2</v>
      </c>
      <c r="AG1814" s="121"/>
    </row>
    <row r="1815" spans="1:34" ht="11.25" customHeight="1" x14ac:dyDescent="0.15">
      <c r="A1815" s="53" t="s">
        <v>382</v>
      </c>
      <c r="C1815" s="54" t="s">
        <v>177</v>
      </c>
      <c r="D1815" s="111"/>
      <c r="E1815" s="146"/>
      <c r="F1815" s="111"/>
      <c r="G1815" s="111"/>
      <c r="H1815" s="111"/>
      <c r="I1815" s="111"/>
      <c r="J1815" s="111"/>
      <c r="K1815" s="112"/>
      <c r="L1815" s="24">
        <f>SUM(L1814)</f>
        <v>12896</v>
      </c>
      <c r="M1815" s="24">
        <f t="shared" ref="M1815:N1815" si="1985">SUM(M1814)</f>
        <v>3868.7999999999997</v>
      </c>
      <c r="N1815" s="24">
        <f t="shared" si="1985"/>
        <v>9027.2000000000007</v>
      </c>
      <c r="O1815" s="57">
        <f>IFERROR(N1815/L1815,"")</f>
        <v>0.70000000000000007</v>
      </c>
      <c r="P1815" s="24">
        <f>SUM(P1814)</f>
        <v>12896</v>
      </c>
      <c r="Q1815" s="111"/>
      <c r="R1815" s="117">
        <f>SUM(R1814)</f>
        <v>34</v>
      </c>
      <c r="S1815" s="117">
        <f t="shared" ref="S1815:W1815" si="1986">SUM(S1814)</f>
        <v>1661.92</v>
      </c>
      <c r="T1815" s="117">
        <f t="shared" si="1986"/>
        <v>1578.87</v>
      </c>
      <c r="U1815" s="117">
        <f t="shared" si="1986"/>
        <v>488.74</v>
      </c>
      <c r="V1815" s="117">
        <f t="shared" si="1986"/>
        <v>0</v>
      </c>
      <c r="W1815" s="26">
        <f t="shared" si="1986"/>
        <v>3729.5299999999997</v>
      </c>
      <c r="X1815" s="56">
        <f t="shared" si="1979"/>
        <v>48.88</v>
      </c>
      <c r="Y1815" s="119">
        <f t="shared" si="1980"/>
        <v>3.7898573200992554E-2</v>
      </c>
      <c r="Z1815" s="28">
        <f t="shared" si="1981"/>
        <v>9166.4700000000012</v>
      </c>
      <c r="AA1815" s="119">
        <f t="shared" si="1982"/>
        <v>0.71079947270471477</v>
      </c>
      <c r="AB1815" s="58">
        <f t="shared" si="1983"/>
        <v>139.26999999999998</v>
      </c>
      <c r="AC1815" s="57">
        <f t="shared" si="1984"/>
        <v>1.0799472704714708E-2</v>
      </c>
      <c r="AD1815" s="110"/>
      <c r="AE1815" s="110"/>
      <c r="AF1815" s="110"/>
      <c r="AG1815" s="121"/>
      <c r="AH1815" s="110"/>
    </row>
    <row r="1816" spans="1:34" ht="11.25" customHeight="1" x14ac:dyDescent="0.15">
      <c r="A1816" s="130"/>
      <c r="B1816" s="130"/>
      <c r="C1816" s="124"/>
      <c r="D1816" s="124"/>
      <c r="E1816" s="273"/>
      <c r="F1816" s="124"/>
      <c r="G1816" s="124"/>
      <c r="H1816" s="124"/>
      <c r="I1816" s="124"/>
      <c r="J1816" s="124"/>
      <c r="K1816" s="125"/>
      <c r="L1816" s="129"/>
      <c r="M1816" s="129"/>
      <c r="N1816" s="129"/>
      <c r="O1816" s="128"/>
      <c r="P1816" s="129"/>
      <c r="Q1816" s="124"/>
      <c r="R1816" s="117"/>
      <c r="S1816" s="117"/>
      <c r="T1816" s="117"/>
      <c r="U1816" s="117"/>
      <c r="V1816" s="117"/>
      <c r="X1816" s="45"/>
      <c r="Y1816" s="128"/>
      <c r="Z1816" s="126"/>
      <c r="AA1816" s="128"/>
      <c r="AB1816" s="129"/>
      <c r="AC1816" s="160"/>
      <c r="AD1816" s="137"/>
      <c r="AE1816" s="110"/>
      <c r="AF1816" s="110"/>
      <c r="AG1816" s="121"/>
      <c r="AH1816" s="110"/>
    </row>
    <row r="1817" spans="1:34" s="110" customFormat="1" ht="11.25" customHeight="1" x14ac:dyDescent="0.15">
      <c r="A1817" s="110" t="s">
        <v>200</v>
      </c>
      <c r="C1817" s="111" t="s">
        <v>175</v>
      </c>
      <c r="D1817" s="111">
        <v>2025</v>
      </c>
      <c r="E1817" s="146">
        <v>45716</v>
      </c>
      <c r="F1817" s="111"/>
      <c r="G1817" s="111">
        <v>81000000</v>
      </c>
      <c r="H1817" s="111">
        <v>4111</v>
      </c>
      <c r="I1817" s="111" t="str">
        <f t="shared" ref="I1817" si="1987">MID(G1817,2,1)</f>
        <v>1</v>
      </c>
      <c r="J1817" s="111" t="str">
        <f t="shared" ref="J1817" si="1988">IF(I1817="1","Small/Medium","Large")</f>
        <v>Small/Medium</v>
      </c>
      <c r="K1817" s="147" t="s">
        <v>145</v>
      </c>
      <c r="L1817" s="120">
        <v>11892</v>
      </c>
      <c r="M1817" s="120">
        <f t="shared" ref="M1817" si="1989">L1817*0.3</f>
        <v>3567.6</v>
      </c>
      <c r="N1817" s="120">
        <f t="shared" ref="N1817" si="1990">L1817-M1817</f>
        <v>8324.4</v>
      </c>
      <c r="O1817" s="119">
        <f t="shared" ref="O1817" si="1991">IFERROR(N1817/L1817,"")</f>
        <v>0.7</v>
      </c>
      <c r="P1817" s="120">
        <v>11892</v>
      </c>
      <c r="Q1817" s="111">
        <v>4715</v>
      </c>
      <c r="R1817" s="117">
        <v>41.5</v>
      </c>
      <c r="S1817" s="117">
        <v>2028.52</v>
      </c>
      <c r="T1817" s="117">
        <v>920.84</v>
      </c>
      <c r="U1817" s="117">
        <v>1289.48</v>
      </c>
      <c r="V1817" s="117"/>
      <c r="W1817" s="26">
        <f t="shared" ref="W1817" si="1992">SUM(S1817:V1817)</f>
        <v>4238.84</v>
      </c>
      <c r="X1817" s="118">
        <f t="shared" ref="X1817:X1818" si="1993">IFERROR(S1817/R1817,"")</f>
        <v>48.88</v>
      </c>
      <c r="Y1817" s="119">
        <f t="shared" ref="Y1817:Y1818" si="1994">IFERROR(U1817/P1817,0)</f>
        <v>0.10843255970400269</v>
      </c>
      <c r="Z1817" s="117">
        <f t="shared" ref="Z1817:Z1818" si="1995">P1817-W1817</f>
        <v>7653.16</v>
      </c>
      <c r="AA1817" s="119">
        <f t="shared" ref="AA1817:AA1818" si="1996">IFERROR(Z1817/P1817,0)</f>
        <v>0.64355533131516984</v>
      </c>
      <c r="AB1817" s="120">
        <f t="shared" ref="AB1817:AB1818" si="1997">M1817-W1817</f>
        <v>-671.24000000000024</v>
      </c>
      <c r="AC1817" s="119">
        <f t="shared" ref="AC1817:AC1818" si="1998">IFERROR(AA1817-O1817,"")</f>
        <v>-5.6444668684830113E-2</v>
      </c>
      <c r="AD1817" s="110" t="s">
        <v>893</v>
      </c>
      <c r="AG1817" s="121"/>
    </row>
    <row r="1818" spans="1:34" ht="11.25" customHeight="1" x14ac:dyDescent="0.15">
      <c r="A1818" s="53" t="s">
        <v>200</v>
      </c>
      <c r="C1818" s="54" t="s">
        <v>177</v>
      </c>
      <c r="D1818" s="111"/>
      <c r="E1818" s="146"/>
      <c r="F1818" s="111"/>
      <c r="G1818" s="111"/>
      <c r="H1818" s="111"/>
      <c r="I1818" s="111"/>
      <c r="J1818" s="111"/>
      <c r="K1818" s="112"/>
      <c r="L1818" s="24">
        <f>SUM(L1817)</f>
        <v>11892</v>
      </c>
      <c r="M1818" s="24">
        <f t="shared" ref="M1818:N1818" si="1999">SUM(M1817)</f>
        <v>3567.6</v>
      </c>
      <c r="N1818" s="24">
        <f t="shared" si="1999"/>
        <v>8324.4</v>
      </c>
      <c r="O1818" s="57">
        <f>IFERROR(N1818/L1818,"")</f>
        <v>0.7</v>
      </c>
      <c r="P1818" s="24">
        <f>SUM(P1817)</f>
        <v>11892</v>
      </c>
      <c r="Q1818" s="111"/>
      <c r="R1818" s="117">
        <f>SUM(R1817)</f>
        <v>41.5</v>
      </c>
      <c r="S1818" s="117">
        <f t="shared" ref="S1818:W1818" si="2000">SUM(S1817)</f>
        <v>2028.52</v>
      </c>
      <c r="T1818" s="117">
        <f t="shared" si="2000"/>
        <v>920.84</v>
      </c>
      <c r="U1818" s="117">
        <f t="shared" si="2000"/>
        <v>1289.48</v>
      </c>
      <c r="V1818" s="117">
        <f t="shared" si="2000"/>
        <v>0</v>
      </c>
      <c r="W1818" s="26">
        <f t="shared" si="2000"/>
        <v>4238.84</v>
      </c>
      <c r="X1818" s="56">
        <f t="shared" si="1993"/>
        <v>48.88</v>
      </c>
      <c r="Y1818" s="119">
        <f t="shared" si="1994"/>
        <v>0.10843255970400269</v>
      </c>
      <c r="Z1818" s="28">
        <f t="shared" si="1995"/>
        <v>7653.16</v>
      </c>
      <c r="AA1818" s="119">
        <f t="shared" si="1996"/>
        <v>0.64355533131516984</v>
      </c>
      <c r="AB1818" s="58">
        <f t="shared" si="1997"/>
        <v>-671.24000000000024</v>
      </c>
      <c r="AC1818" s="57">
        <f t="shared" si="1998"/>
        <v>-5.6444668684830113E-2</v>
      </c>
      <c r="AD1818" s="110"/>
      <c r="AE1818" s="110"/>
      <c r="AF1818" s="110"/>
      <c r="AG1818" s="121"/>
      <c r="AH1818" s="110"/>
    </row>
    <row r="1819" spans="1:34" ht="11.25" customHeight="1" x14ac:dyDescent="0.15">
      <c r="A1819" s="130"/>
      <c r="B1819" s="130"/>
      <c r="C1819" s="124"/>
      <c r="D1819" s="124"/>
      <c r="E1819" s="273"/>
      <c r="F1819" s="124"/>
      <c r="G1819" s="124"/>
      <c r="H1819" s="124"/>
      <c r="I1819" s="124"/>
      <c r="J1819" s="124"/>
      <c r="K1819" s="125"/>
      <c r="L1819" s="129"/>
      <c r="M1819" s="129"/>
      <c r="N1819" s="129"/>
      <c r="O1819" s="128"/>
      <c r="P1819" s="129"/>
      <c r="Q1819" s="124"/>
      <c r="R1819" s="117"/>
      <c r="S1819" s="117"/>
      <c r="T1819" s="117"/>
      <c r="U1819" s="117"/>
      <c r="V1819" s="117"/>
      <c r="X1819" s="45"/>
      <c r="Y1819" s="128"/>
      <c r="Z1819" s="126"/>
      <c r="AA1819" s="128"/>
      <c r="AB1819" s="129"/>
      <c r="AC1819" s="160"/>
      <c r="AD1819" s="137"/>
      <c r="AE1819" s="110"/>
      <c r="AF1819" s="110"/>
      <c r="AG1819" s="121"/>
      <c r="AH1819" s="110"/>
    </row>
    <row r="1820" spans="1:34" s="110" customFormat="1" ht="11.25" customHeight="1" x14ac:dyDescent="0.15">
      <c r="A1820" s="110" t="s">
        <v>125</v>
      </c>
      <c r="C1820" s="111" t="s">
        <v>37</v>
      </c>
      <c r="D1820" s="111">
        <v>2025</v>
      </c>
      <c r="E1820" s="146">
        <v>45716</v>
      </c>
      <c r="F1820" s="111"/>
      <c r="G1820" s="111">
        <v>13000000</v>
      </c>
      <c r="H1820" s="111"/>
      <c r="I1820" s="111"/>
      <c r="J1820" s="111"/>
      <c r="K1820" s="112" t="s">
        <v>580</v>
      </c>
      <c r="L1820" s="120">
        <v>102303</v>
      </c>
      <c r="M1820" s="120">
        <v>23925.46</v>
      </c>
      <c r="N1820" s="120">
        <f t="shared" ref="N1820:N1824" si="2001">L1820-M1820</f>
        <v>78377.540000000008</v>
      </c>
      <c r="O1820" s="119">
        <f t="shared" ref="O1820:O1824" si="2002">IFERROR(N1820/L1820,"")</f>
        <v>0.76613139399626606</v>
      </c>
      <c r="P1820" s="120">
        <v>102303</v>
      </c>
      <c r="Q1820" s="111">
        <v>2874</v>
      </c>
      <c r="R1820" s="117"/>
      <c r="S1820" s="117"/>
      <c r="T1820" s="117"/>
      <c r="U1820" s="117">
        <v>22905.74</v>
      </c>
      <c r="V1820" s="117"/>
      <c r="W1820" s="26">
        <f t="shared" ref="W1820" si="2003">SUM(S1820:V1820)</f>
        <v>22905.74</v>
      </c>
      <c r="X1820" s="118" t="str">
        <f t="shared" ref="X1820:X1824" si="2004">IFERROR(S1820/R1820,"")</f>
        <v/>
      </c>
      <c r="Y1820" s="119">
        <f>U1820/P1820</f>
        <v>0.22390096087113773</v>
      </c>
      <c r="Z1820" s="117">
        <f t="shared" ref="Z1820:Z1824" si="2005">P1820-W1820</f>
        <v>79397.259999999995</v>
      </c>
      <c r="AA1820" s="119">
        <f>Z1820/P1820</f>
        <v>0.77609903912886224</v>
      </c>
      <c r="AB1820" s="120">
        <f t="shared" ref="AB1820:AB1824" si="2006">M1820-W1820</f>
        <v>1019.7199999999975</v>
      </c>
      <c r="AC1820" s="119">
        <f t="shared" ref="AC1820:AC1824" si="2007">IFERROR(AA1820-O1820,"")</f>
        <v>9.9676451325961812E-3</v>
      </c>
      <c r="AG1820" s="121"/>
    </row>
    <row r="1821" spans="1:34" s="110" customFormat="1" ht="11.25" customHeight="1" x14ac:dyDescent="0.15">
      <c r="A1821" s="110" t="s">
        <v>125</v>
      </c>
      <c r="C1821" s="111" t="s">
        <v>248</v>
      </c>
      <c r="D1821" s="111">
        <v>2025</v>
      </c>
      <c r="E1821" s="146">
        <v>45716</v>
      </c>
      <c r="F1821" s="111"/>
      <c r="G1821" s="111">
        <v>96000000</v>
      </c>
      <c r="H1821" s="111"/>
      <c r="I1821" s="111"/>
      <c r="J1821" s="111"/>
      <c r="K1821" s="112" t="s">
        <v>250</v>
      </c>
      <c r="L1821" s="120">
        <v>7320</v>
      </c>
      <c r="M1821" s="120">
        <v>3660</v>
      </c>
      <c r="N1821" s="120">
        <f t="shared" si="2001"/>
        <v>3660</v>
      </c>
      <c r="O1821" s="119">
        <f t="shared" si="2002"/>
        <v>0.5</v>
      </c>
      <c r="P1821" s="120">
        <v>7320</v>
      </c>
      <c r="Q1821" s="111">
        <v>4547</v>
      </c>
      <c r="R1821" s="117">
        <v>8</v>
      </c>
      <c r="S1821" s="117">
        <v>468.4</v>
      </c>
      <c r="T1821" s="117"/>
      <c r="U1821" s="117"/>
      <c r="V1821" s="117"/>
      <c r="W1821" s="26">
        <f t="shared" ref="W1821" si="2008">SUM(S1821:V1821)</f>
        <v>468.4</v>
      </c>
      <c r="X1821" s="118">
        <f t="shared" si="2004"/>
        <v>58.55</v>
      </c>
      <c r="Y1821" s="119">
        <f t="shared" ref="Y1821" si="2009">U1821/P1821</f>
        <v>0</v>
      </c>
      <c r="Z1821" s="117">
        <f t="shared" si="2005"/>
        <v>6851.6</v>
      </c>
      <c r="AA1821" s="119">
        <f t="shared" ref="AA1821" si="2010">Z1821/P1821</f>
        <v>0.93601092896174864</v>
      </c>
      <c r="AB1821" s="120">
        <f t="shared" si="2006"/>
        <v>3191.6</v>
      </c>
      <c r="AC1821" s="119">
        <f t="shared" si="2007"/>
        <v>0.43601092896174864</v>
      </c>
      <c r="AG1821" s="121"/>
    </row>
    <row r="1822" spans="1:34" s="110" customFormat="1" ht="11.25" customHeight="1" x14ac:dyDescent="0.15">
      <c r="A1822" s="110" t="s">
        <v>125</v>
      </c>
      <c r="C1822" s="111" t="s">
        <v>47</v>
      </c>
      <c r="D1822" s="111">
        <v>2025</v>
      </c>
      <c r="E1822" s="146">
        <v>45716</v>
      </c>
      <c r="F1822" s="111"/>
      <c r="G1822" s="111">
        <v>53000011</v>
      </c>
      <c r="H1822" s="111"/>
      <c r="I1822" s="111"/>
      <c r="J1822" s="111"/>
      <c r="K1822" s="112" t="s">
        <v>740</v>
      </c>
      <c r="L1822" s="120">
        <v>12412</v>
      </c>
      <c r="M1822" s="120">
        <v>4171.12</v>
      </c>
      <c r="N1822" s="120">
        <f t="shared" si="2001"/>
        <v>8240.880000000001</v>
      </c>
      <c r="O1822" s="119">
        <f t="shared" si="2002"/>
        <v>0.66394456977118921</v>
      </c>
      <c r="P1822" s="120">
        <v>12412</v>
      </c>
      <c r="Q1822" s="111">
        <v>4546</v>
      </c>
      <c r="R1822" s="117">
        <v>15</v>
      </c>
      <c r="S1822" s="117">
        <v>748.65</v>
      </c>
      <c r="T1822" s="117">
        <v>836.29</v>
      </c>
      <c r="U1822" s="117"/>
      <c r="V1822" s="117"/>
      <c r="W1822" s="26">
        <f t="shared" ref="W1822" si="2011">SUM(S1822:V1822)</f>
        <v>1584.94</v>
      </c>
      <c r="X1822" s="118">
        <f t="shared" si="2004"/>
        <v>49.91</v>
      </c>
      <c r="Y1822" s="119">
        <f>U1822/P1822</f>
        <v>0</v>
      </c>
      <c r="Z1822" s="117">
        <f t="shared" si="2005"/>
        <v>10827.06</v>
      </c>
      <c r="AA1822" s="119">
        <f>Z1822/P1822</f>
        <v>0.87230583306477594</v>
      </c>
      <c r="AB1822" s="120">
        <f t="shared" si="2006"/>
        <v>2586.1799999999998</v>
      </c>
      <c r="AC1822" s="119">
        <f t="shared" si="2007"/>
        <v>0.20836126329358673</v>
      </c>
      <c r="AG1822" s="121"/>
    </row>
    <row r="1823" spans="1:34" s="110" customFormat="1" ht="11.25" customHeight="1" x14ac:dyDescent="0.15">
      <c r="A1823" s="110" t="s">
        <v>125</v>
      </c>
      <c r="C1823" s="111" t="s">
        <v>55</v>
      </c>
      <c r="D1823" s="111">
        <v>2025</v>
      </c>
      <c r="E1823" s="146">
        <v>45716</v>
      </c>
      <c r="F1823" s="111"/>
      <c r="G1823" s="111" t="s">
        <v>56</v>
      </c>
      <c r="H1823" s="111"/>
      <c r="I1823" s="111"/>
      <c r="J1823" s="111"/>
      <c r="K1823" s="112" t="s">
        <v>71</v>
      </c>
      <c r="L1823" s="120">
        <v>3131</v>
      </c>
      <c r="M1823" s="120">
        <v>1565.45</v>
      </c>
      <c r="N1823" s="120">
        <f t="shared" si="2001"/>
        <v>1565.55</v>
      </c>
      <c r="O1823" s="119">
        <f t="shared" si="2002"/>
        <v>0.50001596933886938</v>
      </c>
      <c r="P1823" s="120">
        <v>3131</v>
      </c>
      <c r="Q1823" s="111">
        <v>4548</v>
      </c>
      <c r="R1823" s="117">
        <v>4</v>
      </c>
      <c r="S1823" s="117">
        <v>186</v>
      </c>
      <c r="T1823" s="117"/>
      <c r="U1823" s="117"/>
      <c r="V1823" s="117">
        <v>1106.47</v>
      </c>
      <c r="W1823" s="26">
        <f t="shared" ref="W1823" si="2012">SUM(S1823:V1823)</f>
        <v>1292.47</v>
      </c>
      <c r="X1823" s="118">
        <f t="shared" si="2004"/>
        <v>46.5</v>
      </c>
      <c r="Y1823" s="119">
        <f t="shared" ref="Y1823" si="2013">U1823/P1823</f>
        <v>0</v>
      </c>
      <c r="Z1823" s="117">
        <f t="shared" si="2005"/>
        <v>1838.53</v>
      </c>
      <c r="AA1823" s="119">
        <f t="shared" ref="AA1823" si="2014">Z1823/P1823</f>
        <v>0.58720217183008627</v>
      </c>
      <c r="AB1823" s="120">
        <f t="shared" si="2006"/>
        <v>272.98</v>
      </c>
      <c r="AC1823" s="119">
        <f t="shared" si="2007"/>
        <v>8.7186202491216891E-2</v>
      </c>
      <c r="AG1823" s="121"/>
    </row>
    <row r="1824" spans="1:34" s="110" customFormat="1" ht="11.25" customHeight="1" x14ac:dyDescent="0.15">
      <c r="A1824" s="110" t="s">
        <v>125</v>
      </c>
      <c r="C1824" s="111" t="s">
        <v>58</v>
      </c>
      <c r="D1824" s="111">
        <v>2025</v>
      </c>
      <c r="E1824" s="146">
        <v>45716</v>
      </c>
      <c r="F1824" s="111"/>
      <c r="G1824" s="111">
        <v>73152012</v>
      </c>
      <c r="H1824" s="111"/>
      <c r="I1824" s="111"/>
      <c r="J1824" s="111"/>
      <c r="K1824" s="112" t="s">
        <v>743</v>
      </c>
      <c r="L1824" s="120">
        <v>16128</v>
      </c>
      <c r="M1824" s="120">
        <v>1628</v>
      </c>
      <c r="N1824" s="120">
        <f t="shared" si="2001"/>
        <v>14500</v>
      </c>
      <c r="O1824" s="119">
        <f t="shared" si="2002"/>
        <v>0.89905753968253965</v>
      </c>
      <c r="P1824" s="120">
        <v>16128</v>
      </c>
      <c r="Q1824" s="111">
        <v>4549</v>
      </c>
      <c r="R1824" s="117"/>
      <c r="S1824" s="117"/>
      <c r="T1824" s="117"/>
      <c r="U1824" s="117">
        <v>2138.5100000000002</v>
      </c>
      <c r="V1824" s="117"/>
      <c r="W1824" s="26">
        <f t="shared" ref="W1824" si="2015">SUM(S1824:V1824)</f>
        <v>2138.5100000000002</v>
      </c>
      <c r="X1824" s="118" t="str">
        <f t="shared" si="2004"/>
        <v/>
      </c>
      <c r="Y1824" s="119">
        <f>U1824/P1824</f>
        <v>0.13259610615079367</v>
      </c>
      <c r="Z1824" s="117">
        <f t="shared" si="2005"/>
        <v>13989.49</v>
      </c>
      <c r="AA1824" s="119">
        <f>Z1824/P1824</f>
        <v>0.86740389384920635</v>
      </c>
      <c r="AB1824" s="120">
        <f t="shared" si="2006"/>
        <v>-510.51000000000022</v>
      </c>
      <c r="AC1824" s="119">
        <f t="shared" si="2007"/>
        <v>-3.1653645833333299E-2</v>
      </c>
      <c r="AG1824" s="121"/>
    </row>
    <row r="1825" spans="1:34" s="110" customFormat="1" ht="11.25" customHeight="1" x14ac:dyDescent="0.15">
      <c r="A1825" s="110" t="s">
        <v>125</v>
      </c>
      <c r="C1825" s="111" t="s">
        <v>49</v>
      </c>
      <c r="D1825" s="111">
        <v>2025</v>
      </c>
      <c r="E1825" s="146">
        <v>45716</v>
      </c>
      <c r="F1825" s="111"/>
      <c r="G1825" s="111">
        <v>63652012</v>
      </c>
      <c r="H1825" s="111"/>
      <c r="I1825" s="111"/>
      <c r="J1825" s="111"/>
      <c r="K1825" s="112" t="s">
        <v>894</v>
      </c>
      <c r="L1825" s="120">
        <v>12412</v>
      </c>
      <c r="M1825" s="120">
        <v>4367.66</v>
      </c>
      <c r="N1825" s="120">
        <f t="shared" ref="N1825" si="2016">L1825-M1825</f>
        <v>8044.34</v>
      </c>
      <c r="O1825" s="119">
        <f t="shared" ref="O1825" si="2017">IFERROR(N1825/L1825,"")</f>
        <v>0.64810989365130522</v>
      </c>
      <c r="P1825" s="120">
        <v>12412</v>
      </c>
      <c r="Q1825" s="111">
        <v>4550</v>
      </c>
      <c r="R1825" s="117">
        <v>15.5</v>
      </c>
      <c r="S1825" s="117">
        <v>907.53</v>
      </c>
      <c r="T1825" s="117">
        <v>836.3</v>
      </c>
      <c r="U1825" s="117"/>
      <c r="V1825" s="117"/>
      <c r="W1825" s="26">
        <f t="shared" ref="W1825" si="2018">SUM(S1825:V1825)</f>
        <v>1743.83</v>
      </c>
      <c r="X1825" s="118">
        <f t="shared" ref="X1825:X1826" si="2019">IFERROR(S1825/R1825,"")</f>
        <v>58.550322580645158</v>
      </c>
      <c r="Y1825" s="119">
        <f t="shared" ref="Y1825" si="2020">U1825/P1825</f>
        <v>0</v>
      </c>
      <c r="Z1825" s="117">
        <f t="shared" ref="Z1825:Z1826" si="2021">P1825-W1825</f>
        <v>10668.17</v>
      </c>
      <c r="AA1825" s="119">
        <f>Z1825/P1825</f>
        <v>0.85950451176281017</v>
      </c>
      <c r="AB1825" s="120">
        <f t="shared" ref="AB1825:AB1826" si="2022">M1825-W1825</f>
        <v>2623.83</v>
      </c>
      <c r="AC1825" s="119">
        <f t="shared" ref="AC1825:AC1826" si="2023">IFERROR(AA1825-O1825,"")</f>
        <v>0.21139461811150495</v>
      </c>
      <c r="AG1825" s="121"/>
    </row>
    <row r="1826" spans="1:34" ht="11.25" customHeight="1" x14ac:dyDescent="0.15">
      <c r="A1826" s="53" t="s">
        <v>125</v>
      </c>
      <c r="C1826" s="54" t="s">
        <v>177</v>
      </c>
      <c r="D1826" s="111"/>
      <c r="E1826" s="146"/>
      <c r="F1826" s="111"/>
      <c r="G1826" s="111"/>
      <c r="H1826" s="111"/>
      <c r="I1826" s="111"/>
      <c r="J1826" s="111"/>
      <c r="K1826" s="112"/>
      <c r="L1826" s="24">
        <f>SUM(L1820:L1825)</f>
        <v>153706</v>
      </c>
      <c r="M1826" s="24">
        <f t="shared" ref="M1826:N1826" si="2024">SUM(M1820:M1825)</f>
        <v>39317.69</v>
      </c>
      <c r="N1826" s="24">
        <f t="shared" si="2024"/>
        <v>114388.31000000001</v>
      </c>
      <c r="O1826" s="57">
        <f>IFERROR(N1826/L1826,"")</f>
        <v>0.74420198300651896</v>
      </c>
      <c r="P1826" s="24">
        <f>SUM(P1820:P1825)</f>
        <v>153706</v>
      </c>
      <c r="Q1826" s="111"/>
      <c r="R1826" s="117">
        <f>SUM(R1820:R1825)</f>
        <v>42.5</v>
      </c>
      <c r="S1826" s="117">
        <f t="shared" ref="S1826:W1826" si="2025">SUM(S1820:S1825)</f>
        <v>2310.58</v>
      </c>
      <c r="T1826" s="117">
        <f t="shared" si="2025"/>
        <v>1672.59</v>
      </c>
      <c r="U1826" s="117">
        <f t="shared" si="2025"/>
        <v>25044.25</v>
      </c>
      <c r="V1826" s="117">
        <f t="shared" si="2025"/>
        <v>1106.47</v>
      </c>
      <c r="W1826" s="26">
        <f t="shared" si="2025"/>
        <v>30133.890000000007</v>
      </c>
      <c r="X1826" s="56">
        <f t="shared" si="2019"/>
        <v>54.366588235294117</v>
      </c>
      <c r="Y1826" s="119">
        <f t="shared" ref="Y1826" si="2026">IFERROR(U1826/P1826,0)</f>
        <v>0.16293605975043265</v>
      </c>
      <c r="Z1826" s="28">
        <f t="shared" si="2021"/>
        <v>123572.10999999999</v>
      </c>
      <c r="AA1826" s="119">
        <f t="shared" ref="AA1826" si="2027">IFERROR(Z1826/P1826,0)</f>
        <v>0.80395111446527778</v>
      </c>
      <c r="AB1826" s="58">
        <f t="shared" si="2022"/>
        <v>9183.7999999999956</v>
      </c>
      <c r="AC1826" s="57">
        <f t="shared" si="2023"/>
        <v>5.974913145875882E-2</v>
      </c>
      <c r="AD1826" s="110"/>
      <c r="AE1826" s="110"/>
      <c r="AF1826" s="110"/>
      <c r="AG1826" s="121"/>
      <c r="AH1826" s="110"/>
    </row>
    <row r="1827" spans="1:34" ht="11.25" customHeight="1" x14ac:dyDescent="0.15">
      <c r="A1827" s="130"/>
      <c r="B1827" s="130"/>
      <c r="C1827" s="124"/>
      <c r="D1827" s="124"/>
      <c r="E1827" s="273"/>
      <c r="F1827" s="124"/>
      <c r="G1827" s="124"/>
      <c r="H1827" s="124"/>
      <c r="I1827" s="124"/>
      <c r="J1827" s="124"/>
      <c r="K1827" s="125"/>
      <c r="L1827" s="129"/>
      <c r="M1827" s="129"/>
      <c r="N1827" s="129"/>
      <c r="O1827" s="128"/>
      <c r="P1827" s="129"/>
      <c r="Q1827" s="124"/>
      <c r="R1827" s="117"/>
      <c r="S1827" s="117"/>
      <c r="T1827" s="117"/>
      <c r="U1827" s="117"/>
      <c r="V1827" s="117"/>
      <c r="X1827" s="45"/>
      <c r="Y1827" s="128"/>
      <c r="Z1827" s="126"/>
      <c r="AA1827" s="128"/>
      <c r="AB1827" s="129"/>
      <c r="AC1827" s="160"/>
      <c r="AD1827" s="137"/>
      <c r="AE1827" s="110"/>
      <c r="AF1827" s="110"/>
      <c r="AG1827" s="121"/>
      <c r="AH1827" s="110"/>
    </row>
    <row r="1828" spans="1:34" ht="11.25" customHeight="1" x14ac:dyDescent="0.15">
      <c r="A1828" s="110" t="s">
        <v>784</v>
      </c>
      <c r="B1828" s="110"/>
      <c r="C1828" s="111" t="s">
        <v>201</v>
      </c>
      <c r="D1828" s="111">
        <v>2025</v>
      </c>
      <c r="E1828" s="146">
        <v>45716</v>
      </c>
      <c r="F1828" s="111"/>
      <c r="G1828" s="111" t="s">
        <v>765</v>
      </c>
      <c r="H1828" s="111"/>
      <c r="I1828" s="111"/>
      <c r="J1828" s="111"/>
      <c r="K1828" s="112" t="s">
        <v>766</v>
      </c>
      <c r="L1828" s="120">
        <v>0</v>
      </c>
      <c r="M1828" s="120">
        <v>0</v>
      </c>
      <c r="N1828" s="120">
        <v>0</v>
      </c>
      <c r="O1828" s="119"/>
      <c r="P1828" s="117">
        <v>0</v>
      </c>
      <c r="Q1828" s="111">
        <v>4797</v>
      </c>
      <c r="R1828" s="117">
        <v>20</v>
      </c>
      <c r="S1828" s="117">
        <v>998.2</v>
      </c>
      <c r="T1828" s="117">
        <v>2211.63</v>
      </c>
      <c r="U1828" s="117"/>
      <c r="V1828" s="117"/>
      <c r="W1828" s="26">
        <f>SUM(S1828:V1828)</f>
        <v>3209.83</v>
      </c>
      <c r="X1828" s="118">
        <v>49.910000000000004</v>
      </c>
      <c r="Y1828" s="119">
        <v>0</v>
      </c>
      <c r="Z1828" s="117">
        <v>-2677.48</v>
      </c>
      <c r="AA1828" s="119">
        <v>0</v>
      </c>
      <c r="AB1828" s="120">
        <v>-2677.48</v>
      </c>
      <c r="AC1828" s="119">
        <v>0</v>
      </c>
      <c r="AD1828" s="110"/>
      <c r="AE1828" s="110"/>
      <c r="AF1828" s="110"/>
      <c r="AG1828" s="121"/>
    </row>
    <row r="1829" spans="1:34" ht="11.25" customHeight="1" x14ac:dyDescent="0.15">
      <c r="A1829" s="53" t="s">
        <v>784</v>
      </c>
      <c r="C1829" s="54" t="s">
        <v>177</v>
      </c>
      <c r="D1829" s="111"/>
      <c r="E1829" s="146"/>
      <c r="F1829" s="111"/>
      <c r="G1829" s="111"/>
      <c r="H1829" s="111"/>
      <c r="I1829" s="111"/>
      <c r="J1829" s="111"/>
      <c r="K1829" s="112"/>
      <c r="L1829" s="24">
        <f>SUM(L1828)</f>
        <v>0</v>
      </c>
      <c r="M1829" s="24">
        <f t="shared" ref="M1829:N1829" si="2028">SUM(M1828)</f>
        <v>0</v>
      </c>
      <c r="N1829" s="24">
        <f t="shared" si="2028"/>
        <v>0</v>
      </c>
      <c r="O1829" s="57"/>
      <c r="P1829" s="24">
        <f>SUM(P1828)</f>
        <v>0</v>
      </c>
      <c r="Q1829" s="111"/>
      <c r="R1829" s="117">
        <f>SUM(R1828)</f>
        <v>20</v>
      </c>
      <c r="S1829" s="117">
        <f t="shared" ref="S1829:W1829" si="2029">SUM(S1828)</f>
        <v>998.2</v>
      </c>
      <c r="T1829" s="117">
        <f t="shared" si="2029"/>
        <v>2211.63</v>
      </c>
      <c r="U1829" s="117">
        <f t="shared" si="2029"/>
        <v>0</v>
      </c>
      <c r="V1829" s="117">
        <f t="shared" si="2029"/>
        <v>0</v>
      </c>
      <c r="W1829" s="26">
        <f t="shared" si="2029"/>
        <v>3209.83</v>
      </c>
      <c r="X1829" s="56">
        <f t="shared" ref="X1829" si="2030">IFERROR(S1829/R1829,"")</f>
        <v>49.910000000000004</v>
      </c>
      <c r="Y1829" s="119">
        <f t="shared" ref="Y1829" si="2031">IFERROR(U1829/P1829,0)</f>
        <v>0</v>
      </c>
      <c r="Z1829" s="28">
        <f t="shared" ref="Z1829" si="2032">P1829-W1829</f>
        <v>-3209.83</v>
      </c>
      <c r="AA1829" s="119">
        <f t="shared" ref="AA1829" si="2033">IFERROR(Z1829/P1829,0)</f>
        <v>0</v>
      </c>
      <c r="AB1829" s="58">
        <f t="shared" ref="AB1829" si="2034">M1829-W1829</f>
        <v>-3209.83</v>
      </c>
      <c r="AC1829" s="57">
        <f t="shared" ref="AC1829" si="2035">IFERROR(AA1829-O1829,"")</f>
        <v>0</v>
      </c>
      <c r="AD1829" s="110"/>
      <c r="AE1829" s="110"/>
      <c r="AF1829" s="110"/>
      <c r="AG1829" s="121"/>
    </row>
    <row r="1830" spans="1:34" s="110" customFormat="1" ht="11.25" customHeight="1" x14ac:dyDescent="0.15">
      <c r="A1830" s="130"/>
      <c r="B1830" s="130"/>
      <c r="C1830" s="124"/>
      <c r="D1830" s="124"/>
      <c r="E1830" s="273"/>
      <c r="F1830" s="124"/>
      <c r="G1830" s="124"/>
      <c r="H1830" s="124"/>
      <c r="I1830" s="124"/>
      <c r="J1830" s="124"/>
      <c r="K1830" s="125"/>
      <c r="L1830" s="129"/>
      <c r="M1830" s="129"/>
      <c r="N1830" s="129"/>
      <c r="O1830" s="128"/>
      <c r="P1830" s="129"/>
      <c r="Q1830" s="124"/>
      <c r="R1830" s="117"/>
      <c r="S1830" s="117"/>
      <c r="T1830" s="117"/>
      <c r="U1830" s="117"/>
      <c r="V1830" s="117"/>
      <c r="W1830" s="26"/>
      <c r="X1830" s="45"/>
      <c r="Y1830" s="128"/>
      <c r="Z1830" s="126"/>
      <c r="AA1830" s="128"/>
      <c r="AB1830" s="129"/>
      <c r="AC1830" s="160"/>
      <c r="AD1830" s="137"/>
      <c r="AG1830" s="121"/>
    </row>
    <row r="1831" spans="1:34" s="110" customFormat="1" ht="11.25" customHeight="1" x14ac:dyDescent="0.15">
      <c r="A1831" s="110" t="s">
        <v>409</v>
      </c>
      <c r="C1831" s="111" t="s">
        <v>175</v>
      </c>
      <c r="D1831" s="111">
        <v>2025</v>
      </c>
      <c r="E1831" s="146">
        <v>45716</v>
      </c>
      <c r="F1831" s="111"/>
      <c r="G1831" s="111">
        <v>81100112</v>
      </c>
      <c r="H1831" s="111">
        <v>4101</v>
      </c>
      <c r="I1831" s="111" t="str">
        <f>MID(G1831,2,1)</f>
        <v>1</v>
      </c>
      <c r="J1831" s="111" t="str">
        <f>IF(I1831="1","Small/Medium","Large")</f>
        <v>Small/Medium</v>
      </c>
      <c r="K1831" s="147" t="s">
        <v>145</v>
      </c>
      <c r="L1831" s="120">
        <v>9680</v>
      </c>
      <c r="M1831" s="120">
        <f>L1831*0.3</f>
        <v>2904</v>
      </c>
      <c r="N1831" s="120">
        <f>L1831-M1831</f>
        <v>6776</v>
      </c>
      <c r="O1831" s="119">
        <f>IFERROR(N1831/L1831,"")</f>
        <v>0.7</v>
      </c>
      <c r="P1831" s="120">
        <v>9680</v>
      </c>
      <c r="Q1831" s="111">
        <v>3874</v>
      </c>
      <c r="R1831" s="117">
        <v>23</v>
      </c>
      <c r="S1831" s="117">
        <v>1124.24</v>
      </c>
      <c r="T1831" s="117">
        <v>2211.62</v>
      </c>
      <c r="U1831" s="117">
        <v>741.51</v>
      </c>
      <c r="V1831" s="117"/>
      <c r="W1831" s="26">
        <f>SUM(S1831:V1831)</f>
        <v>4077.37</v>
      </c>
      <c r="X1831" s="118">
        <f>IFERROR(S1831/R1831,"")</f>
        <v>48.88</v>
      </c>
      <c r="Y1831" s="119">
        <f>IFERROR(U1831/P1831,0)</f>
        <v>7.6602272727272727E-2</v>
      </c>
      <c r="Z1831" s="117">
        <f>P1831-W1831</f>
        <v>5602.63</v>
      </c>
      <c r="AA1831" s="119">
        <f>IFERROR(Z1831/P1831,0)</f>
        <v>0.57878409090909089</v>
      </c>
      <c r="AB1831" s="120">
        <f>M1831-W1831</f>
        <v>-1173.3699999999999</v>
      </c>
      <c r="AC1831" s="119">
        <f>IFERROR(AA1831-O1831,"")</f>
        <v>-0.12121590909090907</v>
      </c>
      <c r="AD1831" s="110" t="s">
        <v>895</v>
      </c>
      <c r="AG1831" s="121"/>
    </row>
    <row r="1832" spans="1:34" s="53" customFormat="1" ht="11.25" customHeight="1" x14ac:dyDescent="0.15">
      <c r="A1832" s="53" t="s">
        <v>409</v>
      </c>
      <c r="C1832" s="54" t="s">
        <v>177</v>
      </c>
      <c r="D1832" s="54"/>
      <c r="E1832" s="70"/>
      <c r="F1832" s="54"/>
      <c r="G1832" s="54"/>
      <c r="H1832" s="54"/>
      <c r="I1832" s="54"/>
      <c r="J1832" s="54"/>
      <c r="K1832" s="106"/>
      <c r="L1832" s="24">
        <f>SUM(L1831)</f>
        <v>9680</v>
      </c>
      <c r="M1832" s="24">
        <f>SUM(M1831)</f>
        <v>2904</v>
      </c>
      <c r="N1832" s="24">
        <f>SUM(N1831)</f>
        <v>6776</v>
      </c>
      <c r="O1832" s="57">
        <f>IFERROR(N1832/L1832,"")</f>
        <v>0.7</v>
      </c>
      <c r="P1832" s="24">
        <f>SUM(P1831)</f>
        <v>9680</v>
      </c>
      <c r="Q1832" s="24"/>
      <c r="R1832" s="117">
        <f>SUM(R1831)</f>
        <v>23</v>
      </c>
      <c r="S1832" s="117">
        <f>SUM(S1831)</f>
        <v>1124.24</v>
      </c>
      <c r="T1832" s="117">
        <f>SUM(T1831)</f>
        <v>2211.62</v>
      </c>
      <c r="U1832" s="117">
        <f>SUM(U1831)</f>
        <v>741.51</v>
      </c>
      <c r="V1832" s="117">
        <f>SUM(V1831)</f>
        <v>0</v>
      </c>
      <c r="W1832" s="26">
        <f>SUM(W1830:W1831)</f>
        <v>4077.37</v>
      </c>
      <c r="X1832" s="56">
        <f>IFERROR(S1832/R1832,"")</f>
        <v>48.88</v>
      </c>
      <c r="Y1832" s="119">
        <f>IFERROR(U1832/P1832,0)</f>
        <v>7.6602272727272727E-2</v>
      </c>
      <c r="Z1832" s="28">
        <f>P1832-W1832</f>
        <v>5602.63</v>
      </c>
      <c r="AA1832" s="119">
        <f>IFERROR(Z1832/P1832,0)</f>
        <v>0.57878409090909089</v>
      </c>
      <c r="AB1832" s="58">
        <f>M1832-W1832</f>
        <v>-1173.3699999999999</v>
      </c>
      <c r="AC1832" s="57">
        <f>IFERROR(AA1832-O1832,"")</f>
        <v>-0.12121590909090907</v>
      </c>
      <c r="AG1832" s="61"/>
    </row>
    <row r="1833" spans="1:34" s="110" customFormat="1" ht="11.25" customHeight="1" x14ac:dyDescent="0.15">
      <c r="A1833" s="130"/>
      <c r="B1833" s="130"/>
      <c r="C1833" s="124"/>
      <c r="D1833" s="124"/>
      <c r="E1833" s="273"/>
      <c r="F1833" s="124"/>
      <c r="G1833" s="124"/>
      <c r="H1833" s="124"/>
      <c r="I1833" s="124"/>
      <c r="J1833" s="124"/>
      <c r="K1833" s="125"/>
      <c r="L1833" s="129"/>
      <c r="M1833" s="129"/>
      <c r="N1833" s="129"/>
      <c r="O1833" s="128"/>
      <c r="P1833" s="129"/>
      <c r="Q1833" s="124"/>
      <c r="R1833" s="117"/>
      <c r="S1833" s="117"/>
      <c r="T1833" s="117"/>
      <c r="U1833" s="117"/>
      <c r="V1833" s="117"/>
      <c r="W1833" s="26"/>
      <c r="X1833" s="45"/>
      <c r="Y1833" s="128"/>
      <c r="Z1833" s="126"/>
      <c r="AA1833" s="128"/>
      <c r="AB1833" s="129"/>
      <c r="AC1833" s="160"/>
      <c r="AD1833" s="137"/>
      <c r="AG1833" s="121"/>
    </row>
    <row r="1834" spans="1:34" s="110" customFormat="1" ht="11.25" customHeight="1" x14ac:dyDescent="0.15">
      <c r="A1834" s="110" t="s">
        <v>196</v>
      </c>
      <c r="C1834" s="111" t="s">
        <v>175</v>
      </c>
      <c r="D1834" s="111">
        <v>2025</v>
      </c>
      <c r="E1834" s="146">
        <v>45716</v>
      </c>
      <c r="F1834" s="111"/>
      <c r="G1834" s="111">
        <v>81000211</v>
      </c>
      <c r="H1834" s="111">
        <v>4111</v>
      </c>
      <c r="I1834" s="111" t="str">
        <f t="shared" ref="I1834:I1835" si="2036">MID(G1834,2,1)</f>
        <v>1</v>
      </c>
      <c r="J1834" s="111" t="str">
        <f t="shared" ref="J1834:J1835" si="2037">IF(I1834="1","Small/Medium","Large")</f>
        <v>Small/Medium</v>
      </c>
      <c r="K1834" s="147" t="s">
        <v>145</v>
      </c>
      <c r="L1834" s="120">
        <v>13587.661503456726</v>
      </c>
      <c r="M1834" s="120">
        <f>L1834*0.3</f>
        <v>4076.2984510370175</v>
      </c>
      <c r="N1834" s="120">
        <f>L1834-M1834</f>
        <v>9511.3630524197088</v>
      </c>
      <c r="O1834" s="119">
        <f>IFERROR(N1834/L1834,"")</f>
        <v>0.70000000000000007</v>
      </c>
      <c r="P1834" s="120">
        <v>13587.661503456726</v>
      </c>
      <c r="Q1834" s="111">
        <v>4746</v>
      </c>
      <c r="R1834" s="117">
        <v>18.5</v>
      </c>
      <c r="S1834" s="117">
        <v>904.28</v>
      </c>
      <c r="T1834" s="117">
        <v>857.2</v>
      </c>
      <c r="U1834" s="117">
        <v>428.99</v>
      </c>
      <c r="V1834" s="117"/>
      <c r="W1834" s="26">
        <f>SUM(S1834:V1834)</f>
        <v>2190.4700000000003</v>
      </c>
      <c r="X1834" s="118">
        <f>IFERROR(S1834/R1834,"")</f>
        <v>48.879999999999995</v>
      </c>
      <c r="Y1834" s="119">
        <f>IFERROR(U1834/P1834,0)</f>
        <v>3.157202583320641E-2</v>
      </c>
      <c r="Z1834" s="117">
        <f>P1834-W1834</f>
        <v>11397.191503456725</v>
      </c>
      <c r="AA1834" s="119">
        <f>IFERROR(Z1834/P1834,0)</f>
        <v>0.83878977265935406</v>
      </c>
      <c r="AB1834" s="120">
        <f>M1834-W1834</f>
        <v>1885.8284510370172</v>
      </c>
      <c r="AC1834" s="119">
        <f>IFERROR(AA1834-O1834,"")</f>
        <v>0.13878977265935399</v>
      </c>
      <c r="AG1834" s="121"/>
    </row>
    <row r="1835" spans="1:34" s="110" customFormat="1" ht="11.25" customHeight="1" x14ac:dyDescent="0.15">
      <c r="A1835" s="110" t="s">
        <v>196</v>
      </c>
      <c r="C1835" s="111" t="s">
        <v>175</v>
      </c>
      <c r="D1835" s="111">
        <v>2025</v>
      </c>
      <c r="E1835" s="146">
        <v>45716</v>
      </c>
      <c r="F1835" s="111"/>
      <c r="G1835" s="111">
        <v>81000211</v>
      </c>
      <c r="H1835" s="111">
        <v>4111</v>
      </c>
      <c r="I1835" s="111" t="str">
        <f t="shared" si="2036"/>
        <v>1</v>
      </c>
      <c r="J1835" s="111" t="str">
        <f t="shared" si="2037"/>
        <v>Small/Medium</v>
      </c>
      <c r="K1835" s="147" t="s">
        <v>145</v>
      </c>
      <c r="L1835" s="120">
        <v>13587.661503456726</v>
      </c>
      <c r="M1835" s="120">
        <f>L1835*0.3</f>
        <v>4076.2984510370175</v>
      </c>
      <c r="N1835" s="120">
        <f>L1835-M1835</f>
        <v>9511.3630524197088</v>
      </c>
      <c r="O1835" s="119">
        <f>IFERROR(N1835/L1835,"")</f>
        <v>0.70000000000000007</v>
      </c>
      <c r="P1835" s="120">
        <v>13587.661503456726</v>
      </c>
      <c r="Q1835" s="111">
        <v>4747</v>
      </c>
      <c r="R1835" s="117">
        <v>12</v>
      </c>
      <c r="S1835" s="117">
        <v>586.55999999999995</v>
      </c>
      <c r="T1835" s="117">
        <v>857.21</v>
      </c>
      <c r="U1835" s="117">
        <v>447.17</v>
      </c>
      <c r="V1835" s="117"/>
      <c r="W1835" s="26">
        <f>SUM(S1835:V1835)</f>
        <v>1890.94</v>
      </c>
      <c r="X1835" s="118">
        <f>IFERROR(S1835/R1835,"")</f>
        <v>48.879999999999995</v>
      </c>
      <c r="Y1835" s="119">
        <f>IFERROR(U1835/P1835,0)</f>
        <v>3.2910004409974387E-2</v>
      </c>
      <c r="Z1835" s="117">
        <f>P1835-W1835</f>
        <v>11696.721503456725</v>
      </c>
      <c r="AA1835" s="119">
        <f>IFERROR(Z1835/P1835,0)</f>
        <v>0.86083403685623594</v>
      </c>
      <c r="AB1835" s="120">
        <f>M1835-W1835</f>
        <v>2185.3584510370174</v>
      </c>
      <c r="AC1835" s="119">
        <f>IFERROR(AA1835-O1835,"")</f>
        <v>0.16083403685623587</v>
      </c>
      <c r="AG1835" s="121"/>
    </row>
    <row r="1836" spans="1:34" s="110" customFormat="1" ht="11.25" customHeight="1" x14ac:dyDescent="0.15">
      <c r="A1836" s="110" t="s">
        <v>196</v>
      </c>
      <c r="C1836" s="111" t="s">
        <v>175</v>
      </c>
      <c r="D1836" s="111">
        <v>2025</v>
      </c>
      <c r="E1836" s="146">
        <v>45716</v>
      </c>
      <c r="F1836" s="111"/>
      <c r="G1836" s="111">
        <v>82000211</v>
      </c>
      <c r="H1836" s="111">
        <v>4111</v>
      </c>
      <c r="I1836" s="111" t="str">
        <f t="shared" ref="I1836" si="2038">MID(G1836,2,1)</f>
        <v>2</v>
      </c>
      <c r="J1836" s="111" t="s">
        <v>502</v>
      </c>
      <c r="K1836" s="147" t="s">
        <v>503</v>
      </c>
      <c r="L1836" s="120">
        <v>2376.6769930865494</v>
      </c>
      <c r="M1836" s="120">
        <f>L1836*0.3</f>
        <v>713.00309792596477</v>
      </c>
      <c r="N1836" s="120">
        <f>L1836-M1836</f>
        <v>1663.6738951605846</v>
      </c>
      <c r="O1836" s="119">
        <f>IFERROR(N1836/L1836,"")</f>
        <v>0.70000000000000007</v>
      </c>
      <c r="P1836" s="120">
        <v>2376.6769930865494</v>
      </c>
      <c r="Q1836" s="111">
        <v>4748</v>
      </c>
      <c r="R1836" s="117">
        <v>4</v>
      </c>
      <c r="S1836" s="117">
        <v>195.52</v>
      </c>
      <c r="T1836" s="117">
        <v>190.49</v>
      </c>
      <c r="U1836" s="117"/>
      <c r="V1836" s="117"/>
      <c r="W1836" s="26">
        <f>SUM(S1836:V1836)</f>
        <v>386.01</v>
      </c>
      <c r="X1836" s="118">
        <f>IFERROR(S1836/R1836,"")</f>
        <v>48.88</v>
      </c>
      <c r="Y1836" s="119">
        <f>IFERROR(U1836/P1836,0)</f>
        <v>0</v>
      </c>
      <c r="Z1836" s="117">
        <f>P1836-W1836</f>
        <v>1990.6669930865494</v>
      </c>
      <c r="AA1836" s="119">
        <f>IFERROR(Z1836/P1836,0)</f>
        <v>0.83758415589377355</v>
      </c>
      <c r="AB1836" s="120">
        <f>M1836-W1836</f>
        <v>326.99309792596478</v>
      </c>
      <c r="AC1836" s="119">
        <f>IFERROR(AA1836-O1836,"")</f>
        <v>0.13758415589377349</v>
      </c>
      <c r="AG1836" s="121"/>
    </row>
    <row r="1837" spans="1:34" s="53" customFormat="1" ht="11.25" customHeight="1" x14ac:dyDescent="0.15">
      <c r="A1837" s="53" t="s">
        <v>196</v>
      </c>
      <c r="C1837" s="54" t="s">
        <v>177</v>
      </c>
      <c r="D1837" s="54"/>
      <c r="E1837" s="70"/>
      <c r="F1837" s="54"/>
      <c r="G1837" s="54"/>
      <c r="H1837" s="54"/>
      <c r="I1837" s="54"/>
      <c r="J1837" s="54"/>
      <c r="K1837" s="106"/>
      <c r="L1837" s="24">
        <f>SUM(L1834:L1836)</f>
        <v>29552</v>
      </c>
      <c r="M1837" s="24">
        <f>SUM(M1834:M1836)</f>
        <v>8865.6</v>
      </c>
      <c r="N1837" s="24">
        <f>SUM(N1834:N1836)</f>
        <v>20686.400000000001</v>
      </c>
      <c r="O1837" s="57">
        <f>IFERROR(N1837/L1837,"")</f>
        <v>0.70000000000000007</v>
      </c>
      <c r="P1837" s="24">
        <f>SUM(P1834:P1836)</f>
        <v>29552</v>
      </c>
      <c r="Q1837" s="24"/>
      <c r="R1837" s="117">
        <f t="shared" ref="R1837:W1837" si="2039">SUM(R1834:R1836)</f>
        <v>34.5</v>
      </c>
      <c r="S1837" s="117">
        <f t="shared" si="2039"/>
        <v>1686.36</v>
      </c>
      <c r="T1837" s="117">
        <f t="shared" si="2039"/>
        <v>1904.9</v>
      </c>
      <c r="U1837" s="117">
        <f t="shared" si="2039"/>
        <v>876.16000000000008</v>
      </c>
      <c r="V1837" s="117">
        <f t="shared" si="2039"/>
        <v>0</v>
      </c>
      <c r="W1837" s="26">
        <f t="shared" si="2039"/>
        <v>4467.42</v>
      </c>
      <c r="X1837" s="56">
        <f>IFERROR(S1837/R1837,"")</f>
        <v>48.879999999999995</v>
      </c>
      <c r="Y1837" s="119">
        <f>IFERROR(U1837/P1837,0)</f>
        <v>2.964807796426638E-2</v>
      </c>
      <c r="Z1837" s="28">
        <f>P1837-W1837</f>
        <v>25084.58</v>
      </c>
      <c r="AA1837" s="119">
        <f>IFERROR(Z1837/P1837,0)</f>
        <v>0.84882850568489443</v>
      </c>
      <c r="AB1837" s="58">
        <f>M1837-W1837</f>
        <v>4398.18</v>
      </c>
      <c r="AC1837" s="57">
        <f>IFERROR(AA1837-O1837,"")</f>
        <v>0.14882850568489436</v>
      </c>
      <c r="AG1837" s="61"/>
    </row>
    <row r="1838" spans="1:34" s="110" customFormat="1" ht="11.25" customHeight="1" x14ac:dyDescent="0.15">
      <c r="A1838" s="130"/>
      <c r="B1838" s="130"/>
      <c r="C1838" s="124"/>
      <c r="D1838" s="124"/>
      <c r="E1838" s="273"/>
      <c r="F1838" s="124"/>
      <c r="G1838" s="124"/>
      <c r="H1838" s="124"/>
      <c r="I1838" s="124"/>
      <c r="J1838" s="124"/>
      <c r="K1838" s="125"/>
      <c r="L1838" s="129"/>
      <c r="M1838" s="129"/>
      <c r="N1838" s="129"/>
      <c r="O1838" s="128"/>
      <c r="P1838" s="129"/>
      <c r="Q1838" s="124"/>
      <c r="R1838" s="117"/>
      <c r="S1838" s="117"/>
      <c r="T1838" s="117"/>
      <c r="U1838" s="117"/>
      <c r="V1838" s="117"/>
      <c r="W1838" s="26"/>
      <c r="X1838" s="45"/>
      <c r="Y1838" s="128"/>
      <c r="Z1838" s="126"/>
      <c r="AA1838" s="128"/>
      <c r="AB1838" s="129"/>
      <c r="AC1838" s="160"/>
      <c r="AD1838" s="137"/>
      <c r="AG1838" s="121"/>
    </row>
    <row r="1839" spans="1:34" s="110" customFormat="1" ht="11.25" customHeight="1" x14ac:dyDescent="0.15">
      <c r="A1839" s="110" t="s">
        <v>420</v>
      </c>
      <c r="C1839" s="111" t="s">
        <v>175</v>
      </c>
      <c r="D1839" s="111">
        <v>2025</v>
      </c>
      <c r="E1839" s="146">
        <v>45716</v>
      </c>
      <c r="F1839" s="111"/>
      <c r="G1839" s="111">
        <v>81000212</v>
      </c>
      <c r="H1839" s="111">
        <v>4111</v>
      </c>
      <c r="I1839" s="111" t="str">
        <f t="shared" ref="I1839:I1840" si="2040">MID(G1839,2,1)</f>
        <v>1</v>
      </c>
      <c r="J1839" s="111" t="str">
        <f t="shared" ref="J1839:J1840" si="2041">IF(I1839="1","Small/Medium","Large")</f>
        <v>Small/Medium</v>
      </c>
      <c r="K1839" s="147" t="s">
        <v>145</v>
      </c>
      <c r="L1839" s="120">
        <v>13397.319009507439</v>
      </c>
      <c r="M1839" s="120">
        <f>L1839*0.3</f>
        <v>4019.1957028522315</v>
      </c>
      <c r="N1839" s="120">
        <f>L1839-M1839</f>
        <v>9378.1233066552068</v>
      </c>
      <c r="O1839" s="119">
        <f>IFERROR(N1839/L1839,"")</f>
        <v>0.7</v>
      </c>
      <c r="P1839" s="120">
        <v>13397.319009507439</v>
      </c>
      <c r="Q1839" s="111">
        <v>4750</v>
      </c>
      <c r="R1839" s="117">
        <v>12</v>
      </c>
      <c r="S1839" s="117">
        <v>586.55999999999995</v>
      </c>
      <c r="T1839" s="117">
        <v>952.46</v>
      </c>
      <c r="U1839" s="117">
        <v>809.54</v>
      </c>
      <c r="V1839" s="117"/>
      <c r="W1839" s="26">
        <f>SUM(S1839:V1839)</f>
        <v>2348.56</v>
      </c>
      <c r="X1839" s="118">
        <f>IFERROR(S1839/R1839,"")</f>
        <v>48.879999999999995</v>
      </c>
      <c r="Y1839" s="119">
        <f>IFERROR(U1839/P1839,0)</f>
        <v>6.0425522406797064E-2</v>
      </c>
      <c r="Z1839" s="117">
        <f>P1839-W1839</f>
        <v>11048.759009507439</v>
      </c>
      <c r="AA1839" s="119">
        <f>IFERROR(Z1839/P1839,0)</f>
        <v>0.8246992552514919</v>
      </c>
      <c r="AB1839" s="120">
        <f>M1839-W1839</f>
        <v>1670.6357028522316</v>
      </c>
      <c r="AC1839" s="119">
        <f>IFERROR(AA1839-O1839,"")</f>
        <v>0.12469925525149195</v>
      </c>
      <c r="AG1839" s="121"/>
    </row>
    <row r="1840" spans="1:34" s="110" customFormat="1" ht="11.25" customHeight="1" x14ac:dyDescent="0.15">
      <c r="A1840" s="110" t="s">
        <v>420</v>
      </c>
      <c r="C1840" s="111" t="s">
        <v>175</v>
      </c>
      <c r="D1840" s="111">
        <v>2025</v>
      </c>
      <c r="E1840" s="146">
        <v>45716</v>
      </c>
      <c r="F1840" s="111"/>
      <c r="G1840" s="111">
        <v>82000212</v>
      </c>
      <c r="H1840" s="111">
        <v>4111</v>
      </c>
      <c r="I1840" s="111" t="str">
        <f t="shared" si="2040"/>
        <v>2</v>
      </c>
      <c r="J1840" s="111" t="str">
        <f t="shared" si="2041"/>
        <v>Large</v>
      </c>
      <c r="K1840" s="147" t="s">
        <v>176</v>
      </c>
      <c r="L1840" s="120">
        <v>18250.680990492561</v>
      </c>
      <c r="M1840" s="120">
        <f>L1840*0.3</f>
        <v>5475.2042971477686</v>
      </c>
      <c r="N1840" s="120">
        <f>L1840-M1840</f>
        <v>12775.476693344794</v>
      </c>
      <c r="O1840" s="119">
        <f>IFERROR(N1840/L1840,"")</f>
        <v>0.70000000000000007</v>
      </c>
      <c r="P1840" s="120">
        <v>18250.680990492561</v>
      </c>
      <c r="Q1840" s="111">
        <v>4751</v>
      </c>
      <c r="R1840" s="117">
        <v>15.5</v>
      </c>
      <c r="S1840" s="117">
        <v>757.64</v>
      </c>
      <c r="T1840" s="117">
        <v>952.46</v>
      </c>
      <c r="U1840" s="117">
        <v>827.73</v>
      </c>
      <c r="V1840" s="117"/>
      <c r="W1840" s="26">
        <f>SUM(S1840:V1840)</f>
        <v>2537.83</v>
      </c>
      <c r="X1840" s="118">
        <f>IFERROR(S1840/R1840,"")</f>
        <v>48.88</v>
      </c>
      <c r="Y1840" s="119">
        <f>IFERROR(U1840/P1840,0)</f>
        <v>4.5353376152440256E-2</v>
      </c>
      <c r="Z1840" s="117">
        <f>P1840-W1840</f>
        <v>15712.850990492561</v>
      </c>
      <c r="AA1840" s="119">
        <f>IFERROR(Z1840/P1840,0)</f>
        <v>0.86094601065450393</v>
      </c>
      <c r="AB1840" s="120">
        <f>M1840-W1840</f>
        <v>2937.3742971477686</v>
      </c>
      <c r="AC1840" s="119">
        <f>IFERROR(AA1840-O1840,"")</f>
        <v>0.16094601065450387</v>
      </c>
      <c r="AG1840" s="121"/>
    </row>
    <row r="1841" spans="1:33" s="53" customFormat="1" ht="11.25" customHeight="1" x14ac:dyDescent="0.15">
      <c r="A1841" s="53" t="s">
        <v>420</v>
      </c>
      <c r="C1841" s="54" t="s">
        <v>177</v>
      </c>
      <c r="D1841" s="54"/>
      <c r="E1841" s="70"/>
      <c r="F1841" s="54"/>
      <c r="G1841" s="54"/>
      <c r="H1841" s="54"/>
      <c r="I1841" s="54"/>
      <c r="J1841" s="54"/>
      <c r="K1841" s="106"/>
      <c r="L1841" s="24">
        <f>SUM(L1839:L1840)</f>
        <v>31648</v>
      </c>
      <c r="M1841" s="24">
        <f>SUM(M1838:M1840)</f>
        <v>9494.4</v>
      </c>
      <c r="N1841" s="24">
        <f>SUM(N1838:N1840)</f>
        <v>22153.599999999999</v>
      </c>
      <c r="O1841" s="57">
        <f>IFERROR(N1841/L1841,"")</f>
        <v>0.7</v>
      </c>
      <c r="P1841" s="24">
        <f>SUM(P1839:P1840)</f>
        <v>31648</v>
      </c>
      <c r="Q1841" s="24"/>
      <c r="R1841" s="117">
        <f t="shared" ref="R1841:W1841" si="2042">SUM(R1839:R1840)</f>
        <v>27.5</v>
      </c>
      <c r="S1841" s="117">
        <f t="shared" si="2042"/>
        <v>1344.1999999999998</v>
      </c>
      <c r="T1841" s="117">
        <f t="shared" si="2042"/>
        <v>1904.92</v>
      </c>
      <c r="U1841" s="117">
        <f t="shared" si="2042"/>
        <v>1637.27</v>
      </c>
      <c r="V1841" s="117">
        <f t="shared" si="2042"/>
        <v>0</v>
      </c>
      <c r="W1841" s="26">
        <f t="shared" si="2042"/>
        <v>4886.3899999999994</v>
      </c>
      <c r="X1841" s="56">
        <f>IFERROR(S1841/R1841,"")</f>
        <v>48.879999999999995</v>
      </c>
      <c r="Y1841" s="119">
        <f>IFERROR(U1841/P1841,0)</f>
        <v>5.1733758847320524E-2</v>
      </c>
      <c r="Z1841" s="28">
        <f>P1841-W1841</f>
        <v>26761.61</v>
      </c>
      <c r="AA1841" s="119">
        <f>IFERROR(Z1841/P1841,0)</f>
        <v>0.8456019337714864</v>
      </c>
      <c r="AB1841" s="58">
        <f>M1841-W1841</f>
        <v>4608.01</v>
      </c>
      <c r="AC1841" s="57">
        <f>IFERROR(AA1841-O1841,"")</f>
        <v>0.14560193377148645</v>
      </c>
      <c r="AG1841" s="61"/>
    </row>
    <row r="1842" spans="1:33" s="110" customFormat="1" ht="11.25" customHeight="1" x14ac:dyDescent="0.15">
      <c r="A1842" s="130"/>
      <c r="B1842" s="130"/>
      <c r="C1842" s="124"/>
      <c r="D1842" s="124"/>
      <c r="E1842" s="273"/>
      <c r="F1842" s="124"/>
      <c r="G1842" s="124"/>
      <c r="H1842" s="124"/>
      <c r="I1842" s="124"/>
      <c r="J1842" s="124"/>
      <c r="K1842" s="125"/>
      <c r="L1842" s="129"/>
      <c r="M1842" s="129"/>
      <c r="N1842" s="129"/>
      <c r="O1842" s="128"/>
      <c r="P1842" s="129"/>
      <c r="Q1842" s="124"/>
      <c r="R1842" s="117"/>
      <c r="S1842" s="117"/>
      <c r="T1842" s="117"/>
      <c r="U1842" s="117"/>
      <c r="V1842" s="117"/>
      <c r="W1842" s="26"/>
      <c r="X1842" s="45"/>
      <c r="Y1842" s="128"/>
      <c r="Z1842" s="126"/>
      <c r="AA1842" s="128"/>
      <c r="AB1842" s="129"/>
      <c r="AC1842" s="160"/>
      <c r="AD1842" s="137"/>
      <c r="AG1842" s="121"/>
    </row>
    <row r="1843" spans="1:33" ht="11.25" customHeight="1" x14ac:dyDescent="0.15">
      <c r="A1843" s="110" t="s">
        <v>147</v>
      </c>
      <c r="B1843" s="110"/>
      <c r="C1843" s="111" t="s">
        <v>175</v>
      </c>
      <c r="D1843" s="111">
        <v>2025</v>
      </c>
      <c r="E1843" s="146">
        <v>45747</v>
      </c>
      <c r="F1843" s="111"/>
      <c r="G1843" s="111">
        <v>81100111</v>
      </c>
      <c r="H1843" s="111">
        <v>4101</v>
      </c>
      <c r="I1843" s="111" t="str">
        <f>MID(G1843,2,1)</f>
        <v>1</v>
      </c>
      <c r="J1843" s="111" t="str">
        <f>IF(I1843="1","Small/Medium","Large")</f>
        <v>Small/Medium</v>
      </c>
      <c r="K1843" s="147" t="s">
        <v>145</v>
      </c>
      <c r="L1843" s="120">
        <v>9353</v>
      </c>
      <c r="M1843" s="120">
        <f>L1843*0.3</f>
        <v>2805.9</v>
      </c>
      <c r="N1843" s="120">
        <f>L1843-M1843</f>
        <v>6547.1</v>
      </c>
      <c r="O1843" s="119">
        <f>IFERROR(N1843/L1843,"")</f>
        <v>0.70000000000000007</v>
      </c>
      <c r="P1843" s="120">
        <v>9353</v>
      </c>
      <c r="Q1843" s="111">
        <v>3817</v>
      </c>
      <c r="R1843" s="117">
        <v>27</v>
      </c>
      <c r="S1843" s="117">
        <v>1319.76</v>
      </c>
      <c r="T1843" s="117">
        <v>2067.1999999999998</v>
      </c>
      <c r="U1843" s="117">
        <v>910</v>
      </c>
      <c r="V1843" s="117"/>
      <c r="W1843" s="26">
        <f>SUM(S1843:V1843)</f>
        <v>4296.96</v>
      </c>
      <c r="X1843" s="118">
        <f>IFERROR(S1843/R1843,"")</f>
        <v>48.88</v>
      </c>
      <c r="Y1843" s="119">
        <f>IFERROR(U1843/P1843,0)</f>
        <v>9.729498556612852E-2</v>
      </c>
      <c r="Z1843" s="117">
        <f>P1843-W1843</f>
        <v>5056.04</v>
      </c>
      <c r="AA1843" s="119">
        <f>IFERROR(Z1843/P1843,0)</f>
        <v>0.54057949321073451</v>
      </c>
      <c r="AB1843" s="120">
        <f>M1843-W1843</f>
        <v>-1491.06</v>
      </c>
      <c r="AC1843" s="119">
        <f>IFERROR(AA1843-O1843,"")</f>
        <v>-0.15942050678926556</v>
      </c>
      <c r="AD1843" s="110" t="s">
        <v>896</v>
      </c>
      <c r="AE1843" s="110"/>
      <c r="AF1843" s="110"/>
      <c r="AG1843" s="121"/>
    </row>
    <row r="1844" spans="1:33" s="53" customFormat="1" ht="11.25" customHeight="1" x14ac:dyDescent="0.15">
      <c r="A1844" s="53" t="s">
        <v>147</v>
      </c>
      <c r="C1844" s="54" t="s">
        <v>177</v>
      </c>
      <c r="D1844" s="54"/>
      <c r="E1844" s="70"/>
      <c r="F1844" s="54"/>
      <c r="G1844" s="54"/>
      <c r="H1844" s="54"/>
      <c r="I1844" s="54"/>
      <c r="J1844" s="54"/>
      <c r="K1844" s="106"/>
      <c r="L1844" s="24">
        <f>SUM(L1843)</f>
        <v>9353</v>
      </c>
      <c r="M1844" s="24">
        <f>SUM(M1843)</f>
        <v>2805.9</v>
      </c>
      <c r="N1844" s="24">
        <f>SUM(N1843)</f>
        <v>6547.1</v>
      </c>
      <c r="O1844" s="57">
        <f>IFERROR(N1844/L1844,"")</f>
        <v>0.70000000000000007</v>
      </c>
      <c r="P1844" s="24">
        <f>SUM(P1843)</f>
        <v>9353</v>
      </c>
      <c r="Q1844" s="24"/>
      <c r="R1844" s="117">
        <f>SUM(R1843)</f>
        <v>27</v>
      </c>
      <c r="S1844" s="117">
        <f t="shared" ref="S1844:V1844" si="2043">SUM(S1843)</f>
        <v>1319.76</v>
      </c>
      <c r="T1844" s="117">
        <f t="shared" si="2043"/>
        <v>2067.1999999999998</v>
      </c>
      <c r="U1844" s="117">
        <f t="shared" si="2043"/>
        <v>910</v>
      </c>
      <c r="V1844" s="117">
        <f t="shared" si="2043"/>
        <v>0</v>
      </c>
      <c r="W1844" s="26">
        <f>SUM(W1842:W1843)</f>
        <v>4296.96</v>
      </c>
      <c r="X1844" s="56">
        <f>IFERROR(S1844/R1844,"")</f>
        <v>48.88</v>
      </c>
      <c r="Y1844" s="119">
        <f>IFERROR(U1844/P1844,0)</f>
        <v>9.729498556612852E-2</v>
      </c>
      <c r="Z1844" s="28">
        <f>P1844-W1844</f>
        <v>5056.04</v>
      </c>
      <c r="AA1844" s="119">
        <f>IFERROR(Z1844/P1844,0)</f>
        <v>0.54057949321073451</v>
      </c>
      <c r="AB1844" s="58">
        <f>M1844-W1844</f>
        <v>-1491.06</v>
      </c>
      <c r="AC1844" s="57">
        <f>IFERROR(AA1844-O1844,"")</f>
        <v>-0.15942050678926556</v>
      </c>
      <c r="AG1844" s="61"/>
    </row>
    <row r="1845" spans="1:33" s="110" customFormat="1" ht="11.25" customHeight="1" x14ac:dyDescent="0.15">
      <c r="A1845" s="130"/>
      <c r="B1845" s="130"/>
      <c r="C1845" s="124"/>
      <c r="D1845" s="124"/>
      <c r="E1845" s="273"/>
      <c r="F1845" s="124"/>
      <c r="G1845" s="124"/>
      <c r="H1845" s="124"/>
      <c r="I1845" s="124"/>
      <c r="J1845" s="124"/>
      <c r="K1845" s="125"/>
      <c r="L1845" s="129"/>
      <c r="M1845" s="129"/>
      <c r="N1845" s="129"/>
      <c r="O1845" s="128"/>
      <c r="P1845" s="129"/>
      <c r="Q1845" s="124"/>
      <c r="R1845" s="117"/>
      <c r="S1845" s="117"/>
      <c r="T1845" s="117"/>
      <c r="U1845" s="117"/>
      <c r="V1845" s="117"/>
      <c r="W1845" s="26"/>
      <c r="X1845" s="45"/>
      <c r="Y1845" s="128"/>
      <c r="Z1845" s="126"/>
      <c r="AA1845" s="128"/>
      <c r="AB1845" s="129"/>
      <c r="AC1845" s="160"/>
      <c r="AD1845" s="137"/>
      <c r="AG1845" s="121"/>
    </row>
    <row r="1846" spans="1:33" ht="11.25" customHeight="1" x14ac:dyDescent="0.15">
      <c r="A1846" s="110" t="s">
        <v>193</v>
      </c>
      <c r="B1846" s="110"/>
      <c r="C1846" s="111" t="s">
        <v>175</v>
      </c>
      <c r="D1846" s="111">
        <v>2025</v>
      </c>
      <c r="E1846" s="146">
        <v>45747</v>
      </c>
      <c r="F1846" s="111"/>
      <c r="G1846" s="111">
        <v>81100211</v>
      </c>
      <c r="H1846" s="111">
        <v>4101</v>
      </c>
      <c r="I1846" s="111" t="str">
        <f>MID(G1846,2,1)</f>
        <v>1</v>
      </c>
      <c r="J1846" s="111" t="str">
        <f>IF(I1846="1","Small/Medium","Large")</f>
        <v>Small/Medium</v>
      </c>
      <c r="K1846" s="147" t="s">
        <v>145</v>
      </c>
      <c r="L1846" s="120">
        <v>10890</v>
      </c>
      <c r="M1846" s="120">
        <f>L1846*0.3</f>
        <v>3267</v>
      </c>
      <c r="N1846" s="120">
        <f>L1846-M1846</f>
        <v>7623</v>
      </c>
      <c r="O1846" s="119">
        <f>IFERROR(N1846/L1846,"")</f>
        <v>0.7</v>
      </c>
      <c r="P1846" s="120">
        <v>10890</v>
      </c>
      <c r="Q1846" s="111">
        <v>4818</v>
      </c>
      <c r="R1846" s="117">
        <v>34.5</v>
      </c>
      <c r="S1846" s="117">
        <v>1755.36</v>
      </c>
      <c r="T1846" s="117">
        <v>1529.98</v>
      </c>
      <c r="U1846" s="117">
        <f>923.45-77.5</f>
        <v>845.95</v>
      </c>
      <c r="V1846" s="117">
        <v>36.119999999999997</v>
      </c>
      <c r="W1846" s="26">
        <f>SUM(S1846:V1846)</f>
        <v>4167.41</v>
      </c>
      <c r="X1846" s="118">
        <f>IFERROR(S1846/R1846,"")</f>
        <v>50.879999999999995</v>
      </c>
      <c r="Y1846" s="119">
        <f>IFERROR(U1846/P1846,0)</f>
        <v>7.7681359044995416E-2</v>
      </c>
      <c r="Z1846" s="117">
        <f>P1846-W1846</f>
        <v>6722.59</v>
      </c>
      <c r="AA1846" s="119">
        <f>IFERROR(Z1846/P1846,0)</f>
        <v>0.61731772268135909</v>
      </c>
      <c r="AB1846" s="120">
        <f>M1846-W1846</f>
        <v>-900.40999999999985</v>
      </c>
      <c r="AC1846" s="119">
        <f>IFERROR(AA1846-O1846,"")</f>
        <v>-8.2682277318640862E-2</v>
      </c>
      <c r="AD1846" s="110" t="s">
        <v>897</v>
      </c>
      <c r="AE1846" s="110"/>
      <c r="AF1846" s="110"/>
      <c r="AG1846" s="121"/>
    </row>
    <row r="1847" spans="1:33" s="53" customFormat="1" ht="11.25" customHeight="1" x14ac:dyDescent="0.15">
      <c r="A1847" s="53" t="s">
        <v>193</v>
      </c>
      <c r="C1847" s="54" t="s">
        <v>177</v>
      </c>
      <c r="D1847" s="54"/>
      <c r="E1847" s="70"/>
      <c r="F1847" s="54"/>
      <c r="G1847" s="54"/>
      <c r="H1847" s="54"/>
      <c r="I1847" s="54"/>
      <c r="J1847" s="54"/>
      <c r="K1847" s="106"/>
      <c r="L1847" s="24">
        <f>SUM(L1846)</f>
        <v>10890</v>
      </c>
      <c r="M1847" s="24">
        <f>SUM(M1846)</f>
        <v>3267</v>
      </c>
      <c r="N1847" s="24">
        <f>SUM(N1846)</f>
        <v>7623</v>
      </c>
      <c r="O1847" s="57">
        <f>IFERROR(N1847/L1847,"")</f>
        <v>0.7</v>
      </c>
      <c r="P1847" s="24">
        <f>SUM(P1846)</f>
        <v>10890</v>
      </c>
      <c r="Q1847" s="24"/>
      <c r="R1847" s="117">
        <f>SUM(R1846)</f>
        <v>34.5</v>
      </c>
      <c r="S1847" s="117">
        <f t="shared" ref="S1847:V1847" si="2044">SUM(S1846)</f>
        <v>1755.36</v>
      </c>
      <c r="T1847" s="117">
        <f t="shared" si="2044"/>
        <v>1529.98</v>
      </c>
      <c r="U1847" s="117">
        <f t="shared" si="2044"/>
        <v>845.95</v>
      </c>
      <c r="V1847" s="117">
        <f t="shared" si="2044"/>
        <v>36.119999999999997</v>
      </c>
      <c r="W1847" s="26">
        <f>SUM(W1845:W1846)</f>
        <v>4167.41</v>
      </c>
      <c r="X1847" s="56">
        <f>IFERROR(S1847/R1847,"")</f>
        <v>50.879999999999995</v>
      </c>
      <c r="Y1847" s="119">
        <f>IFERROR(U1847/P1847,0)</f>
        <v>7.7681359044995416E-2</v>
      </c>
      <c r="Z1847" s="28">
        <f>P1847-W1847</f>
        <v>6722.59</v>
      </c>
      <c r="AA1847" s="119">
        <f>IFERROR(Z1847/P1847,0)</f>
        <v>0.61731772268135909</v>
      </c>
      <c r="AB1847" s="58">
        <f>M1847-W1847</f>
        <v>-900.40999999999985</v>
      </c>
      <c r="AC1847" s="57">
        <f>IFERROR(AA1847-O1847,"")</f>
        <v>-8.2682277318640862E-2</v>
      </c>
      <c r="AG1847" s="61"/>
    </row>
    <row r="1848" spans="1:33" s="110" customFormat="1" ht="11.25" customHeight="1" x14ac:dyDescent="0.15">
      <c r="A1848" s="130"/>
      <c r="B1848" s="130"/>
      <c r="C1848" s="124"/>
      <c r="D1848" s="124"/>
      <c r="E1848" s="273"/>
      <c r="F1848" s="124"/>
      <c r="G1848" s="124"/>
      <c r="H1848" s="124"/>
      <c r="I1848" s="124"/>
      <c r="J1848" s="124"/>
      <c r="K1848" s="125"/>
      <c r="L1848" s="129"/>
      <c r="M1848" s="129"/>
      <c r="N1848" s="129"/>
      <c r="O1848" s="128"/>
      <c r="P1848" s="129"/>
      <c r="Q1848" s="124"/>
      <c r="R1848" s="117"/>
      <c r="S1848" s="117"/>
      <c r="T1848" s="117"/>
      <c r="U1848" s="117"/>
      <c r="V1848" s="117"/>
      <c r="W1848" s="26"/>
      <c r="X1848" s="45"/>
      <c r="Y1848" s="128"/>
      <c r="Z1848" s="126"/>
      <c r="AA1848" s="128"/>
      <c r="AB1848" s="129"/>
      <c r="AC1848" s="160"/>
      <c r="AD1848" s="137"/>
      <c r="AG1848" s="121"/>
    </row>
    <row r="1849" spans="1:33" ht="11.25" customHeight="1" x14ac:dyDescent="0.15">
      <c r="A1849" s="110" t="s">
        <v>758</v>
      </c>
      <c r="B1849" s="110"/>
      <c r="C1849" s="111" t="s">
        <v>175</v>
      </c>
      <c r="D1849" s="111">
        <v>2025</v>
      </c>
      <c r="E1849" s="146">
        <v>45747</v>
      </c>
      <c r="F1849" s="111"/>
      <c r="G1849" s="111">
        <v>81000301</v>
      </c>
      <c r="H1849" s="111">
        <v>4111</v>
      </c>
      <c r="I1849" s="111" t="str">
        <f t="shared" ref="I1849" si="2045">MID(G1849,2,1)</f>
        <v>1</v>
      </c>
      <c r="J1849" s="111" t="str">
        <f t="shared" ref="J1849" si="2046">IF(I1849="1","Small/Medium","Large")</f>
        <v>Small/Medium</v>
      </c>
      <c r="K1849" s="147" t="s">
        <v>145</v>
      </c>
      <c r="L1849" s="120">
        <v>16508</v>
      </c>
      <c r="M1849" s="120">
        <f>L1849*0.3</f>
        <v>4952.3999999999996</v>
      </c>
      <c r="N1849" s="120">
        <f>L1849-M1849</f>
        <v>11555.6</v>
      </c>
      <c r="O1849" s="119">
        <f>IFERROR(N1849/L1849,"")</f>
        <v>0.70000000000000007</v>
      </c>
      <c r="P1849" s="120">
        <v>16508</v>
      </c>
      <c r="Q1849" s="111">
        <v>4804</v>
      </c>
      <c r="R1849" s="117">
        <v>68.5</v>
      </c>
      <c r="S1849" s="117">
        <v>3485.28</v>
      </c>
      <c r="T1849" s="117">
        <v>3569.94</v>
      </c>
      <c r="U1849" s="117">
        <v>1806.7</v>
      </c>
      <c r="V1849" s="117"/>
      <c r="W1849" s="26">
        <f>SUM(S1849:V1849)</f>
        <v>8861.92</v>
      </c>
      <c r="X1849" s="118">
        <f>IFERROR(S1849/R1849,"")</f>
        <v>50.88</v>
      </c>
      <c r="Y1849" s="119">
        <f>IFERROR(U1849/P1849,0)</f>
        <v>0.10944390598497698</v>
      </c>
      <c r="Z1849" s="117">
        <f>P1849-W1849</f>
        <v>7646.08</v>
      </c>
      <c r="AA1849" s="119">
        <f>IFERROR(Z1849/P1849,0)</f>
        <v>0.46317421856069785</v>
      </c>
      <c r="AB1849" s="120">
        <f>M1849-W1849</f>
        <v>-3909.5200000000004</v>
      </c>
      <c r="AC1849" s="119">
        <f>IFERROR(AA1849-O1849,"")</f>
        <v>-0.23682578143930222</v>
      </c>
      <c r="AD1849" s="110" t="s">
        <v>898</v>
      </c>
      <c r="AE1849" s="110"/>
      <c r="AF1849" s="110"/>
      <c r="AG1849" s="121"/>
    </row>
    <row r="1850" spans="1:33" s="53" customFormat="1" ht="11.25" customHeight="1" x14ac:dyDescent="0.15">
      <c r="A1850" s="53" t="s">
        <v>758</v>
      </c>
      <c r="C1850" s="54" t="s">
        <v>177</v>
      </c>
      <c r="D1850" s="54"/>
      <c r="E1850" s="70"/>
      <c r="F1850" s="54"/>
      <c r="G1850" s="54"/>
      <c r="H1850" s="54"/>
      <c r="I1850" s="54"/>
      <c r="J1850" s="54"/>
      <c r="K1850" s="106"/>
      <c r="L1850" s="24">
        <f>SUM(L1849)</f>
        <v>16508</v>
      </c>
      <c r="M1850" s="24">
        <f>SUM(M1849)</f>
        <v>4952.3999999999996</v>
      </c>
      <c r="N1850" s="24">
        <f>SUM(N1849)</f>
        <v>11555.6</v>
      </c>
      <c r="O1850" s="57">
        <f>IFERROR(N1850/L1850,"")</f>
        <v>0.70000000000000007</v>
      </c>
      <c r="P1850" s="24">
        <f>SUM(P1849)</f>
        <v>16508</v>
      </c>
      <c r="Q1850" s="24"/>
      <c r="R1850" s="117">
        <f>SUM(R1849)</f>
        <v>68.5</v>
      </c>
      <c r="S1850" s="117">
        <f t="shared" ref="S1850:V1850" si="2047">SUM(S1849)</f>
        <v>3485.28</v>
      </c>
      <c r="T1850" s="117">
        <f t="shared" si="2047"/>
        <v>3569.94</v>
      </c>
      <c r="U1850" s="117">
        <f t="shared" si="2047"/>
        <v>1806.7</v>
      </c>
      <c r="V1850" s="117">
        <f t="shared" si="2047"/>
        <v>0</v>
      </c>
      <c r="W1850" s="26">
        <f>SUM(W1848:W1849)</f>
        <v>8861.92</v>
      </c>
      <c r="X1850" s="56">
        <f>IFERROR(S1850/R1850,"")</f>
        <v>50.88</v>
      </c>
      <c r="Y1850" s="119">
        <f>IFERROR(U1850/P1850,0)</f>
        <v>0.10944390598497698</v>
      </c>
      <c r="Z1850" s="28">
        <f>P1850-W1850</f>
        <v>7646.08</v>
      </c>
      <c r="AA1850" s="119">
        <f>IFERROR(Z1850/P1850,0)</f>
        <v>0.46317421856069785</v>
      </c>
      <c r="AB1850" s="58">
        <f>M1850-W1850</f>
        <v>-3909.5200000000004</v>
      </c>
      <c r="AC1850" s="57">
        <f>IFERROR(AA1850-O1850,"")</f>
        <v>-0.23682578143930222</v>
      </c>
      <c r="AG1850" s="61"/>
    </row>
    <row r="1851" spans="1:33" s="110" customFormat="1" ht="11.25" customHeight="1" x14ac:dyDescent="0.15">
      <c r="A1851" s="130"/>
      <c r="B1851" s="130"/>
      <c r="C1851" s="124"/>
      <c r="D1851" s="124"/>
      <c r="E1851" s="273"/>
      <c r="F1851" s="124"/>
      <c r="G1851" s="124"/>
      <c r="H1851" s="124"/>
      <c r="I1851" s="124"/>
      <c r="J1851" s="124"/>
      <c r="K1851" s="125"/>
      <c r="L1851" s="129"/>
      <c r="M1851" s="129"/>
      <c r="N1851" s="129"/>
      <c r="O1851" s="128"/>
      <c r="P1851" s="129"/>
      <c r="Q1851" s="124"/>
      <c r="R1851" s="129"/>
      <c r="S1851" s="129"/>
      <c r="T1851" s="129"/>
      <c r="U1851" s="129"/>
      <c r="V1851" s="126"/>
      <c r="W1851" s="49"/>
      <c r="X1851" s="45"/>
      <c r="Y1851" s="128"/>
      <c r="Z1851" s="126"/>
      <c r="AA1851" s="128"/>
      <c r="AB1851" s="129"/>
      <c r="AC1851" s="160"/>
      <c r="AD1851" s="137"/>
      <c r="AG1851" s="121"/>
    </row>
    <row r="1852" spans="1:33" ht="11.25" customHeight="1" x14ac:dyDescent="0.15">
      <c r="A1852" s="110" t="s">
        <v>899</v>
      </c>
      <c r="B1852" s="110"/>
      <c r="C1852" s="111" t="s">
        <v>175</v>
      </c>
      <c r="D1852" s="111">
        <v>2025</v>
      </c>
      <c r="E1852" s="146">
        <v>45747</v>
      </c>
      <c r="F1852" s="111"/>
      <c r="G1852" s="111">
        <v>80100011</v>
      </c>
      <c r="H1852" s="111">
        <v>4111</v>
      </c>
      <c r="I1852" s="111" t="str">
        <f t="shared" ref="I1852" si="2048">MID(G1852,2,1)</f>
        <v>0</v>
      </c>
      <c r="J1852" s="111" t="s">
        <v>502</v>
      </c>
      <c r="K1852" s="147" t="s">
        <v>503</v>
      </c>
      <c r="L1852" s="120">
        <v>10672</v>
      </c>
      <c r="M1852" s="120">
        <f>L1852*0.3</f>
        <v>3201.6</v>
      </c>
      <c r="N1852" s="120">
        <f>L1852-M1852</f>
        <v>7470.4</v>
      </c>
      <c r="O1852" s="119">
        <f>IFERROR(N1852/L1852,"")</f>
        <v>0.7</v>
      </c>
      <c r="P1852" s="120">
        <v>10672</v>
      </c>
      <c r="Q1852" s="111">
        <v>1883</v>
      </c>
      <c r="R1852" s="117">
        <v>36.5</v>
      </c>
      <c r="S1852" s="117">
        <v>1857.12</v>
      </c>
      <c r="T1852" s="117"/>
      <c r="U1852" s="117">
        <v>1214.23</v>
      </c>
      <c r="V1852" s="117"/>
      <c r="W1852" s="26">
        <f>SUM(S1852:V1852)</f>
        <v>3071.35</v>
      </c>
      <c r="X1852" s="118">
        <f>IFERROR(S1852/R1852,"")</f>
        <v>50.879999999999995</v>
      </c>
      <c r="Y1852" s="119">
        <f>IFERROR(U1852/P1852,0)</f>
        <v>0.11377717391304348</v>
      </c>
      <c r="Z1852" s="117">
        <f>P1852-W1852</f>
        <v>7600.65</v>
      </c>
      <c r="AA1852" s="119">
        <f>IFERROR(Z1852/P1852,0)</f>
        <v>0.71220483508245869</v>
      </c>
      <c r="AB1852" s="120">
        <f>M1852-W1852</f>
        <v>130.25</v>
      </c>
      <c r="AC1852" s="119">
        <f>IFERROR(AA1852-O1852,"")</f>
        <v>1.2204835082458731E-2</v>
      </c>
      <c r="AD1852" s="110"/>
      <c r="AE1852" s="110"/>
      <c r="AF1852" s="110"/>
      <c r="AG1852" s="121"/>
    </row>
    <row r="1853" spans="1:33" s="53" customFormat="1" ht="11.25" customHeight="1" x14ac:dyDescent="0.15">
      <c r="A1853" s="53" t="s">
        <v>899</v>
      </c>
      <c r="C1853" s="54" t="s">
        <v>177</v>
      </c>
      <c r="D1853" s="54"/>
      <c r="E1853" s="70"/>
      <c r="F1853" s="54"/>
      <c r="G1853" s="54"/>
      <c r="H1853" s="54"/>
      <c r="I1853" s="54"/>
      <c r="J1853" s="54"/>
      <c r="K1853" s="106"/>
      <c r="L1853" s="24">
        <f>SUBTOTAL(9,L1852)</f>
        <v>10672</v>
      </c>
      <c r="M1853" s="24">
        <f>SUM(M1852)</f>
        <v>3201.6</v>
      </c>
      <c r="N1853" s="24">
        <f>SUM(N1852)</f>
        <v>7470.4</v>
      </c>
      <c r="O1853" s="57">
        <f>IFERROR(N1853/L1853,"")</f>
        <v>0.7</v>
      </c>
      <c r="P1853" s="24">
        <f>SUBTOTAL(9,P1852)</f>
        <v>10672</v>
      </c>
      <c r="Q1853" s="24"/>
      <c r="R1853" s="117">
        <f>SUBTOTAL(9,R1852)</f>
        <v>36.5</v>
      </c>
      <c r="S1853" s="117">
        <f t="shared" ref="S1853:V1853" si="2049">SUBTOTAL(9,S1852)</f>
        <v>1857.12</v>
      </c>
      <c r="T1853" s="117">
        <f t="shared" si="2049"/>
        <v>0</v>
      </c>
      <c r="U1853" s="117">
        <f t="shared" si="2049"/>
        <v>1214.23</v>
      </c>
      <c r="V1853" s="117">
        <f t="shared" si="2049"/>
        <v>0</v>
      </c>
      <c r="W1853" s="26">
        <f>SUM(W1852:W1852)</f>
        <v>3071.35</v>
      </c>
      <c r="X1853" s="56">
        <f>IFERROR(S1853/R1853,"")</f>
        <v>50.879999999999995</v>
      </c>
      <c r="Y1853" s="119">
        <f>IFERROR(U1853/P1853,0)</f>
        <v>0.11377717391304348</v>
      </c>
      <c r="Z1853" s="28">
        <f>P1853-W1853</f>
        <v>7600.65</v>
      </c>
      <c r="AA1853" s="119">
        <f>IFERROR(Z1853/P1853,0)</f>
        <v>0.71220483508245869</v>
      </c>
      <c r="AB1853" s="58">
        <f>M1853-W1853</f>
        <v>130.25</v>
      </c>
      <c r="AC1853" s="57">
        <f>IFERROR(AA1853-O1853,"")</f>
        <v>1.2204835082458731E-2</v>
      </c>
      <c r="AG1853" s="61"/>
    </row>
    <row r="1854" spans="1:33" s="110" customFormat="1" ht="11.25" customHeight="1" x14ac:dyDescent="0.15">
      <c r="A1854" s="130"/>
      <c r="B1854" s="130"/>
      <c r="C1854" s="124"/>
      <c r="D1854" s="124"/>
      <c r="E1854" s="273"/>
      <c r="F1854" s="124"/>
      <c r="G1854" s="124"/>
      <c r="H1854" s="124"/>
      <c r="I1854" s="124"/>
      <c r="J1854" s="124"/>
      <c r="K1854" s="125"/>
      <c r="L1854" s="129"/>
      <c r="M1854" s="129"/>
      <c r="N1854" s="129"/>
      <c r="O1854" s="128"/>
      <c r="P1854" s="129"/>
      <c r="Q1854" s="124"/>
      <c r="R1854" s="129"/>
      <c r="S1854" s="129"/>
      <c r="T1854" s="129"/>
      <c r="U1854" s="129"/>
      <c r="V1854" s="126"/>
      <c r="W1854" s="49"/>
      <c r="X1854" s="45"/>
      <c r="Y1854" s="128"/>
      <c r="Z1854" s="126"/>
      <c r="AA1854" s="128"/>
      <c r="AB1854" s="129"/>
      <c r="AC1854" s="160"/>
      <c r="AD1854" s="137"/>
      <c r="AG1854" s="121"/>
    </row>
    <row r="1855" spans="1:33" ht="11.25" customHeight="1" x14ac:dyDescent="0.15">
      <c r="A1855" s="110" t="s">
        <v>121</v>
      </c>
      <c r="B1855" s="110"/>
      <c r="C1855" s="111" t="s">
        <v>175</v>
      </c>
      <c r="D1855" s="111">
        <v>2025</v>
      </c>
      <c r="E1855" s="146">
        <v>45747</v>
      </c>
      <c r="F1855" s="111"/>
      <c r="G1855" s="111">
        <v>81000011</v>
      </c>
      <c r="H1855" s="111">
        <v>4101</v>
      </c>
      <c r="I1855" s="111" t="str">
        <f>MID(G1855,2,1)</f>
        <v>1</v>
      </c>
      <c r="J1855" s="111" t="str">
        <f>IF(I1855="1","Small/Medium","Large")</f>
        <v>Small/Medium</v>
      </c>
      <c r="K1855" s="147" t="s">
        <v>145</v>
      </c>
      <c r="L1855" s="120">
        <v>11892</v>
      </c>
      <c r="M1855" s="120">
        <f>L1855*0.3</f>
        <v>3567.6</v>
      </c>
      <c r="N1855" s="120">
        <f>L1855-M1855</f>
        <v>8324.4</v>
      </c>
      <c r="O1855" s="119">
        <f>IFERROR(N1855/L1855,"")</f>
        <v>0.7</v>
      </c>
      <c r="P1855" s="120">
        <v>11892</v>
      </c>
      <c r="Q1855" s="111">
        <v>5065</v>
      </c>
      <c r="R1855" s="117">
        <v>25.5</v>
      </c>
      <c r="S1855" s="117">
        <v>1297.44</v>
      </c>
      <c r="T1855" s="117">
        <v>1552.77</v>
      </c>
      <c r="U1855" s="117">
        <v>475.48</v>
      </c>
      <c r="V1855" s="117"/>
      <c r="W1855" s="26">
        <f>SUM(S1855:V1855)</f>
        <v>3325.69</v>
      </c>
      <c r="X1855" s="118">
        <f>IFERROR(S1855/R1855,"")</f>
        <v>50.88</v>
      </c>
      <c r="Y1855" s="119">
        <f>IFERROR(U1855/P1855,0)</f>
        <v>3.9983181971072992E-2</v>
      </c>
      <c r="Z1855" s="117">
        <f>P1855-W1855</f>
        <v>8566.31</v>
      </c>
      <c r="AA1855" s="119">
        <f>IFERROR(Z1855/P1855,0)</f>
        <v>0.72034224688866455</v>
      </c>
      <c r="AB1855" s="120">
        <f>M1855-W1855</f>
        <v>241.90999999999985</v>
      </c>
      <c r="AC1855" s="119">
        <f>IFERROR(AA1855-O1855,"")</f>
        <v>2.0342246888664595E-2</v>
      </c>
      <c r="AD1855" s="110"/>
      <c r="AE1855" s="110"/>
      <c r="AF1855" s="110"/>
      <c r="AG1855" s="121"/>
    </row>
    <row r="1856" spans="1:33" s="53" customFormat="1" ht="11.25" customHeight="1" x14ac:dyDescent="0.15">
      <c r="A1856" s="53" t="s">
        <v>121</v>
      </c>
      <c r="C1856" s="54" t="s">
        <v>177</v>
      </c>
      <c r="D1856" s="54"/>
      <c r="E1856" s="70"/>
      <c r="F1856" s="54"/>
      <c r="G1856" s="54"/>
      <c r="H1856" s="54"/>
      <c r="I1856" s="54"/>
      <c r="J1856" s="54"/>
      <c r="K1856" s="106"/>
      <c r="L1856" s="24">
        <f>SUBTOTAL(9,L1855)</f>
        <v>11892</v>
      </c>
      <c r="M1856" s="24">
        <f>SUM(M1855)</f>
        <v>3567.6</v>
      </c>
      <c r="N1856" s="24">
        <f>SUM(N1855)</f>
        <v>8324.4</v>
      </c>
      <c r="O1856" s="57">
        <f>IFERROR(N1856/L1856,"")</f>
        <v>0.7</v>
      </c>
      <c r="P1856" s="24">
        <f>SUBTOTAL(9,P1855)</f>
        <v>11892</v>
      </c>
      <c r="Q1856" s="24"/>
      <c r="R1856" s="117"/>
      <c r="S1856" s="117"/>
      <c r="T1856" s="117"/>
      <c r="U1856" s="117"/>
      <c r="V1856" s="117"/>
      <c r="W1856" s="26">
        <f>SUM(W1854:W1855)</f>
        <v>3325.69</v>
      </c>
      <c r="X1856" s="56" t="str">
        <f>IFERROR(S1856/R1856,"")</f>
        <v/>
      </c>
      <c r="Y1856" s="119">
        <f>IFERROR(U1856/P1856,0)</f>
        <v>0</v>
      </c>
      <c r="Z1856" s="28">
        <f>P1856-W1856</f>
        <v>8566.31</v>
      </c>
      <c r="AA1856" s="119">
        <f>IFERROR(Z1856/P1856,0)</f>
        <v>0.72034224688866455</v>
      </c>
      <c r="AB1856" s="58">
        <f>M1856-W1856</f>
        <v>241.90999999999985</v>
      </c>
      <c r="AC1856" s="57">
        <f>IFERROR(AA1856-O1856,"")</f>
        <v>2.0342246888664595E-2</v>
      </c>
      <c r="AG1856" s="61"/>
    </row>
    <row r="1857" spans="1:33" s="110" customFormat="1" ht="11.25" customHeight="1" x14ac:dyDescent="0.15">
      <c r="A1857" s="130"/>
      <c r="B1857" s="130"/>
      <c r="C1857" s="124"/>
      <c r="D1857" s="124"/>
      <c r="E1857" s="273"/>
      <c r="F1857" s="124"/>
      <c r="G1857" s="124"/>
      <c r="H1857" s="124"/>
      <c r="I1857" s="124"/>
      <c r="J1857" s="124"/>
      <c r="K1857" s="125"/>
      <c r="L1857" s="129"/>
      <c r="M1857" s="129"/>
      <c r="N1857" s="129"/>
      <c r="O1857" s="128"/>
      <c r="P1857" s="129"/>
      <c r="Q1857" s="124"/>
      <c r="R1857" s="129"/>
      <c r="S1857" s="129"/>
      <c r="T1857" s="129"/>
      <c r="U1857" s="129"/>
      <c r="V1857" s="126"/>
      <c r="W1857" s="49"/>
      <c r="X1857" s="45"/>
      <c r="Y1857" s="128"/>
      <c r="Z1857" s="126"/>
      <c r="AA1857" s="128"/>
      <c r="AB1857" s="129"/>
      <c r="AC1857" s="160"/>
      <c r="AD1857" s="137"/>
      <c r="AG1857" s="121"/>
    </row>
    <row r="1858" spans="1:33" ht="11.25" customHeight="1" x14ac:dyDescent="0.15">
      <c r="A1858" s="110" t="s">
        <v>317</v>
      </c>
      <c r="B1858" s="110"/>
      <c r="C1858" s="111" t="s">
        <v>175</v>
      </c>
      <c r="D1858" s="111">
        <v>2025</v>
      </c>
      <c r="E1858" s="146">
        <v>45747</v>
      </c>
      <c r="F1858" s="111"/>
      <c r="G1858" s="111">
        <v>81100010</v>
      </c>
      <c r="H1858" s="111">
        <v>4101</v>
      </c>
      <c r="I1858" s="111" t="str">
        <f>MID(G1858,2,1)</f>
        <v>1</v>
      </c>
      <c r="J1858" s="111" t="str">
        <f>IF(I1858="1","Small/Medium","Large")</f>
        <v>Small/Medium</v>
      </c>
      <c r="K1858" s="147" t="s">
        <v>145</v>
      </c>
      <c r="L1858" s="120">
        <v>9530</v>
      </c>
      <c r="M1858" s="120">
        <f>L1858*0.3</f>
        <v>2859</v>
      </c>
      <c r="N1858" s="120">
        <f>L1858-M1858</f>
        <v>6671</v>
      </c>
      <c r="O1858" s="119">
        <f>IFERROR(N1858/L1858,"")</f>
        <v>0.7</v>
      </c>
      <c r="P1858" s="120">
        <v>9530</v>
      </c>
      <c r="Q1858" s="111">
        <v>5066</v>
      </c>
      <c r="R1858" s="117">
        <v>18.5</v>
      </c>
      <c r="S1858" s="117">
        <v>941.28</v>
      </c>
      <c r="T1858" s="117">
        <v>132.04</v>
      </c>
      <c r="U1858" s="117">
        <v>57.46</v>
      </c>
      <c r="V1858" s="117"/>
      <c r="W1858" s="26">
        <f>SUM(S1858:V1858)</f>
        <v>1130.78</v>
      </c>
      <c r="X1858" s="118">
        <f>IFERROR(S1858/R1858,"")</f>
        <v>50.879999999999995</v>
      </c>
      <c r="Y1858" s="119">
        <f>IFERROR(U1858/P1858,0)</f>
        <v>6.0293809024134313E-3</v>
      </c>
      <c r="Z1858" s="117">
        <f>P1858-W1858</f>
        <v>8399.2199999999993</v>
      </c>
      <c r="AA1858" s="119">
        <f>IFERROR(Z1858/P1858,0)</f>
        <v>0.88134522560335771</v>
      </c>
      <c r="AB1858" s="120">
        <f>M1858-W1858</f>
        <v>1728.22</v>
      </c>
      <c r="AC1858" s="119">
        <f>IFERROR(AA1858-O1858,"")</f>
        <v>0.18134522560335775</v>
      </c>
      <c r="AD1858" s="110"/>
      <c r="AE1858" s="110"/>
      <c r="AF1858" s="110"/>
      <c r="AG1858" s="121"/>
    </row>
    <row r="1859" spans="1:33" s="53" customFormat="1" ht="11.25" customHeight="1" x14ac:dyDescent="0.15">
      <c r="A1859" s="53" t="s">
        <v>317</v>
      </c>
      <c r="C1859" s="54" t="s">
        <v>177</v>
      </c>
      <c r="D1859" s="54"/>
      <c r="E1859" s="70"/>
      <c r="F1859" s="54"/>
      <c r="G1859" s="54"/>
      <c r="H1859" s="54"/>
      <c r="I1859" s="54"/>
      <c r="J1859" s="54"/>
      <c r="K1859" s="106"/>
      <c r="L1859" s="24">
        <f>SUBTOTAL(9,L1858)</f>
        <v>9530</v>
      </c>
      <c r="M1859" s="24">
        <f>SUM(M1858)</f>
        <v>2859</v>
      </c>
      <c r="N1859" s="24">
        <f>SUM(N1858)</f>
        <v>6671</v>
      </c>
      <c r="O1859" s="57">
        <f>IFERROR(N1859/L1859,"")</f>
        <v>0.7</v>
      </c>
      <c r="P1859" s="24">
        <f>SUBTOTAL(9,P1858)</f>
        <v>9530</v>
      </c>
      <c r="Q1859" s="24"/>
      <c r="R1859" s="117"/>
      <c r="S1859" s="117"/>
      <c r="T1859" s="117"/>
      <c r="U1859" s="117"/>
      <c r="V1859" s="117"/>
      <c r="W1859" s="26">
        <f>SUM(W1857:W1858)</f>
        <v>1130.78</v>
      </c>
      <c r="X1859" s="56" t="str">
        <f>IFERROR(S1859/R1859,"")</f>
        <v/>
      </c>
      <c r="Y1859" s="119">
        <f>IFERROR(U1859/P1859,0)</f>
        <v>0</v>
      </c>
      <c r="Z1859" s="28">
        <f>P1859-W1859</f>
        <v>8399.2199999999993</v>
      </c>
      <c r="AA1859" s="119">
        <f>IFERROR(Z1859/P1859,0)</f>
        <v>0.88134522560335771</v>
      </c>
      <c r="AB1859" s="58">
        <f>M1859-W1859</f>
        <v>1728.22</v>
      </c>
      <c r="AC1859" s="57">
        <f>IFERROR(AA1859-O1859,"")</f>
        <v>0.18134522560335775</v>
      </c>
      <c r="AG1859" s="61"/>
    </row>
    <row r="1860" spans="1:33" s="110" customFormat="1" ht="11.25" customHeight="1" x14ac:dyDescent="0.15">
      <c r="A1860" s="130"/>
      <c r="B1860" s="130"/>
      <c r="C1860" s="124"/>
      <c r="D1860" s="124"/>
      <c r="E1860" s="273"/>
      <c r="F1860" s="124"/>
      <c r="G1860" s="124"/>
      <c r="H1860" s="124"/>
      <c r="I1860" s="124"/>
      <c r="J1860" s="124"/>
      <c r="K1860" s="125"/>
      <c r="L1860" s="129"/>
      <c r="M1860" s="129"/>
      <c r="N1860" s="129"/>
      <c r="O1860" s="128"/>
      <c r="P1860" s="129"/>
      <c r="Q1860" s="124"/>
      <c r="R1860" s="129"/>
      <c r="S1860" s="129"/>
      <c r="T1860" s="129"/>
      <c r="U1860" s="129"/>
      <c r="V1860" s="126"/>
      <c r="W1860" s="49"/>
      <c r="X1860" s="45"/>
      <c r="Y1860" s="128"/>
      <c r="Z1860" s="126"/>
      <c r="AA1860" s="128"/>
      <c r="AB1860" s="129"/>
      <c r="AC1860" s="160"/>
      <c r="AD1860" s="137"/>
      <c r="AG1860" s="121"/>
    </row>
    <row r="1861" spans="1:33" ht="11.25" customHeight="1" x14ac:dyDescent="0.15">
      <c r="A1861" s="110" t="s">
        <v>885</v>
      </c>
      <c r="B1861" s="110"/>
      <c r="C1861" s="111" t="s">
        <v>201</v>
      </c>
      <c r="D1861" s="111">
        <v>2025</v>
      </c>
      <c r="E1861" s="146">
        <v>45777</v>
      </c>
      <c r="F1861" s="111"/>
      <c r="G1861" s="111" t="s">
        <v>202</v>
      </c>
      <c r="H1861" s="111"/>
      <c r="I1861" s="111"/>
      <c r="J1861" s="111"/>
      <c r="K1861" s="112" t="s">
        <v>203</v>
      </c>
      <c r="L1861" s="120">
        <v>0</v>
      </c>
      <c r="M1861" s="120">
        <f>L1861*0.3</f>
        <v>0</v>
      </c>
      <c r="N1861" s="120">
        <f>L1861-M1861</f>
        <v>0</v>
      </c>
      <c r="O1861" s="119" t="str">
        <f>IFERROR(N1861/L1861,"")</f>
        <v/>
      </c>
      <c r="P1861" s="120">
        <v>0</v>
      </c>
      <c r="Q1861" s="111">
        <v>4599</v>
      </c>
      <c r="R1861" s="117">
        <v>5</v>
      </c>
      <c r="S1861" s="117">
        <v>259.55</v>
      </c>
      <c r="T1861" s="117">
        <v>1829.65</v>
      </c>
      <c r="U1861" s="117">
        <v>4281</v>
      </c>
      <c r="V1861" s="117">
        <v>746.17</v>
      </c>
      <c r="W1861" s="26">
        <f>SUM(S1861:V1861)</f>
        <v>7116.3700000000008</v>
      </c>
      <c r="X1861" s="118">
        <f>IFERROR(S1861/R1861,"")</f>
        <v>51.910000000000004</v>
      </c>
      <c r="Y1861" s="119">
        <f>IFERROR(U1861/P1861,0)</f>
        <v>0</v>
      </c>
      <c r="Z1861" s="117">
        <f>P1861-W1861</f>
        <v>-7116.3700000000008</v>
      </c>
      <c r="AA1861" s="119">
        <f>IFERROR(Z1861/P1861,0)</f>
        <v>0</v>
      </c>
      <c r="AB1861" s="120">
        <f>M1861-W1861</f>
        <v>-7116.3700000000008</v>
      </c>
      <c r="AC1861" s="119" t="str">
        <f>IFERROR(AA1861-O1861,"")</f>
        <v/>
      </c>
      <c r="AD1861" s="110"/>
      <c r="AE1861" s="110"/>
      <c r="AF1861" s="110"/>
      <c r="AG1861" s="121"/>
    </row>
    <row r="1862" spans="1:33" s="53" customFormat="1" ht="11.25" customHeight="1" x14ac:dyDescent="0.15">
      <c r="A1862" s="53" t="s">
        <v>885</v>
      </c>
      <c r="C1862" s="54" t="s">
        <v>177</v>
      </c>
      <c r="D1862" s="54"/>
      <c r="E1862" s="70"/>
      <c r="F1862" s="54"/>
      <c r="G1862" s="54"/>
      <c r="H1862" s="54"/>
      <c r="I1862" s="54"/>
      <c r="J1862" s="54"/>
      <c r="K1862" s="106"/>
      <c r="L1862" s="24">
        <f>SUM(L1861)</f>
        <v>0</v>
      </c>
      <c r="M1862" s="24">
        <f>SUM(M1861)</f>
        <v>0</v>
      </c>
      <c r="N1862" s="24">
        <f>SUM(N1861)</f>
        <v>0</v>
      </c>
      <c r="O1862" s="57" t="str">
        <f>IFERROR(N1862/L1862,"")</f>
        <v/>
      </c>
      <c r="P1862" s="24">
        <f>SUM(P1861)</f>
        <v>0</v>
      </c>
      <c r="Q1862" s="24"/>
      <c r="R1862" s="117">
        <f>SUM(R1861)</f>
        <v>5</v>
      </c>
      <c r="S1862" s="117">
        <f t="shared" ref="S1862:V1862" si="2050">SUM(S1861)</f>
        <v>259.55</v>
      </c>
      <c r="T1862" s="117">
        <f t="shared" si="2050"/>
        <v>1829.65</v>
      </c>
      <c r="U1862" s="117">
        <f t="shared" si="2050"/>
        <v>4281</v>
      </c>
      <c r="V1862" s="117">
        <f t="shared" si="2050"/>
        <v>746.17</v>
      </c>
      <c r="W1862" s="26">
        <f>SUM(W1860:W1861)</f>
        <v>7116.3700000000008</v>
      </c>
      <c r="X1862" s="56">
        <f>IFERROR(S1862/R1862,"")</f>
        <v>51.910000000000004</v>
      </c>
      <c r="Y1862" s="119">
        <f>IFERROR(U1862/P1862,0)</f>
        <v>0</v>
      </c>
      <c r="Z1862" s="28">
        <f>P1862-W1862</f>
        <v>-7116.3700000000008</v>
      </c>
      <c r="AA1862" s="119">
        <f>IFERROR(Z1862/P1862,0)</f>
        <v>0</v>
      </c>
      <c r="AB1862" s="58">
        <f>M1862-W1862</f>
        <v>-7116.3700000000008</v>
      </c>
      <c r="AC1862" s="57" t="str">
        <f>IFERROR(AA1862-O1862,"")</f>
        <v/>
      </c>
      <c r="AG1862" s="61"/>
    </row>
    <row r="1863" spans="1:33" s="110" customFormat="1" ht="11.25" customHeight="1" x14ac:dyDescent="0.15">
      <c r="A1863" s="130"/>
      <c r="B1863" s="130"/>
      <c r="C1863" s="124"/>
      <c r="D1863" s="124"/>
      <c r="E1863" s="273"/>
      <c r="F1863" s="124"/>
      <c r="G1863" s="124"/>
      <c r="H1863" s="124"/>
      <c r="I1863" s="124"/>
      <c r="J1863" s="124"/>
      <c r="K1863" s="125"/>
      <c r="L1863" s="129"/>
      <c r="M1863" s="129"/>
      <c r="N1863" s="129"/>
      <c r="O1863" s="128"/>
      <c r="P1863" s="129"/>
      <c r="Q1863" s="124"/>
      <c r="R1863" s="129"/>
      <c r="S1863" s="129"/>
      <c r="T1863" s="129"/>
      <c r="U1863" s="129"/>
      <c r="V1863" s="126"/>
      <c r="W1863" s="49"/>
      <c r="X1863" s="45"/>
      <c r="Y1863" s="128"/>
      <c r="Z1863" s="126"/>
      <c r="AA1863" s="128"/>
      <c r="AB1863" s="129"/>
      <c r="AC1863" s="160"/>
      <c r="AD1863" s="137"/>
      <c r="AG1863" s="121"/>
    </row>
    <row r="1864" spans="1:33" ht="11.25" customHeight="1" x14ac:dyDescent="0.15">
      <c r="A1864" s="110" t="s">
        <v>223</v>
      </c>
      <c r="B1864" s="110"/>
      <c r="C1864" s="111" t="s">
        <v>201</v>
      </c>
      <c r="D1864" s="111">
        <v>2025</v>
      </c>
      <c r="E1864" s="146">
        <v>45777</v>
      </c>
      <c r="F1864" s="111"/>
      <c r="G1864" s="111" t="s">
        <v>202</v>
      </c>
      <c r="H1864" s="111"/>
      <c r="I1864" s="111"/>
      <c r="J1864" s="111"/>
      <c r="K1864" s="112" t="s">
        <v>203</v>
      </c>
      <c r="L1864" s="120">
        <v>0</v>
      </c>
      <c r="M1864" s="120">
        <f>L1864*0.3</f>
        <v>0</v>
      </c>
      <c r="N1864" s="120">
        <f>L1864-M1864</f>
        <v>0</v>
      </c>
      <c r="O1864" s="119" t="str">
        <f>IFERROR(N1864/L1864,"")</f>
        <v/>
      </c>
      <c r="P1864" s="120">
        <v>0</v>
      </c>
      <c r="Q1864" s="111">
        <v>5111</v>
      </c>
      <c r="R1864" s="117">
        <v>56</v>
      </c>
      <c r="S1864" s="117">
        <v>2906.96</v>
      </c>
      <c r="T1864" s="117">
        <v>2881.84</v>
      </c>
      <c r="U1864" s="117">
        <v>434.32</v>
      </c>
      <c r="V1864" s="117">
        <v>485.29</v>
      </c>
      <c r="W1864" s="26">
        <f>SUM(S1864:V1864)</f>
        <v>6708.41</v>
      </c>
      <c r="X1864" s="118">
        <f>IFERROR(S1864/R1864,"")</f>
        <v>51.910000000000004</v>
      </c>
      <c r="Y1864" s="119">
        <f>IFERROR(V1864/P1864,0)</f>
        <v>0</v>
      </c>
      <c r="Z1864" s="117">
        <f>P1864-W1864</f>
        <v>-6708.41</v>
      </c>
      <c r="AA1864" s="119">
        <f>IFERROR(Z1864/P1864,0)</f>
        <v>0</v>
      </c>
      <c r="AB1864" s="120">
        <f>M1864-W1864</f>
        <v>-6708.41</v>
      </c>
      <c r="AC1864" s="119" t="str">
        <f>IFERROR(AA1864-O1864,"")</f>
        <v/>
      </c>
      <c r="AD1864" s="110"/>
      <c r="AE1864" s="110"/>
      <c r="AF1864" s="110"/>
      <c r="AG1864" s="121"/>
    </row>
    <row r="1865" spans="1:33" s="53" customFormat="1" ht="11.25" customHeight="1" x14ac:dyDescent="0.15">
      <c r="A1865" s="53" t="s">
        <v>223</v>
      </c>
      <c r="C1865" s="54" t="s">
        <v>177</v>
      </c>
      <c r="D1865" s="54"/>
      <c r="E1865" s="70"/>
      <c r="F1865" s="54"/>
      <c r="G1865" s="54"/>
      <c r="H1865" s="54"/>
      <c r="I1865" s="54"/>
      <c r="J1865" s="54"/>
      <c r="K1865" s="106"/>
      <c r="L1865" s="24">
        <f>SUM(L1864)</f>
        <v>0</v>
      </c>
      <c r="M1865" s="24">
        <f>SUM(M1864)</f>
        <v>0</v>
      </c>
      <c r="N1865" s="24">
        <f>SUM(N1864)</f>
        <v>0</v>
      </c>
      <c r="O1865" s="57" t="str">
        <f>IFERROR(N1865/L1865,"")</f>
        <v/>
      </c>
      <c r="P1865" s="24">
        <f>SUM(P1864)</f>
        <v>0</v>
      </c>
      <c r="Q1865" s="24"/>
      <c r="R1865" s="117">
        <f>SUM(R1864)</f>
        <v>56</v>
      </c>
      <c r="S1865" s="117">
        <f t="shared" ref="S1865:V1865" si="2051">SUM(S1864)</f>
        <v>2906.96</v>
      </c>
      <c r="T1865" s="117">
        <f t="shared" si="2051"/>
        <v>2881.84</v>
      </c>
      <c r="U1865" s="117">
        <f t="shared" si="2051"/>
        <v>434.32</v>
      </c>
      <c r="V1865" s="117">
        <f t="shared" si="2051"/>
        <v>485.29</v>
      </c>
      <c r="W1865" s="26">
        <f>SUM(W1863:W1864)</f>
        <v>6708.41</v>
      </c>
      <c r="X1865" s="56">
        <f>IFERROR(S1865/R1865,"")</f>
        <v>51.910000000000004</v>
      </c>
      <c r="Y1865" s="119">
        <f>IFERROR(U1865/P1865,0)</f>
        <v>0</v>
      </c>
      <c r="Z1865" s="28">
        <f>P1865-W1865</f>
        <v>-6708.41</v>
      </c>
      <c r="AA1865" s="119">
        <f>IFERROR(Z1865/P1865,0)</f>
        <v>0</v>
      </c>
      <c r="AB1865" s="58">
        <f>M1865-W1865</f>
        <v>-6708.41</v>
      </c>
      <c r="AC1865" s="57" t="str">
        <f>IFERROR(AA1865-O1865,"")</f>
        <v/>
      </c>
      <c r="AG1865" s="61"/>
    </row>
    <row r="1866" spans="1:33" s="110" customFormat="1" ht="11.25" customHeight="1" x14ac:dyDescent="0.15">
      <c r="A1866" s="130"/>
      <c r="B1866" s="130"/>
      <c r="C1866" s="124"/>
      <c r="D1866" s="124"/>
      <c r="E1866" s="273"/>
      <c r="F1866" s="124"/>
      <c r="G1866" s="124"/>
      <c r="H1866" s="124"/>
      <c r="I1866" s="124"/>
      <c r="J1866" s="124"/>
      <c r="K1866" s="125"/>
      <c r="L1866" s="129"/>
      <c r="M1866" s="129"/>
      <c r="N1866" s="129"/>
      <c r="O1866" s="128"/>
      <c r="P1866" s="129"/>
      <c r="Q1866" s="124"/>
      <c r="R1866" s="129"/>
      <c r="S1866" s="129"/>
      <c r="T1866" s="129"/>
      <c r="U1866" s="129"/>
      <c r="V1866" s="126"/>
      <c r="W1866" s="49"/>
      <c r="X1866" s="45"/>
      <c r="Y1866" s="128"/>
      <c r="Z1866" s="126"/>
      <c r="AA1866" s="128"/>
      <c r="AB1866" s="129"/>
      <c r="AC1866" s="160"/>
      <c r="AD1866" s="137"/>
      <c r="AG1866" s="121"/>
    </row>
    <row r="1867" spans="1:33" ht="11.25" customHeight="1" x14ac:dyDescent="0.15">
      <c r="A1867" s="110" t="s">
        <v>137</v>
      </c>
      <c r="B1867" s="110"/>
      <c r="C1867" s="111" t="s">
        <v>175</v>
      </c>
      <c r="D1867" s="111">
        <v>2025</v>
      </c>
      <c r="E1867" s="146">
        <v>45777</v>
      </c>
      <c r="F1867" s="111"/>
      <c r="G1867" s="111">
        <v>81110111</v>
      </c>
      <c r="H1867" s="111">
        <v>4101</v>
      </c>
      <c r="I1867" s="111" t="str">
        <f>MID(G1867,2,1)</f>
        <v>1</v>
      </c>
      <c r="J1867" s="111" t="str">
        <f>IF(I1867="1","Small/Medium","Large")</f>
        <v>Small/Medium</v>
      </c>
      <c r="K1867" s="147" t="s">
        <v>145</v>
      </c>
      <c r="L1867" s="120">
        <v>30405.19</v>
      </c>
      <c r="M1867" s="120">
        <f>L1867*0.3</f>
        <v>9121.5569999999989</v>
      </c>
      <c r="N1867" s="120">
        <f>L1867-M1867</f>
        <v>21283.633000000002</v>
      </c>
      <c r="O1867" s="119">
        <f>IFERROR(N1867/L1867,"")</f>
        <v>0.70000000000000007</v>
      </c>
      <c r="P1867" s="120">
        <v>30405.19</v>
      </c>
      <c r="Q1867" s="111">
        <v>3142</v>
      </c>
      <c r="R1867" s="117">
        <v>36.5</v>
      </c>
      <c r="S1867" s="117">
        <v>2829.85</v>
      </c>
      <c r="T1867" s="117">
        <v>2324.59</v>
      </c>
      <c r="U1867" s="117">
        <v>561.04999999999995</v>
      </c>
      <c r="V1867" s="117"/>
      <c r="W1867" s="26">
        <f>SUM(S1867:V1867)</f>
        <v>5715.4900000000007</v>
      </c>
      <c r="X1867" s="118">
        <f>IFERROR(S1867/R1867,"")</f>
        <v>77.530136986301372</v>
      </c>
      <c r="Y1867" s="119">
        <f>IFERROR(U1867/P1867,0)</f>
        <v>1.8452441836410163E-2</v>
      </c>
      <c r="Z1867" s="117">
        <f>P1867-W1867</f>
        <v>24689.699999999997</v>
      </c>
      <c r="AA1867" s="119">
        <f>IFERROR(Z1867/P1867,0)</f>
        <v>0.81202255272866242</v>
      </c>
      <c r="AB1867" s="120">
        <f>M1867-W1867</f>
        <v>3406.0669999999982</v>
      </c>
      <c r="AC1867" s="119">
        <f>IFERROR(AA1867-O1867,"")</f>
        <v>0.11202255272866235</v>
      </c>
      <c r="AD1867" s="110"/>
      <c r="AE1867" s="110"/>
      <c r="AF1867" s="110"/>
      <c r="AG1867" s="121"/>
    </row>
    <row r="1868" spans="1:33" ht="11.25" customHeight="1" x14ac:dyDescent="0.15">
      <c r="A1868" s="110" t="s">
        <v>137</v>
      </c>
      <c r="B1868" s="110"/>
      <c r="C1868" s="111" t="s">
        <v>175</v>
      </c>
      <c r="D1868" s="111">
        <v>2025</v>
      </c>
      <c r="E1868" s="146">
        <v>45777</v>
      </c>
      <c r="F1868" s="111"/>
      <c r="G1868" s="111">
        <v>82110111</v>
      </c>
      <c r="H1868" s="111">
        <v>4101</v>
      </c>
      <c r="I1868" s="111" t="str">
        <f>MID(G1868,2,1)</f>
        <v>2</v>
      </c>
      <c r="J1868" s="111" t="str">
        <f>IF(I1868="1","Small/Medium","Large")</f>
        <v>Large</v>
      </c>
      <c r="K1868" s="147" t="s">
        <v>176</v>
      </c>
      <c r="L1868" s="120">
        <v>10135.06</v>
      </c>
      <c r="M1868" s="120">
        <f>L1868*0.3</f>
        <v>3040.5179999999996</v>
      </c>
      <c r="N1868" s="120">
        <f>L1868-M1868</f>
        <v>7094.5419999999995</v>
      </c>
      <c r="O1868" s="119">
        <f>IFERROR(N1868/L1868,"")</f>
        <v>0.7</v>
      </c>
      <c r="P1868" s="120">
        <v>10135.06</v>
      </c>
      <c r="Q1868" s="111">
        <v>3146</v>
      </c>
      <c r="R1868" s="117">
        <v>40.5</v>
      </c>
      <c r="S1868" s="117">
        <v>3139.98</v>
      </c>
      <c r="T1868" s="117">
        <v>2324.5500000000002</v>
      </c>
      <c r="U1868" s="117">
        <v>325</v>
      </c>
      <c r="V1868" s="117"/>
      <c r="W1868" s="26">
        <f>SUM(S1868:V1868)</f>
        <v>5789.5300000000007</v>
      </c>
      <c r="X1868" s="118">
        <f>IFERROR(S1868/R1868,"")</f>
        <v>77.530370370370377</v>
      </c>
      <c r="Y1868" s="119">
        <f>IFERROR(U1868/P1868,0)</f>
        <v>3.2066904389317877E-2</v>
      </c>
      <c r="Z1868" s="117">
        <f>P1868-W1868</f>
        <v>4345.5299999999988</v>
      </c>
      <c r="AA1868" s="119">
        <f>IFERROR(Z1868/P1868,0)</f>
        <v>0.42876213855665374</v>
      </c>
      <c r="AB1868" s="120">
        <f>M1868-W1868</f>
        <v>-2749.0120000000011</v>
      </c>
      <c r="AC1868" s="119">
        <f>IFERROR(AA1868-O1868,"")</f>
        <v>-0.27123786144334622</v>
      </c>
      <c r="AD1868" s="110"/>
      <c r="AE1868" s="110"/>
      <c r="AF1868" s="110"/>
      <c r="AG1868" s="121"/>
    </row>
    <row r="1869" spans="1:33" s="53" customFormat="1" ht="11.25" customHeight="1" x14ac:dyDescent="0.15">
      <c r="A1869" s="53" t="s">
        <v>137</v>
      </c>
      <c r="C1869" s="54" t="s">
        <v>177</v>
      </c>
      <c r="D1869" s="54"/>
      <c r="E1869" s="70"/>
      <c r="F1869" s="54"/>
      <c r="G1869" s="54"/>
      <c r="H1869" s="54"/>
      <c r="I1869" s="54"/>
      <c r="J1869" s="54"/>
      <c r="K1869" s="106"/>
      <c r="L1869" s="24">
        <f>SUM(L1867:L1868)</f>
        <v>40540.25</v>
      </c>
      <c r="M1869" s="24">
        <f>SUM(M1866:M1868)</f>
        <v>12162.074999999999</v>
      </c>
      <c r="N1869" s="24">
        <f>SUM(N1866:N1868)</f>
        <v>28378.175000000003</v>
      </c>
      <c r="O1869" s="57">
        <f>IFERROR(N1869/L1869,"")</f>
        <v>0.70000000000000007</v>
      </c>
      <c r="P1869" s="24">
        <f>SUM(P1867:P1868)</f>
        <v>40540.25</v>
      </c>
      <c r="Q1869" s="24"/>
      <c r="R1869" s="117">
        <f>SUM(R1867:R1868)</f>
        <v>77</v>
      </c>
      <c r="S1869" s="117">
        <f t="shared" ref="S1869:V1869" si="2052">SUM(S1867:S1868)</f>
        <v>5969.83</v>
      </c>
      <c r="T1869" s="117">
        <f t="shared" si="2052"/>
        <v>4649.1400000000003</v>
      </c>
      <c r="U1869" s="117">
        <f t="shared" si="2052"/>
        <v>886.05</v>
      </c>
      <c r="V1869" s="117">
        <f t="shared" si="2052"/>
        <v>0</v>
      </c>
      <c r="W1869" s="26">
        <f t="shared" ref="W1869" si="2053">SUM(W1867:W1868)</f>
        <v>11505.02</v>
      </c>
      <c r="X1869" s="56">
        <f>IFERROR(S1869/R1869,"")</f>
        <v>77.530259740259737</v>
      </c>
      <c r="Y1869" s="119">
        <f>IFERROR(U1869/P1869,0)</f>
        <v>2.1856056635072549E-2</v>
      </c>
      <c r="Z1869" s="28">
        <f>P1869-W1869</f>
        <v>29035.23</v>
      </c>
      <c r="AA1869" s="119">
        <f>IFERROR(Z1869/P1869,0)</f>
        <v>0.7162074728202219</v>
      </c>
      <c r="AB1869" s="58">
        <f>M1869-W1869</f>
        <v>657.05499999999847</v>
      </c>
      <c r="AC1869" s="57">
        <f>IFERROR(AA1869-O1869,"")</f>
        <v>1.6207472820221835E-2</v>
      </c>
      <c r="AG1869" s="61"/>
    </row>
    <row r="1870" spans="1:33" s="110" customFormat="1" ht="11.25" customHeight="1" x14ac:dyDescent="0.15">
      <c r="A1870" s="130"/>
      <c r="B1870" s="130"/>
      <c r="C1870" s="124"/>
      <c r="D1870" s="124"/>
      <c r="E1870" s="273"/>
      <c r="F1870" s="124"/>
      <c r="G1870" s="124"/>
      <c r="H1870" s="124"/>
      <c r="I1870" s="124"/>
      <c r="J1870" s="124"/>
      <c r="K1870" s="125"/>
      <c r="L1870" s="129"/>
      <c r="M1870" s="129"/>
      <c r="N1870" s="129"/>
      <c r="O1870" s="128"/>
      <c r="P1870" s="129"/>
      <c r="Q1870" s="124"/>
      <c r="R1870" s="129"/>
      <c r="S1870" s="129"/>
      <c r="T1870" s="129"/>
      <c r="U1870" s="129"/>
      <c r="V1870" s="126"/>
      <c r="W1870" s="49"/>
      <c r="X1870" s="45"/>
      <c r="Y1870" s="128"/>
      <c r="Z1870" s="126"/>
      <c r="AA1870" s="128"/>
      <c r="AB1870" s="129"/>
      <c r="AC1870" s="160"/>
      <c r="AD1870" s="137"/>
      <c r="AG1870" s="121"/>
    </row>
    <row r="1871" spans="1:33" ht="11.25" customHeight="1" x14ac:dyDescent="0.15">
      <c r="A1871" s="110" t="s">
        <v>233</v>
      </c>
      <c r="B1871" s="110"/>
      <c r="C1871" s="111" t="s">
        <v>175</v>
      </c>
      <c r="D1871" s="111">
        <v>2025</v>
      </c>
      <c r="E1871" s="146">
        <v>45777</v>
      </c>
      <c r="F1871" s="111"/>
      <c r="G1871" s="111">
        <v>81110111</v>
      </c>
      <c r="H1871" s="111">
        <v>4101</v>
      </c>
      <c r="I1871" s="111" t="str">
        <f>MID(G1871,2,1)</f>
        <v>1</v>
      </c>
      <c r="J1871" s="111" t="str">
        <f>IF(I1871="1","Small/Medium","Large")</f>
        <v>Small/Medium</v>
      </c>
      <c r="K1871" s="147" t="s">
        <v>145</v>
      </c>
      <c r="L1871" s="120">
        <v>27437</v>
      </c>
      <c r="M1871" s="120">
        <f>L1871*0.3</f>
        <v>8231.1</v>
      </c>
      <c r="N1871" s="120">
        <f>L1871-M1871</f>
        <v>19205.900000000001</v>
      </c>
      <c r="O1871" s="119">
        <f>IFERROR(N1871/L1871,"")</f>
        <v>0.70000000000000007</v>
      </c>
      <c r="P1871" s="120">
        <v>27437</v>
      </c>
      <c r="Q1871" s="111">
        <v>5155</v>
      </c>
      <c r="R1871" s="117">
        <v>23</v>
      </c>
      <c r="S1871" s="117">
        <v>1783.19</v>
      </c>
      <c r="T1871" s="117">
        <v>1762.41</v>
      </c>
      <c r="U1871" s="117">
        <v>695.06</v>
      </c>
      <c r="V1871" s="117"/>
      <c r="W1871" s="26">
        <f>SUM(S1871:U1871)</f>
        <v>4240.66</v>
      </c>
      <c r="X1871" s="118">
        <f>IFERROR(S1871/R1871,"")</f>
        <v>77.53</v>
      </c>
      <c r="Y1871" s="119">
        <f>IFERROR(V1871/P1871,0)</f>
        <v>0</v>
      </c>
      <c r="Z1871" s="117">
        <f>P1871-W1871</f>
        <v>23196.34</v>
      </c>
      <c r="AA1871" s="119">
        <f>IFERROR(Z1871/P1871,0)</f>
        <v>0.84544009913620299</v>
      </c>
      <c r="AB1871" s="120">
        <f>M1871-W1871</f>
        <v>3990.4400000000005</v>
      </c>
      <c r="AC1871" s="119">
        <f>IFERROR(AA1871-O1871,"")</f>
        <v>0.14544009913620293</v>
      </c>
      <c r="AD1871" s="110"/>
      <c r="AE1871" s="110"/>
      <c r="AF1871" s="110"/>
      <c r="AG1871" s="121"/>
    </row>
    <row r="1872" spans="1:33" s="53" customFormat="1" ht="11.25" customHeight="1" x14ac:dyDescent="0.15">
      <c r="A1872" s="53" t="s">
        <v>233</v>
      </c>
      <c r="C1872" s="54" t="s">
        <v>177</v>
      </c>
      <c r="D1872" s="54"/>
      <c r="E1872" s="70"/>
      <c r="F1872" s="54"/>
      <c r="G1872" s="54"/>
      <c r="H1872" s="54"/>
      <c r="I1872" s="54"/>
      <c r="J1872" s="54"/>
      <c r="K1872" s="106"/>
      <c r="L1872" s="24">
        <f>SUBTOTAL(9,L1871)</f>
        <v>27437</v>
      </c>
      <c r="M1872" s="24">
        <f>SUM(M1871)</f>
        <v>8231.1</v>
      </c>
      <c r="N1872" s="24">
        <f>SUM(N1871)</f>
        <v>19205.900000000001</v>
      </c>
      <c r="O1872" s="57">
        <f>IFERROR(N1872/L1872,"")</f>
        <v>0.70000000000000007</v>
      </c>
      <c r="P1872" s="24">
        <f>SUBTOTAL(9,P1871)</f>
        <v>27437</v>
      </c>
      <c r="Q1872" s="24"/>
      <c r="R1872" s="117">
        <f>SUBTOTAL(9,R1871)</f>
        <v>23</v>
      </c>
      <c r="S1872" s="117">
        <f t="shared" ref="S1872:V1872" si="2054">SUBTOTAL(9,S1871)</f>
        <v>1783.19</v>
      </c>
      <c r="T1872" s="117">
        <f t="shared" si="2054"/>
        <v>1762.41</v>
      </c>
      <c r="U1872" s="117">
        <f t="shared" si="2054"/>
        <v>695.06</v>
      </c>
      <c r="V1872" s="117">
        <f t="shared" si="2054"/>
        <v>0</v>
      </c>
      <c r="W1872" s="26">
        <f>SUM(W1870:W1871)</f>
        <v>4240.66</v>
      </c>
      <c r="X1872" s="56">
        <f>IFERROR(S1872/R1872,"")</f>
        <v>77.53</v>
      </c>
      <c r="Y1872" s="119">
        <f>IFERROR(U1872/P1872,0)</f>
        <v>2.5332944563910047E-2</v>
      </c>
      <c r="Z1872" s="28">
        <f>P1872-W1872</f>
        <v>23196.34</v>
      </c>
      <c r="AA1872" s="119">
        <f>IFERROR(Z1872/P1872,0)</f>
        <v>0.84544009913620299</v>
      </c>
      <c r="AB1872" s="58">
        <f>M1872-W1872</f>
        <v>3990.4400000000005</v>
      </c>
      <c r="AC1872" s="57">
        <f>IFERROR(AA1872-O1872,"")</f>
        <v>0.14544009913620293</v>
      </c>
      <c r="AG1872" s="61"/>
    </row>
    <row r="1873" spans="1:33" s="110" customFormat="1" ht="11.25" customHeight="1" x14ac:dyDescent="0.15">
      <c r="A1873" s="130"/>
      <c r="B1873" s="130"/>
      <c r="C1873" s="124"/>
      <c r="D1873" s="124"/>
      <c r="E1873" s="273"/>
      <c r="F1873" s="124"/>
      <c r="G1873" s="124"/>
      <c r="H1873" s="124"/>
      <c r="I1873" s="124"/>
      <c r="J1873" s="124"/>
      <c r="K1873" s="125"/>
      <c r="L1873" s="129"/>
      <c r="M1873" s="129"/>
      <c r="N1873" s="129"/>
      <c r="O1873" s="128"/>
      <c r="P1873" s="129"/>
      <c r="Q1873" s="124"/>
      <c r="R1873" s="129"/>
      <c r="S1873" s="129"/>
      <c r="T1873" s="129"/>
      <c r="U1873" s="129"/>
      <c r="V1873" s="126"/>
      <c r="W1873" s="49"/>
      <c r="X1873" s="45"/>
      <c r="Y1873" s="128"/>
      <c r="Z1873" s="126"/>
      <c r="AA1873" s="128"/>
      <c r="AB1873" s="129"/>
      <c r="AC1873" s="160"/>
      <c r="AD1873" s="137"/>
      <c r="AG1873" s="121"/>
    </row>
    <row r="1874" spans="1:33" ht="11.25" customHeight="1" x14ac:dyDescent="0.15">
      <c r="A1874" s="110" t="s">
        <v>900</v>
      </c>
      <c r="B1874" s="110"/>
      <c r="C1874" s="111" t="s">
        <v>180</v>
      </c>
      <c r="D1874" s="111">
        <v>2025</v>
      </c>
      <c r="E1874" s="146">
        <v>45777</v>
      </c>
      <c r="F1874" s="111"/>
      <c r="G1874" s="111">
        <v>92000032</v>
      </c>
      <c r="H1874" s="111"/>
      <c r="I1874" s="111"/>
      <c r="J1874" s="111"/>
      <c r="K1874" s="112" t="s">
        <v>901</v>
      </c>
      <c r="L1874" s="120">
        <v>85069</v>
      </c>
      <c r="M1874" s="120">
        <v>12370.29</v>
      </c>
      <c r="N1874" s="120">
        <f>L1874-M1874</f>
        <v>72698.709999999992</v>
      </c>
      <c r="O1874" s="119">
        <f>IFERROR(N1874/L1874,"")</f>
        <v>0.85458521905747087</v>
      </c>
      <c r="P1874" s="120">
        <v>85069</v>
      </c>
      <c r="Q1874" s="111">
        <v>4836</v>
      </c>
      <c r="R1874" s="117">
        <v>12</v>
      </c>
      <c r="S1874" s="117">
        <v>516.48</v>
      </c>
      <c r="T1874" s="117"/>
      <c r="U1874" s="117">
        <v>10630.35</v>
      </c>
      <c r="V1874" s="117"/>
      <c r="W1874" s="26">
        <f t="shared" ref="W1874" si="2055">SUM(S1874:V1874)</f>
        <v>11146.83</v>
      </c>
      <c r="X1874" s="118">
        <f t="shared" ref="X1874" si="2056">IFERROR(S1874/R1874,"")</f>
        <v>43.04</v>
      </c>
      <c r="Y1874" s="119">
        <f>U1874/P1874</f>
        <v>0.12496150183968309</v>
      </c>
      <c r="Z1874" s="117">
        <f t="shared" ref="Z1874" si="2057">P1874-W1874</f>
        <v>73922.17</v>
      </c>
      <c r="AA1874" s="119">
        <f>Z1874/P1874</f>
        <v>0.86896719133879552</v>
      </c>
      <c r="AB1874" s="120">
        <f t="shared" ref="AB1874" si="2058">M1874-W1874</f>
        <v>1223.4600000000009</v>
      </c>
      <c r="AC1874" s="119">
        <f t="shared" ref="AC1874" si="2059">IFERROR(AA1874-O1874,"")</f>
        <v>1.4381972281324651E-2</v>
      </c>
      <c r="AD1874" s="110"/>
      <c r="AE1874" s="110"/>
      <c r="AF1874" s="110"/>
      <c r="AG1874" s="121"/>
    </row>
    <row r="1875" spans="1:33" ht="11.25" customHeight="1" x14ac:dyDescent="0.15">
      <c r="A1875" s="110" t="s">
        <v>900</v>
      </c>
      <c r="B1875" s="110"/>
      <c r="C1875" s="111" t="s">
        <v>180</v>
      </c>
      <c r="D1875" s="111">
        <v>2025</v>
      </c>
      <c r="E1875" s="146">
        <v>45777</v>
      </c>
      <c r="F1875" s="111"/>
      <c r="G1875" s="111">
        <v>94000032</v>
      </c>
      <c r="H1875" s="111"/>
      <c r="I1875" s="111"/>
      <c r="J1875" s="111"/>
      <c r="K1875" s="112" t="s">
        <v>902</v>
      </c>
      <c r="L1875" s="120">
        <v>85069</v>
      </c>
      <c r="M1875" s="120">
        <v>12370.29</v>
      </c>
      <c r="N1875" s="120">
        <f t="shared" ref="N1875:N1884" si="2060">L1875-M1875</f>
        <v>72698.709999999992</v>
      </c>
      <c r="O1875" s="119">
        <f t="shared" ref="O1875:O1884" si="2061">IFERROR(N1875/L1875,"")</f>
        <v>0.85458521905747087</v>
      </c>
      <c r="P1875" s="120">
        <v>85069</v>
      </c>
      <c r="Q1875" s="111">
        <v>4837</v>
      </c>
      <c r="R1875" s="117">
        <v>6</v>
      </c>
      <c r="S1875" s="117">
        <v>258.24</v>
      </c>
      <c r="T1875" s="117"/>
      <c r="U1875" s="117">
        <v>11900.34</v>
      </c>
      <c r="V1875" s="117"/>
      <c r="W1875" s="26">
        <f t="shared" ref="W1875:W1884" si="2062">SUM(S1875:V1875)</f>
        <v>12158.58</v>
      </c>
      <c r="X1875" s="118">
        <f t="shared" ref="X1875:X1884" si="2063">IFERROR(S1875/R1875,"")</f>
        <v>43.04</v>
      </c>
      <c r="Y1875" s="119">
        <f t="shared" ref="Y1875:Y1884" si="2064">U1875/P1875</f>
        <v>0.1398904418765943</v>
      </c>
      <c r="Z1875" s="117">
        <f t="shared" ref="Z1875:Z1884" si="2065">P1875-W1875</f>
        <v>72910.42</v>
      </c>
      <c r="AA1875" s="119">
        <f t="shared" ref="AA1875:AA1884" si="2066">Z1875/P1875</f>
        <v>0.857073904712645</v>
      </c>
      <c r="AB1875" s="120">
        <f t="shared" ref="AB1875:AB1884" si="2067">M1875-W1875</f>
        <v>211.71000000000095</v>
      </c>
      <c r="AC1875" s="119">
        <f t="shared" ref="AC1875:AC1884" si="2068">IFERROR(AA1875-O1875,"")</f>
        <v>2.4886856551741277E-3</v>
      </c>
      <c r="AD1875" s="110"/>
      <c r="AE1875" s="110"/>
      <c r="AF1875" s="110"/>
      <c r="AG1875" s="121"/>
    </row>
    <row r="1876" spans="1:33" ht="11.25" customHeight="1" x14ac:dyDescent="0.15">
      <c r="A1876" s="110" t="s">
        <v>900</v>
      </c>
      <c r="B1876" s="110"/>
      <c r="C1876" s="111" t="s">
        <v>180</v>
      </c>
      <c r="D1876" s="111">
        <v>2025</v>
      </c>
      <c r="E1876" s="146">
        <v>45777</v>
      </c>
      <c r="F1876" s="111"/>
      <c r="G1876" s="111">
        <v>92510012</v>
      </c>
      <c r="H1876" s="111"/>
      <c r="I1876" s="111"/>
      <c r="J1876" s="111"/>
      <c r="K1876" s="112" t="s">
        <v>523</v>
      </c>
      <c r="L1876" s="120">
        <v>26951</v>
      </c>
      <c r="M1876" s="120">
        <v>5409.2</v>
      </c>
      <c r="N1876" s="120">
        <f t="shared" si="2060"/>
        <v>21541.8</v>
      </c>
      <c r="O1876" s="119">
        <f t="shared" si="2061"/>
        <v>0.79929501688249038</v>
      </c>
      <c r="P1876" s="120">
        <v>26951</v>
      </c>
      <c r="Q1876" s="111">
        <v>4838</v>
      </c>
      <c r="R1876" s="117"/>
      <c r="S1876" s="117"/>
      <c r="T1876" s="117"/>
      <c r="U1876" s="117">
        <v>6931.65</v>
      </c>
      <c r="V1876" s="117"/>
      <c r="W1876" s="26">
        <f t="shared" si="2062"/>
        <v>6931.65</v>
      </c>
      <c r="X1876" s="118" t="str">
        <f t="shared" si="2063"/>
        <v/>
      </c>
      <c r="Y1876" s="119">
        <f t="shared" si="2064"/>
        <v>0.25719453823605803</v>
      </c>
      <c r="Z1876" s="117">
        <f t="shared" si="2065"/>
        <v>20019.349999999999</v>
      </c>
      <c r="AA1876" s="119">
        <f t="shared" si="2066"/>
        <v>0.74280546176394191</v>
      </c>
      <c r="AB1876" s="120">
        <f t="shared" si="2067"/>
        <v>-1522.4499999999998</v>
      </c>
      <c r="AC1876" s="119">
        <f t="shared" si="2068"/>
        <v>-5.6489555118548473E-2</v>
      </c>
      <c r="AD1876" s="110" t="s">
        <v>903</v>
      </c>
      <c r="AE1876" s="110"/>
      <c r="AF1876" s="110"/>
      <c r="AG1876" s="121"/>
    </row>
    <row r="1877" spans="1:33" ht="11.25" customHeight="1" x14ac:dyDescent="0.15">
      <c r="A1877" s="110" t="s">
        <v>900</v>
      </c>
      <c r="B1877" s="110"/>
      <c r="C1877" s="111" t="s">
        <v>47</v>
      </c>
      <c r="D1877" s="111">
        <v>2025</v>
      </c>
      <c r="E1877" s="146">
        <v>45777</v>
      </c>
      <c r="F1877" s="111"/>
      <c r="G1877" s="111">
        <v>50000020</v>
      </c>
      <c r="H1877" s="111"/>
      <c r="I1877" s="111"/>
      <c r="J1877" s="111"/>
      <c r="K1877" s="112" t="s">
        <v>904</v>
      </c>
      <c r="L1877" s="120">
        <v>21462</v>
      </c>
      <c r="M1877" s="120">
        <v>7219.68</v>
      </c>
      <c r="N1877" s="120">
        <f t="shared" si="2060"/>
        <v>14242.32</v>
      </c>
      <c r="O1877" s="119">
        <f t="shared" si="2061"/>
        <v>0.66360637405647194</v>
      </c>
      <c r="P1877" s="120">
        <v>21462</v>
      </c>
      <c r="Q1877" s="111">
        <v>4839</v>
      </c>
      <c r="R1877" s="117">
        <v>132</v>
      </c>
      <c r="S1877" s="117">
        <v>6852.13</v>
      </c>
      <c r="T1877" s="117">
        <v>4858.41</v>
      </c>
      <c r="U1877" s="117">
        <v>1060.0899999999999</v>
      </c>
      <c r="V1877" s="117"/>
      <c r="W1877" s="26">
        <f t="shared" si="2062"/>
        <v>12770.630000000001</v>
      </c>
      <c r="X1877" s="118">
        <f t="shared" si="2063"/>
        <v>51.910075757575761</v>
      </c>
      <c r="Y1877" s="119">
        <f t="shared" si="2064"/>
        <v>4.9393812319448324E-2</v>
      </c>
      <c r="Z1877" s="117">
        <f t="shared" si="2065"/>
        <v>8691.369999999999</v>
      </c>
      <c r="AA1877" s="119">
        <f t="shared" si="2066"/>
        <v>0.4049655204547572</v>
      </c>
      <c r="AB1877" s="120">
        <f t="shared" si="2067"/>
        <v>-5550.9500000000007</v>
      </c>
      <c r="AC1877" s="119">
        <f t="shared" si="2068"/>
        <v>-0.25864085360171474</v>
      </c>
      <c r="AD1877" s="110" t="s">
        <v>905</v>
      </c>
      <c r="AE1877" s="110"/>
      <c r="AF1877" s="110"/>
      <c r="AG1877" s="121"/>
    </row>
    <row r="1878" spans="1:33" ht="11.25" customHeight="1" x14ac:dyDescent="0.15">
      <c r="A1878" s="110" t="s">
        <v>900</v>
      </c>
      <c r="B1878" s="110"/>
      <c r="C1878" s="111" t="s">
        <v>248</v>
      </c>
      <c r="D1878" s="111">
        <v>2025</v>
      </c>
      <c r="E1878" s="146">
        <v>45777</v>
      </c>
      <c r="F1878" s="111"/>
      <c r="G1878" s="111"/>
      <c r="H1878" s="111"/>
      <c r="I1878" s="111"/>
      <c r="J1878" s="111"/>
      <c r="K1878" s="112"/>
      <c r="L1878" s="120">
        <v>18777</v>
      </c>
      <c r="M1878" s="120">
        <v>9388.5</v>
      </c>
      <c r="N1878" s="120">
        <f t="shared" si="2060"/>
        <v>9388.5</v>
      </c>
      <c r="O1878" s="119">
        <f t="shared" si="2061"/>
        <v>0.5</v>
      </c>
      <c r="P1878" s="120">
        <v>18777</v>
      </c>
      <c r="Q1878" s="111">
        <v>4840</v>
      </c>
      <c r="R1878" s="117">
        <v>8</v>
      </c>
      <c r="S1878" s="117">
        <v>484.4</v>
      </c>
      <c r="T1878" s="117"/>
      <c r="U1878" s="117"/>
      <c r="V1878" s="117"/>
      <c r="W1878" s="26">
        <f t="shared" si="2062"/>
        <v>484.4</v>
      </c>
      <c r="X1878" s="118">
        <f t="shared" si="2063"/>
        <v>60.55</v>
      </c>
      <c r="Y1878" s="119">
        <f t="shared" si="2064"/>
        <v>0</v>
      </c>
      <c r="Z1878" s="117">
        <f t="shared" si="2065"/>
        <v>18292.599999999999</v>
      </c>
      <c r="AA1878" s="119">
        <f t="shared" si="2066"/>
        <v>0.97420248175959945</v>
      </c>
      <c r="AB1878" s="120">
        <f t="shared" si="2067"/>
        <v>8904.1</v>
      </c>
      <c r="AC1878" s="119">
        <f t="shared" si="2068"/>
        <v>0.47420248175959945</v>
      </c>
      <c r="AD1878" s="110"/>
      <c r="AE1878" s="110"/>
      <c r="AF1878" s="110"/>
      <c r="AG1878" s="121"/>
    </row>
    <row r="1879" spans="1:33" ht="11.25" customHeight="1" x14ac:dyDescent="0.15">
      <c r="A1879" s="110" t="s">
        <v>900</v>
      </c>
      <c r="B1879" s="110"/>
      <c r="C1879" s="111" t="s">
        <v>55</v>
      </c>
      <c r="D1879" s="111">
        <v>2025</v>
      </c>
      <c r="E1879" s="146">
        <v>45777</v>
      </c>
      <c r="F1879" s="111"/>
      <c r="G1879" s="111" t="s">
        <v>56</v>
      </c>
      <c r="H1879" s="111"/>
      <c r="I1879" s="111"/>
      <c r="J1879" s="111"/>
      <c r="K1879" s="112" t="s">
        <v>71</v>
      </c>
      <c r="L1879" s="120">
        <v>11886</v>
      </c>
      <c r="M1879" s="120">
        <v>5942.63</v>
      </c>
      <c r="N1879" s="120">
        <f t="shared" si="2060"/>
        <v>5943.37</v>
      </c>
      <c r="O1879" s="119">
        <f t="shared" si="2061"/>
        <v>0.50003112905939762</v>
      </c>
      <c r="P1879" s="120">
        <v>11886</v>
      </c>
      <c r="Q1879" s="111">
        <v>4841</v>
      </c>
      <c r="R1879" s="117">
        <v>12</v>
      </c>
      <c r="S1879" s="117">
        <v>582</v>
      </c>
      <c r="T1879" s="117"/>
      <c r="U1879" s="117"/>
      <c r="V1879" s="117">
        <v>4744.88</v>
      </c>
      <c r="W1879" s="26">
        <f t="shared" si="2062"/>
        <v>5326.88</v>
      </c>
      <c r="X1879" s="118">
        <f t="shared" si="2063"/>
        <v>48.5</v>
      </c>
      <c r="Y1879" s="119">
        <f t="shared" si="2064"/>
        <v>0</v>
      </c>
      <c r="Z1879" s="117">
        <f t="shared" si="2065"/>
        <v>6559.12</v>
      </c>
      <c r="AA1879" s="119">
        <f t="shared" si="2066"/>
        <v>0.55183577317852939</v>
      </c>
      <c r="AB1879" s="120">
        <f t="shared" si="2067"/>
        <v>615.75</v>
      </c>
      <c r="AC1879" s="119">
        <f t="shared" si="2068"/>
        <v>5.1804644119131771E-2</v>
      </c>
      <c r="AD1879" s="110"/>
      <c r="AE1879" s="110"/>
      <c r="AF1879" s="110"/>
      <c r="AG1879" s="121"/>
    </row>
    <row r="1880" spans="1:33" ht="11.25" customHeight="1" x14ac:dyDescent="0.15">
      <c r="A1880" s="110" t="s">
        <v>900</v>
      </c>
      <c r="B1880" s="110"/>
      <c r="C1880" s="111" t="s">
        <v>58</v>
      </c>
      <c r="D1880" s="111">
        <v>2025</v>
      </c>
      <c r="E1880" s="146">
        <v>45777</v>
      </c>
      <c r="F1880" s="111"/>
      <c r="G1880" s="111">
        <v>72342012</v>
      </c>
      <c r="H1880" s="111"/>
      <c r="I1880" s="111"/>
      <c r="J1880" s="111"/>
      <c r="K1880" s="112" t="s">
        <v>906</v>
      </c>
      <c r="L1880" s="120">
        <v>29564</v>
      </c>
      <c r="M1880" s="120">
        <v>2956.4</v>
      </c>
      <c r="N1880" s="120">
        <f t="shared" si="2060"/>
        <v>26607.599999999999</v>
      </c>
      <c r="O1880" s="119">
        <f t="shared" si="2061"/>
        <v>0.89999999999999991</v>
      </c>
      <c r="P1880" s="120">
        <v>29564</v>
      </c>
      <c r="Q1880" s="111">
        <v>4842</v>
      </c>
      <c r="R1880" s="117"/>
      <c r="S1880" s="117"/>
      <c r="T1880" s="117"/>
      <c r="U1880" s="117">
        <v>1771.13</v>
      </c>
      <c r="V1880" s="117"/>
      <c r="W1880" s="26">
        <f t="shared" si="2062"/>
        <v>1771.13</v>
      </c>
      <c r="X1880" s="118" t="str">
        <f t="shared" si="2063"/>
        <v/>
      </c>
      <c r="Y1880" s="119">
        <f t="shared" si="2064"/>
        <v>5.9908334460830742E-2</v>
      </c>
      <c r="Z1880" s="117">
        <f t="shared" si="2065"/>
        <v>27792.87</v>
      </c>
      <c r="AA1880" s="119">
        <f t="shared" si="2066"/>
        <v>0.94009166553916923</v>
      </c>
      <c r="AB1880" s="120">
        <f t="shared" si="2067"/>
        <v>1185.27</v>
      </c>
      <c r="AC1880" s="119">
        <f t="shared" si="2068"/>
        <v>4.0091665539169319E-2</v>
      </c>
      <c r="AD1880" s="110"/>
      <c r="AE1880" s="110"/>
      <c r="AF1880" s="110"/>
      <c r="AG1880" s="121"/>
    </row>
    <row r="1881" spans="1:33" ht="11.25" customHeight="1" x14ac:dyDescent="0.15">
      <c r="A1881" s="110" t="s">
        <v>900</v>
      </c>
      <c r="B1881" s="110"/>
      <c r="C1881" s="111" t="s">
        <v>58</v>
      </c>
      <c r="D1881" s="111">
        <v>2025</v>
      </c>
      <c r="E1881" s="146">
        <v>45777</v>
      </c>
      <c r="F1881" s="111"/>
      <c r="G1881" s="111">
        <v>74362012</v>
      </c>
      <c r="H1881" s="111"/>
      <c r="I1881" s="111"/>
      <c r="J1881" s="111"/>
      <c r="K1881" s="112" t="s">
        <v>907</v>
      </c>
      <c r="L1881" s="120">
        <v>26876</v>
      </c>
      <c r="M1881" s="120">
        <v>2687.6</v>
      </c>
      <c r="N1881" s="120">
        <f t="shared" si="2060"/>
        <v>24188.400000000001</v>
      </c>
      <c r="O1881" s="119">
        <f t="shared" si="2061"/>
        <v>0.9</v>
      </c>
      <c r="P1881" s="120">
        <v>26876</v>
      </c>
      <c r="Q1881" s="111">
        <v>4843</v>
      </c>
      <c r="R1881" s="117"/>
      <c r="S1881" s="117"/>
      <c r="T1881" s="117"/>
      <c r="U1881" s="117">
        <v>1288.47</v>
      </c>
      <c r="V1881" s="117"/>
      <c r="W1881" s="26">
        <f t="shared" si="2062"/>
        <v>1288.47</v>
      </c>
      <c r="X1881" s="118" t="str">
        <f t="shared" si="2063"/>
        <v/>
      </c>
      <c r="Y1881" s="119">
        <f t="shared" si="2064"/>
        <v>4.7941285905640722E-2</v>
      </c>
      <c r="Z1881" s="117">
        <f t="shared" si="2065"/>
        <v>25587.53</v>
      </c>
      <c r="AA1881" s="119">
        <f t="shared" si="2066"/>
        <v>0.95205871409435927</v>
      </c>
      <c r="AB1881" s="120">
        <f>M1881-W1881</f>
        <v>1399.1299999999999</v>
      </c>
      <c r="AC1881" s="119">
        <f t="shared" si="2068"/>
        <v>5.2058714094359249E-2</v>
      </c>
      <c r="AD1881" s="110"/>
      <c r="AE1881" s="110"/>
      <c r="AF1881" s="110"/>
      <c r="AG1881" s="121"/>
    </row>
    <row r="1882" spans="1:33" ht="11.25" customHeight="1" x14ac:dyDescent="0.15">
      <c r="A1882" s="110" t="s">
        <v>900</v>
      </c>
      <c r="B1882" s="110"/>
      <c r="C1882" s="111" t="s">
        <v>49</v>
      </c>
      <c r="D1882" s="111">
        <v>2025</v>
      </c>
      <c r="E1882" s="146">
        <v>45777</v>
      </c>
      <c r="F1882" s="111"/>
      <c r="G1882" s="111">
        <v>60602012</v>
      </c>
      <c r="H1882" s="111"/>
      <c r="I1882" s="111"/>
      <c r="J1882" s="111"/>
      <c r="K1882" s="112" t="s">
        <v>85</v>
      </c>
      <c r="L1882" s="120">
        <v>55761</v>
      </c>
      <c r="M1882" s="120">
        <v>4421.16</v>
      </c>
      <c r="N1882" s="120">
        <f t="shared" si="2060"/>
        <v>51339.839999999997</v>
      </c>
      <c r="O1882" s="119">
        <f t="shared" si="2061"/>
        <v>0.92071232581912088</v>
      </c>
      <c r="P1882" s="120">
        <v>55761</v>
      </c>
      <c r="Q1882" s="111">
        <v>4844</v>
      </c>
      <c r="R1882" s="117">
        <v>10</v>
      </c>
      <c r="S1882" s="117">
        <v>605.5</v>
      </c>
      <c r="T1882" s="117">
        <v>501.32</v>
      </c>
      <c r="U1882" s="117"/>
      <c r="V1882" s="117"/>
      <c r="W1882" s="26">
        <f t="shared" si="2062"/>
        <v>1106.82</v>
      </c>
      <c r="X1882" s="118">
        <f t="shared" si="2063"/>
        <v>60.55</v>
      </c>
      <c r="Y1882" s="119">
        <f t="shared" si="2064"/>
        <v>0</v>
      </c>
      <c r="Z1882" s="117">
        <f t="shared" si="2065"/>
        <v>54654.18</v>
      </c>
      <c r="AA1882" s="119">
        <f t="shared" si="2066"/>
        <v>0.98015064292247267</v>
      </c>
      <c r="AB1882" s="120">
        <f t="shared" si="2067"/>
        <v>3314.34</v>
      </c>
      <c r="AC1882" s="119">
        <f t="shared" si="2068"/>
        <v>5.943831710335179E-2</v>
      </c>
      <c r="AD1882" s="110"/>
      <c r="AE1882" s="110"/>
      <c r="AF1882" s="110"/>
      <c r="AG1882" s="121"/>
    </row>
    <row r="1883" spans="1:33" ht="11.25" customHeight="1" x14ac:dyDescent="0.15">
      <c r="A1883" s="110" t="s">
        <v>900</v>
      </c>
      <c r="B1883" s="110"/>
      <c r="C1883" s="111" t="s">
        <v>175</v>
      </c>
      <c r="D1883" s="111">
        <v>2025</v>
      </c>
      <c r="E1883" s="146">
        <v>45777</v>
      </c>
      <c r="F1883" s="111"/>
      <c r="G1883" s="111">
        <v>81100301</v>
      </c>
      <c r="H1883" s="111">
        <v>4101</v>
      </c>
      <c r="I1883" s="111" t="str">
        <f>MID(G1883,2,1)</f>
        <v>1</v>
      </c>
      <c r="J1883" s="111" t="str">
        <f>IF(I1883="1","Small/Medium","Large")</f>
        <v>Small/Medium</v>
      </c>
      <c r="K1883" s="147" t="s">
        <v>145</v>
      </c>
      <c r="L1883" s="120">
        <v>14031.63</v>
      </c>
      <c r="M1883" s="120">
        <v>2862.71</v>
      </c>
      <c r="N1883" s="120">
        <f t="shared" si="2060"/>
        <v>11168.919999999998</v>
      </c>
      <c r="O1883" s="119">
        <f t="shared" si="2061"/>
        <v>0.79598165002925525</v>
      </c>
      <c r="P1883" s="120">
        <v>14031.63</v>
      </c>
      <c r="Q1883" s="111">
        <v>4845</v>
      </c>
      <c r="R1883" s="117">
        <v>8</v>
      </c>
      <c r="S1883" s="117">
        <v>407.04</v>
      </c>
      <c r="T1883" s="117">
        <v>501.22</v>
      </c>
      <c r="U1883" s="117">
        <v>233.53</v>
      </c>
      <c r="V1883" s="117"/>
      <c r="W1883" s="26">
        <f t="shared" si="2062"/>
        <v>1141.79</v>
      </c>
      <c r="X1883" s="118">
        <f t="shared" si="2063"/>
        <v>50.88</v>
      </c>
      <c r="Y1883" s="119">
        <f t="shared" si="2064"/>
        <v>1.6643112738862129E-2</v>
      </c>
      <c r="Z1883" s="117">
        <f t="shared" si="2065"/>
        <v>12889.84</v>
      </c>
      <c r="AA1883" s="119">
        <f t="shared" si="2066"/>
        <v>0.91862741534661341</v>
      </c>
      <c r="AB1883" s="120">
        <f t="shared" si="2067"/>
        <v>1720.92</v>
      </c>
      <c r="AC1883" s="119">
        <f t="shared" si="2068"/>
        <v>0.12264576531735816</v>
      </c>
      <c r="AD1883" s="110"/>
      <c r="AE1883" s="110"/>
      <c r="AF1883" s="110"/>
      <c r="AG1883" s="121"/>
    </row>
    <row r="1884" spans="1:33" ht="11.25" customHeight="1" x14ac:dyDescent="0.15">
      <c r="A1884" s="110" t="s">
        <v>900</v>
      </c>
      <c r="B1884" s="110"/>
      <c r="C1884" s="111" t="s">
        <v>175</v>
      </c>
      <c r="D1884" s="111">
        <v>2025</v>
      </c>
      <c r="E1884" s="146">
        <v>45777</v>
      </c>
      <c r="F1884" s="111"/>
      <c r="G1884" s="111">
        <v>82100301</v>
      </c>
      <c r="H1884" s="111">
        <v>4101</v>
      </c>
      <c r="I1884" s="111" t="str">
        <f>MID(G1884,2,1)</f>
        <v>2</v>
      </c>
      <c r="J1884" s="111" t="str">
        <f>IF(I1884="1","Small/Medium","Large")</f>
        <v>Large</v>
      </c>
      <c r="K1884" s="147" t="s">
        <v>176</v>
      </c>
      <c r="L1884" s="120">
        <v>18883.37</v>
      </c>
      <c r="M1884" s="120">
        <v>3852.56</v>
      </c>
      <c r="N1884" s="120">
        <f t="shared" si="2060"/>
        <v>15030.81</v>
      </c>
      <c r="O1884" s="119">
        <f t="shared" si="2061"/>
        <v>0.795981331722039</v>
      </c>
      <c r="P1884" s="120">
        <v>18883.37</v>
      </c>
      <c r="Q1884" s="111">
        <v>4846</v>
      </c>
      <c r="R1884" s="117">
        <v>8</v>
      </c>
      <c r="S1884" s="117">
        <v>407.04</v>
      </c>
      <c r="T1884" s="117">
        <v>501.22</v>
      </c>
      <c r="U1884" s="117">
        <v>233.54</v>
      </c>
      <c r="V1884" s="117"/>
      <c r="W1884" s="26">
        <f t="shared" si="2062"/>
        <v>1141.8</v>
      </c>
      <c r="X1884" s="118">
        <f t="shared" si="2063"/>
        <v>50.88</v>
      </c>
      <c r="Y1884" s="119">
        <f t="shared" si="2064"/>
        <v>1.2367495844226958E-2</v>
      </c>
      <c r="Z1884" s="117">
        <f t="shared" si="2065"/>
        <v>17741.57</v>
      </c>
      <c r="AA1884" s="119">
        <f t="shared" si="2066"/>
        <v>0.93953409799204279</v>
      </c>
      <c r="AB1884" s="120">
        <f t="shared" si="2067"/>
        <v>2710.76</v>
      </c>
      <c r="AC1884" s="119">
        <f t="shared" si="2068"/>
        <v>0.1435527662700038</v>
      </c>
      <c r="AD1884" s="110"/>
      <c r="AE1884" s="110"/>
      <c r="AF1884" s="110"/>
      <c r="AG1884" s="121"/>
    </row>
    <row r="1885" spans="1:33" s="53" customFormat="1" ht="11.25" customHeight="1" x14ac:dyDescent="0.15">
      <c r="A1885" s="53" t="s">
        <v>900</v>
      </c>
      <c r="C1885" s="54"/>
      <c r="D1885" s="54"/>
      <c r="E1885" s="70"/>
      <c r="F1885" s="54"/>
      <c r="G1885" s="54"/>
      <c r="H1885" s="54"/>
      <c r="I1885" s="54"/>
      <c r="J1885" s="54"/>
      <c r="K1885" s="106"/>
      <c r="L1885" s="24">
        <f>SUM(L1874:L1884)</f>
        <v>394330</v>
      </c>
      <c r="M1885" s="24">
        <f t="shared" ref="M1885:N1885" si="2069">SUM(M1874:M1884)</f>
        <v>69481.02</v>
      </c>
      <c r="N1885" s="24">
        <f t="shared" si="2069"/>
        <v>324848.98</v>
      </c>
      <c r="O1885" s="57">
        <f>IFERROR(N1885/L1885,"")</f>
        <v>0.82379981233991828</v>
      </c>
      <c r="P1885" s="24">
        <f>SUM(P1874:P1884)</f>
        <v>394330</v>
      </c>
      <c r="Q1885" s="24"/>
      <c r="R1885" s="117">
        <f t="shared" ref="R1885:V1885" si="2070">SUM(R1874:R1884)</f>
        <v>196</v>
      </c>
      <c r="S1885" s="117">
        <f t="shared" si="2070"/>
        <v>10112.830000000002</v>
      </c>
      <c r="T1885" s="117">
        <f t="shared" si="2070"/>
        <v>6362.17</v>
      </c>
      <c r="U1885" s="117">
        <f t="shared" si="2070"/>
        <v>34049.100000000006</v>
      </c>
      <c r="V1885" s="117">
        <f t="shared" si="2070"/>
        <v>4744.88</v>
      </c>
      <c r="W1885" s="26">
        <f>SUM(W1874:W1884)</f>
        <v>55268.98</v>
      </c>
      <c r="X1885" s="56">
        <f>IFERROR(S1885/R1885,"")</f>
        <v>51.596071428571435</v>
      </c>
      <c r="Y1885" s="119">
        <f>IFERROR(U1885/P1885,0)</f>
        <v>8.6346714680597486E-2</v>
      </c>
      <c r="Z1885" s="28">
        <f>P1885-W1885</f>
        <v>339061.02</v>
      </c>
      <c r="AA1885" s="119">
        <f>IFERROR(Z1885/P1885,0)</f>
        <v>0.85984079324423712</v>
      </c>
      <c r="AB1885" s="58">
        <f>M1885-W1885</f>
        <v>14212.04</v>
      </c>
      <c r="AC1885" s="57">
        <f>IFERROR(AA1885-O1885,"")</f>
        <v>3.6040980904318842E-2</v>
      </c>
      <c r="AG1885" s="61"/>
    </row>
    <row r="1886" spans="1:33" s="110" customFormat="1" ht="11.25" customHeight="1" x14ac:dyDescent="0.15">
      <c r="A1886" s="130"/>
      <c r="B1886" s="130"/>
      <c r="C1886" s="124"/>
      <c r="D1886" s="124"/>
      <c r="E1886" s="273"/>
      <c r="F1886" s="124"/>
      <c r="G1886" s="124"/>
      <c r="H1886" s="124"/>
      <c r="I1886" s="124"/>
      <c r="J1886" s="124"/>
      <c r="K1886" s="125"/>
      <c r="L1886" s="129"/>
      <c r="M1886" s="129"/>
      <c r="N1886" s="129"/>
      <c r="O1886" s="128"/>
      <c r="P1886" s="129"/>
      <c r="Q1886" s="124"/>
      <c r="R1886" s="129"/>
      <c r="S1886" s="129"/>
      <c r="T1886" s="129"/>
      <c r="U1886" s="129"/>
      <c r="V1886" s="126"/>
      <c r="W1886" s="49"/>
      <c r="X1886" s="45"/>
      <c r="Y1886" s="128"/>
      <c r="Z1886" s="126"/>
      <c r="AA1886" s="128"/>
      <c r="AB1886" s="129"/>
      <c r="AC1886" s="160"/>
      <c r="AD1886" s="137"/>
      <c r="AG1886" s="121"/>
    </row>
    <row r="1887" spans="1:33" ht="11.25" customHeight="1" x14ac:dyDescent="0.15">
      <c r="A1887" s="110" t="s">
        <v>306</v>
      </c>
      <c r="B1887" s="110"/>
      <c r="C1887" s="111" t="s">
        <v>175</v>
      </c>
      <c r="D1887" s="111">
        <v>2025</v>
      </c>
      <c r="E1887" s="146">
        <v>45777</v>
      </c>
      <c r="F1887" s="111"/>
      <c r="G1887" s="111">
        <v>81000011</v>
      </c>
      <c r="H1887" s="111">
        <v>4111</v>
      </c>
      <c r="I1887" s="111" t="str">
        <f>MID(G1887,2,1)</f>
        <v>1</v>
      </c>
      <c r="J1887" s="111" t="str">
        <f>IF(I1887="1","Small/Medium","Large")</f>
        <v>Small/Medium</v>
      </c>
      <c r="K1887" s="147" t="s">
        <v>145</v>
      </c>
      <c r="L1887" s="120">
        <v>11892</v>
      </c>
      <c r="M1887" s="120">
        <f>L1887*0.3</f>
        <v>3567.6</v>
      </c>
      <c r="N1887" s="120">
        <f>L1887-M1887</f>
        <v>8324.4</v>
      </c>
      <c r="O1887" s="119">
        <f>IFERROR(N1887/L1887,"")</f>
        <v>0.7</v>
      </c>
      <c r="P1887" s="120">
        <v>11892</v>
      </c>
      <c r="Q1887" s="111">
        <v>5043</v>
      </c>
      <c r="R1887" s="117">
        <v>16.5</v>
      </c>
      <c r="S1887" s="117">
        <v>839.52</v>
      </c>
      <c r="T1887" s="117">
        <v>1405.24</v>
      </c>
      <c r="U1887" s="117">
        <v>627.97</v>
      </c>
      <c r="V1887" s="117">
        <v>22.03</v>
      </c>
      <c r="W1887" s="26">
        <f>SUM(S1887:V1887)</f>
        <v>2894.7600000000007</v>
      </c>
      <c r="X1887" s="118">
        <f>IFERROR(S1887/R1887,"")</f>
        <v>50.879999999999995</v>
      </c>
      <c r="Y1887" s="119">
        <f>IFERROR(V1887/P1887,0)</f>
        <v>1.8525058863101246E-3</v>
      </c>
      <c r="Z1887" s="117">
        <f>P1887-W1887</f>
        <v>8997.24</v>
      </c>
      <c r="AA1887" s="119">
        <f>IFERROR(Z1887/P1887,0)</f>
        <v>0.75657921291624619</v>
      </c>
      <c r="AB1887" s="120">
        <f>M1887-W1887</f>
        <v>672.83999999999924</v>
      </c>
      <c r="AC1887" s="119">
        <f>IFERROR(AA1887-O1887,"")</f>
        <v>5.6579212916246235E-2</v>
      </c>
      <c r="AD1887" s="110"/>
      <c r="AE1887" s="110"/>
      <c r="AF1887" s="110"/>
      <c r="AG1887" s="121"/>
    </row>
    <row r="1888" spans="1:33" s="53" customFormat="1" ht="11.25" customHeight="1" x14ac:dyDescent="0.15">
      <c r="A1888" s="53" t="s">
        <v>306</v>
      </c>
      <c r="C1888" s="54" t="s">
        <v>177</v>
      </c>
      <c r="D1888" s="54"/>
      <c r="E1888" s="70"/>
      <c r="F1888" s="54"/>
      <c r="G1888" s="54"/>
      <c r="H1888" s="54"/>
      <c r="I1888" s="54"/>
      <c r="J1888" s="54"/>
      <c r="K1888" s="106"/>
      <c r="L1888" s="24">
        <f>SUBTOTAL(9,L1887)</f>
        <v>11892</v>
      </c>
      <c r="M1888" s="24">
        <f>SUM(M1887)</f>
        <v>3567.6</v>
      </c>
      <c r="N1888" s="24">
        <f>SUM(N1887)</f>
        <v>8324.4</v>
      </c>
      <c r="O1888" s="57">
        <f>IFERROR(N1888/L1888,"")</f>
        <v>0.7</v>
      </c>
      <c r="P1888" s="24">
        <f>SUBTOTAL(9,P1887)</f>
        <v>11892</v>
      </c>
      <c r="Q1888" s="24"/>
      <c r="R1888" s="117">
        <f>SUBTOTAL(9,R1887)</f>
        <v>16.5</v>
      </c>
      <c r="S1888" s="117">
        <f t="shared" ref="S1888:V1888" si="2071">SUBTOTAL(9,S1887)</f>
        <v>839.52</v>
      </c>
      <c r="T1888" s="117">
        <f t="shared" si="2071"/>
        <v>1405.24</v>
      </c>
      <c r="U1888" s="117">
        <f t="shared" si="2071"/>
        <v>627.97</v>
      </c>
      <c r="V1888" s="117">
        <f t="shared" si="2071"/>
        <v>22.03</v>
      </c>
      <c r="W1888" s="26">
        <f>SUM(W1886:W1887)</f>
        <v>2894.7600000000007</v>
      </c>
      <c r="X1888" s="56">
        <f>IFERROR(S1888/R1888,"")</f>
        <v>50.879999999999995</v>
      </c>
      <c r="Y1888" s="119">
        <f>IFERROR(U1888/P1888,0)</f>
        <v>5.2806088126471577E-2</v>
      </c>
      <c r="Z1888" s="28">
        <f>P1888-W1888</f>
        <v>8997.24</v>
      </c>
      <c r="AA1888" s="119">
        <f>IFERROR(Z1888/P1888,0)</f>
        <v>0.75657921291624619</v>
      </c>
      <c r="AB1888" s="58">
        <f>M1888-W1888</f>
        <v>672.83999999999924</v>
      </c>
      <c r="AC1888" s="57">
        <f>IFERROR(AA1888-O1888,"")</f>
        <v>5.6579212916246235E-2</v>
      </c>
      <c r="AG1888" s="61"/>
    </row>
    <row r="1889" spans="1:33" s="110" customFormat="1" ht="11.25" customHeight="1" x14ac:dyDescent="0.15">
      <c r="A1889" s="130"/>
      <c r="B1889" s="130"/>
      <c r="C1889" s="124"/>
      <c r="D1889" s="124"/>
      <c r="E1889" s="273"/>
      <c r="F1889" s="124"/>
      <c r="G1889" s="124"/>
      <c r="H1889" s="124"/>
      <c r="I1889" s="124"/>
      <c r="J1889" s="124"/>
      <c r="K1889" s="125"/>
      <c r="L1889" s="129"/>
      <c r="M1889" s="129"/>
      <c r="N1889" s="129"/>
      <c r="O1889" s="128"/>
      <c r="P1889" s="129"/>
      <c r="Q1889" s="124"/>
      <c r="R1889" s="129"/>
      <c r="S1889" s="129"/>
      <c r="T1889" s="129"/>
      <c r="U1889" s="129"/>
      <c r="V1889" s="126"/>
      <c r="W1889" s="49"/>
      <c r="X1889" s="45"/>
      <c r="Y1889" s="128"/>
      <c r="Z1889" s="126"/>
      <c r="AA1889" s="128"/>
      <c r="AB1889" s="129"/>
      <c r="AC1889" s="160"/>
      <c r="AD1889" s="137"/>
      <c r="AG1889" s="121"/>
    </row>
    <row r="1890" spans="1:33" ht="11.25" customHeight="1" x14ac:dyDescent="0.15">
      <c r="A1890" s="110" t="s">
        <v>264</v>
      </c>
      <c r="B1890" s="110"/>
      <c r="C1890" s="111" t="s">
        <v>175</v>
      </c>
      <c r="D1890" s="111">
        <v>2025</v>
      </c>
      <c r="E1890" s="146">
        <v>45808</v>
      </c>
      <c r="F1890" s="111"/>
      <c r="G1890" s="111">
        <v>81100010</v>
      </c>
      <c r="H1890" s="111">
        <v>4101</v>
      </c>
      <c r="I1890" s="111" t="str">
        <f>MID(G1890,2,1)</f>
        <v>1</v>
      </c>
      <c r="J1890" s="111" t="str">
        <f>IF(I1890="1","Small/Medium","Large")</f>
        <v>Small/Medium</v>
      </c>
      <c r="K1890" s="147" t="s">
        <v>145</v>
      </c>
      <c r="L1890" s="120">
        <v>10261</v>
      </c>
      <c r="M1890" s="120">
        <f>L1890*0.3</f>
        <v>3078.2999999999997</v>
      </c>
      <c r="N1890" s="120">
        <f>L1890-M1890</f>
        <v>7182.7000000000007</v>
      </c>
      <c r="O1890" s="119">
        <f>IFERROR(N1890/L1890,"")</f>
        <v>0.70000000000000007</v>
      </c>
      <c r="P1890" s="120">
        <v>10261</v>
      </c>
      <c r="Q1890" s="111">
        <v>5276</v>
      </c>
      <c r="R1890" s="117">
        <v>18.5</v>
      </c>
      <c r="S1890" s="117">
        <v>941.28</v>
      </c>
      <c r="T1890" s="117">
        <v>1595.28</v>
      </c>
      <c r="U1890" s="117">
        <v>618.29</v>
      </c>
      <c r="V1890" s="117"/>
      <c r="W1890" s="26">
        <f>SUM(S1890:V1890)</f>
        <v>3154.85</v>
      </c>
      <c r="X1890" s="118">
        <f>IFERROR(S1890/R1890,"")</f>
        <v>50.879999999999995</v>
      </c>
      <c r="Y1890" s="119">
        <f>IFERROR(V1890/P1890,0)</f>
        <v>0</v>
      </c>
      <c r="Z1890" s="117">
        <f>P1890-W1890</f>
        <v>7106.15</v>
      </c>
      <c r="AA1890" s="119">
        <f>IFERROR(Z1890/P1890,0)</f>
        <v>0.69253971347821841</v>
      </c>
      <c r="AB1890" s="120">
        <f>M1890-W1890</f>
        <v>-76.550000000000182</v>
      </c>
      <c r="AC1890" s="119">
        <f>IFERROR(AA1890-O1890,"")</f>
        <v>-7.4602865217816561E-3</v>
      </c>
      <c r="AD1890" s="110"/>
      <c r="AE1890" s="110"/>
      <c r="AF1890" s="110"/>
      <c r="AG1890" s="121"/>
    </row>
    <row r="1891" spans="1:33" s="53" customFormat="1" ht="11.25" customHeight="1" x14ac:dyDescent="0.15">
      <c r="A1891" s="53" t="s">
        <v>264</v>
      </c>
      <c r="C1891" s="54" t="s">
        <v>177</v>
      </c>
      <c r="D1891" s="54"/>
      <c r="E1891" s="70"/>
      <c r="F1891" s="54"/>
      <c r="G1891" s="54"/>
      <c r="H1891" s="54"/>
      <c r="I1891" s="54"/>
      <c r="J1891" s="54"/>
      <c r="K1891" s="106"/>
      <c r="L1891" s="24">
        <f>SUBTOTAL(9,L1890)</f>
        <v>10261</v>
      </c>
      <c r="M1891" s="24">
        <f>SUM(M1890)</f>
        <v>3078.2999999999997</v>
      </c>
      <c r="N1891" s="24">
        <f>SUM(N1890)</f>
        <v>7182.7000000000007</v>
      </c>
      <c r="O1891" s="57">
        <f>IFERROR(N1891/L1891,"")</f>
        <v>0.70000000000000007</v>
      </c>
      <c r="P1891" s="24">
        <f>SUBTOTAL(9,P1890)</f>
        <v>10261</v>
      </c>
      <c r="Q1891" s="24"/>
      <c r="R1891" s="117">
        <f>SUBTOTAL(9,R1890)</f>
        <v>18.5</v>
      </c>
      <c r="S1891" s="117">
        <f t="shared" ref="S1891:V1891" si="2072">SUBTOTAL(9,S1890)</f>
        <v>941.28</v>
      </c>
      <c r="T1891" s="117">
        <f t="shared" si="2072"/>
        <v>1595.28</v>
      </c>
      <c r="U1891" s="117">
        <f t="shared" si="2072"/>
        <v>618.29</v>
      </c>
      <c r="V1891" s="117">
        <f t="shared" si="2072"/>
        <v>0</v>
      </c>
      <c r="W1891" s="26">
        <f>SUM(W1889:W1890)</f>
        <v>3154.85</v>
      </c>
      <c r="X1891" s="56">
        <f>IFERROR(S1891/R1891,"")</f>
        <v>50.879999999999995</v>
      </c>
      <c r="Y1891" s="119">
        <f>IFERROR(U1891/P1891,0)</f>
        <v>6.0256310301140238E-2</v>
      </c>
      <c r="Z1891" s="28">
        <f>P1891-W1891</f>
        <v>7106.15</v>
      </c>
      <c r="AA1891" s="119">
        <f>IFERROR(Z1891/P1891,0)</f>
        <v>0.69253971347821841</v>
      </c>
      <c r="AB1891" s="58">
        <f>M1891-W1891</f>
        <v>-76.550000000000182</v>
      </c>
      <c r="AC1891" s="57">
        <f>IFERROR(AA1891-O1891,"")</f>
        <v>-7.4602865217816561E-3</v>
      </c>
      <c r="AG1891" s="61"/>
    </row>
    <row r="1892" spans="1:33" s="110" customFormat="1" ht="11.25" customHeight="1" x14ac:dyDescent="0.15">
      <c r="A1892" s="130"/>
      <c r="B1892" s="130"/>
      <c r="C1892" s="124"/>
      <c r="D1892" s="124"/>
      <c r="E1892" s="273"/>
      <c r="F1892" s="124"/>
      <c r="G1892" s="124"/>
      <c r="H1892" s="124"/>
      <c r="I1892" s="124"/>
      <c r="J1892" s="124"/>
      <c r="K1892" s="125"/>
      <c r="L1892" s="129"/>
      <c r="M1892" s="129"/>
      <c r="N1892" s="129"/>
      <c r="O1892" s="128"/>
      <c r="P1892" s="129"/>
      <c r="Q1892" s="124"/>
      <c r="R1892" s="129"/>
      <c r="S1892" s="129"/>
      <c r="T1892" s="129"/>
      <c r="U1892" s="129"/>
      <c r="V1892" s="126"/>
      <c r="W1892" s="49"/>
      <c r="X1892" s="45"/>
      <c r="Y1892" s="128"/>
      <c r="Z1892" s="126"/>
      <c r="AA1892" s="128"/>
      <c r="AB1892" s="129"/>
      <c r="AC1892" s="160"/>
      <c r="AD1892" s="137"/>
      <c r="AG1892" s="121"/>
    </row>
    <row r="1893" spans="1:33" ht="11.25" customHeight="1" x14ac:dyDescent="0.15">
      <c r="A1893" s="110" t="s">
        <v>908</v>
      </c>
      <c r="B1893" s="110"/>
      <c r="C1893" s="111" t="s">
        <v>175</v>
      </c>
      <c r="D1893" s="111">
        <v>2025</v>
      </c>
      <c r="E1893" s="146">
        <v>45808</v>
      </c>
      <c r="F1893" s="111"/>
      <c r="G1893" s="111">
        <v>80100011</v>
      </c>
      <c r="H1893" s="111">
        <v>4111</v>
      </c>
      <c r="I1893" s="111" t="str">
        <f t="shared" ref="I1893" si="2073">MID(G1893,2,1)</f>
        <v>0</v>
      </c>
      <c r="J1893" s="111" t="s">
        <v>502</v>
      </c>
      <c r="K1893" s="147" t="s">
        <v>503</v>
      </c>
      <c r="L1893" s="120">
        <v>6952</v>
      </c>
      <c r="M1893" s="120">
        <f>L1893*0.3</f>
        <v>2085.6</v>
      </c>
      <c r="N1893" s="120">
        <f>L1893-M1893</f>
        <v>4866.3999999999996</v>
      </c>
      <c r="O1893" s="119">
        <f>IFERROR(N1893/L1893,"")</f>
        <v>0.7</v>
      </c>
      <c r="P1893" s="120">
        <v>6952</v>
      </c>
      <c r="Q1893" s="111">
        <v>5252</v>
      </c>
      <c r="R1893" s="117">
        <v>23.5</v>
      </c>
      <c r="S1893" s="117">
        <v>1195.68</v>
      </c>
      <c r="T1893" s="117"/>
      <c r="U1893" s="117"/>
      <c r="V1893" s="117"/>
      <c r="W1893" s="26">
        <f>SUM(S1893:V1893)</f>
        <v>1195.68</v>
      </c>
      <c r="X1893" s="118">
        <f>IFERROR(S1893/R1893,"")</f>
        <v>50.88</v>
      </c>
      <c r="Y1893" s="119">
        <f>IFERROR(V1893/P1893,0)</f>
        <v>0</v>
      </c>
      <c r="Z1893" s="117">
        <f>P1893-W1893</f>
        <v>5756.32</v>
      </c>
      <c r="AA1893" s="119">
        <f>IFERROR(Z1893/P1893,0)</f>
        <v>0.8280092059838895</v>
      </c>
      <c r="AB1893" s="120">
        <f>M1893-W1893</f>
        <v>889.91999999999985</v>
      </c>
      <c r="AC1893" s="119">
        <f>IFERROR(AA1893-O1893,"")</f>
        <v>0.12800920598388954</v>
      </c>
      <c r="AD1893" s="110"/>
      <c r="AE1893" s="110"/>
      <c r="AF1893" s="110"/>
      <c r="AG1893" s="121"/>
    </row>
    <row r="1894" spans="1:33" s="53" customFormat="1" ht="11.25" customHeight="1" x14ac:dyDescent="0.15">
      <c r="A1894" s="53" t="s">
        <v>908</v>
      </c>
      <c r="C1894" s="54" t="s">
        <v>177</v>
      </c>
      <c r="D1894" s="54"/>
      <c r="E1894" s="70"/>
      <c r="F1894" s="54"/>
      <c r="G1894" s="54"/>
      <c r="H1894" s="54"/>
      <c r="I1894" s="54"/>
      <c r="J1894" s="54"/>
      <c r="K1894" s="106"/>
      <c r="L1894" s="24">
        <f>SUBTOTAL(9,L1893)</f>
        <v>6952</v>
      </c>
      <c r="M1894" s="24">
        <f>SUM(M1893)</f>
        <v>2085.6</v>
      </c>
      <c r="N1894" s="24">
        <f>SUM(N1893)</f>
        <v>4866.3999999999996</v>
      </c>
      <c r="O1894" s="57">
        <f>IFERROR(N1894/L1894,"")</f>
        <v>0.7</v>
      </c>
      <c r="P1894" s="24">
        <f>SUBTOTAL(9,P1893)</f>
        <v>6952</v>
      </c>
      <c r="Q1894" s="24"/>
      <c r="R1894" s="117">
        <f>SUBTOTAL(9,R1893)</f>
        <v>23.5</v>
      </c>
      <c r="S1894" s="117">
        <f t="shared" ref="S1894:V1894" si="2074">SUBTOTAL(9,S1893)</f>
        <v>1195.68</v>
      </c>
      <c r="T1894" s="117">
        <f t="shared" si="2074"/>
        <v>0</v>
      </c>
      <c r="U1894" s="117">
        <f t="shared" si="2074"/>
        <v>0</v>
      </c>
      <c r="V1894" s="117">
        <f t="shared" si="2074"/>
        <v>0</v>
      </c>
      <c r="W1894" s="26">
        <f>SUM(W1892:W1893)</f>
        <v>1195.68</v>
      </c>
      <c r="X1894" s="56">
        <f>IFERROR(S1894/R1894,"")</f>
        <v>50.88</v>
      </c>
      <c r="Y1894" s="119">
        <f>IFERROR(U1894/P1894,0)</f>
        <v>0</v>
      </c>
      <c r="Z1894" s="28">
        <f>P1894-W1894</f>
        <v>5756.32</v>
      </c>
      <c r="AA1894" s="119">
        <f>IFERROR(Z1894/P1894,0)</f>
        <v>0.8280092059838895</v>
      </c>
      <c r="AB1894" s="58">
        <f>M1894-W1894</f>
        <v>889.91999999999985</v>
      </c>
      <c r="AC1894" s="57">
        <f>IFERROR(AA1894-O1894,"")</f>
        <v>0.12800920598388954</v>
      </c>
      <c r="AG1894" s="61"/>
    </row>
    <row r="1895" spans="1:33" s="110" customFormat="1" ht="11.25" customHeight="1" x14ac:dyDescent="0.15">
      <c r="A1895" s="130"/>
      <c r="B1895" s="130"/>
      <c r="C1895" s="124"/>
      <c r="D1895" s="124"/>
      <c r="E1895" s="273"/>
      <c r="F1895" s="124"/>
      <c r="G1895" s="124"/>
      <c r="H1895" s="124"/>
      <c r="I1895" s="124"/>
      <c r="J1895" s="124"/>
      <c r="K1895" s="125"/>
      <c r="L1895" s="129"/>
      <c r="M1895" s="129"/>
      <c r="N1895" s="129"/>
      <c r="O1895" s="128"/>
      <c r="P1895" s="129"/>
      <c r="Q1895" s="124"/>
      <c r="R1895" s="129"/>
      <c r="S1895" s="129"/>
      <c r="T1895" s="129"/>
      <c r="U1895" s="129"/>
      <c r="V1895" s="126"/>
      <c r="W1895" s="49"/>
      <c r="X1895" s="45"/>
      <c r="Y1895" s="128"/>
      <c r="Z1895" s="126"/>
      <c r="AA1895" s="128"/>
      <c r="AB1895" s="129"/>
      <c r="AC1895" s="160"/>
      <c r="AD1895" s="137"/>
      <c r="AG1895" s="121"/>
    </row>
    <row r="1896" spans="1:33" ht="11.25" customHeight="1" x14ac:dyDescent="0.15">
      <c r="A1896" s="110" t="s">
        <v>36</v>
      </c>
      <c r="B1896" s="110"/>
      <c r="C1896" s="111" t="s">
        <v>175</v>
      </c>
      <c r="D1896" s="111">
        <v>2025</v>
      </c>
      <c r="E1896" s="146">
        <v>45808</v>
      </c>
      <c r="F1896" s="111"/>
      <c r="G1896" s="111">
        <v>81000011</v>
      </c>
      <c r="H1896" s="111">
        <v>4111</v>
      </c>
      <c r="I1896" s="111" t="str">
        <f>MID(G1896,2,1)</f>
        <v>1</v>
      </c>
      <c r="J1896" s="111" t="str">
        <f>IF(I1896="1","Small/Medium","Large")</f>
        <v>Small/Medium</v>
      </c>
      <c r="K1896" s="147" t="s">
        <v>145</v>
      </c>
      <c r="L1896" s="120">
        <v>12130</v>
      </c>
      <c r="M1896" s="120">
        <f>L1896*0.3</f>
        <v>3639</v>
      </c>
      <c r="N1896" s="120">
        <f>L1896-M1896</f>
        <v>8491</v>
      </c>
      <c r="O1896" s="119">
        <f>IFERROR(N1896/L1896,"")</f>
        <v>0.7</v>
      </c>
      <c r="P1896" s="120">
        <v>12130</v>
      </c>
      <c r="Q1896" s="111">
        <v>5278</v>
      </c>
      <c r="R1896" s="117">
        <v>19.5</v>
      </c>
      <c r="S1896" s="117">
        <v>992.16</v>
      </c>
      <c r="T1896" s="117">
        <v>957.7</v>
      </c>
      <c r="U1896" s="117">
        <v>633.02</v>
      </c>
      <c r="V1896" s="117"/>
      <c r="W1896" s="26">
        <f>SUM(S1896:V1896)</f>
        <v>2582.88</v>
      </c>
      <c r="X1896" s="118">
        <f>IFERROR(S1896/R1896,"")</f>
        <v>50.879999999999995</v>
      </c>
      <c r="Y1896" s="119">
        <f>IFERROR(V1896/P1896,0)</f>
        <v>0</v>
      </c>
      <c r="Z1896" s="117">
        <f>P1896-W1896</f>
        <v>9547.119999999999</v>
      </c>
      <c r="AA1896" s="119">
        <f>IFERROR(Z1896/P1896,0)</f>
        <v>0.78706677658697433</v>
      </c>
      <c r="AB1896" s="120">
        <f>M1896-W1896</f>
        <v>1056.1199999999999</v>
      </c>
      <c r="AC1896" s="119">
        <f>IFERROR(AA1896-O1896,"")</f>
        <v>8.706677658697437E-2</v>
      </c>
      <c r="AD1896" s="110"/>
      <c r="AE1896" s="110"/>
      <c r="AF1896" s="110"/>
      <c r="AG1896" s="121"/>
    </row>
    <row r="1897" spans="1:33" ht="11.25" customHeight="1" x14ac:dyDescent="0.15">
      <c r="A1897" s="110" t="s">
        <v>36</v>
      </c>
      <c r="B1897" s="110"/>
      <c r="C1897" s="111" t="s">
        <v>175</v>
      </c>
      <c r="D1897" s="111">
        <v>2025</v>
      </c>
      <c r="E1897" s="146">
        <v>45808</v>
      </c>
      <c r="F1897" s="111"/>
      <c r="G1897" s="111">
        <v>81000011</v>
      </c>
      <c r="H1897" s="111">
        <v>4111</v>
      </c>
      <c r="I1897" s="111" t="str">
        <f>MID(G1897,2,1)</f>
        <v>1</v>
      </c>
      <c r="J1897" s="111" t="str">
        <f>IF(I1897="1","Small/Medium","Large")</f>
        <v>Small/Medium</v>
      </c>
      <c r="K1897" s="147" t="s">
        <v>145</v>
      </c>
      <c r="L1897" s="120">
        <v>12130</v>
      </c>
      <c r="M1897" s="120">
        <f>L1897*0.3</f>
        <v>3639</v>
      </c>
      <c r="N1897" s="120">
        <f>L1897-M1897</f>
        <v>8491</v>
      </c>
      <c r="O1897" s="119">
        <f>IFERROR(N1897/L1897,"")</f>
        <v>0.7</v>
      </c>
      <c r="P1897" s="120">
        <v>12130</v>
      </c>
      <c r="Q1897" s="111">
        <v>5279</v>
      </c>
      <c r="R1897" s="117">
        <v>20</v>
      </c>
      <c r="S1897" s="117">
        <v>1017.6</v>
      </c>
      <c r="T1897" s="117">
        <v>957.71</v>
      </c>
      <c r="U1897" s="117">
        <v>553.01</v>
      </c>
      <c r="V1897" s="117"/>
      <c r="W1897" s="26">
        <f>SUM(S1897:V1897)</f>
        <v>2528.3199999999997</v>
      </c>
      <c r="X1897" s="56">
        <f>IFERROR(S1897/R1897,"")</f>
        <v>50.88</v>
      </c>
      <c r="Y1897" s="119">
        <f>IFERROR(U1897/P1897,0)</f>
        <v>4.5590272052761747E-2</v>
      </c>
      <c r="Z1897" s="28">
        <f>P1897-W1897</f>
        <v>9601.68</v>
      </c>
      <c r="AA1897" s="119">
        <f>IFERROR(Z1897/P1897,0)</f>
        <v>0.79156471558120367</v>
      </c>
      <c r="AB1897" s="58">
        <f>M1897-W1897</f>
        <v>1110.6800000000003</v>
      </c>
      <c r="AC1897" s="57">
        <f>IFERROR(AA1897-O1897,"")</f>
        <v>9.1564715581203715E-2</v>
      </c>
      <c r="AD1897" s="110"/>
      <c r="AE1897" s="110"/>
      <c r="AF1897" s="110"/>
      <c r="AG1897" s="121"/>
    </row>
    <row r="1898" spans="1:33" s="53" customFormat="1" ht="11.25" customHeight="1" x14ac:dyDescent="0.15">
      <c r="A1898" s="53" t="s">
        <v>36</v>
      </c>
      <c r="C1898" s="54" t="s">
        <v>177</v>
      </c>
      <c r="D1898" s="54"/>
      <c r="E1898" s="70"/>
      <c r="F1898" s="54"/>
      <c r="G1898" s="54"/>
      <c r="H1898" s="54"/>
      <c r="I1898" s="54"/>
      <c r="J1898" s="54"/>
      <c r="K1898" s="106"/>
      <c r="L1898" s="24">
        <f>SUM(L1896:L1897)</f>
        <v>24260</v>
      </c>
      <c r="M1898" s="24">
        <f>SUM(M1895:M1897)</f>
        <v>7278</v>
      </c>
      <c r="N1898" s="24">
        <f>SUM(N1895:N1897)</f>
        <v>16982</v>
      </c>
      <c r="O1898" s="57">
        <f>IFERROR(N1898/L1898,"")</f>
        <v>0.7</v>
      </c>
      <c r="P1898" s="24">
        <f>SUM(P1896:P1897)</f>
        <v>24260</v>
      </c>
      <c r="Q1898" s="24"/>
      <c r="R1898" s="117">
        <f>SUM(R1896:R1897)</f>
        <v>39.5</v>
      </c>
      <c r="S1898" s="117">
        <f t="shared" ref="S1898:V1898" si="2075">SUM(S1896:S1897)</f>
        <v>2009.76</v>
      </c>
      <c r="T1898" s="117">
        <f t="shared" si="2075"/>
        <v>1915.41</v>
      </c>
      <c r="U1898" s="117">
        <f t="shared" si="2075"/>
        <v>1186.03</v>
      </c>
      <c r="V1898" s="117">
        <f t="shared" si="2075"/>
        <v>0</v>
      </c>
      <c r="W1898" s="26">
        <f t="shared" ref="W1898" si="2076">SUM(W1896:W1897)</f>
        <v>5111.2</v>
      </c>
      <c r="X1898" s="56">
        <f>IFERROR(S1898/R1898,"")</f>
        <v>50.88</v>
      </c>
      <c r="Y1898" s="119">
        <f>IFERROR(U1898/P1898,0)</f>
        <v>4.8888293487221762E-2</v>
      </c>
      <c r="Z1898" s="28">
        <f>P1898-W1898</f>
        <v>19148.8</v>
      </c>
      <c r="AA1898" s="119">
        <f>IFERROR(Z1898/P1898,0)</f>
        <v>0.78931574608408905</v>
      </c>
      <c r="AB1898" s="58">
        <f>M1898-W1898</f>
        <v>2166.8000000000002</v>
      </c>
      <c r="AC1898" s="57">
        <f>IFERROR(AA1898-O1898,"")</f>
        <v>8.9315746084089098E-2</v>
      </c>
      <c r="AG1898" s="61"/>
    </row>
    <row r="1899" spans="1:33" s="110" customFormat="1" ht="11.25" customHeight="1" x14ac:dyDescent="0.15">
      <c r="A1899" s="130"/>
      <c r="B1899" s="130"/>
      <c r="C1899" s="124"/>
      <c r="D1899" s="124"/>
      <c r="E1899" s="273"/>
      <c r="F1899" s="124"/>
      <c r="G1899" s="124"/>
      <c r="H1899" s="124"/>
      <c r="I1899" s="124"/>
      <c r="J1899" s="124"/>
      <c r="K1899" s="125"/>
      <c r="L1899" s="129"/>
      <c r="M1899" s="129"/>
      <c r="N1899" s="129"/>
      <c r="O1899" s="128"/>
      <c r="P1899" s="129"/>
      <c r="Q1899" s="124"/>
      <c r="R1899" s="129"/>
      <c r="S1899" s="129"/>
      <c r="T1899" s="129"/>
      <c r="U1899" s="129"/>
      <c r="V1899" s="126"/>
      <c r="W1899" s="49"/>
      <c r="X1899" s="45"/>
      <c r="Y1899" s="128"/>
      <c r="Z1899" s="126"/>
      <c r="AA1899" s="128"/>
      <c r="AB1899" s="129"/>
      <c r="AC1899" s="160"/>
      <c r="AD1899" s="137"/>
      <c r="AG1899" s="121"/>
    </row>
    <row r="1900" spans="1:33" ht="11.25" customHeight="1" x14ac:dyDescent="0.15">
      <c r="A1900" s="110" t="s">
        <v>308</v>
      </c>
      <c r="B1900" s="110"/>
      <c r="C1900" s="111" t="s">
        <v>175</v>
      </c>
      <c r="D1900" s="111">
        <v>2025</v>
      </c>
      <c r="E1900" s="146">
        <v>45808</v>
      </c>
      <c r="F1900" s="111"/>
      <c r="G1900" s="111">
        <v>82100311</v>
      </c>
      <c r="H1900" s="111">
        <v>4101</v>
      </c>
      <c r="I1900" s="111" t="str">
        <f>MID(G1900,2,1)</f>
        <v>2</v>
      </c>
      <c r="J1900" s="111" t="str">
        <f>IF(I1900="1","Small/Medium","Large")</f>
        <v>Large</v>
      </c>
      <c r="K1900" s="147" t="s">
        <v>176</v>
      </c>
      <c r="L1900" s="120">
        <f>8223.6+10786</f>
        <v>19009.599999999999</v>
      </c>
      <c r="M1900" s="120">
        <f>L1900*0.3</f>
        <v>5702.8799999999992</v>
      </c>
      <c r="N1900" s="120">
        <f>L1900-M1900</f>
        <v>13306.72</v>
      </c>
      <c r="O1900" s="119">
        <f>IFERROR(N1900/L1900,"")</f>
        <v>0.70000000000000007</v>
      </c>
      <c r="P1900" s="120">
        <f>8223.6+10786</f>
        <v>19009.599999999999</v>
      </c>
      <c r="Q1900" s="111">
        <v>5327</v>
      </c>
      <c r="R1900" s="117">
        <v>34.5</v>
      </c>
      <c r="S1900" s="117">
        <v>1755.36</v>
      </c>
      <c r="T1900" s="117">
        <v>1675.35</v>
      </c>
      <c r="U1900" s="117">
        <v>678.74</v>
      </c>
      <c r="V1900" s="117"/>
      <c r="W1900" s="26">
        <f>SUM(S1900:V1900)</f>
        <v>4109.45</v>
      </c>
      <c r="X1900" s="118">
        <f>IFERROR(S1900/R1900,"")</f>
        <v>50.879999999999995</v>
      </c>
      <c r="Y1900" s="119">
        <f>IFERROR(U1900/P1900,0)</f>
        <v>3.5705117414359062E-2</v>
      </c>
      <c r="Z1900" s="117">
        <f>P1900-W1900</f>
        <v>14900.149999999998</v>
      </c>
      <c r="AA1900" s="119">
        <f>IFERROR(Z1900/P1900,0)</f>
        <v>0.78382238447942088</v>
      </c>
      <c r="AB1900" s="120">
        <f>M1900-W1900</f>
        <v>1593.4299999999994</v>
      </c>
      <c r="AC1900" s="119">
        <f>IFERROR(AA1900-O1900,"")</f>
        <v>8.3822384479420808E-2</v>
      </c>
      <c r="AD1900" s="110"/>
      <c r="AE1900" s="110"/>
      <c r="AF1900" s="110"/>
      <c r="AG1900" s="121"/>
    </row>
    <row r="1901" spans="1:33" ht="11.25" customHeight="1" x14ac:dyDescent="0.15">
      <c r="A1901" s="110" t="s">
        <v>308</v>
      </c>
      <c r="B1901" s="110"/>
      <c r="C1901" s="111" t="s">
        <v>175</v>
      </c>
      <c r="D1901" s="111">
        <v>2025</v>
      </c>
      <c r="E1901" s="146">
        <v>45808</v>
      </c>
      <c r="F1901" s="111"/>
      <c r="G1901" s="111">
        <v>81100311</v>
      </c>
      <c r="H1901" s="111">
        <v>4101</v>
      </c>
      <c r="I1901" s="111" t="str">
        <f>MID(G1901,2,1)</f>
        <v>1</v>
      </c>
      <c r="J1901" s="111" t="str">
        <f>IF(I1901="1","Small/Medium","Large")</f>
        <v>Small/Medium</v>
      </c>
      <c r="K1901" s="147" t="s">
        <v>145</v>
      </c>
      <c r="L1901" s="120">
        <f>19188.4+25166.4</f>
        <v>44354.8</v>
      </c>
      <c r="M1901" s="120">
        <f>L1901*0.3</f>
        <v>13306.44</v>
      </c>
      <c r="N1901" s="120">
        <f>L1901-M1901</f>
        <v>31048.36</v>
      </c>
      <c r="O1901" s="119">
        <f>IFERROR(N1901/L1901,"")</f>
        <v>0.7</v>
      </c>
      <c r="P1901" s="120">
        <f>19188.4+25166.4</f>
        <v>44354.8</v>
      </c>
      <c r="Q1901" s="111">
        <v>5326</v>
      </c>
      <c r="R1901" s="117">
        <v>34.5</v>
      </c>
      <c r="S1901" s="117">
        <v>1755.36</v>
      </c>
      <c r="T1901" s="117">
        <v>1939.05</v>
      </c>
      <c r="U1901" s="117">
        <v>548.21</v>
      </c>
      <c r="V1901" s="117">
        <v>15.71</v>
      </c>
      <c r="W1901" s="26">
        <f>SUM(S1901:V1901)</f>
        <v>4258.33</v>
      </c>
      <c r="X1901" s="118">
        <f>IFERROR(S1901/R1901,"")</f>
        <v>50.879999999999995</v>
      </c>
      <c r="Y1901" s="119">
        <f>IFERROR(U1901/P1901,0)</f>
        <v>1.2359654422971133E-2</v>
      </c>
      <c r="Z1901" s="117">
        <f>P1901-W1901</f>
        <v>40096.47</v>
      </c>
      <c r="AA1901" s="119">
        <f>IFERROR(Z1901/P1901,0)</f>
        <v>0.90399393075833956</v>
      </c>
      <c r="AB1901" s="120">
        <f>M1901-W1901</f>
        <v>9048.11</v>
      </c>
      <c r="AC1901" s="119">
        <f>IFERROR(AA1901-O1901,"")</f>
        <v>0.2039939307583396</v>
      </c>
      <c r="AD1901" s="110"/>
      <c r="AE1901" s="110"/>
      <c r="AF1901" s="110"/>
      <c r="AG1901" s="121"/>
    </row>
    <row r="1902" spans="1:33" s="53" customFormat="1" ht="11.25" customHeight="1" x14ac:dyDescent="0.15">
      <c r="A1902" s="53" t="s">
        <v>308</v>
      </c>
      <c r="C1902" s="54" t="s">
        <v>177</v>
      </c>
      <c r="D1902" s="54"/>
      <c r="E1902" s="70"/>
      <c r="F1902" s="54"/>
      <c r="G1902" s="54"/>
      <c r="H1902" s="54"/>
      <c r="I1902" s="54"/>
      <c r="J1902" s="54"/>
      <c r="K1902" s="106"/>
      <c r="L1902" s="24">
        <f>SUM(L1900:L1901)</f>
        <v>63364.4</v>
      </c>
      <c r="M1902" s="24">
        <f>SUM(M1899:M1901)</f>
        <v>19009.32</v>
      </c>
      <c r="N1902" s="24">
        <f>SUM(N1899:N1901)</f>
        <v>44355.08</v>
      </c>
      <c r="O1902" s="57">
        <f>IFERROR(N1902/L1902,"")</f>
        <v>0.70000000000000007</v>
      </c>
      <c r="P1902" s="24">
        <f>SUM(P1900:P1901)</f>
        <v>63364.4</v>
      </c>
      <c r="Q1902" s="24"/>
      <c r="R1902" s="117">
        <f>SUM(R1900:R1901)</f>
        <v>69</v>
      </c>
      <c r="S1902" s="117">
        <f t="shared" ref="S1902:V1902" si="2077">SUM(S1900:S1901)</f>
        <v>3510.72</v>
      </c>
      <c r="T1902" s="117">
        <f t="shared" si="2077"/>
        <v>3614.3999999999996</v>
      </c>
      <c r="U1902" s="117">
        <f t="shared" si="2077"/>
        <v>1226.95</v>
      </c>
      <c r="V1902" s="117">
        <f t="shared" si="2077"/>
        <v>15.71</v>
      </c>
      <c r="W1902" s="26">
        <f t="shared" ref="W1902" si="2078">SUM(W1900:W1901)</f>
        <v>8367.7799999999988</v>
      </c>
      <c r="X1902" s="56">
        <f>IFERROR(S1902/R1902,"")</f>
        <v>50.879999999999995</v>
      </c>
      <c r="Y1902" s="119">
        <f>IFERROR(U1902/P1902,0)</f>
        <v>1.9363396481304959E-2</v>
      </c>
      <c r="Z1902" s="28">
        <f>P1902-W1902</f>
        <v>54996.62</v>
      </c>
      <c r="AA1902" s="119">
        <f>IFERROR(Z1902/P1902,0)</f>
        <v>0.86794193585041446</v>
      </c>
      <c r="AB1902" s="58">
        <f>M1902-W1902</f>
        <v>10641.54</v>
      </c>
      <c r="AC1902" s="57">
        <f>IFERROR(AA1902-O1902,"")</f>
        <v>0.16794193585041439</v>
      </c>
      <c r="AG1902" s="61"/>
    </row>
    <row r="1903" spans="1:33" s="110" customFormat="1" ht="11.25" customHeight="1" x14ac:dyDescent="0.15">
      <c r="A1903" s="130"/>
      <c r="B1903" s="130"/>
      <c r="C1903" s="124"/>
      <c r="D1903" s="124"/>
      <c r="E1903" s="273"/>
      <c r="F1903" s="124"/>
      <c r="G1903" s="124"/>
      <c r="H1903" s="124"/>
      <c r="I1903" s="124"/>
      <c r="J1903" s="124"/>
      <c r="K1903" s="125"/>
      <c r="L1903" s="129"/>
      <c r="M1903" s="129"/>
      <c r="N1903" s="129"/>
      <c r="O1903" s="128"/>
      <c r="P1903" s="129"/>
      <c r="Q1903" s="124"/>
      <c r="R1903" s="129"/>
      <c r="S1903" s="129"/>
      <c r="T1903" s="129"/>
      <c r="U1903" s="129"/>
      <c r="V1903" s="126"/>
      <c r="W1903" s="49"/>
      <c r="X1903" s="45"/>
      <c r="Y1903" s="128"/>
      <c r="Z1903" s="126"/>
      <c r="AA1903" s="128"/>
      <c r="AB1903" s="129"/>
      <c r="AC1903" s="160"/>
      <c r="AD1903" s="137"/>
      <c r="AG1903" s="121"/>
    </row>
    <row r="1904" spans="1:33" ht="11.25" customHeight="1" x14ac:dyDescent="0.15">
      <c r="A1904" s="110" t="s">
        <v>292</v>
      </c>
      <c r="B1904" s="110"/>
      <c r="C1904" s="111" t="s">
        <v>175</v>
      </c>
      <c r="D1904" s="111">
        <v>2025</v>
      </c>
      <c r="E1904" s="146">
        <v>45808</v>
      </c>
      <c r="F1904" s="111"/>
      <c r="G1904" s="111">
        <v>81100210</v>
      </c>
      <c r="H1904" s="111">
        <v>4101</v>
      </c>
      <c r="I1904" s="111" t="str">
        <f>MID(G1904,2,1)</f>
        <v>1</v>
      </c>
      <c r="J1904" s="111" t="str">
        <f>IF(I1904="1","Small/Medium","Large")</f>
        <v>Small/Medium</v>
      </c>
      <c r="K1904" s="147" t="s">
        <v>145</v>
      </c>
      <c r="L1904" s="120">
        <v>7870</v>
      </c>
      <c r="M1904" s="120">
        <f>L1904*0.3</f>
        <v>2361</v>
      </c>
      <c r="N1904" s="120">
        <f>L1904-M1904</f>
        <v>5509</v>
      </c>
      <c r="O1904" s="119">
        <f>IFERROR(N1904/L1904,"")</f>
        <v>0.7</v>
      </c>
      <c r="P1904" s="120">
        <v>7870</v>
      </c>
      <c r="Q1904" s="111">
        <v>5328</v>
      </c>
      <c r="R1904" s="117">
        <v>28.5</v>
      </c>
      <c r="S1904" s="117">
        <v>1450.08</v>
      </c>
      <c r="T1904" s="117">
        <v>1116.9000000000001</v>
      </c>
      <c r="U1904" s="117">
        <v>62.05</v>
      </c>
      <c r="V1904" s="117"/>
      <c r="W1904" s="26">
        <f>SUM(S1904:V1904)</f>
        <v>2629.03</v>
      </c>
      <c r="X1904" s="118">
        <f>IFERROR(S1904/R1904,"")</f>
        <v>50.879999999999995</v>
      </c>
      <c r="Y1904" s="119">
        <f>IFERROR(V1904/P1904,0)</f>
        <v>0</v>
      </c>
      <c r="Z1904" s="117">
        <f>P1904-W1904</f>
        <v>5240.9699999999993</v>
      </c>
      <c r="AA1904" s="119">
        <f>IFERROR(Z1904/P1904,0)</f>
        <v>0.66594282083862766</v>
      </c>
      <c r="AB1904" s="120">
        <f>M1904-W1904</f>
        <v>-268.0300000000002</v>
      </c>
      <c r="AC1904" s="119">
        <f>IFERROR(AA1904-O1904,"")</f>
        <v>-3.4057179161372297E-2</v>
      </c>
      <c r="AD1904" s="110"/>
      <c r="AE1904" s="110"/>
      <c r="AF1904" s="110"/>
      <c r="AG1904" s="121"/>
    </row>
    <row r="1905" spans="1:33" s="53" customFormat="1" ht="11.25" customHeight="1" x14ac:dyDescent="0.15">
      <c r="A1905" s="53" t="s">
        <v>292</v>
      </c>
      <c r="C1905" s="54" t="s">
        <v>177</v>
      </c>
      <c r="D1905" s="54"/>
      <c r="E1905" s="70"/>
      <c r="F1905" s="54"/>
      <c r="G1905" s="54"/>
      <c r="H1905" s="54"/>
      <c r="I1905" s="54"/>
      <c r="J1905" s="54"/>
      <c r="K1905" s="106"/>
      <c r="L1905" s="24">
        <f>SUBTOTAL(9,L1904)</f>
        <v>7870</v>
      </c>
      <c r="M1905" s="24">
        <f>SUM(M1904)</f>
        <v>2361</v>
      </c>
      <c r="N1905" s="24">
        <f>SUM(N1904)</f>
        <v>5509</v>
      </c>
      <c r="O1905" s="57">
        <f>IFERROR(N1905/L1905,"")</f>
        <v>0.7</v>
      </c>
      <c r="P1905" s="24">
        <f>SUBTOTAL(9,P1904)</f>
        <v>7870</v>
      </c>
      <c r="Q1905" s="24"/>
      <c r="R1905" s="117">
        <f>SUBTOTAL(9,R1904)</f>
        <v>28.5</v>
      </c>
      <c r="S1905" s="117">
        <f t="shared" ref="S1905:V1905" si="2079">SUBTOTAL(9,S1904)</f>
        <v>1450.08</v>
      </c>
      <c r="T1905" s="117">
        <f t="shared" si="2079"/>
        <v>1116.9000000000001</v>
      </c>
      <c r="U1905" s="117">
        <f t="shared" si="2079"/>
        <v>62.05</v>
      </c>
      <c r="V1905" s="117">
        <f t="shared" si="2079"/>
        <v>0</v>
      </c>
      <c r="W1905" s="26">
        <f>SUM(W1903:W1904)</f>
        <v>2629.03</v>
      </c>
      <c r="X1905" s="56">
        <f>IFERROR(S1905/R1905,"")</f>
        <v>50.879999999999995</v>
      </c>
      <c r="Y1905" s="119">
        <f>IFERROR(U1905/P1905,0)</f>
        <v>7.8843710292249049E-3</v>
      </c>
      <c r="Z1905" s="28">
        <f>P1905-W1905</f>
        <v>5240.9699999999993</v>
      </c>
      <c r="AA1905" s="119">
        <f>IFERROR(Z1905/P1905,0)</f>
        <v>0.66594282083862766</v>
      </c>
      <c r="AB1905" s="58">
        <f>M1905-W1905</f>
        <v>-268.0300000000002</v>
      </c>
      <c r="AC1905" s="57">
        <f>IFERROR(AA1905-O1905,"")</f>
        <v>-3.4057179161372297E-2</v>
      </c>
      <c r="AG1905" s="61"/>
    </row>
    <row r="1906" spans="1:33" s="110" customFormat="1" ht="11.25" customHeight="1" x14ac:dyDescent="0.15">
      <c r="A1906" s="130"/>
      <c r="B1906" s="130"/>
      <c r="C1906" s="124"/>
      <c r="D1906" s="124"/>
      <c r="E1906" s="273"/>
      <c r="F1906" s="124"/>
      <c r="G1906" s="124"/>
      <c r="H1906" s="124"/>
      <c r="I1906" s="124"/>
      <c r="J1906" s="124"/>
      <c r="K1906" s="125"/>
      <c r="L1906" s="129"/>
      <c r="M1906" s="129"/>
      <c r="N1906" s="129"/>
      <c r="O1906" s="128"/>
      <c r="P1906" s="129"/>
      <c r="Q1906" s="124"/>
      <c r="R1906" s="129"/>
      <c r="S1906" s="129"/>
      <c r="T1906" s="129"/>
      <c r="U1906" s="129"/>
      <c r="V1906" s="126"/>
      <c r="W1906" s="49"/>
      <c r="X1906" s="45"/>
      <c r="Y1906" s="128"/>
      <c r="Z1906" s="126"/>
      <c r="AA1906" s="128"/>
      <c r="AB1906" s="129"/>
      <c r="AC1906" s="160"/>
      <c r="AD1906" s="137"/>
      <c r="AG1906" s="121"/>
    </row>
    <row r="1907" spans="1:33" ht="11.25" customHeight="1" x14ac:dyDescent="0.15">
      <c r="A1907" s="110" t="s">
        <v>152</v>
      </c>
      <c r="B1907" s="110"/>
      <c r="C1907" s="111" t="s">
        <v>175</v>
      </c>
      <c r="D1907" s="111">
        <v>2025</v>
      </c>
      <c r="E1907" s="146">
        <v>45808</v>
      </c>
      <c r="F1907" s="111"/>
      <c r="G1907" s="111">
        <v>81110111</v>
      </c>
      <c r="H1907" s="111">
        <v>4101</v>
      </c>
      <c r="I1907" s="111" t="str">
        <f>MID(G1907,2,1)</f>
        <v>1</v>
      </c>
      <c r="J1907" s="111" t="str">
        <f>IF(I1907="1","Small/Medium","Large")</f>
        <v>Small/Medium</v>
      </c>
      <c r="K1907" s="147" t="s">
        <v>145</v>
      </c>
      <c r="L1907" s="120">
        <v>17017</v>
      </c>
      <c r="M1907" s="120">
        <f>L1907*0.3</f>
        <v>5105.0999999999995</v>
      </c>
      <c r="N1907" s="120">
        <f>L1907-M1907</f>
        <v>11911.900000000001</v>
      </c>
      <c r="O1907" s="119">
        <f>IFERROR(N1907/L1907,"")</f>
        <v>0.70000000000000007</v>
      </c>
      <c r="P1907" s="120">
        <v>17017</v>
      </c>
      <c r="Q1907" s="111">
        <v>5277</v>
      </c>
      <c r="R1907" s="117">
        <v>13.5</v>
      </c>
      <c r="S1907" s="117">
        <v>1046.6600000000001</v>
      </c>
      <c r="T1907" s="117">
        <v>1449.65</v>
      </c>
      <c r="U1907" s="117">
        <v>475</v>
      </c>
      <c r="V1907" s="117"/>
      <c r="W1907" s="26">
        <f>SUM(S1907:V1907)</f>
        <v>2971.3100000000004</v>
      </c>
      <c r="X1907" s="118">
        <f>IFERROR(S1907/R1907,"")</f>
        <v>77.530370370370377</v>
      </c>
      <c r="Y1907" s="119">
        <f>IFERROR(V1907/P1907,0)</f>
        <v>0</v>
      </c>
      <c r="Z1907" s="117">
        <f>P1907-W1907</f>
        <v>14045.689999999999</v>
      </c>
      <c r="AA1907" s="119">
        <f>IFERROR(Z1907/P1907,0)</f>
        <v>0.82539166715637291</v>
      </c>
      <c r="AB1907" s="120">
        <f>M1907-W1907</f>
        <v>2133.7899999999991</v>
      </c>
      <c r="AC1907" s="119">
        <f>IFERROR(AA1907-O1907,"")</f>
        <v>0.12539166715637284</v>
      </c>
      <c r="AD1907" s="110" t="s">
        <v>804</v>
      </c>
      <c r="AE1907" s="110"/>
      <c r="AF1907" s="110"/>
      <c r="AG1907" s="121"/>
    </row>
    <row r="1908" spans="1:33" s="53" customFormat="1" ht="11.25" customHeight="1" x14ac:dyDescent="0.15">
      <c r="A1908" s="53" t="s">
        <v>152</v>
      </c>
      <c r="C1908" s="54" t="s">
        <v>177</v>
      </c>
      <c r="D1908" s="54"/>
      <c r="E1908" s="70"/>
      <c r="F1908" s="54"/>
      <c r="G1908" s="54"/>
      <c r="H1908" s="54"/>
      <c r="I1908" s="54"/>
      <c r="J1908" s="54"/>
      <c r="K1908" s="106"/>
      <c r="L1908" s="24">
        <f>SUM(L1907)</f>
        <v>17017</v>
      </c>
      <c r="M1908" s="24">
        <f>SUM(M1907)</f>
        <v>5105.0999999999995</v>
      </c>
      <c r="N1908" s="24">
        <f>SUM(N1907)</f>
        <v>11911.900000000001</v>
      </c>
      <c r="O1908" s="57">
        <f>IFERROR(N1908/L1908,"")</f>
        <v>0.70000000000000007</v>
      </c>
      <c r="P1908" s="24">
        <f>SUM(P1907)</f>
        <v>17017</v>
      </c>
      <c r="Q1908" s="24"/>
      <c r="R1908" s="117">
        <f>SUM(R1907)</f>
        <v>13.5</v>
      </c>
      <c r="S1908" s="117">
        <f t="shared" ref="S1908:V1908" si="2080">SUM(S1907)</f>
        <v>1046.6600000000001</v>
      </c>
      <c r="T1908" s="117">
        <f t="shared" si="2080"/>
        <v>1449.65</v>
      </c>
      <c r="U1908" s="117">
        <f t="shared" si="2080"/>
        <v>475</v>
      </c>
      <c r="V1908" s="117">
        <f t="shared" si="2080"/>
        <v>0</v>
      </c>
      <c r="W1908" s="26">
        <f>SUM(W1906:W1907)</f>
        <v>2971.3100000000004</v>
      </c>
      <c r="X1908" s="56">
        <f>IFERROR(S1908/R1908,"")</f>
        <v>77.530370370370377</v>
      </c>
      <c r="Y1908" s="119">
        <f>IFERROR(U1908/P1908,0)</f>
        <v>2.7913263207380853E-2</v>
      </c>
      <c r="Z1908" s="28">
        <f>P1908-W1908</f>
        <v>14045.689999999999</v>
      </c>
      <c r="AA1908" s="119">
        <f>IFERROR(Z1908/P1908,0)</f>
        <v>0.82539166715637291</v>
      </c>
      <c r="AB1908" s="58">
        <f>M1908-W1908</f>
        <v>2133.7899999999991</v>
      </c>
      <c r="AC1908" s="57">
        <f>IFERROR(AA1908-O1908,"")</f>
        <v>0.12539166715637284</v>
      </c>
      <c r="AG1908" s="61"/>
    </row>
    <row r="1909" spans="1:33" s="110" customFormat="1" ht="11.25" customHeight="1" x14ac:dyDescent="0.15">
      <c r="A1909" s="130"/>
      <c r="B1909" s="130"/>
      <c r="C1909" s="124"/>
      <c r="D1909" s="124"/>
      <c r="E1909" s="273"/>
      <c r="F1909" s="124"/>
      <c r="G1909" s="124"/>
      <c r="H1909" s="124"/>
      <c r="I1909" s="124"/>
      <c r="J1909" s="124"/>
      <c r="K1909" s="125"/>
      <c r="L1909" s="129"/>
      <c r="M1909" s="129"/>
      <c r="N1909" s="129"/>
      <c r="O1909" s="128"/>
      <c r="P1909" s="129"/>
      <c r="Q1909" s="124"/>
      <c r="R1909" s="129"/>
      <c r="S1909" s="129"/>
      <c r="T1909" s="129"/>
      <c r="U1909" s="129"/>
      <c r="V1909" s="126"/>
      <c r="W1909" s="49"/>
      <c r="X1909" s="45"/>
      <c r="Y1909" s="128"/>
      <c r="Z1909" s="126"/>
      <c r="AA1909" s="128"/>
      <c r="AB1909" s="129"/>
      <c r="AC1909" s="160"/>
      <c r="AD1909" s="137"/>
      <c r="AG1909" s="121"/>
    </row>
    <row r="1910" spans="1:33" ht="11.25" customHeight="1" x14ac:dyDescent="0.15">
      <c r="A1910" s="110" t="s">
        <v>540</v>
      </c>
      <c r="B1910" s="110"/>
      <c r="C1910" s="111" t="s">
        <v>175</v>
      </c>
      <c r="D1910" s="111">
        <v>2025</v>
      </c>
      <c r="E1910" s="146">
        <v>45808</v>
      </c>
      <c r="F1910" s="111"/>
      <c r="G1910" s="111">
        <v>81110111</v>
      </c>
      <c r="H1910" s="111">
        <v>4101</v>
      </c>
      <c r="I1910" s="111" t="str">
        <f>MID(G1910,2,1)</f>
        <v>1</v>
      </c>
      <c r="J1910" s="111" t="str">
        <f>IF(I1910="1","Small/Medium","Large")</f>
        <v>Small/Medium</v>
      </c>
      <c r="K1910" s="147" t="s">
        <v>145</v>
      </c>
      <c r="L1910" s="120">
        <v>24579</v>
      </c>
      <c r="M1910" s="120">
        <f>L1910*0.3</f>
        <v>7373.7</v>
      </c>
      <c r="N1910" s="120">
        <f>L1910-M1910</f>
        <v>17205.3</v>
      </c>
      <c r="O1910" s="119">
        <f>IFERROR(N1910/L1910,"")</f>
        <v>0.7</v>
      </c>
      <c r="P1910" s="120">
        <v>24579</v>
      </c>
      <c r="Q1910" s="111">
        <v>5217</v>
      </c>
      <c r="R1910" s="117">
        <v>23</v>
      </c>
      <c r="S1910" s="117">
        <v>1783.2</v>
      </c>
      <c r="T1910" s="117">
        <v>1449.64</v>
      </c>
      <c r="U1910" s="117">
        <v>499.29</v>
      </c>
      <c r="V1910" s="117"/>
      <c r="W1910" s="26">
        <f>SUM(S1910:V1910)</f>
        <v>3732.13</v>
      </c>
      <c r="X1910" s="118">
        <f>IFERROR(S1910/R1910,"")</f>
        <v>77.530434782608694</v>
      </c>
      <c r="Y1910" s="119">
        <f>IFERROR(V1910/P1910,0)</f>
        <v>0</v>
      </c>
      <c r="Z1910" s="117">
        <f>P1910-W1910</f>
        <v>20846.87</v>
      </c>
      <c r="AA1910" s="119">
        <f>IFERROR(Z1910/P1910,0)</f>
        <v>0.84815777696407502</v>
      </c>
      <c r="AB1910" s="120">
        <f>M1910-W1910</f>
        <v>3641.5699999999997</v>
      </c>
      <c r="AC1910" s="119">
        <f>IFERROR(AA1910-O1910,"")</f>
        <v>0.14815777696407506</v>
      </c>
      <c r="AD1910" s="110" t="s">
        <v>909</v>
      </c>
      <c r="AE1910" s="110"/>
      <c r="AF1910" s="110"/>
      <c r="AG1910" s="121"/>
    </row>
    <row r="1911" spans="1:33" s="53" customFormat="1" ht="11.25" customHeight="1" x14ac:dyDescent="0.15">
      <c r="A1911" s="53" t="s">
        <v>540</v>
      </c>
      <c r="C1911" s="54" t="s">
        <v>177</v>
      </c>
      <c r="D1911" s="54"/>
      <c r="E1911" s="70"/>
      <c r="F1911" s="54"/>
      <c r="G1911" s="54"/>
      <c r="H1911" s="54"/>
      <c r="I1911" s="54"/>
      <c r="J1911" s="54"/>
      <c r="K1911" s="106"/>
      <c r="L1911" s="24">
        <f>SUM(L1910)</f>
        <v>24579</v>
      </c>
      <c r="M1911" s="24">
        <f>SUM(M1910)</f>
        <v>7373.7</v>
      </c>
      <c r="N1911" s="24">
        <f>SUM(N1910)</f>
        <v>17205.3</v>
      </c>
      <c r="O1911" s="57">
        <f>IFERROR(N1911/L1911,"")</f>
        <v>0.7</v>
      </c>
      <c r="P1911" s="24">
        <f>SUM(P1910)</f>
        <v>24579</v>
      </c>
      <c r="Q1911" s="24"/>
      <c r="R1911" s="117">
        <f>SUM(R1910)</f>
        <v>23</v>
      </c>
      <c r="S1911" s="117">
        <f t="shared" ref="S1911:V1911" si="2081">SUM(S1910)</f>
        <v>1783.2</v>
      </c>
      <c r="T1911" s="117">
        <f t="shared" si="2081"/>
        <v>1449.64</v>
      </c>
      <c r="U1911" s="117">
        <f t="shared" si="2081"/>
        <v>499.29</v>
      </c>
      <c r="V1911" s="117">
        <f t="shared" si="2081"/>
        <v>0</v>
      </c>
      <c r="W1911" s="26">
        <f>SUM(W1909:W1910)</f>
        <v>3732.13</v>
      </c>
      <c r="X1911" s="56">
        <f>IFERROR(S1911/R1911,"")</f>
        <v>77.530434782608694</v>
      </c>
      <c r="Y1911" s="119">
        <f>IFERROR(U1911/P1911,0)</f>
        <v>2.0313682411814964E-2</v>
      </c>
      <c r="Z1911" s="28">
        <f>P1911-W1911</f>
        <v>20846.87</v>
      </c>
      <c r="AA1911" s="119">
        <f>IFERROR(Z1911/P1911,0)</f>
        <v>0.84815777696407502</v>
      </c>
      <c r="AB1911" s="58">
        <f>M1911-W1911</f>
        <v>3641.5699999999997</v>
      </c>
      <c r="AC1911" s="57">
        <f>IFERROR(AA1911-O1911,"")</f>
        <v>0.14815777696407506</v>
      </c>
      <c r="AG1911" s="61"/>
    </row>
    <row r="1912" spans="1:33" s="110" customFormat="1" ht="11.25" customHeight="1" x14ac:dyDescent="0.15">
      <c r="A1912" s="130"/>
      <c r="B1912" s="130"/>
      <c r="C1912" s="124"/>
      <c r="D1912" s="124"/>
      <c r="E1912" s="273"/>
      <c r="F1912" s="124"/>
      <c r="G1912" s="124"/>
      <c r="H1912" s="124"/>
      <c r="I1912" s="124"/>
      <c r="J1912" s="124"/>
      <c r="K1912" s="125"/>
      <c r="L1912" s="129"/>
      <c r="M1912" s="129"/>
      <c r="N1912" s="129"/>
      <c r="O1912" s="128"/>
      <c r="P1912" s="129"/>
      <c r="Q1912" s="124"/>
      <c r="R1912" s="129"/>
      <c r="S1912" s="129"/>
      <c r="T1912" s="129"/>
      <c r="U1912" s="129"/>
      <c r="V1912" s="126"/>
      <c r="W1912" s="49"/>
      <c r="X1912" s="45"/>
      <c r="Y1912" s="128"/>
      <c r="Z1912" s="126"/>
      <c r="AA1912" s="128"/>
      <c r="AB1912" s="129"/>
      <c r="AC1912" s="160"/>
      <c r="AD1912" s="137"/>
      <c r="AG1912" s="121"/>
    </row>
    <row r="1913" spans="1:33" ht="11.25" customHeight="1" x14ac:dyDescent="0.15">
      <c r="A1913" s="110" t="s">
        <v>137</v>
      </c>
      <c r="B1913" s="110"/>
      <c r="C1913" s="111" t="s">
        <v>175</v>
      </c>
      <c r="D1913" s="111">
        <v>2025</v>
      </c>
      <c r="E1913" s="146">
        <v>45808</v>
      </c>
      <c r="F1913" s="111"/>
      <c r="G1913" s="111">
        <v>81110111</v>
      </c>
      <c r="H1913" s="111">
        <v>4101</v>
      </c>
      <c r="I1913" s="111" t="str">
        <f>MID(G1913,2,1)</f>
        <v>1</v>
      </c>
      <c r="J1913" s="111" t="str">
        <f>IF(I1913="1","Small/Medium","Large")</f>
        <v>Small/Medium</v>
      </c>
      <c r="K1913" s="147" t="s">
        <v>145</v>
      </c>
      <c r="L1913" s="120">
        <v>30405.19</v>
      </c>
      <c r="M1913" s="120">
        <f>L1913*0.3</f>
        <v>9121.5569999999989</v>
      </c>
      <c r="N1913" s="120">
        <f>L1913-M1913</f>
        <v>21283.633000000002</v>
      </c>
      <c r="O1913" s="119">
        <f>IFERROR(N1913/L1913,"")</f>
        <v>0.70000000000000007</v>
      </c>
      <c r="P1913" s="120">
        <v>30405.19</v>
      </c>
      <c r="Q1913" s="111">
        <v>3143</v>
      </c>
      <c r="R1913" s="117">
        <v>43</v>
      </c>
      <c r="S1913" s="117">
        <v>3333.8</v>
      </c>
      <c r="T1913" s="117">
        <v>3191.76</v>
      </c>
      <c r="U1913" s="117">
        <v>1373.65</v>
      </c>
      <c r="V1913" s="117"/>
      <c r="W1913" s="26">
        <f>SUM(S1913:V1913)</f>
        <v>7899.2100000000009</v>
      </c>
      <c r="X1913" s="118">
        <f>IFERROR(S1913/R1913,"")</f>
        <v>77.530232558139545</v>
      </c>
      <c r="Y1913" s="119">
        <f>IFERROR(U1913/P1913,0)</f>
        <v>4.5178142284261341E-2</v>
      </c>
      <c r="Z1913" s="117">
        <f>P1913-W1913</f>
        <v>22505.979999999996</v>
      </c>
      <c r="AA1913" s="119">
        <f>IFERROR(Z1913/P1913,0)</f>
        <v>0.74020191947493164</v>
      </c>
      <c r="AB1913" s="120">
        <f>M1913-W1913</f>
        <v>1222.3469999999979</v>
      </c>
      <c r="AC1913" s="119">
        <f>IFERROR(AA1913-O1913,"")</f>
        <v>4.0201919474931569E-2</v>
      </c>
      <c r="AD1913" s="110"/>
      <c r="AE1913" s="110"/>
      <c r="AF1913" s="110"/>
      <c r="AG1913" s="121"/>
    </row>
    <row r="1914" spans="1:33" ht="11.25" customHeight="1" x14ac:dyDescent="0.15">
      <c r="A1914" s="110" t="s">
        <v>137</v>
      </c>
      <c r="B1914" s="110"/>
      <c r="C1914" s="111" t="s">
        <v>175</v>
      </c>
      <c r="D1914" s="111">
        <v>2025</v>
      </c>
      <c r="E1914" s="146">
        <v>45808</v>
      </c>
      <c r="F1914" s="111"/>
      <c r="G1914" s="111">
        <v>82110111</v>
      </c>
      <c r="H1914" s="111">
        <v>4101</v>
      </c>
      <c r="I1914" s="111" t="str">
        <f>MID(G1914,2,1)</f>
        <v>2</v>
      </c>
      <c r="J1914" s="111" t="str">
        <f>IF(I1914="1","Small/Medium","Large")</f>
        <v>Large</v>
      </c>
      <c r="K1914" s="147" t="s">
        <v>176</v>
      </c>
      <c r="L1914" s="120">
        <v>10135.06</v>
      </c>
      <c r="M1914" s="120">
        <f>L1914*0.3</f>
        <v>3040.5179999999996</v>
      </c>
      <c r="N1914" s="120">
        <f>L1914-M1914</f>
        <v>7094.5419999999995</v>
      </c>
      <c r="O1914" s="119">
        <f>IFERROR(N1914/L1914,"")</f>
        <v>0.7</v>
      </c>
      <c r="P1914" s="120">
        <v>10135.06</v>
      </c>
      <c r="Q1914" s="111">
        <v>3147</v>
      </c>
      <c r="R1914" s="117">
        <v>44</v>
      </c>
      <c r="S1914" s="117">
        <v>3411.33</v>
      </c>
      <c r="T1914" s="117">
        <v>3386.07</v>
      </c>
      <c r="U1914" s="117">
        <v>1285.22</v>
      </c>
      <c r="V1914" s="117">
        <v>45.45</v>
      </c>
      <c r="W1914" s="26">
        <f>SUM(S1914:V1914)</f>
        <v>8128.07</v>
      </c>
      <c r="X1914" s="118">
        <f>IFERROR(S1914/R1914,"")</f>
        <v>77.530227272727274</v>
      </c>
      <c r="Y1914" s="119">
        <f>IFERROR(U1914/P1914,0)</f>
        <v>0.12680931341304344</v>
      </c>
      <c r="Z1914" s="117">
        <f>P1914-W1914</f>
        <v>2006.9899999999998</v>
      </c>
      <c r="AA1914" s="119">
        <f>IFERROR(Z1914/P1914,0)</f>
        <v>0.19802448135482176</v>
      </c>
      <c r="AB1914" s="120">
        <f>M1914-W1914</f>
        <v>-5087.5519999999997</v>
      </c>
      <c r="AC1914" s="119">
        <f>IFERROR(AA1914-O1914,"")</f>
        <v>-0.5019755186451782</v>
      </c>
      <c r="AD1914" s="110" t="s">
        <v>910</v>
      </c>
      <c r="AE1914" s="110"/>
      <c r="AF1914" s="110"/>
      <c r="AG1914" s="121"/>
    </row>
    <row r="1915" spans="1:33" s="53" customFormat="1" ht="11.25" customHeight="1" x14ac:dyDescent="0.15">
      <c r="A1915" s="53" t="s">
        <v>137</v>
      </c>
      <c r="C1915" s="54" t="s">
        <v>177</v>
      </c>
      <c r="D1915" s="54"/>
      <c r="E1915" s="70"/>
      <c r="F1915" s="54"/>
      <c r="G1915" s="54"/>
      <c r="H1915" s="54"/>
      <c r="I1915" s="54"/>
      <c r="J1915" s="54"/>
      <c r="K1915" s="106"/>
      <c r="L1915" s="24">
        <f>SUM(L1913:L1914)</f>
        <v>40540.25</v>
      </c>
      <c r="M1915" s="24">
        <f>SUM(M1912:M1914)</f>
        <v>12162.074999999999</v>
      </c>
      <c r="N1915" s="24">
        <f>SUM(N1912:N1914)</f>
        <v>28378.175000000003</v>
      </c>
      <c r="O1915" s="57">
        <f>IFERROR(N1915/L1915,"")</f>
        <v>0.70000000000000007</v>
      </c>
      <c r="P1915" s="24">
        <f>SUM(P1913:P1914)</f>
        <v>40540.25</v>
      </c>
      <c r="Q1915" s="24"/>
      <c r="R1915" s="117">
        <f>SUM(R1913:R1914)</f>
        <v>87</v>
      </c>
      <c r="S1915" s="117">
        <f t="shared" ref="S1915:V1915" si="2082">SUM(S1913:S1914)</f>
        <v>6745.13</v>
      </c>
      <c r="T1915" s="117">
        <f t="shared" si="2082"/>
        <v>6577.83</v>
      </c>
      <c r="U1915" s="117">
        <f t="shared" si="2082"/>
        <v>2658.87</v>
      </c>
      <c r="V1915" s="117">
        <f t="shared" si="2082"/>
        <v>45.45</v>
      </c>
      <c r="W1915" s="26">
        <f t="shared" ref="W1915" si="2083">SUM(W1913:W1914)</f>
        <v>16027.28</v>
      </c>
      <c r="X1915" s="56">
        <f>IFERROR(S1915/R1915,"")</f>
        <v>77.530229885057466</v>
      </c>
      <c r="Y1915" s="119">
        <f>IFERROR(U1915/P1915,0)</f>
        <v>6.558593003249856E-2</v>
      </c>
      <c r="Z1915" s="28">
        <f>P1915-W1915</f>
        <v>24512.97</v>
      </c>
      <c r="AA1915" s="119">
        <f>IFERROR(Z1915/P1915,0)</f>
        <v>0.60465759337941927</v>
      </c>
      <c r="AB1915" s="58">
        <f>M1915-W1915</f>
        <v>-3865.2050000000017</v>
      </c>
      <c r="AC1915" s="57">
        <f>IFERROR(AA1915-O1915,"")</f>
        <v>-9.53424066205808E-2</v>
      </c>
      <c r="AG1915" s="61"/>
    </row>
    <row r="1916" spans="1:33" s="110" customFormat="1" ht="11.25" customHeight="1" x14ac:dyDescent="0.15">
      <c r="A1916" s="130"/>
      <c r="B1916" s="130"/>
      <c r="C1916" s="124"/>
      <c r="D1916" s="124"/>
      <c r="E1916" s="273"/>
      <c r="F1916" s="124"/>
      <c r="G1916" s="124"/>
      <c r="H1916" s="124"/>
      <c r="I1916" s="124"/>
      <c r="J1916" s="124"/>
      <c r="K1916" s="125"/>
      <c r="L1916" s="129"/>
      <c r="M1916" s="129"/>
      <c r="N1916" s="129"/>
      <c r="O1916" s="128"/>
      <c r="P1916" s="129"/>
      <c r="Q1916" s="124"/>
      <c r="R1916" s="129"/>
      <c r="S1916" s="129"/>
      <c r="T1916" s="129"/>
      <c r="U1916" s="129"/>
      <c r="V1916" s="126"/>
      <c r="W1916" s="49"/>
      <c r="X1916" s="45"/>
      <c r="Y1916" s="128"/>
      <c r="Z1916" s="126"/>
      <c r="AA1916" s="128"/>
      <c r="AB1916" s="129"/>
      <c r="AC1916" s="160"/>
      <c r="AD1916" s="137"/>
      <c r="AG1916" s="121"/>
    </row>
    <row r="1917" spans="1:33" ht="11.25" customHeight="1" x14ac:dyDescent="0.15">
      <c r="A1917" s="110" t="s">
        <v>911</v>
      </c>
      <c r="B1917" s="110"/>
      <c r="C1917" s="111" t="s">
        <v>180</v>
      </c>
      <c r="D1917" s="111">
        <v>2025</v>
      </c>
      <c r="E1917" s="146">
        <v>45808</v>
      </c>
      <c r="F1917" s="111"/>
      <c r="G1917" s="111" t="s">
        <v>912</v>
      </c>
      <c r="H1917" s="111"/>
      <c r="I1917" s="169"/>
      <c r="J1917" s="111"/>
      <c r="K1917" s="112" t="s">
        <v>913</v>
      </c>
      <c r="L1917" s="120">
        <v>79634.600171341255</v>
      </c>
      <c r="M1917" s="120">
        <v>12370.29</v>
      </c>
      <c r="N1917" s="120">
        <f>L1917-M1917</f>
        <v>67264.310171341262</v>
      </c>
      <c r="O1917" s="119">
        <f>IFERROR(N1917/L1917,"")</f>
        <v>0.84466186841669122</v>
      </c>
      <c r="P1917" s="120">
        <v>79634.600171341255</v>
      </c>
      <c r="Q1917" s="111">
        <v>4766</v>
      </c>
      <c r="R1917" s="117"/>
      <c r="S1917" s="117"/>
      <c r="T1917" s="117"/>
      <c r="U1917" s="117">
        <v>10123.67</v>
      </c>
      <c r="V1917" s="117"/>
      <c r="W1917" s="26">
        <f>SUM(S1917:V1917)</f>
        <v>10123.67</v>
      </c>
      <c r="X1917" s="118" t="str">
        <f t="shared" ref="X1917:X1927" si="2084">IFERROR(S1917/R1917,"")</f>
        <v/>
      </c>
      <c r="Y1917" s="119">
        <f>U1917/P1917</f>
        <v>0.1271265251312618</v>
      </c>
      <c r="Z1917" s="117">
        <f t="shared" ref="Z1917:Z1927" si="2085">P1917-W1917</f>
        <v>69510.930171341257</v>
      </c>
      <c r="AA1917" s="119">
        <f>Z1917/P1917</f>
        <v>0.87287347486873823</v>
      </c>
      <c r="AB1917" s="120">
        <f t="shared" ref="AB1917:AB1923" si="2086">M1917-W1917</f>
        <v>2246.6200000000008</v>
      </c>
      <c r="AC1917" s="119">
        <f t="shared" ref="AC1917:AC1927" si="2087">IFERROR(AA1917-O1917,"")</f>
        <v>2.8211606452047011E-2</v>
      </c>
      <c r="AD1917" s="110"/>
      <c r="AE1917" s="110"/>
      <c r="AF1917" s="110"/>
      <c r="AG1917" s="121"/>
    </row>
    <row r="1918" spans="1:33" ht="11.25" customHeight="1" x14ac:dyDescent="0.15">
      <c r="A1918" s="110" t="s">
        <v>911</v>
      </c>
      <c r="B1918" s="110"/>
      <c r="C1918" s="111" t="s">
        <v>180</v>
      </c>
      <c r="D1918" s="111">
        <v>2025</v>
      </c>
      <c r="E1918" s="146">
        <v>45808</v>
      </c>
      <c r="F1918" s="111"/>
      <c r="G1918" s="111" t="s">
        <v>914</v>
      </c>
      <c r="H1918" s="111"/>
      <c r="I1918" s="111"/>
      <c r="J1918" s="111"/>
      <c r="K1918" s="112" t="s">
        <v>901</v>
      </c>
      <c r="L1918" s="120">
        <v>79634.600171341255</v>
      </c>
      <c r="M1918" s="120">
        <v>12370.29</v>
      </c>
      <c r="N1918" s="120">
        <f t="shared" ref="N1918:N1935" si="2088">L1918-M1918</f>
        <v>67264.310171341262</v>
      </c>
      <c r="O1918" s="119">
        <f t="shared" ref="O1918:O1936" si="2089">IFERROR(N1918/L1918,"")</f>
        <v>0.84466186841669122</v>
      </c>
      <c r="P1918" s="120">
        <v>79634.600171341255</v>
      </c>
      <c r="Q1918" s="111">
        <v>4767</v>
      </c>
      <c r="R1918" s="117"/>
      <c r="S1918" s="117"/>
      <c r="T1918" s="117"/>
      <c r="U1918" s="117">
        <v>11294.52</v>
      </c>
      <c r="V1918" s="117"/>
      <c r="W1918" s="26">
        <f t="shared" ref="W1918:W1935" si="2090">SUM(S1918:V1918)</f>
        <v>11294.52</v>
      </c>
      <c r="X1918" s="118" t="str">
        <f t="shared" si="2084"/>
        <v/>
      </c>
      <c r="Y1918" s="119">
        <f t="shared" ref="Y1918:Y1927" si="2091">U1918/P1918</f>
        <v>0.1418293050470372</v>
      </c>
      <c r="Z1918" s="117">
        <f t="shared" si="2085"/>
        <v>68340.080171341251</v>
      </c>
      <c r="AA1918" s="119">
        <f t="shared" ref="AA1918:AA1927" si="2092">Z1918/P1918</f>
        <v>0.85817069495296272</v>
      </c>
      <c r="AB1918" s="120">
        <f t="shared" si="2086"/>
        <v>1075.7700000000004</v>
      </c>
      <c r="AC1918" s="119">
        <f t="shared" si="2087"/>
        <v>1.3508826536271501E-2</v>
      </c>
      <c r="AD1918" s="110"/>
      <c r="AE1918" s="110"/>
      <c r="AF1918" s="110"/>
      <c r="AG1918" s="121"/>
    </row>
    <row r="1919" spans="1:33" ht="11.25" customHeight="1" x14ac:dyDescent="0.15">
      <c r="A1919" s="110" t="s">
        <v>911</v>
      </c>
      <c r="B1919" s="110"/>
      <c r="C1919" s="111" t="s">
        <v>180</v>
      </c>
      <c r="D1919" s="111">
        <v>2025</v>
      </c>
      <c r="E1919" s="146">
        <v>45808</v>
      </c>
      <c r="F1919" s="111"/>
      <c r="G1919" s="111" t="s">
        <v>915</v>
      </c>
      <c r="H1919" s="111"/>
      <c r="I1919" s="111"/>
      <c r="J1919" s="111"/>
      <c r="K1919" s="112" t="s">
        <v>902</v>
      </c>
      <c r="L1919" s="120">
        <v>79634.600171341255</v>
      </c>
      <c r="M1919" s="120">
        <v>12370.29</v>
      </c>
      <c r="N1919" s="120">
        <f t="shared" si="2088"/>
        <v>67264.310171341262</v>
      </c>
      <c r="O1919" s="119">
        <f t="shared" si="2089"/>
        <v>0.84466186841669122</v>
      </c>
      <c r="P1919" s="120">
        <v>79634.600171341255</v>
      </c>
      <c r="Q1919" s="111">
        <v>4768</v>
      </c>
      <c r="R1919" s="117"/>
      <c r="S1919" s="117"/>
      <c r="T1919" s="117"/>
      <c r="U1919" s="117">
        <v>10875.97</v>
      </c>
      <c r="V1919" s="117"/>
      <c r="W1919" s="26">
        <f t="shared" si="2090"/>
        <v>10875.97</v>
      </c>
      <c r="X1919" s="118" t="str">
        <f t="shared" si="2084"/>
        <v/>
      </c>
      <c r="Y1919" s="119">
        <f t="shared" si="2091"/>
        <v>0.13657342382079318</v>
      </c>
      <c r="Z1919" s="117">
        <f t="shared" si="2085"/>
        <v>68758.630171341254</v>
      </c>
      <c r="AA1919" s="119">
        <f t="shared" si="2092"/>
        <v>0.86342657617920682</v>
      </c>
      <c r="AB1919" s="120">
        <f t="shared" si="2086"/>
        <v>1494.3200000000015</v>
      </c>
      <c r="AC1919" s="119">
        <f t="shared" si="2087"/>
        <v>1.8764707762515598E-2</v>
      </c>
      <c r="AD1919" s="110"/>
      <c r="AE1919" s="110"/>
      <c r="AF1919" s="110"/>
      <c r="AG1919" s="121"/>
    </row>
    <row r="1920" spans="1:33" ht="11.25" customHeight="1" x14ac:dyDescent="0.15">
      <c r="A1920" s="110" t="s">
        <v>911</v>
      </c>
      <c r="B1920" s="110"/>
      <c r="C1920" s="111" t="s">
        <v>47</v>
      </c>
      <c r="D1920" s="111">
        <v>2025</v>
      </c>
      <c r="E1920" s="146">
        <v>45808</v>
      </c>
      <c r="F1920" s="111"/>
      <c r="G1920" s="111" t="s">
        <v>916</v>
      </c>
      <c r="H1920" s="111"/>
      <c r="I1920" s="111"/>
      <c r="J1920" s="111"/>
      <c r="K1920" s="112" t="s">
        <v>904</v>
      </c>
      <c r="L1920" s="120">
        <v>126222.37182408362</v>
      </c>
      <c r="M1920" s="120">
        <v>49042.879999999997</v>
      </c>
      <c r="N1920" s="120">
        <f t="shared" si="2088"/>
        <v>77179.491824083612</v>
      </c>
      <c r="O1920" s="119">
        <f t="shared" si="2089"/>
        <v>0.61145651684987212</v>
      </c>
      <c r="P1920" s="120">
        <v>126222.37182408362</v>
      </c>
      <c r="Q1920" s="111">
        <v>4769</v>
      </c>
      <c r="R1920" s="117">
        <v>84</v>
      </c>
      <c r="S1920" s="117">
        <v>4360.4399999999996</v>
      </c>
      <c r="T1920" s="117">
        <v>8819.9</v>
      </c>
      <c r="U1920" s="117">
        <v>358.19</v>
      </c>
      <c r="V1920" s="117"/>
      <c r="W1920" s="26">
        <f t="shared" si="2090"/>
        <v>13538.53</v>
      </c>
      <c r="X1920" s="118">
        <f t="shared" si="2084"/>
        <v>51.91</v>
      </c>
      <c r="Y1920" s="119">
        <f t="shared" si="2091"/>
        <v>2.8377695239256806E-3</v>
      </c>
      <c r="Z1920" s="117">
        <f t="shared" si="2085"/>
        <v>112683.84182408362</v>
      </c>
      <c r="AA1920" s="119">
        <f t="shared" si="2092"/>
        <v>0.89274064649277329</v>
      </c>
      <c r="AB1920" s="120">
        <f t="shared" si="2086"/>
        <v>35504.35</v>
      </c>
      <c r="AC1920" s="119">
        <f t="shared" si="2087"/>
        <v>0.28128412964290117</v>
      </c>
      <c r="AD1920" s="110"/>
      <c r="AE1920" s="110"/>
      <c r="AF1920" s="110"/>
      <c r="AG1920" s="121"/>
    </row>
    <row r="1921" spans="1:33" ht="11.25" customHeight="1" x14ac:dyDescent="0.15">
      <c r="A1921" s="110" t="s">
        <v>911</v>
      </c>
      <c r="B1921" s="110"/>
      <c r="C1921" s="111" t="s">
        <v>248</v>
      </c>
      <c r="D1921" s="111">
        <v>2025</v>
      </c>
      <c r="E1921" s="146">
        <v>45808</v>
      </c>
      <c r="F1921" s="111"/>
      <c r="G1921" s="111" t="s">
        <v>917</v>
      </c>
      <c r="H1921" s="111"/>
      <c r="I1921" s="111"/>
      <c r="J1921" s="111"/>
      <c r="K1921" s="112" t="s">
        <v>114</v>
      </c>
      <c r="L1921" s="120">
        <v>34131.788981265483</v>
      </c>
      <c r="M1921" s="120">
        <v>18230.5</v>
      </c>
      <c r="N1921" s="120">
        <f t="shared" si="2088"/>
        <v>15901.288981265483</v>
      </c>
      <c r="O1921" s="119">
        <f t="shared" si="2089"/>
        <v>0.46587915418068193</v>
      </c>
      <c r="P1921" s="120">
        <v>34131.788981265483</v>
      </c>
      <c r="Q1921" s="111">
        <v>4770</v>
      </c>
      <c r="R1921" s="117">
        <v>16</v>
      </c>
      <c r="S1921" s="117">
        <v>968.8</v>
      </c>
      <c r="T1921" s="117"/>
      <c r="U1921" s="117"/>
      <c r="V1921" s="117"/>
      <c r="W1921" s="26">
        <f t="shared" si="2090"/>
        <v>968.8</v>
      </c>
      <c r="X1921" s="118">
        <f t="shared" si="2084"/>
        <v>60.55</v>
      </c>
      <c r="Y1921" s="119">
        <f t="shared" si="2091"/>
        <v>0</v>
      </c>
      <c r="Z1921" s="117">
        <f t="shared" si="2085"/>
        <v>33162.98898126548</v>
      </c>
      <c r="AA1921" s="119">
        <f t="shared" si="2092"/>
        <v>0.97161590327035696</v>
      </c>
      <c r="AB1921" s="120">
        <f t="shared" si="2086"/>
        <v>17261.7</v>
      </c>
      <c r="AC1921" s="119">
        <f t="shared" si="2087"/>
        <v>0.50573674908967503</v>
      </c>
      <c r="AD1921" s="110"/>
      <c r="AE1921" s="110"/>
      <c r="AF1921" s="110"/>
      <c r="AG1921" s="121"/>
    </row>
    <row r="1922" spans="1:33" ht="11.25" customHeight="1" x14ac:dyDescent="0.15">
      <c r="A1922" s="110" t="s">
        <v>911</v>
      </c>
      <c r="B1922" s="110"/>
      <c r="C1922" s="111" t="s">
        <v>55</v>
      </c>
      <c r="D1922" s="111">
        <v>2025</v>
      </c>
      <c r="E1922" s="146">
        <v>45808</v>
      </c>
      <c r="F1922" s="111"/>
      <c r="G1922" s="111" t="s">
        <v>56</v>
      </c>
      <c r="H1922" s="111"/>
      <c r="I1922" s="111"/>
      <c r="J1922" s="111"/>
      <c r="K1922" s="112" t="s">
        <v>71</v>
      </c>
      <c r="L1922" s="120">
        <v>14873.038680627136</v>
      </c>
      <c r="M1922" s="120">
        <v>7943.63</v>
      </c>
      <c r="N1922" s="120">
        <f t="shared" si="2088"/>
        <v>6929.4086806271362</v>
      </c>
      <c r="O1922" s="119">
        <f t="shared" si="2089"/>
        <v>0.4659040314104092</v>
      </c>
      <c r="P1922" s="120">
        <v>14873.038680627136</v>
      </c>
      <c r="Q1922" s="111">
        <v>4771</v>
      </c>
      <c r="R1922" s="117">
        <v>10</v>
      </c>
      <c r="S1922" s="117">
        <v>485</v>
      </c>
      <c r="T1922" s="117"/>
      <c r="U1922" s="117"/>
      <c r="V1922" s="117">
        <v>2540.98</v>
      </c>
      <c r="W1922" s="26">
        <f t="shared" si="2090"/>
        <v>3025.98</v>
      </c>
      <c r="X1922" s="118">
        <f t="shared" si="2084"/>
        <v>48.5</v>
      </c>
      <c r="Y1922" s="119">
        <f t="shared" si="2091"/>
        <v>0</v>
      </c>
      <c r="Z1922" s="117">
        <f t="shared" si="2085"/>
        <v>11847.058680627137</v>
      </c>
      <c r="AA1922" s="119">
        <f t="shared" si="2092"/>
        <v>0.79654594699995718</v>
      </c>
      <c r="AB1922" s="120">
        <f t="shared" si="2086"/>
        <v>4917.6499999999996</v>
      </c>
      <c r="AC1922" s="119">
        <f t="shared" si="2087"/>
        <v>0.33064191558954797</v>
      </c>
      <c r="AD1922" s="110"/>
      <c r="AE1922" s="110"/>
      <c r="AF1922" s="110"/>
      <c r="AG1922" s="121"/>
    </row>
    <row r="1923" spans="1:33" ht="11.25" customHeight="1" x14ac:dyDescent="0.15">
      <c r="A1923" s="110" t="s">
        <v>911</v>
      </c>
      <c r="B1923" s="110"/>
      <c r="C1923" s="111" t="s">
        <v>58</v>
      </c>
      <c r="D1923" s="111">
        <v>2025</v>
      </c>
      <c r="E1923" s="146">
        <v>45808</v>
      </c>
      <c r="F1923" s="111"/>
      <c r="G1923" s="111" t="s">
        <v>918</v>
      </c>
      <c r="H1923" s="111"/>
      <c r="I1923" s="111"/>
      <c r="J1923" s="111"/>
      <c r="K1923" s="112" t="s">
        <v>919</v>
      </c>
      <c r="L1923" s="148">
        <v>35639</v>
      </c>
      <c r="M1923" s="120">
        <v>3563.9</v>
      </c>
      <c r="N1923" s="120">
        <f t="shared" si="2088"/>
        <v>32075.1</v>
      </c>
      <c r="O1923" s="119">
        <f t="shared" si="2089"/>
        <v>0.89999999999999991</v>
      </c>
      <c r="P1923" s="148">
        <v>35639</v>
      </c>
      <c r="Q1923" s="111">
        <v>4772</v>
      </c>
      <c r="R1923" s="117"/>
      <c r="S1923" s="117"/>
      <c r="T1923" s="117"/>
      <c r="U1923" s="117">
        <v>2081.89</v>
      </c>
      <c r="V1923" s="117"/>
      <c r="W1923" s="26">
        <f t="shared" si="2090"/>
        <v>2081.89</v>
      </c>
      <c r="X1923" s="118" t="str">
        <f t="shared" si="2084"/>
        <v/>
      </c>
      <c r="Y1923" s="119">
        <f t="shared" si="2091"/>
        <v>5.8416061056707533E-2</v>
      </c>
      <c r="Z1923" s="117">
        <f t="shared" si="2085"/>
        <v>33557.11</v>
      </c>
      <c r="AA1923" s="119">
        <f t="shared" si="2092"/>
        <v>0.94158393894329251</v>
      </c>
      <c r="AB1923" s="120">
        <f t="shared" si="2086"/>
        <v>1482.0100000000002</v>
      </c>
      <c r="AC1923" s="119">
        <f t="shared" si="2087"/>
        <v>4.1583938943292598E-2</v>
      </c>
      <c r="AD1923" s="110"/>
      <c r="AE1923" s="110"/>
      <c r="AF1923" s="110"/>
      <c r="AG1923" s="121"/>
    </row>
    <row r="1924" spans="1:33" ht="11.25" customHeight="1" x14ac:dyDescent="0.15">
      <c r="A1924" s="110" t="s">
        <v>911</v>
      </c>
      <c r="B1924" s="110"/>
      <c r="C1924" s="111" t="s">
        <v>58</v>
      </c>
      <c r="D1924" s="111">
        <v>2025</v>
      </c>
      <c r="E1924" s="146">
        <v>45808</v>
      </c>
      <c r="F1924" s="111"/>
      <c r="G1924" s="111" t="s">
        <v>920</v>
      </c>
      <c r="H1924" s="111"/>
      <c r="I1924" s="111"/>
      <c r="J1924" s="111"/>
      <c r="K1924" s="112" t="s">
        <v>921</v>
      </c>
      <c r="L1924" s="148">
        <v>35639</v>
      </c>
      <c r="M1924" s="120">
        <v>3563.9</v>
      </c>
      <c r="N1924" s="120">
        <f t="shared" si="2088"/>
        <v>32075.1</v>
      </c>
      <c r="O1924" s="119">
        <f t="shared" si="2089"/>
        <v>0.89999999999999991</v>
      </c>
      <c r="P1924" s="148">
        <v>35639</v>
      </c>
      <c r="Q1924" s="111">
        <v>4773</v>
      </c>
      <c r="R1924" s="117"/>
      <c r="S1924" s="117"/>
      <c r="T1924" s="117"/>
      <c r="U1924" s="117">
        <v>653.58000000000004</v>
      </c>
      <c r="V1924" s="117"/>
      <c r="W1924" s="26">
        <f t="shared" si="2090"/>
        <v>653.58000000000004</v>
      </c>
      <c r="X1924" s="118" t="str">
        <f t="shared" si="2084"/>
        <v/>
      </c>
      <c r="Y1924" s="119">
        <f t="shared" si="2091"/>
        <v>1.8338898397822611E-2</v>
      </c>
      <c r="Z1924" s="117">
        <f t="shared" si="2085"/>
        <v>34985.42</v>
      </c>
      <c r="AA1924" s="119">
        <f t="shared" si="2092"/>
        <v>0.98166110160217734</v>
      </c>
      <c r="AB1924" s="120">
        <f>M1924-W1924</f>
        <v>2910.32</v>
      </c>
      <c r="AC1924" s="119">
        <f t="shared" si="2087"/>
        <v>8.1661101602177433E-2</v>
      </c>
      <c r="AD1924" s="110"/>
      <c r="AE1924" s="110"/>
      <c r="AF1924" s="110"/>
      <c r="AG1924" s="121"/>
    </row>
    <row r="1925" spans="1:33" ht="11.25" customHeight="1" x14ac:dyDescent="0.15">
      <c r="A1925" s="110" t="s">
        <v>911</v>
      </c>
      <c r="B1925" s="110"/>
      <c r="C1925" s="111" t="s">
        <v>58</v>
      </c>
      <c r="D1925" s="111">
        <v>2025</v>
      </c>
      <c r="E1925" s="146">
        <v>45808</v>
      </c>
      <c r="F1925" s="111"/>
      <c r="G1925" s="111" t="s">
        <v>922</v>
      </c>
      <c r="H1925" s="111"/>
      <c r="I1925" s="111"/>
      <c r="J1925" s="111"/>
      <c r="K1925" s="112" t="s">
        <v>923</v>
      </c>
      <c r="L1925" s="148">
        <v>103230</v>
      </c>
      <c r="M1925" s="120">
        <v>10323</v>
      </c>
      <c r="N1925" s="120">
        <f t="shared" si="2088"/>
        <v>92907</v>
      </c>
      <c r="O1925" s="119">
        <f t="shared" si="2089"/>
        <v>0.9</v>
      </c>
      <c r="P1925" s="148">
        <v>103230</v>
      </c>
      <c r="Q1925" s="111">
        <v>4774</v>
      </c>
      <c r="R1925" s="117"/>
      <c r="S1925" s="117"/>
      <c r="T1925" s="117"/>
      <c r="U1925" s="117">
        <v>617.94000000000005</v>
      </c>
      <c r="V1925" s="117"/>
      <c r="W1925" s="26">
        <f t="shared" si="2090"/>
        <v>617.94000000000005</v>
      </c>
      <c r="X1925" s="118" t="str">
        <f t="shared" si="2084"/>
        <v/>
      </c>
      <c r="Y1925" s="119">
        <f t="shared" si="2091"/>
        <v>5.9860505666957282E-3</v>
      </c>
      <c r="Z1925" s="117">
        <f t="shared" si="2085"/>
        <v>102612.06</v>
      </c>
      <c r="AA1925" s="119">
        <f t="shared" si="2092"/>
        <v>0.99401394943330423</v>
      </c>
      <c r="AB1925" s="120">
        <f t="shared" ref="AB1925:AB1927" si="2093">M1925-W1925</f>
        <v>9705.06</v>
      </c>
      <c r="AC1925" s="119">
        <f t="shared" si="2087"/>
        <v>9.4013949433304211E-2</v>
      </c>
      <c r="AD1925" s="110"/>
      <c r="AE1925" s="110"/>
      <c r="AF1925" s="110"/>
      <c r="AG1925" s="121"/>
    </row>
    <row r="1926" spans="1:33" ht="11.25" customHeight="1" x14ac:dyDescent="0.15">
      <c r="A1926" s="110" t="s">
        <v>911</v>
      </c>
      <c r="B1926" s="110"/>
      <c r="C1926" s="111" t="s">
        <v>49</v>
      </c>
      <c r="D1926" s="111">
        <v>2025</v>
      </c>
      <c r="E1926" s="146">
        <v>45808</v>
      </c>
      <c r="F1926" s="111"/>
      <c r="G1926" s="111">
        <v>60622012</v>
      </c>
      <c r="H1926" s="111"/>
      <c r="I1926" s="111"/>
      <c r="J1926" s="111"/>
      <c r="K1926" s="112" t="s">
        <v>924</v>
      </c>
      <c r="L1926" s="148">
        <v>81048</v>
      </c>
      <c r="M1926" s="120">
        <v>7567.39</v>
      </c>
      <c r="N1926" s="120">
        <f t="shared" si="2088"/>
        <v>73480.61</v>
      </c>
      <c r="O1926" s="119">
        <f t="shared" si="2089"/>
        <v>0.90663076201756987</v>
      </c>
      <c r="P1926" s="148">
        <v>81048</v>
      </c>
      <c r="Q1926" s="111">
        <v>4775</v>
      </c>
      <c r="R1926" s="117">
        <v>32</v>
      </c>
      <c r="S1926" s="117">
        <v>1937.6</v>
      </c>
      <c r="T1926" s="117">
        <v>1685.83</v>
      </c>
      <c r="U1926" s="117">
        <v>147.38</v>
      </c>
      <c r="V1926" s="117"/>
      <c r="W1926" s="26">
        <f t="shared" si="2090"/>
        <v>3770.81</v>
      </c>
      <c r="X1926" s="118">
        <f t="shared" si="2084"/>
        <v>60.55</v>
      </c>
      <c r="Y1926" s="119">
        <f t="shared" si="2091"/>
        <v>1.8184285855295627E-3</v>
      </c>
      <c r="Z1926" s="117">
        <f t="shared" si="2085"/>
        <v>77277.19</v>
      </c>
      <c r="AA1926" s="119">
        <f t="shared" si="2092"/>
        <v>0.95347436087256932</v>
      </c>
      <c r="AB1926" s="120">
        <f t="shared" si="2093"/>
        <v>3796.5800000000004</v>
      </c>
      <c r="AC1926" s="119">
        <f t="shared" si="2087"/>
        <v>4.6843598854999446E-2</v>
      </c>
      <c r="AD1926" s="110"/>
      <c r="AE1926" s="110"/>
      <c r="AF1926" s="110"/>
      <c r="AG1926" s="121"/>
    </row>
    <row r="1927" spans="1:33" ht="11.25" customHeight="1" x14ac:dyDescent="0.15">
      <c r="A1927" s="110" t="s">
        <v>911</v>
      </c>
      <c r="B1927" s="110"/>
      <c r="C1927" s="111" t="s">
        <v>175</v>
      </c>
      <c r="D1927" s="111">
        <v>2025</v>
      </c>
      <c r="E1927" s="146">
        <v>45808</v>
      </c>
      <c r="F1927" s="111"/>
      <c r="G1927" s="111">
        <v>81120201</v>
      </c>
      <c r="H1927" s="111">
        <v>4101</v>
      </c>
      <c r="I1927" s="111" t="str">
        <f>MID(G1927,2,1)</f>
        <v>1</v>
      </c>
      <c r="J1927" s="111" t="str">
        <f>IF(I1927="1","Small/Medium","Large")</f>
        <v>Small/Medium</v>
      </c>
      <c r="K1927" s="147" t="s">
        <v>145</v>
      </c>
      <c r="L1927" s="148">
        <f>28825.5*0.5</f>
        <v>14412.75</v>
      </c>
      <c r="M1927" s="120">
        <v>6731.11</v>
      </c>
      <c r="N1927" s="120">
        <f t="shared" si="2088"/>
        <v>7681.64</v>
      </c>
      <c r="O1927" s="119">
        <f t="shared" si="2089"/>
        <v>0.5329753169936341</v>
      </c>
      <c r="P1927" s="148">
        <v>14412.75</v>
      </c>
      <c r="Q1927" s="111">
        <v>4776</v>
      </c>
      <c r="R1927" s="117">
        <v>19</v>
      </c>
      <c r="S1927" s="117">
        <v>966.72</v>
      </c>
      <c r="T1927" s="117"/>
      <c r="U1927" s="117">
        <v>200</v>
      </c>
      <c r="V1927" s="117"/>
      <c r="W1927" s="26">
        <f t="shared" si="2090"/>
        <v>1166.72</v>
      </c>
      <c r="X1927" s="118">
        <f t="shared" si="2084"/>
        <v>50.88</v>
      </c>
      <c r="Y1927" s="119">
        <f t="shared" si="2091"/>
        <v>1.3876602313923436E-2</v>
      </c>
      <c r="Z1927" s="117">
        <f t="shared" si="2085"/>
        <v>13246.03</v>
      </c>
      <c r="AA1927" s="119">
        <f t="shared" si="2092"/>
        <v>0.9190494527414963</v>
      </c>
      <c r="AB1927" s="120">
        <f t="shared" si="2093"/>
        <v>5564.3899999999994</v>
      </c>
      <c r="AC1927" s="119">
        <f t="shared" si="2087"/>
        <v>0.3860741357478622</v>
      </c>
      <c r="AD1927" s="110"/>
      <c r="AE1927" s="110"/>
      <c r="AF1927" s="110"/>
      <c r="AG1927" s="121"/>
    </row>
    <row r="1928" spans="1:33" ht="11.25" customHeight="1" x14ac:dyDescent="0.15">
      <c r="A1928" s="110" t="s">
        <v>911</v>
      </c>
      <c r="B1928" s="110"/>
      <c r="C1928" s="111" t="s">
        <v>175</v>
      </c>
      <c r="D1928" s="111">
        <v>2025</v>
      </c>
      <c r="E1928" s="146">
        <v>45808</v>
      </c>
      <c r="F1928" s="111"/>
      <c r="G1928" s="111">
        <v>81120201</v>
      </c>
      <c r="H1928" s="111">
        <v>4101</v>
      </c>
      <c r="I1928" s="111" t="str">
        <f t="shared" ref="I1928:I1929" si="2094">MID(G1928,2,1)</f>
        <v>1</v>
      </c>
      <c r="J1928" s="111" t="str">
        <f t="shared" ref="J1928:J1929" si="2095">IF(I1928="1","Small/Medium","Large")</f>
        <v>Small/Medium</v>
      </c>
      <c r="K1928" s="147" t="s">
        <v>145</v>
      </c>
      <c r="L1928" s="148">
        <f>28825.5*0.5</f>
        <v>14412.75</v>
      </c>
      <c r="M1928" s="120">
        <v>6731.11</v>
      </c>
      <c r="N1928" s="120">
        <f t="shared" si="2088"/>
        <v>7681.64</v>
      </c>
      <c r="O1928" s="119">
        <f t="shared" si="2089"/>
        <v>0.5329753169936341</v>
      </c>
      <c r="P1928" s="148">
        <v>14412.75</v>
      </c>
      <c r="Q1928" s="111">
        <v>5409</v>
      </c>
      <c r="R1928" s="117">
        <v>9.5</v>
      </c>
      <c r="S1928" s="117">
        <v>483.26</v>
      </c>
      <c r="T1928" s="117"/>
      <c r="U1928" s="117">
        <v>200</v>
      </c>
      <c r="V1928" s="117"/>
      <c r="W1928" s="26">
        <f t="shared" si="2090"/>
        <v>683.26</v>
      </c>
      <c r="X1928" s="118">
        <f t="shared" ref="X1928:X1936" si="2096">IFERROR(S1928/R1928,"")</f>
        <v>50.869473684210526</v>
      </c>
      <c r="Y1928" s="119">
        <f t="shared" ref="Y1928:Y1936" si="2097">U1928/P1928</f>
        <v>1.3876602313923436E-2</v>
      </c>
      <c r="Z1928" s="117">
        <f t="shared" ref="Z1928:Z1936" si="2098">P1928-W1928</f>
        <v>13729.49</v>
      </c>
      <c r="AA1928" s="119">
        <f t="shared" ref="AA1928:AA1936" si="2099">Z1928/P1928</f>
        <v>0.95259336351494339</v>
      </c>
      <c r="AB1928" s="120">
        <f t="shared" ref="AB1928:AB1936" si="2100">M1928-W1928</f>
        <v>6047.8499999999995</v>
      </c>
      <c r="AC1928" s="119">
        <f t="shared" ref="AC1928:AC1935" si="2101">IFERROR(AA1928-O1928,"")</f>
        <v>0.4196180465213093</v>
      </c>
      <c r="AD1928" s="110"/>
      <c r="AE1928" s="110"/>
      <c r="AF1928" s="110"/>
      <c r="AG1928" s="121"/>
    </row>
    <row r="1929" spans="1:33" ht="11.25" customHeight="1" x14ac:dyDescent="0.15">
      <c r="A1929" s="110" t="s">
        <v>911</v>
      </c>
      <c r="B1929" s="110"/>
      <c r="C1929" s="111" t="s">
        <v>175</v>
      </c>
      <c r="D1929" s="111">
        <v>2025</v>
      </c>
      <c r="E1929" s="146">
        <v>45808</v>
      </c>
      <c r="F1929" s="111"/>
      <c r="G1929" s="111">
        <v>82120201</v>
      </c>
      <c r="H1929" s="111">
        <v>4101</v>
      </c>
      <c r="I1929" s="111" t="str">
        <f t="shared" si="2094"/>
        <v>2</v>
      </c>
      <c r="J1929" s="111" t="str">
        <f t="shared" si="2095"/>
        <v>Large</v>
      </c>
      <c r="K1929" s="147" t="s">
        <v>176</v>
      </c>
      <c r="L1929" s="148">
        <f>38328*0.5</f>
        <v>19164</v>
      </c>
      <c r="M1929" s="120">
        <v>8950.06</v>
      </c>
      <c r="N1929" s="120">
        <f t="shared" si="2088"/>
        <v>10213.94</v>
      </c>
      <c r="O1929" s="119">
        <f t="shared" si="2089"/>
        <v>0.53297537048632859</v>
      </c>
      <c r="P1929" s="148">
        <v>19164</v>
      </c>
      <c r="Q1929" s="111">
        <v>4777</v>
      </c>
      <c r="R1929" s="117">
        <v>20</v>
      </c>
      <c r="S1929" s="117">
        <v>1017.6</v>
      </c>
      <c r="T1929" s="117"/>
      <c r="U1929" s="117">
        <v>300</v>
      </c>
      <c r="V1929" s="117"/>
      <c r="W1929" s="26">
        <f>SUM(S1929:V1929)</f>
        <v>1317.6</v>
      </c>
      <c r="X1929" s="118">
        <f t="shared" si="2096"/>
        <v>50.88</v>
      </c>
      <c r="Y1929" s="119">
        <f t="shared" si="2097"/>
        <v>1.5654351909830933E-2</v>
      </c>
      <c r="Z1929" s="117">
        <f t="shared" si="2098"/>
        <v>17846.400000000001</v>
      </c>
      <c r="AA1929" s="119">
        <f t="shared" si="2099"/>
        <v>0.93124608641202267</v>
      </c>
      <c r="AB1929" s="120">
        <f t="shared" si="2100"/>
        <v>7632.4599999999991</v>
      </c>
      <c r="AC1929" s="119">
        <f t="shared" si="2101"/>
        <v>0.39827071592569407</v>
      </c>
      <c r="AD1929" s="110"/>
      <c r="AE1929" s="110"/>
      <c r="AF1929" s="110"/>
      <c r="AG1929" s="121"/>
    </row>
    <row r="1930" spans="1:33" ht="11.25" customHeight="1" x14ac:dyDescent="0.15">
      <c r="A1930" s="108" t="s">
        <v>911</v>
      </c>
      <c r="B1930" s="108"/>
      <c r="C1930" s="111" t="s">
        <v>175</v>
      </c>
      <c r="D1930" s="213"/>
      <c r="E1930" s="280"/>
      <c r="F1930" s="111"/>
      <c r="G1930" s="111"/>
      <c r="H1930" s="111"/>
      <c r="I1930" s="111"/>
      <c r="J1930" s="111"/>
      <c r="K1930" s="147"/>
      <c r="L1930" s="148">
        <f>28825.5*0.5</f>
        <v>14412.75</v>
      </c>
      <c r="M1930" s="120">
        <v>6731.11</v>
      </c>
      <c r="N1930" s="120">
        <f t="shared" ref="N1930:N1932" si="2102">L1930-M1930</f>
        <v>7681.64</v>
      </c>
      <c r="O1930" s="119">
        <f t="shared" ref="O1930:O1932" si="2103">IFERROR(N1930/L1930,"")</f>
        <v>0.5329753169936341</v>
      </c>
      <c r="P1930" s="148">
        <v>14412.75</v>
      </c>
      <c r="Q1930" s="213"/>
      <c r="R1930" s="117"/>
      <c r="S1930" s="117"/>
      <c r="T1930" s="117"/>
      <c r="U1930" s="117"/>
      <c r="V1930" s="117"/>
      <c r="W1930" s="26">
        <f t="shared" ref="W1930:W1932" si="2104">SUM(S1930:V1930)</f>
        <v>0</v>
      </c>
      <c r="X1930" s="118" t="str">
        <f t="shared" ref="X1930:X1932" si="2105">IFERROR(S1930/R1930,"")</f>
        <v/>
      </c>
      <c r="Y1930" s="119">
        <f t="shared" ref="Y1930:Y1932" si="2106">U1930/P1930</f>
        <v>0</v>
      </c>
      <c r="Z1930" s="117">
        <f t="shared" ref="Z1930:Z1932" si="2107">P1930-W1930</f>
        <v>14412.75</v>
      </c>
      <c r="AA1930" s="119">
        <f t="shared" ref="AA1930:AA1932" si="2108">Z1930/P1930</f>
        <v>1</v>
      </c>
      <c r="AB1930" s="120">
        <f t="shared" ref="AB1930:AB1932" si="2109">M1930-W1930</f>
        <v>6731.11</v>
      </c>
      <c r="AC1930" s="119">
        <f t="shared" ref="AC1930:AC1932" si="2110">IFERROR(AA1930-O1930,"")</f>
        <v>0.4670246830063659</v>
      </c>
      <c r="AD1930" s="110"/>
      <c r="AE1930" s="110"/>
      <c r="AF1930" s="110"/>
      <c r="AG1930" s="121"/>
    </row>
    <row r="1931" spans="1:33" ht="11.25" customHeight="1" x14ac:dyDescent="0.15">
      <c r="A1931" s="108" t="s">
        <v>911</v>
      </c>
      <c r="B1931" s="108"/>
      <c r="C1931" s="111" t="s">
        <v>175</v>
      </c>
      <c r="D1931" s="213"/>
      <c r="E1931" s="280"/>
      <c r="F1931" s="111"/>
      <c r="G1931" s="111"/>
      <c r="H1931" s="111"/>
      <c r="I1931" s="111"/>
      <c r="J1931" s="111"/>
      <c r="K1931" s="147"/>
      <c r="L1931" s="148">
        <f>28825.5*0.5</f>
        <v>14412.75</v>
      </c>
      <c r="M1931" s="120">
        <v>6731.11</v>
      </c>
      <c r="N1931" s="120">
        <f t="shared" si="2102"/>
        <v>7681.64</v>
      </c>
      <c r="O1931" s="119">
        <f t="shared" si="2103"/>
        <v>0.5329753169936341</v>
      </c>
      <c r="P1931" s="148">
        <v>14412.75</v>
      </c>
      <c r="Q1931" s="213"/>
      <c r="R1931" s="117"/>
      <c r="S1931" s="117"/>
      <c r="T1931" s="117"/>
      <c r="U1931" s="117"/>
      <c r="V1931" s="117"/>
      <c r="W1931" s="26">
        <f t="shared" si="2104"/>
        <v>0</v>
      </c>
      <c r="X1931" s="118" t="str">
        <f t="shared" si="2105"/>
        <v/>
      </c>
      <c r="Y1931" s="119">
        <f t="shared" si="2106"/>
        <v>0</v>
      </c>
      <c r="Z1931" s="117">
        <f t="shared" si="2107"/>
        <v>14412.75</v>
      </c>
      <c r="AA1931" s="119">
        <f t="shared" si="2108"/>
        <v>1</v>
      </c>
      <c r="AB1931" s="120">
        <f t="shared" si="2109"/>
        <v>6731.11</v>
      </c>
      <c r="AC1931" s="119">
        <f t="shared" si="2110"/>
        <v>0.4670246830063659</v>
      </c>
      <c r="AD1931" s="110"/>
      <c r="AE1931" s="110"/>
      <c r="AF1931" s="110"/>
      <c r="AG1931" s="121"/>
    </row>
    <row r="1932" spans="1:33" ht="11.25" customHeight="1" x14ac:dyDescent="0.15">
      <c r="A1932" s="108" t="s">
        <v>911</v>
      </c>
      <c r="B1932" s="108"/>
      <c r="C1932" s="111" t="s">
        <v>175</v>
      </c>
      <c r="D1932" s="213"/>
      <c r="E1932" s="280"/>
      <c r="F1932" s="111"/>
      <c r="G1932" s="111"/>
      <c r="H1932" s="111"/>
      <c r="I1932" s="111"/>
      <c r="J1932" s="111"/>
      <c r="K1932" s="147"/>
      <c r="L1932" s="148">
        <f>38328*0.5</f>
        <v>19164</v>
      </c>
      <c r="M1932" s="120">
        <v>8950.06</v>
      </c>
      <c r="N1932" s="120">
        <f t="shared" si="2102"/>
        <v>10213.94</v>
      </c>
      <c r="O1932" s="119">
        <f t="shared" si="2103"/>
        <v>0.53297537048632859</v>
      </c>
      <c r="P1932" s="148">
        <v>19164</v>
      </c>
      <c r="Q1932" s="213"/>
      <c r="R1932" s="117"/>
      <c r="S1932" s="117"/>
      <c r="T1932" s="117"/>
      <c r="U1932" s="117"/>
      <c r="V1932" s="117"/>
      <c r="W1932" s="26">
        <f t="shared" si="2104"/>
        <v>0</v>
      </c>
      <c r="X1932" s="118" t="str">
        <f t="shared" si="2105"/>
        <v/>
      </c>
      <c r="Y1932" s="119">
        <f t="shared" si="2106"/>
        <v>0</v>
      </c>
      <c r="Z1932" s="117">
        <f t="shared" si="2107"/>
        <v>19164</v>
      </c>
      <c r="AA1932" s="119">
        <f t="shared" si="2108"/>
        <v>1</v>
      </c>
      <c r="AB1932" s="120">
        <f t="shared" si="2109"/>
        <v>8950.06</v>
      </c>
      <c r="AC1932" s="119">
        <f t="shared" si="2110"/>
        <v>0.46702462951367141</v>
      </c>
      <c r="AD1932" s="110"/>
      <c r="AE1932" s="110"/>
      <c r="AF1932" s="110"/>
      <c r="AG1932" s="121"/>
    </row>
    <row r="1933" spans="1:33" ht="11.25" customHeight="1" x14ac:dyDescent="0.15">
      <c r="A1933" s="110" t="s">
        <v>911</v>
      </c>
      <c r="B1933" s="110"/>
      <c r="C1933" s="111" t="s">
        <v>58</v>
      </c>
      <c r="D1933" s="111">
        <v>2025</v>
      </c>
      <c r="E1933" s="146">
        <v>45808</v>
      </c>
      <c r="F1933" s="111"/>
      <c r="G1933" s="111">
        <v>71122012</v>
      </c>
      <c r="H1933" s="111"/>
      <c r="I1933" s="111"/>
      <c r="J1933" s="111"/>
      <c r="K1933" s="112" t="s">
        <v>919</v>
      </c>
      <c r="L1933" s="148">
        <v>19556.151894205035</v>
      </c>
      <c r="M1933" s="120">
        <f>L1933*0.1</f>
        <v>1955.6151894205036</v>
      </c>
      <c r="N1933" s="120">
        <f t="shared" si="2088"/>
        <v>17600.536704784532</v>
      </c>
      <c r="O1933" s="119">
        <f t="shared" si="2089"/>
        <v>0.9</v>
      </c>
      <c r="P1933" s="148">
        <v>19556.151894205035</v>
      </c>
      <c r="Q1933" s="111"/>
      <c r="R1933" s="117"/>
      <c r="S1933" s="117"/>
      <c r="T1933" s="117"/>
      <c r="U1933" s="117"/>
      <c r="V1933" s="117"/>
      <c r="W1933" s="26">
        <f t="shared" si="2090"/>
        <v>0</v>
      </c>
      <c r="X1933" s="118" t="str">
        <f t="shared" si="2096"/>
        <v/>
      </c>
      <c r="Y1933" s="119">
        <f t="shared" si="2097"/>
        <v>0</v>
      </c>
      <c r="Z1933" s="117">
        <f t="shared" si="2098"/>
        <v>19556.151894205035</v>
      </c>
      <c r="AA1933" s="119">
        <f t="shared" si="2099"/>
        <v>1</v>
      </c>
      <c r="AB1933" s="120">
        <f t="shared" si="2100"/>
        <v>1955.6151894205036</v>
      </c>
      <c r="AC1933" s="119">
        <f t="shared" si="2101"/>
        <v>9.9999999999999978E-2</v>
      </c>
      <c r="AD1933" s="110"/>
      <c r="AE1933" s="110"/>
      <c r="AF1933" s="110"/>
      <c r="AG1933" s="121"/>
    </row>
    <row r="1934" spans="1:33" ht="11.25" customHeight="1" x14ac:dyDescent="0.15">
      <c r="A1934" s="110" t="s">
        <v>911</v>
      </c>
      <c r="B1934" s="110"/>
      <c r="C1934" s="111" t="s">
        <v>58</v>
      </c>
      <c r="D1934" s="111">
        <v>2025</v>
      </c>
      <c r="E1934" s="146">
        <v>45808</v>
      </c>
      <c r="F1934" s="111"/>
      <c r="G1934" s="111">
        <v>72122012</v>
      </c>
      <c r="H1934" s="111"/>
      <c r="I1934" s="111"/>
      <c r="J1934" s="111"/>
      <c r="K1934" s="112" t="s">
        <v>921</v>
      </c>
      <c r="L1934" s="148">
        <v>19556.151894205035</v>
      </c>
      <c r="M1934" s="120">
        <f t="shared" ref="M1934:M1935" si="2111">L1934*0.1</f>
        <v>1955.6151894205036</v>
      </c>
      <c r="N1934" s="120">
        <f t="shared" si="2088"/>
        <v>17600.536704784532</v>
      </c>
      <c r="O1934" s="119">
        <f t="shared" si="2089"/>
        <v>0.9</v>
      </c>
      <c r="P1934" s="148">
        <v>19556.151894205035</v>
      </c>
      <c r="Q1934" s="111"/>
      <c r="R1934" s="117"/>
      <c r="S1934" s="117"/>
      <c r="T1934" s="117"/>
      <c r="U1934" s="117"/>
      <c r="V1934" s="117"/>
      <c r="W1934" s="26">
        <f t="shared" si="2090"/>
        <v>0</v>
      </c>
      <c r="X1934" s="118" t="str">
        <f t="shared" si="2096"/>
        <v/>
      </c>
      <c r="Y1934" s="119">
        <f t="shared" si="2097"/>
        <v>0</v>
      </c>
      <c r="Z1934" s="117">
        <f t="shared" si="2098"/>
        <v>19556.151894205035</v>
      </c>
      <c r="AA1934" s="119">
        <f t="shared" si="2099"/>
        <v>1</v>
      </c>
      <c r="AB1934" s="120">
        <f t="shared" si="2100"/>
        <v>1955.6151894205036</v>
      </c>
      <c r="AC1934" s="119">
        <f t="shared" si="2101"/>
        <v>9.9999999999999978E-2</v>
      </c>
      <c r="AD1934" s="110"/>
      <c r="AE1934" s="110"/>
      <c r="AF1934" s="110"/>
      <c r="AG1934" s="121"/>
    </row>
    <row r="1935" spans="1:33" ht="11.25" customHeight="1" x14ac:dyDescent="0.15">
      <c r="A1935" s="110" t="s">
        <v>911</v>
      </c>
      <c r="B1935" s="110"/>
      <c r="C1935" s="111" t="s">
        <v>58</v>
      </c>
      <c r="D1935" s="111">
        <v>2025</v>
      </c>
      <c r="E1935" s="146">
        <v>45808</v>
      </c>
      <c r="F1935" s="111"/>
      <c r="G1935" s="111">
        <v>74122012</v>
      </c>
      <c r="H1935" s="111"/>
      <c r="I1935" s="111"/>
      <c r="J1935" s="111"/>
      <c r="K1935" s="112" t="s">
        <v>923</v>
      </c>
      <c r="L1935" s="148">
        <v>56220.696211589922</v>
      </c>
      <c r="M1935" s="120">
        <f t="shared" si="2111"/>
        <v>5622.069621158993</v>
      </c>
      <c r="N1935" s="120">
        <f t="shared" si="2088"/>
        <v>50598.626590430926</v>
      </c>
      <c r="O1935" s="119">
        <f t="shared" si="2089"/>
        <v>0.89999999999999991</v>
      </c>
      <c r="P1935" s="148">
        <v>56220.696211589922</v>
      </c>
      <c r="Q1935" s="111"/>
      <c r="R1935" s="117"/>
      <c r="S1935" s="117"/>
      <c r="T1935" s="117"/>
      <c r="U1935" s="117"/>
      <c r="V1935" s="117"/>
      <c r="W1935" s="26">
        <f t="shared" si="2090"/>
        <v>0</v>
      </c>
      <c r="X1935" s="118" t="str">
        <f t="shared" si="2096"/>
        <v/>
      </c>
      <c r="Y1935" s="119">
        <f t="shared" si="2097"/>
        <v>0</v>
      </c>
      <c r="Z1935" s="117">
        <f t="shared" si="2098"/>
        <v>56220.696211589922</v>
      </c>
      <c r="AA1935" s="119">
        <f t="shared" si="2099"/>
        <v>1</v>
      </c>
      <c r="AB1935" s="120">
        <f t="shared" si="2100"/>
        <v>5622.069621158993</v>
      </c>
      <c r="AC1935" s="119">
        <f t="shared" si="2101"/>
        <v>0.10000000000000009</v>
      </c>
      <c r="AD1935" s="110"/>
      <c r="AE1935" s="110"/>
      <c r="AF1935" s="110"/>
      <c r="AG1935" s="121"/>
    </row>
    <row r="1936" spans="1:33" s="53" customFormat="1" ht="11.25" customHeight="1" x14ac:dyDescent="0.15">
      <c r="A1936" s="53" t="s">
        <v>911</v>
      </c>
      <c r="C1936" s="54" t="s">
        <v>177</v>
      </c>
      <c r="D1936" s="54"/>
      <c r="E1936" s="70"/>
      <c r="F1936" s="54"/>
      <c r="G1936" s="54"/>
      <c r="H1936" s="54"/>
      <c r="I1936" s="54"/>
      <c r="J1936" s="54"/>
      <c r="K1936" s="106"/>
      <c r="L1936" s="24">
        <f>SUM(L1917:L1935)</f>
        <v>860999</v>
      </c>
      <c r="M1936" s="24">
        <f>SUM(M1917:M1935)</f>
        <v>191703.92999999993</v>
      </c>
      <c r="N1936" s="24">
        <f>SUM(N1917:N1935)</f>
        <v>669295.06999999983</v>
      </c>
      <c r="O1936" s="57">
        <f t="shared" si="2089"/>
        <v>0.77734709331834284</v>
      </c>
      <c r="P1936" s="24">
        <f>SUM(P1917:P1935)</f>
        <v>860999</v>
      </c>
      <c r="Q1936" s="24"/>
      <c r="R1936" s="117">
        <f>SUM(R1917:R1935)</f>
        <v>190.5</v>
      </c>
      <c r="S1936" s="117">
        <f t="shared" ref="S1936:V1936" si="2112">SUM(S1917:S1935)</f>
        <v>10219.42</v>
      </c>
      <c r="T1936" s="117">
        <f t="shared" si="2112"/>
        <v>10505.73</v>
      </c>
      <c r="U1936" s="117">
        <f t="shared" si="2112"/>
        <v>36853.140000000007</v>
      </c>
      <c r="V1936" s="117">
        <f t="shared" si="2112"/>
        <v>2540.98</v>
      </c>
      <c r="W1936" s="26">
        <f>SUM(S1936:V1936)</f>
        <v>60119.270000000011</v>
      </c>
      <c r="X1936" s="56">
        <f t="shared" si="2096"/>
        <v>53.64524934383202</v>
      </c>
      <c r="Y1936" s="57">
        <f t="shared" si="2097"/>
        <v>4.2802767482889068E-2</v>
      </c>
      <c r="Z1936" s="28">
        <f t="shared" si="2098"/>
        <v>800879.73</v>
      </c>
      <c r="AA1936" s="57">
        <f t="shared" si="2099"/>
        <v>0.93017498278162924</v>
      </c>
      <c r="AB1936" s="58">
        <f t="shared" si="2100"/>
        <v>131584.65999999992</v>
      </c>
      <c r="AC1936" s="57">
        <f>IFERROR(AA1936-O1936,"")</f>
        <v>0.1528278894632864</v>
      </c>
      <c r="AG1936" s="61"/>
    </row>
    <row r="1937" spans="1:33" s="110" customFormat="1" ht="11.25" customHeight="1" x14ac:dyDescent="0.15">
      <c r="A1937" s="130"/>
      <c r="B1937" s="130"/>
      <c r="C1937" s="124"/>
      <c r="D1937" s="124"/>
      <c r="E1937" s="273"/>
      <c r="F1937" s="124"/>
      <c r="G1937" s="124"/>
      <c r="H1937" s="124"/>
      <c r="I1937" s="124"/>
      <c r="J1937" s="124"/>
      <c r="K1937" s="125"/>
      <c r="L1937" s="129"/>
      <c r="M1937" s="129"/>
      <c r="N1937" s="129"/>
      <c r="O1937" s="128"/>
      <c r="P1937" s="129"/>
      <c r="Q1937" s="124"/>
      <c r="R1937" s="129"/>
      <c r="S1937" s="129"/>
      <c r="T1937" s="129"/>
      <c r="U1937" s="129"/>
      <c r="V1937" s="126"/>
      <c r="W1937" s="49"/>
      <c r="X1937" s="45"/>
      <c r="Y1937" s="128"/>
      <c r="Z1937" s="126"/>
      <c r="AA1937" s="128"/>
      <c r="AB1937" s="129"/>
      <c r="AC1937" s="160"/>
      <c r="AD1937" s="137"/>
      <c r="AG1937" s="121"/>
    </row>
    <row r="1938" spans="1:33" ht="11.25" customHeight="1" x14ac:dyDescent="0.15">
      <c r="A1938" s="110" t="s">
        <v>925</v>
      </c>
      <c r="B1938" s="110"/>
      <c r="C1938" s="111" t="s">
        <v>37</v>
      </c>
      <c r="D1938" s="111">
        <v>2025</v>
      </c>
      <c r="E1938" s="146">
        <v>45838</v>
      </c>
      <c r="F1938" s="111"/>
      <c r="G1938" s="111">
        <v>12510112</v>
      </c>
      <c r="H1938" s="111"/>
      <c r="I1938" s="111"/>
      <c r="J1938" s="111"/>
      <c r="K1938" s="112" t="s">
        <v>578</v>
      </c>
      <c r="L1938" s="117">
        <f>166023.3+354.63</f>
        <v>166377.93</v>
      </c>
      <c r="M1938" s="120">
        <f>36725.23+91.21</f>
        <v>36816.44</v>
      </c>
      <c r="N1938" s="120">
        <f>L1938-M1938</f>
        <v>129561.48999999999</v>
      </c>
      <c r="O1938" s="119">
        <f t="shared" ref="O1938:O1947" si="2113">IFERROR(N1938/L1938,"")</f>
        <v>0.77871800664907898</v>
      </c>
      <c r="P1938" s="117">
        <f>166023.3+354.63</f>
        <v>166377.93</v>
      </c>
      <c r="Q1938" s="111">
        <v>4833</v>
      </c>
      <c r="R1938" s="117">
        <v>68</v>
      </c>
      <c r="S1938" s="117">
        <v>3085.34</v>
      </c>
      <c r="T1938" s="117"/>
      <c r="U1938" s="117">
        <v>34247.089999999997</v>
      </c>
      <c r="V1938" s="117"/>
      <c r="W1938" s="26">
        <f t="shared" ref="W1938:W1940" si="2114">SUM(S1938:V1938)</f>
        <v>37332.429999999993</v>
      </c>
      <c r="X1938" s="118">
        <f t="shared" ref="X1938:X1948" si="2115">IFERROR(S1938/R1938,"")</f>
        <v>45.372647058823532</v>
      </c>
      <c r="Y1938" s="119">
        <f>U1938/P1938</f>
        <v>0.20583913984264618</v>
      </c>
      <c r="Z1938" s="117">
        <f t="shared" ref="Z1938" si="2116">P1938-W1938</f>
        <v>129045.5</v>
      </c>
      <c r="AA1938" s="119">
        <f>Z1938/P1938</f>
        <v>0.77561669387279919</v>
      </c>
      <c r="AB1938" s="120">
        <f t="shared" ref="AB1938" si="2117">M1938-W1938</f>
        <v>-515.98999999999069</v>
      </c>
      <c r="AC1938" s="119">
        <f t="shared" ref="AC1938" si="2118">IFERROR(AA1938-O1938,"")</f>
        <v>-3.1013127762797854E-3</v>
      </c>
      <c r="AD1938" s="110" t="s">
        <v>926</v>
      </c>
      <c r="AE1938" s="110"/>
      <c r="AF1938" s="110"/>
      <c r="AG1938" s="121"/>
    </row>
    <row r="1939" spans="1:33" ht="11.25" customHeight="1" x14ac:dyDescent="0.15">
      <c r="A1939" s="110" t="s">
        <v>925</v>
      </c>
      <c r="B1939" s="110"/>
      <c r="C1939" s="111" t="s">
        <v>37</v>
      </c>
      <c r="D1939" s="111">
        <v>2025</v>
      </c>
      <c r="E1939" s="146">
        <v>45838</v>
      </c>
      <c r="F1939" s="111"/>
      <c r="G1939" s="111">
        <v>21010011</v>
      </c>
      <c r="H1939" s="111"/>
      <c r="I1939" s="111"/>
      <c r="J1939" s="111"/>
      <c r="K1939" s="112" t="s">
        <v>439</v>
      </c>
      <c r="L1939" s="117">
        <v>21860.240000000002</v>
      </c>
      <c r="M1939" s="120">
        <v>7538.71</v>
      </c>
      <c r="N1939" s="120">
        <f t="shared" ref="N1939:N1947" si="2119">L1939-M1939</f>
        <v>14321.530000000002</v>
      </c>
      <c r="O1939" s="119">
        <f t="shared" si="2113"/>
        <v>0.65514056570284684</v>
      </c>
      <c r="P1939" s="117">
        <v>21860.240000000002</v>
      </c>
      <c r="Q1939" s="111">
        <v>4729</v>
      </c>
      <c r="R1939" s="117"/>
      <c r="S1939" s="117"/>
      <c r="T1939" s="117"/>
      <c r="U1939" s="117">
        <v>7314.93</v>
      </c>
      <c r="V1939" s="117"/>
      <c r="W1939" s="26">
        <f t="shared" si="2114"/>
        <v>7314.93</v>
      </c>
      <c r="X1939" s="118" t="str">
        <f t="shared" si="2115"/>
        <v/>
      </c>
      <c r="Y1939" s="119">
        <f t="shared" ref="Y1939:Y1947" si="2120">U1939/P1939</f>
        <v>0.33462258419852664</v>
      </c>
      <c r="Z1939" s="117">
        <f t="shared" ref="Z1939:Z1947" si="2121">P1939-W1939</f>
        <v>14545.310000000001</v>
      </c>
      <c r="AA1939" s="119">
        <f t="shared" ref="AA1939:AA1947" si="2122">Z1939/P1939</f>
        <v>0.66537741580147336</v>
      </c>
      <c r="AB1939" s="120">
        <f t="shared" ref="AB1939:AB1947" si="2123">M1939-W1939</f>
        <v>223.77999999999975</v>
      </c>
      <c r="AC1939" s="119">
        <f t="shared" ref="AC1939:AC1947" si="2124">IFERROR(AA1939-O1939,"")</f>
        <v>1.0236850098626515E-2</v>
      </c>
      <c r="AD1939" s="110" t="s">
        <v>927</v>
      </c>
      <c r="AE1939" s="110"/>
      <c r="AF1939" s="110"/>
      <c r="AG1939" s="121"/>
    </row>
    <row r="1940" spans="1:33" ht="11.25" customHeight="1" x14ac:dyDescent="0.15">
      <c r="A1940" s="110" t="s">
        <v>925</v>
      </c>
      <c r="B1940" s="110"/>
      <c r="C1940" s="111" t="s">
        <v>37</v>
      </c>
      <c r="D1940" s="111">
        <v>2025</v>
      </c>
      <c r="E1940" s="146">
        <v>45838</v>
      </c>
      <c r="F1940" s="111"/>
      <c r="G1940" s="111">
        <v>21050011</v>
      </c>
      <c r="H1940" s="111"/>
      <c r="I1940" s="111"/>
      <c r="J1940" s="111"/>
      <c r="K1940" s="112" t="s">
        <v>582</v>
      </c>
      <c r="L1940" s="117">
        <v>31531.85</v>
      </c>
      <c r="M1940" s="120">
        <v>8934.32</v>
      </c>
      <c r="N1940" s="120">
        <f t="shared" si="2119"/>
        <v>22597.53</v>
      </c>
      <c r="O1940" s="119">
        <f t="shared" si="2113"/>
        <v>0.71665728461856826</v>
      </c>
      <c r="P1940" s="117">
        <v>31531.85</v>
      </c>
      <c r="Q1940" s="111">
        <v>4730</v>
      </c>
      <c r="R1940" s="117"/>
      <c r="S1940" s="117"/>
      <c r="T1940" s="117"/>
      <c r="U1940" s="117">
        <v>8300.59</v>
      </c>
      <c r="V1940" s="117"/>
      <c r="W1940" s="26">
        <f t="shared" si="2114"/>
        <v>8300.59</v>
      </c>
      <c r="X1940" s="118" t="str">
        <f t="shared" si="2115"/>
        <v/>
      </c>
      <c r="Y1940" s="119">
        <f t="shared" si="2120"/>
        <v>0.26324462408643962</v>
      </c>
      <c r="Z1940" s="117">
        <f t="shared" si="2121"/>
        <v>23231.26</v>
      </c>
      <c r="AA1940" s="119">
        <f t="shared" si="2122"/>
        <v>0.73675537591356044</v>
      </c>
      <c r="AB1940" s="120">
        <f t="shared" si="2123"/>
        <v>633.72999999999956</v>
      </c>
      <c r="AC1940" s="119">
        <f t="shared" si="2124"/>
        <v>2.0098091294992182E-2</v>
      </c>
      <c r="AD1940" s="110" t="s">
        <v>927</v>
      </c>
      <c r="AE1940" s="110"/>
      <c r="AF1940" s="110"/>
      <c r="AG1940" s="121"/>
    </row>
    <row r="1941" spans="1:33" ht="11.25" customHeight="1" x14ac:dyDescent="0.15">
      <c r="A1941" s="110" t="s">
        <v>925</v>
      </c>
      <c r="B1941" s="110"/>
      <c r="C1941" s="111" t="s">
        <v>37</v>
      </c>
      <c r="D1941" s="111">
        <v>2025</v>
      </c>
      <c r="E1941" s="146">
        <v>45838</v>
      </c>
      <c r="F1941" s="111"/>
      <c r="G1941" s="111">
        <v>92510142</v>
      </c>
      <c r="H1941" s="111"/>
      <c r="I1941" s="111"/>
      <c r="J1941" s="111"/>
      <c r="K1941" s="112" t="s">
        <v>583</v>
      </c>
      <c r="L1941" s="117">
        <v>15934</v>
      </c>
      <c r="M1941" s="120">
        <v>5409.2</v>
      </c>
      <c r="N1941" s="120">
        <f t="shared" si="2119"/>
        <v>10524.8</v>
      </c>
      <c r="O1941" s="119">
        <f t="shared" si="2113"/>
        <v>0.6605246642399899</v>
      </c>
      <c r="P1941" s="117">
        <v>15934</v>
      </c>
      <c r="Q1941" s="111">
        <v>4731</v>
      </c>
      <c r="R1941" s="117"/>
      <c r="S1941" s="117"/>
      <c r="T1941" s="117"/>
      <c r="U1941" s="117">
        <v>4571</v>
      </c>
      <c r="V1941" s="117"/>
      <c r="W1941" s="26">
        <f>SUM(S1941:V1941)</f>
        <v>4571</v>
      </c>
      <c r="X1941" s="118" t="str">
        <f t="shared" si="2115"/>
        <v/>
      </c>
      <c r="Y1941" s="119">
        <f t="shared" si="2120"/>
        <v>0.28687084222417469</v>
      </c>
      <c r="Z1941" s="117">
        <f t="shared" si="2121"/>
        <v>11363</v>
      </c>
      <c r="AA1941" s="119">
        <f t="shared" si="2122"/>
        <v>0.71312915777582531</v>
      </c>
      <c r="AB1941" s="120">
        <f t="shared" si="2123"/>
        <v>838.19999999999982</v>
      </c>
      <c r="AC1941" s="119">
        <f t="shared" si="2124"/>
        <v>5.2604493535835406E-2</v>
      </c>
      <c r="AD1941" s="110" t="s">
        <v>927</v>
      </c>
      <c r="AE1941" s="110"/>
      <c r="AF1941" s="110"/>
      <c r="AG1941" s="121"/>
    </row>
    <row r="1942" spans="1:33" ht="11.25" customHeight="1" x14ac:dyDescent="0.15">
      <c r="A1942" s="110" t="s">
        <v>925</v>
      </c>
      <c r="B1942" s="110"/>
      <c r="C1942" s="111" t="s">
        <v>37</v>
      </c>
      <c r="D1942" s="111">
        <v>2025</v>
      </c>
      <c r="E1942" s="146">
        <v>45838</v>
      </c>
      <c r="F1942" s="111"/>
      <c r="G1942" s="111">
        <v>31080020</v>
      </c>
      <c r="H1942" s="111"/>
      <c r="I1942" s="111"/>
      <c r="J1942" s="111"/>
      <c r="K1942" s="112" t="s">
        <v>584</v>
      </c>
      <c r="L1942" s="117">
        <v>52026</v>
      </c>
      <c r="M1942" s="120">
        <v>18146.75</v>
      </c>
      <c r="N1942" s="120">
        <f t="shared" si="2119"/>
        <v>33879.25</v>
      </c>
      <c r="O1942" s="119">
        <f t="shared" si="2113"/>
        <v>0.65119843924191745</v>
      </c>
      <c r="P1942" s="117">
        <v>52026</v>
      </c>
      <c r="Q1942" s="111">
        <v>4732</v>
      </c>
      <c r="R1942" s="117">
        <v>13</v>
      </c>
      <c r="S1942" s="117">
        <v>603.52</v>
      </c>
      <c r="T1942" s="117"/>
      <c r="U1942" s="117">
        <v>16337.85</v>
      </c>
      <c r="V1942" s="117"/>
      <c r="W1942" s="26">
        <f t="shared" ref="W1942:W1947" si="2125">SUM(S1942:V1942)</f>
        <v>16941.37</v>
      </c>
      <c r="X1942" s="118">
        <f t="shared" si="2115"/>
        <v>46.424615384615386</v>
      </c>
      <c r="Y1942" s="119">
        <f t="shared" si="2120"/>
        <v>0.31403240687348632</v>
      </c>
      <c r="Z1942" s="117">
        <f t="shared" si="2121"/>
        <v>35084.630000000005</v>
      </c>
      <c r="AA1942" s="119">
        <f t="shared" si="2122"/>
        <v>0.67436723945719457</v>
      </c>
      <c r="AB1942" s="120">
        <f t="shared" si="2123"/>
        <v>1205.380000000001</v>
      </c>
      <c r="AC1942" s="119">
        <f t="shared" si="2124"/>
        <v>2.3168800215277119E-2</v>
      </c>
      <c r="AD1942" s="110" t="s">
        <v>927</v>
      </c>
      <c r="AE1942" s="110"/>
      <c r="AF1942" s="110"/>
      <c r="AG1942" s="121"/>
    </row>
    <row r="1943" spans="1:33" ht="11.25" customHeight="1" x14ac:dyDescent="0.15">
      <c r="A1943" s="110" t="s">
        <v>925</v>
      </c>
      <c r="B1943" s="110"/>
      <c r="C1943" s="111" t="s">
        <v>47</v>
      </c>
      <c r="D1943" s="111">
        <v>2025</v>
      </c>
      <c r="E1943" s="146">
        <v>45838</v>
      </c>
      <c r="F1943" s="111"/>
      <c r="G1943" s="111">
        <v>52510112</v>
      </c>
      <c r="H1943" s="111"/>
      <c r="I1943" s="111"/>
      <c r="J1943" s="111"/>
      <c r="K1943" s="112" t="s">
        <v>585</v>
      </c>
      <c r="L1943" s="117">
        <v>48793</v>
      </c>
      <c r="M1943" s="120">
        <v>13369.36</v>
      </c>
      <c r="N1943" s="120">
        <f t="shared" si="2119"/>
        <v>35423.64</v>
      </c>
      <c r="O1943" s="119">
        <f t="shared" si="2113"/>
        <v>0.72599840141003835</v>
      </c>
      <c r="P1943" s="117">
        <v>48793</v>
      </c>
      <c r="Q1943" s="111">
        <v>4733</v>
      </c>
      <c r="R1943" s="117">
        <v>119.5</v>
      </c>
      <c r="S1943" s="117">
        <v>6203.25</v>
      </c>
      <c r="T1943" s="117">
        <v>5490.67</v>
      </c>
      <c r="U1943" s="117">
        <v>4864.07</v>
      </c>
      <c r="V1943" s="117"/>
      <c r="W1943" s="26">
        <f t="shared" si="2125"/>
        <v>16557.989999999998</v>
      </c>
      <c r="X1943" s="118">
        <f t="shared" si="2115"/>
        <v>51.910041841004187</v>
      </c>
      <c r="Y1943" s="119">
        <f t="shared" si="2120"/>
        <v>9.968786506261143E-2</v>
      </c>
      <c r="Z1943" s="117">
        <f t="shared" si="2121"/>
        <v>32235.010000000002</v>
      </c>
      <c r="AA1943" s="119">
        <f t="shared" si="2122"/>
        <v>0.66064824872420225</v>
      </c>
      <c r="AB1943" s="120">
        <f t="shared" si="2123"/>
        <v>-3188.6299999999974</v>
      </c>
      <c r="AC1943" s="119">
        <f t="shared" si="2124"/>
        <v>-6.5350152685836105E-2</v>
      </c>
      <c r="AD1943" s="110" t="s">
        <v>928</v>
      </c>
      <c r="AE1943" s="110"/>
      <c r="AF1943" s="110"/>
      <c r="AG1943" s="121"/>
    </row>
    <row r="1944" spans="1:33" ht="11.25" customHeight="1" x14ac:dyDescent="0.15">
      <c r="A1944" s="110" t="s">
        <v>925</v>
      </c>
      <c r="B1944" s="110"/>
      <c r="C1944" s="111" t="s">
        <v>248</v>
      </c>
      <c r="D1944" s="111">
        <v>2025</v>
      </c>
      <c r="E1944" s="146">
        <v>45838</v>
      </c>
      <c r="F1944" s="111"/>
      <c r="G1944" s="111">
        <v>96000000</v>
      </c>
      <c r="H1944" s="111"/>
      <c r="I1944" s="111"/>
      <c r="J1944" s="111"/>
      <c r="K1944" s="112" t="s">
        <v>250</v>
      </c>
      <c r="L1944" s="117">
        <v>19183</v>
      </c>
      <c r="M1944" s="120">
        <v>9557.5</v>
      </c>
      <c r="N1944" s="120">
        <f t="shared" si="2119"/>
        <v>9625.5</v>
      </c>
      <c r="O1944" s="119">
        <f t="shared" si="2113"/>
        <v>0.50177240264817813</v>
      </c>
      <c r="P1944" s="117">
        <v>19183</v>
      </c>
      <c r="Q1944" s="111">
        <v>4734</v>
      </c>
      <c r="R1944" s="117">
        <v>16</v>
      </c>
      <c r="S1944" s="117">
        <v>968.8</v>
      </c>
      <c r="T1944" s="117"/>
      <c r="U1944" s="117"/>
      <c r="V1944" s="117"/>
      <c r="W1944" s="26">
        <f t="shared" si="2125"/>
        <v>968.8</v>
      </c>
      <c r="X1944" s="118">
        <f t="shared" si="2115"/>
        <v>60.55</v>
      </c>
      <c r="Y1944" s="119">
        <f t="shared" si="2120"/>
        <v>0</v>
      </c>
      <c r="Z1944" s="117">
        <f t="shared" si="2121"/>
        <v>18214.2</v>
      </c>
      <c r="AA1944" s="119">
        <f t="shared" si="2122"/>
        <v>0.94949695042485538</v>
      </c>
      <c r="AB1944" s="120">
        <f t="shared" si="2123"/>
        <v>8588.7000000000007</v>
      </c>
      <c r="AC1944" s="119">
        <f t="shared" si="2124"/>
        <v>0.44772454777667725</v>
      </c>
      <c r="AD1944" s="110"/>
      <c r="AE1944" s="110"/>
      <c r="AF1944" s="110"/>
      <c r="AG1944" s="121"/>
    </row>
    <row r="1945" spans="1:33" ht="11.25" customHeight="1" x14ac:dyDescent="0.15">
      <c r="A1945" s="110" t="s">
        <v>925</v>
      </c>
      <c r="B1945" s="110"/>
      <c r="C1945" s="111" t="s">
        <v>55</v>
      </c>
      <c r="D1945" s="111">
        <v>2025</v>
      </c>
      <c r="E1945" s="146">
        <v>45838</v>
      </c>
      <c r="F1945" s="111"/>
      <c r="G1945" s="111" t="s">
        <v>56</v>
      </c>
      <c r="H1945" s="111"/>
      <c r="I1945" s="111"/>
      <c r="J1945" s="111"/>
      <c r="K1945" s="112" t="s">
        <v>71</v>
      </c>
      <c r="L1945" s="117">
        <v>17240</v>
      </c>
      <c r="M1945" s="120">
        <v>8619.5400000000009</v>
      </c>
      <c r="N1945" s="120">
        <f t="shared" si="2119"/>
        <v>8620.4599999999991</v>
      </c>
      <c r="O1945" s="119">
        <f t="shared" si="2113"/>
        <v>0.50002668213457069</v>
      </c>
      <c r="P1945" s="117">
        <v>17240</v>
      </c>
      <c r="Q1945" s="111">
        <v>4737</v>
      </c>
      <c r="R1945" s="117">
        <v>15</v>
      </c>
      <c r="S1945" s="117">
        <v>727.5</v>
      </c>
      <c r="T1945" s="117"/>
      <c r="U1945" s="117"/>
      <c r="V1945" s="117">
        <v>3971.7</v>
      </c>
      <c r="W1945" s="26">
        <f t="shared" si="2125"/>
        <v>4699.2</v>
      </c>
      <c r="X1945" s="118">
        <f t="shared" si="2115"/>
        <v>48.5</v>
      </c>
      <c r="Y1945" s="119">
        <f t="shared" si="2120"/>
        <v>0</v>
      </c>
      <c r="Z1945" s="117">
        <f t="shared" si="2121"/>
        <v>12540.8</v>
      </c>
      <c r="AA1945" s="119">
        <f t="shared" si="2122"/>
        <v>0.72742459396751735</v>
      </c>
      <c r="AB1945" s="120">
        <f t="shared" si="2123"/>
        <v>3920.3400000000011</v>
      </c>
      <c r="AC1945" s="119">
        <f t="shared" si="2124"/>
        <v>0.22739791183294666</v>
      </c>
      <c r="AD1945" s="110"/>
      <c r="AE1945" s="110"/>
      <c r="AF1945" s="110"/>
      <c r="AG1945" s="121"/>
    </row>
    <row r="1946" spans="1:33" ht="11.25" customHeight="1" x14ac:dyDescent="0.15">
      <c r="A1946" s="110" t="s">
        <v>925</v>
      </c>
      <c r="B1946" s="110"/>
      <c r="C1946" s="111" t="s">
        <v>58</v>
      </c>
      <c r="D1946" s="111">
        <v>2025</v>
      </c>
      <c r="E1946" s="146">
        <v>45838</v>
      </c>
      <c r="F1946" s="111"/>
      <c r="G1946" s="111">
        <v>72152012</v>
      </c>
      <c r="H1946" s="111"/>
      <c r="I1946" s="111"/>
      <c r="J1946" s="111"/>
      <c r="K1946" s="112" t="s">
        <v>672</v>
      </c>
      <c r="L1946" s="117">
        <v>17474</v>
      </c>
      <c r="M1946" s="120">
        <v>1612.8</v>
      </c>
      <c r="N1946" s="120">
        <f t="shared" si="2119"/>
        <v>15861.2</v>
      </c>
      <c r="O1946" s="119">
        <f t="shared" si="2113"/>
        <v>0.90770287283964757</v>
      </c>
      <c r="P1946" s="117">
        <v>17474</v>
      </c>
      <c r="Q1946" s="111">
        <v>4735</v>
      </c>
      <c r="R1946" s="117"/>
      <c r="S1946" s="117"/>
      <c r="T1946" s="117"/>
      <c r="U1946" s="117">
        <v>1961.55</v>
      </c>
      <c r="V1946" s="117"/>
      <c r="W1946" s="26">
        <f t="shared" si="2125"/>
        <v>1961.55</v>
      </c>
      <c r="X1946" s="118" t="str">
        <f t="shared" si="2115"/>
        <v/>
      </c>
      <c r="Y1946" s="119">
        <f t="shared" si="2120"/>
        <v>0.11225535080691312</v>
      </c>
      <c r="Z1946" s="117">
        <f t="shared" si="2121"/>
        <v>15512.45</v>
      </c>
      <c r="AA1946" s="119">
        <f t="shared" si="2122"/>
        <v>0.88774464919308693</v>
      </c>
      <c r="AB1946" s="120">
        <f t="shared" si="2123"/>
        <v>-348.75</v>
      </c>
      <c r="AC1946" s="119">
        <f t="shared" si="2124"/>
        <v>-1.9958223646560636E-2</v>
      </c>
      <c r="AD1946" s="110"/>
      <c r="AE1946" s="110"/>
      <c r="AF1946" s="110"/>
      <c r="AG1946" s="121"/>
    </row>
    <row r="1947" spans="1:33" ht="11.25" customHeight="1" x14ac:dyDescent="0.15">
      <c r="A1947" s="110" t="s">
        <v>925</v>
      </c>
      <c r="B1947" s="110"/>
      <c r="C1947" s="111" t="s">
        <v>49</v>
      </c>
      <c r="D1947" s="111">
        <v>2025</v>
      </c>
      <c r="E1947" s="146">
        <v>45838</v>
      </c>
      <c r="F1947" s="111"/>
      <c r="G1947" s="111">
        <v>62652012</v>
      </c>
      <c r="H1947" s="111"/>
      <c r="I1947" s="111"/>
      <c r="J1947" s="111"/>
      <c r="K1947" s="112" t="s">
        <v>929</v>
      </c>
      <c r="L1947" s="117">
        <v>12412</v>
      </c>
      <c r="M1947" s="120">
        <v>4367.66</v>
      </c>
      <c r="N1947" s="120">
        <f t="shared" si="2119"/>
        <v>8044.34</v>
      </c>
      <c r="O1947" s="119">
        <f t="shared" si="2113"/>
        <v>0.64810989365130522</v>
      </c>
      <c r="P1947" s="117">
        <v>12412</v>
      </c>
      <c r="Q1947" s="111">
        <v>4736</v>
      </c>
      <c r="R1947" s="117">
        <v>32</v>
      </c>
      <c r="S1947" s="117">
        <v>2001.6</v>
      </c>
      <c r="T1947" s="117">
        <v>2039.64</v>
      </c>
      <c r="U1947" s="117">
        <v>38.130000000000003</v>
      </c>
      <c r="V1947" s="117"/>
      <c r="W1947" s="26">
        <f t="shared" si="2125"/>
        <v>4079.37</v>
      </c>
      <c r="X1947" s="118">
        <f t="shared" si="2115"/>
        <v>62.55</v>
      </c>
      <c r="Y1947" s="119">
        <f t="shared" si="2120"/>
        <v>3.0720270705768614E-3</v>
      </c>
      <c r="Z1947" s="117">
        <f t="shared" si="2121"/>
        <v>8332.630000000001</v>
      </c>
      <c r="AA1947" s="119">
        <f t="shared" si="2122"/>
        <v>0.67133660973251696</v>
      </c>
      <c r="AB1947" s="120">
        <f t="shared" si="2123"/>
        <v>288.28999999999996</v>
      </c>
      <c r="AC1947" s="119">
        <f t="shared" si="2124"/>
        <v>2.322671608121174E-2</v>
      </c>
      <c r="AD1947" s="110"/>
      <c r="AE1947" s="110"/>
      <c r="AF1947" s="110"/>
      <c r="AG1947" s="121"/>
    </row>
    <row r="1948" spans="1:33" s="53" customFormat="1" ht="11.25" customHeight="1" x14ac:dyDescent="0.15">
      <c r="A1948" s="53" t="s">
        <v>925</v>
      </c>
      <c r="C1948" s="54" t="s">
        <v>177</v>
      </c>
      <c r="D1948" s="54"/>
      <c r="E1948" s="70"/>
      <c r="F1948" s="54"/>
      <c r="G1948" s="54"/>
      <c r="H1948" s="54"/>
      <c r="I1948" s="54"/>
      <c r="J1948" s="54"/>
      <c r="K1948" s="106"/>
      <c r="L1948" s="24">
        <f>SUM(L1938:L1947)</f>
        <v>402832.02</v>
      </c>
      <c r="M1948" s="24">
        <f t="shared" ref="M1948" si="2126">SUM(M1938:M1947)</f>
        <v>114372.28000000001</v>
      </c>
      <c r="N1948" s="24">
        <f>SUM(N1938:N1947)</f>
        <v>288459.74000000005</v>
      </c>
      <c r="O1948" s="57">
        <f>IFERROR(N1948/L1948,"")</f>
        <v>0.7160794715375407</v>
      </c>
      <c r="P1948" s="24">
        <f>SUM(P1938:P1947)</f>
        <v>402832.02</v>
      </c>
      <c r="Q1948" s="24"/>
      <c r="R1948" s="117">
        <f>SUM(R1938:R1947)</f>
        <v>263.5</v>
      </c>
      <c r="S1948" s="117">
        <f t="shared" ref="S1948:V1948" si="2127">SUM(S1938:S1947)</f>
        <v>13590.01</v>
      </c>
      <c r="T1948" s="117">
        <f t="shared" si="2127"/>
        <v>7530.31</v>
      </c>
      <c r="U1948" s="117">
        <f t="shared" si="2127"/>
        <v>77635.210000000006</v>
      </c>
      <c r="V1948" s="117">
        <f t="shared" si="2127"/>
        <v>3971.7</v>
      </c>
      <c r="W1948" s="26">
        <f t="shared" ref="W1948" si="2128">SUM(W1938:W1947)</f>
        <v>102727.23</v>
      </c>
      <c r="X1948" s="56">
        <f t="shared" si="2115"/>
        <v>51.574990512333969</v>
      </c>
      <c r="Y1948" s="57">
        <f>U1948/P1948</f>
        <v>0.19272353275193962</v>
      </c>
      <c r="Z1948" s="28">
        <f>P1948-W1948</f>
        <v>300104.79000000004</v>
      </c>
      <c r="AA1948" s="57">
        <f>Z1948/P1948</f>
        <v>0.74498742676910346</v>
      </c>
      <c r="AB1948" s="58">
        <f>M1948-W1948</f>
        <v>11645.050000000017</v>
      </c>
      <c r="AC1948" s="57">
        <f>IFERROR(AA1948-O1948,"")</f>
        <v>2.8907955231562754E-2</v>
      </c>
      <c r="AG1948" s="61"/>
    </row>
    <row r="1949" spans="1:33" s="110" customFormat="1" ht="11.25" customHeight="1" x14ac:dyDescent="0.15">
      <c r="A1949" s="130"/>
      <c r="B1949" s="130"/>
      <c r="C1949" s="124"/>
      <c r="D1949" s="124"/>
      <c r="E1949" s="273"/>
      <c r="F1949" s="124"/>
      <c r="G1949" s="124"/>
      <c r="H1949" s="124"/>
      <c r="I1949" s="124"/>
      <c r="J1949" s="124"/>
      <c r="K1949" s="125"/>
      <c r="L1949" s="129"/>
      <c r="M1949" s="129"/>
      <c r="N1949" s="129"/>
      <c r="O1949" s="128"/>
      <c r="P1949" s="129"/>
      <c r="Q1949" s="124"/>
      <c r="R1949" s="129"/>
      <c r="S1949" s="129"/>
      <c r="T1949" s="129"/>
      <c r="U1949" s="129"/>
      <c r="V1949" s="126"/>
      <c r="W1949" s="49"/>
      <c r="X1949" s="45"/>
      <c r="Y1949" s="128"/>
      <c r="Z1949" s="126"/>
      <c r="AA1949" s="128"/>
      <c r="AB1949" s="129"/>
      <c r="AC1949" s="160"/>
      <c r="AD1949" s="137"/>
      <c r="AG1949" s="121"/>
    </row>
    <row r="1950" spans="1:33" ht="11.25" customHeight="1" x14ac:dyDescent="0.15">
      <c r="A1950" s="110" t="s">
        <v>210</v>
      </c>
      <c r="B1950" s="110"/>
      <c r="C1950" s="111" t="s">
        <v>175</v>
      </c>
      <c r="D1950" s="111">
        <v>2025</v>
      </c>
      <c r="E1950" s="146">
        <v>45838</v>
      </c>
      <c r="F1950" s="111"/>
      <c r="G1950" s="111">
        <v>81100010</v>
      </c>
      <c r="H1950" s="111">
        <v>4101</v>
      </c>
      <c r="I1950" s="111" t="str">
        <f>MID(G1950,2,1)</f>
        <v>1</v>
      </c>
      <c r="J1950" s="111" t="str">
        <f>IF(I1950="1","Small/Medium","Large")</f>
        <v>Small/Medium</v>
      </c>
      <c r="K1950" s="147" t="s">
        <v>145</v>
      </c>
      <c r="L1950" s="219">
        <v>11454</v>
      </c>
      <c r="M1950" s="120">
        <f>L1950*0.3</f>
        <v>3436.2</v>
      </c>
      <c r="N1950" s="120">
        <f>L1950-M1950</f>
        <v>8017.8</v>
      </c>
      <c r="O1950" s="119">
        <f>IFERROR(N1950/L1950,"")</f>
        <v>0.70000000000000007</v>
      </c>
      <c r="P1950" s="219">
        <v>11454</v>
      </c>
      <c r="Q1950" s="111">
        <v>5427</v>
      </c>
      <c r="R1950" s="117">
        <v>15</v>
      </c>
      <c r="S1950" s="117">
        <v>769.2</v>
      </c>
      <c r="T1950" s="117">
        <v>915.24</v>
      </c>
      <c r="U1950" s="117">
        <v>131.74</v>
      </c>
      <c r="V1950" s="117"/>
      <c r="W1950" s="26">
        <f>SUM(S1950:V1950)</f>
        <v>1816.18</v>
      </c>
      <c r="X1950" s="118">
        <f>IFERROR(S1950/R1950,"")</f>
        <v>51.28</v>
      </c>
      <c r="Y1950" s="119">
        <f>IFERROR(U1950/P1950,0)</f>
        <v>1.1501658809149643E-2</v>
      </c>
      <c r="Z1950" s="117">
        <f>P1950-W1950</f>
        <v>9637.82</v>
      </c>
      <c r="AA1950" s="119">
        <f>IFERROR(Z1950/P1950,0)</f>
        <v>0.84143705255805834</v>
      </c>
      <c r="AB1950" s="120">
        <f>M1950-W1950</f>
        <v>1620.0199999999998</v>
      </c>
      <c r="AC1950" s="119">
        <f>IFERROR(AA1950-O1950,"")</f>
        <v>0.14143705255805827</v>
      </c>
      <c r="AD1950" s="110"/>
      <c r="AE1950" s="110"/>
      <c r="AF1950" s="110"/>
      <c r="AG1950" s="121"/>
    </row>
    <row r="1951" spans="1:33" s="53" customFormat="1" ht="11.25" customHeight="1" x14ac:dyDescent="0.15">
      <c r="A1951" s="53" t="s">
        <v>210</v>
      </c>
      <c r="C1951" s="54" t="s">
        <v>177</v>
      </c>
      <c r="D1951" s="54"/>
      <c r="E1951" s="70"/>
      <c r="F1951" s="54"/>
      <c r="G1951" s="54"/>
      <c r="H1951" s="54"/>
      <c r="I1951" s="54"/>
      <c r="J1951" s="54"/>
      <c r="K1951" s="106"/>
      <c r="L1951" s="24">
        <f>SUM(L1950)</f>
        <v>11454</v>
      </c>
      <c r="M1951" s="24">
        <f t="shared" ref="M1951" si="2129">SUM(M1950)</f>
        <v>3436.2</v>
      </c>
      <c r="N1951" s="24">
        <f>SUM(N1950)</f>
        <v>8017.8</v>
      </c>
      <c r="O1951" s="57">
        <f>IFERROR(N1951/L1951,"")</f>
        <v>0.70000000000000007</v>
      </c>
      <c r="P1951" s="24">
        <f>SUM(P1950)</f>
        <v>11454</v>
      </c>
      <c r="Q1951" s="24"/>
      <c r="R1951" s="117">
        <f>SUM(R1950)</f>
        <v>15</v>
      </c>
      <c r="S1951" s="117">
        <f t="shared" ref="S1951:V1951" si="2130">SUM(S1950)</f>
        <v>769.2</v>
      </c>
      <c r="T1951" s="117">
        <f t="shared" si="2130"/>
        <v>915.24</v>
      </c>
      <c r="U1951" s="117">
        <f t="shared" si="2130"/>
        <v>131.74</v>
      </c>
      <c r="V1951" s="117">
        <f t="shared" si="2130"/>
        <v>0</v>
      </c>
      <c r="W1951" s="26">
        <f>SUM(W1949:W1950)</f>
        <v>1816.18</v>
      </c>
      <c r="X1951" s="56">
        <f>IFERROR(S1951/R1951,"")</f>
        <v>51.28</v>
      </c>
      <c r="Y1951" s="119">
        <f>IFERROR(U1951/P1951,0)</f>
        <v>1.1501658809149643E-2</v>
      </c>
      <c r="Z1951" s="28">
        <f>P1951-W1951</f>
        <v>9637.82</v>
      </c>
      <c r="AA1951" s="119">
        <f>IFERROR(Z1951/P1951,0)</f>
        <v>0.84143705255805834</v>
      </c>
      <c r="AB1951" s="58">
        <f>M1951-W1951</f>
        <v>1620.0199999999998</v>
      </c>
      <c r="AC1951" s="57">
        <f>IFERROR(AA1951-O1951,"")</f>
        <v>0.14143705255805827</v>
      </c>
      <c r="AG1951" s="61"/>
    </row>
    <row r="1952" spans="1:33" s="110" customFormat="1" ht="11.25" customHeight="1" x14ac:dyDescent="0.15">
      <c r="A1952" s="130"/>
      <c r="B1952" s="130"/>
      <c r="C1952" s="124"/>
      <c r="D1952" s="124"/>
      <c r="E1952" s="273"/>
      <c r="F1952" s="124"/>
      <c r="G1952" s="124"/>
      <c r="H1952" s="124"/>
      <c r="I1952" s="124"/>
      <c r="J1952" s="124"/>
      <c r="K1952" s="125"/>
      <c r="L1952" s="129"/>
      <c r="M1952" s="129"/>
      <c r="N1952" s="129"/>
      <c r="O1952" s="128"/>
      <c r="P1952" s="129"/>
      <c r="Q1952" s="124"/>
      <c r="R1952" s="129"/>
      <c r="S1952" s="129"/>
      <c r="T1952" s="129"/>
      <c r="U1952" s="129"/>
      <c r="V1952" s="126"/>
      <c r="W1952" s="49"/>
      <c r="X1952" s="45"/>
      <c r="Y1952" s="128"/>
      <c r="Z1952" s="126"/>
      <c r="AA1952" s="128"/>
      <c r="AB1952" s="129"/>
      <c r="AC1952" s="160"/>
      <c r="AD1952" s="137"/>
      <c r="AG1952" s="121"/>
    </row>
    <row r="1953" spans="1:33" ht="11.25" customHeight="1" x14ac:dyDescent="0.15">
      <c r="A1953" s="110" t="s">
        <v>788</v>
      </c>
      <c r="B1953" s="110"/>
      <c r="C1953" s="111" t="s">
        <v>175</v>
      </c>
      <c r="D1953" s="111">
        <v>2025</v>
      </c>
      <c r="E1953" s="146">
        <v>45838</v>
      </c>
      <c r="F1953" s="111"/>
      <c r="G1953" s="111">
        <v>81100010</v>
      </c>
      <c r="H1953" s="111">
        <v>4101</v>
      </c>
      <c r="I1953" s="111" t="str">
        <f>MID(G1953,2,1)</f>
        <v>1</v>
      </c>
      <c r="J1953" s="111" t="str">
        <f>IF(I1953="1","Small/Medium","Large")</f>
        <v>Small/Medium</v>
      </c>
      <c r="K1953" s="147" t="s">
        <v>145</v>
      </c>
      <c r="L1953" s="120">
        <v>16623</v>
      </c>
      <c r="M1953" s="120">
        <f>L1953*0.3</f>
        <v>4986.8999999999996</v>
      </c>
      <c r="N1953" s="120">
        <f>L1953-M1953</f>
        <v>11636.1</v>
      </c>
      <c r="O1953" s="119">
        <f>IFERROR(N1953/L1953,"")</f>
        <v>0.70000000000000007</v>
      </c>
      <c r="P1953" s="120">
        <v>16623</v>
      </c>
      <c r="Q1953" s="111">
        <v>5428</v>
      </c>
      <c r="R1953" s="117">
        <v>32.5</v>
      </c>
      <c r="S1953" s="117">
        <v>1718.6</v>
      </c>
      <c r="T1953" s="117">
        <v>1372.88</v>
      </c>
      <c r="U1953" s="117">
        <v>658.5</v>
      </c>
      <c r="V1953" s="117"/>
      <c r="W1953" s="26">
        <f>SUM(S1953:V1953)</f>
        <v>3749.98</v>
      </c>
      <c r="X1953" s="118">
        <f>IFERROR(S1953/R1953,"")</f>
        <v>52.879999999999995</v>
      </c>
      <c r="Y1953" s="119">
        <f>IFERROR(U1953/P1953,0)</f>
        <v>3.9613788124887202E-2</v>
      </c>
      <c r="Z1953" s="117">
        <f>P1953-W1953</f>
        <v>12873.02</v>
      </c>
      <c r="AA1953" s="119">
        <f>IFERROR(Z1953/P1953,0)</f>
        <v>0.77441015460506535</v>
      </c>
      <c r="AB1953" s="120">
        <f>M1953-W1953</f>
        <v>1236.9199999999996</v>
      </c>
      <c r="AC1953" s="119">
        <f>IFERROR(AA1953-O1953,"")</f>
        <v>7.4410154605065282E-2</v>
      </c>
      <c r="AD1953" s="110" t="s">
        <v>930</v>
      </c>
      <c r="AE1953" s="110"/>
      <c r="AF1953" s="110"/>
      <c r="AG1953" s="121"/>
    </row>
    <row r="1954" spans="1:33" s="53" customFormat="1" ht="11.25" customHeight="1" x14ac:dyDescent="0.15">
      <c r="A1954" s="53" t="s">
        <v>788</v>
      </c>
      <c r="C1954" s="54" t="s">
        <v>177</v>
      </c>
      <c r="D1954" s="54"/>
      <c r="E1954" s="70"/>
      <c r="F1954" s="54"/>
      <c r="G1954" s="54"/>
      <c r="H1954" s="54"/>
      <c r="I1954" s="54"/>
      <c r="J1954" s="54"/>
      <c r="K1954" s="106"/>
      <c r="L1954" s="24">
        <f>SUM(L1953)</f>
        <v>16623</v>
      </c>
      <c r="M1954" s="24">
        <f t="shared" ref="M1954" si="2131">SUM(M1953)</f>
        <v>4986.8999999999996</v>
      </c>
      <c r="N1954" s="24">
        <f>SUM(N1953)</f>
        <v>11636.1</v>
      </c>
      <c r="O1954" s="57">
        <f>IFERROR(N1954/L1954,"")</f>
        <v>0.70000000000000007</v>
      </c>
      <c r="P1954" s="24">
        <f>SUM(P1953)</f>
        <v>16623</v>
      </c>
      <c r="Q1954" s="24"/>
      <c r="R1954" s="117">
        <f>SUM(R1953)</f>
        <v>32.5</v>
      </c>
      <c r="S1954" s="117">
        <f t="shared" ref="S1954:V1954" si="2132">SUM(S1953)</f>
        <v>1718.6</v>
      </c>
      <c r="T1954" s="117">
        <f t="shared" si="2132"/>
        <v>1372.88</v>
      </c>
      <c r="U1954" s="117">
        <f t="shared" si="2132"/>
        <v>658.5</v>
      </c>
      <c r="V1954" s="117">
        <f t="shared" si="2132"/>
        <v>0</v>
      </c>
      <c r="W1954" s="26">
        <f>SUM(W1952:W1953)</f>
        <v>3749.98</v>
      </c>
      <c r="X1954" s="56">
        <f>IFERROR(S1954/R1954,"")</f>
        <v>52.879999999999995</v>
      </c>
      <c r="Y1954" s="119">
        <f>IFERROR(U1954/P1954,0)</f>
        <v>3.9613788124887202E-2</v>
      </c>
      <c r="Z1954" s="28">
        <f>P1954-W1954</f>
        <v>12873.02</v>
      </c>
      <c r="AA1954" s="119">
        <f>IFERROR(Z1954/P1954,0)</f>
        <v>0.77441015460506535</v>
      </c>
      <c r="AB1954" s="58">
        <f>M1954-W1954</f>
        <v>1236.9199999999996</v>
      </c>
      <c r="AC1954" s="57">
        <f>IFERROR(AA1954-O1954,"")</f>
        <v>7.4410154605065282E-2</v>
      </c>
      <c r="AG1954" s="61"/>
    </row>
    <row r="1955" spans="1:33" s="110" customFormat="1" ht="11.25" customHeight="1" x14ac:dyDescent="0.15">
      <c r="A1955" s="130"/>
      <c r="B1955" s="130"/>
      <c r="C1955" s="124"/>
      <c r="D1955" s="124"/>
      <c r="E1955" s="273"/>
      <c r="F1955" s="124"/>
      <c r="G1955" s="124"/>
      <c r="H1955" s="124"/>
      <c r="I1955" s="124"/>
      <c r="J1955" s="124"/>
      <c r="K1955" s="125"/>
      <c r="L1955" s="129"/>
      <c r="M1955" s="129"/>
      <c r="N1955" s="129"/>
      <c r="O1955" s="128"/>
      <c r="P1955" s="129"/>
      <c r="Q1955" s="124"/>
      <c r="R1955" s="129"/>
      <c r="S1955" s="129"/>
      <c r="T1955" s="129"/>
      <c r="U1955" s="129"/>
      <c r="V1955" s="126"/>
      <c r="W1955" s="49"/>
      <c r="X1955" s="45"/>
      <c r="Y1955" s="128"/>
      <c r="Z1955" s="126"/>
      <c r="AA1955" s="128"/>
      <c r="AB1955" s="129"/>
      <c r="AC1955" s="160"/>
      <c r="AD1955" s="137"/>
      <c r="AG1955" s="121"/>
    </row>
    <row r="1956" spans="1:33" ht="11.25" customHeight="1" x14ac:dyDescent="0.15">
      <c r="A1956" s="110" t="s">
        <v>436</v>
      </c>
      <c r="B1956" s="110"/>
      <c r="C1956" s="111" t="s">
        <v>175</v>
      </c>
      <c r="D1956" s="111">
        <v>2025</v>
      </c>
      <c r="E1956" s="146">
        <v>45838</v>
      </c>
      <c r="F1956" s="111"/>
      <c r="G1956" s="111"/>
      <c r="H1956" s="111"/>
      <c r="I1956" s="111"/>
      <c r="J1956" s="111"/>
      <c r="K1956" s="112"/>
      <c r="L1956" s="120">
        <v>14005</v>
      </c>
      <c r="M1956" s="120">
        <f>L1956*0.3</f>
        <v>4201.5</v>
      </c>
      <c r="N1956" s="120">
        <f>L1956-M1956</f>
        <v>9803.5</v>
      </c>
      <c r="O1956" s="119">
        <f>IFERROR(N1956/L1956,"")</f>
        <v>0.7</v>
      </c>
      <c r="P1956" s="120">
        <v>14005</v>
      </c>
      <c r="Q1956" s="111">
        <v>5421</v>
      </c>
      <c r="R1956" s="117">
        <v>21</v>
      </c>
      <c r="S1956" s="117">
        <v>1110.48</v>
      </c>
      <c r="T1956" s="117">
        <v>1103.25</v>
      </c>
      <c r="U1956" s="117">
        <v>416.65</v>
      </c>
      <c r="V1956" s="117">
        <v>153.43</v>
      </c>
      <c r="W1956" s="26">
        <f>SUM(S1956:V1956)</f>
        <v>2783.81</v>
      </c>
      <c r="X1956" s="118">
        <f>IFERROR(S1956/R1956,"")</f>
        <v>52.88</v>
      </c>
      <c r="Y1956" s="119">
        <f>IFERROR(U1956/P1956,0)</f>
        <v>2.9750089253837913E-2</v>
      </c>
      <c r="Z1956" s="117">
        <f>P1956-W1956</f>
        <v>11221.19</v>
      </c>
      <c r="AA1956" s="119">
        <f>IFERROR(Z1956/P1956,0)</f>
        <v>0.80122741877900749</v>
      </c>
      <c r="AB1956" s="120">
        <f>M1956-W1956</f>
        <v>1417.69</v>
      </c>
      <c r="AC1956" s="119">
        <f>IFERROR(AA1956-O1956,"")</f>
        <v>0.10122741877900754</v>
      </c>
      <c r="AD1956" s="110" t="s">
        <v>931</v>
      </c>
      <c r="AE1956" s="110"/>
      <c r="AF1956" s="110"/>
      <c r="AG1956" s="121"/>
    </row>
    <row r="1957" spans="1:33" s="53" customFormat="1" ht="11.25" customHeight="1" x14ac:dyDescent="0.15">
      <c r="A1957" s="53" t="s">
        <v>932</v>
      </c>
      <c r="C1957" s="54" t="s">
        <v>177</v>
      </c>
      <c r="D1957" s="54"/>
      <c r="E1957" s="70"/>
      <c r="F1957" s="54"/>
      <c r="G1957" s="54"/>
      <c r="H1957" s="54"/>
      <c r="I1957" s="54"/>
      <c r="J1957" s="54"/>
      <c r="K1957" s="106"/>
      <c r="L1957" s="24">
        <f>SUM(L1956)</f>
        <v>14005</v>
      </c>
      <c r="M1957" s="24">
        <f t="shared" ref="M1957:N1957" si="2133">SUM(M1956)</f>
        <v>4201.5</v>
      </c>
      <c r="N1957" s="24">
        <f t="shared" si="2133"/>
        <v>9803.5</v>
      </c>
      <c r="O1957" s="57">
        <f>IFERROR(N1957/L1957,"")</f>
        <v>0.7</v>
      </c>
      <c r="P1957" s="24">
        <f>SUM(P1956)</f>
        <v>14005</v>
      </c>
      <c r="Q1957" s="24"/>
      <c r="R1957" s="117">
        <f>SUM(R1956)</f>
        <v>21</v>
      </c>
      <c r="S1957" s="117">
        <f t="shared" ref="S1957:V1957" si="2134">SUM(S1956)</f>
        <v>1110.48</v>
      </c>
      <c r="T1957" s="117">
        <f t="shared" si="2134"/>
        <v>1103.25</v>
      </c>
      <c r="U1957" s="117">
        <f t="shared" si="2134"/>
        <v>416.65</v>
      </c>
      <c r="V1957" s="117">
        <f t="shared" si="2134"/>
        <v>153.43</v>
      </c>
      <c r="W1957" s="26">
        <f>SUM(W1955:W1956)</f>
        <v>2783.81</v>
      </c>
      <c r="X1957" s="56">
        <f>IFERROR(S1957/R1957,"")</f>
        <v>52.88</v>
      </c>
      <c r="Y1957" s="119">
        <f>IFERROR(U1957/P1957,0)</f>
        <v>2.9750089253837913E-2</v>
      </c>
      <c r="Z1957" s="28">
        <f>P1957-W1957</f>
        <v>11221.19</v>
      </c>
      <c r="AA1957" s="119">
        <f>IFERROR(Z1957/P1957,0)</f>
        <v>0.80122741877900749</v>
      </c>
      <c r="AB1957" s="58">
        <f>M1957-W1957</f>
        <v>1417.69</v>
      </c>
      <c r="AC1957" s="57">
        <f>IFERROR(AA1957-O1957,"")</f>
        <v>0.10122741877900754</v>
      </c>
      <c r="AG1957" s="61"/>
    </row>
    <row r="1958" spans="1:33" s="110" customFormat="1" ht="11.25" customHeight="1" x14ac:dyDescent="0.15">
      <c r="A1958" s="130"/>
      <c r="B1958" s="130"/>
      <c r="C1958" s="124"/>
      <c r="D1958" s="124"/>
      <c r="E1958" s="273"/>
      <c r="F1958" s="124"/>
      <c r="G1958" s="124"/>
      <c r="H1958" s="124"/>
      <c r="I1958" s="124"/>
      <c r="J1958" s="124"/>
      <c r="K1958" s="125"/>
      <c r="L1958" s="129"/>
      <c r="M1958" s="129"/>
      <c r="N1958" s="129"/>
      <c r="O1958" s="128"/>
      <c r="P1958" s="129"/>
      <c r="Q1958" s="124"/>
      <c r="R1958" s="129"/>
      <c r="S1958" s="129"/>
      <c r="T1958" s="129"/>
      <c r="U1958" s="129"/>
      <c r="V1958" s="126"/>
      <c r="W1958" s="49"/>
      <c r="X1958" s="45"/>
      <c r="Y1958" s="128"/>
      <c r="Z1958" s="126"/>
      <c r="AA1958" s="128"/>
      <c r="AB1958" s="129"/>
      <c r="AC1958" s="160"/>
      <c r="AD1958" s="137"/>
      <c r="AG1958" s="121"/>
    </row>
    <row r="1959" spans="1:33" ht="11.25" customHeight="1" x14ac:dyDescent="0.15">
      <c r="A1959" s="110" t="s">
        <v>301</v>
      </c>
      <c r="B1959" s="110"/>
      <c r="C1959" s="111" t="s">
        <v>175</v>
      </c>
      <c r="D1959" s="111">
        <v>2025</v>
      </c>
      <c r="E1959" s="146">
        <v>45838</v>
      </c>
      <c r="F1959" s="111"/>
      <c r="G1959" s="111"/>
      <c r="H1959" s="111"/>
      <c r="I1959" s="111"/>
      <c r="J1959" s="111"/>
      <c r="K1959" s="112"/>
      <c r="L1959" s="120">
        <v>10471</v>
      </c>
      <c r="M1959" s="120">
        <f>L1959*0.3</f>
        <v>3141.2999999999997</v>
      </c>
      <c r="N1959" s="120">
        <f>L1959-M1959</f>
        <v>7329.7000000000007</v>
      </c>
      <c r="O1959" s="119">
        <f>IFERROR(N1959/L1959,"")</f>
        <v>0.70000000000000007</v>
      </c>
      <c r="P1959" s="120">
        <v>10471</v>
      </c>
      <c r="Q1959" s="111">
        <v>5420</v>
      </c>
      <c r="R1959" s="117">
        <v>18</v>
      </c>
      <c r="S1959" s="117">
        <v>951.84</v>
      </c>
      <c r="T1959" s="117">
        <v>735.5</v>
      </c>
      <c r="U1959" s="117">
        <v>270.82</v>
      </c>
      <c r="V1959" s="117"/>
      <c r="W1959" s="26">
        <f>SUM(S1959:V1959)</f>
        <v>1958.16</v>
      </c>
      <c r="X1959" s="118">
        <f>IFERROR(S1959/R1959,"")</f>
        <v>52.88</v>
      </c>
      <c r="Y1959" s="119">
        <f>IFERROR(U1959/P1959,0)</f>
        <v>2.5863814344379715E-2</v>
      </c>
      <c r="Z1959" s="117">
        <f>P1959-W1959</f>
        <v>8512.84</v>
      </c>
      <c r="AA1959" s="119">
        <f>IFERROR(Z1959/P1959,0)</f>
        <v>0.81299207334543022</v>
      </c>
      <c r="AB1959" s="120">
        <f>M1959-W1959</f>
        <v>1183.1399999999996</v>
      </c>
      <c r="AC1959" s="119">
        <f>IFERROR(AA1959-O1959,"")</f>
        <v>0.11299207334543016</v>
      </c>
      <c r="AD1959" s="110" t="s">
        <v>933</v>
      </c>
      <c r="AE1959" s="110"/>
      <c r="AF1959" s="110"/>
      <c r="AG1959" s="121"/>
    </row>
    <row r="1960" spans="1:33" s="53" customFormat="1" ht="11.25" customHeight="1" x14ac:dyDescent="0.15">
      <c r="A1960" s="53" t="s">
        <v>301</v>
      </c>
      <c r="C1960" s="54" t="s">
        <v>177</v>
      </c>
      <c r="D1960" s="54"/>
      <c r="E1960" s="70"/>
      <c r="F1960" s="54"/>
      <c r="G1960" s="54"/>
      <c r="H1960" s="54"/>
      <c r="I1960" s="54"/>
      <c r="J1960" s="54"/>
      <c r="K1960" s="106"/>
      <c r="L1960" s="24">
        <f>SUM(L1959)</f>
        <v>10471</v>
      </c>
      <c r="M1960" s="24">
        <f t="shared" ref="M1960" si="2135">SUM(M1959)</f>
        <v>3141.2999999999997</v>
      </c>
      <c r="N1960" s="24">
        <f t="shared" ref="N1960" si="2136">SUM(N1959)</f>
        <v>7329.7000000000007</v>
      </c>
      <c r="O1960" s="57">
        <f>IFERROR(N1960/L1960,"")</f>
        <v>0.70000000000000007</v>
      </c>
      <c r="P1960" s="24">
        <f>SUM(P1959)</f>
        <v>10471</v>
      </c>
      <c r="Q1960" s="24"/>
      <c r="R1960" s="117">
        <f>SUM(R1959)</f>
        <v>18</v>
      </c>
      <c r="S1960" s="117">
        <f t="shared" ref="S1960:V1960" si="2137">SUM(S1959)</f>
        <v>951.84</v>
      </c>
      <c r="T1960" s="117">
        <f t="shared" si="2137"/>
        <v>735.5</v>
      </c>
      <c r="U1960" s="117">
        <f t="shared" si="2137"/>
        <v>270.82</v>
      </c>
      <c r="V1960" s="117">
        <f t="shared" si="2137"/>
        <v>0</v>
      </c>
      <c r="W1960" s="26">
        <f>SUM(W1958:W1959)</f>
        <v>1958.16</v>
      </c>
      <c r="X1960" s="56">
        <f>IFERROR(S1960/R1960,"")</f>
        <v>52.88</v>
      </c>
      <c r="Y1960" s="119">
        <f>IFERROR(U1960/P1960,0)</f>
        <v>2.5863814344379715E-2</v>
      </c>
      <c r="Z1960" s="28">
        <f>P1960-W1960</f>
        <v>8512.84</v>
      </c>
      <c r="AA1960" s="119">
        <f>IFERROR(Z1960/P1960,0)</f>
        <v>0.81299207334543022</v>
      </c>
      <c r="AB1960" s="58">
        <f>M1960-W1960</f>
        <v>1183.1399999999996</v>
      </c>
      <c r="AC1960" s="57">
        <f>IFERROR(AA1960-O1960,"")</f>
        <v>0.11299207334543016</v>
      </c>
      <c r="AG1960" s="61"/>
    </row>
    <row r="1961" spans="1:33" s="110" customFormat="1" ht="11.25" customHeight="1" x14ac:dyDescent="0.15">
      <c r="A1961" s="130"/>
      <c r="B1961" s="130"/>
      <c r="C1961" s="124"/>
      <c r="D1961" s="124"/>
      <c r="E1961" s="273"/>
      <c r="F1961" s="124"/>
      <c r="G1961" s="124"/>
      <c r="H1961" s="124"/>
      <c r="I1961" s="124"/>
      <c r="J1961" s="124"/>
      <c r="K1961" s="125"/>
      <c r="L1961" s="129"/>
      <c r="M1961" s="129"/>
      <c r="N1961" s="129"/>
      <c r="O1961" s="128"/>
      <c r="P1961" s="129"/>
      <c r="Q1961" s="124"/>
      <c r="R1961" s="129"/>
      <c r="S1961" s="129"/>
      <c r="T1961" s="129"/>
      <c r="U1961" s="129"/>
      <c r="V1961" s="126"/>
      <c r="W1961" s="49"/>
      <c r="X1961" s="45"/>
      <c r="Y1961" s="128"/>
      <c r="Z1961" s="126"/>
      <c r="AA1961" s="128"/>
      <c r="AB1961" s="129"/>
      <c r="AC1961" s="160"/>
      <c r="AD1961" s="137"/>
      <c r="AG1961" s="121"/>
    </row>
    <row r="1962" spans="1:33" ht="11.25" customHeight="1" x14ac:dyDescent="0.15">
      <c r="A1962" s="110" t="s">
        <v>576</v>
      </c>
      <c r="B1962" s="110"/>
      <c r="C1962" s="111" t="s">
        <v>175</v>
      </c>
      <c r="D1962" s="111">
        <v>2025</v>
      </c>
      <c r="E1962" s="146">
        <v>45838</v>
      </c>
      <c r="F1962" s="111"/>
      <c r="G1962" s="111">
        <v>81100011</v>
      </c>
      <c r="H1962" s="111">
        <v>4101</v>
      </c>
      <c r="I1962" s="111" t="str">
        <f>MID(G1962,2,1)</f>
        <v>1</v>
      </c>
      <c r="J1962" s="111" t="str">
        <f>IF(I1962="1","Small/Medium","Large")</f>
        <v>Small/Medium</v>
      </c>
      <c r="K1962" s="147" t="s">
        <v>145</v>
      </c>
      <c r="L1962" s="120">
        <v>10672</v>
      </c>
      <c r="M1962" s="120">
        <f>L1962*0.3</f>
        <v>3201.6</v>
      </c>
      <c r="N1962" s="120">
        <f>L1962-M1962</f>
        <v>7470.4</v>
      </c>
      <c r="O1962" s="119">
        <f>IFERROR(N1962/L1962,"")</f>
        <v>0.7</v>
      </c>
      <c r="P1962" s="120">
        <v>10672</v>
      </c>
      <c r="Q1962" s="111">
        <v>1884</v>
      </c>
      <c r="R1962" s="117">
        <v>28</v>
      </c>
      <c r="S1962" s="117">
        <v>1480.64</v>
      </c>
      <c r="T1962" s="117">
        <v>1288.6600000000001</v>
      </c>
      <c r="U1962" s="117">
        <v>795</v>
      </c>
      <c r="V1962" s="117"/>
      <c r="W1962" s="26">
        <f>SUM(S1962:V1962)</f>
        <v>3564.3</v>
      </c>
      <c r="X1962" s="118">
        <f>IFERROR(S1962/R1962,"")</f>
        <v>52.88</v>
      </c>
      <c r="Y1962" s="119">
        <f>IFERROR(U1962/P1962,0)</f>
        <v>7.4494002998500744E-2</v>
      </c>
      <c r="Z1962" s="117">
        <f>P1962-W1962</f>
        <v>7107.7</v>
      </c>
      <c r="AA1962" s="119">
        <f>IFERROR(Z1962/P1962,0)</f>
        <v>0.66601386806596696</v>
      </c>
      <c r="AB1962" s="120">
        <f>M1962-W1962</f>
        <v>-362.70000000000027</v>
      </c>
      <c r="AC1962" s="119">
        <f>IFERROR(AA1962-O1962,"")</f>
        <v>-3.3986131934032993E-2</v>
      </c>
      <c r="AD1962" s="110" t="s">
        <v>934</v>
      </c>
      <c r="AE1962" s="110"/>
      <c r="AF1962" s="110"/>
      <c r="AG1962" s="121"/>
    </row>
    <row r="1963" spans="1:33" s="53" customFormat="1" ht="11.25" customHeight="1" x14ac:dyDescent="0.15">
      <c r="A1963" s="53" t="s">
        <v>576</v>
      </c>
      <c r="C1963" s="54" t="s">
        <v>177</v>
      </c>
      <c r="D1963" s="54"/>
      <c r="E1963" s="70"/>
      <c r="F1963" s="54"/>
      <c r="G1963" s="54"/>
      <c r="H1963" s="54"/>
      <c r="I1963" s="54"/>
      <c r="J1963" s="54"/>
      <c r="K1963" s="106"/>
      <c r="L1963" s="24">
        <f>SUM(L1962)</f>
        <v>10672</v>
      </c>
      <c r="M1963" s="24">
        <f t="shared" ref="M1963:N1963" si="2138">SUM(M1962)</f>
        <v>3201.6</v>
      </c>
      <c r="N1963" s="24">
        <f t="shared" si="2138"/>
        <v>7470.4</v>
      </c>
      <c r="O1963" s="57">
        <f>IFERROR(N1963/L1963,"")</f>
        <v>0.7</v>
      </c>
      <c r="P1963" s="24">
        <f>SUM(P1962)</f>
        <v>10672</v>
      </c>
      <c r="Q1963" s="24"/>
      <c r="R1963" s="117">
        <f>SUM(R1962)</f>
        <v>28</v>
      </c>
      <c r="S1963" s="117">
        <f t="shared" ref="S1963:V1963" si="2139">SUM(S1962)</f>
        <v>1480.64</v>
      </c>
      <c r="T1963" s="117">
        <f t="shared" si="2139"/>
        <v>1288.6600000000001</v>
      </c>
      <c r="U1963" s="117">
        <f t="shared" si="2139"/>
        <v>795</v>
      </c>
      <c r="V1963" s="117">
        <f t="shared" si="2139"/>
        <v>0</v>
      </c>
      <c r="W1963" s="26">
        <f>SUM(W1961:W1962)</f>
        <v>3564.3</v>
      </c>
      <c r="X1963" s="56">
        <f>IFERROR(S1963/R1963,"")</f>
        <v>52.88</v>
      </c>
      <c r="Y1963" s="119">
        <f>IFERROR(U1963/P1963,0)</f>
        <v>7.4494002998500744E-2</v>
      </c>
      <c r="Z1963" s="28">
        <f>P1963-W1963</f>
        <v>7107.7</v>
      </c>
      <c r="AA1963" s="119">
        <f>IFERROR(Z1963/P1963,0)</f>
        <v>0.66601386806596696</v>
      </c>
      <c r="AB1963" s="58">
        <f>M1963-W1963</f>
        <v>-362.70000000000027</v>
      </c>
      <c r="AC1963" s="57">
        <f>IFERROR(AA1963-O1963,"")</f>
        <v>-3.3986131934032993E-2</v>
      </c>
      <c r="AG1963" s="61"/>
    </row>
    <row r="1964" spans="1:33" s="110" customFormat="1" ht="11.25" customHeight="1" x14ac:dyDescent="0.15">
      <c r="A1964" s="130"/>
      <c r="B1964" s="130"/>
      <c r="C1964" s="124"/>
      <c r="D1964" s="124"/>
      <c r="E1964" s="273"/>
      <c r="F1964" s="124"/>
      <c r="G1964" s="124"/>
      <c r="H1964" s="124"/>
      <c r="I1964" s="124"/>
      <c r="J1964" s="124"/>
      <c r="K1964" s="125"/>
      <c r="L1964" s="129"/>
      <c r="M1964" s="129"/>
      <c r="N1964" s="129"/>
      <c r="O1964" s="128"/>
      <c r="P1964" s="129"/>
      <c r="Q1964" s="124"/>
      <c r="R1964" s="129"/>
      <c r="S1964" s="129"/>
      <c r="T1964" s="129"/>
      <c r="U1964" s="129"/>
      <c r="V1964" s="126"/>
      <c r="W1964" s="49"/>
      <c r="X1964" s="45"/>
      <c r="Y1964" s="128"/>
      <c r="Z1964" s="126"/>
      <c r="AA1964" s="128"/>
      <c r="AB1964" s="129"/>
      <c r="AC1964" s="160"/>
      <c r="AD1964" s="137"/>
      <c r="AG1964" s="121"/>
    </row>
    <row r="1965" spans="1:33" ht="11.25" customHeight="1" x14ac:dyDescent="0.15">
      <c r="A1965" s="110" t="s">
        <v>125</v>
      </c>
      <c r="B1965" s="110"/>
      <c r="C1965" s="111" t="s">
        <v>175</v>
      </c>
      <c r="D1965" s="111">
        <v>2025</v>
      </c>
      <c r="E1965" s="146">
        <v>45838</v>
      </c>
      <c r="F1965" s="111"/>
      <c r="G1965" s="111">
        <v>81100010</v>
      </c>
      <c r="H1965" s="111">
        <v>4101</v>
      </c>
      <c r="I1965" s="111" t="str">
        <f>MID(G1965,2,1)</f>
        <v>1</v>
      </c>
      <c r="J1965" s="111" t="str">
        <f>IF(I1965="1","Small/Medium","Large")</f>
        <v>Small/Medium</v>
      </c>
      <c r="K1965" s="147" t="s">
        <v>145</v>
      </c>
      <c r="L1965" s="120">
        <f>10458-872</f>
        <v>9586</v>
      </c>
      <c r="M1965" s="120">
        <f>L1965*0.3</f>
        <v>2875.7999999999997</v>
      </c>
      <c r="N1965" s="120">
        <f>L1965-M1965</f>
        <v>6710.2000000000007</v>
      </c>
      <c r="O1965" s="119">
        <f>IFERROR(N1965/L1965,"")</f>
        <v>0.70000000000000007</v>
      </c>
      <c r="P1965" s="120">
        <f>10458-872</f>
        <v>9586</v>
      </c>
      <c r="Q1965" s="111">
        <v>5529</v>
      </c>
      <c r="R1965" s="117">
        <v>18</v>
      </c>
      <c r="S1965" s="117">
        <v>951.84</v>
      </c>
      <c r="T1965" s="117">
        <v>1288.6500000000001</v>
      </c>
      <c r="U1965" s="117">
        <v>581.29999999999995</v>
      </c>
      <c r="V1965" s="117"/>
      <c r="W1965" s="26">
        <f>SUM(S1965:V1965)</f>
        <v>2821.79</v>
      </c>
      <c r="X1965" s="118">
        <f>IFERROR(S1965/R1965,"")</f>
        <v>52.88</v>
      </c>
      <c r="Y1965" s="119">
        <f>IFERROR(U1965/P1965,0)</f>
        <v>6.0640517421239305E-2</v>
      </c>
      <c r="Z1965" s="117">
        <f>P1965-W1965</f>
        <v>6764.21</v>
      </c>
      <c r="AA1965" s="119">
        <f>IFERROR(Z1965/P1965,0)</f>
        <v>0.70563425829334447</v>
      </c>
      <c r="AB1965" s="120">
        <f>M1965-W1965</f>
        <v>54.009999999999764</v>
      </c>
      <c r="AC1965" s="119">
        <f>IFERROR(AA1965-O1965,"")</f>
        <v>5.6342582933444074E-3</v>
      </c>
      <c r="AD1965" s="110"/>
      <c r="AE1965" s="110"/>
      <c r="AF1965" s="110"/>
      <c r="AG1965" s="121"/>
    </row>
    <row r="1966" spans="1:33" s="53" customFormat="1" ht="11.25" customHeight="1" x14ac:dyDescent="0.15">
      <c r="A1966" s="53" t="s">
        <v>125</v>
      </c>
      <c r="C1966" s="54" t="s">
        <v>177</v>
      </c>
      <c r="D1966" s="54"/>
      <c r="E1966" s="70"/>
      <c r="F1966" s="54"/>
      <c r="G1966" s="54"/>
      <c r="H1966" s="54"/>
      <c r="I1966" s="54"/>
      <c r="J1966" s="54"/>
      <c r="K1966" s="106"/>
      <c r="L1966" s="24">
        <f>SUM(L1965)</f>
        <v>9586</v>
      </c>
      <c r="M1966" s="24">
        <f t="shared" ref="M1966:N1966" si="2140">SUM(M1965)</f>
        <v>2875.7999999999997</v>
      </c>
      <c r="N1966" s="24">
        <f t="shared" si="2140"/>
        <v>6710.2000000000007</v>
      </c>
      <c r="O1966" s="57">
        <f>IFERROR(N1966/L1966,"")</f>
        <v>0.70000000000000007</v>
      </c>
      <c r="P1966" s="24">
        <f>SUM(P1965)</f>
        <v>9586</v>
      </c>
      <c r="Q1966" s="24"/>
      <c r="R1966" s="117">
        <f>SUM(R1965)</f>
        <v>18</v>
      </c>
      <c r="S1966" s="117">
        <f t="shared" ref="S1966:V1966" si="2141">SUM(S1965)</f>
        <v>951.84</v>
      </c>
      <c r="T1966" s="117">
        <f t="shared" si="2141"/>
        <v>1288.6500000000001</v>
      </c>
      <c r="U1966" s="117">
        <f t="shared" si="2141"/>
        <v>581.29999999999995</v>
      </c>
      <c r="V1966" s="117">
        <f t="shared" si="2141"/>
        <v>0</v>
      </c>
      <c r="W1966" s="26">
        <f>SUM(W1964:W1965)</f>
        <v>2821.79</v>
      </c>
      <c r="X1966" s="56">
        <f>IFERROR(S1966/R1966,"")</f>
        <v>52.88</v>
      </c>
      <c r="Y1966" s="119">
        <f>IFERROR(U1966/P1966,0)</f>
        <v>6.0640517421239305E-2</v>
      </c>
      <c r="Z1966" s="28">
        <f>P1966-W1966</f>
        <v>6764.21</v>
      </c>
      <c r="AA1966" s="119">
        <f>IFERROR(Z1966/P1966,0)</f>
        <v>0.70563425829334447</v>
      </c>
      <c r="AB1966" s="58">
        <f>M1966-W1966</f>
        <v>54.009999999999764</v>
      </c>
      <c r="AC1966" s="57">
        <f>IFERROR(AA1966-O1966,"")</f>
        <v>5.6342582933444074E-3</v>
      </c>
      <c r="AG1966" s="61"/>
    </row>
    <row r="1967" spans="1:33" s="110" customFormat="1" ht="11.25" customHeight="1" x14ac:dyDescent="0.15">
      <c r="A1967" s="130"/>
      <c r="B1967" s="130"/>
      <c r="C1967" s="124"/>
      <c r="D1967" s="124"/>
      <c r="E1967" s="273"/>
      <c r="F1967" s="124"/>
      <c r="G1967" s="124"/>
      <c r="H1967" s="124"/>
      <c r="I1967" s="124"/>
      <c r="J1967" s="124"/>
      <c r="K1967" s="125"/>
      <c r="L1967" s="129"/>
      <c r="M1967" s="129"/>
      <c r="N1967" s="129"/>
      <c r="O1967" s="128"/>
      <c r="P1967" s="129"/>
      <c r="Q1967" s="124"/>
      <c r="R1967" s="129"/>
      <c r="S1967" s="129"/>
      <c r="T1967" s="129"/>
      <c r="U1967" s="129"/>
      <c r="V1967" s="126"/>
      <c r="W1967" s="49"/>
      <c r="X1967" s="45"/>
      <c r="Y1967" s="128"/>
      <c r="Z1967" s="126"/>
      <c r="AA1967" s="128"/>
      <c r="AB1967" s="129"/>
      <c r="AC1967" s="160"/>
      <c r="AD1967" s="137"/>
      <c r="AG1967" s="121"/>
    </row>
    <row r="1968" spans="1:33" ht="11.25" customHeight="1" x14ac:dyDescent="0.15">
      <c r="A1968" s="110" t="s">
        <v>179</v>
      </c>
      <c r="B1968" s="110"/>
      <c r="C1968" s="111" t="s">
        <v>175</v>
      </c>
      <c r="D1968" s="111">
        <v>2025</v>
      </c>
      <c r="E1968" s="146">
        <v>45838</v>
      </c>
      <c r="F1968" s="111"/>
      <c r="G1968" s="111">
        <v>81100011</v>
      </c>
      <c r="H1968" s="111">
        <v>4101</v>
      </c>
      <c r="I1968" s="111" t="str">
        <f>MID(G1968,2,1)</f>
        <v>1</v>
      </c>
      <c r="J1968" s="111" t="str">
        <f>IF(I1968="1","Small/Medium","Large")</f>
        <v>Small/Medium</v>
      </c>
      <c r="K1968" s="147" t="s">
        <v>145</v>
      </c>
      <c r="L1968" s="120">
        <v>9680</v>
      </c>
      <c r="M1968" s="120">
        <f>L1968*0.3</f>
        <v>2904</v>
      </c>
      <c r="N1968" s="120">
        <f>L1968-M1968</f>
        <v>6776</v>
      </c>
      <c r="O1968" s="119">
        <f>IFERROR(N1968/L1968,"")</f>
        <v>0.7</v>
      </c>
      <c r="P1968" s="120">
        <v>9680</v>
      </c>
      <c r="Q1968" s="111">
        <v>5547</v>
      </c>
      <c r="R1968" s="117">
        <v>30</v>
      </c>
      <c r="S1968" s="117">
        <v>1586.4</v>
      </c>
      <c r="T1968" s="117">
        <v>1178.8599999999999</v>
      </c>
      <c r="U1968" s="117">
        <v>979.92</v>
      </c>
      <c r="V1968" s="117"/>
      <c r="W1968" s="26">
        <f>SUM(S1968:V1968)</f>
        <v>3745.1800000000003</v>
      </c>
      <c r="X1968" s="118">
        <f>IFERROR(S1968/R1968,"")</f>
        <v>52.88</v>
      </c>
      <c r="Y1968" s="119">
        <f>IFERROR(U1968/P1968,0)</f>
        <v>0.10123140495867768</v>
      </c>
      <c r="Z1968" s="117">
        <f>P1968-W1968</f>
        <v>5934.82</v>
      </c>
      <c r="AA1968" s="119">
        <f>IFERROR(Z1968/P1968,0)</f>
        <v>0.61310123966942143</v>
      </c>
      <c r="AB1968" s="120">
        <f>M1968-W1968</f>
        <v>-841.18000000000029</v>
      </c>
      <c r="AC1968" s="119">
        <f>IFERROR(AA1968-O1968,"")</f>
        <v>-8.6898760330578528E-2</v>
      </c>
      <c r="AD1968" s="110" t="s">
        <v>935</v>
      </c>
      <c r="AE1968" s="110"/>
      <c r="AF1968" s="110"/>
      <c r="AG1968" s="121"/>
    </row>
    <row r="1969" spans="1:33" s="53" customFormat="1" ht="11.25" customHeight="1" x14ac:dyDescent="0.15">
      <c r="A1969" s="53" t="s">
        <v>179</v>
      </c>
      <c r="C1969" s="54" t="s">
        <v>177</v>
      </c>
      <c r="D1969" s="54"/>
      <c r="E1969" s="70"/>
      <c r="F1969" s="54"/>
      <c r="G1969" s="54"/>
      <c r="H1969" s="54"/>
      <c r="I1969" s="54"/>
      <c r="J1969" s="54"/>
      <c r="K1969" s="106"/>
      <c r="L1969" s="24">
        <f>SUM(L1968)</f>
        <v>9680</v>
      </c>
      <c r="M1969" s="24">
        <f t="shared" ref="M1969:N1969" si="2142">SUM(M1968)</f>
        <v>2904</v>
      </c>
      <c r="N1969" s="24">
        <f t="shared" si="2142"/>
        <v>6776</v>
      </c>
      <c r="O1969" s="57">
        <f>IFERROR(N1969/L1969,"")</f>
        <v>0.7</v>
      </c>
      <c r="P1969" s="24">
        <f>SUM(P1968)</f>
        <v>9680</v>
      </c>
      <c r="Q1969" s="24"/>
      <c r="R1969" s="117">
        <f>SUM(R1968)</f>
        <v>30</v>
      </c>
      <c r="S1969" s="117">
        <f t="shared" ref="S1969:V1969" si="2143">SUM(S1968)</f>
        <v>1586.4</v>
      </c>
      <c r="T1969" s="117">
        <f t="shared" si="2143"/>
        <v>1178.8599999999999</v>
      </c>
      <c r="U1969" s="117">
        <f t="shared" si="2143"/>
        <v>979.92</v>
      </c>
      <c r="V1969" s="117">
        <f t="shared" si="2143"/>
        <v>0</v>
      </c>
      <c r="W1969" s="26">
        <f>SUM(W1967:W1968)</f>
        <v>3745.1800000000003</v>
      </c>
      <c r="X1969" s="56">
        <f>IFERROR(S1969/R1969,"")</f>
        <v>52.88</v>
      </c>
      <c r="Y1969" s="119">
        <f>IFERROR(U1969/P1969,0)</f>
        <v>0.10123140495867768</v>
      </c>
      <c r="Z1969" s="28">
        <f>P1969-W1969</f>
        <v>5934.82</v>
      </c>
      <c r="AA1969" s="119">
        <f>IFERROR(Z1969/P1969,0)</f>
        <v>0.61310123966942143</v>
      </c>
      <c r="AB1969" s="58">
        <f>M1969-W1969</f>
        <v>-841.18000000000029</v>
      </c>
      <c r="AC1969" s="57">
        <f>IFERROR(AA1969-O1969,"")</f>
        <v>-8.6898760330578528E-2</v>
      </c>
      <c r="AG1969" s="61"/>
    </row>
    <row r="1970" spans="1:33" s="110" customFormat="1" ht="11.25" customHeight="1" x14ac:dyDescent="0.15">
      <c r="A1970" s="130"/>
      <c r="B1970" s="130"/>
      <c r="C1970" s="124"/>
      <c r="D1970" s="124"/>
      <c r="E1970" s="273"/>
      <c r="F1970" s="124"/>
      <c r="G1970" s="124"/>
      <c r="H1970" s="124"/>
      <c r="I1970" s="124"/>
      <c r="J1970" s="124"/>
      <c r="K1970" s="125"/>
      <c r="L1970" s="129"/>
      <c r="M1970" s="129"/>
      <c r="N1970" s="129"/>
      <c r="O1970" s="128"/>
      <c r="P1970" s="129"/>
      <c r="Q1970" s="124"/>
      <c r="R1970" s="129"/>
      <c r="S1970" s="129"/>
      <c r="T1970" s="129"/>
      <c r="U1970" s="129"/>
      <c r="V1970" s="126"/>
      <c r="W1970" s="49"/>
      <c r="X1970" s="45"/>
      <c r="Y1970" s="128"/>
      <c r="Z1970" s="126"/>
      <c r="AA1970" s="128"/>
      <c r="AB1970" s="129"/>
      <c r="AC1970" s="160"/>
      <c r="AD1970" s="137"/>
      <c r="AG1970" s="121"/>
    </row>
    <row r="1971" spans="1:33" ht="11.25" customHeight="1" x14ac:dyDescent="0.15">
      <c r="A1971" s="110" t="s">
        <v>784</v>
      </c>
      <c r="B1971" s="110"/>
      <c r="C1971" s="111" t="s">
        <v>175</v>
      </c>
      <c r="D1971" s="111">
        <v>2025</v>
      </c>
      <c r="E1971" s="146">
        <v>45838</v>
      </c>
      <c r="F1971" s="111"/>
      <c r="G1971" s="111">
        <v>81000001</v>
      </c>
      <c r="H1971" s="111">
        <v>4111</v>
      </c>
      <c r="I1971" s="111" t="str">
        <f>MID(G1971,2,1)</f>
        <v>1</v>
      </c>
      <c r="J1971" s="111" t="str">
        <f>IF(I1971="1","Small/Medium","Large")</f>
        <v>Small/Medium</v>
      </c>
      <c r="K1971" s="147" t="s">
        <v>145</v>
      </c>
      <c r="L1971" s="120">
        <v>14271</v>
      </c>
      <c r="M1971" s="120">
        <f>L1971*0.3</f>
        <v>4281.3</v>
      </c>
      <c r="N1971" s="120">
        <f>L1971-M1971</f>
        <v>9989.7000000000007</v>
      </c>
      <c r="O1971" s="119">
        <f>IFERROR(N1971/L1971,"")</f>
        <v>0.70000000000000007</v>
      </c>
      <c r="P1971" s="120">
        <v>14271</v>
      </c>
      <c r="Q1971" s="111">
        <v>5548</v>
      </c>
      <c r="R1971" s="117">
        <v>21</v>
      </c>
      <c r="S1971" s="117">
        <v>1110.48</v>
      </c>
      <c r="T1971" s="117">
        <v>1385.5</v>
      </c>
      <c r="U1971" s="117">
        <v>725.28</v>
      </c>
      <c r="V1971" s="117"/>
      <c r="W1971" s="26">
        <f>SUM(S1971:V1971)</f>
        <v>3221.26</v>
      </c>
      <c r="X1971" s="118">
        <f>IFERROR(S1971/R1971,"")</f>
        <v>52.88</v>
      </c>
      <c r="Y1971" s="119">
        <f>IFERROR(U1971/P1971,0)</f>
        <v>5.0821946605003152E-2</v>
      </c>
      <c r="Z1971" s="117">
        <f>P1971-W1971</f>
        <v>11049.74</v>
      </c>
      <c r="AA1971" s="119">
        <f>IFERROR(Z1971/P1971,0)</f>
        <v>0.77427930768691755</v>
      </c>
      <c r="AB1971" s="120">
        <f>M1971-W1971</f>
        <v>1060.04</v>
      </c>
      <c r="AC1971" s="119">
        <f>IFERROR(AA1971-O1971,"")</f>
        <v>7.4279307686917484E-2</v>
      </c>
      <c r="AD1971" s="110"/>
      <c r="AE1971" s="110"/>
      <c r="AF1971" s="110"/>
      <c r="AG1971" s="121"/>
    </row>
    <row r="1972" spans="1:33" s="53" customFormat="1" ht="11.25" customHeight="1" x14ac:dyDescent="0.15">
      <c r="A1972" s="53" t="s">
        <v>784</v>
      </c>
      <c r="C1972" s="54" t="s">
        <v>177</v>
      </c>
      <c r="D1972" s="54"/>
      <c r="E1972" s="70"/>
      <c r="F1972" s="54"/>
      <c r="G1972" s="54"/>
      <c r="H1972" s="54"/>
      <c r="I1972" s="54"/>
      <c r="J1972" s="54"/>
      <c r="K1972" s="106"/>
      <c r="L1972" s="24">
        <f>SUM(L1971)</f>
        <v>14271</v>
      </c>
      <c r="M1972" s="24">
        <f t="shared" ref="M1972:N1972" si="2144">SUM(M1971)</f>
        <v>4281.3</v>
      </c>
      <c r="N1972" s="24">
        <f t="shared" si="2144"/>
        <v>9989.7000000000007</v>
      </c>
      <c r="O1972" s="57">
        <f>IFERROR(N1972/L1972,"")</f>
        <v>0.70000000000000007</v>
      </c>
      <c r="P1972" s="24">
        <f>SUM(P1971)</f>
        <v>14271</v>
      </c>
      <c r="Q1972" s="24"/>
      <c r="R1972" s="117">
        <f>SUM(R1971)</f>
        <v>21</v>
      </c>
      <c r="S1972" s="117">
        <f t="shared" ref="S1972:V1972" si="2145">SUM(S1971)</f>
        <v>1110.48</v>
      </c>
      <c r="T1972" s="117">
        <f t="shared" si="2145"/>
        <v>1385.5</v>
      </c>
      <c r="U1972" s="117">
        <f t="shared" si="2145"/>
        <v>725.28</v>
      </c>
      <c r="V1972" s="117">
        <f t="shared" si="2145"/>
        <v>0</v>
      </c>
      <c r="W1972" s="26">
        <f>SUM(W1970:W1971)</f>
        <v>3221.26</v>
      </c>
      <c r="X1972" s="56">
        <f>IFERROR(S1972/R1972,"")</f>
        <v>52.88</v>
      </c>
      <c r="Y1972" s="119">
        <f>IFERROR(U1972/P1972,0)</f>
        <v>5.0821946605003152E-2</v>
      </c>
      <c r="Z1972" s="28">
        <f>P1972-W1972</f>
        <v>11049.74</v>
      </c>
      <c r="AA1972" s="119">
        <f>IFERROR(Z1972/P1972,0)</f>
        <v>0.77427930768691755</v>
      </c>
      <c r="AB1972" s="58">
        <f>M1972-W1972</f>
        <v>1060.04</v>
      </c>
      <c r="AC1972" s="57">
        <f>IFERROR(AA1972-O1972,"")</f>
        <v>7.4279307686917484E-2</v>
      </c>
      <c r="AG1972" s="61"/>
    </row>
    <row r="1973" spans="1:33" s="110" customFormat="1" ht="11.25" customHeight="1" x14ac:dyDescent="0.15">
      <c r="A1973" s="130"/>
      <c r="B1973" s="130"/>
      <c r="C1973" s="124"/>
      <c r="D1973" s="124"/>
      <c r="E1973" s="273"/>
      <c r="F1973" s="124"/>
      <c r="G1973" s="124"/>
      <c r="H1973" s="124"/>
      <c r="I1973" s="124"/>
      <c r="J1973" s="124"/>
      <c r="K1973" s="125"/>
      <c r="L1973" s="129"/>
      <c r="M1973" s="129"/>
      <c r="N1973" s="129"/>
      <c r="O1973" s="128"/>
      <c r="P1973" s="129"/>
      <c r="Q1973" s="124"/>
      <c r="R1973" s="129"/>
      <c r="S1973" s="129"/>
      <c r="T1973" s="129"/>
      <c r="U1973" s="129"/>
      <c r="V1973" s="126"/>
      <c r="W1973" s="49"/>
      <c r="X1973" s="45"/>
      <c r="Y1973" s="128"/>
      <c r="Z1973" s="126"/>
      <c r="AA1973" s="128"/>
      <c r="AB1973" s="129"/>
      <c r="AC1973" s="160"/>
      <c r="AD1973" s="137"/>
      <c r="AG1973" s="121"/>
    </row>
    <row r="1974" spans="1:33" ht="11.25" customHeight="1" x14ac:dyDescent="0.15">
      <c r="A1974" s="110" t="s">
        <v>365</v>
      </c>
      <c r="B1974" s="110"/>
      <c r="C1974" s="111" t="s">
        <v>175</v>
      </c>
      <c r="D1974" s="111">
        <v>2025</v>
      </c>
      <c r="E1974" s="146">
        <v>45869</v>
      </c>
      <c r="F1974" s="111"/>
      <c r="G1974" s="111">
        <v>81100011</v>
      </c>
      <c r="H1974" s="111">
        <v>4101</v>
      </c>
      <c r="I1974" s="111" t="str">
        <f>MID(G1974,2,1)</f>
        <v>1</v>
      </c>
      <c r="J1974" s="111" t="str">
        <f>IF(I1974="1","Small/Medium","Large")</f>
        <v>Small/Medium</v>
      </c>
      <c r="K1974" s="147" t="s">
        <v>145</v>
      </c>
      <c r="L1974" s="120">
        <v>9116</v>
      </c>
      <c r="M1974" s="120">
        <f>L1974*0.3</f>
        <v>2734.7999999999997</v>
      </c>
      <c r="N1974" s="120">
        <f>L1974-M1974</f>
        <v>6381.2000000000007</v>
      </c>
      <c r="O1974" s="119">
        <f>IFERROR(N1974/L1974,"")</f>
        <v>0.70000000000000007</v>
      </c>
      <c r="P1974" s="120">
        <v>9116</v>
      </c>
      <c r="Q1974" s="111">
        <v>4752</v>
      </c>
      <c r="R1974" s="117">
        <v>16.75</v>
      </c>
      <c r="S1974" s="117">
        <v>885.74</v>
      </c>
      <c r="T1974" s="117">
        <v>857.35</v>
      </c>
      <c r="U1974" s="117">
        <v>370.75</v>
      </c>
      <c r="V1974" s="117"/>
      <c r="W1974" s="26">
        <f>SUM(S1974:V1974)</f>
        <v>2113.84</v>
      </c>
      <c r="X1974" s="118">
        <f>IFERROR(S1974/R1974,"")</f>
        <v>52.88</v>
      </c>
      <c r="Y1974" s="119">
        <f>IFERROR(U1974/P1974,0)</f>
        <v>4.0670250109697235E-2</v>
      </c>
      <c r="Z1974" s="117">
        <f>P1974-W1974</f>
        <v>7002.16</v>
      </c>
      <c r="AA1974" s="119">
        <f>IFERROR(Z1974/P1974,0)</f>
        <v>0.76811759543659497</v>
      </c>
      <c r="AB1974" s="120">
        <f>M1974-W1974</f>
        <v>620.95999999999958</v>
      </c>
      <c r="AC1974" s="119">
        <f>IFERROR(AA1974-O1974,"")</f>
        <v>6.8117595436594902E-2</v>
      </c>
      <c r="AD1974" s="110"/>
      <c r="AE1974" s="110"/>
      <c r="AF1974" s="110"/>
      <c r="AG1974" s="121"/>
    </row>
    <row r="1975" spans="1:33" ht="11.25" customHeight="1" x14ac:dyDescent="0.15">
      <c r="A1975" s="110" t="s">
        <v>365</v>
      </c>
      <c r="B1975" s="110"/>
      <c r="C1975" s="111" t="s">
        <v>175</v>
      </c>
      <c r="D1975" s="111">
        <v>2025</v>
      </c>
      <c r="E1975" s="146">
        <v>45869</v>
      </c>
      <c r="F1975" s="111"/>
      <c r="G1975" s="111">
        <v>81100011</v>
      </c>
      <c r="H1975" s="111">
        <v>4101</v>
      </c>
      <c r="I1975" s="111" t="str">
        <f>MID(G1975,2,1)</f>
        <v>1</v>
      </c>
      <c r="J1975" s="111" t="str">
        <f>IF(I1975="1","Small/Medium","Large")</f>
        <v>Small/Medium</v>
      </c>
      <c r="K1975" s="147" t="s">
        <v>145</v>
      </c>
      <c r="L1975" s="120">
        <v>9116</v>
      </c>
      <c r="M1975" s="120">
        <f>L1975*0.3</f>
        <v>2734.7999999999997</v>
      </c>
      <c r="N1975" s="120">
        <f>L1975-M1975</f>
        <v>6381.2000000000007</v>
      </c>
      <c r="O1975" s="119">
        <f>IFERROR(N1975/L1975,"")</f>
        <v>0.70000000000000007</v>
      </c>
      <c r="P1975" s="120">
        <v>9116</v>
      </c>
      <c r="Q1975" s="111">
        <v>4753</v>
      </c>
      <c r="R1975" s="117">
        <v>20.75</v>
      </c>
      <c r="S1975" s="117">
        <v>1097.26</v>
      </c>
      <c r="T1975" s="117">
        <v>857.35</v>
      </c>
      <c r="U1975" s="117">
        <v>370.76</v>
      </c>
      <c r="V1975" s="117"/>
      <c r="W1975" s="26">
        <f t="shared" ref="W1975:W1977" si="2146">SUM(S1975:V1975)</f>
        <v>2325.37</v>
      </c>
      <c r="X1975" s="118">
        <f t="shared" ref="X1975:X1977" si="2147">IFERROR(S1975/R1975,"")</f>
        <v>52.88</v>
      </c>
      <c r="Y1975" s="119">
        <f t="shared" ref="Y1975:Y1976" si="2148">IFERROR(U1975/P1975,0)</f>
        <v>4.0671347082053534E-2</v>
      </c>
      <c r="Z1975" s="117">
        <f t="shared" ref="Z1975:Z1976" si="2149">P1975-W1975</f>
        <v>6790.63</v>
      </c>
      <c r="AA1975" s="119">
        <f t="shared" ref="AA1975:AA1977" si="2150">IFERROR(Z1975/P1975,0)</f>
        <v>0.74491333918385261</v>
      </c>
      <c r="AB1975" s="120">
        <f t="shared" ref="AB1975:AB1977" si="2151">M1975-W1975</f>
        <v>409.42999999999984</v>
      </c>
      <c r="AC1975" s="119">
        <f t="shared" ref="AC1975:AC1983" si="2152">IFERROR(AA1975-O1975,"")</f>
        <v>4.4913339183852541E-2</v>
      </c>
      <c r="AD1975" s="110"/>
      <c r="AE1975" s="110"/>
      <c r="AF1975" s="110"/>
      <c r="AG1975" s="121"/>
    </row>
    <row r="1976" spans="1:33" ht="11.25" customHeight="1" x14ac:dyDescent="0.15">
      <c r="A1976" s="110" t="s">
        <v>365</v>
      </c>
      <c r="B1976" s="110"/>
      <c r="C1976" s="111" t="s">
        <v>175</v>
      </c>
      <c r="D1976" s="111">
        <v>2025</v>
      </c>
      <c r="E1976" s="146">
        <v>45869</v>
      </c>
      <c r="F1976" s="111"/>
      <c r="G1976" s="111">
        <v>82100011</v>
      </c>
      <c r="H1976" s="111">
        <v>4101</v>
      </c>
      <c r="I1976" s="111" t="str">
        <f>MID(G1976,2,1)</f>
        <v>2</v>
      </c>
      <c r="J1976" s="111" t="str">
        <f>IF(I1976="1","Small/Medium","Large")</f>
        <v>Large</v>
      </c>
      <c r="K1976" s="147" t="s">
        <v>176</v>
      </c>
      <c r="L1976" s="120">
        <v>12763</v>
      </c>
      <c r="M1976" s="120">
        <f>L1976*0.3</f>
        <v>3828.8999999999996</v>
      </c>
      <c r="N1976" s="120">
        <f>L1976-M1976</f>
        <v>8934.1</v>
      </c>
      <c r="O1976" s="119">
        <f>IFERROR(N1976/L1976,"")</f>
        <v>0.70000000000000007</v>
      </c>
      <c r="P1976" s="120">
        <v>12763</v>
      </c>
      <c r="Q1976" s="111">
        <v>4754</v>
      </c>
      <c r="R1976" s="117">
        <v>23</v>
      </c>
      <c r="S1976" s="117">
        <v>1216.24</v>
      </c>
      <c r="T1976" s="117">
        <v>2106.06</v>
      </c>
      <c r="U1976" s="117">
        <v>42.74</v>
      </c>
      <c r="V1976" s="117"/>
      <c r="W1976" s="26">
        <f t="shared" si="2146"/>
        <v>3365.04</v>
      </c>
      <c r="X1976" s="118">
        <f t="shared" si="2147"/>
        <v>52.88</v>
      </c>
      <c r="Y1976" s="119">
        <f t="shared" si="2148"/>
        <v>3.3487424586695919E-3</v>
      </c>
      <c r="Z1976" s="117">
        <f t="shared" si="2149"/>
        <v>9397.9599999999991</v>
      </c>
      <c r="AA1976" s="119">
        <f t="shared" si="2150"/>
        <v>0.73634411972106861</v>
      </c>
      <c r="AB1976" s="120">
        <f t="shared" si="2151"/>
        <v>463.85999999999967</v>
      </c>
      <c r="AC1976" s="119">
        <f t="shared" si="2152"/>
        <v>3.6344119721068546E-2</v>
      </c>
      <c r="AD1976" s="110"/>
      <c r="AE1976" s="110"/>
      <c r="AF1976" s="110"/>
      <c r="AG1976" s="121"/>
    </row>
    <row r="1977" spans="1:33" s="53" customFormat="1" ht="11.25" customHeight="1" x14ac:dyDescent="0.15">
      <c r="A1977" s="53" t="s">
        <v>365</v>
      </c>
      <c r="C1977" s="54" t="s">
        <v>177</v>
      </c>
      <c r="D1977" s="54"/>
      <c r="E1977" s="70"/>
      <c r="F1977" s="54"/>
      <c r="G1977" s="54"/>
      <c r="H1977" s="54"/>
      <c r="I1977" s="54"/>
      <c r="J1977" s="54"/>
      <c r="K1977" s="106"/>
      <c r="L1977" s="24">
        <f>SUM(L1974:L1976)</f>
        <v>30995</v>
      </c>
      <c r="M1977" s="24">
        <f>SUM(M1974:M1976)</f>
        <v>9298.5</v>
      </c>
      <c r="N1977" s="24">
        <f>SUM(N1974:N1976)</f>
        <v>21696.5</v>
      </c>
      <c r="O1977" s="57">
        <f>IFERROR(N1977/L1977,"")</f>
        <v>0.7</v>
      </c>
      <c r="P1977" s="24">
        <f>SUM(P1974:P1976)</f>
        <v>30995</v>
      </c>
      <c r="Q1977" s="24"/>
      <c r="R1977" s="24">
        <f>SUM(R1974:R1976)</f>
        <v>60.5</v>
      </c>
      <c r="S1977" s="24">
        <f t="shared" ref="S1977:V1977" si="2153">SUM(S1974:S1976)</f>
        <v>3199.24</v>
      </c>
      <c r="T1977" s="24">
        <f t="shared" si="2153"/>
        <v>3820.76</v>
      </c>
      <c r="U1977" s="24">
        <f t="shared" si="2153"/>
        <v>784.25</v>
      </c>
      <c r="V1977" s="24">
        <f t="shared" si="2153"/>
        <v>0</v>
      </c>
      <c r="W1977" s="24">
        <f t="shared" si="2146"/>
        <v>7804.25</v>
      </c>
      <c r="X1977" s="56">
        <f t="shared" si="2147"/>
        <v>52.879999999999995</v>
      </c>
      <c r="Y1977" s="119">
        <f>IFERROR(U1977/P1977,0)</f>
        <v>2.5302468140022585E-2</v>
      </c>
      <c r="Z1977" s="28">
        <f>P1977-W1977</f>
        <v>23190.75</v>
      </c>
      <c r="AA1977" s="119">
        <f t="shared" si="2150"/>
        <v>0.74820938861106634</v>
      </c>
      <c r="AB1977" s="58">
        <f t="shared" si="2151"/>
        <v>1494.25</v>
      </c>
      <c r="AC1977" s="57">
        <f t="shared" si="2152"/>
        <v>4.8209388611066384E-2</v>
      </c>
      <c r="AG1977" s="61"/>
    </row>
    <row r="1978" spans="1:33" s="110" customFormat="1" ht="11.25" customHeight="1" x14ac:dyDescent="0.15">
      <c r="A1978" s="130"/>
      <c r="B1978" s="130"/>
      <c r="C1978" s="124"/>
      <c r="D1978" s="124"/>
      <c r="E1978" s="273"/>
      <c r="F1978" s="124"/>
      <c r="G1978" s="124"/>
      <c r="H1978" s="124"/>
      <c r="I1978" s="124"/>
      <c r="J1978" s="124"/>
      <c r="K1978" s="125"/>
      <c r="L1978" s="129"/>
      <c r="M1978" s="129"/>
      <c r="N1978" s="129"/>
      <c r="O1978" s="128"/>
      <c r="P1978" s="129"/>
      <c r="Q1978" s="124"/>
      <c r="R1978" s="129"/>
      <c r="S1978" s="129"/>
      <c r="T1978" s="129"/>
      <c r="U1978" s="129"/>
      <c r="V1978" s="126"/>
      <c r="W1978" s="49"/>
      <c r="X1978" s="45"/>
      <c r="Y1978" s="128"/>
      <c r="Z1978" s="126"/>
      <c r="AA1978" s="128"/>
      <c r="AB1978" s="129"/>
      <c r="AC1978" s="160"/>
      <c r="AD1978" s="137"/>
      <c r="AG1978" s="121"/>
    </row>
    <row r="1979" spans="1:33" s="110" customFormat="1" ht="11.25" customHeight="1" x14ac:dyDescent="0.15">
      <c r="A1979" s="110" t="s">
        <v>121</v>
      </c>
      <c r="C1979" s="111" t="s">
        <v>201</v>
      </c>
      <c r="D1979" s="111">
        <v>2025</v>
      </c>
      <c r="E1979" s="146">
        <v>45869</v>
      </c>
      <c r="F1979" s="111"/>
      <c r="G1979" s="111" t="s">
        <v>202</v>
      </c>
      <c r="H1979" s="111"/>
      <c r="I1979" s="111"/>
      <c r="J1979" s="111"/>
      <c r="K1979" s="112" t="s">
        <v>203</v>
      </c>
      <c r="L1979" s="132">
        <v>0</v>
      </c>
      <c r="M1979" s="120">
        <f>L1979*0.35</f>
        <v>0</v>
      </c>
      <c r="N1979" s="120">
        <f>L1979-M1979</f>
        <v>0</v>
      </c>
      <c r="O1979" s="119" t="str">
        <f>IFERROR(N1979/L1979,"")</f>
        <v/>
      </c>
      <c r="P1979" s="132">
        <v>0</v>
      </c>
      <c r="Q1979" s="132">
        <v>5625</v>
      </c>
      <c r="R1979" s="132">
        <v>23.5</v>
      </c>
      <c r="S1979" s="132">
        <v>1266.8900000000001</v>
      </c>
      <c r="T1979" s="132">
        <v>571.66</v>
      </c>
      <c r="U1979" s="132"/>
      <c r="V1979" s="132"/>
      <c r="W1979" s="26">
        <f>SUM(S1979:V1979)</f>
        <v>1838.5500000000002</v>
      </c>
      <c r="X1979" s="118">
        <f>IFERROR(S1979/R1979,"")</f>
        <v>53.910212765957453</v>
      </c>
      <c r="Y1979" s="119">
        <f>IFERROR(U1979/P1979,0)</f>
        <v>0</v>
      </c>
      <c r="Z1979" s="117">
        <f>P1979-W1979</f>
        <v>-1838.5500000000002</v>
      </c>
      <c r="AA1979" s="119">
        <f>IFERROR(Z1979/P1979,0)</f>
        <v>0</v>
      </c>
      <c r="AB1979" s="120">
        <f>M1979-W1979</f>
        <v>-1838.5500000000002</v>
      </c>
      <c r="AC1979" s="119" t="str">
        <f t="shared" si="2152"/>
        <v/>
      </c>
      <c r="AG1979" s="121"/>
    </row>
    <row r="1980" spans="1:33" s="53" customFormat="1" ht="11.25" customHeight="1" x14ac:dyDescent="0.15">
      <c r="A1980" s="53" t="s">
        <v>121</v>
      </c>
      <c r="C1980" s="54" t="s">
        <v>177</v>
      </c>
      <c r="D1980" s="54"/>
      <c r="E1980" s="70"/>
      <c r="F1980" s="54"/>
      <c r="G1980" s="54"/>
      <c r="H1980" s="54"/>
      <c r="I1980" s="54"/>
      <c r="J1980" s="54"/>
      <c r="K1980" s="106"/>
      <c r="L1980" s="24">
        <f>SUM(L1979)</f>
        <v>0</v>
      </c>
      <c r="M1980" s="24">
        <f t="shared" ref="M1980:N1980" si="2154">SUM(M1979)</f>
        <v>0</v>
      </c>
      <c r="N1980" s="24">
        <f t="shared" si="2154"/>
        <v>0</v>
      </c>
      <c r="O1980" s="57" t="str">
        <f>IFERROR(N1980/L1980,"")</f>
        <v/>
      </c>
      <c r="P1980" s="24">
        <f>SUM(P1979)</f>
        <v>0</v>
      </c>
      <c r="Q1980" s="24"/>
      <c r="R1980" s="24">
        <f>SUM(R1979)</f>
        <v>23.5</v>
      </c>
      <c r="S1980" s="24">
        <f t="shared" ref="S1980:V1980" si="2155">SUM(S1979)</f>
        <v>1266.8900000000001</v>
      </c>
      <c r="T1980" s="24">
        <f t="shared" si="2155"/>
        <v>571.66</v>
      </c>
      <c r="U1980" s="24">
        <f t="shared" si="2155"/>
        <v>0</v>
      </c>
      <c r="V1980" s="24">
        <f t="shared" si="2155"/>
        <v>0</v>
      </c>
      <c r="W1980" s="24">
        <f>SUM(W1978:W1979)</f>
        <v>1838.5500000000002</v>
      </c>
      <c r="X1980" s="56">
        <f>IFERROR(S1980/R1980,"")</f>
        <v>53.910212765957453</v>
      </c>
      <c r="Y1980" s="119">
        <f>IFERROR(U1980/P1980,0)</f>
        <v>0</v>
      </c>
      <c r="Z1980" s="28">
        <f>P1980-W1980</f>
        <v>-1838.5500000000002</v>
      </c>
      <c r="AA1980" s="119">
        <f>IFERROR(Z1980/P1980,0)</f>
        <v>0</v>
      </c>
      <c r="AB1980" s="58">
        <f>M1980-W1980</f>
        <v>-1838.5500000000002</v>
      </c>
      <c r="AC1980" s="57" t="str">
        <f t="shared" si="2152"/>
        <v/>
      </c>
      <c r="AG1980" s="61"/>
    </row>
    <row r="1981" spans="1:33" s="110" customFormat="1" ht="11.25" customHeight="1" x14ac:dyDescent="0.15">
      <c r="A1981" s="130"/>
      <c r="B1981" s="130"/>
      <c r="C1981" s="124"/>
      <c r="D1981" s="124"/>
      <c r="E1981" s="273"/>
      <c r="F1981" s="124"/>
      <c r="G1981" s="124"/>
      <c r="H1981" s="124"/>
      <c r="I1981" s="124"/>
      <c r="J1981" s="124"/>
      <c r="K1981" s="125"/>
      <c r="L1981" s="129"/>
      <c r="M1981" s="129"/>
      <c r="N1981" s="129"/>
      <c r="O1981" s="128"/>
      <c r="P1981" s="129"/>
      <c r="Q1981" s="124"/>
      <c r="R1981" s="129"/>
      <c r="S1981" s="129"/>
      <c r="T1981" s="129"/>
      <c r="U1981" s="129"/>
      <c r="V1981" s="126"/>
      <c r="W1981" s="49"/>
      <c r="X1981" s="45"/>
      <c r="Y1981" s="128"/>
      <c r="Z1981" s="126"/>
      <c r="AA1981" s="128"/>
      <c r="AB1981" s="129"/>
      <c r="AC1981" s="160"/>
      <c r="AD1981" s="137"/>
      <c r="AG1981" s="121"/>
    </row>
    <row r="1982" spans="1:33" s="110" customFormat="1" ht="11.25" customHeight="1" x14ac:dyDescent="0.15">
      <c r="A1982" s="110" t="s">
        <v>510</v>
      </c>
      <c r="C1982" s="111" t="s">
        <v>201</v>
      </c>
      <c r="D1982" s="111">
        <v>2025</v>
      </c>
      <c r="E1982" s="146">
        <v>45869</v>
      </c>
      <c r="F1982" s="111"/>
      <c r="G1982" s="111" t="s">
        <v>202</v>
      </c>
      <c r="H1982" s="111"/>
      <c r="I1982" s="111"/>
      <c r="J1982" s="111"/>
      <c r="K1982" s="112" t="s">
        <v>203</v>
      </c>
      <c r="L1982" s="132">
        <v>15770</v>
      </c>
      <c r="M1982" s="120">
        <v>5494.99</v>
      </c>
      <c r="N1982" s="120">
        <f>L1982-M1982</f>
        <v>10275.01</v>
      </c>
      <c r="O1982" s="119">
        <f>IFERROR(N1982/L1982,"")</f>
        <v>0.65155421686746995</v>
      </c>
      <c r="P1982" s="132">
        <v>15770</v>
      </c>
      <c r="Q1982" s="132">
        <v>5782</v>
      </c>
      <c r="R1982" s="132">
        <v>33</v>
      </c>
      <c r="S1982" s="132">
        <v>2064.15</v>
      </c>
      <c r="T1982" s="132">
        <v>1714.41</v>
      </c>
      <c r="U1982" s="132"/>
      <c r="V1982" s="132"/>
      <c r="W1982" s="26">
        <f>SUM(S1982:V1982)</f>
        <v>3778.5600000000004</v>
      </c>
      <c r="X1982" s="118">
        <f>IFERROR(S1982/R1982,"")</f>
        <v>62.550000000000004</v>
      </c>
      <c r="Y1982" s="119">
        <f>IFERROR(U1982/P1982,0)</f>
        <v>0</v>
      </c>
      <c r="Z1982" s="117">
        <f>P1982-W1982</f>
        <v>11991.439999999999</v>
      </c>
      <c r="AA1982" s="119">
        <f>IFERROR(Z1982/P1982,0)</f>
        <v>0.76039568801521873</v>
      </c>
      <c r="AB1982" s="120">
        <f>M1982-W1982</f>
        <v>1716.4299999999994</v>
      </c>
      <c r="AC1982" s="119">
        <f t="shared" si="2152"/>
        <v>0.10884147114774878</v>
      </c>
      <c r="AG1982" s="121"/>
    </row>
    <row r="1983" spans="1:33" s="53" customFormat="1" ht="11.25" customHeight="1" x14ac:dyDescent="0.15">
      <c r="A1983" s="53" t="s">
        <v>510</v>
      </c>
      <c r="C1983" s="54" t="s">
        <v>177</v>
      </c>
      <c r="D1983" s="54"/>
      <c r="E1983" s="70"/>
      <c r="F1983" s="54"/>
      <c r="G1983" s="54"/>
      <c r="H1983" s="54"/>
      <c r="I1983" s="54"/>
      <c r="J1983" s="54"/>
      <c r="K1983" s="106"/>
      <c r="L1983" s="24">
        <f>SUM(L1982)</f>
        <v>15770</v>
      </c>
      <c r="M1983" s="24">
        <f t="shared" ref="M1983:N1983" si="2156">SUM(M1982)</f>
        <v>5494.99</v>
      </c>
      <c r="N1983" s="24">
        <f t="shared" si="2156"/>
        <v>10275.01</v>
      </c>
      <c r="O1983" s="57">
        <f>IFERROR(N1983/L1983,"")</f>
        <v>0.65155421686746995</v>
      </c>
      <c r="P1983" s="24">
        <f>SUM(P1982)</f>
        <v>15770</v>
      </c>
      <c r="Q1983" s="24"/>
      <c r="R1983" s="24">
        <f>SUM(R1982)</f>
        <v>33</v>
      </c>
      <c r="S1983" s="24">
        <f t="shared" ref="S1983:V1983" si="2157">SUM(S1982)</f>
        <v>2064.15</v>
      </c>
      <c r="T1983" s="24">
        <f t="shared" si="2157"/>
        <v>1714.41</v>
      </c>
      <c r="U1983" s="24">
        <f t="shared" si="2157"/>
        <v>0</v>
      </c>
      <c r="V1983" s="24">
        <f t="shared" si="2157"/>
        <v>0</v>
      </c>
      <c r="W1983" s="24">
        <f>SUM(W1981:W1982)</f>
        <v>3778.5600000000004</v>
      </c>
      <c r="X1983" s="56">
        <f>IFERROR(S1983/R1983,"")</f>
        <v>62.550000000000004</v>
      </c>
      <c r="Y1983" s="119">
        <f>IFERROR(U1983/P1983,0)</f>
        <v>0</v>
      </c>
      <c r="Z1983" s="28">
        <f>P1983-W1983</f>
        <v>11991.439999999999</v>
      </c>
      <c r="AA1983" s="119">
        <f>IFERROR(Z1983/P1983,0)</f>
        <v>0.76039568801521873</v>
      </c>
      <c r="AB1983" s="58">
        <f>M1983-W1983</f>
        <v>1716.4299999999994</v>
      </c>
      <c r="AC1983" s="57">
        <f t="shared" si="2152"/>
        <v>0.10884147114774878</v>
      </c>
      <c r="AG1983" s="61"/>
    </row>
    <row r="1984" spans="1:33" s="110" customFormat="1" ht="11.25" customHeight="1" x14ac:dyDescent="0.15">
      <c r="A1984" s="130"/>
      <c r="B1984" s="130"/>
      <c r="C1984" s="124"/>
      <c r="D1984" s="124"/>
      <c r="E1984" s="273"/>
      <c r="F1984" s="124"/>
      <c r="G1984" s="124"/>
      <c r="H1984" s="124"/>
      <c r="I1984" s="124"/>
      <c r="J1984" s="124"/>
      <c r="K1984" s="125"/>
      <c r="L1984" s="129"/>
      <c r="M1984" s="129"/>
      <c r="N1984" s="129"/>
      <c r="O1984" s="128"/>
      <c r="P1984" s="129"/>
      <c r="Q1984" s="124"/>
      <c r="R1984" s="129"/>
      <c r="S1984" s="129"/>
      <c r="T1984" s="129"/>
      <c r="U1984" s="129"/>
      <c r="V1984" s="126"/>
      <c r="W1984" s="49"/>
      <c r="X1984" s="45"/>
      <c r="Y1984" s="128"/>
      <c r="Z1984" s="126"/>
      <c r="AA1984" s="128"/>
      <c r="AB1984" s="129"/>
      <c r="AC1984" s="160"/>
      <c r="AD1984" s="137"/>
      <c r="AG1984" s="121"/>
    </row>
    <row r="1985" spans="1:33" ht="11.25" customHeight="1" x14ac:dyDescent="0.15">
      <c r="A1985" s="110" t="s">
        <v>936</v>
      </c>
      <c r="B1985" s="110"/>
      <c r="C1985" s="111" t="s">
        <v>37</v>
      </c>
      <c r="D1985" s="111"/>
      <c r="E1985" s="146">
        <v>45900</v>
      </c>
      <c r="F1985" s="111"/>
      <c r="G1985" s="111">
        <v>12020112</v>
      </c>
      <c r="H1985" s="111"/>
      <c r="I1985" s="111"/>
      <c r="J1985" s="111"/>
      <c r="K1985" s="112" t="s">
        <v>937</v>
      </c>
      <c r="L1985" s="120">
        <f>166023.5</f>
        <v>166023.5</v>
      </c>
      <c r="M1985" s="120">
        <v>36725.33</v>
      </c>
      <c r="N1985" s="120">
        <f>L1985-M1985</f>
        <v>129298.17</v>
      </c>
      <c r="O1985" s="119">
        <f t="shared" ref="O1985:O1997" si="2158">IFERROR(N1985/L1985,"")</f>
        <v>0.77879438754152275</v>
      </c>
      <c r="P1985" s="120">
        <f>166023.5</f>
        <v>166023.5</v>
      </c>
      <c r="Q1985" s="111">
        <v>5143</v>
      </c>
      <c r="R1985" s="117">
        <v>40</v>
      </c>
      <c r="S1985" s="117">
        <v>1886.07</v>
      </c>
      <c r="T1985" s="117"/>
      <c r="U1985" s="117">
        <v>30104.37</v>
      </c>
      <c r="V1985" s="117"/>
      <c r="W1985" s="52">
        <f t="shared" ref="W1985:W1987" si="2159">SUM(S1985:V1985)</f>
        <v>31990.44</v>
      </c>
      <c r="X1985" s="118">
        <f>IFERROR(S1985/R1985,"")</f>
        <v>47.15175</v>
      </c>
      <c r="Y1985" s="119">
        <f>IFERROR(U1985/P1985,0)</f>
        <v>0.18132595686755187</v>
      </c>
      <c r="Z1985" s="117">
        <f>P1985-W1985</f>
        <v>134033.06</v>
      </c>
      <c r="AA1985" s="119">
        <f>IFERROR(Z1985/P1985,0)</f>
        <v>0.80731378389203934</v>
      </c>
      <c r="AB1985" s="120">
        <f>M1985-W1985</f>
        <v>4734.8900000000031</v>
      </c>
      <c r="AC1985" s="119">
        <f>IFERROR(AA1985-O1985,"")</f>
        <v>2.851939635051659E-2</v>
      </c>
      <c r="AD1985" s="110" t="s">
        <v>938</v>
      </c>
      <c r="AE1985" s="110"/>
      <c r="AF1985" s="110"/>
      <c r="AG1985" s="121"/>
    </row>
    <row r="1986" spans="1:33" ht="11.25" customHeight="1" x14ac:dyDescent="0.15">
      <c r="A1986" s="110" t="s">
        <v>936</v>
      </c>
      <c r="B1986" s="110"/>
      <c r="C1986" s="111" t="s">
        <v>37</v>
      </c>
      <c r="D1986" s="111"/>
      <c r="E1986" s="146">
        <v>45900</v>
      </c>
      <c r="F1986" s="111"/>
      <c r="G1986" s="111">
        <v>21010011</v>
      </c>
      <c r="H1986" s="111"/>
      <c r="I1986" s="111"/>
      <c r="J1986" s="111"/>
      <c r="K1986" s="112" t="s">
        <v>439</v>
      </c>
      <c r="L1986" s="120">
        <v>21860.44</v>
      </c>
      <c r="M1986" s="120">
        <v>7538.71</v>
      </c>
      <c r="N1986" s="120">
        <f t="shared" ref="N1986:N1997" si="2160">L1986-M1986</f>
        <v>14321.73</v>
      </c>
      <c r="O1986" s="119">
        <f t="shared" si="2158"/>
        <v>0.65514372080342387</v>
      </c>
      <c r="P1986" s="120">
        <v>21860.44</v>
      </c>
      <c r="Q1986" s="111">
        <v>5144</v>
      </c>
      <c r="R1986" s="117"/>
      <c r="S1986" s="117"/>
      <c r="T1986" s="117"/>
      <c r="U1986" s="117">
        <v>7496.3</v>
      </c>
      <c r="V1986" s="117"/>
      <c r="W1986" s="52">
        <f t="shared" si="2159"/>
        <v>7496.3</v>
      </c>
      <c r="X1986" s="118" t="str">
        <f t="shared" ref="X1986:X1998" si="2161">IFERROR(S1986/R1986,"")</f>
        <v/>
      </c>
      <c r="Y1986" s="119">
        <f t="shared" ref="Y1986:Y1997" si="2162">IFERROR(U1986/P1986,0)</f>
        <v>0.34291624505270712</v>
      </c>
      <c r="Z1986" s="117">
        <f t="shared" ref="Z1986:Z1998" si="2163">P1986-W1986</f>
        <v>14364.14</v>
      </c>
      <c r="AA1986" s="119">
        <f t="shared" ref="AA1986:AA1997" si="2164">IFERROR(Z1986/P1986,0)</f>
        <v>0.65708375494729299</v>
      </c>
      <c r="AB1986" s="120">
        <f t="shared" ref="AB1986:AB1997" si="2165">M1986-W1986</f>
        <v>42.409999999999854</v>
      </c>
      <c r="AC1986" s="119">
        <f t="shared" ref="AC1986:AC1997" si="2166">IFERROR(AA1986-O1986,"")</f>
        <v>1.9400341438691182E-3</v>
      </c>
      <c r="AD1986" s="110"/>
      <c r="AE1986" s="110"/>
      <c r="AF1986" s="110"/>
      <c r="AG1986" s="121"/>
    </row>
    <row r="1987" spans="1:33" ht="11.25" customHeight="1" x14ac:dyDescent="0.15">
      <c r="A1987" s="110" t="s">
        <v>936</v>
      </c>
      <c r="B1987" s="110"/>
      <c r="C1987" s="111" t="s">
        <v>37</v>
      </c>
      <c r="D1987" s="111"/>
      <c r="E1987" s="146">
        <v>45900</v>
      </c>
      <c r="F1987" s="111"/>
      <c r="G1987" s="111">
        <v>21050011</v>
      </c>
      <c r="H1987" s="111"/>
      <c r="I1987" s="111"/>
      <c r="J1987" s="111"/>
      <c r="K1987" s="112" t="s">
        <v>582</v>
      </c>
      <c r="L1987" s="120">
        <v>31532</v>
      </c>
      <c r="M1987" s="120">
        <v>8934.32</v>
      </c>
      <c r="N1987" s="120">
        <f t="shared" si="2160"/>
        <v>22597.68</v>
      </c>
      <c r="O1987" s="119">
        <f t="shared" si="2158"/>
        <v>0.71665863250031714</v>
      </c>
      <c r="P1987" s="120">
        <v>31532</v>
      </c>
      <c r="Q1987" s="111">
        <v>5145</v>
      </c>
      <c r="R1987" s="117"/>
      <c r="S1987" s="117"/>
      <c r="T1987" s="117"/>
      <c r="U1987" s="117">
        <v>8300.57</v>
      </c>
      <c r="V1987" s="117"/>
      <c r="W1987" s="52">
        <f t="shared" si="2159"/>
        <v>8300.57</v>
      </c>
      <c r="X1987" s="118" t="str">
        <f t="shared" si="2161"/>
        <v/>
      </c>
      <c r="Y1987" s="119">
        <f t="shared" si="2162"/>
        <v>0.26324273753647087</v>
      </c>
      <c r="Z1987" s="117">
        <f t="shared" si="2163"/>
        <v>23231.43</v>
      </c>
      <c r="AA1987" s="119">
        <f t="shared" si="2164"/>
        <v>0.73675726246352913</v>
      </c>
      <c r="AB1987" s="120">
        <f t="shared" si="2165"/>
        <v>633.75</v>
      </c>
      <c r="AC1987" s="119">
        <f t="shared" si="2166"/>
        <v>2.0098629963211989E-2</v>
      </c>
      <c r="AD1987" s="110"/>
      <c r="AE1987" s="110"/>
      <c r="AF1987" s="110"/>
      <c r="AG1987" s="121"/>
    </row>
    <row r="1988" spans="1:33" ht="11.25" customHeight="1" x14ac:dyDescent="0.15">
      <c r="A1988" s="110" t="s">
        <v>936</v>
      </c>
      <c r="B1988" s="110"/>
      <c r="C1988" s="111" t="s">
        <v>37</v>
      </c>
      <c r="D1988" s="111"/>
      <c r="E1988" s="146">
        <v>45900</v>
      </c>
      <c r="F1988" s="111"/>
      <c r="G1988" s="111" t="s">
        <v>939</v>
      </c>
      <c r="H1988" s="111"/>
      <c r="I1988" s="111"/>
      <c r="J1988" s="111"/>
      <c r="K1988" s="112" t="s">
        <v>940</v>
      </c>
      <c r="L1988" s="120">
        <v>357349.42</v>
      </c>
      <c r="M1988" s="120">
        <v>60842.98</v>
      </c>
      <c r="N1988" s="120">
        <f t="shared" si="2160"/>
        <v>296506.44</v>
      </c>
      <c r="O1988" s="119">
        <f t="shared" si="2158"/>
        <v>0.82973813137852581</v>
      </c>
      <c r="P1988" s="120">
        <v>357349.42</v>
      </c>
      <c r="Q1988" s="111">
        <v>2179</v>
      </c>
      <c r="R1988" s="117">
        <v>56.5</v>
      </c>
      <c r="S1988" s="117">
        <v>2499.58</v>
      </c>
      <c r="T1988" s="117"/>
      <c r="U1988" s="117">
        <v>58168.3</v>
      </c>
      <c r="V1988" s="117"/>
      <c r="W1988" s="52">
        <f>SUM(S1988:V1988)</f>
        <v>60667.880000000005</v>
      </c>
      <c r="X1988" s="118">
        <f t="shared" si="2161"/>
        <v>44.240353982300881</v>
      </c>
      <c r="Y1988" s="119">
        <f t="shared" si="2162"/>
        <v>0.16277709363569137</v>
      </c>
      <c r="Z1988" s="117">
        <f t="shared" si="2163"/>
        <v>296681.53999999998</v>
      </c>
      <c r="AA1988" s="119">
        <f t="shared" si="2164"/>
        <v>0.83022812797625356</v>
      </c>
      <c r="AB1988" s="120">
        <f t="shared" si="2165"/>
        <v>175.09999999999854</v>
      </c>
      <c r="AC1988" s="119">
        <f t="shared" si="2166"/>
        <v>4.8999659772774873E-4</v>
      </c>
      <c r="AD1988" s="110"/>
      <c r="AE1988" s="110"/>
      <c r="AF1988" s="110"/>
      <c r="AG1988" s="121"/>
    </row>
    <row r="1989" spans="1:33" ht="11.25" customHeight="1" x14ac:dyDescent="0.15">
      <c r="A1989" s="110" t="s">
        <v>936</v>
      </c>
      <c r="B1989" s="110"/>
      <c r="C1989" s="111" t="s">
        <v>37</v>
      </c>
      <c r="D1989" s="111"/>
      <c r="E1989" s="146">
        <v>45900</v>
      </c>
      <c r="F1989" s="111"/>
      <c r="G1989" s="111">
        <v>22010011</v>
      </c>
      <c r="H1989" s="111"/>
      <c r="I1989" s="111"/>
      <c r="J1989" s="111"/>
      <c r="K1989" s="112" t="s">
        <v>707</v>
      </c>
      <c r="L1989" s="120">
        <f>14343.98+21860.36</f>
        <v>36204.339999999997</v>
      </c>
      <c r="M1989" s="120">
        <f>4865+7538.71</f>
        <v>12403.71</v>
      </c>
      <c r="N1989" s="120">
        <f t="shared" si="2160"/>
        <v>23800.629999999997</v>
      </c>
      <c r="O1989" s="119">
        <f t="shared" si="2158"/>
        <v>0.65739715183317804</v>
      </c>
      <c r="P1989" s="120">
        <f>14343.98+21860.36</f>
        <v>36204.339999999997</v>
      </c>
      <c r="Q1989" s="111">
        <v>5146</v>
      </c>
      <c r="R1989" s="117"/>
      <c r="S1989" s="117"/>
      <c r="T1989" s="117"/>
      <c r="U1989" s="117">
        <v>10917.45</v>
      </c>
      <c r="V1989" s="117"/>
      <c r="W1989" s="52">
        <f t="shared" ref="W1989:W1994" si="2167">SUM(S1989:V1989)</f>
        <v>10917.45</v>
      </c>
      <c r="X1989" s="118" t="str">
        <f t="shared" si="2161"/>
        <v/>
      </c>
      <c r="Y1989" s="119">
        <f t="shared" si="2162"/>
        <v>0.30155086379146817</v>
      </c>
      <c r="Z1989" s="117">
        <f t="shared" si="2163"/>
        <v>25286.889999999996</v>
      </c>
      <c r="AA1989" s="119">
        <f t="shared" si="2164"/>
        <v>0.69844913620853188</v>
      </c>
      <c r="AB1989" s="120">
        <f t="shared" si="2165"/>
        <v>1486.2599999999984</v>
      </c>
      <c r="AC1989" s="119">
        <f t="shared" si="2166"/>
        <v>4.1051984375353845E-2</v>
      </c>
      <c r="AD1989" s="110"/>
      <c r="AE1989" s="110"/>
      <c r="AF1989" s="110"/>
      <c r="AG1989" s="121"/>
    </row>
    <row r="1990" spans="1:33" ht="11.25" customHeight="1" x14ac:dyDescent="0.15">
      <c r="A1990" s="110" t="s">
        <v>936</v>
      </c>
      <c r="B1990" s="110"/>
      <c r="C1990" s="111" t="s">
        <v>37</v>
      </c>
      <c r="D1990" s="111"/>
      <c r="E1990" s="146">
        <v>45900</v>
      </c>
      <c r="F1990" s="111"/>
      <c r="G1990" s="111">
        <v>21250011</v>
      </c>
      <c r="H1990" s="111"/>
      <c r="I1990" s="111"/>
      <c r="J1990" s="111"/>
      <c r="K1990" s="112" t="s">
        <v>705</v>
      </c>
      <c r="L1990" s="120">
        <v>85650.23</v>
      </c>
      <c r="M1990" s="120">
        <v>29893.74</v>
      </c>
      <c r="N1990" s="120">
        <f t="shared" si="2160"/>
        <v>55756.489999999991</v>
      </c>
      <c r="O1990" s="119">
        <f t="shared" si="2158"/>
        <v>0.65097887069305005</v>
      </c>
      <c r="P1990" s="120">
        <v>85650.23</v>
      </c>
      <c r="Q1990" s="111">
        <v>5147</v>
      </c>
      <c r="R1990" s="117"/>
      <c r="S1990" s="117"/>
      <c r="T1990" s="117"/>
      <c r="U1990" s="117">
        <v>22954.28</v>
      </c>
      <c r="V1990" s="117"/>
      <c r="W1990" s="52">
        <f t="shared" si="2167"/>
        <v>22954.28</v>
      </c>
      <c r="X1990" s="118" t="str">
        <f t="shared" si="2161"/>
        <v/>
      </c>
      <c r="Y1990" s="119">
        <f t="shared" si="2162"/>
        <v>0.26800021436019494</v>
      </c>
      <c r="Z1990" s="117">
        <f t="shared" si="2163"/>
        <v>62695.95</v>
      </c>
      <c r="AA1990" s="119">
        <f t="shared" si="2164"/>
        <v>0.73199978563980506</v>
      </c>
      <c r="AB1990" s="120">
        <f t="shared" si="2165"/>
        <v>6939.4600000000028</v>
      </c>
      <c r="AC1990" s="119">
        <f t="shared" si="2166"/>
        <v>8.1020914946755007E-2</v>
      </c>
      <c r="AD1990" s="110" t="s">
        <v>941</v>
      </c>
      <c r="AE1990" s="110"/>
      <c r="AF1990" s="110"/>
      <c r="AG1990" s="121"/>
    </row>
    <row r="1991" spans="1:33" ht="11.25" customHeight="1" x14ac:dyDescent="0.15">
      <c r="A1991" s="110" t="s">
        <v>936</v>
      </c>
      <c r="B1991" s="319" t="s">
        <v>2829</v>
      </c>
      <c r="C1991" s="322" t="s">
        <v>37</v>
      </c>
      <c r="D1991" s="111"/>
      <c r="E1991" s="146">
        <v>45900</v>
      </c>
      <c r="F1991" s="111"/>
      <c r="G1991" s="111">
        <v>92020162</v>
      </c>
      <c r="H1991" s="111"/>
      <c r="I1991" s="111"/>
      <c r="J1991" s="111"/>
      <c r="K1991" s="112" t="s">
        <v>2825</v>
      </c>
      <c r="L1991" s="120">
        <v>18371</v>
      </c>
      <c r="M1991" s="120">
        <v>6258.97</v>
      </c>
      <c r="N1991" s="120">
        <f t="shared" si="2160"/>
        <v>12112.029999999999</v>
      </c>
      <c r="O1991" s="119">
        <f t="shared" si="2158"/>
        <v>0.65930161667846054</v>
      </c>
      <c r="P1991" s="120">
        <v>18371</v>
      </c>
      <c r="Q1991" s="111" t="s">
        <v>2826</v>
      </c>
      <c r="R1991" s="323"/>
      <c r="S1991" s="323"/>
      <c r="T1991" s="323"/>
      <c r="U1991" s="323">
        <f>4684.15+853.26</f>
        <v>5537.41</v>
      </c>
      <c r="V1991" s="323"/>
      <c r="W1991" s="52">
        <f t="shared" si="2167"/>
        <v>5537.41</v>
      </c>
      <c r="X1991" s="118" t="str">
        <f t="shared" si="2161"/>
        <v/>
      </c>
      <c r="Y1991" s="119">
        <f t="shared" si="2162"/>
        <v>0.30142126177126993</v>
      </c>
      <c r="Z1991" s="117">
        <f t="shared" si="2163"/>
        <v>12833.59</v>
      </c>
      <c r="AA1991" s="119">
        <f t="shared" si="2164"/>
        <v>0.69857873822873007</v>
      </c>
      <c r="AB1991" s="120">
        <f t="shared" si="2165"/>
        <v>721.5600000000004</v>
      </c>
      <c r="AC1991" s="119">
        <f t="shared" si="2166"/>
        <v>3.9277121550269523E-2</v>
      </c>
      <c r="AD1991" s="110" t="s">
        <v>942</v>
      </c>
      <c r="AE1991" s="110"/>
      <c r="AF1991" s="110"/>
      <c r="AG1991" s="121"/>
    </row>
    <row r="1992" spans="1:33" ht="11.25" customHeight="1" x14ac:dyDescent="0.15">
      <c r="A1992" s="110" t="s">
        <v>936</v>
      </c>
      <c r="B1992" s="319" t="s">
        <v>2829</v>
      </c>
      <c r="C1992" s="322" t="s">
        <v>47</v>
      </c>
      <c r="D1992" s="111"/>
      <c r="E1992" s="146">
        <v>45900</v>
      </c>
      <c r="F1992" s="111"/>
      <c r="G1992" s="111">
        <v>50000010</v>
      </c>
      <c r="H1992" s="111"/>
      <c r="I1992" s="111"/>
      <c r="J1992" s="111"/>
      <c r="K1992" s="112" t="s">
        <v>709</v>
      </c>
      <c r="L1992" s="120">
        <v>112719</v>
      </c>
      <c r="M1992" s="120">
        <v>35801.480000000003</v>
      </c>
      <c r="N1992" s="120">
        <f t="shared" si="2160"/>
        <v>76917.51999999999</v>
      </c>
      <c r="O1992" s="119">
        <f t="shared" si="2158"/>
        <v>0.68238291681083041</v>
      </c>
      <c r="P1992" s="120">
        <v>112719</v>
      </c>
      <c r="Q1992" s="111" t="s">
        <v>2827</v>
      </c>
      <c r="R1992" s="323">
        <f>335+125</f>
        <v>460</v>
      </c>
      <c r="S1992" s="323">
        <f>18219.86+6988.76</f>
        <v>25208.620000000003</v>
      </c>
      <c r="T1992" s="323">
        <f>20205.89+7952.46</f>
        <v>28158.35</v>
      </c>
      <c r="U1992" s="323">
        <f>7542.42+5032.06</f>
        <v>12574.48</v>
      </c>
      <c r="V1992" s="323"/>
      <c r="W1992" s="52">
        <f t="shared" si="2167"/>
        <v>65941.45</v>
      </c>
      <c r="X1992" s="118">
        <f t="shared" si="2161"/>
        <v>54.80134782608696</v>
      </c>
      <c r="Y1992" s="119">
        <f t="shared" si="2162"/>
        <v>0.11155599322208323</v>
      </c>
      <c r="Z1992" s="117">
        <f t="shared" si="2163"/>
        <v>46777.55</v>
      </c>
      <c r="AA1992" s="119">
        <f t="shared" si="2164"/>
        <v>0.41499259219829843</v>
      </c>
      <c r="AB1992" s="120">
        <f t="shared" si="2165"/>
        <v>-30139.969999999994</v>
      </c>
      <c r="AC1992" s="119">
        <f t="shared" si="2166"/>
        <v>-0.26739032461253198</v>
      </c>
      <c r="AD1992" s="110" t="s">
        <v>943</v>
      </c>
      <c r="AE1992" s="110"/>
      <c r="AF1992" s="110"/>
      <c r="AG1992" s="121"/>
    </row>
    <row r="1993" spans="1:33" ht="11.25" customHeight="1" x14ac:dyDescent="0.15">
      <c r="A1993" s="110" t="s">
        <v>936</v>
      </c>
      <c r="B1993" s="110"/>
      <c r="C1993" s="111" t="s">
        <v>248</v>
      </c>
      <c r="D1993" s="111"/>
      <c r="E1993" s="146">
        <v>45900</v>
      </c>
      <c r="F1993" s="111"/>
      <c r="G1993" s="111">
        <v>96000000</v>
      </c>
      <c r="H1993" s="111"/>
      <c r="I1993" s="111"/>
      <c r="J1993" s="111"/>
      <c r="K1993" s="112" t="s">
        <v>250</v>
      </c>
      <c r="L1993" s="120">
        <v>56904</v>
      </c>
      <c r="M1993" s="120">
        <v>28452</v>
      </c>
      <c r="N1993" s="120">
        <f t="shared" si="2160"/>
        <v>28452</v>
      </c>
      <c r="O1993" s="119">
        <f t="shared" si="2158"/>
        <v>0.5</v>
      </c>
      <c r="P1993" s="120">
        <v>56904</v>
      </c>
      <c r="Q1993" s="111">
        <v>5150</v>
      </c>
      <c r="R1993" s="131">
        <v>22</v>
      </c>
      <c r="S1993" s="131">
        <v>1376.1</v>
      </c>
      <c r="T1993" s="131"/>
      <c r="U1993" s="131"/>
      <c r="V1993" s="131"/>
      <c r="W1993" s="52">
        <f t="shared" si="2167"/>
        <v>1376.1</v>
      </c>
      <c r="X1993" s="118">
        <f t="shared" si="2161"/>
        <v>62.55</v>
      </c>
      <c r="Y1993" s="119">
        <f t="shared" si="2162"/>
        <v>0</v>
      </c>
      <c r="Z1993" s="117">
        <f t="shared" si="2163"/>
        <v>55527.9</v>
      </c>
      <c r="AA1993" s="119">
        <f t="shared" si="2164"/>
        <v>0.97581716575284694</v>
      </c>
      <c r="AB1993" s="120">
        <f t="shared" si="2165"/>
        <v>27075.9</v>
      </c>
      <c r="AC1993" s="119">
        <f t="shared" si="2166"/>
        <v>0.47581716575284694</v>
      </c>
      <c r="AD1993" s="110"/>
      <c r="AE1993" s="110"/>
      <c r="AF1993" s="110"/>
      <c r="AG1993" s="121"/>
    </row>
    <row r="1994" spans="1:33" ht="11.25" customHeight="1" x14ac:dyDescent="0.15">
      <c r="A1994" s="110" t="s">
        <v>936</v>
      </c>
      <c r="B1994" s="319" t="s">
        <v>2829</v>
      </c>
      <c r="C1994" s="322" t="s">
        <v>55</v>
      </c>
      <c r="D1994" s="111"/>
      <c r="E1994" s="146">
        <v>45900</v>
      </c>
      <c r="F1994" s="111"/>
      <c r="G1994" s="111" t="s">
        <v>56</v>
      </c>
      <c r="H1994" s="111"/>
      <c r="I1994" s="111"/>
      <c r="J1994" s="111"/>
      <c r="K1994" s="112" t="s">
        <v>71</v>
      </c>
      <c r="L1994" s="120">
        <v>61455</v>
      </c>
      <c r="M1994" s="120">
        <v>30727.5</v>
      </c>
      <c r="N1994" s="120">
        <f t="shared" si="2160"/>
        <v>30727.5</v>
      </c>
      <c r="O1994" s="119">
        <f t="shared" si="2158"/>
        <v>0.5</v>
      </c>
      <c r="P1994" s="120">
        <v>61455</v>
      </c>
      <c r="Q1994" s="111" t="s">
        <v>2828</v>
      </c>
      <c r="R1994" s="323">
        <f>25+6</f>
        <v>31</v>
      </c>
      <c r="S1994" s="323">
        <f>1262.5+315</f>
        <v>1577.5</v>
      </c>
      <c r="T1994" s="323"/>
      <c r="U1994" s="323"/>
      <c r="V1994" s="323">
        <f>21011.87+2953.42</f>
        <v>23965.29</v>
      </c>
      <c r="W1994" s="52">
        <f t="shared" si="2167"/>
        <v>25542.79</v>
      </c>
      <c r="X1994" s="118">
        <f t="shared" si="2161"/>
        <v>50.887096774193552</v>
      </c>
      <c r="Y1994" s="119">
        <f t="shared" si="2162"/>
        <v>0</v>
      </c>
      <c r="Z1994" s="117">
        <f t="shared" si="2163"/>
        <v>35912.21</v>
      </c>
      <c r="AA1994" s="119">
        <f t="shared" si="2164"/>
        <v>0.58436595883166542</v>
      </c>
      <c r="AB1994" s="120">
        <f t="shared" si="2165"/>
        <v>5184.7099999999991</v>
      </c>
      <c r="AC1994" s="119">
        <f t="shared" si="2166"/>
        <v>8.4365958831665422E-2</v>
      </c>
      <c r="AD1994" s="110" t="s">
        <v>944</v>
      </c>
      <c r="AE1994" s="110"/>
      <c r="AF1994" s="110"/>
      <c r="AG1994" s="121"/>
    </row>
    <row r="1995" spans="1:33" ht="11.25" customHeight="1" x14ac:dyDescent="0.15">
      <c r="A1995" s="110" t="s">
        <v>936</v>
      </c>
      <c r="B1995" s="110"/>
      <c r="C1995" s="111" t="s">
        <v>58</v>
      </c>
      <c r="D1995" s="111"/>
      <c r="E1995" s="146">
        <v>45900</v>
      </c>
      <c r="F1995" s="111"/>
      <c r="G1995" s="111">
        <v>72142012</v>
      </c>
      <c r="H1995" s="111"/>
      <c r="I1995" s="111"/>
      <c r="J1995" s="111"/>
      <c r="K1995" s="112" t="s">
        <v>712</v>
      </c>
      <c r="L1995" s="120">
        <v>42998</v>
      </c>
      <c r="M1995" s="120">
        <v>4299.8</v>
      </c>
      <c r="N1995" s="120">
        <f t="shared" si="2160"/>
        <v>38698.199999999997</v>
      </c>
      <c r="O1995" s="119">
        <f t="shared" si="2158"/>
        <v>0.89999999999999991</v>
      </c>
      <c r="P1995" s="120">
        <v>42998</v>
      </c>
      <c r="Q1995" s="111">
        <v>5152</v>
      </c>
      <c r="R1995" s="117"/>
      <c r="S1995" s="117"/>
      <c r="T1995" s="117"/>
      <c r="U1995" s="117">
        <v>2040.62</v>
      </c>
      <c r="V1995" s="117"/>
      <c r="W1995" s="52">
        <f t="shared" ref="W1995:W1997" si="2168">SUM(S1995:V1995)</f>
        <v>2040.62</v>
      </c>
      <c r="X1995" s="118" t="str">
        <f t="shared" si="2161"/>
        <v/>
      </c>
      <c r="Y1995" s="119">
        <f t="shared" si="2162"/>
        <v>4.7458486441229825E-2</v>
      </c>
      <c r="Z1995" s="117">
        <f t="shared" si="2163"/>
        <v>40957.379999999997</v>
      </c>
      <c r="AA1995" s="119">
        <f t="shared" si="2164"/>
        <v>0.95254151355877015</v>
      </c>
      <c r="AB1995" s="120">
        <f t="shared" si="2165"/>
        <v>2259.1800000000003</v>
      </c>
      <c r="AC1995" s="119">
        <f t="shared" si="2166"/>
        <v>5.2541513558770236E-2</v>
      </c>
      <c r="AD1995" s="110"/>
      <c r="AE1995" s="110"/>
      <c r="AF1995" s="110"/>
      <c r="AG1995" s="121"/>
    </row>
    <row r="1996" spans="1:33" ht="11.25" customHeight="1" x14ac:dyDescent="0.15">
      <c r="A1996" s="110" t="s">
        <v>936</v>
      </c>
      <c r="B1996" s="110"/>
      <c r="C1996" s="111" t="s">
        <v>58</v>
      </c>
      <c r="D1996" s="111"/>
      <c r="E1996" s="146">
        <v>45900</v>
      </c>
      <c r="F1996" s="111"/>
      <c r="G1996" s="111">
        <v>74162012</v>
      </c>
      <c r="H1996" s="111"/>
      <c r="I1996" s="111"/>
      <c r="J1996" s="111"/>
      <c r="K1996" s="112" t="s">
        <v>712</v>
      </c>
      <c r="L1996" s="120">
        <v>123614</v>
      </c>
      <c r="M1996" s="120">
        <v>12361.4</v>
      </c>
      <c r="N1996" s="120">
        <f t="shared" si="2160"/>
        <v>111252.6</v>
      </c>
      <c r="O1996" s="119">
        <f t="shared" si="2158"/>
        <v>0.9</v>
      </c>
      <c r="P1996" s="120">
        <v>123614</v>
      </c>
      <c r="Q1996" s="111">
        <v>5153</v>
      </c>
      <c r="R1996" s="117"/>
      <c r="S1996" s="117"/>
      <c r="T1996" s="117"/>
      <c r="U1996" s="117">
        <v>1059.57</v>
      </c>
      <c r="V1996" s="117"/>
      <c r="W1996" s="52">
        <f t="shared" si="2168"/>
        <v>1059.57</v>
      </c>
      <c r="X1996" s="118" t="str">
        <f t="shared" si="2161"/>
        <v/>
      </c>
      <c r="Y1996" s="119">
        <f t="shared" si="2162"/>
        <v>8.5716019221123811E-3</v>
      </c>
      <c r="Z1996" s="117">
        <f t="shared" si="2163"/>
        <v>122554.43</v>
      </c>
      <c r="AA1996" s="119">
        <f t="shared" si="2164"/>
        <v>0.99142839807788752</v>
      </c>
      <c r="AB1996" s="120">
        <f t="shared" si="2165"/>
        <v>11301.83</v>
      </c>
      <c r="AC1996" s="119">
        <f t="shared" si="2166"/>
        <v>9.1428398077887496E-2</v>
      </c>
      <c r="AD1996" s="110"/>
      <c r="AE1996" s="110"/>
      <c r="AF1996" s="110"/>
      <c r="AG1996" s="121"/>
    </row>
    <row r="1997" spans="1:33" ht="11.25" customHeight="1" x14ac:dyDescent="0.15">
      <c r="A1997" s="110" t="s">
        <v>936</v>
      </c>
      <c r="B1997" s="110"/>
      <c r="C1997" s="111" t="s">
        <v>49</v>
      </c>
      <c r="D1997" s="111">
        <v>2025</v>
      </c>
      <c r="E1997" s="146">
        <v>45900</v>
      </c>
      <c r="F1997" s="111"/>
      <c r="G1997" s="111">
        <v>60602012</v>
      </c>
      <c r="H1997" s="111"/>
      <c r="I1997" s="111"/>
      <c r="J1997" s="111"/>
      <c r="K1997" s="112" t="s">
        <v>85</v>
      </c>
      <c r="L1997" s="120">
        <v>80303</v>
      </c>
      <c r="M1997" s="120">
        <v>7567.39</v>
      </c>
      <c r="N1997" s="120">
        <f t="shared" si="2160"/>
        <v>72735.61</v>
      </c>
      <c r="O1997" s="119">
        <f t="shared" si="2158"/>
        <v>0.9057645417979403</v>
      </c>
      <c r="P1997" s="120">
        <v>80303</v>
      </c>
      <c r="Q1997" s="111">
        <v>5154</v>
      </c>
      <c r="R1997" s="131">
        <v>52</v>
      </c>
      <c r="S1997" s="131">
        <v>3356.6</v>
      </c>
      <c r="T1997" s="131">
        <v>2446.12</v>
      </c>
      <c r="U1997" s="131"/>
      <c r="V1997" s="117"/>
      <c r="W1997" s="52">
        <f t="shared" si="2168"/>
        <v>5802.7199999999993</v>
      </c>
      <c r="X1997" s="118">
        <f t="shared" si="2161"/>
        <v>64.55</v>
      </c>
      <c r="Y1997" s="119">
        <f t="shared" si="2162"/>
        <v>0</v>
      </c>
      <c r="Z1997" s="117">
        <f t="shared" si="2163"/>
        <v>74500.28</v>
      </c>
      <c r="AA1997" s="119">
        <f t="shared" si="2164"/>
        <v>0.92773968593950407</v>
      </c>
      <c r="AB1997" s="120">
        <f t="shared" si="2165"/>
        <v>1764.670000000001</v>
      </c>
      <c r="AC1997" s="119">
        <f t="shared" si="2166"/>
        <v>2.1975144141563763E-2</v>
      </c>
      <c r="AD1997" s="110"/>
      <c r="AE1997" s="110"/>
      <c r="AF1997" s="110"/>
      <c r="AG1997" s="121"/>
    </row>
    <row r="1998" spans="1:33" s="53" customFormat="1" ht="11.25" customHeight="1" x14ac:dyDescent="0.15">
      <c r="A1998" s="53" t="s">
        <v>936</v>
      </c>
      <c r="C1998" s="54" t="s">
        <v>177</v>
      </c>
      <c r="D1998" s="54"/>
      <c r="E1998" s="70"/>
      <c r="F1998" s="54"/>
      <c r="G1998" s="54"/>
      <c r="H1998" s="54"/>
      <c r="I1998" s="54"/>
      <c r="J1998" s="54"/>
      <c r="K1998" s="106"/>
      <c r="L1998" s="24">
        <f>SUM(L1985:L1997)</f>
        <v>1194983.93</v>
      </c>
      <c r="M1998" s="24">
        <f t="shared" ref="M1998:N1998" si="2169">SUM(M1985:M1997)</f>
        <v>281807.33</v>
      </c>
      <c r="N1998" s="24">
        <f t="shared" si="2169"/>
        <v>913176.6</v>
      </c>
      <c r="O1998" s="57">
        <f>IFERROR(N1998/L1998,"")</f>
        <v>0.76417479522088638</v>
      </c>
      <c r="P1998" s="24">
        <f>SUM(P1985:P1997)</f>
        <v>1194983.93</v>
      </c>
      <c r="Q1998" s="24"/>
      <c r="R1998" s="24">
        <f>SUM(R1985:R1997)</f>
        <v>661.5</v>
      </c>
      <c r="S1998" s="24">
        <f t="shared" ref="S1998:V1998" si="2170">SUM(S1985:S1997)</f>
        <v>35904.47</v>
      </c>
      <c r="T1998" s="24">
        <f t="shared" si="2170"/>
        <v>30604.469999999998</v>
      </c>
      <c r="U1998" s="24">
        <f t="shared" si="2170"/>
        <v>159153.35000000003</v>
      </c>
      <c r="V1998" s="24">
        <f t="shared" si="2170"/>
        <v>23965.29</v>
      </c>
      <c r="W1998" s="24">
        <f>SUM(S1998:V1998)</f>
        <v>249627.58000000005</v>
      </c>
      <c r="X1998" s="56">
        <f t="shared" si="2161"/>
        <v>54.277354497354501</v>
      </c>
      <c r="Y1998" s="119">
        <f>IFERROR(U1998/P1998,0)</f>
        <v>0.13318451069044923</v>
      </c>
      <c r="Z1998" s="28">
        <f t="shared" si="2163"/>
        <v>945356.34999999986</v>
      </c>
      <c r="AA1998" s="119">
        <f>IFERROR(Z1998/P1998,0)</f>
        <v>0.79110381844214417</v>
      </c>
      <c r="AB1998" s="58">
        <f>M1998-W1998</f>
        <v>32179.749999999971</v>
      </c>
      <c r="AC1998" s="57">
        <f>IFERROR(AA1998-O1998,"")</f>
        <v>2.6929023221257786E-2</v>
      </c>
      <c r="AG1998" s="61"/>
    </row>
    <row r="1999" spans="1:33" s="110" customFormat="1" ht="11.25" customHeight="1" x14ac:dyDescent="0.15">
      <c r="A1999" s="130"/>
      <c r="B1999" s="130"/>
      <c r="C1999" s="124"/>
      <c r="D1999" s="124"/>
      <c r="E1999" s="273"/>
      <c r="F1999" s="124"/>
      <c r="G1999" s="124"/>
      <c r="H1999" s="124"/>
      <c r="I1999" s="124"/>
      <c r="J1999" s="124"/>
      <c r="K1999" s="125"/>
      <c r="L1999" s="129"/>
      <c r="M1999" s="129"/>
      <c r="N1999" s="129"/>
      <c r="O1999" s="128"/>
      <c r="P1999" s="129"/>
      <c r="Q1999" s="124"/>
      <c r="R1999" s="129"/>
      <c r="S1999" s="129"/>
      <c r="T1999" s="129"/>
      <c r="U1999" s="129"/>
      <c r="V1999" s="126"/>
      <c r="W1999" s="49"/>
      <c r="X1999" s="45"/>
      <c r="Y1999" s="128"/>
      <c r="Z1999" s="126"/>
      <c r="AA1999" s="128"/>
      <c r="AB1999" s="129"/>
      <c r="AC1999" s="160"/>
      <c r="AD1999" s="137"/>
      <c r="AG1999" s="121"/>
    </row>
    <row r="2000" spans="1:33" ht="11.25" customHeight="1" x14ac:dyDescent="0.15">
      <c r="A2000" s="110" t="s">
        <v>832</v>
      </c>
      <c r="B2000" s="110"/>
      <c r="C2000" s="111" t="s">
        <v>175</v>
      </c>
      <c r="D2000" s="111">
        <v>2025</v>
      </c>
      <c r="E2000" s="146">
        <v>45869</v>
      </c>
      <c r="F2000" s="111"/>
      <c r="G2000" s="111">
        <v>81100301</v>
      </c>
      <c r="H2000" s="111">
        <v>4101</v>
      </c>
      <c r="I2000" s="111" t="str">
        <f>MID(G2000,2,1)</f>
        <v>1</v>
      </c>
      <c r="J2000" s="111" t="str">
        <f>IF(I2000="1","Small/Medium","Large")</f>
        <v>Small/Medium</v>
      </c>
      <c r="K2000" s="147" t="s">
        <v>145</v>
      </c>
      <c r="L2000" s="120">
        <v>15311</v>
      </c>
      <c r="M2000" s="120">
        <f>L2000*0.3</f>
        <v>4593.3</v>
      </c>
      <c r="N2000" s="120">
        <f>L2000-M2000</f>
        <v>10717.7</v>
      </c>
      <c r="O2000" s="119">
        <f>IFERROR(N2000/L2000,"")</f>
        <v>0.70000000000000007</v>
      </c>
      <c r="P2000" s="120">
        <v>15311</v>
      </c>
      <c r="Q2000" s="111">
        <v>5754</v>
      </c>
      <c r="R2000" s="117">
        <v>21.5</v>
      </c>
      <c r="S2000" s="117">
        <v>1136.92</v>
      </c>
      <c r="T2000" s="117">
        <v>1509.99</v>
      </c>
      <c r="U2000" s="117">
        <v>697.17</v>
      </c>
      <c r="V2000" s="117"/>
      <c r="W2000" s="26">
        <f>SUM(S2000:V2000)</f>
        <v>3344.08</v>
      </c>
      <c r="X2000" s="118">
        <f>IFERROR(S2000/R2000,"")</f>
        <v>52.88</v>
      </c>
      <c r="Y2000" s="119">
        <f>IFERROR(U2000/P2000,0)</f>
        <v>4.5533929854353075E-2</v>
      </c>
      <c r="Z2000" s="117">
        <f>P2000-W2000</f>
        <v>11966.92</v>
      </c>
      <c r="AA2000" s="119">
        <f>IFERROR(Z2000/P2000,0)</f>
        <v>0.78158970674678341</v>
      </c>
      <c r="AB2000" s="120">
        <f>M2000-W2000</f>
        <v>1249.2200000000003</v>
      </c>
      <c r="AC2000" s="119">
        <f t="shared" ref="AC2000:AC2001" si="2171">IFERROR(AA2000-O2000,"")</f>
        <v>8.1589706746783341E-2</v>
      </c>
      <c r="AD2000" s="110" t="s">
        <v>945</v>
      </c>
      <c r="AE2000" s="110"/>
      <c r="AF2000" s="110"/>
      <c r="AG2000" s="121"/>
    </row>
    <row r="2001" spans="1:33" s="53" customFormat="1" ht="11.25" customHeight="1" x14ac:dyDescent="0.15">
      <c r="A2001" s="53" t="s">
        <v>832</v>
      </c>
      <c r="C2001" s="54" t="s">
        <v>177</v>
      </c>
      <c r="D2001" s="54"/>
      <c r="E2001" s="70"/>
      <c r="F2001" s="54"/>
      <c r="G2001" s="54"/>
      <c r="H2001" s="54"/>
      <c r="I2001" s="54"/>
      <c r="J2001" s="54"/>
      <c r="K2001" s="106"/>
      <c r="L2001" s="24">
        <f>SUM(L2000)</f>
        <v>15311</v>
      </c>
      <c r="M2001" s="24">
        <f t="shared" ref="M2001:N2001" si="2172">SUM(M2000)</f>
        <v>4593.3</v>
      </c>
      <c r="N2001" s="24">
        <f t="shared" si="2172"/>
        <v>10717.7</v>
      </c>
      <c r="O2001" s="57">
        <f>IFERROR(N2001/L2001,"")</f>
        <v>0.70000000000000007</v>
      </c>
      <c r="P2001" s="24">
        <f>SUM(P2000)</f>
        <v>15311</v>
      </c>
      <c r="Q2001" s="24"/>
      <c r="R2001" s="24">
        <f>SUM(R2000)</f>
        <v>21.5</v>
      </c>
      <c r="S2001" s="24">
        <f t="shared" ref="S2001:V2001" si="2173">SUM(S2000)</f>
        <v>1136.92</v>
      </c>
      <c r="T2001" s="24">
        <f t="shared" si="2173"/>
        <v>1509.99</v>
      </c>
      <c r="U2001" s="24">
        <f t="shared" si="2173"/>
        <v>697.17</v>
      </c>
      <c r="V2001" s="24">
        <f t="shared" si="2173"/>
        <v>0</v>
      </c>
      <c r="W2001" s="24">
        <f>SUM(W1999:W2000)</f>
        <v>3344.08</v>
      </c>
      <c r="X2001" s="56">
        <f>IFERROR(S2001/R2001,"")</f>
        <v>52.88</v>
      </c>
      <c r="Y2001" s="119">
        <f>IFERROR(U2001/P2001,0)</f>
        <v>4.5533929854353075E-2</v>
      </c>
      <c r="Z2001" s="28">
        <f>P2001-W2001</f>
        <v>11966.92</v>
      </c>
      <c r="AA2001" s="119">
        <f>IFERROR(Z2001/P2001,0)</f>
        <v>0.78158970674678341</v>
      </c>
      <c r="AB2001" s="58">
        <f>M2001-W2001</f>
        <v>1249.2200000000003</v>
      </c>
      <c r="AC2001" s="57">
        <f t="shared" si="2171"/>
        <v>8.1589706746783341E-2</v>
      </c>
      <c r="AG2001" s="61"/>
    </row>
    <row r="2002" spans="1:33" s="110" customFormat="1" ht="11.25" customHeight="1" x14ac:dyDescent="0.15">
      <c r="A2002" s="130"/>
      <c r="B2002" s="130"/>
      <c r="C2002" s="124"/>
      <c r="D2002" s="124"/>
      <c r="E2002" s="273"/>
      <c r="F2002" s="124"/>
      <c r="G2002" s="124"/>
      <c r="H2002" s="124"/>
      <c r="I2002" s="124"/>
      <c r="J2002" s="124"/>
      <c r="K2002" s="125"/>
      <c r="L2002" s="129"/>
      <c r="M2002" s="129"/>
      <c r="N2002" s="129"/>
      <c r="O2002" s="128"/>
      <c r="P2002" s="129"/>
      <c r="Q2002" s="124"/>
      <c r="R2002" s="129"/>
      <c r="S2002" s="129"/>
      <c r="T2002" s="129"/>
      <c r="U2002" s="129"/>
      <c r="V2002" s="126"/>
      <c r="W2002" s="49"/>
      <c r="X2002" s="45"/>
      <c r="Y2002" s="128"/>
      <c r="Z2002" s="126"/>
      <c r="AA2002" s="128"/>
      <c r="AB2002" s="129"/>
      <c r="AC2002" s="160"/>
      <c r="AD2002" s="137"/>
      <c r="AG2002" s="121"/>
    </row>
    <row r="2003" spans="1:33" ht="11.25" customHeight="1" x14ac:dyDescent="0.15">
      <c r="A2003" s="110" t="s">
        <v>946</v>
      </c>
      <c r="B2003" s="110"/>
      <c r="C2003" s="111" t="s">
        <v>37</v>
      </c>
      <c r="D2003" s="111">
        <v>2025</v>
      </c>
      <c r="E2003" s="146">
        <v>45869</v>
      </c>
      <c r="F2003" s="111"/>
      <c r="G2003" s="111">
        <v>13000000</v>
      </c>
      <c r="H2003" s="111"/>
      <c r="I2003" s="111"/>
      <c r="J2003" s="111"/>
      <c r="K2003" s="112" t="s">
        <v>580</v>
      </c>
      <c r="L2003" s="120">
        <v>102303</v>
      </c>
      <c r="M2003" s="120">
        <v>23925.46</v>
      </c>
      <c r="N2003" s="120">
        <f t="shared" ref="N2003:N2008" si="2174">L2003-M2003</f>
        <v>78377.540000000008</v>
      </c>
      <c r="O2003" s="119">
        <f t="shared" ref="O2003:O2008" si="2175">IFERROR(N2003/L2003,"")</f>
        <v>0.76613139399626606</v>
      </c>
      <c r="P2003" s="120">
        <v>102303</v>
      </c>
      <c r="Q2003" s="111">
        <v>3559</v>
      </c>
      <c r="R2003" s="117"/>
      <c r="S2003" s="117"/>
      <c r="T2003" s="117"/>
      <c r="U2003" s="117">
        <v>22804.33</v>
      </c>
      <c r="V2003" s="117"/>
      <c r="W2003" s="52">
        <f t="shared" ref="W2003:W2005" si="2176">SUM(S2003:V2003)</f>
        <v>22804.33</v>
      </c>
      <c r="X2003" s="118" t="str">
        <f t="shared" ref="X2003:X2009" si="2177">IFERROR(S2003/R2003,"")</f>
        <v/>
      </c>
      <c r="Y2003" s="119">
        <f t="shared" ref="Y2003:Y2008" si="2178">IFERROR(U2003/P2003,0)</f>
        <v>0.22290968984291762</v>
      </c>
      <c r="Z2003" s="117">
        <f t="shared" ref="Z2003:Z2009" si="2179">P2003-W2003</f>
        <v>79498.67</v>
      </c>
      <c r="AA2003" s="119">
        <f t="shared" ref="AA2003:AA2008" si="2180">IFERROR(Z2003/P2003,0)</f>
        <v>0.77709031015708241</v>
      </c>
      <c r="AB2003" s="120">
        <f t="shared" ref="AB2003:AB2008" si="2181">M2003-W2003</f>
        <v>1121.1299999999974</v>
      </c>
      <c r="AC2003" s="119">
        <f t="shared" ref="AC2003:AC2008" si="2182">IFERROR(AA2003-O2003,"")</f>
        <v>1.0958916160816345E-2</v>
      </c>
      <c r="AD2003" s="110"/>
      <c r="AE2003" s="110"/>
      <c r="AF2003" s="110"/>
      <c r="AG2003" s="121"/>
    </row>
    <row r="2004" spans="1:33" ht="11.25" customHeight="1" x14ac:dyDescent="0.15">
      <c r="A2004" s="110" t="s">
        <v>946</v>
      </c>
      <c r="B2004" s="110"/>
      <c r="C2004" s="111" t="s">
        <v>47</v>
      </c>
      <c r="D2004" s="111">
        <v>2025</v>
      </c>
      <c r="E2004" s="146">
        <v>45869</v>
      </c>
      <c r="F2004" s="111"/>
      <c r="G2004" s="111">
        <v>53000011</v>
      </c>
      <c r="H2004" s="111"/>
      <c r="I2004" s="111"/>
      <c r="J2004" s="111"/>
      <c r="K2004" s="112" t="s">
        <v>740</v>
      </c>
      <c r="L2004" s="120">
        <v>14035</v>
      </c>
      <c r="M2004" s="120">
        <v>4545.62</v>
      </c>
      <c r="N2004" s="120">
        <f t="shared" si="2174"/>
        <v>9489.380000000001</v>
      </c>
      <c r="O2004" s="119">
        <f t="shared" si="2175"/>
        <v>0.67612255076594241</v>
      </c>
      <c r="P2004" s="120">
        <v>14035</v>
      </c>
      <c r="Q2004" s="111">
        <v>5755</v>
      </c>
      <c r="R2004" s="117">
        <v>18</v>
      </c>
      <c r="S2004" s="117">
        <v>1006.39</v>
      </c>
      <c r="T2004" s="117">
        <v>754.99</v>
      </c>
      <c r="U2004" s="117">
        <v>101.08</v>
      </c>
      <c r="V2004" s="117"/>
      <c r="W2004" s="52">
        <f t="shared" si="2176"/>
        <v>1862.46</v>
      </c>
      <c r="X2004" s="118">
        <f t="shared" si="2177"/>
        <v>55.910555555555554</v>
      </c>
      <c r="Y2004" s="119">
        <f t="shared" si="2178"/>
        <v>7.2019950124688282E-3</v>
      </c>
      <c r="Z2004" s="117">
        <f t="shared" si="2179"/>
        <v>12172.54</v>
      </c>
      <c r="AA2004" s="119">
        <f t="shared" si="2180"/>
        <v>0.8672988956180977</v>
      </c>
      <c r="AB2004" s="120">
        <f t="shared" si="2181"/>
        <v>2683.16</v>
      </c>
      <c r="AC2004" s="119">
        <f t="shared" si="2182"/>
        <v>0.19117634485215529</v>
      </c>
      <c r="AD2004" s="110" t="s">
        <v>947</v>
      </c>
      <c r="AE2004" s="110"/>
      <c r="AF2004" s="110"/>
      <c r="AG2004" s="121"/>
    </row>
    <row r="2005" spans="1:33" ht="11.25" customHeight="1" x14ac:dyDescent="0.15">
      <c r="A2005" s="110" t="s">
        <v>946</v>
      </c>
      <c r="B2005" s="110"/>
      <c r="C2005" s="111" t="s">
        <v>248</v>
      </c>
      <c r="D2005" s="111">
        <v>2025</v>
      </c>
      <c r="E2005" s="146">
        <v>45869</v>
      </c>
      <c r="F2005" s="111"/>
      <c r="G2005" s="111">
        <v>96000000</v>
      </c>
      <c r="H2005" s="111"/>
      <c r="I2005" s="111"/>
      <c r="J2005" s="111"/>
      <c r="K2005" s="112" t="s">
        <v>250</v>
      </c>
      <c r="L2005" s="120">
        <v>8246</v>
      </c>
      <c r="M2005" s="120">
        <v>4123</v>
      </c>
      <c r="N2005" s="120">
        <f t="shared" si="2174"/>
        <v>4123</v>
      </c>
      <c r="O2005" s="119">
        <f t="shared" si="2175"/>
        <v>0.5</v>
      </c>
      <c r="P2005" s="120">
        <v>8246</v>
      </c>
      <c r="Q2005" s="111">
        <v>5756</v>
      </c>
      <c r="R2005" s="117">
        <v>8</v>
      </c>
      <c r="S2005" s="117">
        <v>516.4</v>
      </c>
      <c r="T2005" s="117"/>
      <c r="U2005" s="117"/>
      <c r="V2005" s="117"/>
      <c r="W2005" s="52">
        <f t="shared" si="2176"/>
        <v>516.4</v>
      </c>
      <c r="X2005" s="118">
        <f t="shared" si="2177"/>
        <v>64.55</v>
      </c>
      <c r="Y2005" s="119">
        <f t="shared" si="2178"/>
        <v>0</v>
      </c>
      <c r="Z2005" s="117">
        <f t="shared" si="2179"/>
        <v>7729.6</v>
      </c>
      <c r="AA2005" s="119">
        <f t="shared" si="2180"/>
        <v>0.93737569730778558</v>
      </c>
      <c r="AB2005" s="120">
        <f t="shared" si="2181"/>
        <v>3606.6</v>
      </c>
      <c r="AC2005" s="119">
        <f t="shared" si="2182"/>
        <v>0.43737569730778558</v>
      </c>
      <c r="AD2005" s="110"/>
      <c r="AE2005" s="110"/>
      <c r="AF2005" s="110"/>
      <c r="AG2005" s="121"/>
    </row>
    <row r="2006" spans="1:33" ht="11.25" customHeight="1" x14ac:dyDescent="0.15">
      <c r="A2006" s="110" t="s">
        <v>946</v>
      </c>
      <c r="B2006" s="110"/>
      <c r="C2006" s="111" t="s">
        <v>55</v>
      </c>
      <c r="D2006" s="111">
        <v>2025</v>
      </c>
      <c r="E2006" s="146">
        <v>45869</v>
      </c>
      <c r="F2006" s="111"/>
      <c r="G2006" s="111" t="s">
        <v>56</v>
      </c>
      <c r="H2006" s="111"/>
      <c r="I2006" s="111"/>
      <c r="J2006" s="111"/>
      <c r="K2006" s="112" t="s">
        <v>71</v>
      </c>
      <c r="L2006" s="120">
        <v>4016</v>
      </c>
      <c r="M2006" s="120">
        <v>1807.09</v>
      </c>
      <c r="N2006" s="120">
        <f t="shared" si="2174"/>
        <v>2208.91</v>
      </c>
      <c r="O2006" s="119">
        <f t="shared" si="2175"/>
        <v>0.550027390438247</v>
      </c>
      <c r="P2006" s="120">
        <v>4016</v>
      </c>
      <c r="Q2006" s="111">
        <v>5757</v>
      </c>
      <c r="R2006" s="117">
        <v>6</v>
      </c>
      <c r="S2006" s="117">
        <v>315</v>
      </c>
      <c r="T2006" s="117"/>
      <c r="U2006" s="117"/>
      <c r="V2006" s="117">
        <v>1016.75</v>
      </c>
      <c r="W2006" s="52">
        <f t="shared" ref="W2006:W2008" si="2183">SUM(S2006:V2006)</f>
        <v>1331.75</v>
      </c>
      <c r="X2006" s="118">
        <f t="shared" si="2177"/>
        <v>52.5</v>
      </c>
      <c r="Y2006" s="119">
        <f t="shared" si="2178"/>
        <v>0</v>
      </c>
      <c r="Z2006" s="117">
        <f t="shared" si="2179"/>
        <v>2684.25</v>
      </c>
      <c r="AA2006" s="119">
        <f t="shared" si="2180"/>
        <v>0.66838894422310757</v>
      </c>
      <c r="AB2006" s="120">
        <f t="shared" si="2181"/>
        <v>475.33999999999992</v>
      </c>
      <c r="AC2006" s="119">
        <f t="shared" si="2182"/>
        <v>0.11836155378486057</v>
      </c>
      <c r="AD2006" s="110"/>
      <c r="AE2006" s="110"/>
      <c r="AF2006" s="110"/>
      <c r="AG2006" s="121"/>
    </row>
    <row r="2007" spans="1:33" ht="11.25" customHeight="1" x14ac:dyDescent="0.15">
      <c r="A2007" s="110" t="s">
        <v>946</v>
      </c>
      <c r="B2007" s="110"/>
      <c r="C2007" s="111" t="s">
        <v>58</v>
      </c>
      <c r="D2007" s="111">
        <v>2025</v>
      </c>
      <c r="E2007" s="146">
        <v>45869</v>
      </c>
      <c r="F2007" s="111"/>
      <c r="G2007" s="111">
        <v>73142012</v>
      </c>
      <c r="H2007" s="111"/>
      <c r="I2007" s="111"/>
      <c r="J2007" s="111"/>
      <c r="K2007" s="112" t="s">
        <v>743</v>
      </c>
      <c r="L2007" s="120">
        <v>29564</v>
      </c>
      <c r="M2007" s="120">
        <v>2956.4</v>
      </c>
      <c r="N2007" s="120">
        <f t="shared" si="2174"/>
        <v>26607.599999999999</v>
      </c>
      <c r="O2007" s="119">
        <f t="shared" si="2175"/>
        <v>0.89999999999999991</v>
      </c>
      <c r="P2007" s="120">
        <v>29564</v>
      </c>
      <c r="Q2007" s="111">
        <v>5758</v>
      </c>
      <c r="R2007" s="117"/>
      <c r="S2007" s="117"/>
      <c r="T2007" s="117"/>
      <c r="U2007" s="117">
        <v>2024.4</v>
      </c>
      <c r="V2007" s="117"/>
      <c r="W2007" s="52">
        <f t="shared" si="2183"/>
        <v>2024.4</v>
      </c>
      <c r="X2007" s="118" t="str">
        <f t="shared" si="2177"/>
        <v/>
      </c>
      <c r="Y2007" s="119">
        <f t="shared" si="2178"/>
        <v>6.8475172507103235E-2</v>
      </c>
      <c r="Z2007" s="117">
        <f t="shared" si="2179"/>
        <v>27539.599999999999</v>
      </c>
      <c r="AA2007" s="119">
        <f t="shared" si="2180"/>
        <v>0.93152482749289667</v>
      </c>
      <c r="AB2007" s="120">
        <f t="shared" si="2181"/>
        <v>932</v>
      </c>
      <c r="AC2007" s="119">
        <f t="shared" si="2182"/>
        <v>3.1524827492896756E-2</v>
      </c>
      <c r="AD2007" s="110"/>
      <c r="AE2007" s="110"/>
      <c r="AF2007" s="110"/>
      <c r="AG2007" s="121"/>
    </row>
    <row r="2008" spans="1:33" ht="11.25" customHeight="1" x14ac:dyDescent="0.15">
      <c r="A2008" s="110" t="s">
        <v>946</v>
      </c>
      <c r="B2008" s="110"/>
      <c r="C2008" s="111" t="s">
        <v>49</v>
      </c>
      <c r="D2008" s="111">
        <v>2025</v>
      </c>
      <c r="E2008" s="146">
        <v>45869</v>
      </c>
      <c r="F2008" s="111"/>
      <c r="G2008" s="111">
        <v>63642012</v>
      </c>
      <c r="H2008" s="111"/>
      <c r="I2008" s="111"/>
      <c r="J2008" s="111"/>
      <c r="K2008" s="112" t="s">
        <v>894</v>
      </c>
      <c r="L2008" s="120">
        <v>15005</v>
      </c>
      <c r="M2008" s="120">
        <v>4742.16</v>
      </c>
      <c r="N2008" s="120">
        <f t="shared" si="2174"/>
        <v>10262.84</v>
      </c>
      <c r="O2008" s="119">
        <f t="shared" si="2175"/>
        <v>0.68396134621792737</v>
      </c>
      <c r="P2008" s="120">
        <v>15005</v>
      </c>
      <c r="Q2008" s="111">
        <v>5759</v>
      </c>
      <c r="R2008" s="117">
        <v>17</v>
      </c>
      <c r="S2008" s="117">
        <v>1097.3499999999999</v>
      </c>
      <c r="T2008" s="117">
        <v>754.99</v>
      </c>
      <c r="U2008" s="117">
        <v>101.09</v>
      </c>
      <c r="V2008" s="117"/>
      <c r="W2008" s="52">
        <f t="shared" si="2183"/>
        <v>1953.4299999999998</v>
      </c>
      <c r="X2008" s="118">
        <f t="shared" si="2177"/>
        <v>64.55</v>
      </c>
      <c r="Y2008" s="119">
        <f t="shared" si="2178"/>
        <v>6.7370876374541824E-3</v>
      </c>
      <c r="Z2008" s="117">
        <f t="shared" si="2179"/>
        <v>13051.57</v>
      </c>
      <c r="AA2008" s="119">
        <f t="shared" si="2180"/>
        <v>0.86981472842385865</v>
      </c>
      <c r="AB2008" s="120">
        <f t="shared" si="2181"/>
        <v>2788.73</v>
      </c>
      <c r="AC2008" s="119">
        <f t="shared" si="2182"/>
        <v>0.18585338220593128</v>
      </c>
      <c r="AD2008" s="110" t="s">
        <v>948</v>
      </c>
      <c r="AE2008" s="110"/>
      <c r="AF2008" s="110"/>
      <c r="AG2008" s="121"/>
    </row>
    <row r="2009" spans="1:33" s="53" customFormat="1" ht="11.25" customHeight="1" x14ac:dyDescent="0.15">
      <c r="A2009" s="53" t="s">
        <v>946</v>
      </c>
      <c r="C2009" s="54" t="s">
        <v>177</v>
      </c>
      <c r="D2009" s="54"/>
      <c r="E2009" s="70"/>
      <c r="F2009" s="54"/>
      <c r="G2009" s="54"/>
      <c r="H2009" s="54"/>
      <c r="I2009" s="54"/>
      <c r="J2009" s="54"/>
      <c r="K2009" s="106"/>
      <c r="L2009" s="24">
        <f>SUM(L2003:L2008)</f>
        <v>173169</v>
      </c>
      <c r="M2009" s="24">
        <f t="shared" ref="M2009:N2009" si="2184">SUM(M2003:M2008)</f>
        <v>42099.729999999996</v>
      </c>
      <c r="N2009" s="24">
        <f t="shared" si="2184"/>
        <v>131069.27000000002</v>
      </c>
      <c r="O2009" s="57">
        <f>IFERROR(N2009/L2009,"")</f>
        <v>0.75688645196311133</v>
      </c>
      <c r="P2009" s="24">
        <f>SUM(P2003:P2008)</f>
        <v>173169</v>
      </c>
      <c r="Q2009" s="24"/>
      <c r="R2009" s="24">
        <f>SUM(R2003:R2008)</f>
        <v>49</v>
      </c>
      <c r="S2009" s="24">
        <f t="shared" ref="S2009:V2009" si="2185">SUM(S2003:S2008)</f>
        <v>2935.14</v>
      </c>
      <c r="T2009" s="24">
        <f t="shared" si="2185"/>
        <v>1509.98</v>
      </c>
      <c r="U2009" s="24">
        <f t="shared" si="2185"/>
        <v>25030.900000000005</v>
      </c>
      <c r="V2009" s="24">
        <f t="shared" si="2185"/>
        <v>1016.75</v>
      </c>
      <c r="W2009" s="24">
        <f>SUM(S2009:V2009)</f>
        <v>30492.770000000004</v>
      </c>
      <c r="X2009" s="56">
        <f t="shared" si="2177"/>
        <v>59.90081632653061</v>
      </c>
      <c r="Y2009" s="119">
        <f>IFERROR(U2009/P2009,0)</f>
        <v>0.14454607926360957</v>
      </c>
      <c r="Z2009" s="28">
        <f t="shared" si="2179"/>
        <v>142676.22999999998</v>
      </c>
      <c r="AA2009" s="119">
        <f>IFERROR(Z2009/P2009,0)</f>
        <v>0.8239132292731377</v>
      </c>
      <c r="AB2009" s="58">
        <f>M2009-W2009</f>
        <v>11606.959999999992</v>
      </c>
      <c r="AC2009" s="57">
        <f>IFERROR(AA2009-O2009,"")</f>
        <v>6.7026777310026375E-2</v>
      </c>
      <c r="AG2009" s="61"/>
    </row>
    <row r="2010" spans="1:33" s="110" customFormat="1" ht="11.25" customHeight="1" x14ac:dyDescent="0.15">
      <c r="A2010" s="130"/>
      <c r="B2010" s="130"/>
      <c r="C2010" s="124"/>
      <c r="D2010" s="124"/>
      <c r="E2010" s="273"/>
      <c r="F2010" s="124"/>
      <c r="G2010" s="124"/>
      <c r="H2010" s="124"/>
      <c r="I2010" s="124"/>
      <c r="J2010" s="124"/>
      <c r="K2010" s="125"/>
      <c r="L2010" s="129"/>
      <c r="M2010" s="129"/>
      <c r="N2010" s="129"/>
      <c r="O2010" s="128"/>
      <c r="P2010" s="129"/>
      <c r="Q2010" s="124"/>
      <c r="R2010" s="129"/>
      <c r="S2010" s="129"/>
      <c r="T2010" s="129"/>
      <c r="U2010" s="129"/>
      <c r="V2010" s="126"/>
      <c r="W2010" s="49"/>
      <c r="X2010" s="45"/>
      <c r="Y2010" s="128"/>
      <c r="Z2010" s="126"/>
      <c r="AA2010" s="128"/>
      <c r="AB2010" s="129"/>
      <c r="AC2010" s="160"/>
      <c r="AD2010" s="137"/>
      <c r="AG2010" s="121"/>
    </row>
    <row r="2011" spans="1:33" ht="11.25" customHeight="1" x14ac:dyDescent="0.15">
      <c r="A2011" s="110" t="s">
        <v>639</v>
      </c>
      <c r="B2011" s="110"/>
      <c r="C2011" s="111" t="s">
        <v>175</v>
      </c>
      <c r="D2011" s="111">
        <v>2025</v>
      </c>
      <c r="E2011" s="146">
        <v>45869</v>
      </c>
      <c r="F2011" s="111"/>
      <c r="G2011" s="111">
        <v>81100401</v>
      </c>
      <c r="H2011" s="111">
        <v>4101</v>
      </c>
      <c r="I2011" s="111" t="str">
        <f>MID(G2011,2,1)</f>
        <v>1</v>
      </c>
      <c r="J2011" s="111" t="str">
        <f>IF(I2011="1","Small/Medium","Large")</f>
        <v>Small/Medium</v>
      </c>
      <c r="K2011" s="147" t="s">
        <v>145</v>
      </c>
      <c r="L2011" s="120">
        <v>18529.802775518769</v>
      </c>
      <c r="M2011" s="120">
        <f>L2011*0.3</f>
        <v>5558.9408326556304</v>
      </c>
      <c r="N2011" s="120">
        <f>L2011-M2011</f>
        <v>12970.861942863139</v>
      </c>
      <c r="O2011" s="119">
        <f>IFERROR(N2011/L2011,"")</f>
        <v>0.70000000000000007</v>
      </c>
      <c r="P2011" s="120">
        <v>18529.802775518769</v>
      </c>
      <c r="Q2011" s="111">
        <v>5581</v>
      </c>
      <c r="R2011" s="117">
        <v>70.760000000000005</v>
      </c>
      <c r="S2011" s="117">
        <v>3883.31</v>
      </c>
      <c r="T2011" s="117">
        <v>4671.3100000000004</v>
      </c>
      <c r="U2011" s="131">
        <v>4831.79</v>
      </c>
      <c r="V2011" s="117"/>
      <c r="W2011" s="26">
        <f>SUM(S2011:V2011)</f>
        <v>13386.41</v>
      </c>
      <c r="X2011" s="118">
        <f>IFERROR(S2011/R2011,"")</f>
        <v>54.880016958733741</v>
      </c>
      <c r="Y2011" s="119">
        <f>IFERROR(U2011/P2011,0)</f>
        <v>0.260757767286313</v>
      </c>
      <c r="Z2011" s="117">
        <f>P2011-W2011</f>
        <v>5143.3927755187688</v>
      </c>
      <c r="AA2011" s="119">
        <f>IFERROR(Z2011/P2011,0)</f>
        <v>0.27757407015222652</v>
      </c>
      <c r="AB2011" s="120">
        <f>M2011-W2011</f>
        <v>-7827.4691673443695</v>
      </c>
      <c r="AC2011" s="119">
        <f>IFERROR(AA2011-O2011,"")</f>
        <v>-0.42242592984777355</v>
      </c>
      <c r="AD2011" s="110"/>
      <c r="AE2011" s="110"/>
      <c r="AF2011" s="110"/>
      <c r="AG2011" s="121"/>
    </row>
    <row r="2012" spans="1:33" ht="11.25" customHeight="1" x14ac:dyDescent="0.15">
      <c r="A2012" s="110" t="s">
        <v>639</v>
      </c>
      <c r="B2012" s="110"/>
      <c r="C2012" s="111" t="s">
        <v>175</v>
      </c>
      <c r="D2012" s="111">
        <v>2025</v>
      </c>
      <c r="E2012" s="146">
        <v>45869</v>
      </c>
      <c r="F2012" s="111"/>
      <c r="G2012" s="111">
        <v>80100401</v>
      </c>
      <c r="H2012" s="111">
        <v>4101</v>
      </c>
      <c r="I2012" s="111" t="str">
        <f>MID(G2012,2,1)</f>
        <v>0</v>
      </c>
      <c r="J2012" s="111" t="s">
        <v>429</v>
      </c>
      <c r="K2012" s="147" t="s">
        <v>503</v>
      </c>
      <c r="L2012" s="120">
        <v>12363.19722448123</v>
      </c>
      <c r="M2012" s="120">
        <f>L2012*0.3</f>
        <v>3708.9591673443688</v>
      </c>
      <c r="N2012" s="120">
        <f>L2012-M2012</f>
        <v>8654.2380571368612</v>
      </c>
      <c r="O2012" s="119">
        <f>IFERROR(N2012/L2012,"")</f>
        <v>0.70000000000000007</v>
      </c>
      <c r="P2012" s="120">
        <v>12363.19722448123</v>
      </c>
      <c r="Q2012" s="111">
        <v>5582</v>
      </c>
      <c r="R2012" s="117">
        <v>40.5</v>
      </c>
      <c r="S2012" s="117">
        <v>2222.64</v>
      </c>
      <c r="T2012" s="117">
        <v>4671.3100000000004</v>
      </c>
      <c r="U2012" s="131"/>
      <c r="V2012" s="117"/>
      <c r="W2012" s="26">
        <f>SUM(S2012:V2012)</f>
        <v>6893.9500000000007</v>
      </c>
      <c r="X2012" s="118">
        <f>IFERROR(S2012/R2012,"")</f>
        <v>54.879999999999995</v>
      </c>
      <c r="Y2012" s="119">
        <f>IFERROR(U2012/P2012,0)</f>
        <v>0</v>
      </c>
      <c r="Z2012" s="117">
        <f>P2012-W2012</f>
        <v>5469.2472244812288</v>
      </c>
      <c r="AA2012" s="119">
        <f>IFERROR(Z2012/P2012,0)</f>
        <v>0.4423812971009789</v>
      </c>
      <c r="AB2012" s="120">
        <f>M2012-W2012</f>
        <v>-3184.9908326556319</v>
      </c>
      <c r="AC2012" s="119">
        <f>IFERROR(AA2012-O2012,"")</f>
        <v>-0.25761870289902117</v>
      </c>
      <c r="AD2012" s="110"/>
      <c r="AE2012" s="110"/>
      <c r="AF2012" s="110"/>
      <c r="AG2012" s="121"/>
    </row>
    <row r="2013" spans="1:33" s="53" customFormat="1" ht="11.25" customHeight="1" x14ac:dyDescent="0.15">
      <c r="A2013" s="53" t="s">
        <v>639</v>
      </c>
      <c r="C2013" s="54" t="s">
        <v>177</v>
      </c>
      <c r="D2013" s="54"/>
      <c r="E2013" s="70"/>
      <c r="F2013" s="54"/>
      <c r="G2013" s="54"/>
      <c r="H2013" s="54"/>
      <c r="I2013" s="54"/>
      <c r="J2013" s="54"/>
      <c r="K2013" s="106"/>
      <c r="L2013" s="24">
        <f>SUM(L2011:L2012)</f>
        <v>30893</v>
      </c>
      <c r="M2013" s="24">
        <f t="shared" ref="M2013:N2013" si="2186">SUM(M2011:M2012)</f>
        <v>9267.9</v>
      </c>
      <c r="N2013" s="24">
        <f t="shared" si="2186"/>
        <v>21625.1</v>
      </c>
      <c r="O2013" s="57">
        <f>IFERROR(N2013/L2013,"")</f>
        <v>0.7</v>
      </c>
      <c r="P2013" s="24">
        <f>SUM(P2011:P2012)</f>
        <v>30893</v>
      </c>
      <c r="Q2013" s="24"/>
      <c r="R2013" s="24">
        <f>SUM(R2011:R2012)</f>
        <v>111.26</v>
      </c>
      <c r="S2013" s="24">
        <f t="shared" ref="S2013:V2013" si="2187">SUM(S2011:S2012)</f>
        <v>6105.95</v>
      </c>
      <c r="T2013" s="24">
        <f t="shared" si="2187"/>
        <v>9342.6200000000008</v>
      </c>
      <c r="U2013" s="24">
        <f t="shared" si="2187"/>
        <v>4831.79</v>
      </c>
      <c r="V2013" s="24">
        <f t="shared" si="2187"/>
        <v>0</v>
      </c>
      <c r="W2013" s="24">
        <f t="shared" ref="W2013" si="2188">SUM(W2011:W2012)</f>
        <v>20280.36</v>
      </c>
      <c r="X2013" s="56">
        <f>IFERROR(S2013/R2013,"")</f>
        <v>54.880010785547363</v>
      </c>
      <c r="Y2013" s="119">
        <f>IFERROR(U2013/P2013,0)</f>
        <v>0.15640403975010519</v>
      </c>
      <c r="Z2013" s="28">
        <f>P2013-W2013</f>
        <v>10612.64</v>
      </c>
      <c r="AA2013" s="119">
        <f>IFERROR(Z2013/P2013,0)</f>
        <v>0.34352895477939982</v>
      </c>
      <c r="AB2013" s="58">
        <f>M2013-W2013</f>
        <v>-11012.460000000001</v>
      </c>
      <c r="AC2013" s="57">
        <f>IFERROR(AA2013-O2013,"")</f>
        <v>-0.35647104522060014</v>
      </c>
      <c r="AG2013" s="61"/>
    </row>
    <row r="2014" spans="1:33" s="110" customFormat="1" ht="11.25" customHeight="1" x14ac:dyDescent="0.15">
      <c r="A2014" s="130"/>
      <c r="B2014" s="130"/>
      <c r="C2014" s="124"/>
      <c r="D2014" s="124"/>
      <c r="E2014" s="273"/>
      <c r="F2014" s="124"/>
      <c r="G2014" s="124"/>
      <c r="H2014" s="124"/>
      <c r="I2014" s="124"/>
      <c r="J2014" s="124"/>
      <c r="K2014" s="125"/>
      <c r="L2014" s="129"/>
      <c r="M2014" s="129"/>
      <c r="N2014" s="129"/>
      <c r="O2014" s="128"/>
      <c r="P2014" s="129"/>
      <c r="Q2014" s="124"/>
      <c r="R2014" s="129"/>
      <c r="S2014" s="129"/>
      <c r="T2014" s="129"/>
      <c r="U2014" s="129"/>
      <c r="V2014" s="126"/>
      <c r="W2014" s="49"/>
      <c r="X2014" s="45"/>
      <c r="Y2014" s="128"/>
      <c r="Z2014" s="126"/>
      <c r="AA2014" s="128"/>
      <c r="AB2014" s="129"/>
      <c r="AC2014" s="160"/>
      <c r="AD2014" s="137"/>
      <c r="AG2014" s="121"/>
    </row>
    <row r="2015" spans="1:33" ht="11.25" customHeight="1" x14ac:dyDescent="0.15">
      <c r="A2015" s="110" t="s">
        <v>758</v>
      </c>
      <c r="B2015" s="110"/>
      <c r="C2015" s="111" t="s">
        <v>164</v>
      </c>
      <c r="D2015" s="111">
        <v>2025</v>
      </c>
      <c r="E2015" s="146">
        <v>45869</v>
      </c>
      <c r="F2015" s="111"/>
      <c r="G2015" s="111" t="s">
        <v>318</v>
      </c>
      <c r="H2015" s="111"/>
      <c r="I2015" s="111"/>
      <c r="J2015" s="111"/>
      <c r="K2015" s="112" t="s">
        <v>949</v>
      </c>
      <c r="L2015" s="120">
        <v>522.37952122099102</v>
      </c>
      <c r="M2015" s="120">
        <v>228.29999999999998</v>
      </c>
      <c r="N2015" s="120">
        <f>L2015-M2015</f>
        <v>294.07952122099107</v>
      </c>
      <c r="O2015" s="119">
        <f t="shared" ref="O2015:O2025" si="2189">IFERROR(N2015/L2015,"")</f>
        <v>0.56296142799323412</v>
      </c>
      <c r="P2015" s="120">
        <v>522.37952122099102</v>
      </c>
      <c r="Q2015" s="111"/>
      <c r="R2015" s="117"/>
      <c r="S2015" s="117"/>
      <c r="T2015" s="117"/>
      <c r="U2015" s="117">
        <v>225.68</v>
      </c>
      <c r="V2015" s="117"/>
      <c r="W2015" s="52">
        <f t="shared" ref="W2015:W2019" si="2190">SUM(S2015:V2015)</f>
        <v>225.68</v>
      </c>
      <c r="X2015" s="118" t="str">
        <f t="shared" ref="X2015:X2019" si="2191">IFERROR(S2015/R2015,"")</f>
        <v/>
      </c>
      <c r="Y2015" s="119">
        <f t="shared" ref="Y2015:Y2017" si="2192">IFERROR(U2015/P2015,0)</f>
        <v>0.43202306145635977</v>
      </c>
      <c r="Z2015" s="117">
        <f t="shared" ref="Z2015:Z2019" si="2193">P2015-W2015</f>
        <v>296.69952122099102</v>
      </c>
      <c r="AA2015" s="119">
        <f t="shared" ref="AA2015:AA2019" si="2194">IFERROR(Z2015/P2015,0)</f>
        <v>0.56797693854364018</v>
      </c>
      <c r="AB2015" s="120">
        <f t="shared" ref="AB2015:AB2019" si="2195">M2015-W2015</f>
        <v>2.6199999999999761</v>
      </c>
      <c r="AC2015" s="119">
        <f t="shared" ref="AC2015:AC2019" si="2196">IFERROR(AA2015-O2015,"")</f>
        <v>5.0155105504060549E-3</v>
      </c>
      <c r="AD2015" s="110"/>
      <c r="AE2015" s="110"/>
      <c r="AF2015" s="110"/>
      <c r="AG2015" s="121"/>
    </row>
    <row r="2016" spans="1:33" ht="11.25" customHeight="1" x14ac:dyDescent="0.15">
      <c r="A2016" s="110" t="s">
        <v>758</v>
      </c>
      <c r="B2016" s="110"/>
      <c r="C2016" s="111" t="s">
        <v>164</v>
      </c>
      <c r="D2016" s="111">
        <v>2025</v>
      </c>
      <c r="E2016" s="146">
        <v>45869</v>
      </c>
      <c r="F2016" s="111"/>
      <c r="G2016" s="111" t="s">
        <v>320</v>
      </c>
      <c r="H2016" s="111"/>
      <c r="I2016" s="111"/>
      <c r="J2016" s="111"/>
      <c r="K2016" s="112" t="s">
        <v>950</v>
      </c>
      <c r="L2016" s="120">
        <v>143.99435500731758</v>
      </c>
      <c r="M2016" s="120">
        <v>63</v>
      </c>
      <c r="N2016" s="120">
        <f t="shared" ref="N2016:N2025" si="2197">L2016-M2016</f>
        <v>80.99435500731758</v>
      </c>
      <c r="O2016" s="119">
        <f t="shared" si="2189"/>
        <v>0.56248284874224108</v>
      </c>
      <c r="P2016" s="120">
        <v>143.99435500731758</v>
      </c>
      <c r="Q2016" s="111"/>
      <c r="R2016" s="117"/>
      <c r="S2016" s="117"/>
      <c r="T2016" s="117"/>
      <c r="U2016" s="117">
        <v>64.569999999999993</v>
      </c>
      <c r="V2016" s="117"/>
      <c r="W2016" s="52">
        <f t="shared" si="2190"/>
        <v>64.569999999999993</v>
      </c>
      <c r="X2016" s="118" t="str">
        <f t="shared" si="2191"/>
        <v/>
      </c>
      <c r="Y2016" s="119">
        <f t="shared" si="2192"/>
        <v>0.44842035645576966</v>
      </c>
      <c r="Z2016" s="117">
        <f t="shared" si="2193"/>
        <v>79.424355007317587</v>
      </c>
      <c r="AA2016" s="119">
        <f t="shared" si="2194"/>
        <v>0.55157964354423028</v>
      </c>
      <c r="AB2016" s="120">
        <f t="shared" si="2195"/>
        <v>-1.5699999999999932</v>
      </c>
      <c r="AC2016" s="119">
        <f t="shared" si="2196"/>
        <v>-1.0903205198010801E-2</v>
      </c>
      <c r="AD2016" s="110"/>
      <c r="AE2016" s="110"/>
      <c r="AF2016" s="110"/>
      <c r="AG2016" s="121"/>
    </row>
    <row r="2017" spans="1:33" ht="11.25" customHeight="1" x14ac:dyDescent="0.15">
      <c r="A2017" s="110" t="s">
        <v>758</v>
      </c>
      <c r="B2017" s="110"/>
      <c r="C2017" s="111" t="s">
        <v>164</v>
      </c>
      <c r="D2017" s="111">
        <v>2025</v>
      </c>
      <c r="E2017" s="146">
        <v>45869</v>
      </c>
      <c r="F2017" s="111"/>
      <c r="G2017" s="111" t="s">
        <v>951</v>
      </c>
      <c r="H2017" s="111"/>
      <c r="I2017" s="111"/>
      <c r="J2017" s="111"/>
      <c r="K2017" s="112" t="s">
        <v>952</v>
      </c>
      <c r="L2017" s="120">
        <v>118.39535856157224</v>
      </c>
      <c r="M2017" s="120">
        <v>51.64</v>
      </c>
      <c r="N2017" s="120">
        <f t="shared" si="2197"/>
        <v>66.755358561572237</v>
      </c>
      <c r="O2017" s="119">
        <f t="shared" si="2189"/>
        <v>0.56383425307045043</v>
      </c>
      <c r="P2017" s="120">
        <v>118.39535856157224</v>
      </c>
      <c r="Q2017" s="111"/>
      <c r="R2017" s="117"/>
      <c r="S2017" s="117"/>
      <c r="T2017" s="117"/>
      <c r="U2017" s="117">
        <v>52.74</v>
      </c>
      <c r="V2017" s="117"/>
      <c r="W2017" s="52">
        <f t="shared" si="2190"/>
        <v>52.74</v>
      </c>
      <c r="X2017" s="118" t="str">
        <f t="shared" si="2191"/>
        <v/>
      </c>
      <c r="Y2017" s="119">
        <f t="shared" si="2192"/>
        <v>0.44545665168598853</v>
      </c>
      <c r="Z2017" s="117">
        <f t="shared" si="2193"/>
        <v>65.655358561572228</v>
      </c>
      <c r="AA2017" s="119">
        <f t="shared" si="2194"/>
        <v>0.55454334831401142</v>
      </c>
      <c r="AB2017" s="120">
        <f t="shared" si="2195"/>
        <v>-1.1000000000000014</v>
      </c>
      <c r="AC2017" s="119">
        <f t="shared" si="2196"/>
        <v>-9.2909047564390113E-3</v>
      </c>
      <c r="AD2017" s="110"/>
      <c r="AE2017" s="110"/>
      <c r="AF2017" s="110"/>
      <c r="AG2017" s="121"/>
    </row>
    <row r="2018" spans="1:33" ht="11.25" customHeight="1" x14ac:dyDescent="0.15">
      <c r="A2018" s="110" t="s">
        <v>758</v>
      </c>
      <c r="B2018" s="110"/>
      <c r="C2018" s="111" t="s">
        <v>164</v>
      </c>
      <c r="D2018" s="111">
        <v>2025</v>
      </c>
      <c r="E2018" s="146">
        <v>45869</v>
      </c>
      <c r="F2018" s="111"/>
      <c r="G2018" s="111" t="s">
        <v>953</v>
      </c>
      <c r="H2018" s="111"/>
      <c r="I2018" s="111"/>
      <c r="J2018" s="111"/>
      <c r="K2018" s="112" t="s">
        <v>954</v>
      </c>
      <c r="L2018" s="120">
        <v>155.19391595233117</v>
      </c>
      <c r="M2018" s="120">
        <v>67.680000000000007</v>
      </c>
      <c r="N2018" s="120">
        <f t="shared" si="2197"/>
        <v>87.51391595233116</v>
      </c>
      <c r="O2018" s="119">
        <f t="shared" si="2189"/>
        <v>0.56390043008652246</v>
      </c>
      <c r="P2018" s="120">
        <v>155.19391595233117</v>
      </c>
      <c r="Q2018" s="111"/>
      <c r="R2018" s="117"/>
      <c r="S2018" s="117"/>
      <c r="T2018" s="117"/>
      <c r="U2018" s="117">
        <v>69.25</v>
      </c>
      <c r="V2018" s="117"/>
      <c r="W2018" s="52">
        <f t="shared" si="2190"/>
        <v>69.25</v>
      </c>
      <c r="X2018" s="118" t="str">
        <f t="shared" si="2191"/>
        <v/>
      </c>
      <c r="Y2018" s="119">
        <f>IFERROR(U2019/P2018,0)</f>
        <v>0.55833374309992356</v>
      </c>
      <c r="Z2018" s="117">
        <f t="shared" si="2193"/>
        <v>85.943915952331167</v>
      </c>
      <c r="AA2018" s="119">
        <f t="shared" si="2194"/>
        <v>0.55378405412960519</v>
      </c>
      <c r="AB2018" s="120">
        <f t="shared" si="2195"/>
        <v>-1.5699999999999932</v>
      </c>
      <c r="AC2018" s="119">
        <f t="shared" si="2196"/>
        <v>-1.0116375956917278E-2</v>
      </c>
      <c r="AD2018" s="110"/>
      <c r="AE2018" s="110"/>
      <c r="AF2018" s="110"/>
      <c r="AG2018" s="121"/>
    </row>
    <row r="2019" spans="1:33" ht="11.25" customHeight="1" x14ac:dyDescent="0.15">
      <c r="A2019" s="110" t="s">
        <v>758</v>
      </c>
      <c r="B2019" s="110"/>
      <c r="C2019" s="111" t="s">
        <v>164</v>
      </c>
      <c r="D2019" s="111">
        <v>2025</v>
      </c>
      <c r="E2019" s="146">
        <v>45869</v>
      </c>
      <c r="F2019" s="111"/>
      <c r="G2019" s="111" t="s">
        <v>955</v>
      </c>
      <c r="H2019" s="111"/>
      <c r="I2019" s="111"/>
      <c r="J2019" s="111"/>
      <c r="K2019" s="112" t="s">
        <v>956</v>
      </c>
      <c r="L2019" s="120">
        <v>191.9924733430901</v>
      </c>
      <c r="M2019" s="120">
        <v>83.88</v>
      </c>
      <c r="N2019" s="120">
        <f t="shared" si="2197"/>
        <v>108.1124733430901</v>
      </c>
      <c r="O2019" s="119">
        <f t="shared" si="2189"/>
        <v>0.56310787324403788</v>
      </c>
      <c r="P2019" s="120">
        <v>191.9924733430901</v>
      </c>
      <c r="Q2019" s="111"/>
      <c r="R2019" s="117"/>
      <c r="S2019" s="117"/>
      <c r="T2019" s="117"/>
      <c r="U2019" s="117">
        <v>86.65</v>
      </c>
      <c r="V2019" s="117"/>
      <c r="W2019" s="52">
        <f t="shared" si="2190"/>
        <v>86.65</v>
      </c>
      <c r="X2019" s="118" t="str">
        <f t="shared" si="2191"/>
        <v/>
      </c>
      <c r="Y2019" s="119">
        <f>IFERROR(U2020/P2019,0)</f>
        <v>0.56866812588478721</v>
      </c>
      <c r="Z2019" s="117">
        <f t="shared" si="2193"/>
        <v>105.34247334309009</v>
      </c>
      <c r="AA2019" s="119">
        <f t="shared" si="2194"/>
        <v>0.54868022432756169</v>
      </c>
      <c r="AB2019" s="120">
        <f t="shared" si="2195"/>
        <v>-2.7700000000000102</v>
      </c>
      <c r="AC2019" s="119">
        <f t="shared" si="2196"/>
        <v>-1.4427648916476188E-2</v>
      </c>
      <c r="AD2019" s="110"/>
      <c r="AE2019" s="110"/>
      <c r="AF2019" s="110"/>
      <c r="AG2019" s="121"/>
    </row>
    <row r="2020" spans="1:33" ht="11.25" customHeight="1" x14ac:dyDescent="0.15">
      <c r="A2020" s="110" t="s">
        <v>758</v>
      </c>
      <c r="B2020" s="110"/>
      <c r="C2020" s="111" t="s">
        <v>164</v>
      </c>
      <c r="D2020" s="111">
        <v>2025</v>
      </c>
      <c r="E2020" s="146">
        <v>45869</v>
      </c>
      <c r="F2020" s="111"/>
      <c r="G2020" s="111" t="s">
        <v>957</v>
      </c>
      <c r="H2020" s="111"/>
      <c r="I2020" s="111"/>
      <c r="J2020" s="111"/>
      <c r="K2020" s="112" t="s">
        <v>958</v>
      </c>
      <c r="L2020" s="120">
        <v>229.59099937277858</v>
      </c>
      <c r="M2020" s="120">
        <v>100.28</v>
      </c>
      <c r="N2020" s="120">
        <f t="shared" si="2197"/>
        <v>129.31099937277858</v>
      </c>
      <c r="O2020" s="119">
        <f t="shared" si="2189"/>
        <v>0.56322329588722686</v>
      </c>
      <c r="P2020" s="120">
        <v>229.59099937277858</v>
      </c>
      <c r="Q2020" s="111"/>
      <c r="R2020" s="117"/>
      <c r="S2020" s="117"/>
      <c r="T2020" s="117"/>
      <c r="U2020" s="117">
        <v>109.18</v>
      </c>
      <c r="V2020" s="117"/>
      <c r="W2020" s="52">
        <f t="shared" ref="W2020:W2025" si="2198">SUM(S2020:V2020)</f>
        <v>109.18</v>
      </c>
      <c r="X2020" s="118" t="str">
        <f t="shared" ref="X2020:X2026" si="2199">IFERROR(S2020/R2020,"")</f>
        <v/>
      </c>
      <c r="Y2020" s="119">
        <f>IFERROR(U2021/P2020,0)</f>
        <v>7.5214620987652916</v>
      </c>
      <c r="Z2020" s="117">
        <f t="shared" ref="Z2020:Z2026" si="2200">P2020-W2020</f>
        <v>120.41099937277858</v>
      </c>
      <c r="AA2020" s="119">
        <f t="shared" ref="AA2020:AA2025" si="2201">IFERROR(Z2020/P2020,0)</f>
        <v>0.52445871006150202</v>
      </c>
      <c r="AB2020" s="120">
        <f t="shared" ref="AB2020:AB2025" si="2202">M2020-W2020</f>
        <v>-8.9000000000000057</v>
      </c>
      <c r="AC2020" s="119">
        <f t="shared" ref="AC2020:AC2025" si="2203">IFERROR(AA2020-O2020,"")</f>
        <v>-3.876458582572484E-2</v>
      </c>
      <c r="AD2020" s="110"/>
      <c r="AE2020" s="110"/>
      <c r="AF2020" s="110"/>
      <c r="AG2020" s="121"/>
    </row>
    <row r="2021" spans="1:33" ht="11.25" customHeight="1" x14ac:dyDescent="0.15">
      <c r="A2021" s="110" t="s">
        <v>758</v>
      </c>
      <c r="B2021" s="110"/>
      <c r="C2021" s="111" t="s">
        <v>164</v>
      </c>
      <c r="D2021" s="111">
        <v>2025</v>
      </c>
      <c r="E2021" s="146">
        <v>45869</v>
      </c>
      <c r="F2021" s="111"/>
      <c r="G2021" s="111" t="s">
        <v>378</v>
      </c>
      <c r="H2021" s="111"/>
      <c r="I2021" s="111"/>
      <c r="J2021" s="111"/>
      <c r="K2021" s="112" t="s">
        <v>959</v>
      </c>
      <c r="L2021" s="120">
        <v>3427.8656178130882</v>
      </c>
      <c r="M2021" s="120">
        <v>1499.6399999999999</v>
      </c>
      <c r="N2021" s="120">
        <f t="shared" si="2197"/>
        <v>1928.2256178130883</v>
      </c>
      <c r="O2021" s="119">
        <f t="shared" si="2189"/>
        <v>0.56251493868165658</v>
      </c>
      <c r="P2021" s="120">
        <v>3427.8656178130882</v>
      </c>
      <c r="Q2021" s="111"/>
      <c r="R2021" s="117"/>
      <c r="S2021" s="117"/>
      <c r="T2021" s="117"/>
      <c r="U2021" s="117">
        <v>1726.86</v>
      </c>
      <c r="V2021" s="117"/>
      <c r="W2021" s="52">
        <f t="shared" si="2198"/>
        <v>1726.86</v>
      </c>
      <c r="X2021" s="118" t="str">
        <f t="shared" si="2199"/>
        <v/>
      </c>
      <c r="Y2021" s="119">
        <f>IFERROR(U2022/P2021,0)</f>
        <v>0.44282366033019005</v>
      </c>
      <c r="Z2021" s="117">
        <f t="shared" si="2200"/>
        <v>1701.0056178130883</v>
      </c>
      <c r="AA2021" s="119">
        <f t="shared" si="2201"/>
        <v>0.49622879291817074</v>
      </c>
      <c r="AB2021" s="120">
        <f t="shared" si="2202"/>
        <v>-227.22000000000003</v>
      </c>
      <c r="AC2021" s="119">
        <f t="shared" si="2203"/>
        <v>-6.6286145763485849E-2</v>
      </c>
      <c r="AD2021" s="110"/>
      <c r="AE2021" s="110"/>
      <c r="AF2021" s="110"/>
      <c r="AG2021" s="121"/>
    </row>
    <row r="2022" spans="1:33" ht="11.25" customHeight="1" x14ac:dyDescent="0.15">
      <c r="A2022" s="110" t="s">
        <v>758</v>
      </c>
      <c r="B2022" s="110"/>
      <c r="C2022" s="111" t="s">
        <v>164</v>
      </c>
      <c r="D2022" s="111">
        <v>2025</v>
      </c>
      <c r="E2022" s="146">
        <v>45869</v>
      </c>
      <c r="F2022" s="111"/>
      <c r="G2022" s="111" t="s">
        <v>960</v>
      </c>
      <c r="H2022" s="111"/>
      <c r="I2022" s="111"/>
      <c r="J2022" s="111"/>
      <c r="K2022" s="112" t="s">
        <v>961</v>
      </c>
      <c r="L2022" s="120">
        <v>3469.463987037424</v>
      </c>
      <c r="M2022" s="120">
        <v>1517.94</v>
      </c>
      <c r="N2022" s="120">
        <f t="shared" si="2197"/>
        <v>1951.5239870374239</v>
      </c>
      <c r="O2022" s="119">
        <f t="shared" si="2189"/>
        <v>0.5624857310318504</v>
      </c>
      <c r="P2022" s="120">
        <v>3469.463987037424</v>
      </c>
      <c r="Q2022" s="111"/>
      <c r="R2022" s="117"/>
      <c r="S2022" s="117"/>
      <c r="T2022" s="117"/>
      <c r="U2022" s="117">
        <v>1517.94</v>
      </c>
      <c r="V2022" s="117"/>
      <c r="W2022" s="52">
        <f t="shared" si="2198"/>
        <v>1517.94</v>
      </c>
      <c r="X2022" s="118" t="str">
        <f t="shared" si="2199"/>
        <v/>
      </c>
      <c r="Y2022" s="119">
        <f>IFERROR(U2023/P2022,0)</f>
        <v>0.88850900643942854</v>
      </c>
      <c r="Z2022" s="117">
        <f t="shared" si="2200"/>
        <v>1951.5239870374239</v>
      </c>
      <c r="AA2022" s="119">
        <f t="shared" si="2201"/>
        <v>0.5624857310318504</v>
      </c>
      <c r="AB2022" s="120">
        <f>M2022-W2022</f>
        <v>0</v>
      </c>
      <c r="AC2022" s="119">
        <f t="shared" si="2203"/>
        <v>0</v>
      </c>
      <c r="AD2022" s="110"/>
      <c r="AE2022" s="110"/>
      <c r="AF2022" s="110"/>
      <c r="AG2022" s="121"/>
    </row>
    <row r="2023" spans="1:33" ht="11.25" customHeight="1" x14ac:dyDescent="0.15">
      <c r="A2023" s="110" t="s">
        <v>758</v>
      </c>
      <c r="B2023" s="110"/>
      <c r="C2023" s="111" t="s">
        <v>164</v>
      </c>
      <c r="D2023" s="111">
        <v>2025</v>
      </c>
      <c r="E2023" s="146">
        <v>45869</v>
      </c>
      <c r="F2023" s="111"/>
      <c r="G2023" s="111" t="s">
        <v>473</v>
      </c>
      <c r="H2023" s="111"/>
      <c r="I2023" s="111"/>
      <c r="J2023" s="111"/>
      <c r="K2023" s="112" t="s">
        <v>962</v>
      </c>
      <c r="L2023" s="120">
        <v>7046.1237716914075</v>
      </c>
      <c r="M2023" s="120">
        <v>3082.65</v>
      </c>
      <c r="N2023" s="120">
        <f t="shared" si="2197"/>
        <v>3963.4737716914074</v>
      </c>
      <c r="O2023" s="119">
        <f t="shared" si="2189"/>
        <v>0.56250413704271107</v>
      </c>
      <c r="P2023" s="120">
        <v>7046.1237716914075</v>
      </c>
      <c r="Q2023" s="111"/>
      <c r="R2023" s="117"/>
      <c r="S2023" s="117"/>
      <c r="T2023" s="117"/>
      <c r="U2023" s="117">
        <v>3082.65</v>
      </c>
      <c r="V2023" s="117"/>
      <c r="W2023" s="52">
        <f t="shared" si="2198"/>
        <v>3082.65</v>
      </c>
      <c r="X2023" s="118" t="str">
        <f t="shared" si="2199"/>
        <v/>
      </c>
      <c r="Y2023" s="119">
        <f>IFERROR(#REF!/P2023,0)</f>
        <v>0</v>
      </c>
      <c r="Z2023" s="117">
        <f t="shared" si="2200"/>
        <v>3963.4737716914074</v>
      </c>
      <c r="AA2023" s="119">
        <f t="shared" si="2201"/>
        <v>0.56250413704271107</v>
      </c>
      <c r="AB2023" s="120">
        <f t="shared" si="2202"/>
        <v>0</v>
      </c>
      <c r="AC2023" s="119">
        <f t="shared" si="2203"/>
        <v>0</v>
      </c>
      <c r="AD2023" s="110"/>
      <c r="AE2023" s="110"/>
      <c r="AF2023" s="110"/>
      <c r="AG2023" s="121"/>
    </row>
    <row r="2024" spans="1:33" ht="11.25" customHeight="1" x14ac:dyDescent="0.15">
      <c r="A2024" s="110" t="s">
        <v>758</v>
      </c>
      <c r="B2024" s="110"/>
      <c r="C2024" s="111" t="s">
        <v>201</v>
      </c>
      <c r="D2024" s="111">
        <v>2025</v>
      </c>
      <c r="E2024" s="146">
        <v>45869</v>
      </c>
      <c r="F2024" s="111"/>
      <c r="G2024" s="111">
        <v>51012104</v>
      </c>
      <c r="H2024" s="111"/>
      <c r="I2024" s="111"/>
      <c r="J2024" s="111"/>
      <c r="K2024" s="112" t="s">
        <v>963</v>
      </c>
      <c r="L2024" s="120">
        <v>30096</v>
      </c>
      <c r="M2024" s="120">
        <v>12104.95</v>
      </c>
      <c r="N2024" s="120">
        <f t="shared" si="2197"/>
        <v>17991.05</v>
      </c>
      <c r="O2024" s="119">
        <f t="shared" si="2189"/>
        <v>0.59778874269005844</v>
      </c>
      <c r="P2024" s="120">
        <v>30096</v>
      </c>
      <c r="Q2024" s="111">
        <v>5608</v>
      </c>
      <c r="R2024" s="117">
        <v>82</v>
      </c>
      <c r="S2024" s="117">
        <v>4584.63</v>
      </c>
      <c r="T2024" s="131">
        <v>5843.59</v>
      </c>
      <c r="U2024" s="117"/>
      <c r="V2024" s="117"/>
      <c r="W2024" s="52">
        <f t="shared" si="2198"/>
        <v>10428.220000000001</v>
      </c>
      <c r="X2024" s="118">
        <f t="shared" si="2199"/>
        <v>55.910121951219516</v>
      </c>
      <c r="Y2024" s="119">
        <f t="shared" ref="Y2024:Y2025" si="2204">IFERROR(U2024/P2024,0)</f>
        <v>0</v>
      </c>
      <c r="Z2024" s="117">
        <f t="shared" si="2200"/>
        <v>19667.78</v>
      </c>
      <c r="AA2024" s="119">
        <f t="shared" si="2201"/>
        <v>0.65350146198830406</v>
      </c>
      <c r="AB2024" s="120">
        <f t="shared" si="2202"/>
        <v>1676.7299999999996</v>
      </c>
      <c r="AC2024" s="119">
        <f t="shared" si="2203"/>
        <v>5.5712719298245617E-2</v>
      </c>
      <c r="AD2024" s="110"/>
      <c r="AE2024" s="110"/>
      <c r="AF2024" s="110"/>
      <c r="AG2024" s="121"/>
    </row>
    <row r="2025" spans="1:33" ht="11.25" customHeight="1" x14ac:dyDescent="0.15">
      <c r="A2025" s="110" t="s">
        <v>758</v>
      </c>
      <c r="B2025" s="110"/>
      <c r="C2025" s="111" t="s">
        <v>55</v>
      </c>
      <c r="D2025" s="111">
        <v>2025</v>
      </c>
      <c r="E2025" s="146">
        <v>45869</v>
      </c>
      <c r="F2025" s="111"/>
      <c r="G2025" s="111" t="s">
        <v>56</v>
      </c>
      <c r="H2025" s="111"/>
      <c r="I2025" s="111"/>
      <c r="J2025" s="111"/>
      <c r="K2025" s="112" t="s">
        <v>71</v>
      </c>
      <c r="L2025" s="120">
        <v>1000</v>
      </c>
      <c r="M2025" s="120">
        <v>500</v>
      </c>
      <c r="N2025" s="120">
        <f t="shared" si="2197"/>
        <v>500</v>
      </c>
      <c r="O2025" s="119">
        <f t="shared" si="2189"/>
        <v>0.5</v>
      </c>
      <c r="P2025" s="120">
        <v>1000</v>
      </c>
      <c r="Q2025" s="111">
        <v>5609</v>
      </c>
      <c r="R2025" s="117"/>
      <c r="S2025" s="117"/>
      <c r="T2025" s="117"/>
      <c r="U2025" s="117"/>
      <c r="V2025" s="131">
        <v>405.53</v>
      </c>
      <c r="W2025" s="52">
        <f t="shared" si="2198"/>
        <v>405.53</v>
      </c>
      <c r="X2025" s="118" t="str">
        <f t="shared" si="2199"/>
        <v/>
      </c>
      <c r="Y2025" s="119">
        <f t="shared" si="2204"/>
        <v>0</v>
      </c>
      <c r="Z2025" s="117">
        <f t="shared" si="2200"/>
        <v>594.47</v>
      </c>
      <c r="AA2025" s="119">
        <f t="shared" si="2201"/>
        <v>0.59447000000000005</v>
      </c>
      <c r="AB2025" s="120">
        <f t="shared" si="2202"/>
        <v>94.470000000000027</v>
      </c>
      <c r="AC2025" s="119">
        <f t="shared" si="2203"/>
        <v>9.4470000000000054E-2</v>
      </c>
      <c r="AD2025" s="110"/>
      <c r="AE2025" s="110"/>
      <c r="AF2025" s="110"/>
      <c r="AG2025" s="121"/>
    </row>
    <row r="2026" spans="1:33" s="53" customFormat="1" ht="11.25" customHeight="1" x14ac:dyDescent="0.15">
      <c r="A2026" s="53" t="s">
        <v>758</v>
      </c>
      <c r="C2026" s="54" t="s">
        <v>177</v>
      </c>
      <c r="D2026" s="54"/>
      <c r="E2026" s="70"/>
      <c r="F2026" s="54"/>
      <c r="G2026" s="54"/>
      <c r="H2026" s="54"/>
      <c r="I2026" s="54"/>
      <c r="J2026" s="54"/>
      <c r="K2026" s="106"/>
      <c r="L2026" s="24">
        <f>SUM(L2015:L2025)</f>
        <v>46401</v>
      </c>
      <c r="M2026" s="24">
        <f t="shared" ref="M2026:N2026" si="2205">SUM(M2015:M2025)</f>
        <v>19299.96</v>
      </c>
      <c r="N2026" s="24">
        <f t="shared" si="2205"/>
        <v>27101.040000000001</v>
      </c>
      <c r="O2026" s="57">
        <f>IFERROR(N2026/L2026,"")</f>
        <v>0.58406155039762075</v>
      </c>
      <c r="P2026" s="24">
        <f>SUM(P2015:P2025)</f>
        <v>46401</v>
      </c>
      <c r="Q2026" s="24"/>
      <c r="R2026" s="24">
        <f>SUM(R2015:R2025)</f>
        <v>82</v>
      </c>
      <c r="S2026" s="24">
        <f t="shared" ref="S2026:V2026" si="2206">SUM(S2015:S2025)</f>
        <v>4584.63</v>
      </c>
      <c r="T2026" s="24">
        <f t="shared" si="2206"/>
        <v>5843.59</v>
      </c>
      <c r="U2026" s="24">
        <f t="shared" si="2206"/>
        <v>6935.52</v>
      </c>
      <c r="V2026" s="24">
        <f t="shared" si="2206"/>
        <v>405.53</v>
      </c>
      <c r="W2026" s="24">
        <f>SUM(S2026:V2026)</f>
        <v>17769.27</v>
      </c>
      <c r="X2026" s="56">
        <f t="shared" si="2199"/>
        <v>55.910121951219516</v>
      </c>
      <c r="Y2026" s="119">
        <f>IFERROR(U2026/P2026,0)</f>
        <v>0.14946919247430013</v>
      </c>
      <c r="Z2026" s="28">
        <f t="shared" si="2200"/>
        <v>28631.73</v>
      </c>
      <c r="AA2026" s="119">
        <f>IFERROR(Z2026/P2026,0)</f>
        <v>0.61704984806361929</v>
      </c>
      <c r="AB2026" s="58">
        <f>M2026-W2026</f>
        <v>1530.6899999999987</v>
      </c>
      <c r="AC2026" s="57">
        <f>IFERROR(AA2026-O2026,"")</f>
        <v>3.2988297665998534E-2</v>
      </c>
      <c r="AG2026" s="61"/>
    </row>
    <row r="2027" spans="1:33" s="110" customFormat="1" ht="11.25" customHeight="1" x14ac:dyDescent="0.15">
      <c r="A2027" s="130"/>
      <c r="B2027" s="130"/>
      <c r="C2027" s="124"/>
      <c r="D2027" s="124"/>
      <c r="E2027" s="273"/>
      <c r="F2027" s="124"/>
      <c r="G2027" s="124"/>
      <c r="H2027" s="124"/>
      <c r="I2027" s="124"/>
      <c r="J2027" s="124"/>
      <c r="K2027" s="125"/>
      <c r="L2027" s="129"/>
      <c r="M2027" s="129"/>
      <c r="N2027" s="129"/>
      <c r="O2027" s="128"/>
      <c r="P2027" s="129"/>
      <c r="Q2027" s="124"/>
      <c r="R2027" s="129"/>
      <c r="S2027" s="129"/>
      <c r="T2027" s="129"/>
      <c r="U2027" s="129"/>
      <c r="V2027" s="126"/>
      <c r="W2027" s="49"/>
      <c r="X2027" s="45"/>
      <c r="Y2027" s="128"/>
      <c r="Z2027" s="126"/>
      <c r="AA2027" s="128"/>
      <c r="AB2027" s="129"/>
      <c r="AC2027" s="160"/>
      <c r="AD2027" s="137"/>
      <c r="AG2027" s="121"/>
    </row>
    <row r="2028" spans="1:33" ht="11.25" customHeight="1" x14ac:dyDescent="0.15">
      <c r="A2028" s="110" t="s">
        <v>308</v>
      </c>
      <c r="B2028" s="110"/>
      <c r="C2028" s="111" t="s">
        <v>164</v>
      </c>
      <c r="D2028" s="111">
        <v>2025</v>
      </c>
      <c r="E2028" s="146">
        <v>45869</v>
      </c>
      <c r="F2028" s="111"/>
      <c r="G2028" s="111" t="s">
        <v>964</v>
      </c>
      <c r="H2028" s="111"/>
      <c r="I2028" s="111"/>
      <c r="J2028" s="111"/>
      <c r="K2028" s="112" t="s">
        <v>965</v>
      </c>
      <c r="L2028" s="120">
        <v>2754</v>
      </c>
      <c r="M2028" s="120">
        <v>1285.26</v>
      </c>
      <c r="N2028" s="120">
        <f t="shared" ref="N2028:N2031" si="2207">L2028-M2028</f>
        <v>1468.74</v>
      </c>
      <c r="O2028" s="119">
        <f t="shared" ref="O2028:O2031" si="2208">IFERROR(N2028/L2028,"")</f>
        <v>0.53331154684095861</v>
      </c>
      <c r="P2028" s="120">
        <v>2754</v>
      </c>
      <c r="Q2028" s="111"/>
      <c r="R2028" s="117"/>
      <c r="S2028" s="117"/>
      <c r="T2028" s="117"/>
      <c r="U2028" s="117">
        <v>1285.26</v>
      </c>
      <c r="V2028" s="117"/>
      <c r="W2028" s="52">
        <f t="shared" ref="W2028:W2031" si="2209">SUM(S2028:V2028)</f>
        <v>1285.26</v>
      </c>
      <c r="X2028" s="118" t="str">
        <f t="shared" ref="X2028:X2032" si="2210">IFERROR(S2028/R2028,"")</f>
        <v/>
      </c>
      <c r="Y2028" s="119">
        <f t="shared" ref="Y2028:Y2032" si="2211">IFERROR(U2028/P2028,0)</f>
        <v>0.46668845315904139</v>
      </c>
      <c r="Z2028" s="117">
        <f t="shared" ref="Z2028:Z2032" si="2212">P2028-W2028</f>
        <v>1468.74</v>
      </c>
      <c r="AA2028" s="119">
        <f t="shared" ref="AA2028:AA2031" si="2213">IFERROR(Z2028/P2028,0)</f>
        <v>0.53331154684095861</v>
      </c>
      <c r="AB2028" s="120">
        <f>M2028-W2028</f>
        <v>0</v>
      </c>
      <c r="AC2028" s="119">
        <f t="shared" ref="AC2028:AC2031" si="2214">IFERROR(AA2028-O2028,"")</f>
        <v>0</v>
      </c>
      <c r="AD2028" s="110"/>
      <c r="AE2028" s="110"/>
      <c r="AF2028" s="110"/>
      <c r="AG2028" s="121"/>
    </row>
    <row r="2029" spans="1:33" ht="11.25" customHeight="1" x14ac:dyDescent="0.15">
      <c r="A2029" s="110" t="s">
        <v>308</v>
      </c>
      <c r="B2029" s="110"/>
      <c r="C2029" s="111" t="s">
        <v>164</v>
      </c>
      <c r="D2029" s="111">
        <v>2025</v>
      </c>
      <c r="E2029" s="146">
        <v>45869</v>
      </c>
      <c r="F2029" s="111"/>
      <c r="G2029" s="111" t="s">
        <v>610</v>
      </c>
      <c r="H2029" s="111"/>
      <c r="I2029" s="111"/>
      <c r="J2029" s="111"/>
      <c r="K2029" s="112" t="s">
        <v>966</v>
      </c>
      <c r="L2029" s="120">
        <v>3647</v>
      </c>
      <c r="M2029" s="120">
        <f>3403.4/2</f>
        <v>1701.7</v>
      </c>
      <c r="N2029" s="120">
        <f t="shared" si="2207"/>
        <v>1945.3</v>
      </c>
      <c r="O2029" s="119">
        <f t="shared" si="2208"/>
        <v>0.53339731285988479</v>
      </c>
      <c r="P2029" s="120">
        <v>3647</v>
      </c>
      <c r="Q2029" s="111"/>
      <c r="R2029" s="117"/>
      <c r="S2029" s="117"/>
      <c r="T2029" s="117"/>
      <c r="U2029" s="117">
        <v>1701.7</v>
      </c>
      <c r="V2029" s="117"/>
      <c r="W2029" s="52">
        <f t="shared" si="2209"/>
        <v>1701.7</v>
      </c>
      <c r="X2029" s="118" t="str">
        <f t="shared" si="2210"/>
        <v/>
      </c>
      <c r="Y2029" s="119">
        <f t="shared" si="2211"/>
        <v>0.46660268714011516</v>
      </c>
      <c r="Z2029" s="117">
        <f t="shared" si="2212"/>
        <v>1945.3</v>
      </c>
      <c r="AA2029" s="119">
        <f t="shared" si="2213"/>
        <v>0.53339731285988479</v>
      </c>
      <c r="AB2029" s="120">
        <f t="shared" ref="AB2029:AB2031" si="2215">M2029-W2029</f>
        <v>0</v>
      </c>
      <c r="AC2029" s="119">
        <f t="shared" si="2214"/>
        <v>0</v>
      </c>
      <c r="AD2029" s="110"/>
      <c r="AE2029" s="110"/>
      <c r="AF2029" s="110"/>
      <c r="AG2029" s="121"/>
    </row>
    <row r="2030" spans="1:33" ht="11.25" customHeight="1" x14ac:dyDescent="0.15">
      <c r="A2030" s="110" t="s">
        <v>308</v>
      </c>
      <c r="B2030" s="110"/>
      <c r="C2030" s="111" t="s">
        <v>967</v>
      </c>
      <c r="D2030" s="111">
        <v>2025</v>
      </c>
      <c r="E2030" s="146">
        <v>45869</v>
      </c>
      <c r="F2030" s="111"/>
      <c r="G2030" s="111">
        <v>50000040</v>
      </c>
      <c r="H2030" s="111"/>
      <c r="I2030" s="111"/>
      <c r="J2030" s="111"/>
      <c r="K2030" s="112" t="s">
        <v>81</v>
      </c>
      <c r="L2030" s="120">
        <v>9738</v>
      </c>
      <c r="M2030" s="120">
        <v>4102.16</v>
      </c>
      <c r="N2030" s="120">
        <f t="shared" si="2207"/>
        <v>5635.84</v>
      </c>
      <c r="O2030" s="119">
        <f t="shared" si="2208"/>
        <v>0.57874717601150139</v>
      </c>
      <c r="P2030" s="120">
        <v>9738</v>
      </c>
      <c r="Q2030" s="111">
        <v>5927</v>
      </c>
      <c r="R2030" s="117">
        <v>24.5</v>
      </c>
      <c r="S2030" s="117">
        <v>1369.8</v>
      </c>
      <c r="T2030" s="131">
        <v>2027.75</v>
      </c>
      <c r="U2030" s="117">
        <v>98.43</v>
      </c>
      <c r="V2030" s="117"/>
      <c r="W2030" s="52">
        <f t="shared" si="2209"/>
        <v>3495.98</v>
      </c>
      <c r="X2030" s="118">
        <f t="shared" si="2210"/>
        <v>55.910204081632649</v>
      </c>
      <c r="Y2030" s="119">
        <f t="shared" si="2211"/>
        <v>1.0107825015403575E-2</v>
      </c>
      <c r="Z2030" s="117">
        <f t="shared" si="2212"/>
        <v>6242.02</v>
      </c>
      <c r="AA2030" s="119">
        <f t="shared" si="2213"/>
        <v>0.64099609776134736</v>
      </c>
      <c r="AB2030" s="120">
        <f t="shared" si="2215"/>
        <v>606.17999999999984</v>
      </c>
      <c r="AC2030" s="119">
        <f t="shared" si="2214"/>
        <v>6.2248921749845976E-2</v>
      </c>
      <c r="AD2030" s="110"/>
      <c r="AE2030" s="110"/>
      <c r="AF2030" s="110"/>
      <c r="AG2030" s="121"/>
    </row>
    <row r="2031" spans="1:33" ht="11.25" customHeight="1" x14ac:dyDescent="0.15">
      <c r="A2031" s="110" t="s">
        <v>308</v>
      </c>
      <c r="B2031" s="110"/>
      <c r="C2031" s="111" t="s">
        <v>55</v>
      </c>
      <c r="D2031" s="111">
        <v>2025</v>
      </c>
      <c r="E2031" s="146">
        <v>45869</v>
      </c>
      <c r="F2031" s="111"/>
      <c r="G2031" s="111" t="s">
        <v>56</v>
      </c>
      <c r="H2031" s="111"/>
      <c r="I2031" s="111"/>
      <c r="J2031" s="111"/>
      <c r="K2031" s="112" t="s">
        <v>71</v>
      </c>
      <c r="L2031" s="120">
        <v>2000</v>
      </c>
      <c r="M2031" s="120">
        <v>1000</v>
      </c>
      <c r="N2031" s="120">
        <f t="shared" si="2207"/>
        <v>1000</v>
      </c>
      <c r="O2031" s="119">
        <f t="shared" si="2208"/>
        <v>0.5</v>
      </c>
      <c r="P2031" s="120">
        <v>2000</v>
      </c>
      <c r="Q2031" s="111"/>
      <c r="R2031" s="117"/>
      <c r="S2031" s="117"/>
      <c r="T2031" s="117"/>
      <c r="U2031" s="117"/>
      <c r="V2031" s="131">
        <v>229.16</v>
      </c>
      <c r="W2031" s="52">
        <f t="shared" si="2209"/>
        <v>229.16</v>
      </c>
      <c r="X2031" s="118" t="str">
        <f t="shared" si="2210"/>
        <v/>
      </c>
      <c r="Y2031" s="119">
        <f t="shared" si="2211"/>
        <v>0</v>
      </c>
      <c r="Z2031" s="117">
        <f t="shared" si="2212"/>
        <v>1770.84</v>
      </c>
      <c r="AA2031" s="119">
        <f t="shared" si="2213"/>
        <v>0.88541999999999998</v>
      </c>
      <c r="AB2031" s="120">
        <f t="shared" si="2215"/>
        <v>770.84</v>
      </c>
      <c r="AC2031" s="119">
        <f t="shared" si="2214"/>
        <v>0.38541999999999998</v>
      </c>
      <c r="AD2031" s="110"/>
      <c r="AE2031" s="110"/>
      <c r="AF2031" s="110"/>
      <c r="AG2031" s="121"/>
    </row>
    <row r="2032" spans="1:33" s="53" customFormat="1" ht="11.25" customHeight="1" x14ac:dyDescent="0.15">
      <c r="A2032" s="53" t="s">
        <v>308</v>
      </c>
      <c r="C2032" s="54" t="s">
        <v>177</v>
      </c>
      <c r="D2032" s="54"/>
      <c r="E2032" s="70"/>
      <c r="F2032" s="54"/>
      <c r="G2032" s="54"/>
      <c r="H2032" s="54"/>
      <c r="I2032" s="54"/>
      <c r="J2032" s="54"/>
      <c r="K2032" s="106"/>
      <c r="L2032" s="24">
        <f>SUM(L2028:L2031)</f>
        <v>18139</v>
      </c>
      <c r="M2032" s="24">
        <f t="shared" ref="M2032:N2032" si="2216">SUM(M2028:M2031)</f>
        <v>8089.12</v>
      </c>
      <c r="N2032" s="24">
        <f t="shared" si="2216"/>
        <v>10049.880000000001</v>
      </c>
      <c r="O2032" s="57">
        <f>IFERROR(N2032/L2032,"")</f>
        <v>0.55404818347207685</v>
      </c>
      <c r="P2032" s="24">
        <f>SUM(P2028:P2031)</f>
        <v>18139</v>
      </c>
      <c r="Q2032" s="24"/>
      <c r="R2032" s="24">
        <f>SUM(R2028:R2031)</f>
        <v>24.5</v>
      </c>
      <c r="S2032" s="24">
        <f t="shared" ref="S2032:V2032" si="2217">SUM(S2028:S2031)</f>
        <v>1369.8</v>
      </c>
      <c r="T2032" s="24">
        <f t="shared" si="2217"/>
        <v>2027.75</v>
      </c>
      <c r="U2032" s="24">
        <f t="shared" si="2217"/>
        <v>3085.39</v>
      </c>
      <c r="V2032" s="24">
        <f t="shared" si="2217"/>
        <v>229.16</v>
      </c>
      <c r="W2032" s="24">
        <f>SUM(S2032:V2032)</f>
        <v>6712.1</v>
      </c>
      <c r="X2032" s="56">
        <f t="shared" si="2210"/>
        <v>55.910204081632649</v>
      </c>
      <c r="Y2032" s="119">
        <f t="shared" si="2211"/>
        <v>0.17009702850212249</v>
      </c>
      <c r="Z2032" s="28">
        <f t="shared" si="2212"/>
        <v>11426.9</v>
      </c>
      <c r="AA2032" s="119">
        <f>IFERROR(Z2032/P2032,0)</f>
        <v>0.62996306301339655</v>
      </c>
      <c r="AB2032" s="58">
        <f>M2032-W2032</f>
        <v>1377.0199999999995</v>
      </c>
      <c r="AC2032" s="57">
        <f>IFERROR(AA2032-O2032,"")</f>
        <v>7.5914879541319702E-2</v>
      </c>
      <c r="AG2032" s="61"/>
    </row>
    <row r="2033" spans="1:33" s="110" customFormat="1" ht="11.25" customHeight="1" x14ac:dyDescent="0.15">
      <c r="A2033" s="130"/>
      <c r="B2033" s="130"/>
      <c r="C2033" s="124"/>
      <c r="D2033" s="124"/>
      <c r="E2033" s="273"/>
      <c r="F2033" s="124"/>
      <c r="G2033" s="124"/>
      <c r="H2033" s="124"/>
      <c r="I2033" s="124"/>
      <c r="J2033" s="124"/>
      <c r="K2033" s="125"/>
      <c r="L2033" s="129"/>
      <c r="M2033" s="129"/>
      <c r="N2033" s="129"/>
      <c r="O2033" s="128"/>
      <c r="P2033" s="129"/>
      <c r="Q2033" s="124"/>
      <c r="R2033" s="129"/>
      <c r="S2033" s="129"/>
      <c r="T2033" s="129"/>
      <c r="U2033" s="129"/>
      <c r="V2033" s="126"/>
      <c r="W2033" s="49"/>
      <c r="X2033" s="45"/>
      <c r="Y2033" s="128"/>
      <c r="Z2033" s="126"/>
      <c r="AA2033" s="128"/>
      <c r="AB2033" s="129"/>
      <c r="AC2033" s="160"/>
      <c r="AD2033" s="137"/>
      <c r="AG2033" s="121"/>
    </row>
    <row r="2034" spans="1:33" ht="11.25" customHeight="1" x14ac:dyDescent="0.15">
      <c r="A2034" s="110" t="s">
        <v>193</v>
      </c>
      <c r="B2034" s="110"/>
      <c r="C2034" s="111" t="s">
        <v>201</v>
      </c>
      <c r="D2034" s="111">
        <v>2025</v>
      </c>
      <c r="E2034" s="146">
        <v>45900</v>
      </c>
      <c r="F2034" s="111"/>
      <c r="G2034" s="111" t="s">
        <v>202</v>
      </c>
      <c r="H2034" s="111"/>
      <c r="I2034" s="111"/>
      <c r="J2034" s="111"/>
      <c r="K2034" s="112" t="s">
        <v>203</v>
      </c>
      <c r="L2034" s="120">
        <v>0</v>
      </c>
      <c r="M2034" s="120"/>
      <c r="N2034" s="120">
        <v>0</v>
      </c>
      <c r="O2034" s="119">
        <v>0</v>
      </c>
      <c r="P2034" s="120">
        <v>0</v>
      </c>
      <c r="Q2034" s="111">
        <v>5919</v>
      </c>
      <c r="R2034" s="117">
        <v>17</v>
      </c>
      <c r="S2034" s="117">
        <v>950.47</v>
      </c>
      <c r="T2034" s="117">
        <v>610.16999999999996</v>
      </c>
      <c r="U2034" s="117"/>
      <c r="V2034" s="117"/>
      <c r="W2034" s="26">
        <f>SUM(S2034:V2034)</f>
        <v>1560.6399999999999</v>
      </c>
      <c r="X2034" s="118">
        <f>IFERROR(S2034/R2034,"")</f>
        <v>55.910000000000004</v>
      </c>
      <c r="Y2034" s="119">
        <f>IFERROR(U2034/P2034,0)</f>
        <v>0</v>
      </c>
      <c r="Z2034" s="117">
        <f>P2034-W2034</f>
        <v>-1560.6399999999999</v>
      </c>
      <c r="AA2034" s="119">
        <f>IFERROR(Z2034/P2034,0)</f>
        <v>0</v>
      </c>
      <c r="AB2034" s="120">
        <f>M2034-W2034</f>
        <v>-1560.6399999999999</v>
      </c>
      <c r="AC2034" s="119">
        <f>IFERROR(AA2034-O2034,"")</f>
        <v>0</v>
      </c>
      <c r="AD2034" s="110" t="s">
        <v>968</v>
      </c>
      <c r="AE2034" s="110"/>
      <c r="AF2034" s="110"/>
      <c r="AG2034" s="121"/>
    </row>
    <row r="2035" spans="1:33" s="53" customFormat="1" ht="11.25" customHeight="1" x14ac:dyDescent="0.15">
      <c r="A2035" s="53" t="s">
        <v>193</v>
      </c>
      <c r="C2035" s="54" t="s">
        <v>177</v>
      </c>
      <c r="D2035" s="54"/>
      <c r="E2035" s="70"/>
      <c r="F2035" s="54"/>
      <c r="G2035" s="54"/>
      <c r="H2035" s="54"/>
      <c r="I2035" s="54"/>
      <c r="J2035" s="54"/>
      <c r="K2035" s="106"/>
      <c r="L2035" s="24">
        <f>SUM(L2034)</f>
        <v>0</v>
      </c>
      <c r="M2035" s="24">
        <f t="shared" ref="M2035:N2035" si="2218">SUM(M2034)</f>
        <v>0</v>
      </c>
      <c r="N2035" s="24">
        <f t="shared" si="2218"/>
        <v>0</v>
      </c>
      <c r="O2035" s="119">
        <v>0</v>
      </c>
      <c r="P2035" s="24">
        <f>SUM(P2034)</f>
        <v>0</v>
      </c>
      <c r="Q2035" s="24"/>
      <c r="R2035" s="24">
        <f>SUM(R2034)</f>
        <v>17</v>
      </c>
      <c r="S2035" s="24">
        <f t="shared" ref="S2035:V2035" si="2219">SUM(S2034)</f>
        <v>950.47</v>
      </c>
      <c r="T2035" s="24">
        <f t="shared" si="2219"/>
        <v>610.16999999999996</v>
      </c>
      <c r="U2035" s="24">
        <f t="shared" si="2219"/>
        <v>0</v>
      </c>
      <c r="V2035" s="24">
        <f t="shared" si="2219"/>
        <v>0</v>
      </c>
      <c r="W2035" s="24">
        <f t="shared" ref="W2035" si="2220">SUM(W2033:W2034)</f>
        <v>1560.6399999999999</v>
      </c>
      <c r="X2035" s="56">
        <f>IFERROR(S2035/R2035,"")</f>
        <v>55.910000000000004</v>
      </c>
      <c r="Y2035" s="119">
        <f>IFERROR(U2035/P2035,0)</f>
        <v>0</v>
      </c>
      <c r="Z2035" s="28">
        <f>P2035-W2035</f>
        <v>-1560.6399999999999</v>
      </c>
      <c r="AA2035" s="119">
        <f>IFERROR(Z2035/P2035,0)</f>
        <v>0</v>
      </c>
      <c r="AB2035" s="58">
        <f>M2035-W2035</f>
        <v>-1560.6399999999999</v>
      </c>
      <c r="AC2035" s="57">
        <f>IFERROR(AA2035-O2035,"")</f>
        <v>0</v>
      </c>
      <c r="AG2035" s="61"/>
    </row>
    <row r="2036" spans="1:33" s="110" customFormat="1" ht="11.25" customHeight="1" x14ac:dyDescent="0.15">
      <c r="A2036" s="130"/>
      <c r="B2036" s="130"/>
      <c r="C2036" s="124"/>
      <c r="D2036" s="124"/>
      <c r="E2036" s="273"/>
      <c r="F2036" s="124"/>
      <c r="G2036" s="124"/>
      <c r="H2036" s="124"/>
      <c r="I2036" s="124"/>
      <c r="J2036" s="124"/>
      <c r="K2036" s="125"/>
      <c r="L2036" s="129"/>
      <c r="M2036" s="129"/>
      <c r="N2036" s="129"/>
      <c r="O2036" s="128"/>
      <c r="P2036" s="129"/>
      <c r="Q2036" s="124"/>
      <c r="R2036" s="129"/>
      <c r="S2036" s="129"/>
      <c r="T2036" s="129"/>
      <c r="U2036" s="129"/>
      <c r="V2036" s="126"/>
      <c r="W2036" s="49"/>
      <c r="X2036" s="45"/>
      <c r="Y2036" s="128"/>
      <c r="Z2036" s="126"/>
      <c r="AA2036" s="128"/>
      <c r="AB2036" s="129"/>
      <c r="AC2036" s="160"/>
      <c r="AD2036" s="137"/>
      <c r="AG2036" s="121"/>
    </row>
    <row r="2037" spans="1:33" ht="11.25" customHeight="1" x14ac:dyDescent="0.15">
      <c r="A2037" s="110" t="s">
        <v>547</v>
      </c>
      <c r="B2037" s="110"/>
      <c r="C2037" s="318" t="s">
        <v>37</v>
      </c>
      <c r="D2037" s="111">
        <v>2025</v>
      </c>
      <c r="E2037" s="146">
        <v>45900</v>
      </c>
      <c r="F2037" s="111"/>
      <c r="G2037" s="111">
        <v>11012112</v>
      </c>
      <c r="H2037" s="111"/>
      <c r="I2037" s="111"/>
      <c r="J2037" s="111"/>
      <c r="K2037" s="112" t="s">
        <v>700</v>
      </c>
      <c r="L2037" s="120">
        <v>308128.5</v>
      </c>
      <c r="M2037" s="120">
        <v>75304.28</v>
      </c>
      <c r="N2037" s="120">
        <f>L2037-M2037</f>
        <v>232824.22</v>
      </c>
      <c r="O2037" s="119">
        <f>IFERROR(N2037/L2037,"")</f>
        <v>0.75560754685139475</v>
      </c>
      <c r="P2037" s="117">
        <f>L2037</f>
        <v>308128.5</v>
      </c>
      <c r="Q2037" s="111" t="s">
        <v>969</v>
      </c>
      <c r="R2037" s="117">
        <f>40.2+41.3</f>
        <v>81.5</v>
      </c>
      <c r="S2037" s="117">
        <f>1785.19+1822.69</f>
        <v>3607.88</v>
      </c>
      <c r="T2037" s="117"/>
      <c r="U2037" s="117">
        <f>31691.14+31691.16</f>
        <v>63382.3</v>
      </c>
      <c r="V2037" s="117"/>
      <c r="W2037" s="52">
        <f>SUM(S2037:V2037)</f>
        <v>66990.180000000008</v>
      </c>
      <c r="X2037" s="118">
        <f t="shared" ref="X2037:X2047" si="2221">IFERROR(S2037/R2037,"")</f>
        <v>44.268466257668713</v>
      </c>
      <c r="Y2037" s="119">
        <f>IFERROR(U2037/P2037,0)</f>
        <v>0.20570086830656692</v>
      </c>
      <c r="Z2037" s="117">
        <f>P2037-W2037</f>
        <v>241138.32</v>
      </c>
      <c r="AA2037" s="119">
        <f>IFERROR(Z2037/P2037,0)</f>
        <v>0.78259012068017075</v>
      </c>
      <c r="AB2037" s="120">
        <f t="shared" ref="AB2037:AB2043" si="2222">M2037-W2037</f>
        <v>8314.0999999999913</v>
      </c>
      <c r="AC2037" s="119">
        <f t="shared" ref="AC2037:AC2047" si="2223">IFERROR(AA2037-O2037,"")</f>
        <v>2.6982573828776002E-2</v>
      </c>
      <c r="AD2037" s="110" t="s">
        <v>970</v>
      </c>
      <c r="AE2037" s="110"/>
      <c r="AF2037" s="110"/>
      <c r="AG2037" s="121"/>
    </row>
    <row r="2038" spans="1:33" ht="11.25" customHeight="1" x14ac:dyDescent="0.15">
      <c r="A2038" s="110" t="s">
        <v>547</v>
      </c>
      <c r="B2038" s="110"/>
      <c r="C2038" s="318" t="s">
        <v>37</v>
      </c>
      <c r="D2038" s="111">
        <v>2025</v>
      </c>
      <c r="E2038" s="146">
        <v>45900</v>
      </c>
      <c r="F2038" s="111"/>
      <c r="G2038" s="111">
        <v>21010011</v>
      </c>
      <c r="H2038" s="111"/>
      <c r="I2038" s="111"/>
      <c r="J2038" s="111"/>
      <c r="K2038" s="112" t="s">
        <v>439</v>
      </c>
      <c r="L2038" s="120">
        <v>43720.32</v>
      </c>
      <c r="M2038" s="120">
        <v>15077.42</v>
      </c>
      <c r="N2038" s="120">
        <f t="shared" ref="N2038:N2047" si="2224">L2038-M2038</f>
        <v>28642.9</v>
      </c>
      <c r="O2038" s="119">
        <f t="shared" ref="O2038:O2047" si="2225">IFERROR(N2038/L2038,"")</f>
        <v>0.6551393036464509</v>
      </c>
      <c r="P2038" s="117">
        <f t="shared" ref="P2038:P2066" si="2226">L2038</f>
        <v>43720.32</v>
      </c>
      <c r="Q2038" s="111">
        <v>5165</v>
      </c>
      <c r="R2038" s="117"/>
      <c r="S2038" s="117"/>
      <c r="T2038" s="117"/>
      <c r="U2038" s="117">
        <v>14180.87</v>
      </c>
      <c r="V2038" s="117"/>
      <c r="W2038" s="52">
        <f t="shared" ref="W2038:W2047" si="2227">SUM(S2038:V2038)</f>
        <v>14180.87</v>
      </c>
      <c r="X2038" s="118" t="str">
        <f t="shared" si="2221"/>
        <v/>
      </c>
      <c r="Y2038" s="119">
        <f t="shared" ref="Y2038:Y2039" si="2228">IFERROR(U2038/P2038,0)</f>
        <v>0.3243542133268924</v>
      </c>
      <c r="Z2038" s="117">
        <f t="shared" ref="Z2038:Z2047" si="2229">P2038-W2038</f>
        <v>29539.449999999997</v>
      </c>
      <c r="AA2038" s="119">
        <f t="shared" ref="AA2038:AA2047" si="2230">IFERROR(Z2038/P2038,0)</f>
        <v>0.6756457866731076</v>
      </c>
      <c r="AB2038" s="120">
        <f t="shared" si="2222"/>
        <v>896.54999999999927</v>
      </c>
      <c r="AC2038" s="119">
        <f t="shared" si="2223"/>
        <v>2.0506483026656697E-2</v>
      </c>
      <c r="AD2038" s="110" t="s">
        <v>971</v>
      </c>
      <c r="AE2038" s="110"/>
      <c r="AF2038" s="110"/>
      <c r="AG2038" s="121"/>
    </row>
    <row r="2039" spans="1:33" ht="11.25" customHeight="1" x14ac:dyDescent="0.15">
      <c r="A2039" s="110" t="s">
        <v>547</v>
      </c>
      <c r="B2039" s="110"/>
      <c r="C2039" s="318" t="s">
        <v>37</v>
      </c>
      <c r="D2039" s="111">
        <v>2025</v>
      </c>
      <c r="E2039" s="146">
        <v>45900</v>
      </c>
      <c r="F2039" s="111"/>
      <c r="G2039" s="111">
        <v>13000000</v>
      </c>
      <c r="H2039" s="111"/>
      <c r="I2039" s="111"/>
      <c r="J2039" s="111"/>
      <c r="K2039" s="112" t="s">
        <v>580</v>
      </c>
      <c r="L2039" s="120">
        <v>102303</v>
      </c>
      <c r="M2039" s="120">
        <v>23925.46</v>
      </c>
      <c r="N2039" s="120">
        <f t="shared" si="2224"/>
        <v>78377.540000000008</v>
      </c>
      <c r="O2039" s="119">
        <f t="shared" si="2225"/>
        <v>0.76613139399626606</v>
      </c>
      <c r="P2039" s="117">
        <f t="shared" si="2226"/>
        <v>102303</v>
      </c>
      <c r="Q2039" s="111">
        <v>2876</v>
      </c>
      <c r="R2039" s="117"/>
      <c r="S2039" s="117"/>
      <c r="T2039" s="117"/>
      <c r="U2039" s="117">
        <v>22844.14</v>
      </c>
      <c r="V2039" s="117"/>
      <c r="W2039" s="52">
        <f t="shared" si="2227"/>
        <v>22844.14</v>
      </c>
      <c r="X2039" s="118" t="str">
        <f t="shared" si="2221"/>
        <v/>
      </c>
      <c r="Y2039" s="119">
        <f t="shared" si="2228"/>
        <v>0.223298827991359</v>
      </c>
      <c r="Z2039" s="117">
        <f t="shared" si="2229"/>
        <v>79458.86</v>
      </c>
      <c r="AA2039" s="119">
        <f t="shared" si="2230"/>
        <v>0.77670117200864097</v>
      </c>
      <c r="AB2039" s="120">
        <f t="shared" si="2222"/>
        <v>1081.3199999999997</v>
      </c>
      <c r="AC2039" s="119">
        <f t="shared" si="2223"/>
        <v>1.0569778012374909E-2</v>
      </c>
      <c r="AD2039" s="110" t="s">
        <v>972</v>
      </c>
      <c r="AE2039" s="110"/>
      <c r="AF2039" s="110"/>
      <c r="AG2039" s="121"/>
    </row>
    <row r="2040" spans="1:33" ht="11.25" customHeight="1" x14ac:dyDescent="0.15">
      <c r="A2040" s="110" t="s">
        <v>547</v>
      </c>
      <c r="B2040" s="110"/>
      <c r="C2040" s="318" t="s">
        <v>37</v>
      </c>
      <c r="D2040" s="111">
        <v>2025</v>
      </c>
      <c r="E2040" s="146">
        <v>45900</v>
      </c>
      <c r="F2040" s="111"/>
      <c r="G2040" s="111" t="s">
        <v>939</v>
      </c>
      <c r="H2040" s="111"/>
      <c r="I2040" s="111"/>
      <c r="J2040" s="111"/>
      <c r="K2040" s="112" t="s">
        <v>940</v>
      </c>
      <c r="L2040" s="120">
        <v>324792.48</v>
      </c>
      <c r="M2040" s="120">
        <v>54857.21</v>
      </c>
      <c r="N2040" s="120">
        <f t="shared" si="2224"/>
        <v>269935.26999999996</v>
      </c>
      <c r="O2040" s="119">
        <f t="shared" si="2225"/>
        <v>0.83110073853926658</v>
      </c>
      <c r="P2040" s="117">
        <f t="shared" si="2226"/>
        <v>324792.48</v>
      </c>
      <c r="Q2040" s="111">
        <v>3671</v>
      </c>
      <c r="R2040" s="117">
        <v>39</v>
      </c>
      <c r="S2040" s="117">
        <v>1633.56</v>
      </c>
      <c r="T2040" s="117"/>
      <c r="U2040" s="117">
        <v>55518.39</v>
      </c>
      <c r="V2040" s="117"/>
      <c r="W2040" s="52">
        <f t="shared" si="2227"/>
        <v>57151.95</v>
      </c>
      <c r="X2040" s="118">
        <f t="shared" si="2221"/>
        <v>41.886153846153846</v>
      </c>
      <c r="Y2040" s="119">
        <f>IFERROR(U2041/P2040,0)</f>
        <v>3.2527508026047897E-2</v>
      </c>
      <c r="Z2040" s="117">
        <f t="shared" si="2229"/>
        <v>267640.52999999997</v>
      </c>
      <c r="AA2040" s="119">
        <f t="shared" si="2230"/>
        <v>0.82403548875269517</v>
      </c>
      <c r="AB2040" s="120">
        <f t="shared" si="2222"/>
        <v>-2294.739999999998</v>
      </c>
      <c r="AC2040" s="119">
        <f t="shared" si="2223"/>
        <v>-7.0652497865714148E-3</v>
      </c>
      <c r="AD2040" s="110" t="s">
        <v>973</v>
      </c>
      <c r="AE2040" s="110"/>
      <c r="AF2040" s="110"/>
      <c r="AG2040" s="121"/>
    </row>
    <row r="2041" spans="1:33" ht="11.25" customHeight="1" x14ac:dyDescent="0.15">
      <c r="A2041" s="110" t="s">
        <v>547</v>
      </c>
      <c r="B2041" s="110"/>
      <c r="C2041" s="318" t="s">
        <v>37</v>
      </c>
      <c r="D2041" s="111">
        <v>2025</v>
      </c>
      <c r="E2041" s="146">
        <v>45900</v>
      </c>
      <c r="F2041" s="111"/>
      <c r="G2041" s="111">
        <v>22010011</v>
      </c>
      <c r="H2041" s="111"/>
      <c r="I2041" s="111"/>
      <c r="J2041" s="111"/>
      <c r="K2041" s="112" t="s">
        <v>707</v>
      </c>
      <c r="L2041" s="120">
        <v>36203.94</v>
      </c>
      <c r="M2041" s="120">
        <f>4865+7538.71</f>
        <v>12403.71</v>
      </c>
      <c r="N2041" s="120">
        <f>L2041-M2041</f>
        <v>23800.230000000003</v>
      </c>
      <c r="O2041" s="119">
        <f>IFERROR(N2041/L2041,"")</f>
        <v>0.6573933665783338</v>
      </c>
      <c r="P2041" s="117">
        <f t="shared" si="2226"/>
        <v>36203.94</v>
      </c>
      <c r="Q2041" s="111">
        <v>5166</v>
      </c>
      <c r="R2041" s="117"/>
      <c r="S2041" s="117"/>
      <c r="T2041" s="117"/>
      <c r="U2041" s="117">
        <v>10564.69</v>
      </c>
      <c r="V2041" s="117"/>
      <c r="W2041" s="52">
        <f t="shared" si="2227"/>
        <v>10564.69</v>
      </c>
      <c r="X2041" s="118" t="str">
        <f t="shared" si="2221"/>
        <v/>
      </c>
      <c r="Y2041" s="119">
        <f>IFERROR(U2042/P2041,0)</f>
        <v>0.6025827575672702</v>
      </c>
      <c r="Z2041" s="117">
        <f t="shared" si="2229"/>
        <v>25639.25</v>
      </c>
      <c r="AA2041" s="119">
        <f t="shared" si="2230"/>
        <v>0.70818949539746223</v>
      </c>
      <c r="AB2041" s="120">
        <f t="shared" si="2222"/>
        <v>1839.0199999999986</v>
      </c>
      <c r="AC2041" s="119">
        <f t="shared" si="2223"/>
        <v>5.0796128819128428E-2</v>
      </c>
      <c r="AD2041" s="110" t="s">
        <v>974</v>
      </c>
      <c r="AE2041" s="110"/>
      <c r="AF2041" s="110"/>
      <c r="AG2041" s="121"/>
    </row>
    <row r="2042" spans="1:33" ht="11.25" customHeight="1" x14ac:dyDescent="0.15">
      <c r="A2042" s="110" t="s">
        <v>547</v>
      </c>
      <c r="B2042" s="110"/>
      <c r="C2042" s="318" t="s">
        <v>37</v>
      </c>
      <c r="D2042" s="111">
        <v>2025</v>
      </c>
      <c r="E2042" s="146">
        <v>45900</v>
      </c>
      <c r="F2042" s="111"/>
      <c r="G2042" s="111">
        <v>21150011</v>
      </c>
      <c r="H2042" s="111"/>
      <c r="I2042" s="111"/>
      <c r="J2042" s="111"/>
      <c r="K2042" s="112" t="s">
        <v>975</v>
      </c>
      <c r="L2042" s="120">
        <v>67764</v>
      </c>
      <c r="M2042" s="120">
        <v>23615.82</v>
      </c>
      <c r="N2042" s="120">
        <f>L2042-M2042</f>
        <v>44148.18</v>
      </c>
      <c r="O2042" s="119">
        <f>IFERROR(N2042/L2042,"")</f>
        <v>0.65149902603152121</v>
      </c>
      <c r="P2042" s="117">
        <f t="shared" si="2226"/>
        <v>67764</v>
      </c>
      <c r="Q2042" s="111">
        <v>5167</v>
      </c>
      <c r="R2042" s="117"/>
      <c r="S2042" s="117"/>
      <c r="T2042" s="117"/>
      <c r="U2042" s="117">
        <v>21815.87</v>
      </c>
      <c r="V2042" s="117"/>
      <c r="W2042" s="52">
        <f t="shared" si="2227"/>
        <v>21815.87</v>
      </c>
      <c r="X2042" s="118" t="str">
        <f t="shared" si="2221"/>
        <v/>
      </c>
      <c r="Y2042" s="119">
        <f>IFERROR(U2043/P2042,0)</f>
        <v>0.15084292544714006</v>
      </c>
      <c r="Z2042" s="117">
        <f t="shared" si="2229"/>
        <v>45948.130000000005</v>
      </c>
      <c r="AA2042" s="119">
        <f t="shared" si="2230"/>
        <v>0.67806106487220363</v>
      </c>
      <c r="AB2042" s="120">
        <f t="shared" si="2222"/>
        <v>1799.9500000000007</v>
      </c>
      <c r="AC2042" s="119">
        <f t="shared" si="2223"/>
        <v>2.6562038840682423E-2</v>
      </c>
      <c r="AD2042" s="110" t="s">
        <v>972</v>
      </c>
      <c r="AE2042" s="110"/>
      <c r="AF2042" s="110"/>
      <c r="AG2042" s="121"/>
    </row>
    <row r="2043" spans="1:33" ht="11.25" customHeight="1" x14ac:dyDescent="0.15">
      <c r="A2043" s="110" t="s">
        <v>547</v>
      </c>
      <c r="B2043" s="110"/>
      <c r="C2043" s="318" t="s">
        <v>37</v>
      </c>
      <c r="D2043" s="111">
        <v>2025</v>
      </c>
      <c r="E2043" s="146">
        <v>45900</v>
      </c>
      <c r="F2043" s="111"/>
      <c r="G2043" s="111">
        <v>91012142</v>
      </c>
      <c r="H2043" s="111"/>
      <c r="I2043" s="111"/>
      <c r="J2043" s="111"/>
      <c r="K2043" s="112" t="s">
        <v>976</v>
      </c>
      <c r="L2043" s="120">
        <v>31868</v>
      </c>
      <c r="M2043" s="120">
        <v>10818.4</v>
      </c>
      <c r="N2043" s="120">
        <f t="shared" si="2224"/>
        <v>21049.599999999999</v>
      </c>
      <c r="O2043" s="119">
        <f t="shared" si="2225"/>
        <v>0.6605246642399899</v>
      </c>
      <c r="P2043" s="117">
        <f t="shared" si="2226"/>
        <v>31868</v>
      </c>
      <c r="Q2043" s="111">
        <v>5168</v>
      </c>
      <c r="R2043" s="117"/>
      <c r="S2043" s="117"/>
      <c r="T2043" s="117"/>
      <c r="U2043" s="117">
        <v>10221.719999999999</v>
      </c>
      <c r="V2043" s="117"/>
      <c r="W2043" s="52">
        <f t="shared" si="2227"/>
        <v>10221.719999999999</v>
      </c>
      <c r="X2043" s="118" t="str">
        <f t="shared" si="2221"/>
        <v/>
      </c>
      <c r="Y2043" s="119">
        <f>IFERROR(U2044/P2043,0)</f>
        <v>0.26835916907242374</v>
      </c>
      <c r="Z2043" s="117">
        <f t="shared" si="2229"/>
        <v>21646.28</v>
      </c>
      <c r="AA2043" s="119">
        <f t="shared" si="2230"/>
        <v>0.67924814861302873</v>
      </c>
      <c r="AB2043" s="120">
        <f t="shared" si="2222"/>
        <v>596.68000000000029</v>
      </c>
      <c r="AC2043" s="119">
        <f t="shared" si="2223"/>
        <v>1.8723484373038835E-2</v>
      </c>
      <c r="AD2043" s="110" t="s">
        <v>970</v>
      </c>
      <c r="AE2043" s="110"/>
      <c r="AF2043" s="110"/>
      <c r="AG2043" s="121"/>
    </row>
    <row r="2044" spans="1:33" ht="11.25" customHeight="1" x14ac:dyDescent="0.15">
      <c r="A2044" s="110" t="s">
        <v>547</v>
      </c>
      <c r="B2044" s="110"/>
      <c r="C2044" s="111" t="s">
        <v>47</v>
      </c>
      <c r="D2044" s="111">
        <v>2025</v>
      </c>
      <c r="E2044" s="146">
        <v>45930</v>
      </c>
      <c r="F2044" s="111"/>
      <c r="G2044" s="111">
        <v>50000010</v>
      </c>
      <c r="H2044" s="111"/>
      <c r="I2044" s="111"/>
      <c r="J2044" s="111"/>
      <c r="K2044" s="112" t="s">
        <v>977</v>
      </c>
      <c r="L2044" s="120">
        <v>106267</v>
      </c>
      <c r="M2044" s="120">
        <v>33902.06</v>
      </c>
      <c r="N2044" s="120">
        <f t="shared" si="2224"/>
        <v>72364.94</v>
      </c>
      <c r="O2044" s="119">
        <f t="shared" si="2225"/>
        <v>0.68097283258208097</v>
      </c>
      <c r="P2044" s="117">
        <f t="shared" si="2226"/>
        <v>106267</v>
      </c>
      <c r="Q2044" s="111">
        <v>5175</v>
      </c>
      <c r="R2044" s="131">
        <v>303.5</v>
      </c>
      <c r="S2044" s="131">
        <v>16968.71</v>
      </c>
      <c r="T2044" s="131">
        <v>13917.56</v>
      </c>
      <c r="U2044" s="131">
        <v>8552.07</v>
      </c>
      <c r="V2044" s="131"/>
      <c r="W2044" s="52">
        <f t="shared" si="2227"/>
        <v>39438.339999999997</v>
      </c>
      <c r="X2044" s="118">
        <f t="shared" si="2221"/>
        <v>55.910082372322897</v>
      </c>
      <c r="Y2044" s="119">
        <f>IFERROR(U2045/P2044,0)</f>
        <v>1.6749320108782595E-3</v>
      </c>
      <c r="Z2044" s="117">
        <f t="shared" si="2229"/>
        <v>66828.66</v>
      </c>
      <c r="AA2044" s="119">
        <f t="shared" si="2230"/>
        <v>0.62887500352884718</v>
      </c>
      <c r="AB2044" s="120">
        <f>M2044-W2044</f>
        <v>-5536.2799999999988</v>
      </c>
      <c r="AC2044" s="119">
        <f t="shared" si="2223"/>
        <v>-5.2097829053233791E-2</v>
      </c>
      <c r="AD2044" s="110" t="s">
        <v>2791</v>
      </c>
      <c r="AE2044" s="110"/>
      <c r="AF2044" s="110"/>
      <c r="AG2044" s="121"/>
    </row>
    <row r="2045" spans="1:33" ht="11.25" customHeight="1" x14ac:dyDescent="0.15">
      <c r="A2045" s="110" t="s">
        <v>547</v>
      </c>
      <c r="B2045" s="110"/>
      <c r="C2045" s="111" t="s">
        <v>248</v>
      </c>
      <c r="D2045" s="111">
        <v>2025</v>
      </c>
      <c r="E2045" s="146">
        <v>45930</v>
      </c>
      <c r="F2045" s="111"/>
      <c r="G2045" s="111">
        <v>96000000</v>
      </c>
      <c r="H2045" s="111"/>
      <c r="I2045" s="111"/>
      <c r="J2045" s="111"/>
      <c r="K2045" s="112" t="s">
        <v>250</v>
      </c>
      <c r="L2045" s="120">
        <v>72869</v>
      </c>
      <c r="M2045" s="120">
        <v>36434.5</v>
      </c>
      <c r="N2045" s="120">
        <f t="shared" si="2224"/>
        <v>36434.5</v>
      </c>
      <c r="O2045" s="119">
        <f t="shared" si="2225"/>
        <v>0.5</v>
      </c>
      <c r="P2045" s="117">
        <f t="shared" si="2226"/>
        <v>72869</v>
      </c>
      <c r="Q2045" s="111">
        <v>5169</v>
      </c>
      <c r="R2045" s="117">
        <v>16</v>
      </c>
      <c r="S2045" s="117">
        <v>968.8</v>
      </c>
      <c r="T2045" s="117">
        <v>1310.95</v>
      </c>
      <c r="U2045" s="117">
        <v>177.99</v>
      </c>
      <c r="V2045" s="117"/>
      <c r="W2045" s="52">
        <f t="shared" si="2227"/>
        <v>2457.7399999999998</v>
      </c>
      <c r="X2045" s="118">
        <f t="shared" si="2221"/>
        <v>60.55</v>
      </c>
      <c r="Y2045" s="119">
        <f>IFERROR(#REF!/P2045,0)</f>
        <v>0</v>
      </c>
      <c r="Z2045" s="117">
        <f t="shared" si="2229"/>
        <v>70411.259999999995</v>
      </c>
      <c r="AA2045" s="119">
        <f t="shared" si="2230"/>
        <v>0.96627180282424618</v>
      </c>
      <c r="AB2045" s="120">
        <f t="shared" ref="AB2045:AB2047" si="2231">M2045-W2045</f>
        <v>33976.76</v>
      </c>
      <c r="AC2045" s="119">
        <f t="shared" si="2223"/>
        <v>0.46627180282424618</v>
      </c>
      <c r="AD2045" s="110"/>
      <c r="AE2045" s="110"/>
      <c r="AF2045" s="110"/>
      <c r="AG2045" s="121"/>
    </row>
    <row r="2046" spans="1:33" ht="11.25" customHeight="1" x14ac:dyDescent="0.15">
      <c r="A2046" s="110" t="s">
        <v>547</v>
      </c>
      <c r="B2046" s="110"/>
      <c r="C2046" s="318" t="s">
        <v>55</v>
      </c>
      <c r="D2046" s="111">
        <v>2025</v>
      </c>
      <c r="E2046" s="146">
        <v>45900</v>
      </c>
      <c r="F2046" s="111"/>
      <c r="G2046" s="111" t="s">
        <v>56</v>
      </c>
      <c r="H2046" s="111"/>
      <c r="I2046" s="111"/>
      <c r="J2046" s="111"/>
      <c r="K2046" s="112" t="s">
        <v>71</v>
      </c>
      <c r="L2046" s="120">
        <v>28625</v>
      </c>
      <c r="M2046" s="120">
        <v>14312.44</v>
      </c>
      <c r="N2046" s="120">
        <f t="shared" si="2224"/>
        <v>14312.56</v>
      </c>
      <c r="O2046" s="119">
        <f t="shared" si="2225"/>
        <v>0.50000209606986901</v>
      </c>
      <c r="P2046" s="117">
        <f t="shared" si="2226"/>
        <v>28625</v>
      </c>
      <c r="Q2046" s="111">
        <v>5170</v>
      </c>
      <c r="R2046" s="117">
        <v>33</v>
      </c>
      <c r="S2046" s="117">
        <v>1600.5</v>
      </c>
      <c r="T2046" s="117"/>
      <c r="U2046" s="117"/>
      <c r="V2046" s="117">
        <v>10337.290000000001</v>
      </c>
      <c r="W2046" s="52">
        <f>SUM(S2046:V2046)</f>
        <v>11937.79</v>
      </c>
      <c r="X2046" s="118">
        <f t="shared" si="2221"/>
        <v>48.5</v>
      </c>
      <c r="Y2046" s="119">
        <f t="shared" ref="Y2046:Y2047" si="2232">IFERROR(U2046/P2046,0)</f>
        <v>0</v>
      </c>
      <c r="Z2046" s="117">
        <f t="shared" si="2229"/>
        <v>16687.21</v>
      </c>
      <c r="AA2046" s="119">
        <f t="shared" si="2230"/>
        <v>0.58295930131004359</v>
      </c>
      <c r="AB2046" s="120">
        <f t="shared" si="2231"/>
        <v>2374.6499999999996</v>
      </c>
      <c r="AC2046" s="119">
        <f t="shared" si="2223"/>
        <v>8.2957205240174581E-2</v>
      </c>
      <c r="AD2046" s="110" t="s">
        <v>978</v>
      </c>
      <c r="AE2046" s="110"/>
      <c r="AF2046" s="110"/>
      <c r="AG2046" s="121"/>
    </row>
    <row r="2047" spans="1:33" ht="11.25" customHeight="1" x14ac:dyDescent="0.15">
      <c r="A2047" s="110" t="s">
        <v>547</v>
      </c>
      <c r="B2047" s="110"/>
      <c r="C2047" s="111" t="s">
        <v>58</v>
      </c>
      <c r="D2047" s="111">
        <v>2025</v>
      </c>
      <c r="E2047" s="146">
        <v>45930</v>
      </c>
      <c r="F2047" s="111"/>
      <c r="G2047" s="111">
        <v>72122012</v>
      </c>
      <c r="H2047" s="111"/>
      <c r="I2047" s="111"/>
      <c r="J2047" s="111"/>
      <c r="K2047" s="112" t="s">
        <v>712</v>
      </c>
      <c r="L2047" s="120">
        <v>108840</v>
      </c>
      <c r="M2047" s="120">
        <v>10884</v>
      </c>
      <c r="N2047" s="120">
        <f t="shared" si="2224"/>
        <v>97956</v>
      </c>
      <c r="O2047" s="119">
        <f t="shared" si="2225"/>
        <v>0.9</v>
      </c>
      <c r="P2047" s="117">
        <f t="shared" si="2226"/>
        <v>108840</v>
      </c>
      <c r="Q2047" s="111">
        <v>5171</v>
      </c>
      <c r="R2047" s="117"/>
      <c r="S2047" s="117"/>
      <c r="T2047" s="117"/>
      <c r="U2047" s="117">
        <v>3786.58</v>
      </c>
      <c r="V2047" s="117"/>
      <c r="W2047" s="52">
        <f t="shared" si="2227"/>
        <v>3786.58</v>
      </c>
      <c r="X2047" s="118" t="str">
        <f t="shared" si="2221"/>
        <v/>
      </c>
      <c r="Y2047" s="119">
        <f t="shared" si="2232"/>
        <v>3.4790334435869166E-2</v>
      </c>
      <c r="Z2047" s="117">
        <f t="shared" si="2229"/>
        <v>105053.42</v>
      </c>
      <c r="AA2047" s="119">
        <f t="shared" si="2230"/>
        <v>0.96520966556413079</v>
      </c>
      <c r="AB2047" s="120">
        <f t="shared" si="2231"/>
        <v>7097.42</v>
      </c>
      <c r="AC2047" s="119">
        <f t="shared" si="2223"/>
        <v>6.520966556413077E-2</v>
      </c>
      <c r="AD2047" s="110"/>
      <c r="AE2047" s="110"/>
      <c r="AF2047" s="110"/>
      <c r="AG2047" s="121"/>
    </row>
    <row r="2048" spans="1:33" ht="11.25" customHeight="1" x14ac:dyDescent="0.15">
      <c r="A2048" s="110" t="s">
        <v>547</v>
      </c>
      <c r="B2048" s="110"/>
      <c r="C2048" s="111" t="s">
        <v>58</v>
      </c>
      <c r="D2048" s="111">
        <v>2025</v>
      </c>
      <c r="E2048" s="146">
        <v>45930</v>
      </c>
      <c r="F2048" s="111"/>
      <c r="G2048" s="111">
        <v>73122012</v>
      </c>
      <c r="H2048" s="111"/>
      <c r="I2048" s="111"/>
      <c r="J2048" s="111"/>
      <c r="K2048" s="112" t="s">
        <v>712</v>
      </c>
      <c r="L2048" s="120">
        <v>54420</v>
      </c>
      <c r="M2048" s="120">
        <v>5442</v>
      </c>
      <c r="N2048" s="120">
        <f t="shared" ref="N2048:N2066" si="2233">L2048-M2048</f>
        <v>48978</v>
      </c>
      <c r="O2048" s="119">
        <f t="shared" ref="O2048:O2066" si="2234">IFERROR(N2048/L2048,"")</f>
        <v>0.9</v>
      </c>
      <c r="P2048" s="117">
        <f t="shared" si="2226"/>
        <v>54420</v>
      </c>
      <c r="Q2048" s="111">
        <v>5172</v>
      </c>
      <c r="R2048" s="117"/>
      <c r="S2048" s="117"/>
      <c r="T2048" s="117"/>
      <c r="U2048" s="117">
        <v>2084.1999999999998</v>
      </c>
      <c r="V2048" s="117"/>
      <c r="W2048" s="52">
        <f t="shared" ref="W2048:W2066" si="2235">SUM(S2048:V2048)</f>
        <v>2084.1999999999998</v>
      </c>
      <c r="X2048" s="118" t="str">
        <f t="shared" ref="X2048:X2067" si="2236">IFERROR(S2048/R2048,"")</f>
        <v/>
      </c>
      <c r="Y2048" s="119">
        <f t="shared" ref="Y2048:Y2066" si="2237">IFERROR(U2048/P2048,0)</f>
        <v>3.8298419698640201E-2</v>
      </c>
      <c r="Z2048" s="117">
        <f t="shared" ref="Z2048:Z2066" si="2238">P2048-W2048</f>
        <v>52335.8</v>
      </c>
      <c r="AA2048" s="119">
        <f t="shared" ref="AA2048:AA2066" si="2239">IFERROR(Z2048/P2048,0)</f>
        <v>0.96170158030135988</v>
      </c>
      <c r="AB2048" s="120">
        <f t="shared" ref="AB2048:AB2066" si="2240">M2048-W2048</f>
        <v>3357.8</v>
      </c>
      <c r="AC2048" s="119">
        <f t="shared" ref="AC2048:AC2066" si="2241">IFERROR(AA2048-O2048,"")</f>
        <v>6.170158030135986E-2</v>
      </c>
      <c r="AD2048" s="110"/>
      <c r="AE2048" s="110"/>
      <c r="AF2048" s="110"/>
      <c r="AG2048" s="121"/>
    </row>
    <row r="2049" spans="1:33" ht="11.25" customHeight="1" x14ac:dyDescent="0.15">
      <c r="A2049" s="110" t="s">
        <v>547</v>
      </c>
      <c r="B2049" s="110"/>
      <c r="C2049" s="111" t="s">
        <v>58</v>
      </c>
      <c r="D2049" s="111">
        <v>2025</v>
      </c>
      <c r="E2049" s="146">
        <v>45930</v>
      </c>
      <c r="F2049" s="111"/>
      <c r="G2049" s="111">
        <v>74122012</v>
      </c>
      <c r="H2049" s="111"/>
      <c r="I2049" s="111"/>
      <c r="J2049" s="111"/>
      <c r="K2049" s="112" t="s">
        <v>712</v>
      </c>
      <c r="L2049" s="120">
        <v>157877</v>
      </c>
      <c r="M2049" s="120">
        <v>15787</v>
      </c>
      <c r="N2049" s="120">
        <f t="shared" si="2233"/>
        <v>142090</v>
      </c>
      <c r="O2049" s="119">
        <f t="shared" si="2234"/>
        <v>0.90000443383140039</v>
      </c>
      <c r="P2049" s="117">
        <f t="shared" si="2226"/>
        <v>157877</v>
      </c>
      <c r="Q2049" s="111">
        <v>5173</v>
      </c>
      <c r="R2049" s="117"/>
      <c r="S2049" s="117"/>
      <c r="T2049" s="117"/>
      <c r="U2049" s="117">
        <v>1041.75</v>
      </c>
      <c r="V2049" s="117"/>
      <c r="W2049" s="52">
        <f t="shared" si="2235"/>
        <v>1041.75</v>
      </c>
      <c r="X2049" s="118" t="str">
        <f t="shared" si="2236"/>
        <v/>
      </c>
      <c r="Y2049" s="119">
        <f t="shared" si="2237"/>
        <v>6.5984912305148942E-3</v>
      </c>
      <c r="Z2049" s="117">
        <f t="shared" si="2238"/>
        <v>156835.25</v>
      </c>
      <c r="AA2049" s="119">
        <f t="shared" si="2239"/>
        <v>0.99340150876948508</v>
      </c>
      <c r="AB2049" s="120">
        <f t="shared" si="2240"/>
        <v>14745.25</v>
      </c>
      <c r="AC2049" s="119">
        <f t="shared" si="2241"/>
        <v>9.339707493808469E-2</v>
      </c>
      <c r="AD2049" s="110"/>
      <c r="AE2049" s="110"/>
      <c r="AF2049" s="110"/>
      <c r="AG2049" s="121"/>
    </row>
    <row r="2050" spans="1:33" ht="11.25" customHeight="1" x14ac:dyDescent="0.15">
      <c r="A2050" s="110" t="s">
        <v>547</v>
      </c>
      <c r="B2050" s="110"/>
      <c r="C2050" s="111" t="s">
        <v>49</v>
      </c>
      <c r="D2050" s="111">
        <v>2025</v>
      </c>
      <c r="E2050" s="146">
        <v>45930</v>
      </c>
      <c r="F2050" s="111"/>
      <c r="G2050" s="111">
        <v>60622012</v>
      </c>
      <c r="H2050" s="111"/>
      <c r="I2050" s="111"/>
      <c r="J2050" s="111"/>
      <c r="K2050" s="112" t="s">
        <v>85</v>
      </c>
      <c r="L2050" s="120">
        <v>74472</v>
      </c>
      <c r="M2050" s="120">
        <v>9956.14</v>
      </c>
      <c r="N2050" s="120">
        <f t="shared" ref="N2050" si="2242">L2050-M2050</f>
        <v>64515.86</v>
      </c>
      <c r="O2050" s="119">
        <f t="shared" ref="O2050" si="2243">IFERROR(N2050/L2050,"")</f>
        <v>0.86631029111612423</v>
      </c>
      <c r="P2050" s="117">
        <f t="shared" ref="P2050" si="2244">L2050</f>
        <v>74472</v>
      </c>
      <c r="Q2050" s="111">
        <v>5174</v>
      </c>
      <c r="R2050" s="131">
        <v>52.5</v>
      </c>
      <c r="S2050" s="131">
        <v>3388.88</v>
      </c>
      <c r="T2050" s="131">
        <v>2950.35</v>
      </c>
      <c r="U2050" s="131">
        <v>298.45999999999998</v>
      </c>
      <c r="V2050" s="131"/>
      <c r="W2050" s="52">
        <f t="shared" ref="W2050" si="2245">SUM(S2050:V2050)</f>
        <v>6637.69</v>
      </c>
      <c r="X2050" s="118">
        <f t="shared" ref="X2050" si="2246">IFERROR(S2050/R2050,"")</f>
        <v>64.550095238095238</v>
      </c>
      <c r="Y2050" s="119">
        <f t="shared" ref="Y2050" si="2247">IFERROR(U2050/P2050,0)</f>
        <v>4.0076807390697173E-3</v>
      </c>
      <c r="Z2050" s="117">
        <f t="shared" ref="Z2050" si="2248">P2050-W2050</f>
        <v>67834.31</v>
      </c>
      <c r="AA2050" s="119">
        <f t="shared" ref="AA2050" si="2249">IFERROR(Z2050/P2050,0)</f>
        <v>0.91086999140616609</v>
      </c>
      <c r="AB2050" s="120">
        <f t="shared" ref="AB2050" si="2250">M2050-W2050</f>
        <v>3318.45</v>
      </c>
      <c r="AC2050" s="119">
        <f t="shared" ref="AC2050" si="2251">IFERROR(AA2050-O2050,"")</f>
        <v>4.4559700290041859E-2</v>
      </c>
      <c r="AD2050" s="110"/>
      <c r="AE2050" s="110"/>
      <c r="AF2050" s="110"/>
      <c r="AG2050" s="121"/>
    </row>
    <row r="2051" spans="1:33" s="53" customFormat="1" ht="11.25" customHeight="1" x14ac:dyDescent="0.15">
      <c r="A2051" s="53" t="s">
        <v>547</v>
      </c>
      <c r="C2051" s="54" t="s">
        <v>177</v>
      </c>
      <c r="D2051" s="54"/>
      <c r="E2051" s="70"/>
      <c r="F2051" s="54"/>
      <c r="G2051" s="54"/>
      <c r="H2051" s="54"/>
      <c r="I2051" s="54"/>
      <c r="J2051" s="54"/>
      <c r="K2051" s="106"/>
      <c r="L2051" s="24">
        <f>SUM(L2037:L2050)</f>
        <v>1518150.24</v>
      </c>
      <c r="M2051" s="24">
        <f>SUM(M2037:M2050)</f>
        <v>342720.44</v>
      </c>
      <c r="N2051" s="24">
        <f>SUM(N2037:N2050)</f>
        <v>1175429.8</v>
      </c>
      <c r="O2051" s="57">
        <f>IFERROR(N2051/L2051,"")</f>
        <v>0.77425130203187276</v>
      </c>
      <c r="P2051" s="24">
        <f>SUM(P2037:P2050)</f>
        <v>1518150.24</v>
      </c>
      <c r="Q2051" s="24"/>
      <c r="R2051" s="24">
        <f>SUM(R2037:R2050)</f>
        <v>525.5</v>
      </c>
      <c r="S2051" s="24">
        <f t="shared" ref="S2051:V2051" si="2252">SUM(S2037:S2050)</f>
        <v>28168.33</v>
      </c>
      <c r="T2051" s="24">
        <f t="shared" si="2252"/>
        <v>18178.86</v>
      </c>
      <c r="U2051" s="24">
        <f t="shared" si="2252"/>
        <v>214469.03</v>
      </c>
      <c r="V2051" s="24">
        <f t="shared" si="2252"/>
        <v>10337.290000000001</v>
      </c>
      <c r="W2051" s="24">
        <f>SUM(W2037:W2050)</f>
        <v>271153.51</v>
      </c>
      <c r="X2051" s="56">
        <f t="shared" ref="X2051" si="2253">IFERROR(S2051/R2051,"")</f>
        <v>53.602911512844912</v>
      </c>
      <c r="Y2051" s="57">
        <f t="shared" ref="Y2051" si="2254">IFERROR(U2051/P2051,0)</f>
        <v>0.14126996416375759</v>
      </c>
      <c r="Z2051" s="28">
        <f>P2051-W2051</f>
        <v>1246996.73</v>
      </c>
      <c r="AA2051" s="57">
        <f>IFERROR(Z2051/P2051,0)</f>
        <v>0.82139217657403918</v>
      </c>
      <c r="AB2051" s="58">
        <f t="shared" ref="AB2051" si="2255">M2051-W2051</f>
        <v>71566.929999999993</v>
      </c>
      <c r="AC2051" s="57">
        <f t="shared" ref="AC2051" si="2256">IFERROR(AA2051-O2051,"")</f>
        <v>4.7140874542166422E-2</v>
      </c>
      <c r="AG2051" s="61"/>
    </row>
    <row r="2052" spans="1:33" ht="11.25" customHeight="1" x14ac:dyDescent="0.15">
      <c r="A2052" s="108" t="s">
        <v>547</v>
      </c>
      <c r="B2052" s="108"/>
      <c r="C2052" s="111" t="s">
        <v>58</v>
      </c>
      <c r="D2052" s="111"/>
      <c r="E2052" s="146"/>
      <c r="F2052" s="111"/>
      <c r="G2052" s="111">
        <v>72522012</v>
      </c>
      <c r="H2052" s="111"/>
      <c r="I2052" s="111"/>
      <c r="J2052" s="111"/>
      <c r="K2052" s="112" t="s">
        <v>712</v>
      </c>
      <c r="L2052" s="148">
        <v>468741.10049220559</v>
      </c>
      <c r="M2052" s="120">
        <f>L2052*0.1</f>
        <v>46874.110049220559</v>
      </c>
      <c r="N2052" s="120">
        <f t="shared" si="2233"/>
        <v>421866.99044298503</v>
      </c>
      <c r="O2052" s="119">
        <f t="shared" si="2234"/>
        <v>0.9</v>
      </c>
      <c r="P2052" s="117">
        <f t="shared" si="2226"/>
        <v>468741.10049220559</v>
      </c>
      <c r="Q2052" s="111"/>
      <c r="R2052" s="117"/>
      <c r="S2052" s="117"/>
      <c r="T2052" s="117"/>
      <c r="U2052" s="117"/>
      <c r="V2052" s="117"/>
      <c r="W2052" s="52">
        <f t="shared" si="2235"/>
        <v>0</v>
      </c>
      <c r="X2052" s="118" t="str">
        <f t="shared" si="2236"/>
        <v/>
      </c>
      <c r="Y2052" s="119">
        <f t="shared" si="2237"/>
        <v>0</v>
      </c>
      <c r="Z2052" s="117">
        <f t="shared" si="2238"/>
        <v>468741.10049220559</v>
      </c>
      <c r="AA2052" s="119">
        <f t="shared" si="2239"/>
        <v>1</v>
      </c>
      <c r="AB2052" s="120">
        <f t="shared" si="2240"/>
        <v>46874.110049220559</v>
      </c>
      <c r="AC2052" s="119">
        <f t="shared" si="2241"/>
        <v>9.9999999999999978E-2</v>
      </c>
      <c r="AD2052" s="110"/>
      <c r="AE2052" s="110"/>
      <c r="AF2052" s="110"/>
      <c r="AG2052" s="121"/>
    </row>
    <row r="2053" spans="1:33" ht="11.25" customHeight="1" x14ac:dyDescent="0.15">
      <c r="A2053" s="108" t="s">
        <v>547</v>
      </c>
      <c r="B2053" s="108"/>
      <c r="C2053" s="111" t="s">
        <v>58</v>
      </c>
      <c r="D2053" s="111"/>
      <c r="E2053" s="146"/>
      <c r="F2053" s="111"/>
      <c r="G2053" s="111">
        <v>73522012</v>
      </c>
      <c r="H2053" s="111"/>
      <c r="I2053" s="111"/>
      <c r="J2053" s="111"/>
      <c r="K2053" s="112" t="s">
        <v>712</v>
      </c>
      <c r="L2053" s="148">
        <v>234370.55024610279</v>
      </c>
      <c r="M2053" s="120">
        <f t="shared" ref="M2053:M2054" si="2257">L2053*0.1</f>
        <v>23437.055024610279</v>
      </c>
      <c r="N2053" s="120">
        <f t="shared" si="2233"/>
        <v>210933.49522149251</v>
      </c>
      <c r="O2053" s="119">
        <f t="shared" si="2234"/>
        <v>0.9</v>
      </c>
      <c r="P2053" s="117">
        <f t="shared" si="2226"/>
        <v>234370.55024610279</v>
      </c>
      <c r="Q2053" s="111"/>
      <c r="R2053" s="117"/>
      <c r="S2053" s="117"/>
      <c r="T2053" s="117"/>
      <c r="U2053" s="117"/>
      <c r="V2053" s="117"/>
      <c r="W2053" s="52">
        <f t="shared" si="2235"/>
        <v>0</v>
      </c>
      <c r="X2053" s="118" t="str">
        <f t="shared" si="2236"/>
        <v/>
      </c>
      <c r="Y2053" s="119">
        <f t="shared" si="2237"/>
        <v>0</v>
      </c>
      <c r="Z2053" s="117">
        <f t="shared" si="2238"/>
        <v>234370.55024610279</v>
      </c>
      <c r="AA2053" s="119">
        <f t="shared" si="2239"/>
        <v>1</v>
      </c>
      <c r="AB2053" s="120">
        <f t="shared" si="2240"/>
        <v>23437.055024610279</v>
      </c>
      <c r="AC2053" s="119">
        <f t="shared" si="2241"/>
        <v>9.9999999999999978E-2</v>
      </c>
      <c r="AD2053" s="110"/>
      <c r="AE2053" s="110"/>
      <c r="AF2053" s="110"/>
      <c r="AG2053" s="121"/>
    </row>
    <row r="2054" spans="1:33" ht="11.25" customHeight="1" x14ac:dyDescent="0.15">
      <c r="A2054" s="108" t="s">
        <v>547</v>
      </c>
      <c r="B2054" s="108"/>
      <c r="C2054" s="111" t="s">
        <v>58</v>
      </c>
      <c r="D2054" s="111"/>
      <c r="E2054" s="146"/>
      <c r="F2054" s="111"/>
      <c r="G2054" s="111">
        <v>74522012</v>
      </c>
      <c r="H2054" s="111"/>
      <c r="I2054" s="111"/>
      <c r="J2054" s="111"/>
      <c r="K2054" s="112" t="s">
        <v>712</v>
      </c>
      <c r="L2054" s="148">
        <v>680734.34926169156</v>
      </c>
      <c r="M2054" s="120">
        <f t="shared" si="2257"/>
        <v>68073.434926169153</v>
      </c>
      <c r="N2054" s="120">
        <f t="shared" si="2233"/>
        <v>612660.91433552245</v>
      </c>
      <c r="O2054" s="119">
        <f t="shared" si="2234"/>
        <v>0.9</v>
      </c>
      <c r="P2054" s="117">
        <f t="shared" si="2226"/>
        <v>680734.34926169156</v>
      </c>
      <c r="Q2054" s="111"/>
      <c r="R2054" s="117"/>
      <c r="S2054" s="117"/>
      <c r="T2054" s="117"/>
      <c r="U2054" s="117"/>
      <c r="V2054" s="117"/>
      <c r="W2054" s="52">
        <f t="shared" si="2235"/>
        <v>0</v>
      </c>
      <c r="X2054" s="118" t="str">
        <f t="shared" si="2236"/>
        <v/>
      </c>
      <c r="Y2054" s="119">
        <f t="shared" si="2237"/>
        <v>0</v>
      </c>
      <c r="Z2054" s="117">
        <f t="shared" si="2238"/>
        <v>680734.34926169156</v>
      </c>
      <c r="AA2054" s="119">
        <f t="shared" si="2239"/>
        <v>1</v>
      </c>
      <c r="AB2054" s="120">
        <f t="shared" si="2240"/>
        <v>68073.434926169153</v>
      </c>
      <c r="AC2054" s="119">
        <f t="shared" si="2241"/>
        <v>9.9999999999999978E-2</v>
      </c>
      <c r="AD2054" s="110"/>
      <c r="AE2054" s="110"/>
      <c r="AF2054" s="110"/>
      <c r="AG2054" s="121"/>
    </row>
    <row r="2055" spans="1:33" ht="11.25" customHeight="1" x14ac:dyDescent="0.15">
      <c r="A2055" s="108" t="s">
        <v>547</v>
      </c>
      <c r="B2055" s="108"/>
      <c r="C2055" s="111" t="s">
        <v>175</v>
      </c>
      <c r="D2055" s="111">
        <v>2026</v>
      </c>
      <c r="E2055" s="146"/>
      <c r="F2055" s="111"/>
      <c r="G2055" s="111">
        <v>81100011</v>
      </c>
      <c r="H2055" s="111">
        <v>4101</v>
      </c>
      <c r="I2055" s="111" t="str">
        <f>MID(G2055,2,1)</f>
        <v>1</v>
      </c>
      <c r="J2055" s="111" t="str">
        <f>IF(I2055="1","Small/Medium","Large")</f>
        <v>Small/Medium</v>
      </c>
      <c r="K2055" s="112" t="s">
        <v>145</v>
      </c>
      <c r="L2055" s="120">
        <v>19199.366318052977</v>
      </c>
      <c r="M2055" s="120">
        <f>L2055*0.3</f>
        <v>5759.8098954158932</v>
      </c>
      <c r="N2055" s="120">
        <f t="shared" si="2233"/>
        <v>13439.556422637084</v>
      </c>
      <c r="O2055" s="119">
        <f t="shared" si="2234"/>
        <v>0.70000000000000007</v>
      </c>
      <c r="P2055" s="117">
        <f t="shared" si="2226"/>
        <v>19199.366318052977</v>
      </c>
      <c r="Q2055" s="111"/>
      <c r="R2055" s="117"/>
      <c r="S2055" s="117"/>
      <c r="T2055" s="117"/>
      <c r="U2055" s="117"/>
      <c r="V2055" s="117"/>
      <c r="W2055" s="52">
        <f t="shared" si="2235"/>
        <v>0</v>
      </c>
      <c r="X2055" s="118" t="str">
        <f t="shared" si="2236"/>
        <v/>
      </c>
      <c r="Y2055" s="119">
        <f t="shared" si="2237"/>
        <v>0</v>
      </c>
      <c r="Z2055" s="117">
        <f t="shared" si="2238"/>
        <v>19199.366318052977</v>
      </c>
      <c r="AA2055" s="119">
        <f t="shared" si="2239"/>
        <v>1</v>
      </c>
      <c r="AB2055" s="120">
        <f t="shared" si="2240"/>
        <v>5759.8098954158932</v>
      </c>
      <c r="AC2055" s="119">
        <f t="shared" si="2241"/>
        <v>0.29999999999999993</v>
      </c>
      <c r="AD2055" s="110"/>
      <c r="AE2055" s="110"/>
      <c r="AF2055" s="110"/>
      <c r="AG2055" s="121"/>
    </row>
    <row r="2056" spans="1:33" ht="11.25" customHeight="1" x14ac:dyDescent="0.15">
      <c r="A2056" s="108" t="s">
        <v>547</v>
      </c>
      <c r="B2056" s="108"/>
      <c r="C2056" s="111" t="s">
        <v>175</v>
      </c>
      <c r="D2056" s="111">
        <v>2026</v>
      </c>
      <c r="E2056" s="146"/>
      <c r="F2056" s="111"/>
      <c r="G2056" s="111">
        <v>80100011</v>
      </c>
      <c r="H2056" s="111">
        <v>4101</v>
      </c>
      <c r="I2056" s="111" t="str">
        <f t="shared" ref="I2056:I2066" si="2258">MID(G2056,2,1)</f>
        <v>0</v>
      </c>
      <c r="J2056" s="111" t="s">
        <v>429</v>
      </c>
      <c r="K2056" s="112" t="s">
        <v>503</v>
      </c>
      <c r="L2056" s="120">
        <v>5773.0259798651159</v>
      </c>
      <c r="M2056" s="120">
        <f t="shared" ref="M2056:M2066" si="2259">L2056*0.3</f>
        <v>1731.9077939595347</v>
      </c>
      <c r="N2056" s="120">
        <f t="shared" si="2233"/>
        <v>4041.1181859055814</v>
      </c>
      <c r="O2056" s="119">
        <f t="shared" si="2234"/>
        <v>0.70000000000000007</v>
      </c>
      <c r="P2056" s="117">
        <f t="shared" si="2226"/>
        <v>5773.0259798651159</v>
      </c>
      <c r="Q2056" s="111"/>
      <c r="R2056" s="117"/>
      <c r="S2056" s="117"/>
      <c r="T2056" s="117"/>
      <c r="U2056" s="117"/>
      <c r="V2056" s="117"/>
      <c r="W2056" s="52">
        <f t="shared" si="2235"/>
        <v>0</v>
      </c>
      <c r="X2056" s="118" t="str">
        <f t="shared" si="2236"/>
        <v/>
      </c>
      <c r="Y2056" s="119">
        <f t="shared" si="2237"/>
        <v>0</v>
      </c>
      <c r="Z2056" s="117">
        <f t="shared" si="2238"/>
        <v>5773.0259798651159</v>
      </c>
      <c r="AA2056" s="119">
        <f t="shared" si="2239"/>
        <v>1</v>
      </c>
      <c r="AB2056" s="120">
        <f t="shared" si="2240"/>
        <v>1731.9077939595347</v>
      </c>
      <c r="AC2056" s="119">
        <f t="shared" si="2241"/>
        <v>0.29999999999999993</v>
      </c>
      <c r="AD2056" s="110"/>
      <c r="AE2056" s="110"/>
      <c r="AF2056" s="110"/>
      <c r="AG2056" s="121"/>
    </row>
    <row r="2057" spans="1:33" ht="11.25" customHeight="1" x14ac:dyDescent="0.15">
      <c r="A2057" s="108" t="s">
        <v>547</v>
      </c>
      <c r="B2057" s="108"/>
      <c r="C2057" s="111" t="s">
        <v>175</v>
      </c>
      <c r="D2057" s="111">
        <v>2026</v>
      </c>
      <c r="E2057" s="146"/>
      <c r="F2057" s="111"/>
      <c r="G2057" s="111">
        <v>82100011</v>
      </c>
      <c r="H2057" s="111">
        <v>4101</v>
      </c>
      <c r="I2057" s="111" t="str">
        <f t="shared" si="2258"/>
        <v>2</v>
      </c>
      <c r="J2057" s="111" t="str">
        <f t="shared" ref="J2057:J2066" si="2260">IF(I2057="1","Small/Medium","Large")</f>
        <v>Large</v>
      </c>
      <c r="K2057" s="112" t="s">
        <v>176</v>
      </c>
      <c r="L2057" s="120">
        <v>13440.607702081908</v>
      </c>
      <c r="M2057" s="120">
        <f t="shared" si="2259"/>
        <v>4032.1823106245724</v>
      </c>
      <c r="N2057" s="120">
        <f t="shared" si="2233"/>
        <v>9408.4253914573364</v>
      </c>
      <c r="O2057" s="119">
        <f t="shared" si="2234"/>
        <v>0.70000000000000007</v>
      </c>
      <c r="P2057" s="117">
        <f t="shared" si="2226"/>
        <v>13440.607702081908</v>
      </c>
      <c r="Q2057" s="111"/>
      <c r="R2057" s="117"/>
      <c r="S2057" s="117"/>
      <c r="T2057" s="117"/>
      <c r="U2057" s="117"/>
      <c r="V2057" s="117"/>
      <c r="W2057" s="52">
        <f t="shared" si="2235"/>
        <v>0</v>
      </c>
      <c r="X2057" s="118" t="str">
        <f t="shared" si="2236"/>
        <v/>
      </c>
      <c r="Y2057" s="119">
        <f t="shared" si="2237"/>
        <v>0</v>
      </c>
      <c r="Z2057" s="117">
        <f t="shared" si="2238"/>
        <v>13440.607702081908</v>
      </c>
      <c r="AA2057" s="119">
        <f t="shared" si="2239"/>
        <v>1</v>
      </c>
      <c r="AB2057" s="120">
        <f t="shared" si="2240"/>
        <v>4032.1823106245724</v>
      </c>
      <c r="AC2057" s="119">
        <f t="shared" si="2241"/>
        <v>0.29999999999999993</v>
      </c>
      <c r="AD2057" s="110"/>
      <c r="AE2057" s="110"/>
      <c r="AF2057" s="110"/>
      <c r="AG2057" s="121"/>
    </row>
    <row r="2058" spans="1:33" ht="11.25" customHeight="1" x14ac:dyDescent="0.15">
      <c r="A2058" s="108" t="s">
        <v>547</v>
      </c>
      <c r="B2058" s="108"/>
      <c r="C2058" s="111" t="s">
        <v>175</v>
      </c>
      <c r="D2058" s="111">
        <v>2027</v>
      </c>
      <c r="E2058" s="146"/>
      <c r="F2058" s="111"/>
      <c r="G2058" s="111">
        <v>81100011</v>
      </c>
      <c r="H2058" s="111">
        <v>4101</v>
      </c>
      <c r="I2058" s="111" t="str">
        <f t="shared" si="2258"/>
        <v>1</v>
      </c>
      <c r="J2058" s="111" t="str">
        <f t="shared" si="2260"/>
        <v>Small/Medium</v>
      </c>
      <c r="K2058" s="112" t="s">
        <v>145</v>
      </c>
      <c r="L2058" s="120">
        <v>19679.482188642192</v>
      </c>
      <c r="M2058" s="120">
        <f t="shared" si="2259"/>
        <v>5903.8446565926579</v>
      </c>
      <c r="N2058" s="120">
        <f t="shared" si="2233"/>
        <v>13775.637532049535</v>
      </c>
      <c r="O2058" s="119">
        <f t="shared" si="2234"/>
        <v>0.70000000000000007</v>
      </c>
      <c r="P2058" s="117">
        <f t="shared" si="2226"/>
        <v>19679.482188642192</v>
      </c>
      <c r="Q2058" s="111"/>
      <c r="R2058" s="117"/>
      <c r="S2058" s="117"/>
      <c r="T2058" s="117"/>
      <c r="U2058" s="117"/>
      <c r="V2058" s="117"/>
      <c r="W2058" s="52">
        <f t="shared" si="2235"/>
        <v>0</v>
      </c>
      <c r="X2058" s="118" t="str">
        <f t="shared" si="2236"/>
        <v/>
      </c>
      <c r="Y2058" s="119">
        <f t="shared" si="2237"/>
        <v>0</v>
      </c>
      <c r="Z2058" s="117">
        <f t="shared" si="2238"/>
        <v>19679.482188642192</v>
      </c>
      <c r="AA2058" s="119">
        <f t="shared" si="2239"/>
        <v>1</v>
      </c>
      <c r="AB2058" s="120">
        <f t="shared" si="2240"/>
        <v>5903.8446565926579</v>
      </c>
      <c r="AC2058" s="119">
        <f t="shared" si="2241"/>
        <v>0.29999999999999993</v>
      </c>
      <c r="AD2058" s="110"/>
      <c r="AE2058" s="110"/>
      <c r="AF2058" s="110"/>
      <c r="AG2058" s="121"/>
    </row>
    <row r="2059" spans="1:33" ht="11.25" customHeight="1" x14ac:dyDescent="0.15">
      <c r="A2059" s="108" t="s">
        <v>547</v>
      </c>
      <c r="B2059" s="108"/>
      <c r="C2059" s="111" t="s">
        <v>175</v>
      </c>
      <c r="D2059" s="111">
        <v>2027</v>
      </c>
      <c r="E2059" s="146"/>
      <c r="F2059" s="111"/>
      <c r="G2059" s="111">
        <v>80100011</v>
      </c>
      <c r="H2059" s="111">
        <v>4101</v>
      </c>
      <c r="I2059" s="111" t="str">
        <f t="shared" si="2258"/>
        <v>0</v>
      </c>
      <c r="J2059" s="111" t="s">
        <v>429</v>
      </c>
      <c r="K2059" s="112" t="s">
        <v>503</v>
      </c>
      <c r="L2059" s="120">
        <v>5917.5915116469369</v>
      </c>
      <c r="M2059" s="120">
        <f t="shared" si="2259"/>
        <v>1775.2774534940811</v>
      </c>
      <c r="N2059" s="120">
        <f t="shared" si="2233"/>
        <v>4142.314058152856</v>
      </c>
      <c r="O2059" s="119">
        <f t="shared" si="2234"/>
        <v>0.70000000000000007</v>
      </c>
      <c r="P2059" s="117">
        <f t="shared" si="2226"/>
        <v>5917.5915116469369</v>
      </c>
      <c r="Q2059" s="111"/>
      <c r="R2059" s="117"/>
      <c r="S2059" s="117"/>
      <c r="T2059" s="117"/>
      <c r="U2059" s="117"/>
      <c r="V2059" s="117"/>
      <c r="W2059" s="52">
        <f t="shared" si="2235"/>
        <v>0</v>
      </c>
      <c r="X2059" s="118" t="str">
        <f t="shared" si="2236"/>
        <v/>
      </c>
      <c r="Y2059" s="119">
        <f t="shared" si="2237"/>
        <v>0</v>
      </c>
      <c r="Z2059" s="117">
        <f t="shared" si="2238"/>
        <v>5917.5915116469369</v>
      </c>
      <c r="AA2059" s="119">
        <f t="shared" si="2239"/>
        <v>1</v>
      </c>
      <c r="AB2059" s="120">
        <f t="shared" si="2240"/>
        <v>1775.2774534940811</v>
      </c>
      <c r="AC2059" s="119">
        <f t="shared" si="2241"/>
        <v>0.29999999999999993</v>
      </c>
      <c r="AD2059" s="110"/>
      <c r="AE2059" s="110"/>
      <c r="AF2059" s="110"/>
      <c r="AG2059" s="121"/>
    </row>
    <row r="2060" spans="1:33" ht="11.25" customHeight="1" x14ac:dyDescent="0.15">
      <c r="A2060" s="108" t="s">
        <v>547</v>
      </c>
      <c r="B2060" s="108"/>
      <c r="C2060" s="111" t="s">
        <v>175</v>
      </c>
      <c r="D2060" s="111">
        <v>2027</v>
      </c>
      <c r="E2060" s="146"/>
      <c r="F2060" s="111"/>
      <c r="G2060" s="111">
        <v>82100011</v>
      </c>
      <c r="H2060" s="111">
        <v>4101</v>
      </c>
      <c r="I2060" s="111" t="str">
        <f t="shared" si="2258"/>
        <v>2</v>
      </c>
      <c r="J2060" s="111" t="str">
        <f t="shared" si="2260"/>
        <v>Large</v>
      </c>
      <c r="K2060" s="112" t="s">
        <v>176</v>
      </c>
      <c r="L2060" s="120">
        <v>13776.926299710871</v>
      </c>
      <c r="M2060" s="120">
        <f t="shared" si="2259"/>
        <v>4133.0778899132611</v>
      </c>
      <c r="N2060" s="120">
        <f t="shared" si="2233"/>
        <v>9643.8484097976107</v>
      </c>
      <c r="O2060" s="119">
        <f t="shared" si="2234"/>
        <v>0.70000000000000007</v>
      </c>
      <c r="P2060" s="117">
        <f t="shared" si="2226"/>
        <v>13776.926299710871</v>
      </c>
      <c r="Q2060" s="111"/>
      <c r="R2060" s="117"/>
      <c r="S2060" s="117"/>
      <c r="T2060" s="117"/>
      <c r="U2060" s="117"/>
      <c r="V2060" s="117"/>
      <c r="W2060" s="52">
        <f t="shared" si="2235"/>
        <v>0</v>
      </c>
      <c r="X2060" s="118" t="str">
        <f t="shared" si="2236"/>
        <v/>
      </c>
      <c r="Y2060" s="119">
        <f t="shared" si="2237"/>
        <v>0</v>
      </c>
      <c r="Z2060" s="117">
        <f t="shared" si="2238"/>
        <v>13776.926299710871</v>
      </c>
      <c r="AA2060" s="119">
        <f t="shared" si="2239"/>
        <v>1</v>
      </c>
      <c r="AB2060" s="120">
        <f t="shared" si="2240"/>
        <v>4133.0778899132611</v>
      </c>
      <c r="AC2060" s="119">
        <f t="shared" si="2241"/>
        <v>0.29999999999999993</v>
      </c>
      <c r="AD2060" s="110"/>
      <c r="AE2060" s="110"/>
      <c r="AF2060" s="110"/>
      <c r="AG2060" s="121"/>
    </row>
    <row r="2061" spans="1:33" ht="11.25" customHeight="1" x14ac:dyDescent="0.15">
      <c r="A2061" s="108" t="s">
        <v>547</v>
      </c>
      <c r="B2061" s="108"/>
      <c r="C2061" s="111" t="s">
        <v>175</v>
      </c>
      <c r="D2061" s="111">
        <v>2028</v>
      </c>
      <c r="E2061" s="146"/>
      <c r="F2061" s="111"/>
      <c r="G2061" s="111">
        <v>81100011</v>
      </c>
      <c r="H2061" s="111">
        <v>4101</v>
      </c>
      <c r="I2061" s="111" t="str">
        <f t="shared" si="2258"/>
        <v>1</v>
      </c>
      <c r="J2061" s="111" t="str">
        <f t="shared" si="2260"/>
        <v>Small/Medium</v>
      </c>
      <c r="K2061" s="112" t="s">
        <v>145</v>
      </c>
      <c r="L2061" s="120">
        <v>20171.649249818161</v>
      </c>
      <c r="M2061" s="120">
        <f t="shared" si="2259"/>
        <v>6051.4947749454486</v>
      </c>
      <c r="N2061" s="120">
        <f t="shared" si="2233"/>
        <v>14120.154474872714</v>
      </c>
      <c r="O2061" s="119">
        <f t="shared" si="2234"/>
        <v>0.70000000000000007</v>
      </c>
      <c r="P2061" s="117">
        <f t="shared" si="2226"/>
        <v>20171.649249818161</v>
      </c>
      <c r="Q2061" s="111"/>
      <c r="R2061" s="117"/>
      <c r="S2061" s="117"/>
      <c r="T2061" s="117"/>
      <c r="U2061" s="117"/>
      <c r="V2061" s="117"/>
      <c r="W2061" s="52">
        <f t="shared" si="2235"/>
        <v>0</v>
      </c>
      <c r="X2061" s="118" t="str">
        <f t="shared" si="2236"/>
        <v/>
      </c>
      <c r="Y2061" s="119">
        <f t="shared" si="2237"/>
        <v>0</v>
      </c>
      <c r="Z2061" s="117">
        <f t="shared" si="2238"/>
        <v>20171.649249818161</v>
      </c>
      <c r="AA2061" s="119">
        <f t="shared" si="2239"/>
        <v>1</v>
      </c>
      <c r="AB2061" s="120">
        <f t="shared" si="2240"/>
        <v>6051.4947749454486</v>
      </c>
      <c r="AC2061" s="119">
        <f t="shared" si="2241"/>
        <v>0.29999999999999993</v>
      </c>
      <c r="AD2061" s="110"/>
      <c r="AE2061" s="110"/>
      <c r="AF2061" s="110"/>
      <c r="AG2061" s="121"/>
    </row>
    <row r="2062" spans="1:33" ht="11.25" customHeight="1" x14ac:dyDescent="0.15">
      <c r="A2062" s="108" t="s">
        <v>547</v>
      </c>
      <c r="B2062" s="108"/>
      <c r="C2062" s="111" t="s">
        <v>175</v>
      </c>
      <c r="D2062" s="111">
        <v>2028</v>
      </c>
      <c r="E2062" s="146"/>
      <c r="F2062" s="111"/>
      <c r="G2062" s="111">
        <v>80100011</v>
      </c>
      <c r="H2062" s="111">
        <v>4101</v>
      </c>
      <c r="I2062" s="111" t="str">
        <f t="shared" si="2258"/>
        <v>0</v>
      </c>
      <c r="J2062" s="111" t="s">
        <v>429</v>
      </c>
      <c r="K2062" s="112" t="s">
        <v>503</v>
      </c>
      <c r="L2062" s="120">
        <v>6065.5578578798686</v>
      </c>
      <c r="M2062" s="120">
        <f t="shared" si="2259"/>
        <v>1819.6673573639605</v>
      </c>
      <c r="N2062" s="120">
        <f t="shared" si="2233"/>
        <v>4245.8905005159086</v>
      </c>
      <c r="O2062" s="119">
        <f t="shared" si="2234"/>
        <v>0.70000000000000007</v>
      </c>
      <c r="P2062" s="117">
        <f t="shared" si="2226"/>
        <v>6065.5578578798686</v>
      </c>
      <c r="Q2062" s="111"/>
      <c r="R2062" s="117"/>
      <c r="S2062" s="117"/>
      <c r="T2062" s="117"/>
      <c r="U2062" s="117"/>
      <c r="V2062" s="117"/>
      <c r="W2062" s="52">
        <f t="shared" si="2235"/>
        <v>0</v>
      </c>
      <c r="X2062" s="118" t="str">
        <f t="shared" si="2236"/>
        <v/>
      </c>
      <c r="Y2062" s="119">
        <f t="shared" si="2237"/>
        <v>0</v>
      </c>
      <c r="Z2062" s="117">
        <f t="shared" si="2238"/>
        <v>6065.5578578798686</v>
      </c>
      <c r="AA2062" s="119">
        <f t="shared" si="2239"/>
        <v>1</v>
      </c>
      <c r="AB2062" s="120">
        <f t="shared" si="2240"/>
        <v>1819.6673573639605</v>
      </c>
      <c r="AC2062" s="119">
        <f t="shared" si="2241"/>
        <v>0.29999999999999993</v>
      </c>
      <c r="AD2062" s="110"/>
      <c r="AE2062" s="110"/>
      <c r="AF2062" s="110"/>
      <c r="AG2062" s="121"/>
    </row>
    <row r="2063" spans="1:33" ht="11.25" customHeight="1" x14ac:dyDescent="0.15">
      <c r="A2063" s="108" t="s">
        <v>547</v>
      </c>
      <c r="B2063" s="108"/>
      <c r="C2063" s="111" t="s">
        <v>175</v>
      </c>
      <c r="D2063" s="111">
        <v>2028</v>
      </c>
      <c r="E2063" s="146"/>
      <c r="F2063" s="111"/>
      <c r="G2063" s="111">
        <v>82100011</v>
      </c>
      <c r="H2063" s="111">
        <v>4101</v>
      </c>
      <c r="I2063" s="111" t="str">
        <f t="shared" si="2258"/>
        <v>2</v>
      </c>
      <c r="J2063" s="111" t="str">
        <f t="shared" si="2260"/>
        <v>Large</v>
      </c>
      <c r="K2063" s="112" t="s">
        <v>176</v>
      </c>
      <c r="L2063" s="120">
        <v>14121.792892301968</v>
      </c>
      <c r="M2063" s="120">
        <f t="shared" si="2259"/>
        <v>4236.5378676905902</v>
      </c>
      <c r="N2063" s="120">
        <f t="shared" si="2233"/>
        <v>9885.2550246113788</v>
      </c>
      <c r="O2063" s="119">
        <f t="shared" si="2234"/>
        <v>0.70000000000000007</v>
      </c>
      <c r="P2063" s="117">
        <f t="shared" si="2226"/>
        <v>14121.792892301968</v>
      </c>
      <c r="Q2063" s="111"/>
      <c r="R2063" s="117"/>
      <c r="S2063" s="117"/>
      <c r="T2063" s="117"/>
      <c r="U2063" s="117"/>
      <c r="V2063" s="117"/>
      <c r="W2063" s="52">
        <f t="shared" si="2235"/>
        <v>0</v>
      </c>
      <c r="X2063" s="118" t="str">
        <f t="shared" si="2236"/>
        <v/>
      </c>
      <c r="Y2063" s="119">
        <f t="shared" si="2237"/>
        <v>0</v>
      </c>
      <c r="Z2063" s="117">
        <f t="shared" si="2238"/>
        <v>14121.792892301968</v>
      </c>
      <c r="AA2063" s="119">
        <f t="shared" si="2239"/>
        <v>1</v>
      </c>
      <c r="AB2063" s="120">
        <f t="shared" si="2240"/>
        <v>4236.5378676905902</v>
      </c>
      <c r="AC2063" s="119">
        <f t="shared" si="2241"/>
        <v>0.29999999999999993</v>
      </c>
      <c r="AD2063" s="110"/>
      <c r="AE2063" s="110"/>
      <c r="AF2063" s="110"/>
      <c r="AG2063" s="121"/>
    </row>
    <row r="2064" spans="1:33" ht="11.25" customHeight="1" x14ac:dyDescent="0.15">
      <c r="A2064" s="108" t="s">
        <v>547</v>
      </c>
      <c r="B2064" s="108"/>
      <c r="C2064" s="111" t="s">
        <v>175</v>
      </c>
      <c r="D2064" s="111">
        <v>2029</v>
      </c>
      <c r="E2064" s="146"/>
      <c r="F2064" s="111"/>
      <c r="G2064" s="111">
        <v>81100011</v>
      </c>
      <c r="H2064" s="111">
        <v>4101</v>
      </c>
      <c r="I2064" s="111" t="str">
        <f t="shared" si="2258"/>
        <v>1</v>
      </c>
      <c r="J2064" s="111" t="str">
        <f t="shared" si="2260"/>
        <v>Small/Medium</v>
      </c>
      <c r="K2064" s="112" t="s">
        <v>145</v>
      </c>
      <c r="L2064" s="120">
        <v>20676.189313361443</v>
      </c>
      <c r="M2064" s="120">
        <f t="shared" si="2259"/>
        <v>6202.8567940084331</v>
      </c>
      <c r="N2064" s="120">
        <f t="shared" si="2233"/>
        <v>14473.332519353011</v>
      </c>
      <c r="O2064" s="119">
        <f t="shared" si="2234"/>
        <v>0.70000000000000007</v>
      </c>
      <c r="P2064" s="117">
        <f t="shared" si="2226"/>
        <v>20676.189313361443</v>
      </c>
      <c r="Q2064" s="111"/>
      <c r="R2064" s="117"/>
      <c r="S2064" s="117"/>
      <c r="T2064" s="117"/>
      <c r="U2064" s="117"/>
      <c r="V2064" s="117"/>
      <c r="W2064" s="52">
        <f t="shared" si="2235"/>
        <v>0</v>
      </c>
      <c r="X2064" s="118" t="str">
        <f t="shared" si="2236"/>
        <v/>
      </c>
      <c r="Y2064" s="119">
        <f t="shared" si="2237"/>
        <v>0</v>
      </c>
      <c r="Z2064" s="117">
        <f t="shared" si="2238"/>
        <v>20676.189313361443</v>
      </c>
      <c r="AA2064" s="119">
        <f t="shared" si="2239"/>
        <v>1</v>
      </c>
      <c r="AB2064" s="120">
        <f t="shared" si="2240"/>
        <v>6202.8567940084331</v>
      </c>
      <c r="AC2064" s="119">
        <f t="shared" si="2241"/>
        <v>0.29999999999999993</v>
      </c>
      <c r="AD2064" s="110"/>
      <c r="AE2064" s="110"/>
      <c r="AF2064" s="110"/>
      <c r="AG2064" s="121"/>
    </row>
    <row r="2065" spans="1:33" ht="11.25" customHeight="1" x14ac:dyDescent="0.15">
      <c r="A2065" s="108" t="s">
        <v>547</v>
      </c>
      <c r="B2065" s="108"/>
      <c r="C2065" s="111" t="s">
        <v>175</v>
      </c>
      <c r="D2065" s="111">
        <v>2029</v>
      </c>
      <c r="E2065" s="146"/>
      <c r="F2065" s="111"/>
      <c r="G2065" s="111">
        <v>80100011</v>
      </c>
      <c r="H2065" s="111">
        <v>4101</v>
      </c>
      <c r="I2065" s="111" t="str">
        <f t="shared" si="2258"/>
        <v>0</v>
      </c>
      <c r="J2065" s="111" t="s">
        <v>429</v>
      </c>
      <c r="K2065" s="112" t="s">
        <v>503</v>
      </c>
      <c r="L2065" s="120">
        <v>6217.30656428976</v>
      </c>
      <c r="M2065" s="120">
        <f t="shared" si="2259"/>
        <v>1865.1919692869278</v>
      </c>
      <c r="N2065" s="120">
        <f t="shared" si="2233"/>
        <v>4352.1145950028322</v>
      </c>
      <c r="O2065" s="119">
        <f t="shared" si="2234"/>
        <v>0.70000000000000007</v>
      </c>
      <c r="P2065" s="117">
        <f t="shared" si="2226"/>
        <v>6217.30656428976</v>
      </c>
      <c r="Q2065" s="111"/>
      <c r="R2065" s="117"/>
      <c r="S2065" s="117"/>
      <c r="T2065" s="117"/>
      <c r="U2065" s="117"/>
      <c r="V2065" s="117"/>
      <c r="W2065" s="52">
        <f t="shared" si="2235"/>
        <v>0</v>
      </c>
      <c r="X2065" s="118" t="str">
        <f t="shared" si="2236"/>
        <v/>
      </c>
      <c r="Y2065" s="119">
        <f t="shared" si="2237"/>
        <v>0</v>
      </c>
      <c r="Z2065" s="117">
        <f t="shared" si="2238"/>
        <v>6217.30656428976</v>
      </c>
      <c r="AA2065" s="119">
        <f t="shared" si="2239"/>
        <v>1</v>
      </c>
      <c r="AB2065" s="120">
        <f t="shared" si="2240"/>
        <v>1865.1919692869278</v>
      </c>
      <c r="AC2065" s="119">
        <f t="shared" si="2241"/>
        <v>0.29999999999999993</v>
      </c>
      <c r="AD2065" s="110"/>
      <c r="AE2065" s="110"/>
      <c r="AF2065" s="110"/>
      <c r="AG2065" s="121"/>
    </row>
    <row r="2066" spans="1:33" ht="11.25" customHeight="1" x14ac:dyDescent="0.15">
      <c r="A2066" s="108" t="s">
        <v>547</v>
      </c>
      <c r="B2066" s="108"/>
      <c r="C2066" s="111" t="s">
        <v>175</v>
      </c>
      <c r="D2066" s="111">
        <v>2029</v>
      </c>
      <c r="E2066" s="146"/>
      <c r="F2066" s="111"/>
      <c r="G2066" s="111">
        <v>82100011</v>
      </c>
      <c r="H2066" s="111">
        <v>4101</v>
      </c>
      <c r="I2066" s="111" t="str">
        <f t="shared" si="2258"/>
        <v>2</v>
      </c>
      <c r="J2066" s="111" t="str">
        <f t="shared" si="2260"/>
        <v>Large</v>
      </c>
      <c r="K2066" s="112" t="s">
        <v>176</v>
      </c>
      <c r="L2066" s="120">
        <v>14474.504122348795</v>
      </c>
      <c r="M2066" s="120">
        <f t="shared" si="2259"/>
        <v>4342.3512367046387</v>
      </c>
      <c r="N2066" s="120">
        <f t="shared" si="2233"/>
        <v>10132.152885644156</v>
      </c>
      <c r="O2066" s="119">
        <f t="shared" si="2234"/>
        <v>0.7</v>
      </c>
      <c r="P2066" s="117">
        <f t="shared" si="2226"/>
        <v>14474.504122348795</v>
      </c>
      <c r="Q2066" s="111"/>
      <c r="R2066" s="117"/>
      <c r="S2066" s="117"/>
      <c r="T2066" s="117"/>
      <c r="U2066" s="117"/>
      <c r="V2066" s="117"/>
      <c r="W2066" s="52">
        <f t="shared" si="2235"/>
        <v>0</v>
      </c>
      <c r="X2066" s="118" t="str">
        <f t="shared" si="2236"/>
        <v/>
      </c>
      <c r="Y2066" s="119">
        <f t="shared" si="2237"/>
        <v>0</v>
      </c>
      <c r="Z2066" s="117">
        <f t="shared" si="2238"/>
        <v>14474.504122348795</v>
      </c>
      <c r="AA2066" s="119">
        <f t="shared" si="2239"/>
        <v>1</v>
      </c>
      <c r="AB2066" s="120">
        <f t="shared" si="2240"/>
        <v>4342.3512367046387</v>
      </c>
      <c r="AC2066" s="119">
        <f t="shared" si="2241"/>
        <v>0.30000000000000004</v>
      </c>
      <c r="AD2066" s="110"/>
      <c r="AE2066" s="110"/>
      <c r="AF2066" s="110"/>
      <c r="AG2066" s="121"/>
    </row>
    <row r="2067" spans="1:33" s="53" customFormat="1" ht="11.25" customHeight="1" x14ac:dyDescent="0.15">
      <c r="A2067" s="53" t="s">
        <v>547</v>
      </c>
      <c r="C2067" s="54" t="s">
        <v>177</v>
      </c>
      <c r="D2067" s="54"/>
      <c r="E2067" s="70"/>
      <c r="F2067" s="54"/>
      <c r="G2067" s="54"/>
      <c r="H2067" s="54"/>
      <c r="I2067" s="54"/>
      <c r="J2067" s="54"/>
      <c r="K2067" s="106"/>
      <c r="L2067" s="24">
        <f>SUM(L2051:L2066)</f>
        <v>3061510.24</v>
      </c>
      <c r="M2067" s="24">
        <f t="shared" ref="M2067:N2067" si="2261">SUM(M2051:M2066)</f>
        <v>528959.24</v>
      </c>
      <c r="N2067" s="24">
        <f t="shared" si="2261"/>
        <v>2532551.0000000005</v>
      </c>
      <c r="O2067" s="57">
        <f>IFERROR(N2067/L2067,"")</f>
        <v>0.82722277616814377</v>
      </c>
      <c r="P2067" s="24">
        <f>SUM(P2051:P2066)</f>
        <v>3061510.24</v>
      </c>
      <c r="Q2067" s="24"/>
      <c r="R2067" s="24">
        <f>SUM(R2051:R2066)</f>
        <v>525.5</v>
      </c>
      <c r="S2067" s="24">
        <f>SUM(S2051:S2066)</f>
        <v>28168.33</v>
      </c>
      <c r="T2067" s="24">
        <f t="shared" ref="T2067:V2067" si="2262">SUM(T2051:T2066)</f>
        <v>18178.86</v>
      </c>
      <c r="U2067" s="24">
        <f t="shared" si="2262"/>
        <v>214469.03</v>
      </c>
      <c r="V2067" s="24">
        <f t="shared" si="2262"/>
        <v>10337.290000000001</v>
      </c>
      <c r="W2067" s="24">
        <f>SUM(S2067:V2067)</f>
        <v>271153.51</v>
      </c>
      <c r="X2067" s="56">
        <f t="shared" si="2236"/>
        <v>53.602911512844912</v>
      </c>
      <c r="Y2067" s="119">
        <f>IFERROR(U2067/P2067,0)</f>
        <v>7.0053343999267492E-2</v>
      </c>
      <c r="Z2067" s="28">
        <f>P2067-W2067</f>
        <v>2790356.7300000004</v>
      </c>
      <c r="AA2067" s="57">
        <f>IFERROR(Z2067/P2067,0)</f>
        <v>0.91143145417014848</v>
      </c>
      <c r="AB2067" s="58">
        <f>M2067-W2067</f>
        <v>257805.72999999998</v>
      </c>
      <c r="AC2067" s="57">
        <f>IFERROR(AA2067-O2067,"")</f>
        <v>8.4208678002004711E-2</v>
      </c>
      <c r="AG2067" s="61"/>
    </row>
    <row r="2068" spans="1:33" s="110" customFormat="1" ht="11.25" customHeight="1" x14ac:dyDescent="0.15">
      <c r="A2068" s="130"/>
      <c r="B2068" s="130"/>
      <c r="C2068" s="124"/>
      <c r="D2068" s="124"/>
      <c r="E2068" s="273"/>
      <c r="F2068" s="124"/>
      <c r="G2068" s="124"/>
      <c r="H2068" s="124"/>
      <c r="I2068" s="124"/>
      <c r="J2068" s="124"/>
      <c r="K2068" s="125"/>
      <c r="L2068" s="129"/>
      <c r="M2068" s="129"/>
      <c r="N2068" s="129"/>
      <c r="O2068" s="128"/>
      <c r="P2068" s="129"/>
      <c r="Q2068" s="124"/>
      <c r="R2068" s="129"/>
      <c r="S2068" s="129"/>
      <c r="T2068" s="129"/>
      <c r="U2068" s="129"/>
      <c r="V2068" s="126"/>
      <c r="W2068" s="49"/>
      <c r="X2068" s="45"/>
      <c r="Y2068" s="128"/>
      <c r="Z2068" s="126"/>
      <c r="AA2068" s="128"/>
      <c r="AB2068" s="129"/>
      <c r="AC2068" s="160"/>
      <c r="AD2068" s="137"/>
      <c r="AG2068" s="121"/>
    </row>
    <row r="2069" spans="1:33" ht="11.25" customHeight="1" x14ac:dyDescent="0.15">
      <c r="A2069" s="110" t="s">
        <v>547</v>
      </c>
      <c r="B2069" s="110"/>
      <c r="C2069" s="318" t="s">
        <v>37</v>
      </c>
      <c r="D2069" s="111">
        <v>2025</v>
      </c>
      <c r="E2069" s="146">
        <v>45900</v>
      </c>
      <c r="F2069" s="111"/>
      <c r="G2069" s="111">
        <v>92012102</v>
      </c>
      <c r="H2069" s="111"/>
      <c r="I2069" s="111"/>
      <c r="J2069" s="111"/>
      <c r="K2069" s="112" t="s">
        <v>979</v>
      </c>
      <c r="L2069" s="120">
        <v>30223</v>
      </c>
      <c r="M2069" s="120">
        <v>10578</v>
      </c>
      <c r="N2069" s="120">
        <f t="shared" ref="N2069:N2071" si="2263">L2069-M2069</f>
        <v>19645</v>
      </c>
      <c r="O2069" s="119">
        <f t="shared" ref="O2069:O2071" si="2264">IFERROR(N2069/L2069,"")</f>
        <v>0.650001654369189</v>
      </c>
      <c r="P2069" s="120">
        <v>30223</v>
      </c>
      <c r="Q2069" s="111">
        <v>5332</v>
      </c>
      <c r="R2069" s="117">
        <v>45</v>
      </c>
      <c r="S2069" s="117">
        <v>2150.8000000000002</v>
      </c>
      <c r="T2069" s="117"/>
      <c r="U2069" s="117">
        <v>13171.51</v>
      </c>
      <c r="V2069" s="117"/>
      <c r="W2069" s="52">
        <f t="shared" ref="W2069:W2071" si="2265">SUM(S2069:V2069)</f>
        <v>15322.310000000001</v>
      </c>
      <c r="X2069" s="118">
        <f t="shared" ref="X2069:X2072" si="2266">IFERROR(S2069/R2069,"")</f>
        <v>47.795555555555559</v>
      </c>
      <c r="Y2069" s="119">
        <f t="shared" ref="Y2069:Y2072" si="2267">IFERROR(U2069/P2069,0)</f>
        <v>0.43581080633954272</v>
      </c>
      <c r="Z2069" s="117">
        <f t="shared" ref="Z2069:Z2072" si="2268">P2069-W2069</f>
        <v>14900.689999999999</v>
      </c>
      <c r="AA2069" s="119">
        <f t="shared" ref="AA2069:AA2071" si="2269">IFERROR(Z2069/P2069,0)</f>
        <v>0.49302484862521917</v>
      </c>
      <c r="AB2069" s="120">
        <f t="shared" ref="AB2069:AB2071" si="2270">M2069-W2069</f>
        <v>-4744.3100000000013</v>
      </c>
      <c r="AC2069" s="119">
        <f t="shared" ref="AC2069:AC2071" si="2271">IFERROR(AA2069-O2069,"")</f>
        <v>-0.15697680574396983</v>
      </c>
      <c r="AD2069" s="110" t="s">
        <v>980</v>
      </c>
      <c r="AE2069" s="110"/>
      <c r="AF2069" s="110"/>
      <c r="AG2069" s="121"/>
    </row>
    <row r="2070" spans="1:33" ht="11.25" customHeight="1" x14ac:dyDescent="0.15">
      <c r="A2070" s="110" t="s">
        <v>547</v>
      </c>
      <c r="B2070" s="110"/>
      <c r="C2070" s="111" t="s">
        <v>47</v>
      </c>
      <c r="D2070" s="111"/>
      <c r="E2070" s="146"/>
      <c r="F2070" s="111"/>
      <c r="G2070" s="111">
        <v>51012122</v>
      </c>
      <c r="H2070" s="111"/>
      <c r="I2070" s="111"/>
      <c r="J2070" s="111"/>
      <c r="K2070" s="112" t="s">
        <v>81</v>
      </c>
      <c r="L2070" s="120">
        <v>6150</v>
      </c>
      <c r="M2070" s="120">
        <v>1954.82</v>
      </c>
      <c r="N2070" s="120">
        <f t="shared" si="2263"/>
        <v>4195.18</v>
      </c>
      <c r="O2070" s="119">
        <f t="shared" si="2264"/>
        <v>0.68214308943089441</v>
      </c>
      <c r="P2070" s="120">
        <v>6150</v>
      </c>
      <c r="Q2070" s="111">
        <v>5337</v>
      </c>
      <c r="R2070" s="117">
        <v>10.5</v>
      </c>
      <c r="S2070" s="117">
        <v>587.05999999999995</v>
      </c>
      <c r="T2070" s="117"/>
      <c r="U2070" s="117">
        <v>7552.36</v>
      </c>
      <c r="V2070" s="117"/>
      <c r="W2070" s="52">
        <f t="shared" si="2265"/>
        <v>8139.42</v>
      </c>
      <c r="X2070" s="118">
        <f t="shared" si="2266"/>
        <v>55.910476190476189</v>
      </c>
      <c r="Y2070" s="119">
        <f t="shared" si="2267"/>
        <v>1.2280260162601626</v>
      </c>
      <c r="Z2070" s="117">
        <f t="shared" si="2268"/>
        <v>-1989.42</v>
      </c>
      <c r="AA2070" s="119">
        <f t="shared" si="2269"/>
        <v>-0.32348292682926832</v>
      </c>
      <c r="AB2070" s="120">
        <f t="shared" si="2270"/>
        <v>-6184.6</v>
      </c>
      <c r="AC2070" s="119">
        <f t="shared" si="2271"/>
        <v>-1.0056260162601627</v>
      </c>
      <c r="AD2070" s="110" t="s">
        <v>980</v>
      </c>
      <c r="AE2070" s="110"/>
      <c r="AF2070" s="110"/>
      <c r="AG2070" s="121"/>
    </row>
    <row r="2071" spans="1:33" ht="11.25" customHeight="1" x14ac:dyDescent="0.15">
      <c r="A2071" s="110" t="s">
        <v>547</v>
      </c>
      <c r="B2071" s="110"/>
      <c r="C2071" s="318" t="s">
        <v>55</v>
      </c>
      <c r="D2071" s="111">
        <v>2025</v>
      </c>
      <c r="E2071" s="146">
        <v>45900</v>
      </c>
      <c r="F2071" s="111"/>
      <c r="G2071" s="111" t="s">
        <v>56</v>
      </c>
      <c r="H2071" s="111"/>
      <c r="I2071" s="111"/>
      <c r="J2071" s="111"/>
      <c r="K2071" s="112" t="s">
        <v>71</v>
      </c>
      <c r="L2071" s="120">
        <v>4021</v>
      </c>
      <c r="M2071" s="120">
        <v>2010.09</v>
      </c>
      <c r="N2071" s="120">
        <f t="shared" si="2263"/>
        <v>2010.91</v>
      </c>
      <c r="O2071" s="119">
        <f t="shared" si="2264"/>
        <v>0.50010196468540169</v>
      </c>
      <c r="P2071" s="120">
        <v>4021</v>
      </c>
      <c r="Q2071" s="111">
        <v>5338</v>
      </c>
      <c r="R2071" s="117">
        <v>6</v>
      </c>
      <c r="S2071" s="117">
        <v>315</v>
      </c>
      <c r="T2071" s="117"/>
      <c r="U2071" s="117"/>
      <c r="V2071" s="117">
        <v>1309.81</v>
      </c>
      <c r="W2071" s="52">
        <f t="shared" si="2265"/>
        <v>1624.81</v>
      </c>
      <c r="X2071" s="118">
        <f t="shared" si="2266"/>
        <v>52.5</v>
      </c>
      <c r="Y2071" s="119">
        <f t="shared" si="2267"/>
        <v>0</v>
      </c>
      <c r="Z2071" s="117">
        <f t="shared" si="2268"/>
        <v>2396.19</v>
      </c>
      <c r="AA2071" s="119">
        <f t="shared" si="2269"/>
        <v>0.59591892564038795</v>
      </c>
      <c r="AB2071" s="120">
        <f t="shared" si="2270"/>
        <v>385.28</v>
      </c>
      <c r="AC2071" s="119">
        <f t="shared" si="2271"/>
        <v>9.5816960954986263E-2</v>
      </c>
      <c r="AD2071" s="110"/>
      <c r="AE2071" s="110"/>
      <c r="AF2071" s="110"/>
      <c r="AG2071" s="121"/>
    </row>
    <row r="2072" spans="1:33" s="53" customFormat="1" ht="11.25" customHeight="1" x14ac:dyDescent="0.15">
      <c r="A2072" s="53" t="s">
        <v>547</v>
      </c>
      <c r="C2072" s="54" t="s">
        <v>177</v>
      </c>
      <c r="D2072" s="54"/>
      <c r="E2072" s="70"/>
      <c r="F2072" s="54"/>
      <c r="G2072" s="54"/>
      <c r="H2072" s="54"/>
      <c r="I2072" s="54"/>
      <c r="J2072" s="54"/>
      <c r="K2072" s="106"/>
      <c r="L2072" s="24">
        <f>SUM(L2069:L2071)</f>
        <v>40394</v>
      </c>
      <c r="M2072" s="24">
        <f t="shared" ref="M2072:N2072" si="2272">SUM(M2068:M2071)</f>
        <v>14542.91</v>
      </c>
      <c r="N2072" s="24">
        <f t="shared" si="2272"/>
        <v>25851.09</v>
      </c>
      <c r="O2072" s="57">
        <f>IFERROR(N2072/L2072,"")</f>
        <v>0.63997351091746302</v>
      </c>
      <c r="P2072" s="24">
        <f>SUM(P2069:P2071)</f>
        <v>40394</v>
      </c>
      <c r="Q2072" s="24"/>
      <c r="R2072" s="24">
        <f>SUM(R2069:R2071)</f>
        <v>61.5</v>
      </c>
      <c r="S2072" s="24">
        <f t="shared" ref="S2072:V2072" si="2273">SUM(S2069:S2071)</f>
        <v>3052.86</v>
      </c>
      <c r="T2072" s="24">
        <f t="shared" si="2273"/>
        <v>0</v>
      </c>
      <c r="U2072" s="24">
        <f t="shared" si="2273"/>
        <v>20723.87</v>
      </c>
      <c r="V2072" s="24">
        <f t="shared" si="2273"/>
        <v>1309.81</v>
      </c>
      <c r="W2072" s="24">
        <f>SUM(S2072:V2072)</f>
        <v>25086.54</v>
      </c>
      <c r="X2072" s="56">
        <f t="shared" si="2266"/>
        <v>49.64</v>
      </c>
      <c r="Y2072" s="119">
        <f t="shared" si="2267"/>
        <v>0.51304327375352776</v>
      </c>
      <c r="Z2072" s="28">
        <f t="shared" si="2268"/>
        <v>15307.46</v>
      </c>
      <c r="AA2072" s="119">
        <f>IFERROR(Z2072/P2072,0)</f>
        <v>0.3789538050205476</v>
      </c>
      <c r="AB2072" s="58">
        <f>M2072-W2072</f>
        <v>-10543.630000000001</v>
      </c>
      <c r="AC2072" s="57">
        <f>IFERROR(AA2072-O2072,"")</f>
        <v>-0.26101970589691542</v>
      </c>
      <c r="AG2072" s="61"/>
    </row>
    <row r="2073" spans="1:33" s="110" customFormat="1" ht="11.25" customHeight="1" x14ac:dyDescent="0.15">
      <c r="A2073" s="130"/>
      <c r="B2073" s="130"/>
      <c r="C2073" s="124"/>
      <c r="D2073" s="124"/>
      <c r="E2073" s="273"/>
      <c r="F2073" s="124"/>
      <c r="G2073" s="124"/>
      <c r="H2073" s="124"/>
      <c r="I2073" s="124"/>
      <c r="J2073" s="124"/>
      <c r="K2073" s="125"/>
      <c r="L2073" s="129"/>
      <c r="M2073" s="129"/>
      <c r="N2073" s="129"/>
      <c r="O2073" s="128"/>
      <c r="P2073" s="129"/>
      <c r="Q2073" s="124"/>
      <c r="R2073" s="129"/>
      <c r="S2073" s="129"/>
      <c r="T2073" s="129"/>
      <c r="U2073" s="129"/>
      <c r="V2073" s="126"/>
      <c r="W2073" s="49"/>
      <c r="X2073" s="45"/>
      <c r="Y2073" s="128"/>
      <c r="Z2073" s="126"/>
      <c r="AA2073" s="128"/>
      <c r="AB2073" s="129"/>
      <c r="AC2073" s="160"/>
      <c r="AD2073" s="137"/>
      <c r="AG2073" s="121"/>
    </row>
    <row r="2074" spans="1:33" ht="11.25" customHeight="1" x14ac:dyDescent="0.15">
      <c r="A2074" s="110" t="s">
        <v>231</v>
      </c>
      <c r="B2074" s="110"/>
      <c r="C2074" s="111" t="s">
        <v>175</v>
      </c>
      <c r="D2074" s="111">
        <v>2025</v>
      </c>
      <c r="E2074" s="146">
        <v>45900</v>
      </c>
      <c r="F2074" s="111"/>
      <c r="G2074" s="111">
        <v>81100011</v>
      </c>
      <c r="H2074" s="111">
        <v>4101</v>
      </c>
      <c r="I2074" s="111" t="str">
        <f>MID(G2074,2,1)</f>
        <v>1</v>
      </c>
      <c r="J2074" s="111" t="str">
        <f>IF(I2074="1","Small/Medium","Large")</f>
        <v>Small/Medium</v>
      </c>
      <c r="K2074" s="112" t="s">
        <v>145</v>
      </c>
      <c r="L2074" s="120">
        <v>7288.8914701061785</v>
      </c>
      <c r="M2074" s="120">
        <f t="shared" ref="M2074:M2077" si="2274">L2074*0.3</f>
        <v>2186.6674410318533</v>
      </c>
      <c r="N2074" s="120">
        <f t="shared" ref="N2074:N2077" si="2275">L2074-M2074</f>
        <v>5102.2240290743248</v>
      </c>
      <c r="O2074" s="119">
        <f t="shared" ref="O2074:O2077" si="2276">IFERROR(N2074/L2074,"")</f>
        <v>0.7</v>
      </c>
      <c r="P2074" s="120">
        <v>7288.8914701061785</v>
      </c>
      <c r="Q2074" s="111">
        <v>3768</v>
      </c>
      <c r="R2074" s="117">
        <v>29</v>
      </c>
      <c r="S2074" s="117">
        <v>1591.52</v>
      </c>
      <c r="T2074" s="117">
        <v>882.95</v>
      </c>
      <c r="U2074" s="117">
        <v>253.73</v>
      </c>
      <c r="V2074" s="117"/>
      <c r="W2074" s="52">
        <f t="shared" ref="W2074" si="2277">SUM(S2074:V2074)</f>
        <v>2728.2000000000003</v>
      </c>
      <c r="X2074" s="118">
        <f t="shared" ref="X2074" si="2278">IFERROR(S2074/R2074,"")</f>
        <v>54.88</v>
      </c>
      <c r="Y2074" s="119">
        <f t="shared" ref="Y2074" si="2279">IFERROR(U2074/P2074,0)</f>
        <v>3.4810505965223795E-2</v>
      </c>
      <c r="Z2074" s="117">
        <f t="shared" ref="Z2074" si="2280">P2074-W2074</f>
        <v>4560.6914701061778</v>
      </c>
      <c r="AA2074" s="119">
        <f t="shared" ref="AA2074" si="2281">IFERROR(Z2074/P2074,0)</f>
        <v>0.62570440084214085</v>
      </c>
      <c r="AB2074" s="120">
        <f t="shared" ref="AB2074" si="2282">M2074-W2074</f>
        <v>-541.53255896814699</v>
      </c>
      <c r="AC2074" s="119">
        <f t="shared" ref="AC2074" si="2283">IFERROR(AA2074-O2074,"")</f>
        <v>-7.4295599157859105E-2</v>
      </c>
      <c r="AD2074" s="110"/>
      <c r="AE2074" s="110"/>
      <c r="AF2074" s="110"/>
      <c r="AG2074" s="121"/>
    </row>
    <row r="2075" spans="1:33" ht="11.25" customHeight="1" x14ac:dyDescent="0.15">
      <c r="A2075" s="110" t="s">
        <v>231</v>
      </c>
      <c r="B2075" s="110"/>
      <c r="C2075" s="111" t="s">
        <v>175</v>
      </c>
      <c r="D2075" s="111">
        <v>2025</v>
      </c>
      <c r="E2075" s="146">
        <v>45900</v>
      </c>
      <c r="F2075" s="111"/>
      <c r="G2075" s="111">
        <v>81100011</v>
      </c>
      <c r="H2075" s="111">
        <v>4101</v>
      </c>
      <c r="I2075" s="111" t="str">
        <f t="shared" ref="I2075:I2077" si="2284">MID(G2075,2,1)</f>
        <v>1</v>
      </c>
      <c r="J2075" s="111" t="str">
        <f t="shared" ref="J2075:J2076" si="2285">IF(I2075="1","Small/Medium","Large")</f>
        <v>Small/Medium</v>
      </c>
      <c r="K2075" s="112" t="s">
        <v>145</v>
      </c>
      <c r="L2075" s="120">
        <v>7288.8914701061785</v>
      </c>
      <c r="M2075" s="120">
        <f t="shared" si="2274"/>
        <v>2186.6674410318533</v>
      </c>
      <c r="N2075" s="120">
        <f t="shared" si="2275"/>
        <v>5102.2240290743248</v>
      </c>
      <c r="O2075" s="119">
        <f t="shared" si="2276"/>
        <v>0.7</v>
      </c>
      <c r="P2075" s="120">
        <v>7288.8914701061785</v>
      </c>
      <c r="Q2075" s="111">
        <v>3769</v>
      </c>
      <c r="R2075" s="117">
        <v>10</v>
      </c>
      <c r="S2075" s="117">
        <v>548.79999999999995</v>
      </c>
      <c r="T2075" s="117">
        <v>882.95</v>
      </c>
      <c r="U2075" s="117">
        <v>253.73</v>
      </c>
      <c r="V2075" s="117"/>
      <c r="W2075" s="52">
        <f t="shared" ref="W2075:W2077" si="2286">SUM(S2075:V2075)</f>
        <v>1685.48</v>
      </c>
      <c r="X2075" s="118">
        <f t="shared" ref="X2075:X2078" si="2287">IFERROR(S2075/R2075,"")</f>
        <v>54.879999999999995</v>
      </c>
      <c r="Y2075" s="119">
        <f t="shared" ref="Y2075:Y2078" si="2288">IFERROR(U2075/P2075,0)</f>
        <v>3.4810505965223795E-2</v>
      </c>
      <c r="Z2075" s="117">
        <f t="shared" ref="Z2075:Z2078" si="2289">P2075-W2075</f>
        <v>5603.411470106179</v>
      </c>
      <c r="AA2075" s="119">
        <f t="shared" ref="AA2075:AA2077" si="2290">IFERROR(Z2075/P2075,0)</f>
        <v>0.76876044774261854</v>
      </c>
      <c r="AB2075" s="120">
        <f t="shared" ref="AB2075:AB2077" si="2291">M2075-W2075</f>
        <v>501.18744103185327</v>
      </c>
      <c r="AC2075" s="119">
        <f t="shared" ref="AC2075:AC2077" si="2292">IFERROR(AA2075-O2075,"")</f>
        <v>6.876044774261858E-2</v>
      </c>
      <c r="AD2075" s="110"/>
      <c r="AE2075" s="110"/>
      <c r="AF2075" s="110"/>
      <c r="AG2075" s="121"/>
    </row>
    <row r="2076" spans="1:33" ht="11.25" customHeight="1" x14ac:dyDescent="0.15">
      <c r="A2076" s="110" t="s">
        <v>231</v>
      </c>
      <c r="B2076" s="110"/>
      <c r="C2076" s="111" t="s">
        <v>175</v>
      </c>
      <c r="D2076" s="111">
        <v>2025</v>
      </c>
      <c r="E2076" s="146">
        <v>45900</v>
      </c>
      <c r="F2076" s="111"/>
      <c r="G2076" s="111">
        <v>82100011</v>
      </c>
      <c r="H2076" s="111">
        <v>4101</v>
      </c>
      <c r="I2076" s="111" t="str">
        <f t="shared" si="2284"/>
        <v>2</v>
      </c>
      <c r="J2076" s="111" t="str">
        <f t="shared" si="2285"/>
        <v>Large</v>
      </c>
      <c r="K2076" s="112" t="s">
        <v>176</v>
      </c>
      <c r="L2076" s="120">
        <v>10204.754507232952</v>
      </c>
      <c r="M2076" s="120">
        <f t="shared" si="2274"/>
        <v>3061.4263521698854</v>
      </c>
      <c r="N2076" s="120">
        <f t="shared" si="2275"/>
        <v>7143.3281550630672</v>
      </c>
      <c r="O2076" s="119">
        <f t="shared" si="2276"/>
        <v>0.70000000000000007</v>
      </c>
      <c r="P2076" s="120">
        <v>10204.754507232952</v>
      </c>
      <c r="Q2076" s="111">
        <v>3770</v>
      </c>
      <c r="R2076" s="117">
        <v>11</v>
      </c>
      <c r="S2076" s="117">
        <v>603.67999999999995</v>
      </c>
      <c r="T2076" s="117">
        <v>882.95</v>
      </c>
      <c r="U2076" s="117">
        <v>273.24</v>
      </c>
      <c r="V2076" s="117"/>
      <c r="W2076" s="52">
        <f t="shared" si="2286"/>
        <v>1759.8700000000001</v>
      </c>
      <c r="X2076" s="118">
        <f t="shared" si="2287"/>
        <v>54.879999999999995</v>
      </c>
      <c r="Y2076" s="119">
        <f t="shared" si="2288"/>
        <v>2.6775754361002241E-2</v>
      </c>
      <c r="Z2076" s="117">
        <f t="shared" si="2289"/>
        <v>8444.8845072329514</v>
      </c>
      <c r="AA2076" s="119">
        <f t="shared" si="2290"/>
        <v>0.82754411203594991</v>
      </c>
      <c r="AB2076" s="120">
        <f t="shared" si="2291"/>
        <v>1301.5563521698853</v>
      </c>
      <c r="AC2076" s="119">
        <f t="shared" si="2292"/>
        <v>0.12754411203594984</v>
      </c>
      <c r="AD2076" s="110"/>
      <c r="AE2076" s="110"/>
      <c r="AF2076" s="110"/>
      <c r="AG2076" s="121"/>
    </row>
    <row r="2077" spans="1:33" ht="11.25" customHeight="1" x14ac:dyDescent="0.15">
      <c r="A2077" s="110" t="s">
        <v>231</v>
      </c>
      <c r="B2077" s="110"/>
      <c r="C2077" s="111" t="s">
        <v>175</v>
      </c>
      <c r="D2077" s="111">
        <v>2025</v>
      </c>
      <c r="E2077" s="146">
        <v>45900</v>
      </c>
      <c r="F2077" s="111"/>
      <c r="G2077" s="111">
        <v>80100011</v>
      </c>
      <c r="H2077" s="111">
        <v>4101</v>
      </c>
      <c r="I2077" s="111" t="str">
        <f t="shared" si="2284"/>
        <v>0</v>
      </c>
      <c r="J2077" s="111" t="s">
        <v>429</v>
      </c>
      <c r="K2077" s="112" t="s">
        <v>503</v>
      </c>
      <c r="L2077" s="120">
        <v>18221.462552554694</v>
      </c>
      <c r="M2077" s="120">
        <f t="shared" si="2274"/>
        <v>5466.4387657664083</v>
      </c>
      <c r="N2077" s="120">
        <f t="shared" si="2275"/>
        <v>12755.023786788286</v>
      </c>
      <c r="O2077" s="119">
        <f t="shared" si="2276"/>
        <v>0.7</v>
      </c>
      <c r="P2077" s="120">
        <v>18221.462552554694</v>
      </c>
      <c r="Q2077" s="111">
        <v>3782</v>
      </c>
      <c r="R2077" s="117">
        <v>72</v>
      </c>
      <c r="S2077" s="117">
        <v>3951.36</v>
      </c>
      <c r="T2077" s="117">
        <v>2798.71</v>
      </c>
      <c r="U2077" s="117"/>
      <c r="V2077" s="117"/>
      <c r="W2077" s="52">
        <f t="shared" si="2286"/>
        <v>6750.07</v>
      </c>
      <c r="X2077" s="118">
        <f t="shared" si="2287"/>
        <v>54.88</v>
      </c>
      <c r="Y2077" s="119">
        <f t="shared" si="2288"/>
        <v>0</v>
      </c>
      <c r="Z2077" s="117">
        <f t="shared" si="2289"/>
        <v>11471.392552554695</v>
      </c>
      <c r="AA2077" s="119">
        <f t="shared" si="2290"/>
        <v>0.62955388567019155</v>
      </c>
      <c r="AB2077" s="120">
        <f t="shared" si="2291"/>
        <v>-1283.6312342335914</v>
      </c>
      <c r="AC2077" s="119">
        <f t="shared" si="2292"/>
        <v>-7.0446114329808407E-2</v>
      </c>
      <c r="AD2077" s="110" t="s">
        <v>981</v>
      </c>
      <c r="AE2077" s="110"/>
      <c r="AF2077" s="110"/>
      <c r="AG2077" s="121"/>
    </row>
    <row r="2078" spans="1:33" s="53" customFormat="1" ht="11.25" customHeight="1" x14ac:dyDescent="0.15">
      <c r="A2078" s="53" t="s">
        <v>231</v>
      </c>
      <c r="C2078" s="54" t="s">
        <v>177</v>
      </c>
      <c r="D2078" s="54"/>
      <c r="E2078" s="70"/>
      <c r="F2078" s="54"/>
      <c r="G2078" s="54"/>
      <c r="H2078" s="54"/>
      <c r="I2078" s="54"/>
      <c r="J2078" s="54"/>
      <c r="K2078" s="106"/>
      <c r="L2078" s="24">
        <f>SUM(L2074:L2077)</f>
        <v>43004</v>
      </c>
      <c r="M2078" s="24">
        <f>SUM(M2074:M2077)</f>
        <v>12901.2</v>
      </c>
      <c r="N2078" s="24">
        <f>SUM(N2074:N2077)</f>
        <v>30102.800000000003</v>
      </c>
      <c r="O2078" s="57">
        <f>IFERROR(N2078/L2078,"")</f>
        <v>0.70000000000000007</v>
      </c>
      <c r="P2078" s="24">
        <f>SUM(P2074:P2077)</f>
        <v>43004</v>
      </c>
      <c r="Q2078" s="24"/>
      <c r="R2078" s="24">
        <f>SUM(R2074:R2077)</f>
        <v>122</v>
      </c>
      <c r="S2078" s="24">
        <f t="shared" ref="S2078:V2078" si="2293">SUM(S2074:S2077)</f>
        <v>6695.36</v>
      </c>
      <c r="T2078" s="24">
        <f t="shared" si="2293"/>
        <v>5447.56</v>
      </c>
      <c r="U2078" s="24">
        <f t="shared" si="2293"/>
        <v>780.7</v>
      </c>
      <c r="V2078" s="24">
        <f t="shared" si="2293"/>
        <v>0</v>
      </c>
      <c r="W2078" s="24">
        <f>SUM(S2078:V2078)</f>
        <v>12923.62</v>
      </c>
      <c r="X2078" s="56">
        <f t="shared" si="2287"/>
        <v>54.879999999999995</v>
      </c>
      <c r="Y2078" s="119">
        <f t="shared" si="2288"/>
        <v>1.8154125197656034E-2</v>
      </c>
      <c r="Z2078" s="28">
        <f t="shared" si="2289"/>
        <v>30080.379999999997</v>
      </c>
      <c r="AA2078" s="119">
        <f>IFERROR(Z2078/P2078,0)</f>
        <v>0.69947865314854429</v>
      </c>
      <c r="AB2078" s="58">
        <f>M2078-W2078</f>
        <v>-22.420000000000073</v>
      </c>
      <c r="AC2078" s="57">
        <f>IFERROR(AA2078-O2078,"")</f>
        <v>-5.2134685145577286E-4</v>
      </c>
      <c r="AG2078" s="61"/>
    </row>
    <row r="2079" spans="1:33" s="110" customFormat="1" ht="11.25" customHeight="1" x14ac:dyDescent="0.15">
      <c r="A2079" s="130"/>
      <c r="B2079" s="130"/>
      <c r="C2079" s="124"/>
      <c r="D2079" s="124"/>
      <c r="E2079" s="273"/>
      <c r="F2079" s="124"/>
      <c r="G2079" s="124"/>
      <c r="H2079" s="124"/>
      <c r="I2079" s="124"/>
      <c r="J2079" s="124"/>
      <c r="K2079" s="125"/>
      <c r="L2079" s="129"/>
      <c r="M2079" s="129"/>
      <c r="N2079" s="129"/>
      <c r="O2079" s="128"/>
      <c r="P2079" s="129"/>
      <c r="Q2079" s="124"/>
      <c r="R2079" s="129"/>
      <c r="S2079" s="129"/>
      <c r="T2079" s="129"/>
      <c r="U2079" s="129"/>
      <c r="V2079" s="126"/>
      <c r="W2079" s="49"/>
      <c r="X2079" s="45"/>
      <c r="Y2079" s="128"/>
      <c r="Z2079" s="126"/>
      <c r="AA2079" s="128"/>
      <c r="AB2079" s="129"/>
      <c r="AC2079" s="160"/>
      <c r="AD2079" s="137"/>
      <c r="AG2079" s="121"/>
    </row>
    <row r="2080" spans="1:33" ht="11.25" customHeight="1" x14ac:dyDescent="0.15">
      <c r="A2080" s="110" t="s">
        <v>454</v>
      </c>
      <c r="B2080" s="110"/>
      <c r="C2080" s="111" t="s">
        <v>175</v>
      </c>
      <c r="D2080" s="111">
        <v>2025</v>
      </c>
      <c r="E2080" s="146">
        <v>45900</v>
      </c>
      <c r="F2080" s="111"/>
      <c r="G2080" s="111">
        <v>81100011</v>
      </c>
      <c r="H2080" s="111">
        <v>4101</v>
      </c>
      <c r="I2080" s="111" t="str">
        <f>MID(G2080,2,1)</f>
        <v>1</v>
      </c>
      <c r="J2080" s="111" t="str">
        <f>IF(I2080="1","Small/Medium","Large")</f>
        <v>Small/Medium</v>
      </c>
      <c r="K2080" s="112" t="s">
        <v>145</v>
      </c>
      <c r="L2080" s="120">
        <v>13745</v>
      </c>
      <c r="M2080" s="120">
        <f t="shared" ref="M2080" si="2294">L2080*0.3</f>
        <v>4123.5</v>
      </c>
      <c r="N2080" s="120">
        <f t="shared" ref="N2080" si="2295">L2080-M2080</f>
        <v>9621.5</v>
      </c>
      <c r="O2080" s="119">
        <f t="shared" ref="O2080" si="2296">IFERROR(N2080/L2080,"")</f>
        <v>0.7</v>
      </c>
      <c r="P2080" s="120">
        <v>13745</v>
      </c>
      <c r="Q2080" s="111">
        <v>5939</v>
      </c>
      <c r="R2080" s="117">
        <v>35</v>
      </c>
      <c r="S2080" s="117">
        <v>1920.8</v>
      </c>
      <c r="T2080" s="117">
        <v>1617.8</v>
      </c>
      <c r="U2080" s="117">
        <v>942.23</v>
      </c>
      <c r="V2080" s="117"/>
      <c r="W2080" s="52">
        <f t="shared" ref="W2080" si="2297">SUM(S2080:V2080)</f>
        <v>4480.83</v>
      </c>
      <c r="X2080" s="118">
        <f t="shared" ref="X2080:X2081" si="2298">IFERROR(S2080/R2080,"")</f>
        <v>54.879999999999995</v>
      </c>
      <c r="Y2080" s="119">
        <f t="shared" ref="Y2080:Y2081" si="2299">IFERROR(U2080/P2080,0)</f>
        <v>6.855074572571844E-2</v>
      </c>
      <c r="Z2080" s="117">
        <f t="shared" ref="Z2080:Z2081" si="2300">P2080-W2080</f>
        <v>9264.17</v>
      </c>
      <c r="AA2080" s="119">
        <f t="shared" ref="AA2080" si="2301">IFERROR(Z2080/P2080,0)</f>
        <v>0.67400291014914515</v>
      </c>
      <c r="AB2080" s="120">
        <f t="shared" ref="AB2080" si="2302">M2080-W2080</f>
        <v>-357.32999999999993</v>
      </c>
      <c r="AC2080" s="119"/>
      <c r="AD2080" s="110" t="s">
        <v>982</v>
      </c>
      <c r="AE2080" s="110"/>
      <c r="AF2080" s="110"/>
      <c r="AG2080" s="121"/>
    </row>
    <row r="2081" spans="1:33" s="53" customFormat="1" ht="11.25" customHeight="1" x14ac:dyDescent="0.15">
      <c r="A2081" s="53" t="s">
        <v>454</v>
      </c>
      <c r="C2081" s="54" t="s">
        <v>177</v>
      </c>
      <c r="D2081" s="54"/>
      <c r="E2081" s="70"/>
      <c r="F2081" s="54"/>
      <c r="G2081" s="54"/>
      <c r="H2081" s="54"/>
      <c r="I2081" s="54"/>
      <c r="J2081" s="54"/>
      <c r="K2081" s="106"/>
      <c r="L2081" s="24">
        <f>SUM(L2080)</f>
        <v>13745</v>
      </c>
      <c r="M2081" s="24">
        <f t="shared" ref="M2081:N2081" si="2303">SUM(M2080)</f>
        <v>4123.5</v>
      </c>
      <c r="N2081" s="24">
        <f t="shared" si="2303"/>
        <v>9621.5</v>
      </c>
      <c r="O2081" s="57">
        <f>IFERROR(N2081/L2081,"")</f>
        <v>0.7</v>
      </c>
      <c r="P2081" s="24">
        <f>SUM(P2080)</f>
        <v>13745</v>
      </c>
      <c r="Q2081" s="24"/>
      <c r="R2081" s="24">
        <f>SUM(R2080)</f>
        <v>35</v>
      </c>
      <c r="S2081" s="24">
        <f t="shared" ref="S2081:V2081" si="2304">SUM(S2080)</f>
        <v>1920.8</v>
      </c>
      <c r="T2081" s="24">
        <f t="shared" si="2304"/>
        <v>1617.8</v>
      </c>
      <c r="U2081" s="24">
        <f t="shared" si="2304"/>
        <v>942.23</v>
      </c>
      <c r="V2081" s="24">
        <f t="shared" si="2304"/>
        <v>0</v>
      </c>
      <c r="W2081" s="24">
        <f>SUM(S2081:V2081)</f>
        <v>4480.83</v>
      </c>
      <c r="X2081" s="56">
        <f t="shared" si="2298"/>
        <v>54.879999999999995</v>
      </c>
      <c r="Y2081" s="119">
        <f t="shared" si="2299"/>
        <v>6.855074572571844E-2</v>
      </c>
      <c r="Z2081" s="28">
        <f t="shared" si="2300"/>
        <v>9264.17</v>
      </c>
      <c r="AA2081" s="119">
        <f>IFERROR(Z2081/P2081,0)</f>
        <v>0.67400291014914515</v>
      </c>
      <c r="AB2081" s="58">
        <f>M2081-W2081</f>
        <v>-357.32999999999993</v>
      </c>
      <c r="AC2081" s="57"/>
      <c r="AG2081" s="61"/>
    </row>
    <row r="2082" spans="1:33" s="110" customFormat="1" ht="11.25" customHeight="1" x14ac:dyDescent="0.15">
      <c r="A2082" s="130"/>
      <c r="B2082" s="130"/>
      <c r="C2082" s="124"/>
      <c r="D2082" s="124"/>
      <c r="E2082" s="273"/>
      <c r="F2082" s="124"/>
      <c r="G2082" s="124"/>
      <c r="H2082" s="124"/>
      <c r="I2082" s="124"/>
      <c r="J2082" s="124"/>
      <c r="K2082" s="125"/>
      <c r="L2082" s="220"/>
      <c r="M2082" s="220"/>
      <c r="N2082" s="129"/>
      <c r="O2082" s="128"/>
      <c r="P2082" s="129"/>
      <c r="Q2082" s="124"/>
      <c r="R2082" s="129"/>
      <c r="S2082" s="129"/>
      <c r="T2082" s="129"/>
      <c r="U2082" s="129"/>
      <c r="V2082" s="126"/>
      <c r="W2082" s="49"/>
      <c r="X2082" s="45"/>
      <c r="Y2082" s="128"/>
      <c r="Z2082" s="126"/>
      <c r="AA2082" s="128"/>
      <c r="AB2082" s="129"/>
      <c r="AC2082" s="160"/>
      <c r="AD2082" s="137"/>
      <c r="AG2082" s="121"/>
    </row>
    <row r="2083" spans="1:33" ht="11.25" customHeight="1" x14ac:dyDescent="0.15">
      <c r="A2083" s="110" t="s">
        <v>239</v>
      </c>
      <c r="B2083" s="110"/>
      <c r="C2083" s="111" t="s">
        <v>175</v>
      </c>
      <c r="D2083" s="111">
        <v>2025</v>
      </c>
      <c r="E2083" s="146">
        <v>45900</v>
      </c>
      <c r="F2083" s="111"/>
      <c r="G2083" s="111">
        <v>81100211</v>
      </c>
      <c r="H2083" s="111">
        <v>4101</v>
      </c>
      <c r="I2083" s="111" t="str">
        <f>MID(G2083,2,1)</f>
        <v>1</v>
      </c>
      <c r="J2083" s="111" t="str">
        <f>IF(I2083="1","Small/Medium","Large")</f>
        <v>Small/Medium</v>
      </c>
      <c r="K2083" s="112" t="s">
        <v>145</v>
      </c>
      <c r="L2083" s="219">
        <v>13135</v>
      </c>
      <c r="M2083" s="120">
        <f t="shared" ref="M2083" si="2305">L2083*0.3</f>
        <v>3940.5</v>
      </c>
      <c r="N2083" s="120">
        <f t="shared" ref="N2083" si="2306">L2083-M2083</f>
        <v>9194.5</v>
      </c>
      <c r="O2083" s="119">
        <f t="shared" ref="O2083" si="2307">IFERROR(N2083/L2083,"")</f>
        <v>0.7</v>
      </c>
      <c r="P2083" s="219">
        <v>13135</v>
      </c>
      <c r="Q2083" s="111">
        <v>5945</v>
      </c>
      <c r="R2083" s="117">
        <v>22</v>
      </c>
      <c r="S2083" s="117">
        <v>1207.3599999999999</v>
      </c>
      <c r="T2083" s="117">
        <v>1589.87</v>
      </c>
      <c r="U2083" s="117">
        <v>651.71</v>
      </c>
      <c r="V2083" s="117"/>
      <c r="W2083" s="52">
        <f t="shared" ref="W2083" si="2308">SUM(S2083:V2083)</f>
        <v>3448.9399999999996</v>
      </c>
      <c r="X2083" s="118">
        <f t="shared" ref="X2083:X2084" si="2309">IFERROR(S2083/R2083,"")</f>
        <v>54.879999999999995</v>
      </c>
      <c r="Y2083" s="119">
        <f t="shared" ref="Y2083:Y2084" si="2310">IFERROR(U2083/P2083,0)</f>
        <v>4.9616292348686718E-2</v>
      </c>
      <c r="Z2083" s="117">
        <f t="shared" ref="Z2083:Z2084" si="2311">P2083-W2083</f>
        <v>9686.0600000000013</v>
      </c>
      <c r="AA2083" s="119">
        <f t="shared" ref="AA2083" si="2312">IFERROR(Z2083/P2083,0)</f>
        <v>0.73742367719832513</v>
      </c>
      <c r="AB2083" s="120">
        <f t="shared" ref="AB2083" si="2313">M2083-W2083</f>
        <v>491.5600000000004</v>
      </c>
      <c r="AC2083" s="119"/>
      <c r="AD2083" s="110" t="s">
        <v>983</v>
      </c>
      <c r="AE2083" s="110"/>
      <c r="AF2083" s="110"/>
      <c r="AG2083" s="121"/>
    </row>
    <row r="2084" spans="1:33" s="53" customFormat="1" ht="11.25" customHeight="1" x14ac:dyDescent="0.15">
      <c r="A2084" s="53" t="s">
        <v>239</v>
      </c>
      <c r="C2084" s="54" t="s">
        <v>177</v>
      </c>
      <c r="D2084" s="54"/>
      <c r="E2084" s="70"/>
      <c r="F2084" s="54"/>
      <c r="G2084" s="54"/>
      <c r="H2084" s="54"/>
      <c r="I2084" s="54"/>
      <c r="J2084" s="54"/>
      <c r="K2084" s="106"/>
      <c r="L2084" s="24">
        <f>SUM(L2083)</f>
        <v>13135</v>
      </c>
      <c r="M2084" s="24">
        <f t="shared" ref="M2084:N2084" si="2314">SUM(M2083)</f>
        <v>3940.5</v>
      </c>
      <c r="N2084" s="24">
        <f t="shared" si="2314"/>
        <v>9194.5</v>
      </c>
      <c r="O2084" s="57">
        <f>IFERROR(N2084/L2084,"")</f>
        <v>0.7</v>
      </c>
      <c r="P2084" s="24">
        <f>SUM(P2083)</f>
        <v>13135</v>
      </c>
      <c r="Q2084" s="24"/>
      <c r="R2084" s="24">
        <f>SUM(R2083)</f>
        <v>22</v>
      </c>
      <c r="S2084" s="24">
        <f t="shared" ref="S2084:V2084" si="2315">SUM(S2083)</f>
        <v>1207.3599999999999</v>
      </c>
      <c r="T2084" s="24">
        <f t="shared" si="2315"/>
        <v>1589.87</v>
      </c>
      <c r="U2084" s="24">
        <f t="shared" si="2315"/>
        <v>651.71</v>
      </c>
      <c r="V2084" s="24">
        <f t="shared" si="2315"/>
        <v>0</v>
      </c>
      <c r="W2084" s="24">
        <f>SUM(S2084:V2084)</f>
        <v>3448.9399999999996</v>
      </c>
      <c r="X2084" s="56">
        <f t="shared" si="2309"/>
        <v>54.879999999999995</v>
      </c>
      <c r="Y2084" s="119">
        <f t="shared" si="2310"/>
        <v>4.9616292348686718E-2</v>
      </c>
      <c r="Z2084" s="28">
        <f t="shared" si="2311"/>
        <v>9686.0600000000013</v>
      </c>
      <c r="AA2084" s="119">
        <f>IFERROR(Z2084/P2084,0)</f>
        <v>0.73742367719832513</v>
      </c>
      <c r="AB2084" s="58">
        <f>M2084-W2084</f>
        <v>491.5600000000004</v>
      </c>
      <c r="AC2084" s="57"/>
      <c r="AG2084" s="61"/>
    </row>
    <row r="2085" spans="1:33" s="110" customFormat="1" ht="11.25" customHeight="1" x14ac:dyDescent="0.15">
      <c r="A2085" s="130"/>
      <c r="B2085" s="130"/>
      <c r="C2085" s="124"/>
      <c r="D2085" s="124"/>
      <c r="E2085" s="273"/>
      <c r="F2085" s="124"/>
      <c r="G2085" s="124"/>
      <c r="H2085" s="124"/>
      <c r="I2085" s="124"/>
      <c r="J2085" s="124"/>
      <c r="K2085" s="125"/>
      <c r="L2085" s="220"/>
      <c r="M2085" s="220"/>
      <c r="N2085" s="129"/>
      <c r="O2085" s="128"/>
      <c r="P2085" s="129"/>
      <c r="Q2085" s="124"/>
      <c r="R2085" s="129"/>
      <c r="S2085" s="129"/>
      <c r="T2085" s="129"/>
      <c r="U2085" s="129"/>
      <c r="V2085" s="126"/>
      <c r="W2085" s="49"/>
      <c r="X2085" s="45"/>
      <c r="Y2085" s="128"/>
      <c r="Z2085" s="126"/>
      <c r="AA2085" s="128"/>
      <c r="AB2085" s="129"/>
      <c r="AC2085" s="160"/>
      <c r="AD2085" s="137"/>
      <c r="AG2085" s="121"/>
    </row>
    <row r="2086" spans="1:33" ht="11.25" customHeight="1" x14ac:dyDescent="0.15">
      <c r="A2086" s="110" t="s">
        <v>194</v>
      </c>
      <c r="B2086" s="319" t="s">
        <v>984</v>
      </c>
      <c r="C2086" s="111" t="s">
        <v>175</v>
      </c>
      <c r="D2086" s="111">
        <v>2025</v>
      </c>
      <c r="E2086" s="146">
        <v>45900</v>
      </c>
      <c r="F2086" s="111"/>
      <c r="G2086" s="111">
        <v>81100211</v>
      </c>
      <c r="H2086" s="111">
        <v>4101</v>
      </c>
      <c r="I2086" s="111" t="str">
        <f>MID(G2086,2,1)</f>
        <v>1</v>
      </c>
      <c r="J2086" s="111" t="str">
        <f>IF(I2086="1","Small/Medium","Large")</f>
        <v>Small/Medium</v>
      </c>
      <c r="K2086" s="112" t="s">
        <v>145</v>
      </c>
      <c r="L2086" s="219">
        <v>8120.7</v>
      </c>
      <c r="M2086" s="120">
        <f t="shared" ref="M2086" si="2316">L2086*0.3</f>
        <v>2436.21</v>
      </c>
      <c r="N2086" s="120">
        <f t="shared" ref="N2086" si="2317">L2086-M2086</f>
        <v>5684.49</v>
      </c>
      <c r="O2086" s="119">
        <f t="shared" ref="O2086" si="2318">IFERROR(N2086/L2086,"")</f>
        <v>0.7</v>
      </c>
      <c r="P2086" s="219">
        <v>8120.7</v>
      </c>
      <c r="Q2086" s="111">
        <v>4882</v>
      </c>
      <c r="R2086" s="117">
        <v>11</v>
      </c>
      <c r="S2086" s="117">
        <v>603.67999999999995</v>
      </c>
      <c r="T2086" s="117">
        <v>794.92</v>
      </c>
      <c r="U2086" s="117">
        <v>347.47</v>
      </c>
      <c r="V2086" s="117"/>
      <c r="W2086" s="52">
        <f t="shared" ref="W2086:W2087" si="2319">SUM(S2086:V2086)</f>
        <v>1746.07</v>
      </c>
      <c r="X2086" s="118">
        <f t="shared" ref="X2086:X2088" si="2320">IFERROR(S2086/R2086,"")</f>
        <v>54.879999999999995</v>
      </c>
      <c r="Y2086" s="119">
        <f t="shared" ref="Y2086:Y2088" si="2321">IFERROR(U2086/P2086,0)</f>
        <v>4.2788183284692208E-2</v>
      </c>
      <c r="Z2086" s="117">
        <f t="shared" ref="Z2086:Z2088" si="2322">P2086-W2086</f>
        <v>6374.63</v>
      </c>
      <c r="AA2086" s="119">
        <f t="shared" ref="AA2086:AA2087" si="2323">IFERROR(Z2086/P2086,0)</f>
        <v>0.78498528451980742</v>
      </c>
      <c r="AB2086" s="120">
        <f t="shared" ref="AB2086:AB2087" si="2324">M2086-W2086</f>
        <v>690.1400000000001</v>
      </c>
      <c r="AC2086" s="119">
        <f t="shared" ref="AC2086:AC2087" si="2325">IFERROR(AA2086-O2086,"")</f>
        <v>8.4985284519807469E-2</v>
      </c>
      <c r="AD2086" s="110" t="s">
        <v>985</v>
      </c>
      <c r="AE2086" s="110"/>
      <c r="AF2086" s="110"/>
      <c r="AG2086" s="121"/>
    </row>
    <row r="2087" spans="1:33" ht="11.25" customHeight="1" x14ac:dyDescent="0.15">
      <c r="A2087" s="110" t="s">
        <v>194</v>
      </c>
      <c r="B2087" s="110"/>
      <c r="C2087" s="111" t="s">
        <v>175</v>
      </c>
      <c r="D2087" s="111">
        <v>2025</v>
      </c>
      <c r="E2087" s="146">
        <v>45900</v>
      </c>
      <c r="F2087" s="111"/>
      <c r="G2087" s="111">
        <v>82100211</v>
      </c>
      <c r="H2087" s="111">
        <v>4101</v>
      </c>
      <c r="I2087" s="111" t="str">
        <f t="shared" ref="I2087" si="2326">MID(G2087,2,1)</f>
        <v>2</v>
      </c>
      <c r="J2087" s="111" t="str">
        <f t="shared" ref="J2087" si="2327">IF(I2087="1","Small/Medium","Large")</f>
        <v>Large</v>
      </c>
      <c r="K2087" s="112" t="s">
        <v>176</v>
      </c>
      <c r="L2087" s="219">
        <v>15081.300000000001</v>
      </c>
      <c r="M2087" s="120">
        <f t="shared" ref="M2087" si="2328">L2087*0.3</f>
        <v>4524.3900000000003</v>
      </c>
      <c r="N2087" s="120">
        <f t="shared" ref="N2087" si="2329">L2087-M2087</f>
        <v>10556.91</v>
      </c>
      <c r="O2087" s="119">
        <f t="shared" ref="O2087" si="2330">IFERROR(N2087/L2087,"")</f>
        <v>0.7</v>
      </c>
      <c r="P2087" s="219">
        <v>15081.300000000001</v>
      </c>
      <c r="Q2087" s="111">
        <v>4883</v>
      </c>
      <c r="R2087" s="117">
        <v>12</v>
      </c>
      <c r="S2087" s="117">
        <v>658.56</v>
      </c>
      <c r="T2087" s="117">
        <v>794.95</v>
      </c>
      <c r="U2087" s="117">
        <v>347.47</v>
      </c>
      <c r="V2087" s="117"/>
      <c r="W2087" s="52">
        <f t="shared" si="2319"/>
        <v>1800.98</v>
      </c>
      <c r="X2087" s="118">
        <f t="shared" si="2320"/>
        <v>54.879999999999995</v>
      </c>
      <c r="Y2087" s="119">
        <f t="shared" si="2321"/>
        <v>2.3039790999449649E-2</v>
      </c>
      <c r="Z2087" s="117">
        <f t="shared" si="2322"/>
        <v>13280.320000000002</v>
      </c>
      <c r="AA2087" s="119">
        <f t="shared" si="2323"/>
        <v>0.88058191269983366</v>
      </c>
      <c r="AB2087" s="120">
        <f t="shared" si="2324"/>
        <v>2723.4100000000003</v>
      </c>
      <c r="AC2087" s="119">
        <f t="shared" si="2325"/>
        <v>0.1805819126998337</v>
      </c>
      <c r="AD2087" s="110" t="s">
        <v>985</v>
      </c>
      <c r="AE2087" s="110"/>
      <c r="AF2087" s="110"/>
      <c r="AG2087" s="121"/>
    </row>
    <row r="2088" spans="1:33" s="53" customFormat="1" ht="11.25" customHeight="1" x14ac:dyDescent="0.15">
      <c r="A2088" s="53" t="s">
        <v>194</v>
      </c>
      <c r="C2088" s="54" t="s">
        <v>177</v>
      </c>
      <c r="D2088" s="54"/>
      <c r="E2088" s="70"/>
      <c r="F2088" s="54"/>
      <c r="G2088" s="54"/>
      <c r="H2088" s="54"/>
      <c r="I2088" s="54"/>
      <c r="J2088" s="54"/>
      <c r="K2088" s="106"/>
      <c r="L2088" s="24">
        <v>23202</v>
      </c>
      <c r="M2088" s="24">
        <f t="shared" ref="M2088:N2088" si="2331">SUM(M2086:M2087)</f>
        <v>6960.6</v>
      </c>
      <c r="N2088" s="24">
        <f t="shared" si="2331"/>
        <v>16241.4</v>
      </c>
      <c r="O2088" s="57">
        <f>IFERROR(N2088/L2088,"")</f>
        <v>0.7</v>
      </c>
      <c r="P2088" s="24">
        <v>23202</v>
      </c>
      <c r="Q2088" s="24"/>
      <c r="R2088" s="24">
        <f>SUM(R2086:R2087)</f>
        <v>23</v>
      </c>
      <c r="S2088" s="24">
        <f t="shared" ref="S2088:V2088" si="2332">SUM(S2086:S2087)</f>
        <v>1262.2399999999998</v>
      </c>
      <c r="T2088" s="24">
        <f t="shared" si="2332"/>
        <v>1589.87</v>
      </c>
      <c r="U2088" s="24">
        <f t="shared" si="2332"/>
        <v>694.94</v>
      </c>
      <c r="V2088" s="24">
        <f t="shared" si="2332"/>
        <v>0</v>
      </c>
      <c r="W2088" s="24">
        <f>SUM(S2088:V2088)</f>
        <v>3547.0499999999997</v>
      </c>
      <c r="X2088" s="56">
        <f t="shared" si="2320"/>
        <v>54.879999999999988</v>
      </c>
      <c r="Y2088" s="119">
        <f t="shared" si="2321"/>
        <v>2.9951728299284545E-2</v>
      </c>
      <c r="Z2088" s="28">
        <f t="shared" si="2322"/>
        <v>19654.95</v>
      </c>
      <c r="AA2088" s="119">
        <f>IFERROR(Z2088/P2088,0)</f>
        <v>0.84712309283682441</v>
      </c>
      <c r="AB2088" s="58">
        <f>M2088-W2088</f>
        <v>3413.5500000000006</v>
      </c>
      <c r="AC2088" s="57">
        <f>IFERROR(AA2088-O2088,"")</f>
        <v>0.14712309283682445</v>
      </c>
      <c r="AG2088" s="61"/>
    </row>
    <row r="2089" spans="1:33" s="110" customFormat="1" ht="11.25" customHeight="1" x14ac:dyDescent="0.15">
      <c r="A2089" s="130"/>
      <c r="B2089" s="130"/>
      <c r="C2089" s="124"/>
      <c r="D2089" s="124"/>
      <c r="E2089" s="273"/>
      <c r="F2089" s="124"/>
      <c r="G2089" s="124"/>
      <c r="H2089" s="124"/>
      <c r="I2089" s="124"/>
      <c r="J2089" s="124"/>
      <c r="K2089" s="125"/>
      <c r="L2089" s="220"/>
      <c r="M2089" s="220"/>
      <c r="N2089" s="129"/>
      <c r="O2089" s="128"/>
      <c r="P2089" s="129"/>
      <c r="Q2089" s="124"/>
      <c r="R2089" s="129"/>
      <c r="S2089" s="129"/>
      <c r="T2089" s="129"/>
      <c r="U2089" s="129"/>
      <c r="V2089" s="126"/>
      <c r="W2089" s="49"/>
      <c r="X2089" s="45"/>
      <c r="Y2089" s="128"/>
      <c r="Z2089" s="126"/>
      <c r="AA2089" s="128"/>
      <c r="AB2089" s="129"/>
      <c r="AC2089" s="160"/>
      <c r="AD2089" s="137"/>
      <c r="AG2089" s="121"/>
    </row>
    <row r="2090" spans="1:33" ht="11.25" customHeight="1" x14ac:dyDescent="0.15">
      <c r="A2090" s="110" t="s">
        <v>195</v>
      </c>
      <c r="B2090" s="319" t="s">
        <v>986</v>
      </c>
      <c r="C2090" s="111" t="s">
        <v>175</v>
      </c>
      <c r="D2090" s="111">
        <v>2025</v>
      </c>
      <c r="E2090" s="146">
        <v>45900</v>
      </c>
      <c r="F2090" s="111"/>
      <c r="G2090" s="111">
        <v>81110111</v>
      </c>
      <c r="H2090" s="111">
        <v>4101</v>
      </c>
      <c r="I2090" s="111" t="str">
        <f>MID(G2090,2,1)</f>
        <v>1</v>
      </c>
      <c r="J2090" s="111" t="str">
        <f>IF(I2090="1","Small/Medium","Large")</f>
        <v>Small/Medium</v>
      </c>
      <c r="K2090" s="112" t="s">
        <v>145</v>
      </c>
      <c r="L2090" s="120">
        <v>14547.284913144576</v>
      </c>
      <c r="M2090" s="120">
        <f t="shared" ref="M2090:M2091" si="2333">L2090*0.3</f>
        <v>4364.1854739433729</v>
      </c>
      <c r="N2090" s="120">
        <f t="shared" ref="N2090:N2091" si="2334">L2090-M2090</f>
        <v>10183.099439201203</v>
      </c>
      <c r="O2090" s="119">
        <f t="shared" ref="O2090:O2091" si="2335">IFERROR(N2090/L2090,"")</f>
        <v>0.7</v>
      </c>
      <c r="P2090" s="120">
        <v>14547.284913144576</v>
      </c>
      <c r="Q2090" s="111">
        <v>4875</v>
      </c>
      <c r="R2090" s="117">
        <v>29.5</v>
      </c>
      <c r="S2090" s="117">
        <v>2405.14</v>
      </c>
      <c r="T2090" s="117">
        <v>927.58</v>
      </c>
      <c r="U2090" s="131">
        <v>720.8</v>
      </c>
      <c r="V2090" s="117">
        <v>263.27</v>
      </c>
      <c r="W2090" s="52">
        <f>SUM(S2090:V2090)</f>
        <v>4316.7899999999991</v>
      </c>
      <c r="X2090" s="118">
        <f>IFERROR(S2090/R2090,"")</f>
        <v>81.530169491525413</v>
      </c>
      <c r="Y2090" s="119">
        <f>IFERROR(V2090/P2090,0)</f>
        <v>1.8097535146377422E-2</v>
      </c>
      <c r="Z2090" s="117">
        <f t="shared" ref="Z2090:Z2092" si="2336">P2090-W2090</f>
        <v>10230.494913144577</v>
      </c>
      <c r="AA2090" s="119">
        <f t="shared" ref="AA2090:AA2091" si="2337">IFERROR(Z2090/P2090,0)</f>
        <v>0.70325802885049349</v>
      </c>
      <c r="AB2090" s="120">
        <f t="shared" ref="AB2090:AB2091" si="2338">M2090-W2090</f>
        <v>47.395473943373872</v>
      </c>
      <c r="AC2090" s="119">
        <f t="shared" ref="AC2090:AC2091" si="2339">IFERROR(AA2090-O2090,"")</f>
        <v>3.2580288504935329E-3</v>
      </c>
      <c r="AD2090" s="110" t="s">
        <v>987</v>
      </c>
      <c r="AE2090" s="110"/>
      <c r="AF2090" s="110"/>
      <c r="AG2090" s="121"/>
    </row>
    <row r="2091" spans="1:33" ht="11.25" customHeight="1" x14ac:dyDescent="0.15">
      <c r="A2091" s="110" t="s">
        <v>195</v>
      </c>
      <c r="B2091" s="110"/>
      <c r="C2091" s="111" t="s">
        <v>175</v>
      </c>
      <c r="D2091" s="111">
        <v>2025</v>
      </c>
      <c r="E2091" s="146">
        <v>45900</v>
      </c>
      <c r="F2091" s="111"/>
      <c r="G2091" s="111">
        <v>82110111</v>
      </c>
      <c r="H2091" s="111">
        <v>4101</v>
      </c>
      <c r="I2091" s="111" t="str">
        <f t="shared" ref="I2091" si="2340">MID(G2091,2,1)</f>
        <v>2</v>
      </c>
      <c r="J2091" s="111" t="str">
        <f t="shared" ref="J2091" si="2341">IF(I2091="1","Small/Medium","Large")</f>
        <v>Large</v>
      </c>
      <c r="K2091" s="112" t="s">
        <v>176</v>
      </c>
      <c r="L2091" s="120">
        <v>18688.715086855424</v>
      </c>
      <c r="M2091" s="120">
        <f t="shared" si="2333"/>
        <v>5606.6145260566273</v>
      </c>
      <c r="N2091" s="120">
        <f t="shared" si="2334"/>
        <v>13082.100560798797</v>
      </c>
      <c r="O2091" s="119">
        <f t="shared" si="2335"/>
        <v>0.70000000000000007</v>
      </c>
      <c r="P2091" s="120">
        <v>18688.715086855424</v>
      </c>
      <c r="Q2091" s="111">
        <v>4876</v>
      </c>
      <c r="R2091" s="117">
        <v>9.5</v>
      </c>
      <c r="S2091" s="117">
        <v>774.54</v>
      </c>
      <c r="T2091" s="117">
        <v>927.58</v>
      </c>
      <c r="U2091" s="131">
        <v>297.5</v>
      </c>
      <c r="V2091" s="117"/>
      <c r="W2091" s="52">
        <f t="shared" ref="W2091" si="2342">SUM(S2091:V2091)</f>
        <v>1999.62</v>
      </c>
      <c r="X2091" s="118">
        <f t="shared" ref="X2091:X2092" si="2343">IFERROR(S2091/R2091,"")</f>
        <v>81.530526315789473</v>
      </c>
      <c r="Y2091" s="119">
        <f t="shared" ref="Y2091:Y2092" si="2344">IFERROR(U2091/P2091,0)</f>
        <v>1.5918697385955898E-2</v>
      </c>
      <c r="Z2091" s="117">
        <f t="shared" si="2336"/>
        <v>16689.095086855425</v>
      </c>
      <c r="AA2091" s="119">
        <f t="shared" si="2337"/>
        <v>0.89300388011124332</v>
      </c>
      <c r="AB2091" s="120">
        <f t="shared" si="2338"/>
        <v>3606.9945260566274</v>
      </c>
      <c r="AC2091" s="119">
        <f t="shared" si="2339"/>
        <v>0.19300388011124325</v>
      </c>
      <c r="AD2091" s="110" t="s">
        <v>987</v>
      </c>
      <c r="AE2091" s="110"/>
      <c r="AF2091" s="110"/>
      <c r="AG2091" s="121"/>
    </row>
    <row r="2092" spans="1:33" s="53" customFormat="1" ht="11.25" customHeight="1" x14ac:dyDescent="0.15">
      <c r="A2092" s="53" t="s">
        <v>195</v>
      </c>
      <c r="C2092" s="54" t="s">
        <v>177</v>
      </c>
      <c r="D2092" s="54"/>
      <c r="E2092" s="70"/>
      <c r="F2092" s="54"/>
      <c r="G2092" s="54"/>
      <c r="H2092" s="54"/>
      <c r="I2092" s="54"/>
      <c r="J2092" s="54"/>
      <c r="K2092" s="106"/>
      <c r="L2092" s="24">
        <f>SUM(L2090:L2091)</f>
        <v>33236</v>
      </c>
      <c r="M2092" s="24">
        <f t="shared" ref="M2092:N2092" si="2345">SUM(M2090:M2091)</f>
        <v>9970.7999999999993</v>
      </c>
      <c r="N2092" s="24">
        <f t="shared" si="2345"/>
        <v>23265.200000000001</v>
      </c>
      <c r="O2092" s="57">
        <f>IFERROR(N2092/L2092,"")</f>
        <v>0.70000000000000007</v>
      </c>
      <c r="P2092" s="24">
        <f>SUM(P2090:P2091)</f>
        <v>33236</v>
      </c>
      <c r="Q2092" s="24"/>
      <c r="R2092" s="24">
        <f>SUM(R2090:R2091)</f>
        <v>39</v>
      </c>
      <c r="S2092" s="24">
        <f t="shared" ref="S2092:U2092" si="2346">SUM(S2090:S2091)</f>
        <v>3179.68</v>
      </c>
      <c r="T2092" s="24">
        <f t="shared" si="2346"/>
        <v>1855.16</v>
      </c>
      <c r="U2092" s="24">
        <f t="shared" si="2346"/>
        <v>1018.3</v>
      </c>
      <c r="V2092" s="24">
        <f>SUM(V2090:V2091)</f>
        <v>263.27</v>
      </c>
      <c r="W2092" s="24">
        <f>SUM(S2092:V2092)</f>
        <v>6316.41</v>
      </c>
      <c r="X2092" s="56">
        <f t="shared" si="2343"/>
        <v>81.530256410256399</v>
      </c>
      <c r="Y2092" s="119">
        <f t="shared" si="2344"/>
        <v>3.0638464315802142E-2</v>
      </c>
      <c r="Z2092" s="28">
        <f t="shared" si="2336"/>
        <v>26919.59</v>
      </c>
      <c r="AA2092" s="119">
        <f>IFERROR(Z2092/P2092,0)</f>
        <v>0.80995276206523048</v>
      </c>
      <c r="AB2092" s="58">
        <f>M2092-W2092</f>
        <v>3654.3899999999994</v>
      </c>
      <c r="AC2092" s="57">
        <f>IFERROR(AA2092-O2092,"")</f>
        <v>0.10995276206523041</v>
      </c>
      <c r="AG2092" s="61"/>
    </row>
    <row r="2093" spans="1:33" s="110" customFormat="1" ht="11.25" customHeight="1" x14ac:dyDescent="0.15">
      <c r="A2093" s="130"/>
      <c r="B2093" s="130"/>
      <c r="C2093" s="124"/>
      <c r="D2093" s="124"/>
      <c r="E2093" s="273"/>
      <c r="F2093" s="124"/>
      <c r="G2093" s="124"/>
      <c r="H2093" s="124"/>
      <c r="I2093" s="124"/>
      <c r="J2093" s="124"/>
      <c r="K2093" s="125"/>
      <c r="L2093" s="220"/>
      <c r="M2093" s="220"/>
      <c r="N2093" s="129"/>
      <c r="O2093" s="128"/>
      <c r="P2093" s="129"/>
      <c r="Q2093" s="124"/>
      <c r="R2093" s="129"/>
      <c r="S2093" s="129"/>
      <c r="T2093" s="129"/>
      <c r="U2093" s="129"/>
      <c r="V2093" s="126"/>
      <c r="W2093" s="49"/>
      <c r="X2093" s="45"/>
      <c r="Y2093" s="128"/>
      <c r="Z2093" s="126"/>
      <c r="AA2093" s="128"/>
      <c r="AB2093" s="129"/>
      <c r="AC2093" s="160"/>
      <c r="AD2093" s="137"/>
      <c r="AG2093" s="121"/>
    </row>
    <row r="2094" spans="1:33" ht="11.25" customHeight="1" x14ac:dyDescent="0.15">
      <c r="A2094" s="110" t="s">
        <v>277</v>
      </c>
      <c r="B2094" s="319" t="s">
        <v>988</v>
      </c>
      <c r="C2094" s="111" t="s">
        <v>175</v>
      </c>
      <c r="D2094" s="111">
        <v>2025</v>
      </c>
      <c r="E2094" s="146">
        <v>45900</v>
      </c>
      <c r="F2094" s="111"/>
      <c r="G2094" s="111">
        <v>81110111</v>
      </c>
      <c r="H2094" s="111">
        <v>4101</v>
      </c>
      <c r="I2094" s="111" t="str">
        <f>MID(G2094,2,1)</f>
        <v>1</v>
      </c>
      <c r="J2094" s="111" t="str">
        <f>IF(I2094="1","Small/Medium","Large")</f>
        <v>Small/Medium</v>
      </c>
      <c r="K2094" s="112" t="s">
        <v>145</v>
      </c>
      <c r="L2094" s="120">
        <v>17792.870914021983</v>
      </c>
      <c r="M2094" s="120">
        <f t="shared" ref="M2094:M2095" si="2347">L2094*0.3</f>
        <v>5337.8612742065952</v>
      </c>
      <c r="N2094" s="120">
        <f t="shared" ref="N2094:N2095" si="2348">L2094-M2094</f>
        <v>12455.009639815387</v>
      </c>
      <c r="O2094" s="119">
        <f t="shared" ref="O2094:O2095" si="2349">IFERROR(N2094/L2094,"")</f>
        <v>0.7</v>
      </c>
      <c r="P2094" s="120">
        <v>17792.870914021983</v>
      </c>
      <c r="Q2094" s="111">
        <v>4664</v>
      </c>
      <c r="R2094" s="117">
        <v>13.5</v>
      </c>
      <c r="S2094" s="117">
        <v>1100.6600000000001</v>
      </c>
      <c r="T2094" s="117">
        <v>927.58</v>
      </c>
      <c r="U2094" s="131">
        <v>375</v>
      </c>
      <c r="V2094" s="117"/>
      <c r="W2094" s="52">
        <f t="shared" ref="W2094:W2095" si="2350">SUM(S2094:V2094)</f>
        <v>2403.2400000000002</v>
      </c>
      <c r="X2094" s="118">
        <f>IFERROR(S2094/R2094,"")</f>
        <v>81.530370370370377</v>
      </c>
      <c r="Y2094" s="119">
        <f t="shared" ref="Y2094:Y2096" si="2351">IFERROR(U2094/P2094,0)</f>
        <v>2.1075856831202808E-2</v>
      </c>
      <c r="Z2094" s="117">
        <f t="shared" ref="Z2094:Z2096" si="2352">P2094-W2094</f>
        <v>15389.630914021984</v>
      </c>
      <c r="AA2094" s="119">
        <f t="shared" ref="AA2094:AA2095" si="2353">IFERROR(Z2094/P2094,0)</f>
        <v>0.86493242087728039</v>
      </c>
      <c r="AB2094" s="120">
        <f t="shared" ref="AB2094:AB2095" si="2354">M2094-W2094</f>
        <v>2934.621274206595</v>
      </c>
      <c r="AC2094" s="119">
        <f t="shared" ref="AC2094:AC2095" si="2355">IFERROR(AA2094-O2094,"")</f>
        <v>0.16493242087728044</v>
      </c>
      <c r="AD2094" s="110" t="s">
        <v>989</v>
      </c>
      <c r="AE2094" s="110"/>
      <c r="AF2094" s="110"/>
      <c r="AG2094" s="121"/>
    </row>
    <row r="2095" spans="1:33" ht="11.25" customHeight="1" x14ac:dyDescent="0.15">
      <c r="A2095" s="110" t="s">
        <v>277</v>
      </c>
      <c r="B2095" s="110"/>
      <c r="C2095" s="111" t="s">
        <v>175</v>
      </c>
      <c r="D2095" s="111">
        <v>2025</v>
      </c>
      <c r="E2095" s="146">
        <v>45900</v>
      </c>
      <c r="F2095" s="111"/>
      <c r="G2095" s="111">
        <v>82110111</v>
      </c>
      <c r="H2095" s="111">
        <v>4101</v>
      </c>
      <c r="I2095" s="111" t="str">
        <f t="shared" ref="I2095" si="2356">MID(G2095,2,1)</f>
        <v>2</v>
      </c>
      <c r="J2095" s="111" t="str">
        <f t="shared" ref="J2095" si="2357">IF(I2095="1","Small/Medium","Large")</f>
        <v>Large</v>
      </c>
      <c r="K2095" s="112" t="s">
        <v>176</v>
      </c>
      <c r="L2095" s="120">
        <v>13855.129085978017</v>
      </c>
      <c r="M2095" s="120">
        <f t="shared" si="2347"/>
        <v>4156.5387257934044</v>
      </c>
      <c r="N2095" s="120">
        <f t="shared" si="2348"/>
        <v>9698.5903601846112</v>
      </c>
      <c r="O2095" s="119">
        <f t="shared" si="2349"/>
        <v>0.7</v>
      </c>
      <c r="P2095" s="120">
        <v>13855.129085978017</v>
      </c>
      <c r="Q2095" s="111">
        <v>4665</v>
      </c>
      <c r="R2095" s="117">
        <v>13</v>
      </c>
      <c r="S2095" s="117">
        <v>1059.8900000000001</v>
      </c>
      <c r="T2095" s="117">
        <v>927.58</v>
      </c>
      <c r="U2095" s="131">
        <v>383.29</v>
      </c>
      <c r="V2095" s="117"/>
      <c r="W2095" s="52">
        <f t="shared" si="2350"/>
        <v>2370.7600000000002</v>
      </c>
      <c r="X2095" s="118">
        <f t="shared" ref="X2095:X2096" si="2358">IFERROR(S2095/R2095,"")</f>
        <v>81.53</v>
      </c>
      <c r="Y2095" s="119">
        <f t="shared" si="2351"/>
        <v>2.7664123345332518E-2</v>
      </c>
      <c r="Z2095" s="117">
        <f t="shared" si="2352"/>
        <v>11484.369085978016</v>
      </c>
      <c r="AA2095" s="119">
        <f t="shared" si="2353"/>
        <v>0.82888936037418004</v>
      </c>
      <c r="AB2095" s="120">
        <f t="shared" si="2354"/>
        <v>1785.7787257934042</v>
      </c>
      <c r="AC2095" s="119">
        <f t="shared" si="2355"/>
        <v>0.12888936037418008</v>
      </c>
      <c r="AD2095" s="110" t="s">
        <v>989</v>
      </c>
      <c r="AE2095" s="110"/>
      <c r="AF2095" s="110"/>
      <c r="AG2095" s="121"/>
    </row>
    <row r="2096" spans="1:33" s="53" customFormat="1" ht="11.25" customHeight="1" x14ac:dyDescent="0.15">
      <c r="A2096" s="53" t="s">
        <v>277</v>
      </c>
      <c r="C2096" s="54" t="s">
        <v>177</v>
      </c>
      <c r="D2096" s="54"/>
      <c r="E2096" s="70"/>
      <c r="F2096" s="54"/>
      <c r="G2096" s="54"/>
      <c r="H2096" s="54"/>
      <c r="I2096" s="54"/>
      <c r="J2096" s="54"/>
      <c r="K2096" s="106"/>
      <c r="L2096" s="24">
        <f>SUM(L2094:L2095)</f>
        <v>31648</v>
      </c>
      <c r="M2096" s="24">
        <f t="shared" ref="M2096:N2096" si="2359">SUM(M2094:M2095)</f>
        <v>9494.4</v>
      </c>
      <c r="N2096" s="24">
        <f t="shared" si="2359"/>
        <v>22153.599999999999</v>
      </c>
      <c r="O2096" s="57">
        <f>IFERROR(N2096/L2096,"")</f>
        <v>0.7</v>
      </c>
      <c r="P2096" s="24">
        <f>SUM(P2094:P2095)</f>
        <v>31648</v>
      </c>
      <c r="Q2096" s="24"/>
      <c r="R2096" s="24">
        <f>SUM(R2094:R2095)</f>
        <v>26.5</v>
      </c>
      <c r="S2096" s="24">
        <f t="shared" ref="S2096:V2096" si="2360">SUM(S2094:S2095)</f>
        <v>2160.5500000000002</v>
      </c>
      <c r="T2096" s="24">
        <f t="shared" si="2360"/>
        <v>1855.16</v>
      </c>
      <c r="U2096" s="24">
        <f t="shared" si="2360"/>
        <v>758.29</v>
      </c>
      <c r="V2096" s="24">
        <f t="shared" si="2360"/>
        <v>0</v>
      </c>
      <c r="W2096" s="24">
        <f>SUM(S2096:V2096)</f>
        <v>4774</v>
      </c>
      <c r="X2096" s="56">
        <f t="shared" si="2358"/>
        <v>81.530188679245285</v>
      </c>
      <c r="Y2096" s="119">
        <f t="shared" si="2351"/>
        <v>2.3960123862487359E-2</v>
      </c>
      <c r="Z2096" s="28">
        <f t="shared" si="2352"/>
        <v>26874</v>
      </c>
      <c r="AA2096" s="119">
        <f>IFERROR(Z2096/P2096,0)</f>
        <v>0.84915318503538928</v>
      </c>
      <c r="AB2096" s="58">
        <f>M2096-W2096</f>
        <v>4720.3999999999996</v>
      </c>
      <c r="AC2096" s="57">
        <f>IFERROR(AA2096-O2096,"")</f>
        <v>0.14915318503538932</v>
      </c>
      <c r="AG2096" s="61"/>
    </row>
    <row r="2097" spans="1:33" s="110" customFormat="1" ht="11.25" customHeight="1" x14ac:dyDescent="0.15">
      <c r="A2097" s="130"/>
      <c r="B2097" s="130"/>
      <c r="C2097" s="124"/>
      <c r="D2097" s="124"/>
      <c r="E2097" s="273"/>
      <c r="F2097" s="124"/>
      <c r="G2097" s="124"/>
      <c r="H2097" s="124"/>
      <c r="I2097" s="124"/>
      <c r="J2097" s="124"/>
      <c r="K2097" s="125"/>
      <c r="L2097" s="220"/>
      <c r="M2097" s="220"/>
      <c r="N2097" s="129"/>
      <c r="O2097" s="128"/>
      <c r="P2097" s="129"/>
      <c r="Q2097" s="124"/>
      <c r="R2097" s="129"/>
      <c r="S2097" s="129"/>
      <c r="T2097" s="129"/>
      <c r="U2097" s="129"/>
      <c r="V2097" s="126"/>
      <c r="W2097" s="49"/>
      <c r="X2097" s="45"/>
      <c r="Y2097" s="128"/>
      <c r="Z2097" s="126"/>
      <c r="AA2097" s="128"/>
      <c r="AB2097" s="129"/>
      <c r="AC2097" s="160"/>
      <c r="AD2097" s="137"/>
      <c r="AG2097" s="121"/>
    </row>
    <row r="2098" spans="1:33" ht="11.25" customHeight="1" x14ac:dyDescent="0.15">
      <c r="A2098" s="110" t="s">
        <v>237</v>
      </c>
      <c r="B2098" s="319" t="s">
        <v>2792</v>
      </c>
      <c r="C2098" s="111" t="s">
        <v>175</v>
      </c>
      <c r="D2098" s="111">
        <v>2025</v>
      </c>
      <c r="E2098" s="146">
        <v>45930</v>
      </c>
      <c r="F2098" s="111"/>
      <c r="G2098" s="111">
        <v>82100011</v>
      </c>
      <c r="H2098" s="111">
        <v>4101</v>
      </c>
      <c r="I2098" s="111" t="str">
        <f>MID(G2098,2,1)</f>
        <v>2</v>
      </c>
      <c r="J2098" s="111" t="str">
        <f>IF(I2098="1","Small/Medium","Large")</f>
        <v>Large</v>
      </c>
      <c r="K2098" s="112" t="s">
        <v>145</v>
      </c>
      <c r="L2098" s="120">
        <v>17160.25</v>
      </c>
      <c r="M2098" s="120">
        <f t="shared" ref="M2098:M2099" si="2361">L2098*0.3</f>
        <v>5148.0749999999998</v>
      </c>
      <c r="N2098" s="120">
        <f t="shared" ref="N2098:N2099" si="2362">L2098-M2098</f>
        <v>12012.174999999999</v>
      </c>
      <c r="O2098" s="119">
        <f t="shared" ref="O2098:O2099" si="2363">IFERROR(N2098/L2098,"")</f>
        <v>0.7</v>
      </c>
      <c r="P2098" s="120">
        <v>17160.25</v>
      </c>
      <c r="Q2098" s="111">
        <v>6078</v>
      </c>
      <c r="R2098" s="117">
        <v>3</v>
      </c>
      <c r="S2098" s="117">
        <v>164.64</v>
      </c>
      <c r="T2098" s="117">
        <v>751.41</v>
      </c>
      <c r="U2098" s="117">
        <v>346.25</v>
      </c>
      <c r="V2098" s="117"/>
      <c r="W2098" s="52">
        <f t="shared" ref="W2098:W2099" si="2364">SUM(S2098:V2098)</f>
        <v>1262.3</v>
      </c>
      <c r="X2098" s="118">
        <f>IFERROR(S2098/R2098,"")</f>
        <v>54.879999999999995</v>
      </c>
      <c r="Y2098" s="119">
        <f t="shared" ref="Y2098:Y2100" si="2365">IFERROR(U2098/P2098,0)</f>
        <v>2.0177444967293599E-2</v>
      </c>
      <c r="Z2098" s="117">
        <f t="shared" ref="Z2098:Z2100" si="2366">P2098-W2098</f>
        <v>15897.95</v>
      </c>
      <c r="AA2098" s="119">
        <f t="shared" ref="AA2098:AA2099" si="2367">IFERROR(Z2098/P2098,0)</f>
        <v>0.9264404656109323</v>
      </c>
      <c r="AB2098" s="120">
        <f t="shared" ref="AB2098:AB2099" si="2368">M2098-W2098</f>
        <v>3885.7749999999996</v>
      </c>
      <c r="AC2098" s="119">
        <f t="shared" ref="AC2098:AC2099" si="2369">IFERROR(AA2098-O2098,"")</f>
        <v>0.22644046561093234</v>
      </c>
      <c r="AD2098" s="110"/>
      <c r="AE2098" s="110"/>
      <c r="AF2098" s="110"/>
      <c r="AG2098" s="121"/>
    </row>
    <row r="2099" spans="1:33" ht="11.25" customHeight="1" x14ac:dyDescent="0.15">
      <c r="A2099" s="110" t="s">
        <v>237</v>
      </c>
      <c r="B2099" s="110"/>
      <c r="C2099" s="111" t="s">
        <v>175</v>
      </c>
      <c r="D2099" s="111">
        <v>2025</v>
      </c>
      <c r="E2099" s="146">
        <v>45930</v>
      </c>
      <c r="F2099" s="111"/>
      <c r="G2099" s="111">
        <v>81100011</v>
      </c>
      <c r="H2099" s="111">
        <v>4101</v>
      </c>
      <c r="I2099" s="111" t="str">
        <f t="shared" ref="I2099" si="2370">MID(G2099,2,1)</f>
        <v>1</v>
      </c>
      <c r="J2099" s="111" t="str">
        <f t="shared" ref="J2099" si="2371">IF(I2099="1","Small/Medium","Large")</f>
        <v>Small/Medium</v>
      </c>
      <c r="K2099" s="112" t="s">
        <v>176</v>
      </c>
      <c r="L2099" s="120">
        <v>51480.75</v>
      </c>
      <c r="M2099" s="120">
        <f t="shared" si="2361"/>
        <v>15444.224999999999</v>
      </c>
      <c r="N2099" s="120">
        <f t="shared" si="2362"/>
        <v>36036.525000000001</v>
      </c>
      <c r="O2099" s="119">
        <f t="shared" si="2363"/>
        <v>0.70000000000000007</v>
      </c>
      <c r="P2099" s="120">
        <v>51480.75</v>
      </c>
      <c r="Q2099" s="111">
        <v>6079</v>
      </c>
      <c r="R2099" s="117">
        <v>47.5</v>
      </c>
      <c r="S2099" s="117">
        <v>2606.8000000000002</v>
      </c>
      <c r="T2099" s="117">
        <v>2254.21</v>
      </c>
      <c r="U2099" s="117">
        <v>1424.51</v>
      </c>
      <c r="V2099" s="117"/>
      <c r="W2099" s="52">
        <f t="shared" si="2364"/>
        <v>6285.52</v>
      </c>
      <c r="X2099" s="118">
        <f t="shared" ref="X2099:X2100" si="2372">IFERROR(S2099/R2099,"")</f>
        <v>54.88</v>
      </c>
      <c r="Y2099" s="119">
        <f t="shared" si="2365"/>
        <v>2.7670731292764771E-2</v>
      </c>
      <c r="Z2099" s="117">
        <f t="shared" si="2366"/>
        <v>45195.229999999996</v>
      </c>
      <c r="AA2099" s="119">
        <f t="shared" si="2367"/>
        <v>0.87790543067068749</v>
      </c>
      <c r="AB2099" s="120">
        <f t="shared" si="2368"/>
        <v>9158.7049999999981</v>
      </c>
      <c r="AC2099" s="119">
        <f t="shared" si="2369"/>
        <v>0.17790543067068743</v>
      </c>
      <c r="AD2099" s="110"/>
      <c r="AE2099" s="110"/>
      <c r="AF2099" s="110"/>
      <c r="AG2099" s="121"/>
    </row>
    <row r="2100" spans="1:33" s="53" customFormat="1" ht="11.25" customHeight="1" x14ac:dyDescent="0.15">
      <c r="A2100" s="53" t="s">
        <v>237</v>
      </c>
      <c r="C2100" s="54" t="s">
        <v>177</v>
      </c>
      <c r="D2100" s="54"/>
      <c r="E2100" s="70"/>
      <c r="F2100" s="54"/>
      <c r="G2100" s="54"/>
      <c r="H2100" s="54"/>
      <c r="I2100" s="54"/>
      <c r="J2100" s="54"/>
      <c r="K2100" s="106"/>
      <c r="L2100" s="24">
        <f>SUM(L2098:L2099)</f>
        <v>68641</v>
      </c>
      <c r="M2100" s="24">
        <f t="shared" ref="M2100:N2100" si="2373">SUM(M2098:M2099)</f>
        <v>20592.3</v>
      </c>
      <c r="N2100" s="24">
        <f t="shared" si="2373"/>
        <v>48048.7</v>
      </c>
      <c r="O2100" s="57">
        <f>IFERROR(N2100/L2100,"")</f>
        <v>0.7</v>
      </c>
      <c r="P2100" s="24">
        <f>SUM(P2098:P2099)</f>
        <v>68641</v>
      </c>
      <c r="Q2100" s="24"/>
      <c r="R2100" s="24">
        <f>SUM(R2098:R2099)</f>
        <v>50.5</v>
      </c>
      <c r="S2100" s="24">
        <f t="shared" ref="S2100:V2100" si="2374">SUM(S2098:S2099)</f>
        <v>2771.44</v>
      </c>
      <c r="T2100" s="24">
        <f t="shared" si="2374"/>
        <v>3005.62</v>
      </c>
      <c r="U2100" s="24">
        <f t="shared" si="2374"/>
        <v>1770.76</v>
      </c>
      <c r="V2100" s="24">
        <f t="shared" si="2374"/>
        <v>0</v>
      </c>
      <c r="W2100" s="24">
        <f>SUM(S2100:V2100)</f>
        <v>7547.82</v>
      </c>
      <c r="X2100" s="56">
        <f t="shared" si="2372"/>
        <v>54.88</v>
      </c>
      <c r="Y2100" s="119">
        <f t="shared" si="2365"/>
        <v>2.579740971139698E-2</v>
      </c>
      <c r="Z2100" s="28">
        <f t="shared" si="2366"/>
        <v>61093.18</v>
      </c>
      <c r="AA2100" s="119">
        <f>IFERROR(Z2100/P2100,0)</f>
        <v>0.89003918940574878</v>
      </c>
      <c r="AB2100" s="58">
        <f>M2100-W2100</f>
        <v>13044.48</v>
      </c>
      <c r="AC2100" s="57">
        <f>IFERROR(AA2100-O2100,"")</f>
        <v>0.19003918940574882</v>
      </c>
      <c r="AG2100" s="61"/>
    </row>
    <row r="2101" spans="1:33" s="110" customFormat="1" ht="11.25" customHeight="1" x14ac:dyDescent="0.15">
      <c r="A2101" s="130"/>
      <c r="B2101" s="130"/>
      <c r="C2101" s="124"/>
      <c r="D2101" s="124"/>
      <c r="E2101" s="273"/>
      <c r="F2101" s="124"/>
      <c r="G2101" s="124"/>
      <c r="H2101" s="124"/>
      <c r="I2101" s="124"/>
      <c r="J2101" s="124"/>
      <c r="K2101" s="125"/>
      <c r="L2101" s="220"/>
      <c r="M2101" s="220"/>
      <c r="N2101" s="129"/>
      <c r="O2101" s="128"/>
      <c r="P2101" s="129"/>
      <c r="Q2101" s="124"/>
      <c r="R2101" s="129"/>
      <c r="S2101" s="129"/>
      <c r="T2101" s="129"/>
      <c r="U2101" s="129"/>
      <c r="V2101" s="126"/>
      <c r="W2101" s="49"/>
      <c r="X2101" s="45"/>
      <c r="Y2101" s="128"/>
      <c r="Z2101" s="126"/>
      <c r="AA2101" s="128"/>
      <c r="AB2101" s="129"/>
      <c r="AC2101" s="160"/>
      <c r="AD2101" s="137"/>
      <c r="AG2101" s="121"/>
    </row>
    <row r="2102" spans="1:33" ht="11.25" customHeight="1" x14ac:dyDescent="0.15">
      <c r="A2102" s="110" t="s">
        <v>137</v>
      </c>
      <c r="B2102" s="319" t="s">
        <v>2793</v>
      </c>
      <c r="C2102" s="111" t="s">
        <v>175</v>
      </c>
      <c r="D2102" s="111">
        <v>2025</v>
      </c>
      <c r="E2102" s="146">
        <v>45930</v>
      </c>
      <c r="F2102" s="111"/>
      <c r="G2102" s="111">
        <v>81110111</v>
      </c>
      <c r="H2102" s="111">
        <v>4101</v>
      </c>
      <c r="I2102" s="111" t="str">
        <f>MID(G2102,2,1)</f>
        <v>1</v>
      </c>
      <c r="J2102" s="111" t="str">
        <f>IF(I2102="1","Small/Medium","Large")</f>
        <v>Small/Medium</v>
      </c>
      <c r="K2102" s="112" t="s">
        <v>145</v>
      </c>
      <c r="L2102" s="120">
        <v>32077.478058101788</v>
      </c>
      <c r="M2102" s="120">
        <f t="shared" ref="M2102:M2103" si="2375">L2102*0.3</f>
        <v>9623.2434174305363</v>
      </c>
      <c r="N2102" s="120">
        <f t="shared" ref="N2102:N2103" si="2376">L2102-M2102</f>
        <v>22454.234640671253</v>
      </c>
      <c r="O2102" s="119">
        <f t="shared" ref="O2102:O2103" si="2377">IFERROR(N2102/L2102,"")</f>
        <v>0.70000000000000007</v>
      </c>
      <c r="P2102" s="120">
        <v>32077.478058101788</v>
      </c>
      <c r="Q2102" s="2">
        <v>5372</v>
      </c>
      <c r="R2102" s="5">
        <v>27.5</v>
      </c>
      <c r="S2102" s="5">
        <v>2242.08</v>
      </c>
      <c r="T2102" s="5">
        <v>1826.74</v>
      </c>
      <c r="U2102" s="5">
        <v>943.39</v>
      </c>
      <c r="V2102" s="5">
        <v>211.1</v>
      </c>
      <c r="W2102" s="52">
        <f t="shared" ref="W2102:W2103" si="2378">SUM(S2102:V2102)</f>
        <v>5223.3100000000004</v>
      </c>
      <c r="X2102" s="118">
        <f>IFERROR(S2102/R2102,"")</f>
        <v>81.530181818181816</v>
      </c>
      <c r="Y2102" s="119">
        <f t="shared" ref="Y2102:Y2104" si="2379">IFERROR(U2102/P2102,0)</f>
        <v>2.9409730973589697E-2</v>
      </c>
      <c r="Z2102" s="117">
        <f t="shared" ref="Z2102:Z2104" si="2380">P2102-W2102</f>
        <v>26854.168058101786</v>
      </c>
      <c r="AA2102" s="119">
        <f t="shared" ref="AA2102:AA2103" si="2381">IFERROR(Z2102/P2102,0)</f>
        <v>0.83716581488921782</v>
      </c>
      <c r="AB2102" s="120">
        <f t="shared" ref="AB2102:AB2103" si="2382">M2102-W2102</f>
        <v>4399.9334174305359</v>
      </c>
      <c r="AC2102" s="119">
        <f t="shared" ref="AC2102:AC2103" si="2383">IFERROR(AA2102-O2102,"")</f>
        <v>0.13716581488921775</v>
      </c>
      <c r="AD2102" s="110" t="s">
        <v>2794</v>
      </c>
    </row>
    <row r="2103" spans="1:33" ht="11.25" customHeight="1" x14ac:dyDescent="0.15">
      <c r="A2103" s="110" t="s">
        <v>137</v>
      </c>
      <c r="B2103" s="110"/>
      <c r="C2103" s="111" t="s">
        <v>175</v>
      </c>
      <c r="D2103" s="111">
        <v>2025</v>
      </c>
      <c r="E2103" s="146">
        <v>45930</v>
      </c>
      <c r="F2103" s="111"/>
      <c r="G2103" s="111">
        <v>82110111</v>
      </c>
      <c r="H2103" s="111">
        <v>4101</v>
      </c>
      <c r="I2103" s="111" t="str">
        <f t="shared" ref="I2103" si="2384">MID(G2103,2,1)</f>
        <v>2</v>
      </c>
      <c r="J2103" s="111" t="str">
        <f t="shared" ref="J2103" si="2385">IF(I2103="1","Small/Medium","Large")</f>
        <v>Large</v>
      </c>
      <c r="K2103" s="112" t="s">
        <v>176</v>
      </c>
      <c r="L2103" s="120">
        <v>10692.531941898213</v>
      </c>
      <c r="M2103" s="120">
        <f t="shared" si="2375"/>
        <v>3207.7595825694639</v>
      </c>
      <c r="N2103" s="120">
        <f t="shared" si="2376"/>
        <v>7484.7723593287483</v>
      </c>
      <c r="O2103" s="119">
        <f t="shared" si="2377"/>
        <v>0.7</v>
      </c>
      <c r="P2103" s="120">
        <v>10692.531941898213</v>
      </c>
      <c r="Q2103" s="2">
        <v>5376</v>
      </c>
      <c r="R2103" s="5">
        <v>18</v>
      </c>
      <c r="S2103" s="5">
        <v>1467.54</v>
      </c>
      <c r="T2103" s="5">
        <v>1826.74</v>
      </c>
      <c r="U2103" s="5">
        <v>325</v>
      </c>
      <c r="W2103" s="52">
        <f t="shared" si="2378"/>
        <v>3619.2799999999997</v>
      </c>
      <c r="X2103" s="118">
        <f t="shared" ref="X2103:X2104" si="2386">IFERROR(S2103/R2103,"")</f>
        <v>81.53</v>
      </c>
      <c r="Y2103" s="119">
        <f t="shared" si="2379"/>
        <v>3.0395045978446125E-2</v>
      </c>
      <c r="Z2103" s="117">
        <f t="shared" si="2380"/>
        <v>7073.2519418982129</v>
      </c>
      <c r="AA2103" s="119">
        <f t="shared" si="2381"/>
        <v>0.66151328612655236</v>
      </c>
      <c r="AB2103" s="120">
        <f t="shared" si="2382"/>
        <v>-411.52041743053587</v>
      </c>
      <c r="AC2103" s="119">
        <f t="shared" si="2383"/>
        <v>-3.8486713873447598E-2</v>
      </c>
    </row>
    <row r="2104" spans="1:33" s="53" customFormat="1" ht="11.25" customHeight="1" x14ac:dyDescent="0.15">
      <c r="A2104" s="53" t="s">
        <v>137</v>
      </c>
      <c r="C2104" s="54" t="s">
        <v>177</v>
      </c>
      <c r="D2104" s="54"/>
      <c r="E2104" s="70"/>
      <c r="F2104" s="54"/>
      <c r="G2104" s="54"/>
      <c r="H2104" s="54"/>
      <c r="I2104" s="54"/>
      <c r="J2104" s="54"/>
      <c r="K2104" s="106"/>
      <c r="L2104" s="24">
        <f>SUM(L2102:L2103)</f>
        <v>42770.01</v>
      </c>
      <c r="M2104" s="24">
        <f t="shared" ref="M2104:N2104" si="2387">SUM(M2102:M2103)</f>
        <v>12831.003000000001</v>
      </c>
      <c r="N2104" s="24">
        <f t="shared" si="2387"/>
        <v>29939.007000000001</v>
      </c>
      <c r="O2104" s="57">
        <f>IFERROR(N2104/L2104,"")</f>
        <v>0.7</v>
      </c>
      <c r="P2104" s="24">
        <f>SUM(P2102:P2103)</f>
        <v>42770.01</v>
      </c>
      <c r="Q2104" s="24"/>
      <c r="R2104" s="24">
        <f>SUM(R2102:R2103)</f>
        <v>45.5</v>
      </c>
      <c r="S2104" s="24">
        <f t="shared" ref="S2104:V2104" si="2388">SUM(S2102:S2103)</f>
        <v>3709.62</v>
      </c>
      <c r="T2104" s="24">
        <f t="shared" si="2388"/>
        <v>3653.48</v>
      </c>
      <c r="U2104" s="24">
        <f t="shared" si="2388"/>
        <v>1268.3899999999999</v>
      </c>
      <c r="V2104" s="24">
        <f t="shared" si="2388"/>
        <v>211.1</v>
      </c>
      <c r="W2104" s="24">
        <f>SUM(S2104:V2104)</f>
        <v>8842.59</v>
      </c>
      <c r="X2104" s="56">
        <f t="shared" si="2386"/>
        <v>81.530109890109884</v>
      </c>
      <c r="Y2104" s="119">
        <f t="shared" si="2379"/>
        <v>2.9656060403072147E-2</v>
      </c>
      <c r="Z2104" s="28">
        <f t="shared" si="2380"/>
        <v>33927.42</v>
      </c>
      <c r="AA2104" s="119">
        <f>IFERROR(Z2104/P2104,0)</f>
        <v>0.79325256178336168</v>
      </c>
      <c r="AB2104" s="58">
        <f>M2104-W2104</f>
        <v>3988.4130000000005</v>
      </c>
      <c r="AC2104" s="57">
        <f>IFERROR(AA2104-O2104,"")</f>
        <v>9.325256178336172E-2</v>
      </c>
      <c r="AG2104" s="61"/>
    </row>
    <row r="2105" spans="1:33" s="110" customFormat="1" ht="11.25" customHeight="1" x14ac:dyDescent="0.15">
      <c r="A2105" s="130"/>
      <c r="B2105" s="130"/>
      <c r="C2105" s="124"/>
      <c r="D2105" s="124"/>
      <c r="E2105" s="273"/>
      <c r="F2105" s="124"/>
      <c r="G2105" s="124"/>
      <c r="H2105" s="124"/>
      <c r="I2105" s="124"/>
      <c r="J2105" s="124"/>
      <c r="K2105" s="125"/>
      <c r="L2105" s="220"/>
      <c r="M2105" s="220"/>
      <c r="N2105" s="129"/>
      <c r="O2105" s="128"/>
      <c r="P2105" s="129"/>
      <c r="Q2105" s="124"/>
      <c r="R2105" s="129"/>
      <c r="S2105" s="129"/>
      <c r="T2105" s="129"/>
      <c r="U2105" s="129"/>
      <c r="V2105" s="126"/>
      <c r="W2105" s="49"/>
      <c r="X2105" s="45"/>
      <c r="Y2105" s="128"/>
      <c r="Z2105" s="126"/>
      <c r="AA2105" s="128"/>
      <c r="AB2105" s="129"/>
      <c r="AC2105" s="160"/>
      <c r="AD2105" s="137"/>
      <c r="AG2105" s="121"/>
    </row>
    <row r="2106" spans="1:33" ht="11.25" customHeight="1" x14ac:dyDescent="0.15">
      <c r="A2106" s="110" t="s">
        <v>115</v>
      </c>
      <c r="B2106" s="319" t="s">
        <v>2797</v>
      </c>
      <c r="C2106" s="111" t="s">
        <v>175</v>
      </c>
      <c r="D2106" s="111">
        <v>2025</v>
      </c>
      <c r="E2106" s="146">
        <v>45930</v>
      </c>
      <c r="F2106" s="111"/>
      <c r="G2106" s="111">
        <v>81100311</v>
      </c>
      <c r="H2106" s="111">
        <v>4101</v>
      </c>
      <c r="I2106" s="111" t="str">
        <f>MID(G2106,2,1)</f>
        <v>1</v>
      </c>
      <c r="J2106" s="111" t="str">
        <f>IF(I2106="1","Small/Medium","Large")</f>
        <v>Small/Medium</v>
      </c>
      <c r="K2106" s="112" t="s">
        <v>145</v>
      </c>
      <c r="L2106" s="219">
        <v>23111.199999999997</v>
      </c>
      <c r="M2106" s="120">
        <f t="shared" ref="M2106" si="2389">L2106*0.3</f>
        <v>6933.3599999999988</v>
      </c>
      <c r="N2106" s="120">
        <f t="shared" ref="N2106" si="2390">L2106-M2106</f>
        <v>16177.839999999998</v>
      </c>
      <c r="O2106" s="119">
        <f t="shared" ref="O2106" si="2391">IFERROR(N2106/L2106,"")</f>
        <v>0.70000000000000007</v>
      </c>
      <c r="P2106" s="219">
        <v>23111.199999999997</v>
      </c>
      <c r="Q2106" s="2">
        <v>5287</v>
      </c>
      <c r="R2106" s="5">
        <v>22</v>
      </c>
      <c r="S2106" s="5">
        <v>1207.3599999999999</v>
      </c>
      <c r="T2106" s="5">
        <v>945.1</v>
      </c>
      <c r="U2106" s="5">
        <v>1369.49</v>
      </c>
      <c r="V2106" s="5">
        <v>21.22</v>
      </c>
      <c r="W2106" s="52">
        <f t="shared" ref="W2106" si="2392">SUM(S2106:V2106)</f>
        <v>3543.1699999999996</v>
      </c>
      <c r="X2106" s="118">
        <f>IFERROR(S2106/R2106,"")</f>
        <v>54.879999999999995</v>
      </c>
      <c r="Y2106" s="119">
        <f t="shared" ref="Y2106" si="2393">IFERROR(U2106/P2106,0)</f>
        <v>5.9256550936342557E-2</v>
      </c>
      <c r="Z2106" s="117">
        <f t="shared" ref="Z2106" si="2394">P2106-W2106</f>
        <v>19568.03</v>
      </c>
      <c r="AA2106" s="119">
        <f t="shared" ref="AA2106" si="2395">IFERROR(Z2106/P2106,0)</f>
        <v>0.84669034926788744</v>
      </c>
      <c r="AB2106" s="120">
        <f t="shared" ref="AB2106" si="2396">M2106-W2106</f>
        <v>3390.1899999999991</v>
      </c>
      <c r="AC2106" s="119">
        <f t="shared" ref="AC2106" si="2397">IFERROR(AA2106-O2106,"")</f>
        <v>0.14669034926788738</v>
      </c>
    </row>
    <row r="2107" spans="1:33" ht="11.25" customHeight="1" x14ac:dyDescent="0.15">
      <c r="A2107" s="110" t="s">
        <v>115</v>
      </c>
      <c r="B2107" s="110"/>
      <c r="C2107" s="111" t="s">
        <v>175</v>
      </c>
      <c r="D2107" s="111">
        <v>2025</v>
      </c>
      <c r="E2107" s="146">
        <v>45930</v>
      </c>
      <c r="F2107" s="111"/>
      <c r="G2107" s="111">
        <v>81100311</v>
      </c>
      <c r="H2107" s="111">
        <v>4101</v>
      </c>
      <c r="I2107" s="111" t="str">
        <f>MID(G2107,2,1)</f>
        <v>1</v>
      </c>
      <c r="J2107" s="111" t="str">
        <f>IF(I2107="1","Small/Medium","Large")</f>
        <v>Small/Medium</v>
      </c>
      <c r="K2107" s="112" t="s">
        <v>145</v>
      </c>
      <c r="L2107" s="219">
        <v>11555.599999999999</v>
      </c>
      <c r="M2107" s="120">
        <f t="shared" ref="M2107:M2108" si="2398">L2107*0.3</f>
        <v>3466.6799999999994</v>
      </c>
      <c r="N2107" s="120">
        <f t="shared" ref="N2107:N2108" si="2399">L2107-M2107</f>
        <v>8088.9199999999992</v>
      </c>
      <c r="O2107" s="119">
        <f t="shared" ref="O2107:O2108" si="2400">IFERROR(N2107/L2107,"")</f>
        <v>0.70000000000000007</v>
      </c>
      <c r="P2107" s="219">
        <v>11555.599999999999</v>
      </c>
      <c r="Q2107" s="2">
        <v>5288</v>
      </c>
      <c r="R2107" s="5">
        <v>6</v>
      </c>
      <c r="S2107" s="5">
        <v>329.28</v>
      </c>
      <c r="T2107" s="5">
        <v>472.57</v>
      </c>
      <c r="U2107" s="5">
        <v>496.25</v>
      </c>
      <c r="W2107" s="52">
        <f t="shared" ref="W2107:W2108" si="2401">SUM(S2107:V2107)</f>
        <v>1298.0999999999999</v>
      </c>
      <c r="X2107" s="118">
        <f>IFERROR(S2107/R2107,"")</f>
        <v>54.879999999999995</v>
      </c>
      <c r="Y2107" s="119">
        <f t="shared" ref="Y2107:Y2109" si="2402">IFERROR(U2107/P2107,0)</f>
        <v>4.2944546367129362E-2</v>
      </c>
      <c r="Z2107" s="117">
        <f t="shared" ref="Z2107:Z2109" si="2403">P2107-W2107</f>
        <v>10257.499999999998</v>
      </c>
      <c r="AA2107" s="119">
        <f t="shared" ref="AA2107:AA2108" si="2404">IFERROR(Z2107/P2107,0)</f>
        <v>0.88766485513517246</v>
      </c>
      <c r="AB2107" s="120">
        <f t="shared" ref="AB2107:AB2108" si="2405">M2107-W2107</f>
        <v>2168.5799999999995</v>
      </c>
      <c r="AC2107" s="119">
        <f t="shared" ref="AC2107:AC2108" si="2406">IFERROR(AA2107-O2107,"")</f>
        <v>0.18766485513517239</v>
      </c>
    </row>
    <row r="2108" spans="1:33" ht="11.25" customHeight="1" x14ac:dyDescent="0.15">
      <c r="A2108" s="110" t="s">
        <v>115</v>
      </c>
      <c r="B2108" s="110"/>
      <c r="C2108" s="111" t="s">
        <v>175</v>
      </c>
      <c r="D2108" s="111">
        <v>2025</v>
      </c>
      <c r="E2108" s="146">
        <v>45930</v>
      </c>
      <c r="F2108" s="111"/>
      <c r="G2108" s="111">
        <v>82100311</v>
      </c>
      <c r="H2108" s="111">
        <v>4101</v>
      </c>
      <c r="I2108" s="111" t="str">
        <f>MID(G2108,2,1)</f>
        <v>2</v>
      </c>
      <c r="J2108" s="111" t="str">
        <f>IF(I2108="1","Small/Medium","Large")</f>
        <v>Large</v>
      </c>
      <c r="K2108" s="112" t="s">
        <v>145</v>
      </c>
      <c r="L2108" s="219">
        <v>15551.2</v>
      </c>
      <c r="M2108" s="120">
        <f t="shared" si="2398"/>
        <v>4665.3599999999997</v>
      </c>
      <c r="N2108" s="120">
        <f t="shared" si="2399"/>
        <v>10885.84</v>
      </c>
      <c r="O2108" s="119">
        <f t="shared" si="2400"/>
        <v>0.7</v>
      </c>
      <c r="P2108" s="219">
        <v>15551.2</v>
      </c>
      <c r="Q2108" s="2">
        <v>5289</v>
      </c>
      <c r="R2108" s="5">
        <v>9.5</v>
      </c>
      <c r="S2108" s="5">
        <v>521.36</v>
      </c>
      <c r="T2108" s="5">
        <v>472.57</v>
      </c>
      <c r="U2108" s="5">
        <v>496.25</v>
      </c>
      <c r="W2108" s="52">
        <f t="shared" si="2401"/>
        <v>1490.18</v>
      </c>
      <c r="X2108" s="118">
        <f t="shared" ref="X2108:X2109" si="2407">IFERROR(S2108/R2108,"")</f>
        <v>54.88</v>
      </c>
      <c r="Y2108" s="119">
        <f t="shared" si="2402"/>
        <v>3.1910720716086215E-2</v>
      </c>
      <c r="Z2108" s="117">
        <f t="shared" si="2403"/>
        <v>14061.02</v>
      </c>
      <c r="AA2108" s="119">
        <f t="shared" si="2404"/>
        <v>0.90417588353310352</v>
      </c>
      <c r="AB2108" s="120">
        <f t="shared" si="2405"/>
        <v>3175.1799999999994</v>
      </c>
      <c r="AC2108" s="119">
        <f t="shared" si="2406"/>
        <v>0.20417588353310356</v>
      </c>
    </row>
    <row r="2109" spans="1:33" s="53" customFormat="1" ht="11.25" customHeight="1" x14ac:dyDescent="0.15">
      <c r="A2109" s="53" t="s">
        <v>115</v>
      </c>
      <c r="C2109" s="54" t="s">
        <v>177</v>
      </c>
      <c r="D2109" s="54"/>
      <c r="E2109" s="70"/>
      <c r="F2109" s="54"/>
      <c r="G2109" s="54"/>
      <c r="H2109" s="54"/>
      <c r="I2109" s="54"/>
      <c r="J2109" s="54"/>
      <c r="K2109" s="106"/>
      <c r="L2109" s="24">
        <f>SUM(L2106:L2108)</f>
        <v>50218</v>
      </c>
      <c r="M2109" s="24">
        <f>SUM(M2106:M2108)</f>
        <v>15065.399999999998</v>
      </c>
      <c r="N2109" s="24">
        <f>SUM(N2106:N2108)</f>
        <v>35152.6</v>
      </c>
      <c r="O2109" s="57">
        <f>IFERROR(N2109/L2109,"")</f>
        <v>0.7</v>
      </c>
      <c r="P2109" s="24">
        <f>SUM(P2106:P2108)</f>
        <v>50218</v>
      </c>
      <c r="Q2109" s="24"/>
      <c r="R2109" s="24">
        <f>SUM(R2106:R2108)</f>
        <v>37.5</v>
      </c>
      <c r="S2109" s="24">
        <f t="shared" ref="S2109:V2109" si="2408">SUM(S2106:S2108)</f>
        <v>2058</v>
      </c>
      <c r="T2109" s="24">
        <f t="shared" si="2408"/>
        <v>1890.24</v>
      </c>
      <c r="U2109" s="24">
        <f t="shared" si="2408"/>
        <v>2361.9899999999998</v>
      </c>
      <c r="V2109" s="24">
        <f t="shared" si="2408"/>
        <v>21.22</v>
      </c>
      <c r="W2109" s="24">
        <f>SUM(S2109:V2109)</f>
        <v>6331.45</v>
      </c>
      <c r="X2109" s="56">
        <f t="shared" si="2407"/>
        <v>54.88</v>
      </c>
      <c r="Y2109" s="119">
        <f t="shared" si="2402"/>
        <v>4.7034728583376477E-2</v>
      </c>
      <c r="Z2109" s="28">
        <f t="shared" si="2403"/>
        <v>43886.55</v>
      </c>
      <c r="AA2109" s="119">
        <f>IFERROR(Z2109/P2109,0)</f>
        <v>0.87392070572304759</v>
      </c>
      <c r="AB2109" s="58">
        <f>M2109-W2109</f>
        <v>8733.9499999999971</v>
      </c>
      <c r="AC2109" s="57">
        <f>IFERROR(AA2109-O2109,"")</f>
        <v>0.17392070572304763</v>
      </c>
      <c r="AG2109" s="61"/>
    </row>
    <row r="2110" spans="1:33" s="110" customFormat="1" ht="11.25" customHeight="1" x14ac:dyDescent="0.15">
      <c r="A2110" s="130"/>
      <c r="B2110" s="130"/>
      <c r="C2110" s="124"/>
      <c r="D2110" s="124"/>
      <c r="E2110" s="273"/>
      <c r="F2110" s="124"/>
      <c r="G2110" s="124"/>
      <c r="H2110" s="124"/>
      <c r="I2110" s="124"/>
      <c r="J2110" s="124"/>
      <c r="K2110" s="125"/>
      <c r="L2110" s="220"/>
      <c r="M2110" s="220"/>
      <c r="N2110" s="129"/>
      <c r="O2110" s="128"/>
      <c r="P2110" s="129"/>
      <c r="Q2110" s="124"/>
      <c r="R2110" s="129"/>
      <c r="S2110" s="129"/>
      <c r="T2110" s="129"/>
      <c r="U2110" s="129"/>
      <c r="V2110" s="126"/>
      <c r="W2110" s="49"/>
      <c r="X2110" s="45"/>
      <c r="Y2110" s="128"/>
      <c r="Z2110" s="126"/>
      <c r="AA2110" s="128"/>
      <c r="AB2110" s="129"/>
      <c r="AC2110" s="160"/>
      <c r="AD2110" s="137"/>
      <c r="AG2110" s="121"/>
    </row>
    <row r="2111" spans="1:33" ht="11.25" customHeight="1" x14ac:dyDescent="0.15">
      <c r="A2111" s="110" t="s">
        <v>109</v>
      </c>
      <c r="B2111" s="319" t="s">
        <v>2798</v>
      </c>
      <c r="C2111" s="111" t="s">
        <v>175</v>
      </c>
      <c r="D2111" s="111">
        <v>2025</v>
      </c>
      <c r="E2111" s="146">
        <v>45930</v>
      </c>
      <c r="F2111" s="111"/>
      <c r="G2111" s="111">
        <v>81100311</v>
      </c>
      <c r="H2111" s="111">
        <v>4101</v>
      </c>
      <c r="I2111" s="111" t="str">
        <f>MID(G2111,2,1)</f>
        <v>1</v>
      </c>
      <c r="J2111" s="111" t="str">
        <f>IF(I2111="1","Small/Medium","Large")</f>
        <v>Small/Medium</v>
      </c>
      <c r="K2111" s="112" t="s">
        <v>145</v>
      </c>
      <c r="L2111" s="219">
        <v>11803.5</v>
      </c>
      <c r="M2111" s="120">
        <f t="shared" ref="M2111" si="2409">L2111*0.3</f>
        <v>3541.0499999999997</v>
      </c>
      <c r="N2111" s="120">
        <f t="shared" ref="N2111" si="2410">L2111-M2111</f>
        <v>8262.4500000000007</v>
      </c>
      <c r="O2111" s="119">
        <f t="shared" ref="O2111" si="2411">IFERROR(N2111/L2111,"")</f>
        <v>0.70000000000000007</v>
      </c>
      <c r="P2111" s="219">
        <v>11803.5</v>
      </c>
      <c r="Q2111" s="2">
        <v>6232</v>
      </c>
      <c r="R2111" s="5">
        <v>18.5</v>
      </c>
      <c r="S2111" s="5">
        <v>1015.28</v>
      </c>
      <c r="T2111" s="5">
        <v>630.08000000000004</v>
      </c>
      <c r="U2111" s="5">
        <v>475</v>
      </c>
      <c r="W2111" s="52">
        <f t="shared" ref="W2111" si="2412">SUM(S2111:V2111)</f>
        <v>2120.36</v>
      </c>
      <c r="X2111" s="118">
        <f t="shared" ref="X2111:X2112" si="2413">IFERROR(S2111/R2111,"")</f>
        <v>54.879999999999995</v>
      </c>
      <c r="Y2111" s="119">
        <f t="shared" ref="Y2111:Y2112" si="2414">IFERROR(U2111/P2111,0)</f>
        <v>4.0242301012411573E-2</v>
      </c>
      <c r="Z2111" s="117">
        <f t="shared" ref="Z2111:Z2112" si="2415">P2111-W2111</f>
        <v>9683.14</v>
      </c>
      <c r="AA2111" s="119">
        <f t="shared" ref="AA2111" si="2416">IFERROR(Z2111/P2111,0)</f>
        <v>0.82036175710594306</v>
      </c>
      <c r="AB2111" s="120">
        <f t="shared" ref="AB2111" si="2417">M2111-W2111</f>
        <v>1420.6899999999996</v>
      </c>
      <c r="AC2111" s="119">
        <f t="shared" ref="AC2111" si="2418">IFERROR(AA2111-O2111,"")</f>
        <v>0.12036175710594299</v>
      </c>
    </row>
    <row r="2112" spans="1:33" s="53" customFormat="1" ht="11.25" customHeight="1" x14ac:dyDescent="0.15">
      <c r="A2112" s="53" t="s">
        <v>109</v>
      </c>
      <c r="C2112" s="54" t="s">
        <v>177</v>
      </c>
      <c r="D2112" s="54"/>
      <c r="E2112" s="70"/>
      <c r="F2112" s="54"/>
      <c r="G2112" s="54"/>
      <c r="H2112" s="54"/>
      <c r="I2112" s="54"/>
      <c r="J2112" s="54"/>
      <c r="K2112" s="106"/>
      <c r="L2112" s="24">
        <f>SUM(L2111)</f>
        <v>11803.5</v>
      </c>
      <c r="M2112" s="24">
        <f t="shared" ref="M2112:N2112" si="2419">SUM(M2110:M2111)</f>
        <v>3541.0499999999997</v>
      </c>
      <c r="N2112" s="24">
        <f t="shared" si="2419"/>
        <v>8262.4500000000007</v>
      </c>
      <c r="O2112" s="57">
        <f>IFERROR(N2112/L2112,"")</f>
        <v>0.70000000000000007</v>
      </c>
      <c r="P2112" s="24">
        <f>SUM(P2111)</f>
        <v>11803.5</v>
      </c>
      <c r="Q2112" s="24"/>
      <c r="R2112" s="24">
        <f>SUM(R2111)</f>
        <v>18.5</v>
      </c>
      <c r="S2112" s="24">
        <f t="shared" ref="S2112:V2112" si="2420">SUM(S2111)</f>
        <v>1015.28</v>
      </c>
      <c r="T2112" s="24">
        <f t="shared" si="2420"/>
        <v>630.08000000000004</v>
      </c>
      <c r="U2112" s="24">
        <f t="shared" si="2420"/>
        <v>475</v>
      </c>
      <c r="V2112" s="24">
        <f t="shared" si="2420"/>
        <v>0</v>
      </c>
      <c r="W2112" s="24">
        <f>SUM(S2112:V2112)</f>
        <v>2120.36</v>
      </c>
      <c r="X2112" s="56">
        <f t="shared" si="2413"/>
        <v>54.879999999999995</v>
      </c>
      <c r="Y2112" s="119">
        <f t="shared" si="2414"/>
        <v>4.0242301012411573E-2</v>
      </c>
      <c r="Z2112" s="28">
        <f t="shared" si="2415"/>
        <v>9683.14</v>
      </c>
      <c r="AA2112" s="119">
        <f>IFERROR(Z2112/P2112,0)</f>
        <v>0.82036175710594306</v>
      </c>
      <c r="AB2112" s="58">
        <f>M2112-W2112</f>
        <v>1420.6899999999996</v>
      </c>
      <c r="AC2112" s="57">
        <f>IFERROR(AA2112-O2112,"")</f>
        <v>0.12036175710594299</v>
      </c>
      <c r="AG2112" s="61"/>
    </row>
    <row r="2113" spans="1:33" s="110" customFormat="1" ht="11.25" customHeight="1" x14ac:dyDescent="0.15">
      <c r="A2113" s="130"/>
      <c r="B2113" s="130"/>
      <c r="C2113" s="124"/>
      <c r="D2113" s="124"/>
      <c r="E2113" s="273"/>
      <c r="F2113" s="124"/>
      <c r="G2113" s="124"/>
      <c r="H2113" s="124"/>
      <c r="I2113" s="124"/>
      <c r="J2113" s="124"/>
      <c r="K2113" s="125"/>
      <c r="L2113" s="220"/>
      <c r="M2113" s="220"/>
      <c r="N2113" s="129"/>
      <c r="O2113" s="128"/>
      <c r="P2113" s="129"/>
      <c r="Q2113" s="124"/>
      <c r="R2113" s="129"/>
      <c r="S2113" s="129"/>
      <c r="T2113" s="129"/>
      <c r="U2113" s="129"/>
      <c r="V2113" s="126"/>
      <c r="W2113" s="49"/>
      <c r="X2113" s="45"/>
      <c r="Y2113" s="128"/>
      <c r="Z2113" s="126"/>
      <c r="AA2113" s="128"/>
      <c r="AB2113" s="129"/>
      <c r="AC2113" s="160"/>
      <c r="AD2113" s="137"/>
      <c r="AG2113" s="121"/>
    </row>
    <row r="2114" spans="1:33" ht="11.25" customHeight="1" x14ac:dyDescent="0.15">
      <c r="A2114" s="110" t="s">
        <v>315</v>
      </c>
      <c r="B2114" s="319" t="s">
        <v>2799</v>
      </c>
      <c r="C2114" s="111" t="s">
        <v>175</v>
      </c>
      <c r="D2114" s="111">
        <v>2025</v>
      </c>
      <c r="E2114" s="146">
        <v>45930</v>
      </c>
      <c r="F2114" s="111"/>
      <c r="G2114" s="111">
        <v>81100010</v>
      </c>
      <c r="H2114" s="111">
        <v>4101</v>
      </c>
      <c r="I2114" s="111" t="str">
        <f>MID(G2114,2,1)</f>
        <v>1</v>
      </c>
      <c r="J2114" s="111" t="str">
        <f>IF(I2114="1","Small/Medium","Large")</f>
        <v>Small/Medium</v>
      </c>
      <c r="K2114" s="112" t="s">
        <v>145</v>
      </c>
      <c r="L2114" s="120">
        <v>18707</v>
      </c>
      <c r="M2114" s="120">
        <f t="shared" ref="M2114" si="2421">L2114*0.3</f>
        <v>5612.0999999999995</v>
      </c>
      <c r="N2114" s="120">
        <f t="shared" ref="N2114" si="2422">L2114-M2114</f>
        <v>13094.900000000001</v>
      </c>
      <c r="O2114" s="119">
        <f t="shared" ref="O2114" si="2423">IFERROR(N2114/L2114,"")</f>
        <v>0.70000000000000007</v>
      </c>
      <c r="P2114" s="120">
        <v>18707</v>
      </c>
      <c r="Q2114" s="2">
        <v>5159</v>
      </c>
      <c r="R2114" s="5">
        <v>32</v>
      </c>
      <c r="S2114" s="5">
        <v>1756.16</v>
      </c>
      <c r="T2114" s="5">
        <v>1290.19</v>
      </c>
      <c r="U2114" s="5">
        <v>714.28</v>
      </c>
      <c r="W2114" s="52">
        <f t="shared" ref="W2114" si="2424">SUM(S2114:V2114)</f>
        <v>3760.63</v>
      </c>
      <c r="X2114" s="118">
        <f t="shared" ref="X2114" si="2425">IFERROR(S2114/R2114,"")</f>
        <v>54.88</v>
      </c>
      <c r="Y2114" s="119">
        <f t="shared" ref="Y2114:Y2115" si="2426">IFERROR(U2114/P2114,0)</f>
        <v>3.8182498529962042E-2</v>
      </c>
      <c r="Z2114" s="117">
        <f t="shared" ref="Z2114:Z2115" si="2427">P2114-W2114</f>
        <v>14946.369999999999</v>
      </c>
      <c r="AA2114" s="119">
        <f t="shared" ref="AA2114" si="2428">IFERROR(Z2114/P2114,0)</f>
        <v>0.79897204255091669</v>
      </c>
      <c r="AB2114" s="120">
        <f t="shared" ref="AB2114" si="2429">M2114-W2114</f>
        <v>1851.4699999999993</v>
      </c>
      <c r="AC2114" s="119">
        <f t="shared" ref="AC2114" si="2430">IFERROR(AA2114-O2114,"")</f>
        <v>9.8972042550916628E-2</v>
      </c>
    </row>
    <row r="2115" spans="1:33" s="53" customFormat="1" ht="11.25" customHeight="1" x14ac:dyDescent="0.15">
      <c r="A2115" s="53" t="s">
        <v>315</v>
      </c>
      <c r="C2115" s="54" t="s">
        <v>177</v>
      </c>
      <c r="D2115" s="54"/>
      <c r="E2115" s="70"/>
      <c r="F2115" s="54"/>
      <c r="G2115" s="54"/>
      <c r="H2115" s="54"/>
      <c r="I2115" s="54"/>
      <c r="J2115" s="54"/>
      <c r="K2115" s="106"/>
      <c r="L2115" s="24">
        <f>SUM(L2114)</f>
        <v>18707</v>
      </c>
      <c r="M2115" s="24">
        <f t="shared" ref="M2115:N2115" si="2431">SUM(M2113:M2114)</f>
        <v>5612.0999999999995</v>
      </c>
      <c r="N2115" s="24">
        <f t="shared" si="2431"/>
        <v>13094.900000000001</v>
      </c>
      <c r="O2115" s="57">
        <f>IFERROR(N2115/L2115,"")</f>
        <v>0.70000000000000007</v>
      </c>
      <c r="P2115" s="24">
        <f>SUM(P2114)</f>
        <v>18707</v>
      </c>
      <c r="Q2115" s="24"/>
      <c r="R2115" s="24">
        <f>SUM(R2114)</f>
        <v>32</v>
      </c>
      <c r="S2115" s="24">
        <f t="shared" ref="S2115:V2115" si="2432">SUM(S2114)</f>
        <v>1756.16</v>
      </c>
      <c r="T2115" s="24">
        <f t="shared" si="2432"/>
        <v>1290.19</v>
      </c>
      <c r="U2115" s="24">
        <f t="shared" si="2432"/>
        <v>714.28</v>
      </c>
      <c r="V2115" s="24">
        <f t="shared" si="2432"/>
        <v>0</v>
      </c>
      <c r="W2115" s="24">
        <f>SUM(S2115:V2115)</f>
        <v>3760.63</v>
      </c>
      <c r="X2115" s="56">
        <f>IFERROR(S2115/R2115,"")</f>
        <v>54.88</v>
      </c>
      <c r="Y2115" s="119">
        <f t="shared" si="2426"/>
        <v>3.8182498529962042E-2</v>
      </c>
      <c r="Z2115" s="28">
        <f t="shared" si="2427"/>
        <v>14946.369999999999</v>
      </c>
      <c r="AA2115" s="119">
        <f>IFERROR(Z2115/P2115,0)</f>
        <v>0.79897204255091669</v>
      </c>
      <c r="AB2115" s="58">
        <f>M2115-W2115</f>
        <v>1851.4699999999993</v>
      </c>
      <c r="AC2115" s="57">
        <f>IFERROR(AA2115-O2115,"")</f>
        <v>9.8972042550916628E-2</v>
      </c>
      <c r="AG2115" s="61"/>
    </row>
    <row r="2116" spans="1:33" s="110" customFormat="1" ht="11.25" customHeight="1" x14ac:dyDescent="0.15">
      <c r="A2116" s="130"/>
      <c r="B2116" s="130"/>
      <c r="C2116" s="124"/>
      <c r="D2116" s="124"/>
      <c r="E2116" s="273"/>
      <c r="F2116" s="124"/>
      <c r="G2116" s="124"/>
      <c r="H2116" s="124"/>
      <c r="I2116" s="124"/>
      <c r="J2116" s="124"/>
      <c r="K2116" s="125"/>
      <c r="L2116" s="220"/>
      <c r="M2116" s="220"/>
      <c r="N2116" s="129"/>
      <c r="O2116" s="128"/>
      <c r="P2116" s="129"/>
      <c r="Q2116" s="124"/>
      <c r="R2116" s="129"/>
      <c r="S2116" s="129"/>
      <c r="T2116" s="129"/>
      <c r="U2116" s="129"/>
      <c r="V2116" s="126"/>
      <c r="W2116" s="49"/>
      <c r="X2116" s="45"/>
      <c r="Y2116" s="128"/>
      <c r="Z2116" s="126"/>
      <c r="AA2116" s="128"/>
      <c r="AB2116" s="129"/>
      <c r="AC2116" s="160"/>
      <c r="AD2116" s="137"/>
      <c r="AG2116" s="121"/>
    </row>
    <row r="2117" spans="1:33" ht="11.25" customHeight="1" x14ac:dyDescent="0.15">
      <c r="A2117" s="110" t="s">
        <v>253</v>
      </c>
      <c r="B2117" s="319" t="s">
        <v>2804</v>
      </c>
      <c r="C2117" s="111" t="s">
        <v>175</v>
      </c>
      <c r="D2117" s="111">
        <v>2025</v>
      </c>
      <c r="E2117" s="146">
        <v>45930</v>
      </c>
      <c r="G2117" s="2">
        <v>81000010</v>
      </c>
      <c r="H2117" s="2">
        <v>4111</v>
      </c>
      <c r="I2117" s="111" t="str">
        <f>MID(G2117,2,1)</f>
        <v>1</v>
      </c>
      <c r="J2117" s="111" t="str">
        <f>IF(I2117="1","Small/Medium","Large")</f>
        <v>Small/Medium</v>
      </c>
      <c r="K2117" s="112" t="s">
        <v>145</v>
      </c>
      <c r="L2117" s="47">
        <v>9530</v>
      </c>
      <c r="M2117" s="120">
        <f t="shared" ref="M2117" si="2433">L2117*0.3</f>
        <v>2859</v>
      </c>
      <c r="N2117" s="120">
        <f t="shared" ref="N2117" si="2434">L2117-M2117</f>
        <v>6671</v>
      </c>
      <c r="O2117" s="119">
        <f t="shared" ref="O2117" si="2435">IFERROR(N2117/L2117,"")</f>
        <v>0.7</v>
      </c>
      <c r="P2117" s="47">
        <v>9530</v>
      </c>
      <c r="Q2117" s="2">
        <v>5190</v>
      </c>
      <c r="R2117" s="5">
        <v>21.5</v>
      </c>
      <c r="S2117" s="5">
        <v>1179.92</v>
      </c>
      <c r="T2117" s="5">
        <v>1290.19</v>
      </c>
      <c r="U2117" s="5">
        <v>33.380000000000003</v>
      </c>
      <c r="W2117" s="52">
        <f t="shared" ref="W2117" si="2436">SUM(S2117:V2117)</f>
        <v>2503.4900000000002</v>
      </c>
      <c r="X2117" s="118">
        <f t="shared" ref="X2117:X2118" si="2437">IFERROR(S2117/R2117,"")</f>
        <v>54.88</v>
      </c>
      <c r="Y2117" s="119">
        <f t="shared" ref="Y2117:Y2118" si="2438">IFERROR(U2117/P2117,0)</f>
        <v>3.5026232948583425E-3</v>
      </c>
      <c r="Z2117" s="117">
        <f t="shared" ref="Z2117:Z2118" si="2439">P2117-W2117</f>
        <v>7026.51</v>
      </c>
      <c r="AA2117" s="119">
        <f t="shared" ref="AA2117" si="2440">IFERROR(Z2117/P2117,0)</f>
        <v>0.73730430220356769</v>
      </c>
      <c r="AB2117" s="120">
        <f t="shared" ref="AB2117" si="2441">M2117-W2117</f>
        <v>355.50999999999976</v>
      </c>
      <c r="AC2117" s="119">
        <f t="shared" ref="AC2117" si="2442">IFERROR(AA2117-O2117,"")</f>
        <v>3.730430220356773E-2</v>
      </c>
    </row>
    <row r="2118" spans="1:33" s="53" customFormat="1" ht="11.25" customHeight="1" x14ac:dyDescent="0.15">
      <c r="A2118" s="53" t="s">
        <v>253</v>
      </c>
      <c r="C2118" s="54" t="s">
        <v>177</v>
      </c>
      <c r="D2118" s="54"/>
      <c r="E2118" s="70"/>
      <c r="F2118" s="54"/>
      <c r="G2118" s="54"/>
      <c r="H2118" s="54"/>
      <c r="I2118" s="54"/>
      <c r="J2118" s="54"/>
      <c r="K2118" s="106"/>
      <c r="L2118" s="24">
        <f>SUM(L2117)</f>
        <v>9530</v>
      </c>
      <c r="M2118" s="24">
        <f t="shared" ref="M2118:N2118" si="2443">SUM(M2116:M2117)</f>
        <v>2859</v>
      </c>
      <c r="N2118" s="24">
        <f t="shared" si="2443"/>
        <v>6671</v>
      </c>
      <c r="O2118" s="57">
        <f>IFERROR(N2118/L2118,"")</f>
        <v>0.7</v>
      </c>
      <c r="P2118" s="24">
        <f>SUM(P2117)</f>
        <v>9530</v>
      </c>
      <c r="Q2118" s="24"/>
      <c r="R2118" s="24">
        <f>SUM(R2117)</f>
        <v>21.5</v>
      </c>
      <c r="S2118" s="24">
        <f t="shared" ref="S2118:V2118" si="2444">SUM(S2117)</f>
        <v>1179.92</v>
      </c>
      <c r="T2118" s="24">
        <f t="shared" si="2444"/>
        <v>1290.19</v>
      </c>
      <c r="U2118" s="24">
        <f t="shared" si="2444"/>
        <v>33.380000000000003</v>
      </c>
      <c r="V2118" s="24">
        <f t="shared" si="2444"/>
        <v>0</v>
      </c>
      <c r="W2118" s="24">
        <f>SUM(S2118:V2118)</f>
        <v>2503.4900000000002</v>
      </c>
      <c r="X2118" s="56">
        <f t="shared" si="2437"/>
        <v>54.88</v>
      </c>
      <c r="Y2118" s="119">
        <f t="shared" si="2438"/>
        <v>3.5026232948583425E-3</v>
      </c>
      <c r="Z2118" s="28">
        <f t="shared" si="2439"/>
        <v>7026.51</v>
      </c>
      <c r="AA2118" s="119">
        <f>IFERROR(Z2118/P2118,0)</f>
        <v>0.73730430220356769</v>
      </c>
      <c r="AB2118" s="58">
        <f>M2118-W2118</f>
        <v>355.50999999999976</v>
      </c>
      <c r="AC2118" s="57">
        <f>IFERROR(AA2118-O2118,"")</f>
        <v>3.730430220356773E-2</v>
      </c>
      <c r="AG2118" s="61"/>
    </row>
    <row r="2119" spans="1:33" s="110" customFormat="1" ht="11.25" customHeight="1" x14ac:dyDescent="0.15">
      <c r="A2119" s="130"/>
      <c r="B2119" s="130"/>
      <c r="C2119" s="124"/>
      <c r="D2119" s="124"/>
      <c r="E2119" s="273"/>
      <c r="F2119" s="124"/>
      <c r="G2119" s="124"/>
      <c r="H2119" s="124"/>
      <c r="I2119" s="124"/>
      <c r="J2119" s="124"/>
      <c r="K2119" s="125"/>
      <c r="L2119" s="220"/>
      <c r="M2119" s="220"/>
      <c r="N2119" s="129"/>
      <c r="O2119" s="128"/>
      <c r="P2119" s="129"/>
      <c r="Q2119" s="124"/>
      <c r="R2119" s="129"/>
      <c r="S2119" s="129"/>
      <c r="T2119" s="129"/>
      <c r="U2119" s="129"/>
      <c r="V2119" s="126"/>
      <c r="W2119" s="49"/>
      <c r="X2119" s="45"/>
      <c r="Y2119" s="128"/>
      <c r="Z2119" s="126"/>
      <c r="AA2119" s="128"/>
      <c r="AB2119" s="129"/>
      <c r="AC2119" s="160"/>
      <c r="AD2119" s="137"/>
      <c r="AG2119" s="121"/>
    </row>
    <row r="2120" spans="1:33" ht="11.25" customHeight="1" x14ac:dyDescent="0.15">
      <c r="A2120" s="110" t="s">
        <v>426</v>
      </c>
      <c r="B2120" s="319" t="s">
        <v>2805</v>
      </c>
      <c r="C2120" s="111" t="s">
        <v>175</v>
      </c>
      <c r="D2120" s="111">
        <v>2025</v>
      </c>
      <c r="E2120" s="146">
        <v>45930</v>
      </c>
      <c r="L2120" s="47">
        <v>9530</v>
      </c>
      <c r="M2120" s="120">
        <f t="shared" ref="M2120" si="2445">L2120*0.3</f>
        <v>2859</v>
      </c>
      <c r="N2120" s="120">
        <f t="shared" ref="N2120" si="2446">L2120-M2120</f>
        <v>6671</v>
      </c>
      <c r="O2120" s="119">
        <f t="shared" ref="O2120" si="2447">IFERROR(N2120/L2120,"")</f>
        <v>0.7</v>
      </c>
      <c r="P2120" s="47">
        <v>9530</v>
      </c>
      <c r="Q2120" s="2">
        <v>6352</v>
      </c>
      <c r="R2120" s="5">
        <v>18</v>
      </c>
      <c r="S2120" s="5">
        <v>987.84</v>
      </c>
      <c r="T2120" s="5">
        <v>1778.07</v>
      </c>
      <c r="U2120" s="5">
        <v>99.87</v>
      </c>
      <c r="W2120" s="52">
        <f t="shared" ref="W2120" si="2448">SUM(S2120:V2120)</f>
        <v>2865.7799999999997</v>
      </c>
      <c r="X2120" s="118">
        <f t="shared" ref="X2120:X2121" si="2449">IFERROR(S2120/R2120,"")</f>
        <v>54.88</v>
      </c>
      <c r="Y2120" s="119">
        <f t="shared" ref="Y2120:Y2121" si="2450">IFERROR(U2120/P2120,0)</f>
        <v>1.0479538300104932E-2</v>
      </c>
      <c r="Z2120" s="117">
        <f t="shared" ref="Z2120:Z2121" si="2451">P2120-W2120</f>
        <v>6664.22</v>
      </c>
      <c r="AA2120" s="119">
        <f t="shared" ref="AA2120" si="2452">IFERROR(Z2120/P2120,0)</f>
        <v>0.69928856243441762</v>
      </c>
      <c r="AB2120" s="120">
        <f t="shared" ref="AB2120" si="2453">M2120-W2120</f>
        <v>-6.7799999999997453</v>
      </c>
      <c r="AC2120" s="119">
        <f t="shared" ref="AC2120" si="2454">IFERROR(AA2120-O2120,"")</f>
        <v>-7.1143756558234017E-4</v>
      </c>
    </row>
    <row r="2121" spans="1:33" s="53" customFormat="1" ht="11.25" customHeight="1" x14ac:dyDescent="0.15">
      <c r="A2121" s="53" t="s">
        <v>426</v>
      </c>
      <c r="C2121" s="54" t="s">
        <v>177</v>
      </c>
      <c r="D2121" s="54"/>
      <c r="E2121" s="70"/>
      <c r="F2121" s="54"/>
      <c r="G2121" s="54"/>
      <c r="H2121" s="54"/>
      <c r="I2121" s="54"/>
      <c r="J2121" s="54"/>
      <c r="K2121" s="106"/>
      <c r="L2121" s="24">
        <f>SUM(L2120)</f>
        <v>9530</v>
      </c>
      <c r="M2121" s="24">
        <f t="shared" ref="M2121:N2121" si="2455">SUM(M2119:M2120)</f>
        <v>2859</v>
      </c>
      <c r="N2121" s="24">
        <f t="shared" si="2455"/>
        <v>6671</v>
      </c>
      <c r="O2121" s="57">
        <f>IFERROR(N2121/L2121,"")</f>
        <v>0.7</v>
      </c>
      <c r="P2121" s="24">
        <f>SUM(P2120)</f>
        <v>9530</v>
      </c>
      <c r="Q2121" s="24"/>
      <c r="R2121" s="24">
        <f>SUM(R2120)</f>
        <v>18</v>
      </c>
      <c r="S2121" s="24">
        <f t="shared" ref="S2121:V2121" si="2456">SUM(S2120)</f>
        <v>987.84</v>
      </c>
      <c r="T2121" s="24">
        <f t="shared" si="2456"/>
        <v>1778.07</v>
      </c>
      <c r="U2121" s="24">
        <f t="shared" si="2456"/>
        <v>99.87</v>
      </c>
      <c r="V2121" s="24">
        <f t="shared" si="2456"/>
        <v>0</v>
      </c>
      <c r="W2121" s="24">
        <f>SUM(S2121:V2121)</f>
        <v>2865.7799999999997</v>
      </c>
      <c r="X2121" s="56">
        <f t="shared" si="2449"/>
        <v>54.88</v>
      </c>
      <c r="Y2121" s="119">
        <f t="shared" si="2450"/>
        <v>1.0479538300104932E-2</v>
      </c>
      <c r="Z2121" s="28">
        <f t="shared" si="2451"/>
        <v>6664.22</v>
      </c>
      <c r="AA2121" s="119">
        <f>IFERROR(Z2121/P2121,0)</f>
        <v>0.69928856243441762</v>
      </c>
      <c r="AB2121" s="58">
        <f>M2121-W2121</f>
        <v>-6.7799999999997453</v>
      </c>
      <c r="AC2121" s="57">
        <f>IFERROR(AA2121-O2121,"")</f>
        <v>-7.1143756558234017E-4</v>
      </c>
      <c r="AG2121" s="61"/>
    </row>
    <row r="2122" spans="1:33" s="110" customFormat="1" ht="11.25" customHeight="1" x14ac:dyDescent="0.15">
      <c r="A2122" s="130"/>
      <c r="B2122" s="130"/>
      <c r="C2122" s="124"/>
      <c r="D2122" s="124"/>
      <c r="E2122" s="273"/>
      <c r="F2122" s="124"/>
      <c r="G2122" s="124"/>
      <c r="H2122" s="124"/>
      <c r="I2122" s="124"/>
      <c r="J2122" s="124"/>
      <c r="K2122" s="125"/>
      <c r="L2122" s="220"/>
      <c r="M2122" s="220"/>
      <c r="N2122" s="129"/>
      <c r="O2122" s="128"/>
      <c r="P2122" s="129"/>
      <c r="Q2122" s="124"/>
      <c r="R2122" s="129"/>
      <c r="S2122" s="129"/>
      <c r="T2122" s="129"/>
      <c r="U2122" s="129"/>
      <c r="V2122" s="126"/>
      <c r="W2122" s="49"/>
      <c r="X2122" s="45"/>
      <c r="Y2122" s="128"/>
      <c r="Z2122" s="126"/>
      <c r="AA2122" s="128"/>
      <c r="AB2122" s="129"/>
      <c r="AC2122" s="160"/>
      <c r="AD2122" s="137"/>
      <c r="AG2122" s="121"/>
    </row>
    <row r="2123" spans="1:33" ht="11.25" customHeight="1" x14ac:dyDescent="0.15">
      <c r="A2123" s="110" t="s">
        <v>2795</v>
      </c>
      <c r="B2123" s="319" t="s">
        <v>2803</v>
      </c>
      <c r="C2123" s="111" t="s">
        <v>164</v>
      </c>
      <c r="D2123" s="111">
        <v>2025</v>
      </c>
      <c r="E2123" s="146">
        <v>45930</v>
      </c>
      <c r="G2123" s="111" t="s">
        <v>318</v>
      </c>
      <c r="K2123" s="107" t="s">
        <v>1521</v>
      </c>
      <c r="L2123" s="47">
        <v>549.48</v>
      </c>
      <c r="M2123" s="120">
        <f>L2123*0.35</f>
        <v>192.31799999999998</v>
      </c>
      <c r="N2123" s="120">
        <f t="shared" ref="N2123" si="2457">L2123-M2123</f>
        <v>357.16200000000003</v>
      </c>
      <c r="O2123" s="119">
        <f>IFERROR(N2123/L2123,"")</f>
        <v>0.65</v>
      </c>
      <c r="P2123" s="47">
        <v>549.48</v>
      </c>
      <c r="U2123" s="5">
        <v>225.45</v>
      </c>
      <c r="W2123" s="52">
        <f t="shared" ref="W2123:W2127" si="2458">SUM(S2123:V2123)</f>
        <v>225.45</v>
      </c>
      <c r="X2123" s="118" t="str">
        <f t="shared" ref="X2123:X2127" si="2459">IFERROR(S2123/R2123,"")</f>
        <v/>
      </c>
      <c r="Y2123" s="119">
        <f t="shared" ref="Y2123:Y2127" si="2460">IFERROR(U2123/P2123,0)</f>
        <v>0.41029700808036684</v>
      </c>
      <c r="Z2123" s="117">
        <f t="shared" ref="Z2123:Z2127" si="2461">P2123-W2123</f>
        <v>324.03000000000003</v>
      </c>
      <c r="AA2123" s="119">
        <f t="shared" ref="AA2123:AA2127" si="2462">IFERROR(Z2123/P2123,0)</f>
        <v>0.58970299191963316</v>
      </c>
      <c r="AB2123" s="120">
        <f t="shared" ref="AB2123:AB2127" si="2463">M2123-W2123</f>
        <v>-33.132000000000005</v>
      </c>
      <c r="AC2123" s="119">
        <f t="shared" ref="AC2123:AC2127" si="2464">IFERROR(AA2123-O2123,"")</f>
        <v>-6.0297008080366865E-2</v>
      </c>
    </row>
    <row r="2124" spans="1:33" ht="11.25" customHeight="1" x14ac:dyDescent="0.15">
      <c r="A2124" s="110" t="s">
        <v>2795</v>
      </c>
      <c r="B2124" s="110"/>
      <c r="C2124" s="111" t="s">
        <v>164</v>
      </c>
      <c r="D2124" s="111">
        <v>2025</v>
      </c>
      <c r="E2124" s="146">
        <v>45930</v>
      </c>
      <c r="G2124" s="111" t="s">
        <v>957</v>
      </c>
      <c r="K2124" s="107" t="s">
        <v>2800</v>
      </c>
      <c r="L2124" s="47">
        <v>133.44</v>
      </c>
      <c r="M2124" s="120">
        <f t="shared" ref="M2124:M2127" si="2465">L2124*0.35</f>
        <v>46.703999999999994</v>
      </c>
      <c r="N2124" s="120">
        <f t="shared" ref="N2124:N2127" si="2466">L2124-M2124</f>
        <v>86.736000000000004</v>
      </c>
      <c r="O2124" s="119">
        <f t="shared" ref="O2124:O2127" si="2467">IFERROR(N2124/L2124,"")</f>
        <v>0.65</v>
      </c>
      <c r="P2124" s="47">
        <v>133.44</v>
      </c>
      <c r="U2124" s="5">
        <v>54.59</v>
      </c>
      <c r="W2124" s="52">
        <f t="shared" si="2458"/>
        <v>54.59</v>
      </c>
      <c r="X2124" s="118" t="str">
        <f t="shared" si="2459"/>
        <v/>
      </c>
      <c r="Y2124" s="119">
        <f t="shared" si="2460"/>
        <v>0.409097721822542</v>
      </c>
      <c r="Z2124" s="117">
        <f t="shared" si="2461"/>
        <v>78.849999999999994</v>
      </c>
      <c r="AA2124" s="119">
        <f t="shared" si="2462"/>
        <v>0.590902278177458</v>
      </c>
      <c r="AB2124" s="120">
        <f t="shared" si="2463"/>
        <v>-7.8860000000000099</v>
      </c>
      <c r="AC2124" s="119">
        <f t="shared" si="2464"/>
        <v>-5.9097721822542026E-2</v>
      </c>
    </row>
    <row r="2125" spans="1:33" ht="11.25" customHeight="1" x14ac:dyDescent="0.15">
      <c r="A2125" s="110" t="s">
        <v>2795</v>
      </c>
      <c r="B2125" s="110"/>
      <c r="C2125" s="111" t="s">
        <v>164</v>
      </c>
      <c r="D2125" s="111">
        <v>2025</v>
      </c>
      <c r="E2125" s="146">
        <v>45930</v>
      </c>
      <c r="G2125" s="111" t="s">
        <v>955</v>
      </c>
      <c r="K2125" s="107" t="s">
        <v>2801</v>
      </c>
      <c r="L2125" s="47">
        <v>105.7</v>
      </c>
      <c r="M2125" s="120">
        <f t="shared" si="2465"/>
        <v>36.994999999999997</v>
      </c>
      <c r="N2125" s="120">
        <f t="shared" si="2466"/>
        <v>68.705000000000013</v>
      </c>
      <c r="O2125" s="119">
        <f t="shared" si="2467"/>
        <v>0.65000000000000013</v>
      </c>
      <c r="P2125" s="47">
        <v>105.7</v>
      </c>
      <c r="U2125" s="5">
        <v>43.76</v>
      </c>
      <c r="W2125" s="52">
        <f t="shared" si="2458"/>
        <v>43.76</v>
      </c>
      <c r="X2125" s="118" t="str">
        <f t="shared" si="2459"/>
        <v/>
      </c>
      <c r="Y2125" s="119">
        <f t="shared" si="2460"/>
        <v>0.41400189214758748</v>
      </c>
      <c r="Z2125" s="117">
        <f t="shared" si="2461"/>
        <v>61.940000000000005</v>
      </c>
      <c r="AA2125" s="119">
        <f t="shared" si="2462"/>
        <v>0.58599810785241246</v>
      </c>
      <c r="AB2125" s="120">
        <f t="shared" si="2463"/>
        <v>-6.7650000000000006</v>
      </c>
      <c r="AC2125" s="119">
        <f t="shared" si="2464"/>
        <v>-6.4001892147587669E-2</v>
      </c>
    </row>
    <row r="2126" spans="1:33" ht="11.25" customHeight="1" x14ac:dyDescent="0.15">
      <c r="A2126" s="110" t="s">
        <v>2795</v>
      </c>
      <c r="B2126" s="110"/>
      <c r="C2126" s="111" t="s">
        <v>164</v>
      </c>
      <c r="D2126" s="111">
        <v>2025</v>
      </c>
      <c r="E2126" s="146">
        <v>45930</v>
      </c>
      <c r="G2126" s="111" t="s">
        <v>734</v>
      </c>
      <c r="K2126" s="107" t="s">
        <v>1385</v>
      </c>
      <c r="L2126" s="47">
        <v>551.73</v>
      </c>
      <c r="M2126" s="120">
        <f t="shared" si="2465"/>
        <v>193.10550000000001</v>
      </c>
      <c r="N2126" s="120">
        <f t="shared" si="2466"/>
        <v>358.62450000000001</v>
      </c>
      <c r="O2126" s="119">
        <f t="shared" si="2467"/>
        <v>0.65</v>
      </c>
      <c r="P2126" s="47">
        <v>551.73</v>
      </c>
      <c r="U2126" s="5">
        <v>226.51</v>
      </c>
      <c r="W2126" s="52">
        <f t="shared" si="2458"/>
        <v>226.51</v>
      </c>
      <c r="X2126" s="118" t="str">
        <f t="shared" si="2459"/>
        <v/>
      </c>
      <c r="Y2126" s="119">
        <f t="shared" si="2460"/>
        <v>0.41054501295923729</v>
      </c>
      <c r="Z2126" s="117">
        <f t="shared" si="2461"/>
        <v>325.22000000000003</v>
      </c>
      <c r="AA2126" s="119">
        <f t="shared" si="2462"/>
        <v>0.58945498704076271</v>
      </c>
      <c r="AB2126" s="120">
        <f t="shared" si="2463"/>
        <v>-33.404499999999985</v>
      </c>
      <c r="AC2126" s="119">
        <f t="shared" si="2464"/>
        <v>-6.054501295923731E-2</v>
      </c>
    </row>
    <row r="2127" spans="1:33" ht="11.25" customHeight="1" x14ac:dyDescent="0.15">
      <c r="A2127" s="110" t="s">
        <v>2795</v>
      </c>
      <c r="B2127" s="110"/>
      <c r="C2127" s="111" t="s">
        <v>164</v>
      </c>
      <c r="D2127" s="111">
        <v>2025</v>
      </c>
      <c r="E2127" s="146">
        <v>45930</v>
      </c>
      <c r="G2127" s="111" t="s">
        <v>1388</v>
      </c>
      <c r="K2127" s="107" t="s">
        <v>2802</v>
      </c>
      <c r="L2127" s="47">
        <v>328.34</v>
      </c>
      <c r="M2127" s="120">
        <f t="shared" si="2465"/>
        <v>114.91899999999998</v>
      </c>
      <c r="N2127" s="120">
        <f t="shared" si="2466"/>
        <v>213.42099999999999</v>
      </c>
      <c r="O2127" s="119">
        <f t="shared" si="2467"/>
        <v>0.65</v>
      </c>
      <c r="P2127" s="47">
        <v>328.34</v>
      </c>
      <c r="U2127" s="5">
        <v>134.84</v>
      </c>
      <c r="W2127" s="52">
        <f t="shared" si="2458"/>
        <v>134.84</v>
      </c>
      <c r="X2127" s="118" t="str">
        <f t="shared" si="2459"/>
        <v/>
      </c>
      <c r="Y2127" s="119">
        <f t="shared" si="2460"/>
        <v>0.41067186453066945</v>
      </c>
      <c r="Z2127" s="117">
        <f t="shared" si="2461"/>
        <v>193.49999999999997</v>
      </c>
      <c r="AA2127" s="119">
        <f t="shared" si="2462"/>
        <v>0.58932813546933049</v>
      </c>
      <c r="AB2127" s="120">
        <f t="shared" si="2463"/>
        <v>-19.921000000000021</v>
      </c>
      <c r="AC2127" s="119">
        <f t="shared" si="2464"/>
        <v>-6.0671864530669528E-2</v>
      </c>
    </row>
    <row r="2128" spans="1:33" ht="11.25" customHeight="1" x14ac:dyDescent="0.15">
      <c r="A2128" s="110" t="s">
        <v>2795</v>
      </c>
      <c r="B2128" s="110"/>
      <c r="C2128" s="111" t="s">
        <v>201</v>
      </c>
      <c r="D2128" s="111">
        <v>2025</v>
      </c>
      <c r="E2128" s="146">
        <v>45930</v>
      </c>
      <c r="G2128" s="2">
        <v>50000040</v>
      </c>
      <c r="K2128" s="107" t="s">
        <v>2796</v>
      </c>
      <c r="L2128" s="47">
        <v>9129.31</v>
      </c>
      <c r="M2128" s="120">
        <f>L2128*0.5</f>
        <v>4564.6549999999997</v>
      </c>
      <c r="N2128" s="120">
        <f t="shared" ref="N2128" si="2468">L2128-M2128</f>
        <v>4564.6549999999997</v>
      </c>
      <c r="O2128" s="119">
        <f t="shared" ref="O2128" si="2469">IFERROR(N2128/L2128,"")</f>
        <v>0.5</v>
      </c>
      <c r="P2128" s="47">
        <v>9129.31</v>
      </c>
      <c r="Q2128" s="2">
        <v>6243</v>
      </c>
      <c r="R2128" s="320">
        <v>36</v>
      </c>
      <c r="S2128" s="320">
        <v>2012.76</v>
      </c>
      <c r="T2128" s="320">
        <v>2606.56</v>
      </c>
      <c r="U2128" s="320">
        <v>1138.81</v>
      </c>
      <c r="V2128" s="320">
        <v>297.02</v>
      </c>
      <c r="W2128" s="52">
        <f t="shared" ref="W2128" si="2470">SUM(S2128:V2128)</f>
        <v>6055.15</v>
      </c>
      <c r="X2128" s="118">
        <f t="shared" ref="X2128:X2129" si="2471">IFERROR(S2128/R2128,"")</f>
        <v>55.91</v>
      </c>
      <c r="Y2128" s="119">
        <f t="shared" ref="Y2128:Y2129" si="2472">IFERROR(U2128/P2128,0)</f>
        <v>0.12474217657194246</v>
      </c>
      <c r="Z2128" s="117">
        <f t="shared" ref="Z2128:Z2129" si="2473">P2128-W2128</f>
        <v>3074.16</v>
      </c>
      <c r="AA2128" s="119">
        <f t="shared" ref="AA2128" si="2474">IFERROR(Z2128/P2128,0)</f>
        <v>0.33673519685496495</v>
      </c>
      <c r="AB2128" s="120">
        <f t="shared" ref="AB2128" si="2475">M2128-W2128</f>
        <v>-1490.4949999999999</v>
      </c>
      <c r="AC2128" s="119">
        <f t="shared" ref="AC2128" si="2476">IFERROR(AA2128-O2128,"")</f>
        <v>-0.16326480314503505</v>
      </c>
      <c r="AD2128" s="110" t="s">
        <v>2807</v>
      </c>
    </row>
    <row r="2129" spans="1:33" s="53" customFormat="1" ht="11.25" customHeight="1" x14ac:dyDescent="0.15">
      <c r="A2129" s="53" t="s">
        <v>2795</v>
      </c>
      <c r="C2129" s="54" t="s">
        <v>177</v>
      </c>
      <c r="D2129" s="54"/>
      <c r="E2129" s="70"/>
      <c r="F2129" s="54"/>
      <c r="G2129" s="54"/>
      <c r="H2129" s="54"/>
      <c r="I2129" s="54"/>
      <c r="J2129" s="54"/>
      <c r="K2129" s="106"/>
      <c r="L2129" s="24">
        <f>SUM(L2123:L2128)</f>
        <v>10798</v>
      </c>
      <c r="M2129" s="24">
        <f>SUM(M2123:M2128)</f>
        <v>5148.6965</v>
      </c>
      <c r="N2129" s="24">
        <f>SUM(N2123:N2128)</f>
        <v>5649.3035</v>
      </c>
      <c r="O2129" s="57">
        <f>IFERROR(N2129/L2129,"")</f>
        <v>0.52318054269309133</v>
      </c>
      <c r="P2129" s="24">
        <f>SUM(P2123:P2128)</f>
        <v>10798</v>
      </c>
      <c r="Q2129" s="24"/>
      <c r="R2129" s="24">
        <f>SUM(R2123:R2128)</f>
        <v>36</v>
      </c>
      <c r="S2129" s="24">
        <f t="shared" ref="S2129:V2129" si="2477">SUM(S2123:S2128)</f>
        <v>2012.76</v>
      </c>
      <c r="T2129" s="24">
        <f t="shared" si="2477"/>
        <v>2606.56</v>
      </c>
      <c r="U2129" s="24">
        <f t="shared" si="2477"/>
        <v>1823.96</v>
      </c>
      <c r="V2129" s="24">
        <f t="shared" si="2477"/>
        <v>297.02</v>
      </c>
      <c r="W2129" s="24">
        <f>SUM(S2129:V2129)</f>
        <v>6740.2999999999993</v>
      </c>
      <c r="X2129" s="56">
        <f t="shared" si="2471"/>
        <v>55.91</v>
      </c>
      <c r="Y2129" s="119">
        <f t="shared" si="2472"/>
        <v>0.16891646601222449</v>
      </c>
      <c r="Z2129" s="28">
        <f t="shared" si="2473"/>
        <v>4057.7000000000007</v>
      </c>
      <c r="AA2129" s="119">
        <f>IFERROR(Z2129/P2129,0)</f>
        <v>0.37578255232450458</v>
      </c>
      <c r="AB2129" s="58">
        <f>M2129-W2129</f>
        <v>-1591.6034999999993</v>
      </c>
      <c r="AC2129" s="57">
        <f>IFERROR(AA2129-O2129,"")</f>
        <v>-0.14739799036858675</v>
      </c>
      <c r="AG2129" s="61"/>
    </row>
    <row r="2130" spans="1:33" s="110" customFormat="1" ht="11.25" customHeight="1" x14ac:dyDescent="0.15">
      <c r="A2130" s="130"/>
      <c r="B2130" s="130"/>
      <c r="C2130" s="124"/>
      <c r="D2130" s="124"/>
      <c r="E2130" s="273"/>
      <c r="F2130" s="124"/>
      <c r="G2130" s="124"/>
      <c r="H2130" s="124"/>
      <c r="I2130" s="124"/>
      <c r="J2130" s="124"/>
      <c r="K2130" s="125"/>
      <c r="L2130" s="220"/>
      <c r="M2130" s="220"/>
      <c r="N2130" s="129"/>
      <c r="O2130" s="128"/>
      <c r="P2130" s="129"/>
      <c r="Q2130" s="124"/>
      <c r="R2130" s="129"/>
      <c r="S2130" s="129"/>
      <c r="T2130" s="129"/>
      <c r="U2130" s="129"/>
      <c r="V2130" s="126"/>
      <c r="W2130" s="49"/>
      <c r="X2130" s="45"/>
      <c r="Y2130" s="128"/>
      <c r="Z2130" s="126"/>
      <c r="AA2130" s="128"/>
      <c r="AB2130" s="129"/>
      <c r="AC2130" s="160"/>
      <c r="AD2130" s="137"/>
      <c r="AG2130" s="121"/>
    </row>
    <row r="2131" spans="1:33" ht="11.25" customHeight="1" x14ac:dyDescent="0.15">
      <c r="A2131" s="110" t="s">
        <v>2684</v>
      </c>
      <c r="B2131" s="319" t="s">
        <v>2808</v>
      </c>
      <c r="C2131" s="111" t="s">
        <v>175</v>
      </c>
      <c r="D2131" s="111">
        <v>2025</v>
      </c>
      <c r="E2131" s="146">
        <v>45930</v>
      </c>
      <c r="G2131" s="2">
        <v>81130201</v>
      </c>
      <c r="H2131" s="111">
        <v>4101</v>
      </c>
      <c r="I2131" s="111" t="str">
        <f>MID(G2131,2,1)</f>
        <v>1</v>
      </c>
      <c r="J2131" s="111" t="str">
        <f>IF(I2131="1","Small/Medium","Large")</f>
        <v>Small/Medium</v>
      </c>
      <c r="K2131" s="112" t="s">
        <v>145</v>
      </c>
      <c r="L2131" s="47">
        <v>21491</v>
      </c>
      <c r="M2131" s="120">
        <f t="shared" ref="M2131" si="2478">L2131*0.3</f>
        <v>6447.3</v>
      </c>
      <c r="N2131" s="120">
        <f t="shared" ref="N2131" si="2479">L2131-M2131</f>
        <v>15043.7</v>
      </c>
      <c r="O2131" s="119">
        <f t="shared" ref="O2131" si="2480">IFERROR(N2131/L2131,"")</f>
        <v>0.70000000000000007</v>
      </c>
      <c r="P2131" s="47">
        <v>21491</v>
      </c>
      <c r="Q2131" s="2">
        <v>6105</v>
      </c>
      <c r="R2131" s="5">
        <v>28</v>
      </c>
      <c r="S2131" s="5">
        <v>1536.64</v>
      </c>
      <c r="T2131" s="5">
        <v>1649.12</v>
      </c>
      <c r="U2131" s="320">
        <v>405</v>
      </c>
      <c r="W2131" s="52">
        <f t="shared" ref="W2131" si="2481">SUM(S2131:V2131)</f>
        <v>3590.76</v>
      </c>
      <c r="X2131" s="118">
        <f t="shared" ref="X2131:X2132" si="2482">IFERROR(S2131/R2131,"")</f>
        <v>54.88</v>
      </c>
      <c r="Y2131" s="119">
        <f t="shared" ref="Y2131:Y2132" si="2483">IFERROR(U2131/P2131,0)</f>
        <v>1.8845097947978222E-2</v>
      </c>
      <c r="Z2131" s="117">
        <f t="shared" ref="Z2131:Z2132" si="2484">P2131-W2131</f>
        <v>17900.239999999998</v>
      </c>
      <c r="AA2131" s="119">
        <f t="shared" ref="AA2131" si="2485">IFERROR(Z2131/P2131,0)</f>
        <v>0.83291796566004361</v>
      </c>
      <c r="AB2131" s="120">
        <f t="shared" ref="AB2131" si="2486">M2131-W2131</f>
        <v>2856.54</v>
      </c>
      <c r="AC2131" s="119">
        <f t="shared" ref="AC2131" si="2487">IFERROR(AA2131-O2131,"")</f>
        <v>0.13291796566004355</v>
      </c>
    </row>
    <row r="2132" spans="1:33" s="53" customFormat="1" ht="11.25" customHeight="1" x14ac:dyDescent="0.15">
      <c r="A2132" s="53" t="s">
        <v>2684</v>
      </c>
      <c r="C2132" s="54" t="s">
        <v>177</v>
      </c>
      <c r="D2132" s="54"/>
      <c r="E2132" s="70"/>
      <c r="F2132" s="54"/>
      <c r="G2132" s="54"/>
      <c r="H2132" s="54"/>
      <c r="I2132" s="54"/>
      <c r="J2132" s="54"/>
      <c r="K2132" s="106"/>
      <c r="L2132" s="24">
        <f>SUM(L2131)</f>
        <v>21491</v>
      </c>
      <c r="M2132" s="24">
        <f t="shared" ref="M2132:N2132" si="2488">SUM(M2130:M2131)</f>
        <v>6447.3</v>
      </c>
      <c r="N2132" s="24">
        <f t="shared" si="2488"/>
        <v>15043.7</v>
      </c>
      <c r="O2132" s="57">
        <f>IFERROR(N2132/L2132,"")</f>
        <v>0.70000000000000007</v>
      </c>
      <c r="P2132" s="24">
        <f>SUM(P2131)</f>
        <v>21491</v>
      </c>
      <c r="Q2132" s="24"/>
      <c r="R2132" s="24">
        <f>SUM(R2131)</f>
        <v>28</v>
      </c>
      <c r="S2132" s="24">
        <f t="shared" ref="S2132:V2132" si="2489">SUM(S2131)</f>
        <v>1536.64</v>
      </c>
      <c r="T2132" s="24">
        <f t="shared" si="2489"/>
        <v>1649.12</v>
      </c>
      <c r="U2132" s="24">
        <f t="shared" si="2489"/>
        <v>405</v>
      </c>
      <c r="V2132" s="24">
        <f t="shared" si="2489"/>
        <v>0</v>
      </c>
      <c r="W2132" s="24">
        <f>SUM(S2132:V2132)</f>
        <v>3590.76</v>
      </c>
      <c r="X2132" s="56">
        <f t="shared" si="2482"/>
        <v>54.88</v>
      </c>
      <c r="Y2132" s="119">
        <f t="shared" si="2483"/>
        <v>1.8845097947978222E-2</v>
      </c>
      <c r="Z2132" s="28">
        <f t="shared" si="2484"/>
        <v>17900.239999999998</v>
      </c>
      <c r="AA2132" s="119">
        <f>IFERROR(Z2132/P2132,0)</f>
        <v>0.83291796566004361</v>
      </c>
      <c r="AB2132" s="58">
        <f>M2132-W2132</f>
        <v>2856.54</v>
      </c>
      <c r="AC2132" s="57">
        <f>IFERROR(AA2132-O2132,"")</f>
        <v>0.13291796566004355</v>
      </c>
      <c r="AG2132" s="61"/>
    </row>
    <row r="2133" spans="1:33" s="110" customFormat="1" ht="11.25" customHeight="1" x14ac:dyDescent="0.15">
      <c r="A2133" s="130"/>
      <c r="B2133" s="130"/>
      <c r="C2133" s="124"/>
      <c r="D2133" s="124"/>
      <c r="E2133" s="273"/>
      <c r="F2133" s="124"/>
      <c r="G2133" s="124"/>
      <c r="H2133" s="124"/>
      <c r="I2133" s="124"/>
      <c r="J2133" s="124"/>
      <c r="K2133" s="125"/>
      <c r="L2133" s="220"/>
      <c r="M2133" s="220"/>
      <c r="N2133" s="129"/>
      <c r="O2133" s="128"/>
      <c r="P2133" s="129"/>
      <c r="Q2133" s="124"/>
      <c r="R2133" s="129"/>
      <c r="S2133" s="129"/>
      <c r="T2133" s="129"/>
      <c r="U2133" s="129"/>
      <c r="V2133" s="126"/>
      <c r="W2133" s="49"/>
      <c r="X2133" s="45"/>
      <c r="Y2133" s="128"/>
      <c r="Z2133" s="126"/>
      <c r="AA2133" s="128"/>
      <c r="AB2133" s="129"/>
      <c r="AC2133" s="160"/>
      <c r="AD2133" s="137"/>
      <c r="AG2133" s="121"/>
    </row>
    <row r="2134" spans="1:33" ht="11.25" customHeight="1" x14ac:dyDescent="0.15">
      <c r="A2134" s="110" t="s">
        <v>377</v>
      </c>
      <c r="B2134" s="319" t="s">
        <v>2806</v>
      </c>
      <c r="C2134" s="111" t="s">
        <v>175</v>
      </c>
      <c r="D2134" s="111">
        <v>2025</v>
      </c>
      <c r="E2134" s="146">
        <v>45930</v>
      </c>
      <c r="G2134" s="2">
        <v>81100010</v>
      </c>
      <c r="H2134" s="111">
        <v>4101</v>
      </c>
      <c r="I2134" s="111" t="str">
        <f>MID(G2134,2,1)</f>
        <v>1</v>
      </c>
      <c r="J2134" s="111" t="str">
        <f>IF(I2134="1","Small/Medium","Large")</f>
        <v>Small/Medium</v>
      </c>
      <c r="K2134" s="112" t="s">
        <v>145</v>
      </c>
      <c r="L2134" s="47">
        <v>11024</v>
      </c>
      <c r="M2134" s="120">
        <f t="shared" ref="M2134" si="2490">L2134*0.3</f>
        <v>3307.2</v>
      </c>
      <c r="N2134" s="120">
        <f t="shared" ref="N2134" si="2491">L2134-M2134</f>
        <v>7716.8</v>
      </c>
      <c r="O2134" s="119">
        <f t="shared" ref="O2134" si="2492">IFERROR(N2134/L2134,"")</f>
        <v>0.70000000000000007</v>
      </c>
      <c r="P2134" s="47">
        <v>11024</v>
      </c>
      <c r="Q2134" s="2">
        <v>6098</v>
      </c>
      <c r="R2134" s="5">
        <v>13</v>
      </c>
      <c r="S2134" s="5">
        <v>713.44</v>
      </c>
      <c r="T2134" s="5">
        <v>241</v>
      </c>
      <c r="U2134" s="5">
        <v>404.2</v>
      </c>
      <c r="W2134" s="52">
        <f t="shared" ref="W2134" si="2493">SUM(S2134:V2134)</f>
        <v>1358.64</v>
      </c>
      <c r="X2134" s="118">
        <f t="shared" ref="X2134:X2135" si="2494">IFERROR(S2134/R2134,"")</f>
        <v>54.88</v>
      </c>
      <c r="Y2134" s="119">
        <f t="shared" ref="Y2134:Y2135" si="2495">IFERROR(U2134/P2134,0)</f>
        <v>3.6665457184325109E-2</v>
      </c>
      <c r="Z2134" s="117">
        <f t="shared" ref="Z2134:Z2135" si="2496">P2134-W2134</f>
        <v>9665.36</v>
      </c>
      <c r="AA2134" s="119">
        <f t="shared" ref="AA2134" si="2497">IFERROR(Z2134/P2134,0)</f>
        <v>0.87675616835994197</v>
      </c>
      <c r="AB2134" s="120">
        <f t="shared" ref="AB2134" si="2498">M2134-W2134</f>
        <v>1948.5599999999997</v>
      </c>
      <c r="AC2134" s="119">
        <f t="shared" ref="AC2134" si="2499">IFERROR(AA2134-O2134,"")</f>
        <v>0.1767561683599419</v>
      </c>
    </row>
    <row r="2135" spans="1:33" s="53" customFormat="1" ht="11.25" customHeight="1" x14ac:dyDescent="0.15">
      <c r="A2135" s="53" t="s">
        <v>377</v>
      </c>
      <c r="C2135" s="54" t="s">
        <v>177</v>
      </c>
      <c r="D2135" s="54"/>
      <c r="E2135" s="70"/>
      <c r="F2135" s="54"/>
      <c r="G2135" s="54"/>
      <c r="H2135" s="54"/>
      <c r="I2135" s="54"/>
      <c r="J2135" s="54"/>
      <c r="K2135" s="106"/>
      <c r="L2135" s="24">
        <f>SUM(L2134)</f>
        <v>11024</v>
      </c>
      <c r="M2135" s="24">
        <f t="shared" ref="M2135:N2135" si="2500">SUM(M2133:M2134)</f>
        <v>3307.2</v>
      </c>
      <c r="N2135" s="24">
        <f t="shared" si="2500"/>
        <v>7716.8</v>
      </c>
      <c r="O2135" s="57">
        <f>IFERROR(N2135/L2135,"")</f>
        <v>0.70000000000000007</v>
      </c>
      <c r="P2135" s="24">
        <f>SUM(P2134)</f>
        <v>11024</v>
      </c>
      <c r="Q2135" s="24"/>
      <c r="R2135" s="24">
        <f>SUM(R2134)</f>
        <v>13</v>
      </c>
      <c r="S2135" s="24">
        <f t="shared" ref="S2135:V2135" si="2501">SUM(S2134)</f>
        <v>713.44</v>
      </c>
      <c r="T2135" s="24">
        <f t="shared" si="2501"/>
        <v>241</v>
      </c>
      <c r="U2135" s="24">
        <f t="shared" si="2501"/>
        <v>404.2</v>
      </c>
      <c r="V2135" s="24">
        <f t="shared" si="2501"/>
        <v>0</v>
      </c>
      <c r="W2135" s="24">
        <f>SUM(S2135:V2135)</f>
        <v>1358.64</v>
      </c>
      <c r="X2135" s="56">
        <f t="shared" si="2494"/>
        <v>54.88</v>
      </c>
      <c r="Y2135" s="119">
        <f t="shared" si="2495"/>
        <v>3.6665457184325109E-2</v>
      </c>
      <c r="Z2135" s="28">
        <f t="shared" si="2496"/>
        <v>9665.36</v>
      </c>
      <c r="AA2135" s="119">
        <f>IFERROR(Z2135/P2135,0)</f>
        <v>0.87675616835994197</v>
      </c>
      <c r="AB2135" s="58">
        <f>M2135-W2135</f>
        <v>1948.5599999999997</v>
      </c>
      <c r="AC2135" s="57">
        <f>IFERROR(AA2135-O2135,"")</f>
        <v>0.1767561683599419</v>
      </c>
      <c r="AG2135" s="61"/>
    </row>
    <row r="2136" spans="1:33" s="110" customFormat="1" ht="11.25" customHeight="1" x14ac:dyDescent="0.15">
      <c r="A2136" s="130"/>
      <c r="B2136" s="130"/>
      <c r="C2136" s="124"/>
      <c r="D2136" s="124"/>
      <c r="E2136" s="273"/>
      <c r="F2136" s="124"/>
      <c r="G2136" s="124"/>
      <c r="H2136" s="124"/>
      <c r="I2136" s="124"/>
      <c r="J2136" s="124"/>
      <c r="K2136" s="125"/>
      <c r="L2136" s="220"/>
      <c r="M2136" s="220"/>
      <c r="N2136" s="129"/>
      <c r="O2136" s="128"/>
      <c r="P2136" s="129"/>
      <c r="Q2136" s="124"/>
      <c r="R2136" s="129"/>
      <c r="S2136" s="129"/>
      <c r="T2136" s="129"/>
      <c r="U2136" s="129"/>
      <c r="V2136" s="126"/>
      <c r="W2136" s="49"/>
      <c r="X2136" s="45"/>
      <c r="Y2136" s="128"/>
      <c r="Z2136" s="126"/>
      <c r="AA2136" s="128"/>
      <c r="AB2136" s="129"/>
      <c r="AC2136" s="160"/>
      <c r="AD2136" s="137"/>
      <c r="AG2136" s="121"/>
    </row>
    <row r="2137" spans="1:33" ht="11.25" customHeight="1" x14ac:dyDescent="0.15">
      <c r="A2137" s="110" t="s">
        <v>510</v>
      </c>
      <c r="B2137" s="319" t="s">
        <v>2809</v>
      </c>
      <c r="C2137" s="111" t="s">
        <v>175</v>
      </c>
      <c r="D2137" s="111">
        <v>2025</v>
      </c>
      <c r="E2137" s="146">
        <v>45930</v>
      </c>
      <c r="G2137" s="2">
        <v>81100011</v>
      </c>
      <c r="H2137" s="111">
        <v>4101</v>
      </c>
      <c r="I2137" s="111" t="str">
        <f>MID(G2137,2,1)</f>
        <v>1</v>
      </c>
      <c r="J2137" s="111" t="str">
        <f>IF(I2137="1","Small/Medium","Large")</f>
        <v>Small/Medium</v>
      </c>
      <c r="K2137" s="112" t="s">
        <v>145</v>
      </c>
      <c r="L2137" s="47">
        <v>10165</v>
      </c>
      <c r="M2137" s="120">
        <f t="shared" ref="M2137" si="2502">L2137*0.3</f>
        <v>3049.5</v>
      </c>
      <c r="N2137" s="120">
        <f t="shared" ref="N2137" si="2503">L2137-M2137</f>
        <v>7115.5</v>
      </c>
      <c r="O2137" s="119">
        <f t="shared" ref="O2137" si="2504">IFERROR(N2137/L2137,"")</f>
        <v>0.7</v>
      </c>
      <c r="P2137" s="47">
        <v>10165</v>
      </c>
      <c r="Q2137" s="2">
        <v>6173</v>
      </c>
      <c r="R2137" s="5">
        <v>37</v>
      </c>
      <c r="S2137" s="5">
        <v>2030.56</v>
      </c>
      <c r="T2137" s="5">
        <v>1531.36</v>
      </c>
      <c r="U2137" s="5">
        <v>2130.7199999999998</v>
      </c>
      <c r="W2137" s="52">
        <f t="shared" ref="W2137" si="2505">SUM(S2137:V2137)</f>
        <v>5692.6399999999994</v>
      </c>
      <c r="X2137" s="118">
        <f t="shared" ref="X2137:X2138" si="2506">IFERROR(S2137/R2137,"")</f>
        <v>54.879999999999995</v>
      </c>
      <c r="Y2137" s="119">
        <f t="shared" ref="Y2137:Y2138" si="2507">IFERROR(U2137/P2137,0)</f>
        <v>0.20961337924249876</v>
      </c>
      <c r="Z2137" s="117">
        <f t="shared" ref="Z2137:Z2138" si="2508">P2137-W2137</f>
        <v>4472.3600000000006</v>
      </c>
      <c r="AA2137" s="119">
        <f t="shared" ref="AA2137" si="2509">IFERROR(Z2137/P2137,0)</f>
        <v>0.43997638957206103</v>
      </c>
      <c r="AB2137" s="120">
        <f t="shared" ref="AB2137" si="2510">M2137-W2137</f>
        <v>-2643.1399999999994</v>
      </c>
      <c r="AC2137" s="119">
        <f t="shared" ref="AC2137" si="2511">IFERROR(AA2137-O2137,"")</f>
        <v>-0.26002361042793892</v>
      </c>
      <c r="AD2137" s="110" t="s">
        <v>2810</v>
      </c>
    </row>
    <row r="2138" spans="1:33" s="53" customFormat="1" ht="11.25" customHeight="1" x14ac:dyDescent="0.15">
      <c r="A2138" s="53" t="s">
        <v>510</v>
      </c>
      <c r="C2138" s="54" t="s">
        <v>177</v>
      </c>
      <c r="D2138" s="54"/>
      <c r="E2138" s="70"/>
      <c r="F2138" s="54"/>
      <c r="G2138" s="54"/>
      <c r="H2138" s="54"/>
      <c r="I2138" s="54"/>
      <c r="J2138" s="54"/>
      <c r="K2138" s="106"/>
      <c r="L2138" s="24">
        <f>SUM(L2137)</f>
        <v>10165</v>
      </c>
      <c r="M2138" s="24">
        <f t="shared" ref="M2138:N2138" si="2512">SUM(M2136:M2137)</f>
        <v>3049.5</v>
      </c>
      <c r="N2138" s="24">
        <f t="shared" si="2512"/>
        <v>7115.5</v>
      </c>
      <c r="O2138" s="57">
        <f>IFERROR(N2138/L2138,"")</f>
        <v>0.7</v>
      </c>
      <c r="P2138" s="24">
        <f>SUM(P2137)</f>
        <v>10165</v>
      </c>
      <c r="Q2138" s="24"/>
      <c r="R2138" s="24">
        <f>SUM(R2137)</f>
        <v>37</v>
      </c>
      <c r="S2138" s="24">
        <f t="shared" ref="S2138:V2138" si="2513">SUM(S2137)</f>
        <v>2030.56</v>
      </c>
      <c r="T2138" s="24">
        <f t="shared" si="2513"/>
        <v>1531.36</v>
      </c>
      <c r="U2138" s="24">
        <f t="shared" si="2513"/>
        <v>2130.7199999999998</v>
      </c>
      <c r="V2138" s="24">
        <f t="shared" si="2513"/>
        <v>0</v>
      </c>
      <c r="W2138" s="24">
        <f>SUM(S2138:V2138)</f>
        <v>5692.6399999999994</v>
      </c>
      <c r="X2138" s="56">
        <f t="shared" si="2506"/>
        <v>54.879999999999995</v>
      </c>
      <c r="Y2138" s="119">
        <f t="shared" si="2507"/>
        <v>0.20961337924249876</v>
      </c>
      <c r="Z2138" s="28">
        <f t="shared" si="2508"/>
        <v>4472.3600000000006</v>
      </c>
      <c r="AA2138" s="119">
        <f>IFERROR(Z2138/P2138,0)</f>
        <v>0.43997638957206103</v>
      </c>
      <c r="AB2138" s="58">
        <f>M2138-W2138</f>
        <v>-2643.1399999999994</v>
      </c>
      <c r="AC2138" s="57">
        <f>IFERROR(AA2138-O2138,"")</f>
        <v>-0.26002361042793892</v>
      </c>
      <c r="AG2138" s="61"/>
    </row>
    <row r="2139" spans="1:33" s="110" customFormat="1" ht="11.25" customHeight="1" x14ac:dyDescent="0.15">
      <c r="A2139" s="130"/>
      <c r="B2139" s="130"/>
      <c r="C2139" s="124"/>
      <c r="D2139" s="124"/>
      <c r="E2139" s="273"/>
      <c r="F2139" s="124"/>
      <c r="G2139" s="124"/>
      <c r="H2139" s="124"/>
      <c r="I2139" s="124"/>
      <c r="J2139" s="124"/>
      <c r="K2139" s="125"/>
      <c r="L2139" s="220"/>
      <c r="M2139" s="220"/>
      <c r="N2139" s="129"/>
      <c r="O2139" s="128"/>
      <c r="P2139" s="129"/>
      <c r="Q2139" s="124"/>
      <c r="R2139" s="129"/>
      <c r="S2139" s="129"/>
      <c r="T2139" s="129"/>
      <c r="U2139" s="129"/>
      <c r="V2139" s="126"/>
      <c r="W2139" s="49"/>
      <c r="X2139" s="45"/>
      <c r="Y2139" s="128"/>
      <c r="Z2139" s="126"/>
      <c r="AA2139" s="128"/>
      <c r="AB2139" s="129"/>
      <c r="AC2139" s="160"/>
      <c r="AD2139" s="137"/>
      <c r="AG2139" s="121"/>
    </row>
    <row r="2140" spans="1:33" ht="11.25" customHeight="1" x14ac:dyDescent="0.15">
      <c r="A2140" s="110" t="s">
        <v>719</v>
      </c>
      <c r="B2140" s="110"/>
      <c r="C2140" s="2" t="s">
        <v>37</v>
      </c>
      <c r="D2140" s="111">
        <v>2025</v>
      </c>
      <c r="E2140" s="274">
        <v>45961</v>
      </c>
      <c r="G2140" s="2">
        <v>12612112</v>
      </c>
      <c r="K2140" s="107" t="s">
        <v>2811</v>
      </c>
      <c r="L2140" s="47">
        <v>177889</v>
      </c>
      <c r="M2140" s="47">
        <v>36517.61</v>
      </c>
      <c r="N2140" s="120">
        <f t="shared" ref="N2140:N2145" si="2514">L2140-M2140</f>
        <v>141371.39000000001</v>
      </c>
      <c r="O2140" s="119">
        <f>IFERROR(N2140/L2140,"")</f>
        <v>0.79471687400570024</v>
      </c>
      <c r="P2140" s="47">
        <v>177889</v>
      </c>
      <c r="Q2140" s="2">
        <v>4984</v>
      </c>
      <c r="R2140" s="5">
        <v>35</v>
      </c>
      <c r="S2140" s="5">
        <v>1709.55</v>
      </c>
      <c r="U2140" s="5">
        <v>33865.01</v>
      </c>
      <c r="W2140" s="321">
        <f t="shared" ref="W2140:W2143" si="2515">SUM(S2140:V2140)</f>
        <v>35574.560000000005</v>
      </c>
      <c r="X2140" s="118">
        <f t="shared" ref="X2140:X2143" si="2516">IFERROR(S2140/R2140,"")</f>
        <v>48.844285714285711</v>
      </c>
      <c r="Y2140" s="119">
        <f t="shared" ref="Y2140:Y2143" si="2517">IFERROR(U2140/P2140,0)</f>
        <v>0.1903715800302436</v>
      </c>
      <c r="Z2140" s="117">
        <f t="shared" ref="Z2140:Z2143" si="2518">P2140-W2140</f>
        <v>142314.44</v>
      </c>
      <c r="AA2140" s="119">
        <f t="shared" ref="AA2140:AA2143" si="2519">IFERROR(Z2140/P2140,0)</f>
        <v>0.80001821360511327</v>
      </c>
      <c r="AB2140" s="120">
        <f t="shared" ref="AB2140:AB2143" si="2520">M2140-W2140</f>
        <v>943.04999999999563</v>
      </c>
      <c r="AC2140" s="119">
        <f t="shared" ref="AC2140:AC2143" si="2521">IFERROR(AA2140-O2140,"")</f>
        <v>5.3013395994130352E-3</v>
      </c>
      <c r="AD2140" s="110" t="s">
        <v>2812</v>
      </c>
    </row>
    <row r="2141" spans="1:33" ht="11.25" customHeight="1" x14ac:dyDescent="0.15">
      <c r="A2141" s="110" t="s">
        <v>719</v>
      </c>
      <c r="B2141" s="110"/>
      <c r="C2141" s="2" t="s">
        <v>37</v>
      </c>
      <c r="D2141" s="111">
        <v>2025</v>
      </c>
      <c r="E2141" s="274">
        <v>45961</v>
      </c>
      <c r="G2141" s="2">
        <v>21010011</v>
      </c>
      <c r="K2141" s="107" t="s">
        <v>439</v>
      </c>
      <c r="L2141" s="47">
        <v>21860.26</v>
      </c>
      <c r="M2141" s="47">
        <v>7538.71</v>
      </c>
      <c r="N2141" s="120">
        <f t="shared" si="2514"/>
        <v>14321.55</v>
      </c>
      <c r="O2141" s="119">
        <f t="shared" ref="O2141:O2145" si="2522">IFERROR(N2141/L2141,"")</f>
        <v>0.65514088121550251</v>
      </c>
      <c r="P2141" s="47">
        <v>21860.26</v>
      </c>
      <c r="Q2141" s="2">
        <v>5014</v>
      </c>
      <c r="U2141" s="5">
        <v>7674.25</v>
      </c>
      <c r="W2141" s="321">
        <f t="shared" si="2515"/>
        <v>7674.25</v>
      </c>
      <c r="X2141" s="118" t="str">
        <f t="shared" si="2516"/>
        <v/>
      </c>
      <c r="Y2141" s="119">
        <f t="shared" si="2517"/>
        <v>0.35105941100426075</v>
      </c>
      <c r="Z2141" s="117">
        <f t="shared" si="2518"/>
        <v>14186.009999999998</v>
      </c>
      <c r="AA2141" s="119">
        <f t="shared" si="2519"/>
        <v>0.64894058899573925</v>
      </c>
      <c r="AB2141" s="120">
        <f t="shared" si="2520"/>
        <v>-135.53999999999996</v>
      </c>
      <c r="AC2141" s="119">
        <f t="shared" si="2521"/>
        <v>-6.2002922197632593E-3</v>
      </c>
      <c r="AD2141" s="110" t="s">
        <v>2812</v>
      </c>
    </row>
    <row r="2142" spans="1:33" ht="11.25" customHeight="1" x14ac:dyDescent="0.15">
      <c r="A2142" s="110" t="s">
        <v>719</v>
      </c>
      <c r="B2142" s="110"/>
      <c r="C2142" s="2" t="s">
        <v>37</v>
      </c>
      <c r="D2142" s="111">
        <v>2025</v>
      </c>
      <c r="E2142" s="274">
        <v>45961</v>
      </c>
      <c r="G2142" s="2">
        <v>21050011</v>
      </c>
      <c r="K2142" s="112" t="s">
        <v>582</v>
      </c>
      <c r="L2142" s="47">
        <v>31532</v>
      </c>
      <c r="M2142" s="47">
        <v>8934.32</v>
      </c>
      <c r="N2142" s="120">
        <f t="shared" si="2514"/>
        <v>22597.68</v>
      </c>
      <c r="O2142" s="119">
        <f t="shared" si="2522"/>
        <v>0.71665863250031714</v>
      </c>
      <c r="P2142" s="47">
        <v>31532</v>
      </c>
      <c r="Q2142" s="2">
        <v>5015</v>
      </c>
      <c r="U2142" s="5">
        <v>8465.75</v>
      </c>
      <c r="W2142" s="321">
        <f t="shared" si="2515"/>
        <v>8465.75</v>
      </c>
      <c r="X2142" s="118" t="str">
        <f t="shared" si="2516"/>
        <v/>
      </c>
      <c r="Y2142" s="119">
        <f t="shared" si="2517"/>
        <v>0.26848122542179376</v>
      </c>
      <c r="Z2142" s="117">
        <f t="shared" si="2518"/>
        <v>23066.25</v>
      </c>
      <c r="AA2142" s="119">
        <f t="shared" si="2519"/>
        <v>0.73151877457820624</v>
      </c>
      <c r="AB2142" s="120">
        <f t="shared" si="2520"/>
        <v>468.56999999999971</v>
      </c>
      <c r="AC2142" s="119">
        <f t="shared" si="2521"/>
        <v>1.4860142077889105E-2</v>
      </c>
      <c r="AD2142" s="110" t="s">
        <v>2812</v>
      </c>
    </row>
    <row r="2143" spans="1:33" ht="11.25" customHeight="1" x14ac:dyDescent="0.15">
      <c r="A2143" s="110" t="s">
        <v>719</v>
      </c>
      <c r="B2143" s="110"/>
      <c r="C2143" s="2" t="s">
        <v>37</v>
      </c>
      <c r="D2143" s="111">
        <v>2025</v>
      </c>
      <c r="E2143" s="274">
        <v>45961</v>
      </c>
      <c r="G2143" s="2">
        <v>92612142</v>
      </c>
      <c r="K2143" s="107" t="s">
        <v>2220</v>
      </c>
      <c r="L2143" s="47">
        <v>15934</v>
      </c>
      <c r="M2143" s="47">
        <v>5409.2</v>
      </c>
      <c r="N2143" s="120">
        <f t="shared" si="2514"/>
        <v>10524.8</v>
      </c>
      <c r="O2143" s="119">
        <f t="shared" si="2522"/>
        <v>0.6605246642399899</v>
      </c>
      <c r="P2143" s="47">
        <v>15934</v>
      </c>
      <c r="Q2143" s="2">
        <v>5016</v>
      </c>
      <c r="U2143" s="5">
        <v>4774.59</v>
      </c>
      <c r="W2143" s="321">
        <f t="shared" si="2515"/>
        <v>4774.59</v>
      </c>
      <c r="X2143" s="118" t="str">
        <f t="shared" si="2516"/>
        <v/>
      </c>
      <c r="Y2143" s="119">
        <f t="shared" si="2517"/>
        <v>0.29964792268105939</v>
      </c>
      <c r="Z2143" s="117">
        <f t="shared" si="2518"/>
        <v>11159.41</v>
      </c>
      <c r="AA2143" s="119">
        <f t="shared" si="2519"/>
        <v>0.70035207731894067</v>
      </c>
      <c r="AB2143" s="120">
        <f t="shared" si="2520"/>
        <v>634.60999999999967</v>
      </c>
      <c r="AC2143" s="119">
        <f t="shared" si="2521"/>
        <v>3.9827413078950769E-2</v>
      </c>
      <c r="AD2143" s="110" t="s">
        <v>2812</v>
      </c>
    </row>
    <row r="2144" spans="1:33" ht="11.25" customHeight="1" x14ac:dyDescent="0.15">
      <c r="A2144" s="110" t="s">
        <v>719</v>
      </c>
      <c r="B2144" s="110"/>
      <c r="C2144" s="2" t="s">
        <v>37</v>
      </c>
      <c r="D2144" s="111">
        <v>2025</v>
      </c>
      <c r="E2144" s="274">
        <v>45961</v>
      </c>
      <c r="G2144" s="2">
        <v>31082520</v>
      </c>
      <c r="K2144" s="107" t="s">
        <v>584</v>
      </c>
      <c r="L2144" s="47">
        <v>52026</v>
      </c>
      <c r="M2144" s="47">
        <v>18146.75</v>
      </c>
      <c r="N2144" s="120">
        <f t="shared" si="2514"/>
        <v>33879.25</v>
      </c>
      <c r="O2144" s="119">
        <f t="shared" si="2522"/>
        <v>0.65119843924191745</v>
      </c>
      <c r="P2144" s="47">
        <v>52026</v>
      </c>
      <c r="Q2144" s="2">
        <v>5017</v>
      </c>
      <c r="R2144" s="5">
        <v>32.5</v>
      </c>
      <c r="S2144" s="5">
        <v>1623.8</v>
      </c>
      <c r="U2144" s="5">
        <v>16546.150000000001</v>
      </c>
      <c r="W2144" s="321">
        <f t="shared" ref="W2144:W2149" si="2523">SUM(S2144:V2144)</f>
        <v>18169.95</v>
      </c>
      <c r="X2144" s="118">
        <f t="shared" ref="X2144:X2150" si="2524">IFERROR(S2144/R2144,"")</f>
        <v>49.963076923076919</v>
      </c>
      <c r="Y2144" s="119">
        <f t="shared" ref="Y2144:Y2150" si="2525">IFERROR(U2144/P2144,0)</f>
        <v>0.31803617422058206</v>
      </c>
      <c r="Z2144" s="117">
        <f t="shared" ref="Z2144:Z2150" si="2526">P2144-W2144</f>
        <v>33856.050000000003</v>
      </c>
      <c r="AA2144" s="119">
        <f t="shared" ref="AA2144:AA2149" si="2527">IFERROR(Z2144/P2144,0)</f>
        <v>0.65075250836120402</v>
      </c>
      <c r="AB2144" s="120">
        <f t="shared" ref="AB2144:AB2149" si="2528">M2144-W2144</f>
        <v>-23.200000000000728</v>
      </c>
      <c r="AC2144" s="119">
        <f t="shared" ref="AC2144:AC2149" si="2529">IFERROR(AA2144-O2144,"")</f>
        <v>-4.459308807134299E-4</v>
      </c>
      <c r="AD2144" s="110" t="s">
        <v>2812</v>
      </c>
    </row>
    <row r="2145" spans="1:33" ht="11.25" customHeight="1" x14ac:dyDescent="0.15">
      <c r="A2145" s="108" t="s">
        <v>719</v>
      </c>
      <c r="B2145" s="110"/>
      <c r="C2145" s="111" t="s">
        <v>47</v>
      </c>
      <c r="D2145" s="111"/>
      <c r="G2145" s="2">
        <v>52612112</v>
      </c>
      <c r="K2145" s="107" t="s">
        <v>2144</v>
      </c>
      <c r="L2145" s="47">
        <v>48937</v>
      </c>
      <c r="M2145" s="47">
        <v>12299.36</v>
      </c>
      <c r="N2145" s="120">
        <f t="shared" si="2514"/>
        <v>36637.64</v>
      </c>
      <c r="O2145" s="119">
        <f t="shared" si="2522"/>
        <v>0.74866951386476488</v>
      </c>
      <c r="P2145" s="47">
        <v>48937</v>
      </c>
      <c r="Q2145" s="2">
        <v>5018</v>
      </c>
      <c r="U2145" s="5">
        <v>6098.67</v>
      </c>
      <c r="W2145" s="52">
        <f t="shared" si="2523"/>
        <v>6098.67</v>
      </c>
      <c r="X2145" s="118" t="str">
        <f t="shared" si="2524"/>
        <v/>
      </c>
      <c r="Y2145" s="119">
        <f t="shared" si="2525"/>
        <v>0.12462288248155792</v>
      </c>
      <c r="Z2145" s="117">
        <f t="shared" si="2526"/>
        <v>42838.33</v>
      </c>
      <c r="AA2145" s="119">
        <f t="shared" si="2527"/>
        <v>0.87537711751844216</v>
      </c>
      <c r="AB2145" s="120">
        <f t="shared" si="2528"/>
        <v>6200.6900000000005</v>
      </c>
      <c r="AC2145" s="119">
        <f t="shared" si="2529"/>
        <v>0.12670760365367728</v>
      </c>
    </row>
    <row r="2146" spans="1:33" ht="11.25" customHeight="1" x14ac:dyDescent="0.15">
      <c r="A2146" s="108" t="s">
        <v>719</v>
      </c>
      <c r="B2146" s="110"/>
      <c r="C2146" s="111" t="s">
        <v>248</v>
      </c>
      <c r="D2146" s="111"/>
      <c r="G2146" s="2">
        <v>96000000</v>
      </c>
      <c r="K2146" s="112" t="s">
        <v>250</v>
      </c>
      <c r="L2146" s="47">
        <v>20480</v>
      </c>
      <c r="M2146" s="47">
        <v>10240</v>
      </c>
      <c r="N2146" s="120">
        <f t="shared" ref="N2146:N2149" si="2530">L2146-M2146</f>
        <v>10240</v>
      </c>
      <c r="O2146" s="119">
        <f>IFERROR(N2146/L2146,"")</f>
        <v>0.5</v>
      </c>
      <c r="P2146" s="47">
        <v>20480</v>
      </c>
      <c r="Q2146" s="2">
        <v>5019</v>
      </c>
      <c r="R2146" s="5">
        <v>24</v>
      </c>
      <c r="S2146" s="5">
        <v>1549.2</v>
      </c>
      <c r="W2146" s="52">
        <f t="shared" si="2523"/>
        <v>1549.2</v>
      </c>
      <c r="X2146" s="118">
        <f t="shared" si="2524"/>
        <v>64.55</v>
      </c>
      <c r="Y2146" s="119">
        <f t="shared" si="2525"/>
        <v>0</v>
      </c>
      <c r="Z2146" s="117">
        <f t="shared" si="2526"/>
        <v>18930.8</v>
      </c>
      <c r="AA2146" s="119">
        <f t="shared" si="2527"/>
        <v>0.92435546874999996</v>
      </c>
      <c r="AB2146" s="120">
        <f t="shared" si="2528"/>
        <v>8690.7999999999993</v>
      </c>
      <c r="AC2146" s="119">
        <f t="shared" si="2529"/>
        <v>0.42435546874999996</v>
      </c>
    </row>
    <row r="2147" spans="1:33" ht="11.25" customHeight="1" x14ac:dyDescent="0.15">
      <c r="A2147" s="108" t="s">
        <v>719</v>
      </c>
      <c r="B2147" s="110"/>
      <c r="C2147" s="111" t="s">
        <v>55</v>
      </c>
      <c r="D2147" s="111">
        <v>2025</v>
      </c>
      <c r="E2147" s="274">
        <v>45961</v>
      </c>
      <c r="G2147" s="111" t="s">
        <v>56</v>
      </c>
      <c r="K2147" s="112" t="s">
        <v>71</v>
      </c>
      <c r="L2147" s="47">
        <v>19448</v>
      </c>
      <c r="M2147" s="47">
        <v>9723.7099999999991</v>
      </c>
      <c r="N2147" s="120">
        <f t="shared" si="2530"/>
        <v>9724.2900000000009</v>
      </c>
      <c r="O2147" s="119">
        <f t="shared" ref="O2147:O2149" si="2531">IFERROR(N2147/L2147,"")</f>
        <v>0.50001491155902922</v>
      </c>
      <c r="P2147" s="47">
        <v>19448</v>
      </c>
      <c r="Q2147" s="2">
        <v>5020</v>
      </c>
      <c r="R2147" s="5">
        <v>15</v>
      </c>
      <c r="S2147" s="5">
        <v>787.5</v>
      </c>
      <c r="V2147" s="5">
        <v>6130.96</v>
      </c>
      <c r="W2147" s="321">
        <f t="shared" si="2523"/>
        <v>6918.46</v>
      </c>
      <c r="X2147" s="118">
        <f t="shared" si="2524"/>
        <v>52.5</v>
      </c>
      <c r="Y2147" s="119">
        <f t="shared" si="2525"/>
        <v>0</v>
      </c>
      <c r="Z2147" s="117">
        <f t="shared" si="2526"/>
        <v>12529.54</v>
      </c>
      <c r="AA2147" s="119">
        <f t="shared" si="2527"/>
        <v>0.64425853558206503</v>
      </c>
      <c r="AB2147" s="120">
        <f t="shared" si="2528"/>
        <v>2805.2499999999991</v>
      </c>
      <c r="AC2147" s="119">
        <f t="shared" si="2529"/>
        <v>0.14424362402303581</v>
      </c>
    </row>
    <row r="2148" spans="1:33" ht="11.25" customHeight="1" x14ac:dyDescent="0.15">
      <c r="A2148" s="108" t="s">
        <v>719</v>
      </c>
      <c r="B2148" s="110"/>
      <c r="C2148" s="111" t="s">
        <v>58</v>
      </c>
      <c r="D2148" s="111"/>
      <c r="G2148" s="2">
        <v>72142012</v>
      </c>
      <c r="K2148" s="112" t="s">
        <v>712</v>
      </c>
      <c r="L2148" s="47">
        <v>32029</v>
      </c>
      <c r="M2148" s="47">
        <v>3202.9</v>
      </c>
      <c r="N2148" s="120">
        <f t="shared" si="2530"/>
        <v>28826.1</v>
      </c>
      <c r="O2148" s="119">
        <f t="shared" si="2531"/>
        <v>0.89999999999999991</v>
      </c>
      <c r="P2148" s="47">
        <v>32029</v>
      </c>
      <c r="Q2148" s="2">
        <v>5021</v>
      </c>
      <c r="W2148" s="52">
        <f t="shared" si="2523"/>
        <v>0</v>
      </c>
      <c r="X2148" s="118" t="str">
        <f t="shared" si="2524"/>
        <v/>
      </c>
      <c r="Y2148" s="119">
        <f t="shared" si="2525"/>
        <v>0</v>
      </c>
      <c r="Z2148" s="117">
        <f t="shared" si="2526"/>
        <v>32029</v>
      </c>
      <c r="AA2148" s="119">
        <f t="shared" si="2527"/>
        <v>1</v>
      </c>
      <c r="AB2148" s="120">
        <f t="shared" si="2528"/>
        <v>3202.9</v>
      </c>
      <c r="AC2148" s="119">
        <f t="shared" si="2529"/>
        <v>0.10000000000000009</v>
      </c>
    </row>
    <row r="2149" spans="1:33" ht="11.25" customHeight="1" x14ac:dyDescent="0.15">
      <c r="A2149" s="108" t="s">
        <v>719</v>
      </c>
      <c r="B2149" s="110"/>
      <c r="C2149" s="111" t="s">
        <v>49</v>
      </c>
      <c r="D2149" s="111"/>
      <c r="G2149" s="2">
        <v>62642012</v>
      </c>
      <c r="K2149" s="112" t="s">
        <v>85</v>
      </c>
      <c r="L2149" s="47">
        <v>12412</v>
      </c>
      <c r="M2149" s="47">
        <v>4367.66</v>
      </c>
      <c r="N2149" s="120">
        <f t="shared" si="2530"/>
        <v>8044.34</v>
      </c>
      <c r="O2149" s="119">
        <f t="shared" si="2531"/>
        <v>0.64810989365130522</v>
      </c>
      <c r="P2149" s="47">
        <v>12412</v>
      </c>
      <c r="Q2149" s="2">
        <v>5022</v>
      </c>
      <c r="W2149" s="52">
        <f t="shared" si="2523"/>
        <v>0</v>
      </c>
      <c r="X2149" s="118" t="str">
        <f t="shared" si="2524"/>
        <v/>
      </c>
      <c r="Y2149" s="119">
        <f t="shared" si="2525"/>
        <v>0</v>
      </c>
      <c r="Z2149" s="117">
        <f t="shared" si="2526"/>
        <v>12412</v>
      </c>
      <c r="AA2149" s="119">
        <f t="shared" si="2527"/>
        <v>1</v>
      </c>
      <c r="AB2149" s="120">
        <f t="shared" si="2528"/>
        <v>4367.66</v>
      </c>
      <c r="AC2149" s="119">
        <f t="shared" si="2529"/>
        <v>0.35189010634869478</v>
      </c>
    </row>
    <row r="2150" spans="1:33" s="53" customFormat="1" ht="11.25" customHeight="1" x14ac:dyDescent="0.15">
      <c r="A2150" s="53" t="s">
        <v>719</v>
      </c>
      <c r="C2150" s="54"/>
      <c r="D2150" s="54"/>
      <c r="E2150" s="70"/>
      <c r="F2150" s="54"/>
      <c r="G2150" s="54"/>
      <c r="H2150" s="54"/>
      <c r="I2150" s="54"/>
      <c r="J2150" s="54"/>
      <c r="K2150" s="106"/>
      <c r="L2150" s="24">
        <f>SUM(L2140:L2149)</f>
        <v>432547.26</v>
      </c>
      <c r="M2150" s="24">
        <f t="shared" ref="M2150:N2150" si="2532">SUM(M2140:M2149)</f>
        <v>116380.22</v>
      </c>
      <c r="N2150" s="24">
        <f t="shared" si="2532"/>
        <v>316167.03999999998</v>
      </c>
      <c r="O2150" s="57">
        <f>IFERROR(N2150/L2150,"")</f>
        <v>0.73094218652546772</v>
      </c>
      <c r="P2150" s="24">
        <f>SUM(P2140:P2149)</f>
        <v>432547.26</v>
      </c>
      <c r="Q2150" s="24"/>
      <c r="R2150" s="24">
        <f>SUM(R2140:R2149)</f>
        <v>106.5</v>
      </c>
      <c r="S2150" s="24">
        <f t="shared" ref="S2150:V2150" si="2533">SUM(S2140:S2149)</f>
        <v>5670.05</v>
      </c>
      <c r="T2150" s="24">
        <f t="shared" si="2533"/>
        <v>0</v>
      </c>
      <c r="U2150" s="24">
        <f t="shared" si="2533"/>
        <v>77424.42</v>
      </c>
      <c r="V2150" s="24">
        <f t="shared" si="2533"/>
        <v>6130.96</v>
      </c>
      <c r="W2150" s="24">
        <f>SUM(S2150:V2150)</f>
        <v>89225.430000000008</v>
      </c>
      <c r="X2150" s="56">
        <f t="shared" si="2524"/>
        <v>53.239906103286387</v>
      </c>
      <c r="Y2150" s="119">
        <f t="shared" si="2525"/>
        <v>0.17899644075886642</v>
      </c>
      <c r="Z2150" s="28">
        <f t="shared" si="2526"/>
        <v>343321.83</v>
      </c>
      <c r="AA2150" s="119">
        <f>IFERROR(Z2150/P2150,0)</f>
        <v>0.79372096820125504</v>
      </c>
      <c r="AB2150" s="58">
        <f>M2150-W2150</f>
        <v>27154.789999999994</v>
      </c>
      <c r="AC2150" s="57">
        <f>IFERROR(AA2150-O2150,"")</f>
        <v>6.2778781675787321E-2</v>
      </c>
      <c r="AG2150" s="61"/>
    </row>
    <row r="2151" spans="1:33" s="110" customFormat="1" ht="11.25" customHeight="1" x14ac:dyDescent="0.15">
      <c r="A2151" s="130"/>
      <c r="B2151" s="130"/>
      <c r="C2151" s="124"/>
      <c r="D2151" s="124"/>
      <c r="E2151" s="273"/>
      <c r="F2151" s="124"/>
      <c r="G2151" s="124"/>
      <c r="H2151" s="124"/>
      <c r="I2151" s="124"/>
      <c r="J2151" s="124"/>
      <c r="K2151" s="125"/>
      <c r="L2151" s="220"/>
      <c r="M2151" s="220"/>
      <c r="N2151" s="129"/>
      <c r="O2151" s="128"/>
      <c r="P2151" s="129"/>
      <c r="Q2151" s="124"/>
      <c r="R2151" s="129"/>
      <c r="S2151" s="129"/>
      <c r="T2151" s="129"/>
      <c r="U2151" s="129"/>
      <c r="V2151" s="126"/>
      <c r="W2151" s="49"/>
      <c r="X2151" s="45"/>
      <c r="Y2151" s="128"/>
      <c r="Z2151" s="126"/>
      <c r="AA2151" s="128"/>
      <c r="AB2151" s="129"/>
      <c r="AC2151" s="160"/>
      <c r="AD2151" s="137"/>
      <c r="AG2151" s="121"/>
    </row>
    <row r="2152" spans="1:33" ht="11.25" customHeight="1" x14ac:dyDescent="0.15">
      <c r="A2152" s="110" t="s">
        <v>2813</v>
      </c>
      <c r="B2152" s="110"/>
      <c r="C2152" s="2" t="s">
        <v>37</v>
      </c>
      <c r="D2152" s="2">
        <v>2025</v>
      </c>
      <c r="E2152" s="274">
        <v>45991</v>
      </c>
      <c r="G2152" s="2">
        <v>12510112</v>
      </c>
      <c r="K2152" s="107" t="s">
        <v>578</v>
      </c>
      <c r="L2152" s="47">
        <f>170250.14+363.58</f>
        <v>170613.72</v>
      </c>
      <c r="M2152" s="47">
        <f>36725.23+91.21</f>
        <v>36816.44</v>
      </c>
      <c r="N2152" s="120">
        <f t="shared" ref="N2152:N2161" si="2534">L2152-M2152</f>
        <v>133797.28</v>
      </c>
      <c r="O2152" s="119">
        <f>IFERROR(N2152/L2152,"")</f>
        <v>0.78421172693497332</v>
      </c>
      <c r="P2152" s="47">
        <f>170250.14+363.58</f>
        <v>170613.72</v>
      </c>
      <c r="Q2152" s="2">
        <v>4618</v>
      </c>
      <c r="R2152" s="5">
        <v>38.5</v>
      </c>
      <c r="S2152" s="5">
        <v>1834.52</v>
      </c>
      <c r="U2152" s="5">
        <v>34315.839999999997</v>
      </c>
      <c r="W2152" s="52">
        <f t="shared" ref="W2152:W2161" si="2535">SUM(S2152:V2152)</f>
        <v>36150.359999999993</v>
      </c>
      <c r="X2152" s="118">
        <f t="shared" ref="X2152:X2162" si="2536">IFERROR(S2152/R2152,"")</f>
        <v>47.649870129870131</v>
      </c>
      <c r="Y2152" s="119">
        <f t="shared" ref="Y2152:Y2162" si="2537">IFERROR(U2152/P2152,0)</f>
        <v>0.20113177298988613</v>
      </c>
      <c r="Z2152" s="117">
        <f t="shared" ref="Z2152:Z2162" si="2538">P2152-W2152</f>
        <v>134463.36000000002</v>
      </c>
      <c r="AA2152" s="119">
        <f t="shared" ref="AA2152:AA2161" si="2539">IFERROR(Z2152/P2152,0)</f>
        <v>0.78811575059731431</v>
      </c>
      <c r="AB2152" s="120">
        <f t="shared" ref="AB2152:AB2161" si="2540">M2152-W2152</f>
        <v>666.08000000000902</v>
      </c>
      <c r="AC2152" s="119">
        <f t="shared" ref="AC2152:AC2161" si="2541">IFERROR(AA2152-O2152,"")</f>
        <v>3.9040236623409941E-3</v>
      </c>
      <c r="AD2152" s="110" t="s">
        <v>2814</v>
      </c>
    </row>
    <row r="2153" spans="1:33" ht="11.25" customHeight="1" x14ac:dyDescent="0.15">
      <c r="A2153" s="110" t="s">
        <v>2813</v>
      </c>
      <c r="B2153" s="110"/>
      <c r="C2153" s="2" t="s">
        <v>37</v>
      </c>
      <c r="D2153" s="2">
        <v>2025</v>
      </c>
      <c r="E2153" s="274">
        <v>45991</v>
      </c>
      <c r="G2153" s="2">
        <v>21010011</v>
      </c>
      <c r="K2153" s="107" t="s">
        <v>439</v>
      </c>
      <c r="L2153" s="47">
        <v>22416.720000000001</v>
      </c>
      <c r="M2153" s="47">
        <v>7538.71</v>
      </c>
      <c r="N2153" s="120">
        <f t="shared" si="2534"/>
        <v>14878.010000000002</v>
      </c>
      <c r="O2153" s="119">
        <f t="shared" ref="O2153:O2157" si="2542">IFERROR(N2153/L2153,"")</f>
        <v>0.66370146926044493</v>
      </c>
      <c r="P2153" s="47">
        <v>22416.720000000001</v>
      </c>
      <c r="Q2153" s="2">
        <v>4619</v>
      </c>
      <c r="U2153" s="5">
        <v>7674.26</v>
      </c>
      <c r="W2153" s="52">
        <f t="shared" si="2535"/>
        <v>7674.26</v>
      </c>
      <c r="X2153" s="118" t="str">
        <f t="shared" si="2536"/>
        <v/>
      </c>
      <c r="Y2153" s="119">
        <f t="shared" si="2537"/>
        <v>0.34234535650175402</v>
      </c>
      <c r="Z2153" s="117">
        <f t="shared" si="2538"/>
        <v>14742.460000000001</v>
      </c>
      <c r="AA2153" s="119">
        <f t="shared" si="2539"/>
        <v>0.65765464349824598</v>
      </c>
      <c r="AB2153" s="120">
        <f t="shared" si="2540"/>
        <v>-135.55000000000018</v>
      </c>
      <c r="AC2153" s="119">
        <f t="shared" si="2541"/>
        <v>-6.0468257621989485E-3</v>
      </c>
      <c r="AD2153" s="110" t="s">
        <v>2814</v>
      </c>
    </row>
    <row r="2154" spans="1:33" ht="11.25" customHeight="1" x14ac:dyDescent="0.15">
      <c r="A2154" s="110" t="s">
        <v>2813</v>
      </c>
      <c r="B2154" s="110"/>
      <c r="C2154" s="2" t="s">
        <v>37</v>
      </c>
      <c r="D2154" s="2">
        <v>2025</v>
      </c>
      <c r="E2154" s="274">
        <v>45991</v>
      </c>
      <c r="G2154" s="2">
        <v>21050011</v>
      </c>
      <c r="K2154" s="112" t="s">
        <v>582</v>
      </c>
      <c r="L2154" s="47">
        <v>32334.560000000001</v>
      </c>
      <c r="M2154" s="47">
        <v>8934.32</v>
      </c>
      <c r="N2154" s="120">
        <f t="shared" si="2534"/>
        <v>23400.240000000002</v>
      </c>
      <c r="O2154" s="119">
        <f t="shared" si="2542"/>
        <v>0.72369130738132825</v>
      </c>
      <c r="P2154" s="47">
        <v>32334.560000000001</v>
      </c>
      <c r="Q2154" s="2">
        <v>4620</v>
      </c>
      <c r="U2154" s="5">
        <v>8465.76</v>
      </c>
      <c r="W2154" s="52">
        <f t="shared" si="2535"/>
        <v>8465.76</v>
      </c>
      <c r="X2154" s="118" t="str">
        <f t="shared" si="2536"/>
        <v/>
      </c>
      <c r="Y2154" s="119">
        <f t="shared" si="2537"/>
        <v>0.26181769598844085</v>
      </c>
      <c r="Z2154" s="117">
        <f t="shared" si="2538"/>
        <v>23868.800000000003</v>
      </c>
      <c r="AA2154" s="119">
        <f t="shared" si="2539"/>
        <v>0.73818230401155915</v>
      </c>
      <c r="AB2154" s="120">
        <f t="shared" si="2540"/>
        <v>468.55999999999949</v>
      </c>
      <c r="AC2154" s="119">
        <f t="shared" si="2541"/>
        <v>1.4490996630230901E-2</v>
      </c>
      <c r="AD2154" s="110" t="s">
        <v>2814</v>
      </c>
    </row>
    <row r="2155" spans="1:33" ht="11.25" customHeight="1" x14ac:dyDescent="0.15">
      <c r="A2155" s="110" t="s">
        <v>2813</v>
      </c>
      <c r="B2155" s="110"/>
      <c r="C2155" s="2" t="s">
        <v>37</v>
      </c>
      <c r="D2155" s="2">
        <v>2025</v>
      </c>
      <c r="E2155" s="274">
        <v>45991</v>
      </c>
      <c r="G2155" s="2">
        <v>92510142</v>
      </c>
      <c r="K2155" s="107" t="s">
        <v>583</v>
      </c>
      <c r="L2155" s="324">
        <v>15934</v>
      </c>
      <c r="M2155" s="324">
        <v>5409.2</v>
      </c>
      <c r="N2155" s="148">
        <f t="shared" si="2534"/>
        <v>10524.8</v>
      </c>
      <c r="O2155" s="150">
        <f t="shared" si="2542"/>
        <v>0.6605246642399899</v>
      </c>
      <c r="P2155" s="324">
        <v>15934</v>
      </c>
      <c r="Q2155" s="2">
        <v>4621</v>
      </c>
      <c r="R2155" s="320"/>
      <c r="S2155" s="320"/>
      <c r="T2155" s="320"/>
      <c r="U2155" s="320">
        <v>4774.59</v>
      </c>
      <c r="V2155" s="320"/>
      <c r="W2155" s="52">
        <f t="shared" si="2535"/>
        <v>4774.59</v>
      </c>
      <c r="X2155" s="118" t="str">
        <f t="shared" si="2536"/>
        <v/>
      </c>
      <c r="Y2155" s="119">
        <f t="shared" si="2537"/>
        <v>0.29964792268105939</v>
      </c>
      <c r="Z2155" s="117">
        <f t="shared" si="2538"/>
        <v>11159.41</v>
      </c>
      <c r="AA2155" s="119">
        <f t="shared" si="2539"/>
        <v>0.70035207731894067</v>
      </c>
      <c r="AB2155" s="120">
        <f t="shared" si="2540"/>
        <v>634.60999999999967</v>
      </c>
      <c r="AC2155" s="119">
        <f t="shared" si="2541"/>
        <v>3.9827413078950769E-2</v>
      </c>
      <c r="AD2155" s="110" t="s">
        <v>2814</v>
      </c>
    </row>
    <row r="2156" spans="1:33" ht="11.25" customHeight="1" x14ac:dyDescent="0.15">
      <c r="A2156" s="110" t="s">
        <v>2813</v>
      </c>
      <c r="B2156" s="110"/>
      <c r="C2156" s="2" t="s">
        <v>37</v>
      </c>
      <c r="D2156" s="2">
        <v>2025</v>
      </c>
      <c r="E2156" s="274">
        <v>45991</v>
      </c>
      <c r="G2156" s="2">
        <v>31082520</v>
      </c>
      <c r="K2156" s="107" t="s">
        <v>584</v>
      </c>
      <c r="L2156" s="324">
        <v>52026</v>
      </c>
      <c r="M2156" s="324">
        <v>18146.75</v>
      </c>
      <c r="N2156" s="148">
        <f t="shared" si="2534"/>
        <v>33879.25</v>
      </c>
      <c r="O2156" s="150">
        <f t="shared" si="2542"/>
        <v>0.65119843924191745</v>
      </c>
      <c r="P2156" s="324">
        <v>52026</v>
      </c>
      <c r="Q2156" s="2">
        <v>4622</v>
      </c>
      <c r="R2156" s="320">
        <v>14</v>
      </c>
      <c r="S2156" s="320">
        <v>651.55999999999995</v>
      </c>
      <c r="T2156" s="320"/>
      <c r="U2156" s="320">
        <v>17057.189999999999</v>
      </c>
      <c r="V2156" s="320"/>
      <c r="W2156" s="52">
        <f t="shared" si="2535"/>
        <v>17708.75</v>
      </c>
      <c r="X2156" s="118">
        <f t="shared" si="2536"/>
        <v>46.54</v>
      </c>
      <c r="Y2156" s="119">
        <f t="shared" si="2537"/>
        <v>0.32785895513781566</v>
      </c>
      <c r="Z2156" s="117">
        <f t="shared" si="2538"/>
        <v>34317.25</v>
      </c>
      <c r="AA2156" s="119">
        <f t="shared" si="2539"/>
        <v>0.65961730673124974</v>
      </c>
      <c r="AB2156" s="120">
        <f t="shared" si="2540"/>
        <v>438</v>
      </c>
      <c r="AC2156" s="119">
        <f t="shared" si="2541"/>
        <v>8.4188674893322935E-3</v>
      </c>
      <c r="AD2156" s="110" t="s">
        <v>2814</v>
      </c>
    </row>
    <row r="2157" spans="1:33" ht="11.25" customHeight="1" x14ac:dyDescent="0.15">
      <c r="A2157" s="110" t="s">
        <v>2813</v>
      </c>
      <c r="B2157" s="110"/>
      <c r="C2157" s="111" t="s">
        <v>47</v>
      </c>
      <c r="D2157" s="2">
        <v>2025</v>
      </c>
      <c r="E2157" s="274">
        <v>45991</v>
      </c>
      <c r="G2157" s="2">
        <v>52510112</v>
      </c>
      <c r="K2157" s="107" t="s">
        <v>585</v>
      </c>
      <c r="L2157" s="324">
        <v>39652</v>
      </c>
      <c r="M2157" s="324">
        <v>13262.36</v>
      </c>
      <c r="N2157" s="148">
        <f t="shared" si="2534"/>
        <v>26389.64</v>
      </c>
      <c r="O2157" s="150">
        <f t="shared" si="2542"/>
        <v>0.66553112075052956</v>
      </c>
      <c r="P2157" s="324">
        <v>39652</v>
      </c>
      <c r="Q2157" s="2">
        <v>4623</v>
      </c>
      <c r="R2157" s="320">
        <v>104</v>
      </c>
      <c r="S2157" s="320">
        <v>5814.65</v>
      </c>
      <c r="T2157" s="320">
        <v>7807.37</v>
      </c>
      <c r="U2157" s="320">
        <v>4602.6899999999996</v>
      </c>
      <c r="V2157" s="320"/>
      <c r="W2157" s="52">
        <f t="shared" si="2535"/>
        <v>18224.71</v>
      </c>
      <c r="X2157" s="118">
        <f t="shared" si="2536"/>
        <v>55.910096153846148</v>
      </c>
      <c r="Y2157" s="119">
        <f t="shared" si="2537"/>
        <v>0.11607712095228487</v>
      </c>
      <c r="Z2157" s="117">
        <f t="shared" si="2538"/>
        <v>21427.29</v>
      </c>
      <c r="AA2157" s="119">
        <f t="shared" si="2539"/>
        <v>0.54038358720871582</v>
      </c>
      <c r="AB2157" s="120">
        <f t="shared" si="2540"/>
        <v>-4962.3499999999985</v>
      </c>
      <c r="AC2157" s="119">
        <f t="shared" si="2541"/>
        <v>-0.12514753354181374</v>
      </c>
      <c r="AD2157" s="110" t="s">
        <v>2849</v>
      </c>
    </row>
    <row r="2158" spans="1:33" ht="11.25" customHeight="1" x14ac:dyDescent="0.15">
      <c r="A2158" s="110" t="s">
        <v>2813</v>
      </c>
      <c r="B2158" s="110"/>
      <c r="C2158" s="111" t="s">
        <v>248</v>
      </c>
      <c r="D2158" s="2">
        <v>2025</v>
      </c>
      <c r="E2158" s="274">
        <v>45991</v>
      </c>
      <c r="G2158" s="2">
        <v>96000000</v>
      </c>
      <c r="K2158" s="112" t="s">
        <v>250</v>
      </c>
      <c r="L2158" s="324">
        <v>19171</v>
      </c>
      <c r="M2158" s="324">
        <v>9585.5</v>
      </c>
      <c r="N2158" s="148">
        <f t="shared" si="2534"/>
        <v>9585.5</v>
      </c>
      <c r="O2158" s="150">
        <f>IFERROR(N2158/L2158,"")</f>
        <v>0.5</v>
      </c>
      <c r="P2158" s="324">
        <v>19171</v>
      </c>
      <c r="Q2158" s="2">
        <v>4624</v>
      </c>
      <c r="R2158" s="320">
        <v>15</v>
      </c>
      <c r="S2158" s="320">
        <v>968.25</v>
      </c>
      <c r="T2158" s="320"/>
      <c r="U2158" s="320"/>
      <c r="V2158" s="320"/>
      <c r="W2158" s="52">
        <f t="shared" si="2535"/>
        <v>968.25</v>
      </c>
      <c r="X2158" s="118">
        <f t="shared" si="2536"/>
        <v>64.55</v>
      </c>
      <c r="Y2158" s="119">
        <f t="shared" si="2537"/>
        <v>0</v>
      </c>
      <c r="Z2158" s="117">
        <f t="shared" si="2538"/>
        <v>18202.75</v>
      </c>
      <c r="AA2158" s="119">
        <f t="shared" si="2539"/>
        <v>0.94949402743727507</v>
      </c>
      <c r="AB2158" s="120">
        <f t="shared" si="2540"/>
        <v>8617.25</v>
      </c>
      <c r="AC2158" s="119">
        <f t="shared" si="2541"/>
        <v>0.44949402743727507</v>
      </c>
    </row>
    <row r="2159" spans="1:33" ht="11.25" customHeight="1" x14ac:dyDescent="0.15">
      <c r="A2159" s="110" t="s">
        <v>2813</v>
      </c>
      <c r="B2159" s="110"/>
      <c r="C2159" s="111" t="s">
        <v>55</v>
      </c>
      <c r="D2159" s="2">
        <v>2025</v>
      </c>
      <c r="E2159" s="274">
        <v>45991</v>
      </c>
      <c r="G2159" s="111" t="s">
        <v>56</v>
      </c>
      <c r="K2159" s="112" t="s">
        <v>71</v>
      </c>
      <c r="L2159" s="324">
        <v>19303</v>
      </c>
      <c r="M2159" s="324">
        <v>9651.3799999999992</v>
      </c>
      <c r="N2159" s="148">
        <f t="shared" si="2534"/>
        <v>9651.6200000000008</v>
      </c>
      <c r="O2159" s="150">
        <f t="shared" ref="O2159:O2161" si="2543">IFERROR(N2159/L2159,"")</f>
        <v>0.50000621665026168</v>
      </c>
      <c r="P2159" s="324">
        <v>19303</v>
      </c>
      <c r="Q2159" s="2">
        <v>4625</v>
      </c>
      <c r="R2159" s="320">
        <v>12</v>
      </c>
      <c r="S2159" s="320">
        <v>630</v>
      </c>
      <c r="T2159" s="320"/>
      <c r="U2159" s="320"/>
      <c r="V2159" s="320">
        <v>10047.99</v>
      </c>
      <c r="W2159" s="52">
        <f t="shared" si="2535"/>
        <v>10677.99</v>
      </c>
      <c r="X2159" s="118">
        <f t="shared" si="2536"/>
        <v>52.5</v>
      </c>
      <c r="Y2159" s="119">
        <f t="shared" si="2537"/>
        <v>0</v>
      </c>
      <c r="Z2159" s="117">
        <f t="shared" si="2538"/>
        <v>8625.01</v>
      </c>
      <c r="AA2159" s="119">
        <f t="shared" si="2539"/>
        <v>0.44682225560793659</v>
      </c>
      <c r="AB2159" s="120">
        <f t="shared" si="2540"/>
        <v>-1026.6100000000006</v>
      </c>
      <c r="AC2159" s="119">
        <f t="shared" si="2541"/>
        <v>-5.318396104232509E-2</v>
      </c>
      <c r="AD2159" s="110" t="s">
        <v>2847</v>
      </c>
    </row>
    <row r="2160" spans="1:33" ht="11.25" customHeight="1" x14ac:dyDescent="0.15">
      <c r="A2160" s="110" t="s">
        <v>2813</v>
      </c>
      <c r="B2160" s="110"/>
      <c r="C2160" s="111" t="s">
        <v>58</v>
      </c>
      <c r="D2160" s="2">
        <v>2025</v>
      </c>
      <c r="E2160" s="274">
        <v>45991</v>
      </c>
      <c r="G2160" s="2">
        <v>72142012</v>
      </c>
      <c r="K2160" s="112" t="s">
        <v>712</v>
      </c>
      <c r="L2160" s="324">
        <v>16128</v>
      </c>
      <c r="M2160" s="324">
        <v>1612.8</v>
      </c>
      <c r="N2160" s="148">
        <f t="shared" si="2534"/>
        <v>14515.2</v>
      </c>
      <c r="O2160" s="150">
        <f t="shared" si="2543"/>
        <v>0.9</v>
      </c>
      <c r="P2160" s="324">
        <v>16128</v>
      </c>
      <c r="Q2160" s="2">
        <v>4626</v>
      </c>
      <c r="R2160" s="320"/>
      <c r="S2160" s="320"/>
      <c r="T2160" s="320"/>
      <c r="U2160" s="320">
        <v>1956.94</v>
      </c>
      <c r="V2160" s="320"/>
      <c r="W2160" s="52">
        <f t="shared" si="2535"/>
        <v>1956.94</v>
      </c>
      <c r="X2160" s="118" t="str">
        <f t="shared" si="2536"/>
        <v/>
      </c>
      <c r="Y2160" s="119">
        <f t="shared" si="2537"/>
        <v>0.12133804563492064</v>
      </c>
      <c r="Z2160" s="117">
        <f t="shared" si="2538"/>
        <v>14171.06</v>
      </c>
      <c r="AA2160" s="119">
        <f t="shared" si="2539"/>
        <v>0.87866195436507932</v>
      </c>
      <c r="AB2160" s="120">
        <f t="shared" si="2540"/>
        <v>-344.1400000000001</v>
      </c>
      <c r="AC2160" s="119">
        <f t="shared" si="2541"/>
        <v>-2.1338045634920699E-2</v>
      </c>
      <c r="AD2160" s="110"/>
    </row>
    <row r="2161" spans="1:33" ht="11.25" customHeight="1" x14ac:dyDescent="0.15">
      <c r="A2161" s="110" t="s">
        <v>2813</v>
      </c>
      <c r="B2161" s="110"/>
      <c r="C2161" s="111" t="s">
        <v>49</v>
      </c>
      <c r="D2161" s="2">
        <v>2025</v>
      </c>
      <c r="E2161" s="274">
        <v>45991</v>
      </c>
      <c r="G2161" s="2">
        <v>62642012</v>
      </c>
      <c r="K2161" s="112" t="s">
        <v>85</v>
      </c>
      <c r="L2161" s="324">
        <v>15005</v>
      </c>
      <c r="M2161" s="324">
        <v>4742.16</v>
      </c>
      <c r="N2161" s="148">
        <f t="shared" si="2534"/>
        <v>10262.84</v>
      </c>
      <c r="O2161" s="150">
        <f t="shared" si="2543"/>
        <v>0.68396134621792737</v>
      </c>
      <c r="P2161" s="324">
        <v>15005</v>
      </c>
      <c r="Q2161" s="2">
        <v>4627</v>
      </c>
      <c r="R2161" s="320">
        <v>32.5</v>
      </c>
      <c r="S2161" s="320">
        <v>2097.88</v>
      </c>
      <c r="T2161" s="320">
        <v>1914.55</v>
      </c>
      <c r="U2161" s="320"/>
      <c r="V2161" s="320"/>
      <c r="W2161" s="52">
        <f t="shared" si="2535"/>
        <v>4012.4300000000003</v>
      </c>
      <c r="X2161" s="118">
        <f t="shared" si="2536"/>
        <v>64.550153846153847</v>
      </c>
      <c r="Y2161" s="119">
        <f t="shared" si="2537"/>
        <v>0</v>
      </c>
      <c r="Z2161" s="117">
        <f t="shared" si="2538"/>
        <v>10992.57</v>
      </c>
      <c r="AA2161" s="119">
        <f t="shared" si="2539"/>
        <v>0.73259380206597802</v>
      </c>
      <c r="AB2161" s="120">
        <f t="shared" si="2540"/>
        <v>729.72999999999956</v>
      </c>
      <c r="AC2161" s="119">
        <f t="shared" si="2541"/>
        <v>4.8632455848050649E-2</v>
      </c>
    </row>
    <row r="2162" spans="1:33" s="53" customFormat="1" ht="11.25" customHeight="1" x14ac:dyDescent="0.15">
      <c r="A2162" s="53" t="s">
        <v>2813</v>
      </c>
      <c r="C2162" s="54"/>
      <c r="D2162" s="54"/>
      <c r="E2162" s="70"/>
      <c r="F2162" s="54"/>
      <c r="G2162" s="54"/>
      <c r="H2162" s="54"/>
      <c r="I2162" s="54"/>
      <c r="J2162" s="54"/>
      <c r="K2162" s="106"/>
      <c r="L2162" s="24">
        <f>SUM(L2152:L2161)</f>
        <v>402584</v>
      </c>
      <c r="M2162" s="24">
        <f t="shared" ref="M2162" si="2544">SUM(M2152:M2161)</f>
        <v>115699.62000000001</v>
      </c>
      <c r="N2162" s="24">
        <f t="shared" ref="N2162" si="2545">SUM(N2152:N2161)</f>
        <v>286884.38</v>
      </c>
      <c r="O2162" s="57">
        <f>IFERROR(N2162/L2162,"")</f>
        <v>0.71260750551437713</v>
      </c>
      <c r="P2162" s="24">
        <f>SUM(P2152:P2161)</f>
        <v>402584</v>
      </c>
      <c r="Q2162" s="24"/>
      <c r="R2162" s="24">
        <f>SUM(R2152:R2161)</f>
        <v>216</v>
      </c>
      <c r="S2162" s="24">
        <f t="shared" ref="S2162:V2162" si="2546">SUM(S2152:S2161)</f>
        <v>11996.86</v>
      </c>
      <c r="T2162" s="24">
        <f t="shared" si="2546"/>
        <v>9721.92</v>
      </c>
      <c r="U2162" s="24">
        <f t="shared" si="2546"/>
        <v>78847.27</v>
      </c>
      <c r="V2162" s="24">
        <f t="shared" si="2546"/>
        <v>10047.99</v>
      </c>
      <c r="W2162" s="24">
        <f>SUM(S2162:V2162)</f>
        <v>110614.04000000001</v>
      </c>
      <c r="X2162" s="56">
        <f t="shared" si="2536"/>
        <v>55.54101851851852</v>
      </c>
      <c r="Y2162" s="119">
        <f t="shared" si="2537"/>
        <v>0.19585296484708783</v>
      </c>
      <c r="Z2162" s="28">
        <f t="shared" si="2538"/>
        <v>291969.95999999996</v>
      </c>
      <c r="AA2162" s="119">
        <f>IFERROR(Z2162/P2162,0)</f>
        <v>0.72523985056534779</v>
      </c>
      <c r="AB2162" s="58">
        <f>M2162-W2162</f>
        <v>5085.5800000000017</v>
      </c>
      <c r="AC2162" s="57">
        <f>IFERROR(AA2162-O2162,"")</f>
        <v>1.2632345050970661E-2</v>
      </c>
      <c r="AG2162" s="61"/>
    </row>
    <row r="2163" spans="1:33" s="110" customFormat="1" ht="11.25" customHeight="1" x14ac:dyDescent="0.15">
      <c r="A2163" s="130"/>
      <c r="B2163" s="130"/>
      <c r="C2163" s="124"/>
      <c r="D2163" s="124"/>
      <c r="E2163" s="273"/>
      <c r="F2163" s="124"/>
      <c r="G2163" s="124"/>
      <c r="H2163" s="124"/>
      <c r="I2163" s="124"/>
      <c r="J2163" s="124"/>
      <c r="K2163" s="125"/>
      <c r="L2163" s="220"/>
      <c r="M2163" s="220"/>
      <c r="N2163" s="129"/>
      <c r="O2163" s="128"/>
      <c r="P2163" s="129"/>
      <c r="Q2163" s="124"/>
      <c r="R2163" s="129"/>
      <c r="S2163" s="129"/>
      <c r="T2163" s="129"/>
      <c r="U2163" s="129"/>
      <c r="V2163" s="126"/>
      <c r="W2163" s="49"/>
      <c r="X2163" s="45"/>
      <c r="Y2163" s="128"/>
      <c r="Z2163" s="126"/>
      <c r="AA2163" s="128"/>
      <c r="AB2163" s="129"/>
      <c r="AC2163" s="160"/>
      <c r="AD2163" s="137"/>
      <c r="AG2163" s="121"/>
    </row>
    <row r="2164" spans="1:33" ht="11.25" customHeight="1" x14ac:dyDescent="0.15">
      <c r="A2164" s="110" t="s">
        <v>882</v>
      </c>
      <c r="B2164" s="319" t="s">
        <v>2815</v>
      </c>
      <c r="C2164" s="111" t="s">
        <v>175</v>
      </c>
      <c r="D2164" s="111">
        <v>2025</v>
      </c>
      <c r="E2164" s="274">
        <v>45961</v>
      </c>
      <c r="G2164" s="2">
        <v>81100011</v>
      </c>
      <c r="H2164" s="111">
        <v>4101</v>
      </c>
      <c r="I2164" s="111" t="str">
        <f>MID(G2164,2,1)</f>
        <v>1</v>
      </c>
      <c r="J2164" s="111" t="str">
        <f>IF(I2164="1","Small/Medium","Large")</f>
        <v>Small/Medium</v>
      </c>
      <c r="K2164" s="112" t="s">
        <v>145</v>
      </c>
      <c r="L2164" s="47">
        <v>13189</v>
      </c>
      <c r="M2164" s="120">
        <f t="shared" ref="M2164" si="2547">L2164*0.3</f>
        <v>3956.7</v>
      </c>
      <c r="N2164" s="120">
        <f t="shared" ref="N2164" si="2548">L2164-M2164</f>
        <v>9232.2999999999993</v>
      </c>
      <c r="O2164" s="119">
        <f t="shared" ref="O2164" si="2549">IFERROR(N2164/L2164,"")</f>
        <v>0.7</v>
      </c>
      <c r="P2164" s="47">
        <v>13189</v>
      </c>
      <c r="Q2164" s="2">
        <v>5346</v>
      </c>
      <c r="R2164" s="117">
        <v>25.5</v>
      </c>
      <c r="S2164" s="5">
        <v>1399.44</v>
      </c>
      <c r="T2164" s="5">
        <v>519.84</v>
      </c>
      <c r="U2164" s="5">
        <v>848.08</v>
      </c>
      <c r="W2164" s="52">
        <f t="shared" ref="W2164" si="2550">SUM(S2164:V2164)</f>
        <v>2767.36</v>
      </c>
      <c r="X2164" s="118">
        <f t="shared" ref="X2164:X2165" si="2551">IFERROR(S2164/R2164,"")</f>
        <v>54.88</v>
      </c>
      <c r="Y2164" s="119">
        <f t="shared" ref="Y2164:Y2165" si="2552">IFERROR(U2164/P2164,0)</f>
        <v>6.4302069906740464E-2</v>
      </c>
      <c r="Z2164" s="117">
        <f t="shared" ref="Z2164:Z2165" si="2553">P2164-W2164</f>
        <v>10421.64</v>
      </c>
      <c r="AA2164" s="119">
        <f t="shared" ref="AA2164" si="2554">IFERROR(Z2164/P2164,0)</f>
        <v>0.79017666237015693</v>
      </c>
      <c r="AB2164" s="120">
        <f t="shared" ref="AB2164" si="2555">M2164-W2164</f>
        <v>1189.3399999999997</v>
      </c>
      <c r="AC2164" s="119">
        <f t="shared" ref="AC2164" si="2556">IFERROR(AA2164-O2164,"")</f>
        <v>9.0176662370156979E-2</v>
      </c>
    </row>
    <row r="2165" spans="1:33" s="53" customFormat="1" ht="11.25" customHeight="1" x14ac:dyDescent="0.15">
      <c r="A2165" s="53" t="s">
        <v>882</v>
      </c>
      <c r="C2165" s="54" t="s">
        <v>177</v>
      </c>
      <c r="D2165" s="54"/>
      <c r="E2165" s="70"/>
      <c r="F2165" s="54"/>
      <c r="G2165" s="54"/>
      <c r="H2165" s="54"/>
      <c r="I2165" s="54"/>
      <c r="J2165" s="54"/>
      <c r="K2165" s="106"/>
      <c r="L2165" s="24">
        <f>SUM(L2164)</f>
        <v>13189</v>
      </c>
      <c r="M2165" s="24">
        <f t="shared" ref="M2165:N2165" si="2557">SUM(M2163:M2164)</f>
        <v>3956.7</v>
      </c>
      <c r="N2165" s="24">
        <f t="shared" si="2557"/>
        <v>9232.2999999999993</v>
      </c>
      <c r="O2165" s="57">
        <f>IFERROR(N2165/L2165,"")</f>
        <v>0.7</v>
      </c>
      <c r="P2165" s="24">
        <f>SUM(P2164)</f>
        <v>13189</v>
      </c>
      <c r="Q2165" s="24"/>
      <c r="R2165" s="24">
        <f>SUM(R2164)</f>
        <v>25.5</v>
      </c>
      <c r="S2165" s="24">
        <f t="shared" ref="S2165:V2165" si="2558">SUM(S2164)</f>
        <v>1399.44</v>
      </c>
      <c r="T2165" s="24">
        <f t="shared" si="2558"/>
        <v>519.84</v>
      </c>
      <c r="U2165" s="24">
        <f t="shared" si="2558"/>
        <v>848.08</v>
      </c>
      <c r="V2165" s="24">
        <f t="shared" si="2558"/>
        <v>0</v>
      </c>
      <c r="W2165" s="24">
        <f>SUM(S2165:V2165)</f>
        <v>2767.36</v>
      </c>
      <c r="X2165" s="56">
        <f t="shared" si="2551"/>
        <v>54.88</v>
      </c>
      <c r="Y2165" s="119">
        <f t="shared" si="2552"/>
        <v>6.4302069906740464E-2</v>
      </c>
      <c r="Z2165" s="28">
        <f t="shared" si="2553"/>
        <v>10421.64</v>
      </c>
      <c r="AA2165" s="119">
        <f>IFERROR(Z2165/P2165,0)</f>
        <v>0.79017666237015693</v>
      </c>
      <c r="AB2165" s="58">
        <f>M2165-W2165</f>
        <v>1189.3399999999997</v>
      </c>
      <c r="AC2165" s="57">
        <f>IFERROR(AA2165-O2165,"")</f>
        <v>9.0176662370156979E-2</v>
      </c>
      <c r="AG2165" s="61"/>
    </row>
    <row r="2166" spans="1:33" s="110" customFormat="1" ht="11.25" customHeight="1" x14ac:dyDescent="0.15">
      <c r="A2166" s="130"/>
      <c r="B2166" s="130"/>
      <c r="C2166" s="124"/>
      <c r="D2166" s="124"/>
      <c r="E2166" s="273"/>
      <c r="F2166" s="124"/>
      <c r="G2166" s="124"/>
      <c r="H2166" s="124"/>
      <c r="I2166" s="124"/>
      <c r="J2166" s="124"/>
      <c r="K2166" s="125"/>
      <c r="L2166" s="220"/>
      <c r="M2166" s="220"/>
      <c r="N2166" s="129"/>
      <c r="O2166" s="128"/>
      <c r="P2166" s="129"/>
      <c r="Q2166" s="124"/>
      <c r="R2166" s="129"/>
      <c r="S2166" s="129"/>
      <c r="T2166" s="129"/>
      <c r="U2166" s="129"/>
      <c r="V2166" s="126"/>
      <c r="W2166" s="49"/>
      <c r="X2166" s="45"/>
      <c r="Y2166" s="128"/>
      <c r="Z2166" s="126"/>
      <c r="AA2166" s="128"/>
      <c r="AB2166" s="129"/>
      <c r="AC2166" s="160"/>
      <c r="AD2166" s="137"/>
      <c r="AG2166" s="121"/>
    </row>
    <row r="2167" spans="1:33" ht="11.25" customHeight="1" x14ac:dyDescent="0.15">
      <c r="A2167" s="110" t="s">
        <v>199</v>
      </c>
      <c r="B2167" s="319" t="s">
        <v>2816</v>
      </c>
      <c r="C2167" s="111" t="s">
        <v>175</v>
      </c>
      <c r="D2167" s="111">
        <v>2025</v>
      </c>
      <c r="E2167" s="274">
        <v>45961</v>
      </c>
      <c r="G2167" s="2">
        <v>81000211</v>
      </c>
      <c r="H2167" s="111">
        <v>4111</v>
      </c>
      <c r="I2167" s="111" t="str">
        <f>MID(G2167,2,1)</f>
        <v>1</v>
      </c>
      <c r="J2167" s="111" t="str">
        <f>IF(I2167="1","Small/Medium","Large")</f>
        <v>Small/Medium</v>
      </c>
      <c r="K2167" s="112" t="s">
        <v>145</v>
      </c>
      <c r="L2167" s="47">
        <v>8537.6080230232928</v>
      </c>
      <c r="M2167" s="120">
        <f t="shared" ref="M2167:M2169" si="2559">L2167*0.3</f>
        <v>2561.2824069069879</v>
      </c>
      <c r="N2167" s="120">
        <f t="shared" ref="N2167:N2169" si="2560">L2167-M2167</f>
        <v>5976.3256161163044</v>
      </c>
      <c r="O2167" s="119">
        <f t="shared" ref="O2167:O2169" si="2561">IFERROR(N2167/L2167,"")</f>
        <v>0.7</v>
      </c>
      <c r="P2167" s="47">
        <v>8537.6080230232928</v>
      </c>
      <c r="Q2167" s="2">
        <v>5092</v>
      </c>
      <c r="R2167" s="5">
        <v>23</v>
      </c>
      <c r="S2167" s="5">
        <v>1262.24</v>
      </c>
      <c r="T2167" s="5">
        <v>1079.6099999999999</v>
      </c>
      <c r="U2167" s="5">
        <v>27.1</v>
      </c>
      <c r="W2167" s="52">
        <f t="shared" ref="W2167:W2169" si="2562">SUM(S2167:V2167)</f>
        <v>2368.9499999999998</v>
      </c>
      <c r="X2167" s="118">
        <f t="shared" ref="X2167:X2169" si="2563">IFERROR(S2167/R2167,"")</f>
        <v>54.88</v>
      </c>
      <c r="Y2167" s="119">
        <f t="shared" ref="Y2167:Y2169" si="2564">IFERROR(U2167/P2167,0)</f>
        <v>3.1741911700466532E-3</v>
      </c>
      <c r="Z2167" s="117">
        <f t="shared" ref="Z2167:Z2169" si="2565">P2167-W2167</f>
        <v>6168.658023023293</v>
      </c>
      <c r="AA2167" s="119" t="s">
        <v>2818</v>
      </c>
      <c r="AB2167" s="120">
        <f t="shared" ref="AB2167:AB2169" si="2566">M2167-W2167</f>
        <v>192.33240690698813</v>
      </c>
      <c r="AC2167" s="119" t="str">
        <f t="shared" ref="AC2167:AC2169" si="2567">IFERROR(AA2167-O2167,"")</f>
        <v/>
      </c>
      <c r="AD2167" s="110" t="s">
        <v>2817</v>
      </c>
    </row>
    <row r="2168" spans="1:33" ht="11.25" customHeight="1" x14ac:dyDescent="0.15">
      <c r="A2168" s="110" t="s">
        <v>199</v>
      </c>
      <c r="B2168" s="110"/>
      <c r="C2168" s="111" t="s">
        <v>175</v>
      </c>
      <c r="D2168" s="111">
        <v>2025</v>
      </c>
      <c r="E2168" s="274">
        <v>45961</v>
      </c>
      <c r="G2168" s="2">
        <v>81000211</v>
      </c>
      <c r="H2168" s="111">
        <v>4111</v>
      </c>
      <c r="I2168" s="111" t="str">
        <f>MID(G2168,2,1)</f>
        <v>1</v>
      </c>
      <c r="J2168" s="111" t="str">
        <f>IF(I2168="1","Small/Medium","Large")</f>
        <v>Small/Medium</v>
      </c>
      <c r="K2168" s="112" t="s">
        <v>145</v>
      </c>
      <c r="L2168" s="47">
        <v>17075.216046046586</v>
      </c>
      <c r="M2168" s="120">
        <f t="shared" si="2559"/>
        <v>5122.5648138139759</v>
      </c>
      <c r="N2168" s="120">
        <f t="shared" si="2560"/>
        <v>11952.651232232609</v>
      </c>
      <c r="O2168" s="119">
        <f t="shared" si="2561"/>
        <v>0.7</v>
      </c>
      <c r="P2168" s="47">
        <v>17075.216046046586</v>
      </c>
      <c r="Q2168" s="2">
        <v>5093</v>
      </c>
      <c r="R2168" s="5">
        <v>24</v>
      </c>
      <c r="S2168" s="5">
        <v>1317.12</v>
      </c>
      <c r="T2168" s="5">
        <v>2159.2399999999998</v>
      </c>
      <c r="U2168" s="5">
        <v>491.44</v>
      </c>
      <c r="W2168" s="52">
        <f t="shared" si="2562"/>
        <v>3967.7999999999997</v>
      </c>
      <c r="X2168" s="118">
        <f t="shared" si="2563"/>
        <v>54.879999999999995</v>
      </c>
      <c r="Y2168" s="119">
        <f t="shared" si="2564"/>
        <v>2.8780894992762495E-2</v>
      </c>
      <c r="Z2168" s="117">
        <f t="shared" si="2565"/>
        <v>13107.416046046586</v>
      </c>
      <c r="AA2168" s="119">
        <f t="shared" ref="AA2168:AA2169" si="2568">IFERROR(Z2168/P2168,0)</f>
        <v>0.76762812316400164</v>
      </c>
      <c r="AB2168" s="120">
        <f t="shared" si="2566"/>
        <v>1154.7648138139762</v>
      </c>
      <c r="AC2168" s="119">
        <f t="shared" si="2567"/>
        <v>6.7628123164001686E-2</v>
      </c>
      <c r="AD2168" s="110" t="s">
        <v>2817</v>
      </c>
    </row>
    <row r="2169" spans="1:33" ht="11.25" customHeight="1" x14ac:dyDescent="0.15">
      <c r="A2169" s="110" t="s">
        <v>199</v>
      </c>
      <c r="B2169" s="110"/>
      <c r="C2169" s="111" t="s">
        <v>175</v>
      </c>
      <c r="D2169" s="111">
        <v>2025</v>
      </c>
      <c r="E2169" s="274">
        <v>45961</v>
      </c>
      <c r="G2169" s="2">
        <v>81000211</v>
      </c>
      <c r="H2169" s="111">
        <v>4111</v>
      </c>
      <c r="I2169" s="111" t="str">
        <f>MID(G2169,2,1)</f>
        <v>1</v>
      </c>
      <c r="J2169" s="111" t="str">
        <f>IF(I2169="1","Small/Medium","Large")</f>
        <v>Small/Medium</v>
      </c>
      <c r="K2169" s="112" t="s">
        <v>145</v>
      </c>
      <c r="L2169" s="47">
        <v>8537.6080230232928</v>
      </c>
      <c r="M2169" s="120">
        <f t="shared" si="2559"/>
        <v>2561.2824069069879</v>
      </c>
      <c r="N2169" s="120">
        <f t="shared" si="2560"/>
        <v>5976.3256161163044</v>
      </c>
      <c r="O2169" s="119">
        <f t="shared" si="2561"/>
        <v>0.7</v>
      </c>
      <c r="P2169" s="47">
        <v>8537.6080230232928</v>
      </c>
      <c r="Q2169" s="2">
        <v>5094</v>
      </c>
      <c r="R2169" s="5">
        <v>15.5</v>
      </c>
      <c r="S2169" s="5">
        <v>850.64</v>
      </c>
      <c r="T2169" s="5">
        <v>1079.6099999999999</v>
      </c>
      <c r="U2169" s="5">
        <v>278.93</v>
      </c>
      <c r="W2169" s="52">
        <f t="shared" si="2562"/>
        <v>2209.1799999999998</v>
      </c>
      <c r="X2169" s="118">
        <f t="shared" si="2563"/>
        <v>54.88</v>
      </c>
      <c r="Y2169" s="119">
        <f t="shared" si="2564"/>
        <v>3.2670743286387936E-2</v>
      </c>
      <c r="Z2169" s="117">
        <f t="shared" si="2565"/>
        <v>6328.4280230232926</v>
      </c>
      <c r="AA2169" s="119">
        <f t="shared" si="2568"/>
        <v>0.74124134136370234</v>
      </c>
      <c r="AB2169" s="120">
        <f t="shared" si="2566"/>
        <v>352.10240690698811</v>
      </c>
      <c r="AC2169" s="119">
        <f t="shared" si="2567"/>
        <v>4.1241341363702388E-2</v>
      </c>
      <c r="AD2169" s="110" t="s">
        <v>2817</v>
      </c>
    </row>
    <row r="2170" spans="1:33" ht="11.25" customHeight="1" x14ac:dyDescent="0.15">
      <c r="A2170" s="110" t="s">
        <v>199</v>
      </c>
      <c r="B2170" s="110"/>
      <c r="C2170" s="111" t="s">
        <v>175</v>
      </c>
      <c r="D2170" s="111">
        <v>2025</v>
      </c>
      <c r="E2170" s="274">
        <v>45961</v>
      </c>
      <c r="G2170" s="2">
        <v>82000211</v>
      </c>
      <c r="H2170" s="111">
        <v>4111</v>
      </c>
      <c r="I2170" s="111" t="str">
        <f>MID(G2170,2,1)</f>
        <v>2</v>
      </c>
      <c r="J2170" s="111" t="str">
        <f>IF(I2170="1","Small/Medium","Large")</f>
        <v>Large</v>
      </c>
      <c r="K2170" s="112" t="s">
        <v>176</v>
      </c>
      <c r="L2170" s="47">
        <v>13956.567907906825</v>
      </c>
      <c r="M2170" s="120">
        <f t="shared" ref="M2170" si="2569">L2170*0.3</f>
        <v>4186.9703723720477</v>
      </c>
      <c r="N2170" s="120">
        <f t="shared" ref="N2170" si="2570">L2170-M2170</f>
        <v>9769.5975355347764</v>
      </c>
      <c r="O2170" s="119">
        <f t="shared" ref="O2170" si="2571">IFERROR(N2170/L2170,"")</f>
        <v>0.7</v>
      </c>
      <c r="P2170" s="47">
        <v>13956.567907906825</v>
      </c>
      <c r="Q2170" s="2">
        <v>5095</v>
      </c>
      <c r="R2170" s="5">
        <v>23.5</v>
      </c>
      <c r="S2170" s="5">
        <v>1289.68</v>
      </c>
      <c r="T2170" s="5">
        <v>1079.6099999999999</v>
      </c>
      <c r="U2170" s="5">
        <v>249.18</v>
      </c>
      <c r="W2170" s="52">
        <f t="shared" ref="W2170" si="2572">SUM(S2170:V2170)</f>
        <v>2618.4699999999998</v>
      </c>
      <c r="X2170" s="118">
        <f t="shared" ref="X2170:X2171" si="2573">IFERROR(S2170/R2170,"")</f>
        <v>54.88</v>
      </c>
      <c r="Y2170" s="119">
        <f t="shared" ref="Y2170:Y2171" si="2574">IFERROR(U2170/P2170,0)</f>
        <v>1.7853959629919609E-2</v>
      </c>
      <c r="Z2170" s="117">
        <f t="shared" ref="Z2170:Z2171" si="2575">P2170-W2170</f>
        <v>11338.097907906826</v>
      </c>
      <c r="AA2170" s="119">
        <f t="shared" ref="AA2170" si="2576">IFERROR(Z2170/P2170,0)</f>
        <v>0.81238439011094155</v>
      </c>
      <c r="AB2170" s="120">
        <f t="shared" ref="AB2170" si="2577">M2170-W2170</f>
        <v>1568.5003723720479</v>
      </c>
      <c r="AC2170" s="119">
        <f t="shared" ref="AC2170" si="2578">IFERROR(AA2170-O2170,"")</f>
        <v>0.11238439011094159</v>
      </c>
      <c r="AD2170" s="110" t="s">
        <v>2817</v>
      </c>
    </row>
    <row r="2171" spans="1:33" s="53" customFormat="1" ht="11.25" customHeight="1" x14ac:dyDescent="0.15">
      <c r="A2171" s="53" t="s">
        <v>199</v>
      </c>
      <c r="C2171" s="54" t="s">
        <v>177</v>
      </c>
      <c r="D2171" s="54"/>
      <c r="E2171" s="70"/>
      <c r="F2171" s="54"/>
      <c r="G2171" s="54"/>
      <c r="H2171" s="54"/>
      <c r="I2171" s="54"/>
      <c r="J2171" s="54"/>
      <c r="K2171" s="106"/>
      <c r="L2171" s="24">
        <f>SUM(L2167:L2170)</f>
        <v>48107</v>
      </c>
      <c r="M2171" s="24">
        <f t="shared" ref="M2171:N2171" si="2579">SUM(M2167:M2170)</f>
        <v>14432.099999999999</v>
      </c>
      <c r="N2171" s="24">
        <f t="shared" si="2579"/>
        <v>33674.899999999994</v>
      </c>
      <c r="O2171" s="57">
        <f>IFERROR(N2171/L2171,"")</f>
        <v>0.69999999999999984</v>
      </c>
      <c r="P2171" s="24">
        <f>SUM(P2167:P2170)</f>
        <v>48107</v>
      </c>
      <c r="Q2171" s="24"/>
      <c r="R2171" s="24">
        <f>SUM(R2167:R2170)</f>
        <v>86</v>
      </c>
      <c r="S2171" s="24">
        <f t="shared" ref="S2171:V2171" si="2580">SUM(S2167:S2170)</f>
        <v>4719.6799999999994</v>
      </c>
      <c r="T2171" s="24">
        <f t="shared" si="2580"/>
        <v>5398.0699999999988</v>
      </c>
      <c r="U2171" s="24">
        <f t="shared" si="2580"/>
        <v>1046.6500000000001</v>
      </c>
      <c r="V2171" s="24">
        <f t="shared" si="2580"/>
        <v>0</v>
      </c>
      <c r="W2171" s="24">
        <f>SUM(S2171:V2171)</f>
        <v>11164.399999999998</v>
      </c>
      <c r="X2171" s="56">
        <f t="shared" si="2573"/>
        <v>54.879999999999995</v>
      </c>
      <c r="Y2171" s="119">
        <f t="shared" si="2574"/>
        <v>2.1756709002847822E-2</v>
      </c>
      <c r="Z2171" s="28">
        <f t="shared" si="2575"/>
        <v>36942.600000000006</v>
      </c>
      <c r="AA2171" s="119">
        <f>IFERROR(Z2171/P2171,0)</f>
        <v>0.76792566570353604</v>
      </c>
      <c r="AB2171" s="58">
        <f>M2171-W2171</f>
        <v>3267.7000000000007</v>
      </c>
      <c r="AC2171" s="57">
        <f>IFERROR(AA2171-O2171,"")</f>
        <v>6.7925665703536198E-2</v>
      </c>
      <c r="AG2171" s="61"/>
    </row>
    <row r="2172" spans="1:33" s="110" customFormat="1" ht="11.25" customHeight="1" x14ac:dyDescent="0.15">
      <c r="A2172" s="130"/>
      <c r="B2172" s="130"/>
      <c r="C2172" s="124"/>
      <c r="D2172" s="124"/>
      <c r="E2172" s="273"/>
      <c r="F2172" s="124"/>
      <c r="G2172" s="124"/>
      <c r="H2172" s="124"/>
      <c r="I2172" s="124"/>
      <c r="J2172" s="124"/>
      <c r="K2172" s="125"/>
      <c r="L2172" s="220"/>
      <c r="M2172" s="220"/>
      <c r="N2172" s="129"/>
      <c r="O2172" s="128"/>
      <c r="P2172" s="129"/>
      <c r="Q2172" s="124"/>
      <c r="R2172" s="129"/>
      <c r="S2172" s="129"/>
      <c r="T2172" s="129"/>
      <c r="U2172" s="129"/>
      <c r="V2172" s="126"/>
      <c r="W2172" s="49"/>
      <c r="X2172" s="45"/>
      <c r="Y2172" s="128"/>
      <c r="Z2172" s="126"/>
      <c r="AA2172" s="128"/>
      <c r="AB2172" s="129"/>
      <c r="AC2172" s="160"/>
      <c r="AD2172" s="137"/>
      <c r="AG2172" s="121"/>
    </row>
    <row r="2173" spans="1:33" ht="11.25" customHeight="1" x14ac:dyDescent="0.15">
      <c r="A2173" s="110" t="s">
        <v>2819</v>
      </c>
      <c r="B2173" s="319" t="s">
        <v>2830</v>
      </c>
      <c r="C2173" s="111" t="s">
        <v>37</v>
      </c>
      <c r="D2173" s="111">
        <v>2025</v>
      </c>
      <c r="E2173" s="274">
        <v>45961</v>
      </c>
      <c r="G2173" s="2">
        <v>94000001</v>
      </c>
      <c r="K2173" s="107" t="s">
        <v>2820</v>
      </c>
      <c r="L2173" s="47">
        <v>2766</v>
      </c>
      <c r="M2173" s="47">
        <v>968.08</v>
      </c>
      <c r="N2173" s="120">
        <f t="shared" ref="N2173:N2180" si="2581">L2173-M2173</f>
        <v>1797.92</v>
      </c>
      <c r="O2173" s="119">
        <f t="shared" ref="O2173:O2176" si="2582">IFERROR(N2173/L2173,"")</f>
        <v>0.65000723065798993</v>
      </c>
      <c r="P2173" s="47">
        <v>2766</v>
      </c>
      <c r="Q2173" s="2">
        <v>5967</v>
      </c>
      <c r="U2173" s="5">
        <v>586.55999999999995</v>
      </c>
      <c r="W2173" s="52">
        <f t="shared" ref="W2173:W2180" si="2583">SUM(S2173:V2173)</f>
        <v>586.55999999999995</v>
      </c>
      <c r="X2173" s="118" t="str">
        <f t="shared" ref="X2173:X2181" si="2584">IFERROR(S2173/R2173,"")</f>
        <v/>
      </c>
      <c r="Y2173" s="119">
        <f t="shared" ref="Y2173:Y2181" si="2585">IFERROR(U2173/P2173,0)</f>
        <v>0.21206073752711493</v>
      </c>
      <c r="Z2173" s="117">
        <f t="shared" ref="Z2173:Z2181" si="2586">P2173-W2173</f>
        <v>2179.44</v>
      </c>
      <c r="AA2173" s="119">
        <f t="shared" ref="AA2173:AA2180" si="2587">IFERROR(Z2173/P2173,0)</f>
        <v>0.78793926247288504</v>
      </c>
      <c r="AB2173" s="120">
        <f t="shared" ref="AB2173:AB2180" si="2588">M2173-W2173</f>
        <v>381.5200000000001</v>
      </c>
      <c r="AC2173" s="119">
        <f t="shared" ref="AC2173:AC2180" si="2589">IFERROR(AA2173-O2173,"")</f>
        <v>0.13793203181489511</v>
      </c>
    </row>
    <row r="2174" spans="1:33" ht="11.25" customHeight="1" x14ac:dyDescent="0.15">
      <c r="A2174" s="110" t="s">
        <v>2819</v>
      </c>
      <c r="B2174" s="110"/>
      <c r="C2174" s="111" t="s">
        <v>180</v>
      </c>
      <c r="D2174" s="111">
        <v>2025</v>
      </c>
      <c r="E2174" s="274">
        <v>45961</v>
      </c>
      <c r="G2174" s="2">
        <v>94000032</v>
      </c>
      <c r="K2174" s="107" t="s">
        <v>2821</v>
      </c>
      <c r="L2174" s="47">
        <v>85069</v>
      </c>
      <c r="M2174" s="47">
        <v>12370.29</v>
      </c>
      <c r="N2174" s="120">
        <f t="shared" si="2581"/>
        <v>72698.709999999992</v>
      </c>
      <c r="O2174" s="119">
        <f t="shared" si="2582"/>
        <v>0.85458521905747087</v>
      </c>
      <c r="P2174" s="47">
        <v>85069</v>
      </c>
      <c r="Q2174" s="2">
        <v>5968</v>
      </c>
      <c r="U2174" s="5">
        <v>11412.57</v>
      </c>
      <c r="W2174" s="52">
        <f t="shared" si="2583"/>
        <v>11412.57</v>
      </c>
      <c r="X2174" s="118" t="str">
        <f t="shared" si="2584"/>
        <v/>
      </c>
      <c r="Y2174" s="119">
        <f t="shared" si="2585"/>
        <v>0.13415662579788171</v>
      </c>
      <c r="Z2174" s="117">
        <f t="shared" si="2586"/>
        <v>73656.429999999993</v>
      </c>
      <c r="AA2174" s="119">
        <f t="shared" si="2587"/>
        <v>0.86584337420211821</v>
      </c>
      <c r="AB2174" s="120">
        <f t="shared" si="2588"/>
        <v>957.72000000000116</v>
      </c>
      <c r="AC2174" s="119">
        <f t="shared" si="2589"/>
        <v>1.1258155144647342E-2</v>
      </c>
    </row>
    <row r="2175" spans="1:33" ht="11.25" customHeight="1" x14ac:dyDescent="0.15">
      <c r="A2175" s="110" t="s">
        <v>2819</v>
      </c>
      <c r="B2175" s="110"/>
      <c r="C2175" s="111" t="s">
        <v>279</v>
      </c>
      <c r="D2175" s="111">
        <v>2025</v>
      </c>
      <c r="E2175" s="274">
        <v>45961</v>
      </c>
      <c r="G2175" s="2">
        <v>54000022</v>
      </c>
      <c r="K2175" s="107" t="s">
        <v>2796</v>
      </c>
      <c r="L2175" s="47">
        <v>20966</v>
      </c>
      <c r="M2175" s="47">
        <v>10059.68</v>
      </c>
      <c r="N2175" s="120">
        <f t="shared" si="2581"/>
        <v>10906.32</v>
      </c>
      <c r="O2175" s="119">
        <f t="shared" si="2582"/>
        <v>0.52019078508060668</v>
      </c>
      <c r="P2175" s="47">
        <v>20966</v>
      </c>
      <c r="Q2175" s="2">
        <v>5973</v>
      </c>
      <c r="R2175" s="5">
        <v>50.5</v>
      </c>
      <c r="S2175" s="5">
        <v>2823.46</v>
      </c>
      <c r="T2175" s="320">
        <v>3458.11</v>
      </c>
      <c r="U2175" s="320">
        <v>1566.97</v>
      </c>
      <c r="W2175" s="52">
        <f t="shared" si="2583"/>
        <v>7848.54</v>
      </c>
      <c r="X2175" s="118" t="str">
        <f>IFERROR(#REF!/#REF!,"")</f>
        <v/>
      </c>
      <c r="Y2175" s="119">
        <f>IFERROR(R2175/P2175,0)</f>
        <v>2.4086616426595439E-3</v>
      </c>
      <c r="Z2175" s="117">
        <f t="shared" si="2586"/>
        <v>13117.46</v>
      </c>
      <c r="AA2175" s="119">
        <f t="shared" si="2587"/>
        <v>0.62565391586377939</v>
      </c>
      <c r="AB2175" s="120">
        <f t="shared" si="2588"/>
        <v>2211.1400000000003</v>
      </c>
      <c r="AC2175" s="119">
        <f t="shared" si="2589"/>
        <v>0.10546313078317271</v>
      </c>
    </row>
    <row r="2176" spans="1:33" ht="11.25" customHeight="1" x14ac:dyDescent="0.15">
      <c r="A2176" s="110" t="s">
        <v>2819</v>
      </c>
      <c r="B2176" s="110"/>
      <c r="C2176" s="111" t="s">
        <v>248</v>
      </c>
      <c r="D2176" s="111">
        <v>2025</v>
      </c>
      <c r="E2176" s="274">
        <v>45961</v>
      </c>
      <c r="G2176" s="2">
        <v>96000000</v>
      </c>
      <c r="K2176" s="112" t="s">
        <v>250</v>
      </c>
      <c r="L2176" s="47">
        <v>10333</v>
      </c>
      <c r="M2176" s="47">
        <v>5166.5</v>
      </c>
      <c r="N2176" s="120">
        <f t="shared" si="2581"/>
        <v>5166.5</v>
      </c>
      <c r="O2176" s="119">
        <f t="shared" si="2582"/>
        <v>0.5</v>
      </c>
      <c r="P2176" s="47">
        <v>10333</v>
      </c>
      <c r="Q2176" s="2">
        <v>5969</v>
      </c>
      <c r="R2176" s="5">
        <v>8</v>
      </c>
      <c r="S2176" s="5">
        <v>516.4</v>
      </c>
      <c r="W2176" s="52">
        <f t="shared" si="2583"/>
        <v>516.4</v>
      </c>
      <c r="X2176" s="118">
        <f t="shared" si="2584"/>
        <v>64.55</v>
      </c>
      <c r="Y2176" s="119">
        <f t="shared" si="2585"/>
        <v>0</v>
      </c>
      <c r="Z2176" s="117">
        <f t="shared" si="2586"/>
        <v>9816.6</v>
      </c>
      <c r="AA2176" s="119">
        <f t="shared" si="2587"/>
        <v>0.95002419432884933</v>
      </c>
      <c r="AB2176" s="120">
        <f t="shared" si="2588"/>
        <v>4650.1000000000004</v>
      </c>
      <c r="AC2176" s="119">
        <f t="shared" si="2589"/>
        <v>0.45002419432884933</v>
      </c>
    </row>
    <row r="2177" spans="1:33" ht="11.25" customHeight="1" x14ac:dyDescent="0.15">
      <c r="A2177" s="110" t="s">
        <v>2819</v>
      </c>
      <c r="B2177" s="110"/>
      <c r="C2177" s="111" t="s">
        <v>55</v>
      </c>
      <c r="D2177" s="111">
        <v>2025</v>
      </c>
      <c r="E2177" s="274">
        <v>45961</v>
      </c>
      <c r="G2177" s="111" t="s">
        <v>56</v>
      </c>
      <c r="K2177" s="112" t="s">
        <v>71</v>
      </c>
      <c r="L2177" s="47">
        <v>5230</v>
      </c>
      <c r="M2177" s="47">
        <v>2614.59</v>
      </c>
      <c r="N2177" s="120">
        <f t="shared" si="2581"/>
        <v>2615.41</v>
      </c>
      <c r="O2177" s="119">
        <f>IFERROR(N2177/L2177,"")</f>
        <v>0.50007839388145314</v>
      </c>
      <c r="P2177" s="47">
        <v>5230</v>
      </c>
      <c r="Q2177" s="2">
        <v>5970</v>
      </c>
      <c r="R2177" s="5">
        <v>10</v>
      </c>
      <c r="S2177" s="5">
        <v>525</v>
      </c>
      <c r="V2177" s="5">
        <v>1797.25</v>
      </c>
      <c r="W2177" s="52">
        <f t="shared" si="2583"/>
        <v>2322.25</v>
      </c>
      <c r="X2177" s="118">
        <f t="shared" si="2584"/>
        <v>52.5</v>
      </c>
      <c r="Y2177" s="119">
        <f t="shared" si="2585"/>
        <v>0</v>
      </c>
      <c r="Z2177" s="117">
        <f t="shared" si="2586"/>
        <v>2907.75</v>
      </c>
      <c r="AA2177" s="119">
        <f t="shared" si="2587"/>
        <v>0.55597514340344167</v>
      </c>
      <c r="AB2177" s="120">
        <f t="shared" si="2588"/>
        <v>292.34000000000015</v>
      </c>
      <c r="AC2177" s="119">
        <f t="shared" si="2589"/>
        <v>5.5896749521988531E-2</v>
      </c>
    </row>
    <row r="2178" spans="1:33" ht="11.25" customHeight="1" x14ac:dyDescent="0.15">
      <c r="A2178" s="110" t="s">
        <v>2819</v>
      </c>
      <c r="B2178" s="110"/>
      <c r="C2178" s="111" t="s">
        <v>58</v>
      </c>
      <c r="D2178" s="111">
        <v>2025</v>
      </c>
      <c r="E2178" s="274">
        <v>45961</v>
      </c>
      <c r="G2178" s="2">
        <v>74152012</v>
      </c>
      <c r="K2178" s="112" t="s">
        <v>712</v>
      </c>
      <c r="L2178" s="47">
        <v>26876</v>
      </c>
      <c r="M2178" s="47">
        <v>2687.6</v>
      </c>
      <c r="N2178" s="120">
        <f t="shared" si="2581"/>
        <v>24188.400000000001</v>
      </c>
      <c r="O2178" s="119">
        <f t="shared" ref="O2178:O2180" si="2590">IFERROR(N2178/L2178,"")</f>
        <v>0.9</v>
      </c>
      <c r="P2178" s="47">
        <v>26876</v>
      </c>
      <c r="Q2178" s="2">
        <v>5974</v>
      </c>
      <c r="U2178" s="5">
        <v>2666.69</v>
      </c>
      <c r="W2178" s="52">
        <f t="shared" si="2583"/>
        <v>2666.69</v>
      </c>
      <c r="X2178" s="118" t="str">
        <f t="shared" si="2584"/>
        <v/>
      </c>
      <c r="Y2178" s="119">
        <f t="shared" si="2585"/>
        <v>9.9221982437862774E-2</v>
      </c>
      <c r="Z2178" s="117">
        <f t="shared" si="2586"/>
        <v>24209.31</v>
      </c>
      <c r="AA2178" s="119">
        <f t="shared" si="2587"/>
        <v>0.90077801756213727</v>
      </c>
      <c r="AB2178" s="120">
        <f t="shared" si="2588"/>
        <v>20.909999999999854</v>
      </c>
      <c r="AC2178" s="119">
        <f t="shared" si="2589"/>
        <v>7.7801756213724538E-4</v>
      </c>
    </row>
    <row r="2179" spans="1:33" ht="11.25" customHeight="1" x14ac:dyDescent="0.15">
      <c r="A2179" s="110" t="s">
        <v>2819</v>
      </c>
      <c r="B2179" s="110"/>
      <c r="C2179" s="111" t="s">
        <v>452</v>
      </c>
      <c r="D2179" s="111">
        <v>2025</v>
      </c>
      <c r="E2179" s="274">
        <v>45961</v>
      </c>
      <c r="G2179" s="2">
        <v>64652012</v>
      </c>
      <c r="K2179" s="112" t="s">
        <v>85</v>
      </c>
      <c r="L2179" s="47">
        <v>42793</v>
      </c>
      <c r="M2179" s="47">
        <v>5180.8599999999997</v>
      </c>
      <c r="N2179" s="120">
        <f t="shared" si="2581"/>
        <v>37612.14</v>
      </c>
      <c r="O2179" s="119">
        <f t="shared" si="2590"/>
        <v>0.87893206832893234</v>
      </c>
      <c r="P2179" s="47">
        <v>42793</v>
      </c>
      <c r="Q2179" s="2">
        <v>6583</v>
      </c>
      <c r="R2179" s="5">
        <v>56</v>
      </c>
      <c r="S2179" s="5">
        <v>3614.8</v>
      </c>
      <c r="T2179" s="320">
        <v>3471.57</v>
      </c>
      <c r="W2179" s="52">
        <f t="shared" si="2583"/>
        <v>7086.3700000000008</v>
      </c>
      <c r="X2179" s="118">
        <f t="shared" si="2584"/>
        <v>64.55</v>
      </c>
      <c r="Y2179" s="119">
        <f t="shared" si="2585"/>
        <v>0</v>
      </c>
      <c r="Z2179" s="117">
        <f t="shared" si="2586"/>
        <v>35706.629999999997</v>
      </c>
      <c r="AA2179" s="119">
        <f t="shared" si="2587"/>
        <v>0.83440352394083139</v>
      </c>
      <c r="AB2179" s="120">
        <f t="shared" si="2588"/>
        <v>-1905.5100000000011</v>
      </c>
      <c r="AC2179" s="119">
        <f t="shared" si="2589"/>
        <v>-4.4528544388100944E-2</v>
      </c>
      <c r="AD2179" s="110" t="s">
        <v>2831</v>
      </c>
    </row>
    <row r="2180" spans="1:33" ht="11.25" customHeight="1" x14ac:dyDescent="0.15">
      <c r="A2180" s="110" t="s">
        <v>2819</v>
      </c>
      <c r="B2180" s="110"/>
      <c r="C2180" s="111" t="s">
        <v>175</v>
      </c>
      <c r="D2180" s="111">
        <v>2025</v>
      </c>
      <c r="E2180" s="274">
        <v>45961</v>
      </c>
      <c r="G2180" s="2">
        <v>82100111</v>
      </c>
      <c r="H2180" s="111">
        <v>4111</v>
      </c>
      <c r="I2180" s="111" t="str">
        <f>MID(G2180,2,1)</f>
        <v>2</v>
      </c>
      <c r="J2180" s="111" t="str">
        <f>IF(I2180="1","Small/Medium","Large")</f>
        <v>Large</v>
      </c>
      <c r="K2180" s="112" t="s">
        <v>145</v>
      </c>
      <c r="L2180" s="47">
        <v>22961</v>
      </c>
      <c r="M2180" s="47">
        <v>6297.61</v>
      </c>
      <c r="N2180" s="120">
        <f t="shared" si="2581"/>
        <v>16663.39</v>
      </c>
      <c r="O2180" s="119">
        <f t="shared" si="2590"/>
        <v>0.72572579591481201</v>
      </c>
      <c r="P2180" s="47">
        <v>22961</v>
      </c>
      <c r="Q2180" s="2">
        <v>5971</v>
      </c>
      <c r="R2180" s="5">
        <v>9</v>
      </c>
      <c r="S2180" s="5">
        <v>493.92</v>
      </c>
      <c r="T2180" s="320">
        <v>351.6</v>
      </c>
      <c r="U2180" s="5">
        <v>1566.97</v>
      </c>
      <c r="W2180" s="52">
        <f t="shared" si="2583"/>
        <v>2412.4899999999998</v>
      </c>
      <c r="X2180" s="118">
        <f t="shared" si="2584"/>
        <v>54.88</v>
      </c>
      <c r="Y2180" s="119">
        <f t="shared" si="2585"/>
        <v>6.8244849962980705E-2</v>
      </c>
      <c r="Z2180" s="117">
        <f t="shared" si="2586"/>
        <v>20548.510000000002</v>
      </c>
      <c r="AA2180" s="119">
        <f t="shared" si="2587"/>
        <v>0.89493096990549204</v>
      </c>
      <c r="AB2180" s="120">
        <f t="shared" si="2588"/>
        <v>3885.12</v>
      </c>
      <c r="AC2180" s="119">
        <f t="shared" si="2589"/>
        <v>0.16920517399068002</v>
      </c>
    </row>
    <row r="2181" spans="1:33" s="53" customFormat="1" ht="11.25" customHeight="1" x14ac:dyDescent="0.15">
      <c r="A2181" s="53" t="s">
        <v>2819</v>
      </c>
      <c r="C2181" s="54" t="s">
        <v>177</v>
      </c>
      <c r="D2181" s="54"/>
      <c r="E2181" s="70"/>
      <c r="F2181" s="54"/>
      <c r="G2181" s="54"/>
      <c r="H2181" s="54"/>
      <c r="I2181" s="54"/>
      <c r="J2181" s="54"/>
      <c r="K2181" s="106"/>
      <c r="L2181" s="24">
        <f>SUM(L2173:L2180)</f>
        <v>216994</v>
      </c>
      <c r="M2181" s="24">
        <f t="shared" ref="M2181:N2181" si="2591">SUM(M2173:M2180)</f>
        <v>45345.210000000006</v>
      </c>
      <c r="N2181" s="24">
        <f t="shared" si="2591"/>
        <v>171648.78999999998</v>
      </c>
      <c r="O2181" s="57">
        <f>IFERROR(N2181/L2181,"")</f>
        <v>0.79103012064849709</v>
      </c>
      <c r="P2181" s="24">
        <f>SUM(P2173:P2180)</f>
        <v>216994</v>
      </c>
      <c r="Q2181" s="24"/>
      <c r="R2181" s="24">
        <f>SUM(R2173:R2180)</f>
        <v>133.5</v>
      </c>
      <c r="S2181" s="24">
        <f t="shared" ref="S2181:V2181" si="2592">SUM(S2173:S2180)</f>
        <v>7973.58</v>
      </c>
      <c r="T2181" s="24">
        <f t="shared" si="2592"/>
        <v>7281.2800000000007</v>
      </c>
      <c r="U2181" s="24">
        <f t="shared" si="2592"/>
        <v>17799.759999999998</v>
      </c>
      <c r="V2181" s="24">
        <f t="shared" si="2592"/>
        <v>1797.25</v>
      </c>
      <c r="W2181" s="24">
        <f>SUM(S2181:V2181)</f>
        <v>34851.869999999995</v>
      </c>
      <c r="X2181" s="56">
        <f t="shared" si="2584"/>
        <v>59.727191011235952</v>
      </c>
      <c r="Y2181" s="119">
        <f t="shared" si="2585"/>
        <v>8.2028811856549019E-2</v>
      </c>
      <c r="Z2181" s="28">
        <f t="shared" si="2586"/>
        <v>182142.13</v>
      </c>
      <c r="AA2181" s="119">
        <f>IFERROR(Z2181/P2181,0)</f>
        <v>0.83938786325889192</v>
      </c>
      <c r="AB2181" s="58">
        <f>M2181-W2181</f>
        <v>10493.340000000011</v>
      </c>
      <c r="AC2181" s="57">
        <f>IFERROR(AA2181-O2181,"")</f>
        <v>4.8357742610394827E-2</v>
      </c>
      <c r="AG2181" s="61"/>
    </row>
    <row r="2182" spans="1:33" s="110" customFormat="1" ht="11.25" customHeight="1" x14ac:dyDescent="0.15">
      <c r="A2182" s="130"/>
      <c r="B2182" s="130"/>
      <c r="C2182" s="124"/>
      <c r="D2182" s="124"/>
      <c r="E2182" s="273"/>
      <c r="F2182" s="124"/>
      <c r="G2182" s="124"/>
      <c r="H2182" s="124"/>
      <c r="I2182" s="124"/>
      <c r="J2182" s="124"/>
      <c r="K2182" s="125"/>
      <c r="L2182" s="220"/>
      <c r="M2182" s="220"/>
      <c r="N2182" s="129"/>
      <c r="O2182" s="128"/>
      <c r="P2182" s="129"/>
      <c r="Q2182" s="124"/>
      <c r="R2182" s="129"/>
      <c r="S2182" s="129"/>
      <c r="T2182" s="129"/>
      <c r="U2182" s="129"/>
      <c r="V2182" s="126"/>
      <c r="W2182" s="49"/>
      <c r="X2182" s="45"/>
      <c r="Y2182" s="128"/>
      <c r="Z2182" s="126"/>
      <c r="AA2182" s="128"/>
      <c r="AB2182" s="129"/>
      <c r="AC2182" s="160"/>
      <c r="AD2182" s="137"/>
      <c r="AG2182" s="121"/>
    </row>
    <row r="2183" spans="1:33" ht="11.25" customHeight="1" x14ac:dyDescent="0.15">
      <c r="A2183" s="110" t="s">
        <v>365</v>
      </c>
      <c r="B2183" s="319" t="s">
        <v>2824</v>
      </c>
      <c r="C2183" s="111" t="s">
        <v>164</v>
      </c>
      <c r="D2183" s="111">
        <v>2025</v>
      </c>
      <c r="E2183" s="274">
        <v>45961</v>
      </c>
      <c r="G2183" s="111" t="s">
        <v>960</v>
      </c>
      <c r="K2183" s="107" t="s">
        <v>1461</v>
      </c>
      <c r="L2183" s="47">
        <v>1626.6699327061183</v>
      </c>
      <c r="M2183" s="47">
        <v>758.97</v>
      </c>
      <c r="N2183" s="120">
        <f>L2183-M2183</f>
        <v>867.69993270611826</v>
      </c>
      <c r="O2183" s="119">
        <f t="shared" ref="O2183:O2186" si="2593">IFERROR(N2183/L2183,"")</f>
        <v>0.5334210187696885</v>
      </c>
      <c r="P2183" s="47">
        <v>1626.6699327061183</v>
      </c>
      <c r="U2183" s="5">
        <v>870.35</v>
      </c>
      <c r="W2183" s="52">
        <f t="shared" ref="W2183:W2190" si="2594">SUM(S2183:V2183)</f>
        <v>870.35</v>
      </c>
      <c r="X2183" s="118" t="str">
        <f t="shared" ref="X2183:X2185" si="2595">IFERROR(S2183/R2183,"")</f>
        <v/>
      </c>
      <c r="Y2183" s="119">
        <f t="shared" ref="Y2183:Y2185" si="2596">IFERROR(U2183/P2183,0)</f>
        <v>0.5350501552285355</v>
      </c>
      <c r="Z2183" s="117">
        <f t="shared" ref="Z2183:Z2191" si="2597">P2183-W2183</f>
        <v>756.31993270611827</v>
      </c>
      <c r="AA2183" s="119">
        <f t="shared" ref="AA2183:AA2190" si="2598">IFERROR(Z2183/P2183,0)</f>
        <v>0.4649498447714645</v>
      </c>
      <c r="AB2183" s="120">
        <f t="shared" ref="AB2183:AB2190" si="2599">M2183-W2183</f>
        <v>-111.38</v>
      </c>
      <c r="AC2183" s="119">
        <f t="shared" ref="AC2183:AC2190" si="2600">IFERROR(AA2183-O2183,"")</f>
        <v>-6.8471173998224E-2</v>
      </c>
    </row>
    <row r="2184" spans="1:33" ht="11.25" customHeight="1" x14ac:dyDescent="0.15">
      <c r="A2184" s="110" t="s">
        <v>365</v>
      </c>
      <c r="B2184" s="110"/>
      <c r="C2184" s="111" t="s">
        <v>37</v>
      </c>
      <c r="D2184" s="111">
        <v>2025</v>
      </c>
      <c r="E2184" s="274">
        <v>45961</v>
      </c>
      <c r="G2184" s="2">
        <v>92000002</v>
      </c>
      <c r="K2184" s="107" t="s">
        <v>2822</v>
      </c>
      <c r="L2184" s="47">
        <v>272.98656316506549</v>
      </c>
      <c r="M2184" s="47">
        <v>127.14</v>
      </c>
      <c r="N2184" s="120">
        <f t="shared" ref="N2184:N2189" si="2601">L2184-M2184</f>
        <v>145.8465631650655</v>
      </c>
      <c r="O2184" s="119">
        <f t="shared" si="2593"/>
        <v>0.53426279108425256</v>
      </c>
      <c r="P2184" s="47">
        <v>272.98656316506549</v>
      </c>
      <c r="Q2184" s="2">
        <v>6550</v>
      </c>
      <c r="U2184" s="5">
        <v>82.2</v>
      </c>
      <c r="W2184" s="52">
        <f t="shared" si="2594"/>
        <v>82.2</v>
      </c>
      <c r="X2184" s="118" t="str">
        <f t="shared" si="2595"/>
        <v/>
      </c>
      <c r="Y2184" s="119">
        <f t="shared" si="2596"/>
        <v>0.30111372166803874</v>
      </c>
      <c r="Z2184" s="117">
        <f t="shared" si="2597"/>
        <v>190.7865631650655</v>
      </c>
      <c r="AA2184" s="119">
        <f t="shared" si="2598"/>
        <v>0.69888627833196137</v>
      </c>
      <c r="AB2184" s="120">
        <f t="shared" si="2599"/>
        <v>44.94</v>
      </c>
      <c r="AC2184" s="119">
        <f t="shared" si="2600"/>
        <v>0.16462348724770881</v>
      </c>
    </row>
    <row r="2185" spans="1:33" ht="11.25" customHeight="1" x14ac:dyDescent="0.15">
      <c r="A2185" s="110" t="s">
        <v>365</v>
      </c>
      <c r="B2185" s="110"/>
      <c r="C2185" s="111" t="s">
        <v>164</v>
      </c>
      <c r="D2185" s="111">
        <v>2025</v>
      </c>
      <c r="E2185" s="274">
        <v>45961</v>
      </c>
      <c r="G2185" s="111" t="s">
        <v>734</v>
      </c>
      <c r="K2185" s="107" t="s">
        <v>1385</v>
      </c>
      <c r="L2185" s="47">
        <v>485.9760794806661</v>
      </c>
      <c r="M2185" s="47">
        <v>226.51</v>
      </c>
      <c r="N2185" s="120">
        <f t="shared" si="2601"/>
        <v>259.46607948066611</v>
      </c>
      <c r="O2185" s="119">
        <f t="shared" si="2593"/>
        <v>0.53390710044400158</v>
      </c>
      <c r="P2185" s="47">
        <v>485.9760794806661</v>
      </c>
      <c r="U2185" s="5">
        <v>226.51</v>
      </c>
      <c r="W2185" s="52">
        <f t="shared" si="2594"/>
        <v>226.51</v>
      </c>
      <c r="X2185" s="118" t="str">
        <f t="shared" si="2595"/>
        <v/>
      </c>
      <c r="Y2185" s="119">
        <f t="shared" si="2596"/>
        <v>0.46609289955599836</v>
      </c>
      <c r="Z2185" s="117">
        <f t="shared" si="2597"/>
        <v>259.46607948066611</v>
      </c>
      <c r="AA2185" s="119">
        <f t="shared" si="2598"/>
        <v>0.53390710044400158</v>
      </c>
      <c r="AB2185" s="120">
        <f t="shared" si="2599"/>
        <v>0</v>
      </c>
      <c r="AC2185" s="119">
        <f t="shared" si="2600"/>
        <v>0</v>
      </c>
    </row>
    <row r="2186" spans="1:33" ht="11.25" customHeight="1" x14ac:dyDescent="0.15">
      <c r="A2186" s="110" t="s">
        <v>365</v>
      </c>
      <c r="B2186" s="110"/>
      <c r="C2186" s="111" t="s">
        <v>164</v>
      </c>
      <c r="D2186" s="111">
        <v>2025</v>
      </c>
      <c r="E2186" s="274">
        <v>45961</v>
      </c>
      <c r="G2186" s="111" t="s">
        <v>1388</v>
      </c>
      <c r="K2186" s="107" t="s">
        <v>2802</v>
      </c>
      <c r="L2186" s="47">
        <v>289.48575104866836</v>
      </c>
      <c r="M2186" s="47">
        <v>134.84</v>
      </c>
      <c r="N2186" s="120">
        <f t="shared" si="2601"/>
        <v>154.64575104866836</v>
      </c>
      <c r="O2186" s="119">
        <f t="shared" si="2593"/>
        <v>0.53420850763279648</v>
      </c>
      <c r="P2186" s="47">
        <v>289.48575104866836</v>
      </c>
      <c r="U2186" s="5">
        <v>141.46</v>
      </c>
      <c r="W2186" s="52">
        <f t="shared" si="2594"/>
        <v>141.46</v>
      </c>
      <c r="X2186" s="118" t="str">
        <f t="shared" ref="X2186:X2191" si="2602">IFERROR(S2186/R2186,"")</f>
        <v/>
      </c>
      <c r="Y2186" s="119">
        <f t="shared" ref="Y2186:Y2191" si="2603">IFERROR(U2186/P2186,0)</f>
        <v>0.48865963000789542</v>
      </c>
      <c r="Z2186" s="117">
        <f t="shared" si="2597"/>
        <v>148.02575104866835</v>
      </c>
      <c r="AA2186" s="119">
        <f t="shared" si="2598"/>
        <v>0.51134036999210453</v>
      </c>
      <c r="AB2186" s="120">
        <f t="shared" si="2599"/>
        <v>-6.6200000000000045</v>
      </c>
      <c r="AC2186" s="119">
        <f t="shared" si="2600"/>
        <v>-2.2868137640691955E-2</v>
      </c>
    </row>
    <row r="2187" spans="1:33" ht="11.25" customHeight="1" x14ac:dyDescent="0.15">
      <c r="A2187" s="110" t="s">
        <v>365</v>
      </c>
      <c r="B2187" s="110"/>
      <c r="C2187" s="111" t="s">
        <v>164</v>
      </c>
      <c r="D2187" s="111">
        <v>2025</v>
      </c>
      <c r="E2187" s="274">
        <v>45961</v>
      </c>
      <c r="G2187" s="111" t="s">
        <v>378</v>
      </c>
      <c r="K2187" s="107" t="s">
        <v>813</v>
      </c>
      <c r="L2187" s="47">
        <v>1285.4367287497867</v>
      </c>
      <c r="M2187" s="47">
        <v>599.86</v>
      </c>
      <c r="N2187" s="120">
        <f t="shared" si="2601"/>
        <v>685.57672874978664</v>
      </c>
      <c r="O2187" s="119">
        <f>IFERROR(N2187/L2187,"")</f>
        <v>0.53334148108291357</v>
      </c>
      <c r="P2187" s="47">
        <v>1285.4367287497867</v>
      </c>
      <c r="U2187" s="5">
        <v>599.54</v>
      </c>
      <c r="W2187" s="52">
        <f t="shared" si="2594"/>
        <v>599.54</v>
      </c>
      <c r="X2187" s="118" t="str">
        <f t="shared" si="2602"/>
        <v/>
      </c>
      <c r="Y2187" s="119">
        <f t="shared" si="2603"/>
        <v>0.46640957628705026</v>
      </c>
      <c r="Z2187" s="117">
        <f t="shared" si="2597"/>
        <v>685.89672874978669</v>
      </c>
      <c r="AA2187" s="119">
        <f t="shared" si="2598"/>
        <v>0.53359042371294974</v>
      </c>
      <c r="AB2187" s="120">
        <f t="shared" si="2599"/>
        <v>0.32000000000005002</v>
      </c>
      <c r="AC2187" s="119">
        <f t="shared" si="2600"/>
        <v>2.4894263003616413E-4</v>
      </c>
    </row>
    <row r="2188" spans="1:33" ht="11.25" customHeight="1" x14ac:dyDescent="0.15">
      <c r="A2188" s="110" t="s">
        <v>365</v>
      </c>
      <c r="B2188" s="110"/>
      <c r="C2188" s="111" t="s">
        <v>164</v>
      </c>
      <c r="D2188" s="111">
        <v>2025</v>
      </c>
      <c r="E2188" s="274">
        <v>45961</v>
      </c>
      <c r="G2188" s="111" t="s">
        <v>1947</v>
      </c>
      <c r="K2188" s="107" t="s">
        <v>1948</v>
      </c>
      <c r="L2188" s="47">
        <v>2.2498892568549356</v>
      </c>
      <c r="M2188" s="47">
        <v>0.71</v>
      </c>
      <c r="N2188" s="120">
        <f t="shared" si="2601"/>
        <v>1.5398892568549356</v>
      </c>
      <c r="O2188" s="119">
        <f t="shared" ref="O2188:O2190" si="2604">IFERROR(N2188/L2188,"")</f>
        <v>0.68442891229566949</v>
      </c>
      <c r="P2188" s="47">
        <v>2.2498892568549356</v>
      </c>
      <c r="U2188" s="6">
        <v>0.25</v>
      </c>
      <c r="W2188" s="215">
        <f t="shared" si="2594"/>
        <v>0.25</v>
      </c>
      <c r="X2188" s="118" t="str">
        <f t="shared" si="2602"/>
        <v/>
      </c>
      <c r="Y2188" s="119">
        <f t="shared" si="2603"/>
        <v>0.11111658017758119</v>
      </c>
      <c r="Z2188" s="117">
        <f t="shared" si="2597"/>
        <v>1.9998892568549356</v>
      </c>
      <c r="AA2188" s="119">
        <f t="shared" si="2598"/>
        <v>0.88888341982241881</v>
      </c>
      <c r="AB2188" s="120">
        <f t="shared" si="2599"/>
        <v>0.45999999999999996</v>
      </c>
      <c r="AC2188" s="119">
        <f t="shared" si="2600"/>
        <v>0.20445450752674932</v>
      </c>
    </row>
    <row r="2189" spans="1:33" ht="11.25" customHeight="1" x14ac:dyDescent="0.15">
      <c r="A2189" s="110" t="s">
        <v>365</v>
      </c>
      <c r="B2189" s="110"/>
      <c r="C2189" s="111" t="s">
        <v>37</v>
      </c>
      <c r="D2189" s="111">
        <v>2025</v>
      </c>
      <c r="E2189" s="274">
        <v>45961</v>
      </c>
      <c r="G2189" s="2">
        <v>92000002</v>
      </c>
      <c r="K2189" s="107" t="s">
        <v>2823</v>
      </c>
      <c r="L2189" s="47">
        <v>1151.1933364241088</v>
      </c>
      <c r="M2189" s="47">
        <v>537.14</v>
      </c>
      <c r="N2189" s="120">
        <f t="shared" si="2601"/>
        <v>614.05333642410881</v>
      </c>
      <c r="O2189" s="119">
        <f t="shared" si="2604"/>
        <v>0.53340591627424661</v>
      </c>
      <c r="P2189" s="47">
        <v>1151.1933364241088</v>
      </c>
      <c r="Q2189" s="2">
        <v>6551</v>
      </c>
      <c r="U2189" s="5">
        <v>188</v>
      </c>
      <c r="W2189" s="52">
        <f t="shared" si="2594"/>
        <v>188</v>
      </c>
      <c r="X2189" s="118" t="str">
        <f t="shared" si="2602"/>
        <v/>
      </c>
      <c r="Y2189" s="119">
        <f t="shared" si="2603"/>
        <v>0.16330879796783265</v>
      </c>
      <c r="Z2189" s="117">
        <f t="shared" si="2597"/>
        <v>963.19333642410879</v>
      </c>
      <c r="AA2189" s="119">
        <f t="shared" si="2598"/>
        <v>0.83669120203216729</v>
      </c>
      <c r="AB2189" s="120">
        <f t="shared" si="2599"/>
        <v>349.14</v>
      </c>
      <c r="AC2189" s="119">
        <f t="shared" si="2600"/>
        <v>0.30328528575792069</v>
      </c>
    </row>
    <row r="2190" spans="1:33" ht="11.25" customHeight="1" x14ac:dyDescent="0.15">
      <c r="A2190" s="110" t="s">
        <v>365</v>
      </c>
      <c r="B2190" s="110"/>
      <c r="C2190" s="111" t="s">
        <v>47</v>
      </c>
      <c r="D2190" s="111">
        <v>2025</v>
      </c>
      <c r="E2190" s="274">
        <v>45961</v>
      </c>
      <c r="G2190" s="2">
        <v>500000040</v>
      </c>
      <c r="K2190" s="107" t="s">
        <v>2796</v>
      </c>
      <c r="L2190" s="47">
        <v>9718</v>
      </c>
      <c r="M2190" s="47">
        <v>4708.49</v>
      </c>
      <c r="N2190" s="120">
        <f>L2190-M2190</f>
        <v>5009.51</v>
      </c>
      <c r="O2190" s="119">
        <f t="shared" si="2604"/>
        <v>0.51548775468203334</v>
      </c>
      <c r="P2190" s="47">
        <v>9718</v>
      </c>
      <c r="Q2190" s="2">
        <v>6549</v>
      </c>
      <c r="R2190" s="5">
        <v>29.5</v>
      </c>
      <c r="S2190" s="5">
        <v>1649.35</v>
      </c>
      <c r="T2190" s="5">
        <v>1922.82</v>
      </c>
      <c r="U2190" s="5">
        <v>65.010000000000005</v>
      </c>
      <c r="V2190" s="5">
        <v>554.9</v>
      </c>
      <c r="W2190" s="52">
        <f t="shared" si="2594"/>
        <v>4192.08</v>
      </c>
      <c r="X2190" s="118">
        <f t="shared" si="2602"/>
        <v>55.910169491525423</v>
      </c>
      <c r="Y2190" s="119">
        <f t="shared" si="2603"/>
        <v>6.6896480757357487E-3</v>
      </c>
      <c r="Z2190" s="117">
        <f t="shared" si="2597"/>
        <v>5525.92</v>
      </c>
      <c r="AA2190" s="119">
        <f t="shared" si="2598"/>
        <v>0.56862728956575426</v>
      </c>
      <c r="AB2190" s="120">
        <f t="shared" si="2599"/>
        <v>516.40999999999985</v>
      </c>
      <c r="AC2190" s="119">
        <f t="shared" si="2600"/>
        <v>5.3139534883720918E-2</v>
      </c>
    </row>
    <row r="2191" spans="1:33" s="53" customFormat="1" ht="11.25" customHeight="1" x14ac:dyDescent="0.15">
      <c r="A2191" s="53" t="s">
        <v>365</v>
      </c>
      <c r="C2191" s="54" t="s">
        <v>177</v>
      </c>
      <c r="D2191" s="54"/>
      <c r="E2191" s="70"/>
      <c r="F2191" s="54"/>
      <c r="G2191" s="54"/>
      <c r="H2191" s="54"/>
      <c r="I2191" s="54"/>
      <c r="J2191" s="54"/>
      <c r="K2191" s="106"/>
      <c r="L2191" s="24">
        <f>SUM(L2183:L2190)</f>
        <v>14831.998280831269</v>
      </c>
      <c r="M2191" s="24">
        <f>SUM(M2183:M2190)</f>
        <v>7093.66</v>
      </c>
      <c r="N2191" s="24">
        <f t="shared" ref="N2191" si="2605">SUM(N2183:N2190)</f>
        <v>7738.338280831269</v>
      </c>
      <c r="O2191" s="57">
        <f>IFERROR(N2191/L2191,"")</f>
        <v>0.52173268458588096</v>
      </c>
      <c r="P2191" s="24">
        <f>SUM(P2183:P2190)</f>
        <v>14831.998280831269</v>
      </c>
      <c r="Q2191" s="24"/>
      <c r="R2191" s="24">
        <f>SUM(R2183:R2190)</f>
        <v>29.5</v>
      </c>
      <c r="S2191" s="24">
        <f t="shared" ref="S2191:V2191" si="2606">SUM(S2183:S2190)</f>
        <v>1649.35</v>
      </c>
      <c r="T2191" s="24">
        <f t="shared" si="2606"/>
        <v>1922.82</v>
      </c>
      <c r="U2191" s="24">
        <f t="shared" si="2606"/>
        <v>2173.3200000000002</v>
      </c>
      <c r="V2191" s="24">
        <f t="shared" si="2606"/>
        <v>554.9</v>
      </c>
      <c r="W2191" s="24">
        <f>SUM(S2191:V2191)</f>
        <v>6300.3899999999994</v>
      </c>
      <c r="X2191" s="56">
        <f t="shared" si="2602"/>
        <v>55.910169491525423</v>
      </c>
      <c r="Y2191" s="119">
        <f t="shared" si="2603"/>
        <v>0.14652914319770236</v>
      </c>
      <c r="Z2191" s="28">
        <f t="shared" si="2597"/>
        <v>8531.6082808312694</v>
      </c>
      <c r="AA2191" s="119">
        <f>IFERROR(Z2191/P2191,0)</f>
        <v>0.57521637471179032</v>
      </c>
      <c r="AB2191" s="58">
        <f>M2191-W2191</f>
        <v>793.27000000000044</v>
      </c>
      <c r="AC2191" s="57">
        <f>IFERROR(AA2191-O2191,"")</f>
        <v>5.3483690125909367E-2</v>
      </c>
      <c r="AG2191" s="61"/>
    </row>
    <row r="2192" spans="1:33" s="110" customFormat="1" ht="11.25" customHeight="1" x14ac:dyDescent="0.15">
      <c r="A2192" s="130"/>
      <c r="B2192" s="130"/>
      <c r="C2192" s="124"/>
      <c r="D2192" s="124"/>
      <c r="E2192" s="273"/>
      <c r="F2192" s="124"/>
      <c r="G2192" s="124"/>
      <c r="H2192" s="124"/>
      <c r="I2192" s="124"/>
      <c r="J2192" s="124"/>
      <c r="K2192" s="125"/>
      <c r="L2192" s="220"/>
      <c r="M2192" s="220"/>
      <c r="N2192" s="129"/>
      <c r="O2192" s="128"/>
      <c r="P2192" s="129"/>
      <c r="Q2192" s="124"/>
      <c r="R2192" s="129"/>
      <c r="S2192" s="129"/>
      <c r="T2192" s="129"/>
      <c r="U2192" s="129"/>
      <c r="V2192" s="126"/>
      <c r="W2192" s="49"/>
      <c r="X2192" s="45"/>
      <c r="Y2192" s="128"/>
      <c r="Z2192" s="126"/>
      <c r="AA2192" s="128"/>
      <c r="AB2192" s="129"/>
      <c r="AC2192" s="160"/>
      <c r="AD2192" s="137"/>
      <c r="AG2192" s="121"/>
    </row>
    <row r="2193" spans="1:33" ht="11.25" customHeight="1" x14ac:dyDescent="0.15">
      <c r="A2193" s="110" t="s">
        <v>127</v>
      </c>
      <c r="B2193" s="319" t="s">
        <v>2833</v>
      </c>
      <c r="C2193" s="111" t="s">
        <v>175</v>
      </c>
      <c r="D2193" s="111">
        <v>2025</v>
      </c>
      <c r="E2193" s="274">
        <v>45961</v>
      </c>
      <c r="G2193" s="2">
        <v>81100111</v>
      </c>
      <c r="H2193" s="111">
        <v>4111</v>
      </c>
      <c r="I2193" s="111" t="str">
        <f>MID(G2193,2,1)</f>
        <v>1</v>
      </c>
      <c r="J2193" s="111" t="str">
        <f>IF(I2193="1","Small/Medium","Large")</f>
        <v>Small/Medium</v>
      </c>
      <c r="K2193" s="112" t="s">
        <v>145</v>
      </c>
      <c r="L2193" s="47">
        <v>14664.178549225375</v>
      </c>
      <c r="M2193" s="120">
        <f t="shared" ref="M2193:M2194" si="2607">L2193*0.3</f>
        <v>4399.2535647676123</v>
      </c>
      <c r="N2193" s="120">
        <f t="shared" ref="N2193" si="2608">L2193-M2193</f>
        <v>10264.924984457763</v>
      </c>
      <c r="O2193" s="119">
        <f t="shared" ref="O2193:O2194" si="2609">IFERROR(N2193/L2193,"")</f>
        <v>0.70000000000000007</v>
      </c>
      <c r="P2193" s="47">
        <v>14664.178549225375</v>
      </c>
      <c r="Q2193" s="2">
        <v>6361</v>
      </c>
      <c r="R2193" s="5">
        <v>10.5</v>
      </c>
      <c r="S2193" s="5">
        <v>576.24</v>
      </c>
      <c r="T2193" s="5">
        <v>717.86</v>
      </c>
      <c r="U2193" s="5">
        <v>316.64</v>
      </c>
      <c r="W2193" s="52">
        <f t="shared" ref="W2193:W2194" si="2610">SUM(S2193:V2193)</f>
        <v>1610.7399999999998</v>
      </c>
      <c r="X2193" s="118">
        <f t="shared" ref="X2193:X2195" si="2611">IFERROR(S2193/R2193,"")</f>
        <v>54.88</v>
      </c>
      <c r="Y2193" s="119">
        <f t="shared" ref="Y2193:Y2195" si="2612">IFERROR(U2193/P2193,0)</f>
        <v>2.1592753998261039E-2</v>
      </c>
      <c r="Z2193" s="117">
        <f t="shared" ref="Z2193:Z2195" si="2613">P2193-W2193</f>
        <v>13053.438549225375</v>
      </c>
      <c r="AA2193" s="119">
        <f t="shared" ref="AA2193:AA2194" si="2614">IFERROR(Z2193/P2193,0)</f>
        <v>0.89015818413605674</v>
      </c>
      <c r="AB2193" s="120">
        <f t="shared" ref="AB2193:AB2194" si="2615">M2193-W2193</f>
        <v>2788.5135647676125</v>
      </c>
      <c r="AC2193" s="119">
        <f t="shared" ref="AC2193:AC2194" si="2616">IFERROR(AA2193-O2193,"")</f>
        <v>0.19015818413605667</v>
      </c>
      <c r="AD2193" s="110" t="s">
        <v>2834</v>
      </c>
    </row>
    <row r="2194" spans="1:33" ht="11.25" customHeight="1" x14ac:dyDescent="0.15">
      <c r="A2194" s="110" t="s">
        <v>127</v>
      </c>
      <c r="B2194" s="110"/>
      <c r="C2194" s="111" t="s">
        <v>175</v>
      </c>
      <c r="D2194" s="111">
        <v>2025</v>
      </c>
      <c r="E2194" s="274">
        <v>45961</v>
      </c>
      <c r="G2194" s="2">
        <v>82100111</v>
      </c>
      <c r="H2194" s="111">
        <v>4111</v>
      </c>
      <c r="I2194" s="111" t="str">
        <f>MID(G2194,2,1)</f>
        <v>2</v>
      </c>
      <c r="J2194" s="111" t="str">
        <f>IF(I2194="1","Small/Medium","Large")</f>
        <v>Large</v>
      </c>
      <c r="K2194" s="112" t="s">
        <v>145</v>
      </c>
      <c r="L2194" s="47">
        <v>19516.821450774623</v>
      </c>
      <c r="M2194" s="120">
        <f t="shared" si="2607"/>
        <v>5855.046435232387</v>
      </c>
      <c r="N2194" s="120">
        <f>L2194-M2194</f>
        <v>13661.775015542236</v>
      </c>
      <c r="O2194" s="119">
        <f t="shared" si="2609"/>
        <v>0.7</v>
      </c>
      <c r="P2194" s="47">
        <v>19516.821450774623</v>
      </c>
      <c r="Q2194" s="2">
        <v>6362</v>
      </c>
      <c r="R2194" s="5">
        <v>9</v>
      </c>
      <c r="S2194" s="5">
        <v>493.92</v>
      </c>
      <c r="T2194" s="5">
        <v>1333.15</v>
      </c>
      <c r="U2194" s="5">
        <v>728.37</v>
      </c>
      <c r="V2194" s="5">
        <v>326.77999999999997</v>
      </c>
      <c r="W2194" s="52">
        <f t="shared" si="2610"/>
        <v>2882.2200000000003</v>
      </c>
      <c r="X2194" s="118">
        <f t="shared" si="2611"/>
        <v>54.88</v>
      </c>
      <c r="Y2194" s="119">
        <f t="shared" si="2612"/>
        <v>3.7320113925164336E-2</v>
      </c>
      <c r="Z2194" s="117">
        <f t="shared" si="2613"/>
        <v>16634.601450774622</v>
      </c>
      <c r="AA2194" s="119">
        <f t="shared" si="2614"/>
        <v>0.85232123953843897</v>
      </c>
      <c r="AB2194" s="120">
        <f t="shared" si="2615"/>
        <v>2972.8264352323868</v>
      </c>
      <c r="AC2194" s="119">
        <f t="shared" si="2616"/>
        <v>0.15232123953843901</v>
      </c>
    </row>
    <row r="2195" spans="1:33" s="53" customFormat="1" ht="11.25" customHeight="1" x14ac:dyDescent="0.15">
      <c r="A2195" s="53" t="s">
        <v>127</v>
      </c>
      <c r="C2195" s="54" t="s">
        <v>177</v>
      </c>
      <c r="D2195" s="54"/>
      <c r="E2195" s="70"/>
      <c r="F2195" s="54"/>
      <c r="G2195" s="54"/>
      <c r="H2195" s="54"/>
      <c r="I2195" s="54"/>
      <c r="J2195" s="54"/>
      <c r="K2195" s="106"/>
      <c r="L2195" s="24">
        <f>SUM(L2193:L2194)</f>
        <v>34181</v>
      </c>
      <c r="M2195" s="24">
        <f t="shared" ref="M2195:N2195" si="2617">SUM(M2193:M2194)</f>
        <v>10254.299999999999</v>
      </c>
      <c r="N2195" s="24">
        <f t="shared" si="2617"/>
        <v>23926.699999999997</v>
      </c>
      <c r="O2195" s="57">
        <f>IFERROR(N2195/L2195,"")</f>
        <v>0.7</v>
      </c>
      <c r="P2195" s="24">
        <f>SUM(P2193:P2194)</f>
        <v>34181</v>
      </c>
      <c r="Q2195" s="24"/>
      <c r="R2195" s="24">
        <f>SUM(R2193:R2194)</f>
        <v>19.5</v>
      </c>
      <c r="S2195" s="24">
        <f t="shared" ref="S2195:V2195" si="2618">SUM(S2193:S2194)</f>
        <v>1070.1600000000001</v>
      </c>
      <c r="T2195" s="24">
        <f t="shared" si="2618"/>
        <v>2051.0100000000002</v>
      </c>
      <c r="U2195" s="24">
        <f t="shared" si="2618"/>
        <v>1045.01</v>
      </c>
      <c r="V2195" s="24">
        <f t="shared" si="2618"/>
        <v>326.77999999999997</v>
      </c>
      <c r="W2195" s="24">
        <f>SUM(S2195:V2195)</f>
        <v>4492.96</v>
      </c>
      <c r="X2195" s="56">
        <f t="shared" si="2611"/>
        <v>54.88</v>
      </c>
      <c r="Y2195" s="119">
        <f t="shared" si="2612"/>
        <v>3.057283286036102E-2</v>
      </c>
      <c r="Z2195" s="28">
        <f t="shared" si="2613"/>
        <v>29688.04</v>
      </c>
      <c r="AA2195" s="119">
        <f>IFERROR(Z2195/P2195,0)</f>
        <v>0.86855387495977299</v>
      </c>
      <c r="AB2195" s="58">
        <f>M2195-W2195</f>
        <v>5761.3399999999992</v>
      </c>
      <c r="AC2195" s="57">
        <f>IFERROR(AA2195-O2195,"")</f>
        <v>0.16855387495977303</v>
      </c>
      <c r="AG2195" s="61"/>
    </row>
    <row r="2196" spans="1:33" s="110" customFormat="1" ht="11.25" customHeight="1" x14ac:dyDescent="0.15">
      <c r="A2196" s="130"/>
      <c r="B2196" s="130"/>
      <c r="C2196" s="124"/>
      <c r="D2196" s="124"/>
      <c r="E2196" s="273"/>
      <c r="F2196" s="124"/>
      <c r="G2196" s="124"/>
      <c r="H2196" s="124"/>
      <c r="I2196" s="124"/>
      <c r="J2196" s="124"/>
      <c r="K2196" s="125"/>
      <c r="L2196" s="220"/>
      <c r="M2196" s="220"/>
      <c r="N2196" s="129"/>
      <c r="O2196" s="128"/>
      <c r="P2196" s="129"/>
      <c r="Q2196" s="124"/>
      <c r="R2196" s="129"/>
      <c r="S2196" s="129"/>
      <c r="T2196" s="129"/>
      <c r="U2196" s="129"/>
      <c r="V2196" s="126"/>
      <c r="W2196" s="49"/>
      <c r="X2196" s="45"/>
      <c r="Y2196" s="128"/>
      <c r="Z2196" s="126"/>
      <c r="AA2196" s="128"/>
      <c r="AB2196" s="129"/>
      <c r="AC2196" s="160"/>
      <c r="AD2196" s="137"/>
      <c r="AG2196" s="121"/>
    </row>
    <row r="2197" spans="1:33" ht="11.25" customHeight="1" x14ac:dyDescent="0.15">
      <c r="A2197" s="110" t="s">
        <v>593</v>
      </c>
      <c r="B2197" s="319" t="s">
        <v>2832</v>
      </c>
      <c r="C2197" s="111" t="s">
        <v>175</v>
      </c>
      <c r="D2197" s="111">
        <v>2025</v>
      </c>
      <c r="E2197" s="274">
        <v>45961</v>
      </c>
      <c r="G2197" s="2">
        <v>81100211</v>
      </c>
      <c r="H2197" s="111">
        <v>4111</v>
      </c>
      <c r="I2197" s="111" t="str">
        <f>MID(G2197,2,1)</f>
        <v>1</v>
      </c>
      <c r="J2197" s="111" t="str">
        <f>IF(I2197="1","Small/Medium","Large")</f>
        <v>Small/Medium</v>
      </c>
      <c r="K2197" s="112" t="s">
        <v>145</v>
      </c>
      <c r="L2197" s="47">
        <v>12190</v>
      </c>
      <c r="M2197" s="120">
        <f t="shared" ref="M2197" si="2619">L2197*0.3</f>
        <v>3657</v>
      </c>
      <c r="N2197" s="120">
        <f t="shared" ref="N2197" si="2620">L2197-M2197</f>
        <v>8533</v>
      </c>
      <c r="O2197" s="119">
        <f t="shared" ref="O2197" si="2621">IFERROR(N2197/L2197,"")</f>
        <v>0.7</v>
      </c>
      <c r="P2197" s="47">
        <v>12190</v>
      </c>
      <c r="Q2197" s="2">
        <v>4668</v>
      </c>
      <c r="R2197" s="5">
        <v>25</v>
      </c>
      <c r="S2197" s="5">
        <v>1372</v>
      </c>
      <c r="T2197" s="320">
        <v>1546.26</v>
      </c>
      <c r="U2197" s="5">
        <v>584.04</v>
      </c>
      <c r="W2197" s="52">
        <f t="shared" ref="W2197" si="2622">SUM(S2197:V2197)</f>
        <v>3502.3</v>
      </c>
      <c r="X2197" s="118">
        <f t="shared" ref="X2197:X2198" si="2623">IFERROR(S2197/R2197,"")</f>
        <v>54.88</v>
      </c>
      <c r="Y2197" s="119">
        <f t="shared" ref="Y2197:Y2198" si="2624">IFERROR(U2197/P2197,0)</f>
        <v>4.7911402789171449E-2</v>
      </c>
      <c r="Z2197" s="117">
        <f t="shared" ref="Z2197:Z2198" si="2625">P2197-W2197</f>
        <v>8687.7000000000007</v>
      </c>
      <c r="AA2197" s="119">
        <f t="shared" ref="AA2197" si="2626">IFERROR(Z2197/P2197,0)</f>
        <v>0.71269073010664485</v>
      </c>
      <c r="AB2197" s="120">
        <f t="shared" ref="AB2197" si="2627">M2197-W2197</f>
        <v>154.69999999999982</v>
      </c>
      <c r="AC2197" s="119">
        <f t="shared" ref="AC2197" si="2628">IFERROR(AA2197-O2197,"")</f>
        <v>1.2690730106644899E-2</v>
      </c>
    </row>
    <row r="2198" spans="1:33" s="53" customFormat="1" ht="11.25" customHeight="1" x14ac:dyDescent="0.15">
      <c r="A2198" s="53" t="s">
        <v>593</v>
      </c>
      <c r="C2198" s="54" t="s">
        <v>177</v>
      </c>
      <c r="D2198" s="54"/>
      <c r="E2198" s="70"/>
      <c r="F2198" s="54"/>
      <c r="G2198" s="54"/>
      <c r="H2198" s="54"/>
      <c r="I2198" s="54"/>
      <c r="J2198" s="54"/>
      <c r="K2198" s="106"/>
      <c r="L2198" s="24">
        <f>SUM(L2197)</f>
        <v>12190</v>
      </c>
      <c r="M2198" s="24">
        <f t="shared" ref="M2198:N2198" si="2629">SUM(M2196:M2197)</f>
        <v>3657</v>
      </c>
      <c r="N2198" s="24">
        <f t="shared" si="2629"/>
        <v>8533</v>
      </c>
      <c r="O2198" s="57">
        <f>IFERROR(N2198/L2198,"")</f>
        <v>0.7</v>
      </c>
      <c r="P2198" s="24">
        <f>SUM(P2197)</f>
        <v>12190</v>
      </c>
      <c r="Q2198" s="24"/>
      <c r="R2198" s="24">
        <f>SUM(R2197)</f>
        <v>25</v>
      </c>
      <c r="S2198" s="24">
        <f t="shared" ref="S2198:V2198" si="2630">SUM(S2197)</f>
        <v>1372</v>
      </c>
      <c r="T2198" s="24">
        <f t="shared" si="2630"/>
        <v>1546.26</v>
      </c>
      <c r="U2198" s="24">
        <f t="shared" si="2630"/>
        <v>584.04</v>
      </c>
      <c r="V2198" s="24">
        <f t="shared" si="2630"/>
        <v>0</v>
      </c>
      <c r="W2198" s="24">
        <f>SUM(S2198:V2198)</f>
        <v>3502.3</v>
      </c>
      <c r="X2198" s="56">
        <f t="shared" si="2623"/>
        <v>54.88</v>
      </c>
      <c r="Y2198" s="119">
        <f t="shared" si="2624"/>
        <v>4.7911402789171449E-2</v>
      </c>
      <c r="Z2198" s="28">
        <f t="shared" si="2625"/>
        <v>8687.7000000000007</v>
      </c>
      <c r="AA2198" s="119">
        <f>IFERROR(Z2198/P2198,0)</f>
        <v>0.71269073010664485</v>
      </c>
      <c r="AB2198" s="58">
        <f>M2198-W2198</f>
        <v>154.69999999999982</v>
      </c>
      <c r="AC2198" s="57">
        <f>IFERROR(AA2198-O2198,"")</f>
        <v>1.2690730106644899E-2</v>
      </c>
      <c r="AG2198" s="61"/>
    </row>
    <row r="2199" spans="1:33" s="110" customFormat="1" ht="11.25" customHeight="1" x14ac:dyDescent="0.15">
      <c r="A2199" s="130"/>
      <c r="B2199" s="130"/>
      <c r="C2199" s="124"/>
      <c r="D2199" s="124"/>
      <c r="E2199" s="273"/>
      <c r="F2199" s="124"/>
      <c r="G2199" s="124"/>
      <c r="H2199" s="124"/>
      <c r="I2199" s="124"/>
      <c r="J2199" s="124"/>
      <c r="K2199" s="125"/>
      <c r="L2199" s="220"/>
      <c r="M2199" s="220"/>
      <c r="N2199" s="129"/>
      <c r="O2199" s="128"/>
      <c r="P2199" s="129"/>
      <c r="Q2199" s="124"/>
      <c r="R2199" s="129"/>
      <c r="S2199" s="129"/>
      <c r="T2199" s="129"/>
      <c r="U2199" s="129"/>
      <c r="V2199" s="126"/>
      <c r="W2199" s="49"/>
      <c r="X2199" s="45"/>
      <c r="Y2199" s="128"/>
      <c r="Z2199" s="126"/>
      <c r="AA2199" s="128"/>
      <c r="AB2199" s="129"/>
      <c r="AC2199" s="160"/>
      <c r="AD2199" s="137"/>
      <c r="AG2199" s="121"/>
    </row>
    <row r="2200" spans="1:33" ht="11.25" customHeight="1" x14ac:dyDescent="0.15">
      <c r="A2200" s="110" t="s">
        <v>625</v>
      </c>
      <c r="B2200" s="319" t="s">
        <v>2846</v>
      </c>
      <c r="C2200" s="111" t="s">
        <v>180</v>
      </c>
      <c r="D2200" s="111">
        <v>2025</v>
      </c>
      <c r="E2200" s="274">
        <v>45991</v>
      </c>
      <c r="G2200" s="2">
        <v>92000032</v>
      </c>
      <c r="K2200" s="107" t="s">
        <v>901</v>
      </c>
      <c r="L2200" s="47">
        <v>85069</v>
      </c>
      <c r="M2200" s="47">
        <v>12370.29</v>
      </c>
      <c r="N2200" s="120">
        <f>L2200-M2200</f>
        <v>72698.709999999992</v>
      </c>
      <c r="O2200" s="119">
        <f t="shared" ref="O2200:O2203" si="2631">IFERROR(N2200/L2200,"")</f>
        <v>0.85458521905747087</v>
      </c>
      <c r="P2200" s="47">
        <v>85069</v>
      </c>
      <c r="Q2200" s="2">
        <v>6363</v>
      </c>
      <c r="R2200" s="5">
        <v>2</v>
      </c>
      <c r="S2200" s="5">
        <v>98.08</v>
      </c>
      <c r="U2200" s="5">
        <v>11374.66</v>
      </c>
      <c r="W2200" s="52">
        <f t="shared" ref="W2200:W2207" si="2632">SUM(S2200:V2200)</f>
        <v>11472.74</v>
      </c>
      <c r="X2200" s="118">
        <f t="shared" ref="X2200:X2207" si="2633">IFERROR(S2200/R2200,"")</f>
        <v>49.04</v>
      </c>
      <c r="Y2200" s="119">
        <f t="shared" ref="Y2200:Y2207" si="2634">IFERROR(U2200/P2200,0)</f>
        <v>0.13371098755128191</v>
      </c>
      <c r="Z2200" s="117">
        <f t="shared" ref="Z2200:Z2207" si="2635">P2200-W2200</f>
        <v>73596.259999999995</v>
      </c>
      <c r="AA2200" s="119">
        <f t="shared" ref="AA2200:AA2207" si="2636">IFERROR(Z2200/P2200,0)</f>
        <v>0.86513606601699788</v>
      </c>
      <c r="AB2200" s="120">
        <f t="shared" ref="AB2200:AB2207" si="2637">M2200-W2200</f>
        <v>897.55000000000109</v>
      </c>
      <c r="AC2200" s="119">
        <f t="shared" ref="AC2200:AC2207" si="2638">IFERROR(AA2200-O2200,"")</f>
        <v>1.0550846959527016E-2</v>
      </c>
    </row>
    <row r="2201" spans="1:33" ht="11.25" customHeight="1" x14ac:dyDescent="0.15">
      <c r="A2201" s="110" t="s">
        <v>625</v>
      </c>
      <c r="B2201" s="110"/>
      <c r="C2201" s="111" t="s">
        <v>180</v>
      </c>
      <c r="D2201" s="111">
        <v>2025</v>
      </c>
      <c r="E2201" s="274">
        <v>45991</v>
      </c>
      <c r="G2201" s="2">
        <v>94000032</v>
      </c>
      <c r="K2201" s="107" t="s">
        <v>902</v>
      </c>
      <c r="L2201" s="47">
        <v>85069</v>
      </c>
      <c r="M2201" s="47">
        <v>12370.29</v>
      </c>
      <c r="N2201" s="120">
        <f t="shared" ref="N2201:N2206" si="2639">L2201-M2201</f>
        <v>72698.709999999992</v>
      </c>
      <c r="O2201" s="119">
        <f t="shared" si="2631"/>
        <v>0.85458521905747087</v>
      </c>
      <c r="P2201" s="47">
        <v>85069</v>
      </c>
      <c r="Q2201" s="2">
        <v>6364</v>
      </c>
      <c r="R2201" s="5">
        <v>4</v>
      </c>
      <c r="S2201" s="5">
        <v>196.16</v>
      </c>
      <c r="U2201" s="5">
        <v>10091.76</v>
      </c>
      <c r="W2201" s="52">
        <f t="shared" si="2632"/>
        <v>10287.92</v>
      </c>
      <c r="X2201" s="118">
        <f t="shared" si="2633"/>
        <v>49.04</v>
      </c>
      <c r="Y2201" s="119">
        <f t="shared" si="2634"/>
        <v>0.11863028835415956</v>
      </c>
      <c r="Z2201" s="117">
        <f t="shared" si="2635"/>
        <v>74781.08</v>
      </c>
      <c r="AA2201" s="119">
        <f t="shared" si="2636"/>
        <v>0.87906381878240014</v>
      </c>
      <c r="AB2201" s="120">
        <f t="shared" si="2637"/>
        <v>2082.3700000000008</v>
      </c>
      <c r="AC2201" s="119">
        <f t="shared" si="2638"/>
        <v>2.4478599724929273E-2</v>
      </c>
    </row>
    <row r="2202" spans="1:33" ht="11.25" customHeight="1" x14ac:dyDescent="0.15">
      <c r="A2202" s="110" t="s">
        <v>625</v>
      </c>
      <c r="B2202" s="110"/>
      <c r="C2202" s="111" t="s">
        <v>164</v>
      </c>
      <c r="D2202" s="111">
        <v>2025</v>
      </c>
      <c r="E2202" s="274">
        <v>45991</v>
      </c>
      <c r="G2202" s="111" t="s">
        <v>1375</v>
      </c>
      <c r="K2202" s="107" t="s">
        <v>1376</v>
      </c>
      <c r="L2202" s="47">
        <v>2756</v>
      </c>
      <c r="M2202" s="47">
        <v>964.31</v>
      </c>
      <c r="N2202" s="120">
        <f t="shared" si="2639"/>
        <v>1791.69</v>
      </c>
      <c r="O2202" s="119">
        <f t="shared" si="2631"/>
        <v>0.65010522496371559</v>
      </c>
      <c r="P2202" s="47">
        <v>2756</v>
      </c>
      <c r="W2202" s="52">
        <f t="shared" si="2632"/>
        <v>0</v>
      </c>
      <c r="X2202" s="118" t="str">
        <f t="shared" si="2633"/>
        <v/>
      </c>
      <c r="Y2202" s="119">
        <f t="shared" si="2634"/>
        <v>0</v>
      </c>
      <c r="Z2202" s="117">
        <f t="shared" si="2635"/>
        <v>2756</v>
      </c>
      <c r="AA2202" s="119">
        <f t="shared" si="2636"/>
        <v>1</v>
      </c>
      <c r="AB2202" s="120">
        <f t="shared" si="2637"/>
        <v>964.31</v>
      </c>
      <c r="AC2202" s="119">
        <f t="shared" si="2638"/>
        <v>0.34989477503628441</v>
      </c>
    </row>
    <row r="2203" spans="1:33" ht="11.25" customHeight="1" x14ac:dyDescent="0.15">
      <c r="A2203" s="110" t="s">
        <v>625</v>
      </c>
      <c r="B2203" s="110"/>
      <c r="C2203" s="111" t="s">
        <v>180</v>
      </c>
      <c r="D2203" s="111">
        <v>2025</v>
      </c>
      <c r="E2203" s="274">
        <v>45991</v>
      </c>
      <c r="G2203" s="2">
        <v>92612012</v>
      </c>
      <c r="K2203" s="107" t="s">
        <v>2835</v>
      </c>
      <c r="L2203" s="47">
        <v>15934</v>
      </c>
      <c r="M2203" s="47">
        <v>5409.2</v>
      </c>
      <c r="N2203" s="120">
        <f t="shared" si="2639"/>
        <v>10524.8</v>
      </c>
      <c r="O2203" s="119">
        <f t="shared" si="2631"/>
        <v>0.6605246642399899</v>
      </c>
      <c r="P2203" s="47">
        <v>15934</v>
      </c>
      <c r="Q2203" s="2">
        <v>6365</v>
      </c>
      <c r="U2203" s="5">
        <v>4774.59</v>
      </c>
      <c r="W2203" s="52">
        <f t="shared" si="2632"/>
        <v>4774.59</v>
      </c>
      <c r="X2203" s="118" t="str">
        <f t="shared" si="2633"/>
        <v/>
      </c>
      <c r="Y2203" s="119">
        <f t="shared" si="2634"/>
        <v>0.29964792268105939</v>
      </c>
      <c r="Z2203" s="117">
        <f t="shared" si="2635"/>
        <v>11159.41</v>
      </c>
      <c r="AA2203" s="119">
        <f t="shared" si="2636"/>
        <v>0.70035207731894067</v>
      </c>
      <c r="AB2203" s="120">
        <f t="shared" si="2637"/>
        <v>634.60999999999967</v>
      </c>
      <c r="AC2203" s="119">
        <f t="shared" si="2638"/>
        <v>3.9827413078950769E-2</v>
      </c>
    </row>
    <row r="2204" spans="1:33" ht="11.25" customHeight="1" x14ac:dyDescent="0.15">
      <c r="A2204" s="110" t="s">
        <v>625</v>
      </c>
      <c r="B2204" s="110"/>
      <c r="C2204" s="111" t="s">
        <v>279</v>
      </c>
      <c r="D2204" s="111">
        <v>2025</v>
      </c>
      <c r="E2204" s="274">
        <v>45991</v>
      </c>
      <c r="G2204" s="2">
        <v>500000020</v>
      </c>
      <c r="K2204" s="107" t="s">
        <v>904</v>
      </c>
      <c r="L2204" s="47">
        <v>52174</v>
      </c>
      <c r="M2204" s="47">
        <v>17096.080000000002</v>
      </c>
      <c r="N2204" s="120">
        <f t="shared" si="2639"/>
        <v>35077.919999999998</v>
      </c>
      <c r="O2204" s="119">
        <f>IFERROR(N2204/L2204,"")</f>
        <v>0.6723256794572009</v>
      </c>
      <c r="P2204" s="47">
        <v>52174</v>
      </c>
      <c r="Q2204" s="2">
        <v>6366</v>
      </c>
      <c r="R2204" s="5">
        <v>104</v>
      </c>
      <c r="S2204" s="5">
        <v>5814.66</v>
      </c>
      <c r="T2204" s="5">
        <v>5930.71</v>
      </c>
      <c r="U2204" s="5">
        <v>5562.05</v>
      </c>
      <c r="W2204" s="52">
        <f t="shared" si="2632"/>
        <v>17307.419999999998</v>
      </c>
      <c r="X2204" s="118">
        <f t="shared" si="2633"/>
        <v>55.910192307692306</v>
      </c>
      <c r="Y2204" s="119">
        <f t="shared" si="2634"/>
        <v>0.10660578065703225</v>
      </c>
      <c r="Z2204" s="117">
        <f t="shared" si="2635"/>
        <v>34866.58</v>
      </c>
      <c r="AA2204" s="119">
        <f t="shared" si="2636"/>
        <v>0.66827500287499519</v>
      </c>
      <c r="AB2204" s="120">
        <f t="shared" si="2637"/>
        <v>-211.33999999999651</v>
      </c>
      <c r="AC2204" s="119">
        <f t="shared" si="2638"/>
        <v>-4.0506765822057034E-3</v>
      </c>
    </row>
    <row r="2205" spans="1:33" ht="11.25" customHeight="1" x14ac:dyDescent="0.15">
      <c r="A2205" s="110" t="s">
        <v>625</v>
      </c>
      <c r="B2205" s="110"/>
      <c r="C2205" s="111" t="s">
        <v>248</v>
      </c>
      <c r="D2205" s="111">
        <v>2025</v>
      </c>
      <c r="E2205" s="274">
        <v>45991</v>
      </c>
      <c r="G2205" s="2">
        <v>96000000</v>
      </c>
      <c r="K2205" s="112" t="s">
        <v>250</v>
      </c>
      <c r="L2205" s="47">
        <v>14386</v>
      </c>
      <c r="M2205" s="47">
        <v>7193</v>
      </c>
      <c r="N2205" s="120">
        <f t="shared" si="2639"/>
        <v>7193</v>
      </c>
      <c r="O2205" s="119">
        <f t="shared" ref="O2205:O2207" si="2640">IFERROR(N2205/L2205,"")</f>
        <v>0.5</v>
      </c>
      <c r="P2205" s="47">
        <v>14386</v>
      </c>
      <c r="Q2205" s="2">
        <v>6367</v>
      </c>
      <c r="R2205" s="5">
        <v>6</v>
      </c>
      <c r="S2205" s="5">
        <v>387.3</v>
      </c>
      <c r="W2205" s="215">
        <f t="shared" si="2632"/>
        <v>387.3</v>
      </c>
      <c r="X2205" s="118">
        <f t="shared" si="2633"/>
        <v>64.55</v>
      </c>
      <c r="Y2205" s="119">
        <f t="shared" si="2634"/>
        <v>0</v>
      </c>
      <c r="Z2205" s="117">
        <f t="shared" si="2635"/>
        <v>13998.7</v>
      </c>
      <c r="AA2205" s="119">
        <f t="shared" si="2636"/>
        <v>0.97307799249270133</v>
      </c>
      <c r="AB2205" s="120">
        <f t="shared" si="2637"/>
        <v>6805.7</v>
      </c>
      <c r="AC2205" s="119">
        <f t="shared" si="2638"/>
        <v>0.47307799249270133</v>
      </c>
    </row>
    <row r="2206" spans="1:33" ht="11.25" customHeight="1" x14ac:dyDescent="0.15">
      <c r="A2206" s="110" t="s">
        <v>625</v>
      </c>
      <c r="B2206" s="110"/>
      <c r="C2206" s="111" t="s">
        <v>55</v>
      </c>
      <c r="D2206" s="111">
        <v>2025</v>
      </c>
      <c r="E2206" s="274">
        <v>45991</v>
      </c>
      <c r="G2206" s="111" t="s">
        <v>56</v>
      </c>
      <c r="K2206" s="112" t="s">
        <v>71</v>
      </c>
      <c r="L2206" s="47">
        <v>10746</v>
      </c>
      <c r="M2206" s="47">
        <v>5372.8</v>
      </c>
      <c r="N2206" s="120">
        <f t="shared" si="2639"/>
        <v>5373.2</v>
      </c>
      <c r="O2206" s="119">
        <f t="shared" si="2640"/>
        <v>0.50001861157640048</v>
      </c>
      <c r="P2206" s="47">
        <v>10746</v>
      </c>
      <c r="Q2206" s="2">
        <v>6368</v>
      </c>
      <c r="R2206" s="5">
        <v>6</v>
      </c>
      <c r="S2206" s="5">
        <v>315</v>
      </c>
      <c r="V2206" s="5">
        <v>3120.24</v>
      </c>
      <c r="W2206" s="52">
        <f t="shared" si="2632"/>
        <v>3435.24</v>
      </c>
      <c r="X2206" s="118">
        <f t="shared" si="2633"/>
        <v>52.5</v>
      </c>
      <c r="Y2206" s="119">
        <f t="shared" si="2634"/>
        <v>0</v>
      </c>
      <c r="Z2206" s="117">
        <f t="shared" si="2635"/>
        <v>7310.76</v>
      </c>
      <c r="AA2206" s="119">
        <f t="shared" si="2636"/>
        <v>0.68032384142936908</v>
      </c>
      <c r="AB2206" s="120">
        <f t="shared" si="2637"/>
        <v>1937.5600000000004</v>
      </c>
      <c r="AC2206" s="119">
        <f t="shared" si="2638"/>
        <v>0.1803052298529686</v>
      </c>
    </row>
    <row r="2207" spans="1:33" ht="11.25" customHeight="1" x14ac:dyDescent="0.15">
      <c r="A2207" s="110" t="s">
        <v>625</v>
      </c>
      <c r="B2207" s="110"/>
      <c r="C2207" s="111" t="s">
        <v>58</v>
      </c>
      <c r="D2207" s="111">
        <v>2025</v>
      </c>
      <c r="E2207" s="274">
        <v>45991</v>
      </c>
      <c r="G2207" s="2">
        <v>72232012</v>
      </c>
      <c r="K2207" s="112" t="s">
        <v>712</v>
      </c>
      <c r="L2207" s="47">
        <v>43000</v>
      </c>
      <c r="M2207" s="47">
        <v>4300</v>
      </c>
      <c r="N2207" s="120">
        <f>L2207-M2207</f>
        <v>38700</v>
      </c>
      <c r="O2207" s="119">
        <f t="shared" si="2640"/>
        <v>0.9</v>
      </c>
      <c r="P2207" s="47">
        <v>43000</v>
      </c>
      <c r="Q2207" s="2">
        <v>6369</v>
      </c>
      <c r="U2207" s="5">
        <v>3514.72</v>
      </c>
      <c r="W2207" s="52">
        <f t="shared" si="2632"/>
        <v>3514.72</v>
      </c>
      <c r="X2207" s="118" t="str">
        <f t="shared" si="2633"/>
        <v/>
      </c>
      <c r="Y2207" s="119">
        <f t="shared" si="2634"/>
        <v>8.1737674418604647E-2</v>
      </c>
      <c r="Z2207" s="117">
        <f t="shared" si="2635"/>
        <v>39485.279999999999</v>
      </c>
      <c r="AA2207" s="119">
        <f t="shared" si="2636"/>
        <v>0.91826232558139531</v>
      </c>
      <c r="AB2207" s="120">
        <f t="shared" si="2637"/>
        <v>785.2800000000002</v>
      </c>
      <c r="AC2207" s="119">
        <f t="shared" si="2638"/>
        <v>1.8262325581395289E-2</v>
      </c>
    </row>
    <row r="2208" spans="1:33" ht="11.25" customHeight="1" x14ac:dyDescent="0.15">
      <c r="A2208" s="110" t="s">
        <v>625</v>
      </c>
      <c r="B2208" s="110"/>
      <c r="C2208" s="111" t="s">
        <v>58</v>
      </c>
      <c r="D2208" s="111">
        <v>2025</v>
      </c>
      <c r="E2208" s="274">
        <v>45991</v>
      </c>
      <c r="G2208" s="2">
        <v>74232012</v>
      </c>
      <c r="K2208" s="112" t="s">
        <v>712</v>
      </c>
      <c r="L2208" s="47">
        <v>26876</v>
      </c>
      <c r="M2208" s="47">
        <v>2687.6</v>
      </c>
      <c r="N2208" s="120">
        <f t="shared" ref="N2208:N2209" si="2641">L2208-M2208</f>
        <v>24188.400000000001</v>
      </c>
      <c r="O2208" s="119">
        <f t="shared" ref="O2208:O2210" si="2642">IFERROR(N2208/L2208,"")</f>
        <v>0.9</v>
      </c>
      <c r="P2208" s="47">
        <v>26876</v>
      </c>
      <c r="Q2208" s="2">
        <v>6370</v>
      </c>
      <c r="U2208" s="5">
        <v>1662.1</v>
      </c>
      <c r="W2208" s="52">
        <f t="shared" ref="W2208:W2209" si="2643">SUM(S2208:V2208)</f>
        <v>1662.1</v>
      </c>
      <c r="X2208" s="118" t="str">
        <f t="shared" ref="X2208:X2210" si="2644">IFERROR(S2208/R2208,"")</f>
        <v/>
      </c>
      <c r="Y2208" s="119">
        <f t="shared" ref="Y2208:Y2210" si="2645">IFERROR(U2208/P2208,0)</f>
        <v>6.1843280250037207E-2</v>
      </c>
      <c r="Z2208" s="117">
        <f t="shared" ref="Z2208:Z2210" si="2646">P2208-W2208</f>
        <v>25213.9</v>
      </c>
      <c r="AA2208" s="119">
        <f t="shared" ref="AA2208:AA2209" si="2647">IFERROR(Z2208/P2208,0)</f>
        <v>0.93815671974996284</v>
      </c>
      <c r="AB2208" s="120">
        <f t="shared" ref="AB2208:AB2209" si="2648">M2208-W2208</f>
        <v>1025.5</v>
      </c>
      <c r="AC2208" s="119">
        <f t="shared" ref="AC2208:AC2209" si="2649">IFERROR(AA2208-O2208,"")</f>
        <v>3.815671974996282E-2</v>
      </c>
    </row>
    <row r="2209" spans="1:33" ht="11.25" customHeight="1" x14ac:dyDescent="0.15">
      <c r="A2209" s="110" t="s">
        <v>625</v>
      </c>
      <c r="B2209" s="110"/>
      <c r="C2209" s="111" t="s">
        <v>49</v>
      </c>
      <c r="D2209" s="111">
        <v>2025</v>
      </c>
      <c r="E2209" s="274">
        <v>45991</v>
      </c>
      <c r="G2209" s="2">
        <v>60632012</v>
      </c>
      <c r="K2209" s="112" t="s">
        <v>85</v>
      </c>
      <c r="L2209" s="47">
        <v>45122</v>
      </c>
      <c r="M2209" s="47">
        <v>5687.59</v>
      </c>
      <c r="N2209" s="120">
        <f t="shared" si="2641"/>
        <v>39434.410000000003</v>
      </c>
      <c r="O2209" s="119">
        <f t="shared" si="2642"/>
        <v>0.87395084437746562</v>
      </c>
      <c r="P2209" s="47">
        <v>45122</v>
      </c>
      <c r="Q2209" s="2">
        <v>6371</v>
      </c>
      <c r="R2209" s="320">
        <v>33</v>
      </c>
      <c r="S2209" s="320">
        <v>2130.15</v>
      </c>
      <c r="T2209" s="320">
        <v>1476.48</v>
      </c>
      <c r="U2209" s="320"/>
      <c r="W2209" s="52">
        <f t="shared" si="2643"/>
        <v>3606.63</v>
      </c>
      <c r="X2209" s="118">
        <f t="shared" si="2644"/>
        <v>64.55</v>
      </c>
      <c r="Y2209" s="119">
        <f t="shared" si="2645"/>
        <v>0</v>
      </c>
      <c r="Z2209" s="117">
        <f t="shared" si="2646"/>
        <v>41515.370000000003</v>
      </c>
      <c r="AA2209" s="119">
        <f t="shared" si="2647"/>
        <v>0.92006936749257573</v>
      </c>
      <c r="AB2209" s="120">
        <f t="shared" si="2648"/>
        <v>2080.96</v>
      </c>
      <c r="AC2209" s="119">
        <f t="shared" si="2649"/>
        <v>4.611852311511011E-2</v>
      </c>
    </row>
    <row r="2210" spans="1:33" s="53" customFormat="1" ht="11.25" customHeight="1" x14ac:dyDescent="0.15">
      <c r="A2210" s="53" t="s">
        <v>625</v>
      </c>
      <c r="C2210" s="54" t="s">
        <v>177</v>
      </c>
      <c r="D2210" s="54"/>
      <c r="E2210" s="70"/>
      <c r="F2210" s="54"/>
      <c r="G2210" s="54"/>
      <c r="H2210" s="54"/>
      <c r="I2210" s="54"/>
      <c r="J2210" s="54"/>
      <c r="K2210" s="106"/>
      <c r="L2210" s="24">
        <f>SUM(L2200:L2209)</f>
        <v>381132</v>
      </c>
      <c r="M2210" s="24">
        <f t="shared" ref="M2210:N2210" si="2650">SUM(M2200:M2209)</f>
        <v>73451.16</v>
      </c>
      <c r="N2210" s="24">
        <f t="shared" si="2650"/>
        <v>307680.83999999997</v>
      </c>
      <c r="O2210" s="57">
        <f t="shared" si="2642"/>
        <v>0.80728157173892501</v>
      </c>
      <c r="P2210" s="24">
        <f>SUM(P2200:P2209)</f>
        <v>381132</v>
      </c>
      <c r="Q2210" s="24"/>
      <c r="R2210" s="24">
        <f>SUM(R2200:R2209)</f>
        <v>155</v>
      </c>
      <c r="S2210" s="24">
        <f t="shared" ref="S2210:V2210" si="2651">SUM(S2200:S2209)</f>
        <v>8941.35</v>
      </c>
      <c r="T2210" s="24">
        <f t="shared" si="2651"/>
        <v>7407.1900000000005</v>
      </c>
      <c r="U2210" s="24">
        <f t="shared" si="2651"/>
        <v>36979.879999999997</v>
      </c>
      <c r="V2210" s="24">
        <f t="shared" si="2651"/>
        <v>3120.24</v>
      </c>
      <c r="W2210" s="24">
        <f>SUM(S2210:V2210)</f>
        <v>56448.659999999996</v>
      </c>
      <c r="X2210" s="56">
        <f t="shared" si="2644"/>
        <v>57.686129032258066</v>
      </c>
      <c r="Y2210" s="119">
        <f t="shared" si="2645"/>
        <v>9.7026437034938018E-2</v>
      </c>
      <c r="Z2210" s="28">
        <f t="shared" si="2646"/>
        <v>324683.34000000003</v>
      </c>
      <c r="AA2210" s="119">
        <f>IFERROR(Z2210/P2210,0)</f>
        <v>0.85189210037467344</v>
      </c>
      <c r="AB2210" s="58">
        <f>M2210-W2210</f>
        <v>17002.500000000007</v>
      </c>
      <c r="AC2210" s="57">
        <f>IFERROR(AA2210-O2210,"")</f>
        <v>4.4610528635748437E-2</v>
      </c>
      <c r="AG2210" s="61"/>
    </row>
    <row r="2211" spans="1:33" s="110" customFormat="1" ht="11.25" customHeight="1" x14ac:dyDescent="0.15">
      <c r="A2211" s="130"/>
      <c r="B2211" s="130"/>
      <c r="C2211" s="124"/>
      <c r="D2211" s="124"/>
      <c r="E2211" s="273"/>
      <c r="F2211" s="124"/>
      <c r="G2211" s="124"/>
      <c r="H2211" s="124"/>
      <c r="I2211" s="124"/>
      <c r="J2211" s="124"/>
      <c r="K2211" s="125"/>
      <c r="L2211" s="220"/>
      <c r="M2211" s="220"/>
      <c r="N2211" s="129"/>
      <c r="O2211" s="128"/>
      <c r="P2211" s="129"/>
      <c r="Q2211" s="124"/>
      <c r="R2211" s="129"/>
      <c r="S2211" s="129"/>
      <c r="T2211" s="129"/>
      <c r="U2211" s="129"/>
      <c r="V2211" s="126"/>
      <c r="W2211" s="49"/>
      <c r="X2211" s="45"/>
      <c r="Y2211" s="128"/>
      <c r="Z2211" s="126"/>
      <c r="AA2211" s="128"/>
      <c r="AB2211" s="129"/>
      <c r="AC2211" s="160"/>
      <c r="AD2211" s="137"/>
      <c r="AG2211" s="121"/>
    </row>
    <row r="2212" spans="1:33" ht="11.25" customHeight="1" x14ac:dyDescent="0.15">
      <c r="A2212" s="110" t="s">
        <v>625</v>
      </c>
      <c r="B2212" s="319" t="s">
        <v>2845</v>
      </c>
      <c r="C2212" s="111" t="s">
        <v>175</v>
      </c>
      <c r="D2212" s="111">
        <v>2025</v>
      </c>
      <c r="E2212" s="274">
        <v>45991</v>
      </c>
      <c r="G2212" s="2">
        <v>81100211</v>
      </c>
      <c r="H2212" s="111">
        <v>4111</v>
      </c>
      <c r="I2212" s="111" t="str">
        <f>MID(G2212,2,1)</f>
        <v>1</v>
      </c>
      <c r="J2212" s="111" t="str">
        <f>IF(I2212="1","Small/Medium","Large")</f>
        <v>Small/Medium</v>
      </c>
      <c r="K2212" s="112" t="s">
        <v>145</v>
      </c>
      <c r="L2212" s="47">
        <v>12903.396814311423</v>
      </c>
      <c r="M2212" s="120">
        <f t="shared" ref="M2212:M2213" si="2652">L2212*0.3</f>
        <v>3871.0190442934268</v>
      </c>
      <c r="N2212" s="120">
        <f t="shared" ref="N2212" si="2653">L2212-M2212</f>
        <v>9032.3777700179962</v>
      </c>
      <c r="O2212" s="119">
        <f t="shared" ref="O2212:O2213" si="2654">IFERROR(N2212/L2212,"")</f>
        <v>0.7</v>
      </c>
      <c r="P2212" s="47">
        <v>12903.396814311423</v>
      </c>
      <c r="Q2212" s="2">
        <v>6165</v>
      </c>
      <c r="R2212" s="5">
        <v>11</v>
      </c>
      <c r="S2212" s="5">
        <v>603.67999999999995</v>
      </c>
      <c r="T2212" s="320">
        <v>377.03</v>
      </c>
      <c r="U2212" s="5">
        <v>506.49</v>
      </c>
      <c r="W2212" s="52">
        <f t="shared" ref="W2212:W2213" si="2655">SUM(S2212:V2212)</f>
        <v>1487.1999999999998</v>
      </c>
      <c r="X2212" s="118">
        <f t="shared" ref="X2212:X2214" si="2656">IFERROR(S2212/R2212,"")</f>
        <v>54.879999999999995</v>
      </c>
      <c r="Y2212" s="119">
        <f t="shared" ref="Y2212:Y2214" si="2657">IFERROR(U2212/P2212,0)</f>
        <v>3.9252454782932933E-2</v>
      </c>
      <c r="Z2212" s="117">
        <f t="shared" ref="Z2212:Z2214" si="2658">P2212-W2212</f>
        <v>11416.196814311425</v>
      </c>
      <c r="AA2212" s="119">
        <f t="shared" ref="AA2212:AA2213" si="2659">IFERROR(Z2212/P2212,0)</f>
        <v>0.88474352750660856</v>
      </c>
      <c r="AB2212" s="120">
        <f t="shared" ref="AB2212:AB2213" si="2660">M2212-W2212</f>
        <v>2383.8190442934269</v>
      </c>
      <c r="AC2212" s="119">
        <f t="shared" ref="AC2212:AC2213" si="2661">IFERROR(AA2212-O2212,"")</f>
        <v>0.18474352750660861</v>
      </c>
    </row>
    <row r="2213" spans="1:33" ht="11.25" customHeight="1" x14ac:dyDescent="0.15">
      <c r="A2213" s="110" t="s">
        <v>625</v>
      </c>
      <c r="B2213" s="110"/>
      <c r="C2213" s="111" t="s">
        <v>175</v>
      </c>
      <c r="D2213" s="111">
        <v>2025</v>
      </c>
      <c r="E2213" s="274">
        <v>45991</v>
      </c>
      <c r="G2213" s="2">
        <v>82100211</v>
      </c>
      <c r="H2213" s="111">
        <v>4111</v>
      </c>
      <c r="I2213" s="111" t="str">
        <f>MID(G2213,2,1)</f>
        <v>2</v>
      </c>
      <c r="J2213" s="111" t="str">
        <f>IF(I2213="1","Small/Medium","Large")</f>
        <v>Large</v>
      </c>
      <c r="K2213" s="112" t="s">
        <v>176</v>
      </c>
      <c r="L2213" s="47">
        <v>17577.603185688575</v>
      </c>
      <c r="M2213" s="120">
        <f t="shared" si="2652"/>
        <v>5273.2809557065721</v>
      </c>
      <c r="N2213" s="120">
        <f>L2213-M2213</f>
        <v>12304.322229982003</v>
      </c>
      <c r="O2213" s="119">
        <f t="shared" si="2654"/>
        <v>0.70000000000000007</v>
      </c>
      <c r="P2213" s="47">
        <v>17577.603185688575</v>
      </c>
      <c r="Q2213" s="2">
        <v>6166</v>
      </c>
      <c r="R2213" s="5">
        <v>12</v>
      </c>
      <c r="S2213" s="5">
        <v>658.56</v>
      </c>
      <c r="T2213" s="320">
        <v>377.03</v>
      </c>
      <c r="U2213" s="5">
        <v>416.98</v>
      </c>
      <c r="W2213" s="52">
        <f t="shared" si="2655"/>
        <v>1452.57</v>
      </c>
      <c r="X2213" s="118">
        <f t="shared" si="2656"/>
        <v>54.879999999999995</v>
      </c>
      <c r="Y2213" s="119">
        <f t="shared" si="2657"/>
        <v>2.3722233093730265E-2</v>
      </c>
      <c r="Z2213" s="117">
        <f t="shared" si="2658"/>
        <v>16125.033185688575</v>
      </c>
      <c r="AA2213" s="119">
        <f t="shared" si="2659"/>
        <v>0.9173624535350382</v>
      </c>
      <c r="AB2213" s="120">
        <f t="shared" si="2660"/>
        <v>3820.7109557065723</v>
      </c>
      <c r="AC2213" s="119">
        <f t="shared" si="2661"/>
        <v>0.21736245353503814</v>
      </c>
    </row>
    <row r="2214" spans="1:33" s="53" customFormat="1" ht="11.25" customHeight="1" x14ac:dyDescent="0.15">
      <c r="A2214" s="53" t="s">
        <v>625</v>
      </c>
      <c r="C2214" s="54" t="s">
        <v>177</v>
      </c>
      <c r="D2214" s="54"/>
      <c r="E2214" s="70"/>
      <c r="F2214" s="54"/>
      <c r="G2214" s="54"/>
      <c r="H2214" s="54"/>
      <c r="I2214" s="54"/>
      <c r="J2214" s="54"/>
      <c r="K2214" s="106"/>
      <c r="L2214" s="24">
        <f>SUM(L2212:L2213)</f>
        <v>30481</v>
      </c>
      <c r="M2214" s="24">
        <f t="shared" ref="M2214:N2214" si="2662">SUM(M2212:M2213)</f>
        <v>9144.2999999999993</v>
      </c>
      <c r="N2214" s="24">
        <f t="shared" si="2662"/>
        <v>21336.699999999997</v>
      </c>
      <c r="O2214" s="57">
        <f>IFERROR(N2214/L2214,"")</f>
        <v>0.7</v>
      </c>
      <c r="P2214" s="24">
        <f>SUM(P2212:P2213)</f>
        <v>30481</v>
      </c>
      <c r="Q2214" s="24"/>
      <c r="R2214" s="24">
        <f>SUM(R2212:R2213)</f>
        <v>23</v>
      </c>
      <c r="S2214" s="24">
        <f t="shared" ref="S2214:V2214" si="2663">SUM(S2212:S2213)</f>
        <v>1262.2399999999998</v>
      </c>
      <c r="T2214" s="24">
        <f t="shared" si="2663"/>
        <v>754.06</v>
      </c>
      <c r="U2214" s="24">
        <f t="shared" si="2663"/>
        <v>923.47</v>
      </c>
      <c r="V2214" s="24">
        <f t="shared" si="2663"/>
        <v>0</v>
      </c>
      <c r="W2214" s="24">
        <f>SUM(S2214:V2214)</f>
        <v>2939.7699999999995</v>
      </c>
      <c r="X2214" s="56">
        <f t="shared" si="2656"/>
        <v>54.879999999999988</v>
      </c>
      <c r="Y2214" s="119">
        <f t="shared" si="2657"/>
        <v>3.0296578196253404E-2</v>
      </c>
      <c r="Z2214" s="28">
        <f t="shared" si="2658"/>
        <v>27541.23</v>
      </c>
      <c r="AA2214" s="119">
        <f>IFERROR(Z2214/P2214,0)</f>
        <v>0.90355401725665163</v>
      </c>
      <c r="AB2214" s="58">
        <f>M2214-W2214</f>
        <v>6204.53</v>
      </c>
      <c r="AC2214" s="57">
        <f>IFERROR(AA2214-O2214,"")</f>
        <v>0.20355401725665168</v>
      </c>
      <c r="AG2214" s="61"/>
    </row>
    <row r="2215" spans="1:33" s="110" customFormat="1" ht="11.25" customHeight="1" x14ac:dyDescent="0.15">
      <c r="A2215" s="130"/>
      <c r="B2215" s="130"/>
      <c r="C2215" s="124"/>
      <c r="D2215" s="124"/>
      <c r="E2215" s="273"/>
      <c r="F2215" s="124"/>
      <c r="G2215" s="124"/>
      <c r="H2215" s="124"/>
      <c r="I2215" s="124"/>
      <c r="J2215" s="124"/>
      <c r="K2215" s="125"/>
      <c r="L2215" s="220"/>
      <c r="M2215" s="220"/>
      <c r="N2215" s="129"/>
      <c r="O2215" s="128"/>
      <c r="P2215" s="129"/>
      <c r="Q2215" s="124"/>
      <c r="R2215" s="129"/>
      <c r="S2215" s="129"/>
      <c r="T2215" s="129"/>
      <c r="U2215" s="129"/>
      <c r="V2215" s="126"/>
      <c r="W2215" s="49"/>
      <c r="X2215" s="45"/>
      <c r="Y2215" s="128"/>
      <c r="Z2215" s="126"/>
      <c r="AA2215" s="128"/>
      <c r="AB2215" s="129"/>
      <c r="AC2215" s="160"/>
      <c r="AD2215" s="137"/>
      <c r="AG2215" s="121"/>
    </row>
    <row r="2216" spans="1:33" ht="11.25" customHeight="1" x14ac:dyDescent="0.15">
      <c r="A2216" s="110" t="s">
        <v>2836</v>
      </c>
      <c r="B2216" s="319" t="s">
        <v>2844</v>
      </c>
      <c r="C2216" s="111" t="s">
        <v>37</v>
      </c>
      <c r="D2216" s="2">
        <v>2025</v>
      </c>
      <c r="E2216" s="274">
        <v>45991</v>
      </c>
      <c r="G2216" s="2">
        <v>11005111</v>
      </c>
      <c r="K2216" s="107" t="s">
        <v>2837</v>
      </c>
      <c r="L2216" s="47">
        <v>132609.9</v>
      </c>
      <c r="M2216" s="47">
        <v>28851.65</v>
      </c>
      <c r="N2216" s="120">
        <f t="shared" ref="N2216:N2221" si="2664">L2216-M2216</f>
        <v>103758.25</v>
      </c>
      <c r="O2216" s="119">
        <f t="shared" ref="O2216:O2218" si="2665">IFERROR(N2216/L2216,"")</f>
        <v>0.78243215627189222</v>
      </c>
      <c r="P2216" s="47">
        <v>132609.9</v>
      </c>
      <c r="Q2216" s="2">
        <v>6085</v>
      </c>
      <c r="R2216" s="5">
        <v>28.5</v>
      </c>
      <c r="S2216" s="5">
        <v>1387.11</v>
      </c>
      <c r="U2216" s="5">
        <v>27051.200000000001</v>
      </c>
      <c r="W2216" s="52">
        <f t="shared" ref="W2216:W2224" si="2666">SUM(S2216:V2216)</f>
        <v>28438.31</v>
      </c>
      <c r="X2216" s="118">
        <f t="shared" ref="X2216:X2225" si="2667">IFERROR(S2216/R2216,"")</f>
        <v>48.670526315789473</v>
      </c>
      <c r="Y2216" s="119">
        <f t="shared" ref="Y2216:Y2225" si="2668">IFERROR(U2216/P2216,0)</f>
        <v>0.2039908030999194</v>
      </c>
      <c r="Z2216" s="117">
        <f t="shared" ref="Z2216:Z2225" si="2669">P2216-W2216</f>
        <v>104171.59</v>
      </c>
      <c r="AA2216" s="119">
        <f t="shared" ref="AA2216:AA2224" si="2670">IFERROR(Z2216/P2216,0)</f>
        <v>0.78554911812768125</v>
      </c>
      <c r="AB2216" s="120">
        <f t="shared" ref="AB2216:AB2224" si="2671">M2216-W2216</f>
        <v>413.34000000000015</v>
      </c>
      <c r="AC2216" s="119">
        <f t="shared" ref="AC2216:AC2224" si="2672">IFERROR(AA2216-O2216,"")</f>
        <v>3.1169618557890244E-3</v>
      </c>
    </row>
    <row r="2217" spans="1:33" ht="11.25" customHeight="1" x14ac:dyDescent="0.15">
      <c r="A2217" s="110" t="s">
        <v>2836</v>
      </c>
      <c r="B2217" s="110"/>
      <c r="C2217" s="111" t="s">
        <v>37</v>
      </c>
      <c r="D2217" s="111">
        <v>2025</v>
      </c>
      <c r="E2217" s="274">
        <v>45991</v>
      </c>
      <c r="G2217" s="2">
        <v>21010011</v>
      </c>
      <c r="K2217" s="107" t="s">
        <v>439</v>
      </c>
      <c r="L2217" s="47">
        <v>21901.99</v>
      </c>
      <c r="M2217" s="47">
        <v>7538.71</v>
      </c>
      <c r="N2217" s="120">
        <f t="shared" si="2664"/>
        <v>14363.280000000002</v>
      </c>
      <c r="O2217" s="119">
        <f t="shared" si="2665"/>
        <v>0.65579794347454279</v>
      </c>
      <c r="P2217" s="47">
        <v>21901.99</v>
      </c>
      <c r="Q2217" s="2">
        <v>6086</v>
      </c>
      <c r="U2217" s="5">
        <v>7453.09</v>
      </c>
      <c r="W2217" s="52">
        <f t="shared" si="2666"/>
        <v>7453.09</v>
      </c>
      <c r="X2217" s="118" t="str">
        <f t="shared" si="2667"/>
        <v/>
      </c>
      <c r="Y2217" s="119">
        <f t="shared" si="2668"/>
        <v>0.34029282270697775</v>
      </c>
      <c r="Z2217" s="117">
        <f t="shared" si="2669"/>
        <v>14448.900000000001</v>
      </c>
      <c r="AA2217" s="119">
        <f t="shared" si="2670"/>
        <v>0.6597071772930222</v>
      </c>
      <c r="AB2217" s="120">
        <f t="shared" si="2671"/>
        <v>85.619999999999891</v>
      </c>
      <c r="AC2217" s="119">
        <f t="shared" si="2672"/>
        <v>3.9092338184794073E-3</v>
      </c>
    </row>
    <row r="2218" spans="1:33" ht="11.25" customHeight="1" x14ac:dyDescent="0.15">
      <c r="A2218" s="110" t="s">
        <v>2836</v>
      </c>
      <c r="B2218" s="110"/>
      <c r="C2218" s="111" t="s">
        <v>37</v>
      </c>
      <c r="D2218" s="111">
        <v>2025</v>
      </c>
      <c r="E2218" s="274">
        <v>45991</v>
      </c>
      <c r="G2218" s="2">
        <v>21050011</v>
      </c>
      <c r="K2218" s="112" t="s">
        <v>582</v>
      </c>
      <c r="L2218" s="47">
        <v>31592.11</v>
      </c>
      <c r="M2218" s="47">
        <v>8934.32</v>
      </c>
      <c r="N2218" s="120">
        <f t="shared" si="2664"/>
        <v>22657.79</v>
      </c>
      <c r="O2218" s="119">
        <f t="shared" si="2665"/>
        <v>0.71719774336060493</v>
      </c>
      <c r="P2218" s="47">
        <v>31592.11</v>
      </c>
      <c r="Q2218" s="2">
        <v>6087</v>
      </c>
      <c r="U2218" s="5">
        <v>8389.2199999999993</v>
      </c>
      <c r="W2218" s="52">
        <f t="shared" si="2666"/>
        <v>8389.2199999999993</v>
      </c>
      <c r="X2218" s="118" t="str">
        <f t="shared" si="2667"/>
        <v/>
      </c>
      <c r="Y2218" s="119">
        <f t="shared" si="2668"/>
        <v>0.26554794852258995</v>
      </c>
      <c r="Z2218" s="117">
        <f t="shared" si="2669"/>
        <v>23202.89</v>
      </c>
      <c r="AA2218" s="119">
        <f t="shared" si="2670"/>
        <v>0.73445205147741</v>
      </c>
      <c r="AB2218" s="120">
        <f t="shared" si="2671"/>
        <v>545.10000000000036</v>
      </c>
      <c r="AC2218" s="119">
        <f t="shared" si="2672"/>
        <v>1.7254308116805062E-2</v>
      </c>
    </row>
    <row r="2219" spans="1:33" ht="11.25" customHeight="1" x14ac:dyDescent="0.15">
      <c r="A2219" s="110" t="s">
        <v>2836</v>
      </c>
      <c r="B2219" s="110"/>
      <c r="C2219" s="111" t="s">
        <v>37</v>
      </c>
      <c r="D2219" s="2">
        <v>2025</v>
      </c>
      <c r="E2219" s="274">
        <v>45991</v>
      </c>
      <c r="G2219" s="2">
        <v>91005141</v>
      </c>
      <c r="K2219" s="107" t="s">
        <v>2838</v>
      </c>
      <c r="L2219" s="47">
        <v>15934</v>
      </c>
      <c r="M2219" s="47">
        <v>5409.2</v>
      </c>
      <c r="N2219" s="120">
        <f t="shared" si="2664"/>
        <v>10524.8</v>
      </c>
      <c r="O2219" s="119">
        <f>IFERROR(N2219/L2219,"")</f>
        <v>0.6605246642399899</v>
      </c>
      <c r="P2219" s="47">
        <v>15934</v>
      </c>
      <c r="Q2219" s="2">
        <v>6088</v>
      </c>
      <c r="U2219" s="5">
        <v>4774.59</v>
      </c>
      <c r="W2219" s="52">
        <f t="shared" si="2666"/>
        <v>4774.59</v>
      </c>
      <c r="X2219" s="118" t="str">
        <f t="shared" si="2667"/>
        <v/>
      </c>
      <c r="Y2219" s="119">
        <f t="shared" si="2668"/>
        <v>0.29964792268105939</v>
      </c>
      <c r="Z2219" s="117">
        <f t="shared" si="2669"/>
        <v>11159.41</v>
      </c>
      <c r="AA2219" s="119">
        <f t="shared" si="2670"/>
        <v>0.70035207731894067</v>
      </c>
      <c r="AB2219" s="120">
        <f t="shared" si="2671"/>
        <v>634.60999999999967</v>
      </c>
      <c r="AC2219" s="119">
        <f t="shared" si="2672"/>
        <v>3.9827413078950769E-2</v>
      </c>
    </row>
    <row r="2220" spans="1:33" ht="11.25" customHeight="1" x14ac:dyDescent="0.15">
      <c r="A2220" s="110" t="s">
        <v>2836</v>
      </c>
      <c r="B2220" s="110"/>
      <c r="C2220" s="111" t="s">
        <v>47</v>
      </c>
      <c r="D2220" s="111">
        <v>2025</v>
      </c>
      <c r="E2220" s="274">
        <v>45991</v>
      </c>
      <c r="G2220" s="2">
        <v>51005111</v>
      </c>
      <c r="K2220" s="107" t="s">
        <v>852</v>
      </c>
      <c r="L2220" s="47">
        <v>48385</v>
      </c>
      <c r="M2220" s="47">
        <v>15820.64</v>
      </c>
      <c r="N2220" s="120">
        <f t="shared" si="2664"/>
        <v>32564.36</v>
      </c>
      <c r="O2220" s="119">
        <f t="shared" ref="O2220:O2225" si="2673">IFERROR(N2220/L2220,"")</f>
        <v>0.67302593779063757</v>
      </c>
      <c r="P2220" s="47">
        <v>48385</v>
      </c>
      <c r="Q2220" s="2">
        <v>6089</v>
      </c>
      <c r="R2220" s="5">
        <v>58</v>
      </c>
      <c r="S2220" s="5">
        <v>3242.79</v>
      </c>
      <c r="T2220" s="5">
        <v>3076.8</v>
      </c>
      <c r="U2220" s="5">
        <v>4034.08</v>
      </c>
      <c r="W2220" s="52">
        <f t="shared" si="2666"/>
        <v>10353.67</v>
      </c>
      <c r="X2220" s="118">
        <f t="shared" si="2667"/>
        <v>55.910172413793106</v>
      </c>
      <c r="Y2220" s="119">
        <f t="shared" si="2668"/>
        <v>8.3374599565981186E-2</v>
      </c>
      <c r="Z2220" s="117">
        <f t="shared" si="2669"/>
        <v>38031.33</v>
      </c>
      <c r="AA2220" s="119">
        <f t="shared" si="2670"/>
        <v>0.78601488064482794</v>
      </c>
      <c r="AB2220" s="120">
        <f t="shared" si="2671"/>
        <v>5466.9699999999993</v>
      </c>
      <c r="AC2220" s="119">
        <f t="shared" si="2672"/>
        <v>0.11298894285419037</v>
      </c>
      <c r="AD2220" s="110" t="s">
        <v>2851</v>
      </c>
    </row>
    <row r="2221" spans="1:33" ht="11.25" customHeight="1" x14ac:dyDescent="0.15">
      <c r="A2221" s="110" t="s">
        <v>2836</v>
      </c>
      <c r="B2221" s="110"/>
      <c r="C2221" s="111" t="s">
        <v>248</v>
      </c>
      <c r="D2221" s="111">
        <v>2025</v>
      </c>
      <c r="E2221" s="274">
        <v>45991</v>
      </c>
      <c r="G2221" s="2">
        <v>96000000</v>
      </c>
      <c r="K2221" s="112" t="s">
        <v>250</v>
      </c>
      <c r="L2221" s="47">
        <v>14930</v>
      </c>
      <c r="M2221" s="47">
        <v>7465</v>
      </c>
      <c r="N2221" s="120">
        <f t="shared" si="2664"/>
        <v>7465</v>
      </c>
      <c r="O2221" s="119">
        <f t="shared" si="2673"/>
        <v>0.5</v>
      </c>
      <c r="P2221" s="47">
        <v>14930</v>
      </c>
      <c r="Q2221" s="2">
        <v>6090</v>
      </c>
      <c r="R2221" s="5">
        <v>8</v>
      </c>
      <c r="S2221" s="5">
        <v>516.4</v>
      </c>
      <c r="W2221" s="52">
        <f t="shared" si="2666"/>
        <v>516.4</v>
      </c>
      <c r="X2221" s="118">
        <f t="shared" si="2667"/>
        <v>64.55</v>
      </c>
      <c r="Y2221" s="119">
        <f t="shared" si="2668"/>
        <v>0</v>
      </c>
      <c r="Z2221" s="117">
        <f t="shared" si="2669"/>
        <v>14413.6</v>
      </c>
      <c r="AA2221" s="119">
        <f t="shared" si="2670"/>
        <v>0.96541192230408579</v>
      </c>
      <c r="AB2221" s="120">
        <f t="shared" si="2671"/>
        <v>6948.6</v>
      </c>
      <c r="AC2221" s="119">
        <f t="shared" si="2672"/>
        <v>0.46541192230408579</v>
      </c>
    </row>
    <row r="2222" spans="1:33" ht="11.25" customHeight="1" x14ac:dyDescent="0.15">
      <c r="A2222" s="110" t="s">
        <v>2836</v>
      </c>
      <c r="B2222" s="110"/>
      <c r="C2222" s="111" t="s">
        <v>55</v>
      </c>
      <c r="D2222" s="2">
        <v>2025</v>
      </c>
      <c r="E2222" s="274">
        <v>45991</v>
      </c>
      <c r="G2222" s="111" t="s">
        <v>56</v>
      </c>
      <c r="K2222" s="112" t="s">
        <v>71</v>
      </c>
      <c r="L2222" s="47">
        <v>17046</v>
      </c>
      <c r="M2222" s="47">
        <v>8523</v>
      </c>
      <c r="N2222" s="120">
        <f>L2222-M2222</f>
        <v>8523</v>
      </c>
      <c r="O2222" s="119">
        <f t="shared" si="2673"/>
        <v>0.5</v>
      </c>
      <c r="P2222" s="47">
        <v>17046</v>
      </c>
      <c r="Q2222" s="2">
        <v>6091</v>
      </c>
      <c r="R2222" s="5">
        <v>12.5</v>
      </c>
      <c r="S2222" s="5">
        <v>656.25</v>
      </c>
      <c r="V2222" s="5">
        <v>7330.7</v>
      </c>
      <c r="W2222" s="52">
        <f t="shared" si="2666"/>
        <v>7986.95</v>
      </c>
      <c r="X2222" s="118">
        <f t="shared" si="2667"/>
        <v>52.5</v>
      </c>
      <c r="Y2222" s="119">
        <f t="shared" si="2668"/>
        <v>0</v>
      </c>
      <c r="Z2222" s="117">
        <f t="shared" si="2669"/>
        <v>9059.0499999999993</v>
      </c>
      <c r="AA2222" s="119">
        <f t="shared" si="2670"/>
        <v>0.53144726035433532</v>
      </c>
      <c r="AB2222" s="120">
        <f t="shared" si="2671"/>
        <v>536.05000000000018</v>
      </c>
      <c r="AC2222" s="119">
        <f t="shared" si="2672"/>
        <v>3.1447260354335316E-2</v>
      </c>
    </row>
    <row r="2223" spans="1:33" ht="11.25" customHeight="1" x14ac:dyDescent="0.15">
      <c r="A2223" s="110" t="s">
        <v>2836</v>
      </c>
      <c r="B2223" s="110"/>
      <c r="C2223" s="111" t="s">
        <v>58</v>
      </c>
      <c r="D2223" s="111">
        <v>2025</v>
      </c>
      <c r="E2223" s="274">
        <v>45991</v>
      </c>
      <c r="G2223" s="2">
        <v>71152012</v>
      </c>
      <c r="K2223" s="112" t="s">
        <v>712</v>
      </c>
      <c r="L2223" s="47">
        <v>16128</v>
      </c>
      <c r="M2223" s="47">
        <v>1612.28</v>
      </c>
      <c r="N2223" s="120">
        <f t="shared" ref="N2223:N2224" si="2674">L2223-M2223</f>
        <v>14515.72</v>
      </c>
      <c r="O2223" s="119">
        <f t="shared" si="2673"/>
        <v>0.90003224206349197</v>
      </c>
      <c r="P2223" s="47">
        <v>16128</v>
      </c>
      <c r="Q2223" s="2">
        <v>6092</v>
      </c>
      <c r="U2223" s="5">
        <v>2841.59</v>
      </c>
      <c r="W2223" s="52">
        <f t="shared" si="2666"/>
        <v>2841.59</v>
      </c>
      <c r="X2223" s="118" t="str">
        <f t="shared" si="2667"/>
        <v/>
      </c>
      <c r="Y2223" s="119">
        <f t="shared" si="2668"/>
        <v>0.17618985615079366</v>
      </c>
      <c r="Z2223" s="117">
        <f t="shared" si="2669"/>
        <v>13286.41</v>
      </c>
      <c r="AA2223" s="119">
        <f t="shared" si="2670"/>
        <v>0.82381014384920637</v>
      </c>
      <c r="AB2223" s="120">
        <f t="shared" si="2671"/>
        <v>-1229.3100000000002</v>
      </c>
      <c r="AC2223" s="119">
        <f t="shared" si="2672"/>
        <v>-7.6222098214285605E-2</v>
      </c>
      <c r="AD2223" s="110" t="s">
        <v>2850</v>
      </c>
    </row>
    <row r="2224" spans="1:33" ht="11.25" customHeight="1" x14ac:dyDescent="0.15">
      <c r="A2224" s="110" t="s">
        <v>2836</v>
      </c>
      <c r="B2224" s="110"/>
      <c r="C2224" s="111" t="s">
        <v>49</v>
      </c>
      <c r="D2224" s="111">
        <v>2025</v>
      </c>
      <c r="E2224" s="274">
        <v>45991</v>
      </c>
      <c r="G2224" s="2">
        <v>61652012</v>
      </c>
      <c r="K2224" s="112" t="s">
        <v>85</v>
      </c>
      <c r="L2224" s="47">
        <v>15005</v>
      </c>
      <c r="M2224" s="47">
        <v>5784.96</v>
      </c>
      <c r="N2224" s="120">
        <f t="shared" si="2674"/>
        <v>9220.0400000000009</v>
      </c>
      <c r="O2224" s="119">
        <f t="shared" si="2673"/>
        <v>0.61446451182939021</v>
      </c>
      <c r="P2224" s="47">
        <v>15005</v>
      </c>
      <c r="Q2224" s="2">
        <v>6093</v>
      </c>
      <c r="R2224" s="320">
        <v>33</v>
      </c>
      <c r="S2224" s="320">
        <v>2130.15</v>
      </c>
      <c r="T2224" s="320">
        <f>1402.55+125.26</f>
        <v>1527.81</v>
      </c>
      <c r="U2224" s="320"/>
      <c r="V2224" s="320"/>
      <c r="W2224" s="52">
        <f t="shared" si="2666"/>
        <v>3657.96</v>
      </c>
      <c r="X2224" s="118">
        <f t="shared" si="2667"/>
        <v>64.55</v>
      </c>
      <c r="Y2224" s="119">
        <f t="shared" si="2668"/>
        <v>0</v>
      </c>
      <c r="Z2224" s="117">
        <f t="shared" si="2669"/>
        <v>11347.04</v>
      </c>
      <c r="AA2224" s="119">
        <f t="shared" si="2670"/>
        <v>0.7562172609130291</v>
      </c>
      <c r="AB2224" s="120">
        <f t="shared" si="2671"/>
        <v>2127</v>
      </c>
      <c r="AC2224" s="119">
        <f t="shared" si="2672"/>
        <v>0.14175274908363888</v>
      </c>
      <c r="AD2224" s="110" t="s">
        <v>2852</v>
      </c>
    </row>
    <row r="2225" spans="1:33" s="53" customFormat="1" ht="11.25" customHeight="1" x14ac:dyDescent="0.15">
      <c r="A2225" s="53" t="s">
        <v>2836</v>
      </c>
      <c r="C2225" s="54"/>
      <c r="D2225" s="54"/>
      <c r="E2225" s="70"/>
      <c r="F2225" s="54"/>
      <c r="G2225" s="54"/>
      <c r="H2225" s="54"/>
      <c r="I2225" s="54"/>
      <c r="J2225" s="54"/>
      <c r="K2225" s="106"/>
      <c r="L2225" s="24">
        <f>SUM(L2216:L2224)</f>
        <v>313532</v>
      </c>
      <c r="M2225" s="24">
        <f t="shared" ref="M2225:N2225" si="2675">SUM(M2216:M2224)</f>
        <v>89939.76</v>
      </c>
      <c r="N2225" s="24">
        <f t="shared" si="2675"/>
        <v>223592.24</v>
      </c>
      <c r="O2225" s="57">
        <f t="shared" si="2673"/>
        <v>0.71314009415306889</v>
      </c>
      <c r="P2225" s="24">
        <f>SUM(P2216:P2224)</f>
        <v>313532</v>
      </c>
      <c r="Q2225" s="24"/>
      <c r="R2225" s="24">
        <f>SUM(R2216:R2224)</f>
        <v>140</v>
      </c>
      <c r="S2225" s="24">
        <f t="shared" ref="S2225:V2225" si="2676">SUM(S2216:S2224)</f>
        <v>7932.6999999999989</v>
      </c>
      <c r="T2225" s="24">
        <f t="shared" si="2676"/>
        <v>4604.6100000000006</v>
      </c>
      <c r="U2225" s="24">
        <f t="shared" si="2676"/>
        <v>54543.770000000004</v>
      </c>
      <c r="V2225" s="24">
        <f t="shared" si="2676"/>
        <v>7330.7</v>
      </c>
      <c r="W2225" s="24">
        <f>SUM(S2225:V2225)</f>
        <v>74411.78</v>
      </c>
      <c r="X2225" s="56">
        <f t="shared" si="2667"/>
        <v>56.662142857142847</v>
      </c>
      <c r="Y2225" s="119">
        <f t="shared" si="2668"/>
        <v>0.1739655601342128</v>
      </c>
      <c r="Z2225" s="28">
        <f t="shared" si="2669"/>
        <v>239120.22</v>
      </c>
      <c r="AA2225" s="119">
        <f>IFERROR(Z2225/P2225,0)</f>
        <v>0.76266607555209676</v>
      </c>
      <c r="AB2225" s="58">
        <f>M2225-W2225</f>
        <v>15527.979999999996</v>
      </c>
      <c r="AC2225" s="57">
        <f>IFERROR(AA2225-O2225,"")</f>
        <v>4.9525981399027863E-2</v>
      </c>
      <c r="AG2225" s="61"/>
    </row>
    <row r="2226" spans="1:33" s="110" customFormat="1" ht="11.25" customHeight="1" x14ac:dyDescent="0.15">
      <c r="A2226" s="130"/>
      <c r="B2226" s="130"/>
      <c r="C2226" s="124"/>
      <c r="D2226" s="124"/>
      <c r="E2226" s="273"/>
      <c r="F2226" s="124"/>
      <c r="G2226" s="124"/>
      <c r="H2226" s="124"/>
      <c r="I2226" s="124"/>
      <c r="J2226" s="124"/>
      <c r="K2226" s="125"/>
      <c r="L2226" s="220"/>
      <c r="M2226" s="220"/>
      <c r="N2226" s="129"/>
      <c r="O2226" s="128"/>
      <c r="P2226" s="129"/>
      <c r="Q2226" s="124"/>
      <c r="R2226" s="129"/>
      <c r="S2226" s="129"/>
      <c r="T2226" s="129"/>
      <c r="U2226" s="129"/>
      <c r="V2226" s="126"/>
      <c r="W2226" s="49"/>
      <c r="X2226" s="45"/>
      <c r="Y2226" s="128"/>
      <c r="Z2226" s="126"/>
      <c r="AA2226" s="128"/>
      <c r="AB2226" s="129"/>
      <c r="AC2226" s="160"/>
      <c r="AD2226" s="137"/>
      <c r="AG2226" s="121"/>
    </row>
    <row r="2227" spans="1:33" ht="11.25" customHeight="1" x14ac:dyDescent="0.15">
      <c r="A2227" s="110" t="s">
        <v>330</v>
      </c>
      <c r="B2227" s="319" t="s">
        <v>2840</v>
      </c>
      <c r="C2227" s="111" t="s">
        <v>175</v>
      </c>
      <c r="D2227" s="111">
        <v>2025</v>
      </c>
      <c r="E2227" s="274">
        <v>45991</v>
      </c>
      <c r="G2227" s="2">
        <v>81100011</v>
      </c>
      <c r="H2227" s="111">
        <v>4111</v>
      </c>
      <c r="I2227" s="111" t="str">
        <f>MID(G2227,2,1)</f>
        <v>1</v>
      </c>
      <c r="J2227" s="111" t="str">
        <f>IF(I2227="1","Small/Medium","Large")</f>
        <v>Small/Medium</v>
      </c>
      <c r="K2227" s="112" t="s">
        <v>145</v>
      </c>
      <c r="L2227" s="47">
        <v>800</v>
      </c>
      <c r="M2227" s="120">
        <f t="shared" ref="M2227:M2228" si="2677">L2227*0.3</f>
        <v>240</v>
      </c>
      <c r="N2227" s="120">
        <f t="shared" ref="N2227" si="2678">L2227-M2227</f>
        <v>560</v>
      </c>
      <c r="O2227" s="119">
        <f t="shared" ref="O2227:O2228" si="2679">IFERROR(N2227/L2227,"")</f>
        <v>0.7</v>
      </c>
      <c r="P2227" s="47">
        <v>800</v>
      </c>
      <c r="Q2227" s="2">
        <v>6167</v>
      </c>
      <c r="R2227" s="5">
        <v>13.5</v>
      </c>
      <c r="S2227" s="5">
        <v>740.88</v>
      </c>
      <c r="T2227" s="5">
        <v>333.66</v>
      </c>
      <c r="U2227" s="5">
        <v>287.5</v>
      </c>
      <c r="W2227" s="52">
        <f t="shared" ref="W2227:W2228" si="2680">SUM(S2227:V2227)</f>
        <v>1362.04</v>
      </c>
      <c r="X2227" s="118">
        <f t="shared" ref="X2227:X2229" si="2681">IFERROR(S2227/R2227,"")</f>
        <v>54.88</v>
      </c>
      <c r="Y2227" s="119">
        <f t="shared" ref="Y2227:Y2229" si="2682">IFERROR(U2227/P2227,0)</f>
        <v>0.359375</v>
      </c>
      <c r="Z2227" s="117">
        <f t="shared" ref="Z2227:Z2229" si="2683">P2227-W2227</f>
        <v>-562.04</v>
      </c>
      <c r="AA2227" s="119">
        <f t="shared" ref="AA2227:AA2228" si="2684">IFERROR(Z2227/P2227,0)</f>
        <v>-0.70255000000000001</v>
      </c>
      <c r="AB2227" s="120">
        <f t="shared" ref="AB2227:AB2228" si="2685">M2227-W2227</f>
        <v>-1122.04</v>
      </c>
      <c r="AC2227" s="119">
        <f t="shared" ref="AC2227:AC2228" si="2686">IFERROR(AA2227-O2227,"")</f>
        <v>-1.40255</v>
      </c>
      <c r="AD2227" s="110" t="s">
        <v>2848</v>
      </c>
    </row>
    <row r="2228" spans="1:33" ht="11.25" customHeight="1" x14ac:dyDescent="0.15">
      <c r="A2228" s="110" t="s">
        <v>330</v>
      </c>
      <c r="B2228" s="110"/>
      <c r="C2228" s="111" t="s">
        <v>175</v>
      </c>
      <c r="D2228" s="111">
        <v>2025</v>
      </c>
      <c r="E2228" s="274">
        <v>45991</v>
      </c>
      <c r="G2228" s="2">
        <v>81100011</v>
      </c>
      <c r="H2228" s="111">
        <v>4111</v>
      </c>
      <c r="I2228" s="111" t="str">
        <f>MID(G2228,2,1)</f>
        <v>1</v>
      </c>
      <c r="J2228" s="111" t="str">
        <f>IF(I2228="1","Small/Medium","Large")</f>
        <v>Small/Medium</v>
      </c>
      <c r="K2228" s="112" t="s">
        <v>145</v>
      </c>
      <c r="L2228" s="47">
        <v>1500</v>
      </c>
      <c r="M2228" s="120">
        <f t="shared" si="2677"/>
        <v>450</v>
      </c>
      <c r="N2228" s="120">
        <f>L2228-M2228</f>
        <v>1050</v>
      </c>
      <c r="O2228" s="119">
        <f t="shared" si="2679"/>
        <v>0.7</v>
      </c>
      <c r="P2228" s="47">
        <v>1500</v>
      </c>
      <c r="Q2228" s="2">
        <v>6168</v>
      </c>
      <c r="R2228" s="5">
        <v>13</v>
      </c>
      <c r="S2228" s="5">
        <v>713.44</v>
      </c>
      <c r="T2228" s="5">
        <v>333.66</v>
      </c>
      <c r="U2228" s="5">
        <v>287.5</v>
      </c>
      <c r="W2228" s="52">
        <f t="shared" si="2680"/>
        <v>1334.6000000000001</v>
      </c>
      <c r="X2228" s="118">
        <f t="shared" si="2681"/>
        <v>54.88</v>
      </c>
      <c r="Y2228" s="119">
        <f t="shared" si="2682"/>
        <v>0.19166666666666668</v>
      </c>
      <c r="Z2228" s="117">
        <f t="shared" si="2683"/>
        <v>165.39999999999986</v>
      </c>
      <c r="AA2228" s="119">
        <f t="shared" si="2684"/>
        <v>0.11026666666666658</v>
      </c>
      <c r="AB2228" s="120">
        <f t="shared" si="2685"/>
        <v>-884.60000000000014</v>
      </c>
      <c r="AC2228" s="119">
        <f t="shared" si="2686"/>
        <v>-0.58973333333333333</v>
      </c>
      <c r="AD2228" s="110" t="s">
        <v>2848</v>
      </c>
    </row>
    <row r="2229" spans="1:33" s="53" customFormat="1" ht="11.25" customHeight="1" x14ac:dyDescent="0.15">
      <c r="A2229" s="53" t="s">
        <v>946</v>
      </c>
      <c r="C2229" s="54"/>
      <c r="D2229" s="54"/>
      <c r="E2229" s="70"/>
      <c r="F2229" s="54"/>
      <c r="G2229" s="54"/>
      <c r="H2229" s="54"/>
      <c r="I2229" s="54"/>
      <c r="J2229" s="54"/>
      <c r="K2229" s="106"/>
      <c r="L2229" s="24">
        <f>SUM(L2227:L2228)</f>
        <v>2300</v>
      </c>
      <c r="M2229" s="24">
        <f t="shared" ref="M2229:N2229" si="2687">SUM(M2227:M2228)</f>
        <v>690</v>
      </c>
      <c r="N2229" s="24">
        <f t="shared" si="2687"/>
        <v>1610</v>
      </c>
      <c r="O2229" s="57">
        <f>IFERROR(N2229/L2229,"")</f>
        <v>0.7</v>
      </c>
      <c r="P2229" s="24">
        <f>SUM(P2227:P2228)</f>
        <v>2300</v>
      </c>
      <c r="Q2229" s="24"/>
      <c r="R2229" s="24">
        <f>SUM(R2227:R2228)</f>
        <v>26.5</v>
      </c>
      <c r="S2229" s="24">
        <f t="shared" ref="S2229:V2229" si="2688">SUM(S2227:S2228)</f>
        <v>1454.3200000000002</v>
      </c>
      <c r="T2229" s="24">
        <f t="shared" si="2688"/>
        <v>667.32</v>
      </c>
      <c r="U2229" s="24">
        <f t="shared" si="2688"/>
        <v>575</v>
      </c>
      <c r="V2229" s="24">
        <f t="shared" si="2688"/>
        <v>0</v>
      </c>
      <c r="W2229" s="24">
        <f>SUM(S2229:V2229)</f>
        <v>2696.6400000000003</v>
      </c>
      <c r="X2229" s="56">
        <f t="shared" si="2681"/>
        <v>54.88000000000001</v>
      </c>
      <c r="Y2229" s="119">
        <f t="shared" si="2682"/>
        <v>0.25</v>
      </c>
      <c r="Z2229" s="28">
        <f t="shared" si="2683"/>
        <v>-396.64000000000033</v>
      </c>
      <c r="AA2229" s="119">
        <f>IFERROR(Z2229/P2229,0)</f>
        <v>-0.17245217391304363</v>
      </c>
      <c r="AB2229" s="58">
        <f>M2229-W2229</f>
        <v>-2006.6400000000003</v>
      </c>
      <c r="AC2229" s="57">
        <f>IFERROR(AA2229-O2229,"")</f>
        <v>-0.87245217391304353</v>
      </c>
      <c r="AG2229" s="61"/>
    </row>
    <row r="2230" spans="1:33" s="110" customFormat="1" ht="11.25" customHeight="1" x14ac:dyDescent="0.15">
      <c r="A2230" s="130"/>
      <c r="B2230" s="130"/>
      <c r="C2230" s="124"/>
      <c r="D2230" s="124"/>
      <c r="E2230" s="273"/>
      <c r="F2230" s="124"/>
      <c r="G2230" s="124"/>
      <c r="H2230" s="124"/>
      <c r="I2230" s="124"/>
      <c r="J2230" s="124"/>
      <c r="K2230" s="125"/>
      <c r="L2230" s="220"/>
      <c r="M2230" s="220"/>
      <c r="N2230" s="129"/>
      <c r="O2230" s="128"/>
      <c r="P2230" s="129"/>
      <c r="Q2230" s="124"/>
      <c r="R2230" s="129"/>
      <c r="S2230" s="129"/>
      <c r="T2230" s="129"/>
      <c r="U2230" s="129"/>
      <c r="V2230" s="126"/>
      <c r="W2230" s="49"/>
      <c r="X2230" s="45"/>
      <c r="Y2230" s="128"/>
      <c r="Z2230" s="126"/>
      <c r="AA2230" s="128"/>
      <c r="AB2230" s="129"/>
      <c r="AC2230" s="160"/>
      <c r="AD2230" s="137"/>
      <c r="AG2230" s="121"/>
    </row>
    <row r="2231" spans="1:33" ht="11.25" customHeight="1" x14ac:dyDescent="0.15">
      <c r="A2231" s="110" t="s">
        <v>2839</v>
      </c>
      <c r="B2231" s="319" t="s">
        <v>2843</v>
      </c>
      <c r="C2231" s="111" t="s">
        <v>37</v>
      </c>
      <c r="D2231" s="2">
        <v>2023</v>
      </c>
      <c r="E2231" s="274">
        <v>44957</v>
      </c>
      <c r="G2231" s="2">
        <v>110101112</v>
      </c>
      <c r="K2231" s="107" t="s">
        <v>455</v>
      </c>
      <c r="L2231" s="47">
        <v>107250.67</v>
      </c>
      <c r="M2231" s="47">
        <v>24779.439999999999</v>
      </c>
      <c r="N2231" s="120">
        <f t="shared" ref="N2231" si="2689">L2231-M2231</f>
        <v>82471.23</v>
      </c>
      <c r="O2231" s="119">
        <f t="shared" ref="O2231" si="2690">IFERROR(N2231/L2231,"")</f>
        <v>0.76895771373735933</v>
      </c>
      <c r="P2231" s="47">
        <v>107250.67</v>
      </c>
      <c r="Q2231" s="2">
        <v>1026</v>
      </c>
      <c r="R2231" s="5">
        <v>50.5</v>
      </c>
      <c r="S2231" s="5">
        <v>1982.17</v>
      </c>
      <c r="U2231" s="5">
        <v>24710.98</v>
      </c>
      <c r="W2231" s="52">
        <f t="shared" ref="W2231" si="2691">SUM(S2231:V2231)</f>
        <v>26693.15</v>
      </c>
      <c r="X2231" s="118">
        <f t="shared" ref="X2231" si="2692">IFERROR(S2231/R2231,"")</f>
        <v>39.250891089108912</v>
      </c>
      <c r="Y2231" s="119">
        <f t="shared" ref="Y2231" si="2693">IFERROR(U2231/P2231,0)</f>
        <v>0.23040396857194459</v>
      </c>
      <c r="Z2231" s="117">
        <f t="shared" ref="Z2231" si="2694">P2231-W2231</f>
        <v>80557.51999999999</v>
      </c>
      <c r="AA2231" s="119">
        <f t="shared" ref="AA2231" si="2695">IFERROR(Z2231/P2231,0)</f>
        <v>0.75111437532278347</v>
      </c>
      <c r="AB2231" s="120">
        <f t="shared" ref="AB2231" si="2696">M2231-W2231</f>
        <v>-1913.7100000000028</v>
      </c>
      <c r="AC2231" s="119">
        <f t="shared" ref="AC2231" si="2697">IFERROR(AA2231-O2231,"")</f>
        <v>-1.784333841457586E-2</v>
      </c>
      <c r="AD2231" s="110" t="s">
        <v>2856</v>
      </c>
    </row>
    <row r="2232" spans="1:33" ht="11.25" customHeight="1" x14ac:dyDescent="0.15">
      <c r="A2232" s="110" t="s">
        <v>2839</v>
      </c>
      <c r="B2232" s="110"/>
      <c r="C2232" s="111" t="s">
        <v>37</v>
      </c>
      <c r="D2232" s="2">
        <v>2023</v>
      </c>
      <c r="E2232" s="274">
        <v>44957</v>
      </c>
      <c r="G2232" s="2">
        <v>210100112</v>
      </c>
      <c r="K2232" s="107" t="s">
        <v>439</v>
      </c>
      <c r="L2232" s="47">
        <v>14712</v>
      </c>
      <c r="M2232" s="47">
        <v>5149.1000000000004</v>
      </c>
      <c r="N2232" s="120">
        <f t="shared" ref="N2232:N2237" si="2698">L2232-M2232</f>
        <v>9562.9</v>
      </c>
      <c r="O2232" s="119">
        <f t="shared" ref="O2232:O2234" si="2699">IFERROR(N2232/L2232,"")</f>
        <v>0.6500067971723763</v>
      </c>
      <c r="P2232" s="47">
        <v>14712</v>
      </c>
      <c r="Q2232" s="2">
        <v>1034</v>
      </c>
      <c r="U2232" s="5">
        <v>6837.59</v>
      </c>
      <c r="W2232" s="52">
        <f t="shared" ref="W2232:W2240" si="2700">SUM(S2232:V2232)</f>
        <v>6837.59</v>
      </c>
      <c r="X2232" s="118" t="str">
        <f t="shared" ref="X2232:X2241" si="2701">IFERROR(S2232/R2232,"")</f>
        <v/>
      </c>
      <c r="Y2232" s="119">
        <f t="shared" ref="Y2232:Y2241" si="2702">IFERROR(U2232/P2232,0)</f>
        <v>0.46476277868406746</v>
      </c>
      <c r="Z2232" s="117">
        <f t="shared" ref="Z2232:Z2241" si="2703">P2232-W2232</f>
        <v>7874.41</v>
      </c>
      <c r="AA2232" s="119">
        <f t="shared" ref="AA2232:AA2240" si="2704">IFERROR(Z2232/P2232,0)</f>
        <v>0.53523722131593254</v>
      </c>
      <c r="AB2232" s="120">
        <f t="shared" ref="AB2232:AB2240" si="2705">M2232-W2232</f>
        <v>-1688.4899999999998</v>
      </c>
      <c r="AC2232" s="119">
        <f t="shared" ref="AC2232:AC2240" si="2706">IFERROR(AA2232-O2232,"")</f>
        <v>-0.11476957585644376</v>
      </c>
      <c r="AD2232" s="110" t="s">
        <v>2856</v>
      </c>
    </row>
    <row r="2233" spans="1:33" ht="11.25" customHeight="1" x14ac:dyDescent="0.15">
      <c r="A2233" s="110" t="s">
        <v>2839</v>
      </c>
      <c r="B2233" s="110"/>
      <c r="C2233" s="111" t="s">
        <v>37</v>
      </c>
      <c r="D2233" s="2">
        <v>2023</v>
      </c>
      <c r="E2233" s="274">
        <v>44957</v>
      </c>
      <c r="G2233" s="2">
        <v>210500112</v>
      </c>
      <c r="K2233" s="112" t="s">
        <v>582</v>
      </c>
      <c r="L2233" s="47">
        <v>21564</v>
      </c>
      <c r="M2233" s="47">
        <v>7547.42</v>
      </c>
      <c r="N2233" s="120">
        <f t="shared" si="2698"/>
        <v>14016.58</v>
      </c>
      <c r="O2233" s="119">
        <f t="shared" si="2699"/>
        <v>0.64999907252828792</v>
      </c>
      <c r="P2233" s="47">
        <v>21564</v>
      </c>
      <c r="Q2233" s="2">
        <v>1035</v>
      </c>
      <c r="U2233" s="5">
        <v>8254.11</v>
      </c>
      <c r="W2233" s="52">
        <f t="shared" si="2700"/>
        <v>8254.11</v>
      </c>
      <c r="X2233" s="118" t="str">
        <f t="shared" si="2701"/>
        <v/>
      </c>
      <c r="Y2233" s="119">
        <f t="shared" si="2702"/>
        <v>0.38277267668336118</v>
      </c>
      <c r="Z2233" s="117">
        <f t="shared" si="2703"/>
        <v>13309.89</v>
      </c>
      <c r="AA2233" s="119">
        <f t="shared" si="2704"/>
        <v>0.61722732331663877</v>
      </c>
      <c r="AB2233" s="120">
        <f t="shared" si="2705"/>
        <v>-706.69000000000051</v>
      </c>
      <c r="AC2233" s="119">
        <f t="shared" si="2706"/>
        <v>-3.2771749211649159E-2</v>
      </c>
      <c r="AD2233" s="110" t="s">
        <v>2856</v>
      </c>
    </row>
    <row r="2234" spans="1:33" ht="11.25" customHeight="1" x14ac:dyDescent="0.15">
      <c r="A2234" s="110" t="s">
        <v>2839</v>
      </c>
      <c r="B2234" s="110"/>
      <c r="C2234" s="111" t="s">
        <v>37</v>
      </c>
      <c r="D2234" s="2">
        <v>2023</v>
      </c>
      <c r="E2234" s="274">
        <v>44957</v>
      </c>
      <c r="G2234" s="2">
        <v>910101412</v>
      </c>
      <c r="K2234" s="107" t="s">
        <v>1494</v>
      </c>
      <c r="L2234" s="47">
        <v>12896.33</v>
      </c>
      <c r="M2234" s="47">
        <f>3850.32+434.54</f>
        <v>4284.8600000000006</v>
      </c>
      <c r="N2234" s="120">
        <f t="shared" si="2698"/>
        <v>8611.4699999999993</v>
      </c>
      <c r="O2234" s="119">
        <f t="shared" si="2699"/>
        <v>0.66774578504117055</v>
      </c>
      <c r="P2234" s="47">
        <v>12896.33</v>
      </c>
      <c r="Q2234" s="2">
        <v>1027</v>
      </c>
      <c r="U2234" s="5">
        <v>3696.08</v>
      </c>
      <c r="W2234" s="52">
        <f t="shared" si="2700"/>
        <v>3696.08</v>
      </c>
      <c r="X2234" s="118" t="str">
        <f t="shared" si="2701"/>
        <v/>
      </c>
      <c r="Y2234" s="119">
        <f t="shared" si="2702"/>
        <v>0.28659936586610296</v>
      </c>
      <c r="Z2234" s="117">
        <f t="shared" si="2703"/>
        <v>9200.25</v>
      </c>
      <c r="AA2234" s="119">
        <f t="shared" si="2704"/>
        <v>0.71340063413389698</v>
      </c>
      <c r="AB2234" s="120">
        <f t="shared" si="2705"/>
        <v>588.78000000000065</v>
      </c>
      <c r="AC2234" s="119">
        <f t="shared" si="2706"/>
        <v>4.5654849092726435E-2</v>
      </c>
      <c r="AD2234" s="110" t="s">
        <v>2856</v>
      </c>
    </row>
    <row r="2235" spans="1:33" ht="11.25" customHeight="1" x14ac:dyDescent="0.15">
      <c r="A2235" s="110" t="s">
        <v>2839</v>
      </c>
      <c r="B2235" s="110"/>
      <c r="C2235" s="111" t="s">
        <v>37</v>
      </c>
      <c r="D2235" s="2">
        <v>2023</v>
      </c>
      <c r="E2235" s="274">
        <v>44957</v>
      </c>
      <c r="G2235" s="2">
        <v>310800202</v>
      </c>
      <c r="K2235" s="107" t="s">
        <v>458</v>
      </c>
      <c r="L2235" s="47">
        <v>40335</v>
      </c>
      <c r="M2235" s="47">
        <v>13310.51</v>
      </c>
      <c r="N2235" s="120">
        <f t="shared" si="2698"/>
        <v>27024.489999999998</v>
      </c>
      <c r="O2235" s="119">
        <f>IFERROR(N2235/L2235,"")</f>
        <v>0.67000099169455807</v>
      </c>
      <c r="P2235" s="47">
        <v>40335</v>
      </c>
      <c r="Q2235" s="2">
        <v>1028</v>
      </c>
      <c r="R2235" s="5">
        <v>21</v>
      </c>
      <c r="S2235" s="5">
        <v>837.84</v>
      </c>
      <c r="U2235" s="5">
        <v>12590.58</v>
      </c>
      <c r="W2235" s="52">
        <f t="shared" si="2700"/>
        <v>13428.42</v>
      </c>
      <c r="X2235" s="118">
        <f t="shared" si="2701"/>
        <v>39.89714285714286</v>
      </c>
      <c r="Y2235" s="119">
        <f t="shared" si="2702"/>
        <v>0.31215024172554851</v>
      </c>
      <c r="Z2235" s="117">
        <f t="shared" si="2703"/>
        <v>26906.58</v>
      </c>
      <c r="AA2235" s="119">
        <f t="shared" si="2704"/>
        <v>0.66707772406098931</v>
      </c>
      <c r="AB2235" s="120">
        <f t="shared" si="2705"/>
        <v>-117.90999999999985</v>
      </c>
      <c r="AC2235" s="119">
        <f t="shared" si="2706"/>
        <v>-2.9232676335687602E-3</v>
      </c>
      <c r="AD2235" s="110"/>
    </row>
    <row r="2236" spans="1:33" ht="11.25" customHeight="1" x14ac:dyDescent="0.15">
      <c r="A2236" s="326" t="s">
        <v>2839</v>
      </c>
      <c r="B2236" s="319" t="s">
        <v>2842</v>
      </c>
      <c r="C2236" s="111" t="s">
        <v>47</v>
      </c>
      <c r="D2236" s="327">
        <v>2025</v>
      </c>
      <c r="E2236" s="274">
        <v>46022</v>
      </c>
      <c r="G2236" s="2">
        <v>510101112</v>
      </c>
      <c r="K2236" s="107" t="s">
        <v>1491</v>
      </c>
      <c r="L2236" s="47">
        <v>32162</v>
      </c>
      <c r="M2236" s="47">
        <v>8718.7999999999993</v>
      </c>
      <c r="N2236" s="120">
        <f t="shared" si="2698"/>
        <v>23443.200000000001</v>
      </c>
      <c r="O2236" s="119">
        <f t="shared" ref="O2236:O2241" si="2707">IFERROR(N2236/L2236,"")</f>
        <v>0.72890989366332937</v>
      </c>
      <c r="P2236" s="47">
        <v>32162</v>
      </c>
      <c r="Q2236" s="2">
        <v>1029</v>
      </c>
      <c r="R2236" s="5">
        <v>85</v>
      </c>
      <c r="S2236" s="5">
        <v>4752.37</v>
      </c>
      <c r="T2236" s="5">
        <v>2042.76</v>
      </c>
      <c r="U2236" s="5">
        <v>3547.05</v>
      </c>
      <c r="W2236" s="52">
        <f t="shared" si="2700"/>
        <v>10342.18</v>
      </c>
      <c r="X2236" s="118">
        <f t="shared" si="2701"/>
        <v>55.910235294117648</v>
      </c>
      <c r="Y2236" s="119">
        <f t="shared" si="2702"/>
        <v>0.1102869846402587</v>
      </c>
      <c r="Z2236" s="117">
        <f t="shared" si="2703"/>
        <v>21819.82</v>
      </c>
      <c r="AA2236" s="119">
        <f t="shared" si="2704"/>
        <v>0.67843479883091851</v>
      </c>
      <c r="AB2236" s="120">
        <f t="shared" si="2705"/>
        <v>-1623.380000000001</v>
      </c>
      <c r="AC2236" s="119">
        <f t="shared" si="2706"/>
        <v>-5.0475094832410861E-2</v>
      </c>
      <c r="AD2236" s="110" t="s">
        <v>2855</v>
      </c>
    </row>
    <row r="2237" spans="1:33" ht="11.25" customHeight="1" x14ac:dyDescent="0.15">
      <c r="A2237" s="326" t="s">
        <v>2839</v>
      </c>
      <c r="B2237" s="110"/>
      <c r="C2237" s="111" t="s">
        <v>248</v>
      </c>
      <c r="D2237" s="327">
        <v>2025</v>
      </c>
      <c r="E2237" s="274">
        <v>46022</v>
      </c>
      <c r="G2237" s="2">
        <v>960000002</v>
      </c>
      <c r="K2237" s="112" t="s">
        <v>250</v>
      </c>
      <c r="L2237" s="47">
        <v>15158</v>
      </c>
      <c r="M2237" s="47">
        <v>6199</v>
      </c>
      <c r="N2237" s="120">
        <f t="shared" si="2698"/>
        <v>8959</v>
      </c>
      <c r="O2237" s="119">
        <f t="shared" si="2707"/>
        <v>0.59104103443726086</v>
      </c>
      <c r="P2237" s="47">
        <v>15158</v>
      </c>
      <c r="Q2237" s="2">
        <v>1030</v>
      </c>
      <c r="R2237" s="5">
        <v>7.5</v>
      </c>
      <c r="S2237" s="5">
        <v>424.13</v>
      </c>
      <c r="W2237" s="52">
        <f t="shared" si="2700"/>
        <v>424.13</v>
      </c>
      <c r="X2237" s="118">
        <f t="shared" si="2701"/>
        <v>56.550666666666665</v>
      </c>
      <c r="Y2237" s="119">
        <f t="shared" si="2702"/>
        <v>0</v>
      </c>
      <c r="Z2237" s="117">
        <f t="shared" si="2703"/>
        <v>14733.87</v>
      </c>
      <c r="AA2237" s="119">
        <f t="shared" si="2704"/>
        <v>0.97201939569864104</v>
      </c>
      <c r="AB2237" s="120">
        <f t="shared" si="2705"/>
        <v>5774.87</v>
      </c>
      <c r="AC2237" s="119">
        <f t="shared" si="2706"/>
        <v>0.38097836126138018</v>
      </c>
    </row>
    <row r="2238" spans="1:33" ht="11.25" customHeight="1" x14ac:dyDescent="0.15">
      <c r="A2238" s="326" t="s">
        <v>2839</v>
      </c>
      <c r="B2238" s="110"/>
      <c r="C2238" s="111" t="s">
        <v>58</v>
      </c>
      <c r="D2238" s="327">
        <v>2025</v>
      </c>
      <c r="E2238" s="274">
        <v>46022</v>
      </c>
      <c r="G2238" s="2">
        <v>711520123</v>
      </c>
      <c r="K2238" s="112" t="s">
        <v>712</v>
      </c>
      <c r="L2238" s="47">
        <v>16128</v>
      </c>
      <c r="M2238" s="47">
        <v>1329</v>
      </c>
      <c r="N2238" s="120">
        <f>L2238-M2238</f>
        <v>14799</v>
      </c>
      <c r="O2238" s="119">
        <f t="shared" si="2707"/>
        <v>0.91759672619047616</v>
      </c>
      <c r="P2238" s="47">
        <v>16128</v>
      </c>
      <c r="Q2238" s="2">
        <v>1031</v>
      </c>
      <c r="U2238" s="5">
        <v>3747.76</v>
      </c>
      <c r="W2238" s="52">
        <f t="shared" si="2700"/>
        <v>3747.76</v>
      </c>
      <c r="X2238" s="118" t="str">
        <f t="shared" si="2701"/>
        <v/>
      </c>
      <c r="Y2238" s="119">
        <f t="shared" si="2702"/>
        <v>0.23237599206349208</v>
      </c>
      <c r="Z2238" s="117">
        <f t="shared" si="2703"/>
        <v>12380.24</v>
      </c>
      <c r="AA2238" s="119">
        <f t="shared" si="2704"/>
        <v>0.76762400793650787</v>
      </c>
      <c r="AB2238" s="120">
        <f t="shared" si="2705"/>
        <v>-2418.7600000000002</v>
      </c>
      <c r="AC2238" s="119">
        <f t="shared" si="2706"/>
        <v>-0.1499727182539683</v>
      </c>
      <c r="AD2238" s="110" t="s">
        <v>2853</v>
      </c>
    </row>
    <row r="2239" spans="1:33" ht="11.25" customHeight="1" x14ac:dyDescent="0.15">
      <c r="A2239" s="326" t="s">
        <v>2839</v>
      </c>
      <c r="B2239" s="110"/>
      <c r="C2239" s="111" t="s">
        <v>49</v>
      </c>
      <c r="D2239" s="327">
        <v>2025</v>
      </c>
      <c r="E2239" s="274">
        <v>46022</v>
      </c>
      <c r="G2239" s="2">
        <v>616520123</v>
      </c>
      <c r="K2239" s="112" t="s">
        <v>85</v>
      </c>
      <c r="L2239" s="47">
        <v>12412</v>
      </c>
      <c r="M2239" s="47">
        <v>3973.44</v>
      </c>
      <c r="N2239" s="120">
        <f t="shared" ref="N2239:N2240" si="2708">L2239-M2239</f>
        <v>8438.56</v>
      </c>
      <c r="O2239" s="119">
        <f t="shared" si="2707"/>
        <v>0.67987109249113753</v>
      </c>
      <c r="P2239" s="47">
        <v>12412</v>
      </c>
      <c r="Q2239" s="2">
        <v>1032</v>
      </c>
      <c r="R2239" s="320">
        <v>30</v>
      </c>
      <c r="S2239" s="320">
        <v>1936.5</v>
      </c>
      <c r="T2239" s="320">
        <f>567+544.55</f>
        <v>1111.55</v>
      </c>
      <c r="U2239" s="320"/>
      <c r="V2239" s="320"/>
      <c r="W2239" s="52">
        <f t="shared" si="2700"/>
        <v>3048.05</v>
      </c>
      <c r="X2239" s="118">
        <f t="shared" si="2701"/>
        <v>64.55</v>
      </c>
      <c r="Y2239" s="119">
        <f t="shared" si="2702"/>
        <v>0</v>
      </c>
      <c r="Z2239" s="117">
        <f t="shared" si="2703"/>
        <v>9363.9500000000007</v>
      </c>
      <c r="AA2239" s="119">
        <f t="shared" si="2704"/>
        <v>0.75442716725749281</v>
      </c>
      <c r="AB2239" s="120">
        <f t="shared" si="2705"/>
        <v>925.38999999999987</v>
      </c>
      <c r="AC2239" s="119">
        <f t="shared" si="2706"/>
        <v>7.4556074766355285E-2</v>
      </c>
    </row>
    <row r="2240" spans="1:33" ht="11.25" customHeight="1" x14ac:dyDescent="0.15">
      <c r="A2240" s="110" t="s">
        <v>2839</v>
      </c>
      <c r="B2240" s="110"/>
      <c r="C2240" s="111" t="s">
        <v>55</v>
      </c>
      <c r="D2240" s="2">
        <v>2023</v>
      </c>
      <c r="E2240" s="274">
        <v>46022</v>
      </c>
      <c r="G2240" s="111" t="s">
        <v>56</v>
      </c>
      <c r="K2240" s="112" t="s">
        <v>71</v>
      </c>
      <c r="L2240" s="47">
        <v>6994</v>
      </c>
      <c r="M2240" s="47">
        <v>3497</v>
      </c>
      <c r="N2240" s="120">
        <f t="shared" si="2708"/>
        <v>3497</v>
      </c>
      <c r="O2240" s="119">
        <f t="shared" si="2707"/>
        <v>0.5</v>
      </c>
      <c r="P2240" s="47">
        <v>6994</v>
      </c>
      <c r="Q2240" s="111" t="s">
        <v>2854</v>
      </c>
      <c r="R2240" s="5">
        <v>11.5</v>
      </c>
      <c r="S2240" s="5">
        <v>488.75</v>
      </c>
      <c r="V2240" s="5">
        <f>2196+123.67</f>
        <v>2319.67</v>
      </c>
      <c r="W2240" s="52">
        <f t="shared" si="2700"/>
        <v>2808.42</v>
      </c>
      <c r="X2240" s="118">
        <f t="shared" si="2701"/>
        <v>42.5</v>
      </c>
      <c r="Y2240" s="119">
        <f t="shared" si="2702"/>
        <v>0</v>
      </c>
      <c r="Z2240" s="117">
        <f t="shared" si="2703"/>
        <v>4185.58</v>
      </c>
      <c r="AA2240" s="119">
        <f t="shared" si="2704"/>
        <v>0.59845295967972545</v>
      </c>
      <c r="AB2240" s="120">
        <f t="shared" si="2705"/>
        <v>688.57999999999993</v>
      </c>
      <c r="AC2240" s="119">
        <f t="shared" si="2706"/>
        <v>9.8452959679725449E-2</v>
      </c>
    </row>
    <row r="2241" spans="1:33" s="53" customFormat="1" ht="11.25" customHeight="1" x14ac:dyDescent="0.15">
      <c r="A2241" s="53" t="s">
        <v>2839</v>
      </c>
      <c r="C2241" s="54"/>
      <c r="D2241" s="54"/>
      <c r="E2241" s="70"/>
      <c r="F2241" s="54"/>
      <c r="G2241" s="54"/>
      <c r="H2241" s="54"/>
      <c r="I2241" s="54"/>
      <c r="J2241" s="54"/>
      <c r="K2241" s="106"/>
      <c r="L2241" s="24">
        <f>SUM(L2231:L2240)</f>
        <v>279612</v>
      </c>
      <c r="M2241" s="24">
        <f>SUM(M2231:M2240)</f>
        <v>78788.570000000007</v>
      </c>
      <c r="N2241" s="24">
        <f>SUM(N2231:N2240)</f>
        <v>200823.43</v>
      </c>
      <c r="O2241" s="57">
        <f t="shared" si="2707"/>
        <v>0.7182217859033232</v>
      </c>
      <c r="P2241" s="24">
        <f>SUM(P2231:P2240)</f>
        <v>279612</v>
      </c>
      <c r="Q2241" s="24"/>
      <c r="R2241" s="24">
        <f>SUM(R2231:R2240)</f>
        <v>205.5</v>
      </c>
      <c r="S2241" s="24">
        <f t="shared" ref="S2241:V2241" si="2709">SUM(S2231:S2240)</f>
        <v>10421.76</v>
      </c>
      <c r="T2241" s="24">
        <f t="shared" si="2709"/>
        <v>3154.31</v>
      </c>
      <c r="U2241" s="24">
        <f t="shared" si="2709"/>
        <v>63384.150000000009</v>
      </c>
      <c r="V2241" s="24">
        <f t="shared" si="2709"/>
        <v>2319.67</v>
      </c>
      <c r="W2241" s="24">
        <f>SUM(S2241:V2241)</f>
        <v>79279.89</v>
      </c>
      <c r="X2241" s="56">
        <f t="shared" si="2701"/>
        <v>50.714160583941606</v>
      </c>
      <c r="Y2241" s="119">
        <f t="shared" si="2702"/>
        <v>0.22668608643405866</v>
      </c>
      <c r="Z2241" s="28">
        <f t="shared" si="2703"/>
        <v>200332.11</v>
      </c>
      <c r="AA2241" s="119">
        <f>IFERROR(Z2241/P2241,0)</f>
        <v>0.71646463671087068</v>
      </c>
      <c r="AB2241" s="58">
        <f>M2241-W2241</f>
        <v>-491.31999999999243</v>
      </c>
      <c r="AC2241" s="57">
        <f>IFERROR(AA2241-O2241,"")</f>
        <v>-1.7571491924525118E-3</v>
      </c>
      <c r="AG2241" s="61"/>
    </row>
    <row r="2242" spans="1:33" s="110" customFormat="1" ht="11.25" customHeight="1" x14ac:dyDescent="0.15">
      <c r="A2242" s="130"/>
      <c r="B2242" s="130"/>
      <c r="C2242" s="124"/>
      <c r="D2242" s="124"/>
      <c r="E2242" s="273"/>
      <c r="F2242" s="124"/>
      <c r="G2242" s="124"/>
      <c r="H2242" s="124"/>
      <c r="I2242" s="124"/>
      <c r="J2242" s="124"/>
      <c r="K2242" s="125"/>
      <c r="L2242" s="220"/>
      <c r="M2242" s="220"/>
      <c r="N2242" s="129"/>
      <c r="O2242" s="128"/>
      <c r="P2242" s="129"/>
      <c r="Q2242" s="124"/>
      <c r="R2242" s="129"/>
      <c r="S2242" s="129"/>
      <c r="T2242" s="129"/>
      <c r="U2242" s="129"/>
      <c r="V2242" s="126"/>
      <c r="W2242" s="49"/>
      <c r="X2242" s="45"/>
      <c r="Y2242" s="128"/>
      <c r="Z2242" s="126"/>
      <c r="AA2242" s="128"/>
      <c r="AB2242" s="129"/>
      <c r="AC2242" s="160"/>
      <c r="AD2242" s="137"/>
      <c r="AG2242" s="121"/>
    </row>
    <row r="2243" spans="1:33" ht="11.25" customHeight="1" x14ac:dyDescent="0.15">
      <c r="A2243" s="110" t="s">
        <v>418</v>
      </c>
      <c r="B2243" s="319" t="s">
        <v>2841</v>
      </c>
      <c r="C2243" s="111" t="s">
        <v>175</v>
      </c>
      <c r="D2243" s="111">
        <v>2025</v>
      </c>
      <c r="E2243" s="274">
        <v>45991</v>
      </c>
      <c r="G2243" s="2">
        <v>81100011</v>
      </c>
      <c r="H2243" s="111">
        <v>4111</v>
      </c>
      <c r="I2243" s="111" t="str">
        <f>MID(G2243,2,1)</f>
        <v>1</v>
      </c>
      <c r="J2243" s="111" t="str">
        <f>IF(I2243="1","Small/Medium","Large")</f>
        <v>Small/Medium</v>
      </c>
      <c r="K2243" s="112" t="s">
        <v>145</v>
      </c>
      <c r="L2243" s="47">
        <v>10387</v>
      </c>
      <c r="M2243" s="120">
        <f t="shared" ref="M2243" si="2710">L2243*0.3</f>
        <v>3116.1</v>
      </c>
      <c r="N2243" s="120">
        <f>L2243-M2243</f>
        <v>7270.9</v>
      </c>
      <c r="O2243" s="119">
        <f t="shared" ref="O2243" si="2711">IFERROR(N2243/L2243,"")</f>
        <v>0.7</v>
      </c>
      <c r="P2243" s="47">
        <v>10387</v>
      </c>
      <c r="Q2243" s="2">
        <v>5345</v>
      </c>
      <c r="R2243" s="5">
        <v>8</v>
      </c>
      <c r="S2243" s="5">
        <v>439.04</v>
      </c>
      <c r="T2243" s="5">
        <v>211.68</v>
      </c>
      <c r="U2243" s="5">
        <v>395</v>
      </c>
      <c r="W2243" s="52">
        <f t="shared" ref="W2243" si="2712">SUM(S2243:V2243)</f>
        <v>1045.72</v>
      </c>
      <c r="X2243" s="118">
        <f t="shared" ref="X2243:X2244" si="2713">IFERROR(S2243/R2243,"")</f>
        <v>54.88</v>
      </c>
      <c r="Y2243" s="119">
        <f t="shared" ref="Y2243:Y2244" si="2714">IFERROR(U2243/P2243,0)</f>
        <v>3.8028304611533649E-2</v>
      </c>
      <c r="Z2243" s="117">
        <f t="shared" ref="Z2243:Z2244" si="2715">P2243-W2243</f>
        <v>9341.2800000000007</v>
      </c>
      <c r="AA2243" s="119">
        <f t="shared" ref="AA2243" si="2716">IFERROR(Z2243/P2243,0)</f>
        <v>0.89932415519399256</v>
      </c>
      <c r="AB2243" s="120">
        <f t="shared" ref="AB2243" si="2717">M2243-W2243</f>
        <v>2070.38</v>
      </c>
      <c r="AC2243" s="119">
        <f t="shared" ref="AC2243" si="2718">IFERROR(AA2243-O2243,"")</f>
        <v>0.1993241551939926</v>
      </c>
    </row>
    <row r="2244" spans="1:33" s="53" customFormat="1" ht="11.25" customHeight="1" x14ac:dyDescent="0.15">
      <c r="A2244" s="53" t="s">
        <v>418</v>
      </c>
      <c r="C2244" s="54"/>
      <c r="D2244" s="54"/>
      <c r="E2244" s="70"/>
      <c r="F2244" s="54"/>
      <c r="G2244" s="54"/>
      <c r="H2244" s="54"/>
      <c r="I2244" s="54"/>
      <c r="J2244" s="54"/>
      <c r="K2244" s="106"/>
      <c r="L2244" s="24">
        <f>SUM(L2243)</f>
        <v>10387</v>
      </c>
      <c r="M2244" s="24">
        <f t="shared" ref="M2244:N2244" si="2719">SUM(M2242:M2243)</f>
        <v>3116.1</v>
      </c>
      <c r="N2244" s="24">
        <f t="shared" si="2719"/>
        <v>7270.9</v>
      </c>
      <c r="O2244" s="57">
        <f>IFERROR(N2244/L2244,"")</f>
        <v>0.7</v>
      </c>
      <c r="P2244" s="24">
        <f>SUM(P2243)</f>
        <v>10387</v>
      </c>
      <c r="Q2244" s="24"/>
      <c r="R2244" s="24">
        <f>SUM(R2243)</f>
        <v>8</v>
      </c>
      <c r="S2244" s="24">
        <f t="shared" ref="S2244:V2244" si="2720">SUM(S2243)</f>
        <v>439.04</v>
      </c>
      <c r="T2244" s="24">
        <f t="shared" si="2720"/>
        <v>211.68</v>
      </c>
      <c r="U2244" s="24">
        <f t="shared" si="2720"/>
        <v>395</v>
      </c>
      <c r="V2244" s="24">
        <f t="shared" si="2720"/>
        <v>0</v>
      </c>
      <c r="W2244" s="24">
        <f>SUM(S2244:V2244)</f>
        <v>1045.72</v>
      </c>
      <c r="X2244" s="56">
        <f t="shared" si="2713"/>
        <v>54.88</v>
      </c>
      <c r="Y2244" s="119">
        <f t="shared" si="2714"/>
        <v>3.8028304611533649E-2</v>
      </c>
      <c r="Z2244" s="28">
        <f t="shared" si="2715"/>
        <v>9341.2800000000007</v>
      </c>
      <c r="AA2244" s="119">
        <f>IFERROR(Z2244/P2244,0)</f>
        <v>0.89932415519399256</v>
      </c>
      <c r="AB2244" s="58">
        <f>M2244-W2244</f>
        <v>2070.38</v>
      </c>
      <c r="AC2244" s="57">
        <f>IFERROR(AA2244-O2244,"")</f>
        <v>0.1993241551939926</v>
      </c>
      <c r="AG2244" s="61"/>
    </row>
    <row r="2245" spans="1:33" s="110" customFormat="1" ht="11.25" customHeight="1" x14ac:dyDescent="0.15">
      <c r="A2245" s="130"/>
      <c r="B2245" s="130"/>
      <c r="C2245" s="124"/>
      <c r="D2245" s="124"/>
      <c r="E2245" s="273"/>
      <c r="F2245" s="124"/>
      <c r="G2245" s="124"/>
      <c r="H2245" s="124"/>
      <c r="I2245" s="124"/>
      <c r="J2245" s="124"/>
      <c r="K2245" s="125"/>
      <c r="L2245" s="220"/>
      <c r="M2245" s="220"/>
      <c r="N2245" s="129"/>
      <c r="O2245" s="128"/>
      <c r="P2245" s="129"/>
      <c r="Q2245" s="124"/>
      <c r="R2245" s="129"/>
      <c r="S2245" s="129"/>
      <c r="T2245" s="129"/>
      <c r="U2245" s="129"/>
      <c r="V2245" s="126"/>
      <c r="W2245" s="49"/>
      <c r="X2245" s="45"/>
      <c r="Y2245" s="128"/>
      <c r="Z2245" s="126"/>
      <c r="AA2245" s="128"/>
      <c r="AB2245" s="129"/>
      <c r="AC2245" s="160"/>
      <c r="AD2245" s="137"/>
      <c r="AG2245" s="121"/>
    </row>
    <row r="2246" spans="1:33" ht="11.25" customHeight="1" x14ac:dyDescent="0.15">
      <c r="A2246" s="110" t="s">
        <v>296</v>
      </c>
      <c r="B2246" s="319" t="s">
        <v>2861</v>
      </c>
      <c r="C2246" s="111" t="s">
        <v>175</v>
      </c>
      <c r="D2246" s="111">
        <v>2025</v>
      </c>
      <c r="E2246" s="274">
        <v>46022</v>
      </c>
      <c r="G2246" s="2">
        <v>81000311</v>
      </c>
      <c r="H2246" s="2">
        <v>4101</v>
      </c>
      <c r="I2246" s="111" t="str">
        <f>MID(G2246,2,1)</f>
        <v>1</v>
      </c>
      <c r="J2246" s="111" t="str">
        <f>IF(I2246="1","Small/Medium","Large")</f>
        <v>Small/Medium</v>
      </c>
      <c r="K2246" s="112" t="s">
        <v>145</v>
      </c>
      <c r="L2246" s="47">
        <v>14032</v>
      </c>
      <c r="M2246" s="120">
        <f t="shared" ref="M2246:M2247" si="2721">L2246*0.3</f>
        <v>4209.5999999999995</v>
      </c>
      <c r="N2246" s="120">
        <f t="shared" ref="N2246" si="2722">L2246-M2246</f>
        <v>9822.4000000000015</v>
      </c>
      <c r="O2246" s="119">
        <f t="shared" ref="O2246:O2247" si="2723">IFERROR(N2246/L2246,"")</f>
        <v>0.70000000000000007</v>
      </c>
      <c r="P2246" s="47">
        <v>14032</v>
      </c>
      <c r="Q2246" s="2">
        <v>5222</v>
      </c>
      <c r="R2246" s="5">
        <v>17</v>
      </c>
      <c r="S2246" s="5">
        <v>932.96</v>
      </c>
      <c r="T2246" s="5">
        <v>1138.7</v>
      </c>
      <c r="U2246" s="5">
        <v>347.5</v>
      </c>
      <c r="W2246" s="52">
        <f t="shared" ref="W2246:W2247" si="2724">SUM(S2246:V2246)</f>
        <v>2419.16</v>
      </c>
      <c r="X2246" s="118">
        <f t="shared" ref="X2246:X2248" si="2725">IFERROR(S2246/R2246,"")</f>
        <v>54.88</v>
      </c>
      <c r="Y2246" s="119">
        <f t="shared" ref="Y2246:Y2248" si="2726">IFERROR(U2246/P2246,0)</f>
        <v>2.4764823261117445E-2</v>
      </c>
      <c r="Z2246" s="117">
        <f t="shared" ref="Z2246:Z2248" si="2727">P2246-W2246</f>
        <v>11612.84</v>
      </c>
      <c r="AA2246" s="119">
        <f t="shared" ref="AA2246:AA2247" si="2728">IFERROR(Z2246/P2246,0)</f>
        <v>0.82759692132269103</v>
      </c>
      <c r="AB2246" s="120">
        <f t="shared" ref="AB2246:AB2247" si="2729">M2246-W2246</f>
        <v>1790.4399999999996</v>
      </c>
      <c r="AC2246" s="119">
        <f t="shared" ref="AC2246:AC2247" si="2730">IFERROR(AA2246-O2246,"")</f>
        <v>0.12759692132269096</v>
      </c>
    </row>
    <row r="2247" spans="1:33" ht="11.25" customHeight="1" x14ac:dyDescent="0.15">
      <c r="A2247" s="110" t="s">
        <v>296</v>
      </c>
      <c r="B2247" s="110"/>
      <c r="C2247" s="111" t="s">
        <v>175</v>
      </c>
      <c r="D2247" s="111">
        <v>2025</v>
      </c>
      <c r="E2247" s="274">
        <v>46022</v>
      </c>
      <c r="G2247" s="2">
        <v>82000311</v>
      </c>
      <c r="H2247" s="2">
        <v>4101</v>
      </c>
      <c r="I2247" s="111" t="str">
        <f>MID(G2247,2,1)</f>
        <v>2</v>
      </c>
      <c r="J2247" s="111" t="str">
        <f>IF(I2247="1","Small/Medium","Large")</f>
        <v>Large</v>
      </c>
      <c r="K2247" s="112" t="s">
        <v>176</v>
      </c>
      <c r="L2247" s="47">
        <v>18883</v>
      </c>
      <c r="M2247" s="120">
        <f t="shared" si="2721"/>
        <v>5664.9</v>
      </c>
      <c r="N2247" s="120">
        <f>L2247-M2247</f>
        <v>13218.1</v>
      </c>
      <c r="O2247" s="119">
        <f t="shared" si="2723"/>
        <v>0.70000000000000007</v>
      </c>
      <c r="P2247" s="47">
        <v>18883</v>
      </c>
      <c r="Q2247" s="2">
        <v>5223</v>
      </c>
      <c r="R2247" s="5">
        <v>17</v>
      </c>
      <c r="S2247" s="5">
        <v>932.96</v>
      </c>
      <c r="T2247" s="5">
        <v>1138.68</v>
      </c>
      <c r="U2247" s="5">
        <v>347.5</v>
      </c>
      <c r="W2247" s="52">
        <f t="shared" si="2724"/>
        <v>2419.1400000000003</v>
      </c>
      <c r="X2247" s="118">
        <f t="shared" si="2725"/>
        <v>54.88</v>
      </c>
      <c r="Y2247" s="119">
        <f t="shared" si="2726"/>
        <v>1.8402796165863475E-2</v>
      </c>
      <c r="Z2247" s="117">
        <f t="shared" si="2727"/>
        <v>16463.86</v>
      </c>
      <c r="AA2247" s="119">
        <f t="shared" si="2728"/>
        <v>0.87188794153471383</v>
      </c>
      <c r="AB2247" s="120">
        <f t="shared" si="2729"/>
        <v>3245.7599999999993</v>
      </c>
      <c r="AC2247" s="119">
        <f t="shared" si="2730"/>
        <v>0.17188794153471376</v>
      </c>
    </row>
    <row r="2248" spans="1:33" s="53" customFormat="1" ht="11.25" customHeight="1" x14ac:dyDescent="0.15">
      <c r="A2248" s="53" t="s">
        <v>2688</v>
      </c>
      <c r="C2248" s="54"/>
      <c r="D2248" s="54"/>
      <c r="E2248" s="70"/>
      <c r="F2248" s="54"/>
      <c r="G2248" s="54"/>
      <c r="H2248" s="54"/>
      <c r="I2248" s="54"/>
      <c r="J2248" s="54"/>
      <c r="K2248" s="106"/>
      <c r="L2248" s="24">
        <f>SUM(L2246:L2247)</f>
        <v>32915</v>
      </c>
      <c r="M2248" s="24">
        <f t="shared" ref="M2248:N2248" si="2731">SUM(M2246:M2247)</f>
        <v>9874.5</v>
      </c>
      <c r="N2248" s="24">
        <f t="shared" si="2731"/>
        <v>23040.5</v>
      </c>
      <c r="O2248" s="57">
        <f>IFERROR(N2248/L2248,"")</f>
        <v>0.7</v>
      </c>
      <c r="P2248" s="24">
        <f>SUM(P2246:P2247)</f>
        <v>32915</v>
      </c>
      <c r="Q2248" s="24"/>
      <c r="R2248" s="24">
        <f>SUM(R2246:R2247)</f>
        <v>34</v>
      </c>
      <c r="S2248" s="24">
        <f t="shared" ref="S2248:U2248" si="2732">SUM(S2246:S2247)</f>
        <v>1865.92</v>
      </c>
      <c r="T2248" s="24">
        <f t="shared" si="2732"/>
        <v>2277.38</v>
      </c>
      <c r="U2248" s="24">
        <f t="shared" si="2732"/>
        <v>695</v>
      </c>
      <c r="V2248" s="24">
        <f t="shared" ref="V2248" si="2733">SUM(V2246:V2247)</f>
        <v>0</v>
      </c>
      <c r="W2248" s="24">
        <f>SUM(S2248:V2248)</f>
        <v>4838.3</v>
      </c>
      <c r="X2248" s="56">
        <f t="shared" si="2725"/>
        <v>54.88</v>
      </c>
      <c r="Y2248" s="119">
        <f t="shared" si="2726"/>
        <v>2.1114993164210845E-2</v>
      </c>
      <c r="Z2248" s="28">
        <f t="shared" si="2727"/>
        <v>28076.7</v>
      </c>
      <c r="AA2248" s="119">
        <f>IFERROR(Z2248/P2248,0)</f>
        <v>0.85300622816345129</v>
      </c>
      <c r="AB2248" s="58">
        <f>M2248-W2248</f>
        <v>5036.2</v>
      </c>
      <c r="AC2248" s="57">
        <f>IFERROR(AA2248-O2248,"")</f>
        <v>0.15300622816345133</v>
      </c>
      <c r="AG2248" s="61"/>
    </row>
    <row r="2249" spans="1:33" s="110" customFormat="1" ht="11.25" customHeight="1" x14ac:dyDescent="0.15">
      <c r="A2249" s="130"/>
      <c r="B2249" s="130"/>
      <c r="C2249" s="124"/>
      <c r="D2249" s="124"/>
      <c r="E2249" s="273"/>
      <c r="F2249" s="124"/>
      <c r="G2249" s="124"/>
      <c r="H2249" s="124"/>
      <c r="I2249" s="124"/>
      <c r="J2249" s="124"/>
      <c r="K2249" s="125"/>
      <c r="L2249" s="220"/>
      <c r="M2249" s="220"/>
      <c r="N2249" s="129"/>
      <c r="O2249" s="128"/>
      <c r="P2249" s="129"/>
      <c r="Q2249" s="124"/>
      <c r="R2249" s="129"/>
      <c r="S2249" s="129"/>
      <c r="T2249" s="129"/>
      <c r="U2249" s="129"/>
      <c r="V2249" s="126"/>
      <c r="W2249" s="49"/>
      <c r="X2249" s="45"/>
      <c r="Y2249" s="128"/>
      <c r="Z2249" s="126"/>
      <c r="AA2249" s="128"/>
      <c r="AB2249" s="129"/>
      <c r="AC2249" s="160"/>
      <c r="AD2249" s="137"/>
      <c r="AG2249" s="121"/>
    </row>
    <row r="2250" spans="1:33" ht="11.25" customHeight="1" x14ac:dyDescent="0.15">
      <c r="A2250" s="108" t="s">
        <v>324</v>
      </c>
      <c r="B2250" s="319" t="s">
        <v>2860</v>
      </c>
      <c r="C2250" s="111" t="s">
        <v>175</v>
      </c>
      <c r="E2250" s="274">
        <v>46022</v>
      </c>
      <c r="G2250" s="2">
        <v>81110111</v>
      </c>
      <c r="H2250" s="111">
        <v>4111</v>
      </c>
      <c r="I2250" s="111" t="str">
        <f>MID(G2250,2,1)</f>
        <v>1</v>
      </c>
      <c r="J2250" s="111" t="str">
        <f>IF(I2250="1","Small/Medium","Large")</f>
        <v>Small/Medium</v>
      </c>
      <c r="K2250" s="112" t="s">
        <v>145</v>
      </c>
      <c r="L2250" s="47">
        <v>27598.400000000001</v>
      </c>
      <c r="M2250" s="120">
        <f t="shared" ref="M2250:M2251" si="2734">L2250*0.3</f>
        <v>8279.52</v>
      </c>
      <c r="N2250" s="120">
        <f t="shared" ref="N2250" si="2735">L2250-M2250</f>
        <v>19318.88</v>
      </c>
      <c r="O2250" s="119">
        <f t="shared" ref="O2250:O2251" si="2736">IFERROR(N2250/L2250,"")</f>
        <v>0.7</v>
      </c>
      <c r="P2250" s="47">
        <v>27598.400000000001</v>
      </c>
      <c r="Q2250" s="2">
        <v>6327</v>
      </c>
      <c r="R2250" s="5">
        <v>32</v>
      </c>
      <c r="S2250" s="5">
        <v>2608.96</v>
      </c>
      <c r="T2250" s="5">
        <v>1610.54</v>
      </c>
      <c r="W2250" s="52">
        <f t="shared" ref="W2250:W2251" si="2737">SUM(S2250:V2250)</f>
        <v>4219.5</v>
      </c>
      <c r="X2250" s="118">
        <f t="shared" ref="X2250:X2252" si="2738">IFERROR(S2250/R2250,"")</f>
        <v>81.53</v>
      </c>
      <c r="Y2250" s="119">
        <f t="shared" ref="Y2250:Y2252" si="2739">IFERROR(U2250/P2250,0)</f>
        <v>0</v>
      </c>
      <c r="Z2250" s="117">
        <f t="shared" ref="Z2250:Z2252" si="2740">P2250-W2250</f>
        <v>23378.9</v>
      </c>
      <c r="AA2250" s="119">
        <f t="shared" ref="AA2250:AA2251" si="2741">IFERROR(Z2250/P2250,0)</f>
        <v>0.8471107020696852</v>
      </c>
      <c r="AB2250" s="120">
        <f t="shared" ref="AB2250:AB2251" si="2742">M2250-W2250</f>
        <v>4060.0200000000004</v>
      </c>
      <c r="AC2250" s="119">
        <f t="shared" ref="AC2250:AC2251" si="2743">IFERROR(AA2250-O2250,"")</f>
        <v>0.14711070206968524</v>
      </c>
    </row>
    <row r="2251" spans="1:33" ht="11.25" customHeight="1" x14ac:dyDescent="0.15">
      <c r="A2251" s="108" t="s">
        <v>324</v>
      </c>
      <c r="B2251" s="110"/>
      <c r="C2251" s="111" t="s">
        <v>175</v>
      </c>
      <c r="E2251" s="274">
        <v>46022</v>
      </c>
      <c r="G2251" s="2">
        <v>82110111</v>
      </c>
      <c r="H2251" s="111">
        <v>4111</v>
      </c>
      <c r="I2251" s="111" t="str">
        <f>MID(G2251,2,1)</f>
        <v>2</v>
      </c>
      <c r="J2251" s="111" t="str">
        <f>IF(I2251="1","Small/Medium","Large")</f>
        <v>Large</v>
      </c>
      <c r="K2251" s="112" t="s">
        <v>176</v>
      </c>
      <c r="L2251" s="47">
        <v>17709.45</v>
      </c>
      <c r="M2251" s="120">
        <f t="shared" si="2734"/>
        <v>5312.835</v>
      </c>
      <c r="N2251" s="120">
        <f>L2251-M2251</f>
        <v>12396.615000000002</v>
      </c>
      <c r="O2251" s="119">
        <f t="shared" si="2736"/>
        <v>0.70000000000000007</v>
      </c>
      <c r="P2251" s="47">
        <v>17709.45</v>
      </c>
      <c r="Q2251" s="2">
        <v>6326</v>
      </c>
      <c r="R2251" s="5">
        <v>36.5</v>
      </c>
      <c r="S2251" s="5">
        <v>2975.85</v>
      </c>
      <c r="T2251" s="5">
        <v>1604.55</v>
      </c>
      <c r="W2251" s="52">
        <f t="shared" si="2737"/>
        <v>4580.3999999999996</v>
      </c>
      <c r="X2251" s="118">
        <f t="shared" si="2738"/>
        <v>81.530136986301372</v>
      </c>
      <c r="Y2251" s="119">
        <f t="shared" si="2739"/>
        <v>0</v>
      </c>
      <c r="Z2251" s="117">
        <f t="shared" si="2740"/>
        <v>13129.050000000001</v>
      </c>
      <c r="AA2251" s="119">
        <f t="shared" si="2741"/>
        <v>0.7413584272803504</v>
      </c>
      <c r="AB2251" s="120">
        <f t="shared" si="2742"/>
        <v>732.4350000000004</v>
      </c>
      <c r="AC2251" s="119">
        <f t="shared" si="2743"/>
        <v>4.1358427280350329E-2</v>
      </c>
    </row>
    <row r="2252" spans="1:33" s="53" customFormat="1" ht="11.25" customHeight="1" x14ac:dyDescent="0.15">
      <c r="A2252" s="53" t="s">
        <v>324</v>
      </c>
      <c r="C2252" s="54"/>
      <c r="D2252" s="54"/>
      <c r="E2252" s="70"/>
      <c r="F2252" s="54"/>
      <c r="G2252" s="54"/>
      <c r="H2252" s="54"/>
      <c r="I2252" s="54"/>
      <c r="J2252" s="54"/>
      <c r="K2252" s="106"/>
      <c r="L2252" s="24">
        <f>SUM(L2250:L2251)</f>
        <v>45307.850000000006</v>
      </c>
      <c r="M2252" s="24">
        <f t="shared" ref="M2252:N2252" si="2744">SUM(M2250:M2251)</f>
        <v>13592.355</v>
      </c>
      <c r="N2252" s="24">
        <f t="shared" si="2744"/>
        <v>31715.495000000003</v>
      </c>
      <c r="O2252" s="57">
        <f>IFERROR(N2252/L2252,"")</f>
        <v>0.7</v>
      </c>
      <c r="P2252" s="24">
        <f>SUM(P2250:P2251)</f>
        <v>45307.850000000006</v>
      </c>
      <c r="Q2252" s="24"/>
      <c r="R2252" s="24">
        <f>SUM(R2250:R2251)</f>
        <v>68.5</v>
      </c>
      <c r="S2252" s="24">
        <f t="shared" ref="S2252:V2252" si="2745">SUM(S2250:S2251)</f>
        <v>5584.8099999999995</v>
      </c>
      <c r="T2252" s="24">
        <f t="shared" si="2745"/>
        <v>3215.09</v>
      </c>
      <c r="U2252" s="24">
        <f t="shared" si="2745"/>
        <v>0</v>
      </c>
      <c r="V2252" s="24">
        <f t="shared" si="2745"/>
        <v>0</v>
      </c>
      <c r="W2252" s="24">
        <f>SUM(S2252:V2252)</f>
        <v>8799.9</v>
      </c>
      <c r="X2252" s="56">
        <f t="shared" si="2738"/>
        <v>81.530072992700724</v>
      </c>
      <c r="Y2252" s="119">
        <f t="shared" si="2739"/>
        <v>0</v>
      </c>
      <c r="Z2252" s="28">
        <f t="shared" si="2740"/>
        <v>36507.950000000004</v>
      </c>
      <c r="AA2252" s="119">
        <f>IFERROR(Z2252/P2252,0)</f>
        <v>0.8057753788802603</v>
      </c>
      <c r="AB2252" s="58">
        <f>M2252-W2252</f>
        <v>4792.4549999999999</v>
      </c>
      <c r="AC2252" s="57">
        <f>IFERROR(AA2252-O2252,"")</f>
        <v>0.10577537888026034</v>
      </c>
      <c r="AG2252" s="61"/>
    </row>
    <row r="2253" spans="1:33" s="110" customFormat="1" ht="11.25" customHeight="1" x14ac:dyDescent="0.15">
      <c r="A2253" s="130"/>
      <c r="B2253" s="130"/>
      <c r="C2253" s="124"/>
      <c r="D2253" s="124"/>
      <c r="E2253" s="273"/>
      <c r="F2253" s="124"/>
      <c r="G2253" s="124"/>
      <c r="H2253" s="124"/>
      <c r="I2253" s="124"/>
      <c r="J2253" s="124"/>
      <c r="K2253" s="125"/>
      <c r="L2253" s="220"/>
      <c r="M2253" s="220"/>
      <c r="N2253" s="129"/>
      <c r="O2253" s="128"/>
      <c r="P2253" s="220"/>
      <c r="Q2253" s="124"/>
      <c r="R2253" s="129"/>
      <c r="S2253" s="129"/>
      <c r="T2253" s="129"/>
      <c r="U2253" s="129"/>
      <c r="V2253" s="126"/>
      <c r="W2253" s="49"/>
      <c r="X2253" s="45"/>
      <c r="Y2253" s="128"/>
      <c r="Z2253" s="126"/>
      <c r="AA2253" s="128"/>
      <c r="AB2253" s="129"/>
      <c r="AC2253" s="160"/>
      <c r="AD2253" s="137"/>
      <c r="AG2253" s="121"/>
    </row>
    <row r="2254" spans="1:33" ht="11.25" customHeight="1" x14ac:dyDescent="0.15">
      <c r="A2254" s="108" t="s">
        <v>322</v>
      </c>
      <c r="B2254" s="319" t="s">
        <v>2860</v>
      </c>
      <c r="C2254" s="111" t="s">
        <v>175</v>
      </c>
      <c r="E2254" s="274">
        <v>46022</v>
      </c>
      <c r="G2254" s="2">
        <v>81110111</v>
      </c>
      <c r="H2254" s="111">
        <v>4111</v>
      </c>
      <c r="I2254" s="111" t="str">
        <f>MID(G2254,2,1)</f>
        <v>1</v>
      </c>
      <c r="J2254" s="111" t="str">
        <f>IF(I2254="1","Small/Medium","Large")</f>
        <v>Small/Medium</v>
      </c>
      <c r="K2254" s="112" t="s">
        <v>145</v>
      </c>
      <c r="L2254" s="47">
        <v>27598.42</v>
      </c>
      <c r="M2254" s="120">
        <f t="shared" ref="M2254" si="2746">L2254*0.3</f>
        <v>8279.5259999999998</v>
      </c>
      <c r="N2254" s="120">
        <f>L2254-M2254</f>
        <v>19318.894</v>
      </c>
      <c r="O2254" s="119">
        <f t="shared" ref="O2254" si="2747">IFERROR(N2254/L2254,"")</f>
        <v>0.70000000000000007</v>
      </c>
      <c r="P2254" s="47">
        <v>27598.42</v>
      </c>
      <c r="Q2254" s="2">
        <v>6328</v>
      </c>
      <c r="R2254" s="5">
        <v>37.5</v>
      </c>
      <c r="S2254" s="5">
        <v>3057.39</v>
      </c>
      <c r="T2254" s="5">
        <v>1653.81</v>
      </c>
      <c r="W2254" s="52">
        <f t="shared" ref="W2254" si="2748">SUM(S2254:V2254)</f>
        <v>4711.2</v>
      </c>
      <c r="X2254" s="118">
        <f t="shared" ref="X2254:X2255" si="2749">IFERROR(S2254/R2254,"")</f>
        <v>81.5304</v>
      </c>
      <c r="Y2254" s="119">
        <f t="shared" ref="Y2254:Y2255" si="2750">IFERROR(U2254/P2254,0)</f>
        <v>0</v>
      </c>
      <c r="Z2254" s="117">
        <f t="shared" ref="Z2254:Z2255" si="2751">P2254-W2254</f>
        <v>22887.219999999998</v>
      </c>
      <c r="AA2254" s="119">
        <f t="shared" ref="AA2254" si="2752">IFERROR(Z2254/P2254,0)</f>
        <v>0.82929457555903563</v>
      </c>
      <c r="AB2254" s="120">
        <f t="shared" ref="AB2254" si="2753">M2254-W2254</f>
        <v>3568.326</v>
      </c>
      <c r="AC2254" s="119">
        <f t="shared" ref="AC2254" si="2754">IFERROR(AA2254-O2254,"")</f>
        <v>0.12929457555903556</v>
      </c>
    </row>
    <row r="2255" spans="1:33" s="53" customFormat="1" ht="11.25" customHeight="1" x14ac:dyDescent="0.15">
      <c r="A2255" s="53" t="s">
        <v>322</v>
      </c>
      <c r="C2255" s="54"/>
      <c r="D2255" s="54"/>
      <c r="E2255" s="70"/>
      <c r="F2255" s="54"/>
      <c r="G2255" s="54"/>
      <c r="H2255" s="54"/>
      <c r="I2255" s="54"/>
      <c r="J2255" s="54"/>
      <c r="K2255" s="106"/>
      <c r="L2255" s="24">
        <f>SUM(L2254)</f>
        <v>27598.42</v>
      </c>
      <c r="M2255" s="24">
        <f t="shared" ref="M2255:N2255" si="2755">SUM(M2253:M2254)</f>
        <v>8279.5259999999998</v>
      </c>
      <c r="N2255" s="24">
        <f t="shared" si="2755"/>
        <v>19318.894</v>
      </c>
      <c r="O2255" s="57">
        <f>IFERROR(N2255/L2255,"")</f>
        <v>0.70000000000000007</v>
      </c>
      <c r="P2255" s="24">
        <f>SUM(P2254)</f>
        <v>27598.42</v>
      </c>
      <c r="Q2255" s="24"/>
      <c r="R2255" s="24">
        <f>SUM(R2254)</f>
        <v>37.5</v>
      </c>
      <c r="S2255" s="24">
        <f t="shared" ref="S2255:V2255" si="2756">SUM(S2254)</f>
        <v>3057.39</v>
      </c>
      <c r="T2255" s="24">
        <f t="shared" si="2756"/>
        <v>1653.81</v>
      </c>
      <c r="U2255" s="24">
        <f t="shared" si="2756"/>
        <v>0</v>
      </c>
      <c r="V2255" s="24">
        <f t="shared" si="2756"/>
        <v>0</v>
      </c>
      <c r="W2255" s="24">
        <f>SUM(S2255:V2255)</f>
        <v>4711.2</v>
      </c>
      <c r="X2255" s="56">
        <f t="shared" si="2749"/>
        <v>81.5304</v>
      </c>
      <c r="Y2255" s="119">
        <f t="shared" si="2750"/>
        <v>0</v>
      </c>
      <c r="Z2255" s="28">
        <f t="shared" si="2751"/>
        <v>22887.219999999998</v>
      </c>
      <c r="AA2255" s="119">
        <f>IFERROR(Z2255/P2255,0)</f>
        <v>0.82929457555903563</v>
      </c>
      <c r="AB2255" s="58">
        <f>M2255-W2255</f>
        <v>3568.326</v>
      </c>
      <c r="AC2255" s="57">
        <f>IFERROR(AA2255-O2255,"")</f>
        <v>0.12929457555903556</v>
      </c>
      <c r="AG2255" s="61"/>
    </row>
    <row r="2256" spans="1:33" s="110" customFormat="1" ht="11.25" customHeight="1" x14ac:dyDescent="0.15">
      <c r="A2256" s="130"/>
      <c r="B2256" s="130"/>
      <c r="C2256" s="124"/>
      <c r="D2256" s="124"/>
      <c r="E2256" s="273"/>
      <c r="F2256" s="124"/>
      <c r="G2256" s="124"/>
      <c r="H2256" s="124"/>
      <c r="I2256" s="124"/>
      <c r="J2256" s="124"/>
      <c r="K2256" s="125"/>
      <c r="L2256" s="220"/>
      <c r="M2256" s="220"/>
      <c r="N2256" s="129"/>
      <c r="O2256" s="128"/>
      <c r="P2256" s="129"/>
      <c r="Q2256" s="124"/>
      <c r="R2256" s="129"/>
      <c r="S2256" s="129"/>
      <c r="T2256" s="129"/>
      <c r="U2256" s="129"/>
      <c r="V2256" s="126"/>
      <c r="W2256" s="49"/>
      <c r="X2256" s="45"/>
      <c r="Y2256" s="128"/>
      <c r="Z2256" s="126"/>
      <c r="AA2256" s="128"/>
      <c r="AB2256" s="129"/>
      <c r="AC2256" s="160"/>
      <c r="AD2256" s="137"/>
      <c r="AG2256" s="121"/>
    </row>
    <row r="2257" spans="1:33" ht="11.25" customHeight="1" x14ac:dyDescent="0.15">
      <c r="A2257" s="110" t="s">
        <v>137</v>
      </c>
      <c r="B2257" s="319" t="s">
        <v>2859</v>
      </c>
      <c r="C2257" s="111" t="s">
        <v>175</v>
      </c>
      <c r="D2257" s="2">
        <v>2025</v>
      </c>
      <c r="E2257" s="274">
        <v>46022</v>
      </c>
      <c r="G2257" s="111">
        <v>81110111</v>
      </c>
      <c r="H2257" s="111">
        <v>4111</v>
      </c>
      <c r="I2257" s="111" t="str">
        <f>MID(G2257,2,1)</f>
        <v>1</v>
      </c>
      <c r="J2257" s="111" t="str">
        <f>IF(I2257="1","Small/Medium","Large")</f>
        <v>Small/Medium</v>
      </c>
      <c r="K2257" s="112" t="s">
        <v>145</v>
      </c>
      <c r="L2257" s="120">
        <v>32077.478058101788</v>
      </c>
      <c r="M2257" s="120">
        <f t="shared" ref="M2257:M2258" si="2757">L2257*0.3</f>
        <v>9623.2434174305363</v>
      </c>
      <c r="N2257" s="120">
        <f t="shared" ref="N2257" si="2758">L2257-M2257</f>
        <v>22454.234640671253</v>
      </c>
      <c r="O2257" s="119">
        <f t="shared" ref="O2257:O2258" si="2759">IFERROR(N2257/L2257,"")</f>
        <v>0.70000000000000007</v>
      </c>
      <c r="P2257" s="120">
        <v>32077.478058101788</v>
      </c>
      <c r="Q2257" s="2">
        <v>5373</v>
      </c>
      <c r="R2257" s="5">
        <v>37</v>
      </c>
      <c r="S2257" s="5">
        <v>3016.61</v>
      </c>
      <c r="T2257" s="5">
        <v>1922.67</v>
      </c>
      <c r="U2257" s="5">
        <v>380.32</v>
      </c>
      <c r="W2257" s="52">
        <f t="shared" ref="W2257:W2258" si="2760">SUM(S2257:V2257)</f>
        <v>5319.6</v>
      </c>
      <c r="X2257" s="118">
        <f t="shared" ref="X2257:X2259" si="2761">IFERROR(S2257/R2257,"")</f>
        <v>81.53</v>
      </c>
      <c r="Y2257" s="119">
        <f t="shared" ref="Y2257:Y2259" si="2762">IFERROR(U2257/P2257,0)</f>
        <v>1.1856293668446382E-2</v>
      </c>
      <c r="Z2257" s="117">
        <f t="shared" ref="Z2257:Z2259" si="2763">P2257-W2257</f>
        <v>26757.878058101785</v>
      </c>
      <c r="AA2257" s="119">
        <f t="shared" ref="AA2257:AA2258" si="2764">IFERROR(Z2257/P2257,0)</f>
        <v>0.83416402030219972</v>
      </c>
      <c r="AB2257" s="120">
        <f t="shared" ref="AB2257:AB2258" si="2765">M2257-W2257</f>
        <v>4303.6434174305359</v>
      </c>
      <c r="AC2257" s="119">
        <f t="shared" ref="AC2257:AC2258" si="2766">IFERROR(AA2257-O2257,"")</f>
        <v>0.13416402030219965</v>
      </c>
    </row>
    <row r="2258" spans="1:33" ht="11.25" customHeight="1" x14ac:dyDescent="0.15">
      <c r="A2258" s="110" t="s">
        <v>137</v>
      </c>
      <c r="B2258" s="110"/>
      <c r="C2258" s="111" t="s">
        <v>175</v>
      </c>
      <c r="D2258" s="2">
        <v>2025</v>
      </c>
      <c r="E2258" s="274">
        <v>46022</v>
      </c>
      <c r="G2258" s="111">
        <v>82110111</v>
      </c>
      <c r="H2258" s="111">
        <v>4111</v>
      </c>
      <c r="I2258" s="111" t="str">
        <f>MID(G2258,2,1)</f>
        <v>2</v>
      </c>
      <c r="J2258" s="111" t="str">
        <f>IF(I2258="1","Small/Medium","Large")</f>
        <v>Large</v>
      </c>
      <c r="K2258" s="112" t="s">
        <v>176</v>
      </c>
      <c r="L2258" s="120">
        <v>10692.531941898213</v>
      </c>
      <c r="M2258" s="120">
        <f t="shared" si="2757"/>
        <v>3207.7595825694639</v>
      </c>
      <c r="N2258" s="120">
        <f>L2258-M2258</f>
        <v>7484.7723593287483</v>
      </c>
      <c r="O2258" s="119">
        <f t="shared" si="2759"/>
        <v>0.7</v>
      </c>
      <c r="P2258" s="120">
        <v>10692.531941898213</v>
      </c>
      <c r="Q2258" s="2">
        <v>5377</v>
      </c>
      <c r="R2258" s="5">
        <v>19</v>
      </c>
      <c r="S2258" s="5">
        <v>1549.07</v>
      </c>
      <c r="T2258" s="5">
        <v>1918.74</v>
      </c>
      <c r="U2258" s="5">
        <v>571.67999999999995</v>
      </c>
      <c r="W2258" s="52">
        <f t="shared" si="2760"/>
        <v>4039.49</v>
      </c>
      <c r="X2258" s="118">
        <f t="shared" si="2761"/>
        <v>81.53</v>
      </c>
      <c r="Y2258" s="119">
        <f t="shared" si="2762"/>
        <v>5.3465353492178708E-2</v>
      </c>
      <c r="Z2258" s="117">
        <f t="shared" si="2763"/>
        <v>6653.0419418982128</v>
      </c>
      <c r="AA2258" s="119">
        <f t="shared" si="2764"/>
        <v>0.62221389452469744</v>
      </c>
      <c r="AB2258" s="120">
        <f t="shared" si="2765"/>
        <v>-831.73041743053591</v>
      </c>
      <c r="AC2258" s="119">
        <f t="shared" si="2766"/>
        <v>-7.7786105475302514E-2</v>
      </c>
    </row>
    <row r="2259" spans="1:33" s="53" customFormat="1" ht="11.25" customHeight="1" x14ac:dyDescent="0.15">
      <c r="A2259" s="53" t="s">
        <v>137</v>
      </c>
      <c r="C2259" s="54"/>
      <c r="D2259" s="54"/>
      <c r="E2259" s="70"/>
      <c r="F2259" s="54"/>
      <c r="G2259" s="54"/>
      <c r="H2259" s="54"/>
      <c r="I2259" s="54"/>
      <c r="J2259" s="54"/>
      <c r="K2259" s="106"/>
      <c r="L2259" s="24">
        <f>SUM(L2257:L2258)</f>
        <v>42770.01</v>
      </c>
      <c r="M2259" s="24">
        <f t="shared" ref="M2259:N2259" si="2767">SUM(M2257:M2258)</f>
        <v>12831.003000000001</v>
      </c>
      <c r="N2259" s="24">
        <f t="shared" si="2767"/>
        <v>29939.007000000001</v>
      </c>
      <c r="O2259" s="57">
        <f>IFERROR(N2259/L2259,"")</f>
        <v>0.7</v>
      </c>
      <c r="P2259" s="24">
        <f>SUM(P2257:P2258)</f>
        <v>42770.01</v>
      </c>
      <c r="Q2259" s="24"/>
      <c r="R2259" s="24">
        <f>SUM(R2257:R2258)</f>
        <v>56</v>
      </c>
      <c r="S2259" s="24">
        <f t="shared" ref="S2259:V2259" si="2768">SUM(S2257:S2258)</f>
        <v>4565.68</v>
      </c>
      <c r="T2259" s="24">
        <f t="shared" si="2768"/>
        <v>3841.41</v>
      </c>
      <c r="U2259" s="24">
        <f t="shared" si="2768"/>
        <v>952</v>
      </c>
      <c r="V2259" s="24">
        <f t="shared" si="2768"/>
        <v>0</v>
      </c>
      <c r="W2259" s="24">
        <f>SUM(S2259:V2259)</f>
        <v>9359.09</v>
      </c>
      <c r="X2259" s="56">
        <f t="shared" si="2761"/>
        <v>81.53</v>
      </c>
      <c r="Y2259" s="119">
        <f t="shared" si="2762"/>
        <v>2.2258587267106087E-2</v>
      </c>
      <c r="Z2259" s="28">
        <f t="shared" si="2763"/>
        <v>33410.92</v>
      </c>
      <c r="AA2259" s="119">
        <f>IFERROR(Z2259/P2259,0)</f>
        <v>0.78117634295619753</v>
      </c>
      <c r="AB2259" s="58">
        <f>M2259-W2259</f>
        <v>3471.9130000000005</v>
      </c>
      <c r="AC2259" s="57">
        <f>IFERROR(AA2259-O2259,"")</f>
        <v>8.1176342956197578E-2</v>
      </c>
      <c r="AG2259" s="61"/>
    </row>
    <row r="2260" spans="1:33" s="110" customFormat="1" ht="11.25" customHeight="1" x14ac:dyDescent="0.15">
      <c r="A2260" s="130"/>
      <c r="B2260" s="130"/>
      <c r="C2260" s="124"/>
      <c r="D2260" s="124"/>
      <c r="E2260" s="273"/>
      <c r="F2260" s="124"/>
      <c r="G2260" s="124"/>
      <c r="H2260" s="124"/>
      <c r="I2260" s="124"/>
      <c r="J2260" s="124"/>
      <c r="K2260" s="125"/>
      <c r="L2260" s="220"/>
      <c r="M2260" s="220"/>
      <c r="N2260" s="129"/>
      <c r="O2260" s="128"/>
      <c r="P2260" s="129"/>
      <c r="Q2260" s="124"/>
      <c r="R2260" s="129"/>
      <c r="S2260" s="129"/>
      <c r="T2260" s="129"/>
      <c r="U2260" s="129"/>
      <c r="V2260" s="126"/>
      <c r="W2260" s="49"/>
      <c r="X2260" s="45"/>
      <c r="Y2260" s="128"/>
      <c r="Z2260" s="126"/>
      <c r="AA2260" s="128"/>
      <c r="AB2260" s="129"/>
      <c r="AC2260" s="160"/>
      <c r="AD2260" s="137"/>
      <c r="AG2260" s="121"/>
    </row>
    <row r="2261" spans="1:33" ht="11.25" customHeight="1" x14ac:dyDescent="0.15">
      <c r="A2261" s="110" t="s">
        <v>994</v>
      </c>
      <c r="B2261" s="319" t="s">
        <v>2858</v>
      </c>
      <c r="C2261" s="111" t="s">
        <v>175</v>
      </c>
      <c r="D2261" s="2">
        <v>2025</v>
      </c>
      <c r="E2261" s="274">
        <v>46022</v>
      </c>
      <c r="G2261" s="2">
        <v>81100011</v>
      </c>
      <c r="H2261" s="111">
        <v>4111</v>
      </c>
      <c r="I2261" s="111" t="str">
        <f>MID(G2261,2,1)</f>
        <v>1</v>
      </c>
      <c r="J2261" s="111" t="str">
        <f>IF(I2261="1","Small/Medium","Large")</f>
        <v>Small/Medium</v>
      </c>
      <c r="K2261" s="112" t="s">
        <v>145</v>
      </c>
      <c r="L2261" s="47">
        <v>20908</v>
      </c>
      <c r="M2261" s="120">
        <f t="shared" ref="M2261:M2262" si="2769">L2261*0.3</f>
        <v>6272.4</v>
      </c>
      <c r="N2261" s="120">
        <f t="shared" ref="N2261" si="2770">L2261-M2261</f>
        <v>14635.6</v>
      </c>
      <c r="O2261" s="119">
        <f t="shared" ref="O2261:O2262" si="2771">IFERROR(N2261/L2261,"")</f>
        <v>0.70000000000000007</v>
      </c>
      <c r="P2261" s="47">
        <v>20908</v>
      </c>
      <c r="Q2261" s="2">
        <v>5628</v>
      </c>
      <c r="R2261" s="5">
        <v>17</v>
      </c>
      <c r="S2261" s="5">
        <v>932.96</v>
      </c>
      <c r="T2261" s="5">
        <v>386.35</v>
      </c>
      <c r="U2261" s="5">
        <v>494.63</v>
      </c>
      <c r="W2261" s="52">
        <f t="shared" ref="W2261:W2262" si="2772">SUM(S2261:V2261)</f>
        <v>1813.94</v>
      </c>
      <c r="X2261" s="118">
        <f t="shared" ref="X2261:X2263" si="2773">IFERROR(S2261/R2261,"")</f>
        <v>54.88</v>
      </c>
      <c r="Y2261" s="119">
        <f t="shared" ref="Y2261:Y2263" si="2774">IFERROR(U2261/P2261,0)</f>
        <v>2.3657451693131815E-2</v>
      </c>
      <c r="Z2261" s="117">
        <f t="shared" ref="Z2261:Z2263" si="2775">P2261-W2261</f>
        <v>19094.060000000001</v>
      </c>
      <c r="AA2261" s="119">
        <f t="shared" ref="AA2261:AA2262" si="2776">IFERROR(Z2261/P2261,0)</f>
        <v>0.91324182131241638</v>
      </c>
      <c r="AB2261" s="120">
        <f t="shared" ref="AB2261:AB2262" si="2777">M2261-W2261</f>
        <v>4458.4599999999991</v>
      </c>
      <c r="AC2261" s="119">
        <f t="shared" ref="AC2261:AC2262" si="2778">IFERROR(AA2261-O2261,"")</f>
        <v>0.21324182131241631</v>
      </c>
    </row>
    <row r="2262" spans="1:33" ht="11.25" customHeight="1" x14ac:dyDescent="0.15">
      <c r="A2262" s="110" t="s">
        <v>994</v>
      </c>
      <c r="B2262" s="110"/>
      <c r="C2262" s="111" t="s">
        <v>175</v>
      </c>
      <c r="D2262" s="2">
        <v>2025</v>
      </c>
      <c r="E2262" s="274">
        <v>46022</v>
      </c>
      <c r="G2262" s="2">
        <v>81100011</v>
      </c>
      <c r="H2262" s="111">
        <v>4111</v>
      </c>
      <c r="I2262" s="111" t="str">
        <f>MID(G2262,2,1)</f>
        <v>1</v>
      </c>
      <c r="J2262" s="111" t="str">
        <f>IF(I2262="1","Small/Medium","Large")</f>
        <v>Small/Medium</v>
      </c>
      <c r="K2262" s="112" t="s">
        <v>145</v>
      </c>
      <c r="L2262" s="47">
        <v>10454</v>
      </c>
      <c r="M2262" s="120">
        <f t="shared" si="2769"/>
        <v>3136.2</v>
      </c>
      <c r="N2262" s="120">
        <f>L2262-M2262</f>
        <v>7317.8</v>
      </c>
      <c r="O2262" s="119">
        <f t="shared" si="2771"/>
        <v>0.70000000000000007</v>
      </c>
      <c r="P2262" s="47">
        <v>10454</v>
      </c>
      <c r="Q2262" s="2">
        <v>5629</v>
      </c>
      <c r="R2262" s="5">
        <v>17</v>
      </c>
      <c r="S2262" s="5">
        <v>932.96</v>
      </c>
      <c r="T2262" s="5">
        <v>386.35</v>
      </c>
      <c r="U2262" s="5">
        <v>201.95</v>
      </c>
      <c r="W2262" s="52">
        <f t="shared" si="2772"/>
        <v>1521.26</v>
      </c>
      <c r="X2262" s="118">
        <f t="shared" si="2773"/>
        <v>54.88</v>
      </c>
      <c r="Y2262" s="119">
        <f t="shared" si="2774"/>
        <v>1.9317964415534721E-2</v>
      </c>
      <c r="Z2262" s="117">
        <f t="shared" si="2775"/>
        <v>8932.74</v>
      </c>
      <c r="AA2262" s="119">
        <f t="shared" si="2776"/>
        <v>0.85448058159556151</v>
      </c>
      <c r="AB2262" s="120">
        <f t="shared" si="2777"/>
        <v>1614.9399999999998</v>
      </c>
      <c r="AC2262" s="119">
        <f t="shared" si="2778"/>
        <v>0.15448058159556144</v>
      </c>
    </row>
    <row r="2263" spans="1:33" s="53" customFormat="1" ht="11.25" customHeight="1" x14ac:dyDescent="0.15">
      <c r="A2263" s="53" t="s">
        <v>994</v>
      </c>
      <c r="C2263" s="54"/>
      <c r="D2263" s="54"/>
      <c r="E2263" s="70"/>
      <c r="F2263" s="54"/>
      <c r="G2263" s="54"/>
      <c r="H2263" s="54"/>
      <c r="I2263" s="54"/>
      <c r="J2263" s="54"/>
      <c r="K2263" s="106"/>
      <c r="L2263" s="24">
        <f>SUM(L2261:L2262)</f>
        <v>31362</v>
      </c>
      <c r="M2263" s="24">
        <f t="shared" ref="M2263:N2263" si="2779">SUM(M2261:M2262)</f>
        <v>9408.5999999999985</v>
      </c>
      <c r="N2263" s="24">
        <f t="shared" si="2779"/>
        <v>21953.4</v>
      </c>
      <c r="O2263" s="57">
        <f>IFERROR(N2263/L2263,"")</f>
        <v>0.70000000000000007</v>
      </c>
      <c r="P2263" s="24">
        <f>SUM(P2261:P2262)</f>
        <v>31362</v>
      </c>
      <c r="Q2263" s="24"/>
      <c r="R2263" s="24">
        <f>SUM(R2261:R2262)</f>
        <v>34</v>
      </c>
      <c r="S2263" s="24">
        <f t="shared" ref="S2263:V2263" si="2780">SUM(S2261:S2262)</f>
        <v>1865.92</v>
      </c>
      <c r="T2263" s="24">
        <f t="shared" si="2780"/>
        <v>772.7</v>
      </c>
      <c r="U2263" s="24">
        <f t="shared" si="2780"/>
        <v>696.57999999999993</v>
      </c>
      <c r="V2263" s="24">
        <f t="shared" si="2780"/>
        <v>0</v>
      </c>
      <c r="W2263" s="24">
        <f>SUM(S2263:V2263)</f>
        <v>3335.2</v>
      </c>
      <c r="X2263" s="56">
        <f t="shared" si="2773"/>
        <v>54.88</v>
      </c>
      <c r="Y2263" s="119">
        <f t="shared" si="2774"/>
        <v>2.2210955933932783E-2</v>
      </c>
      <c r="Z2263" s="28">
        <f t="shared" si="2775"/>
        <v>28026.799999999999</v>
      </c>
      <c r="AA2263" s="119">
        <f>IFERROR(Z2263/P2263,0)</f>
        <v>0.89365474140679801</v>
      </c>
      <c r="AB2263" s="58">
        <f>M2263-W2263</f>
        <v>6073.3999999999987</v>
      </c>
      <c r="AC2263" s="57">
        <f>IFERROR(AA2263-O2263,"")</f>
        <v>0.19365474140679795</v>
      </c>
      <c r="AG2263" s="61"/>
    </row>
    <row r="2264" spans="1:33" s="110" customFormat="1" ht="11.25" customHeight="1" x14ac:dyDescent="0.15">
      <c r="A2264" s="130"/>
      <c r="B2264" s="130"/>
      <c r="C2264" s="124"/>
      <c r="D2264" s="124"/>
      <c r="E2264" s="273"/>
      <c r="F2264" s="124"/>
      <c r="G2264" s="124"/>
      <c r="H2264" s="124"/>
      <c r="I2264" s="124"/>
      <c r="J2264" s="124"/>
      <c r="K2264" s="125"/>
      <c r="L2264" s="220"/>
      <c r="M2264" s="220"/>
      <c r="N2264" s="129"/>
      <c r="O2264" s="128"/>
      <c r="P2264" s="129"/>
      <c r="Q2264" s="124"/>
      <c r="R2264" s="129"/>
      <c r="S2264" s="129"/>
      <c r="T2264" s="129"/>
      <c r="U2264" s="129"/>
      <c r="V2264" s="126"/>
      <c r="W2264" s="49"/>
      <c r="X2264" s="45"/>
      <c r="Y2264" s="128"/>
      <c r="Z2264" s="126"/>
      <c r="AA2264" s="128"/>
      <c r="AB2264" s="129"/>
      <c r="AC2264" s="160"/>
      <c r="AD2264" s="137"/>
      <c r="AG2264" s="121"/>
    </row>
    <row r="2265" spans="1:33" ht="11.25" customHeight="1" x14ac:dyDescent="0.15">
      <c r="A2265" s="110" t="s">
        <v>882</v>
      </c>
      <c r="B2265" s="319" t="s">
        <v>2857</v>
      </c>
      <c r="C2265" s="111" t="s">
        <v>37</v>
      </c>
      <c r="D2265" s="2">
        <v>2025</v>
      </c>
      <c r="E2265" s="274">
        <v>46022</v>
      </c>
      <c r="G2265" s="2">
        <v>13000000</v>
      </c>
      <c r="K2265" s="107" t="s">
        <v>580</v>
      </c>
      <c r="L2265" s="47">
        <v>102303</v>
      </c>
      <c r="M2265" s="47">
        <v>23925.46</v>
      </c>
      <c r="N2265" s="120">
        <f t="shared" ref="N2265:N2267" si="2781">L2265-M2265</f>
        <v>78377.540000000008</v>
      </c>
      <c r="O2265" s="119">
        <f>IFERROR(N2265/L2265,"")</f>
        <v>0.76613139399626606</v>
      </c>
      <c r="P2265" s="47">
        <v>102303</v>
      </c>
      <c r="Q2265" s="2">
        <v>6454</v>
      </c>
      <c r="U2265" s="5">
        <v>23984.18</v>
      </c>
      <c r="W2265" s="52">
        <f t="shared" ref="W2265:W2270" si="2782">SUM(S2265:V2265)</f>
        <v>23984.18</v>
      </c>
      <c r="X2265" s="118" t="str">
        <f t="shared" ref="X2265:X2271" si="2783">IFERROR(S2265/R2265,"")</f>
        <v/>
      </c>
      <c r="Y2265" s="119">
        <f t="shared" ref="Y2265:Y2271" si="2784">IFERROR(U2265/P2265,0)</f>
        <v>0.23444258721640618</v>
      </c>
      <c r="Z2265" s="117">
        <f t="shared" ref="Z2265:Z2271" si="2785">P2265-W2265</f>
        <v>78318.820000000007</v>
      </c>
      <c r="AA2265" s="119">
        <f t="shared" ref="AA2265:AA2270" si="2786">IFERROR(Z2265/P2265,0)</f>
        <v>0.7655574127835939</v>
      </c>
      <c r="AB2265" s="120">
        <f t="shared" ref="AB2265:AB2270" si="2787">M2265-W2265</f>
        <v>-58.720000000001164</v>
      </c>
      <c r="AC2265" s="119">
        <f t="shared" ref="AC2265:AC2270" si="2788">IFERROR(AA2265-O2265,"")</f>
        <v>-5.7398121267215885E-4</v>
      </c>
    </row>
    <row r="2266" spans="1:33" ht="11.25" customHeight="1" x14ac:dyDescent="0.15">
      <c r="A2266" s="110" t="s">
        <v>882</v>
      </c>
      <c r="B2266" s="110"/>
      <c r="C2266" s="111" t="s">
        <v>47</v>
      </c>
      <c r="D2266" s="111">
        <v>2025</v>
      </c>
      <c r="E2266" s="274">
        <v>46022</v>
      </c>
      <c r="G2266" s="2">
        <v>53000010</v>
      </c>
      <c r="K2266" s="107" t="s">
        <v>694</v>
      </c>
      <c r="L2266" s="47">
        <v>12136</v>
      </c>
      <c r="M2266" s="47">
        <v>3636.12</v>
      </c>
      <c r="N2266" s="120">
        <f t="shared" si="2781"/>
        <v>8499.880000000001</v>
      </c>
      <c r="O2266" s="119">
        <f t="shared" ref="O2266:O2270" si="2789">IFERROR(N2266/L2266,"")</f>
        <v>0.70038562953197103</v>
      </c>
      <c r="P2266" s="47">
        <v>12136</v>
      </c>
      <c r="Q2266" s="2">
        <v>6721</v>
      </c>
      <c r="R2266" s="5">
        <v>6</v>
      </c>
      <c r="S2266" s="5">
        <v>335.46</v>
      </c>
      <c r="T2266" s="320">
        <v>164.81</v>
      </c>
      <c r="W2266" s="52">
        <f t="shared" si="2782"/>
        <v>500.27</v>
      </c>
      <c r="X2266" s="118">
        <f t="shared" si="2783"/>
        <v>55.91</v>
      </c>
      <c r="Y2266" s="119">
        <f t="shared" si="2784"/>
        <v>0</v>
      </c>
      <c r="Z2266" s="117">
        <f t="shared" si="2785"/>
        <v>11635.73</v>
      </c>
      <c r="AA2266" s="119">
        <f t="shared" si="2786"/>
        <v>0.95877801582069866</v>
      </c>
      <c r="AB2266" s="120">
        <f t="shared" si="2787"/>
        <v>3135.85</v>
      </c>
      <c r="AC2266" s="119">
        <f t="shared" si="2788"/>
        <v>0.25839238628872763</v>
      </c>
      <c r="AD2266" s="110" t="s">
        <v>2864</v>
      </c>
    </row>
    <row r="2267" spans="1:33" ht="11.25" customHeight="1" x14ac:dyDescent="0.15">
      <c r="A2267" s="110" t="s">
        <v>882</v>
      </c>
      <c r="B2267" s="110"/>
      <c r="C2267" s="111" t="s">
        <v>248</v>
      </c>
      <c r="D2267" s="111">
        <v>2025</v>
      </c>
      <c r="E2267" s="274">
        <v>46022</v>
      </c>
      <c r="G2267" s="2">
        <v>96000000</v>
      </c>
      <c r="K2267" s="112" t="s">
        <v>250</v>
      </c>
      <c r="L2267" s="47">
        <v>7316</v>
      </c>
      <c r="M2267" s="47">
        <v>3658</v>
      </c>
      <c r="N2267" s="120">
        <f t="shared" si="2781"/>
        <v>3658</v>
      </c>
      <c r="O2267" s="119">
        <f t="shared" si="2789"/>
        <v>0.5</v>
      </c>
      <c r="P2267" s="47">
        <v>7316</v>
      </c>
      <c r="Q2267" s="2">
        <v>6722</v>
      </c>
      <c r="R2267" s="5">
        <v>8</v>
      </c>
      <c r="S2267" s="5">
        <v>516.4</v>
      </c>
      <c r="W2267" s="52">
        <f t="shared" si="2782"/>
        <v>516.4</v>
      </c>
      <c r="X2267" s="118">
        <f t="shared" si="2783"/>
        <v>64.55</v>
      </c>
      <c r="Y2267" s="119">
        <f t="shared" si="2784"/>
        <v>0</v>
      </c>
      <c r="Z2267" s="117">
        <f t="shared" si="2785"/>
        <v>6799.6</v>
      </c>
      <c r="AA2267" s="119">
        <f t="shared" si="2786"/>
        <v>0.9294149808638601</v>
      </c>
      <c r="AB2267" s="120">
        <f t="shared" si="2787"/>
        <v>3141.6</v>
      </c>
      <c r="AC2267" s="119">
        <f t="shared" si="2788"/>
        <v>0.4294149808638601</v>
      </c>
    </row>
    <row r="2268" spans="1:33" ht="11.25" customHeight="1" x14ac:dyDescent="0.15">
      <c r="A2268" s="110" t="s">
        <v>882</v>
      </c>
      <c r="B2268" s="110"/>
      <c r="C2268" s="111" t="s">
        <v>55</v>
      </c>
      <c r="D2268" s="2">
        <v>2025</v>
      </c>
      <c r="E2268" s="274">
        <v>46022</v>
      </c>
      <c r="G2268" s="111" t="s">
        <v>56</v>
      </c>
      <c r="K2268" s="112" t="s">
        <v>71</v>
      </c>
      <c r="L2268" s="47">
        <v>3331</v>
      </c>
      <c r="M2268" s="47">
        <v>1665.09</v>
      </c>
      <c r="N2268" s="120">
        <f>L2268-M2268</f>
        <v>1665.91</v>
      </c>
      <c r="O2268" s="119">
        <f t="shared" si="2789"/>
        <v>0.5001230861603122</v>
      </c>
      <c r="P2268" s="47">
        <v>3331</v>
      </c>
      <c r="Q2268" s="2">
        <v>6723</v>
      </c>
      <c r="R2268" s="5">
        <v>0.5</v>
      </c>
      <c r="S2268" s="5">
        <v>26.25</v>
      </c>
      <c r="W2268" s="52">
        <f t="shared" si="2782"/>
        <v>26.25</v>
      </c>
      <c r="X2268" s="118">
        <f t="shared" si="2783"/>
        <v>52.5</v>
      </c>
      <c r="Y2268" s="119">
        <f t="shared" si="2784"/>
        <v>0</v>
      </c>
      <c r="Z2268" s="117">
        <f t="shared" si="2785"/>
        <v>3304.75</v>
      </c>
      <c r="AA2268" s="119">
        <f t="shared" si="2786"/>
        <v>0.99211948363854696</v>
      </c>
      <c r="AB2268" s="120">
        <f t="shared" si="2787"/>
        <v>1638.84</v>
      </c>
      <c r="AC2268" s="119">
        <f t="shared" si="2788"/>
        <v>0.49199639747823476</v>
      </c>
      <c r="AD2268" s="110" t="s">
        <v>2862</v>
      </c>
    </row>
    <row r="2269" spans="1:33" ht="11.25" customHeight="1" x14ac:dyDescent="0.15">
      <c r="A2269" s="110" t="s">
        <v>882</v>
      </c>
      <c r="B2269" s="110"/>
      <c r="C2269" s="111" t="s">
        <v>58</v>
      </c>
      <c r="D2269" s="111">
        <v>2025</v>
      </c>
      <c r="E2269" s="274">
        <v>46022</v>
      </c>
      <c r="G2269" s="2">
        <v>73152012</v>
      </c>
      <c r="K2269" s="112" t="s">
        <v>712</v>
      </c>
      <c r="L2269" s="47">
        <v>14784</v>
      </c>
      <c r="M2269" s="47">
        <v>1612.8</v>
      </c>
      <c r="N2269" s="120">
        <f t="shared" ref="N2269:N2270" si="2790">L2269-M2269</f>
        <v>13171.2</v>
      </c>
      <c r="O2269" s="119">
        <f t="shared" si="2789"/>
        <v>0.89090909090909098</v>
      </c>
      <c r="P2269" s="47">
        <v>14784</v>
      </c>
      <c r="Q2269" s="2">
        <v>6783</v>
      </c>
      <c r="U2269" s="5">
        <v>2514.79</v>
      </c>
      <c r="W2269" s="52">
        <f t="shared" si="2782"/>
        <v>2514.79</v>
      </c>
      <c r="X2269" s="118" t="str">
        <f t="shared" si="2783"/>
        <v/>
      </c>
      <c r="Y2269" s="119">
        <f t="shared" si="2784"/>
        <v>0.17010213744588745</v>
      </c>
      <c r="Z2269" s="117">
        <f t="shared" si="2785"/>
        <v>12269.21</v>
      </c>
      <c r="AA2269" s="119">
        <f t="shared" si="2786"/>
        <v>0.82989786255411246</v>
      </c>
      <c r="AB2269" s="120">
        <f t="shared" si="2787"/>
        <v>-901.99</v>
      </c>
      <c r="AC2269" s="119">
        <f t="shared" si="2788"/>
        <v>-6.1011228354978519E-2</v>
      </c>
      <c r="AD2269" s="110" t="s">
        <v>2863</v>
      </c>
    </row>
    <row r="2270" spans="1:33" ht="11.25" customHeight="1" x14ac:dyDescent="0.15">
      <c r="A2270" s="110" t="s">
        <v>882</v>
      </c>
      <c r="B2270" s="110"/>
      <c r="C2270" s="111" t="s">
        <v>49</v>
      </c>
      <c r="D2270" s="111">
        <v>2025</v>
      </c>
      <c r="E2270" s="274">
        <v>46022</v>
      </c>
      <c r="G2270" s="2">
        <v>63652012</v>
      </c>
      <c r="K2270" s="112" t="s">
        <v>85</v>
      </c>
      <c r="L2270" s="47">
        <v>12412</v>
      </c>
      <c r="M2270" s="47">
        <v>3832.66</v>
      </c>
      <c r="N2270" s="120">
        <f t="shared" si="2790"/>
        <v>8579.34</v>
      </c>
      <c r="O2270" s="119">
        <f t="shared" si="2789"/>
        <v>0.69121334192716732</v>
      </c>
      <c r="P2270" s="47">
        <v>12412</v>
      </c>
      <c r="Q2270" s="2">
        <v>6725</v>
      </c>
      <c r="R2270" s="5">
        <v>8</v>
      </c>
      <c r="S2270" s="5">
        <v>516.4</v>
      </c>
      <c r="T2270" s="320">
        <v>164.78</v>
      </c>
      <c r="W2270" s="52">
        <f t="shared" si="2782"/>
        <v>681.18</v>
      </c>
      <c r="X2270" s="118">
        <f t="shared" si="2783"/>
        <v>64.55</v>
      </c>
      <c r="Y2270" s="119">
        <f t="shared" si="2784"/>
        <v>0</v>
      </c>
      <c r="Z2270" s="117">
        <f t="shared" si="2785"/>
        <v>11730.82</v>
      </c>
      <c r="AA2270" s="119">
        <f t="shared" si="2786"/>
        <v>0.94511923944569765</v>
      </c>
      <c r="AB2270" s="120">
        <f t="shared" si="2787"/>
        <v>3151.48</v>
      </c>
      <c r="AC2270" s="119">
        <f t="shared" si="2788"/>
        <v>0.25390589751853032</v>
      </c>
      <c r="AD2270" s="110" t="s">
        <v>2864</v>
      </c>
    </row>
    <row r="2271" spans="1:33" s="53" customFormat="1" ht="11.25" customHeight="1" x14ac:dyDescent="0.15">
      <c r="A2271" s="53" t="s">
        <v>882</v>
      </c>
      <c r="C2271" s="54"/>
      <c r="D2271" s="54"/>
      <c r="E2271" s="70"/>
      <c r="F2271" s="54"/>
      <c r="G2271" s="54"/>
      <c r="H2271" s="54"/>
      <c r="I2271" s="54"/>
      <c r="J2271" s="54"/>
      <c r="K2271" s="106"/>
      <c r="L2271" s="24">
        <f>SUM(L2265:L2270)</f>
        <v>152282</v>
      </c>
      <c r="M2271" s="24">
        <f t="shared" ref="M2271:N2271" si="2791">SUM(M2265:M2270)</f>
        <v>38330.130000000005</v>
      </c>
      <c r="N2271" s="24">
        <f t="shared" si="2791"/>
        <v>113951.87000000001</v>
      </c>
      <c r="O2271" s="57">
        <f>IFERROR(N2271/L2271,"")</f>
        <v>0.7482950709867221</v>
      </c>
      <c r="P2271" s="24">
        <f>SUM(P2265:P2270)</f>
        <v>152282</v>
      </c>
      <c r="Q2271" s="24"/>
      <c r="R2271" s="24">
        <f>SUM(R2265:R2270)</f>
        <v>22.5</v>
      </c>
      <c r="S2271" s="24">
        <f t="shared" ref="S2271:V2271" si="2792">SUM(S2265:S2270)</f>
        <v>1394.5099999999998</v>
      </c>
      <c r="T2271" s="24">
        <f t="shared" si="2792"/>
        <v>329.59000000000003</v>
      </c>
      <c r="U2271" s="24">
        <f t="shared" si="2792"/>
        <v>26498.97</v>
      </c>
      <c r="V2271" s="24">
        <f t="shared" si="2792"/>
        <v>0</v>
      </c>
      <c r="W2271" s="24">
        <f>SUM(S2271:V2271)</f>
        <v>28223.07</v>
      </c>
      <c r="X2271" s="56">
        <f t="shared" si="2783"/>
        <v>61.978222222222215</v>
      </c>
      <c r="Y2271" s="119">
        <f t="shared" si="2784"/>
        <v>0.17401248998568447</v>
      </c>
      <c r="Z2271" s="28">
        <f t="shared" si="2785"/>
        <v>124058.93</v>
      </c>
      <c r="AA2271" s="119">
        <f>IFERROR(Z2271/P2271,0)</f>
        <v>0.81466575169750854</v>
      </c>
      <c r="AB2271" s="58">
        <f>M2271-W2271</f>
        <v>10107.060000000005</v>
      </c>
      <c r="AC2271" s="57">
        <f>IFERROR(AA2271-O2271,"")</f>
        <v>6.6370680710786445E-2</v>
      </c>
      <c r="AD2271" s="110"/>
      <c r="AG2271" s="61"/>
    </row>
    <row r="2272" spans="1:33" s="110" customFormat="1" ht="11.25" customHeight="1" x14ac:dyDescent="0.15">
      <c r="A2272" s="130"/>
      <c r="B2272" s="130"/>
      <c r="C2272" s="124"/>
      <c r="D2272" s="124"/>
      <c r="E2272" s="273"/>
      <c r="F2272" s="124"/>
      <c r="G2272" s="124"/>
      <c r="H2272" s="124"/>
      <c r="I2272" s="124"/>
      <c r="J2272" s="124"/>
      <c r="K2272" s="125"/>
      <c r="L2272" s="220"/>
      <c r="M2272" s="220"/>
      <c r="N2272" s="129"/>
      <c r="O2272" s="128"/>
      <c r="P2272" s="129"/>
      <c r="Q2272" s="124"/>
      <c r="R2272" s="129"/>
      <c r="S2272" s="129"/>
      <c r="T2272" s="129"/>
      <c r="U2272" s="129"/>
      <c r="V2272" s="126"/>
      <c r="W2272" s="49"/>
      <c r="X2272" s="45"/>
      <c r="Y2272" s="128"/>
      <c r="Z2272" s="126"/>
      <c r="AA2272" s="128"/>
      <c r="AB2272" s="129"/>
      <c r="AC2272" s="160"/>
      <c r="AD2272" s="137"/>
      <c r="AG2272" s="121"/>
    </row>
    <row r="2273" spans="1:17" ht="11.25" customHeight="1" x14ac:dyDescent="0.15">
      <c r="A2273" s="110"/>
      <c r="B2273" s="110"/>
    </row>
    <row r="2274" spans="1:17" ht="11.25" customHeight="1" x14ac:dyDescent="0.15">
      <c r="A2274" s="110"/>
      <c r="B2274" s="110"/>
    </row>
    <row r="2275" spans="1:17" ht="11.25" customHeight="1" x14ac:dyDescent="0.15">
      <c r="A2275" s="110"/>
      <c r="B2275" s="110"/>
    </row>
    <row r="2276" spans="1:17" ht="11.25" customHeight="1" x14ac:dyDescent="0.15">
      <c r="A2276" s="110"/>
      <c r="B2276" s="110"/>
    </row>
    <row r="2277" spans="1:17" ht="11.25" customHeight="1" x14ac:dyDescent="0.15">
      <c r="A2277" s="110"/>
      <c r="B2277" s="110"/>
    </row>
    <row r="2278" spans="1:17" ht="11.25" customHeight="1" x14ac:dyDescent="0.15">
      <c r="A2278" s="110"/>
      <c r="B2278" s="110"/>
      <c r="Q2278" s="325"/>
    </row>
    <row r="2279" spans="1:17" ht="11.25" customHeight="1" x14ac:dyDescent="0.15">
      <c r="A2279" s="110"/>
      <c r="B2279" s="110"/>
      <c r="Q2279" s="325"/>
    </row>
    <row r="2280" spans="1:17" ht="11.25" customHeight="1" x14ac:dyDescent="0.15">
      <c r="A2280" s="110"/>
      <c r="B2280" s="110"/>
    </row>
    <row r="2281" spans="1:17" ht="11.25" customHeight="1" x14ac:dyDescent="0.15">
      <c r="A2281" s="110"/>
      <c r="B2281" s="110"/>
    </row>
    <row r="2282" spans="1:17" ht="11.25" customHeight="1" x14ac:dyDescent="0.15">
      <c r="A2282" s="110"/>
      <c r="B2282" s="110"/>
    </row>
    <row r="2283" spans="1:17" ht="11.25" customHeight="1" x14ac:dyDescent="0.15">
      <c r="A2283" s="110"/>
      <c r="B2283" s="110"/>
    </row>
    <row r="2284" spans="1:17" ht="11.25" customHeight="1" x14ac:dyDescent="0.15">
      <c r="A2284" s="110"/>
      <c r="B2284" s="110"/>
    </row>
    <row r="2285" spans="1:17" ht="11.25" customHeight="1" x14ac:dyDescent="0.15">
      <c r="A2285" s="110"/>
      <c r="B2285" s="110"/>
    </row>
    <row r="2286" spans="1:17" ht="11.25" customHeight="1" x14ac:dyDescent="0.15">
      <c r="A2286" s="110"/>
      <c r="B2286" s="110"/>
    </row>
    <row r="2287" spans="1:17" ht="11.25" customHeight="1" x14ac:dyDescent="0.15">
      <c r="A2287" s="110"/>
      <c r="B2287" s="110"/>
    </row>
    <row r="2288" spans="1:17" ht="11.25" customHeight="1" x14ac:dyDescent="0.15">
      <c r="A2288" s="110"/>
      <c r="B2288" s="110"/>
    </row>
    <row r="2289" spans="1:2" ht="11.25" customHeight="1" x14ac:dyDescent="0.15">
      <c r="A2289" s="110"/>
      <c r="B2289" s="110"/>
    </row>
    <row r="2290" spans="1:2" ht="11.25" customHeight="1" x14ac:dyDescent="0.15">
      <c r="A2290" s="110"/>
      <c r="B2290" s="110"/>
    </row>
    <row r="2291" spans="1:2" ht="11.25" customHeight="1" x14ac:dyDescent="0.15">
      <c r="A2291" s="110"/>
      <c r="B2291" s="110"/>
    </row>
    <row r="2292" spans="1:2" ht="11.25" customHeight="1" x14ac:dyDescent="0.15">
      <c r="A2292" s="110"/>
      <c r="B2292" s="110"/>
    </row>
    <row r="2293" spans="1:2" ht="11.25" customHeight="1" x14ac:dyDescent="0.15">
      <c r="A2293" s="110"/>
      <c r="B2293" s="110"/>
    </row>
    <row r="2294" spans="1:2" ht="11.25" customHeight="1" x14ac:dyDescent="0.15">
      <c r="A2294" s="110"/>
      <c r="B2294" s="110"/>
    </row>
    <row r="2295" spans="1:2" ht="11.25" customHeight="1" x14ac:dyDescent="0.15">
      <c r="A2295" s="110"/>
      <c r="B2295" s="110"/>
    </row>
    <row r="2296" spans="1:2" ht="11.25" customHeight="1" x14ac:dyDescent="0.15">
      <c r="A2296" s="110"/>
      <c r="B2296" s="110"/>
    </row>
    <row r="2297" spans="1:2" ht="11.25" customHeight="1" x14ac:dyDescent="0.15">
      <c r="A2297" s="110"/>
      <c r="B2297" s="110"/>
    </row>
    <row r="2298" spans="1:2" ht="11.25" customHeight="1" x14ac:dyDescent="0.15">
      <c r="A2298" s="110"/>
      <c r="B2298" s="110"/>
    </row>
    <row r="2299" spans="1:2" ht="11.25" customHeight="1" x14ac:dyDescent="0.15">
      <c r="A2299" s="110"/>
      <c r="B2299" s="110"/>
    </row>
    <row r="2300" spans="1:2" ht="11.25" customHeight="1" x14ac:dyDescent="0.15">
      <c r="A2300" s="110"/>
      <c r="B2300" s="110"/>
    </row>
    <row r="2301" spans="1:2" ht="11.25" customHeight="1" x14ac:dyDescent="0.15">
      <c r="A2301" s="110"/>
      <c r="B2301" s="110"/>
    </row>
    <row r="2302" spans="1:2" ht="11.25" customHeight="1" x14ac:dyDescent="0.15">
      <c r="A2302" s="110"/>
      <c r="B2302" s="110"/>
    </row>
    <row r="2303" spans="1:2" ht="11.25" customHeight="1" x14ac:dyDescent="0.15">
      <c r="A2303" s="110"/>
      <c r="B2303" s="110"/>
    </row>
    <row r="2304" spans="1:2" ht="11.25" customHeight="1" x14ac:dyDescent="0.15">
      <c r="A2304" s="110"/>
      <c r="B2304" s="110"/>
    </row>
    <row r="2305" spans="1:2" ht="11.25" customHeight="1" x14ac:dyDescent="0.15">
      <c r="A2305" s="110"/>
      <c r="B2305" s="110"/>
    </row>
    <row r="2306" spans="1:2" ht="11.25" customHeight="1" x14ac:dyDescent="0.15">
      <c r="A2306" s="110"/>
      <c r="B2306" s="110"/>
    </row>
    <row r="2307" spans="1:2" ht="11.25" customHeight="1" x14ac:dyDescent="0.15">
      <c r="A2307" s="110"/>
      <c r="B2307" s="110"/>
    </row>
    <row r="2308" spans="1:2" ht="11.25" customHeight="1" x14ac:dyDescent="0.15">
      <c r="A2308" s="110"/>
      <c r="B2308" s="110"/>
    </row>
    <row r="2309" spans="1:2" ht="11.25" customHeight="1" x14ac:dyDescent="0.15">
      <c r="A2309" s="110"/>
      <c r="B2309" s="110"/>
    </row>
    <row r="2310" spans="1:2" ht="11.25" customHeight="1" x14ac:dyDescent="0.15">
      <c r="A2310" s="110"/>
      <c r="B2310" s="110"/>
    </row>
    <row r="2311" spans="1:2" ht="11.25" customHeight="1" x14ac:dyDescent="0.15">
      <c r="A2311" s="110"/>
      <c r="B2311" s="110"/>
    </row>
    <row r="2312" spans="1:2" ht="11.25" customHeight="1" x14ac:dyDescent="0.15">
      <c r="A2312" s="110"/>
      <c r="B2312" s="110"/>
    </row>
    <row r="2313" spans="1:2" ht="11.25" customHeight="1" x14ac:dyDescent="0.15">
      <c r="A2313" s="110"/>
      <c r="B2313" s="110"/>
    </row>
    <row r="2314" spans="1:2" ht="11.25" customHeight="1" x14ac:dyDescent="0.15">
      <c r="A2314" s="110"/>
      <c r="B2314" s="110"/>
    </row>
    <row r="2315" spans="1:2" ht="11.25" customHeight="1" x14ac:dyDescent="0.15">
      <c r="A2315" s="110"/>
      <c r="B2315" s="110"/>
    </row>
    <row r="2316" spans="1:2" ht="11.25" customHeight="1" x14ac:dyDescent="0.15">
      <c r="A2316" s="110"/>
      <c r="B2316" s="110"/>
    </row>
    <row r="2317" spans="1:2" ht="11.25" customHeight="1" x14ac:dyDescent="0.15">
      <c r="A2317" s="110"/>
      <c r="B2317" s="110"/>
    </row>
    <row r="2318" spans="1:2" ht="11.25" customHeight="1" x14ac:dyDescent="0.15">
      <c r="A2318" s="110"/>
      <c r="B2318" s="110"/>
    </row>
    <row r="2319" spans="1:2" ht="11.25" customHeight="1" x14ac:dyDescent="0.15">
      <c r="A2319" s="110"/>
      <c r="B2319" s="110"/>
    </row>
    <row r="2320" spans="1:2" ht="11.25" customHeight="1" x14ac:dyDescent="0.15">
      <c r="A2320" s="110"/>
      <c r="B2320" s="110"/>
    </row>
    <row r="2321" spans="1:2" ht="11.25" customHeight="1" x14ac:dyDescent="0.15">
      <c r="A2321" s="110"/>
      <c r="B2321" s="110"/>
    </row>
    <row r="2322" spans="1:2" ht="11.25" customHeight="1" x14ac:dyDescent="0.15">
      <c r="A2322" s="110"/>
      <c r="B2322" s="110"/>
    </row>
    <row r="2323" spans="1:2" ht="11.25" customHeight="1" x14ac:dyDescent="0.15">
      <c r="A2323" s="110"/>
      <c r="B2323" s="110"/>
    </row>
    <row r="2324" spans="1:2" ht="11.25" customHeight="1" x14ac:dyDescent="0.15">
      <c r="A2324" s="110"/>
      <c r="B2324" s="110"/>
    </row>
    <row r="2325" spans="1:2" ht="11.25" customHeight="1" x14ac:dyDescent="0.15">
      <c r="A2325" s="110"/>
      <c r="B2325" s="110"/>
    </row>
    <row r="2326" spans="1:2" ht="11.25" customHeight="1" x14ac:dyDescent="0.15">
      <c r="A2326" s="110"/>
      <c r="B2326" s="110"/>
    </row>
    <row r="2327" spans="1:2" ht="11.25" customHeight="1" x14ac:dyDescent="0.15">
      <c r="A2327" s="110"/>
      <c r="B2327" s="110"/>
    </row>
    <row r="2328" spans="1:2" ht="11.25" customHeight="1" x14ac:dyDescent="0.15">
      <c r="A2328" s="110"/>
      <c r="B2328" s="110"/>
    </row>
    <row r="2329" spans="1:2" ht="11.25" customHeight="1" x14ac:dyDescent="0.15">
      <c r="A2329" s="110"/>
      <c r="B2329" s="110"/>
    </row>
    <row r="2330" spans="1:2" ht="11.25" customHeight="1" x14ac:dyDescent="0.15">
      <c r="A2330" s="110"/>
      <c r="B2330" s="110"/>
    </row>
    <row r="2331" spans="1:2" ht="11.25" customHeight="1" x14ac:dyDescent="0.15">
      <c r="A2331" s="110"/>
      <c r="B2331" s="110"/>
    </row>
    <row r="2332" spans="1:2" ht="11.25" customHeight="1" x14ac:dyDescent="0.15">
      <c r="A2332" s="110"/>
      <c r="B2332" s="110"/>
    </row>
    <row r="2333" spans="1:2" ht="11.25" customHeight="1" x14ac:dyDescent="0.15">
      <c r="A2333" s="110"/>
      <c r="B2333" s="110"/>
    </row>
    <row r="2334" spans="1:2" ht="11.25" customHeight="1" x14ac:dyDescent="0.15">
      <c r="A2334" s="110"/>
      <c r="B2334" s="110"/>
    </row>
    <row r="2335" spans="1:2" ht="11.25" customHeight="1" x14ac:dyDescent="0.15">
      <c r="A2335" s="110"/>
      <c r="B2335" s="110"/>
    </row>
    <row r="2336" spans="1:2" ht="11.25" customHeight="1" x14ac:dyDescent="0.15">
      <c r="A2336" s="110"/>
      <c r="B2336" s="110"/>
    </row>
    <row r="2337" spans="1:2" ht="11.25" customHeight="1" x14ac:dyDescent="0.15">
      <c r="A2337" s="110"/>
      <c r="B2337" s="110"/>
    </row>
    <row r="2338" spans="1:2" ht="11.25" customHeight="1" x14ac:dyDescent="0.15">
      <c r="A2338" s="110"/>
      <c r="B2338" s="110"/>
    </row>
    <row r="2339" spans="1:2" ht="11.25" customHeight="1" x14ac:dyDescent="0.15">
      <c r="A2339" s="110"/>
      <c r="B2339" s="110"/>
    </row>
    <row r="2340" spans="1:2" ht="11.25" customHeight="1" x14ac:dyDescent="0.15">
      <c r="A2340" s="110"/>
      <c r="B2340" s="110"/>
    </row>
    <row r="2341" spans="1:2" ht="11.25" customHeight="1" x14ac:dyDescent="0.15">
      <c r="A2341" s="110"/>
      <c r="B2341" s="110"/>
    </row>
    <row r="2342" spans="1:2" ht="11.25" customHeight="1" x14ac:dyDescent="0.15">
      <c r="A2342" s="110"/>
      <c r="B2342" s="110"/>
    </row>
    <row r="2343" spans="1:2" ht="11.25" customHeight="1" x14ac:dyDescent="0.15">
      <c r="A2343" s="110"/>
      <c r="B2343" s="110"/>
    </row>
    <row r="2344" spans="1:2" ht="11.25" customHeight="1" x14ac:dyDescent="0.15">
      <c r="A2344" s="110"/>
      <c r="B2344" s="110"/>
    </row>
    <row r="2345" spans="1:2" ht="11.25" customHeight="1" x14ac:dyDescent="0.15">
      <c r="A2345" s="110"/>
      <c r="B2345" s="110"/>
    </row>
    <row r="2346" spans="1:2" ht="11.25" customHeight="1" x14ac:dyDescent="0.15">
      <c r="A2346" s="110"/>
      <c r="B2346" s="110"/>
    </row>
    <row r="2347" spans="1:2" ht="11.25" customHeight="1" x14ac:dyDescent="0.15">
      <c r="A2347" s="110"/>
      <c r="B2347" s="110"/>
    </row>
    <row r="2348" spans="1:2" ht="11.25" customHeight="1" x14ac:dyDescent="0.15">
      <c r="A2348" s="110"/>
      <c r="B2348" s="110"/>
    </row>
    <row r="2349" spans="1:2" ht="11.25" customHeight="1" x14ac:dyDescent="0.15">
      <c r="A2349" s="110"/>
      <c r="B2349" s="110"/>
    </row>
    <row r="2350" spans="1:2" ht="11.25" customHeight="1" x14ac:dyDescent="0.15">
      <c r="A2350" s="110"/>
      <c r="B2350" s="110"/>
    </row>
    <row r="2351" spans="1:2" ht="11.25" customHeight="1" x14ac:dyDescent="0.15">
      <c r="A2351" s="110"/>
      <c r="B2351" s="110"/>
    </row>
    <row r="2352" spans="1:2" ht="11.25" customHeight="1" x14ac:dyDescent="0.15">
      <c r="A2352" s="110"/>
      <c r="B2352" s="110"/>
    </row>
    <row r="2353" spans="1:2" ht="11.25" customHeight="1" x14ac:dyDescent="0.15">
      <c r="A2353" s="110"/>
      <c r="B2353" s="110"/>
    </row>
    <row r="2354" spans="1:2" ht="11.25" customHeight="1" x14ac:dyDescent="0.15">
      <c r="A2354" s="110"/>
      <c r="B2354" s="110"/>
    </row>
    <row r="2355" spans="1:2" ht="11.25" customHeight="1" x14ac:dyDescent="0.15">
      <c r="A2355" s="110"/>
      <c r="B2355" s="110"/>
    </row>
    <row r="2356" spans="1:2" ht="11.25" customHeight="1" x14ac:dyDescent="0.15">
      <c r="A2356" s="110"/>
      <c r="B2356" s="110"/>
    </row>
    <row r="2357" spans="1:2" ht="11.25" customHeight="1" x14ac:dyDescent="0.15">
      <c r="A2357" s="110"/>
      <c r="B2357" s="110"/>
    </row>
    <row r="2358" spans="1:2" ht="11.25" customHeight="1" x14ac:dyDescent="0.15">
      <c r="A2358" s="110"/>
      <c r="B2358" s="110"/>
    </row>
    <row r="2359" spans="1:2" ht="11.25" customHeight="1" x14ac:dyDescent="0.15">
      <c r="A2359" s="110"/>
      <c r="B2359" s="110"/>
    </row>
    <row r="2360" spans="1:2" ht="11.25" customHeight="1" x14ac:dyDescent="0.15">
      <c r="A2360" s="110"/>
      <c r="B2360" s="110"/>
    </row>
    <row r="2361" spans="1:2" ht="11.25" customHeight="1" x14ac:dyDescent="0.15">
      <c r="A2361" s="110"/>
      <c r="B2361" s="110"/>
    </row>
    <row r="2362" spans="1:2" ht="11.25" customHeight="1" x14ac:dyDescent="0.15">
      <c r="A2362" s="110"/>
      <c r="B2362" s="110"/>
    </row>
    <row r="2363" spans="1:2" ht="11.25" customHeight="1" x14ac:dyDescent="0.15">
      <c r="A2363" s="110"/>
      <c r="B2363" s="110"/>
    </row>
    <row r="2364" spans="1:2" ht="11.25" customHeight="1" x14ac:dyDescent="0.15">
      <c r="A2364" s="110"/>
      <c r="B2364" s="110"/>
    </row>
    <row r="2365" spans="1:2" ht="11.25" customHeight="1" x14ac:dyDescent="0.15">
      <c r="A2365" s="110"/>
      <c r="B2365" s="110"/>
    </row>
    <row r="2366" spans="1:2" ht="11.25" customHeight="1" x14ac:dyDescent="0.15">
      <c r="A2366" s="110"/>
      <c r="B2366" s="110"/>
    </row>
    <row r="2367" spans="1:2" ht="11.25" customHeight="1" x14ac:dyDescent="0.15">
      <c r="A2367" s="110"/>
      <c r="B2367" s="110"/>
    </row>
    <row r="2368" spans="1:2" ht="11.25" customHeight="1" x14ac:dyDescent="0.15">
      <c r="A2368" s="110"/>
      <c r="B2368" s="110"/>
    </row>
    <row r="2369" spans="1:2" ht="11.25" customHeight="1" x14ac:dyDescent="0.15">
      <c r="A2369" s="110"/>
      <c r="B2369" s="110"/>
    </row>
    <row r="2370" spans="1:2" ht="11.25" customHeight="1" x14ac:dyDescent="0.15">
      <c r="A2370" s="110"/>
      <c r="B2370" s="110"/>
    </row>
    <row r="2371" spans="1:2" ht="11.25" customHeight="1" x14ac:dyDescent="0.15">
      <c r="A2371" s="110"/>
      <c r="B2371" s="110"/>
    </row>
    <row r="2372" spans="1:2" ht="11.25" customHeight="1" x14ac:dyDescent="0.15">
      <c r="A2372" s="110"/>
      <c r="B2372" s="110"/>
    </row>
    <row r="2373" spans="1:2" ht="11.25" customHeight="1" x14ac:dyDescent="0.15">
      <c r="A2373" s="110"/>
      <c r="B2373" s="110"/>
    </row>
    <row r="2374" spans="1:2" ht="11.25" customHeight="1" x14ac:dyDescent="0.15">
      <c r="A2374" s="110"/>
      <c r="B2374" s="110"/>
    </row>
    <row r="2375" spans="1:2" ht="11.25" customHeight="1" x14ac:dyDescent="0.15">
      <c r="A2375" s="110"/>
      <c r="B2375" s="110"/>
    </row>
    <row r="2376" spans="1:2" ht="11.25" customHeight="1" x14ac:dyDescent="0.15">
      <c r="A2376" s="110"/>
      <c r="B2376" s="110"/>
    </row>
    <row r="2377" spans="1:2" ht="11.25" customHeight="1" x14ac:dyDescent="0.15">
      <c r="A2377" s="110"/>
      <c r="B2377" s="110"/>
    </row>
    <row r="2378" spans="1:2" ht="11.25" customHeight="1" x14ac:dyDescent="0.15">
      <c r="A2378" s="110"/>
      <c r="B2378" s="110"/>
    </row>
    <row r="2379" spans="1:2" ht="11.25" customHeight="1" x14ac:dyDescent="0.15">
      <c r="A2379" s="110"/>
      <c r="B2379" s="110"/>
    </row>
    <row r="2380" spans="1:2" ht="11.25" customHeight="1" x14ac:dyDescent="0.15">
      <c r="A2380" s="110"/>
      <c r="B2380" s="110"/>
    </row>
    <row r="2381" spans="1:2" ht="11.25" customHeight="1" x14ac:dyDescent="0.15">
      <c r="A2381" s="110"/>
      <c r="B2381" s="110"/>
    </row>
    <row r="2382" spans="1:2" ht="11.25" customHeight="1" x14ac:dyDescent="0.15">
      <c r="A2382" s="110"/>
      <c r="B2382" s="110"/>
    </row>
    <row r="2383" spans="1:2" ht="11.25" customHeight="1" x14ac:dyDescent="0.15">
      <c r="A2383" s="110"/>
      <c r="B2383" s="110"/>
    </row>
    <row r="2384" spans="1:2" ht="11.25" customHeight="1" x14ac:dyDescent="0.15">
      <c r="A2384" s="110"/>
      <c r="B2384" s="110"/>
    </row>
    <row r="2385" spans="1:2" ht="11.25" customHeight="1" x14ac:dyDescent="0.15">
      <c r="A2385" s="110"/>
      <c r="B2385" s="110"/>
    </row>
    <row r="2386" spans="1:2" ht="11.25" customHeight="1" x14ac:dyDescent="0.15">
      <c r="A2386" s="110"/>
      <c r="B2386" s="110"/>
    </row>
    <row r="2387" spans="1:2" ht="11.25" customHeight="1" x14ac:dyDescent="0.15">
      <c r="A2387" s="110"/>
      <c r="B2387" s="110"/>
    </row>
    <row r="2388" spans="1:2" ht="11.25" customHeight="1" x14ac:dyDescent="0.15">
      <c r="A2388" s="110"/>
      <c r="B2388" s="110"/>
    </row>
    <row r="2389" spans="1:2" ht="11.25" customHeight="1" x14ac:dyDescent="0.15">
      <c r="A2389" s="110"/>
      <c r="B2389" s="110"/>
    </row>
    <row r="2390" spans="1:2" ht="11.25" customHeight="1" x14ac:dyDescent="0.15">
      <c r="A2390" s="110"/>
      <c r="B2390" s="110"/>
    </row>
    <row r="2391" spans="1:2" ht="11.25" customHeight="1" x14ac:dyDescent="0.15">
      <c r="A2391" s="110"/>
      <c r="B2391" s="110"/>
    </row>
    <row r="2392" spans="1:2" ht="11.25" customHeight="1" x14ac:dyDescent="0.15">
      <c r="A2392" s="110"/>
      <c r="B2392" s="110"/>
    </row>
    <row r="2393" spans="1:2" ht="11.25" customHeight="1" x14ac:dyDescent="0.15">
      <c r="A2393" s="110"/>
      <c r="B2393" s="110"/>
    </row>
    <row r="2394" spans="1:2" ht="11.25" customHeight="1" x14ac:dyDescent="0.15">
      <c r="A2394" s="110"/>
      <c r="B2394" s="110"/>
    </row>
    <row r="2395" spans="1:2" ht="11.25" customHeight="1" x14ac:dyDescent="0.15">
      <c r="A2395" s="110"/>
      <c r="B2395" s="110"/>
    </row>
    <row r="2396" spans="1:2" ht="11.25" customHeight="1" x14ac:dyDescent="0.15">
      <c r="A2396" s="110"/>
      <c r="B2396" s="110"/>
    </row>
    <row r="2397" spans="1:2" ht="11.25" customHeight="1" x14ac:dyDescent="0.15">
      <c r="A2397" s="110"/>
      <c r="B2397" s="110"/>
    </row>
    <row r="2398" spans="1:2" ht="11.25" customHeight="1" x14ac:dyDescent="0.15">
      <c r="A2398" s="110"/>
      <c r="B2398" s="110"/>
    </row>
    <row r="2399" spans="1:2" ht="11.25" customHeight="1" x14ac:dyDescent="0.15">
      <c r="A2399" s="110"/>
      <c r="B2399" s="110"/>
    </row>
    <row r="2400" spans="1:2" ht="11.25" customHeight="1" x14ac:dyDescent="0.15">
      <c r="A2400" s="110"/>
      <c r="B2400" s="110"/>
    </row>
    <row r="2401" spans="1:2" ht="11.25" customHeight="1" x14ac:dyDescent="0.15">
      <c r="A2401" s="110"/>
      <c r="B2401" s="110"/>
    </row>
    <row r="2402" spans="1:2" ht="11.25" customHeight="1" x14ac:dyDescent="0.15">
      <c r="A2402" s="110"/>
      <c r="B2402" s="110"/>
    </row>
    <row r="2403" spans="1:2" ht="11.25" customHeight="1" x14ac:dyDescent="0.15">
      <c r="A2403" s="110"/>
      <c r="B2403" s="110"/>
    </row>
    <row r="2404" spans="1:2" ht="11.25" customHeight="1" x14ac:dyDescent="0.15">
      <c r="A2404" s="110"/>
      <c r="B2404" s="110"/>
    </row>
    <row r="2405" spans="1:2" ht="11.25" customHeight="1" x14ac:dyDescent="0.15">
      <c r="A2405" s="110"/>
      <c r="B2405" s="110"/>
    </row>
    <row r="2406" spans="1:2" ht="11.25" customHeight="1" x14ac:dyDescent="0.15">
      <c r="A2406" s="110"/>
      <c r="B2406" s="110"/>
    </row>
    <row r="2407" spans="1:2" ht="11.25" customHeight="1" x14ac:dyDescent="0.15">
      <c r="A2407" s="110"/>
      <c r="B2407" s="110"/>
    </row>
    <row r="2408" spans="1:2" ht="11.25" customHeight="1" x14ac:dyDescent="0.15">
      <c r="A2408" s="110"/>
      <c r="B2408" s="110"/>
    </row>
    <row r="2409" spans="1:2" ht="11.25" customHeight="1" x14ac:dyDescent="0.15">
      <c r="A2409" s="110"/>
      <c r="B2409" s="110"/>
    </row>
    <row r="2410" spans="1:2" ht="11.25" customHeight="1" x14ac:dyDescent="0.15">
      <c r="A2410" s="110"/>
      <c r="B2410" s="110"/>
    </row>
    <row r="2411" spans="1:2" ht="11.25" customHeight="1" x14ac:dyDescent="0.15">
      <c r="A2411" s="110"/>
      <c r="B2411" s="110"/>
    </row>
    <row r="2412" spans="1:2" ht="11.25" customHeight="1" x14ac:dyDescent="0.15">
      <c r="A2412" s="110"/>
      <c r="B2412" s="110"/>
    </row>
    <row r="2413" spans="1:2" ht="11.25" customHeight="1" x14ac:dyDescent="0.15">
      <c r="A2413" s="110"/>
      <c r="B2413" s="110"/>
    </row>
    <row r="2414" spans="1:2" ht="11.25" customHeight="1" x14ac:dyDescent="0.15">
      <c r="A2414" s="110"/>
      <c r="B2414" s="110"/>
    </row>
    <row r="2415" spans="1:2" ht="11.25" customHeight="1" x14ac:dyDescent="0.15">
      <c r="A2415" s="110"/>
      <c r="B2415" s="110"/>
    </row>
    <row r="2416" spans="1:2" ht="11.25" customHeight="1" x14ac:dyDescent="0.15">
      <c r="A2416" s="110"/>
      <c r="B2416" s="110"/>
    </row>
    <row r="2417" spans="1:2" ht="11.25" customHeight="1" x14ac:dyDescent="0.15">
      <c r="A2417" s="110"/>
      <c r="B2417" s="110"/>
    </row>
    <row r="2418" spans="1:2" ht="11.25" customHeight="1" x14ac:dyDescent="0.15">
      <c r="A2418" s="110"/>
      <c r="B2418" s="110"/>
    </row>
    <row r="2419" spans="1:2" ht="11.25" customHeight="1" x14ac:dyDescent="0.15">
      <c r="A2419" s="110"/>
      <c r="B2419" s="110"/>
    </row>
    <row r="2420" spans="1:2" ht="11.25" customHeight="1" x14ac:dyDescent="0.15">
      <c r="A2420" s="110"/>
      <c r="B2420" s="110"/>
    </row>
    <row r="2421" spans="1:2" ht="11.25" customHeight="1" x14ac:dyDescent="0.15">
      <c r="A2421" s="110"/>
      <c r="B2421" s="110"/>
    </row>
    <row r="2422" spans="1:2" ht="11.25" customHeight="1" x14ac:dyDescent="0.15">
      <c r="A2422" s="110"/>
      <c r="B2422" s="110"/>
    </row>
    <row r="2423" spans="1:2" ht="11.25" customHeight="1" x14ac:dyDescent="0.15">
      <c r="A2423" s="110"/>
      <c r="B2423" s="110"/>
    </row>
    <row r="2424" spans="1:2" ht="11.25" customHeight="1" x14ac:dyDescent="0.15">
      <c r="A2424" s="110"/>
      <c r="B2424" s="110"/>
    </row>
    <row r="2425" spans="1:2" ht="11.25" customHeight="1" x14ac:dyDescent="0.15">
      <c r="A2425" s="110"/>
      <c r="B2425" s="110"/>
    </row>
    <row r="2426" spans="1:2" ht="11.25" customHeight="1" x14ac:dyDescent="0.15">
      <c r="A2426" s="110"/>
      <c r="B2426" s="110"/>
    </row>
    <row r="2427" spans="1:2" ht="11.25" customHeight="1" x14ac:dyDescent="0.15">
      <c r="A2427" s="110"/>
      <c r="B2427" s="110"/>
    </row>
    <row r="2428" spans="1:2" ht="11.25" customHeight="1" x14ac:dyDescent="0.15">
      <c r="A2428" s="110"/>
      <c r="B2428" s="110"/>
    </row>
    <row r="2429" spans="1:2" ht="11.25" customHeight="1" x14ac:dyDescent="0.15">
      <c r="A2429" s="110"/>
      <c r="B2429" s="110"/>
    </row>
    <row r="2430" spans="1:2" ht="11.25" customHeight="1" x14ac:dyDescent="0.15">
      <c r="A2430" s="110"/>
      <c r="B2430" s="110"/>
    </row>
    <row r="2431" spans="1:2" ht="11.25" customHeight="1" x14ac:dyDescent="0.15">
      <c r="A2431" s="110"/>
      <c r="B2431" s="110"/>
    </row>
    <row r="2432" spans="1:2" ht="11.25" customHeight="1" x14ac:dyDescent="0.15">
      <c r="A2432" s="110"/>
      <c r="B2432" s="110"/>
    </row>
    <row r="2433" spans="1:2" ht="11.25" customHeight="1" x14ac:dyDescent="0.15">
      <c r="A2433" s="110"/>
      <c r="B2433" s="110"/>
    </row>
    <row r="2434" spans="1:2" ht="11.25" customHeight="1" x14ac:dyDescent="0.15">
      <c r="A2434" s="110"/>
      <c r="B2434" s="110"/>
    </row>
    <row r="2435" spans="1:2" ht="11.25" customHeight="1" x14ac:dyDescent="0.15">
      <c r="A2435" s="110"/>
      <c r="B2435" s="110"/>
    </row>
    <row r="2436" spans="1:2" ht="11.25" customHeight="1" x14ac:dyDescent="0.15">
      <c r="A2436" s="110"/>
      <c r="B2436" s="110"/>
    </row>
    <row r="2437" spans="1:2" ht="11.25" customHeight="1" x14ac:dyDescent="0.15">
      <c r="A2437" s="110"/>
      <c r="B2437" s="110"/>
    </row>
    <row r="2438" spans="1:2" ht="11.25" customHeight="1" x14ac:dyDescent="0.15">
      <c r="A2438" s="110"/>
      <c r="B2438" s="110"/>
    </row>
    <row r="2439" spans="1:2" ht="11.25" customHeight="1" x14ac:dyDescent="0.15">
      <c r="A2439" s="110"/>
      <c r="B2439" s="110"/>
    </row>
    <row r="2440" spans="1:2" ht="11.25" customHeight="1" x14ac:dyDescent="0.15">
      <c r="A2440" s="110"/>
      <c r="B2440" s="110"/>
    </row>
    <row r="2441" spans="1:2" ht="11.25" customHeight="1" x14ac:dyDescent="0.15">
      <c r="A2441" s="110"/>
      <c r="B2441" s="110"/>
    </row>
    <row r="2442" spans="1:2" ht="11.25" customHeight="1" x14ac:dyDescent="0.15">
      <c r="A2442" s="110"/>
      <c r="B2442" s="110"/>
    </row>
    <row r="2443" spans="1:2" ht="11.25" customHeight="1" x14ac:dyDescent="0.15">
      <c r="A2443" s="110"/>
      <c r="B2443" s="110"/>
    </row>
    <row r="2444" spans="1:2" ht="11.25" customHeight="1" x14ac:dyDescent="0.15">
      <c r="A2444" s="110"/>
      <c r="B2444" s="110"/>
    </row>
    <row r="2445" spans="1:2" ht="11.25" customHeight="1" x14ac:dyDescent="0.15">
      <c r="A2445" s="110"/>
      <c r="B2445" s="110"/>
    </row>
    <row r="2446" spans="1:2" ht="11.25" customHeight="1" x14ac:dyDescent="0.15">
      <c r="A2446" s="110"/>
      <c r="B2446" s="110"/>
    </row>
    <row r="2447" spans="1:2" ht="11.25" customHeight="1" x14ac:dyDescent="0.15">
      <c r="A2447" s="110"/>
      <c r="B2447" s="110"/>
    </row>
    <row r="2448" spans="1:2" ht="11.25" customHeight="1" x14ac:dyDescent="0.15">
      <c r="A2448" s="110"/>
      <c r="B2448" s="110"/>
    </row>
    <row r="2449" spans="1:2" ht="11.25" customHeight="1" x14ac:dyDescent="0.15">
      <c r="A2449" s="110"/>
      <c r="B2449" s="110"/>
    </row>
    <row r="2450" spans="1:2" ht="11.25" customHeight="1" x14ac:dyDescent="0.15">
      <c r="A2450" s="110"/>
      <c r="B2450" s="110"/>
    </row>
    <row r="2451" spans="1:2" ht="11.25" customHeight="1" x14ac:dyDescent="0.15">
      <c r="A2451" s="110"/>
      <c r="B2451" s="110"/>
    </row>
    <row r="2452" spans="1:2" ht="11.25" customHeight="1" x14ac:dyDescent="0.15">
      <c r="A2452" s="110"/>
      <c r="B2452" s="110"/>
    </row>
    <row r="2453" spans="1:2" ht="11.25" customHeight="1" x14ac:dyDescent="0.15">
      <c r="A2453" s="110"/>
      <c r="B2453" s="110"/>
    </row>
    <row r="2454" spans="1:2" ht="11.25" customHeight="1" x14ac:dyDescent="0.15">
      <c r="A2454" s="110"/>
      <c r="B2454" s="110"/>
    </row>
    <row r="2455" spans="1:2" ht="11.25" customHeight="1" x14ac:dyDescent="0.15">
      <c r="A2455" s="110"/>
      <c r="B2455" s="110"/>
    </row>
    <row r="2456" spans="1:2" ht="11.25" customHeight="1" x14ac:dyDescent="0.15">
      <c r="A2456" s="110"/>
      <c r="B2456" s="110"/>
    </row>
    <row r="2457" spans="1:2" ht="11.25" customHeight="1" x14ac:dyDescent="0.15">
      <c r="A2457" s="110"/>
      <c r="B2457" s="110"/>
    </row>
    <row r="2458" spans="1:2" ht="11.25" customHeight="1" x14ac:dyDescent="0.15">
      <c r="A2458" s="110"/>
      <c r="B2458" s="110"/>
    </row>
    <row r="2459" spans="1:2" ht="11.25" customHeight="1" x14ac:dyDescent="0.15">
      <c r="A2459" s="110"/>
      <c r="B2459" s="110"/>
    </row>
    <row r="2460" spans="1:2" ht="11.25" customHeight="1" x14ac:dyDescent="0.15">
      <c r="A2460" s="110"/>
      <c r="B2460" s="110"/>
    </row>
    <row r="2461" spans="1:2" ht="11.25" customHeight="1" x14ac:dyDescent="0.15">
      <c r="A2461" s="110"/>
      <c r="B2461" s="110"/>
    </row>
    <row r="2462" spans="1:2" ht="11.25" customHeight="1" x14ac:dyDescent="0.15">
      <c r="A2462" s="110"/>
      <c r="B2462" s="110"/>
    </row>
    <row r="2463" spans="1:2" ht="11.25" customHeight="1" x14ac:dyDescent="0.15">
      <c r="A2463" s="110"/>
      <c r="B2463" s="110"/>
    </row>
    <row r="2464" spans="1:2" ht="11.25" customHeight="1" x14ac:dyDescent="0.15">
      <c r="A2464" s="110"/>
      <c r="B2464" s="110"/>
    </row>
    <row r="2465" spans="1:2" ht="11.25" customHeight="1" x14ac:dyDescent="0.15">
      <c r="A2465" s="110"/>
      <c r="B2465" s="110"/>
    </row>
    <row r="2466" spans="1:2" ht="11.25" customHeight="1" x14ac:dyDescent="0.15">
      <c r="A2466" s="110"/>
      <c r="B2466" s="110"/>
    </row>
    <row r="2467" spans="1:2" ht="11.25" customHeight="1" x14ac:dyDescent="0.15">
      <c r="A2467" s="110"/>
      <c r="B2467" s="110"/>
    </row>
    <row r="2468" spans="1:2" ht="11.25" customHeight="1" x14ac:dyDescent="0.15">
      <c r="A2468" s="110"/>
      <c r="B2468" s="110"/>
    </row>
    <row r="2469" spans="1:2" ht="11.25" customHeight="1" x14ac:dyDescent="0.15">
      <c r="A2469" s="110"/>
      <c r="B2469" s="110"/>
    </row>
    <row r="2470" spans="1:2" ht="11.25" customHeight="1" x14ac:dyDescent="0.15">
      <c r="A2470" s="110"/>
      <c r="B2470" s="110"/>
    </row>
    <row r="2471" spans="1:2" ht="11.25" customHeight="1" x14ac:dyDescent="0.15">
      <c r="A2471" s="110"/>
      <c r="B2471" s="110"/>
    </row>
    <row r="2472" spans="1:2" ht="11.25" customHeight="1" x14ac:dyDescent="0.15">
      <c r="A2472" s="110"/>
      <c r="B2472" s="110"/>
    </row>
    <row r="2473" spans="1:2" ht="11.25" customHeight="1" x14ac:dyDescent="0.15">
      <c r="A2473" s="110"/>
      <c r="B2473" s="110"/>
    </row>
    <row r="2474" spans="1:2" ht="11.25" customHeight="1" x14ac:dyDescent="0.15">
      <c r="A2474" s="110"/>
      <c r="B2474" s="110"/>
    </row>
    <row r="2475" spans="1:2" ht="11.25" customHeight="1" x14ac:dyDescent="0.15">
      <c r="A2475" s="110"/>
      <c r="B2475" s="110"/>
    </row>
    <row r="2476" spans="1:2" ht="11.25" customHeight="1" x14ac:dyDescent="0.15">
      <c r="A2476" s="110"/>
      <c r="B2476" s="110"/>
    </row>
    <row r="2477" spans="1:2" ht="11.25" customHeight="1" x14ac:dyDescent="0.15">
      <c r="A2477" s="110"/>
      <c r="B2477" s="110"/>
    </row>
    <row r="2478" spans="1:2" ht="11.25" customHeight="1" x14ac:dyDescent="0.15">
      <c r="A2478" s="110"/>
      <c r="B2478" s="110"/>
    </row>
    <row r="2479" spans="1:2" ht="11.25" customHeight="1" x14ac:dyDescent="0.15">
      <c r="A2479" s="110"/>
      <c r="B2479" s="110"/>
    </row>
    <row r="2480" spans="1:2" ht="11.25" customHeight="1" x14ac:dyDescent="0.15">
      <c r="A2480" s="110"/>
      <c r="B2480" s="110"/>
    </row>
    <row r="2481" spans="1:2" ht="11.25" customHeight="1" x14ac:dyDescent="0.15">
      <c r="A2481" s="110"/>
      <c r="B2481" s="110"/>
    </row>
    <row r="2482" spans="1:2" ht="11.25" customHeight="1" x14ac:dyDescent="0.15">
      <c r="A2482" s="110"/>
      <c r="B2482" s="110"/>
    </row>
    <row r="2483" spans="1:2" ht="11.25" customHeight="1" x14ac:dyDescent="0.15">
      <c r="A2483" s="110"/>
      <c r="B2483" s="110"/>
    </row>
    <row r="2484" spans="1:2" ht="11.25" customHeight="1" x14ac:dyDescent="0.15">
      <c r="A2484" s="110"/>
      <c r="B2484" s="110"/>
    </row>
    <row r="2485" spans="1:2" ht="11.25" customHeight="1" x14ac:dyDescent="0.15">
      <c r="A2485" s="110"/>
      <c r="B2485" s="110"/>
    </row>
    <row r="2486" spans="1:2" ht="11.25" customHeight="1" x14ac:dyDescent="0.15">
      <c r="A2486" s="110"/>
      <c r="B2486" s="110"/>
    </row>
    <row r="2487" spans="1:2" ht="11.25" customHeight="1" x14ac:dyDescent="0.15">
      <c r="A2487" s="110"/>
      <c r="B2487" s="110"/>
    </row>
    <row r="2488" spans="1:2" ht="11.25" customHeight="1" x14ac:dyDescent="0.15">
      <c r="A2488" s="110"/>
      <c r="B2488" s="110"/>
    </row>
    <row r="2489" spans="1:2" ht="11.25" customHeight="1" x14ac:dyDescent="0.15">
      <c r="A2489" s="110"/>
      <c r="B2489" s="110"/>
    </row>
    <row r="2490" spans="1:2" ht="11.25" customHeight="1" x14ac:dyDescent="0.15">
      <c r="A2490" s="110"/>
      <c r="B2490" s="110"/>
    </row>
    <row r="2491" spans="1:2" ht="11.25" customHeight="1" x14ac:dyDescent="0.15">
      <c r="A2491" s="110"/>
      <c r="B2491" s="110"/>
    </row>
    <row r="2492" spans="1:2" ht="11.25" customHeight="1" x14ac:dyDescent="0.15">
      <c r="A2492" s="110"/>
      <c r="B2492" s="110"/>
    </row>
    <row r="2493" spans="1:2" ht="11.25" customHeight="1" x14ac:dyDescent="0.15">
      <c r="A2493" s="110"/>
      <c r="B2493" s="110"/>
    </row>
    <row r="2494" spans="1:2" ht="11.25" customHeight="1" x14ac:dyDescent="0.15">
      <c r="A2494" s="110"/>
      <c r="B2494" s="110"/>
    </row>
    <row r="2495" spans="1:2" ht="11.25" customHeight="1" x14ac:dyDescent="0.15">
      <c r="A2495" s="110"/>
      <c r="B2495" s="110"/>
    </row>
    <row r="2496" spans="1:2" ht="11.25" customHeight="1" x14ac:dyDescent="0.15">
      <c r="A2496" s="110"/>
      <c r="B2496" s="110"/>
    </row>
    <row r="2497" spans="1:2" ht="11.25" customHeight="1" x14ac:dyDescent="0.15">
      <c r="A2497" s="110"/>
      <c r="B2497" s="110"/>
    </row>
    <row r="2498" spans="1:2" ht="11.25" customHeight="1" x14ac:dyDescent="0.15">
      <c r="A2498" s="110"/>
      <c r="B2498" s="110"/>
    </row>
    <row r="2499" spans="1:2" ht="11.25" customHeight="1" x14ac:dyDescent="0.15">
      <c r="A2499" s="110"/>
      <c r="B2499" s="110"/>
    </row>
    <row r="2500" spans="1:2" ht="11.25" customHeight="1" x14ac:dyDescent="0.15">
      <c r="A2500" s="110"/>
      <c r="B2500" s="110"/>
    </row>
    <row r="2501" spans="1:2" ht="11.25" customHeight="1" x14ac:dyDescent="0.15">
      <c r="A2501" s="110"/>
      <c r="B2501" s="110"/>
    </row>
    <row r="2502" spans="1:2" ht="11.25" customHeight="1" x14ac:dyDescent="0.15">
      <c r="A2502" s="110"/>
      <c r="B2502" s="110"/>
    </row>
    <row r="2503" spans="1:2" ht="11.25" customHeight="1" x14ac:dyDescent="0.15">
      <c r="A2503" s="110"/>
      <c r="B2503" s="110"/>
    </row>
    <row r="2504" spans="1:2" ht="11.25" customHeight="1" x14ac:dyDescent="0.15">
      <c r="A2504" s="110"/>
      <c r="B2504" s="110"/>
    </row>
    <row r="2505" spans="1:2" ht="11.25" customHeight="1" x14ac:dyDescent="0.15">
      <c r="A2505" s="110"/>
      <c r="B2505" s="110"/>
    </row>
    <row r="2506" spans="1:2" ht="11.25" customHeight="1" x14ac:dyDescent="0.15">
      <c r="A2506" s="110"/>
      <c r="B2506" s="110"/>
    </row>
    <row r="2507" spans="1:2" ht="11.25" customHeight="1" x14ac:dyDescent="0.15">
      <c r="A2507" s="110"/>
      <c r="B2507" s="110"/>
    </row>
    <row r="2508" spans="1:2" ht="11.25" customHeight="1" x14ac:dyDescent="0.15">
      <c r="A2508" s="110"/>
      <c r="B2508" s="110"/>
    </row>
    <row r="2509" spans="1:2" ht="11.25" customHeight="1" x14ac:dyDescent="0.15">
      <c r="A2509" s="110"/>
      <c r="B2509" s="110"/>
    </row>
    <row r="2510" spans="1:2" ht="11.25" customHeight="1" x14ac:dyDescent="0.15">
      <c r="A2510" s="110"/>
      <c r="B2510" s="110"/>
    </row>
    <row r="2511" spans="1:2" ht="11.25" customHeight="1" x14ac:dyDescent="0.15">
      <c r="A2511" s="110"/>
      <c r="B2511" s="110"/>
    </row>
    <row r="2512" spans="1:2" ht="11.25" customHeight="1" x14ac:dyDescent="0.15">
      <c r="A2512" s="110"/>
      <c r="B2512" s="110"/>
    </row>
    <row r="2513" spans="1:2" ht="11.25" customHeight="1" x14ac:dyDescent="0.15">
      <c r="A2513" s="110"/>
      <c r="B2513" s="110"/>
    </row>
    <row r="2514" spans="1:2" ht="11.25" customHeight="1" x14ac:dyDescent="0.15">
      <c r="A2514" s="110"/>
      <c r="B2514" s="110"/>
    </row>
    <row r="2515" spans="1:2" ht="11.25" customHeight="1" x14ac:dyDescent="0.15">
      <c r="A2515" s="110"/>
      <c r="B2515" s="110"/>
    </row>
    <row r="2516" spans="1:2" ht="11.25" customHeight="1" x14ac:dyDescent="0.15">
      <c r="A2516" s="110"/>
      <c r="B2516" s="110"/>
    </row>
    <row r="2517" spans="1:2" ht="11.25" customHeight="1" x14ac:dyDescent="0.15">
      <c r="A2517" s="110"/>
      <c r="B2517" s="110"/>
    </row>
    <row r="2518" spans="1:2" ht="11.25" customHeight="1" x14ac:dyDescent="0.15">
      <c r="A2518" s="110"/>
      <c r="B2518" s="110"/>
    </row>
    <row r="2519" spans="1:2" ht="11.25" customHeight="1" x14ac:dyDescent="0.15">
      <c r="A2519" s="110"/>
      <c r="B2519" s="110"/>
    </row>
    <row r="2520" spans="1:2" ht="11.25" customHeight="1" x14ac:dyDescent="0.15">
      <c r="A2520" s="110"/>
      <c r="B2520" s="110"/>
    </row>
    <row r="2521" spans="1:2" ht="11.25" customHeight="1" x14ac:dyDescent="0.15">
      <c r="A2521" s="110"/>
      <c r="B2521" s="110"/>
    </row>
    <row r="2522" spans="1:2" ht="11.25" customHeight="1" x14ac:dyDescent="0.15">
      <c r="A2522" s="110"/>
      <c r="B2522" s="110"/>
    </row>
    <row r="2523" spans="1:2" ht="11.25" customHeight="1" x14ac:dyDescent="0.15">
      <c r="A2523" s="110"/>
      <c r="B2523" s="110"/>
    </row>
    <row r="2524" spans="1:2" ht="11.25" customHeight="1" x14ac:dyDescent="0.15">
      <c r="A2524" s="110"/>
      <c r="B2524" s="110"/>
    </row>
    <row r="2525" spans="1:2" ht="11.25" customHeight="1" x14ac:dyDescent="0.15">
      <c r="A2525" s="110"/>
      <c r="B2525" s="110"/>
    </row>
    <row r="2526" spans="1:2" ht="11.25" customHeight="1" x14ac:dyDescent="0.15">
      <c r="A2526" s="110"/>
      <c r="B2526" s="110"/>
    </row>
    <row r="2527" spans="1:2" ht="11.25" customHeight="1" x14ac:dyDescent="0.15">
      <c r="A2527" s="110"/>
      <c r="B2527" s="110"/>
    </row>
    <row r="2528" spans="1:2" ht="11.25" customHeight="1" x14ac:dyDescent="0.15">
      <c r="A2528" s="110"/>
      <c r="B2528" s="110"/>
    </row>
    <row r="2529" spans="1:2" ht="11.25" customHeight="1" x14ac:dyDescent="0.15">
      <c r="A2529" s="110"/>
      <c r="B2529" s="110"/>
    </row>
    <row r="2530" spans="1:2" ht="11.25" customHeight="1" x14ac:dyDescent="0.15">
      <c r="A2530" s="110"/>
      <c r="B2530" s="110"/>
    </row>
    <row r="2531" spans="1:2" ht="11.25" customHeight="1" x14ac:dyDescent="0.15">
      <c r="A2531" s="110"/>
      <c r="B2531" s="110"/>
    </row>
    <row r="2532" spans="1:2" ht="11.25" customHeight="1" x14ac:dyDescent="0.15">
      <c r="A2532" s="110"/>
      <c r="B2532" s="110"/>
    </row>
    <row r="2533" spans="1:2" ht="11.25" customHeight="1" x14ac:dyDescent="0.15">
      <c r="A2533" s="110"/>
      <c r="B2533" s="110"/>
    </row>
    <row r="2534" spans="1:2" ht="11.25" customHeight="1" x14ac:dyDescent="0.15">
      <c r="A2534" s="110"/>
      <c r="B2534" s="110"/>
    </row>
    <row r="2535" spans="1:2" ht="11.25" customHeight="1" x14ac:dyDescent="0.15">
      <c r="A2535" s="110"/>
      <c r="B2535" s="110"/>
    </row>
    <row r="2536" spans="1:2" ht="11.25" customHeight="1" x14ac:dyDescent="0.15">
      <c r="A2536" s="110"/>
      <c r="B2536" s="110"/>
    </row>
    <row r="2537" spans="1:2" ht="11.25" customHeight="1" x14ac:dyDescent="0.15">
      <c r="A2537" s="110"/>
      <c r="B2537" s="110"/>
    </row>
    <row r="2538" spans="1:2" ht="11.25" customHeight="1" x14ac:dyDescent="0.15">
      <c r="A2538" s="110"/>
      <c r="B2538" s="110"/>
    </row>
    <row r="2539" spans="1:2" ht="11.25" customHeight="1" x14ac:dyDescent="0.15">
      <c r="A2539" s="110"/>
      <c r="B2539" s="110"/>
    </row>
    <row r="2540" spans="1:2" ht="11.25" customHeight="1" x14ac:dyDescent="0.15">
      <c r="A2540" s="110"/>
      <c r="B2540" s="110"/>
    </row>
    <row r="2541" spans="1:2" ht="11.25" customHeight="1" x14ac:dyDescent="0.15">
      <c r="A2541" s="110"/>
      <c r="B2541" s="110"/>
    </row>
    <row r="2542" spans="1:2" ht="11.25" customHeight="1" x14ac:dyDescent="0.15">
      <c r="A2542" s="110"/>
      <c r="B2542" s="110"/>
    </row>
    <row r="2543" spans="1:2" ht="11.25" customHeight="1" x14ac:dyDescent="0.15">
      <c r="A2543" s="110"/>
      <c r="B2543" s="110"/>
    </row>
    <row r="2544" spans="1:2" ht="11.25" customHeight="1" x14ac:dyDescent="0.15">
      <c r="A2544" s="110"/>
      <c r="B2544" s="110"/>
    </row>
    <row r="2545" spans="1:2" ht="11.25" customHeight="1" x14ac:dyDescent="0.15">
      <c r="A2545" s="110"/>
      <c r="B2545" s="110"/>
    </row>
    <row r="2546" spans="1:2" ht="11.25" customHeight="1" x14ac:dyDescent="0.15">
      <c r="A2546" s="110"/>
      <c r="B2546" s="110"/>
    </row>
    <row r="2547" spans="1:2" ht="11.25" customHeight="1" x14ac:dyDescent="0.15">
      <c r="A2547" s="110"/>
      <c r="B2547" s="110"/>
    </row>
    <row r="2548" spans="1:2" ht="11.25" customHeight="1" x14ac:dyDescent="0.15">
      <c r="A2548" s="110"/>
      <c r="B2548" s="110"/>
    </row>
    <row r="2549" spans="1:2" ht="11.25" customHeight="1" x14ac:dyDescent="0.15">
      <c r="A2549" s="110"/>
      <c r="B2549" s="110"/>
    </row>
    <row r="2550" spans="1:2" ht="11.25" customHeight="1" x14ac:dyDescent="0.15">
      <c r="A2550" s="110"/>
      <c r="B2550" s="110"/>
    </row>
    <row r="2551" spans="1:2" ht="11.25" customHeight="1" x14ac:dyDescent="0.15">
      <c r="A2551" s="110"/>
      <c r="B2551" s="110"/>
    </row>
    <row r="2552" spans="1:2" ht="11.25" customHeight="1" x14ac:dyDescent="0.15">
      <c r="A2552" s="110"/>
      <c r="B2552" s="110"/>
    </row>
    <row r="2553" spans="1:2" ht="11.25" customHeight="1" x14ac:dyDescent="0.15">
      <c r="A2553" s="110"/>
      <c r="B2553" s="110"/>
    </row>
    <row r="2554" spans="1:2" ht="11.25" customHeight="1" x14ac:dyDescent="0.15">
      <c r="A2554" s="110"/>
      <c r="B2554" s="110"/>
    </row>
    <row r="2555" spans="1:2" ht="11.25" customHeight="1" x14ac:dyDescent="0.15">
      <c r="A2555" s="110"/>
      <c r="B2555" s="110"/>
    </row>
    <row r="2556" spans="1:2" ht="11.25" customHeight="1" x14ac:dyDescent="0.15">
      <c r="A2556" s="110"/>
      <c r="B2556" s="110"/>
    </row>
    <row r="2557" spans="1:2" ht="11.25" customHeight="1" x14ac:dyDescent="0.15">
      <c r="A2557" s="110"/>
      <c r="B2557" s="110"/>
    </row>
    <row r="2558" spans="1:2" ht="11.25" customHeight="1" x14ac:dyDescent="0.15">
      <c r="A2558" s="110"/>
      <c r="B2558" s="110"/>
    </row>
    <row r="2559" spans="1:2" ht="11.25" customHeight="1" x14ac:dyDescent="0.15">
      <c r="A2559" s="110"/>
      <c r="B2559" s="110"/>
    </row>
    <row r="2560" spans="1:2" ht="11.25" customHeight="1" x14ac:dyDescent="0.15">
      <c r="A2560" s="110"/>
      <c r="B2560" s="110"/>
    </row>
    <row r="2561" spans="1:2" ht="11.25" customHeight="1" x14ac:dyDescent="0.15">
      <c r="A2561" s="110"/>
      <c r="B2561" s="110"/>
    </row>
    <row r="2562" spans="1:2" ht="11.25" customHeight="1" x14ac:dyDescent="0.15">
      <c r="A2562" s="110"/>
      <c r="B2562" s="110"/>
    </row>
    <row r="2563" spans="1:2" ht="11.25" customHeight="1" x14ac:dyDescent="0.15">
      <c r="A2563" s="110"/>
      <c r="B2563" s="110"/>
    </row>
    <row r="2564" spans="1:2" ht="11.25" customHeight="1" x14ac:dyDescent="0.15">
      <c r="A2564" s="110"/>
      <c r="B2564" s="110"/>
    </row>
    <row r="2565" spans="1:2" ht="11.25" customHeight="1" x14ac:dyDescent="0.15">
      <c r="A2565" s="110"/>
      <c r="B2565" s="110"/>
    </row>
    <row r="2566" spans="1:2" ht="11.25" customHeight="1" x14ac:dyDescent="0.15">
      <c r="A2566" s="110"/>
      <c r="B2566" s="110"/>
    </row>
    <row r="2567" spans="1:2" ht="11.25" customHeight="1" x14ac:dyDescent="0.15">
      <c r="A2567" s="110"/>
      <c r="B2567" s="110"/>
    </row>
    <row r="2568" spans="1:2" ht="11.25" customHeight="1" x14ac:dyDescent="0.15">
      <c r="A2568" s="110"/>
      <c r="B2568" s="110"/>
    </row>
    <row r="2569" spans="1:2" ht="11.25" customHeight="1" x14ac:dyDescent="0.15">
      <c r="A2569" s="110"/>
      <c r="B2569" s="110"/>
    </row>
    <row r="2570" spans="1:2" ht="11.25" customHeight="1" x14ac:dyDescent="0.15">
      <c r="A2570" s="110"/>
      <c r="B2570" s="110"/>
    </row>
    <row r="2571" spans="1:2" ht="11.25" customHeight="1" x14ac:dyDescent="0.15">
      <c r="A2571" s="110"/>
      <c r="B2571" s="110"/>
    </row>
    <row r="2572" spans="1:2" ht="11.25" customHeight="1" x14ac:dyDescent="0.15">
      <c r="A2572" s="110"/>
      <c r="B2572" s="110"/>
    </row>
    <row r="2573" spans="1:2" ht="11.25" customHeight="1" x14ac:dyDescent="0.15">
      <c r="A2573" s="110"/>
      <c r="B2573" s="110"/>
    </row>
    <row r="2574" spans="1:2" ht="11.25" customHeight="1" x14ac:dyDescent="0.15">
      <c r="A2574" s="110"/>
      <c r="B2574" s="110"/>
    </row>
    <row r="2575" spans="1:2" ht="11.25" customHeight="1" x14ac:dyDescent="0.15">
      <c r="A2575" s="110"/>
      <c r="B2575" s="110"/>
    </row>
    <row r="2576" spans="1:2" ht="11.25" customHeight="1" x14ac:dyDescent="0.15">
      <c r="A2576" s="110"/>
      <c r="B2576" s="110"/>
    </row>
    <row r="2577" spans="1:2" ht="11.25" customHeight="1" x14ac:dyDescent="0.15">
      <c r="A2577" s="110"/>
      <c r="B2577" s="110"/>
    </row>
    <row r="2578" spans="1:2" ht="11.25" customHeight="1" x14ac:dyDescent="0.15">
      <c r="A2578" s="110"/>
      <c r="B2578" s="110"/>
    </row>
    <row r="2579" spans="1:2" ht="11.25" customHeight="1" x14ac:dyDescent="0.15">
      <c r="A2579" s="110"/>
      <c r="B2579" s="110"/>
    </row>
    <row r="2580" spans="1:2" ht="11.25" customHeight="1" x14ac:dyDescent="0.15">
      <c r="A2580" s="110"/>
      <c r="B2580" s="110"/>
    </row>
    <row r="2581" spans="1:2" ht="11.25" customHeight="1" x14ac:dyDescent="0.15">
      <c r="A2581" s="110"/>
      <c r="B2581" s="110"/>
    </row>
    <row r="2582" spans="1:2" ht="11.25" customHeight="1" x14ac:dyDescent="0.15">
      <c r="A2582" s="110"/>
      <c r="B2582" s="110"/>
    </row>
    <row r="2583" spans="1:2" ht="11.25" customHeight="1" x14ac:dyDescent="0.15">
      <c r="A2583" s="110"/>
      <c r="B2583" s="110"/>
    </row>
    <row r="2584" spans="1:2" ht="11.25" customHeight="1" x14ac:dyDescent="0.15">
      <c r="A2584" s="110"/>
      <c r="B2584" s="110"/>
    </row>
    <row r="2585" spans="1:2" ht="11.25" customHeight="1" x14ac:dyDescent="0.15">
      <c r="A2585" s="110"/>
      <c r="B2585" s="110"/>
    </row>
    <row r="2586" spans="1:2" ht="11.25" customHeight="1" x14ac:dyDescent="0.15">
      <c r="A2586" s="110"/>
      <c r="B2586" s="110"/>
    </row>
    <row r="2587" spans="1:2" ht="11.25" customHeight="1" x14ac:dyDescent="0.15">
      <c r="A2587" s="110"/>
      <c r="B2587" s="110"/>
    </row>
    <row r="2588" spans="1:2" ht="11.25" customHeight="1" x14ac:dyDescent="0.15">
      <c r="A2588" s="110"/>
      <c r="B2588" s="110"/>
    </row>
    <row r="2589" spans="1:2" ht="11.25" customHeight="1" x14ac:dyDescent="0.15">
      <c r="A2589" s="110"/>
      <c r="B2589" s="110"/>
    </row>
    <row r="2590" spans="1:2" ht="11.25" customHeight="1" x14ac:dyDescent="0.15">
      <c r="A2590" s="110"/>
      <c r="B2590" s="110"/>
    </row>
    <row r="2591" spans="1:2" ht="11.25" customHeight="1" x14ac:dyDescent="0.15">
      <c r="A2591" s="110"/>
      <c r="B2591" s="110"/>
    </row>
    <row r="2592" spans="1:2" ht="11.25" customHeight="1" x14ac:dyDescent="0.15">
      <c r="A2592" s="110"/>
      <c r="B2592" s="110"/>
    </row>
    <row r="2593" spans="1:2" ht="11.25" customHeight="1" x14ac:dyDescent="0.15">
      <c r="A2593" s="110"/>
      <c r="B2593" s="110"/>
    </row>
    <row r="2594" spans="1:2" ht="11.25" customHeight="1" x14ac:dyDescent="0.15">
      <c r="A2594" s="110"/>
      <c r="B2594" s="110"/>
    </row>
    <row r="2595" spans="1:2" ht="11.25" customHeight="1" x14ac:dyDescent="0.15">
      <c r="A2595" s="110"/>
      <c r="B2595" s="110"/>
    </row>
    <row r="2596" spans="1:2" ht="11.25" customHeight="1" x14ac:dyDescent="0.15">
      <c r="A2596" s="110"/>
      <c r="B2596" s="110"/>
    </row>
    <row r="2597" spans="1:2" ht="11.25" customHeight="1" x14ac:dyDescent="0.15">
      <c r="A2597" s="110"/>
      <c r="B2597" s="110"/>
    </row>
    <row r="2598" spans="1:2" ht="11.25" customHeight="1" x14ac:dyDescent="0.15">
      <c r="A2598" s="110"/>
      <c r="B2598" s="110"/>
    </row>
    <row r="2599" spans="1:2" ht="11.25" customHeight="1" x14ac:dyDescent="0.15">
      <c r="A2599" s="110"/>
      <c r="B2599" s="110"/>
    </row>
    <row r="2600" spans="1:2" ht="11.25" customHeight="1" x14ac:dyDescent="0.15">
      <c r="A2600" s="110"/>
      <c r="B2600" s="110"/>
    </row>
    <row r="2601" spans="1:2" ht="11.25" customHeight="1" x14ac:dyDescent="0.15">
      <c r="A2601" s="110"/>
      <c r="B2601" s="110"/>
    </row>
    <row r="2602" spans="1:2" ht="11.25" customHeight="1" x14ac:dyDescent="0.15">
      <c r="A2602" s="110"/>
      <c r="B2602" s="110"/>
    </row>
    <row r="2603" spans="1:2" ht="11.25" customHeight="1" x14ac:dyDescent="0.15">
      <c r="A2603" s="110"/>
      <c r="B2603" s="110"/>
    </row>
    <row r="2604" spans="1:2" ht="11.25" customHeight="1" x14ac:dyDescent="0.15">
      <c r="A2604" s="110"/>
      <c r="B2604" s="110"/>
    </row>
    <row r="2605" spans="1:2" ht="11.25" customHeight="1" x14ac:dyDescent="0.15">
      <c r="A2605" s="110"/>
      <c r="B2605" s="110"/>
    </row>
    <row r="2606" spans="1:2" ht="11.25" customHeight="1" x14ac:dyDescent="0.15">
      <c r="A2606" s="110"/>
      <c r="B2606" s="110"/>
    </row>
    <row r="2607" spans="1:2" ht="11.25" customHeight="1" x14ac:dyDescent="0.15">
      <c r="A2607" s="110"/>
      <c r="B2607" s="110"/>
    </row>
    <row r="2608" spans="1:2" ht="11.25" customHeight="1" x14ac:dyDescent="0.15">
      <c r="A2608" s="110"/>
      <c r="B2608" s="110"/>
    </row>
    <row r="2609" spans="1:2" ht="11.25" customHeight="1" x14ac:dyDescent="0.15">
      <c r="A2609" s="110"/>
      <c r="B2609" s="110"/>
    </row>
    <row r="2610" spans="1:2" ht="11.25" customHeight="1" x14ac:dyDescent="0.15">
      <c r="A2610" s="110"/>
      <c r="B2610" s="110"/>
    </row>
    <row r="2611" spans="1:2" ht="11.25" customHeight="1" x14ac:dyDescent="0.15">
      <c r="A2611" s="110"/>
      <c r="B2611" s="110"/>
    </row>
    <row r="2612" spans="1:2" ht="11.25" customHeight="1" x14ac:dyDescent="0.15">
      <c r="A2612" s="110"/>
      <c r="B2612" s="110"/>
    </row>
    <row r="2613" spans="1:2" ht="11.25" customHeight="1" x14ac:dyDescent="0.15">
      <c r="A2613" s="110"/>
      <c r="B2613" s="110"/>
    </row>
    <row r="2614" spans="1:2" ht="11.25" customHeight="1" x14ac:dyDescent="0.15">
      <c r="A2614" s="110"/>
      <c r="B2614" s="110"/>
    </row>
    <row r="2615" spans="1:2" ht="11.25" customHeight="1" x14ac:dyDescent="0.15">
      <c r="A2615" s="110"/>
      <c r="B2615" s="110"/>
    </row>
    <row r="2616" spans="1:2" ht="11.25" customHeight="1" x14ac:dyDescent="0.15">
      <c r="A2616" s="110"/>
      <c r="B2616" s="110"/>
    </row>
    <row r="2617" spans="1:2" ht="11.25" customHeight="1" x14ac:dyDescent="0.15">
      <c r="A2617" s="110"/>
      <c r="B2617" s="110"/>
    </row>
    <row r="2618" spans="1:2" ht="11.25" customHeight="1" x14ac:dyDescent="0.15">
      <c r="A2618" s="110"/>
      <c r="B2618" s="110"/>
    </row>
    <row r="2619" spans="1:2" ht="11.25" customHeight="1" x14ac:dyDescent="0.15">
      <c r="A2619" s="110"/>
      <c r="B2619" s="110"/>
    </row>
    <row r="2620" spans="1:2" ht="11.25" customHeight="1" x14ac:dyDescent="0.15">
      <c r="A2620" s="110"/>
      <c r="B2620" s="110"/>
    </row>
    <row r="2621" spans="1:2" ht="11.25" customHeight="1" x14ac:dyDescent="0.15">
      <c r="A2621" s="110"/>
      <c r="B2621" s="110"/>
    </row>
    <row r="2622" spans="1:2" ht="11.25" customHeight="1" x14ac:dyDescent="0.15">
      <c r="A2622" s="110"/>
      <c r="B2622" s="110"/>
    </row>
    <row r="2623" spans="1:2" ht="11.25" customHeight="1" x14ac:dyDescent="0.15">
      <c r="A2623" s="110"/>
      <c r="B2623" s="110"/>
    </row>
    <row r="2624" spans="1:2" ht="11.25" customHeight="1" x14ac:dyDescent="0.15">
      <c r="A2624" s="110"/>
      <c r="B2624" s="110"/>
    </row>
    <row r="2625" spans="1:2" ht="11.25" customHeight="1" x14ac:dyDescent="0.15">
      <c r="A2625" s="110"/>
      <c r="B2625" s="110"/>
    </row>
    <row r="2626" spans="1:2" ht="11.25" customHeight="1" x14ac:dyDescent="0.15">
      <c r="A2626" s="110"/>
      <c r="B2626" s="110"/>
    </row>
    <row r="2627" spans="1:2" ht="11.25" customHeight="1" x14ac:dyDescent="0.15">
      <c r="A2627" s="110"/>
      <c r="B2627" s="110"/>
    </row>
    <row r="2628" spans="1:2" ht="11.25" customHeight="1" x14ac:dyDescent="0.15">
      <c r="A2628" s="110"/>
      <c r="B2628" s="110"/>
    </row>
    <row r="2629" spans="1:2" ht="11.25" customHeight="1" x14ac:dyDescent="0.15">
      <c r="A2629" s="110"/>
      <c r="B2629" s="110"/>
    </row>
    <row r="2630" spans="1:2" ht="11.25" customHeight="1" x14ac:dyDescent="0.15">
      <c r="A2630" s="110"/>
      <c r="B2630" s="110"/>
    </row>
    <row r="2631" spans="1:2" ht="11.25" customHeight="1" x14ac:dyDescent="0.15">
      <c r="A2631" s="110"/>
      <c r="B2631" s="110"/>
    </row>
    <row r="2632" spans="1:2" ht="11.25" customHeight="1" x14ac:dyDescent="0.15">
      <c r="A2632" s="110"/>
      <c r="B2632" s="110"/>
    </row>
    <row r="2633" spans="1:2" ht="11.25" customHeight="1" x14ac:dyDescent="0.15">
      <c r="A2633" s="110"/>
      <c r="B2633" s="110"/>
    </row>
    <row r="2634" spans="1:2" ht="11.25" customHeight="1" x14ac:dyDescent="0.15">
      <c r="A2634" s="110"/>
      <c r="B2634" s="110"/>
    </row>
    <row r="2635" spans="1:2" ht="11.25" customHeight="1" x14ac:dyDescent="0.15">
      <c r="A2635" s="110"/>
      <c r="B2635" s="110"/>
    </row>
    <row r="2636" spans="1:2" ht="11.25" customHeight="1" x14ac:dyDescent="0.15">
      <c r="A2636" s="110"/>
      <c r="B2636" s="110"/>
    </row>
    <row r="2637" spans="1:2" ht="11.25" customHeight="1" x14ac:dyDescent="0.15">
      <c r="A2637" s="110"/>
      <c r="B2637" s="110"/>
    </row>
    <row r="2638" spans="1:2" ht="11.25" customHeight="1" x14ac:dyDescent="0.15">
      <c r="A2638" s="110"/>
      <c r="B2638" s="110"/>
    </row>
    <row r="2639" spans="1:2" ht="11.25" customHeight="1" x14ac:dyDescent="0.15">
      <c r="A2639" s="110"/>
      <c r="B2639" s="110"/>
    </row>
    <row r="2640" spans="1:2" ht="11.25" customHeight="1" x14ac:dyDescent="0.15">
      <c r="A2640" s="110"/>
      <c r="B2640" s="110"/>
    </row>
    <row r="2641" spans="1:2" ht="11.25" customHeight="1" x14ac:dyDescent="0.15">
      <c r="A2641" s="110"/>
      <c r="B2641" s="110"/>
    </row>
    <row r="2642" spans="1:2" ht="11.25" customHeight="1" x14ac:dyDescent="0.15">
      <c r="A2642" s="110"/>
      <c r="B2642" s="110"/>
    </row>
    <row r="2643" spans="1:2" ht="11.25" customHeight="1" x14ac:dyDescent="0.15">
      <c r="A2643" s="110"/>
      <c r="B2643" s="110"/>
    </row>
    <row r="2644" spans="1:2" ht="11.25" customHeight="1" x14ac:dyDescent="0.15">
      <c r="A2644" s="110"/>
      <c r="B2644" s="110"/>
    </row>
    <row r="2645" spans="1:2" ht="11.25" customHeight="1" x14ac:dyDescent="0.15">
      <c r="A2645" s="110"/>
      <c r="B2645" s="110"/>
    </row>
    <row r="2646" spans="1:2" ht="11.25" customHeight="1" x14ac:dyDescent="0.15">
      <c r="A2646" s="110"/>
      <c r="B2646" s="110"/>
    </row>
    <row r="2647" spans="1:2" ht="11.25" customHeight="1" x14ac:dyDescent="0.15">
      <c r="A2647" s="110"/>
      <c r="B2647" s="110"/>
    </row>
    <row r="2648" spans="1:2" ht="11.25" customHeight="1" x14ac:dyDescent="0.15">
      <c r="A2648" s="110"/>
      <c r="B2648" s="110"/>
    </row>
    <row r="2649" spans="1:2" ht="11.25" customHeight="1" x14ac:dyDescent="0.15">
      <c r="A2649" s="110"/>
      <c r="B2649" s="110"/>
    </row>
    <row r="2650" spans="1:2" ht="11.25" customHeight="1" x14ac:dyDescent="0.15">
      <c r="A2650" s="110"/>
      <c r="B2650" s="110"/>
    </row>
    <row r="2651" spans="1:2" ht="11.25" customHeight="1" x14ac:dyDescent="0.15">
      <c r="A2651" s="110"/>
      <c r="B2651" s="110"/>
    </row>
    <row r="2652" spans="1:2" ht="11.25" customHeight="1" x14ac:dyDescent="0.15">
      <c r="A2652" s="110"/>
      <c r="B2652" s="110"/>
    </row>
    <row r="2653" spans="1:2" ht="11.25" customHeight="1" x14ac:dyDescent="0.15">
      <c r="A2653" s="110"/>
      <c r="B2653" s="110"/>
    </row>
    <row r="2654" spans="1:2" ht="11.25" customHeight="1" x14ac:dyDescent="0.15">
      <c r="A2654" s="110"/>
      <c r="B2654" s="110"/>
    </row>
    <row r="2655" spans="1:2" ht="11.25" customHeight="1" x14ac:dyDescent="0.15">
      <c r="A2655" s="110"/>
      <c r="B2655" s="110"/>
    </row>
    <row r="2656" spans="1:2" ht="11.25" customHeight="1" x14ac:dyDescent="0.15">
      <c r="A2656" s="110"/>
      <c r="B2656" s="110"/>
    </row>
    <row r="2657" spans="1:2" ht="11.25" customHeight="1" x14ac:dyDescent="0.15">
      <c r="A2657" s="110"/>
      <c r="B2657" s="110"/>
    </row>
    <row r="2658" spans="1:2" ht="11.25" customHeight="1" x14ac:dyDescent="0.15">
      <c r="A2658" s="110"/>
      <c r="B2658" s="110"/>
    </row>
    <row r="2659" spans="1:2" ht="11.25" customHeight="1" x14ac:dyDescent="0.15">
      <c r="A2659" s="110"/>
      <c r="B2659" s="110"/>
    </row>
    <row r="2660" spans="1:2" ht="11.25" customHeight="1" x14ac:dyDescent="0.15">
      <c r="A2660" s="110"/>
      <c r="B2660" s="110"/>
    </row>
    <row r="2661" spans="1:2" ht="11.25" customHeight="1" x14ac:dyDescent="0.15">
      <c r="A2661" s="110"/>
      <c r="B2661" s="110"/>
    </row>
    <row r="2662" spans="1:2" ht="11.25" customHeight="1" x14ac:dyDescent="0.15">
      <c r="A2662" s="110"/>
      <c r="B2662" s="110"/>
    </row>
    <row r="2663" spans="1:2" ht="11.25" customHeight="1" x14ac:dyDescent="0.15">
      <c r="A2663" s="110"/>
      <c r="B2663" s="110"/>
    </row>
    <row r="2664" spans="1:2" ht="11.25" customHeight="1" x14ac:dyDescent="0.15">
      <c r="A2664" s="110"/>
      <c r="B2664" s="110"/>
    </row>
    <row r="2665" spans="1:2" ht="11.25" customHeight="1" x14ac:dyDescent="0.15">
      <c r="A2665" s="110"/>
      <c r="B2665" s="110"/>
    </row>
    <row r="2666" spans="1:2" ht="11.25" customHeight="1" x14ac:dyDescent="0.15">
      <c r="A2666" s="110"/>
      <c r="B2666" s="110"/>
    </row>
    <row r="2667" spans="1:2" ht="11.25" customHeight="1" x14ac:dyDescent="0.15">
      <c r="A2667" s="110"/>
      <c r="B2667" s="110"/>
    </row>
    <row r="2668" spans="1:2" ht="11.25" customHeight="1" x14ac:dyDescent="0.15">
      <c r="A2668" s="110"/>
      <c r="B2668" s="110"/>
    </row>
    <row r="2669" spans="1:2" ht="11.25" customHeight="1" x14ac:dyDescent="0.15">
      <c r="A2669" s="110"/>
      <c r="B2669" s="110"/>
    </row>
    <row r="2670" spans="1:2" ht="11.25" customHeight="1" x14ac:dyDescent="0.15">
      <c r="A2670" s="110"/>
      <c r="B2670" s="110"/>
    </row>
    <row r="2671" spans="1:2" ht="11.25" customHeight="1" x14ac:dyDescent="0.15">
      <c r="A2671" s="110"/>
      <c r="B2671" s="110"/>
    </row>
    <row r="2672" spans="1:2" ht="11.25" customHeight="1" x14ac:dyDescent="0.15">
      <c r="A2672" s="110"/>
      <c r="B2672" s="110"/>
    </row>
    <row r="2673" spans="1:2" ht="11.25" customHeight="1" x14ac:dyDescent="0.15">
      <c r="A2673" s="110"/>
      <c r="B2673" s="110"/>
    </row>
    <row r="2674" spans="1:2" ht="11.25" customHeight="1" x14ac:dyDescent="0.15">
      <c r="A2674" s="110"/>
      <c r="B2674" s="110"/>
    </row>
    <row r="2675" spans="1:2" ht="11.25" customHeight="1" x14ac:dyDescent="0.15">
      <c r="A2675" s="110"/>
      <c r="B2675" s="110"/>
    </row>
    <row r="2676" spans="1:2" ht="11.25" customHeight="1" x14ac:dyDescent="0.15">
      <c r="A2676" s="110"/>
      <c r="B2676" s="110"/>
    </row>
    <row r="2677" spans="1:2" ht="11.25" customHeight="1" x14ac:dyDescent="0.15">
      <c r="A2677" s="110"/>
      <c r="B2677" s="110"/>
    </row>
    <row r="2678" spans="1:2" ht="11.25" customHeight="1" x14ac:dyDescent="0.15">
      <c r="A2678" s="110"/>
      <c r="B2678" s="110"/>
    </row>
    <row r="2679" spans="1:2" ht="11.25" customHeight="1" x14ac:dyDescent="0.15">
      <c r="A2679" s="110"/>
      <c r="B2679" s="110"/>
    </row>
    <row r="2680" spans="1:2" ht="11.25" customHeight="1" x14ac:dyDescent="0.15">
      <c r="A2680" s="110"/>
      <c r="B2680" s="110"/>
    </row>
    <row r="2681" spans="1:2" ht="11.25" customHeight="1" x14ac:dyDescent="0.15">
      <c r="A2681" s="110"/>
      <c r="B2681" s="110"/>
    </row>
    <row r="2682" spans="1:2" ht="11.25" customHeight="1" x14ac:dyDescent="0.15">
      <c r="A2682" s="110"/>
      <c r="B2682" s="110"/>
    </row>
    <row r="2683" spans="1:2" ht="11.25" customHeight="1" x14ac:dyDescent="0.15">
      <c r="A2683" s="110"/>
      <c r="B2683" s="110"/>
    </row>
    <row r="2684" spans="1:2" ht="11.25" customHeight="1" x14ac:dyDescent="0.15">
      <c r="A2684" s="110"/>
      <c r="B2684" s="110"/>
    </row>
    <row r="2685" spans="1:2" ht="11.25" customHeight="1" x14ac:dyDescent="0.15">
      <c r="A2685" s="110"/>
      <c r="B2685" s="110"/>
    </row>
    <row r="2686" spans="1:2" ht="11.25" customHeight="1" x14ac:dyDescent="0.15">
      <c r="A2686" s="110"/>
      <c r="B2686" s="110"/>
    </row>
    <row r="2687" spans="1:2" ht="11.25" customHeight="1" x14ac:dyDescent="0.15">
      <c r="A2687" s="110"/>
      <c r="B2687" s="110"/>
    </row>
    <row r="2688" spans="1:2" ht="11.25" customHeight="1" x14ac:dyDescent="0.15">
      <c r="A2688" s="110"/>
      <c r="B2688" s="110"/>
    </row>
    <row r="2689" spans="1:2" ht="11.25" customHeight="1" x14ac:dyDescent="0.15">
      <c r="A2689" s="110"/>
      <c r="B2689" s="110"/>
    </row>
    <row r="2690" spans="1:2" ht="11.25" customHeight="1" x14ac:dyDescent="0.15">
      <c r="A2690" s="110"/>
      <c r="B2690" s="110"/>
    </row>
    <row r="2691" spans="1:2" ht="11.25" customHeight="1" x14ac:dyDescent="0.15">
      <c r="A2691" s="110"/>
      <c r="B2691" s="110"/>
    </row>
    <row r="2692" spans="1:2" ht="11.25" customHeight="1" x14ac:dyDescent="0.15">
      <c r="A2692" s="110"/>
      <c r="B2692" s="110"/>
    </row>
    <row r="2693" spans="1:2" ht="11.25" customHeight="1" x14ac:dyDescent="0.15">
      <c r="A2693" s="110"/>
      <c r="B2693" s="110"/>
    </row>
    <row r="2694" spans="1:2" ht="11.25" customHeight="1" x14ac:dyDescent="0.15">
      <c r="A2694" s="110"/>
      <c r="B2694" s="110"/>
    </row>
    <row r="2695" spans="1:2" ht="11.25" customHeight="1" x14ac:dyDescent="0.15">
      <c r="A2695" s="110"/>
      <c r="B2695" s="110"/>
    </row>
    <row r="2696" spans="1:2" ht="11.25" customHeight="1" x14ac:dyDescent="0.15">
      <c r="A2696" s="110"/>
      <c r="B2696" s="110"/>
    </row>
    <row r="2697" spans="1:2" ht="11.25" customHeight="1" x14ac:dyDescent="0.15">
      <c r="A2697" s="110"/>
      <c r="B2697" s="110"/>
    </row>
    <row r="2698" spans="1:2" ht="11.25" customHeight="1" x14ac:dyDescent="0.15">
      <c r="A2698" s="110"/>
      <c r="B2698" s="110"/>
    </row>
    <row r="2699" spans="1:2" ht="11.25" customHeight="1" x14ac:dyDescent="0.15">
      <c r="A2699" s="110"/>
      <c r="B2699" s="110"/>
    </row>
    <row r="2700" spans="1:2" ht="11.25" customHeight="1" x14ac:dyDescent="0.15">
      <c r="A2700" s="110"/>
      <c r="B2700" s="110"/>
    </row>
    <row r="2701" spans="1:2" ht="11.25" customHeight="1" x14ac:dyDescent="0.15">
      <c r="A2701" s="110"/>
      <c r="B2701" s="110"/>
    </row>
    <row r="2702" spans="1:2" ht="11.25" customHeight="1" x14ac:dyDescent="0.15">
      <c r="A2702" s="110"/>
      <c r="B2702" s="110"/>
    </row>
    <row r="2703" spans="1:2" ht="11.25" customHeight="1" x14ac:dyDescent="0.15">
      <c r="A2703" s="110"/>
      <c r="B2703" s="110"/>
    </row>
    <row r="2704" spans="1:2" ht="11.25" customHeight="1" x14ac:dyDescent="0.15">
      <c r="A2704" s="110"/>
      <c r="B2704" s="110"/>
    </row>
    <row r="2705" spans="1:2" ht="11.25" customHeight="1" x14ac:dyDescent="0.15">
      <c r="A2705" s="110"/>
      <c r="B2705" s="110"/>
    </row>
    <row r="2706" spans="1:2" ht="11.25" customHeight="1" x14ac:dyDescent="0.15">
      <c r="A2706" s="110"/>
      <c r="B2706" s="110"/>
    </row>
    <row r="2707" spans="1:2" ht="11.25" customHeight="1" x14ac:dyDescent="0.15">
      <c r="A2707" s="110"/>
      <c r="B2707" s="110"/>
    </row>
    <row r="2708" spans="1:2" ht="11.25" customHeight="1" x14ac:dyDescent="0.15">
      <c r="A2708" s="110"/>
      <c r="B2708" s="110"/>
    </row>
    <row r="2709" spans="1:2" ht="11.25" customHeight="1" x14ac:dyDescent="0.15">
      <c r="A2709" s="110"/>
      <c r="B2709" s="110"/>
    </row>
    <row r="2710" spans="1:2" ht="11.25" customHeight="1" x14ac:dyDescent="0.15">
      <c r="A2710" s="110"/>
      <c r="B2710" s="110"/>
    </row>
    <row r="2711" spans="1:2" ht="11.25" customHeight="1" x14ac:dyDescent="0.15">
      <c r="A2711" s="110"/>
      <c r="B2711" s="110"/>
    </row>
    <row r="2712" spans="1:2" ht="11.25" customHeight="1" x14ac:dyDescent="0.15">
      <c r="A2712" s="110"/>
      <c r="B2712" s="110"/>
    </row>
    <row r="2713" spans="1:2" ht="11.25" customHeight="1" x14ac:dyDescent="0.15">
      <c r="A2713" s="110"/>
      <c r="B2713" s="110"/>
    </row>
    <row r="2714" spans="1:2" ht="11.25" customHeight="1" x14ac:dyDescent="0.15">
      <c r="A2714" s="110"/>
      <c r="B2714" s="110"/>
    </row>
    <row r="2715" spans="1:2" ht="11.25" customHeight="1" x14ac:dyDescent="0.15">
      <c r="A2715" s="110"/>
      <c r="B2715" s="110"/>
    </row>
    <row r="2716" spans="1:2" ht="11.25" customHeight="1" x14ac:dyDescent="0.15">
      <c r="A2716" s="110"/>
      <c r="B2716" s="110"/>
    </row>
    <row r="2717" spans="1:2" ht="11.25" customHeight="1" x14ac:dyDescent="0.15">
      <c r="A2717" s="110"/>
      <c r="B2717" s="110"/>
    </row>
    <row r="2718" spans="1:2" ht="11.25" customHeight="1" x14ac:dyDescent="0.15">
      <c r="A2718" s="110"/>
      <c r="B2718" s="110"/>
    </row>
    <row r="2719" spans="1:2" ht="11.25" customHeight="1" x14ac:dyDescent="0.15">
      <c r="A2719" s="110"/>
      <c r="B2719" s="110"/>
    </row>
    <row r="2720" spans="1:2" ht="11.25" customHeight="1" x14ac:dyDescent="0.15">
      <c r="A2720" s="110"/>
      <c r="B2720" s="110"/>
    </row>
    <row r="2721" spans="1:2" ht="11.25" customHeight="1" x14ac:dyDescent="0.15">
      <c r="A2721" s="110"/>
      <c r="B2721" s="110"/>
    </row>
    <row r="2722" spans="1:2" ht="11.25" customHeight="1" x14ac:dyDescent="0.15">
      <c r="A2722" s="110"/>
      <c r="B2722" s="110"/>
    </row>
    <row r="2723" spans="1:2" ht="11.25" customHeight="1" x14ac:dyDescent="0.15">
      <c r="A2723" s="110"/>
      <c r="B2723" s="110"/>
    </row>
    <row r="2724" spans="1:2" ht="11.25" customHeight="1" x14ac:dyDescent="0.15">
      <c r="A2724" s="110"/>
      <c r="B2724" s="110"/>
    </row>
    <row r="2725" spans="1:2" ht="11.25" customHeight="1" x14ac:dyDescent="0.15">
      <c r="A2725" s="110"/>
      <c r="B2725" s="110"/>
    </row>
    <row r="2726" spans="1:2" ht="11.25" customHeight="1" x14ac:dyDescent="0.15">
      <c r="A2726" s="110"/>
      <c r="B2726" s="110"/>
    </row>
    <row r="2727" spans="1:2" ht="11.25" customHeight="1" x14ac:dyDescent="0.15">
      <c r="A2727" s="110"/>
      <c r="B2727" s="110"/>
    </row>
    <row r="2728" spans="1:2" ht="11.25" customHeight="1" x14ac:dyDescent="0.15">
      <c r="A2728" s="110"/>
      <c r="B2728" s="110"/>
    </row>
    <row r="2729" spans="1:2" ht="11.25" customHeight="1" x14ac:dyDescent="0.15">
      <c r="A2729" s="110"/>
      <c r="B2729" s="110"/>
    </row>
    <row r="2730" spans="1:2" ht="11.25" customHeight="1" x14ac:dyDescent="0.15">
      <c r="A2730" s="110"/>
      <c r="B2730" s="110"/>
    </row>
    <row r="2731" spans="1:2" ht="11.25" customHeight="1" x14ac:dyDescent="0.15">
      <c r="A2731" s="110"/>
      <c r="B2731" s="110"/>
    </row>
    <row r="2732" spans="1:2" ht="11.25" customHeight="1" x14ac:dyDescent="0.15">
      <c r="A2732" s="110"/>
      <c r="B2732" s="110"/>
    </row>
    <row r="2733" spans="1:2" ht="11.25" customHeight="1" x14ac:dyDescent="0.15">
      <c r="A2733" s="110"/>
      <c r="B2733" s="110"/>
    </row>
    <row r="2734" spans="1:2" ht="11.25" customHeight="1" x14ac:dyDescent="0.15">
      <c r="A2734" s="110"/>
      <c r="B2734" s="110"/>
    </row>
    <row r="2735" spans="1:2" ht="11.25" customHeight="1" x14ac:dyDescent="0.15">
      <c r="A2735" s="110"/>
      <c r="B2735" s="110"/>
    </row>
    <row r="2736" spans="1:2" ht="11.25" customHeight="1" x14ac:dyDescent="0.15">
      <c r="A2736" s="110"/>
      <c r="B2736" s="110"/>
    </row>
    <row r="2737" spans="1:2" ht="11.25" customHeight="1" x14ac:dyDescent="0.15">
      <c r="A2737" s="110"/>
      <c r="B2737" s="110"/>
    </row>
    <row r="2738" spans="1:2" ht="11.25" customHeight="1" x14ac:dyDescent="0.15">
      <c r="A2738" s="110"/>
      <c r="B2738" s="110"/>
    </row>
    <row r="2739" spans="1:2" ht="11.25" customHeight="1" x14ac:dyDescent="0.15">
      <c r="A2739" s="110"/>
      <c r="B2739" s="110"/>
    </row>
    <row r="2740" spans="1:2" ht="11.25" customHeight="1" x14ac:dyDescent="0.15">
      <c r="A2740" s="110"/>
      <c r="B2740" s="110"/>
    </row>
    <row r="2741" spans="1:2" ht="11.25" customHeight="1" x14ac:dyDescent="0.15">
      <c r="A2741" s="110"/>
      <c r="B2741" s="110"/>
    </row>
    <row r="2742" spans="1:2" ht="11.25" customHeight="1" x14ac:dyDescent="0.15">
      <c r="A2742" s="110"/>
      <c r="B2742" s="110"/>
    </row>
    <row r="2743" spans="1:2" ht="11.25" customHeight="1" x14ac:dyDescent="0.15">
      <c r="A2743" s="110"/>
      <c r="B2743" s="110"/>
    </row>
    <row r="2744" spans="1:2" ht="11.25" customHeight="1" x14ac:dyDescent="0.15">
      <c r="A2744" s="110"/>
      <c r="B2744" s="110"/>
    </row>
    <row r="2745" spans="1:2" ht="11.25" customHeight="1" x14ac:dyDescent="0.15">
      <c r="A2745" s="110"/>
      <c r="B2745" s="110"/>
    </row>
    <row r="2746" spans="1:2" ht="11.25" customHeight="1" x14ac:dyDescent="0.15">
      <c r="A2746" s="110"/>
      <c r="B2746" s="110"/>
    </row>
    <row r="2747" spans="1:2" ht="11.25" customHeight="1" x14ac:dyDescent="0.15">
      <c r="A2747" s="110"/>
      <c r="B2747" s="110"/>
    </row>
    <row r="2748" spans="1:2" ht="11.25" customHeight="1" x14ac:dyDescent="0.15">
      <c r="A2748" s="110"/>
      <c r="B2748" s="110"/>
    </row>
    <row r="2749" spans="1:2" ht="11.25" customHeight="1" x14ac:dyDescent="0.15">
      <c r="A2749" s="110"/>
      <c r="B2749" s="110"/>
    </row>
    <row r="2750" spans="1:2" ht="11.25" customHeight="1" x14ac:dyDescent="0.15">
      <c r="A2750" s="110"/>
      <c r="B2750" s="110"/>
    </row>
    <row r="2751" spans="1:2" ht="11.25" customHeight="1" x14ac:dyDescent="0.15">
      <c r="A2751" s="110"/>
      <c r="B2751" s="110"/>
    </row>
    <row r="2752" spans="1:2" ht="11.25" customHeight="1" x14ac:dyDescent="0.15">
      <c r="A2752" s="110"/>
      <c r="B2752" s="110"/>
    </row>
    <row r="2753" spans="1:2" ht="11.25" customHeight="1" x14ac:dyDescent="0.15">
      <c r="A2753" s="110"/>
      <c r="B2753" s="110"/>
    </row>
    <row r="2754" spans="1:2" ht="11.25" customHeight="1" x14ac:dyDescent="0.15">
      <c r="A2754" s="110"/>
      <c r="B2754" s="110"/>
    </row>
    <row r="2755" spans="1:2" ht="11.25" customHeight="1" x14ac:dyDescent="0.15">
      <c r="A2755" s="110"/>
      <c r="B2755" s="110"/>
    </row>
    <row r="2756" spans="1:2" ht="11.25" customHeight="1" x14ac:dyDescent="0.15">
      <c r="A2756" s="110"/>
      <c r="B2756" s="110"/>
    </row>
    <row r="2757" spans="1:2" ht="11.25" customHeight="1" x14ac:dyDescent="0.15">
      <c r="A2757" s="110"/>
      <c r="B2757" s="110"/>
    </row>
    <row r="2758" spans="1:2" ht="11.25" customHeight="1" x14ac:dyDescent="0.15">
      <c r="A2758" s="110"/>
      <c r="B2758" s="110"/>
    </row>
    <row r="2759" spans="1:2" ht="11.25" customHeight="1" x14ac:dyDescent="0.15">
      <c r="A2759" s="110"/>
      <c r="B2759" s="110"/>
    </row>
    <row r="2760" spans="1:2" ht="11.25" customHeight="1" x14ac:dyDescent="0.15">
      <c r="A2760" s="110"/>
      <c r="B2760" s="110"/>
    </row>
    <row r="2761" spans="1:2" ht="11.25" customHeight="1" x14ac:dyDescent="0.15">
      <c r="A2761" s="110"/>
      <c r="B2761" s="110"/>
    </row>
    <row r="2762" spans="1:2" ht="11.25" customHeight="1" x14ac:dyDescent="0.15">
      <c r="A2762" s="110"/>
      <c r="B2762" s="110"/>
    </row>
    <row r="2763" spans="1:2" ht="11.25" customHeight="1" x14ac:dyDescent="0.15">
      <c r="A2763" s="110"/>
      <c r="B2763" s="110"/>
    </row>
    <row r="2764" spans="1:2" ht="11.25" customHeight="1" x14ac:dyDescent="0.15">
      <c r="A2764" s="110"/>
      <c r="B2764" s="110"/>
    </row>
    <row r="2765" spans="1:2" ht="11.25" customHeight="1" x14ac:dyDescent="0.15">
      <c r="A2765" s="110"/>
      <c r="B2765" s="110"/>
    </row>
    <row r="2766" spans="1:2" ht="11.25" customHeight="1" x14ac:dyDescent="0.15">
      <c r="A2766" s="110"/>
      <c r="B2766" s="110"/>
    </row>
    <row r="2767" spans="1:2" ht="11.25" customHeight="1" x14ac:dyDescent="0.15">
      <c r="A2767" s="110"/>
      <c r="B2767" s="110"/>
    </row>
    <row r="2768" spans="1:2" ht="11.25" customHeight="1" x14ac:dyDescent="0.15">
      <c r="A2768" s="110"/>
      <c r="B2768" s="110"/>
    </row>
    <row r="2769" spans="1:2" ht="11.25" customHeight="1" x14ac:dyDescent="0.15">
      <c r="A2769" s="110"/>
      <c r="B2769" s="110"/>
    </row>
    <row r="2770" spans="1:2" ht="11.25" customHeight="1" x14ac:dyDescent="0.15">
      <c r="A2770" s="110"/>
      <c r="B2770" s="110"/>
    </row>
    <row r="2771" spans="1:2" ht="11.25" customHeight="1" x14ac:dyDescent="0.15">
      <c r="A2771" s="110"/>
      <c r="B2771" s="110"/>
    </row>
    <row r="2772" spans="1:2" ht="11.25" customHeight="1" x14ac:dyDescent="0.15">
      <c r="A2772" s="110"/>
      <c r="B2772" s="110"/>
    </row>
    <row r="2773" spans="1:2" ht="11.25" customHeight="1" x14ac:dyDescent="0.15">
      <c r="A2773" s="110"/>
      <c r="B2773" s="110"/>
    </row>
    <row r="2774" spans="1:2" ht="11.25" customHeight="1" x14ac:dyDescent="0.15">
      <c r="A2774" s="110"/>
      <c r="B2774" s="110"/>
    </row>
    <row r="2775" spans="1:2" ht="11.25" customHeight="1" x14ac:dyDescent="0.15">
      <c r="A2775" s="110"/>
      <c r="B2775" s="110"/>
    </row>
    <row r="2776" spans="1:2" ht="11.25" customHeight="1" x14ac:dyDescent="0.15">
      <c r="A2776" s="110"/>
      <c r="B2776" s="110"/>
    </row>
    <row r="2777" spans="1:2" ht="11.25" customHeight="1" x14ac:dyDescent="0.15">
      <c r="A2777" s="110"/>
      <c r="B2777" s="110"/>
    </row>
    <row r="2778" spans="1:2" ht="11.25" customHeight="1" x14ac:dyDescent="0.15">
      <c r="A2778" s="110"/>
      <c r="B2778" s="110"/>
    </row>
    <row r="2779" spans="1:2" ht="11.25" customHeight="1" x14ac:dyDescent="0.15">
      <c r="A2779" s="110"/>
      <c r="B2779" s="110"/>
    </row>
    <row r="2780" spans="1:2" ht="11.25" customHeight="1" x14ac:dyDescent="0.15">
      <c r="A2780" s="110"/>
      <c r="B2780" s="110"/>
    </row>
    <row r="2781" spans="1:2" ht="11.25" customHeight="1" x14ac:dyDescent="0.15">
      <c r="A2781" s="110"/>
      <c r="B2781" s="110"/>
    </row>
    <row r="2782" spans="1:2" ht="11.25" customHeight="1" x14ac:dyDescent="0.15">
      <c r="A2782" s="110"/>
      <c r="B2782" s="110"/>
    </row>
    <row r="2783" spans="1:2" ht="11.25" customHeight="1" x14ac:dyDescent="0.15">
      <c r="A2783" s="110"/>
      <c r="B2783" s="110"/>
    </row>
    <row r="2784" spans="1:2" ht="11.25" customHeight="1" x14ac:dyDescent="0.15">
      <c r="A2784" s="110"/>
      <c r="B2784" s="110"/>
    </row>
    <row r="2785" spans="1:2" ht="11.25" customHeight="1" x14ac:dyDescent="0.15">
      <c r="A2785" s="110"/>
      <c r="B2785" s="110"/>
    </row>
    <row r="2786" spans="1:2" ht="11.25" customHeight="1" x14ac:dyDescent="0.15">
      <c r="A2786" s="110"/>
      <c r="B2786" s="110"/>
    </row>
    <row r="2787" spans="1:2" ht="11.25" customHeight="1" x14ac:dyDescent="0.15">
      <c r="A2787" s="110"/>
      <c r="B2787" s="110"/>
    </row>
    <row r="2788" spans="1:2" ht="11.25" customHeight="1" x14ac:dyDescent="0.15">
      <c r="A2788" s="110"/>
      <c r="B2788" s="110"/>
    </row>
    <row r="2789" spans="1:2" ht="11.25" customHeight="1" x14ac:dyDescent="0.15">
      <c r="A2789" s="110"/>
      <c r="B2789" s="110"/>
    </row>
    <row r="2790" spans="1:2" ht="11.25" customHeight="1" x14ac:dyDescent="0.15">
      <c r="A2790" s="110"/>
      <c r="B2790" s="110"/>
    </row>
    <row r="2791" spans="1:2" ht="11.25" customHeight="1" x14ac:dyDescent="0.15">
      <c r="A2791" s="110"/>
      <c r="B2791" s="110"/>
    </row>
    <row r="2792" spans="1:2" ht="11.25" customHeight="1" x14ac:dyDescent="0.15">
      <c r="A2792" s="110"/>
      <c r="B2792" s="110"/>
    </row>
    <row r="2793" spans="1:2" ht="11.25" customHeight="1" x14ac:dyDescent="0.15">
      <c r="A2793" s="110"/>
      <c r="B2793" s="110"/>
    </row>
    <row r="2794" spans="1:2" ht="11.25" customHeight="1" x14ac:dyDescent="0.15">
      <c r="A2794" s="110"/>
      <c r="B2794" s="110"/>
    </row>
    <row r="2795" spans="1:2" ht="11.25" customHeight="1" x14ac:dyDescent="0.15">
      <c r="A2795" s="110"/>
      <c r="B2795" s="110"/>
    </row>
    <row r="2796" spans="1:2" ht="11.25" customHeight="1" x14ac:dyDescent="0.15">
      <c r="A2796" s="110"/>
      <c r="B2796" s="110"/>
    </row>
    <row r="2797" spans="1:2" ht="11.25" customHeight="1" x14ac:dyDescent="0.15">
      <c r="A2797" s="110"/>
      <c r="B2797" s="110"/>
    </row>
    <row r="2798" spans="1:2" ht="11.25" customHeight="1" x14ac:dyDescent="0.15">
      <c r="A2798" s="110"/>
      <c r="B2798" s="110"/>
    </row>
    <row r="2799" spans="1:2" ht="11.25" customHeight="1" x14ac:dyDescent="0.15">
      <c r="A2799" s="110"/>
      <c r="B2799" s="110"/>
    </row>
    <row r="2800" spans="1:2" ht="11.25" customHeight="1" x14ac:dyDescent="0.15">
      <c r="A2800" s="110"/>
      <c r="B2800" s="110"/>
    </row>
    <row r="2801" spans="1:2" ht="11.25" customHeight="1" x14ac:dyDescent="0.15">
      <c r="A2801" s="110"/>
      <c r="B2801" s="110"/>
    </row>
    <row r="2802" spans="1:2" ht="11.25" customHeight="1" x14ac:dyDescent="0.15">
      <c r="A2802" s="110"/>
      <c r="B2802" s="110"/>
    </row>
    <row r="2803" spans="1:2" ht="11.25" customHeight="1" x14ac:dyDescent="0.15">
      <c r="A2803" s="110"/>
      <c r="B2803" s="110"/>
    </row>
    <row r="2804" spans="1:2" ht="11.25" customHeight="1" x14ac:dyDescent="0.15">
      <c r="A2804" s="110"/>
      <c r="B2804" s="110"/>
    </row>
    <row r="2805" spans="1:2" ht="11.25" customHeight="1" x14ac:dyDescent="0.15">
      <c r="A2805" s="110"/>
      <c r="B2805" s="110"/>
    </row>
    <row r="2806" spans="1:2" ht="11.25" customHeight="1" x14ac:dyDescent="0.15">
      <c r="A2806" s="110"/>
      <c r="B2806" s="110"/>
    </row>
    <row r="2807" spans="1:2" ht="11.25" customHeight="1" x14ac:dyDescent="0.15">
      <c r="A2807" s="110"/>
      <c r="B2807" s="110"/>
    </row>
    <row r="2808" spans="1:2" ht="11.25" customHeight="1" x14ac:dyDescent="0.15">
      <c r="A2808" s="110"/>
      <c r="B2808" s="110"/>
    </row>
    <row r="2809" spans="1:2" ht="11.25" customHeight="1" x14ac:dyDescent="0.15">
      <c r="A2809" s="110"/>
      <c r="B2809" s="110"/>
    </row>
    <row r="2810" spans="1:2" ht="11.25" customHeight="1" x14ac:dyDescent="0.15">
      <c r="A2810" s="110"/>
      <c r="B2810" s="110"/>
    </row>
    <row r="2811" spans="1:2" ht="11.25" customHeight="1" x14ac:dyDescent="0.15">
      <c r="A2811" s="110"/>
      <c r="B2811" s="110"/>
    </row>
    <row r="2812" spans="1:2" ht="11.25" customHeight="1" x14ac:dyDescent="0.15">
      <c r="A2812" s="110"/>
      <c r="B2812" s="110"/>
    </row>
    <row r="2813" spans="1:2" ht="11.25" customHeight="1" x14ac:dyDescent="0.15">
      <c r="A2813" s="110"/>
      <c r="B2813" s="110"/>
    </row>
    <row r="2814" spans="1:2" ht="11.25" customHeight="1" x14ac:dyDescent="0.15">
      <c r="A2814" s="110"/>
      <c r="B2814" s="110"/>
    </row>
    <row r="2815" spans="1:2" ht="11.25" customHeight="1" x14ac:dyDescent="0.15">
      <c r="A2815" s="110"/>
      <c r="B2815" s="110"/>
    </row>
    <row r="2816" spans="1:2" ht="11.25" customHeight="1" x14ac:dyDescent="0.15">
      <c r="A2816" s="110"/>
      <c r="B2816" s="110"/>
    </row>
    <row r="2817" spans="1:2" ht="11.25" customHeight="1" x14ac:dyDescent="0.15">
      <c r="A2817" s="110"/>
      <c r="B2817" s="110"/>
    </row>
    <row r="2818" spans="1:2" ht="11.25" customHeight="1" x14ac:dyDescent="0.15">
      <c r="A2818" s="110"/>
      <c r="B2818" s="110"/>
    </row>
    <row r="2819" spans="1:2" ht="11.25" customHeight="1" x14ac:dyDescent="0.15">
      <c r="A2819" s="110"/>
      <c r="B2819" s="110"/>
    </row>
    <row r="2820" spans="1:2" ht="11.25" customHeight="1" x14ac:dyDescent="0.15">
      <c r="A2820" s="110"/>
      <c r="B2820" s="110"/>
    </row>
    <row r="2821" spans="1:2" ht="11.25" customHeight="1" x14ac:dyDescent="0.15">
      <c r="A2821" s="110"/>
      <c r="B2821" s="110"/>
    </row>
    <row r="2822" spans="1:2" ht="11.25" customHeight="1" x14ac:dyDescent="0.15">
      <c r="A2822" s="110"/>
      <c r="B2822" s="110"/>
    </row>
    <row r="2823" spans="1:2" ht="11.25" customHeight="1" x14ac:dyDescent="0.15">
      <c r="A2823" s="110"/>
      <c r="B2823" s="110"/>
    </row>
    <row r="2824" spans="1:2" ht="11.25" customHeight="1" x14ac:dyDescent="0.15">
      <c r="A2824" s="110"/>
      <c r="B2824" s="110"/>
    </row>
    <row r="2825" spans="1:2" ht="11.25" customHeight="1" x14ac:dyDescent="0.15">
      <c r="A2825" s="110"/>
      <c r="B2825" s="110"/>
    </row>
    <row r="2826" spans="1:2" ht="11.25" customHeight="1" x14ac:dyDescent="0.15">
      <c r="A2826" s="110"/>
      <c r="B2826" s="110"/>
    </row>
    <row r="2827" spans="1:2" ht="11.25" customHeight="1" x14ac:dyDescent="0.15">
      <c r="A2827" s="110"/>
      <c r="B2827" s="110"/>
    </row>
    <row r="2828" spans="1:2" ht="11.25" customHeight="1" x14ac:dyDescent="0.15">
      <c r="A2828" s="110"/>
      <c r="B2828" s="110"/>
    </row>
    <row r="2829" spans="1:2" ht="11.25" customHeight="1" x14ac:dyDescent="0.15">
      <c r="A2829" s="110"/>
      <c r="B2829" s="110"/>
    </row>
    <row r="2830" spans="1:2" ht="11.25" customHeight="1" x14ac:dyDescent="0.15">
      <c r="A2830" s="110"/>
      <c r="B2830" s="110"/>
    </row>
    <row r="2831" spans="1:2" ht="11.25" customHeight="1" x14ac:dyDescent="0.15">
      <c r="A2831" s="110"/>
      <c r="B2831" s="110"/>
    </row>
    <row r="2832" spans="1:2" ht="11.25" customHeight="1" x14ac:dyDescent="0.15">
      <c r="A2832" s="110"/>
      <c r="B2832" s="110"/>
    </row>
    <row r="2833" spans="1:2" ht="11.25" customHeight="1" x14ac:dyDescent="0.15">
      <c r="A2833" s="110"/>
      <c r="B2833" s="110"/>
    </row>
    <row r="2834" spans="1:2" ht="11.25" customHeight="1" x14ac:dyDescent="0.15">
      <c r="A2834" s="110"/>
      <c r="B2834" s="110"/>
    </row>
    <row r="2835" spans="1:2" ht="11.25" customHeight="1" x14ac:dyDescent="0.15">
      <c r="A2835" s="110"/>
      <c r="B2835" s="110"/>
    </row>
    <row r="2836" spans="1:2" ht="11.25" customHeight="1" x14ac:dyDescent="0.15">
      <c r="A2836" s="110"/>
      <c r="B2836" s="110"/>
    </row>
    <row r="2837" spans="1:2" ht="11.25" customHeight="1" x14ac:dyDescent="0.15">
      <c r="A2837" s="110"/>
      <c r="B2837" s="110"/>
    </row>
    <row r="2838" spans="1:2" ht="11.25" customHeight="1" x14ac:dyDescent="0.15">
      <c r="A2838" s="110"/>
      <c r="B2838" s="110"/>
    </row>
    <row r="2839" spans="1:2" ht="11.25" customHeight="1" x14ac:dyDescent="0.15">
      <c r="A2839" s="110"/>
      <c r="B2839" s="110"/>
    </row>
    <row r="2840" spans="1:2" ht="11.25" customHeight="1" x14ac:dyDescent="0.15">
      <c r="A2840" s="110"/>
      <c r="B2840" s="110"/>
    </row>
    <row r="2841" spans="1:2" ht="11.25" customHeight="1" x14ac:dyDescent="0.15">
      <c r="A2841" s="110"/>
      <c r="B2841" s="110"/>
    </row>
    <row r="2842" spans="1:2" ht="11.25" customHeight="1" x14ac:dyDescent="0.15">
      <c r="A2842" s="110"/>
      <c r="B2842" s="110"/>
    </row>
    <row r="2843" spans="1:2" ht="11.25" customHeight="1" x14ac:dyDescent="0.15">
      <c r="A2843" s="110"/>
      <c r="B2843" s="110"/>
    </row>
    <row r="2844" spans="1:2" ht="11.25" customHeight="1" x14ac:dyDescent="0.15">
      <c r="A2844" s="110"/>
      <c r="B2844" s="110"/>
    </row>
    <row r="2845" spans="1:2" ht="11.25" customHeight="1" x14ac:dyDescent="0.15">
      <c r="A2845" s="110"/>
      <c r="B2845" s="110"/>
    </row>
    <row r="2846" spans="1:2" ht="11.25" customHeight="1" x14ac:dyDescent="0.15">
      <c r="A2846" s="110"/>
      <c r="B2846" s="110"/>
    </row>
    <row r="2847" spans="1:2" ht="11.25" customHeight="1" x14ac:dyDescent="0.15">
      <c r="A2847" s="110"/>
      <c r="B2847" s="110"/>
    </row>
    <row r="2848" spans="1:2" ht="11.25" customHeight="1" x14ac:dyDescent="0.15">
      <c r="A2848" s="110"/>
      <c r="B2848" s="110"/>
    </row>
    <row r="2849" spans="1:2" ht="11.25" customHeight="1" x14ac:dyDescent="0.15">
      <c r="A2849" s="110"/>
      <c r="B2849" s="110"/>
    </row>
    <row r="2850" spans="1:2" ht="11.25" customHeight="1" x14ac:dyDescent="0.15">
      <c r="A2850" s="110"/>
      <c r="B2850" s="110"/>
    </row>
    <row r="2851" spans="1:2" ht="11.25" customHeight="1" x14ac:dyDescent="0.15">
      <c r="A2851" s="110"/>
      <c r="B2851" s="110"/>
    </row>
    <row r="2852" spans="1:2" ht="11.25" customHeight="1" x14ac:dyDescent="0.15">
      <c r="A2852" s="110"/>
      <c r="B2852" s="110"/>
    </row>
    <row r="2853" spans="1:2" ht="11.25" customHeight="1" x14ac:dyDescent="0.15">
      <c r="A2853" s="110"/>
      <c r="B2853" s="110"/>
    </row>
    <row r="2854" spans="1:2" ht="11.25" customHeight="1" x14ac:dyDescent="0.15">
      <c r="A2854" s="110"/>
      <c r="B2854" s="110"/>
    </row>
    <row r="2855" spans="1:2" ht="11.25" customHeight="1" x14ac:dyDescent="0.15">
      <c r="A2855" s="110"/>
      <c r="B2855" s="110"/>
    </row>
    <row r="2856" spans="1:2" ht="11.25" customHeight="1" x14ac:dyDescent="0.15">
      <c r="A2856" s="110"/>
      <c r="B2856" s="110"/>
    </row>
    <row r="2857" spans="1:2" ht="11.25" customHeight="1" x14ac:dyDescent="0.15">
      <c r="A2857" s="110"/>
      <c r="B2857" s="110"/>
    </row>
    <row r="2858" spans="1:2" ht="11.25" customHeight="1" x14ac:dyDescent="0.15">
      <c r="A2858" s="110"/>
      <c r="B2858" s="110"/>
    </row>
    <row r="2859" spans="1:2" ht="11.25" customHeight="1" x14ac:dyDescent="0.15">
      <c r="A2859" s="110"/>
      <c r="B2859" s="110"/>
    </row>
    <row r="2860" spans="1:2" ht="11.25" customHeight="1" x14ac:dyDescent="0.15">
      <c r="A2860" s="110"/>
      <c r="B2860" s="110"/>
    </row>
    <row r="2861" spans="1:2" ht="11.25" customHeight="1" x14ac:dyDescent="0.15">
      <c r="A2861" s="110"/>
      <c r="B2861" s="110"/>
    </row>
    <row r="2862" spans="1:2" ht="11.25" customHeight="1" x14ac:dyDescent="0.15">
      <c r="A2862" s="110"/>
      <c r="B2862" s="110"/>
    </row>
    <row r="2863" spans="1:2" ht="11.25" customHeight="1" x14ac:dyDescent="0.15">
      <c r="A2863" s="110"/>
      <c r="B2863" s="110"/>
    </row>
    <row r="2864" spans="1:2" ht="11.25" customHeight="1" x14ac:dyDescent="0.15">
      <c r="A2864" s="110"/>
      <c r="B2864" s="110"/>
    </row>
    <row r="2865" spans="1:2" ht="11.25" customHeight="1" x14ac:dyDescent="0.15">
      <c r="A2865" s="110"/>
      <c r="B2865" s="110"/>
    </row>
    <row r="2866" spans="1:2" ht="11.25" customHeight="1" x14ac:dyDescent="0.15">
      <c r="A2866" s="110"/>
      <c r="B2866" s="110"/>
    </row>
    <row r="2867" spans="1:2" ht="11.25" customHeight="1" x14ac:dyDescent="0.15">
      <c r="A2867" s="110"/>
      <c r="B2867" s="110"/>
    </row>
    <row r="2868" spans="1:2" ht="11.25" customHeight="1" x14ac:dyDescent="0.15">
      <c r="A2868" s="110"/>
      <c r="B2868" s="110"/>
    </row>
    <row r="2869" spans="1:2" ht="11.25" customHeight="1" x14ac:dyDescent="0.15">
      <c r="A2869" s="110"/>
      <c r="B2869" s="110"/>
    </row>
    <row r="2870" spans="1:2" ht="11.25" customHeight="1" x14ac:dyDescent="0.15">
      <c r="A2870" s="110"/>
      <c r="B2870" s="110"/>
    </row>
    <row r="2871" spans="1:2" ht="11.25" customHeight="1" x14ac:dyDescent="0.15">
      <c r="A2871" s="110"/>
      <c r="B2871" s="110"/>
    </row>
    <row r="2872" spans="1:2" ht="11.25" customHeight="1" x14ac:dyDescent="0.15">
      <c r="A2872" s="110"/>
      <c r="B2872" s="110"/>
    </row>
    <row r="2873" spans="1:2" ht="11.25" customHeight="1" x14ac:dyDescent="0.15">
      <c r="A2873" s="110"/>
      <c r="B2873" s="110"/>
    </row>
    <row r="2874" spans="1:2" ht="11.25" customHeight="1" x14ac:dyDescent="0.15">
      <c r="A2874" s="110"/>
      <c r="B2874" s="110"/>
    </row>
    <row r="2875" spans="1:2" ht="11.25" customHeight="1" x14ac:dyDescent="0.15">
      <c r="A2875" s="110"/>
      <c r="B2875" s="110"/>
    </row>
    <row r="2876" spans="1:2" ht="11.25" customHeight="1" x14ac:dyDescent="0.15">
      <c r="A2876" s="110"/>
      <c r="B2876" s="110"/>
    </row>
    <row r="2877" spans="1:2" ht="11.25" customHeight="1" x14ac:dyDescent="0.15">
      <c r="A2877" s="110"/>
      <c r="B2877" s="110"/>
    </row>
    <row r="2878" spans="1:2" ht="11.25" customHeight="1" x14ac:dyDescent="0.15">
      <c r="A2878" s="110"/>
      <c r="B2878" s="110"/>
    </row>
    <row r="2879" spans="1:2" ht="11.25" customHeight="1" x14ac:dyDescent="0.15">
      <c r="A2879" s="110"/>
      <c r="B2879" s="110"/>
    </row>
    <row r="2880" spans="1:2" ht="11.25" customHeight="1" x14ac:dyDescent="0.15">
      <c r="A2880" s="110"/>
      <c r="B2880" s="110"/>
    </row>
    <row r="2881" spans="1:2" ht="11.25" customHeight="1" x14ac:dyDescent="0.15">
      <c r="A2881" s="110"/>
      <c r="B2881" s="110"/>
    </row>
    <row r="2882" spans="1:2" ht="11.25" customHeight="1" x14ac:dyDescent="0.15">
      <c r="A2882" s="110"/>
      <c r="B2882" s="110"/>
    </row>
    <row r="2883" spans="1:2" ht="11.25" customHeight="1" x14ac:dyDescent="0.15">
      <c r="A2883" s="110"/>
      <c r="B2883" s="110"/>
    </row>
    <row r="2884" spans="1:2" ht="11.25" customHeight="1" x14ac:dyDescent="0.15">
      <c r="A2884" s="110"/>
      <c r="B2884" s="110"/>
    </row>
    <row r="2885" spans="1:2" ht="11.25" customHeight="1" x14ac:dyDescent="0.15">
      <c r="A2885" s="110"/>
      <c r="B2885" s="110"/>
    </row>
    <row r="2886" spans="1:2" ht="11.25" customHeight="1" x14ac:dyDescent="0.15">
      <c r="A2886" s="110"/>
      <c r="B2886" s="110"/>
    </row>
    <row r="2887" spans="1:2" ht="11.25" customHeight="1" x14ac:dyDescent="0.15">
      <c r="A2887" s="110"/>
      <c r="B2887" s="110"/>
    </row>
    <row r="2888" spans="1:2" ht="11.25" customHeight="1" x14ac:dyDescent="0.15">
      <c r="A2888" s="110"/>
      <c r="B2888" s="110"/>
    </row>
    <row r="2889" spans="1:2" ht="11.25" customHeight="1" x14ac:dyDescent="0.15">
      <c r="A2889" s="110"/>
      <c r="B2889" s="110"/>
    </row>
    <row r="2890" spans="1:2" ht="11.25" customHeight="1" x14ac:dyDescent="0.15">
      <c r="A2890" s="110"/>
      <c r="B2890" s="110"/>
    </row>
    <row r="2891" spans="1:2" ht="11.25" customHeight="1" x14ac:dyDescent="0.15">
      <c r="A2891" s="110"/>
      <c r="B2891" s="110"/>
    </row>
    <row r="2892" spans="1:2" ht="11.25" customHeight="1" x14ac:dyDescent="0.15">
      <c r="A2892" s="110"/>
      <c r="B2892" s="110"/>
    </row>
    <row r="2893" spans="1:2" ht="11.25" customHeight="1" x14ac:dyDescent="0.15">
      <c r="A2893" s="110"/>
      <c r="B2893" s="110"/>
    </row>
    <row r="2894" spans="1:2" ht="11.25" customHeight="1" x14ac:dyDescent="0.15">
      <c r="A2894" s="110"/>
      <c r="B2894" s="110"/>
    </row>
    <row r="2895" spans="1:2" ht="11.25" customHeight="1" x14ac:dyDescent="0.15">
      <c r="A2895" s="110"/>
      <c r="B2895" s="110"/>
    </row>
    <row r="2896" spans="1:2" ht="11.25" customHeight="1" x14ac:dyDescent="0.15">
      <c r="A2896" s="110"/>
      <c r="B2896" s="110"/>
    </row>
    <row r="2897" spans="1:2" ht="11.25" customHeight="1" x14ac:dyDescent="0.15">
      <c r="A2897" s="110"/>
      <c r="B2897" s="110"/>
    </row>
    <row r="2898" spans="1:2" ht="11.25" customHeight="1" x14ac:dyDescent="0.15">
      <c r="A2898" s="110"/>
      <c r="B2898" s="110"/>
    </row>
    <row r="2899" spans="1:2" ht="11.25" customHeight="1" x14ac:dyDescent="0.15">
      <c r="A2899" s="110"/>
      <c r="B2899" s="110"/>
    </row>
    <row r="2900" spans="1:2" ht="11.25" customHeight="1" x14ac:dyDescent="0.15">
      <c r="A2900" s="110"/>
      <c r="B2900" s="110"/>
    </row>
    <row r="2901" spans="1:2" ht="11.25" customHeight="1" x14ac:dyDescent="0.15">
      <c r="A2901" s="110"/>
      <c r="B2901" s="110"/>
    </row>
    <row r="2902" spans="1:2" ht="11.25" customHeight="1" x14ac:dyDescent="0.15">
      <c r="A2902" s="110"/>
      <c r="B2902" s="110"/>
    </row>
    <row r="2903" spans="1:2" ht="11.25" customHeight="1" x14ac:dyDescent="0.15">
      <c r="A2903" s="110"/>
      <c r="B2903" s="110"/>
    </row>
    <row r="2904" spans="1:2" ht="11.25" customHeight="1" x14ac:dyDescent="0.15">
      <c r="A2904" s="110"/>
      <c r="B2904" s="110"/>
    </row>
    <row r="2905" spans="1:2" ht="11.25" customHeight="1" x14ac:dyDescent="0.15">
      <c r="A2905" s="110"/>
      <c r="B2905" s="110"/>
    </row>
    <row r="2906" spans="1:2" ht="11.25" customHeight="1" x14ac:dyDescent="0.15">
      <c r="A2906" s="110"/>
      <c r="B2906" s="110"/>
    </row>
    <row r="2907" spans="1:2" ht="11.25" customHeight="1" x14ac:dyDescent="0.15">
      <c r="A2907" s="110"/>
      <c r="B2907" s="110"/>
    </row>
    <row r="2908" spans="1:2" ht="11.25" customHeight="1" x14ac:dyDescent="0.15">
      <c r="A2908" s="110"/>
      <c r="B2908" s="110"/>
    </row>
    <row r="2909" spans="1:2" ht="11.25" customHeight="1" x14ac:dyDescent="0.15">
      <c r="A2909" s="110"/>
      <c r="B2909" s="110"/>
    </row>
    <row r="2910" spans="1:2" ht="11.25" customHeight="1" x14ac:dyDescent="0.15">
      <c r="A2910" s="110"/>
      <c r="B2910" s="110"/>
    </row>
    <row r="2911" spans="1:2" ht="11.25" customHeight="1" x14ac:dyDescent="0.15">
      <c r="A2911" s="110"/>
      <c r="B2911" s="110"/>
    </row>
    <row r="2912" spans="1:2" ht="11.25" customHeight="1" x14ac:dyDescent="0.15">
      <c r="A2912" s="110"/>
      <c r="B2912" s="110"/>
    </row>
    <row r="2913" spans="1:2" ht="11.25" customHeight="1" x14ac:dyDescent="0.15">
      <c r="A2913" s="110"/>
      <c r="B2913" s="110"/>
    </row>
    <row r="2914" spans="1:2" ht="11.25" customHeight="1" x14ac:dyDescent="0.15">
      <c r="A2914" s="110"/>
      <c r="B2914" s="110"/>
    </row>
    <row r="2915" spans="1:2" ht="11.25" customHeight="1" x14ac:dyDescent="0.15">
      <c r="A2915" s="110"/>
      <c r="B2915" s="110"/>
    </row>
    <row r="2916" spans="1:2" ht="11.25" customHeight="1" x14ac:dyDescent="0.15">
      <c r="A2916" s="110"/>
      <c r="B2916" s="110"/>
    </row>
    <row r="2917" spans="1:2" ht="11.25" customHeight="1" x14ac:dyDescent="0.15">
      <c r="A2917" s="110"/>
      <c r="B2917" s="110"/>
    </row>
    <row r="2918" spans="1:2" ht="11.25" customHeight="1" x14ac:dyDescent="0.15">
      <c r="A2918" s="110"/>
      <c r="B2918" s="110"/>
    </row>
    <row r="2919" spans="1:2" ht="11.25" customHeight="1" x14ac:dyDescent="0.15">
      <c r="A2919" s="110"/>
      <c r="B2919" s="110"/>
    </row>
    <row r="2920" spans="1:2" ht="11.25" customHeight="1" x14ac:dyDescent="0.15">
      <c r="A2920" s="110"/>
      <c r="B2920" s="110"/>
    </row>
    <row r="2921" spans="1:2" ht="11.25" customHeight="1" x14ac:dyDescent="0.15">
      <c r="A2921" s="110"/>
      <c r="B2921" s="110"/>
    </row>
    <row r="2922" spans="1:2" ht="11.25" customHeight="1" x14ac:dyDescent="0.15">
      <c r="A2922" s="110"/>
      <c r="B2922" s="110"/>
    </row>
    <row r="2923" spans="1:2" ht="11.25" customHeight="1" x14ac:dyDescent="0.15">
      <c r="A2923" s="110"/>
      <c r="B2923" s="110"/>
    </row>
    <row r="2924" spans="1:2" ht="11.25" customHeight="1" x14ac:dyDescent="0.15">
      <c r="A2924" s="110"/>
      <c r="B2924" s="110"/>
    </row>
    <row r="2925" spans="1:2" ht="11.25" customHeight="1" x14ac:dyDescent="0.15">
      <c r="A2925" s="110"/>
      <c r="B2925" s="110"/>
    </row>
    <row r="2926" spans="1:2" ht="11.25" customHeight="1" x14ac:dyDescent="0.15">
      <c r="A2926" s="110"/>
      <c r="B2926" s="110"/>
    </row>
    <row r="2927" spans="1:2" ht="11.25" customHeight="1" x14ac:dyDescent="0.15">
      <c r="A2927" s="110"/>
      <c r="B2927" s="110"/>
    </row>
    <row r="2928" spans="1:2" ht="11.25" customHeight="1" x14ac:dyDescent="0.15">
      <c r="A2928" s="110"/>
      <c r="B2928" s="110"/>
    </row>
    <row r="2929" spans="1:2" ht="11.25" customHeight="1" x14ac:dyDescent="0.15">
      <c r="A2929" s="110"/>
      <c r="B2929" s="110"/>
    </row>
    <row r="2930" spans="1:2" ht="11.25" customHeight="1" x14ac:dyDescent="0.15">
      <c r="A2930" s="110"/>
      <c r="B2930" s="110"/>
    </row>
    <row r="2931" spans="1:2" ht="11.25" customHeight="1" x14ac:dyDescent="0.15">
      <c r="A2931" s="110"/>
      <c r="B2931" s="110"/>
    </row>
    <row r="2932" spans="1:2" ht="11.25" customHeight="1" x14ac:dyDescent="0.15">
      <c r="A2932" s="110"/>
      <c r="B2932" s="110"/>
    </row>
    <row r="2933" spans="1:2" ht="11.25" customHeight="1" x14ac:dyDescent="0.15">
      <c r="A2933" s="110"/>
      <c r="B2933" s="110"/>
    </row>
    <row r="2934" spans="1:2" ht="11.25" customHeight="1" x14ac:dyDescent="0.15">
      <c r="A2934" s="110"/>
      <c r="B2934" s="110"/>
    </row>
    <row r="2935" spans="1:2" ht="11.25" customHeight="1" x14ac:dyDescent="0.15">
      <c r="A2935" s="110"/>
      <c r="B2935" s="110"/>
    </row>
    <row r="2936" spans="1:2" ht="11.25" customHeight="1" x14ac:dyDescent="0.15">
      <c r="A2936" s="110"/>
      <c r="B2936" s="110"/>
    </row>
    <row r="2937" spans="1:2" ht="11.25" customHeight="1" x14ac:dyDescent="0.15">
      <c r="A2937" s="110"/>
      <c r="B2937" s="110"/>
    </row>
    <row r="2938" spans="1:2" ht="11.25" customHeight="1" x14ac:dyDescent="0.15">
      <c r="A2938" s="110"/>
      <c r="B2938" s="110"/>
    </row>
    <row r="2939" spans="1:2" ht="11.25" customHeight="1" x14ac:dyDescent="0.15">
      <c r="A2939" s="110"/>
      <c r="B2939" s="110"/>
    </row>
    <row r="2940" spans="1:2" ht="11.25" customHeight="1" x14ac:dyDescent="0.15">
      <c r="A2940" s="110"/>
      <c r="B2940" s="110"/>
    </row>
    <row r="2941" spans="1:2" ht="11.25" customHeight="1" x14ac:dyDescent="0.15">
      <c r="A2941" s="110"/>
      <c r="B2941" s="110"/>
    </row>
    <row r="2942" spans="1:2" ht="11.25" customHeight="1" x14ac:dyDescent="0.15">
      <c r="A2942" s="110"/>
      <c r="B2942" s="110"/>
    </row>
    <row r="2943" spans="1:2" ht="11.25" customHeight="1" x14ac:dyDescent="0.15">
      <c r="A2943" s="110"/>
      <c r="B2943" s="110"/>
    </row>
    <row r="2944" spans="1:2" ht="11.25" customHeight="1" x14ac:dyDescent="0.15">
      <c r="A2944" s="110"/>
      <c r="B2944" s="110"/>
    </row>
    <row r="2945" spans="1:2" ht="11.25" customHeight="1" x14ac:dyDescent="0.15">
      <c r="A2945" s="110"/>
      <c r="B2945" s="110"/>
    </row>
    <row r="2946" spans="1:2" ht="11.25" customHeight="1" x14ac:dyDescent="0.15">
      <c r="A2946" s="110"/>
      <c r="B2946" s="110"/>
    </row>
    <row r="2947" spans="1:2" ht="11.25" customHeight="1" x14ac:dyDescent="0.15">
      <c r="A2947" s="110"/>
      <c r="B2947" s="110"/>
    </row>
    <row r="2948" spans="1:2" ht="11.25" customHeight="1" x14ac:dyDescent="0.15">
      <c r="A2948" s="110"/>
      <c r="B2948" s="110"/>
    </row>
    <row r="2949" spans="1:2" ht="11.25" customHeight="1" x14ac:dyDescent="0.15">
      <c r="A2949" s="110"/>
      <c r="B2949" s="110"/>
    </row>
    <row r="2950" spans="1:2" ht="11.25" customHeight="1" x14ac:dyDescent="0.15">
      <c r="A2950" s="110"/>
      <c r="B2950" s="110"/>
    </row>
    <row r="2951" spans="1:2" ht="11.25" customHeight="1" x14ac:dyDescent="0.15">
      <c r="A2951" s="110"/>
      <c r="B2951" s="110"/>
    </row>
    <row r="2952" spans="1:2" ht="11.25" customHeight="1" x14ac:dyDescent="0.15">
      <c r="A2952" s="110"/>
      <c r="B2952" s="110"/>
    </row>
    <row r="2953" spans="1:2" ht="11.25" customHeight="1" x14ac:dyDescent="0.15">
      <c r="A2953" s="110"/>
      <c r="B2953" s="110"/>
    </row>
    <row r="2954" spans="1:2" ht="11.25" customHeight="1" x14ac:dyDescent="0.15">
      <c r="A2954" s="110"/>
      <c r="B2954" s="110"/>
    </row>
    <row r="2955" spans="1:2" ht="11.25" customHeight="1" x14ac:dyDescent="0.15">
      <c r="A2955" s="110"/>
      <c r="B2955" s="110"/>
    </row>
    <row r="2956" spans="1:2" ht="11.25" customHeight="1" x14ac:dyDescent="0.15">
      <c r="A2956" s="110"/>
      <c r="B2956" s="110"/>
    </row>
    <row r="2957" spans="1:2" ht="11.25" customHeight="1" x14ac:dyDescent="0.15">
      <c r="A2957" s="110"/>
      <c r="B2957" s="110"/>
    </row>
    <row r="2958" spans="1:2" ht="11.25" customHeight="1" x14ac:dyDescent="0.15">
      <c r="A2958" s="110"/>
      <c r="B2958" s="110"/>
    </row>
    <row r="2959" spans="1:2" ht="11.25" customHeight="1" x14ac:dyDescent="0.15">
      <c r="A2959" s="110"/>
      <c r="B2959" s="110"/>
    </row>
    <row r="2960" spans="1:2" ht="11.25" customHeight="1" x14ac:dyDescent="0.15">
      <c r="A2960" s="110"/>
      <c r="B2960" s="110"/>
    </row>
    <row r="2961" spans="1:2" ht="11.25" customHeight="1" x14ac:dyDescent="0.15">
      <c r="A2961" s="110"/>
      <c r="B2961" s="110"/>
    </row>
    <row r="2962" spans="1:2" ht="11.25" customHeight="1" x14ac:dyDescent="0.15">
      <c r="A2962" s="110"/>
      <c r="B2962" s="110"/>
    </row>
    <row r="2963" spans="1:2" ht="11.25" customHeight="1" x14ac:dyDescent="0.15">
      <c r="A2963" s="110"/>
      <c r="B2963" s="110"/>
    </row>
    <row r="2964" spans="1:2" ht="11.25" customHeight="1" x14ac:dyDescent="0.15">
      <c r="A2964" s="110"/>
      <c r="B2964" s="110"/>
    </row>
    <row r="2965" spans="1:2" ht="11.25" customHeight="1" x14ac:dyDescent="0.15">
      <c r="A2965" s="110"/>
      <c r="B2965" s="110"/>
    </row>
    <row r="2966" spans="1:2" ht="11.25" customHeight="1" x14ac:dyDescent="0.15">
      <c r="A2966" s="110"/>
      <c r="B2966" s="110"/>
    </row>
    <row r="2967" spans="1:2" ht="11.25" customHeight="1" x14ac:dyDescent="0.15">
      <c r="A2967" s="110"/>
      <c r="B2967" s="110"/>
    </row>
    <row r="2968" spans="1:2" ht="11.25" customHeight="1" x14ac:dyDescent="0.15">
      <c r="A2968" s="110"/>
      <c r="B2968" s="110"/>
    </row>
    <row r="2969" spans="1:2" ht="11.25" customHeight="1" x14ac:dyDescent="0.15">
      <c r="A2969" s="110"/>
      <c r="B2969" s="110"/>
    </row>
    <row r="2970" spans="1:2" ht="11.25" customHeight="1" x14ac:dyDescent="0.15">
      <c r="A2970" s="110"/>
      <c r="B2970" s="110"/>
    </row>
    <row r="2971" spans="1:2" ht="11.25" customHeight="1" x14ac:dyDescent="0.15">
      <c r="A2971" s="110"/>
      <c r="B2971" s="110"/>
    </row>
    <row r="2972" spans="1:2" ht="11.25" customHeight="1" x14ac:dyDescent="0.15">
      <c r="A2972" s="110"/>
      <c r="B2972" s="110"/>
    </row>
    <row r="2973" spans="1:2" ht="11.25" customHeight="1" x14ac:dyDescent="0.15">
      <c r="A2973" s="110"/>
      <c r="B2973" s="110"/>
    </row>
    <row r="2974" spans="1:2" ht="11.25" customHeight="1" x14ac:dyDescent="0.15">
      <c r="A2974" s="110"/>
      <c r="B2974" s="110"/>
    </row>
    <row r="2975" spans="1:2" ht="11.25" customHeight="1" x14ac:dyDescent="0.15">
      <c r="A2975" s="110"/>
      <c r="B2975" s="110"/>
    </row>
    <row r="2976" spans="1:2" ht="11.25" customHeight="1" x14ac:dyDescent="0.15">
      <c r="A2976" s="110"/>
      <c r="B2976" s="110"/>
    </row>
    <row r="2977" spans="1:2" ht="11.25" customHeight="1" x14ac:dyDescent="0.15">
      <c r="A2977" s="110"/>
      <c r="B2977" s="110"/>
    </row>
    <row r="2978" spans="1:2" ht="11.25" customHeight="1" x14ac:dyDescent="0.15">
      <c r="A2978" s="110"/>
      <c r="B2978" s="110"/>
    </row>
    <row r="2979" spans="1:2" ht="11.25" customHeight="1" x14ac:dyDescent="0.15">
      <c r="A2979" s="110"/>
      <c r="B2979" s="110"/>
    </row>
    <row r="2980" spans="1:2" ht="11.25" customHeight="1" x14ac:dyDescent="0.15">
      <c r="A2980" s="110"/>
      <c r="B2980" s="110"/>
    </row>
    <row r="2981" spans="1:2" ht="11.25" customHeight="1" x14ac:dyDescent="0.15">
      <c r="A2981" s="110"/>
      <c r="B2981" s="110"/>
    </row>
    <row r="2982" spans="1:2" ht="11.25" customHeight="1" x14ac:dyDescent="0.15">
      <c r="A2982" s="110"/>
      <c r="B2982" s="110"/>
    </row>
    <row r="2983" spans="1:2" ht="11.25" customHeight="1" x14ac:dyDescent="0.15">
      <c r="A2983" s="110"/>
      <c r="B2983" s="110"/>
    </row>
    <row r="2984" spans="1:2" ht="11.25" customHeight="1" x14ac:dyDescent="0.15">
      <c r="A2984" s="110"/>
      <c r="B2984" s="110"/>
    </row>
    <row r="2985" spans="1:2" ht="11.25" customHeight="1" x14ac:dyDescent="0.15">
      <c r="A2985" s="110"/>
      <c r="B2985" s="110"/>
    </row>
    <row r="2986" spans="1:2" ht="11.25" customHeight="1" x14ac:dyDescent="0.15">
      <c r="A2986" s="110"/>
      <c r="B2986" s="110"/>
    </row>
    <row r="2987" spans="1:2" ht="11.25" customHeight="1" x14ac:dyDescent="0.15">
      <c r="A2987" s="110"/>
      <c r="B2987" s="110"/>
    </row>
    <row r="2988" spans="1:2" ht="11.25" customHeight="1" x14ac:dyDescent="0.15">
      <c r="A2988" s="110"/>
      <c r="B2988" s="110"/>
    </row>
    <row r="2989" spans="1:2" ht="11.25" customHeight="1" x14ac:dyDescent="0.15">
      <c r="A2989" s="110"/>
      <c r="B2989" s="110"/>
    </row>
    <row r="2990" spans="1:2" ht="11.25" customHeight="1" x14ac:dyDescent="0.15">
      <c r="A2990" s="110"/>
      <c r="B2990" s="110"/>
    </row>
    <row r="2991" spans="1:2" ht="11.25" customHeight="1" x14ac:dyDescent="0.15">
      <c r="A2991" s="110"/>
      <c r="B2991" s="110"/>
    </row>
    <row r="2992" spans="1:2" ht="11.25" customHeight="1" x14ac:dyDescent="0.15">
      <c r="A2992" s="110"/>
      <c r="B2992" s="110"/>
    </row>
    <row r="2993" spans="1:2" ht="11.25" customHeight="1" x14ac:dyDescent="0.15">
      <c r="A2993" s="110"/>
      <c r="B2993" s="110"/>
    </row>
    <row r="2994" spans="1:2" ht="11.25" customHeight="1" x14ac:dyDescent="0.15">
      <c r="A2994" s="110"/>
      <c r="B2994" s="110"/>
    </row>
    <row r="2995" spans="1:2" ht="11.25" customHeight="1" x14ac:dyDescent="0.15">
      <c r="A2995" s="110"/>
      <c r="B2995" s="110"/>
    </row>
    <row r="2996" spans="1:2" ht="11.25" customHeight="1" x14ac:dyDescent="0.15">
      <c r="A2996" s="110"/>
      <c r="B2996" s="110"/>
    </row>
    <row r="2997" spans="1:2" ht="11.25" customHeight="1" x14ac:dyDescent="0.15">
      <c r="A2997" s="110"/>
      <c r="B2997" s="110"/>
    </row>
    <row r="2998" spans="1:2" ht="11.25" customHeight="1" x14ac:dyDescent="0.15">
      <c r="A2998" s="110"/>
      <c r="B2998" s="110"/>
    </row>
    <row r="2999" spans="1:2" ht="11.25" customHeight="1" x14ac:dyDescent="0.15">
      <c r="A2999" s="110"/>
      <c r="B2999" s="110"/>
    </row>
    <row r="3000" spans="1:2" ht="11.25" customHeight="1" x14ac:dyDescent="0.15">
      <c r="A3000" s="110"/>
      <c r="B3000" s="110"/>
    </row>
    <row r="3001" spans="1:2" ht="11.25" customHeight="1" x14ac:dyDescent="0.15">
      <c r="A3001" s="110"/>
      <c r="B3001" s="110"/>
    </row>
    <row r="3002" spans="1:2" ht="11.25" customHeight="1" x14ac:dyDescent="0.15">
      <c r="A3002" s="110"/>
      <c r="B3002" s="110"/>
    </row>
    <row r="3003" spans="1:2" ht="11.25" customHeight="1" x14ac:dyDescent="0.15">
      <c r="A3003" s="110"/>
      <c r="B3003" s="110"/>
    </row>
    <row r="3004" spans="1:2" ht="11.25" customHeight="1" x14ac:dyDescent="0.15">
      <c r="A3004" s="110"/>
      <c r="B3004" s="110"/>
    </row>
    <row r="3005" spans="1:2" ht="11.25" customHeight="1" x14ac:dyDescent="0.15">
      <c r="A3005" s="110"/>
      <c r="B3005" s="110"/>
    </row>
    <row r="3006" spans="1:2" ht="11.25" customHeight="1" x14ac:dyDescent="0.15">
      <c r="A3006" s="110"/>
      <c r="B3006" s="110"/>
    </row>
    <row r="3007" spans="1:2" ht="11.25" customHeight="1" x14ac:dyDescent="0.15">
      <c r="A3007" s="110"/>
      <c r="B3007" s="110"/>
    </row>
    <row r="3008" spans="1:2" ht="11.25" customHeight="1" x14ac:dyDescent="0.15">
      <c r="A3008" s="110"/>
      <c r="B3008" s="110"/>
    </row>
    <row r="3009" spans="1:2" ht="11.25" customHeight="1" x14ac:dyDescent="0.15">
      <c r="A3009" s="110"/>
      <c r="B3009" s="110"/>
    </row>
    <row r="3010" spans="1:2" ht="11.25" customHeight="1" x14ac:dyDescent="0.15">
      <c r="A3010" s="110"/>
      <c r="B3010" s="110"/>
    </row>
    <row r="3011" spans="1:2" ht="11.25" customHeight="1" x14ac:dyDescent="0.15">
      <c r="A3011" s="110"/>
      <c r="B3011" s="110"/>
    </row>
    <row r="3012" spans="1:2" ht="11.25" customHeight="1" x14ac:dyDescent="0.15">
      <c r="A3012" s="110"/>
      <c r="B3012" s="110"/>
    </row>
    <row r="3013" spans="1:2" ht="11.25" customHeight="1" x14ac:dyDescent="0.15">
      <c r="A3013" s="110"/>
      <c r="B3013" s="110"/>
    </row>
    <row r="3014" spans="1:2" ht="11.25" customHeight="1" x14ac:dyDescent="0.15">
      <c r="A3014" s="110"/>
      <c r="B3014" s="110"/>
    </row>
    <row r="3015" spans="1:2" ht="11.25" customHeight="1" x14ac:dyDescent="0.15">
      <c r="A3015" s="110"/>
      <c r="B3015" s="110"/>
    </row>
    <row r="3016" spans="1:2" ht="11.25" customHeight="1" x14ac:dyDescent="0.15">
      <c r="A3016" s="110"/>
      <c r="B3016" s="110"/>
    </row>
    <row r="3017" spans="1:2" ht="11.25" customHeight="1" x14ac:dyDescent="0.15">
      <c r="A3017" s="110"/>
      <c r="B3017" s="110"/>
    </row>
    <row r="3018" spans="1:2" ht="11.25" customHeight="1" x14ac:dyDescent="0.15">
      <c r="A3018" s="110"/>
      <c r="B3018" s="110"/>
    </row>
    <row r="3019" spans="1:2" ht="11.25" customHeight="1" x14ac:dyDescent="0.15">
      <c r="A3019" s="110"/>
      <c r="B3019" s="110"/>
    </row>
    <row r="3020" spans="1:2" ht="11.25" customHeight="1" x14ac:dyDescent="0.15">
      <c r="A3020" s="110"/>
      <c r="B3020" s="110"/>
    </row>
    <row r="3021" spans="1:2" ht="11.25" customHeight="1" x14ac:dyDescent="0.15">
      <c r="A3021" s="110"/>
      <c r="B3021" s="110"/>
    </row>
    <row r="3022" spans="1:2" ht="11.25" customHeight="1" x14ac:dyDescent="0.15">
      <c r="A3022" s="110"/>
      <c r="B3022" s="110"/>
    </row>
    <row r="3023" spans="1:2" ht="11.25" customHeight="1" x14ac:dyDescent="0.15">
      <c r="A3023" s="110"/>
      <c r="B3023" s="110"/>
    </row>
    <row r="3024" spans="1:2" ht="11.25" customHeight="1" x14ac:dyDescent="0.15">
      <c r="A3024" s="110"/>
      <c r="B3024" s="110"/>
    </row>
    <row r="3025" spans="1:2" ht="11.25" customHeight="1" x14ac:dyDescent="0.15">
      <c r="A3025" s="110"/>
      <c r="B3025" s="110"/>
    </row>
    <row r="3026" spans="1:2" ht="11.25" customHeight="1" x14ac:dyDescent="0.15">
      <c r="A3026" s="110"/>
      <c r="B3026" s="110"/>
    </row>
    <row r="3027" spans="1:2" ht="11.25" customHeight="1" x14ac:dyDescent="0.15">
      <c r="A3027" s="110"/>
      <c r="B3027" s="110"/>
    </row>
    <row r="3028" spans="1:2" ht="11.25" customHeight="1" x14ac:dyDescent="0.15">
      <c r="A3028" s="110"/>
      <c r="B3028" s="110"/>
    </row>
    <row r="3029" spans="1:2" ht="11.25" customHeight="1" x14ac:dyDescent="0.15">
      <c r="A3029" s="110"/>
      <c r="B3029" s="110"/>
    </row>
    <row r="3030" spans="1:2" ht="11.25" customHeight="1" x14ac:dyDescent="0.15">
      <c r="A3030" s="110"/>
      <c r="B3030" s="110"/>
    </row>
  </sheetData>
  <autoFilter ref="A4:XFB3030" xr:uid="{724D1DA5-AD56-4A3E-AE38-8640A2BE5AB9}"/>
  <phoneticPr fontId="14" type="noConversion"/>
  <conditionalFormatting sqref="A518:B518">
    <cfRule type="duplicateValues" dxfId="259" priority="112"/>
  </conditionalFormatting>
  <conditionalFormatting sqref="A519:B519">
    <cfRule type="duplicateValues" dxfId="258" priority="111"/>
  </conditionalFormatting>
  <conditionalFormatting sqref="A520:B520">
    <cfRule type="duplicateValues" dxfId="257" priority="110"/>
  </conditionalFormatting>
  <conditionalFormatting sqref="A522:B522">
    <cfRule type="duplicateValues" dxfId="256" priority="123"/>
  </conditionalFormatting>
  <conditionalFormatting sqref="A523:B523">
    <cfRule type="duplicateValues" dxfId="255" priority="122"/>
  </conditionalFormatting>
  <conditionalFormatting sqref="A524:B524">
    <cfRule type="duplicateValues" dxfId="254" priority="121"/>
  </conditionalFormatting>
  <conditionalFormatting sqref="A538:B538">
    <cfRule type="duplicateValues" dxfId="253" priority="96"/>
  </conditionalFormatting>
  <conditionalFormatting sqref="A650:B650">
    <cfRule type="duplicateValues" dxfId="252" priority="109"/>
  </conditionalFormatting>
  <conditionalFormatting sqref="A651:B651">
    <cfRule type="duplicateValues" dxfId="251" priority="108"/>
  </conditionalFormatting>
  <conditionalFormatting sqref="A744:B744">
    <cfRule type="duplicateValues" dxfId="250" priority="86"/>
  </conditionalFormatting>
  <conditionalFormatting sqref="A745:B745">
    <cfRule type="duplicateValues" dxfId="249" priority="85"/>
  </conditionalFormatting>
  <conditionalFormatting sqref="A787:B787">
    <cfRule type="duplicateValues" dxfId="248" priority="141"/>
  </conditionalFormatting>
  <conditionalFormatting sqref="A788:B788">
    <cfRule type="duplicateValues" dxfId="247" priority="140"/>
  </conditionalFormatting>
  <conditionalFormatting sqref="A789:B789">
    <cfRule type="duplicateValues" dxfId="246" priority="139"/>
  </conditionalFormatting>
  <conditionalFormatting sqref="A790:B790">
    <cfRule type="duplicateValues" dxfId="245" priority="138"/>
  </conditionalFormatting>
  <conditionalFormatting sqref="A791:B791">
    <cfRule type="duplicateValues" dxfId="244" priority="137"/>
  </conditionalFormatting>
  <conditionalFormatting sqref="A792:B792">
    <cfRule type="duplicateValues" dxfId="243" priority="136"/>
  </conditionalFormatting>
  <conditionalFormatting sqref="A793:B793">
    <cfRule type="duplicateValues" dxfId="242" priority="135"/>
  </conditionalFormatting>
  <conditionalFormatting sqref="A794:B794">
    <cfRule type="duplicateValues" dxfId="241" priority="134"/>
  </conditionalFormatting>
  <conditionalFormatting sqref="A795:B795">
    <cfRule type="duplicateValues" dxfId="240" priority="133"/>
  </conditionalFormatting>
  <conditionalFormatting sqref="A796:B796">
    <cfRule type="duplicateValues" dxfId="239" priority="132"/>
  </conditionalFormatting>
  <conditionalFormatting sqref="A797:B797">
    <cfRule type="duplicateValues" dxfId="238" priority="131"/>
  </conditionalFormatting>
  <conditionalFormatting sqref="A820:B820">
    <cfRule type="duplicateValues" dxfId="237" priority="59"/>
  </conditionalFormatting>
  <conditionalFormatting sqref="A821:B821">
    <cfRule type="duplicateValues" dxfId="236" priority="58"/>
  </conditionalFormatting>
  <conditionalFormatting sqref="A907:B907">
    <cfRule type="duplicateValues" dxfId="235" priority="48"/>
  </conditionalFormatting>
  <conditionalFormatting sqref="A908:B908">
    <cfRule type="duplicateValues" dxfId="234" priority="49"/>
  </conditionalFormatting>
  <conditionalFormatting sqref="A913:B913">
    <cfRule type="duplicateValues" dxfId="233" priority="47"/>
  </conditionalFormatting>
  <conditionalFormatting sqref="A914:B914">
    <cfRule type="duplicateValues" dxfId="232" priority="46"/>
  </conditionalFormatting>
  <conditionalFormatting sqref="A920:B920">
    <cfRule type="duplicateValues" dxfId="231" priority="120"/>
  </conditionalFormatting>
  <conditionalFormatting sqref="A921:B921">
    <cfRule type="duplicateValues" dxfId="230" priority="119"/>
  </conditionalFormatting>
  <conditionalFormatting sqref="A951:B951">
    <cfRule type="duplicateValues" dxfId="229" priority="45"/>
  </conditionalFormatting>
  <conditionalFormatting sqref="A969:B969">
    <cfRule type="duplicateValues" dxfId="228" priority="50"/>
  </conditionalFormatting>
  <conditionalFormatting sqref="A970:B970">
    <cfRule type="duplicateValues" dxfId="227" priority="51"/>
  </conditionalFormatting>
  <conditionalFormatting sqref="A988:B988">
    <cfRule type="duplicateValues" dxfId="226" priority="57"/>
  </conditionalFormatting>
  <conditionalFormatting sqref="A989:B989">
    <cfRule type="duplicateValues" dxfId="225" priority="56"/>
  </conditionalFormatting>
  <conditionalFormatting sqref="A991:B991">
    <cfRule type="duplicateValues" dxfId="224" priority="2"/>
  </conditionalFormatting>
  <conditionalFormatting sqref="A992:B992">
    <cfRule type="duplicateValues" dxfId="223" priority="1"/>
  </conditionalFormatting>
  <conditionalFormatting sqref="A1025:B1025">
    <cfRule type="duplicateValues" dxfId="222" priority="55"/>
  </conditionalFormatting>
  <conditionalFormatting sqref="A1026:B1026">
    <cfRule type="duplicateValues" dxfId="221" priority="54"/>
  </conditionalFormatting>
  <conditionalFormatting sqref="A1031:B1031">
    <cfRule type="duplicateValues" dxfId="220" priority="64"/>
  </conditionalFormatting>
  <conditionalFormatting sqref="A1032:B1032">
    <cfRule type="duplicateValues" dxfId="219" priority="63"/>
  </conditionalFormatting>
  <conditionalFormatting sqref="A1033:B1033">
    <cfRule type="duplicateValues" dxfId="218" priority="62"/>
  </conditionalFormatting>
  <conditionalFormatting sqref="A1083:B1083">
    <cfRule type="duplicateValues" dxfId="217" priority="95"/>
  </conditionalFormatting>
  <conditionalFormatting sqref="A1084:B1084">
    <cfRule type="duplicateValues" dxfId="216" priority="94"/>
  </conditionalFormatting>
  <conditionalFormatting sqref="A1085:B1085">
    <cfRule type="duplicateValues" dxfId="215" priority="93"/>
  </conditionalFormatting>
  <conditionalFormatting sqref="A1100:B1100">
    <cfRule type="duplicateValues" dxfId="214" priority="70"/>
  </conditionalFormatting>
  <conditionalFormatting sqref="A1101:B1101">
    <cfRule type="duplicateValues" dxfId="213" priority="71"/>
  </conditionalFormatting>
  <conditionalFormatting sqref="A1106:B1106">
    <cfRule type="duplicateValues" dxfId="212" priority="130"/>
  </conditionalFormatting>
  <conditionalFormatting sqref="A1107:B1107">
    <cfRule type="duplicateValues" dxfId="211" priority="129"/>
  </conditionalFormatting>
  <conditionalFormatting sqref="A1108:B1108">
    <cfRule type="duplicateValues" dxfId="210" priority="128"/>
  </conditionalFormatting>
  <conditionalFormatting sqref="A1173:B1173">
    <cfRule type="duplicateValues" dxfId="209" priority="68"/>
  </conditionalFormatting>
  <conditionalFormatting sqref="A1174:B1174">
    <cfRule type="duplicateValues" dxfId="208" priority="69"/>
  </conditionalFormatting>
  <conditionalFormatting sqref="A1212:B1212">
    <cfRule type="duplicateValues" dxfId="207" priority="118"/>
  </conditionalFormatting>
  <conditionalFormatting sqref="A1213:B1213">
    <cfRule type="duplicateValues" dxfId="206" priority="117"/>
  </conditionalFormatting>
  <conditionalFormatting sqref="A1214:B1214">
    <cfRule type="duplicateValues" dxfId="205" priority="116"/>
  </conditionalFormatting>
  <conditionalFormatting sqref="A1216:B1216">
    <cfRule type="duplicateValues" dxfId="204" priority="107"/>
  </conditionalFormatting>
  <conditionalFormatting sqref="A1217:B1217">
    <cfRule type="duplicateValues" dxfId="203" priority="106"/>
  </conditionalFormatting>
  <conditionalFormatting sqref="A1218:B1218">
    <cfRule type="duplicateValues" dxfId="202" priority="105"/>
  </conditionalFormatting>
  <conditionalFormatting sqref="A1220:B1220">
    <cfRule type="duplicateValues" dxfId="201" priority="115"/>
  </conditionalFormatting>
  <conditionalFormatting sqref="A1221:B1221">
    <cfRule type="duplicateValues" dxfId="200" priority="114"/>
  </conditionalFormatting>
  <conditionalFormatting sqref="A1223:B1223">
    <cfRule type="duplicateValues" dxfId="199" priority="103"/>
  </conditionalFormatting>
  <conditionalFormatting sqref="A1224:B1224">
    <cfRule type="duplicateValues" dxfId="198" priority="104"/>
  </conditionalFormatting>
  <conditionalFormatting sqref="A1246:B1246">
    <cfRule type="duplicateValues" dxfId="197" priority="61"/>
  </conditionalFormatting>
  <conditionalFormatting sqref="A1247:B1247">
    <cfRule type="duplicateValues" dxfId="196" priority="60"/>
  </conditionalFormatting>
  <conditionalFormatting sqref="A1249:B1249">
    <cfRule type="duplicateValues" dxfId="195" priority="113"/>
  </conditionalFormatting>
  <conditionalFormatting sqref="A1250:B1250">
    <cfRule type="duplicateValues" dxfId="194" priority="102"/>
  </conditionalFormatting>
  <conditionalFormatting sqref="A1279:B1279">
    <cfRule type="duplicateValues" dxfId="193" priority="65"/>
  </conditionalFormatting>
  <conditionalFormatting sqref="A1280:B1280">
    <cfRule type="duplicateValues" dxfId="192" priority="66"/>
  </conditionalFormatting>
  <conditionalFormatting sqref="A1281:B1281">
    <cfRule type="duplicateValues" dxfId="191" priority="67"/>
  </conditionalFormatting>
  <conditionalFormatting sqref="A1290:B1290">
    <cfRule type="duplicateValues" dxfId="190" priority="43"/>
  </conditionalFormatting>
  <conditionalFormatting sqref="A1291:B1291">
    <cfRule type="duplicateValues" dxfId="189" priority="44"/>
  </conditionalFormatting>
  <conditionalFormatting sqref="A1381:B1381">
    <cfRule type="duplicateValues" dxfId="188" priority="101"/>
  </conditionalFormatting>
  <conditionalFormatting sqref="A1382:B1382">
    <cfRule type="duplicateValues" dxfId="187" priority="100"/>
  </conditionalFormatting>
  <conditionalFormatting sqref="A1383:B1383">
    <cfRule type="duplicateValues" dxfId="186" priority="99"/>
  </conditionalFormatting>
  <conditionalFormatting sqref="A1384:B1384">
    <cfRule type="duplicateValues" dxfId="185" priority="98"/>
  </conditionalFormatting>
  <conditionalFormatting sqref="A1385:B1385">
    <cfRule type="duplicateValues" dxfId="184" priority="97"/>
  </conditionalFormatting>
  <conditionalFormatting sqref="A1448:B1448">
    <cfRule type="duplicateValues" dxfId="183" priority="53"/>
  </conditionalFormatting>
  <conditionalFormatting sqref="A1449:B1449">
    <cfRule type="duplicateValues" dxfId="182" priority="52"/>
  </conditionalFormatting>
  <conditionalFormatting sqref="A1542:B1542">
    <cfRule type="duplicateValues" dxfId="181" priority="92"/>
  </conditionalFormatting>
  <conditionalFormatting sqref="A1543:B1543">
    <cfRule type="duplicateValues" dxfId="180" priority="91"/>
  </conditionalFormatting>
  <conditionalFormatting sqref="A1544:B1544">
    <cfRule type="duplicateValues" dxfId="179" priority="90"/>
  </conditionalFormatting>
  <conditionalFormatting sqref="A1577:B1577">
    <cfRule type="duplicateValues" dxfId="178" priority="127"/>
  </conditionalFormatting>
  <conditionalFormatting sqref="A1578:B1578">
    <cfRule type="duplicateValues" dxfId="177" priority="126"/>
  </conditionalFormatting>
  <conditionalFormatting sqref="A1625:B1625">
    <cfRule type="duplicateValues" dxfId="176" priority="72"/>
  </conditionalFormatting>
  <conditionalFormatting sqref="A1626:B1626">
    <cfRule type="duplicateValues" dxfId="175" priority="73"/>
  </conditionalFormatting>
  <conditionalFormatting sqref="A1680:B1680">
    <cfRule type="duplicateValues" dxfId="174" priority="74"/>
  </conditionalFormatting>
  <conditionalFormatting sqref="A1681:B1681">
    <cfRule type="duplicateValues" dxfId="173" priority="75"/>
  </conditionalFormatting>
  <conditionalFormatting sqref="A1689:B1689">
    <cfRule type="duplicateValues" dxfId="172" priority="79"/>
  </conditionalFormatting>
  <conditionalFormatting sqref="A1690:B1690">
    <cfRule type="duplicateValues" dxfId="171" priority="80"/>
  </conditionalFormatting>
  <conditionalFormatting sqref="A1692:B1692">
    <cfRule type="duplicateValues" dxfId="170" priority="84"/>
  </conditionalFormatting>
  <conditionalFormatting sqref="A1693:B1693">
    <cfRule type="duplicateValues" dxfId="169" priority="83"/>
  </conditionalFormatting>
  <conditionalFormatting sqref="A1695:B1695">
    <cfRule type="duplicateValues" dxfId="168" priority="125"/>
  </conditionalFormatting>
  <conditionalFormatting sqref="A1696:B1696">
    <cfRule type="duplicateValues" dxfId="167" priority="124"/>
  </conditionalFormatting>
  <conditionalFormatting sqref="A1701:B1701">
    <cfRule type="duplicateValues" dxfId="166" priority="82"/>
  </conditionalFormatting>
  <conditionalFormatting sqref="A1702:B1702">
    <cfRule type="duplicateValues" dxfId="165" priority="81"/>
  </conditionalFormatting>
  <conditionalFormatting sqref="A1735:B1735">
    <cfRule type="duplicateValues" dxfId="164" priority="76"/>
  </conditionalFormatting>
  <conditionalFormatting sqref="A1736:B1736">
    <cfRule type="duplicateValues" dxfId="163" priority="77"/>
  </conditionalFormatting>
  <conditionalFormatting sqref="A1737:B1737">
    <cfRule type="duplicateValues" dxfId="162" priority="78"/>
  </conditionalFormatting>
  <conditionalFormatting sqref="A1749:B1749">
    <cfRule type="duplicateValues" dxfId="161" priority="89"/>
  </conditionalFormatting>
  <conditionalFormatting sqref="A1750:B1750">
    <cfRule type="duplicateValues" dxfId="160" priority="88"/>
  </conditionalFormatting>
  <conditionalFormatting sqref="A1751:B1751">
    <cfRule type="duplicateValues" dxfId="159" priority="87"/>
  </conditionalFormatting>
  <conditionalFormatting sqref="AB5:AB1048576">
    <cfRule type="cellIs" dxfId="158" priority="5" operator="lessThan">
      <formula>0</formula>
    </cfRule>
    <cfRule type="cellIs" dxfId="157" priority="6" operator="greaterThan">
      <formula>0</formula>
    </cfRule>
  </conditionalFormatting>
  <conditionalFormatting sqref="AC4:AC350">
    <cfRule type="cellIs" dxfId="156" priority="979" operator="lessThan">
      <formula>0</formula>
    </cfRule>
  </conditionalFormatting>
  <conditionalFormatting sqref="AC9:AC12 AC14:AC17 AC19:AC20 AC22:AC24 AC26:AC27 AC29:AC30 AC32:AC37 AC39:AC41 AC43:AC44 AC46:AC56 AC58:AC60 AC63:AC66 AC68:AC73 AC75:AC78 AC80:AC81 AC83:AC86 AC89:AC96 AC98:AC100 AC102:AC103 AC105:AC106 AC108:AC120 AC122:AC124 AC126:AC129 AC131:AC133 AC135:AC136 AC138:AC142 AC144:AC146 AC148:AC149 AC151:AC157 AC159:AC161 AC163:AC164 AC166:AC174 AC176:AC179 AC181:AC182 AC184:AC185 AC187:AC188 AC190:AC191 AC193:AC205 AC208:AC209 AC211:AC350">
    <cfRule type="cellIs" dxfId="155" priority="1080" operator="lessThan">
      <formula>0</formula>
    </cfRule>
  </conditionalFormatting>
  <conditionalFormatting sqref="AC337:AC421 AC1825:AC1048576">
    <cfRule type="cellIs" dxfId="154" priority="967" operator="lessThan">
      <formula>0</formula>
    </cfRule>
    <cfRule type="cellIs" dxfId="153" priority="968" operator="lessThan">
      <formula>0</formula>
    </cfRule>
  </conditionalFormatting>
  <conditionalFormatting sqref="AC408:AC418">
    <cfRule type="cellIs" dxfId="152" priority="964" operator="lessThan">
      <formula>0</formula>
    </cfRule>
    <cfRule type="cellIs" dxfId="151" priority="963" operator="lessThan">
      <formula>0</formula>
    </cfRule>
  </conditionalFormatting>
  <conditionalFormatting sqref="AC422:AC431">
    <cfRule type="cellIs" dxfId="150" priority="920" operator="lessThan">
      <formula>0</formula>
    </cfRule>
  </conditionalFormatting>
  <conditionalFormatting sqref="AC422:AC458">
    <cfRule type="cellIs" dxfId="149" priority="919" operator="lessThan">
      <formula>0</formula>
    </cfRule>
  </conditionalFormatting>
  <conditionalFormatting sqref="AC432:AC443">
    <cfRule type="cellIs" dxfId="148" priority="918" operator="lessThan">
      <formula>0</formula>
    </cfRule>
    <cfRule type="cellIs" dxfId="147" priority="917" operator="lessThan">
      <formula>0</formula>
    </cfRule>
  </conditionalFormatting>
  <conditionalFormatting sqref="AC444:AC458">
    <cfRule type="cellIs" dxfId="146" priority="926" operator="lessThan">
      <formula>0</formula>
    </cfRule>
  </conditionalFormatting>
  <conditionalFormatting sqref="AC460:AC461">
    <cfRule type="cellIs" dxfId="145" priority="914" operator="lessThan">
      <formula>0</formula>
    </cfRule>
    <cfRule type="cellIs" dxfId="144" priority="913" operator="lessThan">
      <formula>0</formula>
    </cfRule>
  </conditionalFormatting>
  <conditionalFormatting sqref="AC463:AC475">
    <cfRule type="cellIs" dxfId="143" priority="896" operator="lessThan">
      <formula>0</formula>
    </cfRule>
    <cfRule type="cellIs" dxfId="142" priority="895" operator="lessThan">
      <formula>0</formula>
    </cfRule>
  </conditionalFormatting>
  <conditionalFormatting sqref="AC477:AC478">
    <cfRule type="cellIs" dxfId="141" priority="892" operator="lessThan">
      <formula>0</formula>
    </cfRule>
    <cfRule type="cellIs" dxfId="140" priority="891" operator="lessThan">
      <formula>0</formula>
    </cfRule>
  </conditionalFormatting>
  <conditionalFormatting sqref="AC480:AC488">
    <cfRule type="cellIs" dxfId="139" priority="886" operator="lessThan">
      <formula>0</formula>
    </cfRule>
    <cfRule type="cellIs" dxfId="138" priority="885" operator="lessThan">
      <formula>0</formula>
    </cfRule>
  </conditionalFormatting>
  <conditionalFormatting sqref="AC490:AC495">
    <cfRule type="cellIs" dxfId="137" priority="878" operator="lessThan">
      <formula>0</formula>
    </cfRule>
    <cfRule type="cellIs" dxfId="136" priority="877" operator="lessThan">
      <formula>0</formula>
    </cfRule>
  </conditionalFormatting>
  <conditionalFormatting sqref="AC497:AC516">
    <cfRule type="cellIs" dxfId="135" priority="868" operator="lessThan">
      <formula>0</formula>
    </cfRule>
    <cfRule type="cellIs" dxfId="134" priority="867" operator="lessThan">
      <formula>0</formula>
    </cfRule>
  </conditionalFormatting>
  <conditionalFormatting sqref="AC518:AC533">
    <cfRule type="cellIs" dxfId="133" priority="845" operator="lessThan">
      <formula>0</formula>
    </cfRule>
    <cfRule type="cellIs" dxfId="132" priority="846" operator="lessThan">
      <formula>0</formula>
    </cfRule>
  </conditionalFormatting>
  <conditionalFormatting sqref="AC530:AC532">
    <cfRule type="cellIs" dxfId="131" priority="843" operator="lessThan">
      <formula>0</formula>
    </cfRule>
    <cfRule type="cellIs" dxfId="130" priority="844" operator="lessThan">
      <formula>0</formula>
    </cfRule>
  </conditionalFormatting>
  <conditionalFormatting sqref="AC534:AC536">
    <cfRule type="cellIs" dxfId="129" priority="841" operator="lessThan">
      <formula>0</formula>
    </cfRule>
    <cfRule type="cellIs" dxfId="128" priority="842" operator="lessThan">
      <formula>0</formula>
    </cfRule>
  </conditionalFormatting>
  <conditionalFormatting sqref="AC538:AC547">
    <cfRule type="cellIs" dxfId="127" priority="835" operator="lessThan">
      <formula>0</formula>
    </cfRule>
    <cfRule type="cellIs" dxfId="126" priority="836" operator="lessThan">
      <formula>0</formula>
    </cfRule>
  </conditionalFormatting>
  <conditionalFormatting sqref="AC549:AC560">
    <cfRule type="cellIs" dxfId="125" priority="825" operator="lessThan">
      <formula>0</formula>
    </cfRule>
    <cfRule type="cellIs" dxfId="124" priority="826" operator="lessThan">
      <formula>0</formula>
    </cfRule>
  </conditionalFormatting>
  <conditionalFormatting sqref="AC562:AC581">
    <cfRule type="cellIs" dxfId="123" priority="803" operator="lessThan">
      <formula>0</formula>
    </cfRule>
    <cfRule type="cellIs" dxfId="122" priority="804" operator="lessThan">
      <formula>0</formula>
    </cfRule>
  </conditionalFormatting>
  <conditionalFormatting sqref="AC583:AC596">
    <cfRule type="cellIs" dxfId="121" priority="789" operator="lessThan">
      <formula>0</formula>
    </cfRule>
    <cfRule type="cellIs" dxfId="120" priority="790" operator="lessThan">
      <formula>0</formula>
    </cfRule>
  </conditionalFormatting>
  <conditionalFormatting sqref="AC598:AC619">
    <cfRule type="cellIs" dxfId="119" priority="767" operator="lessThan">
      <formula>0</formula>
    </cfRule>
    <cfRule type="cellIs" dxfId="118" priority="768" operator="lessThan">
      <formula>0</formula>
    </cfRule>
  </conditionalFormatting>
  <conditionalFormatting sqref="AC618">
    <cfRule type="cellIs" dxfId="117" priority="757" operator="lessThan">
      <formula>0</formula>
    </cfRule>
    <cfRule type="cellIs" dxfId="116" priority="758" operator="lessThan">
      <formula>0</formula>
    </cfRule>
  </conditionalFormatting>
  <conditionalFormatting sqref="AC620:AC623">
    <cfRule type="cellIs" dxfId="115" priority="751" operator="lessThan">
      <formula>0</formula>
    </cfRule>
    <cfRule type="cellIs" dxfId="114" priority="752" operator="lessThan">
      <formula>0</formula>
    </cfRule>
  </conditionalFormatting>
  <conditionalFormatting sqref="AC625:AC640">
    <cfRule type="cellIs" dxfId="113" priority="745" operator="lessThan">
      <formula>0</formula>
    </cfRule>
    <cfRule type="cellIs" dxfId="112" priority="746" operator="lessThan">
      <formula>0</formula>
    </cfRule>
  </conditionalFormatting>
  <conditionalFormatting sqref="AC642:AC681">
    <cfRule type="cellIs" dxfId="111" priority="719" operator="lessThan">
      <formula>0</formula>
    </cfRule>
    <cfRule type="cellIs" dxfId="110" priority="720" operator="lessThan">
      <formula>0</formula>
    </cfRule>
  </conditionalFormatting>
  <conditionalFormatting sqref="AC683:AC767">
    <cfRule type="cellIs" dxfId="109" priority="174" operator="lessThan">
      <formula>0</formula>
    </cfRule>
    <cfRule type="cellIs" dxfId="108" priority="175" operator="lessThan">
      <formula>0</formula>
    </cfRule>
  </conditionalFormatting>
  <conditionalFormatting sqref="AC769:AC791">
    <cfRule type="cellIs" dxfId="107" priority="570" operator="lessThan">
      <formula>0</formula>
    </cfRule>
    <cfRule type="cellIs" dxfId="106" priority="569" operator="lessThan">
      <formula>0</formula>
    </cfRule>
  </conditionalFormatting>
  <conditionalFormatting sqref="AC787:AC797">
    <cfRule type="cellIs" dxfId="105" priority="562" operator="lessThan">
      <formula>0</formula>
    </cfRule>
    <cfRule type="cellIs" dxfId="104" priority="561" operator="lessThan">
      <formula>0</formula>
    </cfRule>
  </conditionalFormatting>
  <conditionalFormatting sqref="AC799:AC811">
    <cfRule type="cellIs" dxfId="103" priority="542" operator="lessThan">
      <formula>0</formula>
    </cfRule>
    <cfRule type="cellIs" dxfId="102" priority="541" operator="lessThan">
      <formula>0</formula>
    </cfRule>
  </conditionalFormatting>
  <conditionalFormatting sqref="AC806:AC821">
    <cfRule type="cellIs" dxfId="101" priority="528" operator="lessThan">
      <formula>0</formula>
    </cfRule>
    <cfRule type="cellIs" dxfId="100" priority="527" operator="lessThan">
      <formula>0</formula>
    </cfRule>
  </conditionalFormatting>
  <conditionalFormatting sqref="AC816:AC837">
    <cfRule type="cellIs" dxfId="99" priority="510" operator="lessThan">
      <formula>0</formula>
    </cfRule>
    <cfRule type="cellIs" dxfId="98" priority="509" operator="lessThan">
      <formula>0</formula>
    </cfRule>
  </conditionalFormatting>
  <conditionalFormatting sqref="AC826:AC827">
    <cfRule type="cellIs" dxfId="97" priority="508" operator="lessThan">
      <formula>0</formula>
    </cfRule>
    <cfRule type="cellIs" dxfId="96" priority="507" operator="lessThan">
      <formula>0</formula>
    </cfRule>
  </conditionalFormatting>
  <conditionalFormatting sqref="AC839:AC850">
    <cfRule type="cellIs" dxfId="95" priority="494" operator="lessThan">
      <formula>0</formula>
    </cfRule>
    <cfRule type="cellIs" dxfId="94" priority="493" operator="lessThan">
      <formula>0</formula>
    </cfRule>
  </conditionalFormatting>
  <conditionalFormatting sqref="AC852:AC873">
    <cfRule type="cellIs" dxfId="93" priority="482" operator="lessThan">
      <formula>0</formula>
    </cfRule>
    <cfRule type="cellIs" dxfId="92" priority="481" operator="lessThan">
      <formula>0</formula>
    </cfRule>
  </conditionalFormatting>
  <conditionalFormatting sqref="AC870:AC872">
    <cfRule type="cellIs" dxfId="91" priority="472" operator="lessThan">
      <formula>0</formula>
    </cfRule>
    <cfRule type="cellIs" dxfId="90" priority="471" operator="lessThan">
      <formula>0</formula>
    </cfRule>
  </conditionalFormatting>
  <conditionalFormatting sqref="AC874:AC885">
    <cfRule type="cellIs" dxfId="89" priority="470" operator="lessThan">
      <formula>0</formula>
    </cfRule>
    <cfRule type="cellIs" dxfId="88" priority="469" operator="lessThan">
      <formula>0</formula>
    </cfRule>
  </conditionalFormatting>
  <conditionalFormatting sqref="AC887:AC900">
    <cfRule type="cellIs" dxfId="87" priority="464" operator="lessThan">
      <formula>0</formula>
    </cfRule>
    <cfRule type="cellIs" dxfId="86" priority="463" operator="lessThan">
      <formula>0</formula>
    </cfRule>
  </conditionalFormatting>
  <conditionalFormatting sqref="AC891:AC908">
    <cfRule type="cellIs" dxfId="85" priority="448" operator="lessThan">
      <formula>0</formula>
    </cfRule>
    <cfRule type="cellIs" dxfId="84" priority="447" operator="lessThan">
      <formula>0</formula>
    </cfRule>
  </conditionalFormatting>
  <conditionalFormatting sqref="AC910:AC911">
    <cfRule type="cellIs" dxfId="83" priority="442" operator="lessThan">
      <formula>0</formula>
    </cfRule>
    <cfRule type="cellIs" dxfId="82" priority="441" operator="lessThan">
      <formula>0</formula>
    </cfRule>
  </conditionalFormatting>
  <conditionalFormatting sqref="AC913:AC914">
    <cfRule type="cellIs" dxfId="81" priority="440" operator="lessThan">
      <formula>0</formula>
    </cfRule>
    <cfRule type="cellIs" dxfId="80" priority="439" operator="lessThan">
      <formula>0</formula>
    </cfRule>
  </conditionalFormatting>
  <conditionalFormatting sqref="AC916:AC921">
    <cfRule type="cellIs" dxfId="79" priority="432" operator="lessThan">
      <formula>0</formula>
    </cfRule>
    <cfRule type="cellIs" dxfId="78" priority="431" operator="lessThan">
      <formula>0</formula>
    </cfRule>
  </conditionalFormatting>
  <conditionalFormatting sqref="AC923:AC930">
    <cfRule type="cellIs" dxfId="77" priority="426" operator="lessThan">
      <formula>0</formula>
    </cfRule>
    <cfRule type="cellIs" dxfId="76" priority="425" operator="lessThan">
      <formula>0</formula>
    </cfRule>
  </conditionalFormatting>
  <conditionalFormatting sqref="AC932:AC963">
    <cfRule type="cellIs" dxfId="75" priority="400" operator="lessThan">
      <formula>0</formula>
    </cfRule>
    <cfRule type="cellIs" dxfId="74" priority="399" operator="lessThan">
      <formula>0</formula>
    </cfRule>
  </conditionalFormatting>
  <conditionalFormatting sqref="AC957:AC962">
    <cfRule type="cellIs" dxfId="73" priority="396" operator="lessThan">
      <formula>0</formula>
    </cfRule>
    <cfRule type="cellIs" dxfId="72" priority="395" operator="lessThan">
      <formula>0</formula>
    </cfRule>
  </conditionalFormatting>
  <conditionalFormatting sqref="AC964:AC986">
    <cfRule type="cellIs" dxfId="71" priority="360" operator="lessThan">
      <formula>0</formula>
    </cfRule>
    <cfRule type="cellIs" dxfId="70" priority="359" operator="lessThan">
      <formula>0</formula>
    </cfRule>
  </conditionalFormatting>
  <conditionalFormatting sqref="AC982:AC1010">
    <cfRule type="cellIs" dxfId="69" priority="328" operator="lessThan">
      <formula>0</formula>
    </cfRule>
    <cfRule type="cellIs" dxfId="68" priority="327" operator="lessThan">
      <formula>0</formula>
    </cfRule>
  </conditionalFormatting>
  <conditionalFormatting sqref="AC1005:AC1009">
    <cfRule type="cellIs" dxfId="67" priority="320" operator="lessThan">
      <formula>0</formula>
    </cfRule>
    <cfRule type="cellIs" dxfId="66" priority="319" operator="lessThan">
      <formula>0</formula>
    </cfRule>
  </conditionalFormatting>
  <conditionalFormatting sqref="AC1011:AC1016">
    <cfRule type="cellIs" dxfId="65" priority="318" operator="lessThan">
      <formula>0</formula>
    </cfRule>
    <cfRule type="cellIs" dxfId="64" priority="317" operator="lessThan">
      <formula>0</formula>
    </cfRule>
  </conditionalFormatting>
  <conditionalFormatting sqref="AC1018:AC1036">
    <cfRule type="cellIs" dxfId="63" priority="274" operator="lessThan">
      <formula>0</formula>
    </cfRule>
    <cfRule type="cellIs" dxfId="62" priority="273" operator="lessThan">
      <formula>0</formula>
    </cfRule>
  </conditionalFormatting>
  <conditionalFormatting sqref="AC1038:AC1045">
    <cfRule type="cellIs" dxfId="61" priority="266" operator="lessThan">
      <formula>0</formula>
    </cfRule>
    <cfRule type="cellIs" dxfId="60" priority="265" operator="lessThan">
      <formula>0</formula>
    </cfRule>
  </conditionalFormatting>
  <conditionalFormatting sqref="AC1047:AC1048">
    <cfRule type="cellIs" dxfId="59" priority="262" operator="lessThan">
      <formula>0</formula>
    </cfRule>
    <cfRule type="cellIs" dxfId="58" priority="261" operator="lessThan">
      <formula>0</formula>
    </cfRule>
  </conditionalFormatting>
  <conditionalFormatting sqref="AC1050:AC1060">
    <cfRule type="cellIs" dxfId="57" priority="252" operator="lessThan">
      <formula>0</formula>
    </cfRule>
    <cfRule type="cellIs" dxfId="56" priority="251" operator="lessThan">
      <formula>0</formula>
    </cfRule>
  </conditionalFormatting>
  <conditionalFormatting sqref="AC1062:AC1064">
    <cfRule type="cellIs" dxfId="55" priority="230" operator="lessThan">
      <formula>0</formula>
    </cfRule>
    <cfRule type="cellIs" dxfId="54" priority="229" operator="lessThan">
      <formula>0</formula>
    </cfRule>
  </conditionalFormatting>
  <conditionalFormatting sqref="AC1066:AC1067">
    <cfRule type="cellIs" dxfId="53" priority="222" operator="lessThan">
      <formula>0</formula>
    </cfRule>
    <cfRule type="cellIs" dxfId="52" priority="221" operator="lessThan">
      <formula>0</formula>
    </cfRule>
  </conditionalFormatting>
  <conditionalFormatting sqref="AC1069:AC1071">
    <cfRule type="cellIs" dxfId="51" priority="227" operator="lessThan">
      <formula>0</formula>
    </cfRule>
    <cfRule type="cellIs" dxfId="50" priority="228" operator="lessThan">
      <formula>0</formula>
    </cfRule>
  </conditionalFormatting>
  <conditionalFormatting sqref="AC1073:AC1074">
    <cfRule type="cellIs" dxfId="49" priority="220" operator="lessThan">
      <formula>0</formula>
    </cfRule>
    <cfRule type="cellIs" dxfId="48" priority="219" operator="lessThan">
      <formula>0</formula>
    </cfRule>
  </conditionalFormatting>
  <conditionalFormatting sqref="AC1076:AC1078">
    <cfRule type="cellIs" dxfId="47" priority="226" operator="lessThan">
      <formula>0</formula>
    </cfRule>
    <cfRule type="cellIs" dxfId="46" priority="225" operator="lessThan">
      <formula>0</formula>
    </cfRule>
  </conditionalFormatting>
  <conditionalFormatting sqref="AC1080:AC1081">
    <cfRule type="cellIs" dxfId="45" priority="217" operator="lessThan">
      <formula>0</formula>
    </cfRule>
    <cfRule type="cellIs" dxfId="44" priority="218" operator="lessThan">
      <formula>0</formula>
    </cfRule>
  </conditionalFormatting>
  <conditionalFormatting sqref="AC1083:AC1085">
    <cfRule type="cellIs" dxfId="43" priority="224" operator="lessThan">
      <formula>0</formula>
    </cfRule>
    <cfRule type="cellIs" dxfId="42" priority="223" operator="lessThan">
      <formula>0</formula>
    </cfRule>
  </conditionalFormatting>
  <conditionalFormatting sqref="AC1087:AC1088">
    <cfRule type="cellIs" dxfId="41" priority="216" operator="lessThan">
      <formula>0</formula>
    </cfRule>
    <cfRule type="cellIs" dxfId="40" priority="215" operator="lessThan">
      <formula>0</formula>
    </cfRule>
  </conditionalFormatting>
  <conditionalFormatting sqref="AC1090:AC1091">
    <cfRule type="cellIs" dxfId="39" priority="214" operator="lessThan">
      <formula>0</formula>
    </cfRule>
    <cfRule type="cellIs" dxfId="38" priority="213" operator="lessThan">
      <formula>0</formula>
    </cfRule>
  </conditionalFormatting>
  <conditionalFormatting sqref="AC1093:AC1823">
    <cfRule type="cellIs" dxfId="37" priority="13" operator="lessThan">
      <formula>0</formula>
    </cfRule>
    <cfRule type="cellIs" dxfId="36" priority="14" operator="lessThan">
      <formula>0</formula>
    </cfRule>
  </conditionalFormatting>
  <hyperlinks>
    <hyperlink ref="G704" r:id="rId1" display="https://3850636.app.netsuite.com/app/common/item/item.nl?id=4272" xr:uid="{B9C5AD95-4875-4A44-8D54-471056C90CBC}"/>
    <hyperlink ref="G705" r:id="rId2" display="https://3850636.app.netsuite.com/app/common/item/item.nl?id=4273" xr:uid="{1DE51F4B-18CD-4B9A-89D4-B0D6B81EF4C9}"/>
    <hyperlink ref="G711" r:id="rId3" display="https://3850636.app.netsuite.com/app/common/item/item.nl?id=4274" xr:uid="{0FE9D573-C851-4B87-ABF6-878D9BBE782C}"/>
    <hyperlink ref="G708" r:id="rId4" display="https://3850636.app.netsuite.com/app/common/item/item.nl?id=4274" xr:uid="{B5D5EAD3-CA19-49D7-A93B-1F98914A5A4E}"/>
    <hyperlink ref="G712" r:id="rId5" display="https://3850636.app.netsuite.com/app/common/item/item.nl?id=4275" xr:uid="{72D1A7B0-55E4-4C39-857C-6BBEBEA66B39}"/>
    <hyperlink ref="B2086" r:id="rId6" xr:uid="{1EBB502C-1CDC-45B0-B47C-27D93AB5E617}"/>
    <hyperlink ref="B2090" r:id="rId7" xr:uid="{66060AED-D845-4FAF-9FB6-2F0599D0D972}"/>
    <hyperlink ref="B2094" r:id="rId8" xr:uid="{61404E73-F910-4D3E-91EC-46D2DDFC1004}"/>
    <hyperlink ref="B2098" r:id="rId9" xr:uid="{67EEC643-BCDF-4EF7-97F2-AEFCEC998D7A}"/>
    <hyperlink ref="B2102" r:id="rId10" xr:uid="{3C5E991D-639B-4E7E-828B-9EA37AB27741}"/>
    <hyperlink ref="B2106" r:id="rId11" xr:uid="{B1027615-886C-474D-8FD7-9D410CA7B1E7}"/>
    <hyperlink ref="B2111" r:id="rId12" xr:uid="{33ECB2B6-01FC-4C3B-8584-DE9B42F93437}"/>
    <hyperlink ref="B2114" r:id="rId13" xr:uid="{62715F90-D457-47A5-BDB6-B2821BDCFFE8}"/>
    <hyperlink ref="B2123" r:id="rId14" xr:uid="{39B6AD36-6EDE-4F66-8281-14CB0900C2EA}"/>
    <hyperlink ref="B2117" r:id="rId15" xr:uid="{B2C4F22D-737B-4BE8-A387-3E40E56CC977}"/>
    <hyperlink ref="B2120" r:id="rId16" xr:uid="{D2211133-7065-4053-AC43-6EE0947DC8E7}"/>
    <hyperlink ref="B2134" r:id="rId17" xr:uid="{77C39CD0-976A-4377-89AE-BFC6DBF22855}"/>
    <hyperlink ref="B2131" r:id="rId18" xr:uid="{45A26C6D-B300-48E6-B5EA-4A7DCDDC6344}"/>
    <hyperlink ref="B2137" r:id="rId19" xr:uid="{CA442449-7009-47B0-A698-25629D0F6B78}"/>
    <hyperlink ref="B2164" r:id="rId20" xr:uid="{829F3186-1F93-4858-99C0-30CA0422ABC6}"/>
    <hyperlink ref="B2167" r:id="rId21" display="Aqua Penn (Year 3 of 5)" xr:uid="{14CB9004-8AB6-4413-B309-56247344ECE2}"/>
    <hyperlink ref="B2183" r:id="rId22" xr:uid="{1D1316B8-F26C-460D-ACE0-4E34AF530E0D}"/>
    <hyperlink ref="B1991" r:id="rId23" display="https://3850636.app.netsuite.com/app/common/search/searchresults.nl?searchtype=Transaction&amp;CF_Transaction_APPLIEDTOTRANSACTIONtype=ANYOF&amp;CF_Transaction_APPLIEDTOTRANSACTION=1109587&amp;detail=CF_Transaction_APPLIEDTOTRANSACTION&amp;detailname=Sales+Order+%23SO7449" xr:uid="{C8740F8A-547C-4300-BCE9-A0DB05B15EE0}"/>
    <hyperlink ref="B1992" r:id="rId24" display="https://3850636.app.netsuite.com/app/common/search/searchresults.nl?searchtype=Transaction&amp;CF_Transaction_APPLIEDTOTRANSACTIONtype=ANYOF&amp;CF_Transaction_APPLIEDTOTRANSACTION=1109587&amp;detail=CF_Transaction_APPLIEDTOTRANSACTION&amp;detailname=Sales+Order+%23SO7449" xr:uid="{B3AF012D-46DF-4B69-BAFC-FC60C11AAA91}"/>
    <hyperlink ref="B1994" r:id="rId25" display="https://3850636.app.netsuite.com/app/common/search/searchresults.nl?searchtype=Transaction&amp;CF_Transaction_APPLIEDTOTRANSACTIONtype=ANYOF&amp;CF_Transaction_APPLIEDTOTRANSACTION=1109587&amp;detail=CF_Transaction_APPLIEDTOTRANSACTION&amp;detailname=Sales+Order+%23SO7449" xr:uid="{BA6171FE-A59A-415C-8F22-FA63BEFCCF98}"/>
    <hyperlink ref="B2173" r:id="rId26" xr:uid="{B59DC6A2-A4D0-4588-805D-AFFF0A60234B}"/>
    <hyperlink ref="B2193" r:id="rId27" xr:uid="{3E562838-7BEF-4138-BF79-D3A6952D39A1}"/>
    <hyperlink ref="B2197" r:id="rId28" xr:uid="{E90919C8-F414-41C2-A720-2D83F91408B9}"/>
    <hyperlink ref="B2227" r:id="rId29" xr:uid="{3C725E95-57D1-4551-B63D-2047FF52DE5D}"/>
    <hyperlink ref="B2243" r:id="rId30" xr:uid="{07B86E78-3EA5-4C65-A4AA-9152BA748671}"/>
    <hyperlink ref="B2236" r:id="rId31" xr:uid="{C5D552D1-F0AD-4839-AEC0-58429B956F44}"/>
    <hyperlink ref="B2231" r:id="rId32" xr:uid="{0991B644-DAE8-4DAB-B7BB-65D7BED38A80}"/>
    <hyperlink ref="B2216" r:id="rId33" xr:uid="{72328EE8-7D19-441D-B550-959AFC3F94BE}"/>
    <hyperlink ref="B2212" r:id="rId34" xr:uid="{1BCD9C32-3E41-4EAF-9FE5-BC62B3D18305}"/>
    <hyperlink ref="B2200" r:id="rId35" xr:uid="{6C918B22-BAE8-4BE1-BF9F-5E4950E5DE0F}"/>
    <hyperlink ref="B2265" r:id="rId36" xr:uid="{2EB426CE-3690-4A5D-B74B-5F3D3A8D40E7}"/>
    <hyperlink ref="B2261" r:id="rId37" xr:uid="{C6FD9BEF-A8EE-41B0-B041-5229D3DE00FF}"/>
    <hyperlink ref="B2257" r:id="rId38" xr:uid="{19E67473-4C62-4A19-8D83-449774A4B241}"/>
    <hyperlink ref="B2250" r:id="rId39" xr:uid="{BF944FB8-D7F5-460B-82E4-43AD41CD1AA1}"/>
    <hyperlink ref="B2254" r:id="rId40" xr:uid="{3DE28484-574D-4631-B5B4-2257CD9498A1}"/>
    <hyperlink ref="B2246" r:id="rId41" xr:uid="{4CDADB0A-2D57-48E1-9C90-0A8A4F277102}"/>
  </hyperlinks>
  <printOptions gridLines="1"/>
  <pageMargins left="0.7" right="0.7" top="0.75" bottom="0.75" header="0.3" footer="0.3"/>
  <pageSetup scale="73" fitToHeight="0" orientation="landscape" r:id="rId42"/>
  <ignoredErrors>
    <ignoredError sqref="P226 R226:U226 W317 W332 W351 W359 P396 W387:W388 R396:V396 W399:W401 T406:V406 P406 P418 W409:W410 T418:V418 P443 W432:W435 R443:V443 P488 W481 R488:V488 P536 R536:U536 W531 P560 W539:W540 R560:W560 W569 W585 R596:W596 W591:W592 W549 W671:W673 W680 W704:AA705 W719:Z719 W707:AA708 X706:AA706 W710:AA712 X709:AA709 W718:AA718 X717:AA717 W714:AA716 X713:AA713 X720:Z720 W744 W747 W750 W753:W755 W757 W760 W763 W765:Z767 W769:W770 W775 W779:W780 W783:W784 W787 W790 W799 W802:W803 W806 W809:W810 W813 W816:W818 W820 W823 W832 W826:W827 W829:W830 W836 W839 W843 W845:W848 W860:W863 W870:W872 W874:W881 W887:X888 Z887:Z888 W891:W892 W895:W896 W899 W902:W904 W907 W910 W913 W916:W917 W920 W923:W925 W927:W929 W932:W934 W938:W942 W945:W946 W949:W950 W953:W954 W965:W966 W969 W972 W975 W978:W979 W982 W988 W994:W995 W998 W1001:W1002 W1011:W1015 W1005 W1009 W1018:W1019 W1022 W1025 W1028 W1031:W1032 W1035 W1040:W1041 W1043:W1044 W1047 W1050:W1053 W1055:W1059 W1062:W1063 W1066 W1080:W1081 W1073:W1074 W1076:W1077 W1083:W1084 W1087 W1090 W1093 W1069:W1070 W1100 W1096:W1097 W1103 W1106:W1107 W1110:W1115 W1117:W1122 W1135:W1136 W1139:W1140 W1143:W1144 W1147 W1150 W1153 W1158:W1161 W1166 W1169:W1173 W1176:W1178 W1181 W1184 W1187:W1188 W1191:W1192 W1195 W1199 W1203 W1206 W1209 W1212:W1213 W1216:W1217 W1226:W1227 X1232:Z1232 W1230:X1231 Z1230:Z1231 W1234:W1238 W1241:AA1242 X1244:AA1244 W1246 W1249:W1250 W1253:W1257 W1259 W1264:W1276 W1279:W1280 W1286:W1287 W1283 W1294 W1290:W1291 W1297:W1298 W1301:AA1302 X1303:AA1303 W1305:W1309 W1311:W1315 W1318 W1324:W1326 W1329:W1331 W1334 W1338:W1339 W1341:W1343 W1346 S1347:V1347 W1360 W1364 W1349:W1351 W1354:W1355 W1357 W1377:W1378 W1383 W1395:W1397 W1400:W1405 W1408:W1409 W1412 W1415 W1418 W1429 W1431 W1437:W1441 W1444:W1445 W1448 W1451 W1454 W1457:W1458 W1461 W1464:W1465 W1468 W1471 W1475:W1479 W1482:W1488 W1491 W1497 W1494 W1500 W1505 W1507:W1512 W1515:W1517 W1519:W1524 W1527 W1530 W1533 W1546:W1547 W1542:W1543 W1536 W1539 W1556 W1563 W1566:W1571 W1577 W1574 W1580:W1581 W1584 W1560 W1587:W1588 W1596:W1600 W1602:W1604 W1606 W1592:W1593 W1609:W1610 W1613:W1614 W1621:W1622 W1617:W1618 W1625 W1628:W1630 W1633:W1635 W1638:W1639 W1261:W1263 W1642:W1644 W1647 W1650:W1651 W1654:W1655 W1658 W1661 W1664:W1668 W1670:W1674 W1676:W1677 W1680 W1686 W1683 W1689 W1692 W1695 W1698 W1701 W1704:W1705 W1717 W1718:W1719 W1722:W1723 W1726 W1729 W1732 W1735:W1736 W1739:AC1742 X1743:AC1743 W1749:W1750 W1745:W1746 W1753:W1756 W1758:W1760 W1762 W1369:W1371 W1765 W1772 W1768:W1769 W1775 W1779 W1781 W1782:W1785 W1801:W1802 W1788:W1789 W1792:W1793 W1796:W1797 W1804 W1243 W1811 W1807:W1808 W1374 W1814 W1817:W1820 W1825 W1831 W1828 W1839:W1840 W1834:W1836 W1843 W1846 W1849 W1858 W1855 W1852 W1861 W1864 W1867:W1868 W1871 W1874:W1884 W1887 W1890 W1893:W1897 W1900:W1901 W1904 W1913:W1914 W1907 W1910 W1920:W1929 W1938 W1942:W1943 W1944:W1947 W1950 W1953 W1985 W1988:W1995 W1956 W1959 W1962 W1968 W1965 W1971 W1974 W1975:W1976 W1979 W1982:AB1983 W2000 W2004:W2008 W2011:W2012 W2024 W2030 W2034 W1997 W2040 W2044:W2046 W2069 W2070:W2071 W2074:W2077 W2080 W2083 W2086:W2087 W2090:W2091 W2094:W2095 W2050 W2098:W2099 W2102:W2103 W2106:W2108 W2111 W2114 W2117 W2128 W2131 W2134 W2120 W2137 W2140 W2144 W2146:W2147 W2152 W2156:W2161 W2164 W2167:W2170 W2176:Y2176 W2175 W2177:W2180 W2190 W2193:W2194 W2197 W2216:W2224 W2200:W2213 W2227:W2228 W2235 W2239:W2243 W2231 W2236:W2237 W2246:W2247 W2250:W2251 W2254 W2257:W2258 W2261:W2262 W2267:W2268 W2266 W2269:W2270" formulaRange="1"/>
    <ignoredError sqref="W271:AA271 S347 W347 W391 W403 W414 AC412 Y421 Y424 Y427 Y430:Y431 W436 W442 W484 W533:W535 W546 AC568 W565 W568 W586 W589 AC590 W601 W619 W629 W632 W655 W675 W764 Y776 W771 Y904 W926 W937 W963 O1033 O1016:O1020 O1036 W1039 M1039:O1039 O1045 O1048 N1054 O1060 O1074 O1085 O1078 O1064 O1071 O1098 O1108 W1116 O1137 O1141 X1118 O1145 N1157:P1157 O1164 W1157 O1171 O1189 O1193 AA1200 O1214 O1218 O1228 O1232 O1244 N1260:P1260 O1277 W1260 Y1267:AA1267 Y1272:AA1272 O1281 O1284 O1288 O1295 O1299 O1303 W1310 O1310:O1316 N1310 N1323:O1323 O1332 N1340:O1340 Y1340 O1347 N1353:O1353 O1358 N1368:O1368 W1353 W1368 Y1368 Y1363 AA1363 AA1352 AA1357 AA1243 O1379 O1398 O1410 N1428:O1428 O1432 W1428 Y1390 W1436 Y1437 N1436:O1436 O1442 O1446 O1459 O1466 O897 O1480 O1489 N1506:O1506 W1506 O1513 N1518:O1518 O1525 W1518 O1528 O1531 O1534 O1548 O1544 O1537 O1540 N1010 N1555:O1555 O1558 W1555 O1561 O1564 O1572 O1575 O1582 O1594 O1589 O1611 O1615 O1619 O1623 O1626 O1631 O1636 O1640 AC1267 AC1272 O1645 O1662 O1659 O1656 O1652 O1678 O1681 N1669 O1687 O1684 O1690 O1693 O1699 O1696 O1706 O1737 O1724 O1743 O1747 O1751 N1757:O1757 Y1757:AA1757 O1763 O1770 O1786 N1780:O1780 O1805 O1790 O1794 O1798 O1809 O1812 O1375 O1837 O1826 O1818 O1815 O1832 O1844 O1847 O1850 O1862:O1865 O1885 O1908:O1911 O1936 L1929 O1948 O1951 O1954 O1998 O1957 O1960 O1963 O1969 O1972 O1966 O1980 O1977 M601:N601 O1983 O2001 O2009 O2013 O2026 O2032 O2067 P2051 Q2051:W2051 N2051:O2051 O2078 O2081 O2084 O2088 O2092 O2096 O2100 O2104 O2109 O2129 O2150 O2162 O2171 O2181 O2191 O2195 O2210 O2214 O2225 O2229 O2248:O2263 O2241 O2271" formula="1"/>
    <ignoredError sqref="W355 Y763 Y1353:Y1356" evalError="1"/>
    <ignoredError sqref="W356:W357 Y1230:Y1231 AA1230:AA1231 AA1232" evalError="1" formulaRange="1"/>
    <ignoredError sqref="W772:W773 W791 W792:W796 W844 W873 W964 W983 W984:W985 W1010 W1054 W1601 W1669 W1757 W1821:W1824 X2175:Y2175" formula="1" formulaRange="1"/>
    <ignoredError sqref="G870 G1917:G1925" numberStoredAsText="1"/>
  </ignoredErrors>
  <legacyDrawing r:id="rId4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8461E-43B1-48E8-BD4B-B25B64EA6C92}">
  <sheetPr>
    <tabColor theme="5"/>
  </sheetPr>
  <dimension ref="A1:U1383"/>
  <sheetViews>
    <sheetView zoomScale="130" zoomScaleNormal="130" workbookViewId="0">
      <pane xSplit="2" ySplit="3" topLeftCell="C49" activePane="bottomRight" state="frozen"/>
      <selection pane="topRight" activeCell="C1" sqref="C1"/>
      <selection pane="bottomLeft" activeCell="A4" sqref="A4"/>
      <selection pane="bottomRight" activeCell="B55" sqref="B55"/>
    </sheetView>
  </sheetViews>
  <sheetFormatPr baseColWidth="10" defaultColWidth="9.1640625" defaultRowHeight="11" x14ac:dyDescent="0.15"/>
  <cols>
    <col min="1" max="1" width="9.1640625" style="110"/>
    <col min="2" max="2" width="21.5" style="111" bestFit="1" customWidth="1"/>
    <col min="3" max="3" width="9.83203125" style="110" bestFit="1" customWidth="1"/>
    <col min="4" max="4" width="10.5" style="110" customWidth="1"/>
    <col min="5" max="7" width="11.1640625" style="110" bestFit="1" customWidth="1"/>
    <col min="8" max="8" width="2.5" style="143" customWidth="1"/>
    <col min="9" max="9" width="9.1640625" style="110"/>
    <col min="10" max="14" width="10.5" style="110" customWidth="1"/>
    <col min="15" max="15" width="2.5" style="143" customWidth="1"/>
    <col min="16" max="16" width="9.1640625" style="110"/>
    <col min="17" max="21" width="10.5" style="110" customWidth="1"/>
    <col min="22" max="16384" width="9.1640625" style="110"/>
  </cols>
  <sheetData>
    <row r="1" spans="1:21" x14ac:dyDescent="0.15">
      <c r="A1" s="284" t="s">
        <v>175</v>
      </c>
    </row>
    <row r="2" spans="1:21" x14ac:dyDescent="0.15">
      <c r="C2" s="314">
        <f>SUM(C4:C96)</f>
        <v>936076.39</v>
      </c>
      <c r="D2" s="314">
        <f>SUM(D4:D96)</f>
        <v>846560.67599999998</v>
      </c>
      <c r="E2" s="314">
        <f>SUM(E4:E96)</f>
        <v>1190946.9920000001</v>
      </c>
      <c r="F2" s="314">
        <f>SUM(F4:F96)</f>
        <v>1441605.3533333333</v>
      </c>
      <c r="G2" s="314">
        <f>SUM(G4:G96)</f>
        <v>1336147.92</v>
      </c>
      <c r="J2" s="314">
        <f>SUM(J4:J96)</f>
        <v>207210.08</v>
      </c>
      <c r="K2" s="314">
        <f>SUM(K4:K96)</f>
        <v>187490.49</v>
      </c>
      <c r="L2" s="314">
        <f>SUM(L4:L96)</f>
        <v>236679.48999999996</v>
      </c>
      <c r="M2" s="314">
        <f>SUM(M4:M96)</f>
        <v>321230.19499999989</v>
      </c>
      <c r="N2" s="314">
        <f>SUM(N4:N96)</f>
        <v>293678.83</v>
      </c>
      <c r="Q2" s="119">
        <f>IFERROR((C2-J2)/C2," - ")</f>
        <v>0.77863977532859263</v>
      </c>
      <c r="R2" s="119">
        <f>IFERROR((D2-K2)/D2," - ")</f>
        <v>0.77852681406618984</v>
      </c>
      <c r="S2" s="119">
        <f t="shared" ref="S2" si="0">IFERROR((E2-L2)/E2," - ")</f>
        <v>0.8012678216664072</v>
      </c>
      <c r="T2" s="119">
        <f>IFERROR((F2-M2)/F2," - ")</f>
        <v>0.77717189086649863</v>
      </c>
      <c r="U2" s="119">
        <f t="shared" ref="U2" si="1">IFERROR((G2-N2)/G2," - ")</f>
        <v>0.78020485186999344</v>
      </c>
    </row>
    <row r="3" spans="1:21" x14ac:dyDescent="0.15">
      <c r="A3" s="283" t="s">
        <v>990</v>
      </c>
      <c r="B3" s="285" t="s">
        <v>991</v>
      </c>
      <c r="C3" s="282">
        <v>2021</v>
      </c>
      <c r="D3" s="282">
        <f>C3+1</f>
        <v>2022</v>
      </c>
      <c r="E3" s="282">
        <f t="shared" ref="E3:G3" si="2">D3+1</f>
        <v>2023</v>
      </c>
      <c r="F3" s="282">
        <f t="shared" si="2"/>
        <v>2024</v>
      </c>
      <c r="G3" s="282">
        <f t="shared" si="2"/>
        <v>2025</v>
      </c>
      <c r="I3" s="283" t="s">
        <v>4</v>
      </c>
      <c r="J3" s="282">
        <v>2021</v>
      </c>
      <c r="K3" s="282">
        <f>J3+1</f>
        <v>2022</v>
      </c>
      <c r="L3" s="282">
        <f t="shared" ref="L3:N3" si="3">K3+1</f>
        <v>2023</v>
      </c>
      <c r="M3" s="282">
        <f t="shared" si="3"/>
        <v>2024</v>
      </c>
      <c r="N3" s="282">
        <f t="shared" si="3"/>
        <v>2025</v>
      </c>
      <c r="P3" s="283" t="s">
        <v>992</v>
      </c>
      <c r="Q3" s="282">
        <v>2021</v>
      </c>
      <c r="R3" s="282">
        <f>Q3+1</f>
        <v>2022</v>
      </c>
      <c r="S3" s="282">
        <f t="shared" ref="S3:U3" si="4">R3+1</f>
        <v>2023</v>
      </c>
      <c r="T3" s="282">
        <f t="shared" si="4"/>
        <v>2024</v>
      </c>
      <c r="U3" s="282">
        <f t="shared" si="4"/>
        <v>2025</v>
      </c>
    </row>
    <row r="4" spans="1:21" x14ac:dyDescent="0.15">
      <c r="B4" s="54" t="s">
        <v>195</v>
      </c>
      <c r="C4" s="121">
        <f>SUMIFS('TB &amp; MCC Cost Audit 2020-Curren'!$P:$P,'TB &amp; MCC Cost Audit 2020-Curren'!$C:$C,'MCC Margin Analysis'!$A$1,'TB &amp; MCC Cost Audit 2020-Curren'!$D:$D,'MCC Margin Analysis'!C$3,'TB &amp; MCC Cost Audit 2020-Curren'!$A:$A,'MCC Margin Analysis'!$B4)</f>
        <v>40676</v>
      </c>
      <c r="D4" s="121">
        <f>SUMIFS('TB &amp; MCC Cost Audit 2020-Curren'!$P:$P,'TB &amp; MCC Cost Audit 2020-Curren'!$C:$C,'MCC Margin Analysis'!$A$1,'TB &amp; MCC Cost Audit 2020-Curren'!$D:$D,'MCC Margin Analysis'!D$3,'TB &amp; MCC Cost Audit 2020-Curren'!$A:$A,'MCC Margin Analysis'!$B4)</f>
        <v>31320</v>
      </c>
      <c r="E4" s="121">
        <f>SUMIFS('TB &amp; MCC Cost Audit 2020-Curren'!$P:$P,'TB &amp; MCC Cost Audit 2020-Curren'!$C:$C,'MCC Margin Analysis'!$A$1,'TB &amp; MCC Cost Audit 2020-Curren'!$D:$D,'MCC Margin Analysis'!E$3,'TB &amp; MCC Cost Audit 2020-Curren'!$A:$A,'MCC Margin Analysis'!$B4)</f>
        <v>31946</v>
      </c>
      <c r="F4" s="121">
        <f>SUMIFS('TB &amp; MCC Cost Audit 2020-Curren'!$P:$P,'TB &amp; MCC Cost Audit 2020-Curren'!$C:$C,'MCC Margin Analysis'!$A$1,'TB &amp; MCC Cost Audit 2020-Curren'!$D:$D,'MCC Margin Analysis'!F$3,'TB &amp; MCC Cost Audit 2020-Curren'!$A:$A,'MCC Margin Analysis'!$B4)</f>
        <v>32584</v>
      </c>
      <c r="G4" s="121">
        <f>SUMIFS('TB &amp; MCC Cost Audit 2020-Curren'!$P:$P,'TB &amp; MCC Cost Audit 2020-Curren'!$C:$C,'MCC Margin Analysis'!$A$1,'TB &amp; MCC Cost Audit 2020-Curren'!$D:$D,'MCC Margin Analysis'!G$3,'TB &amp; MCC Cost Audit 2020-Curren'!$A:$A,'MCC Margin Analysis'!$B4)</f>
        <v>33236</v>
      </c>
      <c r="J4" s="121">
        <f>SUMIFS('TB &amp; MCC Cost Audit 2020-Curren'!$W:$W,'TB &amp; MCC Cost Audit 2020-Curren'!$C:$C,'MCC Margin Analysis'!$A$1,'TB &amp; MCC Cost Audit 2020-Curren'!$D:$D,'MCC Margin Analysis'!J$3,'TB &amp; MCC Cost Audit 2020-Curren'!$A:$A,'MCC Margin Analysis'!$B4)</f>
        <v>8509.5</v>
      </c>
      <c r="K4" s="121">
        <f>SUMIFS('TB &amp; MCC Cost Audit 2020-Curren'!$W:$W,'TB &amp; MCC Cost Audit 2020-Curren'!$C:$C,'MCC Margin Analysis'!$A$1,'TB &amp; MCC Cost Audit 2020-Curren'!$D:$D,'MCC Margin Analysis'!K$3,'TB &amp; MCC Cost Audit 2020-Curren'!$A:$A,'MCC Margin Analysis'!$B4)</f>
        <v>4654.75</v>
      </c>
      <c r="L4" s="121">
        <f>SUMIFS('TB &amp; MCC Cost Audit 2020-Curren'!$W:$W,'TB &amp; MCC Cost Audit 2020-Curren'!$C:$C,'MCC Margin Analysis'!$A$1,'TB &amp; MCC Cost Audit 2020-Curren'!$D:$D,'MCC Margin Analysis'!L$3,'TB &amp; MCC Cost Audit 2020-Curren'!$A:$A,'MCC Margin Analysis'!$B4)</f>
        <v>4572.8099999999995</v>
      </c>
      <c r="M4" s="121">
        <f>SUMIFS('TB &amp; MCC Cost Audit 2020-Curren'!$W:$W,'TB &amp; MCC Cost Audit 2020-Curren'!$C:$C,'MCC Margin Analysis'!$A$1,'TB &amp; MCC Cost Audit 2020-Curren'!$D:$D,'MCC Margin Analysis'!M$3,'TB &amp; MCC Cost Audit 2020-Curren'!$A:$A,'MCC Margin Analysis'!$B4)</f>
        <v>4543.0599999999995</v>
      </c>
      <c r="N4" s="121">
        <f>SUMIFS('TB &amp; MCC Cost Audit 2020-Curren'!$W:$W,'TB &amp; MCC Cost Audit 2020-Curren'!$C:$C,'MCC Margin Analysis'!$A$1,'TB &amp; MCC Cost Audit 2020-Curren'!$D:$D,'MCC Margin Analysis'!N$3,'TB &amp; MCC Cost Audit 2020-Curren'!$A:$A,'MCC Margin Analysis'!$B4)</f>
        <v>6316.4099999999989</v>
      </c>
      <c r="Q4" s="119">
        <f t="shared" ref="Q4:Q35" si="5">IFERROR((C4-J4)/C4," - ")</f>
        <v>0.79079801357065593</v>
      </c>
      <c r="R4" s="119">
        <f t="shared" ref="R4:R35" si="6">IFERROR((D4-K4)/D4," - ")</f>
        <v>0.85138090676883782</v>
      </c>
      <c r="S4" s="119">
        <f t="shared" ref="S4:S35" si="7">IFERROR((E4-L4)/E4," - ")</f>
        <v>0.85685813560383151</v>
      </c>
      <c r="T4" s="119">
        <f t="shared" ref="T4:T35" si="8">IFERROR((F4-M4)/F4," - ")</f>
        <v>0.86057390130125222</v>
      </c>
      <c r="U4" s="119">
        <f t="shared" ref="U4:U35" si="9">IFERROR((G4-N4)/G4," - ")</f>
        <v>0.80995276206523048</v>
      </c>
    </row>
    <row r="5" spans="1:21" x14ac:dyDescent="0.15">
      <c r="B5" s="54" t="s">
        <v>798</v>
      </c>
      <c r="C5" s="121">
        <f>SUMIFS('TB &amp; MCC Cost Audit 2020-Curren'!$P:$P,'TB &amp; MCC Cost Audit 2020-Curren'!$C:$C,'MCC Margin Analysis'!$A$1,'TB &amp; MCC Cost Audit 2020-Curren'!$D:$D,'MCC Margin Analysis'!C$3,'TB &amp; MCC Cost Audit 2020-Curren'!$A:$A,'MCC Margin Analysis'!$B5)</f>
        <v>0</v>
      </c>
      <c r="D5" s="121">
        <f>SUMIFS('TB &amp; MCC Cost Audit 2020-Curren'!$P:$P,'TB &amp; MCC Cost Audit 2020-Curren'!$C:$C,'MCC Margin Analysis'!$A$1,'TB &amp; MCC Cost Audit 2020-Curren'!$D:$D,'MCC Margin Analysis'!D$3,'TB &amp; MCC Cost Audit 2020-Curren'!$A:$A,'MCC Margin Analysis'!$B5)</f>
        <v>0</v>
      </c>
      <c r="E5" s="121">
        <f>SUMIFS('TB &amp; MCC Cost Audit 2020-Curren'!$P:$P,'TB &amp; MCC Cost Audit 2020-Curren'!$C:$C,'MCC Margin Analysis'!$A$1,'TB &amp; MCC Cost Audit 2020-Curren'!$D:$D,'MCC Margin Analysis'!E$3,'TB &amp; MCC Cost Audit 2020-Curren'!$A:$A,'MCC Margin Analysis'!$B5)</f>
        <v>0</v>
      </c>
      <c r="F5" s="121">
        <f>SUMIFS('TB &amp; MCC Cost Audit 2020-Curren'!$P:$P,'TB &amp; MCC Cost Audit 2020-Curren'!$C:$C,'MCC Margin Analysis'!$A$1,'TB &amp; MCC Cost Audit 2020-Curren'!$D:$D,'MCC Margin Analysis'!F$3,'TB &amp; MCC Cost Audit 2020-Curren'!$A:$A,'MCC Margin Analysis'!$B5)</f>
        <v>0</v>
      </c>
      <c r="G5" s="121">
        <f>SUMIFS('TB &amp; MCC Cost Audit 2020-Curren'!$P:$P,'TB &amp; MCC Cost Audit 2020-Curren'!$C:$C,'MCC Margin Analysis'!$A$1,'TB &amp; MCC Cost Audit 2020-Curren'!$D:$D,'MCC Margin Analysis'!G$3,'TB &amp; MCC Cost Audit 2020-Curren'!$A:$A,'MCC Margin Analysis'!$B5)</f>
        <v>0</v>
      </c>
      <c r="J5" s="121">
        <f>SUMIFS('TB &amp; MCC Cost Audit 2020-Curren'!$W:$W,'TB &amp; MCC Cost Audit 2020-Curren'!$C:$C,'MCC Margin Analysis'!$A$1,'TB &amp; MCC Cost Audit 2020-Curren'!$D:$D,'MCC Margin Analysis'!J$3,'TB &amp; MCC Cost Audit 2020-Curren'!$A:$A,'MCC Margin Analysis'!$B5)</f>
        <v>0</v>
      </c>
      <c r="K5" s="121">
        <f>SUMIFS('TB &amp; MCC Cost Audit 2020-Curren'!$W:$W,'TB &amp; MCC Cost Audit 2020-Curren'!$C:$C,'MCC Margin Analysis'!$A$1,'TB &amp; MCC Cost Audit 2020-Curren'!$D:$D,'MCC Margin Analysis'!K$3,'TB &amp; MCC Cost Audit 2020-Curren'!$A:$A,'MCC Margin Analysis'!$B5)</f>
        <v>0</v>
      </c>
      <c r="L5" s="121">
        <f>SUMIFS('TB &amp; MCC Cost Audit 2020-Curren'!$W:$W,'TB &amp; MCC Cost Audit 2020-Curren'!$C:$C,'MCC Margin Analysis'!$A$1,'TB &amp; MCC Cost Audit 2020-Curren'!$D:$D,'MCC Margin Analysis'!L$3,'TB &amp; MCC Cost Audit 2020-Curren'!$A:$A,'MCC Margin Analysis'!$B5)</f>
        <v>0</v>
      </c>
      <c r="M5" s="121">
        <f>SUMIFS('TB &amp; MCC Cost Audit 2020-Curren'!$W:$W,'TB &amp; MCC Cost Audit 2020-Curren'!$C:$C,'MCC Margin Analysis'!$A$1,'TB &amp; MCC Cost Audit 2020-Curren'!$D:$D,'MCC Margin Analysis'!M$3,'TB &amp; MCC Cost Audit 2020-Curren'!$A:$A,'MCC Margin Analysis'!$B5)</f>
        <v>0</v>
      </c>
      <c r="N5" s="121">
        <f>SUMIFS('TB &amp; MCC Cost Audit 2020-Curren'!$W:$W,'TB &amp; MCC Cost Audit 2020-Curren'!$C:$C,'MCC Margin Analysis'!$A$1,'TB &amp; MCC Cost Audit 2020-Curren'!$D:$D,'MCC Margin Analysis'!N$3,'TB &amp; MCC Cost Audit 2020-Curren'!$A:$A,'MCC Margin Analysis'!$B5)</f>
        <v>0</v>
      </c>
      <c r="Q5" s="119" t="str">
        <f t="shared" si="5"/>
        <v xml:space="preserve"> - </v>
      </c>
      <c r="R5" s="119" t="str">
        <f t="shared" si="6"/>
        <v xml:space="preserve"> - </v>
      </c>
      <c r="S5" s="119" t="str">
        <f t="shared" si="7"/>
        <v xml:space="preserve"> - </v>
      </c>
      <c r="T5" s="119" t="str">
        <f t="shared" si="8"/>
        <v xml:space="preserve"> - </v>
      </c>
      <c r="U5" s="119" t="str">
        <f t="shared" si="9"/>
        <v xml:space="preserve"> - </v>
      </c>
    </row>
    <row r="6" spans="1:21" x14ac:dyDescent="0.15">
      <c r="B6" s="54" t="s">
        <v>409</v>
      </c>
      <c r="C6" s="121">
        <f>SUMIFS('TB &amp; MCC Cost Audit 2020-Curren'!$P:$P,'TB &amp; MCC Cost Audit 2020-Curren'!$C:$C,'MCC Margin Analysis'!$A$1,'TB &amp; MCC Cost Audit 2020-Curren'!$D:$D,'MCC Margin Analysis'!C$3,'TB &amp; MCC Cost Audit 2020-Curren'!$A:$A,'MCC Margin Analysis'!$B6)</f>
        <v>0</v>
      </c>
      <c r="D6" s="121">
        <f>SUMIFS('TB &amp; MCC Cost Audit 2020-Curren'!$P:$P,'TB &amp; MCC Cost Audit 2020-Curren'!$C:$C,'MCC Margin Analysis'!$A$1,'TB &amp; MCC Cost Audit 2020-Curren'!$D:$D,'MCC Margin Analysis'!D$3,'TB &amp; MCC Cost Audit 2020-Curren'!$A:$A,'MCC Margin Analysis'!$B6)</f>
        <v>0</v>
      </c>
      <c r="E6" s="121">
        <f>SUMIFS('TB &amp; MCC Cost Audit 2020-Curren'!$P:$P,'TB &amp; MCC Cost Audit 2020-Curren'!$C:$C,'MCC Margin Analysis'!$A$1,'TB &amp; MCC Cost Audit 2020-Curren'!$D:$D,'MCC Margin Analysis'!E$3,'TB &amp; MCC Cost Audit 2020-Curren'!$A:$A,'MCC Margin Analysis'!$B6)</f>
        <v>9680</v>
      </c>
      <c r="F6" s="121">
        <f>SUMIFS('TB &amp; MCC Cost Audit 2020-Curren'!$P:$P,'TB &amp; MCC Cost Audit 2020-Curren'!$C:$C,'MCC Margin Analysis'!$A$1,'TB &amp; MCC Cost Audit 2020-Curren'!$D:$D,'MCC Margin Analysis'!F$3,'TB &amp; MCC Cost Audit 2020-Curren'!$A:$A,'MCC Margin Analysis'!$B6)</f>
        <v>9680</v>
      </c>
      <c r="G6" s="121">
        <f>SUMIFS('TB &amp; MCC Cost Audit 2020-Curren'!$P:$P,'TB &amp; MCC Cost Audit 2020-Curren'!$C:$C,'MCC Margin Analysis'!$A$1,'TB &amp; MCC Cost Audit 2020-Curren'!$D:$D,'MCC Margin Analysis'!G$3,'TB &amp; MCC Cost Audit 2020-Curren'!$A:$A,'MCC Margin Analysis'!$B6)</f>
        <v>9680</v>
      </c>
      <c r="J6" s="121">
        <f>SUMIFS('TB &amp; MCC Cost Audit 2020-Curren'!$W:$W,'TB &amp; MCC Cost Audit 2020-Curren'!$C:$C,'MCC Margin Analysis'!$A$1,'TB &amp; MCC Cost Audit 2020-Curren'!$D:$D,'MCC Margin Analysis'!J$3,'TB &amp; MCC Cost Audit 2020-Curren'!$A:$A,'MCC Margin Analysis'!$B6)</f>
        <v>0</v>
      </c>
      <c r="K6" s="121">
        <f>SUMIFS('TB &amp; MCC Cost Audit 2020-Curren'!$W:$W,'TB &amp; MCC Cost Audit 2020-Curren'!$C:$C,'MCC Margin Analysis'!$A$1,'TB &amp; MCC Cost Audit 2020-Curren'!$D:$D,'MCC Margin Analysis'!K$3,'TB &amp; MCC Cost Audit 2020-Curren'!$A:$A,'MCC Margin Analysis'!$B6)</f>
        <v>0</v>
      </c>
      <c r="L6" s="121">
        <f>SUMIFS('TB &amp; MCC Cost Audit 2020-Curren'!$W:$W,'TB &amp; MCC Cost Audit 2020-Curren'!$C:$C,'MCC Margin Analysis'!$A$1,'TB &amp; MCC Cost Audit 2020-Curren'!$D:$D,'MCC Margin Analysis'!L$3,'TB &amp; MCC Cost Audit 2020-Curren'!$A:$A,'MCC Margin Analysis'!$B6)</f>
        <v>3069</v>
      </c>
      <c r="M6" s="121">
        <f>SUMIFS('TB &amp; MCC Cost Audit 2020-Curren'!$W:$W,'TB &amp; MCC Cost Audit 2020-Curren'!$C:$C,'MCC Margin Analysis'!$A$1,'TB &amp; MCC Cost Audit 2020-Curren'!$D:$D,'MCC Margin Analysis'!M$3,'TB &amp; MCC Cost Audit 2020-Curren'!$A:$A,'MCC Margin Analysis'!$B6)</f>
        <v>2866.47</v>
      </c>
      <c r="N6" s="121">
        <f>SUMIFS('TB &amp; MCC Cost Audit 2020-Curren'!$W:$W,'TB &amp; MCC Cost Audit 2020-Curren'!$C:$C,'MCC Margin Analysis'!$A$1,'TB &amp; MCC Cost Audit 2020-Curren'!$D:$D,'MCC Margin Analysis'!N$3,'TB &amp; MCC Cost Audit 2020-Curren'!$A:$A,'MCC Margin Analysis'!$B6)</f>
        <v>4077.37</v>
      </c>
      <c r="Q6" s="119" t="str">
        <f t="shared" si="5"/>
        <v xml:space="preserve"> - </v>
      </c>
      <c r="R6" s="119" t="str">
        <f t="shared" si="6"/>
        <v xml:space="preserve"> - </v>
      </c>
      <c r="S6" s="119">
        <f t="shared" si="7"/>
        <v>0.68295454545454548</v>
      </c>
      <c r="T6" s="119">
        <f t="shared" si="8"/>
        <v>0.70387706611570255</v>
      </c>
      <c r="U6" s="119">
        <f t="shared" si="9"/>
        <v>0.57878409090909089</v>
      </c>
    </row>
    <row r="7" spans="1:21" x14ac:dyDescent="0.15">
      <c r="B7" s="54" t="s">
        <v>147</v>
      </c>
      <c r="C7" s="121">
        <f>SUMIFS('TB &amp; MCC Cost Audit 2020-Curren'!$P:$P,'TB &amp; MCC Cost Audit 2020-Curren'!$C:$C,'MCC Margin Analysis'!$A$1,'TB &amp; MCC Cost Audit 2020-Curren'!$D:$D,'MCC Margin Analysis'!C$3,'TB &amp; MCC Cost Audit 2020-Curren'!$A:$A,'MCC Margin Analysis'!$B7)</f>
        <v>0</v>
      </c>
      <c r="D7" s="121">
        <f>SUMIFS('TB &amp; MCC Cost Audit 2020-Curren'!$P:$P,'TB &amp; MCC Cost Audit 2020-Curren'!$C:$C,'MCC Margin Analysis'!$A$1,'TB &amp; MCC Cost Audit 2020-Curren'!$D:$D,'MCC Margin Analysis'!D$3,'TB &amp; MCC Cost Audit 2020-Curren'!$A:$A,'MCC Margin Analysis'!$B7)</f>
        <v>9353</v>
      </c>
      <c r="E7" s="121">
        <f>SUMIFS('TB &amp; MCC Cost Audit 2020-Curren'!$P:$P,'TB &amp; MCC Cost Audit 2020-Curren'!$C:$C,'MCC Margin Analysis'!$A$1,'TB &amp; MCC Cost Audit 2020-Curren'!$D:$D,'MCC Margin Analysis'!E$3,'TB &amp; MCC Cost Audit 2020-Curren'!$A:$A,'MCC Margin Analysis'!$B7)</f>
        <v>9353</v>
      </c>
      <c r="F7" s="121">
        <f>SUMIFS('TB &amp; MCC Cost Audit 2020-Curren'!$P:$P,'TB &amp; MCC Cost Audit 2020-Curren'!$C:$C,'MCC Margin Analysis'!$A$1,'TB &amp; MCC Cost Audit 2020-Curren'!$D:$D,'MCC Margin Analysis'!F$3,'TB &amp; MCC Cost Audit 2020-Curren'!$A:$A,'MCC Margin Analysis'!$B7)</f>
        <v>9353</v>
      </c>
      <c r="G7" s="121">
        <f>SUMIFS('TB &amp; MCC Cost Audit 2020-Curren'!$P:$P,'TB &amp; MCC Cost Audit 2020-Curren'!$C:$C,'MCC Margin Analysis'!$A$1,'TB &amp; MCC Cost Audit 2020-Curren'!$D:$D,'MCC Margin Analysis'!G$3,'TB &amp; MCC Cost Audit 2020-Curren'!$A:$A,'MCC Margin Analysis'!$B7)</f>
        <v>9353</v>
      </c>
      <c r="J7" s="121">
        <f>SUMIFS('TB &amp; MCC Cost Audit 2020-Curren'!$W:$W,'TB &amp; MCC Cost Audit 2020-Curren'!$C:$C,'MCC Margin Analysis'!$A$1,'TB &amp; MCC Cost Audit 2020-Curren'!$D:$D,'MCC Margin Analysis'!J$3,'TB &amp; MCC Cost Audit 2020-Curren'!$A:$A,'MCC Margin Analysis'!$B7)</f>
        <v>0</v>
      </c>
      <c r="K7" s="121">
        <f>SUMIFS('TB &amp; MCC Cost Audit 2020-Curren'!$W:$W,'TB &amp; MCC Cost Audit 2020-Curren'!$C:$C,'MCC Margin Analysis'!$A$1,'TB &amp; MCC Cost Audit 2020-Curren'!$D:$D,'MCC Margin Analysis'!K$3,'TB &amp; MCC Cost Audit 2020-Curren'!$A:$A,'MCC Margin Analysis'!$B7)</f>
        <v>4420.05</v>
      </c>
      <c r="L7" s="121">
        <f>SUMIFS('TB &amp; MCC Cost Audit 2020-Curren'!$W:$W,'TB &amp; MCC Cost Audit 2020-Curren'!$C:$C,'MCC Margin Analysis'!$A$1,'TB &amp; MCC Cost Audit 2020-Curren'!$D:$D,'MCC Margin Analysis'!L$3,'TB &amp; MCC Cost Audit 2020-Curren'!$A:$A,'MCC Margin Analysis'!$B7)</f>
        <v>3609.59</v>
      </c>
      <c r="M7" s="121">
        <f>SUMIFS('TB &amp; MCC Cost Audit 2020-Curren'!$W:$W,'TB &amp; MCC Cost Audit 2020-Curren'!$C:$C,'MCC Margin Analysis'!$A$1,'TB &amp; MCC Cost Audit 2020-Curren'!$D:$D,'MCC Margin Analysis'!M$3,'TB &amp; MCC Cost Audit 2020-Curren'!$A:$A,'MCC Margin Analysis'!$B7)</f>
        <v>2346.39</v>
      </c>
      <c r="N7" s="121">
        <f>SUMIFS('TB &amp; MCC Cost Audit 2020-Curren'!$W:$W,'TB &amp; MCC Cost Audit 2020-Curren'!$C:$C,'MCC Margin Analysis'!$A$1,'TB &amp; MCC Cost Audit 2020-Curren'!$D:$D,'MCC Margin Analysis'!N$3,'TB &amp; MCC Cost Audit 2020-Curren'!$A:$A,'MCC Margin Analysis'!$B7)</f>
        <v>4296.96</v>
      </c>
      <c r="Q7" s="119" t="str">
        <f t="shared" si="5"/>
        <v xml:space="preserve"> - </v>
      </c>
      <c r="R7" s="119">
        <f t="shared" si="6"/>
        <v>0.52741900994333368</v>
      </c>
      <c r="S7" s="119">
        <f t="shared" si="7"/>
        <v>0.61407142093445954</v>
      </c>
      <c r="T7" s="119">
        <f t="shared" si="8"/>
        <v>0.74912969100823268</v>
      </c>
      <c r="U7" s="119">
        <f t="shared" si="9"/>
        <v>0.54057949321073451</v>
      </c>
    </row>
    <row r="8" spans="1:21" x14ac:dyDescent="0.15">
      <c r="B8" s="54" t="s">
        <v>210</v>
      </c>
      <c r="C8" s="121">
        <f>SUMIFS('TB &amp; MCC Cost Audit 2020-Curren'!$P:$P,'TB &amp; MCC Cost Audit 2020-Curren'!$C:$C,'MCC Margin Analysis'!$A$1,'TB &amp; MCC Cost Audit 2020-Curren'!$D:$D,'MCC Margin Analysis'!C$3,'TB &amp; MCC Cost Audit 2020-Curren'!$A:$A,'MCC Margin Analysis'!$B8)</f>
        <v>0</v>
      </c>
      <c r="D8" s="121">
        <f>SUMIFS('TB &amp; MCC Cost Audit 2020-Curren'!$P:$P,'TB &amp; MCC Cost Audit 2020-Curren'!$C:$C,'MCC Margin Analysis'!$A$1,'TB &amp; MCC Cost Audit 2020-Curren'!$D:$D,'MCC Margin Analysis'!D$3,'TB &amp; MCC Cost Audit 2020-Curren'!$A:$A,'MCC Margin Analysis'!$B8)</f>
        <v>9116</v>
      </c>
      <c r="E8" s="121">
        <f>SUMIFS('TB &amp; MCC Cost Audit 2020-Curren'!$P:$P,'TB &amp; MCC Cost Audit 2020-Curren'!$C:$C,'MCC Margin Analysis'!$A$1,'TB &amp; MCC Cost Audit 2020-Curren'!$D:$D,'MCC Margin Analysis'!E$3,'TB &amp; MCC Cost Audit 2020-Curren'!$A:$A,'MCC Margin Analysis'!$B8)</f>
        <v>12749</v>
      </c>
      <c r="F8" s="121">
        <f>SUMIFS('TB &amp; MCC Cost Audit 2020-Curren'!$P:$P,'TB &amp; MCC Cost Audit 2020-Curren'!$C:$C,'MCC Margin Analysis'!$A$1,'TB &amp; MCC Cost Audit 2020-Curren'!$D:$D,'MCC Margin Analysis'!F$3,'TB &amp; MCC Cost Audit 2020-Curren'!$A:$A,'MCC Margin Analysis'!$B8)</f>
        <v>12084</v>
      </c>
      <c r="G8" s="121">
        <f>SUMIFS('TB &amp; MCC Cost Audit 2020-Curren'!$P:$P,'TB &amp; MCC Cost Audit 2020-Curren'!$C:$C,'MCC Margin Analysis'!$A$1,'TB &amp; MCC Cost Audit 2020-Curren'!$D:$D,'MCC Margin Analysis'!G$3,'TB &amp; MCC Cost Audit 2020-Curren'!$A:$A,'MCC Margin Analysis'!$B8)</f>
        <v>11454</v>
      </c>
      <c r="J8" s="121">
        <f>SUMIFS('TB &amp; MCC Cost Audit 2020-Curren'!$W:$W,'TB &amp; MCC Cost Audit 2020-Curren'!$C:$C,'MCC Margin Analysis'!$A$1,'TB &amp; MCC Cost Audit 2020-Curren'!$D:$D,'MCC Margin Analysis'!J$3,'TB &amp; MCC Cost Audit 2020-Curren'!$A:$A,'MCC Margin Analysis'!$B8)</f>
        <v>0</v>
      </c>
      <c r="K8" s="121">
        <f>SUMIFS('TB &amp; MCC Cost Audit 2020-Curren'!$W:$W,'TB &amp; MCC Cost Audit 2020-Curren'!$C:$C,'MCC Margin Analysis'!$A$1,'TB &amp; MCC Cost Audit 2020-Curren'!$D:$D,'MCC Margin Analysis'!K$3,'TB &amp; MCC Cost Audit 2020-Curren'!$A:$A,'MCC Margin Analysis'!$B8)</f>
        <v>3394.42</v>
      </c>
      <c r="L8" s="121">
        <f>SUMIFS('TB &amp; MCC Cost Audit 2020-Curren'!$W:$W,'TB &amp; MCC Cost Audit 2020-Curren'!$C:$C,'MCC Margin Analysis'!$A$1,'TB &amp; MCC Cost Audit 2020-Curren'!$D:$D,'MCC Margin Analysis'!L$3,'TB &amp; MCC Cost Audit 2020-Curren'!$A:$A,'MCC Margin Analysis'!$B8)</f>
        <v>3080.99</v>
      </c>
      <c r="M8" s="121">
        <f>SUMIFS('TB &amp; MCC Cost Audit 2020-Curren'!$W:$W,'TB &amp; MCC Cost Audit 2020-Curren'!$C:$C,'MCC Margin Analysis'!$A$1,'TB &amp; MCC Cost Audit 2020-Curren'!$D:$D,'MCC Margin Analysis'!M$3,'TB &amp; MCC Cost Audit 2020-Curren'!$A:$A,'MCC Margin Analysis'!$B8)</f>
        <v>2341.5300000000002</v>
      </c>
      <c r="N8" s="121">
        <f>SUMIFS('TB &amp; MCC Cost Audit 2020-Curren'!$W:$W,'TB &amp; MCC Cost Audit 2020-Curren'!$C:$C,'MCC Margin Analysis'!$A$1,'TB &amp; MCC Cost Audit 2020-Curren'!$D:$D,'MCC Margin Analysis'!N$3,'TB &amp; MCC Cost Audit 2020-Curren'!$A:$A,'MCC Margin Analysis'!$B8)</f>
        <v>1816.18</v>
      </c>
      <c r="Q8" s="119" t="str">
        <f t="shared" si="5"/>
        <v xml:space="preserve"> - </v>
      </c>
      <c r="R8" s="119">
        <f t="shared" si="6"/>
        <v>0.62764150943396224</v>
      </c>
      <c r="S8" s="119">
        <f t="shared" si="7"/>
        <v>0.75833477135461602</v>
      </c>
      <c r="T8" s="119">
        <f t="shared" si="8"/>
        <v>0.80622889771598805</v>
      </c>
      <c r="U8" s="119">
        <f t="shared" si="9"/>
        <v>0.84143705255805834</v>
      </c>
    </row>
    <row r="9" spans="1:21" x14ac:dyDescent="0.15">
      <c r="B9" s="54" t="s">
        <v>199</v>
      </c>
      <c r="C9" s="121">
        <f>SUMIFS('TB &amp; MCC Cost Audit 2020-Curren'!$P:$P,'TB &amp; MCC Cost Audit 2020-Curren'!$C:$C,'MCC Margin Analysis'!$A$1,'TB &amp; MCC Cost Audit 2020-Curren'!$D:$D,'MCC Margin Analysis'!C$3,'TB &amp; MCC Cost Audit 2020-Curren'!$A:$A,'MCC Margin Analysis'!$B9)</f>
        <v>32434</v>
      </c>
      <c r="D9" s="121">
        <f>SUMIFS('TB &amp; MCC Cost Audit 2020-Curren'!$P:$P,'TB &amp; MCC Cost Audit 2020-Curren'!$C:$C,'MCC Margin Analysis'!$A$1,'TB &amp; MCC Cost Audit 2020-Curren'!$D:$D,'MCC Margin Analysis'!D$3,'TB &amp; MCC Cost Audit 2020-Curren'!$A:$A,'MCC Margin Analysis'!$B9)</f>
        <v>0</v>
      </c>
      <c r="E9" s="121">
        <f>SUMIFS('TB &amp; MCC Cost Audit 2020-Curren'!$P:$P,'TB &amp; MCC Cost Audit 2020-Curren'!$C:$C,'MCC Margin Analysis'!$A$1,'TB &amp; MCC Cost Audit 2020-Curren'!$D:$D,'MCC Margin Analysis'!E$3,'TB &amp; MCC Cost Audit 2020-Curren'!$A:$A,'MCC Margin Analysis'!$B9)</f>
        <v>41625</v>
      </c>
      <c r="F9" s="121">
        <f>SUMIFS('TB &amp; MCC Cost Audit 2020-Curren'!$P:$P,'TB &amp; MCC Cost Audit 2020-Curren'!$C:$C,'MCC Margin Analysis'!$A$1,'TB &amp; MCC Cost Audit 2020-Curren'!$D:$D,'MCC Margin Analysis'!F$3,'TB &amp; MCC Cost Audit 2020-Curren'!$A:$A,'MCC Margin Analysis'!$B9)</f>
        <v>44749</v>
      </c>
      <c r="G9" s="121">
        <f>SUMIFS('TB &amp; MCC Cost Audit 2020-Curren'!$P:$P,'TB &amp; MCC Cost Audit 2020-Curren'!$C:$C,'MCC Margin Analysis'!$A$1,'TB &amp; MCC Cost Audit 2020-Curren'!$D:$D,'MCC Margin Analysis'!G$3,'TB &amp; MCC Cost Audit 2020-Curren'!$A:$A,'MCC Margin Analysis'!$B9)</f>
        <v>48107</v>
      </c>
      <c r="J9" s="121">
        <f>SUMIFS('TB &amp; MCC Cost Audit 2020-Curren'!$W:$W,'TB &amp; MCC Cost Audit 2020-Curren'!$C:$C,'MCC Margin Analysis'!$A$1,'TB &amp; MCC Cost Audit 2020-Curren'!$D:$D,'MCC Margin Analysis'!J$3,'TB &amp; MCC Cost Audit 2020-Curren'!$A:$A,'MCC Margin Analysis'!$B9)</f>
        <v>3232.83</v>
      </c>
      <c r="K9" s="121">
        <f>SUMIFS('TB &amp; MCC Cost Audit 2020-Curren'!$W:$W,'TB &amp; MCC Cost Audit 2020-Curren'!$C:$C,'MCC Margin Analysis'!$A$1,'TB &amp; MCC Cost Audit 2020-Curren'!$D:$D,'MCC Margin Analysis'!K$3,'TB &amp; MCC Cost Audit 2020-Curren'!$A:$A,'MCC Margin Analysis'!$B9)</f>
        <v>0</v>
      </c>
      <c r="L9" s="121">
        <f>SUMIFS('TB &amp; MCC Cost Audit 2020-Curren'!$W:$W,'TB &amp; MCC Cost Audit 2020-Curren'!$C:$C,'MCC Margin Analysis'!$A$1,'TB &amp; MCC Cost Audit 2020-Curren'!$D:$D,'MCC Margin Analysis'!L$3,'TB &amp; MCC Cost Audit 2020-Curren'!$A:$A,'MCC Margin Analysis'!$B9)</f>
        <v>5455.82</v>
      </c>
      <c r="M9" s="121">
        <f>SUMIFS('TB &amp; MCC Cost Audit 2020-Curren'!$W:$W,'TB &amp; MCC Cost Audit 2020-Curren'!$C:$C,'MCC Margin Analysis'!$A$1,'TB &amp; MCC Cost Audit 2020-Curren'!$D:$D,'MCC Margin Analysis'!M$3,'TB &amp; MCC Cost Audit 2020-Curren'!$A:$A,'MCC Margin Analysis'!$B9)</f>
        <v>7193.0300000000007</v>
      </c>
      <c r="N9" s="121">
        <f>SUMIFS('TB &amp; MCC Cost Audit 2020-Curren'!$W:$W,'TB &amp; MCC Cost Audit 2020-Curren'!$C:$C,'MCC Margin Analysis'!$A$1,'TB &amp; MCC Cost Audit 2020-Curren'!$D:$D,'MCC Margin Analysis'!N$3,'TB &amp; MCC Cost Audit 2020-Curren'!$A:$A,'MCC Margin Analysis'!$B9)</f>
        <v>11164.4</v>
      </c>
      <c r="Q9" s="119">
        <f t="shared" si="5"/>
        <v>0.90032589258185847</v>
      </c>
      <c r="R9" s="119" t="str">
        <f t="shared" si="6"/>
        <v xml:space="preserve"> - </v>
      </c>
      <c r="S9" s="119">
        <f t="shared" si="7"/>
        <v>0.8689292492492493</v>
      </c>
      <c r="T9" s="119">
        <f t="shared" si="8"/>
        <v>0.83925830744821117</v>
      </c>
      <c r="U9" s="119">
        <f t="shared" si="9"/>
        <v>0.76792566570353582</v>
      </c>
    </row>
    <row r="10" spans="1:21" x14ac:dyDescent="0.15">
      <c r="B10" s="54" t="s">
        <v>91</v>
      </c>
      <c r="C10" s="121">
        <f>SUMIFS('TB &amp; MCC Cost Audit 2020-Curren'!$P:$P,'TB &amp; MCC Cost Audit 2020-Curren'!$C:$C,'MCC Margin Analysis'!$A$1,'TB &amp; MCC Cost Audit 2020-Curren'!$D:$D,'MCC Margin Analysis'!C$3,'TB &amp; MCC Cost Audit 2020-Curren'!$A:$A,'MCC Margin Analysis'!$B10)</f>
        <v>0</v>
      </c>
      <c r="D10" s="121">
        <f>SUMIFS('TB &amp; MCC Cost Audit 2020-Curren'!$P:$P,'TB &amp; MCC Cost Audit 2020-Curren'!$C:$C,'MCC Margin Analysis'!$A$1,'TB &amp; MCC Cost Audit 2020-Curren'!$D:$D,'MCC Margin Analysis'!D$3,'TB &amp; MCC Cost Audit 2020-Curren'!$A:$A,'MCC Margin Analysis'!$B10)</f>
        <v>0</v>
      </c>
      <c r="E10" s="121">
        <f>SUMIFS('TB &amp; MCC Cost Audit 2020-Curren'!$P:$P,'TB &amp; MCC Cost Audit 2020-Curren'!$C:$C,'MCC Margin Analysis'!$A$1,'TB &amp; MCC Cost Audit 2020-Curren'!$D:$D,'MCC Margin Analysis'!E$3,'TB &amp; MCC Cost Audit 2020-Curren'!$A:$A,'MCC Margin Analysis'!$B10)</f>
        <v>0</v>
      </c>
      <c r="F10" s="121">
        <f>SUMIFS('TB &amp; MCC Cost Audit 2020-Curren'!$P:$P,'TB &amp; MCC Cost Audit 2020-Curren'!$C:$C,'MCC Margin Analysis'!$A$1,'TB &amp; MCC Cost Audit 2020-Curren'!$D:$D,'MCC Margin Analysis'!F$3,'TB &amp; MCC Cost Audit 2020-Curren'!$A:$A,'MCC Margin Analysis'!$B10)</f>
        <v>0</v>
      </c>
      <c r="G10" s="121">
        <f>SUMIFS('TB &amp; MCC Cost Audit 2020-Curren'!$P:$P,'TB &amp; MCC Cost Audit 2020-Curren'!$C:$C,'MCC Margin Analysis'!$A$1,'TB &amp; MCC Cost Audit 2020-Curren'!$D:$D,'MCC Margin Analysis'!G$3,'TB &amp; MCC Cost Audit 2020-Curren'!$A:$A,'MCC Margin Analysis'!$B10)</f>
        <v>0</v>
      </c>
      <c r="J10" s="121">
        <f>SUMIFS('TB &amp; MCC Cost Audit 2020-Curren'!$W:$W,'TB &amp; MCC Cost Audit 2020-Curren'!$C:$C,'MCC Margin Analysis'!$A$1,'TB &amp; MCC Cost Audit 2020-Curren'!$D:$D,'MCC Margin Analysis'!J$3,'TB &amp; MCC Cost Audit 2020-Curren'!$A:$A,'MCC Margin Analysis'!$B10)</f>
        <v>0</v>
      </c>
      <c r="K10" s="121">
        <f>SUMIFS('TB &amp; MCC Cost Audit 2020-Curren'!$W:$W,'TB &amp; MCC Cost Audit 2020-Curren'!$C:$C,'MCC Margin Analysis'!$A$1,'TB &amp; MCC Cost Audit 2020-Curren'!$D:$D,'MCC Margin Analysis'!K$3,'TB &amp; MCC Cost Audit 2020-Curren'!$A:$A,'MCC Margin Analysis'!$B10)</f>
        <v>0</v>
      </c>
      <c r="L10" s="121">
        <f>SUMIFS('TB &amp; MCC Cost Audit 2020-Curren'!$W:$W,'TB &amp; MCC Cost Audit 2020-Curren'!$C:$C,'MCC Margin Analysis'!$A$1,'TB &amp; MCC Cost Audit 2020-Curren'!$D:$D,'MCC Margin Analysis'!L$3,'TB &amp; MCC Cost Audit 2020-Curren'!$A:$A,'MCC Margin Analysis'!$B10)</f>
        <v>0</v>
      </c>
      <c r="M10" s="121">
        <f>SUMIFS('TB &amp; MCC Cost Audit 2020-Curren'!$W:$W,'TB &amp; MCC Cost Audit 2020-Curren'!$C:$C,'MCC Margin Analysis'!$A$1,'TB &amp; MCC Cost Audit 2020-Curren'!$D:$D,'MCC Margin Analysis'!M$3,'TB &amp; MCC Cost Audit 2020-Curren'!$A:$A,'MCC Margin Analysis'!$B10)</f>
        <v>0</v>
      </c>
      <c r="N10" s="121">
        <f>SUMIFS('TB &amp; MCC Cost Audit 2020-Curren'!$W:$W,'TB &amp; MCC Cost Audit 2020-Curren'!$C:$C,'MCC Margin Analysis'!$A$1,'TB &amp; MCC Cost Audit 2020-Curren'!$D:$D,'MCC Margin Analysis'!N$3,'TB &amp; MCC Cost Audit 2020-Curren'!$A:$A,'MCC Margin Analysis'!$B10)</f>
        <v>0</v>
      </c>
      <c r="Q10" s="119" t="str">
        <f t="shared" si="5"/>
        <v xml:space="preserve"> - </v>
      </c>
      <c r="R10" s="119" t="str">
        <f t="shared" si="6"/>
        <v xml:space="preserve"> - </v>
      </c>
      <c r="S10" s="119" t="str">
        <f t="shared" si="7"/>
        <v xml:space="preserve"> - </v>
      </c>
      <c r="T10" s="119" t="str">
        <f t="shared" si="8"/>
        <v xml:space="preserve"> - </v>
      </c>
      <c r="U10" s="119" t="str">
        <f t="shared" si="9"/>
        <v xml:space="preserve"> - </v>
      </c>
    </row>
    <row r="11" spans="1:21" x14ac:dyDescent="0.15">
      <c r="B11" s="54" t="s">
        <v>548</v>
      </c>
      <c r="C11" s="121">
        <f>SUMIFS('TB &amp; MCC Cost Audit 2020-Curren'!$P:$P,'TB &amp; MCC Cost Audit 2020-Curren'!$C:$C,'MCC Margin Analysis'!$A$1,'TB &amp; MCC Cost Audit 2020-Curren'!$D:$D,'MCC Margin Analysis'!C$3,'TB &amp; MCC Cost Audit 2020-Curren'!$A:$A,'MCC Margin Analysis'!$B11)</f>
        <v>0</v>
      </c>
      <c r="D11" s="121">
        <f>SUMIFS('TB &amp; MCC Cost Audit 2020-Curren'!$P:$P,'TB &amp; MCC Cost Audit 2020-Curren'!$C:$C,'MCC Margin Analysis'!$A$1,'TB &amp; MCC Cost Audit 2020-Curren'!$D:$D,'MCC Margin Analysis'!D$3,'TB &amp; MCC Cost Audit 2020-Curren'!$A:$A,'MCC Margin Analysis'!$B11)</f>
        <v>0</v>
      </c>
      <c r="E11" s="121">
        <f>SUMIFS('TB &amp; MCC Cost Audit 2020-Curren'!$P:$P,'TB &amp; MCC Cost Audit 2020-Curren'!$C:$C,'MCC Margin Analysis'!$A$1,'TB &amp; MCC Cost Audit 2020-Curren'!$D:$D,'MCC Margin Analysis'!E$3,'TB &amp; MCC Cost Audit 2020-Curren'!$A:$A,'MCC Margin Analysis'!$B11)</f>
        <v>0</v>
      </c>
      <c r="F11" s="121">
        <f>SUMIFS('TB &amp; MCC Cost Audit 2020-Curren'!$P:$P,'TB &amp; MCC Cost Audit 2020-Curren'!$C:$C,'MCC Margin Analysis'!$A$1,'TB &amp; MCC Cost Audit 2020-Curren'!$D:$D,'MCC Margin Analysis'!F$3,'TB &amp; MCC Cost Audit 2020-Curren'!$A:$A,'MCC Margin Analysis'!$B11)</f>
        <v>0</v>
      </c>
      <c r="G11" s="121">
        <f>SUMIFS('TB &amp; MCC Cost Audit 2020-Curren'!$P:$P,'TB &amp; MCC Cost Audit 2020-Curren'!$C:$C,'MCC Margin Analysis'!$A$1,'TB &amp; MCC Cost Audit 2020-Curren'!$D:$D,'MCC Margin Analysis'!G$3,'TB &amp; MCC Cost Audit 2020-Curren'!$A:$A,'MCC Margin Analysis'!$B11)</f>
        <v>0</v>
      </c>
      <c r="J11" s="121">
        <f>SUMIFS('TB &amp; MCC Cost Audit 2020-Curren'!$W:$W,'TB &amp; MCC Cost Audit 2020-Curren'!$C:$C,'MCC Margin Analysis'!$A$1,'TB &amp; MCC Cost Audit 2020-Curren'!$D:$D,'MCC Margin Analysis'!J$3,'TB &amp; MCC Cost Audit 2020-Curren'!$A:$A,'MCC Margin Analysis'!$B11)</f>
        <v>0</v>
      </c>
      <c r="K11" s="121">
        <f>SUMIFS('TB &amp; MCC Cost Audit 2020-Curren'!$W:$W,'TB &amp; MCC Cost Audit 2020-Curren'!$C:$C,'MCC Margin Analysis'!$A$1,'TB &amp; MCC Cost Audit 2020-Curren'!$D:$D,'MCC Margin Analysis'!K$3,'TB &amp; MCC Cost Audit 2020-Curren'!$A:$A,'MCC Margin Analysis'!$B11)</f>
        <v>0</v>
      </c>
      <c r="L11" s="121">
        <f>SUMIFS('TB &amp; MCC Cost Audit 2020-Curren'!$W:$W,'TB &amp; MCC Cost Audit 2020-Curren'!$C:$C,'MCC Margin Analysis'!$A$1,'TB &amp; MCC Cost Audit 2020-Curren'!$D:$D,'MCC Margin Analysis'!L$3,'TB &amp; MCC Cost Audit 2020-Curren'!$A:$A,'MCC Margin Analysis'!$B11)</f>
        <v>0</v>
      </c>
      <c r="M11" s="121">
        <f>SUMIFS('TB &amp; MCC Cost Audit 2020-Curren'!$W:$W,'TB &amp; MCC Cost Audit 2020-Curren'!$C:$C,'MCC Margin Analysis'!$A$1,'TB &amp; MCC Cost Audit 2020-Curren'!$D:$D,'MCC Margin Analysis'!M$3,'TB &amp; MCC Cost Audit 2020-Curren'!$A:$A,'MCC Margin Analysis'!$B11)</f>
        <v>0</v>
      </c>
      <c r="N11" s="121">
        <f>SUMIFS('TB &amp; MCC Cost Audit 2020-Curren'!$W:$W,'TB &amp; MCC Cost Audit 2020-Curren'!$C:$C,'MCC Margin Analysis'!$A$1,'TB &amp; MCC Cost Audit 2020-Curren'!$D:$D,'MCC Margin Analysis'!N$3,'TB &amp; MCC Cost Audit 2020-Curren'!$A:$A,'MCC Margin Analysis'!$B11)</f>
        <v>0</v>
      </c>
      <c r="Q11" s="119" t="str">
        <f t="shared" si="5"/>
        <v xml:space="preserve"> - </v>
      </c>
      <c r="R11" s="119" t="str">
        <f t="shared" si="6"/>
        <v xml:space="preserve"> - </v>
      </c>
      <c r="S11" s="119" t="str">
        <f t="shared" si="7"/>
        <v xml:space="preserve"> - </v>
      </c>
      <c r="T11" s="119" t="str">
        <f t="shared" si="8"/>
        <v xml:space="preserve"> - </v>
      </c>
      <c r="U11" s="119" t="str">
        <f t="shared" si="9"/>
        <v xml:space="preserve"> - </v>
      </c>
    </row>
    <row r="12" spans="1:21" x14ac:dyDescent="0.15">
      <c r="B12" s="54" t="s">
        <v>315</v>
      </c>
      <c r="C12" s="121">
        <f>SUMIFS('TB &amp; MCC Cost Audit 2020-Curren'!$P:$P,'TB &amp; MCC Cost Audit 2020-Curren'!$C:$C,'MCC Margin Analysis'!$A$1,'TB &amp; MCC Cost Audit 2020-Curren'!$D:$D,'MCC Margin Analysis'!C$3,'TB &amp; MCC Cost Audit 2020-Curren'!$A:$A,'MCC Margin Analysis'!$B12)</f>
        <v>17279</v>
      </c>
      <c r="D12" s="121">
        <f>SUMIFS('TB &amp; MCC Cost Audit 2020-Curren'!$P:$P,'TB &amp; MCC Cost Audit 2020-Curren'!$C:$C,'MCC Margin Analysis'!$A$1,'TB &amp; MCC Cost Audit 2020-Curren'!$D:$D,'MCC Margin Analysis'!D$3,'TB &amp; MCC Cost Audit 2020-Curren'!$A:$A,'MCC Margin Analysis'!$B12)</f>
        <v>20445</v>
      </c>
      <c r="E12" s="121">
        <f>SUMIFS('TB &amp; MCC Cost Audit 2020-Curren'!$P:$P,'TB &amp; MCC Cost Audit 2020-Curren'!$C:$C,'MCC Margin Analysis'!$A$1,'TB &amp; MCC Cost Audit 2020-Curren'!$D:$D,'MCC Margin Analysis'!E$3,'TB &amp; MCC Cost Audit 2020-Curren'!$A:$A,'MCC Margin Analysis'!$B12)</f>
        <v>19848</v>
      </c>
      <c r="F12" s="121">
        <f>SUMIFS('TB &amp; MCC Cost Audit 2020-Curren'!$P:$P,'TB &amp; MCC Cost Audit 2020-Curren'!$C:$C,'MCC Margin Analysis'!$A$1,'TB &amp; MCC Cost Audit 2020-Curren'!$D:$D,'MCC Margin Analysis'!F$3,'TB &amp; MCC Cost Audit 2020-Curren'!$A:$A,'MCC Margin Analysis'!$B12)</f>
        <v>19269</v>
      </c>
      <c r="G12" s="121">
        <f>SUMIFS('TB &amp; MCC Cost Audit 2020-Curren'!$P:$P,'TB &amp; MCC Cost Audit 2020-Curren'!$C:$C,'MCC Margin Analysis'!$A$1,'TB &amp; MCC Cost Audit 2020-Curren'!$D:$D,'MCC Margin Analysis'!G$3,'TB &amp; MCC Cost Audit 2020-Curren'!$A:$A,'MCC Margin Analysis'!$B12)</f>
        <v>18707</v>
      </c>
      <c r="J12" s="121">
        <f>SUMIFS('TB &amp; MCC Cost Audit 2020-Curren'!$W:$W,'TB &amp; MCC Cost Audit 2020-Curren'!$C:$C,'MCC Margin Analysis'!$A$1,'TB &amp; MCC Cost Audit 2020-Curren'!$D:$D,'MCC Margin Analysis'!J$3,'TB &amp; MCC Cost Audit 2020-Curren'!$A:$A,'MCC Margin Analysis'!$B12)</f>
        <v>6455.24</v>
      </c>
      <c r="K12" s="121">
        <f>SUMIFS('TB &amp; MCC Cost Audit 2020-Curren'!$W:$W,'TB &amp; MCC Cost Audit 2020-Curren'!$C:$C,'MCC Margin Analysis'!$A$1,'TB &amp; MCC Cost Audit 2020-Curren'!$D:$D,'MCC Margin Analysis'!K$3,'TB &amp; MCC Cost Audit 2020-Curren'!$A:$A,'MCC Margin Analysis'!$B12)</f>
        <v>4056.9900000000002</v>
      </c>
      <c r="L12" s="121">
        <f>SUMIFS('TB &amp; MCC Cost Audit 2020-Curren'!$W:$W,'TB &amp; MCC Cost Audit 2020-Curren'!$C:$C,'MCC Margin Analysis'!$A$1,'TB &amp; MCC Cost Audit 2020-Curren'!$D:$D,'MCC Margin Analysis'!L$3,'TB &amp; MCC Cost Audit 2020-Curren'!$A:$A,'MCC Margin Analysis'!$B12)</f>
        <v>4362.9400000000005</v>
      </c>
      <c r="M12" s="121">
        <f>SUMIFS('TB &amp; MCC Cost Audit 2020-Curren'!$W:$W,'TB &amp; MCC Cost Audit 2020-Curren'!$C:$C,'MCC Margin Analysis'!$A$1,'TB &amp; MCC Cost Audit 2020-Curren'!$D:$D,'MCC Margin Analysis'!M$3,'TB &amp; MCC Cost Audit 2020-Curren'!$A:$A,'MCC Margin Analysis'!$B12)</f>
        <v>4109.49</v>
      </c>
      <c r="N12" s="121">
        <f>SUMIFS('TB &amp; MCC Cost Audit 2020-Curren'!$W:$W,'TB &amp; MCC Cost Audit 2020-Curren'!$C:$C,'MCC Margin Analysis'!$A$1,'TB &amp; MCC Cost Audit 2020-Curren'!$D:$D,'MCC Margin Analysis'!N$3,'TB &amp; MCC Cost Audit 2020-Curren'!$A:$A,'MCC Margin Analysis'!$B12)</f>
        <v>3760.63</v>
      </c>
      <c r="Q12" s="119">
        <f t="shared" si="5"/>
        <v>0.62641125065107939</v>
      </c>
      <c r="R12" s="119">
        <f t="shared" si="6"/>
        <v>0.80156566397652229</v>
      </c>
      <c r="S12" s="119">
        <f t="shared" si="7"/>
        <v>0.7801823861346231</v>
      </c>
      <c r="T12" s="119">
        <f t="shared" si="8"/>
        <v>0.78673049976646425</v>
      </c>
      <c r="U12" s="119">
        <f t="shared" si="9"/>
        <v>0.79897204255091669</v>
      </c>
    </row>
    <row r="13" spans="1:21" x14ac:dyDescent="0.15">
      <c r="B13" s="54" t="s">
        <v>557</v>
      </c>
      <c r="C13" s="121">
        <f>SUMIFS('TB &amp; MCC Cost Audit 2020-Curren'!$P:$P,'TB &amp; MCC Cost Audit 2020-Curren'!$C:$C,'MCC Margin Analysis'!$A$1,'TB &amp; MCC Cost Audit 2020-Curren'!$D:$D,'MCC Margin Analysis'!C$3,'TB &amp; MCC Cost Audit 2020-Curren'!$A:$A,'MCC Margin Analysis'!$B13)</f>
        <v>0</v>
      </c>
      <c r="D13" s="121">
        <f>SUMIFS('TB &amp; MCC Cost Audit 2020-Curren'!$P:$P,'TB &amp; MCC Cost Audit 2020-Curren'!$C:$C,'MCC Margin Analysis'!$A$1,'TB &amp; MCC Cost Audit 2020-Curren'!$D:$D,'MCC Margin Analysis'!D$3,'TB &amp; MCC Cost Audit 2020-Curren'!$A:$A,'MCC Margin Analysis'!$B13)</f>
        <v>0</v>
      </c>
      <c r="E13" s="121">
        <f>SUMIFS('TB &amp; MCC Cost Audit 2020-Curren'!$P:$P,'TB &amp; MCC Cost Audit 2020-Curren'!$C:$C,'MCC Margin Analysis'!$A$1,'TB &amp; MCC Cost Audit 2020-Curren'!$D:$D,'MCC Margin Analysis'!E$3,'TB &amp; MCC Cost Audit 2020-Curren'!$A:$A,'MCC Margin Analysis'!$B13)</f>
        <v>0</v>
      </c>
      <c r="F13" s="121">
        <f>SUMIFS('TB &amp; MCC Cost Audit 2020-Curren'!$P:$P,'TB &amp; MCC Cost Audit 2020-Curren'!$C:$C,'MCC Margin Analysis'!$A$1,'TB &amp; MCC Cost Audit 2020-Curren'!$D:$D,'MCC Margin Analysis'!F$3,'TB &amp; MCC Cost Audit 2020-Curren'!$A:$A,'MCC Margin Analysis'!$B13)</f>
        <v>0</v>
      </c>
      <c r="G13" s="121">
        <f>SUMIFS('TB &amp; MCC Cost Audit 2020-Curren'!$P:$P,'TB &amp; MCC Cost Audit 2020-Curren'!$C:$C,'MCC Margin Analysis'!$A$1,'TB &amp; MCC Cost Audit 2020-Curren'!$D:$D,'MCC Margin Analysis'!G$3,'TB &amp; MCC Cost Audit 2020-Curren'!$A:$A,'MCC Margin Analysis'!$B13)</f>
        <v>0</v>
      </c>
      <c r="J13" s="121">
        <f>SUMIFS('TB &amp; MCC Cost Audit 2020-Curren'!$W:$W,'TB &amp; MCC Cost Audit 2020-Curren'!$C:$C,'MCC Margin Analysis'!$A$1,'TB &amp; MCC Cost Audit 2020-Curren'!$D:$D,'MCC Margin Analysis'!J$3,'TB &amp; MCC Cost Audit 2020-Curren'!$A:$A,'MCC Margin Analysis'!$B13)</f>
        <v>0</v>
      </c>
      <c r="K13" s="121">
        <f>SUMIFS('TB &amp; MCC Cost Audit 2020-Curren'!$W:$W,'TB &amp; MCC Cost Audit 2020-Curren'!$C:$C,'MCC Margin Analysis'!$A$1,'TB &amp; MCC Cost Audit 2020-Curren'!$D:$D,'MCC Margin Analysis'!K$3,'TB &amp; MCC Cost Audit 2020-Curren'!$A:$A,'MCC Margin Analysis'!$B13)</f>
        <v>0</v>
      </c>
      <c r="L13" s="121">
        <f>SUMIFS('TB &amp; MCC Cost Audit 2020-Curren'!$W:$W,'TB &amp; MCC Cost Audit 2020-Curren'!$C:$C,'MCC Margin Analysis'!$A$1,'TB &amp; MCC Cost Audit 2020-Curren'!$D:$D,'MCC Margin Analysis'!L$3,'TB &amp; MCC Cost Audit 2020-Curren'!$A:$A,'MCC Margin Analysis'!$B13)</f>
        <v>0</v>
      </c>
      <c r="M13" s="121">
        <f>SUMIFS('TB &amp; MCC Cost Audit 2020-Curren'!$W:$W,'TB &amp; MCC Cost Audit 2020-Curren'!$C:$C,'MCC Margin Analysis'!$A$1,'TB &amp; MCC Cost Audit 2020-Curren'!$D:$D,'MCC Margin Analysis'!M$3,'TB &amp; MCC Cost Audit 2020-Curren'!$A:$A,'MCC Margin Analysis'!$B13)</f>
        <v>0</v>
      </c>
      <c r="N13" s="121">
        <f>SUMIFS('TB &amp; MCC Cost Audit 2020-Curren'!$W:$W,'TB &amp; MCC Cost Audit 2020-Curren'!$C:$C,'MCC Margin Analysis'!$A$1,'TB &amp; MCC Cost Audit 2020-Curren'!$D:$D,'MCC Margin Analysis'!N$3,'TB &amp; MCC Cost Audit 2020-Curren'!$A:$A,'MCC Margin Analysis'!$B13)</f>
        <v>0</v>
      </c>
      <c r="Q13" s="119" t="str">
        <f t="shared" si="5"/>
        <v xml:space="preserve"> - </v>
      </c>
      <c r="R13" s="119" t="str">
        <f t="shared" si="6"/>
        <v xml:space="preserve"> - </v>
      </c>
      <c r="S13" s="119" t="str">
        <f t="shared" si="7"/>
        <v xml:space="preserve"> - </v>
      </c>
      <c r="T13" s="119" t="str">
        <f t="shared" si="8"/>
        <v xml:space="preserve"> - </v>
      </c>
      <c r="U13" s="119" t="str">
        <f t="shared" si="9"/>
        <v xml:space="preserve"> - </v>
      </c>
    </row>
    <row r="14" spans="1:21" x14ac:dyDescent="0.15">
      <c r="B14" s="54" t="s">
        <v>233</v>
      </c>
      <c r="C14" s="121">
        <f>SUMIFS('TB &amp; MCC Cost Audit 2020-Curren'!$P:$P,'TB &amp; MCC Cost Audit 2020-Curren'!$C:$C,'MCC Margin Analysis'!$A$1,'TB &amp; MCC Cost Audit 2020-Curren'!$D:$D,'MCC Margin Analysis'!C$3,'TB &amp; MCC Cost Audit 2020-Curren'!$A:$A,'MCC Margin Analysis'!$B14)</f>
        <v>25403</v>
      </c>
      <c r="D14" s="121">
        <f>SUMIFS('TB &amp; MCC Cost Audit 2020-Curren'!$P:$P,'TB &amp; MCC Cost Audit 2020-Curren'!$C:$C,'MCC Margin Analysis'!$A$1,'TB &amp; MCC Cost Audit 2020-Curren'!$D:$D,'MCC Margin Analysis'!D$3,'TB &amp; MCC Cost Audit 2020-Curren'!$A:$A,'MCC Margin Analysis'!$B14)</f>
        <v>14007</v>
      </c>
      <c r="E14" s="121">
        <f>SUMIFS('TB &amp; MCC Cost Audit 2020-Curren'!$P:$P,'TB &amp; MCC Cost Audit 2020-Curren'!$C:$C,'MCC Margin Analysis'!$A$1,'TB &amp; MCC Cost Audit 2020-Curren'!$D:$D,'MCC Margin Analysis'!E$3,'TB &amp; MCC Cost Audit 2020-Curren'!$A:$A,'MCC Margin Analysis'!$B14)</f>
        <v>25403</v>
      </c>
      <c r="F14" s="121">
        <f>SUMIFS('TB &amp; MCC Cost Audit 2020-Curren'!$P:$P,'TB &amp; MCC Cost Audit 2020-Curren'!$C:$C,'MCC Margin Analysis'!$A$1,'TB &amp; MCC Cost Audit 2020-Curren'!$D:$D,'MCC Margin Analysis'!F$3,'TB &amp; MCC Cost Audit 2020-Curren'!$A:$A,'MCC Margin Analysis'!$B14)</f>
        <v>25403</v>
      </c>
      <c r="G14" s="121">
        <f>SUMIFS('TB &amp; MCC Cost Audit 2020-Curren'!$P:$P,'TB &amp; MCC Cost Audit 2020-Curren'!$C:$C,'MCC Margin Analysis'!$A$1,'TB &amp; MCC Cost Audit 2020-Curren'!$D:$D,'MCC Margin Analysis'!G$3,'TB &amp; MCC Cost Audit 2020-Curren'!$A:$A,'MCC Margin Analysis'!$B14)</f>
        <v>27437</v>
      </c>
      <c r="J14" s="121">
        <f>SUMIFS('TB &amp; MCC Cost Audit 2020-Curren'!$W:$W,'TB &amp; MCC Cost Audit 2020-Curren'!$C:$C,'MCC Margin Analysis'!$A$1,'TB &amp; MCC Cost Audit 2020-Curren'!$D:$D,'MCC Margin Analysis'!J$3,'TB &amp; MCC Cost Audit 2020-Curren'!$A:$A,'MCC Margin Analysis'!$B14)</f>
        <v>6594.1900000000005</v>
      </c>
      <c r="K14" s="121">
        <f>SUMIFS('TB &amp; MCC Cost Audit 2020-Curren'!$W:$W,'TB &amp; MCC Cost Audit 2020-Curren'!$C:$C,'MCC Margin Analysis'!$A$1,'TB &amp; MCC Cost Audit 2020-Curren'!$D:$D,'MCC Margin Analysis'!K$3,'TB &amp; MCC Cost Audit 2020-Curren'!$A:$A,'MCC Margin Analysis'!$B14)</f>
        <v>3321.06</v>
      </c>
      <c r="L14" s="121">
        <f>SUMIFS('TB &amp; MCC Cost Audit 2020-Curren'!$W:$W,'TB &amp; MCC Cost Audit 2020-Curren'!$C:$C,'MCC Margin Analysis'!$A$1,'TB &amp; MCC Cost Audit 2020-Curren'!$D:$D,'MCC Margin Analysis'!L$3,'TB &amp; MCC Cost Audit 2020-Curren'!$A:$A,'MCC Margin Analysis'!$B14)</f>
        <v>3361.4000000000005</v>
      </c>
      <c r="M14" s="121">
        <f>SUMIFS('TB &amp; MCC Cost Audit 2020-Curren'!$W:$W,'TB &amp; MCC Cost Audit 2020-Curren'!$C:$C,'MCC Margin Analysis'!$A$1,'TB &amp; MCC Cost Audit 2020-Curren'!$D:$D,'MCC Margin Analysis'!M$3,'TB &amp; MCC Cost Audit 2020-Curren'!$A:$A,'MCC Margin Analysis'!$B14)</f>
        <v>2951.9300000000003</v>
      </c>
      <c r="N14" s="121">
        <f>SUMIFS('TB &amp; MCC Cost Audit 2020-Curren'!$W:$W,'TB &amp; MCC Cost Audit 2020-Curren'!$C:$C,'MCC Margin Analysis'!$A$1,'TB &amp; MCC Cost Audit 2020-Curren'!$D:$D,'MCC Margin Analysis'!N$3,'TB &amp; MCC Cost Audit 2020-Curren'!$A:$A,'MCC Margin Analysis'!$B14)</f>
        <v>4240.66</v>
      </c>
      <c r="Q14" s="119">
        <f t="shared" si="5"/>
        <v>0.74041687989607519</v>
      </c>
      <c r="R14" s="119">
        <f t="shared" si="6"/>
        <v>0.76289997858213754</v>
      </c>
      <c r="S14" s="119">
        <f t="shared" si="7"/>
        <v>0.86767704601818674</v>
      </c>
      <c r="T14" s="119">
        <f t="shared" si="8"/>
        <v>0.88379600834547101</v>
      </c>
      <c r="U14" s="119">
        <f t="shared" si="9"/>
        <v>0.84544009913620299</v>
      </c>
    </row>
    <row r="15" spans="1:21" x14ac:dyDescent="0.15">
      <c r="B15" s="54" t="s">
        <v>547</v>
      </c>
      <c r="C15" s="121">
        <f>SUMIFS('TB &amp; MCC Cost Audit 2020-Curren'!$P:$P,'TB &amp; MCC Cost Audit 2020-Curren'!$C:$C,'MCC Margin Analysis'!$A$1,'TB &amp; MCC Cost Audit 2020-Curren'!$D:$D,'MCC Margin Analysis'!C$3,'TB &amp; MCC Cost Audit 2020-Curren'!$A:$A,'MCC Margin Analysis'!$B15)</f>
        <v>0</v>
      </c>
      <c r="D15" s="121">
        <f>SUMIFS('TB &amp; MCC Cost Audit 2020-Curren'!$P:$P,'TB &amp; MCC Cost Audit 2020-Curren'!$C:$C,'MCC Margin Analysis'!$A$1,'TB &amp; MCC Cost Audit 2020-Curren'!$D:$D,'MCC Margin Analysis'!D$3,'TB &amp; MCC Cost Audit 2020-Curren'!$A:$A,'MCC Margin Analysis'!$B15)</f>
        <v>0</v>
      </c>
      <c r="E15" s="121">
        <f>SUMIFS('TB &amp; MCC Cost Audit 2020-Curren'!$P:$P,'TB &amp; MCC Cost Audit 2020-Curren'!$C:$C,'MCC Margin Analysis'!$A$1,'TB &amp; MCC Cost Audit 2020-Curren'!$D:$D,'MCC Margin Analysis'!E$3,'TB &amp; MCC Cost Audit 2020-Curren'!$A:$A,'MCC Margin Analysis'!$B15)</f>
        <v>6188</v>
      </c>
      <c r="F15" s="121">
        <f>SUMIFS('TB &amp; MCC Cost Audit 2020-Curren'!$P:$P,'TB &amp; MCC Cost Audit 2020-Curren'!$C:$C,'MCC Margin Analysis'!$A$1,'TB &amp; MCC Cost Audit 2020-Curren'!$D:$D,'MCC Margin Analysis'!F$3,'TB &amp; MCC Cost Audit 2020-Curren'!$A:$A,'MCC Margin Analysis'!$B15)</f>
        <v>0</v>
      </c>
      <c r="G15" s="121">
        <f>SUMIFS('TB &amp; MCC Cost Audit 2020-Curren'!$P:$P,'TB &amp; MCC Cost Audit 2020-Curren'!$C:$C,'MCC Margin Analysis'!$A$1,'TB &amp; MCC Cost Audit 2020-Curren'!$D:$D,'MCC Margin Analysis'!G$3,'TB &amp; MCC Cost Audit 2020-Curren'!$A:$A,'MCC Margin Analysis'!$B15)</f>
        <v>0</v>
      </c>
      <c r="J15" s="121">
        <f>SUMIFS('TB &amp; MCC Cost Audit 2020-Curren'!$W:$W,'TB &amp; MCC Cost Audit 2020-Curren'!$C:$C,'MCC Margin Analysis'!$A$1,'TB &amp; MCC Cost Audit 2020-Curren'!$D:$D,'MCC Margin Analysis'!J$3,'TB &amp; MCC Cost Audit 2020-Curren'!$A:$A,'MCC Margin Analysis'!$B15)</f>
        <v>0</v>
      </c>
      <c r="K15" s="121">
        <f>SUMIFS('TB &amp; MCC Cost Audit 2020-Curren'!$W:$W,'TB &amp; MCC Cost Audit 2020-Curren'!$C:$C,'MCC Margin Analysis'!$A$1,'TB &amp; MCC Cost Audit 2020-Curren'!$D:$D,'MCC Margin Analysis'!K$3,'TB &amp; MCC Cost Audit 2020-Curren'!$A:$A,'MCC Margin Analysis'!$B15)</f>
        <v>0</v>
      </c>
      <c r="L15" s="121">
        <f>SUMIFS('TB &amp; MCC Cost Audit 2020-Curren'!$W:$W,'TB &amp; MCC Cost Audit 2020-Curren'!$C:$C,'MCC Margin Analysis'!$A$1,'TB &amp; MCC Cost Audit 2020-Curren'!$D:$D,'MCC Margin Analysis'!L$3,'TB &amp; MCC Cost Audit 2020-Curren'!$A:$A,'MCC Margin Analysis'!$B15)</f>
        <v>830.28</v>
      </c>
      <c r="M15" s="121">
        <f>SUMIFS('TB &amp; MCC Cost Audit 2020-Curren'!$W:$W,'TB &amp; MCC Cost Audit 2020-Curren'!$C:$C,'MCC Margin Analysis'!$A$1,'TB &amp; MCC Cost Audit 2020-Curren'!$D:$D,'MCC Margin Analysis'!M$3,'TB &amp; MCC Cost Audit 2020-Curren'!$A:$A,'MCC Margin Analysis'!$B15)</f>
        <v>0</v>
      </c>
      <c r="N15" s="121">
        <f>SUMIFS('TB &amp; MCC Cost Audit 2020-Curren'!$W:$W,'TB &amp; MCC Cost Audit 2020-Curren'!$C:$C,'MCC Margin Analysis'!$A$1,'TB &amp; MCC Cost Audit 2020-Curren'!$D:$D,'MCC Margin Analysis'!N$3,'TB &amp; MCC Cost Audit 2020-Curren'!$A:$A,'MCC Margin Analysis'!$B15)</f>
        <v>0</v>
      </c>
      <c r="Q15" s="119" t="str">
        <f t="shared" si="5"/>
        <v xml:space="preserve"> - </v>
      </c>
      <c r="R15" s="119" t="str">
        <f t="shared" si="6"/>
        <v xml:space="preserve"> - </v>
      </c>
      <c r="S15" s="119">
        <f t="shared" si="7"/>
        <v>0.86582417582417581</v>
      </c>
      <c r="T15" s="119" t="str">
        <f t="shared" si="8"/>
        <v xml:space="preserve"> - </v>
      </c>
      <c r="U15" s="119" t="str">
        <f t="shared" si="9"/>
        <v xml:space="preserve"> - </v>
      </c>
    </row>
    <row r="16" spans="1:21" x14ac:dyDescent="0.15">
      <c r="B16" s="54" t="s">
        <v>625</v>
      </c>
      <c r="C16" s="121">
        <f>SUMIFS('TB &amp; MCC Cost Audit 2020-Curren'!$P:$P,'TB &amp; MCC Cost Audit 2020-Curren'!$C:$C,'MCC Margin Analysis'!$A$1,'TB &amp; MCC Cost Audit 2020-Curren'!$D:$D,'MCC Margin Analysis'!C$3,'TB &amp; MCC Cost Audit 2020-Curren'!$A:$A,'MCC Margin Analysis'!$B16)</f>
        <v>0</v>
      </c>
      <c r="D16" s="121">
        <f>SUMIFS('TB &amp; MCC Cost Audit 2020-Curren'!$P:$P,'TB &amp; MCC Cost Audit 2020-Curren'!$C:$C,'MCC Margin Analysis'!$A$1,'TB &amp; MCC Cost Audit 2020-Curren'!$D:$D,'MCC Margin Analysis'!D$3,'TB &amp; MCC Cost Audit 2020-Curren'!$A:$A,'MCC Margin Analysis'!$B16)</f>
        <v>0</v>
      </c>
      <c r="E16" s="121">
        <f>SUMIFS('TB &amp; MCC Cost Audit 2020-Curren'!$P:$P,'TB &amp; MCC Cost Audit 2020-Curren'!$C:$C,'MCC Margin Analysis'!$A$1,'TB &amp; MCC Cost Audit 2020-Curren'!$D:$D,'MCC Margin Analysis'!E$3,'TB &amp; MCC Cost Audit 2020-Curren'!$A:$A,'MCC Margin Analysis'!$B16)</f>
        <v>27384</v>
      </c>
      <c r="F16" s="121">
        <f>SUMIFS('TB &amp; MCC Cost Audit 2020-Curren'!$P:$P,'TB &amp; MCC Cost Audit 2020-Curren'!$C:$C,'MCC Margin Analysis'!$A$1,'TB &amp; MCC Cost Audit 2020-Curren'!$D:$D,'MCC Margin Analysis'!F$3,'TB &amp; MCC Cost Audit 2020-Curren'!$A:$A,'MCC Margin Analysis'!$B16)</f>
        <v>28891</v>
      </c>
      <c r="G16" s="121">
        <f>SUMIFS('TB &amp; MCC Cost Audit 2020-Curren'!$P:$P,'TB &amp; MCC Cost Audit 2020-Curren'!$C:$C,'MCC Margin Analysis'!$A$1,'TB &amp; MCC Cost Audit 2020-Curren'!$D:$D,'MCC Margin Analysis'!G$3,'TB &amp; MCC Cost Audit 2020-Curren'!$A:$A,'MCC Margin Analysis'!$B16)</f>
        <v>30481</v>
      </c>
      <c r="J16" s="121">
        <f>SUMIFS('TB &amp; MCC Cost Audit 2020-Curren'!$W:$W,'TB &amp; MCC Cost Audit 2020-Curren'!$C:$C,'MCC Margin Analysis'!$A$1,'TB &amp; MCC Cost Audit 2020-Curren'!$D:$D,'MCC Margin Analysis'!J$3,'TB &amp; MCC Cost Audit 2020-Curren'!$A:$A,'MCC Margin Analysis'!$B16)</f>
        <v>0</v>
      </c>
      <c r="K16" s="121">
        <f>SUMIFS('TB &amp; MCC Cost Audit 2020-Curren'!$W:$W,'TB &amp; MCC Cost Audit 2020-Curren'!$C:$C,'MCC Margin Analysis'!$A$1,'TB &amp; MCC Cost Audit 2020-Curren'!$D:$D,'MCC Margin Analysis'!K$3,'TB &amp; MCC Cost Audit 2020-Curren'!$A:$A,'MCC Margin Analysis'!$B16)</f>
        <v>0</v>
      </c>
      <c r="L16" s="121">
        <f>SUMIFS('TB &amp; MCC Cost Audit 2020-Curren'!$W:$W,'TB &amp; MCC Cost Audit 2020-Curren'!$C:$C,'MCC Margin Analysis'!$A$1,'TB &amp; MCC Cost Audit 2020-Curren'!$D:$D,'MCC Margin Analysis'!L$3,'TB &amp; MCC Cost Audit 2020-Curren'!$A:$A,'MCC Margin Analysis'!$B16)</f>
        <v>4789.1299999999992</v>
      </c>
      <c r="M16" s="121">
        <f>SUMIFS('TB &amp; MCC Cost Audit 2020-Curren'!$W:$W,'TB &amp; MCC Cost Audit 2020-Curren'!$C:$C,'MCC Margin Analysis'!$A$1,'TB &amp; MCC Cost Audit 2020-Curren'!$D:$D,'MCC Margin Analysis'!M$3,'TB &amp; MCC Cost Audit 2020-Curren'!$A:$A,'MCC Margin Analysis'!$B16)</f>
        <v>4229.74</v>
      </c>
      <c r="N16" s="121">
        <f>SUMIFS('TB &amp; MCC Cost Audit 2020-Curren'!$W:$W,'TB &amp; MCC Cost Audit 2020-Curren'!$C:$C,'MCC Margin Analysis'!$A$1,'TB &amp; MCC Cost Audit 2020-Curren'!$D:$D,'MCC Margin Analysis'!N$3,'TB &amp; MCC Cost Audit 2020-Curren'!$A:$A,'MCC Margin Analysis'!$B16)</f>
        <v>2939.7699999999995</v>
      </c>
      <c r="Q16" s="119" t="str">
        <f t="shared" si="5"/>
        <v xml:space="preserve"> - </v>
      </c>
      <c r="R16" s="119" t="str">
        <f t="shared" si="6"/>
        <v xml:space="preserve"> - </v>
      </c>
      <c r="S16" s="119">
        <f t="shared" si="7"/>
        <v>0.82511210926088241</v>
      </c>
      <c r="T16" s="119">
        <f t="shared" si="8"/>
        <v>0.85359662178533113</v>
      </c>
      <c r="U16" s="119">
        <f t="shared" si="9"/>
        <v>0.90355401725665163</v>
      </c>
    </row>
    <row r="17" spans="2:21" x14ac:dyDescent="0.15">
      <c r="B17" s="54" t="s">
        <v>127</v>
      </c>
      <c r="C17" s="121">
        <f>SUMIFS('TB &amp; MCC Cost Audit 2020-Curren'!$P:$P,'TB &amp; MCC Cost Audit 2020-Curren'!$C:$C,'MCC Margin Analysis'!$A$1,'TB &amp; MCC Cost Audit 2020-Curren'!$D:$D,'MCC Margin Analysis'!C$3,'TB &amp; MCC Cost Audit 2020-Curren'!$A:$A,'MCC Margin Analysis'!$B17)</f>
        <v>0</v>
      </c>
      <c r="D17" s="121">
        <f>SUMIFS('TB &amp; MCC Cost Audit 2020-Curren'!$P:$P,'TB &amp; MCC Cost Audit 2020-Curren'!$C:$C,'MCC Margin Analysis'!$A$1,'TB &amp; MCC Cost Audit 2020-Curren'!$D:$D,'MCC Margin Analysis'!D$3,'TB &amp; MCC Cost Audit 2020-Curren'!$A:$A,'MCC Margin Analysis'!$B17)</f>
        <v>22926.959999999999</v>
      </c>
      <c r="E17" s="121">
        <f>SUMIFS('TB &amp; MCC Cost Audit 2020-Curren'!$P:$P,'TB &amp; MCC Cost Audit 2020-Curren'!$C:$C,'MCC Margin Analysis'!$A$1,'TB &amp; MCC Cost Audit 2020-Curren'!$D:$D,'MCC Margin Analysis'!E$3,'TB &amp; MCC Cost Audit 2020-Curren'!$A:$A,'MCC Margin Analysis'!$B17)</f>
        <v>29577</v>
      </c>
      <c r="F17" s="121">
        <f>SUMIFS('TB &amp; MCC Cost Audit 2020-Curren'!$P:$P,'TB &amp; MCC Cost Audit 2020-Curren'!$C:$C,'MCC Margin Analysis'!$A$1,'TB &amp; MCC Cost Audit 2020-Curren'!$D:$D,'MCC Margin Analysis'!F$3,'TB &amp; MCC Cost Audit 2020-Curren'!$A:$A,'MCC Margin Analysis'!$B17)</f>
        <v>31795</v>
      </c>
      <c r="G17" s="121">
        <f>SUMIFS('TB &amp; MCC Cost Audit 2020-Curren'!$P:$P,'TB &amp; MCC Cost Audit 2020-Curren'!$C:$C,'MCC Margin Analysis'!$A$1,'TB &amp; MCC Cost Audit 2020-Curren'!$D:$D,'MCC Margin Analysis'!G$3,'TB &amp; MCC Cost Audit 2020-Curren'!$A:$A,'MCC Margin Analysis'!$B17)</f>
        <v>34181</v>
      </c>
      <c r="J17" s="121">
        <f>SUMIFS('TB &amp; MCC Cost Audit 2020-Curren'!$W:$W,'TB &amp; MCC Cost Audit 2020-Curren'!$C:$C,'MCC Margin Analysis'!$A$1,'TB &amp; MCC Cost Audit 2020-Curren'!$D:$D,'MCC Margin Analysis'!J$3,'TB &amp; MCC Cost Audit 2020-Curren'!$A:$A,'MCC Margin Analysis'!$B17)</f>
        <v>0</v>
      </c>
      <c r="K17" s="121">
        <f>SUMIFS('TB &amp; MCC Cost Audit 2020-Curren'!$W:$W,'TB &amp; MCC Cost Audit 2020-Curren'!$C:$C,'MCC Margin Analysis'!$A$1,'TB &amp; MCC Cost Audit 2020-Curren'!$D:$D,'MCC Margin Analysis'!K$3,'TB &amp; MCC Cost Audit 2020-Curren'!$A:$A,'MCC Margin Analysis'!$B17)</f>
        <v>6451.2999999999993</v>
      </c>
      <c r="L17" s="121">
        <f>SUMIFS('TB &amp; MCC Cost Audit 2020-Curren'!$W:$W,'TB &amp; MCC Cost Audit 2020-Curren'!$C:$C,'MCC Margin Analysis'!$A$1,'TB &amp; MCC Cost Audit 2020-Curren'!$D:$D,'MCC Margin Analysis'!L$3,'TB &amp; MCC Cost Audit 2020-Curren'!$A:$A,'MCC Margin Analysis'!$B17)</f>
        <v>5366.34</v>
      </c>
      <c r="M17" s="121">
        <f>SUMIFS('TB &amp; MCC Cost Audit 2020-Curren'!$W:$W,'TB &amp; MCC Cost Audit 2020-Curren'!$C:$C,'MCC Margin Analysis'!$A$1,'TB &amp; MCC Cost Audit 2020-Curren'!$D:$D,'MCC Margin Analysis'!M$3,'TB &amp; MCC Cost Audit 2020-Curren'!$A:$A,'MCC Margin Analysis'!$B17)</f>
        <v>4884.9799999999996</v>
      </c>
      <c r="N17" s="121">
        <f>SUMIFS('TB &amp; MCC Cost Audit 2020-Curren'!$W:$W,'TB &amp; MCC Cost Audit 2020-Curren'!$C:$C,'MCC Margin Analysis'!$A$1,'TB &amp; MCC Cost Audit 2020-Curren'!$D:$D,'MCC Margin Analysis'!N$3,'TB &amp; MCC Cost Audit 2020-Curren'!$A:$A,'MCC Margin Analysis'!$B17)</f>
        <v>4492.96</v>
      </c>
      <c r="Q17" s="119" t="str">
        <f t="shared" si="5"/>
        <v xml:space="preserve"> - </v>
      </c>
      <c r="R17" s="119">
        <f t="shared" si="6"/>
        <v>0.71861511513083287</v>
      </c>
      <c r="S17" s="119">
        <f t="shared" si="7"/>
        <v>0.81856374885891059</v>
      </c>
      <c r="T17" s="119">
        <f t="shared" si="8"/>
        <v>0.84636011951564716</v>
      </c>
      <c r="U17" s="119">
        <f t="shared" si="9"/>
        <v>0.86855387495977299</v>
      </c>
    </row>
    <row r="18" spans="2:21" x14ac:dyDescent="0.15">
      <c r="B18" s="54" t="s">
        <v>296</v>
      </c>
      <c r="C18" s="121">
        <f>SUMIFS('TB &amp; MCC Cost Audit 2020-Curren'!$P:$P,'TB &amp; MCC Cost Audit 2020-Curren'!$C:$C,'MCC Margin Analysis'!$A$1,'TB &amp; MCC Cost Audit 2020-Curren'!$D:$D,'MCC Margin Analysis'!C$3,'TB &amp; MCC Cost Audit 2020-Curren'!$A:$A,'MCC Margin Analysis'!$B18)</f>
        <v>32114.75</v>
      </c>
      <c r="D18" s="121">
        <f>SUMIFS('TB &amp; MCC Cost Audit 2020-Curren'!$P:$P,'TB &amp; MCC Cost Audit 2020-Curren'!$C:$C,'MCC Margin Analysis'!$A$1,'TB &amp; MCC Cost Audit 2020-Curren'!$D:$D,'MCC Margin Analysis'!D$3,'TB &amp; MCC Cost Audit 2020-Curren'!$A:$A,'MCC Margin Analysis'!$B18)</f>
        <v>32114.995999999999</v>
      </c>
      <c r="E18" s="121">
        <f>SUMIFS('TB &amp; MCC Cost Audit 2020-Curren'!$P:$P,'TB &amp; MCC Cost Audit 2020-Curren'!$C:$C,'MCC Margin Analysis'!$A$1,'TB &amp; MCC Cost Audit 2020-Curren'!$D:$D,'MCC Margin Analysis'!E$3,'TB &amp; MCC Cost Audit 2020-Curren'!$A:$A,'MCC Margin Analysis'!$B18)</f>
        <v>32115.479999999996</v>
      </c>
      <c r="F18" s="121">
        <f>SUMIFS('TB &amp; MCC Cost Audit 2020-Curren'!$P:$P,'TB &amp; MCC Cost Audit 2020-Curren'!$C:$C,'MCC Margin Analysis'!$A$1,'TB &amp; MCC Cost Audit 2020-Curren'!$D:$D,'MCC Margin Analysis'!F$3,'TB &amp; MCC Cost Audit 2020-Curren'!$A:$A,'MCC Margin Analysis'!$B18)</f>
        <v>28480</v>
      </c>
      <c r="G18" s="121">
        <f>SUMIFS('TB &amp; MCC Cost Audit 2020-Curren'!$P:$P,'TB &amp; MCC Cost Audit 2020-Curren'!$C:$C,'MCC Margin Analysis'!$A$1,'TB &amp; MCC Cost Audit 2020-Curren'!$D:$D,'MCC Margin Analysis'!G$3,'TB &amp; MCC Cost Audit 2020-Curren'!$A:$A,'MCC Margin Analysis'!$B18)</f>
        <v>32915</v>
      </c>
      <c r="J18" s="121">
        <f>SUMIFS('TB &amp; MCC Cost Audit 2020-Curren'!$W:$W,'TB &amp; MCC Cost Audit 2020-Curren'!$C:$C,'MCC Margin Analysis'!$A$1,'TB &amp; MCC Cost Audit 2020-Curren'!$D:$D,'MCC Margin Analysis'!J$3,'TB &amp; MCC Cost Audit 2020-Curren'!$A:$A,'MCC Margin Analysis'!$B18)</f>
        <v>2957.76</v>
      </c>
      <c r="K18" s="121">
        <f>SUMIFS('TB &amp; MCC Cost Audit 2020-Curren'!$W:$W,'TB &amp; MCC Cost Audit 2020-Curren'!$C:$C,'MCC Margin Analysis'!$A$1,'TB &amp; MCC Cost Audit 2020-Curren'!$D:$D,'MCC Margin Analysis'!K$3,'TB &amp; MCC Cost Audit 2020-Curren'!$A:$A,'MCC Margin Analysis'!$B18)</f>
        <v>7440.36</v>
      </c>
      <c r="L18" s="121">
        <f>SUMIFS('TB &amp; MCC Cost Audit 2020-Curren'!$W:$W,'TB &amp; MCC Cost Audit 2020-Curren'!$C:$C,'MCC Margin Analysis'!$A$1,'TB &amp; MCC Cost Audit 2020-Curren'!$D:$D,'MCC Margin Analysis'!L$3,'TB &amp; MCC Cost Audit 2020-Curren'!$A:$A,'MCC Margin Analysis'!$B18)</f>
        <v>8735.380000000001</v>
      </c>
      <c r="M18" s="121">
        <f>SUMIFS('TB &amp; MCC Cost Audit 2020-Curren'!$W:$W,'TB &amp; MCC Cost Audit 2020-Curren'!$C:$C,'MCC Margin Analysis'!$A$1,'TB &amp; MCC Cost Audit 2020-Curren'!$D:$D,'MCC Margin Analysis'!M$3,'TB &amp; MCC Cost Audit 2020-Curren'!$A:$A,'MCC Margin Analysis'!$B18)</f>
        <v>9199.7800000000007</v>
      </c>
      <c r="N18" s="121">
        <f>SUMIFS('TB &amp; MCC Cost Audit 2020-Curren'!$W:$W,'TB &amp; MCC Cost Audit 2020-Curren'!$C:$C,'MCC Margin Analysis'!$A$1,'TB &amp; MCC Cost Audit 2020-Curren'!$D:$D,'MCC Margin Analysis'!N$3,'TB &amp; MCC Cost Audit 2020-Curren'!$A:$A,'MCC Margin Analysis'!$B18)</f>
        <v>4838.3</v>
      </c>
      <c r="Q18" s="119">
        <f t="shared" si="5"/>
        <v>0.90790026389743028</v>
      </c>
      <c r="R18" s="119">
        <f t="shared" si="6"/>
        <v>0.76832131630967659</v>
      </c>
      <c r="S18" s="119">
        <f t="shared" si="7"/>
        <v>0.72800095156603595</v>
      </c>
      <c r="T18" s="119">
        <f t="shared" si="8"/>
        <v>0.67697401685393266</v>
      </c>
      <c r="U18" s="119">
        <f t="shared" si="9"/>
        <v>0.85300622816345129</v>
      </c>
    </row>
    <row r="19" spans="2:21" x14ac:dyDescent="0.15">
      <c r="B19" s="54" t="s">
        <v>307</v>
      </c>
      <c r="C19" s="121">
        <f>SUMIFS('TB &amp; MCC Cost Audit 2020-Curren'!$P:$P,'TB &amp; MCC Cost Audit 2020-Curren'!$C:$C,'MCC Margin Analysis'!$A$1,'TB &amp; MCC Cost Audit 2020-Curren'!$D:$D,'MCC Margin Analysis'!C$3,'TB &amp; MCC Cost Audit 2020-Curren'!$A:$A,'MCC Margin Analysis'!$B19)</f>
        <v>29746</v>
      </c>
      <c r="D19" s="121">
        <f>SUMIFS('TB &amp; MCC Cost Audit 2020-Curren'!$P:$P,'TB &amp; MCC Cost Audit 2020-Curren'!$C:$C,'MCC Margin Analysis'!$A$1,'TB &amp; MCC Cost Audit 2020-Curren'!$D:$D,'MCC Margin Analysis'!D$3,'TB &amp; MCC Cost Audit 2020-Curren'!$A:$A,'MCC Margin Analysis'!$B19)</f>
        <v>29746</v>
      </c>
      <c r="E19" s="121">
        <f>SUMIFS('TB &amp; MCC Cost Audit 2020-Curren'!$P:$P,'TB &amp; MCC Cost Audit 2020-Curren'!$C:$C,'MCC Margin Analysis'!$A$1,'TB &amp; MCC Cost Audit 2020-Curren'!$D:$D,'MCC Margin Analysis'!E$3,'TB &amp; MCC Cost Audit 2020-Curren'!$A:$A,'MCC Margin Analysis'!$B19)</f>
        <v>35984</v>
      </c>
      <c r="F19" s="121">
        <f>SUMIFS('TB &amp; MCC Cost Audit 2020-Curren'!$P:$P,'TB &amp; MCC Cost Audit 2020-Curren'!$C:$C,'MCC Margin Analysis'!$A$1,'TB &amp; MCC Cost Audit 2020-Curren'!$D:$D,'MCC Margin Analysis'!F$3,'TB &amp; MCC Cost Audit 2020-Curren'!$A:$A,'MCC Margin Analysis'!$B19)</f>
        <v>38684</v>
      </c>
      <c r="G19" s="121">
        <f>SUMIFS('TB &amp; MCC Cost Audit 2020-Curren'!$P:$P,'TB &amp; MCC Cost Audit 2020-Curren'!$C:$C,'MCC Margin Analysis'!$A$1,'TB &amp; MCC Cost Audit 2020-Curren'!$D:$D,'MCC Margin Analysis'!G$3,'TB &amp; MCC Cost Audit 2020-Curren'!$A:$A,'MCC Margin Analysis'!$B19)</f>
        <v>0</v>
      </c>
      <c r="J19" s="121">
        <f>SUMIFS('TB &amp; MCC Cost Audit 2020-Curren'!$W:$W,'TB &amp; MCC Cost Audit 2020-Curren'!$C:$C,'MCC Margin Analysis'!$A$1,'TB &amp; MCC Cost Audit 2020-Curren'!$D:$D,'MCC Margin Analysis'!J$3,'TB &amp; MCC Cost Audit 2020-Curren'!$A:$A,'MCC Margin Analysis'!$B19)</f>
        <v>2484.4299999999998</v>
      </c>
      <c r="K19" s="121">
        <f>SUMIFS('TB &amp; MCC Cost Audit 2020-Curren'!$W:$W,'TB &amp; MCC Cost Audit 2020-Curren'!$C:$C,'MCC Margin Analysis'!$A$1,'TB &amp; MCC Cost Audit 2020-Curren'!$D:$D,'MCC Margin Analysis'!K$3,'TB &amp; MCC Cost Audit 2020-Curren'!$A:$A,'MCC Margin Analysis'!$B19)</f>
        <v>5219.0399999999991</v>
      </c>
      <c r="L19" s="121">
        <f>SUMIFS('TB &amp; MCC Cost Audit 2020-Curren'!$W:$W,'TB &amp; MCC Cost Audit 2020-Curren'!$C:$C,'MCC Margin Analysis'!$A$1,'TB &amp; MCC Cost Audit 2020-Curren'!$D:$D,'MCC Margin Analysis'!L$3,'TB &amp; MCC Cost Audit 2020-Curren'!$A:$A,'MCC Margin Analysis'!$B19)</f>
        <v>3476.7799999999997</v>
      </c>
      <c r="M19" s="121">
        <f>SUMIFS('TB &amp; MCC Cost Audit 2020-Curren'!$W:$W,'TB &amp; MCC Cost Audit 2020-Curren'!$C:$C,'MCC Margin Analysis'!$A$1,'TB &amp; MCC Cost Audit 2020-Curren'!$D:$D,'MCC Margin Analysis'!M$3,'TB &amp; MCC Cost Audit 2020-Curren'!$A:$A,'MCC Margin Analysis'!$B19)</f>
        <v>3649.94</v>
      </c>
      <c r="N19" s="121">
        <f>SUMIFS('TB &amp; MCC Cost Audit 2020-Curren'!$W:$W,'TB &amp; MCC Cost Audit 2020-Curren'!$C:$C,'MCC Margin Analysis'!$A$1,'TB &amp; MCC Cost Audit 2020-Curren'!$D:$D,'MCC Margin Analysis'!N$3,'TB &amp; MCC Cost Audit 2020-Curren'!$A:$A,'MCC Margin Analysis'!$B19)</f>
        <v>0</v>
      </c>
      <c r="Q19" s="119">
        <f t="shared" si="5"/>
        <v>0.91647851812008341</v>
      </c>
      <c r="R19" s="119">
        <f t="shared" si="6"/>
        <v>0.82454649364620447</v>
      </c>
      <c r="S19" s="119">
        <f t="shared" si="7"/>
        <v>0.90337983548243672</v>
      </c>
      <c r="T19" s="119">
        <f t="shared" si="8"/>
        <v>0.90564729603970628</v>
      </c>
      <c r="U19" s="119" t="str">
        <f t="shared" si="9"/>
        <v xml:space="preserve"> - </v>
      </c>
    </row>
    <row r="20" spans="2:21" x14ac:dyDescent="0.15">
      <c r="B20" s="54" t="s">
        <v>200</v>
      </c>
      <c r="C20" s="121">
        <f>SUMIFS('TB &amp; MCC Cost Audit 2020-Curren'!$P:$P,'TB &amp; MCC Cost Audit 2020-Curren'!$C:$C,'MCC Margin Analysis'!$A$1,'TB &amp; MCC Cost Audit 2020-Curren'!$D:$D,'MCC Margin Analysis'!C$3,'TB &amp; MCC Cost Audit 2020-Curren'!$A:$A,'MCC Margin Analysis'!$B20)</f>
        <v>9116</v>
      </c>
      <c r="D20" s="121">
        <f>SUMIFS('TB &amp; MCC Cost Audit 2020-Curren'!$P:$P,'TB &amp; MCC Cost Audit 2020-Curren'!$C:$C,'MCC Margin Analysis'!$A$1,'TB &amp; MCC Cost Audit 2020-Curren'!$D:$D,'MCC Margin Analysis'!D$3,'TB &amp; MCC Cost Audit 2020-Curren'!$A:$A,'MCC Margin Analysis'!$B20)</f>
        <v>0</v>
      </c>
      <c r="E20" s="121">
        <f>SUMIFS('TB &amp; MCC Cost Audit 2020-Curren'!$P:$P,'TB &amp; MCC Cost Audit 2020-Curren'!$C:$C,'MCC Margin Analysis'!$A$1,'TB &amp; MCC Cost Audit 2020-Curren'!$D:$D,'MCC Margin Analysis'!E$3,'TB &amp; MCC Cost Audit 2020-Curren'!$A:$A,'MCC Margin Analysis'!$B20)</f>
        <v>0</v>
      </c>
      <c r="F20" s="121">
        <f>SUMIFS('TB &amp; MCC Cost Audit 2020-Curren'!$P:$P,'TB &amp; MCC Cost Audit 2020-Curren'!$C:$C,'MCC Margin Analysis'!$A$1,'TB &amp; MCC Cost Audit 2020-Curren'!$D:$D,'MCC Margin Analysis'!F$3,'TB &amp; MCC Cost Audit 2020-Curren'!$A:$A,'MCC Margin Analysis'!$B20)</f>
        <v>0</v>
      </c>
      <c r="G20" s="121">
        <f>SUMIFS('TB &amp; MCC Cost Audit 2020-Curren'!$P:$P,'TB &amp; MCC Cost Audit 2020-Curren'!$C:$C,'MCC Margin Analysis'!$A$1,'TB &amp; MCC Cost Audit 2020-Curren'!$D:$D,'MCC Margin Analysis'!G$3,'TB &amp; MCC Cost Audit 2020-Curren'!$A:$A,'MCC Margin Analysis'!$B20)</f>
        <v>11892</v>
      </c>
      <c r="J20" s="121">
        <f>SUMIFS('TB &amp; MCC Cost Audit 2020-Curren'!$W:$W,'TB &amp; MCC Cost Audit 2020-Curren'!$C:$C,'MCC Margin Analysis'!$A$1,'TB &amp; MCC Cost Audit 2020-Curren'!$D:$D,'MCC Margin Analysis'!J$3,'TB &amp; MCC Cost Audit 2020-Curren'!$A:$A,'MCC Margin Analysis'!$B20)</f>
        <v>1884.8400000000001</v>
      </c>
      <c r="K20" s="121">
        <f>SUMIFS('TB &amp; MCC Cost Audit 2020-Curren'!$W:$W,'TB &amp; MCC Cost Audit 2020-Curren'!$C:$C,'MCC Margin Analysis'!$A$1,'TB &amp; MCC Cost Audit 2020-Curren'!$D:$D,'MCC Margin Analysis'!K$3,'TB &amp; MCC Cost Audit 2020-Curren'!$A:$A,'MCC Margin Analysis'!$B20)</f>
        <v>0</v>
      </c>
      <c r="L20" s="121">
        <f>SUMIFS('TB &amp; MCC Cost Audit 2020-Curren'!$W:$W,'TB &amp; MCC Cost Audit 2020-Curren'!$C:$C,'MCC Margin Analysis'!$A$1,'TB &amp; MCC Cost Audit 2020-Curren'!$D:$D,'MCC Margin Analysis'!L$3,'TB &amp; MCC Cost Audit 2020-Curren'!$A:$A,'MCC Margin Analysis'!$B20)</f>
        <v>0</v>
      </c>
      <c r="M20" s="121">
        <f>SUMIFS('TB &amp; MCC Cost Audit 2020-Curren'!$W:$W,'TB &amp; MCC Cost Audit 2020-Curren'!$C:$C,'MCC Margin Analysis'!$A$1,'TB &amp; MCC Cost Audit 2020-Curren'!$D:$D,'MCC Margin Analysis'!M$3,'TB &amp; MCC Cost Audit 2020-Curren'!$A:$A,'MCC Margin Analysis'!$B20)</f>
        <v>0</v>
      </c>
      <c r="N20" s="121">
        <f>SUMIFS('TB &amp; MCC Cost Audit 2020-Curren'!$W:$W,'TB &amp; MCC Cost Audit 2020-Curren'!$C:$C,'MCC Margin Analysis'!$A$1,'TB &amp; MCC Cost Audit 2020-Curren'!$D:$D,'MCC Margin Analysis'!N$3,'TB &amp; MCC Cost Audit 2020-Curren'!$A:$A,'MCC Margin Analysis'!$B20)</f>
        <v>4238.84</v>
      </c>
      <c r="Q20" s="119">
        <f t="shared" si="5"/>
        <v>0.79323826239578765</v>
      </c>
      <c r="R20" s="119" t="str">
        <f t="shared" si="6"/>
        <v xml:space="preserve"> - </v>
      </c>
      <c r="S20" s="119" t="str">
        <f t="shared" si="7"/>
        <v xml:space="preserve"> - </v>
      </c>
      <c r="T20" s="119" t="str">
        <f t="shared" si="8"/>
        <v xml:space="preserve"> - </v>
      </c>
      <c r="U20" s="119">
        <f t="shared" si="9"/>
        <v>0.64355533131516984</v>
      </c>
    </row>
    <row r="21" spans="2:21" x14ac:dyDescent="0.15">
      <c r="B21" s="54" t="s">
        <v>758</v>
      </c>
      <c r="C21" s="121">
        <f>SUMIFS('TB &amp; MCC Cost Audit 2020-Curren'!$P:$P,'TB &amp; MCC Cost Audit 2020-Curren'!$C:$C,'MCC Margin Analysis'!$A$1,'TB &amp; MCC Cost Audit 2020-Curren'!$D:$D,'MCC Margin Analysis'!C$3,'TB &amp; MCC Cost Audit 2020-Curren'!$A:$A,'MCC Margin Analysis'!$B21)</f>
        <v>0</v>
      </c>
      <c r="D21" s="121">
        <f>SUMIFS('TB &amp; MCC Cost Audit 2020-Curren'!$P:$P,'TB &amp; MCC Cost Audit 2020-Curren'!$C:$C,'MCC Margin Analysis'!$A$1,'TB &amp; MCC Cost Audit 2020-Curren'!$D:$D,'MCC Margin Analysis'!D$3,'TB &amp; MCC Cost Audit 2020-Curren'!$A:$A,'MCC Margin Analysis'!$B21)</f>
        <v>0</v>
      </c>
      <c r="E21" s="121">
        <f>SUMIFS('TB &amp; MCC Cost Audit 2020-Curren'!$P:$P,'TB &amp; MCC Cost Audit 2020-Curren'!$C:$C,'MCC Margin Analysis'!$A$1,'TB &amp; MCC Cost Audit 2020-Curren'!$D:$D,'MCC Margin Analysis'!E$3,'TB &amp; MCC Cost Audit 2020-Curren'!$A:$A,'MCC Margin Analysis'!$B21)</f>
        <v>0</v>
      </c>
      <c r="F21" s="121">
        <f>SUMIFS('TB &amp; MCC Cost Audit 2020-Curren'!$P:$P,'TB &amp; MCC Cost Audit 2020-Curren'!$C:$C,'MCC Margin Analysis'!$A$1,'TB &amp; MCC Cost Audit 2020-Curren'!$D:$D,'MCC Margin Analysis'!F$3,'TB &amp; MCC Cost Audit 2020-Curren'!$A:$A,'MCC Margin Analysis'!$B21)</f>
        <v>0</v>
      </c>
      <c r="G21" s="121">
        <f>SUMIFS('TB &amp; MCC Cost Audit 2020-Curren'!$P:$P,'TB &amp; MCC Cost Audit 2020-Curren'!$C:$C,'MCC Margin Analysis'!$A$1,'TB &amp; MCC Cost Audit 2020-Curren'!$D:$D,'MCC Margin Analysis'!G$3,'TB &amp; MCC Cost Audit 2020-Curren'!$A:$A,'MCC Margin Analysis'!$B21)</f>
        <v>16508</v>
      </c>
      <c r="J21" s="121">
        <f>SUMIFS('TB &amp; MCC Cost Audit 2020-Curren'!$W:$W,'TB &amp; MCC Cost Audit 2020-Curren'!$C:$C,'MCC Margin Analysis'!$A$1,'TB &amp; MCC Cost Audit 2020-Curren'!$D:$D,'MCC Margin Analysis'!J$3,'TB &amp; MCC Cost Audit 2020-Curren'!$A:$A,'MCC Margin Analysis'!$B21)</f>
        <v>0</v>
      </c>
      <c r="K21" s="121">
        <f>SUMIFS('TB &amp; MCC Cost Audit 2020-Curren'!$W:$W,'TB &amp; MCC Cost Audit 2020-Curren'!$C:$C,'MCC Margin Analysis'!$A$1,'TB &amp; MCC Cost Audit 2020-Curren'!$D:$D,'MCC Margin Analysis'!K$3,'TB &amp; MCC Cost Audit 2020-Curren'!$A:$A,'MCC Margin Analysis'!$B21)</f>
        <v>0</v>
      </c>
      <c r="L21" s="121">
        <f>SUMIFS('TB &amp; MCC Cost Audit 2020-Curren'!$W:$W,'TB &amp; MCC Cost Audit 2020-Curren'!$C:$C,'MCC Margin Analysis'!$A$1,'TB &amp; MCC Cost Audit 2020-Curren'!$D:$D,'MCC Margin Analysis'!L$3,'TB &amp; MCC Cost Audit 2020-Curren'!$A:$A,'MCC Margin Analysis'!$B21)</f>
        <v>0</v>
      </c>
      <c r="M21" s="121">
        <f>SUMIFS('TB &amp; MCC Cost Audit 2020-Curren'!$W:$W,'TB &amp; MCC Cost Audit 2020-Curren'!$C:$C,'MCC Margin Analysis'!$A$1,'TB &amp; MCC Cost Audit 2020-Curren'!$D:$D,'MCC Margin Analysis'!M$3,'TB &amp; MCC Cost Audit 2020-Curren'!$A:$A,'MCC Margin Analysis'!$B21)</f>
        <v>0</v>
      </c>
      <c r="N21" s="121">
        <f>SUMIFS('TB &amp; MCC Cost Audit 2020-Curren'!$W:$W,'TB &amp; MCC Cost Audit 2020-Curren'!$C:$C,'MCC Margin Analysis'!$A$1,'TB &amp; MCC Cost Audit 2020-Curren'!$D:$D,'MCC Margin Analysis'!N$3,'TB &amp; MCC Cost Audit 2020-Curren'!$A:$A,'MCC Margin Analysis'!$B21)</f>
        <v>8861.92</v>
      </c>
      <c r="Q21" s="119" t="str">
        <f t="shared" si="5"/>
        <v xml:space="preserve"> - </v>
      </c>
      <c r="R21" s="119" t="str">
        <f t="shared" si="6"/>
        <v xml:space="preserve"> - </v>
      </c>
      <c r="S21" s="119" t="str">
        <f t="shared" si="7"/>
        <v xml:space="preserve"> - </v>
      </c>
      <c r="T21" s="119" t="str">
        <f t="shared" si="8"/>
        <v xml:space="preserve"> - </v>
      </c>
      <c r="U21" s="119">
        <f t="shared" si="9"/>
        <v>0.46317421856069785</v>
      </c>
    </row>
    <row r="22" spans="2:21" x14ac:dyDescent="0.15">
      <c r="B22" s="54" t="s">
        <v>67</v>
      </c>
      <c r="C22" s="121">
        <f>SUMIFS('TB &amp; MCC Cost Audit 2020-Curren'!$P:$P,'TB &amp; MCC Cost Audit 2020-Curren'!$C:$C,'MCC Margin Analysis'!$A$1,'TB &amp; MCC Cost Audit 2020-Curren'!$D:$D,'MCC Margin Analysis'!C$3,'TB &amp; MCC Cost Audit 2020-Curren'!$A:$A,'MCC Margin Analysis'!$B22)</f>
        <v>0</v>
      </c>
      <c r="D22" s="121">
        <f>SUMIFS('TB &amp; MCC Cost Audit 2020-Curren'!$P:$P,'TB &amp; MCC Cost Audit 2020-Curren'!$C:$C,'MCC Margin Analysis'!$A$1,'TB &amp; MCC Cost Audit 2020-Curren'!$D:$D,'MCC Margin Analysis'!D$3,'TB &amp; MCC Cost Audit 2020-Curren'!$A:$A,'MCC Margin Analysis'!$B22)</f>
        <v>0</v>
      </c>
      <c r="E22" s="121">
        <f>SUMIFS('TB &amp; MCC Cost Audit 2020-Curren'!$P:$P,'TB &amp; MCC Cost Audit 2020-Curren'!$C:$C,'MCC Margin Analysis'!$A$1,'TB &amp; MCC Cost Audit 2020-Curren'!$D:$D,'MCC Margin Analysis'!E$3,'TB &amp; MCC Cost Audit 2020-Curren'!$A:$A,'MCC Margin Analysis'!$B22)</f>
        <v>0</v>
      </c>
      <c r="F22" s="121">
        <f>SUMIFS('TB &amp; MCC Cost Audit 2020-Curren'!$P:$P,'TB &amp; MCC Cost Audit 2020-Curren'!$C:$C,'MCC Margin Analysis'!$A$1,'TB &amp; MCC Cost Audit 2020-Curren'!$D:$D,'MCC Margin Analysis'!F$3,'TB &amp; MCC Cost Audit 2020-Curren'!$A:$A,'MCC Margin Analysis'!$B22)</f>
        <v>0</v>
      </c>
      <c r="G22" s="121">
        <f>SUMIFS('TB &amp; MCC Cost Audit 2020-Curren'!$P:$P,'TB &amp; MCC Cost Audit 2020-Curren'!$C:$C,'MCC Margin Analysis'!$A$1,'TB &amp; MCC Cost Audit 2020-Curren'!$D:$D,'MCC Margin Analysis'!G$3,'TB &amp; MCC Cost Audit 2020-Curren'!$A:$A,'MCC Margin Analysis'!$B22)</f>
        <v>0</v>
      </c>
      <c r="J22" s="121">
        <f>SUMIFS('TB &amp; MCC Cost Audit 2020-Curren'!$W:$W,'TB &amp; MCC Cost Audit 2020-Curren'!$C:$C,'MCC Margin Analysis'!$A$1,'TB &amp; MCC Cost Audit 2020-Curren'!$D:$D,'MCC Margin Analysis'!J$3,'TB &amp; MCC Cost Audit 2020-Curren'!$A:$A,'MCC Margin Analysis'!$B22)</f>
        <v>0</v>
      </c>
      <c r="K22" s="121">
        <f>SUMIFS('TB &amp; MCC Cost Audit 2020-Curren'!$W:$W,'TB &amp; MCC Cost Audit 2020-Curren'!$C:$C,'MCC Margin Analysis'!$A$1,'TB &amp; MCC Cost Audit 2020-Curren'!$D:$D,'MCC Margin Analysis'!K$3,'TB &amp; MCC Cost Audit 2020-Curren'!$A:$A,'MCC Margin Analysis'!$B22)</f>
        <v>0</v>
      </c>
      <c r="L22" s="121">
        <f>SUMIFS('TB &amp; MCC Cost Audit 2020-Curren'!$W:$W,'TB &amp; MCC Cost Audit 2020-Curren'!$C:$C,'MCC Margin Analysis'!$A$1,'TB &amp; MCC Cost Audit 2020-Curren'!$D:$D,'MCC Margin Analysis'!L$3,'TB &amp; MCC Cost Audit 2020-Curren'!$A:$A,'MCC Margin Analysis'!$B22)</f>
        <v>0</v>
      </c>
      <c r="M22" s="121">
        <f>SUMIFS('TB &amp; MCC Cost Audit 2020-Curren'!$W:$W,'TB &amp; MCC Cost Audit 2020-Curren'!$C:$C,'MCC Margin Analysis'!$A$1,'TB &amp; MCC Cost Audit 2020-Curren'!$D:$D,'MCC Margin Analysis'!M$3,'TB &amp; MCC Cost Audit 2020-Curren'!$A:$A,'MCC Margin Analysis'!$B22)</f>
        <v>0</v>
      </c>
      <c r="N22" s="121">
        <f>SUMIFS('TB &amp; MCC Cost Audit 2020-Curren'!$W:$W,'TB &amp; MCC Cost Audit 2020-Curren'!$C:$C,'MCC Margin Analysis'!$A$1,'TB &amp; MCC Cost Audit 2020-Curren'!$D:$D,'MCC Margin Analysis'!N$3,'TB &amp; MCC Cost Audit 2020-Curren'!$A:$A,'MCC Margin Analysis'!$B22)</f>
        <v>0</v>
      </c>
      <c r="Q22" s="119" t="str">
        <f t="shared" si="5"/>
        <v xml:space="preserve"> - </v>
      </c>
      <c r="R22" s="119" t="str">
        <f t="shared" si="6"/>
        <v xml:space="preserve"> - </v>
      </c>
      <c r="S22" s="119" t="str">
        <f t="shared" si="7"/>
        <v xml:space="preserve"> - </v>
      </c>
      <c r="T22" s="119" t="str">
        <f t="shared" si="8"/>
        <v xml:space="preserve"> - </v>
      </c>
      <c r="U22" s="119" t="str">
        <f t="shared" si="9"/>
        <v xml:space="preserve"> - </v>
      </c>
    </row>
    <row r="23" spans="2:21" x14ac:dyDescent="0.15">
      <c r="B23" s="54" t="s">
        <v>639</v>
      </c>
      <c r="C23" s="121">
        <f>SUMIFS('TB &amp; MCC Cost Audit 2020-Curren'!$P:$P,'TB &amp; MCC Cost Audit 2020-Curren'!$C:$C,'MCC Margin Analysis'!$A$1,'TB &amp; MCC Cost Audit 2020-Curren'!$D:$D,'MCC Margin Analysis'!C$3,'TB &amp; MCC Cost Audit 2020-Curren'!$A:$A,'MCC Margin Analysis'!$B23)</f>
        <v>0</v>
      </c>
      <c r="D23" s="121">
        <f>SUMIFS('TB &amp; MCC Cost Audit 2020-Curren'!$P:$P,'TB &amp; MCC Cost Audit 2020-Curren'!$C:$C,'MCC Margin Analysis'!$A$1,'TB &amp; MCC Cost Audit 2020-Curren'!$D:$D,'MCC Margin Analysis'!D$3,'TB &amp; MCC Cost Audit 2020-Curren'!$A:$A,'MCC Margin Analysis'!$B23)</f>
        <v>0</v>
      </c>
      <c r="E23" s="121">
        <f>SUMIFS('TB &amp; MCC Cost Audit 2020-Curren'!$P:$P,'TB &amp; MCC Cost Audit 2020-Curren'!$C:$C,'MCC Margin Analysis'!$A$1,'TB &amp; MCC Cost Audit 2020-Curren'!$D:$D,'MCC Margin Analysis'!E$3,'TB &amp; MCC Cost Audit 2020-Curren'!$A:$A,'MCC Margin Analysis'!$B23)</f>
        <v>0</v>
      </c>
      <c r="F23" s="121">
        <f>SUMIFS('TB &amp; MCC Cost Audit 2020-Curren'!$P:$P,'TB &amp; MCC Cost Audit 2020-Curren'!$C:$C,'MCC Margin Analysis'!$A$1,'TB &amp; MCC Cost Audit 2020-Curren'!$D:$D,'MCC Margin Analysis'!F$3,'TB &amp; MCC Cost Audit 2020-Curren'!$A:$A,'MCC Margin Analysis'!$B23)</f>
        <v>0</v>
      </c>
      <c r="G23" s="121">
        <f>SUMIFS('TB &amp; MCC Cost Audit 2020-Curren'!$P:$P,'TB &amp; MCC Cost Audit 2020-Curren'!$C:$C,'MCC Margin Analysis'!$A$1,'TB &amp; MCC Cost Audit 2020-Curren'!$D:$D,'MCC Margin Analysis'!G$3,'TB &amp; MCC Cost Audit 2020-Curren'!$A:$A,'MCC Margin Analysis'!$B23)</f>
        <v>30893</v>
      </c>
      <c r="J23" s="121">
        <f>SUMIFS('TB &amp; MCC Cost Audit 2020-Curren'!$W:$W,'TB &amp; MCC Cost Audit 2020-Curren'!$C:$C,'MCC Margin Analysis'!$A$1,'TB &amp; MCC Cost Audit 2020-Curren'!$D:$D,'MCC Margin Analysis'!J$3,'TB &amp; MCC Cost Audit 2020-Curren'!$A:$A,'MCC Margin Analysis'!$B23)</f>
        <v>0</v>
      </c>
      <c r="K23" s="121">
        <f>SUMIFS('TB &amp; MCC Cost Audit 2020-Curren'!$W:$W,'TB &amp; MCC Cost Audit 2020-Curren'!$C:$C,'MCC Margin Analysis'!$A$1,'TB &amp; MCC Cost Audit 2020-Curren'!$D:$D,'MCC Margin Analysis'!K$3,'TB &amp; MCC Cost Audit 2020-Curren'!$A:$A,'MCC Margin Analysis'!$B23)</f>
        <v>0</v>
      </c>
      <c r="L23" s="121">
        <f>SUMIFS('TB &amp; MCC Cost Audit 2020-Curren'!$W:$W,'TB &amp; MCC Cost Audit 2020-Curren'!$C:$C,'MCC Margin Analysis'!$A$1,'TB &amp; MCC Cost Audit 2020-Curren'!$D:$D,'MCC Margin Analysis'!L$3,'TB &amp; MCC Cost Audit 2020-Curren'!$A:$A,'MCC Margin Analysis'!$B23)</f>
        <v>0</v>
      </c>
      <c r="M23" s="121">
        <f>SUMIFS('TB &amp; MCC Cost Audit 2020-Curren'!$W:$W,'TB &amp; MCC Cost Audit 2020-Curren'!$C:$C,'MCC Margin Analysis'!$A$1,'TB &amp; MCC Cost Audit 2020-Curren'!$D:$D,'MCC Margin Analysis'!M$3,'TB &amp; MCC Cost Audit 2020-Curren'!$A:$A,'MCC Margin Analysis'!$B23)</f>
        <v>0</v>
      </c>
      <c r="N23" s="121">
        <f>SUMIFS('TB &amp; MCC Cost Audit 2020-Curren'!$W:$W,'TB &amp; MCC Cost Audit 2020-Curren'!$C:$C,'MCC Margin Analysis'!$A$1,'TB &amp; MCC Cost Audit 2020-Curren'!$D:$D,'MCC Margin Analysis'!N$3,'TB &amp; MCC Cost Audit 2020-Curren'!$A:$A,'MCC Margin Analysis'!$B23)</f>
        <v>20280.36</v>
      </c>
      <c r="Q23" s="119" t="str">
        <f t="shared" si="5"/>
        <v xml:space="preserve"> - </v>
      </c>
      <c r="R23" s="119" t="str">
        <f t="shared" si="6"/>
        <v xml:space="preserve"> - </v>
      </c>
      <c r="S23" s="119" t="str">
        <f t="shared" si="7"/>
        <v xml:space="preserve"> - </v>
      </c>
      <c r="T23" s="119" t="str">
        <f t="shared" si="8"/>
        <v xml:space="preserve"> - </v>
      </c>
      <c r="U23" s="119">
        <f t="shared" si="9"/>
        <v>0.34352895477939982</v>
      </c>
    </row>
    <row r="24" spans="2:21" x14ac:dyDescent="0.15">
      <c r="B24" s="54" t="s">
        <v>365</v>
      </c>
      <c r="C24" s="121">
        <f>SUMIFS('TB &amp; MCC Cost Audit 2020-Curren'!$P:$P,'TB &amp; MCC Cost Audit 2020-Curren'!$C:$C,'MCC Margin Analysis'!$A$1,'TB &amp; MCC Cost Audit 2020-Curren'!$D:$D,'MCC Margin Analysis'!C$3,'TB &amp; MCC Cost Audit 2020-Curren'!$A:$A,'MCC Margin Analysis'!$B24)</f>
        <v>15250</v>
      </c>
      <c r="D24" s="121">
        <f>SUMIFS('TB &amp; MCC Cost Audit 2020-Curren'!$P:$P,'TB &amp; MCC Cost Audit 2020-Curren'!$C:$C,'MCC Margin Analysis'!$A$1,'TB &amp; MCC Cost Audit 2020-Curren'!$D:$D,'MCC Margin Analysis'!D$3,'TB &amp; MCC Cost Audit 2020-Curren'!$A:$A,'MCC Margin Analysis'!$B24)</f>
        <v>30995</v>
      </c>
      <c r="E24" s="121">
        <f>SUMIFS('TB &amp; MCC Cost Audit 2020-Curren'!$P:$P,'TB &amp; MCC Cost Audit 2020-Curren'!$C:$C,'MCC Margin Analysis'!$A$1,'TB &amp; MCC Cost Audit 2020-Curren'!$D:$D,'MCC Margin Analysis'!E$3,'TB &amp; MCC Cost Audit 2020-Curren'!$A:$A,'MCC Margin Analysis'!$B24)</f>
        <v>30995</v>
      </c>
      <c r="F24" s="121">
        <f>SUMIFS('TB &amp; MCC Cost Audit 2020-Curren'!$P:$P,'TB &amp; MCC Cost Audit 2020-Curren'!$C:$C,'MCC Margin Analysis'!$A$1,'TB &amp; MCC Cost Audit 2020-Curren'!$D:$D,'MCC Margin Analysis'!F$3,'TB &amp; MCC Cost Audit 2020-Curren'!$A:$A,'MCC Margin Analysis'!$B24)</f>
        <v>30995</v>
      </c>
      <c r="G24" s="121">
        <f>SUMIFS('TB &amp; MCC Cost Audit 2020-Curren'!$P:$P,'TB &amp; MCC Cost Audit 2020-Curren'!$C:$C,'MCC Margin Analysis'!$A$1,'TB &amp; MCC Cost Audit 2020-Curren'!$D:$D,'MCC Margin Analysis'!G$3,'TB &amp; MCC Cost Audit 2020-Curren'!$A:$A,'MCC Margin Analysis'!$B24)</f>
        <v>30995</v>
      </c>
      <c r="J24" s="121">
        <f>SUMIFS('TB &amp; MCC Cost Audit 2020-Curren'!$W:$W,'TB &amp; MCC Cost Audit 2020-Curren'!$C:$C,'MCC Margin Analysis'!$A$1,'TB &amp; MCC Cost Audit 2020-Curren'!$D:$D,'MCC Margin Analysis'!J$3,'TB &amp; MCC Cost Audit 2020-Curren'!$A:$A,'MCC Margin Analysis'!$B24)</f>
        <v>4114.3599999999997</v>
      </c>
      <c r="K24" s="121">
        <f>SUMIFS('TB &amp; MCC Cost Audit 2020-Curren'!$W:$W,'TB &amp; MCC Cost Audit 2020-Curren'!$C:$C,'MCC Margin Analysis'!$A$1,'TB &amp; MCC Cost Audit 2020-Curren'!$D:$D,'MCC Margin Analysis'!K$3,'TB &amp; MCC Cost Audit 2020-Curren'!$A:$A,'MCC Margin Analysis'!$B24)</f>
        <v>1361.9800000000002</v>
      </c>
      <c r="L24" s="121">
        <f>SUMIFS('TB &amp; MCC Cost Audit 2020-Curren'!$W:$W,'TB &amp; MCC Cost Audit 2020-Curren'!$C:$C,'MCC Margin Analysis'!$A$1,'TB &amp; MCC Cost Audit 2020-Curren'!$D:$D,'MCC Margin Analysis'!L$3,'TB &amp; MCC Cost Audit 2020-Curren'!$A:$A,'MCC Margin Analysis'!$B24)</f>
        <v>3865.9099999999994</v>
      </c>
      <c r="M24" s="121">
        <f>SUMIFS('TB &amp; MCC Cost Audit 2020-Curren'!$W:$W,'TB &amp; MCC Cost Audit 2020-Curren'!$C:$C,'MCC Margin Analysis'!$A$1,'TB &amp; MCC Cost Audit 2020-Curren'!$D:$D,'MCC Margin Analysis'!M$3,'TB &amp; MCC Cost Audit 2020-Curren'!$A:$A,'MCC Margin Analysis'!$B24)</f>
        <v>4033.38</v>
      </c>
      <c r="N24" s="121">
        <f>SUMIFS('TB &amp; MCC Cost Audit 2020-Curren'!$W:$W,'TB &amp; MCC Cost Audit 2020-Curren'!$C:$C,'MCC Margin Analysis'!$A$1,'TB &amp; MCC Cost Audit 2020-Curren'!$D:$D,'MCC Margin Analysis'!N$3,'TB &amp; MCC Cost Audit 2020-Curren'!$A:$A,'MCC Margin Analysis'!$B24)</f>
        <v>7804.25</v>
      </c>
      <c r="Q24" s="119">
        <f t="shared" si="5"/>
        <v>0.73020590163934418</v>
      </c>
      <c r="R24" s="119">
        <f t="shared" si="6"/>
        <v>0.95605807388288433</v>
      </c>
      <c r="S24" s="119">
        <f t="shared" si="7"/>
        <v>0.87527310856589768</v>
      </c>
      <c r="T24" s="119">
        <f t="shared" si="8"/>
        <v>0.86986997902887564</v>
      </c>
      <c r="U24" s="119">
        <f t="shared" si="9"/>
        <v>0.74820938861106634</v>
      </c>
    </row>
    <row r="25" spans="2:21" x14ac:dyDescent="0.15">
      <c r="B25" s="54" t="s">
        <v>174</v>
      </c>
      <c r="C25" s="121">
        <f>SUMIFS('TB &amp; MCC Cost Audit 2020-Curren'!$P:$P,'TB &amp; MCC Cost Audit 2020-Curren'!$C:$C,'MCC Margin Analysis'!$A$1,'TB &amp; MCC Cost Audit 2020-Curren'!$D:$D,'MCC Margin Analysis'!C$3,'TB &amp; MCC Cost Audit 2020-Curren'!$A:$A,'MCC Margin Analysis'!$B25)</f>
        <v>84341</v>
      </c>
      <c r="D25" s="121">
        <f>SUMIFS('TB &amp; MCC Cost Audit 2020-Curren'!$P:$P,'TB &amp; MCC Cost Audit 2020-Curren'!$C:$C,'MCC Margin Analysis'!$A$1,'TB &amp; MCC Cost Audit 2020-Curren'!$D:$D,'MCC Margin Analysis'!D$3,'TB &amp; MCC Cost Audit 2020-Curren'!$A:$A,'MCC Margin Analysis'!$B25)</f>
        <v>36196.33</v>
      </c>
      <c r="E25" s="121">
        <f>SUMIFS('TB &amp; MCC Cost Audit 2020-Curren'!$P:$P,'TB &amp; MCC Cost Audit 2020-Curren'!$C:$C,'MCC Margin Analysis'!$A$1,'TB &amp; MCC Cost Audit 2020-Curren'!$D:$D,'MCC Margin Analysis'!E$3,'TB &amp; MCC Cost Audit 2020-Curren'!$A:$A,'MCC Margin Analysis'!$B25)</f>
        <v>56496.472000000009</v>
      </c>
      <c r="F25" s="121">
        <f>SUMIFS('TB &amp; MCC Cost Audit 2020-Curren'!$P:$P,'TB &amp; MCC Cost Audit 2020-Curren'!$C:$C,'MCC Margin Analysis'!$A$1,'TB &amp; MCC Cost Audit 2020-Curren'!$D:$D,'MCC Margin Analysis'!F$3,'TB &amp; MCC Cost Audit 2020-Curren'!$A:$A,'MCC Margin Analysis'!$B25)</f>
        <v>39103.593333333331</v>
      </c>
      <c r="G25" s="121">
        <f>SUMIFS('TB &amp; MCC Cost Audit 2020-Curren'!$P:$P,'TB &amp; MCC Cost Audit 2020-Curren'!$C:$C,'MCC Margin Analysis'!$A$1,'TB &amp; MCC Cost Audit 2020-Curren'!$D:$D,'MCC Margin Analysis'!G$3,'TB &amp; MCC Cost Audit 2020-Curren'!$A:$A,'MCC Margin Analysis'!$B25)</f>
        <v>0</v>
      </c>
      <c r="J25" s="121">
        <f>SUMIFS('TB &amp; MCC Cost Audit 2020-Curren'!$W:$W,'TB &amp; MCC Cost Audit 2020-Curren'!$C:$C,'MCC Margin Analysis'!$A$1,'TB &amp; MCC Cost Audit 2020-Curren'!$D:$D,'MCC Margin Analysis'!J$3,'TB &amp; MCC Cost Audit 2020-Curren'!$A:$A,'MCC Margin Analysis'!$B25)</f>
        <v>25359.54</v>
      </c>
      <c r="K25" s="121">
        <f>SUMIFS('TB &amp; MCC Cost Audit 2020-Curren'!$W:$W,'TB &amp; MCC Cost Audit 2020-Curren'!$C:$C,'MCC Margin Analysis'!$A$1,'TB &amp; MCC Cost Audit 2020-Curren'!$D:$D,'MCC Margin Analysis'!K$3,'TB &amp; MCC Cost Audit 2020-Curren'!$A:$A,'MCC Margin Analysis'!$B25)</f>
        <v>9267.58</v>
      </c>
      <c r="L25" s="121">
        <f>SUMIFS('TB &amp; MCC Cost Audit 2020-Curren'!$W:$W,'TB &amp; MCC Cost Audit 2020-Curren'!$C:$C,'MCC Margin Analysis'!$A$1,'TB &amp; MCC Cost Audit 2020-Curren'!$D:$D,'MCC Margin Analysis'!L$3,'TB &amp; MCC Cost Audit 2020-Curren'!$A:$A,'MCC Margin Analysis'!$B25)</f>
        <v>18715.43</v>
      </c>
      <c r="M25" s="121">
        <f>SUMIFS('TB &amp; MCC Cost Audit 2020-Curren'!$W:$W,'TB &amp; MCC Cost Audit 2020-Curren'!$C:$C,'MCC Margin Analysis'!$A$1,'TB &amp; MCC Cost Audit 2020-Curren'!$D:$D,'MCC Margin Analysis'!M$3,'TB &amp; MCC Cost Audit 2020-Curren'!$A:$A,'MCC Margin Analysis'!$B25)</f>
        <v>13151.06</v>
      </c>
      <c r="N25" s="121">
        <f>SUMIFS('TB &amp; MCC Cost Audit 2020-Curren'!$W:$W,'TB &amp; MCC Cost Audit 2020-Curren'!$C:$C,'MCC Margin Analysis'!$A$1,'TB &amp; MCC Cost Audit 2020-Curren'!$D:$D,'MCC Margin Analysis'!N$3,'TB &amp; MCC Cost Audit 2020-Curren'!$A:$A,'MCC Margin Analysis'!$B25)</f>
        <v>0</v>
      </c>
      <c r="Q25" s="119">
        <f t="shared" si="5"/>
        <v>0.69932132651972345</v>
      </c>
      <c r="R25" s="119">
        <f t="shared" si="6"/>
        <v>0.74396354547546673</v>
      </c>
      <c r="S25" s="119">
        <f t="shared" si="7"/>
        <v>0.6687327661805148</v>
      </c>
      <c r="T25" s="119">
        <f t="shared" si="8"/>
        <v>0.66368666204418725</v>
      </c>
      <c r="U25" s="119" t="str">
        <f t="shared" si="9"/>
        <v xml:space="preserve"> - </v>
      </c>
    </row>
    <row r="26" spans="2:21" x14ac:dyDescent="0.15">
      <c r="B26" s="54" t="s">
        <v>36</v>
      </c>
      <c r="C26" s="121">
        <f>SUMIFS('TB &amp; MCC Cost Audit 2020-Curren'!$P:$P,'TB &amp; MCC Cost Audit 2020-Curren'!$C:$C,'MCC Margin Analysis'!$A$1,'TB &amp; MCC Cost Audit 2020-Curren'!$D:$D,'MCC Margin Analysis'!C$3,'TB &amp; MCC Cost Audit 2020-Curren'!$A:$A,'MCC Margin Analysis'!$B26)</f>
        <v>14760</v>
      </c>
      <c r="D26" s="121">
        <f>SUMIFS('TB &amp; MCC Cost Audit 2020-Curren'!$P:$P,'TB &amp; MCC Cost Audit 2020-Curren'!$C:$C,'MCC Margin Analysis'!$A$1,'TB &amp; MCC Cost Audit 2020-Curren'!$D:$D,'MCC Margin Analysis'!D$3,'TB &amp; MCC Cost Audit 2020-Curren'!$A:$A,'MCC Margin Analysis'!$B26)</f>
        <v>15498</v>
      </c>
      <c r="E26" s="121">
        <f>SUMIFS('TB &amp; MCC Cost Audit 2020-Curren'!$P:$P,'TB &amp; MCC Cost Audit 2020-Curren'!$C:$C,'MCC Margin Analysis'!$A$1,'TB &amp; MCC Cost Audit 2020-Curren'!$D:$D,'MCC Margin Analysis'!E$3,'TB &amp; MCC Cost Audit 2020-Curren'!$A:$A,'MCC Margin Analysis'!$B26)</f>
        <v>16272</v>
      </c>
      <c r="F26" s="121">
        <f>SUMIFS('TB &amp; MCC Cost Audit 2020-Curren'!$P:$P,'TB &amp; MCC Cost Audit 2020-Curren'!$C:$C,'MCC Margin Analysis'!$A$1,'TB &amp; MCC Cost Audit 2020-Curren'!$D:$D,'MCC Margin Analysis'!F$3,'TB &amp; MCC Cost Audit 2020-Curren'!$A:$A,'MCC Margin Analysis'!$B26)</f>
        <v>17086</v>
      </c>
      <c r="G26" s="121">
        <f>SUMIFS('TB &amp; MCC Cost Audit 2020-Curren'!$P:$P,'TB &amp; MCC Cost Audit 2020-Curren'!$C:$C,'MCC Margin Analysis'!$A$1,'TB &amp; MCC Cost Audit 2020-Curren'!$D:$D,'MCC Margin Analysis'!G$3,'TB &amp; MCC Cost Audit 2020-Curren'!$A:$A,'MCC Margin Analysis'!$B26)</f>
        <v>24260</v>
      </c>
      <c r="J26" s="121">
        <f>SUMIFS('TB &amp; MCC Cost Audit 2020-Curren'!$W:$W,'TB &amp; MCC Cost Audit 2020-Curren'!$C:$C,'MCC Margin Analysis'!$A$1,'TB &amp; MCC Cost Audit 2020-Curren'!$D:$D,'MCC Margin Analysis'!J$3,'TB &amp; MCC Cost Audit 2020-Curren'!$A:$A,'MCC Margin Analysis'!$B26)</f>
        <v>3243.18</v>
      </c>
      <c r="K26" s="121">
        <f>SUMIFS('TB &amp; MCC Cost Audit 2020-Curren'!$W:$W,'TB &amp; MCC Cost Audit 2020-Curren'!$C:$C,'MCC Margin Analysis'!$A$1,'TB &amp; MCC Cost Audit 2020-Curren'!$D:$D,'MCC Margin Analysis'!K$3,'TB &amp; MCC Cost Audit 2020-Curren'!$A:$A,'MCC Margin Analysis'!$B26)</f>
        <v>2743.3599999999997</v>
      </c>
      <c r="L26" s="121">
        <f>SUMIFS('TB &amp; MCC Cost Audit 2020-Curren'!$W:$W,'TB &amp; MCC Cost Audit 2020-Curren'!$C:$C,'MCC Margin Analysis'!$A$1,'TB &amp; MCC Cost Audit 2020-Curren'!$D:$D,'MCC Margin Analysis'!L$3,'TB &amp; MCC Cost Audit 2020-Curren'!$A:$A,'MCC Margin Analysis'!$B26)</f>
        <v>3390.25</v>
      </c>
      <c r="M26" s="121">
        <f>SUMIFS('TB &amp; MCC Cost Audit 2020-Curren'!$W:$W,'TB &amp; MCC Cost Audit 2020-Curren'!$C:$C,'MCC Margin Analysis'!$A$1,'TB &amp; MCC Cost Audit 2020-Curren'!$D:$D,'MCC Margin Analysis'!M$3,'TB &amp; MCC Cost Audit 2020-Curren'!$A:$A,'MCC Margin Analysis'!$B26)</f>
        <v>3604.25</v>
      </c>
      <c r="N26" s="121">
        <f>SUMIFS('TB &amp; MCC Cost Audit 2020-Curren'!$W:$W,'TB &amp; MCC Cost Audit 2020-Curren'!$C:$C,'MCC Margin Analysis'!$A$1,'TB &amp; MCC Cost Audit 2020-Curren'!$D:$D,'MCC Margin Analysis'!N$3,'TB &amp; MCC Cost Audit 2020-Curren'!$A:$A,'MCC Margin Analysis'!$B26)</f>
        <v>5111.2</v>
      </c>
      <c r="Q26" s="119">
        <f t="shared" si="5"/>
        <v>0.78027235772357717</v>
      </c>
      <c r="R26" s="119">
        <f t="shared" si="6"/>
        <v>0.82298619176667953</v>
      </c>
      <c r="S26" s="119">
        <f t="shared" si="7"/>
        <v>0.79165130285152407</v>
      </c>
      <c r="T26" s="119">
        <f t="shared" si="8"/>
        <v>0.78905244059463886</v>
      </c>
      <c r="U26" s="119">
        <f t="shared" si="9"/>
        <v>0.78931574608408905</v>
      </c>
    </row>
    <row r="27" spans="2:21" x14ac:dyDescent="0.15">
      <c r="B27" s="54" t="s">
        <v>576</v>
      </c>
      <c r="C27" s="121">
        <f>SUMIFS('TB &amp; MCC Cost Audit 2020-Curren'!$P:$P,'TB &amp; MCC Cost Audit 2020-Curren'!$C:$C,'MCC Margin Analysis'!$A$1,'TB &amp; MCC Cost Audit 2020-Curren'!$D:$D,'MCC Margin Analysis'!C$3,'TB &amp; MCC Cost Audit 2020-Curren'!$A:$A,'MCC Margin Analysis'!$B27)</f>
        <v>0</v>
      </c>
      <c r="D27" s="121">
        <f>SUMIFS('TB &amp; MCC Cost Audit 2020-Curren'!$P:$P,'TB &amp; MCC Cost Audit 2020-Curren'!$C:$C,'MCC Margin Analysis'!$A$1,'TB &amp; MCC Cost Audit 2020-Curren'!$D:$D,'MCC Margin Analysis'!D$3,'TB &amp; MCC Cost Audit 2020-Curren'!$A:$A,'MCC Margin Analysis'!$B27)</f>
        <v>0</v>
      </c>
      <c r="E27" s="121">
        <f>SUMIFS('TB &amp; MCC Cost Audit 2020-Curren'!$P:$P,'TB &amp; MCC Cost Audit 2020-Curren'!$C:$C,'MCC Margin Analysis'!$A$1,'TB &amp; MCC Cost Audit 2020-Curren'!$D:$D,'MCC Margin Analysis'!E$3,'TB &amp; MCC Cost Audit 2020-Curren'!$A:$A,'MCC Margin Analysis'!$B27)</f>
        <v>0</v>
      </c>
      <c r="F27" s="121">
        <f>SUMIFS('TB &amp; MCC Cost Audit 2020-Curren'!$P:$P,'TB &amp; MCC Cost Audit 2020-Curren'!$C:$C,'MCC Margin Analysis'!$A$1,'TB &amp; MCC Cost Audit 2020-Curren'!$D:$D,'MCC Margin Analysis'!F$3,'TB &amp; MCC Cost Audit 2020-Curren'!$A:$A,'MCC Margin Analysis'!$B27)</f>
        <v>21344</v>
      </c>
      <c r="G27" s="121">
        <f>SUMIFS('TB &amp; MCC Cost Audit 2020-Curren'!$P:$P,'TB &amp; MCC Cost Audit 2020-Curren'!$C:$C,'MCC Margin Analysis'!$A$1,'TB &amp; MCC Cost Audit 2020-Curren'!$D:$D,'MCC Margin Analysis'!G$3,'TB &amp; MCC Cost Audit 2020-Curren'!$A:$A,'MCC Margin Analysis'!$B27)</f>
        <v>10672</v>
      </c>
      <c r="J27" s="121">
        <f>SUMIFS('TB &amp; MCC Cost Audit 2020-Curren'!$W:$W,'TB &amp; MCC Cost Audit 2020-Curren'!$C:$C,'MCC Margin Analysis'!$A$1,'TB &amp; MCC Cost Audit 2020-Curren'!$D:$D,'MCC Margin Analysis'!J$3,'TB &amp; MCC Cost Audit 2020-Curren'!$A:$A,'MCC Margin Analysis'!$B27)</f>
        <v>0</v>
      </c>
      <c r="K27" s="121">
        <f>SUMIFS('TB &amp; MCC Cost Audit 2020-Curren'!$W:$W,'TB &amp; MCC Cost Audit 2020-Curren'!$C:$C,'MCC Margin Analysis'!$A$1,'TB &amp; MCC Cost Audit 2020-Curren'!$D:$D,'MCC Margin Analysis'!K$3,'TB &amp; MCC Cost Audit 2020-Curren'!$A:$A,'MCC Margin Analysis'!$B27)</f>
        <v>0</v>
      </c>
      <c r="L27" s="121">
        <f>SUMIFS('TB &amp; MCC Cost Audit 2020-Curren'!$W:$W,'TB &amp; MCC Cost Audit 2020-Curren'!$C:$C,'MCC Margin Analysis'!$A$1,'TB &amp; MCC Cost Audit 2020-Curren'!$D:$D,'MCC Margin Analysis'!L$3,'TB &amp; MCC Cost Audit 2020-Curren'!$A:$A,'MCC Margin Analysis'!$B27)</f>
        <v>0</v>
      </c>
      <c r="M27" s="121">
        <f>SUMIFS('TB &amp; MCC Cost Audit 2020-Curren'!$W:$W,'TB &amp; MCC Cost Audit 2020-Curren'!$C:$C,'MCC Margin Analysis'!$A$1,'TB &amp; MCC Cost Audit 2020-Curren'!$D:$D,'MCC Margin Analysis'!M$3,'TB &amp; MCC Cost Audit 2020-Curren'!$A:$A,'MCC Margin Analysis'!$B27)</f>
        <v>5857.3</v>
      </c>
      <c r="N27" s="121">
        <f>SUMIFS('TB &amp; MCC Cost Audit 2020-Curren'!$W:$W,'TB &amp; MCC Cost Audit 2020-Curren'!$C:$C,'MCC Margin Analysis'!$A$1,'TB &amp; MCC Cost Audit 2020-Curren'!$D:$D,'MCC Margin Analysis'!N$3,'TB &amp; MCC Cost Audit 2020-Curren'!$A:$A,'MCC Margin Analysis'!$B27)</f>
        <v>3564.3</v>
      </c>
      <c r="Q27" s="119" t="str">
        <f t="shared" si="5"/>
        <v xml:space="preserve"> - </v>
      </c>
      <c r="R27" s="119" t="str">
        <f t="shared" si="6"/>
        <v xml:space="preserve"> - </v>
      </c>
      <c r="S27" s="119" t="str">
        <f t="shared" si="7"/>
        <v xml:space="preserve"> - </v>
      </c>
      <c r="T27" s="119">
        <f t="shared" si="8"/>
        <v>0.72557627436281857</v>
      </c>
      <c r="U27" s="119">
        <f t="shared" si="9"/>
        <v>0.66601386806596696</v>
      </c>
    </row>
    <row r="28" spans="2:21" x14ac:dyDescent="0.15">
      <c r="B28" s="54" t="s">
        <v>198</v>
      </c>
      <c r="C28" s="121">
        <f>SUMIFS('TB &amp; MCC Cost Audit 2020-Curren'!$P:$P,'TB &amp; MCC Cost Audit 2020-Curren'!$C:$C,'MCC Margin Analysis'!$A$1,'TB &amp; MCC Cost Audit 2020-Curren'!$D:$D,'MCC Margin Analysis'!C$3,'TB &amp; MCC Cost Audit 2020-Curren'!$A:$A,'MCC Margin Analysis'!$B28)</f>
        <v>26079.35</v>
      </c>
      <c r="D28" s="121">
        <f>SUMIFS('TB &amp; MCC Cost Audit 2020-Curren'!$P:$P,'TB &amp; MCC Cost Audit 2020-Curren'!$C:$C,'MCC Margin Analysis'!$A$1,'TB &amp; MCC Cost Audit 2020-Curren'!$D:$D,'MCC Margin Analysis'!D$3,'TB &amp; MCC Cost Audit 2020-Curren'!$A:$A,'MCC Margin Analysis'!$B28)</f>
        <v>23470.489999999998</v>
      </c>
      <c r="E28" s="121">
        <f>SUMIFS('TB &amp; MCC Cost Audit 2020-Curren'!$P:$P,'TB &amp; MCC Cost Audit 2020-Curren'!$C:$C,'MCC Margin Analysis'!$A$1,'TB &amp; MCC Cost Audit 2020-Curren'!$D:$D,'MCC Margin Analysis'!E$3,'TB &amp; MCC Cost Audit 2020-Curren'!$A:$A,'MCC Margin Analysis'!$B28)</f>
        <v>28891</v>
      </c>
      <c r="F28" s="121">
        <f>SUMIFS('TB &amp; MCC Cost Audit 2020-Curren'!$P:$P,'TB &amp; MCC Cost Audit 2020-Curren'!$C:$C,'MCC Margin Analysis'!$A$1,'TB &amp; MCC Cost Audit 2020-Curren'!$D:$D,'MCC Margin Analysis'!F$3,'TB &amp; MCC Cost Audit 2020-Curren'!$A:$A,'MCC Margin Analysis'!$B28)</f>
        <v>0</v>
      </c>
      <c r="G28" s="121">
        <f>SUMIFS('TB &amp; MCC Cost Audit 2020-Curren'!$P:$P,'TB &amp; MCC Cost Audit 2020-Curren'!$C:$C,'MCC Margin Analysis'!$A$1,'TB &amp; MCC Cost Audit 2020-Curren'!$D:$D,'MCC Margin Analysis'!G$3,'TB &amp; MCC Cost Audit 2020-Curren'!$A:$A,'MCC Margin Analysis'!$B28)</f>
        <v>0</v>
      </c>
      <c r="J28" s="121">
        <f>SUMIFS('TB &amp; MCC Cost Audit 2020-Curren'!$W:$W,'TB &amp; MCC Cost Audit 2020-Curren'!$C:$C,'MCC Margin Analysis'!$A$1,'TB &amp; MCC Cost Audit 2020-Curren'!$D:$D,'MCC Margin Analysis'!J$3,'TB &amp; MCC Cost Audit 2020-Curren'!$A:$A,'MCC Margin Analysis'!$B28)</f>
        <v>3805.71</v>
      </c>
      <c r="K28" s="121">
        <f>SUMIFS('TB &amp; MCC Cost Audit 2020-Curren'!$W:$W,'TB &amp; MCC Cost Audit 2020-Curren'!$C:$C,'MCC Margin Analysis'!$A$1,'TB &amp; MCC Cost Audit 2020-Curren'!$D:$D,'MCC Margin Analysis'!K$3,'TB &amp; MCC Cost Audit 2020-Curren'!$A:$A,'MCC Margin Analysis'!$B28)</f>
        <v>4735.7299999999996</v>
      </c>
      <c r="L28" s="121">
        <f>SUMIFS('TB &amp; MCC Cost Audit 2020-Curren'!$W:$W,'TB &amp; MCC Cost Audit 2020-Curren'!$C:$C,'MCC Margin Analysis'!$A$1,'TB &amp; MCC Cost Audit 2020-Curren'!$D:$D,'MCC Margin Analysis'!L$3,'TB &amp; MCC Cost Audit 2020-Curren'!$A:$A,'MCC Margin Analysis'!$B28)</f>
        <v>4028.85</v>
      </c>
      <c r="M28" s="121">
        <f>SUMIFS('TB &amp; MCC Cost Audit 2020-Curren'!$W:$W,'TB &amp; MCC Cost Audit 2020-Curren'!$C:$C,'MCC Margin Analysis'!$A$1,'TB &amp; MCC Cost Audit 2020-Curren'!$D:$D,'MCC Margin Analysis'!M$3,'TB &amp; MCC Cost Audit 2020-Curren'!$A:$A,'MCC Margin Analysis'!$B28)</f>
        <v>0</v>
      </c>
      <c r="N28" s="121">
        <f>SUMIFS('TB &amp; MCC Cost Audit 2020-Curren'!$W:$W,'TB &amp; MCC Cost Audit 2020-Curren'!$C:$C,'MCC Margin Analysis'!$A$1,'TB &amp; MCC Cost Audit 2020-Curren'!$D:$D,'MCC Margin Analysis'!N$3,'TB &amp; MCC Cost Audit 2020-Curren'!$A:$A,'MCC Margin Analysis'!$B28)</f>
        <v>0</v>
      </c>
      <c r="Q28" s="119">
        <f t="shared" si="5"/>
        <v>0.85407189979811615</v>
      </c>
      <c r="R28" s="119">
        <f t="shared" si="6"/>
        <v>0.79822619808960105</v>
      </c>
      <c r="S28" s="119">
        <f t="shared" si="7"/>
        <v>0.8605499982693573</v>
      </c>
      <c r="T28" s="119" t="str">
        <f t="shared" si="8"/>
        <v xml:space="preserve"> - </v>
      </c>
      <c r="U28" s="119" t="str">
        <f t="shared" si="9"/>
        <v xml:space="preserve"> - </v>
      </c>
    </row>
    <row r="29" spans="2:21" x14ac:dyDescent="0.15">
      <c r="B29" s="54" t="s">
        <v>115</v>
      </c>
      <c r="C29" s="121">
        <f>SUMIFS('TB &amp; MCC Cost Audit 2020-Curren'!$P:$P,'TB &amp; MCC Cost Audit 2020-Curren'!$C:$C,'MCC Margin Analysis'!$A$1,'TB &amp; MCC Cost Audit 2020-Curren'!$D:$D,'MCC Margin Analysis'!C$3,'TB &amp; MCC Cost Audit 2020-Curren'!$A:$A,'MCC Margin Analysis'!$B29)</f>
        <v>0</v>
      </c>
      <c r="D29" s="121">
        <f>SUMIFS('TB &amp; MCC Cost Audit 2020-Curren'!$P:$P,'TB &amp; MCC Cost Audit 2020-Curren'!$C:$C,'MCC Margin Analysis'!$A$1,'TB &amp; MCC Cost Audit 2020-Curren'!$D:$D,'MCC Margin Analysis'!D$3,'TB &amp; MCC Cost Audit 2020-Curren'!$A:$A,'MCC Margin Analysis'!$B29)</f>
        <v>35058</v>
      </c>
      <c r="E29" s="121">
        <f>SUMIFS('TB &amp; MCC Cost Audit 2020-Curren'!$P:$P,'TB &amp; MCC Cost Audit 2020-Curren'!$C:$C,'MCC Margin Analysis'!$A$1,'TB &amp; MCC Cost Audit 2020-Curren'!$D:$D,'MCC Margin Analysis'!E$3,'TB &amp; MCC Cost Audit 2020-Curren'!$A:$A,'MCC Margin Analysis'!$B29)</f>
        <v>36936.11</v>
      </c>
      <c r="F29" s="121">
        <f>SUMIFS('TB &amp; MCC Cost Audit 2020-Curren'!$P:$P,'TB &amp; MCC Cost Audit 2020-Curren'!$C:$C,'MCC Margin Analysis'!$A$1,'TB &amp; MCC Cost Audit 2020-Curren'!$D:$D,'MCC Margin Analysis'!F$3,'TB &amp; MCC Cost Audit 2020-Curren'!$A:$A,'MCC Margin Analysis'!$B29)</f>
        <v>46713</v>
      </c>
      <c r="G29" s="121">
        <f>SUMIFS('TB &amp; MCC Cost Audit 2020-Curren'!$P:$P,'TB &amp; MCC Cost Audit 2020-Curren'!$C:$C,'MCC Margin Analysis'!$A$1,'TB &amp; MCC Cost Audit 2020-Curren'!$D:$D,'MCC Margin Analysis'!G$3,'TB &amp; MCC Cost Audit 2020-Curren'!$A:$A,'MCC Margin Analysis'!$B29)</f>
        <v>50218</v>
      </c>
      <c r="J29" s="121">
        <f>SUMIFS('TB &amp; MCC Cost Audit 2020-Curren'!$W:$W,'TB &amp; MCC Cost Audit 2020-Curren'!$C:$C,'MCC Margin Analysis'!$A$1,'TB &amp; MCC Cost Audit 2020-Curren'!$D:$D,'MCC Margin Analysis'!J$3,'TB &amp; MCC Cost Audit 2020-Curren'!$A:$A,'MCC Margin Analysis'!$B29)</f>
        <v>0</v>
      </c>
      <c r="K29" s="121">
        <f>SUMIFS('TB &amp; MCC Cost Audit 2020-Curren'!$W:$W,'TB &amp; MCC Cost Audit 2020-Curren'!$C:$C,'MCC Margin Analysis'!$A$1,'TB &amp; MCC Cost Audit 2020-Curren'!$D:$D,'MCC Margin Analysis'!K$3,'TB &amp; MCC Cost Audit 2020-Curren'!$A:$A,'MCC Margin Analysis'!$B29)</f>
        <v>8639.18</v>
      </c>
      <c r="L29" s="121">
        <f>SUMIFS('TB &amp; MCC Cost Audit 2020-Curren'!$W:$W,'TB &amp; MCC Cost Audit 2020-Curren'!$C:$C,'MCC Margin Analysis'!$A$1,'TB &amp; MCC Cost Audit 2020-Curren'!$D:$D,'MCC Margin Analysis'!L$3,'TB &amp; MCC Cost Audit 2020-Curren'!$A:$A,'MCC Margin Analysis'!$B29)</f>
        <v>4543.9799999999996</v>
      </c>
      <c r="M29" s="121">
        <f>SUMIFS('TB &amp; MCC Cost Audit 2020-Curren'!$W:$W,'TB &amp; MCC Cost Audit 2020-Curren'!$C:$C,'MCC Margin Analysis'!$A$1,'TB &amp; MCC Cost Audit 2020-Curren'!$D:$D,'MCC Margin Analysis'!M$3,'TB &amp; MCC Cost Audit 2020-Curren'!$A:$A,'MCC Margin Analysis'!$B29)</f>
        <v>4516.2299999999996</v>
      </c>
      <c r="N29" s="121">
        <f>SUMIFS('TB &amp; MCC Cost Audit 2020-Curren'!$W:$W,'TB &amp; MCC Cost Audit 2020-Curren'!$C:$C,'MCC Margin Analysis'!$A$1,'TB &amp; MCC Cost Audit 2020-Curren'!$D:$D,'MCC Margin Analysis'!N$3,'TB &amp; MCC Cost Audit 2020-Curren'!$A:$A,'MCC Margin Analysis'!$B29)</f>
        <v>6331.45</v>
      </c>
      <c r="Q29" s="119" t="str">
        <f t="shared" si="5"/>
        <v xml:space="preserve"> - </v>
      </c>
      <c r="R29" s="119">
        <f t="shared" si="6"/>
        <v>0.75357464772662441</v>
      </c>
      <c r="S29" s="119">
        <f t="shared" si="7"/>
        <v>0.8769772994503211</v>
      </c>
      <c r="T29" s="119">
        <f t="shared" si="8"/>
        <v>0.90331963265044002</v>
      </c>
      <c r="U29" s="119">
        <f t="shared" si="9"/>
        <v>0.87392070572304759</v>
      </c>
    </row>
    <row r="30" spans="2:21" x14ac:dyDescent="0.15">
      <c r="B30" s="54" t="s">
        <v>277</v>
      </c>
      <c r="C30" s="121">
        <f>SUMIFS('TB &amp; MCC Cost Audit 2020-Curren'!$P:$P,'TB &amp; MCC Cost Audit 2020-Curren'!$C:$C,'MCC Margin Analysis'!$A$1,'TB &amp; MCC Cost Audit 2020-Curren'!$D:$D,'MCC Margin Analysis'!C$3,'TB &amp; MCC Cost Audit 2020-Curren'!$A:$A,'MCC Margin Analysis'!$B30)</f>
        <v>29377</v>
      </c>
      <c r="D30" s="121">
        <f>SUMIFS('TB &amp; MCC Cost Audit 2020-Curren'!$P:$P,'TB &amp; MCC Cost Audit 2020-Curren'!$C:$C,'MCC Margin Analysis'!$A$1,'TB &amp; MCC Cost Audit 2020-Curren'!$D:$D,'MCC Margin Analysis'!D$3,'TB &amp; MCC Cost Audit 2020-Curren'!$A:$A,'MCC Margin Analysis'!$B30)</f>
        <v>31647</v>
      </c>
      <c r="E30" s="121">
        <f>SUMIFS('TB &amp; MCC Cost Audit 2020-Curren'!$P:$P,'TB &amp; MCC Cost Audit 2020-Curren'!$C:$C,'MCC Margin Analysis'!$A$1,'TB &amp; MCC Cost Audit 2020-Curren'!$D:$D,'MCC Margin Analysis'!E$3,'TB &amp; MCC Cost Audit 2020-Curren'!$A:$A,'MCC Margin Analysis'!$B30)</f>
        <v>31647</v>
      </c>
      <c r="F30" s="121">
        <f>SUMIFS('TB &amp; MCC Cost Audit 2020-Curren'!$P:$P,'TB &amp; MCC Cost Audit 2020-Curren'!$C:$C,'MCC Margin Analysis'!$A$1,'TB &amp; MCC Cost Audit 2020-Curren'!$D:$D,'MCC Margin Analysis'!F$3,'TB &amp; MCC Cost Audit 2020-Curren'!$A:$A,'MCC Margin Analysis'!$B30)</f>
        <v>31648</v>
      </c>
      <c r="G30" s="121">
        <f>SUMIFS('TB &amp; MCC Cost Audit 2020-Curren'!$P:$P,'TB &amp; MCC Cost Audit 2020-Curren'!$C:$C,'MCC Margin Analysis'!$A$1,'TB &amp; MCC Cost Audit 2020-Curren'!$D:$D,'MCC Margin Analysis'!G$3,'TB &amp; MCC Cost Audit 2020-Curren'!$A:$A,'MCC Margin Analysis'!$B30)</f>
        <v>31648</v>
      </c>
      <c r="J30" s="121">
        <f>SUMIFS('TB &amp; MCC Cost Audit 2020-Curren'!$W:$W,'TB &amp; MCC Cost Audit 2020-Curren'!$C:$C,'MCC Margin Analysis'!$A$1,'TB &amp; MCC Cost Audit 2020-Curren'!$D:$D,'MCC Margin Analysis'!J$3,'TB &amp; MCC Cost Audit 2020-Curren'!$A:$A,'MCC Margin Analysis'!$B30)</f>
        <v>5551.5</v>
      </c>
      <c r="K30" s="121">
        <f>SUMIFS('TB &amp; MCC Cost Audit 2020-Curren'!$W:$W,'TB &amp; MCC Cost Audit 2020-Curren'!$C:$C,'MCC Margin Analysis'!$A$1,'TB &amp; MCC Cost Audit 2020-Curren'!$D:$D,'MCC Margin Analysis'!K$3,'TB &amp; MCC Cost Audit 2020-Curren'!$A:$A,'MCC Margin Analysis'!$B30)</f>
        <v>4588.01</v>
      </c>
      <c r="L30" s="121">
        <f>SUMIFS('TB &amp; MCC Cost Audit 2020-Curren'!$W:$W,'TB &amp; MCC Cost Audit 2020-Curren'!$C:$C,'MCC Margin Analysis'!$A$1,'TB &amp; MCC Cost Audit 2020-Curren'!$D:$D,'MCC Margin Analysis'!L$3,'TB &amp; MCC Cost Audit 2020-Curren'!$A:$A,'MCC Margin Analysis'!$B30)</f>
        <v>4132.92</v>
      </c>
      <c r="M30" s="121">
        <f>SUMIFS('TB &amp; MCC Cost Audit 2020-Curren'!$W:$W,'TB &amp; MCC Cost Audit 2020-Curren'!$C:$C,'MCC Margin Analysis'!$A$1,'TB &amp; MCC Cost Audit 2020-Curren'!$D:$D,'MCC Margin Analysis'!M$3,'TB &amp; MCC Cost Audit 2020-Curren'!$A:$A,'MCC Margin Analysis'!$B30)</f>
        <v>4890.13</v>
      </c>
      <c r="N30" s="121">
        <f>SUMIFS('TB &amp; MCC Cost Audit 2020-Curren'!$W:$W,'TB &amp; MCC Cost Audit 2020-Curren'!$C:$C,'MCC Margin Analysis'!$A$1,'TB &amp; MCC Cost Audit 2020-Curren'!$D:$D,'MCC Margin Analysis'!N$3,'TB &amp; MCC Cost Audit 2020-Curren'!$A:$A,'MCC Margin Analysis'!$B30)</f>
        <v>4774</v>
      </c>
      <c r="Q30" s="119">
        <f t="shared" si="5"/>
        <v>0.81102563229737545</v>
      </c>
      <c r="R30" s="119">
        <f t="shared" si="6"/>
        <v>0.85502543685025434</v>
      </c>
      <c r="S30" s="119">
        <f t="shared" si="7"/>
        <v>0.86940563086548495</v>
      </c>
      <c r="T30" s="119">
        <f t="shared" si="8"/>
        <v>0.84548375884732052</v>
      </c>
      <c r="U30" s="119">
        <f t="shared" si="9"/>
        <v>0.84915318503538928</v>
      </c>
    </row>
    <row r="31" spans="2:21" x14ac:dyDescent="0.15">
      <c r="B31" s="54" t="s">
        <v>152</v>
      </c>
      <c r="C31" s="121">
        <f>SUMIFS('TB &amp; MCC Cost Audit 2020-Curren'!$P:$P,'TB &amp; MCC Cost Audit 2020-Curren'!$C:$C,'MCC Margin Analysis'!$A$1,'TB &amp; MCC Cost Audit 2020-Curren'!$D:$D,'MCC Margin Analysis'!C$3,'TB &amp; MCC Cost Audit 2020-Curren'!$A:$A,'MCC Margin Analysis'!$B31)</f>
        <v>0</v>
      </c>
      <c r="D31" s="121">
        <f>SUMIFS('TB &amp; MCC Cost Audit 2020-Curren'!$P:$P,'TB &amp; MCC Cost Audit 2020-Curren'!$C:$C,'MCC Margin Analysis'!$A$1,'TB &amp; MCC Cost Audit 2020-Curren'!$D:$D,'MCC Margin Analysis'!D$3,'TB &amp; MCC Cost Audit 2020-Curren'!$A:$A,'MCC Margin Analysis'!$B31)</f>
        <v>16486</v>
      </c>
      <c r="E31" s="121">
        <f>SUMIFS('TB &amp; MCC Cost Audit 2020-Curren'!$P:$P,'TB &amp; MCC Cost Audit 2020-Curren'!$C:$C,'MCC Margin Analysis'!$A$1,'TB &amp; MCC Cost Audit 2020-Curren'!$D:$D,'MCC Margin Analysis'!E$3,'TB &amp; MCC Cost Audit 2020-Curren'!$A:$A,'MCC Margin Analysis'!$B31)</f>
        <v>17017</v>
      </c>
      <c r="F31" s="121">
        <f>SUMIFS('TB &amp; MCC Cost Audit 2020-Curren'!$P:$P,'TB &amp; MCC Cost Audit 2020-Curren'!$C:$C,'MCC Margin Analysis'!$A$1,'TB &amp; MCC Cost Audit 2020-Curren'!$D:$D,'MCC Margin Analysis'!F$3,'TB &amp; MCC Cost Audit 2020-Curren'!$A:$A,'MCC Margin Analysis'!$B31)</f>
        <v>17017</v>
      </c>
      <c r="G31" s="121">
        <f>SUMIFS('TB &amp; MCC Cost Audit 2020-Curren'!$P:$P,'TB &amp; MCC Cost Audit 2020-Curren'!$C:$C,'MCC Margin Analysis'!$A$1,'TB &amp; MCC Cost Audit 2020-Curren'!$D:$D,'MCC Margin Analysis'!G$3,'TB &amp; MCC Cost Audit 2020-Curren'!$A:$A,'MCC Margin Analysis'!$B31)</f>
        <v>17017</v>
      </c>
      <c r="J31" s="121">
        <f>SUMIFS('TB &amp; MCC Cost Audit 2020-Curren'!$W:$W,'TB &amp; MCC Cost Audit 2020-Curren'!$C:$C,'MCC Margin Analysis'!$A$1,'TB &amp; MCC Cost Audit 2020-Curren'!$D:$D,'MCC Margin Analysis'!J$3,'TB &amp; MCC Cost Audit 2020-Curren'!$A:$A,'MCC Margin Analysis'!$B31)</f>
        <v>0</v>
      </c>
      <c r="K31" s="121">
        <f>SUMIFS('TB &amp; MCC Cost Audit 2020-Curren'!$W:$W,'TB &amp; MCC Cost Audit 2020-Curren'!$C:$C,'MCC Margin Analysis'!$A$1,'TB &amp; MCC Cost Audit 2020-Curren'!$D:$D,'MCC Margin Analysis'!K$3,'TB &amp; MCC Cost Audit 2020-Curren'!$A:$A,'MCC Margin Analysis'!$B31)</f>
        <v>4507.2199999999993</v>
      </c>
      <c r="L31" s="121">
        <f>SUMIFS('TB &amp; MCC Cost Audit 2020-Curren'!$W:$W,'TB &amp; MCC Cost Audit 2020-Curren'!$C:$C,'MCC Margin Analysis'!$A$1,'TB &amp; MCC Cost Audit 2020-Curren'!$D:$D,'MCC Margin Analysis'!L$3,'TB &amp; MCC Cost Audit 2020-Curren'!$A:$A,'MCC Margin Analysis'!$B31)</f>
        <v>4771.42</v>
      </c>
      <c r="M31" s="121">
        <f>SUMIFS('TB &amp; MCC Cost Audit 2020-Curren'!$W:$W,'TB &amp; MCC Cost Audit 2020-Curren'!$C:$C,'MCC Margin Analysis'!$A$1,'TB &amp; MCC Cost Audit 2020-Curren'!$D:$D,'MCC Margin Analysis'!M$3,'TB &amp; MCC Cost Audit 2020-Curren'!$A:$A,'MCC Margin Analysis'!$B31)</f>
        <v>3798.1</v>
      </c>
      <c r="N31" s="121">
        <f>SUMIFS('TB &amp; MCC Cost Audit 2020-Curren'!$W:$W,'TB &amp; MCC Cost Audit 2020-Curren'!$C:$C,'MCC Margin Analysis'!$A$1,'TB &amp; MCC Cost Audit 2020-Curren'!$D:$D,'MCC Margin Analysis'!N$3,'TB &amp; MCC Cost Audit 2020-Curren'!$A:$A,'MCC Margin Analysis'!$B31)</f>
        <v>2971.3100000000004</v>
      </c>
      <c r="Q31" s="119" t="str">
        <f t="shared" si="5"/>
        <v xml:space="preserve"> - </v>
      </c>
      <c r="R31" s="119">
        <f t="shared" si="6"/>
        <v>0.72660317845444622</v>
      </c>
      <c r="S31" s="119">
        <f t="shared" si="7"/>
        <v>0.71960862666745018</v>
      </c>
      <c r="T31" s="119">
        <f t="shared" si="8"/>
        <v>0.77680554739378271</v>
      </c>
      <c r="U31" s="119">
        <f t="shared" si="9"/>
        <v>0.82539166715637291</v>
      </c>
    </row>
    <row r="32" spans="2:21" x14ac:dyDescent="0.15">
      <c r="B32" s="54" t="s">
        <v>699</v>
      </c>
      <c r="C32" s="121">
        <f>SUMIFS('TB &amp; MCC Cost Audit 2020-Curren'!$P:$P,'TB &amp; MCC Cost Audit 2020-Curren'!$C:$C,'MCC Margin Analysis'!$A$1,'TB &amp; MCC Cost Audit 2020-Curren'!$D:$D,'MCC Margin Analysis'!C$3,'TB &amp; MCC Cost Audit 2020-Curren'!$A:$A,'MCC Margin Analysis'!$B32)</f>
        <v>0</v>
      </c>
      <c r="D32" s="121">
        <f>SUMIFS('TB &amp; MCC Cost Audit 2020-Curren'!$P:$P,'TB &amp; MCC Cost Audit 2020-Curren'!$C:$C,'MCC Margin Analysis'!$A$1,'TB &amp; MCC Cost Audit 2020-Curren'!$D:$D,'MCC Margin Analysis'!D$3,'TB &amp; MCC Cost Audit 2020-Curren'!$A:$A,'MCC Margin Analysis'!$B32)</f>
        <v>0</v>
      </c>
      <c r="E32" s="121">
        <f>SUMIFS('TB &amp; MCC Cost Audit 2020-Curren'!$P:$P,'TB &amp; MCC Cost Audit 2020-Curren'!$C:$C,'MCC Margin Analysis'!$A$1,'TB &amp; MCC Cost Audit 2020-Curren'!$D:$D,'MCC Margin Analysis'!E$3,'TB &amp; MCC Cost Audit 2020-Curren'!$A:$A,'MCC Margin Analysis'!$B32)</f>
        <v>0</v>
      </c>
      <c r="F32" s="121">
        <f>SUMIFS('TB &amp; MCC Cost Audit 2020-Curren'!$P:$P,'TB &amp; MCC Cost Audit 2020-Curren'!$C:$C,'MCC Margin Analysis'!$A$1,'TB &amp; MCC Cost Audit 2020-Curren'!$D:$D,'MCC Margin Analysis'!F$3,'TB &amp; MCC Cost Audit 2020-Curren'!$A:$A,'MCC Margin Analysis'!$B32)</f>
        <v>0</v>
      </c>
      <c r="G32" s="121">
        <f>SUMIFS('TB &amp; MCC Cost Audit 2020-Curren'!$P:$P,'TB &amp; MCC Cost Audit 2020-Curren'!$C:$C,'MCC Margin Analysis'!$A$1,'TB &amp; MCC Cost Audit 2020-Curren'!$D:$D,'MCC Margin Analysis'!G$3,'TB &amp; MCC Cost Audit 2020-Curren'!$A:$A,'MCC Margin Analysis'!$B32)</f>
        <v>0</v>
      </c>
      <c r="J32" s="121">
        <f>SUMIFS('TB &amp; MCC Cost Audit 2020-Curren'!$W:$W,'TB &amp; MCC Cost Audit 2020-Curren'!$C:$C,'MCC Margin Analysis'!$A$1,'TB &amp; MCC Cost Audit 2020-Curren'!$D:$D,'MCC Margin Analysis'!J$3,'TB &amp; MCC Cost Audit 2020-Curren'!$A:$A,'MCC Margin Analysis'!$B32)</f>
        <v>0</v>
      </c>
      <c r="K32" s="121">
        <f>SUMIFS('TB &amp; MCC Cost Audit 2020-Curren'!$W:$W,'TB &amp; MCC Cost Audit 2020-Curren'!$C:$C,'MCC Margin Analysis'!$A$1,'TB &amp; MCC Cost Audit 2020-Curren'!$D:$D,'MCC Margin Analysis'!K$3,'TB &amp; MCC Cost Audit 2020-Curren'!$A:$A,'MCC Margin Analysis'!$B32)</f>
        <v>0</v>
      </c>
      <c r="L32" s="121">
        <f>SUMIFS('TB &amp; MCC Cost Audit 2020-Curren'!$W:$W,'TB &amp; MCC Cost Audit 2020-Curren'!$C:$C,'MCC Margin Analysis'!$A$1,'TB &amp; MCC Cost Audit 2020-Curren'!$D:$D,'MCC Margin Analysis'!L$3,'TB &amp; MCC Cost Audit 2020-Curren'!$A:$A,'MCC Margin Analysis'!$B32)</f>
        <v>0</v>
      </c>
      <c r="M32" s="121">
        <f>SUMIFS('TB &amp; MCC Cost Audit 2020-Curren'!$W:$W,'TB &amp; MCC Cost Audit 2020-Curren'!$C:$C,'MCC Margin Analysis'!$A$1,'TB &amp; MCC Cost Audit 2020-Curren'!$D:$D,'MCC Margin Analysis'!M$3,'TB &amp; MCC Cost Audit 2020-Curren'!$A:$A,'MCC Margin Analysis'!$B32)</f>
        <v>0</v>
      </c>
      <c r="N32" s="121">
        <f>SUMIFS('TB &amp; MCC Cost Audit 2020-Curren'!$W:$W,'TB &amp; MCC Cost Audit 2020-Curren'!$C:$C,'MCC Margin Analysis'!$A$1,'TB &amp; MCC Cost Audit 2020-Curren'!$D:$D,'MCC Margin Analysis'!N$3,'TB &amp; MCC Cost Audit 2020-Curren'!$A:$A,'MCC Margin Analysis'!$B32)</f>
        <v>0</v>
      </c>
      <c r="Q32" s="119" t="str">
        <f t="shared" si="5"/>
        <v xml:space="preserve"> - </v>
      </c>
      <c r="R32" s="119" t="str">
        <f t="shared" si="6"/>
        <v xml:space="preserve"> - </v>
      </c>
      <c r="S32" s="119" t="str">
        <f t="shared" si="7"/>
        <v xml:space="preserve"> - </v>
      </c>
      <c r="T32" s="119" t="str">
        <f t="shared" si="8"/>
        <v xml:space="preserve"> - </v>
      </c>
      <c r="U32" s="119" t="str">
        <f t="shared" si="9"/>
        <v xml:space="preserve"> - </v>
      </c>
    </row>
    <row r="33" spans="2:21" x14ac:dyDescent="0.15">
      <c r="B33" s="54" t="s">
        <v>327</v>
      </c>
      <c r="C33" s="121">
        <f>SUMIFS('TB &amp; MCC Cost Audit 2020-Curren'!$P:$P,'TB &amp; MCC Cost Audit 2020-Curren'!$C:$C,'MCC Margin Analysis'!$A$1,'TB &amp; MCC Cost Audit 2020-Curren'!$D:$D,'MCC Margin Analysis'!C$3,'TB &amp; MCC Cost Audit 2020-Curren'!$A:$A,'MCC Margin Analysis'!$B33)</f>
        <v>0</v>
      </c>
      <c r="D33" s="121">
        <f>SUMIFS('TB &amp; MCC Cost Audit 2020-Curren'!$P:$P,'TB &amp; MCC Cost Audit 2020-Curren'!$C:$C,'MCC Margin Analysis'!$A$1,'TB &amp; MCC Cost Audit 2020-Curren'!$D:$D,'MCC Margin Analysis'!D$3,'TB &amp; MCC Cost Audit 2020-Curren'!$A:$A,'MCC Margin Analysis'!$B33)</f>
        <v>0</v>
      </c>
      <c r="E33" s="121">
        <f>SUMIFS('TB &amp; MCC Cost Audit 2020-Curren'!$P:$P,'TB &amp; MCC Cost Audit 2020-Curren'!$C:$C,'MCC Margin Analysis'!$A$1,'TB &amp; MCC Cost Audit 2020-Curren'!$D:$D,'MCC Margin Analysis'!E$3,'TB &amp; MCC Cost Audit 2020-Curren'!$A:$A,'MCC Margin Analysis'!$B33)</f>
        <v>0</v>
      </c>
      <c r="F33" s="121">
        <f>SUMIFS('TB &amp; MCC Cost Audit 2020-Curren'!$P:$P,'TB &amp; MCC Cost Audit 2020-Curren'!$C:$C,'MCC Margin Analysis'!$A$1,'TB &amp; MCC Cost Audit 2020-Curren'!$D:$D,'MCC Margin Analysis'!F$3,'TB &amp; MCC Cost Audit 2020-Curren'!$A:$A,'MCC Margin Analysis'!$B33)</f>
        <v>0</v>
      </c>
      <c r="G33" s="121">
        <f>SUMIFS('TB &amp; MCC Cost Audit 2020-Curren'!$P:$P,'TB &amp; MCC Cost Audit 2020-Curren'!$C:$C,'MCC Margin Analysis'!$A$1,'TB &amp; MCC Cost Audit 2020-Curren'!$D:$D,'MCC Margin Analysis'!G$3,'TB &amp; MCC Cost Audit 2020-Curren'!$A:$A,'MCC Margin Analysis'!$B33)</f>
        <v>0</v>
      </c>
      <c r="J33" s="121">
        <f>SUMIFS('TB &amp; MCC Cost Audit 2020-Curren'!$W:$W,'TB &amp; MCC Cost Audit 2020-Curren'!$C:$C,'MCC Margin Analysis'!$A$1,'TB &amp; MCC Cost Audit 2020-Curren'!$D:$D,'MCC Margin Analysis'!J$3,'TB &amp; MCC Cost Audit 2020-Curren'!$A:$A,'MCC Margin Analysis'!$B33)</f>
        <v>0</v>
      </c>
      <c r="K33" s="121">
        <f>SUMIFS('TB &amp; MCC Cost Audit 2020-Curren'!$W:$W,'TB &amp; MCC Cost Audit 2020-Curren'!$C:$C,'MCC Margin Analysis'!$A$1,'TB &amp; MCC Cost Audit 2020-Curren'!$D:$D,'MCC Margin Analysis'!K$3,'TB &amp; MCC Cost Audit 2020-Curren'!$A:$A,'MCC Margin Analysis'!$B33)</f>
        <v>0</v>
      </c>
      <c r="L33" s="121">
        <f>SUMIFS('TB &amp; MCC Cost Audit 2020-Curren'!$W:$W,'TB &amp; MCC Cost Audit 2020-Curren'!$C:$C,'MCC Margin Analysis'!$A$1,'TB &amp; MCC Cost Audit 2020-Curren'!$D:$D,'MCC Margin Analysis'!L$3,'TB &amp; MCC Cost Audit 2020-Curren'!$A:$A,'MCC Margin Analysis'!$B33)</f>
        <v>0</v>
      </c>
      <c r="M33" s="121">
        <f>SUMIFS('TB &amp; MCC Cost Audit 2020-Curren'!$W:$W,'TB &amp; MCC Cost Audit 2020-Curren'!$C:$C,'MCC Margin Analysis'!$A$1,'TB &amp; MCC Cost Audit 2020-Curren'!$D:$D,'MCC Margin Analysis'!M$3,'TB &amp; MCC Cost Audit 2020-Curren'!$A:$A,'MCC Margin Analysis'!$B33)</f>
        <v>0</v>
      </c>
      <c r="N33" s="121">
        <f>SUMIFS('TB &amp; MCC Cost Audit 2020-Curren'!$W:$W,'TB &amp; MCC Cost Audit 2020-Curren'!$C:$C,'MCC Margin Analysis'!$A$1,'TB &amp; MCC Cost Audit 2020-Curren'!$D:$D,'MCC Margin Analysis'!N$3,'TB &amp; MCC Cost Audit 2020-Curren'!$A:$A,'MCC Margin Analysis'!$B33)</f>
        <v>0</v>
      </c>
      <c r="Q33" s="119" t="str">
        <f t="shared" si="5"/>
        <v xml:space="preserve"> - </v>
      </c>
      <c r="R33" s="119" t="str">
        <f t="shared" si="6"/>
        <v xml:space="preserve"> - </v>
      </c>
      <c r="S33" s="119" t="str">
        <f t="shared" si="7"/>
        <v xml:space="preserve"> - </v>
      </c>
      <c r="T33" s="119" t="str">
        <f t="shared" si="8"/>
        <v xml:space="preserve"> - </v>
      </c>
      <c r="U33" s="119" t="str">
        <f t="shared" si="9"/>
        <v xml:space="preserve"> - </v>
      </c>
    </row>
    <row r="34" spans="2:21" x14ac:dyDescent="0.15">
      <c r="B34" s="54" t="s">
        <v>97</v>
      </c>
      <c r="C34" s="121">
        <f>SUMIFS('TB &amp; MCC Cost Audit 2020-Curren'!$P:$P,'TB &amp; MCC Cost Audit 2020-Curren'!$C:$C,'MCC Margin Analysis'!$A$1,'TB &amp; MCC Cost Audit 2020-Curren'!$D:$D,'MCC Margin Analysis'!C$3,'TB &amp; MCC Cost Audit 2020-Curren'!$A:$A,'MCC Margin Analysis'!$B34)</f>
        <v>13907</v>
      </c>
      <c r="D34" s="121">
        <f>SUMIFS('TB &amp; MCC Cost Audit 2020-Curren'!$P:$P,'TB &amp; MCC Cost Audit 2020-Curren'!$C:$C,'MCC Margin Analysis'!$A$1,'TB &amp; MCC Cost Audit 2020-Curren'!$D:$D,'MCC Margin Analysis'!D$3,'TB &amp; MCC Cost Audit 2020-Curren'!$A:$A,'MCC Margin Analysis'!$B34)</f>
        <v>0</v>
      </c>
      <c r="E34" s="121">
        <f>SUMIFS('TB &amp; MCC Cost Audit 2020-Curren'!$P:$P,'TB &amp; MCC Cost Audit 2020-Curren'!$C:$C,'MCC Margin Analysis'!$A$1,'TB &amp; MCC Cost Audit 2020-Curren'!$D:$D,'MCC Margin Analysis'!E$3,'TB &amp; MCC Cost Audit 2020-Curren'!$A:$A,'MCC Margin Analysis'!$B34)</f>
        <v>0</v>
      </c>
      <c r="F34" s="121">
        <f>SUMIFS('TB &amp; MCC Cost Audit 2020-Curren'!$P:$P,'TB &amp; MCC Cost Audit 2020-Curren'!$C:$C,'MCC Margin Analysis'!$A$1,'TB &amp; MCC Cost Audit 2020-Curren'!$D:$D,'MCC Margin Analysis'!F$3,'TB &amp; MCC Cost Audit 2020-Curren'!$A:$A,'MCC Margin Analysis'!$B34)</f>
        <v>0</v>
      </c>
      <c r="G34" s="121">
        <f>SUMIFS('TB &amp; MCC Cost Audit 2020-Curren'!$P:$P,'TB &amp; MCC Cost Audit 2020-Curren'!$C:$C,'MCC Margin Analysis'!$A$1,'TB &amp; MCC Cost Audit 2020-Curren'!$D:$D,'MCC Margin Analysis'!G$3,'TB &amp; MCC Cost Audit 2020-Curren'!$A:$A,'MCC Margin Analysis'!$B34)</f>
        <v>0</v>
      </c>
      <c r="J34" s="121">
        <f>SUMIFS('TB &amp; MCC Cost Audit 2020-Curren'!$W:$W,'TB &amp; MCC Cost Audit 2020-Curren'!$C:$C,'MCC Margin Analysis'!$A$1,'TB &amp; MCC Cost Audit 2020-Curren'!$D:$D,'MCC Margin Analysis'!J$3,'TB &amp; MCC Cost Audit 2020-Curren'!$A:$A,'MCC Margin Analysis'!$B34)</f>
        <v>3996.37</v>
      </c>
      <c r="K34" s="121">
        <f>SUMIFS('TB &amp; MCC Cost Audit 2020-Curren'!$W:$W,'TB &amp; MCC Cost Audit 2020-Curren'!$C:$C,'MCC Margin Analysis'!$A$1,'TB &amp; MCC Cost Audit 2020-Curren'!$D:$D,'MCC Margin Analysis'!K$3,'TB &amp; MCC Cost Audit 2020-Curren'!$A:$A,'MCC Margin Analysis'!$B34)</f>
        <v>0</v>
      </c>
      <c r="L34" s="121">
        <f>SUMIFS('TB &amp; MCC Cost Audit 2020-Curren'!$W:$W,'TB &amp; MCC Cost Audit 2020-Curren'!$C:$C,'MCC Margin Analysis'!$A$1,'TB &amp; MCC Cost Audit 2020-Curren'!$D:$D,'MCC Margin Analysis'!L$3,'TB &amp; MCC Cost Audit 2020-Curren'!$A:$A,'MCC Margin Analysis'!$B34)</f>
        <v>0</v>
      </c>
      <c r="M34" s="121">
        <f>SUMIFS('TB &amp; MCC Cost Audit 2020-Curren'!$W:$W,'TB &amp; MCC Cost Audit 2020-Curren'!$C:$C,'MCC Margin Analysis'!$A$1,'TB &amp; MCC Cost Audit 2020-Curren'!$D:$D,'MCC Margin Analysis'!M$3,'TB &amp; MCC Cost Audit 2020-Curren'!$A:$A,'MCC Margin Analysis'!$B34)</f>
        <v>0</v>
      </c>
      <c r="N34" s="121">
        <f>SUMIFS('TB &amp; MCC Cost Audit 2020-Curren'!$W:$W,'TB &amp; MCC Cost Audit 2020-Curren'!$C:$C,'MCC Margin Analysis'!$A$1,'TB &amp; MCC Cost Audit 2020-Curren'!$D:$D,'MCC Margin Analysis'!N$3,'TB &amp; MCC Cost Audit 2020-Curren'!$A:$A,'MCC Margin Analysis'!$B34)</f>
        <v>0</v>
      </c>
      <c r="Q34" s="119">
        <f t="shared" si="5"/>
        <v>0.71263608254835697</v>
      </c>
      <c r="R34" s="119" t="str">
        <f t="shared" si="6"/>
        <v xml:space="preserve"> - </v>
      </c>
      <c r="S34" s="119" t="str">
        <f t="shared" si="7"/>
        <v xml:space="preserve"> - </v>
      </c>
      <c r="T34" s="119" t="str">
        <f t="shared" si="8"/>
        <v xml:space="preserve"> - </v>
      </c>
      <c r="U34" s="119" t="str">
        <f t="shared" si="9"/>
        <v xml:space="preserve"> - </v>
      </c>
    </row>
    <row r="35" spans="2:21" x14ac:dyDescent="0.15">
      <c r="B35" s="54" t="s">
        <v>665</v>
      </c>
      <c r="C35" s="121">
        <f>SUMIFS('TB &amp; MCC Cost Audit 2020-Curren'!$P:$P,'TB &amp; MCC Cost Audit 2020-Curren'!$C:$C,'MCC Margin Analysis'!$A$1,'TB &amp; MCC Cost Audit 2020-Curren'!$D:$D,'MCC Margin Analysis'!C$3,'TB &amp; MCC Cost Audit 2020-Curren'!$A:$A,'MCC Margin Analysis'!$B35)</f>
        <v>0</v>
      </c>
      <c r="D35" s="121">
        <f>SUMIFS('TB &amp; MCC Cost Audit 2020-Curren'!$P:$P,'TB &amp; MCC Cost Audit 2020-Curren'!$C:$C,'MCC Margin Analysis'!$A$1,'TB &amp; MCC Cost Audit 2020-Curren'!$D:$D,'MCC Margin Analysis'!D$3,'TB &amp; MCC Cost Audit 2020-Curren'!$A:$A,'MCC Margin Analysis'!$B35)</f>
        <v>0</v>
      </c>
      <c r="E35" s="121">
        <f>SUMIFS('TB &amp; MCC Cost Audit 2020-Curren'!$P:$P,'TB &amp; MCC Cost Audit 2020-Curren'!$C:$C,'MCC Margin Analysis'!$A$1,'TB &amp; MCC Cost Audit 2020-Curren'!$D:$D,'MCC Margin Analysis'!E$3,'TB &amp; MCC Cost Audit 2020-Curren'!$A:$A,'MCC Margin Analysis'!$B35)</f>
        <v>0</v>
      </c>
      <c r="F35" s="121">
        <f>SUMIFS('TB &amp; MCC Cost Audit 2020-Curren'!$P:$P,'TB &amp; MCC Cost Audit 2020-Curren'!$C:$C,'MCC Margin Analysis'!$A$1,'TB &amp; MCC Cost Audit 2020-Curren'!$D:$D,'MCC Margin Analysis'!F$3,'TB &amp; MCC Cost Audit 2020-Curren'!$A:$A,'MCC Margin Analysis'!$B35)</f>
        <v>0</v>
      </c>
      <c r="G35" s="121">
        <f>SUMIFS('TB &amp; MCC Cost Audit 2020-Curren'!$P:$P,'TB &amp; MCC Cost Audit 2020-Curren'!$C:$C,'MCC Margin Analysis'!$A$1,'TB &amp; MCC Cost Audit 2020-Curren'!$D:$D,'MCC Margin Analysis'!G$3,'TB &amp; MCC Cost Audit 2020-Curren'!$A:$A,'MCC Margin Analysis'!$B35)</f>
        <v>22864</v>
      </c>
      <c r="J35" s="121">
        <f>SUMIFS('TB &amp; MCC Cost Audit 2020-Curren'!$W:$W,'TB &amp; MCC Cost Audit 2020-Curren'!$C:$C,'MCC Margin Analysis'!$A$1,'TB &amp; MCC Cost Audit 2020-Curren'!$D:$D,'MCC Margin Analysis'!J$3,'TB &amp; MCC Cost Audit 2020-Curren'!$A:$A,'MCC Margin Analysis'!$B35)</f>
        <v>0</v>
      </c>
      <c r="K35" s="121">
        <f>SUMIFS('TB &amp; MCC Cost Audit 2020-Curren'!$W:$W,'TB &amp; MCC Cost Audit 2020-Curren'!$C:$C,'MCC Margin Analysis'!$A$1,'TB &amp; MCC Cost Audit 2020-Curren'!$D:$D,'MCC Margin Analysis'!K$3,'TB &amp; MCC Cost Audit 2020-Curren'!$A:$A,'MCC Margin Analysis'!$B35)</f>
        <v>0</v>
      </c>
      <c r="L35" s="121">
        <f>SUMIFS('TB &amp; MCC Cost Audit 2020-Curren'!$W:$W,'TB &amp; MCC Cost Audit 2020-Curren'!$C:$C,'MCC Margin Analysis'!$A$1,'TB &amp; MCC Cost Audit 2020-Curren'!$D:$D,'MCC Margin Analysis'!L$3,'TB &amp; MCC Cost Audit 2020-Curren'!$A:$A,'MCC Margin Analysis'!$B35)</f>
        <v>0</v>
      </c>
      <c r="M35" s="121">
        <f>SUMIFS('TB &amp; MCC Cost Audit 2020-Curren'!$W:$W,'TB &amp; MCC Cost Audit 2020-Curren'!$C:$C,'MCC Margin Analysis'!$A$1,'TB &amp; MCC Cost Audit 2020-Curren'!$D:$D,'MCC Margin Analysis'!M$3,'TB &amp; MCC Cost Audit 2020-Curren'!$A:$A,'MCC Margin Analysis'!$B35)</f>
        <v>0</v>
      </c>
      <c r="N35" s="121">
        <f>SUMIFS('TB &amp; MCC Cost Audit 2020-Curren'!$W:$W,'TB &amp; MCC Cost Audit 2020-Curren'!$C:$C,'MCC Margin Analysis'!$A$1,'TB &amp; MCC Cost Audit 2020-Curren'!$D:$D,'MCC Margin Analysis'!N$3,'TB &amp; MCC Cost Audit 2020-Curren'!$A:$A,'MCC Margin Analysis'!$B35)</f>
        <v>5358.82</v>
      </c>
      <c r="Q35" s="119" t="str">
        <f t="shared" si="5"/>
        <v xml:space="preserve"> - </v>
      </c>
      <c r="R35" s="119" t="str">
        <f t="shared" si="6"/>
        <v xml:space="preserve"> - </v>
      </c>
      <c r="S35" s="119" t="str">
        <f t="shared" si="7"/>
        <v xml:space="preserve"> - </v>
      </c>
      <c r="T35" s="119" t="str">
        <f t="shared" si="8"/>
        <v xml:space="preserve"> - </v>
      </c>
      <c r="U35" s="119">
        <f t="shared" si="9"/>
        <v>0.76562193841847448</v>
      </c>
    </row>
    <row r="36" spans="2:21" x14ac:dyDescent="0.15">
      <c r="B36" s="54" t="s">
        <v>264</v>
      </c>
      <c r="C36" s="121">
        <f>SUMIFS('TB &amp; MCC Cost Audit 2020-Curren'!$P:$P,'TB &amp; MCC Cost Audit 2020-Curren'!$C:$C,'MCC Margin Analysis'!$A$1,'TB &amp; MCC Cost Audit 2020-Curren'!$D:$D,'MCC Margin Analysis'!C$3,'TB &amp; MCC Cost Audit 2020-Curren'!$A:$A,'MCC Margin Analysis'!$B36)</f>
        <v>0</v>
      </c>
      <c r="D36" s="121">
        <f>SUMIFS('TB &amp; MCC Cost Audit 2020-Curren'!$P:$P,'TB &amp; MCC Cost Audit 2020-Curren'!$C:$C,'MCC Margin Analysis'!$A$1,'TB &amp; MCC Cost Audit 2020-Curren'!$D:$D,'MCC Margin Analysis'!D$3,'TB &amp; MCC Cost Audit 2020-Curren'!$A:$A,'MCC Margin Analysis'!$B36)</f>
        <v>9389</v>
      </c>
      <c r="E36" s="121">
        <f>SUMIFS('TB &amp; MCC Cost Audit 2020-Curren'!$P:$P,'TB &amp; MCC Cost Audit 2020-Curren'!$C:$C,'MCC Margin Analysis'!$A$1,'TB &amp; MCC Cost Audit 2020-Curren'!$D:$D,'MCC Margin Analysis'!E$3,'TB &amp; MCC Cost Audit 2020-Curren'!$A:$A,'MCC Margin Analysis'!$B36)</f>
        <v>9671</v>
      </c>
      <c r="F36" s="121">
        <f>SUMIFS('TB &amp; MCC Cost Audit 2020-Curren'!$P:$P,'TB &amp; MCC Cost Audit 2020-Curren'!$C:$C,'MCC Margin Analysis'!$A$1,'TB &amp; MCC Cost Audit 2020-Curren'!$D:$D,'MCC Margin Analysis'!F$3,'TB &amp; MCC Cost Audit 2020-Curren'!$A:$A,'MCC Margin Analysis'!$B36)</f>
        <v>9961</v>
      </c>
      <c r="G36" s="121">
        <f>SUMIFS('TB &amp; MCC Cost Audit 2020-Curren'!$P:$P,'TB &amp; MCC Cost Audit 2020-Curren'!$C:$C,'MCC Margin Analysis'!$A$1,'TB &amp; MCC Cost Audit 2020-Curren'!$D:$D,'MCC Margin Analysis'!G$3,'TB &amp; MCC Cost Audit 2020-Curren'!$A:$A,'MCC Margin Analysis'!$B36)</f>
        <v>10261</v>
      </c>
      <c r="J36" s="121">
        <f>SUMIFS('TB &amp; MCC Cost Audit 2020-Curren'!$W:$W,'TB &amp; MCC Cost Audit 2020-Curren'!$C:$C,'MCC Margin Analysis'!$A$1,'TB &amp; MCC Cost Audit 2020-Curren'!$D:$D,'MCC Margin Analysis'!J$3,'TB &amp; MCC Cost Audit 2020-Curren'!$A:$A,'MCC Margin Analysis'!$B36)</f>
        <v>0</v>
      </c>
      <c r="K36" s="121">
        <f>SUMIFS('TB &amp; MCC Cost Audit 2020-Curren'!$W:$W,'TB &amp; MCC Cost Audit 2020-Curren'!$C:$C,'MCC Margin Analysis'!$A$1,'TB &amp; MCC Cost Audit 2020-Curren'!$D:$D,'MCC Margin Analysis'!K$3,'TB &amp; MCC Cost Audit 2020-Curren'!$A:$A,'MCC Margin Analysis'!$B36)</f>
        <v>4456.47</v>
      </c>
      <c r="L36" s="121">
        <f>SUMIFS('TB &amp; MCC Cost Audit 2020-Curren'!$W:$W,'TB &amp; MCC Cost Audit 2020-Curren'!$C:$C,'MCC Margin Analysis'!$A$1,'TB &amp; MCC Cost Audit 2020-Curren'!$D:$D,'MCC Margin Analysis'!L$3,'TB &amp; MCC Cost Audit 2020-Curren'!$A:$A,'MCC Margin Analysis'!$B36)</f>
        <v>3021.3700000000003</v>
      </c>
      <c r="M36" s="121">
        <f>SUMIFS('TB &amp; MCC Cost Audit 2020-Curren'!$W:$W,'TB &amp; MCC Cost Audit 2020-Curren'!$C:$C,'MCC Margin Analysis'!$A$1,'TB &amp; MCC Cost Audit 2020-Curren'!$D:$D,'MCC Margin Analysis'!M$3,'TB &amp; MCC Cost Audit 2020-Curren'!$A:$A,'MCC Margin Analysis'!$B36)</f>
        <v>4578.9100000000008</v>
      </c>
      <c r="N36" s="121">
        <f>SUMIFS('TB &amp; MCC Cost Audit 2020-Curren'!$W:$W,'TB &amp; MCC Cost Audit 2020-Curren'!$C:$C,'MCC Margin Analysis'!$A$1,'TB &amp; MCC Cost Audit 2020-Curren'!$D:$D,'MCC Margin Analysis'!N$3,'TB &amp; MCC Cost Audit 2020-Curren'!$A:$A,'MCC Margin Analysis'!$B36)</f>
        <v>3154.85</v>
      </c>
      <c r="Q36" s="119" t="str">
        <f t="shared" ref="Q36:Q68" si="10">IFERROR((C36-J36)/C36," - ")</f>
        <v xml:space="preserve"> - </v>
      </c>
      <c r="R36" s="119">
        <f t="shared" ref="R36:R68" si="11">IFERROR((D36-K36)/D36," - ")</f>
        <v>0.52535200766854828</v>
      </c>
      <c r="S36" s="119">
        <f t="shared" ref="S36:S68" si="12">IFERROR((E36-L36)/E36," - ")</f>
        <v>0.6875845310722779</v>
      </c>
      <c r="T36" s="119">
        <f t="shared" ref="T36:T68" si="13">IFERROR((F36-M36)/F36," - ")</f>
        <v>0.54031623330990852</v>
      </c>
      <c r="U36" s="119">
        <f t="shared" ref="U36:U68" si="14">IFERROR((G36-N36)/G36," - ")</f>
        <v>0.69253971347821841</v>
      </c>
    </row>
    <row r="37" spans="2:21" x14ac:dyDescent="0.15">
      <c r="B37" s="54" t="s">
        <v>683</v>
      </c>
      <c r="C37" s="121">
        <f>SUMIFS('TB &amp; MCC Cost Audit 2020-Curren'!$P:$P,'TB &amp; MCC Cost Audit 2020-Curren'!$C:$C,'MCC Margin Analysis'!$A$1,'TB &amp; MCC Cost Audit 2020-Curren'!$D:$D,'MCC Margin Analysis'!C$3,'TB &amp; MCC Cost Audit 2020-Curren'!$A:$A,'MCC Margin Analysis'!$B37)</f>
        <v>0</v>
      </c>
      <c r="D37" s="121">
        <f>SUMIFS('TB &amp; MCC Cost Audit 2020-Curren'!$P:$P,'TB &amp; MCC Cost Audit 2020-Curren'!$C:$C,'MCC Margin Analysis'!$A$1,'TB &amp; MCC Cost Audit 2020-Curren'!$D:$D,'MCC Margin Analysis'!D$3,'TB &amp; MCC Cost Audit 2020-Curren'!$A:$A,'MCC Margin Analysis'!$B37)</f>
        <v>0</v>
      </c>
      <c r="E37" s="121">
        <f>SUMIFS('TB &amp; MCC Cost Audit 2020-Curren'!$P:$P,'TB &amp; MCC Cost Audit 2020-Curren'!$C:$C,'MCC Margin Analysis'!$A$1,'TB &amp; MCC Cost Audit 2020-Curren'!$D:$D,'MCC Margin Analysis'!E$3,'TB &amp; MCC Cost Audit 2020-Curren'!$A:$A,'MCC Margin Analysis'!$B37)</f>
        <v>0</v>
      </c>
      <c r="F37" s="121">
        <f>SUMIFS('TB &amp; MCC Cost Audit 2020-Curren'!$P:$P,'TB &amp; MCC Cost Audit 2020-Curren'!$C:$C,'MCC Margin Analysis'!$A$1,'TB &amp; MCC Cost Audit 2020-Curren'!$D:$D,'MCC Margin Analysis'!F$3,'TB &amp; MCC Cost Audit 2020-Curren'!$A:$A,'MCC Margin Analysis'!$B37)</f>
        <v>12876</v>
      </c>
      <c r="G37" s="121">
        <f>SUMIFS('TB &amp; MCC Cost Audit 2020-Curren'!$P:$P,'TB &amp; MCC Cost Audit 2020-Curren'!$C:$C,'MCC Margin Analysis'!$A$1,'TB &amp; MCC Cost Audit 2020-Curren'!$D:$D,'MCC Margin Analysis'!G$3,'TB &amp; MCC Cost Audit 2020-Curren'!$A:$A,'MCC Margin Analysis'!$B37)</f>
        <v>0</v>
      </c>
      <c r="J37" s="121">
        <f>SUMIFS('TB &amp; MCC Cost Audit 2020-Curren'!$W:$W,'TB &amp; MCC Cost Audit 2020-Curren'!$C:$C,'MCC Margin Analysis'!$A$1,'TB &amp; MCC Cost Audit 2020-Curren'!$D:$D,'MCC Margin Analysis'!J$3,'TB &amp; MCC Cost Audit 2020-Curren'!$A:$A,'MCC Margin Analysis'!$B37)</f>
        <v>0</v>
      </c>
      <c r="K37" s="121">
        <f>SUMIFS('TB &amp; MCC Cost Audit 2020-Curren'!$W:$W,'TB &amp; MCC Cost Audit 2020-Curren'!$C:$C,'MCC Margin Analysis'!$A$1,'TB &amp; MCC Cost Audit 2020-Curren'!$D:$D,'MCC Margin Analysis'!K$3,'TB &amp; MCC Cost Audit 2020-Curren'!$A:$A,'MCC Margin Analysis'!$B37)</f>
        <v>0</v>
      </c>
      <c r="L37" s="121">
        <f>SUMIFS('TB &amp; MCC Cost Audit 2020-Curren'!$W:$W,'TB &amp; MCC Cost Audit 2020-Curren'!$C:$C,'MCC Margin Analysis'!$A$1,'TB &amp; MCC Cost Audit 2020-Curren'!$D:$D,'MCC Margin Analysis'!L$3,'TB &amp; MCC Cost Audit 2020-Curren'!$A:$A,'MCC Margin Analysis'!$B37)</f>
        <v>0</v>
      </c>
      <c r="M37" s="121">
        <f>SUMIFS('TB &amp; MCC Cost Audit 2020-Curren'!$W:$W,'TB &amp; MCC Cost Audit 2020-Curren'!$C:$C,'MCC Margin Analysis'!$A$1,'TB &amp; MCC Cost Audit 2020-Curren'!$D:$D,'MCC Margin Analysis'!M$3,'TB &amp; MCC Cost Audit 2020-Curren'!$A:$A,'MCC Margin Analysis'!$B37)</f>
        <v>2449.8000000000002</v>
      </c>
      <c r="N37" s="121">
        <f>SUMIFS('TB &amp; MCC Cost Audit 2020-Curren'!$W:$W,'TB &amp; MCC Cost Audit 2020-Curren'!$C:$C,'MCC Margin Analysis'!$A$1,'TB &amp; MCC Cost Audit 2020-Curren'!$D:$D,'MCC Margin Analysis'!N$3,'TB &amp; MCC Cost Audit 2020-Curren'!$A:$A,'MCC Margin Analysis'!$B37)</f>
        <v>0</v>
      </c>
      <c r="Q37" s="119" t="str">
        <f t="shared" si="10"/>
        <v xml:space="preserve"> - </v>
      </c>
      <c r="R37" s="119" t="str">
        <f t="shared" si="11"/>
        <v xml:space="preserve"> - </v>
      </c>
      <c r="S37" s="119" t="str">
        <f t="shared" si="12"/>
        <v xml:space="preserve"> - </v>
      </c>
      <c r="T37" s="119">
        <f t="shared" si="13"/>
        <v>0.80973904939422181</v>
      </c>
      <c r="U37" s="119" t="str">
        <f t="shared" si="14"/>
        <v xml:space="preserve"> - </v>
      </c>
    </row>
    <row r="38" spans="2:21" x14ac:dyDescent="0.15">
      <c r="B38" s="54" t="s">
        <v>788</v>
      </c>
      <c r="C38" s="121">
        <f>SUMIFS('TB &amp; MCC Cost Audit 2020-Curren'!$P:$P,'TB &amp; MCC Cost Audit 2020-Curren'!$C:$C,'MCC Margin Analysis'!$A$1,'TB &amp; MCC Cost Audit 2020-Curren'!$D:$D,'MCC Margin Analysis'!C$3,'TB &amp; MCC Cost Audit 2020-Curren'!$A:$A,'MCC Margin Analysis'!$B38)</f>
        <v>0</v>
      </c>
      <c r="D38" s="121">
        <f>SUMIFS('TB &amp; MCC Cost Audit 2020-Curren'!$P:$P,'TB &amp; MCC Cost Audit 2020-Curren'!$C:$C,'MCC Margin Analysis'!$A$1,'TB &amp; MCC Cost Audit 2020-Curren'!$D:$D,'MCC Margin Analysis'!D$3,'TB &amp; MCC Cost Audit 2020-Curren'!$A:$A,'MCC Margin Analysis'!$B38)</f>
        <v>0</v>
      </c>
      <c r="E38" s="121">
        <f>SUMIFS('TB &amp; MCC Cost Audit 2020-Curren'!$P:$P,'TB &amp; MCC Cost Audit 2020-Curren'!$C:$C,'MCC Margin Analysis'!$A$1,'TB &amp; MCC Cost Audit 2020-Curren'!$D:$D,'MCC Margin Analysis'!E$3,'TB &amp; MCC Cost Audit 2020-Curren'!$A:$A,'MCC Margin Analysis'!$B38)</f>
        <v>0</v>
      </c>
      <c r="F38" s="121">
        <f>SUMIFS('TB &amp; MCC Cost Audit 2020-Curren'!$P:$P,'TB &amp; MCC Cost Audit 2020-Curren'!$C:$C,'MCC Margin Analysis'!$A$1,'TB &amp; MCC Cost Audit 2020-Curren'!$D:$D,'MCC Margin Analysis'!F$3,'TB &amp; MCC Cost Audit 2020-Curren'!$A:$A,'MCC Margin Analysis'!$B38)</f>
        <v>15756</v>
      </c>
      <c r="G38" s="121">
        <f>SUMIFS('TB &amp; MCC Cost Audit 2020-Curren'!$P:$P,'TB &amp; MCC Cost Audit 2020-Curren'!$C:$C,'MCC Margin Analysis'!$A$1,'TB &amp; MCC Cost Audit 2020-Curren'!$D:$D,'MCC Margin Analysis'!G$3,'TB &amp; MCC Cost Audit 2020-Curren'!$A:$A,'MCC Margin Analysis'!$B38)</f>
        <v>16623</v>
      </c>
      <c r="J38" s="121">
        <f>SUMIFS('TB &amp; MCC Cost Audit 2020-Curren'!$W:$W,'TB &amp; MCC Cost Audit 2020-Curren'!$C:$C,'MCC Margin Analysis'!$A$1,'TB &amp; MCC Cost Audit 2020-Curren'!$D:$D,'MCC Margin Analysis'!J$3,'TB &amp; MCC Cost Audit 2020-Curren'!$A:$A,'MCC Margin Analysis'!$B38)</f>
        <v>0</v>
      </c>
      <c r="K38" s="121">
        <f>SUMIFS('TB &amp; MCC Cost Audit 2020-Curren'!$W:$W,'TB &amp; MCC Cost Audit 2020-Curren'!$C:$C,'MCC Margin Analysis'!$A$1,'TB &amp; MCC Cost Audit 2020-Curren'!$D:$D,'MCC Margin Analysis'!K$3,'TB &amp; MCC Cost Audit 2020-Curren'!$A:$A,'MCC Margin Analysis'!$B38)</f>
        <v>0</v>
      </c>
      <c r="L38" s="121">
        <f>SUMIFS('TB &amp; MCC Cost Audit 2020-Curren'!$W:$W,'TB &amp; MCC Cost Audit 2020-Curren'!$C:$C,'MCC Margin Analysis'!$A$1,'TB &amp; MCC Cost Audit 2020-Curren'!$D:$D,'MCC Margin Analysis'!L$3,'TB &amp; MCC Cost Audit 2020-Curren'!$A:$A,'MCC Margin Analysis'!$B38)</f>
        <v>0</v>
      </c>
      <c r="M38" s="121">
        <f>SUMIFS('TB &amp; MCC Cost Audit 2020-Curren'!$W:$W,'TB &amp; MCC Cost Audit 2020-Curren'!$C:$C,'MCC Margin Analysis'!$A$1,'TB &amp; MCC Cost Audit 2020-Curren'!$D:$D,'MCC Margin Analysis'!M$3,'TB &amp; MCC Cost Audit 2020-Curren'!$A:$A,'MCC Margin Analysis'!$B38)</f>
        <v>1679.94</v>
      </c>
      <c r="N38" s="121">
        <f>SUMIFS('TB &amp; MCC Cost Audit 2020-Curren'!$W:$W,'TB &amp; MCC Cost Audit 2020-Curren'!$C:$C,'MCC Margin Analysis'!$A$1,'TB &amp; MCC Cost Audit 2020-Curren'!$D:$D,'MCC Margin Analysis'!N$3,'TB &amp; MCC Cost Audit 2020-Curren'!$A:$A,'MCC Margin Analysis'!$B38)</f>
        <v>3749.98</v>
      </c>
      <c r="Q38" s="119" t="str">
        <f t="shared" si="10"/>
        <v xml:space="preserve"> - </v>
      </c>
      <c r="R38" s="119" t="str">
        <f t="shared" si="11"/>
        <v xml:space="preserve"> - </v>
      </c>
      <c r="S38" s="119" t="str">
        <f t="shared" si="12"/>
        <v xml:space="preserve"> - </v>
      </c>
      <c r="T38" s="119">
        <f t="shared" si="13"/>
        <v>0.89337776085300835</v>
      </c>
      <c r="U38" s="119">
        <f t="shared" si="14"/>
        <v>0.77441015460506535</v>
      </c>
    </row>
    <row r="39" spans="2:21" x14ac:dyDescent="0.15">
      <c r="B39" s="54" t="s">
        <v>426</v>
      </c>
      <c r="C39" s="121">
        <f>SUMIFS('TB &amp; MCC Cost Audit 2020-Curren'!$P:$P,'TB &amp; MCC Cost Audit 2020-Curren'!$C:$C,'MCC Margin Analysis'!$A$1,'TB &amp; MCC Cost Audit 2020-Curren'!$D:$D,'MCC Margin Analysis'!C$3,'TB &amp; MCC Cost Audit 2020-Curren'!$A:$A,'MCC Margin Analysis'!$B39)</f>
        <v>0</v>
      </c>
      <c r="D39" s="121">
        <f>SUMIFS('TB &amp; MCC Cost Audit 2020-Curren'!$P:$P,'TB &amp; MCC Cost Audit 2020-Curren'!$C:$C,'MCC Margin Analysis'!$A$1,'TB &amp; MCC Cost Audit 2020-Curren'!$D:$D,'MCC Margin Analysis'!D$3,'TB &amp; MCC Cost Audit 2020-Curren'!$A:$A,'MCC Margin Analysis'!$B39)</f>
        <v>0</v>
      </c>
      <c r="E39" s="121">
        <f>SUMIFS('TB &amp; MCC Cost Audit 2020-Curren'!$P:$P,'TB &amp; MCC Cost Audit 2020-Curren'!$C:$C,'MCC Margin Analysis'!$A$1,'TB &amp; MCC Cost Audit 2020-Curren'!$D:$D,'MCC Margin Analysis'!E$3,'TB &amp; MCC Cost Audit 2020-Curren'!$A:$A,'MCC Margin Analysis'!$B39)</f>
        <v>8054</v>
      </c>
      <c r="F39" s="121">
        <f>SUMIFS('TB &amp; MCC Cost Audit 2020-Curren'!$P:$P,'TB &amp; MCC Cost Audit 2020-Curren'!$C:$C,'MCC Margin Analysis'!$A$1,'TB &amp; MCC Cost Audit 2020-Curren'!$D:$D,'MCC Margin Analysis'!F$3,'TB &amp; MCC Cost Audit 2020-Curren'!$A:$A,'MCC Margin Analysis'!$B39)</f>
        <v>8865</v>
      </c>
      <c r="G39" s="121">
        <f>SUMIFS('TB &amp; MCC Cost Audit 2020-Curren'!$P:$P,'TB &amp; MCC Cost Audit 2020-Curren'!$C:$C,'MCC Margin Analysis'!$A$1,'TB &amp; MCC Cost Audit 2020-Curren'!$D:$D,'MCC Margin Analysis'!G$3,'TB &amp; MCC Cost Audit 2020-Curren'!$A:$A,'MCC Margin Analysis'!$B39)</f>
        <v>9530</v>
      </c>
      <c r="J39" s="121">
        <f>SUMIFS('TB &amp; MCC Cost Audit 2020-Curren'!$W:$W,'TB &amp; MCC Cost Audit 2020-Curren'!$C:$C,'MCC Margin Analysis'!$A$1,'TB &amp; MCC Cost Audit 2020-Curren'!$D:$D,'MCC Margin Analysis'!J$3,'TB &amp; MCC Cost Audit 2020-Curren'!$A:$A,'MCC Margin Analysis'!$B39)</f>
        <v>0</v>
      </c>
      <c r="K39" s="121">
        <f>SUMIFS('TB &amp; MCC Cost Audit 2020-Curren'!$W:$W,'TB &amp; MCC Cost Audit 2020-Curren'!$C:$C,'MCC Margin Analysis'!$A$1,'TB &amp; MCC Cost Audit 2020-Curren'!$D:$D,'MCC Margin Analysis'!K$3,'TB &amp; MCC Cost Audit 2020-Curren'!$A:$A,'MCC Margin Analysis'!$B39)</f>
        <v>0</v>
      </c>
      <c r="L39" s="121">
        <f>SUMIFS('TB &amp; MCC Cost Audit 2020-Curren'!$W:$W,'TB &amp; MCC Cost Audit 2020-Curren'!$C:$C,'MCC Margin Analysis'!$A$1,'TB &amp; MCC Cost Audit 2020-Curren'!$D:$D,'MCC Margin Analysis'!L$3,'TB &amp; MCC Cost Audit 2020-Curren'!$A:$A,'MCC Margin Analysis'!$B39)</f>
        <v>1821.66</v>
      </c>
      <c r="M39" s="121">
        <f>SUMIFS('TB &amp; MCC Cost Audit 2020-Curren'!$W:$W,'TB &amp; MCC Cost Audit 2020-Curren'!$C:$C,'MCC Margin Analysis'!$A$1,'TB &amp; MCC Cost Audit 2020-Curren'!$D:$D,'MCC Margin Analysis'!M$3,'TB &amp; MCC Cost Audit 2020-Curren'!$A:$A,'MCC Margin Analysis'!$B39)</f>
        <v>2597.11</v>
      </c>
      <c r="N39" s="121">
        <f>SUMIFS('TB &amp; MCC Cost Audit 2020-Curren'!$W:$W,'TB &amp; MCC Cost Audit 2020-Curren'!$C:$C,'MCC Margin Analysis'!$A$1,'TB &amp; MCC Cost Audit 2020-Curren'!$D:$D,'MCC Margin Analysis'!N$3,'TB &amp; MCC Cost Audit 2020-Curren'!$A:$A,'MCC Margin Analysis'!$B39)</f>
        <v>2865.7799999999997</v>
      </c>
      <c r="Q39" s="119" t="str">
        <f t="shared" si="10"/>
        <v xml:space="preserve"> - </v>
      </c>
      <c r="R39" s="119" t="str">
        <f t="shared" si="11"/>
        <v xml:space="preserve"> - </v>
      </c>
      <c r="S39" s="119">
        <f t="shared" si="12"/>
        <v>0.77381922026322325</v>
      </c>
      <c r="T39" s="119">
        <f t="shared" si="13"/>
        <v>0.70703778905809356</v>
      </c>
      <c r="U39" s="119">
        <f t="shared" si="14"/>
        <v>0.69928856243441762</v>
      </c>
    </row>
    <row r="40" spans="2:21" x14ac:dyDescent="0.15">
      <c r="B40" s="54" t="s">
        <v>121</v>
      </c>
      <c r="C40" s="121">
        <f>SUMIFS('TB &amp; MCC Cost Audit 2020-Curren'!$P:$P,'TB &amp; MCC Cost Audit 2020-Curren'!$C:$C,'MCC Margin Analysis'!$A$1,'TB &amp; MCC Cost Audit 2020-Curren'!$D:$D,'MCC Margin Analysis'!C$3,'TB &amp; MCC Cost Audit 2020-Curren'!$A:$A,'MCC Margin Analysis'!$B40)</f>
        <v>0</v>
      </c>
      <c r="D40" s="121">
        <f>SUMIFS('TB &amp; MCC Cost Audit 2020-Curren'!$P:$P,'TB &amp; MCC Cost Audit 2020-Curren'!$C:$C,'MCC Margin Analysis'!$A$1,'TB &amp; MCC Cost Audit 2020-Curren'!$D:$D,'MCC Margin Analysis'!D$3,'TB &amp; MCC Cost Audit 2020-Curren'!$A:$A,'MCC Margin Analysis'!$B40)</f>
        <v>9572</v>
      </c>
      <c r="E40" s="121">
        <f>SUMIFS('TB &amp; MCC Cost Audit 2020-Curren'!$P:$P,'TB &amp; MCC Cost Audit 2020-Curren'!$C:$C,'MCC Margin Analysis'!$A$1,'TB &amp; MCC Cost Audit 2020-Curren'!$D:$D,'MCC Margin Analysis'!E$3,'TB &amp; MCC Cost Audit 2020-Curren'!$A:$A,'MCC Margin Analysis'!$B40)</f>
        <v>10051</v>
      </c>
      <c r="F40" s="121">
        <f>SUMIFS('TB &amp; MCC Cost Audit 2020-Curren'!$P:$P,'TB &amp; MCC Cost Audit 2020-Curren'!$C:$C,'MCC Margin Analysis'!$A$1,'TB &amp; MCC Cost Audit 2020-Curren'!$D:$D,'MCC Margin Analysis'!F$3,'TB &amp; MCC Cost Audit 2020-Curren'!$A:$A,'MCC Margin Analysis'!$B40)</f>
        <v>11062</v>
      </c>
      <c r="G40" s="121">
        <f>SUMIFS('TB &amp; MCC Cost Audit 2020-Curren'!$P:$P,'TB &amp; MCC Cost Audit 2020-Curren'!$C:$C,'MCC Margin Analysis'!$A$1,'TB &amp; MCC Cost Audit 2020-Curren'!$D:$D,'MCC Margin Analysis'!G$3,'TB &amp; MCC Cost Audit 2020-Curren'!$A:$A,'MCC Margin Analysis'!$B40)</f>
        <v>11892</v>
      </c>
      <c r="J40" s="121">
        <f>SUMIFS('TB &amp; MCC Cost Audit 2020-Curren'!$W:$W,'TB &amp; MCC Cost Audit 2020-Curren'!$C:$C,'MCC Margin Analysis'!$A$1,'TB &amp; MCC Cost Audit 2020-Curren'!$D:$D,'MCC Margin Analysis'!J$3,'TB &amp; MCC Cost Audit 2020-Curren'!$A:$A,'MCC Margin Analysis'!$B40)</f>
        <v>0</v>
      </c>
      <c r="K40" s="121">
        <f>SUMIFS('TB &amp; MCC Cost Audit 2020-Curren'!$W:$W,'TB &amp; MCC Cost Audit 2020-Curren'!$C:$C,'MCC Margin Analysis'!$A$1,'TB &amp; MCC Cost Audit 2020-Curren'!$D:$D,'MCC Margin Analysis'!K$3,'TB &amp; MCC Cost Audit 2020-Curren'!$A:$A,'MCC Margin Analysis'!$B40)</f>
        <v>3593.0299999999997</v>
      </c>
      <c r="L40" s="121">
        <f>SUMIFS('TB &amp; MCC Cost Audit 2020-Curren'!$W:$W,'TB &amp; MCC Cost Audit 2020-Curren'!$C:$C,'MCC Margin Analysis'!$A$1,'TB &amp; MCC Cost Audit 2020-Curren'!$D:$D,'MCC Margin Analysis'!L$3,'TB &amp; MCC Cost Audit 2020-Curren'!$A:$A,'MCC Margin Analysis'!$B40)</f>
        <v>2866.92</v>
      </c>
      <c r="M40" s="121">
        <f>SUMIFS('TB &amp; MCC Cost Audit 2020-Curren'!$W:$W,'TB &amp; MCC Cost Audit 2020-Curren'!$C:$C,'MCC Margin Analysis'!$A$1,'TB &amp; MCC Cost Audit 2020-Curren'!$D:$D,'MCC Margin Analysis'!M$3,'TB &amp; MCC Cost Audit 2020-Curren'!$A:$A,'MCC Margin Analysis'!$B40)</f>
        <v>3630.17</v>
      </c>
      <c r="N40" s="121">
        <f>SUMIFS('TB &amp; MCC Cost Audit 2020-Curren'!$W:$W,'TB &amp; MCC Cost Audit 2020-Curren'!$C:$C,'MCC Margin Analysis'!$A$1,'TB &amp; MCC Cost Audit 2020-Curren'!$D:$D,'MCC Margin Analysis'!N$3,'TB &amp; MCC Cost Audit 2020-Curren'!$A:$A,'MCC Margin Analysis'!$B40)</f>
        <v>3325.69</v>
      </c>
      <c r="Q40" s="119" t="str">
        <f t="shared" si="10"/>
        <v xml:space="preserve"> - </v>
      </c>
      <c r="R40" s="119">
        <f t="shared" si="11"/>
        <v>0.62463121604680316</v>
      </c>
      <c r="S40" s="119">
        <f t="shared" si="12"/>
        <v>0.71476271017809168</v>
      </c>
      <c r="T40" s="119">
        <f t="shared" si="13"/>
        <v>0.67183420719580544</v>
      </c>
      <c r="U40" s="119">
        <f t="shared" si="14"/>
        <v>0.72034224688866455</v>
      </c>
    </row>
    <row r="41" spans="2:21" x14ac:dyDescent="0.15">
      <c r="B41" s="54" t="s">
        <v>404</v>
      </c>
      <c r="C41" s="121">
        <f>SUMIFS('TB &amp; MCC Cost Audit 2020-Curren'!$P:$P,'TB &amp; MCC Cost Audit 2020-Curren'!$C:$C,'MCC Margin Analysis'!$A$1,'TB &amp; MCC Cost Audit 2020-Curren'!$D:$D,'MCC Margin Analysis'!C$3,'TB &amp; MCC Cost Audit 2020-Curren'!$A:$A,'MCC Margin Analysis'!$B41)</f>
        <v>0</v>
      </c>
      <c r="D41" s="121">
        <f>SUMIFS('TB &amp; MCC Cost Audit 2020-Curren'!$P:$P,'TB &amp; MCC Cost Audit 2020-Curren'!$C:$C,'MCC Margin Analysis'!$A$1,'TB &amp; MCC Cost Audit 2020-Curren'!$D:$D,'MCC Margin Analysis'!D$3,'TB &amp; MCC Cost Audit 2020-Curren'!$A:$A,'MCC Margin Analysis'!$B41)</f>
        <v>0</v>
      </c>
      <c r="E41" s="121">
        <f>SUMIFS('TB &amp; MCC Cost Audit 2020-Curren'!$P:$P,'TB &amp; MCC Cost Audit 2020-Curren'!$C:$C,'MCC Margin Analysis'!$A$1,'TB &amp; MCC Cost Audit 2020-Curren'!$D:$D,'MCC Margin Analysis'!E$3,'TB &amp; MCC Cost Audit 2020-Curren'!$A:$A,'MCC Margin Analysis'!$B41)</f>
        <v>0</v>
      </c>
      <c r="F41" s="121">
        <f>SUMIFS('TB &amp; MCC Cost Audit 2020-Curren'!$P:$P,'TB &amp; MCC Cost Audit 2020-Curren'!$C:$C,'MCC Margin Analysis'!$A$1,'TB &amp; MCC Cost Audit 2020-Curren'!$D:$D,'MCC Margin Analysis'!F$3,'TB &amp; MCC Cost Audit 2020-Curren'!$A:$A,'MCC Margin Analysis'!$B41)</f>
        <v>0</v>
      </c>
      <c r="G41" s="121">
        <f>SUMIFS('TB &amp; MCC Cost Audit 2020-Curren'!$P:$P,'TB &amp; MCC Cost Audit 2020-Curren'!$C:$C,'MCC Margin Analysis'!$A$1,'TB &amp; MCC Cost Audit 2020-Curren'!$D:$D,'MCC Margin Analysis'!G$3,'TB &amp; MCC Cost Audit 2020-Curren'!$A:$A,'MCC Margin Analysis'!$B41)</f>
        <v>0</v>
      </c>
      <c r="J41" s="121">
        <f>SUMIFS('TB &amp; MCC Cost Audit 2020-Curren'!$W:$W,'TB &amp; MCC Cost Audit 2020-Curren'!$C:$C,'MCC Margin Analysis'!$A$1,'TB &amp; MCC Cost Audit 2020-Curren'!$D:$D,'MCC Margin Analysis'!J$3,'TB &amp; MCC Cost Audit 2020-Curren'!$A:$A,'MCC Margin Analysis'!$B41)</f>
        <v>0</v>
      </c>
      <c r="K41" s="121">
        <f>SUMIFS('TB &amp; MCC Cost Audit 2020-Curren'!$W:$W,'TB &amp; MCC Cost Audit 2020-Curren'!$C:$C,'MCC Margin Analysis'!$A$1,'TB &amp; MCC Cost Audit 2020-Curren'!$D:$D,'MCC Margin Analysis'!K$3,'TB &amp; MCC Cost Audit 2020-Curren'!$A:$A,'MCC Margin Analysis'!$B41)</f>
        <v>0</v>
      </c>
      <c r="L41" s="121">
        <f>SUMIFS('TB &amp; MCC Cost Audit 2020-Curren'!$W:$W,'TB &amp; MCC Cost Audit 2020-Curren'!$C:$C,'MCC Margin Analysis'!$A$1,'TB &amp; MCC Cost Audit 2020-Curren'!$D:$D,'MCC Margin Analysis'!L$3,'TB &amp; MCC Cost Audit 2020-Curren'!$A:$A,'MCC Margin Analysis'!$B41)</f>
        <v>0</v>
      </c>
      <c r="M41" s="121">
        <f>SUMIFS('TB &amp; MCC Cost Audit 2020-Curren'!$W:$W,'TB &amp; MCC Cost Audit 2020-Curren'!$C:$C,'MCC Margin Analysis'!$A$1,'TB &amp; MCC Cost Audit 2020-Curren'!$D:$D,'MCC Margin Analysis'!M$3,'TB &amp; MCC Cost Audit 2020-Curren'!$A:$A,'MCC Margin Analysis'!$B41)</f>
        <v>0</v>
      </c>
      <c r="N41" s="121">
        <f>SUMIFS('TB &amp; MCC Cost Audit 2020-Curren'!$W:$W,'TB &amp; MCC Cost Audit 2020-Curren'!$C:$C,'MCC Margin Analysis'!$A$1,'TB &amp; MCC Cost Audit 2020-Curren'!$D:$D,'MCC Margin Analysis'!N$3,'TB &amp; MCC Cost Audit 2020-Curren'!$A:$A,'MCC Margin Analysis'!$B41)</f>
        <v>0</v>
      </c>
      <c r="Q41" s="119" t="str">
        <f t="shared" si="10"/>
        <v xml:space="preserve"> - </v>
      </c>
      <c r="R41" s="119" t="str">
        <f t="shared" si="11"/>
        <v xml:space="preserve"> - </v>
      </c>
      <c r="S41" s="119" t="str">
        <f t="shared" si="12"/>
        <v xml:space="preserve"> - </v>
      </c>
      <c r="T41" s="119" t="str">
        <f t="shared" si="13"/>
        <v xml:space="preserve"> - </v>
      </c>
      <c r="U41" s="119" t="str">
        <f t="shared" si="14"/>
        <v xml:space="preserve"> - </v>
      </c>
    </row>
    <row r="42" spans="2:21" x14ac:dyDescent="0.15">
      <c r="B42" s="54" t="s">
        <v>294</v>
      </c>
      <c r="C42" s="121">
        <f>SUMIFS('TB &amp; MCC Cost Audit 2020-Curren'!$P:$P,'TB &amp; MCC Cost Audit 2020-Curren'!$C:$C,'MCC Margin Analysis'!$A$1,'TB &amp; MCC Cost Audit 2020-Curren'!$D:$D,'MCC Margin Analysis'!C$3,'TB &amp; MCC Cost Audit 2020-Curren'!$A:$A,'MCC Margin Analysis'!$B42)</f>
        <v>12572</v>
      </c>
      <c r="D42" s="121">
        <f>SUMIFS('TB &amp; MCC Cost Audit 2020-Curren'!$P:$P,'TB &amp; MCC Cost Audit 2020-Curren'!$C:$C,'MCC Margin Analysis'!$A$1,'TB &amp; MCC Cost Audit 2020-Curren'!$D:$D,'MCC Margin Analysis'!D$3,'TB &amp; MCC Cost Audit 2020-Curren'!$A:$A,'MCC Margin Analysis'!$B42)</f>
        <v>15087</v>
      </c>
      <c r="E42" s="121">
        <f>SUMIFS('TB &amp; MCC Cost Audit 2020-Curren'!$P:$P,'TB &amp; MCC Cost Audit 2020-Curren'!$C:$C,'MCC Margin Analysis'!$A$1,'TB &amp; MCC Cost Audit 2020-Curren'!$D:$D,'MCC Margin Analysis'!E$3,'TB &amp; MCC Cost Audit 2020-Curren'!$A:$A,'MCC Margin Analysis'!$B42)</f>
        <v>0</v>
      </c>
      <c r="F42" s="121">
        <f>SUMIFS('TB &amp; MCC Cost Audit 2020-Curren'!$P:$P,'TB &amp; MCC Cost Audit 2020-Curren'!$C:$C,'MCC Margin Analysis'!$A$1,'TB &amp; MCC Cost Audit 2020-Curren'!$D:$D,'MCC Margin Analysis'!F$3,'TB &amp; MCC Cost Audit 2020-Curren'!$A:$A,'MCC Margin Analysis'!$B42)</f>
        <v>27819</v>
      </c>
      <c r="G42" s="121">
        <f>SUMIFS('TB &amp; MCC Cost Audit 2020-Curren'!$P:$P,'TB &amp; MCC Cost Audit 2020-Curren'!$C:$C,'MCC Margin Analysis'!$A$1,'TB &amp; MCC Cost Audit 2020-Curren'!$D:$D,'MCC Margin Analysis'!G$3,'TB &amp; MCC Cost Audit 2020-Curren'!$A:$A,'MCC Margin Analysis'!$B42)</f>
        <v>0</v>
      </c>
      <c r="J42" s="121">
        <f>SUMIFS('TB &amp; MCC Cost Audit 2020-Curren'!$W:$W,'TB &amp; MCC Cost Audit 2020-Curren'!$C:$C,'MCC Margin Analysis'!$A$1,'TB &amp; MCC Cost Audit 2020-Curren'!$D:$D,'MCC Margin Analysis'!J$3,'TB &amp; MCC Cost Audit 2020-Curren'!$A:$A,'MCC Margin Analysis'!$B42)</f>
        <v>5984.24</v>
      </c>
      <c r="K42" s="121">
        <f>SUMIFS('TB &amp; MCC Cost Audit 2020-Curren'!$W:$W,'TB &amp; MCC Cost Audit 2020-Curren'!$C:$C,'MCC Margin Analysis'!$A$1,'TB &amp; MCC Cost Audit 2020-Curren'!$D:$D,'MCC Margin Analysis'!K$3,'TB &amp; MCC Cost Audit 2020-Curren'!$A:$A,'MCC Margin Analysis'!$B42)</f>
        <v>4273.1499999999996</v>
      </c>
      <c r="L42" s="121">
        <f>SUMIFS('TB &amp; MCC Cost Audit 2020-Curren'!$W:$W,'TB &amp; MCC Cost Audit 2020-Curren'!$C:$C,'MCC Margin Analysis'!$A$1,'TB &amp; MCC Cost Audit 2020-Curren'!$D:$D,'MCC Margin Analysis'!L$3,'TB &amp; MCC Cost Audit 2020-Curren'!$A:$A,'MCC Margin Analysis'!$B42)</f>
        <v>0</v>
      </c>
      <c r="M42" s="121">
        <f>SUMIFS('TB &amp; MCC Cost Audit 2020-Curren'!$W:$W,'TB &amp; MCC Cost Audit 2020-Curren'!$C:$C,'MCC Margin Analysis'!$A$1,'TB &amp; MCC Cost Audit 2020-Curren'!$D:$D,'MCC Margin Analysis'!M$3,'TB &amp; MCC Cost Audit 2020-Curren'!$A:$A,'MCC Margin Analysis'!$B42)</f>
        <v>5500.6399999999994</v>
      </c>
      <c r="N42" s="121">
        <f>SUMIFS('TB &amp; MCC Cost Audit 2020-Curren'!$W:$W,'TB &amp; MCC Cost Audit 2020-Curren'!$C:$C,'MCC Margin Analysis'!$A$1,'TB &amp; MCC Cost Audit 2020-Curren'!$D:$D,'MCC Margin Analysis'!N$3,'TB &amp; MCC Cost Audit 2020-Curren'!$A:$A,'MCC Margin Analysis'!$B42)</f>
        <v>0</v>
      </c>
      <c r="Q42" s="119">
        <f t="shared" si="10"/>
        <v>0.52400254533884827</v>
      </c>
      <c r="R42" s="119">
        <f t="shared" si="11"/>
        <v>0.71676609001126801</v>
      </c>
      <c r="S42" s="119" t="str">
        <f t="shared" si="12"/>
        <v xml:space="preserve"> - </v>
      </c>
      <c r="T42" s="119">
        <f t="shared" si="13"/>
        <v>0.80227039074014161</v>
      </c>
      <c r="U42" s="119" t="str">
        <f t="shared" si="14"/>
        <v xml:space="preserve"> - </v>
      </c>
    </row>
    <row r="43" spans="2:21" x14ac:dyDescent="0.15">
      <c r="B43" s="54" t="s">
        <v>324</v>
      </c>
      <c r="C43" s="121">
        <f>SUMIFS('TB &amp; MCC Cost Audit 2020-Curren'!$P:$P,'TB &amp; MCC Cost Audit 2020-Curren'!$C:$C,'MCC Margin Analysis'!$A$1,'TB &amp; MCC Cost Audit 2020-Curren'!$D:$D,'MCC Margin Analysis'!C$3,'TB &amp; MCC Cost Audit 2020-Curren'!$A:$A,'MCC Margin Analysis'!$B43)</f>
        <v>41584</v>
      </c>
      <c r="D43" s="121">
        <f>SUMIFS('TB &amp; MCC Cost Audit 2020-Curren'!$P:$P,'TB &amp; MCC Cost Audit 2020-Curren'!$C:$C,'MCC Margin Analysis'!$A$1,'TB &amp; MCC Cost Audit 2020-Curren'!$D:$D,'MCC Margin Analysis'!D$3,'TB &amp; MCC Cost Audit 2020-Curren'!$A:$A,'MCC Margin Analysis'!$B43)</f>
        <v>0</v>
      </c>
      <c r="E43" s="121">
        <f>SUMIFS('TB &amp; MCC Cost Audit 2020-Curren'!$P:$P,'TB &amp; MCC Cost Audit 2020-Curren'!$C:$C,'MCC Margin Analysis'!$A$1,'TB &amp; MCC Cost Audit 2020-Curren'!$D:$D,'MCC Margin Analysis'!E$3,'TB &amp; MCC Cost Audit 2020-Curren'!$A:$A,'MCC Margin Analysis'!$B43)</f>
        <v>51115.68</v>
      </c>
      <c r="F43" s="121">
        <f>SUMIFS('TB &amp; MCC Cost Audit 2020-Curren'!$P:$P,'TB &amp; MCC Cost Audit 2020-Curren'!$C:$C,'MCC Margin Analysis'!$A$1,'TB &amp; MCC Cost Audit 2020-Curren'!$D:$D,'MCC Margin Analysis'!F$3,'TB &amp; MCC Cost Audit 2020-Curren'!$A:$A,'MCC Margin Analysis'!$B43)</f>
        <v>55240.53</v>
      </c>
      <c r="G43" s="121">
        <f>SUMIFS('TB &amp; MCC Cost Audit 2020-Curren'!$P:$P,'TB &amp; MCC Cost Audit 2020-Curren'!$C:$C,'MCC Margin Analysis'!$A$1,'TB &amp; MCC Cost Audit 2020-Curren'!$D:$D,'MCC Margin Analysis'!G$3,'TB &amp; MCC Cost Audit 2020-Curren'!$A:$A,'MCC Margin Analysis'!$B43)</f>
        <v>0</v>
      </c>
      <c r="J43" s="121">
        <f>SUMIFS('TB &amp; MCC Cost Audit 2020-Curren'!$W:$W,'TB &amp; MCC Cost Audit 2020-Curren'!$C:$C,'MCC Margin Analysis'!$A$1,'TB &amp; MCC Cost Audit 2020-Curren'!$D:$D,'MCC Margin Analysis'!J$3,'TB &amp; MCC Cost Audit 2020-Curren'!$A:$A,'MCC Margin Analysis'!$B43)</f>
        <v>4249.6000000000004</v>
      </c>
      <c r="K43" s="121">
        <f>SUMIFS('TB &amp; MCC Cost Audit 2020-Curren'!$W:$W,'TB &amp; MCC Cost Audit 2020-Curren'!$C:$C,'MCC Margin Analysis'!$A$1,'TB &amp; MCC Cost Audit 2020-Curren'!$D:$D,'MCC Margin Analysis'!K$3,'TB &amp; MCC Cost Audit 2020-Curren'!$A:$A,'MCC Margin Analysis'!$B43)</f>
        <v>0</v>
      </c>
      <c r="L43" s="121">
        <f>SUMIFS('TB &amp; MCC Cost Audit 2020-Curren'!$W:$W,'TB &amp; MCC Cost Audit 2020-Curren'!$C:$C,'MCC Margin Analysis'!$A$1,'TB &amp; MCC Cost Audit 2020-Curren'!$D:$D,'MCC Margin Analysis'!L$3,'TB &amp; MCC Cost Audit 2020-Curren'!$A:$A,'MCC Margin Analysis'!$B43)</f>
        <v>7766.9199999999992</v>
      </c>
      <c r="M43" s="121">
        <f>SUMIFS('TB &amp; MCC Cost Audit 2020-Curren'!$W:$W,'TB &amp; MCC Cost Audit 2020-Curren'!$C:$C,'MCC Margin Analysis'!$A$1,'TB &amp; MCC Cost Audit 2020-Curren'!$D:$D,'MCC Margin Analysis'!M$3,'TB &amp; MCC Cost Audit 2020-Curren'!$A:$A,'MCC Margin Analysis'!$B43)</f>
        <v>19087.895</v>
      </c>
      <c r="N43" s="121">
        <f>SUMIFS('TB &amp; MCC Cost Audit 2020-Curren'!$W:$W,'TB &amp; MCC Cost Audit 2020-Curren'!$C:$C,'MCC Margin Analysis'!$A$1,'TB &amp; MCC Cost Audit 2020-Curren'!$D:$D,'MCC Margin Analysis'!N$3,'TB &amp; MCC Cost Audit 2020-Curren'!$A:$A,'MCC Margin Analysis'!$B43)</f>
        <v>0</v>
      </c>
      <c r="Q43" s="119">
        <f t="shared" si="10"/>
        <v>0.89780684878799544</v>
      </c>
      <c r="R43" s="119" t="str">
        <f t="shared" si="11"/>
        <v xml:space="preserve"> - </v>
      </c>
      <c r="S43" s="119">
        <f t="shared" si="12"/>
        <v>0.84805210455969682</v>
      </c>
      <c r="T43" s="119">
        <f t="shared" si="13"/>
        <v>0.65445851080719164</v>
      </c>
      <c r="U43" s="119" t="str">
        <f t="shared" si="14"/>
        <v xml:space="preserve"> - </v>
      </c>
    </row>
    <row r="44" spans="2:21" x14ac:dyDescent="0.15">
      <c r="B44" s="54" t="s">
        <v>993</v>
      </c>
      <c r="C44" s="121">
        <f>SUMIFS('TB &amp; MCC Cost Audit 2020-Curren'!$P:$P,'TB &amp; MCC Cost Audit 2020-Curren'!$C:$C,'MCC Margin Analysis'!$A$1,'TB &amp; MCC Cost Audit 2020-Curren'!$D:$D,'MCC Margin Analysis'!C$3,'TB &amp; MCC Cost Audit 2020-Curren'!$A:$A,'MCC Margin Analysis'!$B44)</f>
        <v>0</v>
      </c>
      <c r="D44" s="121">
        <f>SUMIFS('TB &amp; MCC Cost Audit 2020-Curren'!$P:$P,'TB &amp; MCC Cost Audit 2020-Curren'!$C:$C,'MCC Margin Analysis'!$A$1,'TB &amp; MCC Cost Audit 2020-Curren'!$D:$D,'MCC Margin Analysis'!D$3,'TB &amp; MCC Cost Audit 2020-Curren'!$A:$A,'MCC Margin Analysis'!$B44)</f>
        <v>0</v>
      </c>
      <c r="E44" s="121">
        <f>SUMIFS('TB &amp; MCC Cost Audit 2020-Curren'!$P:$P,'TB &amp; MCC Cost Audit 2020-Curren'!$C:$C,'MCC Margin Analysis'!$A$1,'TB &amp; MCC Cost Audit 2020-Curren'!$D:$D,'MCC Margin Analysis'!E$3,'TB &amp; MCC Cost Audit 2020-Curren'!$A:$A,'MCC Margin Analysis'!$B44)</f>
        <v>0</v>
      </c>
      <c r="F44" s="121">
        <f>SUMIFS('TB &amp; MCC Cost Audit 2020-Curren'!$P:$P,'TB &amp; MCC Cost Audit 2020-Curren'!$C:$C,'MCC Margin Analysis'!$A$1,'TB &amp; MCC Cost Audit 2020-Curren'!$D:$D,'MCC Margin Analysis'!F$3,'TB &amp; MCC Cost Audit 2020-Curren'!$A:$A,'MCC Margin Analysis'!$B44)</f>
        <v>0</v>
      </c>
      <c r="G44" s="121">
        <f>SUMIFS('TB &amp; MCC Cost Audit 2020-Curren'!$P:$P,'TB &amp; MCC Cost Audit 2020-Curren'!$C:$C,'MCC Margin Analysis'!$A$1,'TB &amp; MCC Cost Audit 2020-Curren'!$D:$D,'MCC Margin Analysis'!G$3,'TB &amp; MCC Cost Audit 2020-Curren'!$A:$A,'MCC Margin Analysis'!$B44)</f>
        <v>0</v>
      </c>
      <c r="J44" s="121">
        <f>SUMIFS('TB &amp; MCC Cost Audit 2020-Curren'!$W:$W,'TB &amp; MCC Cost Audit 2020-Curren'!$C:$C,'MCC Margin Analysis'!$A$1,'TB &amp; MCC Cost Audit 2020-Curren'!$D:$D,'MCC Margin Analysis'!J$3,'TB &amp; MCC Cost Audit 2020-Curren'!$A:$A,'MCC Margin Analysis'!$B44)</f>
        <v>0</v>
      </c>
      <c r="K44" s="121">
        <f>SUMIFS('TB &amp; MCC Cost Audit 2020-Curren'!$W:$W,'TB &amp; MCC Cost Audit 2020-Curren'!$C:$C,'MCC Margin Analysis'!$A$1,'TB &amp; MCC Cost Audit 2020-Curren'!$D:$D,'MCC Margin Analysis'!K$3,'TB &amp; MCC Cost Audit 2020-Curren'!$A:$A,'MCC Margin Analysis'!$B44)</f>
        <v>0</v>
      </c>
      <c r="L44" s="121">
        <f>SUMIFS('TB &amp; MCC Cost Audit 2020-Curren'!$W:$W,'TB &amp; MCC Cost Audit 2020-Curren'!$C:$C,'MCC Margin Analysis'!$A$1,'TB &amp; MCC Cost Audit 2020-Curren'!$D:$D,'MCC Margin Analysis'!L$3,'TB &amp; MCC Cost Audit 2020-Curren'!$A:$A,'MCC Margin Analysis'!$B44)</f>
        <v>0</v>
      </c>
      <c r="M44" s="121">
        <f>SUMIFS('TB &amp; MCC Cost Audit 2020-Curren'!$W:$W,'TB &amp; MCC Cost Audit 2020-Curren'!$C:$C,'MCC Margin Analysis'!$A$1,'TB &amp; MCC Cost Audit 2020-Curren'!$D:$D,'MCC Margin Analysis'!M$3,'TB &amp; MCC Cost Audit 2020-Curren'!$A:$A,'MCC Margin Analysis'!$B44)</f>
        <v>0</v>
      </c>
      <c r="N44" s="121">
        <f>SUMIFS('TB &amp; MCC Cost Audit 2020-Curren'!$W:$W,'TB &amp; MCC Cost Audit 2020-Curren'!$C:$C,'MCC Margin Analysis'!$A$1,'TB &amp; MCC Cost Audit 2020-Curren'!$D:$D,'MCC Margin Analysis'!N$3,'TB &amp; MCC Cost Audit 2020-Curren'!$A:$A,'MCC Margin Analysis'!$B44)</f>
        <v>0</v>
      </c>
      <c r="Q44" s="119" t="str">
        <f t="shared" si="10"/>
        <v xml:space="preserve"> - </v>
      </c>
      <c r="R44" s="119" t="str">
        <f t="shared" si="11"/>
        <v xml:space="preserve"> - </v>
      </c>
      <c r="S44" s="119" t="str">
        <f t="shared" si="12"/>
        <v xml:space="preserve"> - </v>
      </c>
      <c r="T44" s="119" t="str">
        <f t="shared" si="13"/>
        <v xml:space="preserve"> - </v>
      </c>
      <c r="U44" s="119" t="str">
        <f t="shared" si="14"/>
        <v xml:space="preserve"> - </v>
      </c>
    </row>
    <row r="45" spans="2:21" x14ac:dyDescent="0.15">
      <c r="B45" s="54" t="s">
        <v>197</v>
      </c>
      <c r="C45" s="121">
        <f>SUMIFS('TB &amp; MCC Cost Audit 2020-Curren'!$P:$P,'TB &amp; MCC Cost Audit 2020-Curren'!$C:$C,'MCC Margin Analysis'!$A$1,'TB &amp; MCC Cost Audit 2020-Curren'!$D:$D,'MCC Margin Analysis'!C$3,'TB &amp; MCC Cost Audit 2020-Curren'!$A:$A,'MCC Margin Analysis'!$B45)</f>
        <v>13576</v>
      </c>
      <c r="D45" s="121">
        <f>SUMIFS('TB &amp; MCC Cost Audit 2020-Curren'!$P:$P,'TB &amp; MCC Cost Audit 2020-Curren'!$C:$C,'MCC Margin Analysis'!$A$1,'TB &amp; MCC Cost Audit 2020-Curren'!$D:$D,'MCC Margin Analysis'!D$3,'TB &amp; MCC Cost Audit 2020-Curren'!$A:$A,'MCC Margin Analysis'!$B45)</f>
        <v>0</v>
      </c>
      <c r="E45" s="121">
        <f>SUMIFS('TB &amp; MCC Cost Audit 2020-Curren'!$P:$P,'TB &amp; MCC Cost Audit 2020-Curren'!$C:$C,'MCC Margin Analysis'!$A$1,'TB &amp; MCC Cost Audit 2020-Curren'!$D:$D,'MCC Margin Analysis'!E$3,'TB &amp; MCC Cost Audit 2020-Curren'!$A:$A,'MCC Margin Analysis'!$B45)</f>
        <v>0</v>
      </c>
      <c r="F45" s="121">
        <f>SUMIFS('TB &amp; MCC Cost Audit 2020-Curren'!$P:$P,'TB &amp; MCC Cost Audit 2020-Curren'!$C:$C,'MCC Margin Analysis'!$A$1,'TB &amp; MCC Cost Audit 2020-Curren'!$D:$D,'MCC Margin Analysis'!F$3,'TB &amp; MCC Cost Audit 2020-Curren'!$A:$A,'MCC Margin Analysis'!$B45)</f>
        <v>0</v>
      </c>
      <c r="G45" s="121">
        <f>SUMIFS('TB &amp; MCC Cost Audit 2020-Curren'!$P:$P,'TB &amp; MCC Cost Audit 2020-Curren'!$C:$C,'MCC Margin Analysis'!$A$1,'TB &amp; MCC Cost Audit 2020-Curren'!$D:$D,'MCC Margin Analysis'!G$3,'TB &amp; MCC Cost Audit 2020-Curren'!$A:$A,'MCC Margin Analysis'!$B45)</f>
        <v>0</v>
      </c>
      <c r="J45" s="121">
        <f>SUMIFS('TB &amp; MCC Cost Audit 2020-Curren'!$W:$W,'TB &amp; MCC Cost Audit 2020-Curren'!$C:$C,'MCC Margin Analysis'!$A$1,'TB &amp; MCC Cost Audit 2020-Curren'!$D:$D,'MCC Margin Analysis'!J$3,'TB &amp; MCC Cost Audit 2020-Curren'!$A:$A,'MCC Margin Analysis'!$B45)</f>
        <v>6116.8</v>
      </c>
      <c r="K45" s="121">
        <f>SUMIFS('TB &amp; MCC Cost Audit 2020-Curren'!$W:$W,'TB &amp; MCC Cost Audit 2020-Curren'!$C:$C,'MCC Margin Analysis'!$A$1,'TB &amp; MCC Cost Audit 2020-Curren'!$D:$D,'MCC Margin Analysis'!K$3,'TB &amp; MCC Cost Audit 2020-Curren'!$A:$A,'MCC Margin Analysis'!$B45)</f>
        <v>0</v>
      </c>
      <c r="L45" s="121">
        <f>SUMIFS('TB &amp; MCC Cost Audit 2020-Curren'!$W:$W,'TB &amp; MCC Cost Audit 2020-Curren'!$C:$C,'MCC Margin Analysis'!$A$1,'TB &amp; MCC Cost Audit 2020-Curren'!$D:$D,'MCC Margin Analysis'!L$3,'TB &amp; MCC Cost Audit 2020-Curren'!$A:$A,'MCC Margin Analysis'!$B45)</f>
        <v>0</v>
      </c>
      <c r="M45" s="121">
        <f>SUMIFS('TB &amp; MCC Cost Audit 2020-Curren'!$W:$W,'TB &amp; MCC Cost Audit 2020-Curren'!$C:$C,'MCC Margin Analysis'!$A$1,'TB &amp; MCC Cost Audit 2020-Curren'!$D:$D,'MCC Margin Analysis'!M$3,'TB &amp; MCC Cost Audit 2020-Curren'!$A:$A,'MCC Margin Analysis'!$B45)</f>
        <v>0</v>
      </c>
      <c r="N45" s="121">
        <f>SUMIFS('TB &amp; MCC Cost Audit 2020-Curren'!$W:$W,'TB &amp; MCC Cost Audit 2020-Curren'!$C:$C,'MCC Margin Analysis'!$A$1,'TB &amp; MCC Cost Audit 2020-Curren'!$D:$D,'MCC Margin Analysis'!N$3,'TB &amp; MCC Cost Audit 2020-Curren'!$A:$A,'MCC Margin Analysis'!$B45)</f>
        <v>0</v>
      </c>
      <c r="Q45" s="119">
        <f t="shared" si="10"/>
        <v>0.54944018856806132</v>
      </c>
      <c r="R45" s="119" t="str">
        <f t="shared" si="11"/>
        <v xml:space="preserve"> - </v>
      </c>
      <c r="S45" s="119" t="str">
        <f t="shared" si="12"/>
        <v xml:space="preserve"> - </v>
      </c>
      <c r="T45" s="119" t="str">
        <f t="shared" si="13"/>
        <v xml:space="preserve"> - </v>
      </c>
      <c r="U45" s="119" t="str">
        <f t="shared" si="14"/>
        <v xml:space="preserve"> - </v>
      </c>
    </row>
    <row r="46" spans="2:21" x14ac:dyDescent="0.15">
      <c r="B46" s="54" t="s">
        <v>292</v>
      </c>
      <c r="C46" s="121">
        <f>SUMIFS('TB &amp; MCC Cost Audit 2020-Curren'!$P:$P,'TB &amp; MCC Cost Audit 2020-Curren'!$C:$C,'MCC Margin Analysis'!$A$1,'TB &amp; MCC Cost Audit 2020-Curren'!$D:$D,'MCC Margin Analysis'!C$3,'TB &amp; MCC Cost Audit 2020-Curren'!$A:$A,'MCC Margin Analysis'!$B46)</f>
        <v>7870</v>
      </c>
      <c r="D46" s="121">
        <f>SUMIFS('TB &amp; MCC Cost Audit 2020-Curren'!$P:$P,'TB &amp; MCC Cost Audit 2020-Curren'!$C:$C,'MCC Margin Analysis'!$A$1,'TB &amp; MCC Cost Audit 2020-Curren'!$D:$D,'MCC Margin Analysis'!D$3,'TB &amp; MCC Cost Audit 2020-Curren'!$A:$A,'MCC Margin Analysis'!$B46)</f>
        <v>7870</v>
      </c>
      <c r="E46" s="121">
        <f>SUMIFS('TB &amp; MCC Cost Audit 2020-Curren'!$P:$P,'TB &amp; MCC Cost Audit 2020-Curren'!$C:$C,'MCC Margin Analysis'!$A$1,'TB &amp; MCC Cost Audit 2020-Curren'!$D:$D,'MCC Margin Analysis'!E$3,'TB &amp; MCC Cost Audit 2020-Curren'!$A:$A,'MCC Margin Analysis'!$B46)</f>
        <v>7870</v>
      </c>
      <c r="F46" s="121">
        <f>SUMIFS('TB &amp; MCC Cost Audit 2020-Curren'!$P:$P,'TB &amp; MCC Cost Audit 2020-Curren'!$C:$C,'MCC Margin Analysis'!$A$1,'TB &amp; MCC Cost Audit 2020-Curren'!$D:$D,'MCC Margin Analysis'!F$3,'TB &amp; MCC Cost Audit 2020-Curren'!$A:$A,'MCC Margin Analysis'!$B46)</f>
        <v>7870</v>
      </c>
      <c r="G46" s="121">
        <f>SUMIFS('TB &amp; MCC Cost Audit 2020-Curren'!$P:$P,'TB &amp; MCC Cost Audit 2020-Curren'!$C:$C,'MCC Margin Analysis'!$A$1,'TB &amp; MCC Cost Audit 2020-Curren'!$D:$D,'MCC Margin Analysis'!G$3,'TB &amp; MCC Cost Audit 2020-Curren'!$A:$A,'MCC Margin Analysis'!$B46)</f>
        <v>7870</v>
      </c>
      <c r="J46" s="121">
        <f>SUMIFS('TB &amp; MCC Cost Audit 2020-Curren'!$W:$W,'TB &amp; MCC Cost Audit 2020-Curren'!$C:$C,'MCC Margin Analysis'!$A$1,'TB &amp; MCC Cost Audit 2020-Curren'!$D:$D,'MCC Margin Analysis'!J$3,'TB &amp; MCC Cost Audit 2020-Curren'!$A:$A,'MCC Margin Analysis'!$B46)</f>
        <v>3833.7500000000005</v>
      </c>
      <c r="K46" s="121">
        <f>SUMIFS('TB &amp; MCC Cost Audit 2020-Curren'!$W:$W,'TB &amp; MCC Cost Audit 2020-Curren'!$C:$C,'MCC Margin Analysis'!$A$1,'TB &amp; MCC Cost Audit 2020-Curren'!$D:$D,'MCC Margin Analysis'!K$3,'TB &amp; MCC Cost Audit 2020-Curren'!$A:$A,'MCC Margin Analysis'!$B46)</f>
        <v>2700.42</v>
      </c>
      <c r="L46" s="121">
        <f>SUMIFS('TB &amp; MCC Cost Audit 2020-Curren'!$W:$W,'TB &amp; MCC Cost Audit 2020-Curren'!$C:$C,'MCC Margin Analysis'!$A$1,'TB &amp; MCC Cost Audit 2020-Curren'!$D:$D,'MCC Margin Analysis'!L$3,'TB &amp; MCC Cost Audit 2020-Curren'!$A:$A,'MCC Margin Analysis'!$B46)</f>
        <v>2848.5599999999995</v>
      </c>
      <c r="M46" s="121">
        <f>SUMIFS('TB &amp; MCC Cost Audit 2020-Curren'!$W:$W,'TB &amp; MCC Cost Audit 2020-Curren'!$C:$C,'MCC Margin Analysis'!$A$1,'TB &amp; MCC Cost Audit 2020-Curren'!$D:$D,'MCC Margin Analysis'!M$3,'TB &amp; MCC Cost Audit 2020-Curren'!$A:$A,'MCC Margin Analysis'!$B46)</f>
        <v>1911.7600000000002</v>
      </c>
      <c r="N46" s="121">
        <f>SUMIFS('TB &amp; MCC Cost Audit 2020-Curren'!$W:$W,'TB &amp; MCC Cost Audit 2020-Curren'!$C:$C,'MCC Margin Analysis'!$A$1,'TB &amp; MCC Cost Audit 2020-Curren'!$D:$D,'MCC Margin Analysis'!N$3,'TB &amp; MCC Cost Audit 2020-Curren'!$A:$A,'MCC Margin Analysis'!$B46)</f>
        <v>2629.03</v>
      </c>
      <c r="Q46" s="119">
        <f t="shared" si="10"/>
        <v>0.51286531130876745</v>
      </c>
      <c r="R46" s="119">
        <f t="shared" si="11"/>
        <v>0.65687166454891999</v>
      </c>
      <c r="S46" s="119">
        <f t="shared" si="12"/>
        <v>0.63804828462515895</v>
      </c>
      <c r="T46" s="119">
        <f t="shared" si="13"/>
        <v>0.75708259212198215</v>
      </c>
      <c r="U46" s="119">
        <f t="shared" si="14"/>
        <v>0.66594282083862766</v>
      </c>
    </row>
    <row r="47" spans="2:21" x14ac:dyDescent="0.15">
      <c r="B47" s="54" t="s">
        <v>540</v>
      </c>
      <c r="C47" s="121">
        <f>SUMIFS('TB &amp; MCC Cost Audit 2020-Curren'!$P:$P,'TB &amp; MCC Cost Audit 2020-Curren'!$C:$C,'MCC Margin Analysis'!$A$1,'TB &amp; MCC Cost Audit 2020-Curren'!$D:$D,'MCC Margin Analysis'!C$3,'TB &amp; MCC Cost Audit 2020-Curren'!$A:$A,'MCC Margin Analysis'!$B47)</f>
        <v>0</v>
      </c>
      <c r="D47" s="121">
        <f>SUMIFS('TB &amp; MCC Cost Audit 2020-Curren'!$P:$P,'TB &amp; MCC Cost Audit 2020-Curren'!$C:$C,'MCC Margin Analysis'!$A$1,'TB &amp; MCC Cost Audit 2020-Curren'!$D:$D,'MCC Margin Analysis'!D$3,'TB &amp; MCC Cost Audit 2020-Curren'!$A:$A,'MCC Margin Analysis'!$B47)</f>
        <v>0</v>
      </c>
      <c r="E47" s="121">
        <f>SUMIFS('TB &amp; MCC Cost Audit 2020-Curren'!$P:$P,'TB &amp; MCC Cost Audit 2020-Curren'!$C:$C,'MCC Margin Analysis'!$A$1,'TB &amp; MCC Cost Audit 2020-Curren'!$D:$D,'MCC Margin Analysis'!E$3,'TB &amp; MCC Cost Audit 2020-Curren'!$A:$A,'MCC Margin Analysis'!$B47)</f>
        <v>0</v>
      </c>
      <c r="F47" s="121">
        <f>SUMIFS('TB &amp; MCC Cost Audit 2020-Curren'!$P:$P,'TB &amp; MCC Cost Audit 2020-Curren'!$C:$C,'MCC Margin Analysis'!$A$1,'TB &amp; MCC Cost Audit 2020-Curren'!$D:$D,'MCC Margin Analysis'!F$3,'TB &amp; MCC Cost Audit 2020-Curren'!$A:$A,'MCC Margin Analysis'!$B47)</f>
        <v>22864</v>
      </c>
      <c r="G47" s="121">
        <f>SUMIFS('TB &amp; MCC Cost Audit 2020-Curren'!$P:$P,'TB &amp; MCC Cost Audit 2020-Curren'!$C:$C,'MCC Margin Analysis'!$A$1,'TB &amp; MCC Cost Audit 2020-Curren'!$D:$D,'MCC Margin Analysis'!G$3,'TB &amp; MCC Cost Audit 2020-Curren'!$A:$A,'MCC Margin Analysis'!$B47)</f>
        <v>24579</v>
      </c>
      <c r="J47" s="121">
        <f>SUMIFS('TB &amp; MCC Cost Audit 2020-Curren'!$W:$W,'TB &amp; MCC Cost Audit 2020-Curren'!$C:$C,'MCC Margin Analysis'!$A$1,'TB &amp; MCC Cost Audit 2020-Curren'!$D:$D,'MCC Margin Analysis'!J$3,'TB &amp; MCC Cost Audit 2020-Curren'!$A:$A,'MCC Margin Analysis'!$B47)</f>
        <v>0</v>
      </c>
      <c r="K47" s="121">
        <f>SUMIFS('TB &amp; MCC Cost Audit 2020-Curren'!$W:$W,'TB &amp; MCC Cost Audit 2020-Curren'!$C:$C,'MCC Margin Analysis'!$A$1,'TB &amp; MCC Cost Audit 2020-Curren'!$D:$D,'MCC Margin Analysis'!K$3,'TB &amp; MCC Cost Audit 2020-Curren'!$A:$A,'MCC Margin Analysis'!$B47)</f>
        <v>0</v>
      </c>
      <c r="L47" s="121">
        <f>SUMIFS('TB &amp; MCC Cost Audit 2020-Curren'!$W:$W,'TB &amp; MCC Cost Audit 2020-Curren'!$C:$C,'MCC Margin Analysis'!$A$1,'TB &amp; MCC Cost Audit 2020-Curren'!$D:$D,'MCC Margin Analysis'!L$3,'TB &amp; MCC Cost Audit 2020-Curren'!$A:$A,'MCC Margin Analysis'!$B47)</f>
        <v>0</v>
      </c>
      <c r="M47" s="121">
        <f>SUMIFS('TB &amp; MCC Cost Audit 2020-Curren'!$W:$W,'TB &amp; MCC Cost Audit 2020-Curren'!$C:$C,'MCC Margin Analysis'!$A$1,'TB &amp; MCC Cost Audit 2020-Curren'!$D:$D,'MCC Margin Analysis'!M$3,'TB &amp; MCC Cost Audit 2020-Curren'!$A:$A,'MCC Margin Analysis'!$B47)</f>
        <v>2862.2299999999996</v>
      </c>
      <c r="N47" s="121">
        <f>SUMIFS('TB &amp; MCC Cost Audit 2020-Curren'!$W:$W,'TB &amp; MCC Cost Audit 2020-Curren'!$C:$C,'MCC Margin Analysis'!$A$1,'TB &amp; MCC Cost Audit 2020-Curren'!$D:$D,'MCC Margin Analysis'!N$3,'TB &amp; MCC Cost Audit 2020-Curren'!$A:$A,'MCC Margin Analysis'!$B47)</f>
        <v>3732.13</v>
      </c>
      <c r="Q47" s="119" t="str">
        <f t="shared" si="10"/>
        <v xml:space="preserve"> - </v>
      </c>
      <c r="R47" s="119" t="str">
        <f t="shared" si="11"/>
        <v xml:space="preserve"> - </v>
      </c>
      <c r="S47" s="119" t="str">
        <f t="shared" si="12"/>
        <v xml:space="preserve"> - </v>
      </c>
      <c r="T47" s="119">
        <f t="shared" si="13"/>
        <v>0.87481499300209942</v>
      </c>
      <c r="U47" s="119">
        <f t="shared" si="14"/>
        <v>0.84815777696407502</v>
      </c>
    </row>
    <row r="48" spans="2:21" x14ac:dyDescent="0.15">
      <c r="B48" s="54" t="s">
        <v>179</v>
      </c>
      <c r="C48" s="121">
        <f>SUMIFS('TB &amp; MCC Cost Audit 2020-Curren'!$P:$P,'TB &amp; MCC Cost Audit 2020-Curren'!$C:$C,'MCC Margin Analysis'!$A$1,'TB &amp; MCC Cost Audit 2020-Curren'!$D:$D,'MCC Margin Analysis'!C$3,'TB &amp; MCC Cost Audit 2020-Curren'!$A:$A,'MCC Margin Analysis'!$B48)</f>
        <v>9680</v>
      </c>
      <c r="D48" s="121">
        <f>SUMIFS('TB &amp; MCC Cost Audit 2020-Curren'!$P:$P,'TB &amp; MCC Cost Audit 2020-Curren'!$C:$C,'MCC Margin Analysis'!$A$1,'TB &amp; MCC Cost Audit 2020-Curren'!$D:$D,'MCC Margin Analysis'!D$3,'TB &amp; MCC Cost Audit 2020-Curren'!$A:$A,'MCC Margin Analysis'!$B48)</f>
        <v>9680</v>
      </c>
      <c r="E48" s="121">
        <f>SUMIFS('TB &amp; MCC Cost Audit 2020-Curren'!$P:$P,'TB &amp; MCC Cost Audit 2020-Curren'!$C:$C,'MCC Margin Analysis'!$A$1,'TB &amp; MCC Cost Audit 2020-Curren'!$D:$D,'MCC Margin Analysis'!E$3,'TB &amp; MCC Cost Audit 2020-Curren'!$A:$A,'MCC Margin Analysis'!$B48)</f>
        <v>9680</v>
      </c>
      <c r="F48" s="121">
        <f>SUMIFS('TB &amp; MCC Cost Audit 2020-Curren'!$P:$P,'TB &amp; MCC Cost Audit 2020-Curren'!$C:$C,'MCC Margin Analysis'!$A$1,'TB &amp; MCC Cost Audit 2020-Curren'!$D:$D,'MCC Margin Analysis'!F$3,'TB &amp; MCC Cost Audit 2020-Curren'!$A:$A,'MCC Margin Analysis'!$B48)</f>
        <v>9680</v>
      </c>
      <c r="G48" s="121">
        <f>SUMIFS('TB &amp; MCC Cost Audit 2020-Curren'!$P:$P,'TB &amp; MCC Cost Audit 2020-Curren'!$C:$C,'MCC Margin Analysis'!$A$1,'TB &amp; MCC Cost Audit 2020-Curren'!$D:$D,'MCC Margin Analysis'!G$3,'TB &amp; MCC Cost Audit 2020-Curren'!$A:$A,'MCC Margin Analysis'!$B48)</f>
        <v>9680</v>
      </c>
      <c r="J48" s="121">
        <f>SUMIFS('TB &amp; MCC Cost Audit 2020-Curren'!$W:$W,'TB &amp; MCC Cost Audit 2020-Curren'!$C:$C,'MCC Margin Analysis'!$A$1,'TB &amp; MCC Cost Audit 2020-Curren'!$D:$D,'MCC Margin Analysis'!J$3,'TB &amp; MCC Cost Audit 2020-Curren'!$A:$A,'MCC Margin Analysis'!$B48)</f>
        <v>4383.33</v>
      </c>
      <c r="K48" s="121">
        <f>SUMIFS('TB &amp; MCC Cost Audit 2020-Curren'!$W:$W,'TB &amp; MCC Cost Audit 2020-Curren'!$C:$C,'MCC Margin Analysis'!$A$1,'TB &amp; MCC Cost Audit 2020-Curren'!$D:$D,'MCC Margin Analysis'!K$3,'TB &amp; MCC Cost Audit 2020-Curren'!$A:$A,'MCC Margin Analysis'!$B48)</f>
        <v>4346.63</v>
      </c>
      <c r="L48" s="121">
        <f>SUMIFS('TB &amp; MCC Cost Audit 2020-Curren'!$W:$W,'TB &amp; MCC Cost Audit 2020-Curren'!$C:$C,'MCC Margin Analysis'!$A$1,'TB &amp; MCC Cost Audit 2020-Curren'!$D:$D,'MCC Margin Analysis'!L$3,'TB &amp; MCC Cost Audit 2020-Curren'!$A:$A,'MCC Margin Analysis'!$B48)</f>
        <v>3349.7299999999996</v>
      </c>
      <c r="M48" s="121">
        <f>SUMIFS('TB &amp; MCC Cost Audit 2020-Curren'!$W:$W,'TB &amp; MCC Cost Audit 2020-Curren'!$C:$C,'MCC Margin Analysis'!$A$1,'TB &amp; MCC Cost Audit 2020-Curren'!$D:$D,'MCC Margin Analysis'!M$3,'TB &amp; MCC Cost Audit 2020-Curren'!$A:$A,'MCC Margin Analysis'!$B48)</f>
        <v>4562.6600000000008</v>
      </c>
      <c r="N48" s="121">
        <f>SUMIFS('TB &amp; MCC Cost Audit 2020-Curren'!$W:$W,'TB &amp; MCC Cost Audit 2020-Curren'!$C:$C,'MCC Margin Analysis'!$A$1,'TB &amp; MCC Cost Audit 2020-Curren'!$D:$D,'MCC Margin Analysis'!N$3,'TB &amp; MCC Cost Audit 2020-Curren'!$A:$A,'MCC Margin Analysis'!$B48)</f>
        <v>3745.1800000000003</v>
      </c>
      <c r="Q48" s="119">
        <f t="shared" si="10"/>
        <v>0.54717665289256201</v>
      </c>
      <c r="R48" s="119">
        <f t="shared" si="11"/>
        <v>0.55096797520661156</v>
      </c>
      <c r="S48" s="119">
        <f t="shared" si="12"/>
        <v>0.6539535123966943</v>
      </c>
      <c r="T48" s="119">
        <f t="shared" si="13"/>
        <v>0.52865082644628092</v>
      </c>
      <c r="U48" s="119">
        <f t="shared" si="14"/>
        <v>0.61310123966942143</v>
      </c>
    </row>
    <row r="49" spans="2:21" x14ac:dyDescent="0.15">
      <c r="B49" s="54" t="s">
        <v>317</v>
      </c>
      <c r="C49" s="121">
        <f>SUMIFS('TB &amp; MCC Cost Audit 2020-Curren'!$P:$P,'TB &amp; MCC Cost Audit 2020-Curren'!$C:$C,'MCC Margin Analysis'!$A$1,'TB &amp; MCC Cost Audit 2020-Curren'!$D:$D,'MCC Margin Analysis'!C$3,'TB &amp; MCC Cost Audit 2020-Curren'!$A:$A,'MCC Margin Analysis'!$B49)</f>
        <v>0</v>
      </c>
      <c r="D49" s="121">
        <f>SUMIFS('TB &amp; MCC Cost Audit 2020-Curren'!$P:$P,'TB &amp; MCC Cost Audit 2020-Curren'!$C:$C,'MCC Margin Analysis'!$A$1,'TB &amp; MCC Cost Audit 2020-Curren'!$D:$D,'MCC Margin Analysis'!D$3,'TB &amp; MCC Cost Audit 2020-Curren'!$A:$A,'MCC Margin Analysis'!$B49)</f>
        <v>7670</v>
      </c>
      <c r="E49" s="121">
        <f>SUMIFS('TB &amp; MCC Cost Audit 2020-Curren'!$P:$P,'TB &amp; MCC Cost Audit 2020-Curren'!$C:$C,'MCC Margin Analysis'!$A$1,'TB &amp; MCC Cost Audit 2020-Curren'!$D:$D,'MCC Margin Analysis'!E$3,'TB &amp; MCC Cost Audit 2020-Curren'!$A:$A,'MCC Margin Analysis'!$B49)</f>
        <v>0</v>
      </c>
      <c r="F49" s="121">
        <f>SUMIFS('TB &amp; MCC Cost Audit 2020-Curren'!$P:$P,'TB &amp; MCC Cost Audit 2020-Curren'!$C:$C,'MCC Margin Analysis'!$A$1,'TB &amp; MCC Cost Audit 2020-Curren'!$D:$D,'MCC Margin Analysis'!F$3,'TB &amp; MCC Cost Audit 2020-Curren'!$A:$A,'MCC Margin Analysis'!$B49)</f>
        <v>8865</v>
      </c>
      <c r="G49" s="121">
        <f>SUMIFS('TB &amp; MCC Cost Audit 2020-Curren'!$P:$P,'TB &amp; MCC Cost Audit 2020-Curren'!$C:$C,'MCC Margin Analysis'!$A$1,'TB &amp; MCC Cost Audit 2020-Curren'!$D:$D,'MCC Margin Analysis'!G$3,'TB &amp; MCC Cost Audit 2020-Curren'!$A:$A,'MCC Margin Analysis'!$B49)</f>
        <v>9530</v>
      </c>
      <c r="J49" s="121">
        <f>SUMIFS('TB &amp; MCC Cost Audit 2020-Curren'!$W:$W,'TB &amp; MCC Cost Audit 2020-Curren'!$C:$C,'MCC Margin Analysis'!$A$1,'TB &amp; MCC Cost Audit 2020-Curren'!$D:$D,'MCC Margin Analysis'!J$3,'TB &amp; MCC Cost Audit 2020-Curren'!$A:$A,'MCC Margin Analysis'!$B49)</f>
        <v>0</v>
      </c>
      <c r="K49" s="121">
        <f>SUMIFS('TB &amp; MCC Cost Audit 2020-Curren'!$W:$W,'TB &amp; MCC Cost Audit 2020-Curren'!$C:$C,'MCC Margin Analysis'!$A$1,'TB &amp; MCC Cost Audit 2020-Curren'!$D:$D,'MCC Margin Analysis'!K$3,'TB &amp; MCC Cost Audit 2020-Curren'!$A:$A,'MCC Margin Analysis'!$B49)</f>
        <v>279.45000000000005</v>
      </c>
      <c r="L49" s="121">
        <f>SUMIFS('TB &amp; MCC Cost Audit 2020-Curren'!$W:$W,'TB &amp; MCC Cost Audit 2020-Curren'!$C:$C,'MCC Margin Analysis'!$A$1,'TB &amp; MCC Cost Audit 2020-Curren'!$D:$D,'MCC Margin Analysis'!L$3,'TB &amp; MCC Cost Audit 2020-Curren'!$A:$A,'MCC Margin Analysis'!$B49)</f>
        <v>0</v>
      </c>
      <c r="M49" s="121">
        <f>SUMIFS('TB &amp; MCC Cost Audit 2020-Curren'!$W:$W,'TB &amp; MCC Cost Audit 2020-Curren'!$C:$C,'MCC Margin Analysis'!$A$1,'TB &amp; MCC Cost Audit 2020-Curren'!$D:$D,'MCC Margin Analysis'!M$3,'TB &amp; MCC Cost Audit 2020-Curren'!$A:$A,'MCC Margin Analysis'!$B49)</f>
        <v>498.56</v>
      </c>
      <c r="N49" s="121">
        <f>SUMIFS('TB &amp; MCC Cost Audit 2020-Curren'!$W:$W,'TB &amp; MCC Cost Audit 2020-Curren'!$C:$C,'MCC Margin Analysis'!$A$1,'TB &amp; MCC Cost Audit 2020-Curren'!$D:$D,'MCC Margin Analysis'!N$3,'TB &amp; MCC Cost Audit 2020-Curren'!$A:$A,'MCC Margin Analysis'!$B49)</f>
        <v>1130.78</v>
      </c>
      <c r="Q49" s="119" t="str">
        <f t="shared" si="10"/>
        <v xml:space="preserve"> - </v>
      </c>
      <c r="R49" s="119">
        <f t="shared" si="11"/>
        <v>0.96356584093872233</v>
      </c>
      <c r="S49" s="119" t="str">
        <f t="shared" si="12"/>
        <v xml:space="preserve"> - </v>
      </c>
      <c r="T49" s="119">
        <f t="shared" si="13"/>
        <v>0.94376085730400461</v>
      </c>
      <c r="U49" s="119">
        <f t="shared" si="14"/>
        <v>0.88134522560335771</v>
      </c>
    </row>
    <row r="50" spans="2:21" x14ac:dyDescent="0.15">
      <c r="B50" s="54" t="s">
        <v>719</v>
      </c>
      <c r="C50" s="121">
        <f>SUMIFS('TB &amp; MCC Cost Audit 2020-Curren'!$P:$P,'TB &amp; MCC Cost Audit 2020-Curren'!$C:$C,'MCC Margin Analysis'!$A$1,'TB &amp; MCC Cost Audit 2020-Curren'!$D:$D,'MCC Margin Analysis'!C$3,'TB &amp; MCC Cost Audit 2020-Curren'!$A:$A,'MCC Margin Analysis'!$B50)</f>
        <v>0</v>
      </c>
      <c r="D50" s="121">
        <f>SUMIFS('TB &amp; MCC Cost Audit 2020-Curren'!$P:$P,'TB &amp; MCC Cost Audit 2020-Curren'!$C:$C,'MCC Margin Analysis'!$A$1,'TB &amp; MCC Cost Audit 2020-Curren'!$D:$D,'MCC Margin Analysis'!D$3,'TB &amp; MCC Cost Audit 2020-Curren'!$A:$A,'MCC Margin Analysis'!$B50)</f>
        <v>0</v>
      </c>
      <c r="E50" s="121">
        <f>SUMIFS('TB &amp; MCC Cost Audit 2020-Curren'!$P:$P,'TB &amp; MCC Cost Audit 2020-Curren'!$C:$C,'MCC Margin Analysis'!$A$1,'TB &amp; MCC Cost Audit 2020-Curren'!$D:$D,'MCC Margin Analysis'!E$3,'TB &amp; MCC Cost Audit 2020-Curren'!$A:$A,'MCC Margin Analysis'!$B50)</f>
        <v>0</v>
      </c>
      <c r="F50" s="121">
        <f>SUMIFS('TB &amp; MCC Cost Audit 2020-Curren'!$P:$P,'TB &amp; MCC Cost Audit 2020-Curren'!$C:$C,'MCC Margin Analysis'!$A$1,'TB &amp; MCC Cost Audit 2020-Curren'!$D:$D,'MCC Margin Analysis'!F$3,'TB &amp; MCC Cost Audit 2020-Curren'!$A:$A,'MCC Margin Analysis'!$B50)</f>
        <v>8865</v>
      </c>
      <c r="G50" s="121">
        <f>SUMIFS('TB &amp; MCC Cost Audit 2020-Curren'!$P:$P,'TB &amp; MCC Cost Audit 2020-Curren'!$C:$C,'MCC Margin Analysis'!$A$1,'TB &amp; MCC Cost Audit 2020-Curren'!$D:$D,'MCC Margin Analysis'!G$3,'TB &amp; MCC Cost Audit 2020-Curren'!$A:$A,'MCC Margin Analysis'!$B50)</f>
        <v>0</v>
      </c>
      <c r="J50" s="121">
        <f>SUMIFS('TB &amp; MCC Cost Audit 2020-Curren'!$W:$W,'TB &amp; MCC Cost Audit 2020-Curren'!$C:$C,'MCC Margin Analysis'!$A$1,'TB &amp; MCC Cost Audit 2020-Curren'!$D:$D,'MCC Margin Analysis'!J$3,'TB &amp; MCC Cost Audit 2020-Curren'!$A:$A,'MCC Margin Analysis'!$B50)</f>
        <v>0</v>
      </c>
      <c r="K50" s="121">
        <f>SUMIFS('TB &amp; MCC Cost Audit 2020-Curren'!$W:$W,'TB &amp; MCC Cost Audit 2020-Curren'!$C:$C,'MCC Margin Analysis'!$A$1,'TB &amp; MCC Cost Audit 2020-Curren'!$D:$D,'MCC Margin Analysis'!K$3,'TB &amp; MCC Cost Audit 2020-Curren'!$A:$A,'MCC Margin Analysis'!$B50)</f>
        <v>0</v>
      </c>
      <c r="L50" s="121">
        <f>SUMIFS('TB &amp; MCC Cost Audit 2020-Curren'!$W:$W,'TB &amp; MCC Cost Audit 2020-Curren'!$C:$C,'MCC Margin Analysis'!$A$1,'TB &amp; MCC Cost Audit 2020-Curren'!$D:$D,'MCC Margin Analysis'!L$3,'TB &amp; MCC Cost Audit 2020-Curren'!$A:$A,'MCC Margin Analysis'!$B50)</f>
        <v>0</v>
      </c>
      <c r="M50" s="121">
        <f>SUMIFS('TB &amp; MCC Cost Audit 2020-Curren'!$W:$W,'TB &amp; MCC Cost Audit 2020-Curren'!$C:$C,'MCC Margin Analysis'!$A$1,'TB &amp; MCC Cost Audit 2020-Curren'!$D:$D,'MCC Margin Analysis'!M$3,'TB &amp; MCC Cost Audit 2020-Curren'!$A:$A,'MCC Margin Analysis'!$B50)</f>
        <v>1878.91</v>
      </c>
      <c r="N50" s="121">
        <f>SUMIFS('TB &amp; MCC Cost Audit 2020-Curren'!$W:$W,'TB &amp; MCC Cost Audit 2020-Curren'!$C:$C,'MCC Margin Analysis'!$A$1,'TB &amp; MCC Cost Audit 2020-Curren'!$D:$D,'MCC Margin Analysis'!N$3,'TB &amp; MCC Cost Audit 2020-Curren'!$A:$A,'MCC Margin Analysis'!$B50)</f>
        <v>0</v>
      </c>
      <c r="Q50" s="119" t="str">
        <f t="shared" si="10"/>
        <v xml:space="preserve"> - </v>
      </c>
      <c r="R50" s="119" t="str">
        <f t="shared" si="11"/>
        <v xml:space="preserve"> - </v>
      </c>
      <c r="S50" s="119" t="str">
        <f t="shared" si="12"/>
        <v xml:space="preserve"> - </v>
      </c>
      <c r="T50" s="119">
        <f t="shared" si="13"/>
        <v>0.78805301748448964</v>
      </c>
      <c r="U50" s="119" t="str">
        <f t="shared" si="14"/>
        <v xml:space="preserve"> - </v>
      </c>
    </row>
    <row r="51" spans="2:21" x14ac:dyDescent="0.15">
      <c r="B51" s="54" t="s">
        <v>593</v>
      </c>
      <c r="C51" s="121">
        <f>SUMIFS('TB &amp; MCC Cost Audit 2020-Curren'!$P:$P,'TB &amp; MCC Cost Audit 2020-Curren'!$C:$C,'MCC Margin Analysis'!$A$1,'TB &amp; MCC Cost Audit 2020-Curren'!$D:$D,'MCC Margin Analysis'!C$3,'TB &amp; MCC Cost Audit 2020-Curren'!$A:$A,'MCC Margin Analysis'!$B51)</f>
        <v>0</v>
      </c>
      <c r="D51" s="121">
        <f>SUMIFS('TB &amp; MCC Cost Audit 2020-Curren'!$P:$P,'TB &amp; MCC Cost Audit 2020-Curren'!$C:$C,'MCC Margin Analysis'!$A$1,'TB &amp; MCC Cost Audit 2020-Curren'!$D:$D,'MCC Margin Analysis'!D$3,'TB &amp; MCC Cost Audit 2020-Curren'!$A:$A,'MCC Margin Analysis'!$B51)</f>
        <v>0</v>
      </c>
      <c r="E51" s="121">
        <f>SUMIFS('TB &amp; MCC Cost Audit 2020-Curren'!$P:$P,'TB &amp; MCC Cost Audit 2020-Curren'!$C:$C,'MCC Margin Analysis'!$A$1,'TB &amp; MCC Cost Audit 2020-Curren'!$D:$D,'MCC Margin Analysis'!E$3,'TB &amp; MCC Cost Audit 2020-Curren'!$A:$A,'MCC Margin Analysis'!$B51)</f>
        <v>0</v>
      </c>
      <c r="F51" s="121">
        <f>SUMIFS('TB &amp; MCC Cost Audit 2020-Curren'!$P:$P,'TB &amp; MCC Cost Audit 2020-Curren'!$C:$C,'MCC Margin Analysis'!$A$1,'TB &amp; MCC Cost Audit 2020-Curren'!$D:$D,'MCC Margin Analysis'!F$3,'TB &amp; MCC Cost Audit 2020-Curren'!$A:$A,'MCC Margin Analysis'!$B51)</f>
        <v>12190</v>
      </c>
      <c r="G51" s="121">
        <f>SUMIFS('TB &amp; MCC Cost Audit 2020-Curren'!$P:$P,'TB &amp; MCC Cost Audit 2020-Curren'!$C:$C,'MCC Margin Analysis'!$A$1,'TB &amp; MCC Cost Audit 2020-Curren'!$D:$D,'MCC Margin Analysis'!G$3,'TB &amp; MCC Cost Audit 2020-Curren'!$A:$A,'MCC Margin Analysis'!$B51)</f>
        <v>12190</v>
      </c>
      <c r="J51" s="121">
        <f>SUMIFS('TB &amp; MCC Cost Audit 2020-Curren'!$W:$W,'TB &amp; MCC Cost Audit 2020-Curren'!$C:$C,'MCC Margin Analysis'!$A$1,'TB &amp; MCC Cost Audit 2020-Curren'!$D:$D,'MCC Margin Analysis'!J$3,'TB &amp; MCC Cost Audit 2020-Curren'!$A:$A,'MCC Margin Analysis'!$B51)</f>
        <v>0</v>
      </c>
      <c r="K51" s="121">
        <f>SUMIFS('TB &amp; MCC Cost Audit 2020-Curren'!$W:$W,'TB &amp; MCC Cost Audit 2020-Curren'!$C:$C,'MCC Margin Analysis'!$A$1,'TB &amp; MCC Cost Audit 2020-Curren'!$D:$D,'MCC Margin Analysis'!K$3,'TB &amp; MCC Cost Audit 2020-Curren'!$A:$A,'MCC Margin Analysis'!$B51)</f>
        <v>0</v>
      </c>
      <c r="L51" s="121">
        <f>SUMIFS('TB &amp; MCC Cost Audit 2020-Curren'!$W:$W,'TB &amp; MCC Cost Audit 2020-Curren'!$C:$C,'MCC Margin Analysis'!$A$1,'TB &amp; MCC Cost Audit 2020-Curren'!$D:$D,'MCC Margin Analysis'!L$3,'TB &amp; MCC Cost Audit 2020-Curren'!$A:$A,'MCC Margin Analysis'!$B51)</f>
        <v>0</v>
      </c>
      <c r="M51" s="121">
        <f>SUMIFS('TB &amp; MCC Cost Audit 2020-Curren'!$W:$W,'TB &amp; MCC Cost Audit 2020-Curren'!$C:$C,'MCC Margin Analysis'!$A$1,'TB &amp; MCC Cost Audit 2020-Curren'!$D:$D,'MCC Margin Analysis'!M$3,'TB &amp; MCC Cost Audit 2020-Curren'!$A:$A,'MCC Margin Analysis'!$B51)</f>
        <v>3083.65</v>
      </c>
      <c r="N51" s="121">
        <f>SUMIFS('TB &amp; MCC Cost Audit 2020-Curren'!$W:$W,'TB &amp; MCC Cost Audit 2020-Curren'!$C:$C,'MCC Margin Analysis'!$A$1,'TB &amp; MCC Cost Audit 2020-Curren'!$D:$D,'MCC Margin Analysis'!N$3,'TB &amp; MCC Cost Audit 2020-Curren'!$A:$A,'MCC Margin Analysis'!$B51)</f>
        <v>3502.3</v>
      </c>
      <c r="Q51" s="119" t="str">
        <f t="shared" si="10"/>
        <v xml:space="preserve"> - </v>
      </c>
      <c r="R51" s="119" t="str">
        <f t="shared" si="11"/>
        <v xml:space="preserve"> - </v>
      </c>
      <c r="S51" s="119" t="str">
        <f t="shared" si="12"/>
        <v xml:space="preserve"> - </v>
      </c>
      <c r="T51" s="119">
        <f t="shared" si="13"/>
        <v>0.7470344544708778</v>
      </c>
      <c r="U51" s="119">
        <f t="shared" si="14"/>
        <v>0.71269073010664485</v>
      </c>
    </row>
    <row r="52" spans="2:21" x14ac:dyDescent="0.15">
      <c r="B52" s="54" t="s">
        <v>204</v>
      </c>
      <c r="C52" s="121">
        <f>SUMIFS('TB &amp; MCC Cost Audit 2020-Curren'!$P:$P,'TB &amp; MCC Cost Audit 2020-Curren'!$C:$C,'MCC Margin Analysis'!$A$1,'TB &amp; MCC Cost Audit 2020-Curren'!$D:$D,'MCC Margin Analysis'!C$3,'TB &amp; MCC Cost Audit 2020-Curren'!$A:$A,'MCC Margin Analysis'!$B52)</f>
        <v>0</v>
      </c>
      <c r="D52" s="121">
        <f>SUMIFS('TB &amp; MCC Cost Audit 2020-Curren'!$P:$P,'TB &amp; MCC Cost Audit 2020-Curren'!$C:$C,'MCC Margin Analysis'!$A$1,'TB &amp; MCC Cost Audit 2020-Curren'!$D:$D,'MCC Margin Analysis'!D$3,'TB &amp; MCC Cost Audit 2020-Curren'!$A:$A,'MCC Margin Analysis'!$B52)</f>
        <v>0</v>
      </c>
      <c r="E52" s="121">
        <f>SUMIFS('TB &amp; MCC Cost Audit 2020-Curren'!$P:$P,'TB &amp; MCC Cost Audit 2020-Curren'!$C:$C,'MCC Margin Analysis'!$A$1,'TB &amp; MCC Cost Audit 2020-Curren'!$D:$D,'MCC Margin Analysis'!E$3,'TB &amp; MCC Cost Audit 2020-Curren'!$A:$A,'MCC Margin Analysis'!$B52)</f>
        <v>0</v>
      </c>
      <c r="F52" s="121">
        <f>SUMIFS('TB &amp; MCC Cost Audit 2020-Curren'!$P:$P,'TB &amp; MCC Cost Audit 2020-Curren'!$C:$C,'MCC Margin Analysis'!$A$1,'TB &amp; MCC Cost Audit 2020-Curren'!$D:$D,'MCC Margin Analysis'!F$3,'TB &amp; MCC Cost Audit 2020-Curren'!$A:$A,'MCC Margin Analysis'!$B52)</f>
        <v>0</v>
      </c>
      <c r="G52" s="121">
        <f>SUMIFS('TB &amp; MCC Cost Audit 2020-Curren'!$P:$P,'TB &amp; MCC Cost Audit 2020-Curren'!$C:$C,'MCC Margin Analysis'!$A$1,'TB &amp; MCC Cost Audit 2020-Curren'!$D:$D,'MCC Margin Analysis'!G$3,'TB &amp; MCC Cost Audit 2020-Curren'!$A:$A,'MCC Margin Analysis'!$B52)</f>
        <v>0</v>
      </c>
      <c r="J52" s="121">
        <f>SUMIFS('TB &amp; MCC Cost Audit 2020-Curren'!$W:$W,'TB &amp; MCC Cost Audit 2020-Curren'!$C:$C,'MCC Margin Analysis'!$A$1,'TB &amp; MCC Cost Audit 2020-Curren'!$D:$D,'MCC Margin Analysis'!J$3,'TB &amp; MCC Cost Audit 2020-Curren'!$A:$A,'MCC Margin Analysis'!$B52)</f>
        <v>0</v>
      </c>
      <c r="K52" s="121">
        <f>SUMIFS('TB &amp; MCC Cost Audit 2020-Curren'!$W:$W,'TB &amp; MCC Cost Audit 2020-Curren'!$C:$C,'MCC Margin Analysis'!$A$1,'TB &amp; MCC Cost Audit 2020-Curren'!$D:$D,'MCC Margin Analysis'!K$3,'TB &amp; MCC Cost Audit 2020-Curren'!$A:$A,'MCC Margin Analysis'!$B52)</f>
        <v>0</v>
      </c>
      <c r="L52" s="121">
        <f>SUMIFS('TB &amp; MCC Cost Audit 2020-Curren'!$W:$W,'TB &amp; MCC Cost Audit 2020-Curren'!$C:$C,'MCC Margin Analysis'!$A$1,'TB &amp; MCC Cost Audit 2020-Curren'!$D:$D,'MCC Margin Analysis'!L$3,'TB &amp; MCC Cost Audit 2020-Curren'!$A:$A,'MCC Margin Analysis'!$B52)</f>
        <v>0</v>
      </c>
      <c r="M52" s="121">
        <f>SUMIFS('TB &amp; MCC Cost Audit 2020-Curren'!$W:$W,'TB &amp; MCC Cost Audit 2020-Curren'!$C:$C,'MCC Margin Analysis'!$A$1,'TB &amp; MCC Cost Audit 2020-Curren'!$D:$D,'MCC Margin Analysis'!M$3,'TB &amp; MCC Cost Audit 2020-Curren'!$A:$A,'MCC Margin Analysis'!$B52)</f>
        <v>0</v>
      </c>
      <c r="N52" s="121">
        <f>SUMIFS('TB &amp; MCC Cost Audit 2020-Curren'!$W:$W,'TB &amp; MCC Cost Audit 2020-Curren'!$C:$C,'MCC Margin Analysis'!$A$1,'TB &amp; MCC Cost Audit 2020-Curren'!$D:$D,'MCC Margin Analysis'!N$3,'TB &amp; MCC Cost Audit 2020-Curren'!$A:$A,'MCC Margin Analysis'!$B52)</f>
        <v>0</v>
      </c>
      <c r="Q52" s="119" t="str">
        <f t="shared" si="10"/>
        <v xml:space="preserve"> - </v>
      </c>
      <c r="R52" s="119" t="str">
        <f t="shared" si="11"/>
        <v xml:space="preserve"> - </v>
      </c>
      <c r="S52" s="119" t="str">
        <f t="shared" si="12"/>
        <v xml:space="preserve"> - </v>
      </c>
      <c r="T52" s="119" t="str">
        <f t="shared" si="13"/>
        <v xml:space="preserve"> - </v>
      </c>
      <c r="U52" s="119" t="str">
        <f t="shared" si="14"/>
        <v xml:space="preserve"> - </v>
      </c>
    </row>
    <row r="53" spans="2:21" x14ac:dyDescent="0.15">
      <c r="B53" s="54" t="s">
        <v>832</v>
      </c>
      <c r="C53" s="121">
        <f>SUMIFS('TB &amp; MCC Cost Audit 2020-Curren'!$P:$P,'TB &amp; MCC Cost Audit 2020-Curren'!$C:$C,'MCC Margin Analysis'!$A$1,'TB &amp; MCC Cost Audit 2020-Curren'!$D:$D,'MCC Margin Analysis'!C$3,'TB &amp; MCC Cost Audit 2020-Curren'!$A:$A,'MCC Margin Analysis'!$B53)</f>
        <v>0</v>
      </c>
      <c r="D53" s="121">
        <f>SUMIFS('TB &amp; MCC Cost Audit 2020-Curren'!$P:$P,'TB &amp; MCC Cost Audit 2020-Curren'!$C:$C,'MCC Margin Analysis'!$A$1,'TB &amp; MCC Cost Audit 2020-Curren'!$D:$D,'MCC Margin Analysis'!D$3,'TB &amp; MCC Cost Audit 2020-Curren'!$A:$A,'MCC Margin Analysis'!$B53)</f>
        <v>0</v>
      </c>
      <c r="E53" s="121">
        <f>SUMIFS('TB &amp; MCC Cost Audit 2020-Curren'!$P:$P,'TB &amp; MCC Cost Audit 2020-Curren'!$C:$C,'MCC Margin Analysis'!$A$1,'TB &amp; MCC Cost Audit 2020-Curren'!$D:$D,'MCC Margin Analysis'!E$3,'TB &amp; MCC Cost Audit 2020-Curren'!$A:$A,'MCC Margin Analysis'!$B53)</f>
        <v>0</v>
      </c>
      <c r="F53" s="121">
        <f>SUMIFS('TB &amp; MCC Cost Audit 2020-Curren'!$P:$P,'TB &amp; MCC Cost Audit 2020-Curren'!$C:$C,'MCC Margin Analysis'!$A$1,'TB &amp; MCC Cost Audit 2020-Curren'!$D:$D,'MCC Margin Analysis'!F$3,'TB &amp; MCC Cost Audit 2020-Curren'!$A:$A,'MCC Margin Analysis'!$B53)</f>
        <v>0</v>
      </c>
      <c r="G53" s="121">
        <f>SUMIFS('TB &amp; MCC Cost Audit 2020-Curren'!$P:$P,'TB &amp; MCC Cost Audit 2020-Curren'!$C:$C,'MCC Margin Analysis'!$A$1,'TB &amp; MCC Cost Audit 2020-Curren'!$D:$D,'MCC Margin Analysis'!G$3,'TB &amp; MCC Cost Audit 2020-Curren'!$A:$A,'MCC Margin Analysis'!$B53)</f>
        <v>15311</v>
      </c>
      <c r="J53" s="121">
        <f>SUMIFS('TB &amp; MCC Cost Audit 2020-Curren'!$W:$W,'TB &amp; MCC Cost Audit 2020-Curren'!$C:$C,'MCC Margin Analysis'!$A$1,'TB &amp; MCC Cost Audit 2020-Curren'!$D:$D,'MCC Margin Analysis'!J$3,'TB &amp; MCC Cost Audit 2020-Curren'!$A:$A,'MCC Margin Analysis'!$B53)</f>
        <v>0</v>
      </c>
      <c r="K53" s="121">
        <f>SUMIFS('TB &amp; MCC Cost Audit 2020-Curren'!$W:$W,'TB &amp; MCC Cost Audit 2020-Curren'!$C:$C,'MCC Margin Analysis'!$A$1,'TB &amp; MCC Cost Audit 2020-Curren'!$D:$D,'MCC Margin Analysis'!K$3,'TB &amp; MCC Cost Audit 2020-Curren'!$A:$A,'MCC Margin Analysis'!$B53)</f>
        <v>0</v>
      </c>
      <c r="L53" s="121">
        <f>SUMIFS('TB &amp; MCC Cost Audit 2020-Curren'!$W:$W,'TB &amp; MCC Cost Audit 2020-Curren'!$C:$C,'MCC Margin Analysis'!$A$1,'TB &amp; MCC Cost Audit 2020-Curren'!$D:$D,'MCC Margin Analysis'!L$3,'TB &amp; MCC Cost Audit 2020-Curren'!$A:$A,'MCC Margin Analysis'!$B53)</f>
        <v>0</v>
      </c>
      <c r="M53" s="121">
        <f>SUMIFS('TB &amp; MCC Cost Audit 2020-Curren'!$W:$W,'TB &amp; MCC Cost Audit 2020-Curren'!$C:$C,'MCC Margin Analysis'!$A$1,'TB &amp; MCC Cost Audit 2020-Curren'!$D:$D,'MCC Margin Analysis'!M$3,'TB &amp; MCC Cost Audit 2020-Curren'!$A:$A,'MCC Margin Analysis'!$B53)</f>
        <v>0</v>
      </c>
      <c r="N53" s="121">
        <f>SUMIFS('TB &amp; MCC Cost Audit 2020-Curren'!$W:$W,'TB &amp; MCC Cost Audit 2020-Curren'!$C:$C,'MCC Margin Analysis'!$A$1,'TB &amp; MCC Cost Audit 2020-Curren'!$D:$D,'MCC Margin Analysis'!N$3,'TB &amp; MCC Cost Audit 2020-Curren'!$A:$A,'MCC Margin Analysis'!$B53)</f>
        <v>3344.08</v>
      </c>
      <c r="Q53" s="119" t="str">
        <f t="shared" si="10"/>
        <v xml:space="preserve"> - </v>
      </c>
      <c r="R53" s="119" t="str">
        <f t="shared" si="11"/>
        <v xml:space="preserve"> - </v>
      </c>
      <c r="S53" s="119" t="str">
        <f t="shared" si="12"/>
        <v xml:space="preserve"> - </v>
      </c>
      <c r="T53" s="119" t="str">
        <f t="shared" si="13"/>
        <v xml:space="preserve"> - </v>
      </c>
      <c r="U53" s="119">
        <f t="shared" si="14"/>
        <v>0.78158970674678341</v>
      </c>
    </row>
    <row r="54" spans="2:21" x14ac:dyDescent="0.15">
      <c r="B54" s="54" t="s">
        <v>187</v>
      </c>
      <c r="C54" s="121">
        <f>SUMIFS('TB &amp; MCC Cost Audit 2020-Curren'!$P:$P,'TB &amp; MCC Cost Audit 2020-Curren'!$C:$C,'MCC Margin Analysis'!$A$1,'TB &amp; MCC Cost Audit 2020-Curren'!$D:$D,'MCC Margin Analysis'!C$3,'TB &amp; MCC Cost Audit 2020-Curren'!$A:$A,'MCC Margin Analysis'!$B54)</f>
        <v>0</v>
      </c>
      <c r="D54" s="121">
        <f>SUMIFS('TB &amp; MCC Cost Audit 2020-Curren'!$P:$P,'TB &amp; MCC Cost Audit 2020-Curren'!$C:$C,'MCC Margin Analysis'!$A$1,'TB &amp; MCC Cost Audit 2020-Curren'!$D:$D,'MCC Margin Analysis'!D$3,'TB &amp; MCC Cost Audit 2020-Curren'!$A:$A,'MCC Margin Analysis'!$B54)</f>
        <v>0</v>
      </c>
      <c r="E54" s="121">
        <f>SUMIFS('TB &amp; MCC Cost Audit 2020-Curren'!$P:$P,'TB &amp; MCC Cost Audit 2020-Curren'!$C:$C,'MCC Margin Analysis'!$A$1,'TB &amp; MCC Cost Audit 2020-Curren'!$D:$D,'MCC Margin Analysis'!E$3,'TB &amp; MCC Cost Audit 2020-Curren'!$A:$A,'MCC Margin Analysis'!$B54)</f>
        <v>0</v>
      </c>
      <c r="F54" s="121">
        <f>SUMIFS('TB &amp; MCC Cost Audit 2020-Curren'!$P:$P,'TB &amp; MCC Cost Audit 2020-Curren'!$C:$C,'MCC Margin Analysis'!$A$1,'TB &amp; MCC Cost Audit 2020-Curren'!$D:$D,'MCC Margin Analysis'!F$3,'TB &amp; MCC Cost Audit 2020-Curren'!$A:$A,'MCC Margin Analysis'!$B54)</f>
        <v>0</v>
      </c>
      <c r="G54" s="121">
        <f>SUMIFS('TB &amp; MCC Cost Audit 2020-Curren'!$P:$P,'TB &amp; MCC Cost Audit 2020-Curren'!$C:$C,'MCC Margin Analysis'!$A$1,'TB &amp; MCC Cost Audit 2020-Curren'!$D:$D,'MCC Margin Analysis'!G$3,'TB &amp; MCC Cost Audit 2020-Curren'!$A:$A,'MCC Margin Analysis'!$B54)</f>
        <v>0</v>
      </c>
      <c r="J54" s="121">
        <f>SUMIFS('TB &amp; MCC Cost Audit 2020-Curren'!$W:$W,'TB &amp; MCC Cost Audit 2020-Curren'!$C:$C,'MCC Margin Analysis'!$A$1,'TB &amp; MCC Cost Audit 2020-Curren'!$D:$D,'MCC Margin Analysis'!J$3,'TB &amp; MCC Cost Audit 2020-Curren'!$A:$A,'MCC Margin Analysis'!$B54)</f>
        <v>0</v>
      </c>
      <c r="K54" s="121">
        <f>SUMIFS('TB &amp; MCC Cost Audit 2020-Curren'!$W:$W,'TB &amp; MCC Cost Audit 2020-Curren'!$C:$C,'MCC Margin Analysis'!$A$1,'TB &amp; MCC Cost Audit 2020-Curren'!$D:$D,'MCC Margin Analysis'!K$3,'TB &amp; MCC Cost Audit 2020-Curren'!$A:$A,'MCC Margin Analysis'!$B54)</f>
        <v>0</v>
      </c>
      <c r="L54" s="121">
        <f>SUMIFS('TB &amp; MCC Cost Audit 2020-Curren'!$W:$W,'TB &amp; MCC Cost Audit 2020-Curren'!$C:$C,'MCC Margin Analysis'!$A$1,'TB &amp; MCC Cost Audit 2020-Curren'!$D:$D,'MCC Margin Analysis'!L$3,'TB &amp; MCC Cost Audit 2020-Curren'!$A:$A,'MCC Margin Analysis'!$B54)</f>
        <v>0</v>
      </c>
      <c r="M54" s="121">
        <f>SUMIFS('TB &amp; MCC Cost Audit 2020-Curren'!$W:$W,'TB &amp; MCC Cost Audit 2020-Curren'!$C:$C,'MCC Margin Analysis'!$A$1,'TB &amp; MCC Cost Audit 2020-Curren'!$D:$D,'MCC Margin Analysis'!M$3,'TB &amp; MCC Cost Audit 2020-Curren'!$A:$A,'MCC Margin Analysis'!$B54)</f>
        <v>0</v>
      </c>
      <c r="N54" s="121">
        <f>SUMIFS('TB &amp; MCC Cost Audit 2020-Curren'!$W:$W,'TB &amp; MCC Cost Audit 2020-Curren'!$C:$C,'MCC Margin Analysis'!$A$1,'TB &amp; MCC Cost Audit 2020-Curren'!$D:$D,'MCC Margin Analysis'!N$3,'TB &amp; MCC Cost Audit 2020-Curren'!$A:$A,'MCC Margin Analysis'!$B54)</f>
        <v>0</v>
      </c>
      <c r="Q54" s="119" t="str">
        <f t="shared" si="10"/>
        <v xml:space="preserve"> - </v>
      </c>
      <c r="R54" s="119" t="str">
        <f t="shared" si="11"/>
        <v xml:space="preserve"> - </v>
      </c>
      <c r="S54" s="119" t="str">
        <f t="shared" si="12"/>
        <v xml:space="preserve"> - </v>
      </c>
      <c r="T54" s="119" t="str">
        <f t="shared" si="13"/>
        <v xml:space="preserve"> - </v>
      </c>
      <c r="U54" s="119" t="str">
        <f t="shared" si="14"/>
        <v xml:space="preserve"> - </v>
      </c>
    </row>
    <row r="55" spans="2:21" x14ac:dyDescent="0.15">
      <c r="B55" s="54" t="s">
        <v>994</v>
      </c>
      <c r="C55" s="121">
        <f>SUMIFS('TB &amp; MCC Cost Audit 2020-Curren'!$P:$P,'TB &amp; MCC Cost Audit 2020-Curren'!$C:$C,'MCC Margin Analysis'!$A$1,'TB &amp; MCC Cost Audit 2020-Curren'!$D:$D,'MCC Margin Analysis'!C$3,'TB &amp; MCC Cost Audit 2020-Curren'!$A:$A,'MCC Margin Analysis'!$B55)</f>
        <v>0</v>
      </c>
      <c r="D55" s="121">
        <f>SUMIFS('TB &amp; MCC Cost Audit 2020-Curren'!$P:$P,'TB &amp; MCC Cost Audit 2020-Curren'!$C:$C,'MCC Margin Analysis'!$A$1,'TB &amp; MCC Cost Audit 2020-Curren'!$D:$D,'MCC Margin Analysis'!D$3,'TB &amp; MCC Cost Audit 2020-Curren'!$A:$A,'MCC Margin Analysis'!$B55)</f>
        <v>0</v>
      </c>
      <c r="E55" s="121">
        <f>SUMIFS('TB &amp; MCC Cost Audit 2020-Curren'!$P:$P,'TB &amp; MCC Cost Audit 2020-Curren'!$C:$C,'MCC Margin Analysis'!$A$1,'TB &amp; MCC Cost Audit 2020-Curren'!$D:$D,'MCC Margin Analysis'!E$3,'TB &amp; MCC Cost Audit 2020-Curren'!$A:$A,'MCC Margin Analysis'!$B55)</f>
        <v>25845</v>
      </c>
      <c r="F55" s="121">
        <f>SUMIFS('TB &amp; MCC Cost Audit 2020-Curren'!$P:$P,'TB &amp; MCC Cost Audit 2020-Curren'!$C:$C,'MCC Margin Analysis'!$A$1,'TB &amp; MCC Cost Audit 2020-Curren'!$D:$D,'MCC Margin Analysis'!F$3,'TB &amp; MCC Cost Audit 2020-Curren'!$A:$A,'MCC Margin Analysis'!$B55)</f>
        <v>27783</v>
      </c>
      <c r="G55" s="121">
        <f>SUMIFS('TB &amp; MCC Cost Audit 2020-Curren'!$P:$P,'TB &amp; MCC Cost Audit 2020-Curren'!$C:$C,'MCC Margin Analysis'!$A$1,'TB &amp; MCC Cost Audit 2020-Curren'!$D:$D,'MCC Margin Analysis'!G$3,'TB &amp; MCC Cost Audit 2020-Curren'!$A:$A,'MCC Margin Analysis'!$B55)</f>
        <v>31362</v>
      </c>
      <c r="J55" s="121">
        <f>SUMIFS('TB &amp; MCC Cost Audit 2020-Curren'!$W:$W,'TB &amp; MCC Cost Audit 2020-Curren'!$C:$C,'MCC Margin Analysis'!$A$1,'TB &amp; MCC Cost Audit 2020-Curren'!$D:$D,'MCC Margin Analysis'!J$3,'TB &amp; MCC Cost Audit 2020-Curren'!$A:$A,'MCC Margin Analysis'!$B55)</f>
        <v>0</v>
      </c>
      <c r="K55" s="121">
        <f>SUMIFS('TB &amp; MCC Cost Audit 2020-Curren'!$W:$W,'TB &amp; MCC Cost Audit 2020-Curren'!$C:$C,'MCC Margin Analysis'!$A$1,'TB &amp; MCC Cost Audit 2020-Curren'!$D:$D,'MCC Margin Analysis'!K$3,'TB &amp; MCC Cost Audit 2020-Curren'!$A:$A,'MCC Margin Analysis'!$B55)</f>
        <v>0</v>
      </c>
      <c r="L55" s="121">
        <f>SUMIFS('TB &amp; MCC Cost Audit 2020-Curren'!$W:$W,'TB &amp; MCC Cost Audit 2020-Curren'!$C:$C,'MCC Margin Analysis'!$A$1,'TB &amp; MCC Cost Audit 2020-Curren'!$D:$D,'MCC Margin Analysis'!L$3,'TB &amp; MCC Cost Audit 2020-Curren'!$A:$A,'MCC Margin Analysis'!$B55)</f>
        <v>8437.66</v>
      </c>
      <c r="M55" s="121">
        <f>SUMIFS('TB &amp; MCC Cost Audit 2020-Curren'!$W:$W,'TB &amp; MCC Cost Audit 2020-Curren'!$C:$C,'MCC Margin Analysis'!$A$1,'TB &amp; MCC Cost Audit 2020-Curren'!$D:$D,'MCC Margin Analysis'!M$3,'TB &amp; MCC Cost Audit 2020-Curren'!$A:$A,'MCC Margin Analysis'!$B55)</f>
        <v>7166.82</v>
      </c>
      <c r="N55" s="121">
        <f>SUMIFS('TB &amp; MCC Cost Audit 2020-Curren'!$W:$W,'TB &amp; MCC Cost Audit 2020-Curren'!$C:$C,'MCC Margin Analysis'!$A$1,'TB &amp; MCC Cost Audit 2020-Curren'!$D:$D,'MCC Margin Analysis'!N$3,'TB &amp; MCC Cost Audit 2020-Curren'!$A:$A,'MCC Margin Analysis'!$B55)</f>
        <v>3335.2</v>
      </c>
      <c r="Q55" s="119" t="str">
        <f t="shared" si="10"/>
        <v xml:space="preserve"> - </v>
      </c>
      <c r="R55" s="119" t="str">
        <f t="shared" si="11"/>
        <v xml:space="preserve"> - </v>
      </c>
      <c r="S55" s="119">
        <f t="shared" si="12"/>
        <v>0.67352834203907919</v>
      </c>
      <c r="T55" s="119">
        <f t="shared" si="13"/>
        <v>0.74204297592052693</v>
      </c>
      <c r="U55" s="119">
        <f t="shared" si="14"/>
        <v>0.89365474140679801</v>
      </c>
    </row>
    <row r="56" spans="2:21" x14ac:dyDescent="0.15">
      <c r="B56" s="54" t="s">
        <v>748</v>
      </c>
      <c r="C56" s="121">
        <f>SUMIFS('TB &amp; MCC Cost Audit 2020-Curren'!$P:$P,'TB &amp; MCC Cost Audit 2020-Curren'!$C:$C,'MCC Margin Analysis'!$A$1,'TB &amp; MCC Cost Audit 2020-Curren'!$D:$D,'MCC Margin Analysis'!C$3,'TB &amp; MCC Cost Audit 2020-Curren'!$A:$A,'MCC Margin Analysis'!$B56)</f>
        <v>0</v>
      </c>
      <c r="D56" s="121">
        <f>SUMIFS('TB &amp; MCC Cost Audit 2020-Curren'!$P:$P,'TB &amp; MCC Cost Audit 2020-Curren'!$C:$C,'MCC Margin Analysis'!$A$1,'TB &amp; MCC Cost Audit 2020-Curren'!$D:$D,'MCC Margin Analysis'!D$3,'TB &amp; MCC Cost Audit 2020-Curren'!$A:$A,'MCC Margin Analysis'!$B56)</f>
        <v>0</v>
      </c>
      <c r="E56" s="121">
        <f>SUMIFS('TB &amp; MCC Cost Audit 2020-Curren'!$P:$P,'TB &amp; MCC Cost Audit 2020-Curren'!$C:$C,'MCC Margin Analysis'!$A$1,'TB &amp; MCC Cost Audit 2020-Curren'!$D:$D,'MCC Margin Analysis'!E$3,'TB &amp; MCC Cost Audit 2020-Curren'!$A:$A,'MCC Margin Analysis'!$B56)</f>
        <v>0</v>
      </c>
      <c r="F56" s="121">
        <f>SUMIFS('TB &amp; MCC Cost Audit 2020-Curren'!$P:$P,'TB &amp; MCC Cost Audit 2020-Curren'!$C:$C,'MCC Margin Analysis'!$A$1,'TB &amp; MCC Cost Audit 2020-Curren'!$D:$D,'MCC Margin Analysis'!F$3,'TB &amp; MCC Cost Audit 2020-Curren'!$A:$A,'MCC Margin Analysis'!$B56)</f>
        <v>14896</v>
      </c>
      <c r="G56" s="121">
        <f>SUMIFS('TB &amp; MCC Cost Audit 2020-Curren'!$P:$P,'TB &amp; MCC Cost Audit 2020-Curren'!$C:$C,'MCC Margin Analysis'!$A$1,'TB &amp; MCC Cost Audit 2020-Curren'!$D:$D,'MCC Margin Analysis'!G$3,'TB &amp; MCC Cost Audit 2020-Curren'!$A:$A,'MCC Margin Analysis'!$B56)</f>
        <v>0</v>
      </c>
      <c r="J56" s="121">
        <f>SUMIFS('TB &amp; MCC Cost Audit 2020-Curren'!$W:$W,'TB &amp; MCC Cost Audit 2020-Curren'!$C:$C,'MCC Margin Analysis'!$A$1,'TB &amp; MCC Cost Audit 2020-Curren'!$D:$D,'MCC Margin Analysis'!J$3,'TB &amp; MCC Cost Audit 2020-Curren'!$A:$A,'MCC Margin Analysis'!$B56)</f>
        <v>0</v>
      </c>
      <c r="K56" s="121">
        <f>SUMIFS('TB &amp; MCC Cost Audit 2020-Curren'!$W:$W,'TB &amp; MCC Cost Audit 2020-Curren'!$C:$C,'MCC Margin Analysis'!$A$1,'TB &amp; MCC Cost Audit 2020-Curren'!$D:$D,'MCC Margin Analysis'!K$3,'TB &amp; MCC Cost Audit 2020-Curren'!$A:$A,'MCC Margin Analysis'!$B56)</f>
        <v>0</v>
      </c>
      <c r="L56" s="121">
        <f>SUMIFS('TB &amp; MCC Cost Audit 2020-Curren'!$W:$W,'TB &amp; MCC Cost Audit 2020-Curren'!$C:$C,'MCC Margin Analysis'!$A$1,'TB &amp; MCC Cost Audit 2020-Curren'!$D:$D,'MCC Margin Analysis'!L$3,'TB &amp; MCC Cost Audit 2020-Curren'!$A:$A,'MCC Margin Analysis'!$B56)</f>
        <v>0</v>
      </c>
      <c r="M56" s="121">
        <f>SUMIFS('TB &amp; MCC Cost Audit 2020-Curren'!$W:$W,'TB &amp; MCC Cost Audit 2020-Curren'!$C:$C,'MCC Margin Analysis'!$A$1,'TB &amp; MCC Cost Audit 2020-Curren'!$D:$D,'MCC Margin Analysis'!M$3,'TB &amp; MCC Cost Audit 2020-Curren'!$A:$A,'MCC Margin Analysis'!$B56)</f>
        <v>2772.8300000000004</v>
      </c>
      <c r="N56" s="121">
        <f>SUMIFS('TB &amp; MCC Cost Audit 2020-Curren'!$W:$W,'TB &amp; MCC Cost Audit 2020-Curren'!$C:$C,'MCC Margin Analysis'!$A$1,'TB &amp; MCC Cost Audit 2020-Curren'!$D:$D,'MCC Margin Analysis'!N$3,'TB &amp; MCC Cost Audit 2020-Curren'!$A:$A,'MCC Margin Analysis'!$B56)</f>
        <v>0</v>
      </c>
      <c r="Q56" s="119" t="str">
        <f t="shared" si="10"/>
        <v xml:space="preserve"> - </v>
      </c>
      <c r="R56" s="119" t="str">
        <f t="shared" si="11"/>
        <v xml:space="preserve"> - </v>
      </c>
      <c r="S56" s="119" t="str">
        <f t="shared" si="12"/>
        <v xml:space="preserve"> - </v>
      </c>
      <c r="T56" s="119">
        <f t="shared" si="13"/>
        <v>0.81385405477980666</v>
      </c>
      <c r="U56" s="119" t="str">
        <f t="shared" si="14"/>
        <v xml:space="preserve"> - </v>
      </c>
    </row>
    <row r="57" spans="2:21" x14ac:dyDescent="0.15">
      <c r="B57" s="54" t="s">
        <v>784</v>
      </c>
      <c r="C57" s="121">
        <f>SUMIFS('TB &amp; MCC Cost Audit 2020-Curren'!$P:$P,'TB &amp; MCC Cost Audit 2020-Curren'!$C:$C,'MCC Margin Analysis'!$A$1,'TB &amp; MCC Cost Audit 2020-Curren'!$D:$D,'MCC Margin Analysis'!C$3,'TB &amp; MCC Cost Audit 2020-Curren'!$A:$A,'MCC Margin Analysis'!$B57)</f>
        <v>0</v>
      </c>
      <c r="D57" s="121">
        <f>SUMIFS('TB &amp; MCC Cost Audit 2020-Curren'!$P:$P,'TB &amp; MCC Cost Audit 2020-Curren'!$C:$C,'MCC Margin Analysis'!$A$1,'TB &amp; MCC Cost Audit 2020-Curren'!$D:$D,'MCC Margin Analysis'!D$3,'TB &amp; MCC Cost Audit 2020-Curren'!$A:$A,'MCC Margin Analysis'!$B57)</f>
        <v>0</v>
      </c>
      <c r="E57" s="121">
        <f>SUMIFS('TB &amp; MCC Cost Audit 2020-Curren'!$P:$P,'TB &amp; MCC Cost Audit 2020-Curren'!$C:$C,'MCC Margin Analysis'!$A$1,'TB &amp; MCC Cost Audit 2020-Curren'!$D:$D,'MCC Margin Analysis'!E$3,'TB &amp; MCC Cost Audit 2020-Curren'!$A:$A,'MCC Margin Analysis'!$B57)</f>
        <v>0</v>
      </c>
      <c r="F57" s="121">
        <f>SUMIFS('TB &amp; MCC Cost Audit 2020-Curren'!$P:$P,'TB &amp; MCC Cost Audit 2020-Curren'!$C:$C,'MCC Margin Analysis'!$A$1,'TB &amp; MCC Cost Audit 2020-Curren'!$D:$D,'MCC Margin Analysis'!F$3,'TB &amp; MCC Cost Audit 2020-Curren'!$A:$A,'MCC Margin Analysis'!$B57)</f>
        <v>0</v>
      </c>
      <c r="G57" s="121">
        <f>SUMIFS('TB &amp; MCC Cost Audit 2020-Curren'!$P:$P,'TB &amp; MCC Cost Audit 2020-Curren'!$C:$C,'MCC Margin Analysis'!$A$1,'TB &amp; MCC Cost Audit 2020-Curren'!$D:$D,'MCC Margin Analysis'!G$3,'TB &amp; MCC Cost Audit 2020-Curren'!$A:$A,'MCC Margin Analysis'!$B57)</f>
        <v>14271</v>
      </c>
      <c r="J57" s="121">
        <f>SUMIFS('TB &amp; MCC Cost Audit 2020-Curren'!$W:$W,'TB &amp; MCC Cost Audit 2020-Curren'!$C:$C,'MCC Margin Analysis'!$A$1,'TB &amp; MCC Cost Audit 2020-Curren'!$D:$D,'MCC Margin Analysis'!J$3,'TB &amp; MCC Cost Audit 2020-Curren'!$A:$A,'MCC Margin Analysis'!$B57)</f>
        <v>0</v>
      </c>
      <c r="K57" s="121">
        <f>SUMIFS('TB &amp; MCC Cost Audit 2020-Curren'!$W:$W,'TB &amp; MCC Cost Audit 2020-Curren'!$C:$C,'MCC Margin Analysis'!$A$1,'TB &amp; MCC Cost Audit 2020-Curren'!$D:$D,'MCC Margin Analysis'!K$3,'TB &amp; MCC Cost Audit 2020-Curren'!$A:$A,'MCC Margin Analysis'!$B57)</f>
        <v>0</v>
      </c>
      <c r="L57" s="121">
        <f>SUMIFS('TB &amp; MCC Cost Audit 2020-Curren'!$W:$W,'TB &amp; MCC Cost Audit 2020-Curren'!$C:$C,'MCC Margin Analysis'!$A$1,'TB &amp; MCC Cost Audit 2020-Curren'!$D:$D,'MCC Margin Analysis'!L$3,'TB &amp; MCC Cost Audit 2020-Curren'!$A:$A,'MCC Margin Analysis'!$B57)</f>
        <v>0</v>
      </c>
      <c r="M57" s="121">
        <f>SUMIFS('TB &amp; MCC Cost Audit 2020-Curren'!$W:$W,'TB &amp; MCC Cost Audit 2020-Curren'!$C:$C,'MCC Margin Analysis'!$A$1,'TB &amp; MCC Cost Audit 2020-Curren'!$D:$D,'MCC Margin Analysis'!M$3,'TB &amp; MCC Cost Audit 2020-Curren'!$A:$A,'MCC Margin Analysis'!$B57)</f>
        <v>0</v>
      </c>
      <c r="N57" s="121">
        <f>SUMIFS('TB &amp; MCC Cost Audit 2020-Curren'!$W:$W,'TB &amp; MCC Cost Audit 2020-Curren'!$C:$C,'MCC Margin Analysis'!$A$1,'TB &amp; MCC Cost Audit 2020-Curren'!$D:$D,'MCC Margin Analysis'!N$3,'TB &amp; MCC Cost Audit 2020-Curren'!$A:$A,'MCC Margin Analysis'!$B57)</f>
        <v>3221.26</v>
      </c>
      <c r="Q57" s="119" t="str">
        <f t="shared" si="10"/>
        <v xml:space="preserve"> - </v>
      </c>
      <c r="R57" s="119" t="str">
        <f t="shared" si="11"/>
        <v xml:space="preserve"> - </v>
      </c>
      <c r="S57" s="119" t="str">
        <f t="shared" si="12"/>
        <v xml:space="preserve"> - </v>
      </c>
      <c r="T57" s="119" t="str">
        <f t="shared" si="13"/>
        <v xml:space="preserve"> - </v>
      </c>
      <c r="U57" s="119">
        <f t="shared" si="14"/>
        <v>0.77427930768691755</v>
      </c>
    </row>
    <row r="58" spans="2:21" x14ac:dyDescent="0.15">
      <c r="B58" s="54" t="s">
        <v>454</v>
      </c>
      <c r="C58" s="121">
        <f>SUMIFS('TB &amp; MCC Cost Audit 2020-Curren'!$P:$P,'TB &amp; MCC Cost Audit 2020-Curren'!$C:$C,'MCC Margin Analysis'!$A$1,'TB &amp; MCC Cost Audit 2020-Curren'!$D:$D,'MCC Margin Analysis'!C$3,'TB &amp; MCC Cost Audit 2020-Curren'!$A:$A,'MCC Margin Analysis'!$B58)</f>
        <v>0</v>
      </c>
      <c r="D58" s="121">
        <f>SUMIFS('TB &amp; MCC Cost Audit 2020-Curren'!$P:$P,'TB &amp; MCC Cost Audit 2020-Curren'!$C:$C,'MCC Margin Analysis'!$A$1,'TB &amp; MCC Cost Audit 2020-Curren'!$D:$D,'MCC Margin Analysis'!D$3,'TB &amp; MCC Cost Audit 2020-Curren'!$A:$A,'MCC Margin Analysis'!$B58)</f>
        <v>0</v>
      </c>
      <c r="E58" s="121">
        <f>SUMIFS('TB &amp; MCC Cost Audit 2020-Curren'!$P:$P,'TB &amp; MCC Cost Audit 2020-Curren'!$C:$C,'MCC Margin Analysis'!$A$1,'TB &amp; MCC Cost Audit 2020-Curren'!$D:$D,'MCC Margin Analysis'!E$3,'TB &amp; MCC Cost Audit 2020-Curren'!$A:$A,'MCC Margin Analysis'!$B58)</f>
        <v>12348</v>
      </c>
      <c r="F58" s="121">
        <f>SUMIFS('TB &amp; MCC Cost Audit 2020-Curren'!$P:$P,'TB &amp; MCC Cost Audit 2020-Curren'!$C:$C,'MCC Margin Analysis'!$A$1,'TB &amp; MCC Cost Audit 2020-Curren'!$D:$D,'MCC Margin Analysis'!F$3,'TB &amp; MCC Cost Audit 2020-Curren'!$A:$A,'MCC Margin Analysis'!$B58)</f>
        <v>13028</v>
      </c>
      <c r="G58" s="121">
        <f>SUMIFS('TB &amp; MCC Cost Audit 2020-Curren'!$P:$P,'TB &amp; MCC Cost Audit 2020-Curren'!$C:$C,'MCC Margin Analysis'!$A$1,'TB &amp; MCC Cost Audit 2020-Curren'!$D:$D,'MCC Margin Analysis'!G$3,'TB &amp; MCC Cost Audit 2020-Curren'!$A:$A,'MCC Margin Analysis'!$B58)</f>
        <v>13745</v>
      </c>
      <c r="J58" s="121">
        <f>SUMIFS('TB &amp; MCC Cost Audit 2020-Curren'!$W:$W,'TB &amp; MCC Cost Audit 2020-Curren'!$C:$C,'MCC Margin Analysis'!$A$1,'TB &amp; MCC Cost Audit 2020-Curren'!$D:$D,'MCC Margin Analysis'!J$3,'TB &amp; MCC Cost Audit 2020-Curren'!$A:$A,'MCC Margin Analysis'!$B58)</f>
        <v>0</v>
      </c>
      <c r="K58" s="121">
        <f>SUMIFS('TB &amp; MCC Cost Audit 2020-Curren'!$W:$W,'TB &amp; MCC Cost Audit 2020-Curren'!$C:$C,'MCC Margin Analysis'!$A$1,'TB &amp; MCC Cost Audit 2020-Curren'!$D:$D,'MCC Margin Analysis'!K$3,'TB &amp; MCC Cost Audit 2020-Curren'!$A:$A,'MCC Margin Analysis'!$B58)</f>
        <v>0</v>
      </c>
      <c r="L58" s="121">
        <f>SUMIFS('TB &amp; MCC Cost Audit 2020-Curren'!$W:$W,'TB &amp; MCC Cost Audit 2020-Curren'!$C:$C,'MCC Margin Analysis'!$A$1,'TB &amp; MCC Cost Audit 2020-Curren'!$D:$D,'MCC Margin Analysis'!L$3,'TB &amp; MCC Cost Audit 2020-Curren'!$A:$A,'MCC Margin Analysis'!$B58)</f>
        <v>4490.79</v>
      </c>
      <c r="M58" s="121">
        <f>SUMIFS('TB &amp; MCC Cost Audit 2020-Curren'!$W:$W,'TB &amp; MCC Cost Audit 2020-Curren'!$C:$C,'MCC Margin Analysis'!$A$1,'TB &amp; MCC Cost Audit 2020-Curren'!$D:$D,'MCC Margin Analysis'!M$3,'TB &amp; MCC Cost Audit 2020-Curren'!$A:$A,'MCC Margin Analysis'!$B58)</f>
        <v>3303.63</v>
      </c>
      <c r="N58" s="121">
        <f>SUMIFS('TB &amp; MCC Cost Audit 2020-Curren'!$W:$W,'TB &amp; MCC Cost Audit 2020-Curren'!$C:$C,'MCC Margin Analysis'!$A$1,'TB &amp; MCC Cost Audit 2020-Curren'!$D:$D,'MCC Margin Analysis'!N$3,'TB &amp; MCC Cost Audit 2020-Curren'!$A:$A,'MCC Margin Analysis'!$B58)</f>
        <v>4480.83</v>
      </c>
      <c r="Q58" s="119" t="str">
        <f t="shared" si="10"/>
        <v xml:space="preserve"> - </v>
      </c>
      <c r="R58" s="119" t="str">
        <f t="shared" si="11"/>
        <v xml:space="preserve"> - </v>
      </c>
      <c r="S58" s="119">
        <f t="shared" si="12"/>
        <v>0.63631438289601561</v>
      </c>
      <c r="T58" s="119">
        <f t="shared" si="13"/>
        <v>0.74642078599938588</v>
      </c>
      <c r="U58" s="119">
        <f t="shared" si="14"/>
        <v>0.67400291014914515</v>
      </c>
    </row>
    <row r="59" spans="2:21" x14ac:dyDescent="0.15">
      <c r="B59" s="54" t="s">
        <v>308</v>
      </c>
      <c r="C59" s="121">
        <f>SUMIFS('TB &amp; MCC Cost Audit 2020-Curren'!$P:$P,'TB &amp; MCC Cost Audit 2020-Curren'!$C:$C,'MCC Margin Analysis'!$A$1,'TB &amp; MCC Cost Audit 2020-Curren'!$D:$D,'MCC Margin Analysis'!C$3,'TB &amp; MCC Cost Audit 2020-Curren'!$A:$A,'MCC Margin Analysis'!$B59)</f>
        <v>63364</v>
      </c>
      <c r="D59" s="121">
        <f>SUMIFS('TB &amp; MCC Cost Audit 2020-Curren'!$P:$P,'TB &amp; MCC Cost Audit 2020-Curren'!$C:$C,'MCC Margin Analysis'!$A$1,'TB &amp; MCC Cost Audit 2020-Curren'!$D:$D,'MCC Margin Analysis'!D$3,'TB &amp; MCC Cost Audit 2020-Curren'!$A:$A,'MCC Margin Analysis'!$B59)</f>
        <v>63364</v>
      </c>
      <c r="E59" s="121">
        <f>SUMIFS('TB &amp; MCC Cost Audit 2020-Curren'!$P:$P,'TB &amp; MCC Cost Audit 2020-Curren'!$C:$C,'MCC Margin Analysis'!$A$1,'TB &amp; MCC Cost Audit 2020-Curren'!$D:$D,'MCC Margin Analysis'!E$3,'TB &amp; MCC Cost Audit 2020-Curren'!$A:$A,'MCC Margin Analysis'!$B59)</f>
        <v>63364</v>
      </c>
      <c r="F59" s="121">
        <f>SUMIFS('TB &amp; MCC Cost Audit 2020-Curren'!$P:$P,'TB &amp; MCC Cost Audit 2020-Curren'!$C:$C,'MCC Margin Analysis'!$A$1,'TB &amp; MCC Cost Audit 2020-Curren'!$D:$D,'MCC Margin Analysis'!F$3,'TB &amp; MCC Cost Audit 2020-Curren'!$A:$A,'MCC Margin Analysis'!$B59)</f>
        <v>63364</v>
      </c>
      <c r="G59" s="121">
        <f>SUMIFS('TB &amp; MCC Cost Audit 2020-Curren'!$P:$P,'TB &amp; MCC Cost Audit 2020-Curren'!$C:$C,'MCC Margin Analysis'!$A$1,'TB &amp; MCC Cost Audit 2020-Curren'!$D:$D,'MCC Margin Analysis'!G$3,'TB &amp; MCC Cost Audit 2020-Curren'!$A:$A,'MCC Margin Analysis'!$B59)</f>
        <v>63364.4</v>
      </c>
      <c r="J59" s="121">
        <f>SUMIFS('TB &amp; MCC Cost Audit 2020-Curren'!$W:$W,'TB &amp; MCC Cost Audit 2020-Curren'!$C:$C,'MCC Margin Analysis'!$A$1,'TB &amp; MCC Cost Audit 2020-Curren'!$D:$D,'MCC Margin Analysis'!J$3,'TB &amp; MCC Cost Audit 2020-Curren'!$A:$A,'MCC Margin Analysis'!$B59)</f>
        <v>3279.62</v>
      </c>
      <c r="K59" s="121">
        <f>SUMIFS('TB &amp; MCC Cost Audit 2020-Curren'!$W:$W,'TB &amp; MCC Cost Audit 2020-Curren'!$C:$C,'MCC Margin Analysis'!$A$1,'TB &amp; MCC Cost Audit 2020-Curren'!$D:$D,'MCC Margin Analysis'!K$3,'TB &amp; MCC Cost Audit 2020-Curren'!$A:$A,'MCC Margin Analysis'!$B59)</f>
        <v>5976.99</v>
      </c>
      <c r="L59" s="121">
        <f>SUMIFS('TB &amp; MCC Cost Audit 2020-Curren'!$W:$W,'TB &amp; MCC Cost Audit 2020-Curren'!$C:$C,'MCC Margin Analysis'!$A$1,'TB &amp; MCC Cost Audit 2020-Curren'!$D:$D,'MCC Margin Analysis'!L$3,'TB &amp; MCC Cost Audit 2020-Curren'!$A:$A,'MCC Margin Analysis'!$B59)</f>
        <v>5573.5599999999995</v>
      </c>
      <c r="M59" s="121">
        <f>SUMIFS('TB &amp; MCC Cost Audit 2020-Curren'!$W:$W,'TB &amp; MCC Cost Audit 2020-Curren'!$C:$C,'MCC Margin Analysis'!$A$1,'TB &amp; MCC Cost Audit 2020-Curren'!$D:$D,'MCC Margin Analysis'!M$3,'TB &amp; MCC Cost Audit 2020-Curren'!$A:$A,'MCC Margin Analysis'!$B59)</f>
        <v>5531.1</v>
      </c>
      <c r="N59" s="121">
        <f>SUMIFS('TB &amp; MCC Cost Audit 2020-Curren'!$W:$W,'TB &amp; MCC Cost Audit 2020-Curren'!$C:$C,'MCC Margin Analysis'!$A$1,'TB &amp; MCC Cost Audit 2020-Curren'!$D:$D,'MCC Margin Analysis'!N$3,'TB &amp; MCC Cost Audit 2020-Curren'!$A:$A,'MCC Margin Analysis'!$B59)</f>
        <v>8367.7799999999988</v>
      </c>
      <c r="Q59" s="119">
        <f t="shared" si="10"/>
        <v>0.94824158828356786</v>
      </c>
      <c r="R59" s="119">
        <f t="shared" si="11"/>
        <v>0.90567214822296571</v>
      </c>
      <c r="S59" s="119">
        <f t="shared" si="12"/>
        <v>0.91203901268859289</v>
      </c>
      <c r="T59" s="119">
        <f t="shared" si="13"/>
        <v>0.91270910927340443</v>
      </c>
      <c r="U59" s="119">
        <f t="shared" si="14"/>
        <v>0.86794193585041446</v>
      </c>
    </row>
    <row r="60" spans="2:21" x14ac:dyDescent="0.15">
      <c r="B60" s="54" t="s">
        <v>382</v>
      </c>
      <c r="C60" s="121">
        <f>SUMIFS('TB &amp; MCC Cost Audit 2020-Curren'!$P:$P,'TB &amp; MCC Cost Audit 2020-Curren'!$C:$C,'MCC Margin Analysis'!$A$1,'TB &amp; MCC Cost Audit 2020-Curren'!$D:$D,'MCC Margin Analysis'!C$3,'TB &amp; MCC Cost Audit 2020-Curren'!$A:$A,'MCC Margin Analysis'!$B60)</f>
        <v>0</v>
      </c>
      <c r="D60" s="121">
        <f>SUMIFS('TB &amp; MCC Cost Audit 2020-Curren'!$P:$P,'TB &amp; MCC Cost Audit 2020-Curren'!$C:$C,'MCC Margin Analysis'!$A$1,'TB &amp; MCC Cost Audit 2020-Curren'!$D:$D,'MCC Margin Analysis'!D$3,'TB &amp; MCC Cost Audit 2020-Curren'!$A:$A,'MCC Margin Analysis'!$B60)</f>
        <v>0</v>
      </c>
      <c r="E60" s="121">
        <f>SUMIFS('TB &amp; MCC Cost Audit 2020-Curren'!$P:$P,'TB &amp; MCC Cost Audit 2020-Curren'!$C:$C,'MCC Margin Analysis'!$A$1,'TB &amp; MCC Cost Audit 2020-Curren'!$D:$D,'MCC Margin Analysis'!E$3,'TB &amp; MCC Cost Audit 2020-Curren'!$A:$A,'MCC Margin Analysis'!$B60)</f>
        <v>0</v>
      </c>
      <c r="F60" s="121">
        <f>SUMIFS('TB &amp; MCC Cost Audit 2020-Curren'!$P:$P,'TB &amp; MCC Cost Audit 2020-Curren'!$C:$C,'MCC Margin Analysis'!$A$1,'TB &amp; MCC Cost Audit 2020-Curren'!$D:$D,'MCC Margin Analysis'!F$3,'TB &amp; MCC Cost Audit 2020-Curren'!$A:$A,'MCC Margin Analysis'!$B60)</f>
        <v>12896</v>
      </c>
      <c r="G60" s="121">
        <f>SUMIFS('TB &amp; MCC Cost Audit 2020-Curren'!$P:$P,'TB &amp; MCC Cost Audit 2020-Curren'!$C:$C,'MCC Margin Analysis'!$A$1,'TB &amp; MCC Cost Audit 2020-Curren'!$D:$D,'MCC Margin Analysis'!G$3,'TB &amp; MCC Cost Audit 2020-Curren'!$A:$A,'MCC Margin Analysis'!$B60)</f>
        <v>12896</v>
      </c>
      <c r="J60" s="121">
        <f>SUMIFS('TB &amp; MCC Cost Audit 2020-Curren'!$W:$W,'TB &amp; MCC Cost Audit 2020-Curren'!$C:$C,'MCC Margin Analysis'!$A$1,'TB &amp; MCC Cost Audit 2020-Curren'!$D:$D,'MCC Margin Analysis'!J$3,'TB &amp; MCC Cost Audit 2020-Curren'!$A:$A,'MCC Margin Analysis'!$B60)</f>
        <v>0</v>
      </c>
      <c r="K60" s="121">
        <f>SUMIFS('TB &amp; MCC Cost Audit 2020-Curren'!$W:$W,'TB &amp; MCC Cost Audit 2020-Curren'!$C:$C,'MCC Margin Analysis'!$A$1,'TB &amp; MCC Cost Audit 2020-Curren'!$D:$D,'MCC Margin Analysis'!K$3,'TB &amp; MCC Cost Audit 2020-Curren'!$A:$A,'MCC Margin Analysis'!$B60)</f>
        <v>0</v>
      </c>
      <c r="L60" s="121">
        <f>SUMIFS('TB &amp; MCC Cost Audit 2020-Curren'!$W:$W,'TB &amp; MCC Cost Audit 2020-Curren'!$C:$C,'MCC Margin Analysis'!$A$1,'TB &amp; MCC Cost Audit 2020-Curren'!$D:$D,'MCC Margin Analysis'!L$3,'TB &amp; MCC Cost Audit 2020-Curren'!$A:$A,'MCC Margin Analysis'!$B60)</f>
        <v>0</v>
      </c>
      <c r="M60" s="121">
        <f>SUMIFS('TB &amp; MCC Cost Audit 2020-Curren'!$W:$W,'TB &amp; MCC Cost Audit 2020-Curren'!$C:$C,'MCC Margin Analysis'!$A$1,'TB &amp; MCC Cost Audit 2020-Curren'!$D:$D,'MCC Margin Analysis'!M$3,'TB &amp; MCC Cost Audit 2020-Curren'!$A:$A,'MCC Margin Analysis'!$B60)</f>
        <v>3331.45</v>
      </c>
      <c r="N60" s="121">
        <f>SUMIFS('TB &amp; MCC Cost Audit 2020-Curren'!$W:$W,'TB &amp; MCC Cost Audit 2020-Curren'!$C:$C,'MCC Margin Analysis'!$A$1,'TB &amp; MCC Cost Audit 2020-Curren'!$D:$D,'MCC Margin Analysis'!N$3,'TB &amp; MCC Cost Audit 2020-Curren'!$A:$A,'MCC Margin Analysis'!$B60)</f>
        <v>3729.5299999999997</v>
      </c>
      <c r="Q60" s="119" t="str">
        <f t="shared" si="10"/>
        <v xml:space="preserve"> - </v>
      </c>
      <c r="R60" s="119" t="str">
        <f t="shared" si="11"/>
        <v xml:space="preserve"> - </v>
      </c>
      <c r="S60" s="119" t="str">
        <f t="shared" si="12"/>
        <v xml:space="preserve"> - </v>
      </c>
      <c r="T60" s="119">
        <f t="shared" si="13"/>
        <v>0.74166795905707195</v>
      </c>
      <c r="U60" s="119">
        <f t="shared" si="14"/>
        <v>0.71079947270471477</v>
      </c>
    </row>
    <row r="61" spans="2:21" x14ac:dyDescent="0.15">
      <c r="B61" s="54" t="s">
        <v>436</v>
      </c>
      <c r="C61" s="121">
        <f>SUMIFS('TB &amp; MCC Cost Audit 2020-Curren'!$P:$P,'TB &amp; MCC Cost Audit 2020-Curren'!$C:$C,'MCC Margin Analysis'!$A$1,'TB &amp; MCC Cost Audit 2020-Curren'!$D:$D,'MCC Margin Analysis'!C$3,'TB &amp; MCC Cost Audit 2020-Curren'!$A:$A,'MCC Margin Analysis'!$B61)</f>
        <v>0</v>
      </c>
      <c r="D61" s="121">
        <f>SUMIFS('TB &amp; MCC Cost Audit 2020-Curren'!$P:$P,'TB &amp; MCC Cost Audit 2020-Curren'!$C:$C,'MCC Margin Analysis'!$A$1,'TB &amp; MCC Cost Audit 2020-Curren'!$D:$D,'MCC Margin Analysis'!D$3,'TB &amp; MCC Cost Audit 2020-Curren'!$A:$A,'MCC Margin Analysis'!$B61)</f>
        <v>0</v>
      </c>
      <c r="E61" s="121">
        <f>SUMIFS('TB &amp; MCC Cost Audit 2020-Curren'!$P:$P,'TB &amp; MCC Cost Audit 2020-Curren'!$C:$C,'MCC Margin Analysis'!$A$1,'TB &amp; MCC Cost Audit 2020-Curren'!$D:$D,'MCC Margin Analysis'!E$3,'TB &amp; MCC Cost Audit 2020-Curren'!$A:$A,'MCC Margin Analysis'!$B61)</f>
        <v>12062</v>
      </c>
      <c r="F61" s="121">
        <f>SUMIFS('TB &amp; MCC Cost Audit 2020-Curren'!$P:$P,'TB &amp; MCC Cost Audit 2020-Curren'!$C:$C,'MCC Margin Analysis'!$A$1,'TB &amp; MCC Cost Audit 2020-Curren'!$D:$D,'MCC Margin Analysis'!F$3,'TB &amp; MCC Cost Audit 2020-Curren'!$A:$A,'MCC Margin Analysis'!$B61)</f>
        <v>13607</v>
      </c>
      <c r="G61" s="121">
        <f>SUMIFS('TB &amp; MCC Cost Audit 2020-Curren'!$P:$P,'TB &amp; MCC Cost Audit 2020-Curren'!$C:$C,'MCC Margin Analysis'!$A$1,'TB &amp; MCC Cost Audit 2020-Curren'!$D:$D,'MCC Margin Analysis'!G$3,'TB &amp; MCC Cost Audit 2020-Curren'!$A:$A,'MCC Margin Analysis'!$B61)</f>
        <v>14005</v>
      </c>
      <c r="J61" s="121">
        <f>SUMIFS('TB &amp; MCC Cost Audit 2020-Curren'!$W:$W,'TB &amp; MCC Cost Audit 2020-Curren'!$C:$C,'MCC Margin Analysis'!$A$1,'TB &amp; MCC Cost Audit 2020-Curren'!$D:$D,'MCC Margin Analysis'!J$3,'TB &amp; MCC Cost Audit 2020-Curren'!$A:$A,'MCC Margin Analysis'!$B61)</f>
        <v>0</v>
      </c>
      <c r="K61" s="121">
        <f>SUMIFS('TB &amp; MCC Cost Audit 2020-Curren'!$W:$W,'TB &amp; MCC Cost Audit 2020-Curren'!$C:$C,'MCC Margin Analysis'!$A$1,'TB &amp; MCC Cost Audit 2020-Curren'!$D:$D,'MCC Margin Analysis'!K$3,'TB &amp; MCC Cost Audit 2020-Curren'!$A:$A,'MCC Margin Analysis'!$B61)</f>
        <v>0</v>
      </c>
      <c r="L61" s="121">
        <f>SUMIFS('TB &amp; MCC Cost Audit 2020-Curren'!$W:$W,'TB &amp; MCC Cost Audit 2020-Curren'!$C:$C,'MCC Margin Analysis'!$A$1,'TB &amp; MCC Cost Audit 2020-Curren'!$D:$D,'MCC Margin Analysis'!L$3,'TB &amp; MCC Cost Audit 2020-Curren'!$A:$A,'MCC Margin Analysis'!$B61)</f>
        <v>3117.21</v>
      </c>
      <c r="M61" s="121">
        <f>SUMIFS('TB &amp; MCC Cost Audit 2020-Curren'!$W:$W,'TB &amp; MCC Cost Audit 2020-Curren'!$C:$C,'MCC Margin Analysis'!$A$1,'TB &amp; MCC Cost Audit 2020-Curren'!$D:$D,'MCC Margin Analysis'!M$3,'TB &amp; MCC Cost Audit 2020-Curren'!$A:$A,'MCC Margin Analysis'!$B61)</f>
        <v>3150.08</v>
      </c>
      <c r="N61" s="121">
        <f>SUMIFS('TB &amp; MCC Cost Audit 2020-Curren'!$W:$W,'TB &amp; MCC Cost Audit 2020-Curren'!$C:$C,'MCC Margin Analysis'!$A$1,'TB &amp; MCC Cost Audit 2020-Curren'!$D:$D,'MCC Margin Analysis'!N$3,'TB &amp; MCC Cost Audit 2020-Curren'!$A:$A,'MCC Margin Analysis'!$B61)</f>
        <v>2783.81</v>
      </c>
      <c r="Q61" s="119" t="str">
        <f t="shared" si="10"/>
        <v xml:space="preserve"> - </v>
      </c>
      <c r="R61" s="119" t="str">
        <f t="shared" si="11"/>
        <v xml:space="preserve"> - </v>
      </c>
      <c r="S61" s="119">
        <f t="shared" si="12"/>
        <v>0.74156773337754944</v>
      </c>
      <c r="T61" s="119">
        <f t="shared" si="13"/>
        <v>0.76849562725067977</v>
      </c>
      <c r="U61" s="119">
        <f t="shared" si="14"/>
        <v>0.80122741877900749</v>
      </c>
    </row>
    <row r="62" spans="2:21" x14ac:dyDescent="0.15">
      <c r="B62" s="54" t="s">
        <v>510</v>
      </c>
      <c r="C62" s="121">
        <f>SUMIFS('TB &amp; MCC Cost Audit 2020-Curren'!$P:$P,'TB &amp; MCC Cost Audit 2020-Curren'!$C:$C,'MCC Margin Analysis'!$A$1,'TB &amp; MCC Cost Audit 2020-Curren'!$D:$D,'MCC Margin Analysis'!C$3,'TB &amp; MCC Cost Audit 2020-Curren'!$A:$A,'MCC Margin Analysis'!$B62)</f>
        <v>0</v>
      </c>
      <c r="D62" s="121">
        <f>SUMIFS('TB &amp; MCC Cost Audit 2020-Curren'!$P:$P,'TB &amp; MCC Cost Audit 2020-Curren'!$C:$C,'MCC Margin Analysis'!$A$1,'TB &amp; MCC Cost Audit 2020-Curren'!$D:$D,'MCC Margin Analysis'!D$3,'TB &amp; MCC Cost Audit 2020-Curren'!$A:$A,'MCC Margin Analysis'!$B62)</f>
        <v>0</v>
      </c>
      <c r="E62" s="121">
        <f>SUMIFS('TB &amp; MCC Cost Audit 2020-Curren'!$P:$P,'TB &amp; MCC Cost Audit 2020-Curren'!$C:$C,'MCC Margin Analysis'!$A$1,'TB &amp; MCC Cost Audit 2020-Curren'!$D:$D,'MCC Margin Analysis'!E$3,'TB &amp; MCC Cost Audit 2020-Curren'!$A:$A,'MCC Margin Analysis'!$B62)</f>
        <v>10165</v>
      </c>
      <c r="F62" s="121">
        <f>SUMIFS('TB &amp; MCC Cost Audit 2020-Curren'!$P:$P,'TB &amp; MCC Cost Audit 2020-Curren'!$C:$C,'MCC Margin Analysis'!$A$1,'TB &amp; MCC Cost Audit 2020-Curren'!$D:$D,'MCC Margin Analysis'!F$3,'TB &amp; MCC Cost Audit 2020-Curren'!$A:$A,'MCC Margin Analysis'!$B62)</f>
        <v>26696</v>
      </c>
      <c r="G62" s="121">
        <f>SUMIFS('TB &amp; MCC Cost Audit 2020-Curren'!$P:$P,'TB &amp; MCC Cost Audit 2020-Curren'!$C:$C,'MCC Margin Analysis'!$A$1,'TB &amp; MCC Cost Audit 2020-Curren'!$D:$D,'MCC Margin Analysis'!G$3,'TB &amp; MCC Cost Audit 2020-Curren'!$A:$A,'MCC Margin Analysis'!$B62)</f>
        <v>10165</v>
      </c>
      <c r="J62" s="121">
        <f>SUMIFS('TB &amp; MCC Cost Audit 2020-Curren'!$W:$W,'TB &amp; MCC Cost Audit 2020-Curren'!$C:$C,'MCC Margin Analysis'!$A$1,'TB &amp; MCC Cost Audit 2020-Curren'!$D:$D,'MCC Margin Analysis'!J$3,'TB &amp; MCC Cost Audit 2020-Curren'!$A:$A,'MCC Margin Analysis'!$B62)</f>
        <v>0</v>
      </c>
      <c r="K62" s="121">
        <f>SUMIFS('TB &amp; MCC Cost Audit 2020-Curren'!$W:$W,'TB &amp; MCC Cost Audit 2020-Curren'!$C:$C,'MCC Margin Analysis'!$A$1,'TB &amp; MCC Cost Audit 2020-Curren'!$D:$D,'MCC Margin Analysis'!K$3,'TB &amp; MCC Cost Audit 2020-Curren'!$A:$A,'MCC Margin Analysis'!$B62)</f>
        <v>0</v>
      </c>
      <c r="L62" s="121">
        <f>SUMIFS('TB &amp; MCC Cost Audit 2020-Curren'!$W:$W,'TB &amp; MCC Cost Audit 2020-Curren'!$C:$C,'MCC Margin Analysis'!$A$1,'TB &amp; MCC Cost Audit 2020-Curren'!$D:$D,'MCC Margin Analysis'!L$3,'TB &amp; MCC Cost Audit 2020-Curren'!$A:$A,'MCC Margin Analysis'!$B62)</f>
        <v>4879.1100000000006</v>
      </c>
      <c r="M62" s="121">
        <f>SUMIFS('TB &amp; MCC Cost Audit 2020-Curren'!$W:$W,'TB &amp; MCC Cost Audit 2020-Curren'!$C:$C,'MCC Margin Analysis'!$A$1,'TB &amp; MCC Cost Audit 2020-Curren'!$D:$D,'MCC Margin Analysis'!M$3,'TB &amp; MCC Cost Audit 2020-Curren'!$A:$A,'MCC Margin Analysis'!$B62)</f>
        <v>9195.48</v>
      </c>
      <c r="N62" s="121">
        <f>SUMIFS('TB &amp; MCC Cost Audit 2020-Curren'!$W:$W,'TB &amp; MCC Cost Audit 2020-Curren'!$C:$C,'MCC Margin Analysis'!$A$1,'TB &amp; MCC Cost Audit 2020-Curren'!$D:$D,'MCC Margin Analysis'!N$3,'TB &amp; MCC Cost Audit 2020-Curren'!$A:$A,'MCC Margin Analysis'!$B62)</f>
        <v>5692.6399999999994</v>
      </c>
      <c r="Q62" s="119" t="str">
        <f t="shared" si="10"/>
        <v xml:space="preserve"> - </v>
      </c>
      <c r="R62" s="119" t="str">
        <f t="shared" si="11"/>
        <v xml:space="preserve"> - </v>
      </c>
      <c r="S62" s="119">
        <f t="shared" si="12"/>
        <v>0.52000885391047702</v>
      </c>
      <c r="T62" s="119">
        <f t="shared" si="13"/>
        <v>0.65554839676356014</v>
      </c>
      <c r="U62" s="119">
        <f t="shared" si="14"/>
        <v>0.43997638957206103</v>
      </c>
    </row>
    <row r="63" spans="2:21" x14ac:dyDescent="0.15">
      <c r="B63" s="54" t="s">
        <v>134</v>
      </c>
      <c r="C63" s="121">
        <f>SUMIFS('TB &amp; MCC Cost Audit 2020-Curren'!$P:$P,'TB &amp; MCC Cost Audit 2020-Curren'!$C:$C,'MCC Margin Analysis'!$A$1,'TB &amp; MCC Cost Audit 2020-Curren'!$D:$D,'MCC Margin Analysis'!C$3,'TB &amp; MCC Cost Audit 2020-Curren'!$A:$A,'MCC Margin Analysis'!$B63)</f>
        <v>0</v>
      </c>
      <c r="D63" s="121">
        <f>SUMIFS('TB &amp; MCC Cost Audit 2020-Curren'!$P:$P,'TB &amp; MCC Cost Audit 2020-Curren'!$C:$C,'MCC Margin Analysis'!$A$1,'TB &amp; MCC Cost Audit 2020-Curren'!$D:$D,'MCC Margin Analysis'!D$3,'TB &amp; MCC Cost Audit 2020-Curren'!$A:$A,'MCC Margin Analysis'!$B63)</f>
        <v>0</v>
      </c>
      <c r="E63" s="121">
        <f>SUMIFS('TB &amp; MCC Cost Audit 2020-Curren'!$P:$P,'TB &amp; MCC Cost Audit 2020-Curren'!$C:$C,'MCC Margin Analysis'!$A$1,'TB &amp; MCC Cost Audit 2020-Curren'!$D:$D,'MCC Margin Analysis'!E$3,'TB &amp; MCC Cost Audit 2020-Curren'!$A:$A,'MCC Margin Analysis'!$B63)</f>
        <v>0</v>
      </c>
      <c r="F63" s="121">
        <f>SUMIFS('TB &amp; MCC Cost Audit 2020-Curren'!$P:$P,'TB &amp; MCC Cost Audit 2020-Curren'!$C:$C,'MCC Margin Analysis'!$A$1,'TB &amp; MCC Cost Audit 2020-Curren'!$D:$D,'MCC Margin Analysis'!F$3,'TB &amp; MCC Cost Audit 2020-Curren'!$A:$A,'MCC Margin Analysis'!$B63)</f>
        <v>0</v>
      </c>
      <c r="G63" s="121">
        <f>SUMIFS('TB &amp; MCC Cost Audit 2020-Curren'!$P:$P,'TB &amp; MCC Cost Audit 2020-Curren'!$C:$C,'MCC Margin Analysis'!$A$1,'TB &amp; MCC Cost Audit 2020-Curren'!$D:$D,'MCC Margin Analysis'!G$3,'TB &amp; MCC Cost Audit 2020-Curren'!$A:$A,'MCC Margin Analysis'!$B63)</f>
        <v>0</v>
      </c>
      <c r="J63" s="121">
        <f>SUMIFS('TB &amp; MCC Cost Audit 2020-Curren'!$W:$W,'TB &amp; MCC Cost Audit 2020-Curren'!$C:$C,'MCC Margin Analysis'!$A$1,'TB &amp; MCC Cost Audit 2020-Curren'!$D:$D,'MCC Margin Analysis'!J$3,'TB &amp; MCC Cost Audit 2020-Curren'!$A:$A,'MCC Margin Analysis'!$B63)</f>
        <v>0</v>
      </c>
      <c r="K63" s="121">
        <f>SUMIFS('TB &amp; MCC Cost Audit 2020-Curren'!$W:$W,'TB &amp; MCC Cost Audit 2020-Curren'!$C:$C,'MCC Margin Analysis'!$A$1,'TB &amp; MCC Cost Audit 2020-Curren'!$D:$D,'MCC Margin Analysis'!K$3,'TB &amp; MCC Cost Audit 2020-Curren'!$A:$A,'MCC Margin Analysis'!$B63)</f>
        <v>0</v>
      </c>
      <c r="L63" s="121">
        <f>SUMIFS('TB &amp; MCC Cost Audit 2020-Curren'!$W:$W,'TB &amp; MCC Cost Audit 2020-Curren'!$C:$C,'MCC Margin Analysis'!$A$1,'TB &amp; MCC Cost Audit 2020-Curren'!$D:$D,'MCC Margin Analysis'!L$3,'TB &amp; MCC Cost Audit 2020-Curren'!$A:$A,'MCC Margin Analysis'!$B63)</f>
        <v>0</v>
      </c>
      <c r="M63" s="121">
        <f>SUMIFS('TB &amp; MCC Cost Audit 2020-Curren'!$W:$W,'TB &amp; MCC Cost Audit 2020-Curren'!$C:$C,'MCC Margin Analysis'!$A$1,'TB &amp; MCC Cost Audit 2020-Curren'!$D:$D,'MCC Margin Analysis'!M$3,'TB &amp; MCC Cost Audit 2020-Curren'!$A:$A,'MCC Margin Analysis'!$B63)</f>
        <v>0</v>
      </c>
      <c r="N63" s="121">
        <f>SUMIFS('TB &amp; MCC Cost Audit 2020-Curren'!$W:$W,'TB &amp; MCC Cost Audit 2020-Curren'!$C:$C,'MCC Margin Analysis'!$A$1,'TB &amp; MCC Cost Audit 2020-Curren'!$D:$D,'MCC Margin Analysis'!N$3,'TB &amp; MCC Cost Audit 2020-Curren'!$A:$A,'MCC Margin Analysis'!$B63)</f>
        <v>0</v>
      </c>
      <c r="Q63" s="119" t="str">
        <f t="shared" si="10"/>
        <v xml:space="preserve"> - </v>
      </c>
      <c r="R63" s="119" t="str">
        <f t="shared" si="11"/>
        <v xml:space="preserve"> - </v>
      </c>
      <c r="S63" s="119" t="str">
        <f t="shared" si="12"/>
        <v xml:space="preserve"> - </v>
      </c>
      <c r="T63" s="119" t="str">
        <f t="shared" si="13"/>
        <v xml:space="preserve"> - </v>
      </c>
      <c r="U63" s="119" t="str">
        <f t="shared" si="14"/>
        <v xml:space="preserve"> - </v>
      </c>
    </row>
    <row r="64" spans="2:21" x14ac:dyDescent="0.15">
      <c r="B64" s="54" t="s">
        <v>505</v>
      </c>
      <c r="C64" s="121">
        <f>SUMIFS('TB &amp; MCC Cost Audit 2020-Curren'!$P:$P,'TB &amp; MCC Cost Audit 2020-Curren'!$C:$C,'MCC Margin Analysis'!$A$1,'TB &amp; MCC Cost Audit 2020-Curren'!$D:$D,'MCC Margin Analysis'!C$3,'TB &amp; MCC Cost Audit 2020-Curren'!$A:$A,'MCC Margin Analysis'!$B64)</f>
        <v>0</v>
      </c>
      <c r="D64" s="121">
        <f>SUMIFS('TB &amp; MCC Cost Audit 2020-Curren'!$P:$P,'TB &amp; MCC Cost Audit 2020-Curren'!$C:$C,'MCC Margin Analysis'!$A$1,'TB &amp; MCC Cost Audit 2020-Curren'!$D:$D,'MCC Margin Analysis'!D$3,'TB &amp; MCC Cost Audit 2020-Curren'!$A:$A,'MCC Margin Analysis'!$B64)</f>
        <v>0</v>
      </c>
      <c r="E64" s="121">
        <f>SUMIFS('TB &amp; MCC Cost Audit 2020-Curren'!$P:$P,'TB &amp; MCC Cost Audit 2020-Curren'!$C:$C,'MCC Margin Analysis'!$A$1,'TB &amp; MCC Cost Audit 2020-Curren'!$D:$D,'MCC Margin Analysis'!E$3,'TB &amp; MCC Cost Audit 2020-Curren'!$A:$A,'MCC Margin Analysis'!$B64)</f>
        <v>0</v>
      </c>
      <c r="F64" s="121">
        <f>SUMIFS('TB &amp; MCC Cost Audit 2020-Curren'!$P:$P,'TB &amp; MCC Cost Audit 2020-Curren'!$C:$C,'MCC Margin Analysis'!$A$1,'TB &amp; MCC Cost Audit 2020-Curren'!$D:$D,'MCC Margin Analysis'!F$3,'TB &amp; MCC Cost Audit 2020-Curren'!$A:$A,'MCC Margin Analysis'!$B64)</f>
        <v>0</v>
      </c>
      <c r="G64" s="121">
        <f>SUMIFS('TB &amp; MCC Cost Audit 2020-Curren'!$P:$P,'TB &amp; MCC Cost Audit 2020-Curren'!$C:$C,'MCC Margin Analysis'!$A$1,'TB &amp; MCC Cost Audit 2020-Curren'!$D:$D,'MCC Margin Analysis'!G$3,'TB &amp; MCC Cost Audit 2020-Curren'!$A:$A,'MCC Margin Analysis'!$B64)</f>
        <v>0</v>
      </c>
      <c r="J64" s="121">
        <f>SUMIFS('TB &amp; MCC Cost Audit 2020-Curren'!$W:$W,'TB &amp; MCC Cost Audit 2020-Curren'!$C:$C,'MCC Margin Analysis'!$A$1,'TB &amp; MCC Cost Audit 2020-Curren'!$D:$D,'MCC Margin Analysis'!J$3,'TB &amp; MCC Cost Audit 2020-Curren'!$A:$A,'MCC Margin Analysis'!$B64)</f>
        <v>0</v>
      </c>
      <c r="K64" s="121">
        <f>SUMIFS('TB &amp; MCC Cost Audit 2020-Curren'!$W:$W,'TB &amp; MCC Cost Audit 2020-Curren'!$C:$C,'MCC Margin Analysis'!$A$1,'TB &amp; MCC Cost Audit 2020-Curren'!$D:$D,'MCC Margin Analysis'!K$3,'TB &amp; MCC Cost Audit 2020-Curren'!$A:$A,'MCC Margin Analysis'!$B64)</f>
        <v>0</v>
      </c>
      <c r="L64" s="121">
        <f>SUMIFS('TB &amp; MCC Cost Audit 2020-Curren'!$W:$W,'TB &amp; MCC Cost Audit 2020-Curren'!$C:$C,'MCC Margin Analysis'!$A$1,'TB &amp; MCC Cost Audit 2020-Curren'!$D:$D,'MCC Margin Analysis'!L$3,'TB &amp; MCC Cost Audit 2020-Curren'!$A:$A,'MCC Margin Analysis'!$B64)</f>
        <v>0</v>
      </c>
      <c r="M64" s="121">
        <f>SUMIFS('TB &amp; MCC Cost Audit 2020-Curren'!$W:$W,'TB &amp; MCC Cost Audit 2020-Curren'!$C:$C,'MCC Margin Analysis'!$A$1,'TB &amp; MCC Cost Audit 2020-Curren'!$D:$D,'MCC Margin Analysis'!M$3,'TB &amp; MCC Cost Audit 2020-Curren'!$A:$A,'MCC Margin Analysis'!$B64)</f>
        <v>0</v>
      </c>
      <c r="N64" s="121">
        <f>SUMIFS('TB &amp; MCC Cost Audit 2020-Curren'!$W:$W,'TB &amp; MCC Cost Audit 2020-Curren'!$C:$C,'MCC Margin Analysis'!$A$1,'TB &amp; MCC Cost Audit 2020-Curren'!$D:$D,'MCC Margin Analysis'!N$3,'TB &amp; MCC Cost Audit 2020-Curren'!$A:$A,'MCC Margin Analysis'!$B64)</f>
        <v>0</v>
      </c>
      <c r="Q64" s="119" t="str">
        <f t="shared" si="10"/>
        <v xml:space="preserve"> - </v>
      </c>
      <c r="R64" s="119" t="str">
        <f t="shared" si="11"/>
        <v xml:space="preserve"> - </v>
      </c>
      <c r="S64" s="119" t="str">
        <f t="shared" si="12"/>
        <v xml:space="preserve"> - </v>
      </c>
      <c r="T64" s="119" t="str">
        <f t="shared" si="13"/>
        <v xml:space="preserve"> - </v>
      </c>
      <c r="U64" s="119" t="str">
        <f t="shared" si="14"/>
        <v xml:space="preserve"> - </v>
      </c>
    </row>
    <row r="65" spans="2:21" x14ac:dyDescent="0.15">
      <c r="B65" s="54" t="s">
        <v>239</v>
      </c>
      <c r="C65" s="121">
        <f>SUMIFS('TB &amp; MCC Cost Audit 2020-Curren'!$P:$P,'TB &amp; MCC Cost Audit 2020-Curren'!$C:$C,'MCC Margin Analysis'!$A$1,'TB &amp; MCC Cost Audit 2020-Curren'!$D:$D,'MCC Margin Analysis'!C$3,'TB &amp; MCC Cost Audit 2020-Curren'!$A:$A,'MCC Margin Analysis'!$B65)</f>
        <v>0</v>
      </c>
      <c r="D65" s="121">
        <f>SUMIFS('TB &amp; MCC Cost Audit 2020-Curren'!$P:$P,'TB &amp; MCC Cost Audit 2020-Curren'!$C:$C,'MCC Margin Analysis'!$A$1,'TB &amp; MCC Cost Audit 2020-Curren'!$D:$D,'MCC Margin Analysis'!D$3,'TB &amp; MCC Cost Audit 2020-Curren'!$A:$A,'MCC Margin Analysis'!$B65)</f>
        <v>10572</v>
      </c>
      <c r="E65" s="121">
        <f>SUMIFS('TB &amp; MCC Cost Audit 2020-Curren'!$P:$P,'TB &amp; MCC Cost Audit 2020-Curren'!$C:$C,'MCC Margin Analysis'!$A$1,'TB &amp; MCC Cost Audit 2020-Curren'!$D:$D,'MCC Margin Analysis'!E$3,'TB &amp; MCC Cost Audit 2020-Curren'!$A:$A,'MCC Margin Analysis'!$B65)</f>
        <v>11101</v>
      </c>
      <c r="F65" s="121">
        <f>SUMIFS('TB &amp; MCC Cost Audit 2020-Curren'!$P:$P,'TB &amp; MCC Cost Audit 2020-Curren'!$C:$C,'MCC Margin Analysis'!$A$1,'TB &amp; MCC Cost Audit 2020-Curren'!$D:$D,'MCC Margin Analysis'!F$3,'TB &amp; MCC Cost Audit 2020-Curren'!$A:$A,'MCC Margin Analysis'!$B65)</f>
        <v>12218</v>
      </c>
      <c r="G65" s="121">
        <f>SUMIFS('TB &amp; MCC Cost Audit 2020-Curren'!$P:$P,'TB &amp; MCC Cost Audit 2020-Curren'!$C:$C,'MCC Margin Analysis'!$A$1,'TB &amp; MCC Cost Audit 2020-Curren'!$D:$D,'MCC Margin Analysis'!G$3,'TB &amp; MCC Cost Audit 2020-Curren'!$A:$A,'MCC Margin Analysis'!$B65)</f>
        <v>13135</v>
      </c>
      <c r="J65" s="121">
        <f>SUMIFS('TB &amp; MCC Cost Audit 2020-Curren'!$W:$W,'TB &amp; MCC Cost Audit 2020-Curren'!$C:$C,'MCC Margin Analysis'!$A$1,'TB &amp; MCC Cost Audit 2020-Curren'!$D:$D,'MCC Margin Analysis'!J$3,'TB &amp; MCC Cost Audit 2020-Curren'!$A:$A,'MCC Margin Analysis'!$B65)</f>
        <v>0</v>
      </c>
      <c r="K65" s="121">
        <f>SUMIFS('TB &amp; MCC Cost Audit 2020-Curren'!$W:$W,'TB &amp; MCC Cost Audit 2020-Curren'!$C:$C,'MCC Margin Analysis'!$A$1,'TB &amp; MCC Cost Audit 2020-Curren'!$D:$D,'MCC Margin Analysis'!K$3,'TB &amp; MCC Cost Audit 2020-Curren'!$A:$A,'MCC Margin Analysis'!$B65)</f>
        <v>4265.5200000000004</v>
      </c>
      <c r="L65" s="121">
        <f>SUMIFS('TB &amp; MCC Cost Audit 2020-Curren'!$W:$W,'TB &amp; MCC Cost Audit 2020-Curren'!$C:$C,'MCC Margin Analysis'!$A$1,'TB &amp; MCC Cost Audit 2020-Curren'!$D:$D,'MCC Margin Analysis'!L$3,'TB &amp; MCC Cost Audit 2020-Curren'!$A:$A,'MCC Margin Analysis'!$B65)</f>
        <v>4139.5200000000004</v>
      </c>
      <c r="M65" s="121">
        <f>SUMIFS('TB &amp; MCC Cost Audit 2020-Curren'!$W:$W,'TB &amp; MCC Cost Audit 2020-Curren'!$C:$C,'MCC Margin Analysis'!$A$1,'TB &amp; MCC Cost Audit 2020-Curren'!$D:$D,'MCC Margin Analysis'!M$3,'TB &amp; MCC Cost Audit 2020-Curren'!$A:$A,'MCC Margin Analysis'!$B65)</f>
        <v>2479.6999999999998</v>
      </c>
      <c r="N65" s="121">
        <f>SUMIFS('TB &amp; MCC Cost Audit 2020-Curren'!$W:$W,'TB &amp; MCC Cost Audit 2020-Curren'!$C:$C,'MCC Margin Analysis'!$A$1,'TB &amp; MCC Cost Audit 2020-Curren'!$D:$D,'MCC Margin Analysis'!N$3,'TB &amp; MCC Cost Audit 2020-Curren'!$A:$A,'MCC Margin Analysis'!$B65)</f>
        <v>3448.9399999999996</v>
      </c>
      <c r="Q65" s="119" t="str">
        <f t="shared" si="10"/>
        <v xml:space="preserve"> - </v>
      </c>
      <c r="R65" s="119">
        <f t="shared" si="11"/>
        <v>0.5965266742338251</v>
      </c>
      <c r="S65" s="119">
        <f t="shared" si="12"/>
        <v>0.62710386451671019</v>
      </c>
      <c r="T65" s="119">
        <f t="shared" si="13"/>
        <v>0.79704534293665075</v>
      </c>
      <c r="U65" s="119">
        <f t="shared" si="14"/>
        <v>0.73742367719832513</v>
      </c>
    </row>
    <row r="66" spans="2:21" x14ac:dyDescent="0.15">
      <c r="B66" s="54" t="s">
        <v>911</v>
      </c>
      <c r="C66" s="121">
        <f>SUMIFS('TB &amp; MCC Cost Audit 2020-Curren'!$P:$P,'TB &amp; MCC Cost Audit 2020-Curren'!$C:$C,'MCC Margin Analysis'!$A$1,'TB &amp; MCC Cost Audit 2020-Curren'!$D:$D,'MCC Margin Analysis'!C$3,'TB &amp; MCC Cost Audit 2020-Curren'!$A:$A,'MCC Margin Analysis'!$B66)</f>
        <v>0</v>
      </c>
      <c r="D66" s="121">
        <f>SUMIFS('TB &amp; MCC Cost Audit 2020-Curren'!$P:$P,'TB &amp; MCC Cost Audit 2020-Curren'!$C:$C,'MCC Margin Analysis'!$A$1,'TB &amp; MCC Cost Audit 2020-Curren'!$D:$D,'MCC Margin Analysis'!D$3,'TB &amp; MCC Cost Audit 2020-Curren'!$A:$A,'MCC Margin Analysis'!$B66)</f>
        <v>0</v>
      </c>
      <c r="E66" s="121">
        <f>SUMIFS('TB &amp; MCC Cost Audit 2020-Curren'!$P:$P,'TB &amp; MCC Cost Audit 2020-Curren'!$C:$C,'MCC Margin Analysis'!$A$1,'TB &amp; MCC Cost Audit 2020-Curren'!$D:$D,'MCC Margin Analysis'!E$3,'TB &amp; MCC Cost Audit 2020-Curren'!$A:$A,'MCC Margin Analysis'!$B66)</f>
        <v>0</v>
      </c>
      <c r="F66" s="121">
        <f>SUMIFS('TB &amp; MCC Cost Audit 2020-Curren'!$P:$P,'TB &amp; MCC Cost Audit 2020-Curren'!$C:$C,'MCC Margin Analysis'!$A$1,'TB &amp; MCC Cost Audit 2020-Curren'!$D:$D,'MCC Margin Analysis'!F$3,'TB &amp; MCC Cost Audit 2020-Curren'!$A:$A,'MCC Margin Analysis'!$B66)</f>
        <v>0</v>
      </c>
      <c r="G66" s="121">
        <f>SUMIFS('TB &amp; MCC Cost Audit 2020-Curren'!$P:$P,'TB &amp; MCC Cost Audit 2020-Curren'!$C:$C,'MCC Margin Analysis'!$A$1,'TB &amp; MCC Cost Audit 2020-Curren'!$D:$D,'MCC Margin Analysis'!G$3,'TB &amp; MCC Cost Audit 2020-Curren'!$A:$A,'MCC Margin Analysis'!$B66)</f>
        <v>47989.5</v>
      </c>
      <c r="J66" s="121">
        <f>SUMIFS('TB &amp; MCC Cost Audit 2020-Curren'!$W:$W,'TB &amp; MCC Cost Audit 2020-Curren'!$C:$C,'MCC Margin Analysis'!$A$1,'TB &amp; MCC Cost Audit 2020-Curren'!$D:$D,'MCC Margin Analysis'!J$3,'TB &amp; MCC Cost Audit 2020-Curren'!$A:$A,'MCC Margin Analysis'!$B66)</f>
        <v>0</v>
      </c>
      <c r="K66" s="121">
        <f>SUMIFS('TB &amp; MCC Cost Audit 2020-Curren'!$W:$W,'TB &amp; MCC Cost Audit 2020-Curren'!$C:$C,'MCC Margin Analysis'!$A$1,'TB &amp; MCC Cost Audit 2020-Curren'!$D:$D,'MCC Margin Analysis'!K$3,'TB &amp; MCC Cost Audit 2020-Curren'!$A:$A,'MCC Margin Analysis'!$B66)</f>
        <v>0</v>
      </c>
      <c r="L66" s="121">
        <f>SUMIFS('TB &amp; MCC Cost Audit 2020-Curren'!$W:$W,'TB &amp; MCC Cost Audit 2020-Curren'!$C:$C,'MCC Margin Analysis'!$A$1,'TB &amp; MCC Cost Audit 2020-Curren'!$D:$D,'MCC Margin Analysis'!L$3,'TB &amp; MCC Cost Audit 2020-Curren'!$A:$A,'MCC Margin Analysis'!$B66)</f>
        <v>0</v>
      </c>
      <c r="M66" s="121">
        <f>SUMIFS('TB &amp; MCC Cost Audit 2020-Curren'!$W:$W,'TB &amp; MCC Cost Audit 2020-Curren'!$C:$C,'MCC Margin Analysis'!$A$1,'TB &amp; MCC Cost Audit 2020-Curren'!$D:$D,'MCC Margin Analysis'!M$3,'TB &amp; MCC Cost Audit 2020-Curren'!$A:$A,'MCC Margin Analysis'!$B66)</f>
        <v>0</v>
      </c>
      <c r="N66" s="121">
        <f>SUMIFS('TB &amp; MCC Cost Audit 2020-Curren'!$W:$W,'TB &amp; MCC Cost Audit 2020-Curren'!$C:$C,'MCC Margin Analysis'!$A$1,'TB &amp; MCC Cost Audit 2020-Curren'!$D:$D,'MCC Margin Analysis'!N$3,'TB &amp; MCC Cost Audit 2020-Curren'!$A:$A,'MCC Margin Analysis'!$B66)</f>
        <v>3167.58</v>
      </c>
      <c r="Q66" s="119" t="str">
        <f t="shared" ref="Q66" si="15">IFERROR((C66-J66)/C66," - ")</f>
        <v xml:space="preserve"> - </v>
      </c>
      <c r="R66" s="119" t="str">
        <f t="shared" ref="R66" si="16">IFERROR((D66-K66)/D66," - ")</f>
        <v xml:space="preserve"> - </v>
      </c>
      <c r="S66" s="119" t="str">
        <f t="shared" ref="S66" si="17">IFERROR((E66-L66)/E66," - ")</f>
        <v xml:space="preserve"> - </v>
      </c>
      <c r="T66" s="119" t="str">
        <f t="shared" ref="T66" si="18">IFERROR((F66-M66)/F66," - ")</f>
        <v xml:space="preserve"> - </v>
      </c>
      <c r="U66" s="119">
        <f t="shared" ref="U66" si="19">IFERROR((G66-N66)/G66," - ")</f>
        <v>0.93399431125558707</v>
      </c>
    </row>
    <row r="67" spans="2:21" x14ac:dyDescent="0.15">
      <c r="B67" s="54" t="s">
        <v>420</v>
      </c>
      <c r="C67" s="121">
        <f>SUMIFS('TB &amp; MCC Cost Audit 2020-Curren'!$P:$P,'TB &amp; MCC Cost Audit 2020-Curren'!$C:$C,'MCC Margin Analysis'!$A$1,'TB &amp; MCC Cost Audit 2020-Curren'!$D:$D,'MCC Margin Analysis'!C$3,'TB &amp; MCC Cost Audit 2020-Curren'!$A:$A,'MCC Margin Analysis'!$B67)</f>
        <v>0</v>
      </c>
      <c r="D67" s="121">
        <f>SUMIFS('TB &amp; MCC Cost Audit 2020-Curren'!$P:$P,'TB &amp; MCC Cost Audit 2020-Curren'!$C:$C,'MCC Margin Analysis'!$A$1,'TB &amp; MCC Cost Audit 2020-Curren'!$D:$D,'MCC Margin Analysis'!D$3,'TB &amp; MCC Cost Audit 2020-Curren'!$A:$A,'MCC Margin Analysis'!$B67)</f>
        <v>19860.61</v>
      </c>
      <c r="E67" s="121">
        <f>SUMIFS('TB &amp; MCC Cost Audit 2020-Curren'!$P:$P,'TB &amp; MCC Cost Audit 2020-Curren'!$C:$C,'MCC Margin Analysis'!$A$1,'TB &amp; MCC Cost Audit 2020-Curren'!$D:$D,'MCC Margin Analysis'!E$3,'TB &amp; MCC Cost Audit 2020-Curren'!$A:$A,'MCC Margin Analysis'!$B67)</f>
        <v>26748</v>
      </c>
      <c r="F67" s="121">
        <f>SUMIFS('TB &amp; MCC Cost Audit 2020-Curren'!$P:$P,'TB &amp; MCC Cost Audit 2020-Curren'!$C:$C,'MCC Margin Analysis'!$A$1,'TB &amp; MCC Cost Audit 2020-Curren'!$D:$D,'MCC Margin Analysis'!F$3,'TB &amp; MCC Cost Audit 2020-Curren'!$A:$A,'MCC Margin Analysis'!$B67)</f>
        <v>29439</v>
      </c>
      <c r="G67" s="121">
        <f>SUMIFS('TB &amp; MCC Cost Audit 2020-Curren'!$P:$P,'TB &amp; MCC Cost Audit 2020-Curren'!$C:$C,'MCC Margin Analysis'!$A$1,'TB &amp; MCC Cost Audit 2020-Curren'!$D:$D,'MCC Margin Analysis'!G$3,'TB &amp; MCC Cost Audit 2020-Curren'!$A:$A,'MCC Margin Analysis'!$B67)</f>
        <v>31648</v>
      </c>
      <c r="J67" s="121">
        <f>SUMIFS('TB &amp; MCC Cost Audit 2020-Curren'!$W:$W,'TB &amp; MCC Cost Audit 2020-Curren'!$C:$C,'MCC Margin Analysis'!$A$1,'TB &amp; MCC Cost Audit 2020-Curren'!$D:$D,'MCC Margin Analysis'!J$3,'TB &amp; MCC Cost Audit 2020-Curren'!$A:$A,'MCC Margin Analysis'!$B67)</f>
        <v>0</v>
      </c>
      <c r="K67" s="121">
        <f>SUMIFS('TB &amp; MCC Cost Audit 2020-Curren'!$W:$W,'TB &amp; MCC Cost Audit 2020-Curren'!$C:$C,'MCC Margin Analysis'!$A$1,'TB &amp; MCC Cost Audit 2020-Curren'!$D:$D,'MCC Margin Analysis'!K$3,'TB &amp; MCC Cost Audit 2020-Curren'!$A:$A,'MCC Margin Analysis'!$B67)</f>
        <v>5093.53</v>
      </c>
      <c r="L67" s="121">
        <f>SUMIFS('TB &amp; MCC Cost Audit 2020-Curren'!$W:$W,'TB &amp; MCC Cost Audit 2020-Curren'!$C:$C,'MCC Margin Analysis'!$A$1,'TB &amp; MCC Cost Audit 2020-Curren'!$D:$D,'MCC Margin Analysis'!L$3,'TB &amp; MCC Cost Audit 2020-Curren'!$A:$A,'MCC Margin Analysis'!$B67)</f>
        <v>4811.91</v>
      </c>
      <c r="M67" s="121">
        <f>SUMIFS('TB &amp; MCC Cost Audit 2020-Curren'!$W:$W,'TB &amp; MCC Cost Audit 2020-Curren'!$C:$C,'MCC Margin Analysis'!$A$1,'TB &amp; MCC Cost Audit 2020-Curren'!$D:$D,'MCC Margin Analysis'!M$3,'TB &amp; MCC Cost Audit 2020-Curren'!$A:$A,'MCC Margin Analysis'!$B67)</f>
        <v>5227.8799999999992</v>
      </c>
      <c r="N67" s="121">
        <f>SUMIFS('TB &amp; MCC Cost Audit 2020-Curren'!$W:$W,'TB &amp; MCC Cost Audit 2020-Curren'!$C:$C,'MCC Margin Analysis'!$A$1,'TB &amp; MCC Cost Audit 2020-Curren'!$D:$D,'MCC Margin Analysis'!N$3,'TB &amp; MCC Cost Audit 2020-Curren'!$A:$A,'MCC Margin Analysis'!$B67)</f>
        <v>4886.3899999999994</v>
      </c>
      <c r="Q67" s="119" t="str">
        <f t="shared" si="10"/>
        <v xml:space="preserve"> - </v>
      </c>
      <c r="R67" s="119">
        <f t="shared" si="11"/>
        <v>0.74353607467242955</v>
      </c>
      <c r="S67" s="119">
        <f t="shared" si="12"/>
        <v>0.8201020637056976</v>
      </c>
      <c r="T67" s="119">
        <f t="shared" si="13"/>
        <v>0.82241652230035001</v>
      </c>
      <c r="U67" s="119">
        <f t="shared" si="14"/>
        <v>0.8456019337714864</v>
      </c>
    </row>
    <row r="68" spans="2:21" x14ac:dyDescent="0.15">
      <c r="B68" s="54" t="s">
        <v>214</v>
      </c>
      <c r="C68" s="121">
        <f>SUMIFS('TB &amp; MCC Cost Audit 2020-Curren'!$P:$P,'TB &amp; MCC Cost Audit 2020-Curren'!$C:$C,'MCC Margin Analysis'!$A$1,'TB &amp; MCC Cost Audit 2020-Curren'!$D:$D,'MCC Margin Analysis'!C$3,'TB &amp; MCC Cost Audit 2020-Curren'!$A:$A,'MCC Margin Analysis'!$B68)</f>
        <v>18653</v>
      </c>
      <c r="D68" s="121">
        <f>SUMIFS('TB &amp; MCC Cost Audit 2020-Curren'!$P:$P,'TB &amp; MCC Cost Audit 2020-Curren'!$C:$C,'MCC Margin Analysis'!$A$1,'TB &amp; MCC Cost Audit 2020-Curren'!$D:$D,'MCC Margin Analysis'!D$3,'TB &amp; MCC Cost Audit 2020-Curren'!$A:$A,'MCC Margin Analysis'!$B68)</f>
        <v>0</v>
      </c>
      <c r="E68" s="121">
        <f>SUMIFS('TB &amp; MCC Cost Audit 2020-Curren'!$P:$P,'TB &amp; MCC Cost Audit 2020-Curren'!$C:$C,'MCC Margin Analysis'!$A$1,'TB &amp; MCC Cost Audit 2020-Curren'!$D:$D,'MCC Margin Analysis'!E$3,'TB &amp; MCC Cost Audit 2020-Curren'!$A:$A,'MCC Margin Analysis'!$B68)</f>
        <v>0</v>
      </c>
      <c r="F68" s="121">
        <f>SUMIFS('TB &amp; MCC Cost Audit 2020-Curren'!$P:$P,'TB &amp; MCC Cost Audit 2020-Curren'!$C:$C,'MCC Margin Analysis'!$A$1,'TB &amp; MCC Cost Audit 2020-Curren'!$D:$D,'MCC Margin Analysis'!F$3,'TB &amp; MCC Cost Audit 2020-Curren'!$A:$A,'MCC Margin Analysis'!$B68)</f>
        <v>8865</v>
      </c>
      <c r="G68" s="121">
        <f>SUMIFS('TB &amp; MCC Cost Audit 2020-Curren'!$P:$P,'TB &amp; MCC Cost Audit 2020-Curren'!$C:$C,'MCC Margin Analysis'!$A$1,'TB &amp; MCC Cost Audit 2020-Curren'!$D:$D,'MCC Margin Analysis'!G$3,'TB &amp; MCC Cost Audit 2020-Curren'!$A:$A,'MCC Margin Analysis'!$B68)</f>
        <v>0</v>
      </c>
      <c r="J68" s="121">
        <f>SUMIFS('TB &amp; MCC Cost Audit 2020-Curren'!$W:$W,'TB &amp; MCC Cost Audit 2020-Curren'!$C:$C,'MCC Margin Analysis'!$A$1,'TB &amp; MCC Cost Audit 2020-Curren'!$D:$D,'MCC Margin Analysis'!J$3,'TB &amp; MCC Cost Audit 2020-Curren'!$A:$A,'MCC Margin Analysis'!$B68)</f>
        <v>8584.5099999999984</v>
      </c>
      <c r="K68" s="121">
        <f>SUMIFS('TB &amp; MCC Cost Audit 2020-Curren'!$W:$W,'TB &amp; MCC Cost Audit 2020-Curren'!$C:$C,'MCC Margin Analysis'!$A$1,'TB &amp; MCC Cost Audit 2020-Curren'!$D:$D,'MCC Margin Analysis'!K$3,'TB &amp; MCC Cost Audit 2020-Curren'!$A:$A,'MCC Margin Analysis'!$B68)</f>
        <v>0</v>
      </c>
      <c r="L68" s="121">
        <f>SUMIFS('TB &amp; MCC Cost Audit 2020-Curren'!$W:$W,'TB &amp; MCC Cost Audit 2020-Curren'!$C:$C,'MCC Margin Analysis'!$A$1,'TB &amp; MCC Cost Audit 2020-Curren'!$D:$D,'MCC Margin Analysis'!L$3,'TB &amp; MCC Cost Audit 2020-Curren'!$A:$A,'MCC Margin Analysis'!$B68)</f>
        <v>0</v>
      </c>
      <c r="M68" s="121">
        <f>SUMIFS('TB &amp; MCC Cost Audit 2020-Curren'!$W:$W,'TB &amp; MCC Cost Audit 2020-Curren'!$C:$C,'MCC Margin Analysis'!$A$1,'TB &amp; MCC Cost Audit 2020-Curren'!$D:$D,'MCC Margin Analysis'!M$3,'TB &amp; MCC Cost Audit 2020-Curren'!$A:$A,'MCC Margin Analysis'!$B68)</f>
        <v>2721.29</v>
      </c>
      <c r="N68" s="121">
        <f>SUMIFS('TB &amp; MCC Cost Audit 2020-Curren'!$W:$W,'TB &amp; MCC Cost Audit 2020-Curren'!$C:$C,'MCC Margin Analysis'!$A$1,'TB &amp; MCC Cost Audit 2020-Curren'!$D:$D,'MCC Margin Analysis'!N$3,'TB &amp; MCC Cost Audit 2020-Curren'!$A:$A,'MCC Margin Analysis'!$B68)</f>
        <v>0</v>
      </c>
      <c r="Q68" s="119">
        <f t="shared" si="10"/>
        <v>0.53977858789470867</v>
      </c>
      <c r="R68" s="119" t="str">
        <f t="shared" si="11"/>
        <v xml:space="preserve"> - </v>
      </c>
      <c r="S68" s="119" t="str">
        <f t="shared" si="12"/>
        <v xml:space="preserve"> - </v>
      </c>
      <c r="T68" s="119">
        <f t="shared" si="13"/>
        <v>0.69302989283699945</v>
      </c>
      <c r="U68" s="119" t="str">
        <f t="shared" si="14"/>
        <v xml:space="preserve"> - </v>
      </c>
    </row>
    <row r="69" spans="2:21" x14ac:dyDescent="0.15">
      <c r="B69" s="54" t="s">
        <v>194</v>
      </c>
      <c r="C69" s="121">
        <f>SUMIFS('TB &amp; MCC Cost Audit 2020-Curren'!$P:$P,'TB &amp; MCC Cost Audit 2020-Curren'!$C:$C,'MCC Margin Analysis'!$A$1,'TB &amp; MCC Cost Audit 2020-Curren'!$D:$D,'MCC Margin Analysis'!C$3,'TB &amp; MCC Cost Audit 2020-Curren'!$A:$A,'MCC Margin Analysis'!$B69)</f>
        <v>19837.5</v>
      </c>
      <c r="D69" s="121">
        <f>SUMIFS('TB &amp; MCC Cost Audit 2020-Curren'!$P:$P,'TB &amp; MCC Cost Audit 2020-Curren'!$C:$C,'MCC Margin Analysis'!$A$1,'TB &amp; MCC Cost Audit 2020-Curren'!$D:$D,'MCC Margin Analysis'!D$3,'TB &amp; MCC Cost Audit 2020-Curren'!$A:$A,'MCC Margin Analysis'!$B69)</f>
        <v>20829</v>
      </c>
      <c r="E69" s="121">
        <f>SUMIFS('TB &amp; MCC Cost Audit 2020-Curren'!$P:$P,'TB &amp; MCC Cost Audit 2020-Curren'!$C:$C,'MCC Margin Analysis'!$A$1,'TB &amp; MCC Cost Audit 2020-Curren'!$D:$D,'MCC Margin Analysis'!E$3,'TB &amp; MCC Cost Audit 2020-Curren'!$A:$A,'MCC Margin Analysis'!$B69)</f>
        <v>21870</v>
      </c>
      <c r="F69" s="121">
        <f>SUMIFS('TB &amp; MCC Cost Audit 2020-Curren'!$P:$P,'TB &amp; MCC Cost Audit 2020-Curren'!$C:$C,'MCC Margin Analysis'!$A$1,'TB &amp; MCC Cost Audit 2020-Curren'!$D:$D,'MCC Margin Analysis'!F$3,'TB &amp; MCC Cost Audit 2020-Curren'!$A:$A,'MCC Margin Analysis'!$B69)</f>
        <v>22526</v>
      </c>
      <c r="G69" s="121">
        <f>SUMIFS('TB &amp; MCC Cost Audit 2020-Curren'!$P:$P,'TB &amp; MCC Cost Audit 2020-Curren'!$C:$C,'MCC Margin Analysis'!$A$1,'TB &amp; MCC Cost Audit 2020-Curren'!$D:$D,'MCC Margin Analysis'!G$3,'TB &amp; MCC Cost Audit 2020-Curren'!$A:$A,'MCC Margin Analysis'!$B69)</f>
        <v>23202</v>
      </c>
      <c r="J69" s="121">
        <f>SUMIFS('TB &amp; MCC Cost Audit 2020-Curren'!$W:$W,'TB &amp; MCC Cost Audit 2020-Curren'!$C:$C,'MCC Margin Analysis'!$A$1,'TB &amp; MCC Cost Audit 2020-Curren'!$D:$D,'MCC Margin Analysis'!J$3,'TB &amp; MCC Cost Audit 2020-Curren'!$A:$A,'MCC Margin Analysis'!$B69)</f>
        <v>5251.79</v>
      </c>
      <c r="K69" s="121">
        <f>SUMIFS('TB &amp; MCC Cost Audit 2020-Curren'!$W:$W,'TB &amp; MCC Cost Audit 2020-Curren'!$C:$C,'MCC Margin Analysis'!$A$1,'TB &amp; MCC Cost Audit 2020-Curren'!$D:$D,'MCC Margin Analysis'!K$3,'TB &amp; MCC Cost Audit 2020-Curren'!$A:$A,'MCC Margin Analysis'!$B69)</f>
        <v>2862.96</v>
      </c>
      <c r="L69" s="121">
        <f>SUMIFS('TB &amp; MCC Cost Audit 2020-Curren'!$W:$W,'TB &amp; MCC Cost Audit 2020-Curren'!$C:$C,'MCC Margin Analysis'!$A$1,'TB &amp; MCC Cost Audit 2020-Curren'!$D:$D,'MCC Margin Analysis'!L$3,'TB &amp; MCC Cost Audit 2020-Curren'!$A:$A,'MCC Margin Analysis'!$B69)</f>
        <v>4952.6900000000005</v>
      </c>
      <c r="M69" s="121">
        <f>SUMIFS('TB &amp; MCC Cost Audit 2020-Curren'!$W:$W,'TB &amp; MCC Cost Audit 2020-Curren'!$C:$C,'MCC Margin Analysis'!$A$1,'TB &amp; MCC Cost Audit 2020-Curren'!$D:$D,'MCC Margin Analysis'!M$3,'TB &amp; MCC Cost Audit 2020-Curren'!$A:$A,'MCC Margin Analysis'!$B69)</f>
        <v>3355.2200000000003</v>
      </c>
      <c r="N69" s="121">
        <f>SUMIFS('TB &amp; MCC Cost Audit 2020-Curren'!$W:$W,'TB &amp; MCC Cost Audit 2020-Curren'!$C:$C,'MCC Margin Analysis'!$A$1,'TB &amp; MCC Cost Audit 2020-Curren'!$D:$D,'MCC Margin Analysis'!N$3,'TB &amp; MCC Cost Audit 2020-Curren'!$A:$A,'MCC Margin Analysis'!$B69)</f>
        <v>3547.05</v>
      </c>
      <c r="Q69" s="119">
        <f t="shared" ref="Q69:Q96" si="20">IFERROR((C69-J69)/C69," - ")</f>
        <v>0.73525948330182733</v>
      </c>
      <c r="R69" s="119">
        <f t="shared" ref="R69:R96" si="21">IFERROR((D69-K69)/D69," - ")</f>
        <v>0.86254933026069425</v>
      </c>
      <c r="S69" s="119">
        <f t="shared" ref="S69:S96" si="22">IFERROR((E69-L69)/E69," - ")</f>
        <v>0.77353955189757651</v>
      </c>
      <c r="T69" s="119">
        <f t="shared" ref="T69:T96" si="23">IFERROR((F69-M69)/F69," - ")</f>
        <v>0.8510512296901358</v>
      </c>
      <c r="U69" s="119">
        <f t="shared" ref="U69:U96" si="24">IFERROR((G69-N69)/G69," - ")</f>
        <v>0.84712309283682441</v>
      </c>
    </row>
    <row r="70" spans="2:21" x14ac:dyDescent="0.15">
      <c r="B70" s="54" t="s">
        <v>425</v>
      </c>
      <c r="C70" s="121">
        <f>SUMIFS('TB &amp; MCC Cost Audit 2020-Curren'!$P:$P,'TB &amp; MCC Cost Audit 2020-Curren'!$C:$C,'MCC Margin Analysis'!$A$1,'TB &amp; MCC Cost Audit 2020-Curren'!$D:$D,'MCC Margin Analysis'!C$3,'TB &amp; MCC Cost Audit 2020-Curren'!$A:$A,'MCC Margin Analysis'!$B70)</f>
        <v>0</v>
      </c>
      <c r="D70" s="121">
        <f>SUMIFS('TB &amp; MCC Cost Audit 2020-Curren'!$P:$P,'TB &amp; MCC Cost Audit 2020-Curren'!$C:$C,'MCC Margin Analysis'!$A$1,'TB &amp; MCC Cost Audit 2020-Curren'!$D:$D,'MCC Margin Analysis'!D$3,'TB &amp; MCC Cost Audit 2020-Curren'!$A:$A,'MCC Margin Analysis'!$B70)</f>
        <v>0</v>
      </c>
      <c r="E70" s="121">
        <f>SUMIFS('TB &amp; MCC Cost Audit 2020-Curren'!$P:$P,'TB &amp; MCC Cost Audit 2020-Curren'!$C:$C,'MCC Margin Analysis'!$A$1,'TB &amp; MCC Cost Audit 2020-Curren'!$D:$D,'MCC Margin Analysis'!E$3,'TB &amp; MCC Cost Audit 2020-Curren'!$A:$A,'MCC Margin Analysis'!$B70)</f>
        <v>0</v>
      </c>
      <c r="F70" s="121">
        <f>SUMIFS('TB &amp; MCC Cost Audit 2020-Curren'!$P:$P,'TB &amp; MCC Cost Audit 2020-Curren'!$C:$C,'MCC Margin Analysis'!$A$1,'TB &amp; MCC Cost Audit 2020-Curren'!$D:$D,'MCC Margin Analysis'!F$3,'TB &amp; MCC Cost Audit 2020-Curren'!$A:$A,'MCC Margin Analysis'!$B70)</f>
        <v>0</v>
      </c>
      <c r="G70" s="121">
        <f>SUMIFS('TB &amp; MCC Cost Audit 2020-Curren'!$P:$P,'TB &amp; MCC Cost Audit 2020-Curren'!$C:$C,'MCC Margin Analysis'!$A$1,'TB &amp; MCC Cost Audit 2020-Curren'!$D:$D,'MCC Margin Analysis'!G$3,'TB &amp; MCC Cost Audit 2020-Curren'!$A:$A,'MCC Margin Analysis'!$B70)</f>
        <v>0</v>
      </c>
      <c r="J70" s="121">
        <f>SUMIFS('TB &amp; MCC Cost Audit 2020-Curren'!$W:$W,'TB &amp; MCC Cost Audit 2020-Curren'!$C:$C,'MCC Margin Analysis'!$A$1,'TB &amp; MCC Cost Audit 2020-Curren'!$D:$D,'MCC Margin Analysis'!J$3,'TB &amp; MCC Cost Audit 2020-Curren'!$A:$A,'MCC Margin Analysis'!$B70)</f>
        <v>0</v>
      </c>
      <c r="K70" s="121">
        <f>SUMIFS('TB &amp; MCC Cost Audit 2020-Curren'!$W:$W,'TB &amp; MCC Cost Audit 2020-Curren'!$C:$C,'MCC Margin Analysis'!$A$1,'TB &amp; MCC Cost Audit 2020-Curren'!$D:$D,'MCC Margin Analysis'!K$3,'TB &amp; MCC Cost Audit 2020-Curren'!$A:$A,'MCC Margin Analysis'!$B70)</f>
        <v>0</v>
      </c>
      <c r="L70" s="121">
        <f>SUMIFS('TB &amp; MCC Cost Audit 2020-Curren'!$W:$W,'TB &amp; MCC Cost Audit 2020-Curren'!$C:$C,'MCC Margin Analysis'!$A$1,'TB &amp; MCC Cost Audit 2020-Curren'!$D:$D,'MCC Margin Analysis'!L$3,'TB &amp; MCC Cost Audit 2020-Curren'!$A:$A,'MCC Margin Analysis'!$B70)</f>
        <v>0</v>
      </c>
      <c r="M70" s="121">
        <f>SUMIFS('TB &amp; MCC Cost Audit 2020-Curren'!$W:$W,'TB &amp; MCC Cost Audit 2020-Curren'!$C:$C,'MCC Margin Analysis'!$A$1,'TB &amp; MCC Cost Audit 2020-Curren'!$D:$D,'MCC Margin Analysis'!M$3,'TB &amp; MCC Cost Audit 2020-Curren'!$A:$A,'MCC Margin Analysis'!$B70)</f>
        <v>0</v>
      </c>
      <c r="N70" s="121">
        <f>SUMIFS('TB &amp; MCC Cost Audit 2020-Curren'!$W:$W,'TB &amp; MCC Cost Audit 2020-Curren'!$C:$C,'MCC Margin Analysis'!$A$1,'TB &amp; MCC Cost Audit 2020-Curren'!$D:$D,'MCC Margin Analysis'!N$3,'TB &amp; MCC Cost Audit 2020-Curren'!$A:$A,'MCC Margin Analysis'!$B70)</f>
        <v>0</v>
      </c>
      <c r="Q70" s="119" t="str">
        <f t="shared" si="20"/>
        <v xml:space="preserve"> - </v>
      </c>
      <c r="R70" s="119" t="str">
        <f t="shared" si="21"/>
        <v xml:space="preserve"> - </v>
      </c>
      <c r="S70" s="119" t="str">
        <f t="shared" si="22"/>
        <v xml:space="preserve"> - </v>
      </c>
      <c r="T70" s="119" t="str">
        <f t="shared" si="23"/>
        <v xml:space="preserve"> - </v>
      </c>
      <c r="U70" s="119" t="str">
        <f t="shared" si="24"/>
        <v xml:space="preserve"> - </v>
      </c>
    </row>
    <row r="71" spans="2:21" x14ac:dyDescent="0.15">
      <c r="B71" s="54" t="s">
        <v>330</v>
      </c>
      <c r="C71" s="121">
        <f>SUMIFS('TB &amp; MCC Cost Audit 2020-Curren'!$P:$P,'TB &amp; MCC Cost Audit 2020-Curren'!$C:$C,'MCC Margin Analysis'!$A$1,'TB &amp; MCC Cost Audit 2020-Curren'!$D:$D,'MCC Margin Analysis'!C$3,'TB &amp; MCC Cost Audit 2020-Curren'!$A:$A,'MCC Margin Analysis'!$B71)</f>
        <v>0</v>
      </c>
      <c r="D71" s="121">
        <f>SUMIFS('TB &amp; MCC Cost Audit 2020-Curren'!$P:$P,'TB &amp; MCC Cost Audit 2020-Curren'!$C:$C,'MCC Margin Analysis'!$A$1,'TB &amp; MCC Cost Audit 2020-Curren'!$D:$D,'MCC Margin Analysis'!D$3,'TB &amp; MCC Cost Audit 2020-Curren'!$A:$A,'MCC Margin Analysis'!$B71)</f>
        <v>1500</v>
      </c>
      <c r="E71" s="121">
        <f>SUMIFS('TB &amp; MCC Cost Audit 2020-Curren'!$P:$P,'TB &amp; MCC Cost Audit 2020-Curren'!$C:$C,'MCC Margin Analysis'!$A$1,'TB &amp; MCC Cost Audit 2020-Curren'!$D:$D,'MCC Margin Analysis'!E$3,'TB &amp; MCC Cost Audit 2020-Curren'!$A:$A,'MCC Margin Analysis'!$B71)</f>
        <v>0</v>
      </c>
      <c r="F71" s="121">
        <f>SUMIFS('TB &amp; MCC Cost Audit 2020-Curren'!$P:$P,'TB &amp; MCC Cost Audit 2020-Curren'!$C:$C,'MCC Margin Analysis'!$A$1,'TB &amp; MCC Cost Audit 2020-Curren'!$D:$D,'MCC Margin Analysis'!F$3,'TB &amp; MCC Cost Audit 2020-Curren'!$A:$A,'MCC Margin Analysis'!$B71)</f>
        <v>4600</v>
      </c>
      <c r="G71" s="121">
        <f>SUMIFS('TB &amp; MCC Cost Audit 2020-Curren'!$P:$P,'TB &amp; MCC Cost Audit 2020-Curren'!$C:$C,'MCC Margin Analysis'!$A$1,'TB &amp; MCC Cost Audit 2020-Curren'!$D:$D,'MCC Margin Analysis'!G$3,'TB &amp; MCC Cost Audit 2020-Curren'!$A:$A,'MCC Margin Analysis'!$B71)</f>
        <v>2300</v>
      </c>
      <c r="J71" s="121">
        <f>SUMIFS('TB &amp; MCC Cost Audit 2020-Curren'!$W:$W,'TB &amp; MCC Cost Audit 2020-Curren'!$C:$C,'MCC Margin Analysis'!$A$1,'TB &amp; MCC Cost Audit 2020-Curren'!$D:$D,'MCC Margin Analysis'!J$3,'TB &amp; MCC Cost Audit 2020-Curren'!$A:$A,'MCC Margin Analysis'!$B71)</f>
        <v>0</v>
      </c>
      <c r="K71" s="121">
        <f>SUMIFS('TB &amp; MCC Cost Audit 2020-Curren'!$W:$W,'TB &amp; MCC Cost Audit 2020-Curren'!$C:$C,'MCC Margin Analysis'!$A$1,'TB &amp; MCC Cost Audit 2020-Curren'!$D:$D,'MCC Margin Analysis'!K$3,'TB &amp; MCC Cost Audit 2020-Curren'!$A:$A,'MCC Margin Analysis'!$B71)</f>
        <v>2948.2200000000003</v>
      </c>
      <c r="L71" s="121">
        <f>SUMIFS('TB &amp; MCC Cost Audit 2020-Curren'!$W:$W,'TB &amp; MCC Cost Audit 2020-Curren'!$C:$C,'MCC Margin Analysis'!$A$1,'TB &amp; MCC Cost Audit 2020-Curren'!$D:$D,'MCC Margin Analysis'!L$3,'TB &amp; MCC Cost Audit 2020-Curren'!$A:$A,'MCC Margin Analysis'!$B71)</f>
        <v>0</v>
      </c>
      <c r="M71" s="121">
        <f>SUMIFS('TB &amp; MCC Cost Audit 2020-Curren'!$W:$W,'TB &amp; MCC Cost Audit 2020-Curren'!$C:$C,'MCC Margin Analysis'!$A$1,'TB &amp; MCC Cost Audit 2020-Curren'!$D:$D,'MCC Margin Analysis'!M$3,'TB &amp; MCC Cost Audit 2020-Curren'!$A:$A,'MCC Margin Analysis'!$B71)</f>
        <v>7854.3000000000011</v>
      </c>
      <c r="N71" s="121">
        <f>SUMIFS('TB &amp; MCC Cost Audit 2020-Curren'!$W:$W,'TB &amp; MCC Cost Audit 2020-Curren'!$C:$C,'MCC Margin Analysis'!$A$1,'TB &amp; MCC Cost Audit 2020-Curren'!$D:$D,'MCC Margin Analysis'!N$3,'TB &amp; MCC Cost Audit 2020-Curren'!$A:$A,'MCC Margin Analysis'!$B71)</f>
        <v>2696.6400000000003</v>
      </c>
      <c r="Q71" s="119" t="str">
        <f t="shared" si="20"/>
        <v xml:space="preserve"> - </v>
      </c>
      <c r="R71" s="119">
        <f t="shared" si="21"/>
        <v>-0.96548000000000012</v>
      </c>
      <c r="S71" s="119" t="str">
        <f t="shared" si="22"/>
        <v xml:space="preserve"> - </v>
      </c>
      <c r="T71" s="119">
        <f t="shared" si="23"/>
        <v>-0.70745652173913065</v>
      </c>
      <c r="U71" s="119">
        <f t="shared" si="24"/>
        <v>-0.17245217391304363</v>
      </c>
    </row>
    <row r="72" spans="2:21" x14ac:dyDescent="0.15">
      <c r="B72" s="54" t="s">
        <v>193</v>
      </c>
      <c r="C72" s="121">
        <f>SUMIFS('TB &amp; MCC Cost Audit 2020-Curren'!$P:$P,'TB &amp; MCC Cost Audit 2020-Curren'!$C:$C,'MCC Margin Analysis'!$A$1,'TB &amp; MCC Cost Audit 2020-Curren'!$D:$D,'MCC Margin Analysis'!C$3,'TB &amp; MCC Cost Audit 2020-Curren'!$A:$A,'MCC Margin Analysis'!$B72)</f>
        <v>15400</v>
      </c>
      <c r="D72" s="121">
        <f>SUMIFS('TB &amp; MCC Cost Audit 2020-Curren'!$P:$P,'TB &amp; MCC Cost Audit 2020-Curren'!$C:$C,'MCC Margin Analysis'!$A$1,'TB &amp; MCC Cost Audit 2020-Curren'!$D:$D,'MCC Margin Analysis'!D$3,'TB &amp; MCC Cost Audit 2020-Curren'!$A:$A,'MCC Margin Analysis'!$B72)</f>
        <v>11899</v>
      </c>
      <c r="E72" s="121">
        <f>SUMIFS('TB &amp; MCC Cost Audit 2020-Curren'!$P:$P,'TB &amp; MCC Cost Audit 2020-Curren'!$C:$C,'MCC Margin Analysis'!$A$1,'TB &amp; MCC Cost Audit 2020-Curren'!$D:$D,'MCC Margin Analysis'!E$3,'TB &amp; MCC Cost Audit 2020-Curren'!$A:$A,'MCC Margin Analysis'!$B72)</f>
        <v>11554</v>
      </c>
      <c r="F72" s="121">
        <f>SUMIFS('TB &amp; MCC Cost Audit 2020-Curren'!$P:$P,'TB &amp; MCC Cost Audit 2020-Curren'!$C:$C,'MCC Margin Analysis'!$A$1,'TB &amp; MCC Cost Audit 2020-Curren'!$D:$D,'MCC Margin Analysis'!F$3,'TB &amp; MCC Cost Audit 2020-Curren'!$A:$A,'MCC Margin Analysis'!$B72)</f>
        <v>11217</v>
      </c>
      <c r="G72" s="121">
        <f>SUMIFS('TB &amp; MCC Cost Audit 2020-Curren'!$P:$P,'TB &amp; MCC Cost Audit 2020-Curren'!$C:$C,'MCC Margin Analysis'!$A$1,'TB &amp; MCC Cost Audit 2020-Curren'!$D:$D,'MCC Margin Analysis'!G$3,'TB &amp; MCC Cost Audit 2020-Curren'!$A:$A,'MCC Margin Analysis'!$B72)</f>
        <v>10890</v>
      </c>
      <c r="J72" s="121">
        <f>SUMIFS('TB &amp; MCC Cost Audit 2020-Curren'!$W:$W,'TB &amp; MCC Cost Audit 2020-Curren'!$C:$C,'MCC Margin Analysis'!$A$1,'TB &amp; MCC Cost Audit 2020-Curren'!$D:$D,'MCC Margin Analysis'!J$3,'TB &amp; MCC Cost Audit 2020-Curren'!$A:$A,'MCC Margin Analysis'!$B72)</f>
        <v>3680.9199999999996</v>
      </c>
      <c r="K72" s="121">
        <f>SUMIFS('TB &amp; MCC Cost Audit 2020-Curren'!$W:$W,'TB &amp; MCC Cost Audit 2020-Curren'!$C:$C,'MCC Margin Analysis'!$A$1,'TB &amp; MCC Cost Audit 2020-Curren'!$D:$D,'MCC Margin Analysis'!K$3,'TB &amp; MCC Cost Audit 2020-Curren'!$A:$A,'MCC Margin Analysis'!$B72)</f>
        <v>2573.29</v>
      </c>
      <c r="L72" s="121">
        <f>SUMIFS('TB &amp; MCC Cost Audit 2020-Curren'!$W:$W,'TB &amp; MCC Cost Audit 2020-Curren'!$C:$C,'MCC Margin Analysis'!$A$1,'TB &amp; MCC Cost Audit 2020-Curren'!$D:$D,'MCC Margin Analysis'!L$3,'TB &amp; MCC Cost Audit 2020-Curren'!$A:$A,'MCC Margin Analysis'!$B72)</f>
        <v>3401.7300000000005</v>
      </c>
      <c r="M72" s="121">
        <f>SUMIFS('TB &amp; MCC Cost Audit 2020-Curren'!$W:$W,'TB &amp; MCC Cost Audit 2020-Curren'!$C:$C,'MCC Margin Analysis'!$A$1,'TB &amp; MCC Cost Audit 2020-Curren'!$D:$D,'MCC Margin Analysis'!M$3,'TB &amp; MCC Cost Audit 2020-Curren'!$A:$A,'MCC Margin Analysis'!$B72)</f>
        <v>4530.57</v>
      </c>
      <c r="N72" s="121">
        <f>SUMIFS('TB &amp; MCC Cost Audit 2020-Curren'!$W:$W,'TB &amp; MCC Cost Audit 2020-Curren'!$C:$C,'MCC Margin Analysis'!$A$1,'TB &amp; MCC Cost Audit 2020-Curren'!$D:$D,'MCC Margin Analysis'!N$3,'TB &amp; MCC Cost Audit 2020-Curren'!$A:$A,'MCC Margin Analysis'!$B72)</f>
        <v>4167.41</v>
      </c>
      <c r="Q72" s="119">
        <f t="shared" si="20"/>
        <v>0.76097922077922076</v>
      </c>
      <c r="R72" s="119">
        <f t="shared" si="21"/>
        <v>0.78373896966131595</v>
      </c>
      <c r="S72" s="119">
        <f t="shared" si="22"/>
        <v>0.70557988575385144</v>
      </c>
      <c r="T72" s="119">
        <f t="shared" si="23"/>
        <v>0.59609788713559775</v>
      </c>
      <c r="U72" s="119">
        <f t="shared" si="24"/>
        <v>0.61731772268135909</v>
      </c>
    </row>
    <row r="73" spans="2:21" x14ac:dyDescent="0.15">
      <c r="B73" s="54" t="s">
        <v>125</v>
      </c>
      <c r="C73" s="121">
        <f>SUMIFS('TB &amp; MCC Cost Audit 2020-Curren'!$P:$P,'TB &amp; MCC Cost Audit 2020-Curren'!$C:$C,'MCC Margin Analysis'!$A$1,'TB &amp; MCC Cost Audit 2020-Curren'!$D:$D,'MCC Margin Analysis'!C$3,'TB &amp; MCC Cost Audit 2020-Curren'!$A:$A,'MCC Margin Analysis'!$B73)</f>
        <v>0</v>
      </c>
      <c r="D73" s="121">
        <f>SUMIFS('TB &amp; MCC Cost Audit 2020-Curren'!$P:$P,'TB &amp; MCC Cost Audit 2020-Curren'!$C:$C,'MCC Margin Analysis'!$A$1,'TB &amp; MCC Cost Audit 2020-Curren'!$D:$D,'MCC Margin Analysis'!D$3,'TB &amp; MCC Cost Audit 2020-Curren'!$A:$A,'MCC Margin Analysis'!$B73)</f>
        <v>9033</v>
      </c>
      <c r="E73" s="121">
        <f>SUMIFS('TB &amp; MCC Cost Audit 2020-Curren'!$P:$P,'TB &amp; MCC Cost Audit 2020-Curren'!$C:$C,'MCC Margin Analysis'!$A$1,'TB &amp; MCC Cost Audit 2020-Curren'!$D:$D,'MCC Margin Analysis'!E$3,'TB &amp; MCC Cost Audit 2020-Curren'!$A:$A,'MCC Margin Analysis'!$B73)</f>
        <v>9213</v>
      </c>
      <c r="F73" s="121">
        <f>SUMIFS('TB &amp; MCC Cost Audit 2020-Curren'!$P:$P,'TB &amp; MCC Cost Audit 2020-Curren'!$C:$C,'MCC Margin Analysis'!$A$1,'TB &amp; MCC Cost Audit 2020-Curren'!$D:$D,'MCC Margin Analysis'!F$3,'TB &amp; MCC Cost Audit 2020-Curren'!$A:$A,'MCC Margin Analysis'!$B73)</f>
        <v>9398</v>
      </c>
      <c r="G73" s="121">
        <f>SUMIFS('TB &amp; MCC Cost Audit 2020-Curren'!$P:$P,'TB &amp; MCC Cost Audit 2020-Curren'!$C:$C,'MCC Margin Analysis'!$A$1,'TB &amp; MCC Cost Audit 2020-Curren'!$D:$D,'MCC Margin Analysis'!G$3,'TB &amp; MCC Cost Audit 2020-Curren'!$A:$A,'MCC Margin Analysis'!$B73)</f>
        <v>9586</v>
      </c>
      <c r="J73" s="121">
        <f>SUMIFS('TB &amp; MCC Cost Audit 2020-Curren'!$W:$W,'TB &amp; MCC Cost Audit 2020-Curren'!$C:$C,'MCC Margin Analysis'!$A$1,'TB &amp; MCC Cost Audit 2020-Curren'!$D:$D,'MCC Margin Analysis'!J$3,'TB &amp; MCC Cost Audit 2020-Curren'!$A:$A,'MCC Margin Analysis'!$B73)</f>
        <v>0</v>
      </c>
      <c r="K73" s="121">
        <f>SUMIFS('TB &amp; MCC Cost Audit 2020-Curren'!$W:$W,'TB &amp; MCC Cost Audit 2020-Curren'!$C:$C,'MCC Margin Analysis'!$A$1,'TB &amp; MCC Cost Audit 2020-Curren'!$D:$D,'MCC Margin Analysis'!K$3,'TB &amp; MCC Cost Audit 2020-Curren'!$A:$A,'MCC Margin Analysis'!$B73)</f>
        <v>4189.8200000000006</v>
      </c>
      <c r="L73" s="121">
        <f>SUMIFS('TB &amp; MCC Cost Audit 2020-Curren'!$W:$W,'TB &amp; MCC Cost Audit 2020-Curren'!$C:$C,'MCC Margin Analysis'!$A$1,'TB &amp; MCC Cost Audit 2020-Curren'!$D:$D,'MCC Margin Analysis'!L$3,'TB &amp; MCC Cost Audit 2020-Curren'!$A:$A,'MCC Margin Analysis'!$B73)</f>
        <v>2524.9900000000002</v>
      </c>
      <c r="M73" s="121">
        <f>SUMIFS('TB &amp; MCC Cost Audit 2020-Curren'!$W:$W,'TB &amp; MCC Cost Audit 2020-Curren'!$C:$C,'MCC Margin Analysis'!$A$1,'TB &amp; MCC Cost Audit 2020-Curren'!$D:$D,'MCC Margin Analysis'!M$3,'TB &amp; MCC Cost Audit 2020-Curren'!$A:$A,'MCC Margin Analysis'!$B73)</f>
        <v>2443.15</v>
      </c>
      <c r="N73" s="121">
        <f>SUMIFS('TB &amp; MCC Cost Audit 2020-Curren'!$W:$W,'TB &amp; MCC Cost Audit 2020-Curren'!$C:$C,'MCC Margin Analysis'!$A$1,'TB &amp; MCC Cost Audit 2020-Curren'!$D:$D,'MCC Margin Analysis'!N$3,'TB &amp; MCC Cost Audit 2020-Curren'!$A:$A,'MCC Margin Analysis'!$B73)</f>
        <v>2821.79</v>
      </c>
      <c r="Q73" s="119" t="str">
        <f t="shared" si="20"/>
        <v xml:space="preserve"> - </v>
      </c>
      <c r="R73" s="119">
        <f t="shared" si="21"/>
        <v>0.53616517214657355</v>
      </c>
      <c r="S73" s="119">
        <f t="shared" si="22"/>
        <v>0.7259318354499078</v>
      </c>
      <c r="T73" s="119">
        <f t="shared" si="23"/>
        <v>0.74003511385401155</v>
      </c>
      <c r="U73" s="119">
        <f t="shared" si="24"/>
        <v>0.70563425829334447</v>
      </c>
    </row>
    <row r="74" spans="2:21" x14ac:dyDescent="0.15">
      <c r="B74" s="54" t="s">
        <v>418</v>
      </c>
      <c r="C74" s="121">
        <f>SUMIFS('TB &amp; MCC Cost Audit 2020-Curren'!$P:$P,'TB &amp; MCC Cost Audit 2020-Curren'!$C:$C,'MCC Margin Analysis'!$A$1,'TB &amp; MCC Cost Audit 2020-Curren'!$D:$D,'MCC Margin Analysis'!C$3,'TB &amp; MCC Cost Audit 2020-Curren'!$A:$A,'MCC Margin Analysis'!$B74)</f>
        <v>9333</v>
      </c>
      <c r="D74" s="121">
        <f>SUMIFS('TB &amp; MCC Cost Audit 2020-Curren'!$P:$P,'TB &amp; MCC Cost Audit 2020-Curren'!$C:$C,'MCC Margin Analysis'!$A$1,'TB &amp; MCC Cost Audit 2020-Curren'!$D:$D,'MCC Margin Analysis'!D$3,'TB &amp; MCC Cost Audit 2020-Curren'!$A:$A,'MCC Margin Analysis'!$B74)</f>
        <v>8522</v>
      </c>
      <c r="E74" s="121">
        <f>SUMIFS('TB &amp; MCC Cost Audit 2020-Curren'!$P:$P,'TB &amp; MCC Cost Audit 2020-Curren'!$C:$C,'MCC Margin Analysis'!$A$1,'TB &amp; MCC Cost Audit 2020-Curren'!$D:$D,'MCC Margin Analysis'!E$3,'TB &amp; MCC Cost Audit 2020-Curren'!$A:$A,'MCC Margin Analysis'!$B74)</f>
        <v>9162</v>
      </c>
      <c r="F74" s="121">
        <f>SUMIFS('TB &amp; MCC Cost Audit 2020-Curren'!$P:$P,'TB &amp; MCC Cost Audit 2020-Curren'!$C:$C,'MCC Margin Analysis'!$A$1,'TB &amp; MCC Cost Audit 2020-Curren'!$D:$D,'MCC Margin Analysis'!F$3,'TB &amp; MCC Cost Audit 2020-Curren'!$A:$A,'MCC Margin Analysis'!$B74)</f>
        <v>9845</v>
      </c>
      <c r="G74" s="121">
        <f>SUMIFS('TB &amp; MCC Cost Audit 2020-Curren'!$P:$P,'TB &amp; MCC Cost Audit 2020-Curren'!$C:$C,'MCC Margin Analysis'!$A$1,'TB &amp; MCC Cost Audit 2020-Curren'!$D:$D,'MCC Margin Analysis'!G$3,'TB &amp; MCC Cost Audit 2020-Curren'!$A:$A,'MCC Margin Analysis'!$B74)</f>
        <v>10387</v>
      </c>
      <c r="J74" s="121">
        <f>SUMIFS('TB &amp; MCC Cost Audit 2020-Curren'!$W:$W,'TB &amp; MCC Cost Audit 2020-Curren'!$C:$C,'MCC Margin Analysis'!$A$1,'TB &amp; MCC Cost Audit 2020-Curren'!$D:$D,'MCC Margin Analysis'!J$3,'TB &amp; MCC Cost Audit 2020-Curren'!$A:$A,'MCC Margin Analysis'!$B74)</f>
        <v>2395.7599999999998</v>
      </c>
      <c r="K74" s="121">
        <f>SUMIFS('TB &amp; MCC Cost Audit 2020-Curren'!$W:$W,'TB &amp; MCC Cost Audit 2020-Curren'!$C:$C,'MCC Margin Analysis'!$A$1,'TB &amp; MCC Cost Audit 2020-Curren'!$D:$D,'MCC Margin Analysis'!K$3,'TB &amp; MCC Cost Audit 2020-Curren'!$A:$A,'MCC Margin Analysis'!$B74)</f>
        <v>1046.1399999999999</v>
      </c>
      <c r="L74" s="121">
        <f>SUMIFS('TB &amp; MCC Cost Audit 2020-Curren'!$W:$W,'TB &amp; MCC Cost Audit 2020-Curren'!$C:$C,'MCC Margin Analysis'!$A$1,'TB &amp; MCC Cost Audit 2020-Curren'!$D:$D,'MCC Margin Analysis'!L$3,'TB &amp; MCC Cost Audit 2020-Curren'!$A:$A,'MCC Margin Analysis'!$B74)</f>
        <v>1359.1100000000001</v>
      </c>
      <c r="M74" s="121">
        <f>SUMIFS('TB &amp; MCC Cost Audit 2020-Curren'!$W:$W,'TB &amp; MCC Cost Audit 2020-Curren'!$C:$C,'MCC Margin Analysis'!$A$1,'TB &amp; MCC Cost Audit 2020-Curren'!$D:$D,'MCC Margin Analysis'!M$3,'TB &amp; MCC Cost Audit 2020-Curren'!$A:$A,'MCC Margin Analysis'!$B74)</f>
        <v>1039.3399999999999</v>
      </c>
      <c r="N74" s="121">
        <f>SUMIFS('TB &amp; MCC Cost Audit 2020-Curren'!$W:$W,'TB &amp; MCC Cost Audit 2020-Curren'!$C:$C,'MCC Margin Analysis'!$A$1,'TB &amp; MCC Cost Audit 2020-Curren'!$D:$D,'MCC Margin Analysis'!N$3,'TB &amp; MCC Cost Audit 2020-Curren'!$A:$A,'MCC Margin Analysis'!$B74)</f>
        <v>1045.72</v>
      </c>
      <c r="Q74" s="119">
        <f t="shared" si="20"/>
        <v>0.74330226079502837</v>
      </c>
      <c r="R74" s="119">
        <f t="shared" si="21"/>
        <v>0.87724243135414226</v>
      </c>
      <c r="S74" s="119">
        <f t="shared" si="22"/>
        <v>0.85165793494870112</v>
      </c>
      <c r="T74" s="119">
        <f t="shared" si="23"/>
        <v>0.89442965972574906</v>
      </c>
      <c r="U74" s="119">
        <f t="shared" si="24"/>
        <v>0.89932415519399256</v>
      </c>
    </row>
    <row r="75" spans="2:21" x14ac:dyDescent="0.15">
      <c r="B75" s="54" t="s">
        <v>222</v>
      </c>
      <c r="C75" s="121">
        <f>SUMIFS('TB &amp; MCC Cost Audit 2020-Curren'!$P:$P,'TB &amp; MCC Cost Audit 2020-Curren'!$C:$C,'MCC Margin Analysis'!$A$1,'TB &amp; MCC Cost Audit 2020-Curren'!$D:$D,'MCC Margin Analysis'!C$3,'TB &amp; MCC Cost Audit 2020-Curren'!$A:$A,'MCC Margin Analysis'!$B75)</f>
        <v>0</v>
      </c>
      <c r="D75" s="121">
        <f>SUMIFS('TB &amp; MCC Cost Audit 2020-Curren'!$P:$P,'TB &amp; MCC Cost Audit 2020-Curren'!$C:$C,'MCC Margin Analysis'!$A$1,'TB &amp; MCC Cost Audit 2020-Curren'!$D:$D,'MCC Margin Analysis'!D$3,'TB &amp; MCC Cost Audit 2020-Curren'!$A:$A,'MCC Margin Analysis'!$B75)</f>
        <v>0</v>
      </c>
      <c r="E75" s="121">
        <f>SUMIFS('TB &amp; MCC Cost Audit 2020-Curren'!$P:$P,'TB &amp; MCC Cost Audit 2020-Curren'!$C:$C,'MCC Margin Analysis'!$A$1,'TB &amp; MCC Cost Audit 2020-Curren'!$D:$D,'MCC Margin Analysis'!E$3,'TB &amp; MCC Cost Audit 2020-Curren'!$A:$A,'MCC Margin Analysis'!$B75)</f>
        <v>0</v>
      </c>
      <c r="F75" s="121">
        <f>SUMIFS('TB &amp; MCC Cost Audit 2020-Curren'!$P:$P,'TB &amp; MCC Cost Audit 2020-Curren'!$C:$C,'MCC Margin Analysis'!$A$1,'TB &amp; MCC Cost Audit 2020-Curren'!$D:$D,'MCC Margin Analysis'!F$3,'TB &amp; MCC Cost Audit 2020-Curren'!$A:$A,'MCC Margin Analysis'!$B75)</f>
        <v>0</v>
      </c>
      <c r="G75" s="121">
        <f>SUMIFS('TB &amp; MCC Cost Audit 2020-Curren'!$P:$P,'TB &amp; MCC Cost Audit 2020-Curren'!$C:$C,'MCC Margin Analysis'!$A$1,'TB &amp; MCC Cost Audit 2020-Curren'!$D:$D,'MCC Margin Analysis'!G$3,'TB &amp; MCC Cost Audit 2020-Curren'!$A:$A,'MCC Margin Analysis'!$B75)</f>
        <v>0</v>
      </c>
      <c r="J75" s="121">
        <f>SUMIFS('TB &amp; MCC Cost Audit 2020-Curren'!$W:$W,'TB &amp; MCC Cost Audit 2020-Curren'!$C:$C,'MCC Margin Analysis'!$A$1,'TB &amp; MCC Cost Audit 2020-Curren'!$D:$D,'MCC Margin Analysis'!J$3,'TB &amp; MCC Cost Audit 2020-Curren'!$A:$A,'MCC Margin Analysis'!$B75)</f>
        <v>0</v>
      </c>
      <c r="K75" s="121">
        <f>SUMIFS('TB &amp; MCC Cost Audit 2020-Curren'!$W:$W,'TB &amp; MCC Cost Audit 2020-Curren'!$C:$C,'MCC Margin Analysis'!$A$1,'TB &amp; MCC Cost Audit 2020-Curren'!$D:$D,'MCC Margin Analysis'!K$3,'TB &amp; MCC Cost Audit 2020-Curren'!$A:$A,'MCC Margin Analysis'!$B75)</f>
        <v>0</v>
      </c>
      <c r="L75" s="121">
        <f>SUMIFS('TB &amp; MCC Cost Audit 2020-Curren'!$W:$W,'TB &amp; MCC Cost Audit 2020-Curren'!$C:$C,'MCC Margin Analysis'!$A$1,'TB &amp; MCC Cost Audit 2020-Curren'!$D:$D,'MCC Margin Analysis'!L$3,'TB &amp; MCC Cost Audit 2020-Curren'!$A:$A,'MCC Margin Analysis'!$B75)</f>
        <v>0</v>
      </c>
      <c r="M75" s="121">
        <f>SUMIFS('TB &amp; MCC Cost Audit 2020-Curren'!$W:$W,'TB &amp; MCC Cost Audit 2020-Curren'!$C:$C,'MCC Margin Analysis'!$A$1,'TB &amp; MCC Cost Audit 2020-Curren'!$D:$D,'MCC Margin Analysis'!M$3,'TB &amp; MCC Cost Audit 2020-Curren'!$A:$A,'MCC Margin Analysis'!$B75)</f>
        <v>0</v>
      </c>
      <c r="N75" s="121">
        <f>SUMIFS('TB &amp; MCC Cost Audit 2020-Curren'!$W:$W,'TB &amp; MCC Cost Audit 2020-Curren'!$C:$C,'MCC Margin Analysis'!$A$1,'TB &amp; MCC Cost Audit 2020-Curren'!$D:$D,'MCC Margin Analysis'!N$3,'TB &amp; MCC Cost Audit 2020-Curren'!$A:$A,'MCC Margin Analysis'!$B75)</f>
        <v>0</v>
      </c>
      <c r="Q75" s="119" t="str">
        <f t="shared" si="20"/>
        <v xml:space="preserve"> - </v>
      </c>
      <c r="R75" s="119" t="str">
        <f t="shared" si="21"/>
        <v xml:space="preserve"> - </v>
      </c>
      <c r="S75" s="119" t="str">
        <f t="shared" si="22"/>
        <v xml:space="preserve"> - </v>
      </c>
      <c r="T75" s="119" t="str">
        <f t="shared" si="23"/>
        <v xml:space="preserve"> - </v>
      </c>
      <c r="U75" s="119" t="str">
        <f t="shared" si="24"/>
        <v xml:space="preserve"> - </v>
      </c>
    </row>
    <row r="76" spans="2:21" x14ac:dyDescent="0.15">
      <c r="B76" s="54" t="s">
        <v>109</v>
      </c>
      <c r="C76" s="121">
        <f>SUMIFS('TB &amp; MCC Cost Audit 2020-Curren'!$P:$P,'TB &amp; MCC Cost Audit 2020-Curren'!$C:$C,'MCC Margin Analysis'!$A$1,'TB &amp; MCC Cost Audit 2020-Curren'!$D:$D,'MCC Margin Analysis'!C$3,'TB &amp; MCC Cost Audit 2020-Curren'!$A:$A,'MCC Margin Analysis'!$B76)</f>
        <v>10905</v>
      </c>
      <c r="D76" s="121">
        <f>SUMIFS('TB &amp; MCC Cost Audit 2020-Curren'!$P:$P,'TB &amp; MCC Cost Audit 2020-Curren'!$C:$C,'MCC Margin Analysis'!$A$1,'TB &amp; MCC Cost Audit 2020-Curren'!$D:$D,'MCC Margin Analysis'!D$3,'TB &amp; MCC Cost Audit 2020-Curren'!$A:$A,'MCC Margin Analysis'!$B76)</f>
        <v>11123</v>
      </c>
      <c r="E76" s="121">
        <f>SUMIFS('TB &amp; MCC Cost Audit 2020-Curren'!$P:$P,'TB &amp; MCC Cost Audit 2020-Curren'!$C:$C,'MCC Margin Analysis'!$A$1,'TB &amp; MCC Cost Audit 2020-Curren'!$D:$D,'MCC Margin Analysis'!E$3,'TB &amp; MCC Cost Audit 2020-Curren'!$A:$A,'MCC Margin Analysis'!$B76)</f>
        <v>11345</v>
      </c>
      <c r="F76" s="121">
        <f>SUMIFS('TB &amp; MCC Cost Audit 2020-Curren'!$P:$P,'TB &amp; MCC Cost Audit 2020-Curren'!$C:$C,'MCC Margin Analysis'!$A$1,'TB &amp; MCC Cost Audit 2020-Curren'!$D:$D,'MCC Margin Analysis'!F$3,'TB &amp; MCC Cost Audit 2020-Curren'!$A:$A,'MCC Margin Analysis'!$B76)</f>
        <v>11572</v>
      </c>
      <c r="G76" s="121">
        <f>SUMIFS('TB &amp; MCC Cost Audit 2020-Curren'!$P:$P,'TB &amp; MCC Cost Audit 2020-Curren'!$C:$C,'MCC Margin Analysis'!$A$1,'TB &amp; MCC Cost Audit 2020-Curren'!$D:$D,'MCC Margin Analysis'!G$3,'TB &amp; MCC Cost Audit 2020-Curren'!$A:$A,'MCC Margin Analysis'!$B76)</f>
        <v>11803.5</v>
      </c>
      <c r="J76" s="121">
        <f>SUMIFS('TB &amp; MCC Cost Audit 2020-Curren'!$W:$W,'TB &amp; MCC Cost Audit 2020-Curren'!$C:$C,'MCC Margin Analysis'!$A$1,'TB &amp; MCC Cost Audit 2020-Curren'!$D:$D,'MCC Margin Analysis'!J$3,'TB &amp; MCC Cost Audit 2020-Curren'!$A:$A,'MCC Margin Analysis'!$B76)</f>
        <v>1815.55</v>
      </c>
      <c r="K76" s="121">
        <f>SUMIFS('TB &amp; MCC Cost Audit 2020-Curren'!$W:$W,'TB &amp; MCC Cost Audit 2020-Curren'!$C:$C,'MCC Margin Analysis'!$A$1,'TB &amp; MCC Cost Audit 2020-Curren'!$D:$D,'MCC Margin Analysis'!K$3,'TB &amp; MCC Cost Audit 2020-Curren'!$A:$A,'MCC Margin Analysis'!$B76)</f>
        <v>2719.75</v>
      </c>
      <c r="L76" s="121">
        <f>SUMIFS('TB &amp; MCC Cost Audit 2020-Curren'!$W:$W,'TB &amp; MCC Cost Audit 2020-Curren'!$C:$C,'MCC Margin Analysis'!$A$1,'TB &amp; MCC Cost Audit 2020-Curren'!$D:$D,'MCC Margin Analysis'!L$3,'TB &amp; MCC Cost Audit 2020-Curren'!$A:$A,'MCC Margin Analysis'!$B76)</f>
        <v>2400.0299999999997</v>
      </c>
      <c r="M76" s="121">
        <f>SUMIFS('TB &amp; MCC Cost Audit 2020-Curren'!$W:$W,'TB &amp; MCC Cost Audit 2020-Curren'!$C:$C,'MCC Margin Analysis'!$A$1,'TB &amp; MCC Cost Audit 2020-Curren'!$D:$D,'MCC Margin Analysis'!M$3,'TB &amp; MCC Cost Audit 2020-Curren'!$A:$A,'MCC Margin Analysis'!$B76)</f>
        <v>2801.58</v>
      </c>
      <c r="N76" s="121">
        <f>SUMIFS('TB &amp; MCC Cost Audit 2020-Curren'!$W:$W,'TB &amp; MCC Cost Audit 2020-Curren'!$C:$C,'MCC Margin Analysis'!$A$1,'TB &amp; MCC Cost Audit 2020-Curren'!$D:$D,'MCC Margin Analysis'!N$3,'TB &amp; MCC Cost Audit 2020-Curren'!$A:$A,'MCC Margin Analysis'!$B76)</f>
        <v>2120.36</v>
      </c>
      <c r="Q76" s="119">
        <f t="shared" si="20"/>
        <v>0.83351215038972959</v>
      </c>
      <c r="R76" s="119">
        <f t="shared" si="21"/>
        <v>0.75548413197878272</v>
      </c>
      <c r="S76" s="119">
        <f t="shared" si="22"/>
        <v>0.78845041868664623</v>
      </c>
      <c r="T76" s="119">
        <f t="shared" si="23"/>
        <v>0.75790010369858274</v>
      </c>
      <c r="U76" s="119">
        <f t="shared" si="24"/>
        <v>0.82036175710594306</v>
      </c>
    </row>
    <row r="77" spans="2:21" x14ac:dyDescent="0.15">
      <c r="B77" s="54" t="s">
        <v>675</v>
      </c>
      <c r="C77" s="121">
        <f>SUMIFS('TB &amp; MCC Cost Audit 2020-Curren'!$P:$P,'TB &amp; MCC Cost Audit 2020-Curren'!$C:$C,'MCC Margin Analysis'!$A$1,'TB &amp; MCC Cost Audit 2020-Curren'!$D:$D,'MCC Margin Analysis'!C$3,'TB &amp; MCC Cost Audit 2020-Curren'!$A:$A,'MCC Margin Analysis'!$B77)</f>
        <v>0</v>
      </c>
      <c r="D77" s="121">
        <f>SUMIFS('TB &amp; MCC Cost Audit 2020-Curren'!$P:$P,'TB &amp; MCC Cost Audit 2020-Curren'!$C:$C,'MCC Margin Analysis'!$A$1,'TB &amp; MCC Cost Audit 2020-Curren'!$D:$D,'MCC Margin Analysis'!D$3,'TB &amp; MCC Cost Audit 2020-Curren'!$A:$A,'MCC Margin Analysis'!$B77)</f>
        <v>0</v>
      </c>
      <c r="E77" s="121">
        <f>SUMIFS('TB &amp; MCC Cost Audit 2020-Curren'!$P:$P,'TB &amp; MCC Cost Audit 2020-Curren'!$C:$C,'MCC Margin Analysis'!$A$1,'TB &amp; MCC Cost Audit 2020-Curren'!$D:$D,'MCC Margin Analysis'!E$3,'TB &amp; MCC Cost Audit 2020-Curren'!$A:$A,'MCC Margin Analysis'!$B77)</f>
        <v>30129</v>
      </c>
      <c r="F77" s="121">
        <f>SUMIFS('TB &amp; MCC Cost Audit 2020-Curren'!$P:$P,'TB &amp; MCC Cost Audit 2020-Curren'!$C:$C,'MCC Margin Analysis'!$A$1,'TB &amp; MCC Cost Audit 2020-Curren'!$D:$D,'MCC Margin Analysis'!F$3,'TB &amp; MCC Cost Audit 2020-Curren'!$A:$A,'MCC Margin Analysis'!$B77)</f>
        <v>0</v>
      </c>
      <c r="G77" s="121">
        <f>SUMIFS('TB &amp; MCC Cost Audit 2020-Curren'!$P:$P,'TB &amp; MCC Cost Audit 2020-Curren'!$C:$C,'MCC Margin Analysis'!$A$1,'TB &amp; MCC Cost Audit 2020-Curren'!$D:$D,'MCC Margin Analysis'!G$3,'TB &amp; MCC Cost Audit 2020-Curren'!$A:$A,'MCC Margin Analysis'!$B77)</f>
        <v>0</v>
      </c>
      <c r="J77" s="121">
        <f>SUMIFS('TB &amp; MCC Cost Audit 2020-Curren'!$W:$W,'TB &amp; MCC Cost Audit 2020-Curren'!$C:$C,'MCC Margin Analysis'!$A$1,'TB &amp; MCC Cost Audit 2020-Curren'!$D:$D,'MCC Margin Analysis'!J$3,'TB &amp; MCC Cost Audit 2020-Curren'!$A:$A,'MCC Margin Analysis'!$B77)</f>
        <v>0</v>
      </c>
      <c r="K77" s="121">
        <f>SUMIFS('TB &amp; MCC Cost Audit 2020-Curren'!$W:$W,'TB &amp; MCC Cost Audit 2020-Curren'!$C:$C,'MCC Margin Analysis'!$A$1,'TB &amp; MCC Cost Audit 2020-Curren'!$D:$D,'MCC Margin Analysis'!K$3,'TB &amp; MCC Cost Audit 2020-Curren'!$A:$A,'MCC Margin Analysis'!$B77)</f>
        <v>0</v>
      </c>
      <c r="L77" s="121">
        <f>SUMIFS('TB &amp; MCC Cost Audit 2020-Curren'!$W:$W,'TB &amp; MCC Cost Audit 2020-Curren'!$C:$C,'MCC Margin Analysis'!$A$1,'TB &amp; MCC Cost Audit 2020-Curren'!$D:$D,'MCC Margin Analysis'!L$3,'TB &amp; MCC Cost Audit 2020-Curren'!$A:$A,'MCC Margin Analysis'!$B77)</f>
        <v>4743.9400000000005</v>
      </c>
      <c r="M77" s="121">
        <f>SUMIFS('TB &amp; MCC Cost Audit 2020-Curren'!$W:$W,'TB &amp; MCC Cost Audit 2020-Curren'!$C:$C,'MCC Margin Analysis'!$A$1,'TB &amp; MCC Cost Audit 2020-Curren'!$D:$D,'MCC Margin Analysis'!M$3,'TB &amp; MCC Cost Audit 2020-Curren'!$A:$A,'MCC Margin Analysis'!$B77)</f>
        <v>0</v>
      </c>
      <c r="N77" s="121">
        <f>SUMIFS('TB &amp; MCC Cost Audit 2020-Curren'!$W:$W,'TB &amp; MCC Cost Audit 2020-Curren'!$C:$C,'MCC Margin Analysis'!$A$1,'TB &amp; MCC Cost Audit 2020-Curren'!$D:$D,'MCC Margin Analysis'!N$3,'TB &amp; MCC Cost Audit 2020-Curren'!$A:$A,'MCC Margin Analysis'!$B77)</f>
        <v>0</v>
      </c>
      <c r="Q77" s="119" t="str">
        <f t="shared" si="20"/>
        <v xml:space="preserve"> - </v>
      </c>
      <c r="R77" s="119" t="str">
        <f t="shared" si="21"/>
        <v xml:space="preserve"> - </v>
      </c>
      <c r="S77" s="119">
        <f t="shared" si="22"/>
        <v>0.84254572007036399</v>
      </c>
      <c r="T77" s="119" t="str">
        <f t="shared" si="23"/>
        <v xml:space="preserve"> - </v>
      </c>
      <c r="U77" s="119" t="str">
        <f t="shared" si="24"/>
        <v xml:space="preserve"> - </v>
      </c>
    </row>
    <row r="78" spans="2:21" x14ac:dyDescent="0.15">
      <c r="B78" s="54" t="s">
        <v>137</v>
      </c>
      <c r="C78" s="121">
        <f>SUMIFS('TB &amp; MCC Cost Audit 2020-Curren'!$P:$P,'TB &amp; MCC Cost Audit 2020-Curren'!$C:$C,'MCC Margin Analysis'!$A$1,'TB &amp; MCC Cost Audit 2020-Curren'!$D:$D,'MCC Margin Analysis'!C$3,'TB &amp; MCC Cost Audit 2020-Curren'!$A:$A,'MCC Margin Analysis'!$B78)</f>
        <v>200660.74</v>
      </c>
      <c r="D78" s="121">
        <f>SUMIFS('TB &amp; MCC Cost Audit 2020-Curren'!$P:$P,'TB &amp; MCC Cost Audit 2020-Curren'!$C:$C,'MCC Margin Analysis'!$A$1,'TB &amp; MCC Cost Audit 2020-Curren'!$D:$D,'MCC Margin Analysis'!D$3,'TB &amp; MCC Cost Audit 2020-Curren'!$A:$A,'MCC Margin Analysis'!$B78)</f>
        <v>120016.73000000001</v>
      </c>
      <c r="E78" s="121">
        <f>SUMIFS('TB &amp; MCC Cost Audit 2020-Curren'!$P:$P,'TB &amp; MCC Cost Audit 2020-Curren'!$C:$C,'MCC Margin Analysis'!$A$1,'TB &amp; MCC Cost Audit 2020-Curren'!$D:$D,'MCC Margin Analysis'!E$3,'TB &amp; MCC Cost Audit 2020-Curren'!$A:$A,'MCC Margin Analysis'!$B78)</f>
        <v>120017.25</v>
      </c>
      <c r="F78" s="121">
        <f>SUMIFS('TB &amp; MCC Cost Audit 2020-Curren'!$P:$P,'TB &amp; MCC Cost Audit 2020-Curren'!$C:$C,'MCC Margin Analysis'!$A$1,'TB &amp; MCC Cost Audit 2020-Curren'!$D:$D,'MCC Margin Analysis'!F$3,'TB &amp; MCC Cost Audit 2020-Curren'!$A:$A,'MCC Margin Analysis'!$B78)</f>
        <v>201097.22999999998</v>
      </c>
      <c r="G78" s="121">
        <f>SUMIFS('TB &amp; MCC Cost Audit 2020-Curren'!$P:$P,'TB &amp; MCC Cost Audit 2020-Curren'!$C:$C,'MCC Margin Analysis'!$A$1,'TB &amp; MCC Cost Audit 2020-Curren'!$D:$D,'MCC Margin Analysis'!G$3,'TB &amp; MCC Cost Audit 2020-Curren'!$A:$A,'MCC Margin Analysis'!$B78)</f>
        <v>166620.52000000002</v>
      </c>
      <c r="J78" s="121">
        <f>SUMIFS('TB &amp; MCC Cost Audit 2020-Curren'!$W:$W,'TB &amp; MCC Cost Audit 2020-Curren'!$C:$C,'MCC Margin Analysis'!$A$1,'TB &amp; MCC Cost Audit 2020-Curren'!$D:$D,'MCC Margin Analysis'!J$3,'TB &amp; MCC Cost Audit 2020-Curren'!$A:$A,'MCC Margin Analysis'!$B78)</f>
        <v>51950.71</v>
      </c>
      <c r="K78" s="121">
        <f>SUMIFS('TB &amp; MCC Cost Audit 2020-Curren'!$W:$W,'TB &amp; MCC Cost Audit 2020-Curren'!$C:$C,'MCC Margin Analysis'!$A$1,'TB &amp; MCC Cost Audit 2020-Curren'!$D:$D,'MCC Margin Analysis'!K$3,'TB &amp; MCC Cost Audit 2020-Curren'!$A:$A,'MCC Margin Analysis'!$B78)</f>
        <v>21669.21</v>
      </c>
      <c r="L78" s="121">
        <f>SUMIFS('TB &amp; MCC Cost Audit 2020-Curren'!$W:$W,'TB &amp; MCC Cost Audit 2020-Curren'!$C:$C,'MCC Margin Analysis'!$A$1,'TB &amp; MCC Cost Audit 2020-Curren'!$D:$D,'MCC Margin Analysis'!L$3,'TB &amp; MCC Cost Audit 2020-Curren'!$A:$A,'MCC Margin Analysis'!$B78)</f>
        <v>22924.179999999997</v>
      </c>
      <c r="M78" s="121">
        <f>SUMIFS('TB &amp; MCC Cost Audit 2020-Curren'!$W:$W,'TB &amp; MCC Cost Audit 2020-Curren'!$C:$C,'MCC Margin Analysis'!$A$1,'TB &amp; MCC Cost Audit 2020-Curren'!$D:$D,'MCC Margin Analysis'!M$3,'TB &amp; MCC Cost Audit 2020-Curren'!$A:$A,'MCC Margin Analysis'!$B78)</f>
        <v>59038.76</v>
      </c>
      <c r="N78" s="121">
        <f>SUMIFS('TB &amp; MCC Cost Audit 2020-Curren'!$W:$W,'TB &amp; MCC Cost Audit 2020-Curren'!$C:$C,'MCC Margin Analysis'!$A$1,'TB &amp; MCC Cost Audit 2020-Curren'!$D:$D,'MCC Margin Analysis'!N$3,'TB &amp; MCC Cost Audit 2020-Curren'!$A:$A,'MCC Margin Analysis'!$B78)</f>
        <v>45733.98</v>
      </c>
      <c r="Q78" s="119">
        <f t="shared" si="20"/>
        <v>0.74110177207559391</v>
      </c>
      <c r="R78" s="119">
        <f t="shared" si="21"/>
        <v>0.81944842189918032</v>
      </c>
      <c r="S78" s="119">
        <f t="shared" si="22"/>
        <v>0.80899262397697003</v>
      </c>
      <c r="T78" s="119">
        <f t="shared" si="23"/>
        <v>0.70641684124639603</v>
      </c>
      <c r="U78" s="119">
        <f t="shared" si="24"/>
        <v>0.7255201220113825</v>
      </c>
    </row>
    <row r="79" spans="2:21" x14ac:dyDescent="0.15">
      <c r="B79" s="54" t="s">
        <v>223</v>
      </c>
      <c r="C79" s="121">
        <f>SUMIFS('TB &amp; MCC Cost Audit 2020-Curren'!$P:$P,'TB &amp; MCC Cost Audit 2020-Curren'!$C:$C,'MCC Margin Analysis'!$A$1,'TB &amp; MCC Cost Audit 2020-Curren'!$D:$D,'MCC Margin Analysis'!C$3,'TB &amp; MCC Cost Audit 2020-Curren'!$A:$A,'MCC Margin Analysis'!$B79)</f>
        <v>51051</v>
      </c>
      <c r="D79" s="121">
        <f>SUMIFS('TB &amp; MCC Cost Audit 2020-Curren'!$P:$P,'TB &amp; MCC Cost Audit 2020-Curren'!$C:$C,'MCC Margin Analysis'!$A$1,'TB &amp; MCC Cost Audit 2020-Curren'!$D:$D,'MCC Margin Analysis'!D$3,'TB &amp; MCC Cost Audit 2020-Curren'!$A:$A,'MCC Margin Analysis'!$B79)</f>
        <v>34554.160000000003</v>
      </c>
      <c r="E79" s="121">
        <f>SUMIFS('TB &amp; MCC Cost Audit 2020-Curren'!$P:$P,'TB &amp; MCC Cost Audit 2020-Curren'!$C:$C,'MCC Margin Analysis'!$A$1,'TB &amp; MCC Cost Audit 2020-Curren'!$D:$D,'MCC Margin Analysis'!E$3,'TB &amp; MCC Cost Audit 2020-Curren'!$A:$A,'MCC Margin Analysis'!$B79)</f>
        <v>56285</v>
      </c>
      <c r="F79" s="121">
        <f>SUMIFS('TB &amp; MCC Cost Audit 2020-Curren'!$P:$P,'TB &amp; MCC Cost Audit 2020-Curren'!$C:$C,'MCC Margin Analysis'!$A$1,'TB &amp; MCC Cost Audit 2020-Curren'!$D:$D,'MCC Margin Analysis'!F$3,'TB &amp; MCC Cost Audit 2020-Curren'!$A:$A,'MCC Margin Analysis'!$B79)</f>
        <v>56488</v>
      </c>
      <c r="G79" s="121">
        <f>SUMIFS('TB &amp; MCC Cost Audit 2020-Curren'!$P:$P,'TB &amp; MCC Cost Audit 2020-Curren'!$C:$C,'MCC Margin Analysis'!$A$1,'TB &amp; MCC Cost Audit 2020-Curren'!$D:$D,'MCC Margin Analysis'!G$3,'TB &amp; MCC Cost Audit 2020-Curren'!$A:$A,'MCC Margin Analysis'!$B79)</f>
        <v>0</v>
      </c>
      <c r="J79" s="121">
        <f>SUMIFS('TB &amp; MCC Cost Audit 2020-Curren'!$W:$W,'TB &amp; MCC Cost Audit 2020-Curren'!$C:$C,'MCC Margin Analysis'!$A$1,'TB &amp; MCC Cost Audit 2020-Curren'!$D:$D,'MCC Margin Analysis'!J$3,'TB &amp; MCC Cost Audit 2020-Curren'!$A:$A,'MCC Margin Analysis'!$B79)</f>
        <v>5544.9400000000005</v>
      </c>
      <c r="K79" s="121">
        <f>SUMIFS('TB &amp; MCC Cost Audit 2020-Curren'!$W:$W,'TB &amp; MCC Cost Audit 2020-Curren'!$C:$C,'MCC Margin Analysis'!$A$1,'TB &amp; MCC Cost Audit 2020-Curren'!$D:$D,'MCC Margin Analysis'!K$3,'TB &amp; MCC Cost Audit 2020-Curren'!$A:$A,'MCC Margin Analysis'!$B79)</f>
        <v>4419.8899999999994</v>
      </c>
      <c r="L79" s="121">
        <f>SUMIFS('TB &amp; MCC Cost Audit 2020-Curren'!$W:$W,'TB &amp; MCC Cost Audit 2020-Curren'!$C:$C,'MCC Margin Analysis'!$A$1,'TB &amp; MCC Cost Audit 2020-Curren'!$D:$D,'MCC Margin Analysis'!L$3,'TB &amp; MCC Cost Audit 2020-Curren'!$A:$A,'MCC Margin Analysis'!$B79)</f>
        <v>5559.1399999999994</v>
      </c>
      <c r="M79" s="121">
        <f>SUMIFS('TB &amp; MCC Cost Audit 2020-Curren'!$W:$W,'TB &amp; MCC Cost Audit 2020-Curren'!$C:$C,'MCC Margin Analysis'!$A$1,'TB &amp; MCC Cost Audit 2020-Curren'!$D:$D,'MCC Margin Analysis'!M$3,'TB &amp; MCC Cost Audit 2020-Curren'!$A:$A,'MCC Margin Analysis'!$B79)</f>
        <v>7127.7300000000005</v>
      </c>
      <c r="N79" s="121">
        <f>SUMIFS('TB &amp; MCC Cost Audit 2020-Curren'!$W:$W,'TB &amp; MCC Cost Audit 2020-Curren'!$C:$C,'MCC Margin Analysis'!$A$1,'TB &amp; MCC Cost Audit 2020-Curren'!$D:$D,'MCC Margin Analysis'!N$3,'TB &amp; MCC Cost Audit 2020-Curren'!$A:$A,'MCC Margin Analysis'!$B79)</f>
        <v>0</v>
      </c>
      <c r="Q79" s="119">
        <f t="shared" si="20"/>
        <v>0.89138430197253726</v>
      </c>
      <c r="R79" s="119">
        <f t="shared" si="21"/>
        <v>0.8720880496009743</v>
      </c>
      <c r="S79" s="119">
        <f t="shared" si="22"/>
        <v>0.90123229990228304</v>
      </c>
      <c r="T79" s="119">
        <f t="shared" si="23"/>
        <v>0.87381868715479383</v>
      </c>
      <c r="U79" s="119" t="str">
        <f t="shared" si="24"/>
        <v xml:space="preserve"> - </v>
      </c>
    </row>
    <row r="80" spans="2:21" x14ac:dyDescent="0.15">
      <c r="B80" s="54" t="s">
        <v>856</v>
      </c>
      <c r="C80" s="121">
        <f>SUMIFS('TB &amp; MCC Cost Audit 2020-Curren'!$P:$P,'TB &amp; MCC Cost Audit 2020-Curren'!$C:$C,'MCC Margin Analysis'!$A$1,'TB &amp; MCC Cost Audit 2020-Curren'!$D:$D,'MCC Margin Analysis'!C$3,'TB &amp; MCC Cost Audit 2020-Curren'!$A:$A,'MCC Margin Analysis'!$B80)</f>
        <v>0</v>
      </c>
      <c r="D80" s="121">
        <f>SUMIFS('TB &amp; MCC Cost Audit 2020-Curren'!$P:$P,'TB &amp; MCC Cost Audit 2020-Curren'!$C:$C,'MCC Margin Analysis'!$A$1,'TB &amp; MCC Cost Audit 2020-Curren'!$D:$D,'MCC Margin Analysis'!D$3,'TB &amp; MCC Cost Audit 2020-Curren'!$A:$A,'MCC Margin Analysis'!$B80)</f>
        <v>0</v>
      </c>
      <c r="E80" s="121">
        <f>SUMIFS('TB &amp; MCC Cost Audit 2020-Curren'!$P:$P,'TB &amp; MCC Cost Audit 2020-Curren'!$C:$C,'MCC Margin Analysis'!$A$1,'TB &amp; MCC Cost Audit 2020-Curren'!$D:$D,'MCC Margin Analysis'!E$3,'TB &amp; MCC Cost Audit 2020-Curren'!$A:$A,'MCC Margin Analysis'!$B80)</f>
        <v>0</v>
      </c>
      <c r="F80" s="121">
        <f>SUMIFS('TB &amp; MCC Cost Audit 2020-Curren'!$P:$P,'TB &amp; MCC Cost Audit 2020-Curren'!$C:$C,'MCC Margin Analysis'!$A$1,'TB &amp; MCC Cost Audit 2020-Curren'!$D:$D,'MCC Margin Analysis'!F$3,'TB &amp; MCC Cost Audit 2020-Curren'!$A:$A,'MCC Margin Analysis'!$B80)</f>
        <v>15255</v>
      </c>
      <c r="G80" s="121">
        <f>SUMIFS('TB &amp; MCC Cost Audit 2020-Curren'!$P:$P,'TB &amp; MCC Cost Audit 2020-Curren'!$C:$C,'MCC Margin Analysis'!$A$1,'TB &amp; MCC Cost Audit 2020-Curren'!$D:$D,'MCC Margin Analysis'!G$3,'TB &amp; MCC Cost Audit 2020-Curren'!$A:$A,'MCC Margin Analysis'!$B80)</f>
        <v>0</v>
      </c>
      <c r="J80" s="121">
        <f>SUMIFS('TB &amp; MCC Cost Audit 2020-Curren'!$W:$W,'TB &amp; MCC Cost Audit 2020-Curren'!$C:$C,'MCC Margin Analysis'!$A$1,'TB &amp; MCC Cost Audit 2020-Curren'!$D:$D,'MCC Margin Analysis'!J$3,'TB &amp; MCC Cost Audit 2020-Curren'!$A:$A,'MCC Margin Analysis'!$B80)</f>
        <v>0</v>
      </c>
      <c r="K80" s="121">
        <f>SUMIFS('TB &amp; MCC Cost Audit 2020-Curren'!$W:$W,'TB &amp; MCC Cost Audit 2020-Curren'!$C:$C,'MCC Margin Analysis'!$A$1,'TB &amp; MCC Cost Audit 2020-Curren'!$D:$D,'MCC Margin Analysis'!K$3,'TB &amp; MCC Cost Audit 2020-Curren'!$A:$A,'MCC Margin Analysis'!$B80)</f>
        <v>0</v>
      </c>
      <c r="L80" s="121">
        <f>SUMIFS('TB &amp; MCC Cost Audit 2020-Curren'!$W:$W,'TB &amp; MCC Cost Audit 2020-Curren'!$C:$C,'MCC Margin Analysis'!$A$1,'TB &amp; MCC Cost Audit 2020-Curren'!$D:$D,'MCC Margin Analysis'!L$3,'TB &amp; MCC Cost Audit 2020-Curren'!$A:$A,'MCC Margin Analysis'!$B80)</f>
        <v>0</v>
      </c>
      <c r="M80" s="121">
        <f>SUMIFS('TB &amp; MCC Cost Audit 2020-Curren'!$W:$W,'TB &amp; MCC Cost Audit 2020-Curren'!$C:$C,'MCC Margin Analysis'!$A$1,'TB &amp; MCC Cost Audit 2020-Curren'!$D:$D,'MCC Margin Analysis'!M$3,'TB &amp; MCC Cost Audit 2020-Curren'!$A:$A,'MCC Margin Analysis'!$B80)</f>
        <v>2255.9499999999998</v>
      </c>
      <c r="N80" s="121">
        <f>SUMIFS('TB &amp; MCC Cost Audit 2020-Curren'!$W:$W,'TB &amp; MCC Cost Audit 2020-Curren'!$C:$C,'MCC Margin Analysis'!$A$1,'TB &amp; MCC Cost Audit 2020-Curren'!$D:$D,'MCC Margin Analysis'!N$3,'TB &amp; MCC Cost Audit 2020-Curren'!$A:$A,'MCC Margin Analysis'!$B80)</f>
        <v>0</v>
      </c>
      <c r="Q80" s="119" t="str">
        <f t="shared" si="20"/>
        <v xml:space="preserve"> - </v>
      </c>
      <c r="R80" s="119" t="str">
        <f t="shared" si="21"/>
        <v xml:space="preserve"> - </v>
      </c>
      <c r="S80" s="119" t="str">
        <f t="shared" si="22"/>
        <v xml:space="preserve"> - </v>
      </c>
      <c r="T80" s="119">
        <f t="shared" si="23"/>
        <v>0.85211733857751548</v>
      </c>
      <c r="U80" s="119" t="str">
        <f t="shared" si="24"/>
        <v xml:space="preserve"> - </v>
      </c>
    </row>
    <row r="81" spans="2:21" x14ac:dyDescent="0.15">
      <c r="B81" s="54" t="s">
        <v>882</v>
      </c>
      <c r="C81" s="121">
        <f>SUMIFS('TB &amp; MCC Cost Audit 2020-Curren'!$P:$P,'TB &amp; MCC Cost Audit 2020-Curren'!$C:$C,'MCC Margin Analysis'!$A$1,'TB &amp; MCC Cost Audit 2020-Curren'!$D:$D,'MCC Margin Analysis'!C$3,'TB &amp; MCC Cost Audit 2020-Curren'!$A:$A,'MCC Margin Analysis'!$B81)</f>
        <v>0</v>
      </c>
      <c r="D81" s="121">
        <f>SUMIFS('TB &amp; MCC Cost Audit 2020-Curren'!$P:$P,'TB &amp; MCC Cost Audit 2020-Curren'!$C:$C,'MCC Margin Analysis'!$A$1,'TB &amp; MCC Cost Audit 2020-Curren'!$D:$D,'MCC Margin Analysis'!D$3,'TB &amp; MCC Cost Audit 2020-Curren'!$A:$A,'MCC Margin Analysis'!$B81)</f>
        <v>0</v>
      </c>
      <c r="E81" s="121">
        <f>SUMIFS('TB &amp; MCC Cost Audit 2020-Curren'!$P:$P,'TB &amp; MCC Cost Audit 2020-Curren'!$C:$C,'MCC Margin Analysis'!$A$1,'TB &amp; MCC Cost Audit 2020-Curren'!$D:$D,'MCC Margin Analysis'!E$3,'TB &amp; MCC Cost Audit 2020-Curren'!$A:$A,'MCC Margin Analysis'!$B81)</f>
        <v>0</v>
      </c>
      <c r="F81" s="121">
        <f>SUMIFS('TB &amp; MCC Cost Audit 2020-Curren'!$P:$P,'TB &amp; MCC Cost Audit 2020-Curren'!$C:$C,'MCC Margin Analysis'!$A$1,'TB &amp; MCC Cost Audit 2020-Curren'!$D:$D,'MCC Margin Analysis'!F$3,'TB &amp; MCC Cost Audit 2020-Curren'!$A:$A,'MCC Margin Analysis'!$B81)</f>
        <v>0</v>
      </c>
      <c r="G81" s="121">
        <f>SUMIFS('TB &amp; MCC Cost Audit 2020-Curren'!$P:$P,'TB &amp; MCC Cost Audit 2020-Curren'!$C:$C,'MCC Margin Analysis'!$A$1,'TB &amp; MCC Cost Audit 2020-Curren'!$D:$D,'MCC Margin Analysis'!G$3,'TB &amp; MCC Cost Audit 2020-Curren'!$A:$A,'MCC Margin Analysis'!$B81)</f>
        <v>13189</v>
      </c>
      <c r="J81" s="121">
        <f>SUMIFS('TB &amp; MCC Cost Audit 2020-Curren'!$W:$W,'TB &amp; MCC Cost Audit 2020-Curren'!$C:$C,'MCC Margin Analysis'!$A$1,'TB &amp; MCC Cost Audit 2020-Curren'!$D:$D,'MCC Margin Analysis'!J$3,'TB &amp; MCC Cost Audit 2020-Curren'!$A:$A,'MCC Margin Analysis'!$B81)</f>
        <v>0</v>
      </c>
      <c r="K81" s="121">
        <f>SUMIFS('TB &amp; MCC Cost Audit 2020-Curren'!$W:$W,'TB &amp; MCC Cost Audit 2020-Curren'!$C:$C,'MCC Margin Analysis'!$A$1,'TB &amp; MCC Cost Audit 2020-Curren'!$D:$D,'MCC Margin Analysis'!K$3,'TB &amp; MCC Cost Audit 2020-Curren'!$A:$A,'MCC Margin Analysis'!$B81)</f>
        <v>0</v>
      </c>
      <c r="L81" s="121">
        <f>SUMIFS('TB &amp; MCC Cost Audit 2020-Curren'!$W:$W,'TB &amp; MCC Cost Audit 2020-Curren'!$C:$C,'MCC Margin Analysis'!$A$1,'TB &amp; MCC Cost Audit 2020-Curren'!$D:$D,'MCC Margin Analysis'!L$3,'TB &amp; MCC Cost Audit 2020-Curren'!$A:$A,'MCC Margin Analysis'!$B81)</f>
        <v>0</v>
      </c>
      <c r="M81" s="121">
        <f>SUMIFS('TB &amp; MCC Cost Audit 2020-Curren'!$W:$W,'TB &amp; MCC Cost Audit 2020-Curren'!$C:$C,'MCC Margin Analysis'!$A$1,'TB &amp; MCC Cost Audit 2020-Curren'!$D:$D,'MCC Margin Analysis'!M$3,'TB &amp; MCC Cost Audit 2020-Curren'!$A:$A,'MCC Margin Analysis'!$B81)</f>
        <v>0</v>
      </c>
      <c r="N81" s="121">
        <f>SUMIFS('TB &amp; MCC Cost Audit 2020-Curren'!$W:$W,'TB &amp; MCC Cost Audit 2020-Curren'!$C:$C,'MCC Margin Analysis'!$A$1,'TB &amp; MCC Cost Audit 2020-Curren'!$D:$D,'MCC Margin Analysis'!N$3,'TB &amp; MCC Cost Audit 2020-Curren'!$A:$A,'MCC Margin Analysis'!$B81)</f>
        <v>2767.36</v>
      </c>
      <c r="Q81" s="119" t="str">
        <f t="shared" si="20"/>
        <v xml:space="preserve"> - </v>
      </c>
      <c r="R81" s="119" t="str">
        <f t="shared" si="21"/>
        <v xml:space="preserve"> - </v>
      </c>
      <c r="S81" s="119" t="str">
        <f t="shared" si="22"/>
        <v xml:space="preserve"> - </v>
      </c>
      <c r="T81" s="119" t="str">
        <f t="shared" si="23"/>
        <v xml:space="preserve"> - </v>
      </c>
      <c r="U81" s="119">
        <f t="shared" si="24"/>
        <v>0.79017666237015693</v>
      </c>
    </row>
    <row r="82" spans="2:21" x14ac:dyDescent="0.15">
      <c r="B82" s="54" t="s">
        <v>301</v>
      </c>
      <c r="C82" s="121">
        <f>SUMIFS('TB &amp; MCC Cost Audit 2020-Curren'!$P:$P,'TB &amp; MCC Cost Audit 2020-Curren'!$C:$C,'MCC Margin Analysis'!$A$1,'TB &amp; MCC Cost Audit 2020-Curren'!$D:$D,'MCC Margin Analysis'!C$3,'TB &amp; MCC Cost Audit 2020-Curren'!$A:$A,'MCC Margin Analysis'!$B82)</f>
        <v>0</v>
      </c>
      <c r="D82" s="121">
        <f>SUMIFS('TB &amp; MCC Cost Audit 2020-Curren'!$P:$P,'TB &amp; MCC Cost Audit 2020-Curren'!$C:$C,'MCC Margin Analysis'!$A$1,'TB &amp; MCC Cost Audit 2020-Curren'!$D:$D,'MCC Margin Analysis'!D$3,'TB &amp; MCC Cost Audit 2020-Curren'!$A:$A,'MCC Margin Analysis'!$B82)</f>
        <v>9572</v>
      </c>
      <c r="E82" s="121">
        <f>SUMIFS('TB &amp; MCC Cost Audit 2020-Curren'!$P:$P,'TB &amp; MCC Cost Audit 2020-Curren'!$C:$C,'MCC Margin Analysis'!$A$1,'TB &amp; MCC Cost Audit 2020-Curren'!$D:$D,'MCC Margin Analysis'!E$3,'TB &amp; MCC Cost Audit 2020-Curren'!$A:$A,'MCC Margin Analysis'!$B82)</f>
        <v>9572</v>
      </c>
      <c r="F82" s="121">
        <f>SUMIFS('TB &amp; MCC Cost Audit 2020-Curren'!$P:$P,'TB &amp; MCC Cost Audit 2020-Curren'!$C:$C,'MCC Margin Analysis'!$A$1,'TB &amp; MCC Cost Audit 2020-Curren'!$D:$D,'MCC Margin Analysis'!F$3,'TB &amp; MCC Cost Audit 2020-Curren'!$A:$A,'MCC Margin Analysis'!$B82)</f>
        <v>10471</v>
      </c>
      <c r="G82" s="121">
        <f>SUMIFS('TB &amp; MCC Cost Audit 2020-Curren'!$P:$P,'TB &amp; MCC Cost Audit 2020-Curren'!$C:$C,'MCC Margin Analysis'!$A$1,'TB &amp; MCC Cost Audit 2020-Curren'!$D:$D,'MCC Margin Analysis'!G$3,'TB &amp; MCC Cost Audit 2020-Curren'!$A:$A,'MCC Margin Analysis'!$B82)</f>
        <v>10471</v>
      </c>
      <c r="J82" s="121">
        <f>SUMIFS('TB &amp; MCC Cost Audit 2020-Curren'!$W:$W,'TB &amp; MCC Cost Audit 2020-Curren'!$C:$C,'MCC Margin Analysis'!$A$1,'TB &amp; MCC Cost Audit 2020-Curren'!$D:$D,'MCC Margin Analysis'!J$3,'TB &amp; MCC Cost Audit 2020-Curren'!$A:$A,'MCC Margin Analysis'!$B82)</f>
        <v>0</v>
      </c>
      <c r="K82" s="121">
        <f>SUMIFS('TB &amp; MCC Cost Audit 2020-Curren'!$W:$W,'TB &amp; MCC Cost Audit 2020-Curren'!$C:$C,'MCC Margin Analysis'!$A$1,'TB &amp; MCC Cost Audit 2020-Curren'!$D:$D,'MCC Margin Analysis'!K$3,'TB &amp; MCC Cost Audit 2020-Curren'!$A:$A,'MCC Margin Analysis'!$B82)</f>
        <v>2543.3500000000004</v>
      </c>
      <c r="L82" s="121">
        <f>SUMIFS('TB &amp; MCC Cost Audit 2020-Curren'!$W:$W,'TB &amp; MCC Cost Audit 2020-Curren'!$C:$C,'MCC Margin Analysis'!$A$1,'TB &amp; MCC Cost Audit 2020-Curren'!$D:$D,'MCC Margin Analysis'!L$3,'TB &amp; MCC Cost Audit 2020-Curren'!$A:$A,'MCC Margin Analysis'!$B82)</f>
        <v>1889.3600000000001</v>
      </c>
      <c r="M82" s="121">
        <f>SUMIFS('TB &amp; MCC Cost Audit 2020-Curren'!$W:$W,'TB &amp; MCC Cost Audit 2020-Curren'!$C:$C,'MCC Margin Analysis'!$A$1,'TB &amp; MCC Cost Audit 2020-Curren'!$D:$D,'MCC Margin Analysis'!M$3,'TB &amp; MCC Cost Audit 2020-Curren'!$A:$A,'MCC Margin Analysis'!$B82)</f>
        <v>2590.6</v>
      </c>
      <c r="N82" s="121">
        <f>SUMIFS('TB &amp; MCC Cost Audit 2020-Curren'!$W:$W,'TB &amp; MCC Cost Audit 2020-Curren'!$C:$C,'MCC Margin Analysis'!$A$1,'TB &amp; MCC Cost Audit 2020-Curren'!$D:$D,'MCC Margin Analysis'!N$3,'TB &amp; MCC Cost Audit 2020-Curren'!$A:$A,'MCC Margin Analysis'!$B82)</f>
        <v>1958.16</v>
      </c>
      <c r="Q82" s="119" t="str">
        <f t="shared" si="20"/>
        <v xml:space="preserve"> - </v>
      </c>
      <c r="R82" s="119">
        <f t="shared" si="21"/>
        <v>0.73429272879231089</v>
      </c>
      <c r="S82" s="119">
        <f t="shared" si="22"/>
        <v>0.80261596322607598</v>
      </c>
      <c r="T82" s="119">
        <f t="shared" si="23"/>
        <v>0.75259287556107346</v>
      </c>
      <c r="U82" s="119">
        <f t="shared" si="24"/>
        <v>0.81299207334543022</v>
      </c>
    </row>
    <row r="83" spans="2:21" x14ac:dyDescent="0.15">
      <c r="B83" s="54" t="s">
        <v>231</v>
      </c>
      <c r="C83" s="121">
        <f>SUMIFS('TB &amp; MCC Cost Audit 2020-Curren'!$P:$P,'TB &amp; MCC Cost Audit 2020-Curren'!$C:$C,'MCC Margin Analysis'!$A$1,'TB &amp; MCC Cost Audit 2020-Curren'!$D:$D,'MCC Margin Analysis'!C$3,'TB &amp; MCC Cost Audit 2020-Curren'!$A:$A,'MCC Margin Analysis'!$B83)</f>
        <v>37577.050000000003</v>
      </c>
      <c r="D83" s="121">
        <f>SUMIFS('TB &amp; MCC Cost Audit 2020-Curren'!$P:$P,'TB &amp; MCC Cost Audit 2020-Curren'!$C:$C,'MCC Margin Analysis'!$A$1,'TB &amp; MCC Cost Audit 2020-Curren'!$D:$D,'MCC Margin Analysis'!D$3,'TB &amp; MCC Cost Audit 2020-Curren'!$A:$A,'MCC Margin Analysis'!$B83)</f>
        <v>37577</v>
      </c>
      <c r="E83" s="121">
        <f>SUMIFS('TB &amp; MCC Cost Audit 2020-Curren'!$P:$P,'TB &amp; MCC Cost Audit 2020-Curren'!$C:$C,'MCC Margin Analysis'!$A$1,'TB &amp; MCC Cost Audit 2020-Curren'!$D:$D,'MCC Margin Analysis'!E$3,'TB &amp; MCC Cost Audit 2020-Curren'!$A:$A,'MCC Margin Analysis'!$B83)</f>
        <v>38329</v>
      </c>
      <c r="F83" s="121">
        <f>SUMIFS('TB &amp; MCC Cost Audit 2020-Curren'!$P:$P,'TB &amp; MCC Cost Audit 2020-Curren'!$C:$C,'MCC Margin Analysis'!$A$1,'TB &amp; MCC Cost Audit 2020-Curren'!$D:$D,'MCC Margin Analysis'!F$3,'TB &amp; MCC Cost Audit 2020-Curren'!$A:$A,'MCC Margin Analysis'!$B83)</f>
        <v>39095</v>
      </c>
      <c r="G83" s="121">
        <f>SUMIFS('TB &amp; MCC Cost Audit 2020-Curren'!$P:$P,'TB &amp; MCC Cost Audit 2020-Curren'!$C:$C,'MCC Margin Analysis'!$A$1,'TB &amp; MCC Cost Audit 2020-Curren'!$D:$D,'MCC Margin Analysis'!G$3,'TB &amp; MCC Cost Audit 2020-Curren'!$A:$A,'MCC Margin Analysis'!$B83)</f>
        <v>43004</v>
      </c>
      <c r="J83" s="121">
        <f>SUMIFS('TB &amp; MCC Cost Audit 2020-Curren'!$W:$W,'TB &amp; MCC Cost Audit 2020-Curren'!$C:$C,'MCC Margin Analysis'!$A$1,'TB &amp; MCC Cost Audit 2020-Curren'!$D:$D,'MCC Margin Analysis'!J$3,'TB &amp; MCC Cost Audit 2020-Curren'!$A:$A,'MCC Margin Analysis'!$B83)</f>
        <v>5118.75</v>
      </c>
      <c r="K83" s="121">
        <f>SUMIFS('TB &amp; MCC Cost Audit 2020-Curren'!$W:$W,'TB &amp; MCC Cost Audit 2020-Curren'!$C:$C,'MCC Margin Analysis'!$A$1,'TB &amp; MCC Cost Audit 2020-Curren'!$D:$D,'MCC Margin Analysis'!K$3,'TB &amp; MCC Cost Audit 2020-Curren'!$A:$A,'MCC Margin Analysis'!$B83)</f>
        <v>10880.21</v>
      </c>
      <c r="L83" s="121">
        <f>SUMIFS('TB &amp; MCC Cost Audit 2020-Curren'!$W:$W,'TB &amp; MCC Cost Audit 2020-Curren'!$C:$C,'MCC Margin Analysis'!$A$1,'TB &amp; MCC Cost Audit 2020-Curren'!$D:$D,'MCC Margin Analysis'!L$3,'TB &amp; MCC Cost Audit 2020-Curren'!$A:$A,'MCC Margin Analysis'!$B83)</f>
        <v>11322.039999999999</v>
      </c>
      <c r="M83" s="121">
        <f>SUMIFS('TB &amp; MCC Cost Audit 2020-Curren'!$W:$W,'TB &amp; MCC Cost Audit 2020-Curren'!$C:$C,'MCC Margin Analysis'!$A$1,'TB &amp; MCC Cost Audit 2020-Curren'!$D:$D,'MCC Margin Analysis'!M$3,'TB &amp; MCC Cost Audit 2020-Curren'!$A:$A,'MCC Margin Analysis'!$B83)</f>
        <v>14911.86</v>
      </c>
      <c r="N83" s="121">
        <f>SUMIFS('TB &amp; MCC Cost Audit 2020-Curren'!$W:$W,'TB &amp; MCC Cost Audit 2020-Curren'!$C:$C,'MCC Margin Analysis'!$A$1,'TB &amp; MCC Cost Audit 2020-Curren'!$D:$D,'MCC Margin Analysis'!N$3,'TB &amp; MCC Cost Audit 2020-Curren'!$A:$A,'MCC Margin Analysis'!$B83)</f>
        <v>12923.619999999999</v>
      </c>
      <c r="Q83" s="119">
        <f t="shared" si="20"/>
        <v>0.86377988692566343</v>
      </c>
      <c r="R83" s="119">
        <f t="shared" si="21"/>
        <v>0.71045559783910373</v>
      </c>
      <c r="S83" s="119">
        <f t="shared" si="22"/>
        <v>0.70460904276135561</v>
      </c>
      <c r="T83" s="119">
        <f t="shared" si="23"/>
        <v>0.61857373065609411</v>
      </c>
      <c r="U83" s="119">
        <f t="shared" si="24"/>
        <v>0.69947865314854429</v>
      </c>
    </row>
    <row r="84" spans="2:21" x14ac:dyDescent="0.15">
      <c r="B84" s="54" t="s">
        <v>196</v>
      </c>
      <c r="C84" s="121">
        <f>SUMIFS('TB &amp; MCC Cost Audit 2020-Curren'!$P:$P,'TB &amp; MCC Cost Audit 2020-Curren'!$C:$C,'MCC Margin Analysis'!$A$1,'TB &amp; MCC Cost Audit 2020-Curren'!$D:$D,'MCC Margin Analysis'!C$3,'TB &amp; MCC Cost Audit 2020-Curren'!$A:$A,'MCC Margin Analysis'!$B84)</f>
        <v>17424</v>
      </c>
      <c r="D84" s="121">
        <f>SUMIFS('TB &amp; MCC Cost Audit 2020-Curren'!$P:$P,'TB &amp; MCC Cost Audit 2020-Curren'!$C:$C,'MCC Margin Analysis'!$A$1,'TB &amp; MCC Cost Audit 2020-Curren'!$D:$D,'MCC Margin Analysis'!D$3,'TB &amp; MCC Cost Audit 2020-Curren'!$A:$A,'MCC Margin Analysis'!$B84)</f>
        <v>18295</v>
      </c>
      <c r="E84" s="121">
        <f>SUMIFS('TB &amp; MCC Cost Audit 2020-Curren'!$P:$P,'TB &amp; MCC Cost Audit 2020-Curren'!$C:$C,'MCC Margin Analysis'!$A$1,'TB &amp; MCC Cost Audit 2020-Curren'!$D:$D,'MCC Margin Analysis'!E$3,'TB &amp; MCC Cost Audit 2020-Curren'!$A:$A,'MCC Margin Analysis'!$B84)</f>
        <v>23787</v>
      </c>
      <c r="F84" s="121">
        <f>SUMIFS('TB &amp; MCC Cost Audit 2020-Curren'!$P:$P,'TB &amp; MCC Cost Audit 2020-Curren'!$C:$C,'MCC Margin Analysis'!$A$1,'TB &amp; MCC Cost Audit 2020-Curren'!$D:$D,'MCC Margin Analysis'!F$3,'TB &amp; MCC Cost Audit 2020-Curren'!$A:$A,'MCC Margin Analysis'!$B84)</f>
        <v>25571</v>
      </c>
      <c r="G84" s="121">
        <f>SUMIFS('TB &amp; MCC Cost Audit 2020-Curren'!$P:$P,'TB &amp; MCC Cost Audit 2020-Curren'!$C:$C,'MCC Margin Analysis'!$A$1,'TB &amp; MCC Cost Audit 2020-Curren'!$D:$D,'MCC Margin Analysis'!G$3,'TB &amp; MCC Cost Audit 2020-Curren'!$A:$A,'MCC Margin Analysis'!$B84)</f>
        <v>29552</v>
      </c>
      <c r="J84" s="121">
        <f>SUMIFS('TB &amp; MCC Cost Audit 2020-Curren'!$W:$W,'TB &amp; MCC Cost Audit 2020-Curren'!$C:$C,'MCC Margin Analysis'!$A$1,'TB &amp; MCC Cost Audit 2020-Curren'!$D:$D,'MCC Margin Analysis'!J$3,'TB &amp; MCC Cost Audit 2020-Curren'!$A:$A,'MCC Margin Analysis'!$B84)</f>
        <v>3394.7200000000003</v>
      </c>
      <c r="K84" s="121">
        <f>SUMIFS('TB &amp; MCC Cost Audit 2020-Curren'!$W:$W,'TB &amp; MCC Cost Audit 2020-Curren'!$C:$C,'MCC Margin Analysis'!$A$1,'TB &amp; MCC Cost Audit 2020-Curren'!$D:$D,'MCC Margin Analysis'!K$3,'TB &amp; MCC Cost Audit 2020-Curren'!$A:$A,'MCC Margin Analysis'!$B84)</f>
        <v>5093.59</v>
      </c>
      <c r="L84" s="121">
        <f>SUMIFS('TB &amp; MCC Cost Audit 2020-Curren'!$W:$W,'TB &amp; MCC Cost Audit 2020-Curren'!$C:$C,'MCC Margin Analysis'!$A$1,'TB &amp; MCC Cost Audit 2020-Curren'!$D:$D,'MCC Margin Analysis'!L$3,'TB &amp; MCC Cost Audit 2020-Curren'!$A:$A,'MCC Margin Analysis'!$B84)</f>
        <v>3324.79</v>
      </c>
      <c r="M84" s="121">
        <f>SUMIFS('TB &amp; MCC Cost Audit 2020-Curren'!$W:$W,'TB &amp; MCC Cost Audit 2020-Curren'!$C:$C,'MCC Margin Analysis'!$A$1,'TB &amp; MCC Cost Audit 2020-Curren'!$D:$D,'MCC Margin Analysis'!M$3,'TB &amp; MCC Cost Audit 2020-Curren'!$A:$A,'MCC Margin Analysis'!$B84)</f>
        <v>4254.3</v>
      </c>
      <c r="N84" s="121">
        <f>SUMIFS('TB &amp; MCC Cost Audit 2020-Curren'!$W:$W,'TB &amp; MCC Cost Audit 2020-Curren'!$C:$C,'MCC Margin Analysis'!$A$1,'TB &amp; MCC Cost Audit 2020-Curren'!$D:$D,'MCC Margin Analysis'!N$3,'TB &amp; MCC Cost Audit 2020-Curren'!$A:$A,'MCC Margin Analysis'!$B84)</f>
        <v>4467.42</v>
      </c>
      <c r="Q84" s="119">
        <f t="shared" si="20"/>
        <v>0.80516988062442596</v>
      </c>
      <c r="R84" s="119">
        <f t="shared" si="21"/>
        <v>0.72158567914730798</v>
      </c>
      <c r="S84" s="119">
        <f t="shared" si="22"/>
        <v>0.86022659435826287</v>
      </c>
      <c r="T84" s="119">
        <f t="shared" si="23"/>
        <v>0.83362793789840051</v>
      </c>
      <c r="U84" s="119">
        <f t="shared" si="24"/>
        <v>0.84882850568489443</v>
      </c>
    </row>
    <row r="85" spans="2:21" x14ac:dyDescent="0.15">
      <c r="B85" s="54" t="s">
        <v>107</v>
      </c>
      <c r="C85" s="121">
        <f>SUMIFS('TB &amp; MCC Cost Audit 2020-Curren'!$P:$P,'TB &amp; MCC Cost Audit 2020-Curren'!$C:$C,'MCC Margin Analysis'!$A$1,'TB &amp; MCC Cost Audit 2020-Curren'!$D:$D,'MCC Margin Analysis'!C$3,'TB &amp; MCC Cost Audit 2020-Curren'!$A:$A,'MCC Margin Analysis'!$B85)</f>
        <v>0</v>
      </c>
      <c r="D85" s="121">
        <f>SUMIFS('TB &amp; MCC Cost Audit 2020-Curren'!$P:$P,'TB &amp; MCC Cost Audit 2020-Curren'!$C:$C,'MCC Margin Analysis'!$A$1,'TB &amp; MCC Cost Audit 2020-Curren'!$D:$D,'MCC Margin Analysis'!D$3,'TB &amp; MCC Cost Audit 2020-Curren'!$A:$A,'MCC Margin Analysis'!$B85)</f>
        <v>0</v>
      </c>
      <c r="E85" s="121">
        <f>SUMIFS('TB &amp; MCC Cost Audit 2020-Curren'!$P:$P,'TB &amp; MCC Cost Audit 2020-Curren'!$C:$C,'MCC Margin Analysis'!$A$1,'TB &amp; MCC Cost Audit 2020-Curren'!$D:$D,'MCC Margin Analysis'!E$3,'TB &amp; MCC Cost Audit 2020-Curren'!$A:$A,'MCC Margin Analysis'!$B85)</f>
        <v>0</v>
      </c>
      <c r="F85" s="121">
        <f>SUMIFS('TB &amp; MCC Cost Audit 2020-Curren'!$P:$P,'TB &amp; MCC Cost Audit 2020-Curren'!$C:$C,'MCC Margin Analysis'!$A$1,'TB &amp; MCC Cost Audit 2020-Curren'!$D:$D,'MCC Margin Analysis'!F$3,'TB &amp; MCC Cost Audit 2020-Curren'!$A:$A,'MCC Margin Analysis'!$B85)</f>
        <v>0</v>
      </c>
      <c r="G85" s="121">
        <f>SUMIFS('TB &amp; MCC Cost Audit 2020-Curren'!$P:$P,'TB &amp; MCC Cost Audit 2020-Curren'!$C:$C,'MCC Margin Analysis'!$A$1,'TB &amp; MCC Cost Audit 2020-Curren'!$D:$D,'MCC Margin Analysis'!G$3,'TB &amp; MCC Cost Audit 2020-Curren'!$A:$A,'MCC Margin Analysis'!$B85)</f>
        <v>0</v>
      </c>
      <c r="J85" s="121">
        <f>SUMIFS('TB &amp; MCC Cost Audit 2020-Curren'!$W:$W,'TB &amp; MCC Cost Audit 2020-Curren'!$C:$C,'MCC Margin Analysis'!$A$1,'TB &amp; MCC Cost Audit 2020-Curren'!$D:$D,'MCC Margin Analysis'!J$3,'TB &amp; MCC Cost Audit 2020-Curren'!$A:$A,'MCC Margin Analysis'!$B85)</f>
        <v>0</v>
      </c>
      <c r="K85" s="121">
        <f>SUMIFS('TB &amp; MCC Cost Audit 2020-Curren'!$W:$W,'TB &amp; MCC Cost Audit 2020-Curren'!$C:$C,'MCC Margin Analysis'!$A$1,'TB &amp; MCC Cost Audit 2020-Curren'!$D:$D,'MCC Margin Analysis'!K$3,'TB &amp; MCC Cost Audit 2020-Curren'!$A:$A,'MCC Margin Analysis'!$B85)</f>
        <v>0</v>
      </c>
      <c r="L85" s="121">
        <f>SUMIFS('TB &amp; MCC Cost Audit 2020-Curren'!$W:$W,'TB &amp; MCC Cost Audit 2020-Curren'!$C:$C,'MCC Margin Analysis'!$A$1,'TB &amp; MCC Cost Audit 2020-Curren'!$D:$D,'MCC Margin Analysis'!L$3,'TB &amp; MCC Cost Audit 2020-Curren'!$A:$A,'MCC Margin Analysis'!$B85)</f>
        <v>0</v>
      </c>
      <c r="M85" s="121">
        <f>SUMIFS('TB &amp; MCC Cost Audit 2020-Curren'!$W:$W,'TB &amp; MCC Cost Audit 2020-Curren'!$C:$C,'MCC Margin Analysis'!$A$1,'TB &amp; MCC Cost Audit 2020-Curren'!$D:$D,'MCC Margin Analysis'!M$3,'TB &amp; MCC Cost Audit 2020-Curren'!$A:$A,'MCC Margin Analysis'!$B85)</f>
        <v>0</v>
      </c>
      <c r="N85" s="121">
        <f>SUMIFS('TB &amp; MCC Cost Audit 2020-Curren'!$W:$W,'TB &amp; MCC Cost Audit 2020-Curren'!$C:$C,'MCC Margin Analysis'!$A$1,'TB &amp; MCC Cost Audit 2020-Curren'!$D:$D,'MCC Margin Analysis'!N$3,'TB &amp; MCC Cost Audit 2020-Curren'!$A:$A,'MCC Margin Analysis'!$B85)</f>
        <v>0</v>
      </c>
      <c r="Q85" s="119" t="str">
        <f t="shared" si="20"/>
        <v xml:space="preserve"> - </v>
      </c>
      <c r="R85" s="119" t="str">
        <f t="shared" si="21"/>
        <v xml:space="preserve"> - </v>
      </c>
      <c r="S85" s="119" t="str">
        <f t="shared" si="22"/>
        <v xml:space="preserve"> - </v>
      </c>
      <c r="T85" s="119" t="str">
        <f t="shared" si="23"/>
        <v xml:space="preserve"> - </v>
      </c>
      <c r="U85" s="119" t="str">
        <f t="shared" si="24"/>
        <v xml:space="preserve"> - </v>
      </c>
    </row>
    <row r="86" spans="2:21" x14ac:dyDescent="0.15">
      <c r="B86" s="54" t="s">
        <v>79</v>
      </c>
      <c r="C86" s="121">
        <f>SUMIFS('TB &amp; MCC Cost Audit 2020-Curren'!$P:$P,'TB &amp; MCC Cost Audit 2020-Curren'!$C:$C,'MCC Margin Analysis'!$A$1,'TB &amp; MCC Cost Audit 2020-Curren'!$D:$D,'MCC Margin Analysis'!C$3,'TB &amp; MCC Cost Audit 2020-Curren'!$A:$A,'MCC Margin Analysis'!$B86)</f>
        <v>0</v>
      </c>
      <c r="D86" s="121">
        <f>SUMIFS('TB &amp; MCC Cost Audit 2020-Curren'!$P:$P,'TB &amp; MCC Cost Audit 2020-Curren'!$C:$C,'MCC Margin Analysis'!$A$1,'TB &amp; MCC Cost Audit 2020-Curren'!$D:$D,'MCC Margin Analysis'!D$3,'TB &amp; MCC Cost Audit 2020-Curren'!$A:$A,'MCC Margin Analysis'!$B86)</f>
        <v>0</v>
      </c>
      <c r="E86" s="121">
        <f>SUMIFS('TB &amp; MCC Cost Audit 2020-Curren'!$P:$P,'TB &amp; MCC Cost Audit 2020-Curren'!$C:$C,'MCC Margin Analysis'!$A$1,'TB &amp; MCC Cost Audit 2020-Curren'!$D:$D,'MCC Margin Analysis'!E$3,'TB &amp; MCC Cost Audit 2020-Curren'!$A:$A,'MCC Margin Analysis'!$B86)</f>
        <v>0</v>
      </c>
      <c r="F86" s="121">
        <f>SUMIFS('TB &amp; MCC Cost Audit 2020-Curren'!$P:$P,'TB &amp; MCC Cost Audit 2020-Curren'!$C:$C,'MCC Margin Analysis'!$A$1,'TB &amp; MCC Cost Audit 2020-Curren'!$D:$D,'MCC Margin Analysis'!F$3,'TB &amp; MCC Cost Audit 2020-Curren'!$A:$A,'MCC Margin Analysis'!$B86)</f>
        <v>0</v>
      </c>
      <c r="G86" s="121">
        <f>SUMIFS('TB &amp; MCC Cost Audit 2020-Curren'!$P:$P,'TB &amp; MCC Cost Audit 2020-Curren'!$C:$C,'MCC Margin Analysis'!$A$1,'TB &amp; MCC Cost Audit 2020-Curren'!$D:$D,'MCC Margin Analysis'!G$3,'TB &amp; MCC Cost Audit 2020-Curren'!$A:$A,'MCC Margin Analysis'!$B86)</f>
        <v>0</v>
      </c>
      <c r="J86" s="121">
        <f>SUMIFS('TB &amp; MCC Cost Audit 2020-Curren'!$W:$W,'TB &amp; MCC Cost Audit 2020-Curren'!$C:$C,'MCC Margin Analysis'!$A$1,'TB &amp; MCC Cost Audit 2020-Curren'!$D:$D,'MCC Margin Analysis'!J$3,'TB &amp; MCC Cost Audit 2020-Curren'!$A:$A,'MCC Margin Analysis'!$B86)</f>
        <v>0</v>
      </c>
      <c r="K86" s="121">
        <f>SUMIFS('TB &amp; MCC Cost Audit 2020-Curren'!$W:$W,'TB &amp; MCC Cost Audit 2020-Curren'!$C:$C,'MCC Margin Analysis'!$A$1,'TB &amp; MCC Cost Audit 2020-Curren'!$D:$D,'MCC Margin Analysis'!K$3,'TB &amp; MCC Cost Audit 2020-Curren'!$A:$A,'MCC Margin Analysis'!$B86)</f>
        <v>0</v>
      </c>
      <c r="L86" s="121">
        <f>SUMIFS('TB &amp; MCC Cost Audit 2020-Curren'!$W:$W,'TB &amp; MCC Cost Audit 2020-Curren'!$C:$C,'MCC Margin Analysis'!$A$1,'TB &amp; MCC Cost Audit 2020-Curren'!$D:$D,'MCC Margin Analysis'!L$3,'TB &amp; MCC Cost Audit 2020-Curren'!$A:$A,'MCC Margin Analysis'!$B86)</f>
        <v>0</v>
      </c>
      <c r="M86" s="121">
        <f>SUMIFS('TB &amp; MCC Cost Audit 2020-Curren'!$W:$W,'TB &amp; MCC Cost Audit 2020-Curren'!$C:$C,'MCC Margin Analysis'!$A$1,'TB &amp; MCC Cost Audit 2020-Curren'!$D:$D,'MCC Margin Analysis'!M$3,'TB &amp; MCC Cost Audit 2020-Curren'!$A:$A,'MCC Margin Analysis'!$B86)</f>
        <v>0</v>
      </c>
      <c r="N86" s="121">
        <f>SUMIFS('TB &amp; MCC Cost Audit 2020-Curren'!$W:$W,'TB &amp; MCC Cost Audit 2020-Curren'!$C:$C,'MCC Margin Analysis'!$A$1,'TB &amp; MCC Cost Audit 2020-Curren'!$D:$D,'MCC Margin Analysis'!N$3,'TB &amp; MCC Cost Audit 2020-Curren'!$A:$A,'MCC Margin Analysis'!$B86)</f>
        <v>0</v>
      </c>
      <c r="Q86" s="119" t="str">
        <f t="shared" si="20"/>
        <v xml:space="preserve"> - </v>
      </c>
      <c r="R86" s="119" t="str">
        <f t="shared" si="21"/>
        <v xml:space="preserve"> - </v>
      </c>
      <c r="S86" s="119" t="str">
        <f t="shared" si="22"/>
        <v xml:space="preserve"> - </v>
      </c>
      <c r="T86" s="119" t="str">
        <f t="shared" si="23"/>
        <v xml:space="preserve"> - </v>
      </c>
      <c r="U86" s="119" t="str">
        <f t="shared" si="24"/>
        <v xml:space="preserve"> - </v>
      </c>
    </row>
    <row r="87" spans="2:21" x14ac:dyDescent="0.15">
      <c r="B87" s="54" t="s">
        <v>377</v>
      </c>
      <c r="C87" s="121">
        <f>SUMIFS('TB &amp; MCC Cost Audit 2020-Curren'!$P:$P,'TB &amp; MCC Cost Audit 2020-Curren'!$C:$C,'MCC Margin Analysis'!$A$1,'TB &amp; MCC Cost Audit 2020-Curren'!$D:$D,'MCC Margin Analysis'!C$3,'TB &amp; MCC Cost Audit 2020-Curren'!$A:$A,'MCC Margin Analysis'!$B87)</f>
        <v>9680</v>
      </c>
      <c r="D87" s="121">
        <f>SUMIFS('TB &amp; MCC Cost Audit 2020-Curren'!$P:$P,'TB &amp; MCC Cost Audit 2020-Curren'!$C:$C,'MCC Margin Analysis'!$A$1,'TB &amp; MCC Cost Audit 2020-Curren'!$D:$D,'MCC Margin Analysis'!D$3,'TB &amp; MCC Cost Audit 2020-Curren'!$A:$A,'MCC Margin Analysis'!$B87)</f>
        <v>9572</v>
      </c>
      <c r="E87" s="121">
        <f>SUMIFS('TB &amp; MCC Cost Audit 2020-Curren'!$P:$P,'TB &amp; MCC Cost Audit 2020-Curren'!$C:$C,'MCC Margin Analysis'!$A$1,'TB &amp; MCC Cost Audit 2020-Curren'!$D:$D,'MCC Margin Analysis'!E$3,'TB &amp; MCC Cost Audit 2020-Curren'!$A:$A,'MCC Margin Analysis'!$B87)</f>
        <v>11810</v>
      </c>
      <c r="F87" s="121">
        <f>SUMIFS('TB &amp; MCC Cost Audit 2020-Curren'!$P:$P,'TB &amp; MCC Cost Audit 2020-Curren'!$C:$C,'MCC Margin Analysis'!$A$1,'TB &amp; MCC Cost Audit 2020-Curren'!$D:$D,'MCC Margin Analysis'!F$3,'TB &amp; MCC Cost Audit 2020-Curren'!$A:$A,'MCC Margin Analysis'!$B87)</f>
        <v>11410</v>
      </c>
      <c r="G87" s="121">
        <f>SUMIFS('TB &amp; MCC Cost Audit 2020-Curren'!$P:$P,'TB &amp; MCC Cost Audit 2020-Curren'!$C:$C,'MCC Margin Analysis'!$A$1,'TB &amp; MCC Cost Audit 2020-Curren'!$D:$D,'MCC Margin Analysis'!G$3,'TB &amp; MCC Cost Audit 2020-Curren'!$A:$A,'MCC Margin Analysis'!$B87)</f>
        <v>11024</v>
      </c>
      <c r="J87" s="121">
        <f>SUMIFS('TB &amp; MCC Cost Audit 2020-Curren'!$W:$W,'TB &amp; MCC Cost Audit 2020-Curren'!$C:$C,'MCC Margin Analysis'!$A$1,'TB &amp; MCC Cost Audit 2020-Curren'!$D:$D,'MCC Margin Analysis'!J$3,'TB &amp; MCC Cost Audit 2020-Curren'!$A:$A,'MCC Margin Analysis'!$B87)</f>
        <v>3324.99</v>
      </c>
      <c r="K87" s="121">
        <f>SUMIFS('TB &amp; MCC Cost Audit 2020-Curren'!$W:$W,'TB &amp; MCC Cost Audit 2020-Curren'!$C:$C,'MCC Margin Analysis'!$A$1,'TB &amp; MCC Cost Audit 2020-Curren'!$D:$D,'MCC Margin Analysis'!K$3,'TB &amp; MCC Cost Audit 2020-Curren'!$A:$A,'MCC Margin Analysis'!$B87)</f>
        <v>1934.3200000000002</v>
      </c>
      <c r="L87" s="121">
        <f>SUMIFS('TB &amp; MCC Cost Audit 2020-Curren'!$W:$W,'TB &amp; MCC Cost Audit 2020-Curren'!$C:$C,'MCC Margin Analysis'!$A$1,'TB &amp; MCC Cost Audit 2020-Curren'!$D:$D,'MCC Margin Analysis'!L$3,'TB &amp; MCC Cost Audit 2020-Curren'!$A:$A,'MCC Margin Analysis'!$B87)</f>
        <v>5296.76</v>
      </c>
      <c r="M87" s="121">
        <f>SUMIFS('TB &amp; MCC Cost Audit 2020-Curren'!$W:$W,'TB &amp; MCC Cost Audit 2020-Curren'!$C:$C,'MCC Margin Analysis'!$A$1,'TB &amp; MCC Cost Audit 2020-Curren'!$D:$D,'MCC Margin Analysis'!M$3,'TB &amp; MCC Cost Audit 2020-Curren'!$A:$A,'MCC Margin Analysis'!$B87)</f>
        <v>2371.8000000000002</v>
      </c>
      <c r="N87" s="121">
        <f>SUMIFS('TB &amp; MCC Cost Audit 2020-Curren'!$W:$W,'TB &amp; MCC Cost Audit 2020-Curren'!$C:$C,'MCC Margin Analysis'!$A$1,'TB &amp; MCC Cost Audit 2020-Curren'!$D:$D,'MCC Margin Analysis'!N$3,'TB &amp; MCC Cost Audit 2020-Curren'!$A:$A,'MCC Margin Analysis'!$B87)</f>
        <v>1358.64</v>
      </c>
      <c r="Q87" s="119">
        <f t="shared" ref="Q87" si="25">IFERROR((C87-J87)/C87," - ")</f>
        <v>0.65650929752066123</v>
      </c>
      <c r="R87" s="119">
        <f t="shared" ref="R87" si="26">IFERROR((D87-K87)/D87," - ")</f>
        <v>0.79791893021312166</v>
      </c>
      <c r="S87" s="119">
        <f t="shared" ref="S87" si="27">IFERROR((E87-L87)/E87," - ")</f>
        <v>0.55150211685012696</v>
      </c>
      <c r="T87" s="119">
        <f t="shared" ref="T87" si="28">IFERROR((F87-M87)/F87," - ")</f>
        <v>0.79212971078001759</v>
      </c>
      <c r="U87" s="119">
        <f t="shared" ref="U87" si="29">IFERROR((G87-N87)/G87," - ")</f>
        <v>0.87675616835994197</v>
      </c>
    </row>
    <row r="88" spans="2:21" x14ac:dyDescent="0.15">
      <c r="B88" s="54" t="s">
        <v>2684</v>
      </c>
      <c r="C88" s="121">
        <f>SUMIFS('TB &amp; MCC Cost Audit 2020-Curren'!$P:$P,'TB &amp; MCC Cost Audit 2020-Curren'!$C:$C,'MCC Margin Analysis'!$A$1,'TB &amp; MCC Cost Audit 2020-Curren'!$D:$D,'MCC Margin Analysis'!C$3,'TB &amp; MCC Cost Audit 2020-Curren'!$A:$A,'MCC Margin Analysis'!$B88)</f>
        <v>0</v>
      </c>
      <c r="D88" s="121">
        <f>SUMIFS('TB &amp; MCC Cost Audit 2020-Curren'!$P:$P,'TB &amp; MCC Cost Audit 2020-Curren'!$C:$C,'MCC Margin Analysis'!$A$1,'TB &amp; MCC Cost Audit 2020-Curren'!$D:$D,'MCC Margin Analysis'!D$3,'TB &amp; MCC Cost Audit 2020-Curren'!$A:$A,'MCC Margin Analysis'!$B88)</f>
        <v>0</v>
      </c>
      <c r="E88" s="121">
        <f>SUMIFS('TB &amp; MCC Cost Audit 2020-Curren'!$P:$P,'TB &amp; MCC Cost Audit 2020-Curren'!$C:$C,'MCC Margin Analysis'!$A$1,'TB &amp; MCC Cost Audit 2020-Curren'!$D:$D,'MCC Margin Analysis'!E$3,'TB &amp; MCC Cost Audit 2020-Curren'!$A:$A,'MCC Margin Analysis'!$B88)</f>
        <v>0</v>
      </c>
      <c r="F88" s="121">
        <f>SUMIFS('TB &amp; MCC Cost Audit 2020-Curren'!$P:$P,'TB &amp; MCC Cost Audit 2020-Curren'!$C:$C,'MCC Margin Analysis'!$A$1,'TB &amp; MCC Cost Audit 2020-Curren'!$D:$D,'MCC Margin Analysis'!F$3,'TB &amp; MCC Cost Audit 2020-Curren'!$A:$A,'MCC Margin Analysis'!$B88)</f>
        <v>0</v>
      </c>
      <c r="G88" s="121">
        <f>SUMIFS('TB &amp; MCC Cost Audit 2020-Curren'!$P:$P,'TB &amp; MCC Cost Audit 2020-Curren'!$C:$C,'MCC Margin Analysis'!$A$1,'TB &amp; MCC Cost Audit 2020-Curren'!$D:$D,'MCC Margin Analysis'!G$3,'TB &amp; MCC Cost Audit 2020-Curren'!$A:$A,'MCC Margin Analysis'!$B88)</f>
        <v>21491</v>
      </c>
      <c r="J88" s="121">
        <f>SUMIFS('TB &amp; MCC Cost Audit 2020-Curren'!$W:$W,'TB &amp; MCC Cost Audit 2020-Curren'!$C:$C,'MCC Margin Analysis'!$A$1,'TB &amp; MCC Cost Audit 2020-Curren'!$D:$D,'MCC Margin Analysis'!J$3,'TB &amp; MCC Cost Audit 2020-Curren'!$A:$A,'MCC Margin Analysis'!$B88)</f>
        <v>0</v>
      </c>
      <c r="K88" s="121">
        <f>SUMIFS('TB &amp; MCC Cost Audit 2020-Curren'!$W:$W,'TB &amp; MCC Cost Audit 2020-Curren'!$C:$C,'MCC Margin Analysis'!$A$1,'TB &amp; MCC Cost Audit 2020-Curren'!$D:$D,'MCC Margin Analysis'!K$3,'TB &amp; MCC Cost Audit 2020-Curren'!$A:$A,'MCC Margin Analysis'!$B88)</f>
        <v>0</v>
      </c>
      <c r="L88" s="121">
        <f>SUMIFS('TB &amp; MCC Cost Audit 2020-Curren'!$W:$W,'TB &amp; MCC Cost Audit 2020-Curren'!$C:$C,'MCC Margin Analysis'!$A$1,'TB &amp; MCC Cost Audit 2020-Curren'!$D:$D,'MCC Margin Analysis'!L$3,'TB &amp; MCC Cost Audit 2020-Curren'!$A:$A,'MCC Margin Analysis'!$B88)</f>
        <v>0</v>
      </c>
      <c r="M88" s="121">
        <f>SUMIFS('TB &amp; MCC Cost Audit 2020-Curren'!$W:$W,'TB &amp; MCC Cost Audit 2020-Curren'!$C:$C,'MCC Margin Analysis'!$A$1,'TB &amp; MCC Cost Audit 2020-Curren'!$D:$D,'MCC Margin Analysis'!M$3,'TB &amp; MCC Cost Audit 2020-Curren'!$A:$A,'MCC Margin Analysis'!$B88)</f>
        <v>0</v>
      </c>
      <c r="N88" s="121">
        <f>SUMIFS('TB &amp; MCC Cost Audit 2020-Curren'!$W:$W,'TB &amp; MCC Cost Audit 2020-Curren'!$C:$C,'MCC Margin Analysis'!$A$1,'TB &amp; MCC Cost Audit 2020-Curren'!$D:$D,'MCC Margin Analysis'!N$3,'TB &amp; MCC Cost Audit 2020-Curren'!$A:$A,'MCC Margin Analysis'!$B88)</f>
        <v>3590.76</v>
      </c>
      <c r="Q88" s="119" t="str">
        <f t="shared" ref="Q88" si="30">IFERROR((C88-J88)/C88," - ")</f>
        <v xml:space="preserve"> - </v>
      </c>
      <c r="R88" s="119" t="str">
        <f t="shared" ref="R88" si="31">IFERROR((D88-K88)/D88," - ")</f>
        <v xml:space="preserve"> - </v>
      </c>
      <c r="S88" s="119" t="str">
        <f t="shared" ref="S88" si="32">IFERROR((E88-L88)/E88," - ")</f>
        <v xml:space="preserve"> - </v>
      </c>
      <c r="T88" s="119" t="str">
        <f t="shared" ref="T88" si="33">IFERROR((F88-M88)/F88," - ")</f>
        <v xml:space="preserve"> - </v>
      </c>
      <c r="U88" s="119">
        <f t="shared" ref="U88" si="34">IFERROR((G88-N88)/G88," - ")</f>
        <v>0.83291796566004361</v>
      </c>
    </row>
    <row r="89" spans="2:21" x14ac:dyDescent="0.15">
      <c r="B89" s="54" t="s">
        <v>306</v>
      </c>
      <c r="C89" s="121">
        <f>SUMIFS('TB &amp; MCC Cost Audit 2020-Curren'!$P:$P,'TB &amp; MCC Cost Audit 2020-Curren'!$C:$C,'MCC Margin Analysis'!$A$1,'TB &amp; MCC Cost Audit 2020-Curren'!$D:$D,'MCC Margin Analysis'!C$3,'TB &amp; MCC Cost Audit 2020-Curren'!$A:$A,'MCC Margin Analysis'!$B89)</f>
        <v>16868</v>
      </c>
      <c r="D89" s="121">
        <f>SUMIFS('TB &amp; MCC Cost Audit 2020-Curren'!$P:$P,'TB &amp; MCC Cost Audit 2020-Curren'!$C:$C,'MCC Margin Analysis'!$A$1,'TB &amp; MCC Cost Audit 2020-Curren'!$D:$D,'MCC Margin Analysis'!D$3,'TB &amp; MCC Cost Audit 2020-Curren'!$A:$A,'MCC Margin Analysis'!$B89)</f>
        <v>17711.400000000001</v>
      </c>
      <c r="E89" s="121">
        <f>SUMIFS('TB &amp; MCC Cost Audit 2020-Curren'!$P:$P,'TB &amp; MCC Cost Audit 2020-Curren'!$C:$C,'MCC Margin Analysis'!$A$1,'TB &amp; MCC Cost Audit 2020-Curren'!$D:$D,'MCC Margin Analysis'!E$3,'TB &amp; MCC Cost Audit 2020-Curren'!$A:$A,'MCC Margin Analysis'!$B89)</f>
        <v>20992</v>
      </c>
      <c r="F89" s="121">
        <f>SUMIFS('TB &amp; MCC Cost Audit 2020-Curren'!$P:$P,'TB &amp; MCC Cost Audit 2020-Curren'!$C:$C,'MCC Margin Analysis'!$A$1,'TB &amp; MCC Cost Audit 2020-Curren'!$D:$D,'MCC Margin Analysis'!F$3,'TB &amp; MCC Cost Audit 2020-Curren'!$A:$A,'MCC Margin Analysis'!$B89)</f>
        <v>22567</v>
      </c>
      <c r="G89" s="121">
        <f>SUMIFS('TB &amp; MCC Cost Audit 2020-Curren'!$P:$P,'TB &amp; MCC Cost Audit 2020-Curren'!$C:$C,'MCC Margin Analysis'!$A$1,'TB &amp; MCC Cost Audit 2020-Curren'!$D:$D,'MCC Margin Analysis'!G$3,'TB &amp; MCC Cost Audit 2020-Curren'!$A:$A,'MCC Margin Analysis'!$B89)</f>
        <v>11892</v>
      </c>
      <c r="J89" s="121">
        <f>SUMIFS('TB &amp; MCC Cost Audit 2020-Curren'!$W:$W,'TB &amp; MCC Cost Audit 2020-Curren'!$C:$C,'MCC Margin Analysis'!$A$1,'TB &amp; MCC Cost Audit 2020-Curren'!$D:$D,'MCC Margin Analysis'!J$3,'TB &amp; MCC Cost Audit 2020-Curren'!$A:$A,'MCC Margin Analysis'!$B89)</f>
        <v>7704.5500000000011</v>
      </c>
      <c r="K89" s="121">
        <f>SUMIFS('TB &amp; MCC Cost Audit 2020-Curren'!$W:$W,'TB &amp; MCC Cost Audit 2020-Curren'!$C:$C,'MCC Margin Analysis'!$A$1,'TB &amp; MCC Cost Audit 2020-Curren'!$D:$D,'MCC Margin Analysis'!K$3,'TB &amp; MCC Cost Audit 2020-Curren'!$A:$A,'MCC Margin Analysis'!$B89)</f>
        <v>5453.04</v>
      </c>
      <c r="L89" s="121">
        <f>SUMIFS('TB &amp; MCC Cost Audit 2020-Curren'!$W:$W,'TB &amp; MCC Cost Audit 2020-Curren'!$C:$C,'MCC Margin Analysis'!$A$1,'TB &amp; MCC Cost Audit 2020-Curren'!$D:$D,'MCC Margin Analysis'!L$3,'TB &amp; MCC Cost Audit 2020-Curren'!$A:$A,'MCC Margin Analysis'!$B89)</f>
        <v>5461.08</v>
      </c>
      <c r="M89" s="121">
        <f>SUMIFS('TB &amp; MCC Cost Audit 2020-Curren'!$W:$W,'TB &amp; MCC Cost Audit 2020-Curren'!$C:$C,'MCC Margin Analysis'!$A$1,'TB &amp; MCC Cost Audit 2020-Curren'!$D:$D,'MCC Margin Analysis'!M$3,'TB &amp; MCC Cost Audit 2020-Curren'!$A:$A,'MCC Margin Analysis'!$B89)</f>
        <v>4113.6000000000004</v>
      </c>
      <c r="N89" s="121">
        <f>SUMIFS('TB &amp; MCC Cost Audit 2020-Curren'!$W:$W,'TB &amp; MCC Cost Audit 2020-Curren'!$C:$C,'MCC Margin Analysis'!$A$1,'TB &amp; MCC Cost Audit 2020-Curren'!$D:$D,'MCC Margin Analysis'!N$3,'TB &amp; MCC Cost Audit 2020-Curren'!$A:$A,'MCC Margin Analysis'!$B89)</f>
        <v>2894.7600000000007</v>
      </c>
      <c r="Q89" s="119">
        <f t="shared" si="20"/>
        <v>0.54324460516955175</v>
      </c>
      <c r="R89" s="119">
        <f t="shared" si="21"/>
        <v>0.69211694163081405</v>
      </c>
      <c r="S89" s="119">
        <f t="shared" si="22"/>
        <v>0.73984946646341465</v>
      </c>
      <c r="T89" s="119">
        <f t="shared" si="23"/>
        <v>0.81771613417822486</v>
      </c>
      <c r="U89" s="119">
        <f t="shared" si="24"/>
        <v>0.75657921291624619</v>
      </c>
    </row>
    <row r="90" spans="2:21" x14ac:dyDescent="0.15">
      <c r="B90" s="54" t="s">
        <v>356</v>
      </c>
      <c r="C90" s="121">
        <f>SUMIFS('TB &amp; MCC Cost Audit 2020-Curren'!$P:$P,'TB &amp; MCC Cost Audit 2020-Curren'!$C:$C,'MCC Margin Analysis'!$A$1,'TB &amp; MCC Cost Audit 2020-Curren'!$D:$D,'MCC Margin Analysis'!C$3,'TB &amp; MCC Cost Audit 2020-Curren'!$A:$A,'MCC Margin Analysis'!$B90)</f>
        <v>0</v>
      </c>
      <c r="D90" s="121">
        <f>SUMIFS('TB &amp; MCC Cost Audit 2020-Curren'!$P:$P,'TB &amp; MCC Cost Audit 2020-Curren'!$C:$C,'MCC Margin Analysis'!$A$1,'TB &amp; MCC Cost Audit 2020-Curren'!$D:$D,'MCC Margin Analysis'!D$3,'TB &amp; MCC Cost Audit 2020-Curren'!$A:$A,'MCC Margin Analysis'!$B90)</f>
        <v>0</v>
      </c>
      <c r="E90" s="121">
        <f>SUMIFS('TB &amp; MCC Cost Audit 2020-Curren'!$P:$P,'TB &amp; MCC Cost Audit 2020-Curren'!$C:$C,'MCC Margin Analysis'!$A$1,'TB &amp; MCC Cost Audit 2020-Curren'!$D:$D,'MCC Margin Analysis'!E$3,'TB &amp; MCC Cost Audit 2020-Curren'!$A:$A,'MCC Margin Analysis'!$B90)</f>
        <v>0</v>
      </c>
      <c r="F90" s="121">
        <f>SUMIFS('TB &amp; MCC Cost Audit 2020-Curren'!$P:$P,'TB &amp; MCC Cost Audit 2020-Curren'!$C:$C,'MCC Margin Analysis'!$A$1,'TB &amp; MCC Cost Audit 2020-Curren'!$D:$D,'MCC Margin Analysis'!F$3,'TB &amp; MCC Cost Audit 2020-Curren'!$A:$A,'MCC Margin Analysis'!$B90)</f>
        <v>0</v>
      </c>
      <c r="G90" s="121">
        <f>SUMIFS('TB &amp; MCC Cost Audit 2020-Curren'!$P:$P,'TB &amp; MCC Cost Audit 2020-Curren'!$C:$C,'MCC Margin Analysis'!$A$1,'TB &amp; MCC Cost Audit 2020-Curren'!$D:$D,'MCC Margin Analysis'!G$3,'TB &amp; MCC Cost Audit 2020-Curren'!$A:$A,'MCC Margin Analysis'!$B90)</f>
        <v>0</v>
      </c>
      <c r="J90" s="121">
        <f>SUMIFS('TB &amp; MCC Cost Audit 2020-Curren'!$W:$W,'TB &amp; MCC Cost Audit 2020-Curren'!$C:$C,'MCC Margin Analysis'!$A$1,'TB &amp; MCC Cost Audit 2020-Curren'!$D:$D,'MCC Margin Analysis'!J$3,'TB &amp; MCC Cost Audit 2020-Curren'!$A:$A,'MCC Margin Analysis'!$B90)</f>
        <v>0</v>
      </c>
      <c r="K90" s="121">
        <f>SUMIFS('TB &amp; MCC Cost Audit 2020-Curren'!$W:$W,'TB &amp; MCC Cost Audit 2020-Curren'!$C:$C,'MCC Margin Analysis'!$A$1,'TB &amp; MCC Cost Audit 2020-Curren'!$D:$D,'MCC Margin Analysis'!K$3,'TB &amp; MCC Cost Audit 2020-Curren'!$A:$A,'MCC Margin Analysis'!$B90)</f>
        <v>0</v>
      </c>
      <c r="L90" s="121">
        <f>SUMIFS('TB &amp; MCC Cost Audit 2020-Curren'!$W:$W,'TB &amp; MCC Cost Audit 2020-Curren'!$C:$C,'MCC Margin Analysis'!$A$1,'TB &amp; MCC Cost Audit 2020-Curren'!$D:$D,'MCC Margin Analysis'!L$3,'TB &amp; MCC Cost Audit 2020-Curren'!$A:$A,'MCC Margin Analysis'!$B90)</f>
        <v>0</v>
      </c>
      <c r="M90" s="121">
        <f>SUMIFS('TB &amp; MCC Cost Audit 2020-Curren'!$W:$W,'TB &amp; MCC Cost Audit 2020-Curren'!$C:$C,'MCC Margin Analysis'!$A$1,'TB &amp; MCC Cost Audit 2020-Curren'!$D:$D,'MCC Margin Analysis'!M$3,'TB &amp; MCC Cost Audit 2020-Curren'!$A:$A,'MCC Margin Analysis'!$B90)</f>
        <v>0</v>
      </c>
      <c r="N90" s="121">
        <f>SUMIFS('TB &amp; MCC Cost Audit 2020-Curren'!$W:$W,'TB &amp; MCC Cost Audit 2020-Curren'!$C:$C,'MCC Margin Analysis'!$A$1,'TB &amp; MCC Cost Audit 2020-Curren'!$D:$D,'MCC Margin Analysis'!N$3,'TB &amp; MCC Cost Audit 2020-Curren'!$A:$A,'MCC Margin Analysis'!$B90)</f>
        <v>0</v>
      </c>
      <c r="Q90" s="119" t="str">
        <f t="shared" si="20"/>
        <v xml:space="preserve"> - </v>
      </c>
      <c r="R90" s="119" t="str">
        <f t="shared" si="21"/>
        <v xml:space="preserve"> - </v>
      </c>
      <c r="S90" s="119" t="str">
        <f t="shared" si="22"/>
        <v xml:space="preserve"> - </v>
      </c>
      <c r="T90" s="119" t="str">
        <f t="shared" si="23"/>
        <v xml:space="preserve"> - </v>
      </c>
      <c r="U90" s="119" t="str">
        <f t="shared" si="24"/>
        <v xml:space="preserve"> - </v>
      </c>
    </row>
    <row r="91" spans="2:21" x14ac:dyDescent="0.15">
      <c r="B91" s="54" t="s">
        <v>253</v>
      </c>
      <c r="C91" s="121">
        <f>SUMIFS('TB &amp; MCC Cost Audit 2020-Curren'!$P:$P,'TB &amp; MCC Cost Audit 2020-Curren'!$C:$C,'MCC Margin Analysis'!$A$1,'TB &amp; MCC Cost Audit 2020-Curren'!$D:$D,'MCC Margin Analysis'!C$3,'TB &amp; MCC Cost Audit 2020-Curren'!$A:$A,'MCC Margin Analysis'!$B91)</f>
        <v>0</v>
      </c>
      <c r="D91" s="121">
        <f>SUMIFS('TB &amp; MCC Cost Audit 2020-Curren'!$P:$P,'TB &amp; MCC Cost Audit 2020-Curren'!$C:$C,'MCC Margin Analysis'!$A$1,'TB &amp; MCC Cost Audit 2020-Curren'!$D:$D,'MCC Margin Analysis'!D$3,'TB &amp; MCC Cost Audit 2020-Curren'!$A:$A,'MCC Margin Analysis'!$B91)</f>
        <v>7670</v>
      </c>
      <c r="E91" s="121">
        <f>SUMIFS('TB &amp; MCC Cost Audit 2020-Curren'!$P:$P,'TB &amp; MCC Cost Audit 2020-Curren'!$C:$C,'MCC Margin Analysis'!$A$1,'TB &amp; MCC Cost Audit 2020-Curren'!$D:$D,'MCC Margin Analysis'!E$3,'TB &amp; MCC Cost Audit 2020-Curren'!$A:$A,'MCC Margin Analysis'!$B91)</f>
        <v>8054</v>
      </c>
      <c r="F91" s="121">
        <f>SUMIFS('TB &amp; MCC Cost Audit 2020-Curren'!$P:$P,'TB &amp; MCC Cost Audit 2020-Curren'!$C:$C,'MCC Margin Analysis'!$A$1,'TB &amp; MCC Cost Audit 2020-Curren'!$D:$D,'MCC Margin Analysis'!F$3,'TB &amp; MCC Cost Audit 2020-Curren'!$A:$A,'MCC Margin Analysis'!$B91)</f>
        <v>8865</v>
      </c>
      <c r="G91" s="121">
        <f>SUMIFS('TB &amp; MCC Cost Audit 2020-Curren'!$P:$P,'TB &amp; MCC Cost Audit 2020-Curren'!$C:$C,'MCC Margin Analysis'!$A$1,'TB &amp; MCC Cost Audit 2020-Curren'!$D:$D,'MCC Margin Analysis'!G$3,'TB &amp; MCC Cost Audit 2020-Curren'!$A:$A,'MCC Margin Analysis'!$B91)</f>
        <v>9530</v>
      </c>
      <c r="J91" s="121">
        <f>SUMIFS('TB &amp; MCC Cost Audit 2020-Curren'!$W:$W,'TB &amp; MCC Cost Audit 2020-Curren'!$C:$C,'MCC Margin Analysis'!$A$1,'TB &amp; MCC Cost Audit 2020-Curren'!$D:$D,'MCC Margin Analysis'!J$3,'TB &amp; MCC Cost Audit 2020-Curren'!$A:$A,'MCC Margin Analysis'!$B91)</f>
        <v>0</v>
      </c>
      <c r="K91" s="121">
        <f>SUMIFS('TB &amp; MCC Cost Audit 2020-Curren'!$W:$W,'TB &amp; MCC Cost Audit 2020-Curren'!$C:$C,'MCC Margin Analysis'!$A$1,'TB &amp; MCC Cost Audit 2020-Curren'!$D:$D,'MCC Margin Analysis'!K$3,'TB &amp; MCC Cost Audit 2020-Curren'!$A:$A,'MCC Margin Analysis'!$B91)</f>
        <v>3297.22</v>
      </c>
      <c r="L91" s="121">
        <f>SUMIFS('TB &amp; MCC Cost Audit 2020-Curren'!$W:$W,'TB &amp; MCC Cost Audit 2020-Curren'!$C:$C,'MCC Margin Analysis'!$A$1,'TB &amp; MCC Cost Audit 2020-Curren'!$D:$D,'MCC Margin Analysis'!L$3,'TB &amp; MCC Cost Audit 2020-Curren'!$A:$A,'MCC Margin Analysis'!$B91)</f>
        <v>1812.89</v>
      </c>
      <c r="M91" s="121">
        <f>SUMIFS('TB &amp; MCC Cost Audit 2020-Curren'!$W:$W,'TB &amp; MCC Cost Audit 2020-Curren'!$C:$C,'MCC Margin Analysis'!$A$1,'TB &amp; MCC Cost Audit 2020-Curren'!$D:$D,'MCC Margin Analysis'!M$3,'TB &amp; MCC Cost Audit 2020-Curren'!$A:$A,'MCC Margin Analysis'!$B91)</f>
        <v>2488.41</v>
      </c>
      <c r="N91" s="121">
        <f>SUMIFS('TB &amp; MCC Cost Audit 2020-Curren'!$W:$W,'TB &amp; MCC Cost Audit 2020-Curren'!$C:$C,'MCC Margin Analysis'!$A$1,'TB &amp; MCC Cost Audit 2020-Curren'!$D:$D,'MCC Margin Analysis'!N$3,'TB &amp; MCC Cost Audit 2020-Curren'!$A:$A,'MCC Margin Analysis'!$B91)</f>
        <v>2503.4900000000002</v>
      </c>
      <c r="Q91" s="119" t="str">
        <f t="shared" si="20"/>
        <v xml:space="preserve"> - </v>
      </c>
      <c r="R91" s="119">
        <f t="shared" si="21"/>
        <v>0.57011473272490232</v>
      </c>
      <c r="S91" s="119">
        <f t="shared" si="22"/>
        <v>0.77490812018872601</v>
      </c>
      <c r="T91" s="119">
        <f t="shared" si="23"/>
        <v>0.71929949238578683</v>
      </c>
      <c r="U91" s="119">
        <f t="shared" si="24"/>
        <v>0.73730430220356769</v>
      </c>
    </row>
    <row r="92" spans="2:21" x14ac:dyDescent="0.15">
      <c r="B92" s="54" t="s">
        <v>522</v>
      </c>
      <c r="C92" s="121">
        <f>SUMIFS('TB &amp; MCC Cost Audit 2020-Curren'!$P:$P,'TB &amp; MCC Cost Audit 2020-Curren'!$C:$C,'MCC Margin Analysis'!$A$1,'TB &amp; MCC Cost Audit 2020-Curren'!$D:$D,'MCC Margin Analysis'!C$3,'TB &amp; MCC Cost Audit 2020-Curren'!$A:$A,'MCC Margin Analysis'!$B92)</f>
        <v>0</v>
      </c>
      <c r="D92" s="121">
        <f>SUMIFS('TB &amp; MCC Cost Audit 2020-Curren'!$P:$P,'TB &amp; MCC Cost Audit 2020-Curren'!$C:$C,'MCC Margin Analysis'!$A$1,'TB &amp; MCC Cost Audit 2020-Curren'!$D:$D,'MCC Margin Analysis'!D$3,'TB &amp; MCC Cost Audit 2020-Curren'!$A:$A,'MCC Margin Analysis'!$B92)</f>
        <v>7670</v>
      </c>
      <c r="E92" s="121">
        <f>SUMIFS('TB &amp; MCC Cost Audit 2020-Curren'!$P:$P,'TB &amp; MCC Cost Audit 2020-Curren'!$C:$C,'MCC Margin Analysis'!$A$1,'TB &amp; MCC Cost Audit 2020-Curren'!$D:$D,'MCC Margin Analysis'!E$3,'TB &amp; MCC Cost Audit 2020-Curren'!$A:$A,'MCC Margin Analysis'!$B92)</f>
        <v>0</v>
      </c>
      <c r="F92" s="121">
        <f>SUMIFS('TB &amp; MCC Cost Audit 2020-Curren'!$P:$P,'TB &amp; MCC Cost Audit 2020-Curren'!$C:$C,'MCC Margin Analysis'!$A$1,'TB &amp; MCC Cost Audit 2020-Curren'!$D:$D,'MCC Margin Analysis'!F$3,'TB &amp; MCC Cost Audit 2020-Curren'!$A:$A,'MCC Margin Analysis'!$B92)</f>
        <v>0</v>
      </c>
      <c r="G92" s="121">
        <f>SUMIFS('TB &amp; MCC Cost Audit 2020-Curren'!$P:$P,'TB &amp; MCC Cost Audit 2020-Curren'!$C:$C,'MCC Margin Analysis'!$A$1,'TB &amp; MCC Cost Audit 2020-Curren'!$D:$D,'MCC Margin Analysis'!G$3,'TB &amp; MCC Cost Audit 2020-Curren'!$A:$A,'MCC Margin Analysis'!$B92)</f>
        <v>0</v>
      </c>
      <c r="J92" s="121">
        <f>SUMIFS('TB &amp; MCC Cost Audit 2020-Curren'!$W:$W,'TB &amp; MCC Cost Audit 2020-Curren'!$C:$C,'MCC Margin Analysis'!$A$1,'TB &amp; MCC Cost Audit 2020-Curren'!$D:$D,'MCC Margin Analysis'!J$3,'TB &amp; MCC Cost Audit 2020-Curren'!$A:$A,'MCC Margin Analysis'!$B92)</f>
        <v>0</v>
      </c>
      <c r="K92" s="121">
        <f>SUMIFS('TB &amp; MCC Cost Audit 2020-Curren'!$W:$W,'TB &amp; MCC Cost Audit 2020-Curren'!$C:$C,'MCC Margin Analysis'!$A$1,'TB &amp; MCC Cost Audit 2020-Curren'!$D:$D,'MCC Margin Analysis'!K$3,'TB &amp; MCC Cost Audit 2020-Curren'!$A:$A,'MCC Margin Analysis'!$B92)</f>
        <v>2219.77</v>
      </c>
      <c r="L92" s="121">
        <f>SUMIFS('TB &amp; MCC Cost Audit 2020-Curren'!$W:$W,'TB &amp; MCC Cost Audit 2020-Curren'!$C:$C,'MCC Margin Analysis'!$A$1,'TB &amp; MCC Cost Audit 2020-Curren'!$D:$D,'MCC Margin Analysis'!L$3,'TB &amp; MCC Cost Audit 2020-Curren'!$A:$A,'MCC Margin Analysis'!$B92)</f>
        <v>0</v>
      </c>
      <c r="M92" s="121">
        <f>SUMIFS('TB &amp; MCC Cost Audit 2020-Curren'!$W:$W,'TB &amp; MCC Cost Audit 2020-Curren'!$C:$C,'MCC Margin Analysis'!$A$1,'TB &amp; MCC Cost Audit 2020-Curren'!$D:$D,'MCC Margin Analysis'!M$3,'TB &amp; MCC Cost Audit 2020-Curren'!$A:$A,'MCC Margin Analysis'!$B92)</f>
        <v>0</v>
      </c>
      <c r="N92" s="121">
        <f>SUMIFS('TB &amp; MCC Cost Audit 2020-Curren'!$W:$W,'TB &amp; MCC Cost Audit 2020-Curren'!$C:$C,'MCC Margin Analysis'!$A$1,'TB &amp; MCC Cost Audit 2020-Curren'!$D:$D,'MCC Margin Analysis'!N$3,'TB &amp; MCC Cost Audit 2020-Curren'!$A:$A,'MCC Margin Analysis'!$B92)</f>
        <v>0</v>
      </c>
      <c r="Q92" s="119" t="str">
        <f t="shared" si="20"/>
        <v xml:space="preserve"> - </v>
      </c>
      <c r="R92" s="119">
        <f t="shared" si="21"/>
        <v>0.71059061277705338</v>
      </c>
      <c r="S92" s="119" t="str">
        <f t="shared" si="22"/>
        <v xml:space="preserve"> - </v>
      </c>
      <c r="T92" s="119" t="str">
        <f t="shared" si="23"/>
        <v xml:space="preserve"> - </v>
      </c>
      <c r="U92" s="119" t="str">
        <f t="shared" si="24"/>
        <v xml:space="preserve"> - </v>
      </c>
    </row>
    <row r="93" spans="2:21" x14ac:dyDescent="0.15">
      <c r="B93" s="54" t="s">
        <v>299</v>
      </c>
      <c r="C93" s="121">
        <f>SUMIFS('TB &amp; MCC Cost Audit 2020-Curren'!$P:$P,'TB &amp; MCC Cost Audit 2020-Curren'!$C:$C,'MCC Margin Analysis'!$A$1,'TB &amp; MCC Cost Audit 2020-Curren'!$D:$D,'MCC Margin Analysis'!C$3,'TB &amp; MCC Cost Audit 2020-Curren'!$A:$A,'MCC Margin Analysis'!$B93)</f>
        <v>9558</v>
      </c>
      <c r="D93" s="121">
        <f>SUMIFS('TB &amp; MCC Cost Audit 2020-Curren'!$P:$P,'TB &amp; MCC Cost Audit 2020-Curren'!$C:$C,'MCC Margin Analysis'!$A$1,'TB &amp; MCC Cost Audit 2020-Curren'!$D:$D,'MCC Margin Analysis'!D$3,'TB &amp; MCC Cost Audit 2020-Curren'!$A:$A,'MCC Margin Analysis'!$B93)</f>
        <v>0</v>
      </c>
      <c r="E93" s="121">
        <f>SUMIFS('TB &amp; MCC Cost Audit 2020-Curren'!$P:$P,'TB &amp; MCC Cost Audit 2020-Curren'!$C:$C,'MCC Margin Analysis'!$A$1,'TB &amp; MCC Cost Audit 2020-Curren'!$D:$D,'MCC Margin Analysis'!E$3,'TB &amp; MCC Cost Audit 2020-Curren'!$A:$A,'MCC Margin Analysis'!$B93)</f>
        <v>0</v>
      </c>
      <c r="F93" s="121">
        <f>SUMIFS('TB &amp; MCC Cost Audit 2020-Curren'!$P:$P,'TB &amp; MCC Cost Audit 2020-Curren'!$C:$C,'MCC Margin Analysis'!$A$1,'TB &amp; MCC Cost Audit 2020-Curren'!$D:$D,'MCC Margin Analysis'!F$3,'TB &amp; MCC Cost Audit 2020-Curren'!$A:$A,'MCC Margin Analysis'!$B93)</f>
        <v>8865</v>
      </c>
      <c r="G93" s="121">
        <f>SUMIFS('TB &amp; MCC Cost Audit 2020-Curren'!$P:$P,'TB &amp; MCC Cost Audit 2020-Curren'!$C:$C,'MCC Margin Analysis'!$A$1,'TB &amp; MCC Cost Audit 2020-Curren'!$D:$D,'MCC Margin Analysis'!G$3,'TB &amp; MCC Cost Audit 2020-Curren'!$A:$A,'MCC Margin Analysis'!$B93)</f>
        <v>0</v>
      </c>
      <c r="J93" s="121">
        <f>SUMIFS('TB &amp; MCC Cost Audit 2020-Curren'!$W:$W,'TB &amp; MCC Cost Audit 2020-Curren'!$C:$C,'MCC Margin Analysis'!$A$1,'TB &amp; MCC Cost Audit 2020-Curren'!$D:$D,'MCC Margin Analysis'!J$3,'TB &amp; MCC Cost Audit 2020-Curren'!$A:$A,'MCC Margin Analysis'!$B93)</f>
        <v>2406.1</v>
      </c>
      <c r="K93" s="121">
        <f>SUMIFS('TB &amp; MCC Cost Audit 2020-Curren'!$W:$W,'TB &amp; MCC Cost Audit 2020-Curren'!$C:$C,'MCC Margin Analysis'!$A$1,'TB &amp; MCC Cost Audit 2020-Curren'!$D:$D,'MCC Margin Analysis'!K$3,'TB &amp; MCC Cost Audit 2020-Curren'!$A:$A,'MCC Margin Analysis'!$B93)</f>
        <v>0</v>
      </c>
      <c r="L93" s="121">
        <f>SUMIFS('TB &amp; MCC Cost Audit 2020-Curren'!$W:$W,'TB &amp; MCC Cost Audit 2020-Curren'!$C:$C,'MCC Margin Analysis'!$A$1,'TB &amp; MCC Cost Audit 2020-Curren'!$D:$D,'MCC Margin Analysis'!L$3,'TB &amp; MCC Cost Audit 2020-Curren'!$A:$A,'MCC Margin Analysis'!$B93)</f>
        <v>0</v>
      </c>
      <c r="M93" s="121">
        <f>SUMIFS('TB &amp; MCC Cost Audit 2020-Curren'!$W:$W,'TB &amp; MCC Cost Audit 2020-Curren'!$C:$C,'MCC Margin Analysis'!$A$1,'TB &amp; MCC Cost Audit 2020-Curren'!$D:$D,'MCC Margin Analysis'!M$3,'TB &amp; MCC Cost Audit 2020-Curren'!$A:$A,'MCC Margin Analysis'!$B93)</f>
        <v>1882.22</v>
      </c>
      <c r="N93" s="121">
        <f>SUMIFS('TB &amp; MCC Cost Audit 2020-Curren'!$W:$W,'TB &amp; MCC Cost Audit 2020-Curren'!$C:$C,'MCC Margin Analysis'!$A$1,'TB &amp; MCC Cost Audit 2020-Curren'!$D:$D,'MCC Margin Analysis'!N$3,'TB &amp; MCC Cost Audit 2020-Curren'!$A:$A,'MCC Margin Analysis'!$B93)</f>
        <v>0</v>
      </c>
      <c r="Q93" s="119">
        <f t="shared" si="20"/>
        <v>0.7482632349863988</v>
      </c>
      <c r="R93" s="119" t="str">
        <f t="shared" si="21"/>
        <v xml:space="preserve"> - </v>
      </c>
      <c r="S93" s="119" t="str">
        <f t="shared" si="22"/>
        <v xml:space="preserve"> - </v>
      </c>
      <c r="T93" s="119">
        <f t="shared" si="23"/>
        <v>0.7876796390298928</v>
      </c>
      <c r="U93" s="119" t="str">
        <f t="shared" si="24"/>
        <v xml:space="preserve"> - </v>
      </c>
    </row>
    <row r="94" spans="2:21" x14ac:dyDescent="0.15">
      <c r="B94" s="54" t="s">
        <v>423</v>
      </c>
      <c r="C94" s="121">
        <f>SUMIFS('TB &amp; MCC Cost Audit 2020-Curren'!$P:$P,'TB &amp; MCC Cost Audit 2020-Curren'!$C:$C,'MCC Margin Analysis'!$A$1,'TB &amp; MCC Cost Audit 2020-Curren'!$D:$D,'MCC Margin Analysis'!C$3,'TB &amp; MCC Cost Audit 2020-Curren'!$A:$A,'MCC Margin Analysis'!$B94)</f>
        <v>0</v>
      </c>
      <c r="D94" s="121">
        <f>SUMIFS('TB &amp; MCC Cost Audit 2020-Curren'!$P:$P,'TB &amp; MCC Cost Audit 2020-Curren'!$C:$C,'MCC Margin Analysis'!$A$1,'TB &amp; MCC Cost Audit 2020-Curren'!$D:$D,'MCC Margin Analysis'!D$3,'TB &amp; MCC Cost Audit 2020-Curren'!$A:$A,'MCC Margin Analysis'!$B94)</f>
        <v>0</v>
      </c>
      <c r="E94" s="121">
        <f>SUMIFS('TB &amp; MCC Cost Audit 2020-Curren'!$P:$P,'TB &amp; MCC Cost Audit 2020-Curren'!$C:$C,'MCC Margin Analysis'!$A$1,'TB &amp; MCC Cost Audit 2020-Curren'!$D:$D,'MCC Margin Analysis'!E$3,'TB &amp; MCC Cost Audit 2020-Curren'!$A:$A,'MCC Margin Analysis'!$B94)</f>
        <v>0</v>
      </c>
      <c r="F94" s="121">
        <f>SUMIFS('TB &amp; MCC Cost Audit 2020-Curren'!$P:$P,'TB &amp; MCC Cost Audit 2020-Curren'!$C:$C,'MCC Margin Analysis'!$A$1,'TB &amp; MCC Cost Audit 2020-Curren'!$D:$D,'MCC Margin Analysis'!F$3,'TB &amp; MCC Cost Audit 2020-Curren'!$A:$A,'MCC Margin Analysis'!$B94)</f>
        <v>0</v>
      </c>
      <c r="G94" s="121">
        <f>SUMIFS('TB &amp; MCC Cost Audit 2020-Curren'!$P:$P,'TB &amp; MCC Cost Audit 2020-Curren'!$C:$C,'MCC Margin Analysis'!$A$1,'TB &amp; MCC Cost Audit 2020-Curren'!$D:$D,'MCC Margin Analysis'!G$3,'TB &amp; MCC Cost Audit 2020-Curren'!$A:$A,'MCC Margin Analysis'!$B94)</f>
        <v>0</v>
      </c>
      <c r="J94" s="121">
        <f>SUMIFS('TB &amp; MCC Cost Audit 2020-Curren'!$W:$W,'TB &amp; MCC Cost Audit 2020-Curren'!$C:$C,'MCC Margin Analysis'!$A$1,'TB &amp; MCC Cost Audit 2020-Curren'!$D:$D,'MCC Margin Analysis'!J$3,'TB &amp; MCC Cost Audit 2020-Curren'!$A:$A,'MCC Margin Analysis'!$B94)</f>
        <v>0</v>
      </c>
      <c r="K94" s="121">
        <f>SUMIFS('TB &amp; MCC Cost Audit 2020-Curren'!$W:$W,'TB &amp; MCC Cost Audit 2020-Curren'!$C:$C,'MCC Margin Analysis'!$A$1,'TB &amp; MCC Cost Audit 2020-Curren'!$D:$D,'MCC Margin Analysis'!K$3,'TB &amp; MCC Cost Audit 2020-Curren'!$A:$A,'MCC Margin Analysis'!$B94)</f>
        <v>0</v>
      </c>
      <c r="L94" s="121">
        <f>SUMIFS('TB &amp; MCC Cost Audit 2020-Curren'!$W:$W,'TB &amp; MCC Cost Audit 2020-Curren'!$C:$C,'MCC Margin Analysis'!$A$1,'TB &amp; MCC Cost Audit 2020-Curren'!$D:$D,'MCC Margin Analysis'!L$3,'TB &amp; MCC Cost Audit 2020-Curren'!$A:$A,'MCC Margin Analysis'!$B94)</f>
        <v>0</v>
      </c>
      <c r="M94" s="121">
        <f>SUMIFS('TB &amp; MCC Cost Audit 2020-Curren'!$W:$W,'TB &amp; MCC Cost Audit 2020-Curren'!$C:$C,'MCC Margin Analysis'!$A$1,'TB &amp; MCC Cost Audit 2020-Curren'!$D:$D,'MCC Margin Analysis'!M$3,'TB &amp; MCC Cost Audit 2020-Curren'!$A:$A,'MCC Margin Analysis'!$B94)</f>
        <v>0</v>
      </c>
      <c r="N94" s="121">
        <f>SUMIFS('TB &amp; MCC Cost Audit 2020-Curren'!$W:$W,'TB &amp; MCC Cost Audit 2020-Curren'!$C:$C,'MCC Margin Analysis'!$A$1,'TB &amp; MCC Cost Audit 2020-Curren'!$D:$D,'MCC Margin Analysis'!N$3,'TB &amp; MCC Cost Audit 2020-Curren'!$A:$A,'MCC Margin Analysis'!$B94)</f>
        <v>0</v>
      </c>
      <c r="Q94" s="119" t="str">
        <f t="shared" si="20"/>
        <v xml:space="preserve"> - </v>
      </c>
      <c r="R94" s="119" t="str">
        <f t="shared" si="21"/>
        <v xml:space="preserve"> - </v>
      </c>
      <c r="S94" s="119" t="str">
        <f t="shared" si="22"/>
        <v xml:space="preserve"> - </v>
      </c>
      <c r="T94" s="119" t="str">
        <f t="shared" si="23"/>
        <v xml:space="preserve"> - </v>
      </c>
      <c r="U94" s="119" t="str">
        <f t="shared" si="24"/>
        <v xml:space="preserve"> - </v>
      </c>
    </row>
    <row r="95" spans="2:21" x14ac:dyDescent="0.15">
      <c r="B95" s="54" t="s">
        <v>72</v>
      </c>
      <c r="C95" s="121">
        <f>SUMIFS('TB &amp; MCC Cost Audit 2020-Curren'!$P:$P,'TB &amp; MCC Cost Audit 2020-Curren'!$C:$C,'MCC Margin Analysis'!$A$1,'TB &amp; MCC Cost Audit 2020-Curren'!$D:$D,'MCC Margin Analysis'!C$3,'TB &amp; MCC Cost Audit 2020-Curren'!$A:$A,'MCC Margin Analysis'!$B95)</f>
        <v>0</v>
      </c>
      <c r="D95" s="121">
        <f>SUMIFS('TB &amp; MCC Cost Audit 2020-Curren'!$P:$P,'TB &amp; MCC Cost Audit 2020-Curren'!$C:$C,'MCC Margin Analysis'!$A$1,'TB &amp; MCC Cost Audit 2020-Curren'!$D:$D,'MCC Margin Analysis'!D$3,'TB &amp; MCC Cost Audit 2020-Curren'!$A:$A,'MCC Margin Analysis'!$B95)</f>
        <v>9572</v>
      </c>
      <c r="E95" s="121">
        <f>SUMIFS('TB &amp; MCC Cost Audit 2020-Curren'!$P:$P,'TB &amp; MCC Cost Audit 2020-Curren'!$C:$C,'MCC Margin Analysis'!$A$1,'TB &amp; MCC Cost Audit 2020-Curren'!$D:$D,'MCC Margin Analysis'!E$3,'TB &amp; MCC Cost Audit 2020-Curren'!$A:$A,'MCC Margin Analysis'!$B95)</f>
        <v>0</v>
      </c>
      <c r="F95" s="121">
        <f>SUMIFS('TB &amp; MCC Cost Audit 2020-Curren'!$P:$P,'TB &amp; MCC Cost Audit 2020-Curren'!$C:$C,'MCC Margin Analysis'!$A$1,'TB &amp; MCC Cost Audit 2020-Curren'!$D:$D,'MCC Margin Analysis'!F$3,'TB &amp; MCC Cost Audit 2020-Curren'!$A:$A,'MCC Margin Analysis'!$B95)</f>
        <v>0</v>
      </c>
      <c r="G95" s="121">
        <f>SUMIFS('TB &amp; MCC Cost Audit 2020-Curren'!$P:$P,'TB &amp; MCC Cost Audit 2020-Curren'!$C:$C,'MCC Margin Analysis'!$A$1,'TB &amp; MCC Cost Audit 2020-Curren'!$D:$D,'MCC Margin Analysis'!G$3,'TB &amp; MCC Cost Audit 2020-Curren'!$A:$A,'MCC Margin Analysis'!$B95)</f>
        <v>0</v>
      </c>
      <c r="J95" s="121">
        <f>SUMIFS('TB &amp; MCC Cost Audit 2020-Curren'!$W:$W,'TB &amp; MCC Cost Audit 2020-Curren'!$C:$C,'MCC Margin Analysis'!$A$1,'TB &amp; MCC Cost Audit 2020-Curren'!$D:$D,'MCC Margin Analysis'!J$3,'TB &amp; MCC Cost Audit 2020-Curren'!$A:$A,'MCC Margin Analysis'!$B95)</f>
        <v>0</v>
      </c>
      <c r="K95" s="121">
        <f>SUMIFS('TB &amp; MCC Cost Audit 2020-Curren'!$W:$W,'TB &amp; MCC Cost Audit 2020-Curren'!$C:$C,'MCC Margin Analysis'!$A$1,'TB &amp; MCC Cost Audit 2020-Curren'!$D:$D,'MCC Margin Analysis'!K$3,'TB &amp; MCC Cost Audit 2020-Curren'!$A:$A,'MCC Margin Analysis'!$B95)</f>
        <v>3853.4900000000002</v>
      </c>
      <c r="L95" s="121">
        <f>SUMIFS('TB &amp; MCC Cost Audit 2020-Curren'!$W:$W,'TB &amp; MCC Cost Audit 2020-Curren'!$C:$C,'MCC Margin Analysis'!$A$1,'TB &amp; MCC Cost Audit 2020-Curren'!$D:$D,'MCC Margin Analysis'!L$3,'TB &amp; MCC Cost Audit 2020-Curren'!$A:$A,'MCC Margin Analysis'!$B95)</f>
        <v>0</v>
      </c>
      <c r="M95" s="121">
        <f>SUMIFS('TB &amp; MCC Cost Audit 2020-Curren'!$W:$W,'TB &amp; MCC Cost Audit 2020-Curren'!$C:$C,'MCC Margin Analysis'!$A$1,'TB &amp; MCC Cost Audit 2020-Curren'!$D:$D,'MCC Margin Analysis'!M$3,'TB &amp; MCC Cost Audit 2020-Curren'!$A:$A,'MCC Margin Analysis'!$B95)</f>
        <v>0</v>
      </c>
      <c r="N95" s="121">
        <f>SUMIFS('TB &amp; MCC Cost Audit 2020-Curren'!$W:$W,'TB &amp; MCC Cost Audit 2020-Curren'!$C:$C,'MCC Margin Analysis'!$A$1,'TB &amp; MCC Cost Audit 2020-Curren'!$D:$D,'MCC Margin Analysis'!N$3,'TB &amp; MCC Cost Audit 2020-Curren'!$A:$A,'MCC Margin Analysis'!$B95)</f>
        <v>0</v>
      </c>
      <c r="Q95" s="119" t="str">
        <f t="shared" si="20"/>
        <v xml:space="preserve"> - </v>
      </c>
      <c r="R95" s="119">
        <f t="shared" si="21"/>
        <v>0.59742060175511913</v>
      </c>
      <c r="S95" s="119" t="str">
        <f t="shared" si="22"/>
        <v xml:space="preserve"> - </v>
      </c>
      <c r="T95" s="119" t="str">
        <f t="shared" si="23"/>
        <v xml:space="preserve"> - </v>
      </c>
      <c r="U95" s="119" t="str">
        <f t="shared" si="24"/>
        <v xml:space="preserve"> - </v>
      </c>
    </row>
    <row r="96" spans="2:21" x14ac:dyDescent="0.15">
      <c r="B96" s="54" t="s">
        <v>237</v>
      </c>
      <c r="C96" s="121">
        <f>SUMIFS('TB &amp; MCC Cost Audit 2020-Curren'!$P:$P,'TB &amp; MCC Cost Audit 2020-Curren'!$C:$C,'MCC Margin Analysis'!$A$1,'TB &amp; MCC Cost Audit 2020-Curren'!$D:$D,'MCC Margin Analysis'!C$3,'TB &amp; MCC Cost Audit 2020-Curren'!$A:$A,'MCC Margin Analysis'!$B96)</f>
        <v>0</v>
      </c>
      <c r="D96" s="121">
        <f>SUMIFS('TB &amp; MCC Cost Audit 2020-Curren'!$P:$P,'TB &amp; MCC Cost Audit 2020-Curren'!$C:$C,'MCC Margin Analysis'!$A$1,'TB &amp; MCC Cost Audit 2020-Curren'!$D:$D,'MCC Margin Analysis'!D$3,'TB &amp; MCC Cost Audit 2020-Curren'!$A:$A,'MCC Margin Analysis'!$B96)</f>
        <v>0</v>
      </c>
      <c r="E96" s="121">
        <f>SUMIFS('TB &amp; MCC Cost Audit 2020-Curren'!$P:$P,'TB &amp; MCC Cost Audit 2020-Curren'!$C:$C,'MCC Margin Analysis'!$A$1,'TB &amp; MCC Cost Audit 2020-Curren'!$D:$D,'MCC Margin Analysis'!E$3,'TB &amp; MCC Cost Audit 2020-Curren'!$A:$A,'MCC Margin Analysis'!$B96)</f>
        <v>50646</v>
      </c>
      <c r="F96" s="121">
        <f>SUMIFS('TB &amp; MCC Cost Audit 2020-Curren'!$P:$P,'TB &amp; MCC Cost Audit 2020-Curren'!$C:$C,'MCC Margin Analysis'!$A$1,'TB &amp; MCC Cost Audit 2020-Curren'!$D:$D,'MCC Margin Analysis'!F$3,'TB &amp; MCC Cost Audit 2020-Curren'!$A:$A,'MCC Margin Analysis'!$B96)</f>
        <v>53179.000000000007</v>
      </c>
      <c r="G96" s="121">
        <f>SUMIFS('TB &amp; MCC Cost Audit 2020-Curren'!$P:$P,'TB &amp; MCC Cost Audit 2020-Curren'!$C:$C,'MCC Margin Analysis'!$A$1,'TB &amp; MCC Cost Audit 2020-Curren'!$D:$D,'MCC Margin Analysis'!G$3,'TB &amp; MCC Cost Audit 2020-Curren'!$A:$A,'MCC Margin Analysis'!$B96)</f>
        <v>68641</v>
      </c>
      <c r="J96" s="121">
        <f>SUMIFS('TB &amp; MCC Cost Audit 2020-Curren'!$W:$W,'TB &amp; MCC Cost Audit 2020-Curren'!$C:$C,'MCC Margin Analysis'!$A$1,'TB &amp; MCC Cost Audit 2020-Curren'!$D:$D,'MCC Margin Analysis'!J$3,'TB &amp; MCC Cost Audit 2020-Curren'!$A:$A,'MCC Margin Analysis'!$B96)</f>
        <v>0</v>
      </c>
      <c r="K96" s="121">
        <f>SUMIFS('TB &amp; MCC Cost Audit 2020-Curren'!$W:$W,'TB &amp; MCC Cost Audit 2020-Curren'!$C:$C,'MCC Margin Analysis'!$A$1,'TB &amp; MCC Cost Audit 2020-Curren'!$D:$D,'MCC Margin Analysis'!K$3,'TB &amp; MCC Cost Audit 2020-Curren'!$A:$A,'MCC Margin Analysis'!$B96)</f>
        <v>0</v>
      </c>
      <c r="L96" s="121">
        <f>SUMIFS('TB &amp; MCC Cost Audit 2020-Curren'!$W:$W,'TB &amp; MCC Cost Audit 2020-Curren'!$C:$C,'MCC Margin Analysis'!$A$1,'TB &amp; MCC Cost Audit 2020-Curren'!$D:$D,'MCC Margin Analysis'!L$3,'TB &amp; MCC Cost Audit 2020-Curren'!$A:$A,'MCC Margin Analysis'!$B96)</f>
        <v>8422.619999999999</v>
      </c>
      <c r="M96" s="121">
        <f>SUMIFS('TB &amp; MCC Cost Audit 2020-Curren'!$W:$W,'TB &amp; MCC Cost Audit 2020-Curren'!$C:$C,'MCC Margin Analysis'!$A$1,'TB &amp; MCC Cost Audit 2020-Curren'!$D:$D,'MCC Margin Analysis'!M$3,'TB &amp; MCC Cost Audit 2020-Curren'!$A:$A,'MCC Margin Analysis'!$B96)</f>
        <v>10801.52</v>
      </c>
      <c r="N96" s="121">
        <f>SUMIFS('TB &amp; MCC Cost Audit 2020-Curren'!$W:$W,'TB &amp; MCC Cost Audit 2020-Curren'!$C:$C,'MCC Margin Analysis'!$A$1,'TB &amp; MCC Cost Audit 2020-Curren'!$D:$D,'MCC Margin Analysis'!N$3,'TB &amp; MCC Cost Audit 2020-Curren'!$A:$A,'MCC Margin Analysis'!$B96)</f>
        <v>7547.8200000000006</v>
      </c>
      <c r="Q96" s="119" t="str">
        <f t="shared" si="20"/>
        <v xml:space="preserve"> - </v>
      </c>
      <c r="R96" s="119" t="str">
        <f t="shared" si="21"/>
        <v xml:space="preserve"> - </v>
      </c>
      <c r="S96" s="119">
        <f t="shared" si="22"/>
        <v>0.8336962445207915</v>
      </c>
      <c r="T96" s="119">
        <f t="shared" si="23"/>
        <v>0.79688373230034426</v>
      </c>
      <c r="U96" s="119">
        <f t="shared" si="24"/>
        <v>0.89003918940574878</v>
      </c>
    </row>
    <row r="97" spans="3:21" x14ac:dyDescent="0.15">
      <c r="C97" s="121"/>
      <c r="D97" s="121"/>
      <c r="E97" s="121"/>
      <c r="F97" s="121"/>
      <c r="G97" s="121"/>
      <c r="J97" s="121"/>
      <c r="K97" s="121"/>
      <c r="L97" s="121"/>
      <c r="M97" s="121"/>
      <c r="N97" s="121"/>
      <c r="Q97" s="119"/>
      <c r="R97" s="119"/>
      <c r="S97" s="119"/>
      <c r="T97" s="119"/>
      <c r="U97" s="119"/>
    </row>
    <row r="98" spans="3:21" x14ac:dyDescent="0.15">
      <c r="C98" s="121"/>
      <c r="D98" s="121"/>
      <c r="E98" s="121"/>
      <c r="F98" s="121"/>
      <c r="G98" s="121"/>
      <c r="J98" s="121"/>
      <c r="K98" s="121"/>
      <c r="L98" s="121"/>
      <c r="M98" s="121"/>
      <c r="N98" s="121"/>
      <c r="Q98" s="119"/>
      <c r="R98" s="119"/>
      <c r="S98" s="119"/>
      <c r="T98" s="119"/>
      <c r="U98" s="119"/>
    </row>
    <row r="99" spans="3:21" x14ac:dyDescent="0.15">
      <c r="C99" s="121"/>
      <c r="D99" s="121"/>
      <c r="E99" s="121"/>
      <c r="F99" s="121"/>
      <c r="G99" s="121"/>
      <c r="J99" s="121"/>
      <c r="K99" s="121"/>
      <c r="L99" s="121"/>
      <c r="M99" s="121"/>
      <c r="N99" s="121"/>
      <c r="Q99" s="119"/>
      <c r="R99" s="119"/>
      <c r="S99" s="119"/>
      <c r="T99" s="119"/>
      <c r="U99" s="119"/>
    </row>
    <row r="100" spans="3:21" x14ac:dyDescent="0.15">
      <c r="C100" s="121"/>
      <c r="D100" s="121"/>
      <c r="E100" s="121"/>
      <c r="F100" s="121"/>
      <c r="G100" s="121"/>
      <c r="J100" s="121"/>
      <c r="K100" s="121"/>
      <c r="L100" s="121"/>
      <c r="M100" s="121"/>
      <c r="N100" s="121"/>
      <c r="Q100" s="119"/>
      <c r="R100" s="119"/>
      <c r="S100" s="119"/>
      <c r="T100" s="119"/>
      <c r="U100" s="119"/>
    </row>
    <row r="101" spans="3:21" x14ac:dyDescent="0.15">
      <c r="C101" s="121"/>
      <c r="D101" s="121"/>
      <c r="E101" s="121"/>
      <c r="F101" s="121"/>
      <c r="G101" s="121"/>
      <c r="J101" s="121"/>
      <c r="K101" s="121"/>
      <c r="L101" s="121"/>
      <c r="M101" s="121"/>
      <c r="N101" s="121"/>
      <c r="Q101" s="119"/>
      <c r="R101" s="119"/>
      <c r="S101" s="119"/>
      <c r="T101" s="119"/>
      <c r="U101" s="119"/>
    </row>
    <row r="102" spans="3:21" x14ac:dyDescent="0.15">
      <c r="C102" s="121"/>
      <c r="D102" s="121"/>
      <c r="E102" s="121"/>
      <c r="F102" s="121"/>
      <c r="G102" s="121"/>
      <c r="J102" s="121"/>
      <c r="K102" s="121"/>
      <c r="L102" s="121"/>
      <c r="M102" s="121"/>
      <c r="N102" s="121"/>
      <c r="Q102" s="119"/>
      <c r="R102" s="119"/>
      <c r="S102" s="119"/>
      <c r="T102" s="119"/>
      <c r="U102" s="119"/>
    </row>
    <row r="103" spans="3:21" x14ac:dyDescent="0.15">
      <c r="C103" s="121"/>
      <c r="D103" s="121"/>
      <c r="E103" s="121"/>
      <c r="F103" s="121"/>
      <c r="G103" s="121"/>
      <c r="J103" s="121"/>
      <c r="K103" s="121"/>
      <c r="L103" s="121"/>
      <c r="M103" s="121"/>
      <c r="N103" s="121"/>
      <c r="Q103" s="119"/>
      <c r="R103" s="119"/>
      <c r="S103" s="119"/>
      <c r="T103" s="119"/>
      <c r="U103" s="119"/>
    </row>
    <row r="104" spans="3:21" x14ac:dyDescent="0.15">
      <c r="C104" s="121"/>
      <c r="D104" s="121"/>
      <c r="E104" s="121"/>
      <c r="F104" s="121"/>
      <c r="G104" s="121"/>
      <c r="J104" s="121"/>
      <c r="K104" s="121"/>
      <c r="L104" s="121"/>
      <c r="M104" s="121"/>
      <c r="N104" s="121"/>
      <c r="Q104" s="119"/>
      <c r="R104" s="119"/>
      <c r="S104" s="119"/>
      <c r="T104" s="119"/>
      <c r="U104" s="119"/>
    </row>
    <row r="105" spans="3:21" x14ac:dyDescent="0.15">
      <c r="C105" s="121"/>
      <c r="D105" s="121"/>
      <c r="E105" s="121"/>
      <c r="F105" s="121"/>
      <c r="G105" s="121"/>
      <c r="J105" s="121"/>
      <c r="K105" s="121"/>
      <c r="L105" s="121"/>
      <c r="M105" s="121"/>
      <c r="N105" s="121"/>
      <c r="Q105" s="119"/>
      <c r="R105" s="119"/>
      <c r="S105" s="119"/>
      <c r="T105" s="119"/>
      <c r="U105" s="119"/>
    </row>
    <row r="106" spans="3:21" x14ac:dyDescent="0.15">
      <c r="C106" s="121"/>
      <c r="D106" s="121"/>
      <c r="E106" s="121"/>
      <c r="F106" s="121"/>
      <c r="G106" s="121"/>
      <c r="J106" s="121"/>
      <c r="K106" s="121"/>
      <c r="L106" s="121"/>
      <c r="M106" s="121"/>
      <c r="N106" s="121"/>
      <c r="Q106" s="119"/>
      <c r="R106" s="119"/>
      <c r="S106" s="119"/>
      <c r="T106" s="119"/>
      <c r="U106" s="119"/>
    </row>
    <row r="107" spans="3:21" x14ac:dyDescent="0.15">
      <c r="C107" s="121"/>
      <c r="D107" s="121"/>
      <c r="E107" s="121"/>
      <c r="F107" s="121"/>
      <c r="G107" s="121"/>
      <c r="J107" s="121"/>
      <c r="K107" s="121"/>
      <c r="L107" s="121"/>
      <c r="M107" s="121"/>
      <c r="N107" s="121"/>
      <c r="Q107" s="119"/>
      <c r="R107" s="119"/>
      <c r="S107" s="119"/>
      <c r="T107" s="119"/>
      <c r="U107" s="119"/>
    </row>
    <row r="108" spans="3:21" x14ac:dyDescent="0.15">
      <c r="C108" s="121"/>
      <c r="D108" s="121"/>
      <c r="E108" s="121"/>
      <c r="F108" s="121"/>
      <c r="G108" s="121"/>
      <c r="J108" s="121"/>
      <c r="K108" s="121"/>
      <c r="L108" s="121"/>
      <c r="M108" s="121"/>
      <c r="N108" s="121"/>
      <c r="Q108" s="119"/>
      <c r="R108" s="119"/>
      <c r="S108" s="119"/>
      <c r="T108" s="119"/>
      <c r="U108" s="119"/>
    </row>
    <row r="109" spans="3:21" x14ac:dyDescent="0.15">
      <c r="C109" s="121"/>
      <c r="D109" s="121"/>
      <c r="E109" s="121"/>
      <c r="F109" s="121"/>
      <c r="G109" s="121"/>
      <c r="J109" s="121"/>
      <c r="K109" s="121"/>
      <c r="L109" s="121"/>
      <c r="M109" s="121"/>
      <c r="N109" s="121"/>
      <c r="Q109" s="119"/>
      <c r="R109" s="119"/>
      <c r="S109" s="119"/>
      <c r="T109" s="119"/>
      <c r="U109" s="119"/>
    </row>
    <row r="110" spans="3:21" x14ac:dyDescent="0.15">
      <c r="C110" s="121"/>
      <c r="D110" s="121"/>
      <c r="E110" s="121"/>
      <c r="F110" s="121"/>
      <c r="G110" s="121"/>
      <c r="J110" s="121"/>
      <c r="K110" s="121"/>
      <c r="L110" s="121"/>
      <c r="M110" s="121"/>
      <c r="N110" s="121"/>
      <c r="Q110" s="119"/>
      <c r="R110" s="119"/>
      <c r="S110" s="119"/>
      <c r="T110" s="119"/>
      <c r="U110" s="119"/>
    </row>
    <row r="111" spans="3:21" x14ac:dyDescent="0.15">
      <c r="C111" s="121"/>
      <c r="D111" s="121"/>
      <c r="E111" s="121"/>
      <c r="F111" s="121"/>
      <c r="G111" s="121"/>
      <c r="J111" s="121"/>
      <c r="K111" s="121"/>
      <c r="L111" s="121"/>
      <c r="M111" s="121"/>
      <c r="N111" s="121"/>
      <c r="Q111" s="119"/>
      <c r="R111" s="119"/>
      <c r="S111" s="119"/>
      <c r="T111" s="119"/>
      <c r="U111" s="119"/>
    </row>
    <row r="112" spans="3:21" x14ac:dyDescent="0.15">
      <c r="C112" s="121"/>
      <c r="D112" s="121"/>
      <c r="E112" s="121"/>
      <c r="F112" s="121"/>
      <c r="G112" s="121"/>
      <c r="J112" s="121"/>
      <c r="K112" s="121"/>
      <c r="L112" s="121"/>
      <c r="M112" s="121"/>
      <c r="N112" s="121"/>
      <c r="Q112" s="119"/>
      <c r="R112" s="119"/>
      <c r="S112" s="119"/>
      <c r="T112" s="119"/>
      <c r="U112" s="119"/>
    </row>
    <row r="113" spans="3:21" x14ac:dyDescent="0.15">
      <c r="C113" s="121"/>
      <c r="D113" s="121"/>
      <c r="E113" s="121"/>
      <c r="F113" s="121"/>
      <c r="G113" s="121"/>
      <c r="J113" s="121"/>
      <c r="K113" s="121"/>
      <c r="L113" s="121"/>
      <c r="M113" s="121"/>
      <c r="N113" s="121"/>
      <c r="Q113" s="119"/>
      <c r="R113" s="119"/>
      <c r="S113" s="119"/>
      <c r="T113" s="119"/>
      <c r="U113" s="119"/>
    </row>
    <row r="114" spans="3:21" x14ac:dyDescent="0.15">
      <c r="C114" s="121"/>
      <c r="D114" s="121"/>
      <c r="E114" s="121"/>
      <c r="F114" s="121"/>
      <c r="G114" s="121"/>
      <c r="J114" s="121"/>
      <c r="K114" s="121"/>
      <c r="L114" s="121"/>
      <c r="M114" s="121"/>
      <c r="N114" s="121"/>
      <c r="Q114" s="119"/>
      <c r="R114" s="119"/>
      <c r="S114" s="119"/>
      <c r="T114" s="119"/>
      <c r="U114" s="119"/>
    </row>
    <row r="115" spans="3:21" x14ac:dyDescent="0.15">
      <c r="C115" s="121"/>
      <c r="D115" s="121"/>
      <c r="E115" s="121"/>
      <c r="F115" s="121"/>
      <c r="G115" s="121"/>
      <c r="J115" s="121"/>
      <c r="K115" s="121"/>
      <c r="L115" s="121"/>
      <c r="M115" s="121"/>
      <c r="N115" s="121"/>
      <c r="Q115" s="119"/>
      <c r="R115" s="119"/>
      <c r="S115" s="119"/>
      <c r="T115" s="119"/>
      <c r="U115" s="119"/>
    </row>
    <row r="116" spans="3:21" x14ac:dyDescent="0.15">
      <c r="C116" s="121"/>
      <c r="D116" s="121"/>
      <c r="E116" s="121"/>
      <c r="F116" s="121"/>
      <c r="G116" s="121"/>
      <c r="J116" s="121"/>
      <c r="K116" s="121"/>
      <c r="L116" s="121"/>
      <c r="M116" s="121"/>
      <c r="N116" s="121"/>
      <c r="Q116" s="119"/>
      <c r="R116" s="119"/>
      <c r="S116" s="119"/>
      <c r="T116" s="119"/>
      <c r="U116" s="119"/>
    </row>
    <row r="117" spans="3:21" x14ac:dyDescent="0.15">
      <c r="C117" s="121"/>
      <c r="D117" s="121"/>
      <c r="E117" s="121"/>
      <c r="F117" s="121"/>
      <c r="G117" s="121"/>
      <c r="J117" s="121"/>
      <c r="K117" s="121"/>
      <c r="L117" s="121"/>
      <c r="M117" s="121"/>
      <c r="N117" s="121"/>
      <c r="Q117" s="119"/>
      <c r="R117" s="119"/>
      <c r="S117" s="119"/>
      <c r="T117" s="119"/>
      <c r="U117" s="119"/>
    </row>
    <row r="118" spans="3:21" x14ac:dyDescent="0.15">
      <c r="C118" s="121"/>
      <c r="D118" s="121"/>
      <c r="E118" s="121"/>
      <c r="F118" s="121"/>
      <c r="G118" s="121"/>
      <c r="J118" s="121"/>
      <c r="K118" s="121"/>
      <c r="L118" s="121"/>
      <c r="M118" s="121"/>
      <c r="N118" s="121"/>
      <c r="Q118" s="119"/>
      <c r="R118" s="119"/>
      <c r="S118" s="119"/>
      <c r="T118" s="119"/>
      <c r="U118" s="119"/>
    </row>
    <row r="119" spans="3:21" x14ac:dyDescent="0.15">
      <c r="C119" s="121"/>
      <c r="D119" s="121"/>
      <c r="E119" s="121"/>
      <c r="F119" s="121"/>
      <c r="G119" s="121"/>
      <c r="J119" s="121"/>
      <c r="K119" s="121"/>
      <c r="L119" s="121"/>
      <c r="M119" s="121"/>
      <c r="N119" s="121"/>
      <c r="Q119" s="119"/>
      <c r="R119" s="119"/>
      <c r="S119" s="119"/>
      <c r="T119" s="119"/>
      <c r="U119" s="119"/>
    </row>
    <row r="120" spans="3:21" x14ac:dyDescent="0.15">
      <c r="C120" s="121"/>
      <c r="D120" s="121"/>
      <c r="E120" s="121"/>
      <c r="F120" s="121"/>
      <c r="G120" s="121"/>
      <c r="J120" s="121"/>
      <c r="K120" s="121"/>
      <c r="L120" s="121"/>
      <c r="M120" s="121"/>
      <c r="N120" s="121"/>
      <c r="Q120" s="119"/>
      <c r="R120" s="119"/>
      <c r="S120" s="119"/>
      <c r="T120" s="119"/>
      <c r="U120" s="119"/>
    </row>
    <row r="121" spans="3:21" x14ac:dyDescent="0.15">
      <c r="C121" s="121"/>
      <c r="D121" s="121"/>
      <c r="E121" s="121"/>
      <c r="F121" s="121"/>
      <c r="G121" s="121"/>
      <c r="J121" s="121"/>
      <c r="K121" s="121"/>
      <c r="L121" s="121"/>
      <c r="M121" s="121"/>
      <c r="N121" s="121"/>
      <c r="Q121" s="119"/>
      <c r="R121" s="119"/>
      <c r="S121" s="119"/>
      <c r="T121" s="119"/>
      <c r="U121" s="119"/>
    </row>
    <row r="122" spans="3:21" x14ac:dyDescent="0.15">
      <c r="C122" s="121"/>
      <c r="D122" s="121"/>
      <c r="E122" s="121"/>
      <c r="F122" s="121"/>
      <c r="G122" s="121"/>
      <c r="J122" s="121"/>
      <c r="K122" s="121"/>
      <c r="L122" s="121"/>
      <c r="M122" s="121"/>
      <c r="N122" s="121"/>
      <c r="Q122" s="119"/>
      <c r="R122" s="119"/>
      <c r="S122" s="119"/>
      <c r="T122" s="119"/>
      <c r="U122" s="119"/>
    </row>
    <row r="123" spans="3:21" x14ac:dyDescent="0.15">
      <c r="C123" s="121"/>
      <c r="D123" s="121"/>
      <c r="E123" s="121"/>
      <c r="F123" s="121"/>
      <c r="G123" s="121"/>
      <c r="J123" s="121"/>
      <c r="K123" s="121"/>
      <c r="L123" s="121"/>
      <c r="M123" s="121"/>
      <c r="N123" s="121"/>
      <c r="Q123" s="119"/>
      <c r="R123" s="119"/>
      <c r="S123" s="119"/>
      <c r="T123" s="119"/>
      <c r="U123" s="119"/>
    </row>
    <row r="124" spans="3:21" x14ac:dyDescent="0.15">
      <c r="C124" s="121"/>
      <c r="D124" s="121"/>
      <c r="E124" s="121"/>
      <c r="F124" s="121"/>
      <c r="G124" s="121"/>
      <c r="J124" s="121"/>
      <c r="K124" s="121"/>
      <c r="L124" s="121"/>
      <c r="M124" s="121"/>
      <c r="N124" s="121"/>
      <c r="Q124" s="119"/>
      <c r="R124" s="119"/>
      <c r="S124" s="119"/>
      <c r="T124" s="119"/>
      <c r="U124" s="119"/>
    </row>
    <row r="125" spans="3:21" x14ac:dyDescent="0.15">
      <c r="C125" s="121"/>
      <c r="D125" s="121"/>
      <c r="E125" s="121"/>
      <c r="F125" s="121"/>
      <c r="G125" s="121"/>
      <c r="J125" s="121"/>
      <c r="K125" s="121"/>
      <c r="L125" s="121"/>
      <c r="M125" s="121"/>
      <c r="N125" s="121"/>
      <c r="Q125" s="119"/>
      <c r="R125" s="119"/>
      <c r="S125" s="119"/>
      <c r="T125" s="119"/>
      <c r="U125" s="119"/>
    </row>
    <row r="126" spans="3:21" x14ac:dyDescent="0.15">
      <c r="C126" s="121"/>
      <c r="D126" s="121"/>
      <c r="E126" s="121"/>
      <c r="F126" s="121"/>
      <c r="G126" s="121"/>
      <c r="J126" s="121"/>
      <c r="K126" s="121"/>
      <c r="L126" s="121"/>
      <c r="M126" s="121"/>
      <c r="N126" s="121"/>
      <c r="Q126" s="119"/>
      <c r="R126" s="119"/>
      <c r="S126" s="119"/>
      <c r="T126" s="119"/>
      <c r="U126" s="119"/>
    </row>
    <row r="127" spans="3:21" x14ac:dyDescent="0.15">
      <c r="C127" s="121"/>
      <c r="D127" s="121"/>
      <c r="E127" s="121"/>
      <c r="F127" s="121"/>
      <c r="G127" s="121"/>
      <c r="J127" s="121"/>
      <c r="K127" s="121"/>
      <c r="L127" s="121"/>
      <c r="M127" s="121"/>
      <c r="N127" s="121"/>
      <c r="Q127" s="119"/>
      <c r="R127" s="119"/>
      <c r="S127" s="119"/>
      <c r="T127" s="119"/>
      <c r="U127" s="119"/>
    </row>
    <row r="128" spans="3:21" x14ac:dyDescent="0.15">
      <c r="C128" s="121"/>
      <c r="D128" s="121"/>
      <c r="E128" s="121"/>
      <c r="F128" s="121"/>
      <c r="G128" s="121"/>
      <c r="J128" s="121"/>
      <c r="K128" s="121"/>
      <c r="L128" s="121"/>
      <c r="M128" s="121"/>
      <c r="N128" s="121"/>
      <c r="Q128" s="119"/>
      <c r="R128" s="119"/>
      <c r="S128" s="119"/>
      <c r="T128" s="119"/>
      <c r="U128" s="119"/>
    </row>
    <row r="129" spans="3:21" x14ac:dyDescent="0.15">
      <c r="C129" s="121"/>
      <c r="D129" s="121"/>
      <c r="E129" s="121"/>
      <c r="F129" s="121"/>
      <c r="G129" s="121"/>
      <c r="J129" s="121"/>
      <c r="K129" s="121"/>
      <c r="L129" s="121"/>
      <c r="M129" s="121"/>
      <c r="N129" s="121"/>
      <c r="Q129" s="119"/>
      <c r="R129" s="119"/>
      <c r="S129" s="119"/>
      <c r="T129" s="119"/>
      <c r="U129" s="119"/>
    </row>
    <row r="130" spans="3:21" x14ac:dyDescent="0.15">
      <c r="C130" s="121"/>
      <c r="D130" s="121"/>
      <c r="E130" s="121"/>
      <c r="F130" s="121"/>
      <c r="G130" s="121"/>
      <c r="J130" s="121"/>
      <c r="K130" s="121"/>
      <c r="L130" s="121"/>
      <c r="M130" s="121"/>
      <c r="N130" s="121"/>
      <c r="Q130" s="119"/>
      <c r="R130" s="119"/>
      <c r="S130" s="119"/>
      <c r="T130" s="119"/>
      <c r="U130" s="119"/>
    </row>
    <row r="131" spans="3:21" x14ac:dyDescent="0.15">
      <c r="C131" s="121"/>
      <c r="D131" s="121"/>
      <c r="E131" s="121"/>
      <c r="F131" s="121"/>
      <c r="G131" s="121"/>
      <c r="J131" s="121"/>
      <c r="K131" s="121"/>
      <c r="L131" s="121"/>
      <c r="M131" s="121"/>
      <c r="N131" s="121"/>
      <c r="Q131" s="119"/>
      <c r="R131" s="119"/>
      <c r="S131" s="119"/>
      <c r="T131" s="119"/>
      <c r="U131" s="119"/>
    </row>
    <row r="132" spans="3:21" x14ac:dyDescent="0.15">
      <c r="C132" s="121"/>
      <c r="D132" s="121"/>
      <c r="E132" s="121"/>
      <c r="F132" s="121"/>
      <c r="G132" s="121"/>
      <c r="J132" s="121"/>
      <c r="K132" s="121"/>
      <c r="L132" s="121"/>
      <c r="M132" s="121"/>
      <c r="N132" s="121"/>
      <c r="Q132" s="119"/>
      <c r="R132" s="119"/>
      <c r="S132" s="119"/>
      <c r="T132" s="119"/>
      <c r="U132" s="119"/>
    </row>
    <row r="133" spans="3:21" x14ac:dyDescent="0.15">
      <c r="C133" s="121"/>
      <c r="D133" s="121"/>
      <c r="E133" s="121"/>
      <c r="F133" s="121"/>
      <c r="G133" s="121"/>
      <c r="J133" s="121"/>
      <c r="K133" s="121"/>
      <c r="L133" s="121"/>
      <c r="M133" s="121"/>
      <c r="N133" s="121"/>
      <c r="Q133" s="119"/>
      <c r="R133" s="119"/>
      <c r="S133" s="119"/>
      <c r="T133" s="119"/>
      <c r="U133" s="119"/>
    </row>
    <row r="134" spans="3:21" x14ac:dyDescent="0.15">
      <c r="C134" s="121"/>
      <c r="D134" s="121"/>
      <c r="E134" s="121"/>
      <c r="F134" s="121"/>
      <c r="G134" s="121"/>
      <c r="J134" s="121"/>
      <c r="K134" s="121"/>
      <c r="L134" s="121"/>
      <c r="M134" s="121"/>
      <c r="N134" s="121"/>
      <c r="Q134" s="119"/>
      <c r="R134" s="119"/>
      <c r="S134" s="119"/>
      <c r="T134" s="119"/>
      <c r="U134" s="119"/>
    </row>
    <row r="135" spans="3:21" x14ac:dyDescent="0.15">
      <c r="C135" s="121"/>
      <c r="D135" s="121"/>
      <c r="E135" s="121"/>
      <c r="F135" s="121"/>
      <c r="G135" s="121"/>
      <c r="J135" s="121"/>
      <c r="K135" s="121"/>
      <c r="L135" s="121"/>
      <c r="M135" s="121"/>
      <c r="N135" s="121"/>
      <c r="Q135" s="119"/>
      <c r="R135" s="119"/>
      <c r="S135" s="119"/>
      <c r="T135" s="119"/>
      <c r="U135" s="119"/>
    </row>
    <row r="136" spans="3:21" x14ac:dyDescent="0.15">
      <c r="C136" s="121"/>
      <c r="D136" s="121"/>
      <c r="E136" s="121"/>
      <c r="F136" s="121"/>
      <c r="G136" s="121"/>
      <c r="J136" s="121"/>
      <c r="K136" s="121"/>
      <c r="L136" s="121"/>
      <c r="M136" s="121"/>
      <c r="N136" s="121"/>
      <c r="Q136" s="119"/>
      <c r="R136" s="119"/>
      <c r="S136" s="119"/>
      <c r="T136" s="119"/>
      <c r="U136" s="119"/>
    </row>
    <row r="137" spans="3:21" x14ac:dyDescent="0.15">
      <c r="C137" s="121"/>
      <c r="D137" s="121"/>
      <c r="E137" s="121"/>
      <c r="F137" s="121"/>
      <c r="G137" s="121"/>
      <c r="J137" s="121"/>
      <c r="K137" s="121"/>
      <c r="L137" s="121"/>
      <c r="M137" s="121"/>
      <c r="N137" s="121"/>
      <c r="Q137" s="119"/>
      <c r="R137" s="119"/>
      <c r="S137" s="119"/>
      <c r="T137" s="119"/>
      <c r="U137" s="119"/>
    </row>
    <row r="138" spans="3:21" x14ac:dyDescent="0.15">
      <c r="C138" s="121"/>
      <c r="D138" s="121"/>
      <c r="E138" s="121"/>
      <c r="F138" s="121"/>
      <c r="G138" s="121"/>
      <c r="J138" s="121"/>
      <c r="K138" s="121"/>
      <c r="L138" s="121"/>
      <c r="M138" s="121"/>
      <c r="N138" s="121"/>
      <c r="Q138" s="119"/>
      <c r="R138" s="119"/>
      <c r="S138" s="119"/>
      <c r="T138" s="119"/>
      <c r="U138" s="119"/>
    </row>
    <row r="139" spans="3:21" x14ac:dyDescent="0.15">
      <c r="C139" s="121"/>
      <c r="D139" s="121"/>
      <c r="E139" s="121"/>
      <c r="F139" s="121"/>
      <c r="G139" s="121"/>
      <c r="J139" s="121"/>
      <c r="K139" s="121"/>
      <c r="L139" s="121"/>
      <c r="M139" s="121"/>
      <c r="N139" s="121"/>
      <c r="Q139" s="119"/>
      <c r="R139" s="119"/>
      <c r="S139" s="119"/>
      <c r="T139" s="119"/>
      <c r="U139" s="119"/>
    </row>
    <row r="140" spans="3:21" x14ac:dyDescent="0.15">
      <c r="C140" s="121"/>
      <c r="D140" s="121"/>
      <c r="E140" s="121"/>
      <c r="F140" s="121"/>
      <c r="G140" s="121"/>
      <c r="J140" s="121"/>
      <c r="K140" s="121"/>
      <c r="L140" s="121"/>
      <c r="M140" s="121"/>
      <c r="N140" s="121"/>
      <c r="Q140" s="119"/>
      <c r="R140" s="119"/>
      <c r="S140" s="119"/>
      <c r="T140" s="119"/>
      <c r="U140" s="119"/>
    </row>
    <row r="141" spans="3:21" x14ac:dyDescent="0.15">
      <c r="C141" s="121"/>
      <c r="D141" s="121"/>
      <c r="E141" s="121"/>
      <c r="F141" s="121"/>
      <c r="G141" s="121"/>
      <c r="J141" s="121"/>
      <c r="K141" s="121"/>
      <c r="L141" s="121"/>
      <c r="M141" s="121"/>
      <c r="N141" s="121"/>
      <c r="Q141" s="119"/>
      <c r="R141" s="119"/>
      <c r="S141" s="119"/>
      <c r="T141" s="119"/>
      <c r="U141" s="119"/>
    </row>
    <row r="142" spans="3:21" x14ac:dyDescent="0.15">
      <c r="C142" s="121"/>
      <c r="D142" s="121"/>
      <c r="E142" s="121"/>
      <c r="F142" s="121"/>
      <c r="G142" s="121"/>
      <c r="J142" s="121"/>
      <c r="K142" s="121"/>
      <c r="L142" s="121"/>
      <c r="M142" s="121"/>
      <c r="N142" s="121"/>
      <c r="Q142" s="119"/>
      <c r="R142" s="119"/>
      <c r="S142" s="119"/>
      <c r="T142" s="119"/>
      <c r="U142" s="119"/>
    </row>
    <row r="143" spans="3:21" x14ac:dyDescent="0.15">
      <c r="C143" s="121"/>
      <c r="D143" s="121"/>
      <c r="E143" s="121"/>
      <c r="F143" s="121"/>
      <c r="G143" s="121"/>
      <c r="J143" s="121"/>
      <c r="K143" s="121"/>
      <c r="L143" s="121"/>
      <c r="M143" s="121"/>
      <c r="N143" s="121"/>
      <c r="Q143" s="119"/>
      <c r="R143" s="119"/>
      <c r="S143" s="119"/>
      <c r="T143" s="119"/>
      <c r="U143" s="119"/>
    </row>
    <row r="144" spans="3:21" x14ac:dyDescent="0.15">
      <c r="C144" s="121"/>
      <c r="D144" s="121"/>
      <c r="E144" s="121"/>
      <c r="F144" s="121"/>
      <c r="G144" s="121"/>
      <c r="J144" s="121"/>
      <c r="K144" s="121"/>
      <c r="L144" s="121"/>
      <c r="M144" s="121"/>
      <c r="N144" s="121"/>
      <c r="Q144" s="119"/>
      <c r="R144" s="119"/>
      <c r="S144" s="119"/>
      <c r="T144" s="119"/>
      <c r="U144" s="119"/>
    </row>
    <row r="145" spans="3:21" x14ac:dyDescent="0.15">
      <c r="C145" s="121"/>
      <c r="D145" s="121"/>
      <c r="E145" s="121"/>
      <c r="F145" s="121"/>
      <c r="G145" s="121"/>
      <c r="J145" s="121"/>
      <c r="K145" s="121"/>
      <c r="L145" s="121"/>
      <c r="M145" s="121"/>
      <c r="N145" s="121"/>
      <c r="Q145" s="119"/>
      <c r="R145" s="119"/>
      <c r="S145" s="119"/>
      <c r="T145" s="119"/>
      <c r="U145" s="119"/>
    </row>
    <row r="146" spans="3:21" x14ac:dyDescent="0.15">
      <c r="C146" s="121"/>
      <c r="D146" s="121"/>
      <c r="E146" s="121"/>
      <c r="F146" s="121"/>
      <c r="G146" s="121"/>
      <c r="J146" s="121"/>
      <c r="K146" s="121"/>
      <c r="L146" s="121"/>
      <c r="M146" s="121"/>
      <c r="N146" s="121"/>
      <c r="Q146" s="119"/>
      <c r="R146" s="119"/>
      <c r="S146" s="119"/>
      <c r="T146" s="119"/>
      <c r="U146" s="119"/>
    </row>
    <row r="147" spans="3:21" x14ac:dyDescent="0.15">
      <c r="C147" s="121"/>
      <c r="D147" s="121"/>
      <c r="E147" s="121"/>
      <c r="F147" s="121"/>
      <c r="G147" s="121"/>
      <c r="J147" s="121"/>
      <c r="K147" s="121"/>
      <c r="L147" s="121"/>
      <c r="M147" s="121"/>
      <c r="N147" s="121"/>
      <c r="Q147" s="119"/>
      <c r="R147" s="119"/>
      <c r="S147" s="119"/>
      <c r="T147" s="119"/>
      <c r="U147" s="119"/>
    </row>
    <row r="148" spans="3:21" x14ac:dyDescent="0.15">
      <c r="C148" s="121"/>
      <c r="D148" s="121"/>
      <c r="E148" s="121"/>
      <c r="F148" s="121"/>
      <c r="G148" s="121"/>
      <c r="J148" s="121"/>
      <c r="K148" s="121"/>
      <c r="L148" s="121"/>
      <c r="M148" s="121"/>
      <c r="N148" s="121"/>
      <c r="Q148" s="119"/>
      <c r="R148" s="119"/>
      <c r="S148" s="119"/>
      <c r="T148" s="119"/>
      <c r="U148" s="119"/>
    </row>
    <row r="149" spans="3:21" x14ac:dyDescent="0.15">
      <c r="C149" s="121"/>
      <c r="D149" s="121"/>
      <c r="E149" s="121"/>
      <c r="F149" s="121"/>
      <c r="G149" s="121"/>
      <c r="J149" s="121"/>
      <c r="K149" s="121"/>
      <c r="L149" s="121"/>
      <c r="M149" s="121"/>
      <c r="N149" s="121"/>
      <c r="Q149" s="119"/>
      <c r="R149" s="119"/>
      <c r="S149" s="119"/>
      <c r="T149" s="119"/>
      <c r="U149" s="119"/>
    </row>
    <row r="150" spans="3:21" x14ac:dyDescent="0.15">
      <c r="C150" s="121"/>
      <c r="D150" s="121"/>
      <c r="E150" s="121"/>
      <c r="F150" s="121"/>
      <c r="G150" s="121"/>
      <c r="J150" s="121"/>
      <c r="K150" s="121"/>
      <c r="L150" s="121"/>
      <c r="M150" s="121"/>
      <c r="N150" s="121"/>
      <c r="Q150" s="119"/>
      <c r="R150" s="119"/>
      <c r="S150" s="119"/>
      <c r="T150" s="119"/>
      <c r="U150" s="119"/>
    </row>
    <row r="151" spans="3:21" x14ac:dyDescent="0.15">
      <c r="C151" s="121"/>
      <c r="D151" s="121"/>
      <c r="E151" s="121"/>
      <c r="F151" s="121"/>
      <c r="G151" s="121"/>
      <c r="J151" s="121"/>
      <c r="K151" s="121"/>
      <c r="L151" s="121"/>
      <c r="M151" s="121"/>
      <c r="N151" s="121"/>
      <c r="Q151" s="119"/>
      <c r="R151" s="119"/>
      <c r="S151" s="119"/>
      <c r="T151" s="119"/>
      <c r="U151" s="119"/>
    </row>
    <row r="152" spans="3:21" x14ac:dyDescent="0.15">
      <c r="C152" s="121"/>
      <c r="D152" s="121"/>
      <c r="E152" s="121"/>
      <c r="F152" s="121"/>
      <c r="G152" s="121"/>
      <c r="J152" s="121"/>
      <c r="K152" s="121"/>
      <c r="L152" s="121"/>
      <c r="M152" s="121"/>
      <c r="N152" s="121"/>
      <c r="Q152" s="119"/>
      <c r="R152" s="119"/>
      <c r="S152" s="119"/>
      <c r="T152" s="119"/>
      <c r="U152" s="119"/>
    </row>
    <row r="153" spans="3:21" x14ac:dyDescent="0.15">
      <c r="C153" s="121"/>
      <c r="D153" s="121"/>
      <c r="E153" s="121"/>
      <c r="F153" s="121"/>
      <c r="G153" s="121"/>
      <c r="J153" s="121"/>
      <c r="K153" s="121"/>
      <c r="L153" s="121"/>
      <c r="M153" s="121"/>
      <c r="N153" s="121"/>
      <c r="Q153" s="119"/>
      <c r="R153" s="119"/>
      <c r="S153" s="119"/>
      <c r="T153" s="119"/>
      <c r="U153" s="119"/>
    </row>
    <row r="154" spans="3:21" x14ac:dyDescent="0.15">
      <c r="C154" s="121"/>
      <c r="D154" s="121"/>
      <c r="E154" s="121"/>
      <c r="F154" s="121"/>
      <c r="G154" s="121"/>
      <c r="J154" s="121"/>
      <c r="K154" s="121"/>
      <c r="L154" s="121"/>
      <c r="M154" s="121"/>
      <c r="N154" s="121"/>
      <c r="Q154" s="119"/>
      <c r="R154" s="119"/>
      <c r="S154" s="119"/>
      <c r="T154" s="119"/>
      <c r="U154" s="119"/>
    </row>
    <row r="155" spans="3:21" x14ac:dyDescent="0.15">
      <c r="C155" s="121"/>
      <c r="D155" s="121"/>
      <c r="E155" s="121"/>
      <c r="F155" s="121"/>
      <c r="G155" s="121"/>
      <c r="J155" s="121"/>
      <c r="K155" s="121"/>
      <c r="L155" s="121"/>
      <c r="M155" s="121"/>
      <c r="N155" s="121"/>
      <c r="Q155" s="119"/>
      <c r="R155" s="119"/>
      <c r="S155" s="119"/>
      <c r="T155" s="119"/>
      <c r="U155" s="119"/>
    </row>
    <row r="156" spans="3:21" x14ac:dyDescent="0.15">
      <c r="C156" s="121"/>
      <c r="D156" s="121"/>
      <c r="E156" s="121"/>
      <c r="F156" s="121"/>
      <c r="G156" s="121"/>
      <c r="J156" s="121"/>
      <c r="K156" s="121"/>
      <c r="L156" s="121"/>
      <c r="M156" s="121"/>
      <c r="N156" s="121"/>
      <c r="Q156" s="119"/>
      <c r="R156" s="119"/>
      <c r="S156" s="119"/>
      <c r="T156" s="119"/>
      <c r="U156" s="119"/>
    </row>
    <row r="157" spans="3:21" x14ac:dyDescent="0.15">
      <c r="C157" s="121"/>
      <c r="D157" s="121"/>
      <c r="E157" s="121"/>
      <c r="F157" s="121"/>
      <c r="G157" s="121"/>
      <c r="J157" s="121"/>
      <c r="K157" s="121"/>
      <c r="L157" s="121"/>
      <c r="M157" s="121"/>
      <c r="N157" s="121"/>
      <c r="Q157" s="119"/>
      <c r="R157" s="119"/>
      <c r="S157" s="119"/>
      <c r="T157" s="119"/>
      <c r="U157" s="119"/>
    </row>
    <row r="1257" spans="2:2" x14ac:dyDescent="0.15"/>
    <row r="1383" spans="2:2" x14ac:dyDescent="0.15"/>
  </sheetData>
  <conditionalFormatting sqref="Q2:U2">
    <cfRule type="cellIs" dxfId="35" priority="1" operator="equal">
      <formula>" - "</formula>
    </cfRule>
    <cfRule type="cellIs" dxfId="34" priority="2" operator="between">
      <formula>0.7</formula>
      <formula>0.8</formula>
    </cfRule>
    <cfRule type="cellIs" dxfId="33" priority="3" operator="greaterThan">
      <formula>0.8</formula>
    </cfRule>
    <cfRule type="cellIs" dxfId="32" priority="4" operator="lessThan">
      <formula>0.7</formula>
    </cfRule>
  </conditionalFormatting>
  <conditionalFormatting sqref="Q4:U96">
    <cfRule type="cellIs" dxfId="31" priority="5" operator="equal">
      <formula>" - "</formula>
    </cfRule>
    <cfRule type="cellIs" dxfId="30" priority="6" operator="between">
      <formula>0.7</formula>
      <formula>0.8</formula>
    </cfRule>
    <cfRule type="cellIs" dxfId="29" priority="7" operator="greaterThan">
      <formula>0.8</formula>
    </cfRule>
    <cfRule type="cellIs" dxfId="28" priority="8" operator="lessThan">
      <formula>0.7</formula>
    </cfRule>
  </conditionalFormatting>
  <pageMargins left="0.7" right="0.7" top="0.75" bottom="0.75" header="0.3" footer="0.3"/>
  <ignoredErrors>
    <ignoredError sqref="R3:U3" formula="1"/>
  </ignoredErrors>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7F4CE-6FEF-42D5-8F18-28F2EDB6356D}">
  <sheetPr>
    <tabColor theme="9" tint="0.39997558519241921"/>
  </sheetPr>
  <dimension ref="A1:X25"/>
  <sheetViews>
    <sheetView workbookViewId="0">
      <pane xSplit="2" ySplit="3" topLeftCell="C4" activePane="bottomRight" state="frozen"/>
      <selection pane="topRight" activeCell="C1" sqref="C1"/>
      <selection pane="bottomLeft" activeCell="A4" sqref="A4"/>
      <selection pane="bottomRight" activeCell="A10" sqref="A10:XFD10"/>
    </sheetView>
  </sheetViews>
  <sheetFormatPr baseColWidth="10" defaultColWidth="9.1640625" defaultRowHeight="11" x14ac:dyDescent="0.15"/>
  <cols>
    <col min="1" max="1" width="6.5" style="110" customWidth="1"/>
    <col min="2" max="2" width="13.83203125" style="110" bestFit="1" customWidth="1"/>
    <col min="3" max="8" width="12.5" style="110" customWidth="1"/>
    <col min="9" max="9" width="2.5" style="143" customWidth="1"/>
    <col min="10" max="10" width="6.5" style="110" customWidth="1"/>
    <col min="11" max="16" width="12.5" style="110" customWidth="1"/>
    <col min="17" max="17" width="2.5" style="143" customWidth="1"/>
    <col min="18" max="18" width="6.5" style="110" customWidth="1"/>
    <col min="19" max="24" width="12.5" style="110" customWidth="1"/>
    <col min="25" max="16384" width="9.1640625" style="110"/>
  </cols>
  <sheetData>
    <row r="1" spans="1:24" x14ac:dyDescent="0.15">
      <c r="A1" s="284" t="s">
        <v>995</v>
      </c>
    </row>
    <row r="2" spans="1:24" x14ac:dyDescent="0.15">
      <c r="C2" s="314">
        <f>SUM(C4:C25)</f>
        <v>3737600.8</v>
      </c>
      <c r="D2" s="314">
        <f t="shared" ref="D2:H2" si="0">SUM(D4:D25)</f>
        <v>4012052.81</v>
      </c>
      <c r="E2" s="314">
        <f t="shared" si="0"/>
        <v>3798485.7760000001</v>
      </c>
      <c r="F2" s="314">
        <f t="shared" si="0"/>
        <v>5703742.1720000003</v>
      </c>
      <c r="G2" s="314">
        <f t="shared" si="0"/>
        <v>4950309.333333334</v>
      </c>
      <c r="H2" s="314">
        <f t="shared" si="0"/>
        <v>7102651.4382808311</v>
      </c>
      <c r="K2" s="314">
        <f>SUM(K4:K25)</f>
        <v>1426781.1799999992</v>
      </c>
      <c r="L2" s="314">
        <f t="shared" ref="L2:P2" si="1">SUM(L4:L25)</f>
        <v>1158465.4057</v>
      </c>
      <c r="M2" s="314">
        <f t="shared" si="1"/>
        <v>944457.63</v>
      </c>
      <c r="N2" s="314">
        <f t="shared" si="1"/>
        <v>1496909.6700000002</v>
      </c>
      <c r="O2" s="314">
        <f t="shared" si="1"/>
        <v>1179886.9349999998</v>
      </c>
      <c r="P2" s="314">
        <f t="shared" si="1"/>
        <v>1437588.0299999998</v>
      </c>
      <c r="S2" s="119">
        <f t="shared" ref="S2" si="2">IFERROR((C2-K2)/C2," - ")</f>
        <v>0.61826282250367692</v>
      </c>
      <c r="T2" s="119">
        <f t="shared" ref="T2" si="3">IFERROR((D2-L2)/D2," - ")</f>
        <v>0.71125369964908314</v>
      </c>
      <c r="U2" s="119">
        <f t="shared" ref="U2" si="4">IFERROR((E2-M2)/E2," - ")</f>
        <v>0.75135944013075595</v>
      </c>
      <c r="V2" s="119">
        <f t="shared" ref="V2" si="5">IFERROR((F2-N2)/F2," - ")</f>
        <v>0.73755656815127169</v>
      </c>
      <c r="W2" s="119">
        <f t="shared" ref="W2" si="6">IFERROR((G2-O2)/G2," - ")</f>
        <v>0.76165389765541935</v>
      </c>
      <c r="X2" s="119">
        <f>IFERROR((H2-P2)/H2," - ")</f>
        <v>0.79759839793743803</v>
      </c>
    </row>
    <row r="3" spans="1:24" x14ac:dyDescent="0.15">
      <c r="A3" s="283" t="s">
        <v>996</v>
      </c>
      <c r="B3" s="285" t="s">
        <v>997</v>
      </c>
      <c r="C3" s="282">
        <v>2020</v>
      </c>
      <c r="D3" s="282">
        <v>2021</v>
      </c>
      <c r="E3" s="282">
        <f>D3+1</f>
        <v>2022</v>
      </c>
      <c r="F3" s="282">
        <f t="shared" ref="F3:H3" si="7">E3+1</f>
        <v>2023</v>
      </c>
      <c r="G3" s="282">
        <f t="shared" si="7"/>
        <v>2024</v>
      </c>
      <c r="H3" s="282">
        <f t="shared" si="7"/>
        <v>2025</v>
      </c>
      <c r="J3" s="283" t="s">
        <v>4</v>
      </c>
      <c r="K3" s="282">
        <v>2020</v>
      </c>
      <c r="L3" s="282">
        <v>2021</v>
      </c>
      <c r="M3" s="282">
        <f>L3+1</f>
        <v>2022</v>
      </c>
      <c r="N3" s="282">
        <f t="shared" ref="N3:P3" si="8">M3+1</f>
        <v>2023</v>
      </c>
      <c r="O3" s="282">
        <f t="shared" si="8"/>
        <v>2024</v>
      </c>
      <c r="P3" s="282">
        <f t="shared" si="8"/>
        <v>2025</v>
      </c>
      <c r="R3" s="283" t="s">
        <v>992</v>
      </c>
      <c r="S3" s="282">
        <v>2020</v>
      </c>
      <c r="T3" s="282">
        <v>2021</v>
      </c>
      <c r="U3" s="282">
        <f>T3+1</f>
        <v>2022</v>
      </c>
      <c r="V3" s="282">
        <f t="shared" ref="V3:X3" si="9">U3+1</f>
        <v>2023</v>
      </c>
      <c r="W3" s="282">
        <f t="shared" si="9"/>
        <v>2024</v>
      </c>
      <c r="X3" s="282">
        <f t="shared" si="9"/>
        <v>2025</v>
      </c>
    </row>
    <row r="4" spans="1:24" x14ac:dyDescent="0.15">
      <c r="B4" s="54" t="s">
        <v>998</v>
      </c>
      <c r="C4" s="121">
        <f>SUMIFS('TB &amp; MCC Cost Audit 2020-Curren'!$P:$P,'TB &amp; MCC Cost Audit 2020-Curren'!$C:$C,'TB Type Margin Analysis'!$B4,'TB &amp; MCC Cost Audit 2020-Curren'!$D:$D,'TB Type Margin Analysis'!C$3)</f>
        <v>0</v>
      </c>
      <c r="D4" s="121">
        <f>SUMIFS('TB &amp; MCC Cost Audit 2020-Curren'!$P:$P,'TB &amp; MCC Cost Audit 2020-Curren'!$C:$C,'TB Type Margin Analysis'!$B4,'TB &amp; MCC Cost Audit 2020-Curren'!$D:$D,'TB Type Margin Analysis'!D$3)</f>
        <v>0</v>
      </c>
      <c r="E4" s="121">
        <f>SUMIFS('TB &amp; MCC Cost Audit 2020-Curren'!$P:$P,'TB &amp; MCC Cost Audit 2020-Curren'!$C:$C,'TB Type Margin Analysis'!$B4,'TB &amp; MCC Cost Audit 2020-Curren'!$D:$D,'TB Type Margin Analysis'!E$3)</f>
        <v>0</v>
      </c>
      <c r="F4" s="121">
        <f>SUMIFS('TB &amp; MCC Cost Audit 2020-Curren'!$P:$P,'TB &amp; MCC Cost Audit 2020-Curren'!$C:$C,'TB Type Margin Analysis'!$B4,'TB &amp; MCC Cost Audit 2020-Curren'!$D:$D,'TB Type Margin Analysis'!F$3)</f>
        <v>0</v>
      </c>
      <c r="G4" s="121">
        <f>SUMIFS('TB &amp; MCC Cost Audit 2020-Curren'!$P:$P,'TB &amp; MCC Cost Audit 2020-Curren'!$C:$C,'TB Type Margin Analysis'!$B4,'TB &amp; MCC Cost Audit 2020-Curren'!$D:$D,'TB Type Margin Analysis'!G$3)</f>
        <v>0</v>
      </c>
      <c r="H4" s="121">
        <f>SUMIFS('TB &amp; MCC Cost Audit 2020-Curren'!$P:$P,'TB &amp; MCC Cost Audit 2020-Curren'!$C:$C,'TB Type Margin Analysis'!$B4,'TB &amp; MCC Cost Audit 2020-Curren'!$D:$D,'TB Type Margin Analysis'!H$3)</f>
        <v>0</v>
      </c>
      <c r="K4" s="121">
        <f>SUMIFS('TB &amp; MCC Cost Audit 2020-Curren'!$W:$W,'TB &amp; MCC Cost Audit 2020-Curren'!$C:$C,'TB Type Margin Analysis'!$B4,'TB &amp; MCC Cost Audit 2020-Curren'!$D:$D,'TB Type Margin Analysis'!K$3)</f>
        <v>0</v>
      </c>
      <c r="L4" s="121">
        <f>SUMIFS('TB &amp; MCC Cost Audit 2020-Curren'!$W:$W,'TB &amp; MCC Cost Audit 2020-Curren'!$C:$C,'TB Type Margin Analysis'!$B4,'TB &amp; MCC Cost Audit 2020-Curren'!$D:$D,'TB Type Margin Analysis'!L$3)</f>
        <v>0</v>
      </c>
      <c r="M4" s="121">
        <f>SUMIFS('TB &amp; MCC Cost Audit 2020-Curren'!$W:$W,'TB &amp; MCC Cost Audit 2020-Curren'!$C:$C,'TB Type Margin Analysis'!$B4,'TB &amp; MCC Cost Audit 2020-Curren'!$D:$D,'TB Type Margin Analysis'!M$3)</f>
        <v>0</v>
      </c>
      <c r="N4" s="121">
        <f>SUMIFS('TB &amp; MCC Cost Audit 2020-Curren'!$W:$W,'TB &amp; MCC Cost Audit 2020-Curren'!$C:$C,'TB Type Margin Analysis'!$B4,'TB &amp; MCC Cost Audit 2020-Curren'!$D:$D,'TB Type Margin Analysis'!N$3)</f>
        <v>0</v>
      </c>
      <c r="O4" s="121">
        <f>SUMIFS('TB &amp; MCC Cost Audit 2020-Curren'!$W:$W,'TB &amp; MCC Cost Audit 2020-Curren'!$C:$C,'TB Type Margin Analysis'!$B4,'TB &amp; MCC Cost Audit 2020-Curren'!$D:$D,'TB Type Margin Analysis'!O$3)</f>
        <v>0</v>
      </c>
      <c r="P4" s="121">
        <f>SUMIFS('TB &amp; MCC Cost Audit 2020-Curren'!$W:$W,'TB &amp; MCC Cost Audit 2020-Curren'!$C:$C,'TB Type Margin Analysis'!$B4,'TB &amp; MCC Cost Audit 2020-Curren'!$D:$D,'TB Type Margin Analysis'!P$3)</f>
        <v>0</v>
      </c>
      <c r="S4" s="119" t="str">
        <f t="shared" ref="S4:S25" si="10">IFERROR((C4-K4)/C4," - ")</f>
        <v xml:space="preserve"> - </v>
      </c>
      <c r="T4" s="119" t="str">
        <f t="shared" ref="T4:T25" si="11">IFERROR((D4-L4)/D4," - ")</f>
        <v xml:space="preserve"> - </v>
      </c>
      <c r="U4" s="119" t="str">
        <f t="shared" ref="U4:U25" si="12">IFERROR((E4-M4)/E4," - ")</f>
        <v xml:space="preserve"> - </v>
      </c>
      <c r="V4" s="119" t="str">
        <f t="shared" ref="V4:V25" si="13">IFERROR((F4-N4)/F4," - ")</f>
        <v xml:space="preserve"> - </v>
      </c>
      <c r="W4" s="119" t="str">
        <f t="shared" ref="W4:W25" si="14">IFERROR((G4-O4)/G4," - ")</f>
        <v xml:space="preserve"> - </v>
      </c>
      <c r="X4" s="119" t="str">
        <f t="shared" ref="X4:X25" si="15">IFERROR((H4-P4)/H4," - ")</f>
        <v xml:space="preserve"> - </v>
      </c>
    </row>
    <row r="5" spans="1:24" x14ac:dyDescent="0.15">
      <c r="B5" s="54" t="s">
        <v>58</v>
      </c>
      <c r="C5" s="121">
        <f>SUMIFS('TB &amp; MCC Cost Audit 2020-Curren'!$P:$P,'TB &amp; MCC Cost Audit 2020-Curren'!$C:$C,'TB Type Margin Analysis'!$B5,'TB &amp; MCC Cost Audit 2020-Curren'!$D:$D,'TB Type Margin Analysis'!C$3)</f>
        <v>313901</v>
      </c>
      <c r="D5" s="121">
        <f>SUMIFS('TB &amp; MCC Cost Audit 2020-Curren'!$P:$P,'TB &amp; MCC Cost Audit 2020-Curren'!$C:$C,'TB Type Margin Analysis'!$B5,'TB &amp; MCC Cost Audit 2020-Curren'!$D:$D,'TB Type Margin Analysis'!D$3)</f>
        <v>451983.42000000004</v>
      </c>
      <c r="E5" s="121">
        <f>SUMIFS('TB &amp; MCC Cost Audit 2020-Curren'!$P:$P,'TB &amp; MCC Cost Audit 2020-Curren'!$C:$C,'TB Type Margin Analysis'!$B5,'TB &amp; MCC Cost Audit 2020-Curren'!$D:$D,'TB Type Margin Analysis'!E$3)</f>
        <v>394747</v>
      </c>
      <c r="F5" s="121">
        <f>SUMIFS('TB &amp; MCC Cost Audit 2020-Curren'!$P:$P,'TB &amp; MCC Cost Audit 2020-Curren'!$C:$C,'TB Type Margin Analysis'!$B5,'TB &amp; MCC Cost Audit 2020-Curren'!$D:$D,'TB Type Margin Analysis'!F$3)</f>
        <v>552224</v>
      </c>
      <c r="G5" s="121">
        <f>SUMIFS('TB &amp; MCC Cost Audit 2020-Curren'!$P:$P,'TB &amp; MCC Cost Audit 2020-Curren'!$C:$C,'TB Type Margin Analysis'!$B5,'TB &amp; MCC Cost Audit 2020-Curren'!$D:$D,'TB Type Margin Analysis'!G$3)</f>
        <v>652359</v>
      </c>
      <c r="H5" s="121">
        <f>SUMIFS('TB &amp; MCC Cost Audit 2020-Curren'!$P:$P,'TB &amp; MCC Cost Audit 2020-Curren'!$C:$C,'TB Type Margin Analysis'!$B5,'TB &amp; MCC Cost Audit 2020-Curren'!$D:$D,'TB Type Margin Analysis'!H$3)</f>
        <v>977972</v>
      </c>
      <c r="K5" s="121">
        <f>SUMIFS('TB &amp; MCC Cost Audit 2020-Curren'!$W:$W,'TB &amp; MCC Cost Audit 2020-Curren'!$C:$C,'TB Type Margin Analysis'!$B5,'TB &amp; MCC Cost Audit 2020-Curren'!$D:$D,'TB Type Margin Analysis'!K$3)</f>
        <v>3901.15</v>
      </c>
      <c r="L5" s="121">
        <f>SUMIFS('TB &amp; MCC Cost Audit 2020-Curren'!$W:$W,'TB &amp; MCC Cost Audit 2020-Curren'!$C:$C,'TB Type Margin Analysis'!$B5,'TB &amp; MCC Cost Audit 2020-Curren'!$D:$D,'TB Type Margin Analysis'!L$3)</f>
        <v>16657.18</v>
      </c>
      <c r="M5" s="121">
        <f>SUMIFS('TB &amp; MCC Cost Audit 2020-Curren'!$W:$W,'TB &amp; MCC Cost Audit 2020-Curren'!$C:$C,'TB Type Margin Analysis'!$B5,'TB &amp; MCC Cost Audit 2020-Curren'!$D:$D,'TB Type Margin Analysis'!M$3)</f>
        <v>26161.57</v>
      </c>
      <c r="N5" s="121">
        <f>SUMIFS('TB &amp; MCC Cost Audit 2020-Curren'!$W:$W,'TB &amp; MCC Cost Audit 2020-Curren'!$C:$C,'TB Type Margin Analysis'!$B5,'TB &amp; MCC Cost Audit 2020-Curren'!$D:$D,'TB Type Margin Analysis'!N$3)</f>
        <v>21279.75</v>
      </c>
      <c r="O5" s="121">
        <f>SUMIFS('TB &amp; MCC Cost Audit 2020-Curren'!$W:$W,'TB &amp; MCC Cost Audit 2020-Curren'!$C:$C,'TB Type Margin Analysis'!$B5,'TB &amp; MCC Cost Audit 2020-Curren'!$D:$D,'TB Type Margin Analysis'!O$3)</f>
        <v>32999.21</v>
      </c>
      <c r="P5" s="121">
        <f>SUMIFS('TB &amp; MCC Cost Audit 2020-Curren'!$W:$W,'TB &amp; MCC Cost Audit 2020-Curren'!$C:$C,'TB Type Margin Analysis'!$B5,'TB &amp; MCC Cost Audit 2020-Curren'!$D:$D,'TB Type Margin Analysis'!P$3)</f>
        <v>42412.240000000005</v>
      </c>
      <c r="S5" s="119">
        <f t="shared" si="10"/>
        <v>0.98757203704352636</v>
      </c>
      <c r="T5" s="119">
        <f t="shared" si="11"/>
        <v>0.96314648001911218</v>
      </c>
      <c r="U5" s="119">
        <f t="shared" si="12"/>
        <v>0.9337257281245962</v>
      </c>
      <c r="V5" s="119">
        <f t="shared" si="13"/>
        <v>0.96146536550385353</v>
      </c>
      <c r="W5" s="119">
        <f t="shared" si="14"/>
        <v>0.94941556719536335</v>
      </c>
      <c r="X5" s="119">
        <f t="shared" si="15"/>
        <v>0.95663245982502565</v>
      </c>
    </row>
    <row r="6" spans="1:24" x14ac:dyDescent="0.15">
      <c r="B6" s="54" t="s">
        <v>61</v>
      </c>
      <c r="C6" s="121">
        <f>SUMIFS('TB &amp; MCC Cost Audit 2020-Curren'!$P:$P,'TB &amp; MCC Cost Audit 2020-Curren'!$C:$C,'TB Type Margin Analysis'!$B6,'TB &amp; MCC Cost Audit 2020-Curren'!$D:$D,'TB Type Margin Analysis'!C$3)</f>
        <v>64320</v>
      </c>
      <c r="D6" s="121">
        <f>SUMIFS('TB &amp; MCC Cost Audit 2020-Curren'!$P:$P,'TB &amp; MCC Cost Audit 2020-Curren'!$C:$C,'TB Type Margin Analysis'!$B6,'TB &amp; MCC Cost Audit 2020-Curren'!$D:$D,'TB Type Margin Analysis'!D$3)</f>
        <v>115461.01</v>
      </c>
      <c r="E6" s="121">
        <f>SUMIFS('TB &amp; MCC Cost Audit 2020-Curren'!$P:$P,'TB &amp; MCC Cost Audit 2020-Curren'!$C:$C,'TB Type Margin Analysis'!$B6,'TB &amp; MCC Cost Audit 2020-Curren'!$D:$D,'TB Type Margin Analysis'!E$3)</f>
        <v>0</v>
      </c>
      <c r="F6" s="121">
        <f>SUMIFS('TB &amp; MCC Cost Audit 2020-Curren'!$P:$P,'TB &amp; MCC Cost Audit 2020-Curren'!$C:$C,'TB Type Margin Analysis'!$B6,'TB &amp; MCC Cost Audit 2020-Curren'!$D:$D,'TB Type Margin Analysis'!F$3)</f>
        <v>213663.68</v>
      </c>
      <c r="G6" s="121">
        <f>SUMIFS('TB &amp; MCC Cost Audit 2020-Curren'!$P:$P,'TB &amp; MCC Cost Audit 2020-Curren'!$C:$C,'TB Type Margin Analysis'!$B6,'TB &amp; MCC Cost Audit 2020-Curren'!$D:$D,'TB Type Margin Analysis'!G$3)</f>
        <v>0</v>
      </c>
      <c r="H6" s="121">
        <f>SUMIFS('TB &amp; MCC Cost Audit 2020-Curren'!$P:$P,'TB &amp; MCC Cost Audit 2020-Curren'!$C:$C,'TB Type Margin Analysis'!$B6,'TB &amp; MCC Cost Audit 2020-Curren'!$D:$D,'TB Type Margin Analysis'!H$3)</f>
        <v>0</v>
      </c>
      <c r="K6" s="121">
        <f>SUMIFS('TB &amp; MCC Cost Audit 2020-Curren'!$W:$W,'TB &amp; MCC Cost Audit 2020-Curren'!$C:$C,'TB Type Margin Analysis'!$B6,'TB &amp; MCC Cost Audit 2020-Curren'!$D:$D,'TB Type Margin Analysis'!K$3)</f>
        <v>0</v>
      </c>
      <c r="L6" s="121">
        <f>SUMIFS('TB &amp; MCC Cost Audit 2020-Curren'!$W:$W,'TB &amp; MCC Cost Audit 2020-Curren'!$C:$C,'TB Type Margin Analysis'!$B6,'TB &amp; MCC Cost Audit 2020-Curren'!$D:$D,'TB Type Margin Analysis'!L$3)</f>
        <v>0</v>
      </c>
      <c r="M6" s="121">
        <f>SUMIFS('TB &amp; MCC Cost Audit 2020-Curren'!$W:$W,'TB &amp; MCC Cost Audit 2020-Curren'!$C:$C,'TB Type Margin Analysis'!$B6,'TB &amp; MCC Cost Audit 2020-Curren'!$D:$D,'TB Type Margin Analysis'!M$3)</f>
        <v>0</v>
      </c>
      <c r="N6" s="121">
        <f>SUMIFS('TB &amp; MCC Cost Audit 2020-Curren'!$W:$W,'TB &amp; MCC Cost Audit 2020-Curren'!$C:$C,'TB Type Margin Analysis'!$B6,'TB &amp; MCC Cost Audit 2020-Curren'!$D:$D,'TB Type Margin Analysis'!N$3)</f>
        <v>0</v>
      </c>
      <c r="O6" s="121">
        <f>SUMIFS('TB &amp; MCC Cost Audit 2020-Curren'!$W:$W,'TB &amp; MCC Cost Audit 2020-Curren'!$C:$C,'TB Type Margin Analysis'!$B6,'TB &amp; MCC Cost Audit 2020-Curren'!$D:$D,'TB Type Margin Analysis'!O$3)</f>
        <v>0</v>
      </c>
      <c r="P6" s="121">
        <f>SUMIFS('TB &amp; MCC Cost Audit 2020-Curren'!$W:$W,'TB &amp; MCC Cost Audit 2020-Curren'!$C:$C,'TB Type Margin Analysis'!$B6,'TB &amp; MCC Cost Audit 2020-Curren'!$D:$D,'TB Type Margin Analysis'!P$3)</f>
        <v>0</v>
      </c>
      <c r="S6" s="119">
        <f t="shared" si="10"/>
        <v>1</v>
      </c>
      <c r="T6" s="119">
        <f t="shared" si="11"/>
        <v>1</v>
      </c>
      <c r="U6" s="119" t="str">
        <f t="shared" si="12"/>
        <v xml:space="preserve"> - </v>
      </c>
      <c r="V6" s="119">
        <f t="shared" si="13"/>
        <v>1</v>
      </c>
      <c r="W6" s="119" t="str">
        <f t="shared" si="14"/>
        <v xml:space="preserve"> - </v>
      </c>
      <c r="X6" s="119" t="str">
        <f t="shared" si="15"/>
        <v xml:space="preserve"> - </v>
      </c>
    </row>
    <row r="7" spans="1:24" x14ac:dyDescent="0.15">
      <c r="B7" s="54" t="s">
        <v>351</v>
      </c>
      <c r="C7" s="121">
        <f>SUMIFS('TB &amp; MCC Cost Audit 2020-Curren'!$P:$P,'TB &amp; MCC Cost Audit 2020-Curren'!$C:$C,'TB Type Margin Analysis'!$B7,'TB &amp; MCC Cost Audit 2020-Curren'!$D:$D,'TB Type Margin Analysis'!C$3)</f>
        <v>0</v>
      </c>
      <c r="D7" s="121">
        <f>SUMIFS('TB &amp; MCC Cost Audit 2020-Curren'!$P:$P,'TB &amp; MCC Cost Audit 2020-Curren'!$C:$C,'TB Type Margin Analysis'!$B7,'TB &amp; MCC Cost Audit 2020-Curren'!$D:$D,'TB Type Margin Analysis'!D$3)</f>
        <v>28239.360000000001</v>
      </c>
      <c r="E7" s="121">
        <f>SUMIFS('TB &amp; MCC Cost Audit 2020-Curren'!$P:$P,'TB &amp; MCC Cost Audit 2020-Curren'!$C:$C,'TB Type Margin Analysis'!$B7,'TB &amp; MCC Cost Audit 2020-Curren'!$D:$D,'TB Type Margin Analysis'!E$3)</f>
        <v>0</v>
      </c>
      <c r="F7" s="121">
        <f>SUMIFS('TB &amp; MCC Cost Audit 2020-Curren'!$P:$P,'TB &amp; MCC Cost Audit 2020-Curren'!$C:$C,'TB Type Margin Analysis'!$B7,'TB &amp; MCC Cost Audit 2020-Curren'!$D:$D,'TB Type Margin Analysis'!F$3)</f>
        <v>0</v>
      </c>
      <c r="G7" s="121">
        <f>SUMIFS('TB &amp; MCC Cost Audit 2020-Curren'!$P:$P,'TB &amp; MCC Cost Audit 2020-Curren'!$C:$C,'TB Type Margin Analysis'!$B7,'TB &amp; MCC Cost Audit 2020-Curren'!$D:$D,'TB Type Margin Analysis'!G$3)</f>
        <v>0</v>
      </c>
      <c r="H7" s="121">
        <f>SUMIFS('TB &amp; MCC Cost Audit 2020-Curren'!$P:$P,'TB &amp; MCC Cost Audit 2020-Curren'!$C:$C,'TB Type Margin Analysis'!$B7,'TB &amp; MCC Cost Audit 2020-Curren'!$D:$D,'TB Type Margin Analysis'!H$3)</f>
        <v>0</v>
      </c>
      <c r="K7" s="121">
        <f>SUMIFS('TB &amp; MCC Cost Audit 2020-Curren'!$W:$W,'TB &amp; MCC Cost Audit 2020-Curren'!$C:$C,'TB Type Margin Analysis'!$B7,'TB &amp; MCC Cost Audit 2020-Curren'!$D:$D,'TB Type Margin Analysis'!K$3)</f>
        <v>0</v>
      </c>
      <c r="L7" s="121">
        <f>SUMIFS('TB &amp; MCC Cost Audit 2020-Curren'!$W:$W,'TB &amp; MCC Cost Audit 2020-Curren'!$C:$C,'TB Type Margin Analysis'!$B7,'TB &amp; MCC Cost Audit 2020-Curren'!$D:$D,'TB Type Margin Analysis'!L$3)</f>
        <v>0</v>
      </c>
      <c r="M7" s="121">
        <f>SUMIFS('TB &amp; MCC Cost Audit 2020-Curren'!$W:$W,'TB &amp; MCC Cost Audit 2020-Curren'!$C:$C,'TB Type Margin Analysis'!$B7,'TB &amp; MCC Cost Audit 2020-Curren'!$D:$D,'TB Type Margin Analysis'!M$3)</f>
        <v>0</v>
      </c>
      <c r="N7" s="121">
        <f>SUMIFS('TB &amp; MCC Cost Audit 2020-Curren'!$W:$W,'TB &amp; MCC Cost Audit 2020-Curren'!$C:$C,'TB Type Margin Analysis'!$B7,'TB &amp; MCC Cost Audit 2020-Curren'!$D:$D,'TB Type Margin Analysis'!N$3)</f>
        <v>0</v>
      </c>
      <c r="O7" s="121">
        <f>SUMIFS('TB &amp; MCC Cost Audit 2020-Curren'!$W:$W,'TB &amp; MCC Cost Audit 2020-Curren'!$C:$C,'TB Type Margin Analysis'!$B7,'TB &amp; MCC Cost Audit 2020-Curren'!$D:$D,'TB Type Margin Analysis'!O$3)</f>
        <v>0</v>
      </c>
      <c r="P7" s="121">
        <f>SUMIFS('TB &amp; MCC Cost Audit 2020-Curren'!$W:$W,'TB &amp; MCC Cost Audit 2020-Curren'!$C:$C,'TB Type Margin Analysis'!$B7,'TB &amp; MCC Cost Audit 2020-Curren'!$D:$D,'TB Type Margin Analysis'!P$3)</f>
        <v>0</v>
      </c>
      <c r="S7" s="119" t="str">
        <f t="shared" si="10"/>
        <v xml:space="preserve"> - </v>
      </c>
      <c r="T7" s="119">
        <f t="shared" si="11"/>
        <v>1</v>
      </c>
      <c r="U7" s="119" t="str">
        <f t="shared" si="12"/>
        <v xml:space="preserve"> - </v>
      </c>
      <c r="V7" s="119" t="str">
        <f t="shared" si="13"/>
        <v xml:space="preserve"> - </v>
      </c>
      <c r="W7" s="119" t="str">
        <f t="shared" si="14"/>
        <v xml:space="preserve"> - </v>
      </c>
      <c r="X7" s="119" t="str">
        <f t="shared" si="15"/>
        <v xml:space="preserve"> - </v>
      </c>
    </row>
    <row r="8" spans="1:24" x14ac:dyDescent="0.15">
      <c r="B8" s="54" t="s">
        <v>600</v>
      </c>
      <c r="C8" s="121">
        <f>SUMIFS('TB &amp; MCC Cost Audit 2020-Curren'!$P:$P,'TB &amp; MCC Cost Audit 2020-Curren'!$C:$C,'TB Type Margin Analysis'!$B8,'TB &amp; MCC Cost Audit 2020-Curren'!$D:$D,'TB Type Margin Analysis'!C$3)</f>
        <v>0</v>
      </c>
      <c r="D8" s="121">
        <f>SUMIFS('TB &amp; MCC Cost Audit 2020-Curren'!$P:$P,'TB &amp; MCC Cost Audit 2020-Curren'!$C:$C,'TB Type Margin Analysis'!$B8,'TB &amp; MCC Cost Audit 2020-Curren'!$D:$D,'TB Type Margin Analysis'!D$3)</f>
        <v>0</v>
      </c>
      <c r="E8" s="121">
        <f>SUMIFS('TB &amp; MCC Cost Audit 2020-Curren'!$P:$P,'TB &amp; MCC Cost Audit 2020-Curren'!$C:$C,'TB Type Margin Analysis'!$B8,'TB &amp; MCC Cost Audit 2020-Curren'!$D:$D,'TB Type Margin Analysis'!E$3)</f>
        <v>0</v>
      </c>
      <c r="F8" s="121">
        <f>SUMIFS('TB &amp; MCC Cost Audit 2020-Curren'!$P:$P,'TB &amp; MCC Cost Audit 2020-Curren'!$C:$C,'TB Type Margin Analysis'!$B8,'TB &amp; MCC Cost Audit 2020-Curren'!$D:$D,'TB Type Margin Analysis'!F$3)</f>
        <v>45403.05</v>
      </c>
      <c r="G8" s="121">
        <f>SUMIFS('TB &amp; MCC Cost Audit 2020-Curren'!$P:$P,'TB &amp; MCC Cost Audit 2020-Curren'!$C:$C,'TB Type Margin Analysis'!$B8,'TB &amp; MCC Cost Audit 2020-Curren'!$D:$D,'TB Type Margin Analysis'!G$3)</f>
        <v>0</v>
      </c>
      <c r="H8" s="121">
        <f>SUMIFS('TB &amp; MCC Cost Audit 2020-Curren'!$P:$P,'TB &amp; MCC Cost Audit 2020-Curren'!$C:$C,'TB Type Margin Analysis'!$B8,'TB &amp; MCC Cost Audit 2020-Curren'!$D:$D,'TB Type Margin Analysis'!H$3)</f>
        <v>0</v>
      </c>
      <c r="K8" s="121">
        <f>SUMIFS('TB &amp; MCC Cost Audit 2020-Curren'!$W:$W,'TB &amp; MCC Cost Audit 2020-Curren'!$C:$C,'TB Type Margin Analysis'!$B8,'TB &amp; MCC Cost Audit 2020-Curren'!$D:$D,'TB Type Margin Analysis'!K$3)</f>
        <v>0</v>
      </c>
      <c r="L8" s="121">
        <f>SUMIFS('TB &amp; MCC Cost Audit 2020-Curren'!$W:$W,'TB &amp; MCC Cost Audit 2020-Curren'!$C:$C,'TB Type Margin Analysis'!$B8,'TB &amp; MCC Cost Audit 2020-Curren'!$D:$D,'TB Type Margin Analysis'!L$3)</f>
        <v>0</v>
      </c>
      <c r="M8" s="121">
        <f>SUMIFS('TB &amp; MCC Cost Audit 2020-Curren'!$W:$W,'TB &amp; MCC Cost Audit 2020-Curren'!$C:$C,'TB Type Margin Analysis'!$B8,'TB &amp; MCC Cost Audit 2020-Curren'!$D:$D,'TB Type Margin Analysis'!M$3)</f>
        <v>0</v>
      </c>
      <c r="N8" s="121">
        <f>SUMIFS('TB &amp; MCC Cost Audit 2020-Curren'!$W:$W,'TB &amp; MCC Cost Audit 2020-Curren'!$C:$C,'TB Type Margin Analysis'!$B8,'TB &amp; MCC Cost Audit 2020-Curren'!$D:$D,'TB Type Margin Analysis'!N$3)</f>
        <v>45403</v>
      </c>
      <c r="O8" s="121">
        <f>SUMIFS('TB &amp; MCC Cost Audit 2020-Curren'!$W:$W,'TB &amp; MCC Cost Audit 2020-Curren'!$C:$C,'TB Type Margin Analysis'!$B8,'TB &amp; MCC Cost Audit 2020-Curren'!$D:$D,'TB Type Margin Analysis'!O$3)</f>
        <v>0</v>
      </c>
      <c r="P8" s="121">
        <f>SUMIFS('TB &amp; MCC Cost Audit 2020-Curren'!$W:$W,'TB &amp; MCC Cost Audit 2020-Curren'!$C:$C,'TB Type Margin Analysis'!$B8,'TB &amp; MCC Cost Audit 2020-Curren'!$D:$D,'TB Type Margin Analysis'!P$3)</f>
        <v>0</v>
      </c>
      <c r="S8" s="119" t="str">
        <f t="shared" si="10"/>
        <v xml:space="preserve"> - </v>
      </c>
      <c r="T8" s="119" t="str">
        <f t="shared" si="11"/>
        <v xml:space="preserve"> - </v>
      </c>
      <c r="U8" s="119" t="str">
        <f t="shared" si="12"/>
        <v xml:space="preserve"> - </v>
      </c>
      <c r="V8" s="119">
        <f t="shared" si="13"/>
        <v>1.101247603474004E-6</v>
      </c>
      <c r="W8" s="119" t="str">
        <f t="shared" si="14"/>
        <v xml:space="preserve"> - </v>
      </c>
      <c r="X8" s="119" t="str">
        <f t="shared" si="15"/>
        <v xml:space="preserve"> - </v>
      </c>
    </row>
    <row r="9" spans="1:24" x14ac:dyDescent="0.15">
      <c r="B9" s="54" t="s">
        <v>156</v>
      </c>
      <c r="C9" s="121">
        <f>SUMIFS('TB &amp; MCC Cost Audit 2020-Curren'!$P:$P,'TB &amp; MCC Cost Audit 2020-Curren'!$C:$C,'TB Type Margin Analysis'!$B9,'TB &amp; MCC Cost Audit 2020-Curren'!$D:$D,'TB Type Margin Analysis'!C$3)</f>
        <v>11154.449999999999</v>
      </c>
      <c r="D9" s="121">
        <f>SUMIFS('TB &amp; MCC Cost Audit 2020-Curren'!$P:$P,'TB &amp; MCC Cost Audit 2020-Curren'!$C:$C,'TB Type Margin Analysis'!$B9,'TB &amp; MCC Cost Audit 2020-Curren'!$D:$D,'TB Type Margin Analysis'!D$3)</f>
        <v>0</v>
      </c>
      <c r="E9" s="121">
        <f>SUMIFS('TB &amp; MCC Cost Audit 2020-Curren'!$P:$P,'TB &amp; MCC Cost Audit 2020-Curren'!$C:$C,'TB Type Margin Analysis'!$B9,'TB &amp; MCC Cost Audit 2020-Curren'!$D:$D,'TB Type Margin Analysis'!E$3)</f>
        <v>0</v>
      </c>
      <c r="F9" s="121">
        <f>SUMIFS('TB &amp; MCC Cost Audit 2020-Curren'!$P:$P,'TB &amp; MCC Cost Audit 2020-Curren'!$C:$C,'TB Type Margin Analysis'!$B9,'TB &amp; MCC Cost Audit 2020-Curren'!$D:$D,'TB Type Margin Analysis'!F$3)</f>
        <v>0</v>
      </c>
      <c r="G9" s="121">
        <f>SUMIFS('TB &amp; MCC Cost Audit 2020-Curren'!$P:$P,'TB &amp; MCC Cost Audit 2020-Curren'!$C:$C,'TB Type Margin Analysis'!$B9,'TB &amp; MCC Cost Audit 2020-Curren'!$D:$D,'TB Type Margin Analysis'!G$3)</f>
        <v>0</v>
      </c>
      <c r="H9" s="121">
        <f>SUMIFS('TB &amp; MCC Cost Audit 2020-Curren'!$P:$P,'TB &amp; MCC Cost Audit 2020-Curren'!$C:$C,'TB Type Margin Analysis'!$B9,'TB &amp; MCC Cost Audit 2020-Curren'!$D:$D,'TB Type Margin Analysis'!H$3)</f>
        <v>0</v>
      </c>
      <c r="K9" s="121">
        <f>SUMIFS('TB &amp; MCC Cost Audit 2020-Curren'!$W:$W,'TB &amp; MCC Cost Audit 2020-Curren'!$C:$C,'TB Type Margin Analysis'!$B9,'TB &amp; MCC Cost Audit 2020-Curren'!$D:$D,'TB Type Margin Analysis'!K$3)</f>
        <v>7110.1</v>
      </c>
      <c r="L9" s="121">
        <f>SUMIFS('TB &amp; MCC Cost Audit 2020-Curren'!$W:$W,'TB &amp; MCC Cost Audit 2020-Curren'!$C:$C,'TB Type Margin Analysis'!$B9,'TB &amp; MCC Cost Audit 2020-Curren'!$D:$D,'TB Type Margin Analysis'!L$3)</f>
        <v>0</v>
      </c>
      <c r="M9" s="121">
        <f>SUMIFS('TB &amp; MCC Cost Audit 2020-Curren'!$W:$W,'TB &amp; MCC Cost Audit 2020-Curren'!$C:$C,'TB Type Margin Analysis'!$B9,'TB &amp; MCC Cost Audit 2020-Curren'!$D:$D,'TB Type Margin Analysis'!M$3)</f>
        <v>0</v>
      </c>
      <c r="N9" s="121">
        <f>SUMIFS('TB &amp; MCC Cost Audit 2020-Curren'!$W:$W,'TB &amp; MCC Cost Audit 2020-Curren'!$C:$C,'TB Type Margin Analysis'!$B9,'TB &amp; MCC Cost Audit 2020-Curren'!$D:$D,'TB Type Margin Analysis'!N$3)</f>
        <v>0</v>
      </c>
      <c r="O9" s="121">
        <f>SUMIFS('TB &amp; MCC Cost Audit 2020-Curren'!$W:$W,'TB &amp; MCC Cost Audit 2020-Curren'!$C:$C,'TB Type Margin Analysis'!$B9,'TB &amp; MCC Cost Audit 2020-Curren'!$D:$D,'TB Type Margin Analysis'!O$3)</f>
        <v>0</v>
      </c>
      <c r="P9" s="121">
        <f>SUMIFS('TB &amp; MCC Cost Audit 2020-Curren'!$W:$W,'TB &amp; MCC Cost Audit 2020-Curren'!$C:$C,'TB Type Margin Analysis'!$B9,'TB &amp; MCC Cost Audit 2020-Curren'!$D:$D,'TB Type Margin Analysis'!P$3)</f>
        <v>0</v>
      </c>
      <c r="S9" s="119">
        <f t="shared" si="10"/>
        <v>0.36257726736862855</v>
      </c>
      <c r="T9" s="119" t="str">
        <f t="shared" si="11"/>
        <v xml:space="preserve"> - </v>
      </c>
      <c r="U9" s="119" t="str">
        <f t="shared" si="12"/>
        <v xml:space="preserve"> - </v>
      </c>
      <c r="V9" s="119" t="str">
        <f t="shared" si="13"/>
        <v xml:space="preserve"> - </v>
      </c>
      <c r="W9" s="119" t="str">
        <f t="shared" si="14"/>
        <v xml:space="preserve"> - </v>
      </c>
      <c r="X9" s="119" t="str">
        <f t="shared" si="15"/>
        <v xml:space="preserve"> - </v>
      </c>
    </row>
    <row r="10" spans="1:24" x14ac:dyDescent="0.15">
      <c r="B10" s="54" t="s">
        <v>49</v>
      </c>
      <c r="C10" s="121">
        <f>SUMIFS('TB &amp; MCC Cost Audit 2020-Curren'!$P:$P,'TB &amp; MCC Cost Audit 2020-Curren'!$C:$C,'TB Type Margin Analysis'!$B10,'TB &amp; MCC Cost Audit 2020-Curren'!$D:$D,'TB Type Margin Analysis'!C$3)</f>
        <v>158437</v>
      </c>
      <c r="D10" s="121">
        <f>SUMIFS('TB &amp; MCC Cost Audit 2020-Curren'!$P:$P,'TB &amp; MCC Cost Audit 2020-Curren'!$C:$C,'TB Type Margin Analysis'!$B10,'TB &amp; MCC Cost Audit 2020-Curren'!$D:$D,'TB Type Margin Analysis'!D$3)</f>
        <v>112807.05</v>
      </c>
      <c r="E10" s="121">
        <f>SUMIFS('TB &amp; MCC Cost Audit 2020-Curren'!$P:$P,'TB &amp; MCC Cost Audit 2020-Curren'!$C:$C,'TB Type Margin Analysis'!$B10,'TB &amp; MCC Cost Audit 2020-Curren'!$D:$D,'TB Type Margin Analysis'!E$3)</f>
        <v>41875</v>
      </c>
      <c r="F10" s="121">
        <f>SUMIFS('TB &amp; MCC Cost Audit 2020-Curren'!$P:$P,'TB &amp; MCC Cost Audit 2020-Curren'!$C:$C,'TB Type Margin Analysis'!$B10,'TB &amp; MCC Cost Audit 2020-Curren'!$D:$D,'TB Type Margin Analysis'!F$3)</f>
        <v>95486</v>
      </c>
      <c r="G10" s="121">
        <f>SUMIFS('TB &amp; MCC Cost Audit 2020-Curren'!$P:$P,'TB &amp; MCC Cost Audit 2020-Curren'!$C:$C,'TB Type Margin Analysis'!$B10,'TB &amp; MCC Cost Audit 2020-Curren'!$D:$D,'TB Type Margin Analysis'!G$3)</f>
        <v>149148</v>
      </c>
      <c r="H10" s="121">
        <f>SUMIFS('TB &amp; MCC Cost Audit 2020-Curren'!$P:$P,'TB &amp; MCC Cost Audit 2020-Curren'!$C:$C,'TB Type Margin Analysis'!$B10,'TB &amp; MCC Cost Audit 2020-Curren'!$D:$D,'TB Type Margin Analysis'!H$3)</f>
        <v>472321</v>
      </c>
      <c r="K10" s="121">
        <f>SUMIFS('TB &amp; MCC Cost Audit 2020-Curren'!$W:$W,'TB &amp; MCC Cost Audit 2020-Curren'!$C:$C,'TB Type Margin Analysis'!$B10,'TB &amp; MCC Cost Audit 2020-Curren'!$D:$D,'TB Type Margin Analysis'!K$3)</f>
        <v>66020.400000000009</v>
      </c>
      <c r="L10" s="121">
        <f>SUMIFS('TB &amp; MCC Cost Audit 2020-Curren'!$W:$W,'TB &amp; MCC Cost Audit 2020-Curren'!$C:$C,'TB Type Margin Analysis'!$B10,'TB &amp; MCC Cost Audit 2020-Curren'!$D:$D,'TB Type Margin Analysis'!L$3)</f>
        <v>44813.929999999993</v>
      </c>
      <c r="M10" s="121">
        <f>SUMIFS('TB &amp; MCC Cost Audit 2020-Curren'!$W:$W,'TB &amp; MCC Cost Audit 2020-Curren'!$C:$C,'TB Type Margin Analysis'!$B10,'TB &amp; MCC Cost Audit 2020-Curren'!$D:$D,'TB Type Margin Analysis'!M$3)</f>
        <v>16004.3</v>
      </c>
      <c r="N10" s="121">
        <f>SUMIFS('TB &amp; MCC Cost Audit 2020-Curren'!$W:$W,'TB &amp; MCC Cost Audit 2020-Curren'!$C:$C,'TB Type Margin Analysis'!$B10,'TB &amp; MCC Cost Audit 2020-Curren'!$D:$D,'TB Type Margin Analysis'!N$3)</f>
        <v>47112.33</v>
      </c>
      <c r="O10" s="121">
        <f>SUMIFS('TB &amp; MCC Cost Audit 2020-Curren'!$W:$W,'TB &amp; MCC Cost Audit 2020-Curren'!$C:$C,'TB Type Margin Analysis'!$B10,'TB &amp; MCC Cost Audit 2020-Curren'!$D:$D,'TB Type Margin Analysis'!O$3)</f>
        <v>58532.42</v>
      </c>
      <c r="P10" s="121">
        <f>SUMIFS('TB &amp; MCC Cost Audit 2020-Curren'!$W:$W,'TB &amp; MCC Cost Audit 2020-Curren'!$C:$C,'TB Type Margin Analysis'!$B10,'TB &amp; MCC Cost Audit 2020-Curren'!$D:$D,'TB Type Margin Analysis'!P$3)</f>
        <v>47275.529999999992</v>
      </c>
      <c r="S10" s="119">
        <f t="shared" si="10"/>
        <v>0.58330188024262009</v>
      </c>
      <c r="T10" s="119">
        <f t="shared" si="11"/>
        <v>0.60273821538636108</v>
      </c>
      <c r="U10" s="119">
        <f t="shared" si="12"/>
        <v>0.61780776119402991</v>
      </c>
      <c r="V10" s="119">
        <f t="shared" si="13"/>
        <v>0.50660484259472593</v>
      </c>
      <c r="W10" s="119">
        <f t="shared" si="14"/>
        <v>0.60755477780459677</v>
      </c>
      <c r="X10" s="119">
        <f t="shared" si="15"/>
        <v>0.89990804982204908</v>
      </c>
    </row>
    <row r="11" spans="1:24" x14ac:dyDescent="0.15">
      <c r="B11" s="54" t="s">
        <v>99</v>
      </c>
      <c r="C11" s="121">
        <f>SUMIFS('TB &amp; MCC Cost Audit 2020-Curren'!$P:$P,'TB &amp; MCC Cost Audit 2020-Curren'!$C:$C,'TB Type Margin Analysis'!$B11,'TB &amp; MCC Cost Audit 2020-Curren'!$D:$D,'TB Type Margin Analysis'!C$3)</f>
        <v>20797</v>
      </c>
      <c r="D11" s="121">
        <f>SUMIFS('TB &amp; MCC Cost Audit 2020-Curren'!$P:$P,'TB &amp; MCC Cost Audit 2020-Curren'!$C:$C,'TB Type Margin Analysis'!$B11,'TB &amp; MCC Cost Audit 2020-Curren'!$D:$D,'TB Type Margin Analysis'!D$3)</f>
        <v>0</v>
      </c>
      <c r="E11" s="121">
        <f>SUMIFS('TB &amp; MCC Cost Audit 2020-Curren'!$P:$P,'TB &amp; MCC Cost Audit 2020-Curren'!$C:$C,'TB Type Margin Analysis'!$B11,'TB &amp; MCC Cost Audit 2020-Curren'!$D:$D,'TB Type Margin Analysis'!E$3)</f>
        <v>0</v>
      </c>
      <c r="F11" s="121">
        <f>SUMIFS('TB &amp; MCC Cost Audit 2020-Curren'!$P:$P,'TB &amp; MCC Cost Audit 2020-Curren'!$C:$C,'TB Type Margin Analysis'!$B11,'TB &amp; MCC Cost Audit 2020-Curren'!$D:$D,'TB Type Margin Analysis'!F$3)</f>
        <v>0</v>
      </c>
      <c r="G11" s="121">
        <f>SUMIFS('TB &amp; MCC Cost Audit 2020-Curren'!$P:$P,'TB &amp; MCC Cost Audit 2020-Curren'!$C:$C,'TB Type Margin Analysis'!$B11,'TB &amp; MCC Cost Audit 2020-Curren'!$D:$D,'TB Type Margin Analysis'!G$3)</f>
        <v>0</v>
      </c>
      <c r="H11" s="121">
        <f>SUMIFS('TB &amp; MCC Cost Audit 2020-Curren'!$P:$P,'TB &amp; MCC Cost Audit 2020-Curren'!$C:$C,'TB Type Margin Analysis'!$B11,'TB &amp; MCC Cost Audit 2020-Curren'!$D:$D,'TB Type Margin Analysis'!H$3)</f>
        <v>0</v>
      </c>
      <c r="K11" s="121">
        <f>SUMIFS('TB &amp; MCC Cost Audit 2020-Curren'!$W:$W,'TB &amp; MCC Cost Audit 2020-Curren'!$C:$C,'TB Type Margin Analysis'!$B11,'TB &amp; MCC Cost Audit 2020-Curren'!$D:$D,'TB Type Margin Analysis'!K$3)</f>
        <v>10459.6</v>
      </c>
      <c r="L11" s="121">
        <f>SUMIFS('TB &amp; MCC Cost Audit 2020-Curren'!$W:$W,'TB &amp; MCC Cost Audit 2020-Curren'!$C:$C,'TB Type Margin Analysis'!$B11,'TB &amp; MCC Cost Audit 2020-Curren'!$D:$D,'TB Type Margin Analysis'!L$3)</f>
        <v>0</v>
      </c>
      <c r="M11" s="121">
        <f>SUMIFS('TB &amp; MCC Cost Audit 2020-Curren'!$W:$W,'TB &amp; MCC Cost Audit 2020-Curren'!$C:$C,'TB Type Margin Analysis'!$B11,'TB &amp; MCC Cost Audit 2020-Curren'!$D:$D,'TB Type Margin Analysis'!M$3)</f>
        <v>0</v>
      </c>
      <c r="N11" s="121">
        <f>SUMIFS('TB &amp; MCC Cost Audit 2020-Curren'!$W:$W,'TB &amp; MCC Cost Audit 2020-Curren'!$C:$C,'TB Type Margin Analysis'!$B11,'TB &amp; MCC Cost Audit 2020-Curren'!$D:$D,'TB Type Margin Analysis'!N$3)</f>
        <v>0</v>
      </c>
      <c r="O11" s="121">
        <f>SUMIFS('TB &amp; MCC Cost Audit 2020-Curren'!$W:$W,'TB &amp; MCC Cost Audit 2020-Curren'!$C:$C,'TB Type Margin Analysis'!$B11,'TB &amp; MCC Cost Audit 2020-Curren'!$D:$D,'TB Type Margin Analysis'!O$3)</f>
        <v>0</v>
      </c>
      <c r="P11" s="121">
        <f>SUMIFS('TB &amp; MCC Cost Audit 2020-Curren'!$W:$W,'TB &amp; MCC Cost Audit 2020-Curren'!$C:$C,'TB Type Margin Analysis'!$B11,'TB &amp; MCC Cost Audit 2020-Curren'!$D:$D,'TB Type Margin Analysis'!P$3)</f>
        <v>0</v>
      </c>
      <c r="S11" s="119">
        <f t="shared" si="10"/>
        <v>0.49706207626099919</v>
      </c>
      <c r="T11" s="119" t="str">
        <f t="shared" si="11"/>
        <v xml:space="preserve"> - </v>
      </c>
      <c r="U11" s="119" t="str">
        <f t="shared" si="12"/>
        <v xml:space="preserve"> - </v>
      </c>
      <c r="V11" s="119" t="str">
        <f t="shared" si="13"/>
        <v xml:space="preserve"> - </v>
      </c>
      <c r="W11" s="119" t="str">
        <f t="shared" si="14"/>
        <v xml:space="preserve"> - </v>
      </c>
      <c r="X11" s="119" t="str">
        <f t="shared" si="15"/>
        <v xml:space="preserve"> - </v>
      </c>
    </row>
    <row r="12" spans="1:24" x14ac:dyDescent="0.15">
      <c r="B12" s="54" t="s">
        <v>452</v>
      </c>
      <c r="C12" s="121">
        <f>SUMIFS('TB &amp; MCC Cost Audit 2020-Curren'!$P:$P,'TB &amp; MCC Cost Audit 2020-Curren'!$C:$C,'TB Type Margin Analysis'!$B12,'TB &amp; MCC Cost Audit 2020-Curren'!$D:$D,'TB Type Margin Analysis'!C$3)</f>
        <v>0</v>
      </c>
      <c r="D12" s="121">
        <f>SUMIFS('TB &amp; MCC Cost Audit 2020-Curren'!$P:$P,'TB &amp; MCC Cost Audit 2020-Curren'!$C:$C,'TB Type Margin Analysis'!$B12,'TB &amp; MCC Cost Audit 2020-Curren'!$D:$D,'TB Type Margin Analysis'!D$3)</f>
        <v>0</v>
      </c>
      <c r="E12" s="121">
        <f>SUMIFS('TB &amp; MCC Cost Audit 2020-Curren'!$P:$P,'TB &amp; MCC Cost Audit 2020-Curren'!$C:$C,'TB Type Margin Analysis'!$B12,'TB &amp; MCC Cost Audit 2020-Curren'!$D:$D,'TB Type Margin Analysis'!E$3)</f>
        <v>105665</v>
      </c>
      <c r="F12" s="121">
        <f>SUMIFS('TB &amp; MCC Cost Audit 2020-Curren'!$P:$P,'TB &amp; MCC Cost Audit 2020-Curren'!$C:$C,'TB Type Margin Analysis'!$B12,'TB &amp; MCC Cost Audit 2020-Curren'!$D:$D,'TB Type Margin Analysis'!F$3)</f>
        <v>9523</v>
      </c>
      <c r="G12" s="121">
        <f>SUMIFS('TB &amp; MCC Cost Audit 2020-Curren'!$P:$P,'TB &amp; MCC Cost Audit 2020-Curren'!$C:$C,'TB Type Margin Analysis'!$B12,'TB &amp; MCC Cost Audit 2020-Curren'!$D:$D,'TB Type Margin Analysis'!G$3)</f>
        <v>10238</v>
      </c>
      <c r="H12" s="121">
        <f>SUMIFS('TB &amp; MCC Cost Audit 2020-Curren'!$P:$P,'TB &amp; MCC Cost Audit 2020-Curren'!$C:$C,'TB Type Margin Analysis'!$B12,'TB &amp; MCC Cost Audit 2020-Curren'!$D:$D,'TB Type Margin Analysis'!H$3)</f>
        <v>42793</v>
      </c>
      <c r="K12" s="121">
        <f>SUMIFS('TB &amp; MCC Cost Audit 2020-Curren'!$W:$W,'TB &amp; MCC Cost Audit 2020-Curren'!$C:$C,'TB Type Margin Analysis'!$B12,'TB &amp; MCC Cost Audit 2020-Curren'!$D:$D,'TB Type Margin Analysis'!K$3)</f>
        <v>0</v>
      </c>
      <c r="L12" s="121">
        <f>SUMIFS('TB &amp; MCC Cost Audit 2020-Curren'!$W:$W,'TB &amp; MCC Cost Audit 2020-Curren'!$C:$C,'TB Type Margin Analysis'!$B12,'TB &amp; MCC Cost Audit 2020-Curren'!$D:$D,'TB Type Margin Analysis'!L$3)</f>
        <v>0</v>
      </c>
      <c r="M12" s="121">
        <f>SUMIFS('TB &amp; MCC Cost Audit 2020-Curren'!$W:$W,'TB &amp; MCC Cost Audit 2020-Curren'!$C:$C,'TB Type Margin Analysis'!$B12,'TB &amp; MCC Cost Audit 2020-Curren'!$D:$D,'TB Type Margin Analysis'!M$3)</f>
        <v>14383.920000000002</v>
      </c>
      <c r="N12" s="121">
        <f>SUMIFS('TB &amp; MCC Cost Audit 2020-Curren'!$W:$W,'TB &amp; MCC Cost Audit 2020-Curren'!$C:$C,'TB Type Margin Analysis'!$B12,'TB &amp; MCC Cost Audit 2020-Curren'!$D:$D,'TB Type Margin Analysis'!N$3)</f>
        <v>8742.0400000000009</v>
      </c>
      <c r="O12" s="121">
        <f>SUMIFS('TB &amp; MCC Cost Audit 2020-Curren'!$W:$W,'TB &amp; MCC Cost Audit 2020-Curren'!$C:$C,'TB Type Margin Analysis'!$B12,'TB &amp; MCC Cost Audit 2020-Curren'!$D:$D,'TB Type Margin Analysis'!O$3)</f>
        <v>6134.2199999999993</v>
      </c>
      <c r="P12" s="121">
        <f>SUMIFS('TB &amp; MCC Cost Audit 2020-Curren'!$W:$W,'TB &amp; MCC Cost Audit 2020-Curren'!$C:$C,'TB Type Margin Analysis'!$B12,'TB &amp; MCC Cost Audit 2020-Curren'!$D:$D,'TB Type Margin Analysis'!P$3)</f>
        <v>7086.3700000000008</v>
      </c>
      <c r="S12" s="119" t="str">
        <f t="shared" si="10"/>
        <v xml:space="preserve"> - </v>
      </c>
      <c r="T12" s="119" t="str">
        <f t="shared" si="11"/>
        <v xml:space="preserve"> - </v>
      </c>
      <c r="U12" s="119">
        <f t="shared" si="12"/>
        <v>0.86387242700988975</v>
      </c>
      <c r="V12" s="119">
        <f t="shared" si="13"/>
        <v>8.2007770660506046E-2</v>
      </c>
      <c r="W12" s="119">
        <f t="shared" si="14"/>
        <v>0.40083805430748198</v>
      </c>
      <c r="X12" s="119">
        <f t="shared" si="15"/>
        <v>0.83440352394083139</v>
      </c>
    </row>
    <row r="13" spans="1:24" x14ac:dyDescent="0.15">
      <c r="B13" s="54" t="s">
        <v>999</v>
      </c>
      <c r="C13" s="121">
        <f>SUMIFS('TB &amp; MCC Cost Audit 2020-Curren'!$P:$P,'TB &amp; MCC Cost Audit 2020-Curren'!$C:$C,'TB Type Margin Analysis'!$B13,'TB &amp; MCC Cost Audit 2020-Curren'!$D:$D,'TB Type Margin Analysis'!C$3)</f>
        <v>0</v>
      </c>
      <c r="D13" s="121">
        <f>SUMIFS('TB &amp; MCC Cost Audit 2020-Curren'!$P:$P,'TB &amp; MCC Cost Audit 2020-Curren'!$C:$C,'TB Type Margin Analysis'!$B13,'TB &amp; MCC Cost Audit 2020-Curren'!$D:$D,'TB Type Margin Analysis'!D$3)</f>
        <v>0</v>
      </c>
      <c r="E13" s="121">
        <f>SUMIFS('TB &amp; MCC Cost Audit 2020-Curren'!$P:$P,'TB &amp; MCC Cost Audit 2020-Curren'!$C:$C,'TB Type Margin Analysis'!$B13,'TB &amp; MCC Cost Audit 2020-Curren'!$D:$D,'TB Type Margin Analysis'!E$3)</f>
        <v>0</v>
      </c>
      <c r="F13" s="121">
        <f>SUMIFS('TB &amp; MCC Cost Audit 2020-Curren'!$P:$P,'TB &amp; MCC Cost Audit 2020-Curren'!$C:$C,'TB Type Margin Analysis'!$B13,'TB &amp; MCC Cost Audit 2020-Curren'!$D:$D,'TB Type Margin Analysis'!F$3)</f>
        <v>0</v>
      </c>
      <c r="G13" s="121">
        <f>SUMIFS('TB &amp; MCC Cost Audit 2020-Curren'!$P:$P,'TB &amp; MCC Cost Audit 2020-Curren'!$C:$C,'TB Type Margin Analysis'!$B13,'TB &amp; MCC Cost Audit 2020-Curren'!$D:$D,'TB Type Margin Analysis'!G$3)</f>
        <v>0</v>
      </c>
      <c r="H13" s="121">
        <f>SUMIFS('TB &amp; MCC Cost Audit 2020-Curren'!$P:$P,'TB &amp; MCC Cost Audit 2020-Curren'!$C:$C,'TB Type Margin Analysis'!$B13,'TB &amp; MCC Cost Audit 2020-Curren'!$D:$D,'TB Type Margin Analysis'!H$3)</f>
        <v>0</v>
      </c>
      <c r="K13" s="121">
        <f>SUMIFS('TB &amp; MCC Cost Audit 2020-Curren'!$W:$W,'TB &amp; MCC Cost Audit 2020-Curren'!$C:$C,'TB Type Margin Analysis'!$B13,'TB &amp; MCC Cost Audit 2020-Curren'!$D:$D,'TB Type Margin Analysis'!K$3)</f>
        <v>0</v>
      </c>
      <c r="L13" s="121">
        <f>SUMIFS('TB &amp; MCC Cost Audit 2020-Curren'!$W:$W,'TB &amp; MCC Cost Audit 2020-Curren'!$C:$C,'TB Type Margin Analysis'!$B13,'TB &amp; MCC Cost Audit 2020-Curren'!$D:$D,'TB Type Margin Analysis'!L$3)</f>
        <v>0</v>
      </c>
      <c r="M13" s="121">
        <f>SUMIFS('TB &amp; MCC Cost Audit 2020-Curren'!$W:$W,'TB &amp; MCC Cost Audit 2020-Curren'!$C:$C,'TB Type Margin Analysis'!$B13,'TB &amp; MCC Cost Audit 2020-Curren'!$D:$D,'TB Type Margin Analysis'!M$3)</f>
        <v>0</v>
      </c>
      <c r="N13" s="121">
        <f>SUMIFS('TB &amp; MCC Cost Audit 2020-Curren'!$W:$W,'TB &amp; MCC Cost Audit 2020-Curren'!$C:$C,'TB Type Margin Analysis'!$B13,'TB &amp; MCC Cost Audit 2020-Curren'!$D:$D,'TB Type Margin Analysis'!N$3)</f>
        <v>0</v>
      </c>
      <c r="O13" s="121">
        <f>SUMIFS('TB &amp; MCC Cost Audit 2020-Curren'!$W:$W,'TB &amp; MCC Cost Audit 2020-Curren'!$C:$C,'TB Type Margin Analysis'!$B13,'TB &amp; MCC Cost Audit 2020-Curren'!$D:$D,'TB Type Margin Analysis'!O$3)</f>
        <v>0</v>
      </c>
      <c r="P13" s="121">
        <f>SUMIFS('TB &amp; MCC Cost Audit 2020-Curren'!$W:$W,'TB &amp; MCC Cost Audit 2020-Curren'!$C:$C,'TB Type Margin Analysis'!$B13,'TB &amp; MCC Cost Audit 2020-Curren'!$D:$D,'TB Type Margin Analysis'!P$3)</f>
        <v>0</v>
      </c>
      <c r="S13" s="119" t="str">
        <f t="shared" si="10"/>
        <v xml:space="preserve"> - </v>
      </c>
      <c r="T13" s="119" t="str">
        <f t="shared" si="11"/>
        <v xml:space="preserve"> - </v>
      </c>
      <c r="U13" s="119" t="str">
        <f t="shared" si="12"/>
        <v xml:space="preserve"> - </v>
      </c>
      <c r="V13" s="119" t="str">
        <f t="shared" si="13"/>
        <v xml:space="preserve"> - </v>
      </c>
      <c r="W13" s="119" t="str">
        <f t="shared" si="14"/>
        <v xml:space="preserve"> - </v>
      </c>
      <c r="X13" s="119" t="str">
        <f t="shared" si="15"/>
        <v xml:space="preserve"> - </v>
      </c>
    </row>
    <row r="14" spans="1:24" x14ac:dyDescent="0.15">
      <c r="B14" s="54" t="s">
        <v>175</v>
      </c>
      <c r="C14" s="121">
        <f>SUMIFS('TB &amp; MCC Cost Audit 2020-Curren'!$P:$P,'TB &amp; MCC Cost Audit 2020-Curren'!$C:$C,'TB Type Margin Analysis'!$B14,'TB &amp; MCC Cost Audit 2020-Curren'!$D:$D,'TB Type Margin Analysis'!C$3)</f>
        <v>9680</v>
      </c>
      <c r="D14" s="121">
        <f>SUMIFS('TB &amp; MCC Cost Audit 2020-Curren'!$P:$P,'TB &amp; MCC Cost Audit 2020-Curren'!$C:$C,'TB Type Margin Analysis'!$B14,'TB &amp; MCC Cost Audit 2020-Curren'!$D:$D,'TB Type Margin Analysis'!D$3)</f>
        <v>998172.3899999999</v>
      </c>
      <c r="E14" s="121">
        <f>SUMIFS('TB &amp; MCC Cost Audit 2020-Curren'!$P:$P,'TB &amp; MCC Cost Audit 2020-Curren'!$C:$C,'TB Type Margin Analysis'!$B14,'TB &amp; MCC Cost Audit 2020-Curren'!$D:$D,'TB Type Margin Analysis'!E$3)</f>
        <v>867072.67599999986</v>
      </c>
      <c r="F14" s="121">
        <f>SUMIFS('TB &amp; MCC Cost Audit 2020-Curren'!$P:$P,'TB &amp; MCC Cost Audit 2020-Curren'!$C:$C,'TB Type Margin Analysis'!$B14,'TB &amp; MCC Cost Audit 2020-Curren'!$D:$D,'TB Type Margin Analysis'!F$3)</f>
        <v>1238812.912</v>
      </c>
      <c r="G14" s="121">
        <f>SUMIFS('TB &amp; MCC Cost Audit 2020-Curren'!$P:$P,'TB &amp; MCC Cost Audit 2020-Curren'!$C:$C,'TB Type Margin Analysis'!$B14,'TB &amp; MCC Cost Audit 2020-Curren'!$D:$D,'TB Type Margin Analysis'!G$3)</f>
        <v>1483949.3333333335</v>
      </c>
      <c r="H14" s="121">
        <f>SUMIFS('TB &amp; MCC Cost Audit 2020-Curren'!$P:$P,'TB &amp; MCC Cost Audit 2020-Curren'!$C:$C,'TB Type Margin Analysis'!$B14,'TB &amp; MCC Cost Audit 2020-Curren'!$D:$D,'TB Type Margin Analysis'!H$3)</f>
        <v>1409647.9199999997</v>
      </c>
      <c r="K14" s="121">
        <f>SUMIFS('TB &amp; MCC Cost Audit 2020-Curren'!$W:$W,'TB &amp; MCC Cost Audit 2020-Curren'!$C:$C,'TB Type Margin Analysis'!$B14,'TB &amp; MCC Cost Audit 2020-Curren'!$D:$D,'TB Type Margin Analysis'!K$3)</f>
        <v>3825.06</v>
      </c>
      <c r="L14" s="121">
        <f>SUMIFS('TB &amp; MCC Cost Audit 2020-Curren'!$W:$W,'TB &amp; MCC Cost Audit 2020-Curren'!$C:$C,'TB Type Margin Analysis'!$B14,'TB &amp; MCC Cost Audit 2020-Curren'!$D:$D,'TB Type Margin Analysis'!L$3)</f>
        <v>220860.36</v>
      </c>
      <c r="M14" s="121">
        <f>SUMIFS('TB &amp; MCC Cost Audit 2020-Curren'!$W:$W,'TB &amp; MCC Cost Audit 2020-Curren'!$C:$C,'TB Type Margin Analysis'!$B14,'TB &amp; MCC Cost Audit 2020-Curren'!$D:$D,'TB Type Margin Analysis'!M$3)</f>
        <v>191411.83000000002</v>
      </c>
      <c r="N14" s="121">
        <f>SUMIFS('TB &amp; MCC Cost Audit 2020-Curren'!$W:$W,'TB &amp; MCC Cost Audit 2020-Curren'!$C:$C,'TB Type Margin Analysis'!$B14,'TB &amp; MCC Cost Audit 2020-Curren'!$D:$D,'TB Type Margin Analysis'!N$3)</f>
        <v>244322.27000000005</v>
      </c>
      <c r="O14" s="121">
        <f>SUMIFS('TB &amp; MCC Cost Audit 2020-Curren'!$W:$W,'TB &amp; MCC Cost Audit 2020-Curren'!$C:$C,'TB Type Margin Analysis'!$B14,'TB &amp; MCC Cost Audit 2020-Curren'!$D:$D,'TB Type Margin Analysis'!O$3)</f>
        <v>334257.66500000004</v>
      </c>
      <c r="P14" s="121">
        <f>SUMIFS('TB &amp; MCC Cost Audit 2020-Curren'!$W:$W,'TB &amp; MCC Cost Audit 2020-Curren'!$C:$C,'TB Type Margin Analysis'!$B14,'TB &amp; MCC Cost Audit 2020-Curren'!$D:$D,'TB Type Margin Analysis'!P$3)</f>
        <v>302641.93999999983</v>
      </c>
      <c r="S14" s="119">
        <f t="shared" si="10"/>
        <v>0.60484917355371903</v>
      </c>
      <c r="T14" s="119">
        <f t="shared" si="11"/>
        <v>0.77873525433818103</v>
      </c>
      <c r="U14" s="119">
        <f t="shared" si="12"/>
        <v>0.77924361440724266</v>
      </c>
      <c r="V14" s="119">
        <f t="shared" si="13"/>
        <v>0.80277710408623826</v>
      </c>
      <c r="W14" s="119">
        <f t="shared" si="14"/>
        <v>0.7747512954170942</v>
      </c>
      <c r="X14" s="119">
        <f t="shared" si="15"/>
        <v>0.78530671687154352</v>
      </c>
    </row>
    <row r="15" spans="1:24" x14ac:dyDescent="0.15">
      <c r="B15" s="54" t="s">
        <v>248</v>
      </c>
      <c r="C15" s="121">
        <f>SUMIFS('TB &amp; MCC Cost Audit 2020-Curren'!$P:$P,'TB &amp; MCC Cost Audit 2020-Curren'!$C:$C,'TB Type Margin Analysis'!$B15,'TB &amp; MCC Cost Audit 2020-Curren'!$D:$D,'TB Type Margin Analysis'!C$3)</f>
        <v>0</v>
      </c>
      <c r="D15" s="121">
        <f>SUMIFS('TB &amp; MCC Cost Audit 2020-Curren'!$P:$P,'TB &amp; MCC Cost Audit 2020-Curren'!$C:$C,'TB Type Margin Analysis'!$B15,'TB &amp; MCC Cost Audit 2020-Curren'!$D:$D,'TB Type Margin Analysis'!D$3)</f>
        <v>55410</v>
      </c>
      <c r="E15" s="121">
        <f>SUMIFS('TB &amp; MCC Cost Audit 2020-Curren'!$P:$P,'TB &amp; MCC Cost Audit 2020-Curren'!$C:$C,'TB Type Margin Analysis'!$B15,'TB &amp; MCC Cost Audit 2020-Curren'!$D:$D,'TB Type Margin Analysis'!E$3)</f>
        <v>137454</v>
      </c>
      <c r="F15" s="121">
        <f>SUMIFS('TB &amp; MCC Cost Audit 2020-Curren'!$P:$P,'TB &amp; MCC Cost Audit 2020-Curren'!$C:$C,'TB Type Margin Analysis'!$B15,'TB &amp; MCC Cost Audit 2020-Curren'!$D:$D,'TB Type Margin Analysis'!F$3)</f>
        <v>110252</v>
      </c>
      <c r="G15" s="121">
        <f>SUMIFS('TB &amp; MCC Cost Audit 2020-Curren'!$P:$P,'TB &amp; MCC Cost Audit 2020-Curren'!$C:$C,'TB Type Margin Analysis'!$B15,'TB &amp; MCC Cost Audit 2020-Curren'!$D:$D,'TB Type Margin Analysis'!G$3)</f>
        <v>166800</v>
      </c>
      <c r="H15" s="121">
        <f>SUMIFS('TB &amp; MCC Cost Audit 2020-Curren'!$P:$P,'TB &amp; MCC Cost Audit 2020-Curren'!$C:$C,'TB Type Margin Analysis'!$B15,'TB &amp; MCC Cost Audit 2020-Curren'!$D:$D,'TB Type Margin Analysis'!H$3)</f>
        <v>288586.7889812655</v>
      </c>
      <c r="K15" s="121">
        <f>SUMIFS('TB &amp; MCC Cost Audit 2020-Curren'!$W:$W,'TB &amp; MCC Cost Audit 2020-Curren'!$C:$C,'TB Type Margin Analysis'!$B15,'TB &amp; MCC Cost Audit 2020-Curren'!$D:$D,'TB Type Margin Analysis'!K$3)</f>
        <v>0</v>
      </c>
      <c r="L15" s="121">
        <f>SUMIFS('TB &amp; MCC Cost Audit 2020-Curren'!$W:$W,'TB &amp; MCC Cost Audit 2020-Curren'!$C:$C,'TB Type Margin Analysis'!$B15,'TB &amp; MCC Cost Audit 2020-Curren'!$D:$D,'TB Type Margin Analysis'!L$3)</f>
        <v>0</v>
      </c>
      <c r="M15" s="121">
        <f>SUMIFS('TB &amp; MCC Cost Audit 2020-Curren'!$W:$W,'TB &amp; MCC Cost Audit 2020-Curren'!$C:$C,'TB Type Margin Analysis'!$B15,'TB &amp; MCC Cost Audit 2020-Curren'!$D:$D,'TB Type Margin Analysis'!M$3)</f>
        <v>10647.96</v>
      </c>
      <c r="N15" s="121">
        <f>SUMIFS('TB &amp; MCC Cost Audit 2020-Curren'!$W:$W,'TB &amp; MCC Cost Audit 2020-Curren'!$C:$C,'TB Type Margin Analysis'!$B15,'TB &amp; MCC Cost Audit 2020-Curren'!$D:$D,'TB Type Margin Analysis'!N$3)</f>
        <v>8411.8499999999985</v>
      </c>
      <c r="O15" s="121">
        <f>SUMIFS('TB &amp; MCC Cost Audit 2020-Curren'!$W:$W,'TB &amp; MCC Cost Audit 2020-Curren'!$C:$C,'TB Type Margin Analysis'!$B15,'TB &amp; MCC Cost Audit 2020-Curren'!$D:$D,'TB Type Margin Analysis'!O$3)</f>
        <v>7860.4499999999989</v>
      </c>
      <c r="P15" s="121">
        <f>SUMIFS('TB &amp; MCC Cost Audit 2020-Curren'!$W:$W,'TB &amp; MCC Cost Audit 2020-Curren'!$C:$C,'TB Type Margin Analysis'!$B15,'TB &amp; MCC Cost Audit 2020-Curren'!$D:$D,'TB Type Margin Analysis'!P$3)</f>
        <v>11229.219999999998</v>
      </c>
      <c r="S15" s="119" t="str">
        <f t="shared" si="10"/>
        <v xml:space="preserve"> - </v>
      </c>
      <c r="T15" s="119">
        <f t="shared" si="11"/>
        <v>1</v>
      </c>
      <c r="U15" s="119">
        <f t="shared" si="12"/>
        <v>0.92253437513640935</v>
      </c>
      <c r="V15" s="119">
        <f t="shared" si="13"/>
        <v>0.92370342488118129</v>
      </c>
      <c r="W15" s="119">
        <f t="shared" si="14"/>
        <v>0.95287499999999992</v>
      </c>
      <c r="X15" s="119">
        <f t="shared" si="15"/>
        <v>0.96108893258891015</v>
      </c>
    </row>
    <row r="16" spans="1:24" x14ac:dyDescent="0.15">
      <c r="B16" s="54" t="s">
        <v>171</v>
      </c>
      <c r="C16" s="121">
        <f>SUMIFS('TB &amp; MCC Cost Audit 2020-Curren'!$P:$P,'TB &amp; MCC Cost Audit 2020-Curren'!$C:$C,'TB Type Margin Analysis'!$B16,'TB &amp; MCC Cost Audit 2020-Curren'!$D:$D,'TB Type Margin Analysis'!C$3)</f>
        <v>408.19</v>
      </c>
      <c r="D16" s="121">
        <f>SUMIFS('TB &amp; MCC Cost Audit 2020-Curren'!$P:$P,'TB &amp; MCC Cost Audit 2020-Curren'!$C:$C,'TB Type Margin Analysis'!$B16,'TB &amp; MCC Cost Audit 2020-Curren'!$D:$D,'TB Type Margin Analysis'!D$3)</f>
        <v>0</v>
      </c>
      <c r="E16" s="121">
        <f>SUMIFS('TB &amp; MCC Cost Audit 2020-Curren'!$P:$P,'TB &amp; MCC Cost Audit 2020-Curren'!$C:$C,'TB Type Margin Analysis'!$B16,'TB &amp; MCC Cost Audit 2020-Curren'!$D:$D,'TB Type Margin Analysis'!E$3)</f>
        <v>0</v>
      </c>
      <c r="F16" s="121">
        <f>SUMIFS('TB &amp; MCC Cost Audit 2020-Curren'!$P:$P,'TB &amp; MCC Cost Audit 2020-Curren'!$C:$C,'TB Type Margin Analysis'!$B16,'TB &amp; MCC Cost Audit 2020-Curren'!$D:$D,'TB Type Margin Analysis'!F$3)</f>
        <v>0</v>
      </c>
      <c r="G16" s="121">
        <f>SUMIFS('TB &amp; MCC Cost Audit 2020-Curren'!$P:$P,'TB &amp; MCC Cost Audit 2020-Curren'!$C:$C,'TB Type Margin Analysis'!$B16,'TB &amp; MCC Cost Audit 2020-Curren'!$D:$D,'TB Type Margin Analysis'!G$3)</f>
        <v>0</v>
      </c>
      <c r="H16" s="121">
        <f>SUMIFS('TB &amp; MCC Cost Audit 2020-Curren'!$P:$P,'TB &amp; MCC Cost Audit 2020-Curren'!$C:$C,'TB Type Margin Analysis'!$B16,'TB &amp; MCC Cost Audit 2020-Curren'!$D:$D,'TB Type Margin Analysis'!H$3)</f>
        <v>0</v>
      </c>
      <c r="K16" s="121">
        <f>SUMIFS('TB &amp; MCC Cost Audit 2020-Curren'!$W:$W,'TB &amp; MCC Cost Audit 2020-Curren'!$C:$C,'TB Type Margin Analysis'!$B16,'TB &amp; MCC Cost Audit 2020-Curren'!$D:$D,'TB Type Margin Analysis'!K$3)</f>
        <v>194.16</v>
      </c>
      <c r="L16" s="121">
        <f>SUMIFS('TB &amp; MCC Cost Audit 2020-Curren'!$W:$W,'TB &amp; MCC Cost Audit 2020-Curren'!$C:$C,'TB Type Margin Analysis'!$B16,'TB &amp; MCC Cost Audit 2020-Curren'!$D:$D,'TB Type Margin Analysis'!L$3)</f>
        <v>0</v>
      </c>
      <c r="M16" s="121">
        <f>SUMIFS('TB &amp; MCC Cost Audit 2020-Curren'!$W:$W,'TB &amp; MCC Cost Audit 2020-Curren'!$C:$C,'TB Type Margin Analysis'!$B16,'TB &amp; MCC Cost Audit 2020-Curren'!$D:$D,'TB Type Margin Analysis'!M$3)</f>
        <v>0</v>
      </c>
      <c r="N16" s="121">
        <f>SUMIFS('TB &amp; MCC Cost Audit 2020-Curren'!$W:$W,'TB &amp; MCC Cost Audit 2020-Curren'!$C:$C,'TB Type Margin Analysis'!$B16,'TB &amp; MCC Cost Audit 2020-Curren'!$D:$D,'TB Type Margin Analysis'!N$3)</f>
        <v>0</v>
      </c>
      <c r="O16" s="121">
        <f>SUMIFS('TB &amp; MCC Cost Audit 2020-Curren'!$W:$W,'TB &amp; MCC Cost Audit 2020-Curren'!$C:$C,'TB Type Margin Analysis'!$B16,'TB &amp; MCC Cost Audit 2020-Curren'!$D:$D,'TB Type Margin Analysis'!O$3)</f>
        <v>0</v>
      </c>
      <c r="P16" s="121">
        <f>SUMIFS('TB &amp; MCC Cost Audit 2020-Curren'!$W:$W,'TB &amp; MCC Cost Audit 2020-Curren'!$C:$C,'TB Type Margin Analysis'!$B16,'TB &amp; MCC Cost Audit 2020-Curren'!$D:$D,'TB Type Margin Analysis'!P$3)</f>
        <v>0</v>
      </c>
      <c r="S16" s="119">
        <f t="shared" si="10"/>
        <v>0.52433915578529611</v>
      </c>
      <c r="T16" s="119" t="str">
        <f t="shared" si="11"/>
        <v xml:space="preserve"> - </v>
      </c>
      <c r="U16" s="119" t="str">
        <f t="shared" si="12"/>
        <v xml:space="preserve"> - </v>
      </c>
      <c r="V16" s="119" t="str">
        <f t="shared" si="13"/>
        <v xml:space="preserve"> - </v>
      </c>
      <c r="W16" s="119" t="str">
        <f t="shared" si="14"/>
        <v xml:space="preserve"> - </v>
      </c>
      <c r="X16" s="119" t="str">
        <f t="shared" si="15"/>
        <v xml:space="preserve"> - </v>
      </c>
    </row>
    <row r="17" spans="2:24" x14ac:dyDescent="0.15">
      <c r="B17" s="54" t="s">
        <v>55</v>
      </c>
      <c r="C17" s="121">
        <f>SUMIFS('TB &amp; MCC Cost Audit 2020-Curren'!$P:$P,'TB &amp; MCC Cost Audit 2020-Curren'!$C:$C,'TB Type Margin Analysis'!$B17,'TB &amp; MCC Cost Audit 2020-Curren'!$D:$D,'TB Type Margin Analysis'!C$3)</f>
        <v>99004</v>
      </c>
      <c r="D17" s="121">
        <f>SUMIFS('TB &amp; MCC Cost Audit 2020-Curren'!$P:$P,'TB &amp; MCC Cost Audit 2020-Curren'!$C:$C,'TB Type Margin Analysis'!$B17,'TB &amp; MCC Cost Audit 2020-Curren'!$D:$D,'TB Type Margin Analysis'!D$3)</f>
        <v>112296</v>
      </c>
      <c r="E17" s="121">
        <f>SUMIFS('TB &amp; MCC Cost Audit 2020-Curren'!$P:$P,'TB &amp; MCC Cost Audit 2020-Curren'!$C:$C,'TB Type Margin Analysis'!$B17,'TB &amp; MCC Cost Audit 2020-Curren'!$D:$D,'TB Type Margin Analysis'!E$3)</f>
        <v>58961</v>
      </c>
      <c r="F17" s="121">
        <f>SUMIFS('TB &amp; MCC Cost Audit 2020-Curren'!$P:$P,'TB &amp; MCC Cost Audit 2020-Curren'!$C:$C,'TB Type Margin Analysis'!$B17,'TB &amp; MCC Cost Audit 2020-Curren'!$D:$D,'TB Type Margin Analysis'!F$3)</f>
        <v>185595.95</v>
      </c>
      <c r="G17" s="121">
        <f>SUMIFS('TB &amp; MCC Cost Audit 2020-Curren'!$P:$P,'TB &amp; MCC Cost Audit 2020-Curren'!$C:$C,'TB Type Margin Analysis'!$B17,'TB &amp; MCC Cost Audit 2020-Curren'!$D:$D,'TB Type Margin Analysis'!G$3)</f>
        <v>112653</v>
      </c>
      <c r="H17" s="121">
        <f>SUMIFS('TB &amp; MCC Cost Audit 2020-Curren'!$P:$P,'TB &amp; MCC Cost Audit 2020-Curren'!$C:$C,'TB Type Margin Analysis'!$B17,'TB &amp; MCC Cost Audit 2020-Curren'!$D:$D,'TB Type Margin Analysis'!H$3)</f>
        <v>183559.03868062713</v>
      </c>
      <c r="K17" s="121">
        <f>SUMIFS('TB &amp; MCC Cost Audit 2020-Curren'!$W:$W,'TB &amp; MCC Cost Audit 2020-Curren'!$C:$C,'TB Type Margin Analysis'!$B17,'TB &amp; MCC Cost Audit 2020-Curren'!$D:$D,'TB Type Margin Analysis'!K$3)</f>
        <v>112417.73999999999</v>
      </c>
      <c r="L17" s="121">
        <f>SUMIFS('TB &amp; MCC Cost Audit 2020-Curren'!$W:$W,'TB &amp; MCC Cost Audit 2020-Curren'!$C:$C,'TB Type Margin Analysis'!$B17,'TB &amp; MCC Cost Audit 2020-Curren'!$D:$D,'TB Type Margin Analysis'!L$3)</f>
        <v>80964.12000000001</v>
      </c>
      <c r="M17" s="121">
        <f>SUMIFS('TB &amp; MCC Cost Audit 2020-Curren'!$W:$W,'TB &amp; MCC Cost Audit 2020-Curren'!$C:$C,'TB Type Margin Analysis'!$B17,'TB &amp; MCC Cost Audit 2020-Curren'!$D:$D,'TB Type Margin Analysis'!M$3)</f>
        <v>41094.9</v>
      </c>
      <c r="N17" s="121">
        <f>SUMIFS('TB &amp; MCC Cost Audit 2020-Curren'!$W:$W,'TB &amp; MCC Cost Audit 2020-Curren'!$C:$C,'TB Type Margin Analysis'!$B17,'TB &amp; MCC Cost Audit 2020-Curren'!$D:$D,'TB Type Margin Analysis'!N$3)</f>
        <v>96723.099999999991</v>
      </c>
      <c r="O17" s="121">
        <f>SUMIFS('TB &amp; MCC Cost Audit 2020-Curren'!$W:$W,'TB &amp; MCC Cost Audit 2020-Curren'!$C:$C,'TB Type Margin Analysis'!$B17,'TB &amp; MCC Cost Audit 2020-Curren'!$D:$D,'TB Type Margin Analysis'!O$3)</f>
        <v>60516.12</v>
      </c>
      <c r="P17" s="121">
        <f>SUMIFS('TB &amp; MCC Cost Audit 2020-Curren'!$W:$W,'TB &amp; MCC Cost Audit 2020-Curren'!$C:$C,'TB Type Margin Analysis'!$B17,'TB &amp; MCC Cost Audit 2020-Curren'!$D:$D,'TB Type Margin Analysis'!P$3)</f>
        <v>87880.56</v>
      </c>
      <c r="S17" s="119">
        <f t="shared" si="10"/>
        <v>-0.13548684901620128</v>
      </c>
      <c r="T17" s="119">
        <f t="shared" si="11"/>
        <v>0.27901154092754854</v>
      </c>
      <c r="U17" s="119">
        <f t="shared" si="12"/>
        <v>0.30301555265344887</v>
      </c>
      <c r="V17" s="119">
        <f t="shared" si="13"/>
        <v>0.47885123570853788</v>
      </c>
      <c r="W17" s="119">
        <f t="shared" si="14"/>
        <v>0.46280951239647411</v>
      </c>
      <c r="X17" s="119">
        <f t="shared" si="15"/>
        <v>0.52124090084769581</v>
      </c>
    </row>
    <row r="18" spans="2:24" x14ac:dyDescent="0.15">
      <c r="B18" s="54" t="s">
        <v>201</v>
      </c>
      <c r="C18" s="121">
        <f>SUMIFS('TB &amp; MCC Cost Audit 2020-Curren'!$P:$P,'TB &amp; MCC Cost Audit 2020-Curren'!$C:$C,'TB Type Margin Analysis'!$B18,'TB &amp; MCC Cost Audit 2020-Curren'!$D:$D,'TB Type Margin Analysis'!C$3)</f>
        <v>0</v>
      </c>
      <c r="D18" s="121">
        <f>SUMIFS('TB &amp; MCC Cost Audit 2020-Curren'!$P:$P,'TB &amp; MCC Cost Audit 2020-Curren'!$C:$C,'TB Type Margin Analysis'!$B18,'TB &amp; MCC Cost Audit 2020-Curren'!$D:$D,'TB Type Margin Analysis'!D$3)</f>
        <v>44297.979999999996</v>
      </c>
      <c r="E18" s="121">
        <f>SUMIFS('TB &amp; MCC Cost Audit 2020-Curren'!$P:$P,'TB &amp; MCC Cost Audit 2020-Curren'!$C:$C,'TB Type Margin Analysis'!$B18,'TB &amp; MCC Cost Audit 2020-Curren'!$D:$D,'TB Type Margin Analysis'!E$3)</f>
        <v>18129</v>
      </c>
      <c r="F18" s="121">
        <f>SUMIFS('TB &amp; MCC Cost Audit 2020-Curren'!$P:$P,'TB &amp; MCC Cost Audit 2020-Curren'!$C:$C,'TB Type Margin Analysis'!$B18,'TB &amp; MCC Cost Audit 2020-Curren'!$D:$D,'TB Type Margin Analysis'!F$3)</f>
        <v>5829</v>
      </c>
      <c r="G18" s="121">
        <f>SUMIFS('TB &amp; MCC Cost Audit 2020-Curren'!$P:$P,'TB &amp; MCC Cost Audit 2020-Curren'!$C:$C,'TB Type Margin Analysis'!$B18,'TB &amp; MCC Cost Audit 2020-Curren'!$D:$D,'TB Type Margin Analysis'!G$3)</f>
        <v>12917.72</v>
      </c>
      <c r="H18" s="121">
        <f>SUMIFS('TB &amp; MCC Cost Audit 2020-Curren'!$P:$P,'TB &amp; MCC Cost Audit 2020-Curren'!$C:$C,'TB Type Margin Analysis'!$B18,'TB &amp; MCC Cost Audit 2020-Curren'!$D:$D,'TB Type Margin Analysis'!H$3)</f>
        <v>54995.31</v>
      </c>
      <c r="K18" s="121">
        <f>SUMIFS('TB &amp; MCC Cost Audit 2020-Curren'!$W:$W,'TB &amp; MCC Cost Audit 2020-Curren'!$C:$C,'TB Type Margin Analysis'!$B18,'TB &amp; MCC Cost Audit 2020-Curren'!$D:$D,'TB Type Margin Analysis'!K$3)</f>
        <v>0</v>
      </c>
      <c r="L18" s="121">
        <f>SUMIFS('TB &amp; MCC Cost Audit 2020-Curren'!$W:$W,'TB &amp; MCC Cost Audit 2020-Curren'!$C:$C,'TB Type Margin Analysis'!$B18,'TB &amp; MCC Cost Audit 2020-Curren'!$D:$D,'TB Type Margin Analysis'!L$3)</f>
        <v>64495.98000000001</v>
      </c>
      <c r="M18" s="121">
        <f>SUMIFS('TB &amp; MCC Cost Audit 2020-Curren'!$W:$W,'TB &amp; MCC Cost Audit 2020-Curren'!$C:$C,'TB Type Margin Analysis'!$B18,'TB &amp; MCC Cost Audit 2020-Curren'!$D:$D,'TB Type Margin Analysis'!M$3)</f>
        <v>27635.93</v>
      </c>
      <c r="N18" s="121">
        <f>SUMIFS('TB &amp; MCC Cost Audit 2020-Curren'!$W:$W,'TB &amp; MCC Cost Audit 2020-Curren'!$C:$C,'TB Type Margin Analysis'!$B18,'TB &amp; MCC Cost Audit 2020-Curren'!$D:$D,'TB Type Margin Analysis'!N$3)</f>
        <v>12554.680000000002</v>
      </c>
      <c r="O18" s="121">
        <f>SUMIFS('TB &amp; MCC Cost Audit 2020-Curren'!$W:$W,'TB &amp; MCC Cost Audit 2020-Curren'!$C:$C,'TB Type Margin Analysis'!$B18,'TB &amp; MCC Cost Audit 2020-Curren'!$D:$D,'TB Type Margin Analysis'!O$3)</f>
        <v>22867.23</v>
      </c>
      <c r="P18" s="121">
        <f>SUMIFS('TB &amp; MCC Cost Audit 2020-Curren'!$W:$W,'TB &amp; MCC Cost Audit 2020-Curren'!$C:$C,'TB Type Margin Analysis'!$B18,'TB &amp; MCC Cost Audit 2020-Curren'!$D:$D,'TB Type Margin Analysis'!P$3)</f>
        <v>40695.730000000003</v>
      </c>
      <c r="S18" s="119" t="str">
        <f t="shared" si="10"/>
        <v xml:space="preserve"> - </v>
      </c>
      <c r="T18" s="119">
        <f t="shared" si="11"/>
        <v>-0.45595758542488884</v>
      </c>
      <c r="U18" s="119">
        <f t="shared" si="12"/>
        <v>-0.52440454520381707</v>
      </c>
      <c r="V18" s="119">
        <f t="shared" si="13"/>
        <v>-1.1538308457711446</v>
      </c>
      <c r="W18" s="119">
        <f t="shared" si="14"/>
        <v>-0.7702218348129547</v>
      </c>
      <c r="X18" s="119">
        <f t="shared" si="15"/>
        <v>0.26001453578496048</v>
      </c>
    </row>
    <row r="19" spans="2:24" x14ac:dyDescent="0.15">
      <c r="B19" s="54" t="s">
        <v>159</v>
      </c>
      <c r="C19" s="121">
        <f>SUMIFS('TB &amp; MCC Cost Audit 2020-Curren'!$P:$P,'TB &amp; MCC Cost Audit 2020-Curren'!$C:$C,'TB Type Margin Analysis'!$B19,'TB &amp; MCC Cost Audit 2020-Curren'!$D:$D,'TB Type Margin Analysis'!C$3)</f>
        <v>243.92</v>
      </c>
      <c r="D19" s="121">
        <f>SUMIFS('TB &amp; MCC Cost Audit 2020-Curren'!$P:$P,'TB &amp; MCC Cost Audit 2020-Curren'!$C:$C,'TB Type Margin Analysis'!$B19,'TB &amp; MCC Cost Audit 2020-Curren'!$D:$D,'TB Type Margin Analysis'!D$3)</f>
        <v>0</v>
      </c>
      <c r="E19" s="121">
        <f>SUMIFS('TB &amp; MCC Cost Audit 2020-Curren'!$P:$P,'TB &amp; MCC Cost Audit 2020-Curren'!$C:$C,'TB Type Margin Analysis'!$B19,'TB &amp; MCC Cost Audit 2020-Curren'!$D:$D,'TB Type Margin Analysis'!E$3)</f>
        <v>0</v>
      </c>
      <c r="F19" s="121">
        <f>SUMIFS('TB &amp; MCC Cost Audit 2020-Curren'!$P:$P,'TB &amp; MCC Cost Audit 2020-Curren'!$C:$C,'TB Type Margin Analysis'!$B19,'TB &amp; MCC Cost Audit 2020-Curren'!$D:$D,'TB Type Margin Analysis'!F$3)</f>
        <v>0</v>
      </c>
      <c r="G19" s="121">
        <f>SUMIFS('TB &amp; MCC Cost Audit 2020-Curren'!$P:$P,'TB &amp; MCC Cost Audit 2020-Curren'!$C:$C,'TB Type Margin Analysis'!$B19,'TB &amp; MCC Cost Audit 2020-Curren'!$D:$D,'TB Type Margin Analysis'!G$3)</f>
        <v>0</v>
      </c>
      <c r="H19" s="121">
        <f>SUMIFS('TB &amp; MCC Cost Audit 2020-Curren'!$P:$P,'TB &amp; MCC Cost Audit 2020-Curren'!$C:$C,'TB Type Margin Analysis'!$B19,'TB &amp; MCC Cost Audit 2020-Curren'!$D:$D,'TB Type Margin Analysis'!H$3)</f>
        <v>0</v>
      </c>
      <c r="K19" s="121">
        <f>SUMIFS('TB &amp; MCC Cost Audit 2020-Curren'!$W:$W,'TB &amp; MCC Cost Audit 2020-Curren'!$C:$C,'TB Type Margin Analysis'!$B19,'TB &amp; MCC Cost Audit 2020-Curren'!$D:$D,'TB Type Margin Analysis'!K$3)</f>
        <v>166.5</v>
      </c>
      <c r="L19" s="121">
        <f>SUMIFS('TB &amp; MCC Cost Audit 2020-Curren'!$W:$W,'TB &amp; MCC Cost Audit 2020-Curren'!$C:$C,'TB Type Margin Analysis'!$B19,'TB &amp; MCC Cost Audit 2020-Curren'!$D:$D,'TB Type Margin Analysis'!L$3)</f>
        <v>0</v>
      </c>
      <c r="M19" s="121">
        <f>SUMIFS('TB &amp; MCC Cost Audit 2020-Curren'!$W:$W,'TB &amp; MCC Cost Audit 2020-Curren'!$C:$C,'TB Type Margin Analysis'!$B19,'TB &amp; MCC Cost Audit 2020-Curren'!$D:$D,'TB Type Margin Analysis'!M$3)</f>
        <v>0</v>
      </c>
      <c r="N19" s="121">
        <f>SUMIFS('TB &amp; MCC Cost Audit 2020-Curren'!$W:$W,'TB &amp; MCC Cost Audit 2020-Curren'!$C:$C,'TB Type Margin Analysis'!$B19,'TB &amp; MCC Cost Audit 2020-Curren'!$D:$D,'TB Type Margin Analysis'!N$3)</f>
        <v>0</v>
      </c>
      <c r="O19" s="121">
        <f>SUMIFS('TB &amp; MCC Cost Audit 2020-Curren'!$W:$W,'TB &amp; MCC Cost Audit 2020-Curren'!$C:$C,'TB Type Margin Analysis'!$B19,'TB &amp; MCC Cost Audit 2020-Curren'!$D:$D,'TB Type Margin Analysis'!O$3)</f>
        <v>0</v>
      </c>
      <c r="P19" s="121">
        <f>SUMIFS('TB &amp; MCC Cost Audit 2020-Curren'!$W:$W,'TB &amp; MCC Cost Audit 2020-Curren'!$C:$C,'TB Type Margin Analysis'!$B19,'TB &amp; MCC Cost Audit 2020-Curren'!$D:$D,'TB Type Margin Analysis'!P$3)</f>
        <v>0</v>
      </c>
      <c r="S19" s="119">
        <f t="shared" si="10"/>
        <v>0.31739914726139712</v>
      </c>
      <c r="T19" s="119" t="str">
        <f t="shared" si="11"/>
        <v xml:space="preserve"> - </v>
      </c>
      <c r="U19" s="119" t="str">
        <f t="shared" si="12"/>
        <v xml:space="preserve"> - </v>
      </c>
      <c r="V19" s="119" t="str">
        <f t="shared" si="13"/>
        <v xml:space="preserve"> - </v>
      </c>
      <c r="W19" s="119" t="str">
        <f t="shared" si="14"/>
        <v xml:space="preserve"> - </v>
      </c>
      <c r="X19" s="119" t="str">
        <f t="shared" si="15"/>
        <v xml:space="preserve"> - </v>
      </c>
    </row>
    <row r="20" spans="2:24" x14ac:dyDescent="0.15">
      <c r="B20" s="54" t="s">
        <v>164</v>
      </c>
      <c r="C20" s="121">
        <f>SUMIFS('TB &amp; MCC Cost Audit 2020-Curren'!$P:$P,'TB &amp; MCC Cost Audit 2020-Curren'!$C:$C,'TB Type Margin Analysis'!$B20,'TB &amp; MCC Cost Audit 2020-Curren'!$D:$D,'TB Type Margin Analysis'!C$3)</f>
        <v>133.07</v>
      </c>
      <c r="D20" s="121">
        <f>SUMIFS('TB &amp; MCC Cost Audit 2020-Curren'!$P:$P,'TB &amp; MCC Cost Audit 2020-Curren'!$C:$C,'TB Type Margin Analysis'!$B20,'TB &amp; MCC Cost Audit 2020-Curren'!$D:$D,'TB Type Margin Analysis'!D$3)</f>
        <v>5791.37</v>
      </c>
      <c r="E20" s="121">
        <f>SUMIFS('TB &amp; MCC Cost Audit 2020-Curren'!$P:$P,'TB &amp; MCC Cost Audit 2020-Curren'!$C:$C,'TB Type Margin Analysis'!$B20,'TB &amp; MCC Cost Audit 2020-Curren'!$D:$D,'TB Type Margin Analysis'!E$3)</f>
        <v>37852</v>
      </c>
      <c r="F20" s="121">
        <f>SUMIFS('TB &amp; MCC Cost Audit 2020-Curren'!$P:$P,'TB &amp; MCC Cost Audit 2020-Curren'!$C:$C,'TB Type Margin Analysis'!$B20,'TB &amp; MCC Cost Audit 2020-Curren'!$D:$D,'TB Type Margin Analysis'!F$3)</f>
        <v>9933.58</v>
      </c>
      <c r="G20" s="121">
        <f>SUMIFS('TB &amp; MCC Cost Audit 2020-Curren'!$P:$P,'TB &amp; MCC Cost Audit 2020-Curren'!$C:$C,'TB Type Margin Analysis'!$B20,'TB &amp; MCC Cost Audit 2020-Curren'!$D:$D,'TB Type Margin Analysis'!G$3)</f>
        <v>40100.699999999997</v>
      </c>
      <c r="H20" s="121">
        <f>SUMIFS('TB &amp; MCC Cost Audit 2020-Curren'!$P:$P,'TB &amp; MCC Cost Audit 2020-Curren'!$C:$C,'TB Type Margin Analysis'!$B20,'TB &amp; MCC Cost Audit 2020-Curren'!$D:$D,'TB Type Margin Analysis'!H$3)</f>
        <v>29820.508381242093</v>
      </c>
      <c r="K20" s="121">
        <f>SUMIFS('TB &amp; MCC Cost Audit 2020-Curren'!$W:$W,'TB &amp; MCC Cost Audit 2020-Curren'!$C:$C,'TB Type Margin Analysis'!$B20,'TB &amp; MCC Cost Audit 2020-Curren'!$D:$D,'TB Type Margin Analysis'!K$3)</f>
        <v>86.35</v>
      </c>
      <c r="L20" s="121">
        <f>SUMIFS('TB &amp; MCC Cost Audit 2020-Curren'!$W:$W,'TB &amp; MCC Cost Audit 2020-Curren'!$C:$C,'TB Type Margin Analysis'!$B20,'TB &amp; MCC Cost Audit 2020-Curren'!$D:$D,'TB Type Margin Analysis'!L$3)</f>
        <v>1980.0456999999999</v>
      </c>
      <c r="M20" s="121">
        <f>SUMIFS('TB &amp; MCC Cost Audit 2020-Curren'!$W:$W,'TB &amp; MCC Cost Audit 2020-Curren'!$C:$C,'TB Type Margin Analysis'!$B20,'TB &amp; MCC Cost Audit 2020-Curren'!$D:$D,'TB Type Margin Analysis'!M$3)</f>
        <v>13595.56</v>
      </c>
      <c r="N20" s="121">
        <f>SUMIFS('TB &amp; MCC Cost Audit 2020-Curren'!$W:$W,'TB &amp; MCC Cost Audit 2020-Curren'!$C:$C,'TB Type Margin Analysis'!$B20,'TB &amp; MCC Cost Audit 2020-Curren'!$D:$D,'TB Type Margin Analysis'!N$3)</f>
        <v>3352.66</v>
      </c>
      <c r="O20" s="121">
        <f>SUMIFS('TB &amp; MCC Cost Audit 2020-Curren'!$W:$W,'TB &amp; MCC Cost Audit 2020-Curren'!$C:$C,'TB Type Margin Analysis'!$B20,'TB &amp; MCC Cost Audit 2020-Curren'!$D:$D,'TB Type Margin Analysis'!O$3)</f>
        <v>16464.420000000002</v>
      </c>
      <c r="P20" s="121">
        <f>SUMIFS('TB &amp; MCC Cost Audit 2020-Curren'!$W:$W,'TB &amp; MCC Cost Audit 2020-Curren'!$C:$C,'TB Type Margin Analysis'!$B20,'TB &amp; MCC Cost Audit 2020-Curren'!$D:$D,'TB Type Margin Analysis'!P$3)</f>
        <v>12445.740000000002</v>
      </c>
      <c r="S20" s="119">
        <f t="shared" si="10"/>
        <v>0.35109340948373036</v>
      </c>
      <c r="T20" s="119">
        <f t="shared" si="11"/>
        <v>0.65810409281396287</v>
      </c>
      <c r="U20" s="119">
        <f t="shared" si="12"/>
        <v>0.64082320617140442</v>
      </c>
      <c r="V20" s="119">
        <f t="shared" si="13"/>
        <v>0.66249227368179453</v>
      </c>
      <c r="W20" s="119">
        <f t="shared" si="14"/>
        <v>0.58942312727707991</v>
      </c>
      <c r="X20" s="119">
        <f t="shared" si="15"/>
        <v>0.58264494216910434</v>
      </c>
    </row>
    <row r="21" spans="2:24" x14ac:dyDescent="0.15">
      <c r="B21" s="54" t="s">
        <v>37</v>
      </c>
      <c r="C21" s="121">
        <f>SUMIFS('TB &amp; MCC Cost Audit 2020-Curren'!$P:$P,'TB &amp; MCC Cost Audit 2020-Curren'!$C:$C,'TB Type Margin Analysis'!$B21,'TB &amp; MCC Cost Audit 2020-Curren'!$D:$D,'TB Type Margin Analysis'!C$3)</f>
        <v>2572723.17</v>
      </c>
      <c r="D21" s="121">
        <f>SUMIFS('TB &amp; MCC Cost Audit 2020-Curren'!$P:$P,'TB &amp; MCC Cost Audit 2020-Curren'!$C:$C,'TB Type Margin Analysis'!$B21,'TB &amp; MCC Cost Audit 2020-Curren'!$D:$D,'TB Type Margin Analysis'!D$3)</f>
        <v>1040480</v>
      </c>
      <c r="E21" s="121">
        <f>SUMIFS('TB &amp; MCC Cost Audit 2020-Curren'!$P:$P,'TB &amp; MCC Cost Audit 2020-Curren'!$C:$C,'TB Type Margin Analysis'!$B21,'TB &amp; MCC Cost Audit 2020-Curren'!$D:$D,'TB Type Margin Analysis'!E$3)</f>
        <v>1164995</v>
      </c>
      <c r="F21" s="121">
        <f>SUMIFS('TB &amp; MCC Cost Audit 2020-Curren'!$P:$P,'TB &amp; MCC Cost Audit 2020-Curren'!$C:$C,'TB Type Margin Analysis'!$B21,'TB &amp; MCC Cost Audit 2020-Curren'!$D:$D,'TB Type Margin Analysis'!F$3)</f>
        <v>2902671</v>
      </c>
      <c r="G21" s="121">
        <f>SUMIFS('TB &amp; MCC Cost Audit 2020-Curren'!$P:$P,'TB &amp; MCC Cost Audit 2020-Curren'!$C:$C,'TB Type Margin Analysis'!$B21,'TB &amp; MCC Cost Audit 2020-Curren'!$D:$D,'TB Type Margin Analysis'!G$3)</f>
        <v>1590526</v>
      </c>
      <c r="H21" s="121">
        <f>SUMIFS('TB &amp; MCC Cost Audit 2020-Curren'!$P:$P,'TB &amp; MCC Cost Audit 2020-Curren'!$C:$C,'TB Type Margin Analysis'!$B21,'TB &amp; MCC Cost Audit 2020-Curren'!$D:$D,'TB Type Margin Analysis'!H$3)</f>
        <v>2338436.6998995892</v>
      </c>
      <c r="K21" s="121">
        <f>SUMIFS('TB &amp; MCC Cost Audit 2020-Curren'!$W:$W,'TB &amp; MCC Cost Audit 2020-Curren'!$C:$C,'TB Type Margin Analysis'!$B21,'TB &amp; MCC Cost Audit 2020-Curren'!$D:$D,'TB Type Margin Analysis'!K$3)</f>
        <v>901877.05999999947</v>
      </c>
      <c r="L21" s="121">
        <f>SUMIFS('TB &amp; MCC Cost Audit 2020-Curren'!$W:$W,'TB &amp; MCC Cost Audit 2020-Curren'!$C:$C,'TB Type Margin Analysis'!$B21,'TB &amp; MCC Cost Audit 2020-Curren'!$D:$D,'TB Type Margin Analysis'!L$3)</f>
        <v>393934.19000000006</v>
      </c>
      <c r="M21" s="121">
        <f>SUMIFS('TB &amp; MCC Cost Audit 2020-Curren'!$W:$W,'TB &amp; MCC Cost Audit 2020-Curren'!$C:$C,'TB Type Margin Analysis'!$B21,'TB &amp; MCC Cost Audit 2020-Curren'!$D:$D,'TB Type Margin Analysis'!M$3)</f>
        <v>348536.03</v>
      </c>
      <c r="N21" s="121">
        <f>SUMIFS('TB &amp; MCC Cost Audit 2020-Curren'!$W:$W,'TB &amp; MCC Cost Audit 2020-Curren'!$C:$C,'TB Type Margin Analysis'!$B21,'TB &amp; MCC Cost Audit 2020-Curren'!$D:$D,'TB Type Margin Analysis'!N$3)</f>
        <v>870443.06000000017</v>
      </c>
      <c r="O21" s="121">
        <f>SUMIFS('TB &amp; MCC Cost Audit 2020-Curren'!$W:$W,'TB &amp; MCC Cost Audit 2020-Curren'!$C:$C,'TB Type Margin Analysis'!$B21,'TB &amp; MCC Cost Audit 2020-Curren'!$D:$D,'TB Type Margin Analysis'!O$3)</f>
        <v>418796.12999999989</v>
      </c>
      <c r="P21" s="121">
        <f>SUMIFS('TB &amp; MCC Cost Audit 2020-Curren'!$W:$W,'TB &amp; MCC Cost Audit 2020-Curren'!$C:$C,'TB Type Margin Analysis'!$B21,'TB &amp; MCC Cost Audit 2020-Curren'!$D:$D,'TB Type Margin Analysis'!P$3)</f>
        <v>562591.09000000008</v>
      </c>
      <c r="S21" s="119">
        <f t="shared" si="10"/>
        <v>0.64944652012443316</v>
      </c>
      <c r="T21" s="119">
        <f t="shared" si="11"/>
        <v>0.6213918672151314</v>
      </c>
      <c r="U21" s="119">
        <f t="shared" si="12"/>
        <v>0.7008261580521804</v>
      </c>
      <c r="V21" s="119">
        <f t="shared" si="13"/>
        <v>0.70012341736283579</v>
      </c>
      <c r="W21" s="119">
        <f t="shared" si="14"/>
        <v>0.73669331403573413</v>
      </c>
      <c r="X21" s="119">
        <f t="shared" si="15"/>
        <v>0.75941572845475891</v>
      </c>
    </row>
    <row r="22" spans="2:24" x14ac:dyDescent="0.15">
      <c r="B22" s="54" t="s">
        <v>180</v>
      </c>
      <c r="C22" s="121">
        <f>SUMIFS('TB &amp; MCC Cost Audit 2020-Curren'!$P:$P,'TB &amp; MCC Cost Audit 2020-Curren'!$C:$C,'TB Type Margin Analysis'!$B22,'TB &amp; MCC Cost Audit 2020-Curren'!$D:$D,'TB Type Margin Analysis'!C$3)</f>
        <v>0</v>
      </c>
      <c r="D22" s="121">
        <f>SUMIFS('TB &amp; MCC Cost Audit 2020-Curren'!$P:$P,'TB &amp; MCC Cost Audit 2020-Curren'!$C:$C,'TB Type Margin Analysis'!$B22,'TB &amp; MCC Cost Audit 2020-Curren'!$D:$D,'TB Type Margin Analysis'!D$3)</f>
        <v>730581</v>
      </c>
      <c r="E22" s="121">
        <f>SUMIFS('TB &amp; MCC Cost Audit 2020-Curren'!$P:$P,'TB &amp; MCC Cost Audit 2020-Curren'!$C:$C,'TB Type Margin Analysis'!$B22,'TB &amp; MCC Cost Audit 2020-Curren'!$D:$D,'TB Type Margin Analysis'!E$3)</f>
        <v>700768.10000000009</v>
      </c>
      <c r="F22" s="121">
        <f>SUMIFS('TB &amp; MCC Cost Audit 2020-Curren'!$P:$P,'TB &amp; MCC Cost Audit 2020-Curren'!$C:$C,'TB Type Margin Analysis'!$B22,'TB &amp; MCC Cost Audit 2020-Curren'!$D:$D,'TB Type Margin Analysis'!F$3)</f>
        <v>64559</v>
      </c>
      <c r="G22" s="121">
        <f>SUMIFS('TB &amp; MCC Cost Audit 2020-Curren'!$P:$P,'TB &amp; MCC Cost Audit 2020-Curren'!$C:$C,'TB Type Margin Analysis'!$B22,'TB &amp; MCC Cost Audit 2020-Curren'!$D:$D,'TB Type Margin Analysis'!G$3)</f>
        <v>285447.63</v>
      </c>
      <c r="H22" s="121">
        <f>SUMIFS('TB &amp; MCC Cost Audit 2020-Curren'!$P:$P,'TB &amp; MCC Cost Audit 2020-Curren'!$C:$C,'TB Type Margin Analysis'!$B22,'TB &amp; MCC Cost Audit 2020-Curren'!$D:$D,'TB Type Margin Analysis'!H$3)</f>
        <v>707133.80051402375</v>
      </c>
      <c r="K22" s="121">
        <f>SUMIFS('TB &amp; MCC Cost Audit 2020-Curren'!$W:$W,'TB &amp; MCC Cost Audit 2020-Curren'!$C:$C,'TB Type Margin Analysis'!$B22,'TB &amp; MCC Cost Audit 2020-Curren'!$D:$D,'TB Type Margin Analysis'!K$3)</f>
        <v>0</v>
      </c>
      <c r="L22" s="121">
        <f>SUMIFS('TB &amp; MCC Cost Audit 2020-Curren'!$W:$W,'TB &amp; MCC Cost Audit 2020-Curren'!$C:$C,'TB Type Margin Analysis'!$B22,'TB &amp; MCC Cost Audit 2020-Curren'!$D:$D,'TB Type Margin Analysis'!L$3)</f>
        <v>162244.02000000002</v>
      </c>
      <c r="M22" s="121">
        <f>SUMIFS('TB &amp; MCC Cost Audit 2020-Curren'!$W:$W,'TB &amp; MCC Cost Audit 2020-Curren'!$C:$C,'TB Type Margin Analysis'!$B22,'TB &amp; MCC Cost Audit 2020-Curren'!$D:$D,'TB Type Margin Analysis'!M$3)</f>
        <v>126749.29000000001</v>
      </c>
      <c r="N22" s="121">
        <f>SUMIFS('TB &amp; MCC Cost Audit 2020-Curren'!$W:$W,'TB &amp; MCC Cost Audit 2020-Curren'!$C:$C,'TB Type Margin Analysis'!$B22,'TB &amp; MCC Cost Audit 2020-Curren'!$D:$D,'TB Type Margin Analysis'!N$3)</f>
        <v>13762.88</v>
      </c>
      <c r="O22" s="121">
        <f>SUMIFS('TB &amp; MCC Cost Audit 2020-Curren'!$W:$W,'TB &amp; MCC Cost Audit 2020-Curren'!$C:$C,'TB Type Margin Analysis'!$B22,'TB &amp; MCC Cost Audit 2020-Curren'!$D:$D,'TB Type Margin Analysis'!O$3)</f>
        <v>54837.440000000002</v>
      </c>
      <c r="P22" s="121">
        <f>SUMIFS('TB &amp; MCC Cost Audit 2020-Curren'!$W:$W,'TB &amp; MCC Cost Audit 2020-Curren'!$C:$C,'TB Type Margin Analysis'!$B22,'TB &amp; MCC Cost Audit 2020-Curren'!$D:$D,'TB Type Margin Analysis'!P$3)</f>
        <v>100479.04000000001</v>
      </c>
      <c r="S22" s="119" t="str">
        <f t="shared" si="10"/>
        <v xml:space="preserve"> - </v>
      </c>
      <c r="T22" s="119">
        <f t="shared" si="11"/>
        <v>0.77792466543750793</v>
      </c>
      <c r="U22" s="119">
        <f t="shared" si="12"/>
        <v>0.81912805391683774</v>
      </c>
      <c r="V22" s="119">
        <f t="shared" si="13"/>
        <v>0.78681702009015009</v>
      </c>
      <c r="W22" s="119">
        <f t="shared" si="14"/>
        <v>0.80788966438432153</v>
      </c>
      <c r="X22" s="119">
        <f t="shared" si="15"/>
        <v>0.85790660844247491</v>
      </c>
    </row>
    <row r="23" spans="2:24" x14ac:dyDescent="0.15">
      <c r="B23" s="54" t="s">
        <v>47</v>
      </c>
      <c r="C23" s="121">
        <f>SUMIFS('TB &amp; MCC Cost Audit 2020-Curren'!$P:$P,'TB &amp; MCC Cost Audit 2020-Curren'!$C:$C,'TB Type Margin Analysis'!$B23,'TB &amp; MCC Cost Audit 2020-Curren'!$D:$D,'TB Type Margin Analysis'!C$3)</f>
        <v>486799</v>
      </c>
      <c r="D23" s="121">
        <f>SUMIFS('TB &amp; MCC Cost Audit 2020-Curren'!$P:$P,'TB &amp; MCC Cost Audit 2020-Curren'!$C:$C,'TB Type Margin Analysis'!$B23,'TB &amp; MCC Cost Audit 2020-Curren'!$D:$D,'TB Type Margin Analysis'!D$3)</f>
        <v>300853.23000000004</v>
      </c>
      <c r="E23" s="121">
        <f>SUMIFS('TB &amp; MCC Cost Audit 2020-Curren'!$P:$P,'TB &amp; MCC Cost Audit 2020-Curren'!$C:$C,'TB Type Margin Analysis'!$B23,'TB &amp; MCC Cost Audit 2020-Curren'!$D:$D,'TB Type Margin Analysis'!E$3)</f>
        <v>165108</v>
      </c>
      <c r="F23" s="121">
        <f>SUMIFS('TB &amp; MCC Cost Audit 2020-Curren'!$P:$P,'TB &amp; MCC Cost Audit 2020-Curren'!$C:$C,'TB Type Margin Analysis'!$B23,'TB &amp; MCC Cost Audit 2020-Curren'!$D:$D,'TB Type Margin Analysis'!F$3)</f>
        <v>247939</v>
      </c>
      <c r="G23" s="121">
        <f>SUMIFS('TB &amp; MCC Cost Audit 2020-Curren'!$P:$P,'TB &amp; MCC Cost Audit 2020-Curren'!$C:$C,'TB Type Margin Analysis'!$B23,'TB &amp; MCC Cost Audit 2020-Curren'!$D:$D,'TB Type Margin Analysis'!G$3)</f>
        <v>363088</v>
      </c>
      <c r="H23" s="121">
        <f>SUMIFS('TB &amp; MCC Cost Audit 2020-Curren'!$P:$P,'TB &amp; MCC Cost Audit 2020-Curren'!$C:$C,'TB Type Margin Analysis'!$B23,'TB &amp; MCC Cost Audit 2020-Curren'!$D:$D,'TB Type Margin Analysis'!H$3)</f>
        <v>524245.37182408362</v>
      </c>
      <c r="K23" s="121">
        <f>SUMIFS('TB &amp; MCC Cost Audit 2020-Curren'!$W:$W,'TB &amp; MCC Cost Audit 2020-Curren'!$C:$C,'TB Type Margin Analysis'!$B23,'TB &amp; MCC Cost Audit 2020-Curren'!$D:$D,'TB Type Margin Analysis'!K$3)</f>
        <v>320723.05999999994</v>
      </c>
      <c r="L23" s="121">
        <f>SUMIFS('TB &amp; MCC Cost Audit 2020-Curren'!$W:$W,'TB &amp; MCC Cost Audit 2020-Curren'!$C:$C,'TB Type Margin Analysis'!$B23,'TB &amp; MCC Cost Audit 2020-Curren'!$D:$D,'TB Type Margin Analysis'!L$3)</f>
        <v>160597.29999999999</v>
      </c>
      <c r="M23" s="121">
        <f>SUMIFS('TB &amp; MCC Cost Audit 2020-Curren'!$W:$W,'TB &amp; MCC Cost Audit 2020-Curren'!$C:$C,'TB Type Margin Analysis'!$B23,'TB &amp; MCC Cost Audit 2020-Curren'!$D:$D,'TB Type Margin Analysis'!M$3)</f>
        <v>77872.01999999999</v>
      </c>
      <c r="N23" s="121">
        <f>SUMIFS('TB &amp; MCC Cost Audit 2020-Curren'!$W:$W,'TB &amp; MCC Cost Audit 2020-Curren'!$C:$C,'TB Type Margin Analysis'!$B23,'TB &amp; MCC Cost Audit 2020-Curren'!$D:$D,'TB Type Margin Analysis'!N$3)</f>
        <v>118673.09</v>
      </c>
      <c r="O23" s="121">
        <f>SUMIFS('TB &amp; MCC Cost Audit 2020-Curren'!$W:$W,'TB &amp; MCC Cost Audit 2020-Curren'!$C:$C,'TB Type Margin Analysis'!$B23,'TB &amp; MCC Cost Audit 2020-Curren'!$D:$D,'TB Type Margin Analysis'!O$3)</f>
        <v>133149.48000000004</v>
      </c>
      <c r="P23" s="121">
        <f>SUMIFS('TB &amp; MCC Cost Audit 2020-Curren'!$W:$W,'TB &amp; MCC Cost Audit 2020-Curren'!$C:$C,'TB Type Margin Analysis'!$B23,'TB &amp; MCC Cost Audit 2020-Curren'!$D:$D,'TB Type Margin Analysis'!P$3)</f>
        <v>197694.61</v>
      </c>
      <c r="S23" s="119">
        <f t="shared" si="10"/>
        <v>0.34115916425465143</v>
      </c>
      <c r="T23" s="119">
        <f t="shared" si="11"/>
        <v>0.46619386469608465</v>
      </c>
      <c r="U23" s="119">
        <f t="shared" si="12"/>
        <v>0.52835707536884957</v>
      </c>
      <c r="V23" s="119">
        <f t="shared" si="13"/>
        <v>0.52136174623596931</v>
      </c>
      <c r="W23" s="119">
        <f t="shared" si="14"/>
        <v>0.63328592517516402</v>
      </c>
      <c r="X23" s="119">
        <f t="shared" si="15"/>
        <v>0.62289679484983873</v>
      </c>
    </row>
    <row r="24" spans="2:24" x14ac:dyDescent="0.15">
      <c r="B24" s="54" t="s">
        <v>279</v>
      </c>
      <c r="C24" s="121">
        <f>SUMIFS('TB &amp; MCC Cost Audit 2020-Curren'!$P:$P,'TB &amp; MCC Cost Audit 2020-Curren'!$C:$C,'TB Type Margin Analysis'!$B24,'TB &amp; MCC Cost Audit 2020-Curren'!$D:$D,'TB Type Margin Analysis'!C$3)</f>
        <v>0</v>
      </c>
      <c r="D24" s="121">
        <f>SUMIFS('TB &amp; MCC Cost Audit 2020-Curren'!$P:$P,'TB &amp; MCC Cost Audit 2020-Curren'!$C:$C,'TB Type Margin Analysis'!$B24,'TB &amp; MCC Cost Audit 2020-Curren'!$D:$D,'TB Type Margin Analysis'!D$3)</f>
        <v>15680</v>
      </c>
      <c r="E24" s="121">
        <f>SUMIFS('TB &amp; MCC Cost Audit 2020-Curren'!$P:$P,'TB &amp; MCC Cost Audit 2020-Curren'!$C:$C,'TB Type Margin Analysis'!$B24,'TB &amp; MCC Cost Audit 2020-Curren'!$D:$D,'TB Type Margin Analysis'!E$3)</f>
        <v>105858.99999999999</v>
      </c>
      <c r="F24" s="121">
        <f>SUMIFS('TB &amp; MCC Cost Audit 2020-Curren'!$P:$P,'TB &amp; MCC Cost Audit 2020-Curren'!$C:$C,'TB Type Margin Analysis'!$B24,'TB &amp; MCC Cost Audit 2020-Curren'!$D:$D,'TB Type Margin Analysis'!F$3)</f>
        <v>21850</v>
      </c>
      <c r="G24" s="121">
        <f>SUMIFS('TB &amp; MCC Cost Audit 2020-Curren'!$P:$P,'TB &amp; MCC Cost Audit 2020-Curren'!$C:$C,'TB Type Margin Analysis'!$B24,'TB &amp; MCC Cost Audit 2020-Curren'!$D:$D,'TB Type Margin Analysis'!G$3)</f>
        <v>73831.95</v>
      </c>
      <c r="H24" s="121">
        <f>SUMIFS('TB &amp; MCC Cost Audit 2020-Curren'!$P:$P,'TB &amp; MCC Cost Audit 2020-Curren'!$C:$C,'TB Type Margin Analysis'!$B24,'TB &amp; MCC Cost Audit 2020-Curren'!$D:$D,'TB Type Margin Analysis'!H$3)</f>
        <v>73140</v>
      </c>
      <c r="K24" s="121">
        <f>SUMIFS('TB &amp; MCC Cost Audit 2020-Curren'!$W:$W,'TB &amp; MCC Cost Audit 2020-Curren'!$C:$C,'TB Type Margin Analysis'!$B24,'TB &amp; MCC Cost Audit 2020-Curren'!$D:$D,'TB Type Margin Analysis'!K$3)</f>
        <v>0</v>
      </c>
      <c r="L24" s="121">
        <f>SUMIFS('TB &amp; MCC Cost Audit 2020-Curren'!$W:$W,'TB &amp; MCC Cost Audit 2020-Curren'!$C:$C,'TB Type Margin Analysis'!$B24,'TB &amp; MCC Cost Audit 2020-Curren'!$D:$D,'TB Type Margin Analysis'!L$3)</f>
        <v>11918.28</v>
      </c>
      <c r="M24" s="121">
        <f>SUMIFS('TB &amp; MCC Cost Audit 2020-Curren'!$W:$W,'TB &amp; MCC Cost Audit 2020-Curren'!$C:$C,'TB Type Margin Analysis'!$B24,'TB &amp; MCC Cost Audit 2020-Curren'!$D:$D,'TB Type Margin Analysis'!M$3)</f>
        <v>50364.319999999992</v>
      </c>
      <c r="N24" s="121">
        <f>SUMIFS('TB &amp; MCC Cost Audit 2020-Curren'!$W:$W,'TB &amp; MCC Cost Audit 2020-Curren'!$C:$C,'TB Type Margin Analysis'!$B24,'TB &amp; MCC Cost Audit 2020-Curren'!$D:$D,'TB Type Margin Analysis'!N$3)</f>
        <v>6128.96</v>
      </c>
      <c r="O24" s="121">
        <f>SUMIFS('TB &amp; MCC Cost Audit 2020-Curren'!$W:$W,'TB &amp; MCC Cost Audit 2020-Curren'!$C:$C,'TB Type Margin Analysis'!$B24,'TB &amp; MCC Cost Audit 2020-Curren'!$D:$D,'TB Type Margin Analysis'!O$3)</f>
        <v>31740.94</v>
      </c>
      <c r="P24" s="121">
        <f>SUMIFS('TB &amp; MCC Cost Audit 2020-Curren'!$W:$W,'TB &amp; MCC Cost Audit 2020-Curren'!$C:$C,'TB Type Margin Analysis'!$B24,'TB &amp; MCC Cost Audit 2020-Curren'!$D:$D,'TB Type Margin Analysis'!P$3)</f>
        <v>25155.96</v>
      </c>
      <c r="S24" s="119" t="str">
        <f t="shared" si="10"/>
        <v xml:space="preserve"> - </v>
      </c>
      <c r="T24" s="119">
        <f t="shared" si="11"/>
        <v>0.23990561224489793</v>
      </c>
      <c r="U24" s="119">
        <f t="shared" si="12"/>
        <v>0.52423204451203964</v>
      </c>
      <c r="V24" s="119">
        <f t="shared" si="13"/>
        <v>0.71949839816933647</v>
      </c>
      <c r="W24" s="119">
        <f t="shared" si="14"/>
        <v>0.57009208073198658</v>
      </c>
      <c r="X24" s="119">
        <f t="shared" si="15"/>
        <v>0.65605742411812962</v>
      </c>
    </row>
    <row r="25" spans="2:24" x14ac:dyDescent="0.15">
      <c r="B25" s="54" t="s">
        <v>799</v>
      </c>
      <c r="C25" s="121">
        <f>SUMIFS('TB &amp; MCC Cost Audit 2020-Curren'!$P:$P,'TB &amp; MCC Cost Audit 2020-Curren'!$C:$C,'TB Type Margin Analysis'!$B25,'TB &amp; MCC Cost Audit 2020-Curren'!$D:$D,'TB Type Margin Analysis'!C$3)</f>
        <v>0</v>
      </c>
      <c r="D25" s="121">
        <f>SUMIFS('TB &amp; MCC Cost Audit 2020-Curren'!$P:$P,'TB &amp; MCC Cost Audit 2020-Curren'!$C:$C,'TB Type Margin Analysis'!$B25,'TB &amp; MCC Cost Audit 2020-Curren'!$D:$D,'TB Type Margin Analysis'!D$3)</f>
        <v>0</v>
      </c>
      <c r="E25" s="121">
        <f>SUMIFS('TB &amp; MCC Cost Audit 2020-Curren'!$P:$P,'TB &amp; MCC Cost Audit 2020-Curren'!$C:$C,'TB Type Margin Analysis'!$B25,'TB &amp; MCC Cost Audit 2020-Curren'!$D:$D,'TB Type Margin Analysis'!E$3)</f>
        <v>0</v>
      </c>
      <c r="F25" s="121">
        <f>SUMIFS('TB &amp; MCC Cost Audit 2020-Curren'!$P:$P,'TB &amp; MCC Cost Audit 2020-Curren'!$C:$C,'TB Type Margin Analysis'!$B25,'TB &amp; MCC Cost Audit 2020-Curren'!$D:$D,'TB Type Margin Analysis'!F$3)</f>
        <v>0</v>
      </c>
      <c r="G25" s="121">
        <f>SUMIFS('TB &amp; MCC Cost Audit 2020-Curren'!$P:$P,'TB &amp; MCC Cost Audit 2020-Curren'!$C:$C,'TB Type Margin Analysis'!$B25,'TB &amp; MCC Cost Audit 2020-Curren'!$D:$D,'TB Type Margin Analysis'!G$3)</f>
        <v>9250</v>
      </c>
      <c r="H25" s="121">
        <f>SUMIFS('TB &amp; MCC Cost Audit 2020-Curren'!$P:$P,'TB &amp; MCC Cost Audit 2020-Curren'!$C:$C,'TB Type Margin Analysis'!$B25,'TB &amp; MCC Cost Audit 2020-Curren'!$D:$D,'TB Type Margin Analysis'!H$3)</f>
        <v>0</v>
      </c>
      <c r="K25" s="121">
        <f>SUMIFS('TB &amp; MCC Cost Audit 2020-Curren'!$W:$W,'TB &amp; MCC Cost Audit 2020-Curren'!$C:$C,'TB Type Margin Analysis'!$B25,'TB &amp; MCC Cost Audit 2020-Curren'!$D:$D,'TB Type Margin Analysis'!K$3)</f>
        <v>0</v>
      </c>
      <c r="L25" s="121">
        <f>SUMIFS('TB &amp; MCC Cost Audit 2020-Curren'!$W:$W,'TB &amp; MCC Cost Audit 2020-Curren'!$C:$C,'TB Type Margin Analysis'!$B25,'TB &amp; MCC Cost Audit 2020-Curren'!$D:$D,'TB Type Margin Analysis'!L$3)</f>
        <v>0</v>
      </c>
      <c r="M25" s="121">
        <f>SUMIFS('TB &amp; MCC Cost Audit 2020-Curren'!$W:$W,'TB &amp; MCC Cost Audit 2020-Curren'!$C:$C,'TB Type Margin Analysis'!$B25,'TB &amp; MCC Cost Audit 2020-Curren'!$D:$D,'TB Type Margin Analysis'!M$3)</f>
        <v>0</v>
      </c>
      <c r="N25" s="121">
        <f>SUMIFS('TB &amp; MCC Cost Audit 2020-Curren'!$W:$W,'TB &amp; MCC Cost Audit 2020-Curren'!$C:$C,'TB Type Margin Analysis'!$B25,'TB &amp; MCC Cost Audit 2020-Curren'!$D:$D,'TB Type Margin Analysis'!N$3)</f>
        <v>0</v>
      </c>
      <c r="O25" s="121">
        <f>SUMIFS('TB &amp; MCC Cost Audit 2020-Curren'!$W:$W,'TB &amp; MCC Cost Audit 2020-Curren'!$C:$C,'TB Type Margin Analysis'!$B25,'TB &amp; MCC Cost Audit 2020-Curren'!$D:$D,'TB Type Margin Analysis'!O$3)</f>
        <v>1731.21</v>
      </c>
      <c r="P25" s="121">
        <f>SUMIFS('TB &amp; MCC Cost Audit 2020-Curren'!$W:$W,'TB &amp; MCC Cost Audit 2020-Curren'!$C:$C,'TB Type Margin Analysis'!$B25,'TB &amp; MCC Cost Audit 2020-Curren'!$D:$D,'TB Type Margin Analysis'!P$3)</f>
        <v>0</v>
      </c>
      <c r="S25" s="119" t="str">
        <f t="shared" si="10"/>
        <v xml:space="preserve"> - </v>
      </c>
      <c r="T25" s="119" t="str">
        <f t="shared" si="11"/>
        <v xml:space="preserve"> - </v>
      </c>
      <c r="U25" s="119" t="str">
        <f t="shared" si="12"/>
        <v xml:space="preserve"> - </v>
      </c>
      <c r="V25" s="119" t="str">
        <f t="shared" si="13"/>
        <v xml:space="preserve"> - </v>
      </c>
      <c r="W25" s="119">
        <f t="shared" si="14"/>
        <v>0.81284216216216221</v>
      </c>
      <c r="X25" s="119" t="str">
        <f t="shared" si="15"/>
        <v xml:space="preserve"> - </v>
      </c>
    </row>
  </sheetData>
  <conditionalFormatting sqref="S2:X2">
    <cfRule type="cellIs" dxfId="27" priority="1" operator="equal">
      <formula>" - "</formula>
    </cfRule>
    <cfRule type="cellIs" dxfId="26" priority="2" operator="lessThan">
      <formula>0.65</formula>
    </cfRule>
    <cfRule type="cellIs" dxfId="25" priority="3" operator="greaterThan">
      <formula>0.65</formula>
    </cfRule>
  </conditionalFormatting>
  <conditionalFormatting sqref="S4:X25">
    <cfRule type="cellIs" dxfId="24" priority="10" operator="equal">
      <formula>" - "</formula>
    </cfRule>
    <cfRule type="cellIs" dxfId="23" priority="14" operator="lessThanOrEqual">
      <formula>0.64</formula>
    </cfRule>
    <cfRule type="cellIs" dxfId="22" priority="15" operator="greaterThan">
      <formula>0.64</formula>
    </cfRule>
  </conditionalFormatting>
  <conditionalFormatting sqref="S10:X10">
    <cfRule type="cellIs" dxfId="21" priority="4" operator="lessThan">
      <formula>0.5</formula>
    </cfRule>
    <cfRule type="cellIs" dxfId="20" priority="5" operator="greaterThan">
      <formula>0.5</formula>
    </cfRule>
  </conditionalFormatting>
  <conditionalFormatting sqref="S17:X17">
    <cfRule type="cellIs" dxfId="19" priority="8" operator="lessThan">
      <formula>0.5</formula>
    </cfRule>
    <cfRule type="cellIs" dxfId="18" priority="9" operator="greaterThan">
      <formula>0.5</formula>
    </cfRule>
  </conditionalFormatting>
  <conditionalFormatting sqref="S22:X24">
    <cfRule type="cellIs" dxfId="17" priority="6" operator="lessThan">
      <formula>0.5</formula>
    </cfRule>
    <cfRule type="cellIs" dxfId="16" priority="7" operator="greaterThan">
      <formula>0.5</formula>
    </cfRule>
  </conditionalFormatting>
  <pageMargins left="0.7" right="0.7" top="0.75" bottom="0.75" header="0.3" footer="0.3"/>
  <ignoredErrors>
    <ignoredError sqref="U3:X3" formula="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933A4-A910-4309-9948-27F9B386D318}">
  <sheetPr>
    <tabColor theme="3" tint="0.39997558519241921"/>
  </sheetPr>
  <dimension ref="A6:Q103"/>
  <sheetViews>
    <sheetView workbookViewId="0">
      <pane xSplit="1" ySplit="7" topLeftCell="B8" activePane="bottomRight" state="frozen"/>
      <selection pane="topRight" activeCell="B1" sqref="B1"/>
      <selection pane="bottomLeft" activeCell="A8" sqref="A8"/>
      <selection pane="bottomRight" activeCell="H44" sqref="H44"/>
    </sheetView>
  </sheetViews>
  <sheetFormatPr baseColWidth="10" defaultColWidth="9.1640625" defaultRowHeight="11" x14ac:dyDescent="0.15"/>
  <cols>
    <col min="1" max="1" width="18.83203125" style="110" bestFit="1" customWidth="1"/>
    <col min="2" max="2" width="43.1640625" style="110" customWidth="1"/>
    <col min="3" max="3" width="11.1640625" style="110" bestFit="1" customWidth="1"/>
    <col min="4" max="5" width="9.83203125" style="110" bestFit="1" customWidth="1"/>
    <col min="6" max="6" width="1.1640625" style="143" customWidth="1"/>
    <col min="7" max="7" width="11.83203125" style="110" bestFit="1" customWidth="1"/>
    <col min="8" max="8" width="43.5" style="110" customWidth="1"/>
    <col min="9" max="10" width="11.1640625" style="110" bestFit="1" customWidth="1"/>
    <col min="11" max="11" width="11" style="110" customWidth="1"/>
    <col min="12" max="12" width="1.1640625" style="143" customWidth="1"/>
    <col min="13" max="13" width="11.83203125" style="110" bestFit="1" customWidth="1"/>
    <col min="14" max="14" width="43.5" style="110" customWidth="1"/>
    <col min="15" max="16" width="11.1640625" style="110" bestFit="1" customWidth="1"/>
    <col min="17" max="18" width="10.5" style="110" bestFit="1" customWidth="1"/>
    <col min="19" max="16384" width="9.1640625" style="110"/>
  </cols>
  <sheetData>
    <row r="6" spans="1:17" x14ac:dyDescent="0.15">
      <c r="A6" s="306" t="s">
        <v>3</v>
      </c>
      <c r="B6" s="54"/>
      <c r="C6" s="309" t="s">
        <v>1000</v>
      </c>
      <c r="D6" s="309" t="s">
        <v>1001</v>
      </c>
      <c r="G6" s="306" t="s">
        <v>3</v>
      </c>
      <c r="I6" s="309" t="s">
        <v>1000</v>
      </c>
      <c r="J6" s="309" t="s">
        <v>1001</v>
      </c>
      <c r="M6" s="306" t="s">
        <v>3</v>
      </c>
      <c r="O6" s="309" t="s">
        <v>1000</v>
      </c>
      <c r="P6" s="309" t="s">
        <v>1001</v>
      </c>
    </row>
    <row r="7" spans="1:17" x14ac:dyDescent="0.15">
      <c r="A7" s="298">
        <v>2022</v>
      </c>
      <c r="B7" s="1" t="s">
        <v>175</v>
      </c>
      <c r="C7" s="61">
        <f>SUM(C8:C999)</f>
        <v>867072.67600000009</v>
      </c>
      <c r="D7" s="61">
        <f>SUM(D8:D999)</f>
        <v>856143.07000000007</v>
      </c>
      <c r="E7" s="297">
        <f>C7-D7</f>
        <v>10929.606000000029</v>
      </c>
      <c r="G7" s="298">
        <v>2023</v>
      </c>
      <c r="H7" s="1" t="s">
        <v>37</v>
      </c>
      <c r="I7" s="61">
        <f>SUM(I8:I999)</f>
        <v>2902671</v>
      </c>
      <c r="J7" s="61">
        <f>SUM(J8:J999)</f>
        <v>2902671</v>
      </c>
      <c r="K7" s="297">
        <f>I7-J7</f>
        <v>0</v>
      </c>
      <c r="M7" s="298">
        <v>2024</v>
      </c>
      <c r="N7" s="1" t="s">
        <v>175</v>
      </c>
      <c r="O7" s="61">
        <f>SUM(O8:O999)</f>
        <v>1456166.3333333333</v>
      </c>
      <c r="P7" s="61">
        <f>SUM(P8:P999)</f>
        <v>1443409.08</v>
      </c>
      <c r="Q7" s="297">
        <f>P7-O7</f>
        <v>-12757.253333333181</v>
      </c>
    </row>
    <row r="8" spans="1:17" x14ac:dyDescent="0.15">
      <c r="A8" s="108" t="s">
        <v>195</v>
      </c>
      <c r="B8" s="108" t="s">
        <v>1002</v>
      </c>
      <c r="C8" s="121">
        <f>SUMIFS('TB &amp; MCC Cost Audit 2020-Curren'!$P:$P,'TB &amp; MCC Cost Audit 2020-Curren'!$A:$A,'TB All Check'!$A8,'TB &amp; MCC Cost Audit 2020-Curren'!$C:$C,'TB All Check'!$B$7,'TB &amp; MCC Cost Audit 2020-Curren'!$D:$D,'TB All Check'!$A$7)</f>
        <v>31320</v>
      </c>
      <c r="D8" s="121">
        <f>SUMIFS('2022 Partial Rev - NS'!$N:$N,'2022 Partial Rev - NS'!$G:$G,'TB All Check'!$B8,'2022 Partial Rev - NS'!$P:$P,'TB All Check'!$B$7)</f>
        <v>31320</v>
      </c>
      <c r="E8" s="296">
        <f>C8-D8</f>
        <v>0</v>
      </c>
      <c r="G8" s="110" t="s">
        <v>195</v>
      </c>
      <c r="H8" s="110" t="s">
        <v>1002</v>
      </c>
      <c r="I8" s="121">
        <f>SUMIFS('TB &amp; MCC Cost Audit 2020-Curren'!$P:$P,'TB &amp; MCC Cost Audit 2020-Curren'!$A:$A,'TB All Check'!$A8,'TB &amp; MCC Cost Audit 2020-Curren'!$C:$C,'TB All Check'!$H$7,'TB &amp; MCC Cost Audit 2020-Curren'!$D:$D,'TB All Check'!$G$7)</f>
        <v>0</v>
      </c>
      <c r="J8" s="121">
        <f>SUMIFS('2023 Rev - NS'!$N:$N,'2023 Rev - NS'!$G:$G,'TB All Check'!$H8,'2023 Rev - NS'!$P:$P,'TB All Check'!$H$7)</f>
        <v>0</v>
      </c>
      <c r="K8" s="296">
        <f>I8-J8</f>
        <v>0</v>
      </c>
      <c r="M8" s="110" t="s">
        <v>195</v>
      </c>
      <c r="N8" s="110" t="s">
        <v>1002</v>
      </c>
      <c r="O8" s="121">
        <f>SUMIFS('TB &amp; MCC Cost Audit 2020-Curren'!$P:$P,'TB &amp; MCC Cost Audit 2020-Curren'!$A:$A,'TB All Check'!$M8,'TB &amp; MCC Cost Audit 2020-Curren'!$C:$C,'TB All Check'!$N$7,'TB &amp; MCC Cost Audit 2020-Curren'!$D:$D,'TB All Check'!$M$7)</f>
        <v>32584</v>
      </c>
      <c r="P8" s="121">
        <f>SUMIFS('2024 Rev - NS'!$N:$N,'2024 Rev - NS'!$G:$G,'TB All Check'!$N8,'2024 Rev - NS'!$P:$P,'TB All Check'!$N$7)</f>
        <v>32584</v>
      </c>
      <c r="Q8" s="296">
        <f>P8-O8</f>
        <v>0</v>
      </c>
    </row>
    <row r="9" spans="1:17" x14ac:dyDescent="0.15">
      <c r="A9" s="110" t="s">
        <v>798</v>
      </c>
      <c r="B9" s="110" t="s">
        <v>1003</v>
      </c>
      <c r="C9" s="121">
        <f>SUMIFS('TB &amp; MCC Cost Audit 2020-Curren'!$P:$P,'TB &amp; MCC Cost Audit 2020-Curren'!$A:$A,'TB All Check'!$A9,'TB &amp; MCC Cost Audit 2020-Curren'!$C:$C,'TB All Check'!$B$7,'TB &amp; MCC Cost Audit 2020-Curren'!$D:$D,'TB All Check'!$A$7)</f>
        <v>0</v>
      </c>
      <c r="D9" s="121">
        <f>SUMIFS('2022 Partial Rev - NS'!$N:$N,'2022 Partial Rev - NS'!$G:$G,'TB All Check'!$B9,'2022 Partial Rev - NS'!$P:$P,'TB All Check'!$B$7)</f>
        <v>0</v>
      </c>
      <c r="E9" s="296">
        <f t="shared" ref="E9:E65" si="0">C9-D9</f>
        <v>0</v>
      </c>
      <c r="G9" s="110" t="s">
        <v>798</v>
      </c>
      <c r="H9" s="110" t="s">
        <v>1003</v>
      </c>
      <c r="I9" s="121">
        <f>SUMIFS('TB &amp; MCC Cost Audit 2020-Curren'!$P:$P,'TB &amp; MCC Cost Audit 2020-Curren'!$A:$A,'TB All Check'!$A9,'TB &amp; MCC Cost Audit 2020-Curren'!$C:$C,'TB All Check'!$H$7,'TB &amp; MCC Cost Audit 2020-Curren'!$D:$D,'TB All Check'!$G$7)</f>
        <v>0</v>
      </c>
      <c r="J9" s="121">
        <f>SUMIFS('2023 Rev - NS'!$N:$N,'2023 Rev - NS'!$G:$G,'TB All Check'!$H9,'2023 Rev - NS'!$P:$P,'TB All Check'!$H$7)</f>
        <v>0</v>
      </c>
      <c r="K9" s="296">
        <f t="shared" ref="K9:K65" si="1">I9-J9</f>
        <v>0</v>
      </c>
      <c r="M9" s="110" t="s">
        <v>798</v>
      </c>
      <c r="N9" s="110" t="s">
        <v>1003</v>
      </c>
      <c r="O9" s="121">
        <f>SUMIFS('TB &amp; MCC Cost Audit 2020-Curren'!$P:$P,'TB &amp; MCC Cost Audit 2020-Curren'!$A:$A,'TB All Check'!$M9,'TB &amp; MCC Cost Audit 2020-Curren'!$C:$C,'TB All Check'!$N$7,'TB &amp; MCC Cost Audit 2020-Curren'!$D:$D,'TB All Check'!$M$7)</f>
        <v>0</v>
      </c>
      <c r="P9" s="121">
        <f>SUMIFS('2024 Rev - NS'!$N:$N,'2024 Rev - NS'!$G:$G,'TB All Check'!$N9,'2024 Rev - NS'!$P:$P,'TB All Check'!$N$7)</f>
        <v>0</v>
      </c>
      <c r="Q9" s="296">
        <f t="shared" ref="Q9:Q65" si="2">P9-O9</f>
        <v>0</v>
      </c>
    </row>
    <row r="10" spans="1:17" x14ac:dyDescent="0.15">
      <c r="A10" s="110" t="s">
        <v>409</v>
      </c>
      <c r="B10" s="110" t="s">
        <v>1004</v>
      </c>
      <c r="C10" s="121">
        <f>SUMIFS('TB &amp; MCC Cost Audit 2020-Curren'!$P:$P,'TB &amp; MCC Cost Audit 2020-Curren'!$A:$A,'TB All Check'!$A10,'TB &amp; MCC Cost Audit 2020-Curren'!$C:$C,'TB All Check'!$B$7,'TB &amp; MCC Cost Audit 2020-Curren'!$D:$D,'TB All Check'!$A$7)</f>
        <v>0</v>
      </c>
      <c r="D10" s="121">
        <f>SUMIFS('2022 Partial Rev - NS'!$N:$N,'2022 Partial Rev - NS'!$G:$G,'TB All Check'!$B10,'2022 Partial Rev - NS'!$P:$P,'TB All Check'!$B$7)</f>
        <v>0</v>
      </c>
      <c r="E10" s="296">
        <f t="shared" si="0"/>
        <v>0</v>
      </c>
      <c r="G10" s="110" t="s">
        <v>409</v>
      </c>
      <c r="H10" s="110" t="s">
        <v>1004</v>
      </c>
      <c r="I10" s="121">
        <f>SUMIFS('TB &amp; MCC Cost Audit 2020-Curren'!$P:$P,'TB &amp; MCC Cost Audit 2020-Curren'!$A:$A,'TB All Check'!$A10,'TB &amp; MCC Cost Audit 2020-Curren'!$C:$C,'TB All Check'!$H$7,'TB &amp; MCC Cost Audit 2020-Curren'!$D:$D,'TB All Check'!$G$7)</f>
        <v>0</v>
      </c>
      <c r="J10" s="121">
        <f>SUMIFS('2023 Rev - NS'!$N:$N,'2023 Rev - NS'!$G:$G,'TB All Check'!$H10,'2023 Rev - NS'!$P:$P,'TB All Check'!$H$7)</f>
        <v>0</v>
      </c>
      <c r="K10" s="296">
        <f t="shared" si="1"/>
        <v>0</v>
      </c>
      <c r="M10" s="110" t="s">
        <v>409</v>
      </c>
      <c r="N10" s="110" t="s">
        <v>1004</v>
      </c>
      <c r="O10" s="121">
        <f>SUMIFS('TB &amp; MCC Cost Audit 2020-Curren'!$P:$P,'TB &amp; MCC Cost Audit 2020-Curren'!$A:$A,'TB All Check'!$M10,'TB &amp; MCC Cost Audit 2020-Curren'!$C:$C,'TB All Check'!$N$7,'TB &amp; MCC Cost Audit 2020-Curren'!$D:$D,'TB All Check'!$M$7)</f>
        <v>9680</v>
      </c>
      <c r="P10" s="121">
        <f>SUMIFS('2024 Rev - NS'!$N:$N,'2024 Rev - NS'!$G:$G,'TB All Check'!$N10,'2024 Rev - NS'!$P:$P,'TB All Check'!$N$7)</f>
        <v>9680</v>
      </c>
      <c r="Q10" s="296">
        <f t="shared" si="2"/>
        <v>0</v>
      </c>
    </row>
    <row r="11" spans="1:17" x14ac:dyDescent="0.15">
      <c r="A11" s="110" t="s">
        <v>147</v>
      </c>
      <c r="B11" s="110" t="s">
        <v>1005</v>
      </c>
      <c r="C11" s="121">
        <f>SUMIFS('TB &amp; MCC Cost Audit 2020-Curren'!$P:$P,'TB &amp; MCC Cost Audit 2020-Curren'!$A:$A,'TB All Check'!$A11,'TB &amp; MCC Cost Audit 2020-Curren'!$C:$C,'TB All Check'!$B$7,'TB &amp; MCC Cost Audit 2020-Curren'!$D:$D,'TB All Check'!$A$7)</f>
        <v>9353</v>
      </c>
      <c r="D11" s="313">
        <v>9353</v>
      </c>
      <c r="E11" s="296">
        <f t="shared" si="0"/>
        <v>0</v>
      </c>
      <c r="G11" s="110" t="s">
        <v>147</v>
      </c>
      <c r="H11" s="110" t="s">
        <v>1005</v>
      </c>
      <c r="I11" s="121">
        <f>SUMIFS('TB &amp; MCC Cost Audit 2020-Curren'!$P:$P,'TB &amp; MCC Cost Audit 2020-Curren'!$A:$A,'TB All Check'!$A11,'TB &amp; MCC Cost Audit 2020-Curren'!$C:$C,'TB All Check'!$H$7,'TB &amp; MCC Cost Audit 2020-Curren'!$D:$D,'TB All Check'!$G$7)</f>
        <v>0</v>
      </c>
      <c r="J11" s="121">
        <f>SUMIFS('2023 Rev - NS'!$N:$N,'2023 Rev - NS'!$G:$G,'TB All Check'!$H11,'2023 Rev - NS'!$P:$P,'TB All Check'!$H$7)</f>
        <v>0</v>
      </c>
      <c r="K11" s="296">
        <f t="shared" si="1"/>
        <v>0</v>
      </c>
      <c r="M11" s="110" t="s">
        <v>147</v>
      </c>
      <c r="N11" s="110" t="s">
        <v>1005</v>
      </c>
      <c r="O11" s="121">
        <f>SUMIFS('TB &amp; MCC Cost Audit 2020-Curren'!$P:$P,'TB &amp; MCC Cost Audit 2020-Curren'!$A:$A,'TB All Check'!$M11,'TB &amp; MCC Cost Audit 2020-Curren'!$C:$C,'TB All Check'!$N$7,'TB &amp; MCC Cost Audit 2020-Curren'!$D:$D,'TB All Check'!$M$7)</f>
        <v>9353</v>
      </c>
      <c r="P11" s="121">
        <f>SUMIFS('2024 Rev - NS'!$N:$N,'2024 Rev - NS'!$G:$G,'TB All Check'!$N11,'2024 Rev - NS'!$P:$P,'TB All Check'!$N$7)</f>
        <v>9353</v>
      </c>
      <c r="Q11" s="296">
        <f t="shared" si="2"/>
        <v>0</v>
      </c>
    </row>
    <row r="12" spans="1:17" x14ac:dyDescent="0.15">
      <c r="A12" s="110" t="s">
        <v>210</v>
      </c>
      <c r="B12" s="110" t="s">
        <v>1006</v>
      </c>
      <c r="C12" s="121">
        <f>SUMIFS('TB &amp; MCC Cost Audit 2020-Curren'!$P:$P,'TB &amp; MCC Cost Audit 2020-Curren'!$A:$A,'TB All Check'!$A12,'TB &amp; MCC Cost Audit 2020-Curren'!$C:$C,'TB All Check'!$B$7,'TB &amp; MCC Cost Audit 2020-Curren'!$D:$D,'TB All Check'!$A$7)</f>
        <v>9116</v>
      </c>
      <c r="D12" s="121">
        <f>SUMIFS('2022 Partial Rev - NS'!$N:$N,'2022 Partial Rev - NS'!$G:$G,'TB All Check'!$B12,'2022 Partial Rev - NS'!$P:$P,'TB All Check'!$B$7)</f>
        <v>9116</v>
      </c>
      <c r="E12" s="296">
        <f t="shared" si="0"/>
        <v>0</v>
      </c>
      <c r="G12" s="110" t="s">
        <v>210</v>
      </c>
      <c r="H12" s="110" t="s">
        <v>1006</v>
      </c>
      <c r="I12" s="121">
        <f>SUMIFS('TB &amp; MCC Cost Audit 2020-Curren'!$P:$P,'TB &amp; MCC Cost Audit 2020-Curren'!$A:$A,'TB All Check'!$A12,'TB &amp; MCC Cost Audit 2020-Curren'!$C:$C,'TB All Check'!$H$7,'TB &amp; MCC Cost Audit 2020-Curren'!$D:$D,'TB All Check'!$G$7)</f>
        <v>0</v>
      </c>
      <c r="J12" s="121">
        <f>SUMIFS('2023 Rev - NS'!$N:$N,'2023 Rev - NS'!$G:$G,'TB All Check'!$H12,'2023 Rev - NS'!$P:$P,'TB All Check'!$H$7)</f>
        <v>0</v>
      </c>
      <c r="K12" s="296">
        <f t="shared" si="1"/>
        <v>0</v>
      </c>
      <c r="M12" s="110" t="s">
        <v>210</v>
      </c>
      <c r="N12" s="110" t="s">
        <v>1006</v>
      </c>
      <c r="O12" s="121">
        <f>SUMIFS('TB &amp; MCC Cost Audit 2020-Curren'!$P:$P,'TB &amp; MCC Cost Audit 2020-Curren'!$A:$A,'TB All Check'!$M12,'TB &amp; MCC Cost Audit 2020-Curren'!$C:$C,'TB All Check'!$N$7,'TB &amp; MCC Cost Audit 2020-Curren'!$D:$D,'TB All Check'!$M$7)</f>
        <v>12084</v>
      </c>
      <c r="P12" s="121">
        <f>SUMIFS('2024 Rev - NS'!$N:$N,'2024 Rev - NS'!$G:$G,'TB All Check'!$N12,'2024 Rev - NS'!$P:$P,'TB All Check'!$N$7)</f>
        <v>12084</v>
      </c>
      <c r="Q12" s="296">
        <f t="shared" si="2"/>
        <v>0</v>
      </c>
    </row>
    <row r="13" spans="1:17" x14ac:dyDescent="0.15">
      <c r="A13" s="110" t="s">
        <v>199</v>
      </c>
      <c r="B13" s="110" t="s">
        <v>1007</v>
      </c>
      <c r="C13" s="121">
        <f>SUMIFS('TB &amp; MCC Cost Audit 2020-Curren'!$P:$P,'TB &amp; MCC Cost Audit 2020-Curren'!$A:$A,'TB All Check'!$A13,'TB &amp; MCC Cost Audit 2020-Curren'!$C:$C,'TB All Check'!$B$7,'TB &amp; MCC Cost Audit 2020-Curren'!$D:$D,'TB All Check'!$A$7)</f>
        <v>0</v>
      </c>
      <c r="D13" s="121">
        <f>SUMIFS('2022 Partial Rev - NS'!$N:$N,'2022 Partial Rev - NS'!$G:$G,'TB All Check'!$B13,'2022 Partial Rev - NS'!$P:$P,'TB All Check'!$B$7)</f>
        <v>0</v>
      </c>
      <c r="E13" s="296">
        <f t="shared" si="0"/>
        <v>0</v>
      </c>
      <c r="G13" s="110" t="s">
        <v>199</v>
      </c>
      <c r="H13" s="110" t="s">
        <v>1007</v>
      </c>
      <c r="I13" s="121">
        <f>SUMIFS('TB &amp; MCC Cost Audit 2020-Curren'!$P:$P,'TB &amp; MCC Cost Audit 2020-Curren'!$A:$A,'TB All Check'!$A13,'TB &amp; MCC Cost Audit 2020-Curren'!$C:$C,'TB All Check'!$H$7,'TB &amp; MCC Cost Audit 2020-Curren'!$D:$D,'TB All Check'!$G$7)</f>
        <v>0</v>
      </c>
      <c r="J13" s="121">
        <f>SUMIFS('2023 Rev - NS'!$N:$N,'2023 Rev - NS'!$G:$G,'TB All Check'!$H13,'2023 Rev - NS'!$P:$P,'TB All Check'!$H$7)</f>
        <v>0</v>
      </c>
      <c r="K13" s="296">
        <f t="shared" si="1"/>
        <v>0</v>
      </c>
      <c r="M13" s="110" t="s">
        <v>199</v>
      </c>
      <c r="N13" s="110" t="s">
        <v>1007</v>
      </c>
      <c r="O13" s="121">
        <f>SUMIFS('TB &amp; MCC Cost Audit 2020-Curren'!$P:$P,'TB &amp; MCC Cost Audit 2020-Curren'!$A:$A,'TB All Check'!$M13,'TB &amp; MCC Cost Audit 2020-Curren'!$C:$C,'TB All Check'!$N$7,'TB &amp; MCC Cost Audit 2020-Curren'!$D:$D,'TB All Check'!$M$7)</f>
        <v>44749</v>
      </c>
      <c r="P13" s="121">
        <f>SUMIFS('2024 Rev - NS'!$N:$N,'2024 Rev - NS'!$G:$G,'TB All Check'!$N13,'2024 Rev - NS'!$P:$P,'TB All Check'!$N$7)</f>
        <v>44749</v>
      </c>
      <c r="Q13" s="296">
        <f t="shared" si="2"/>
        <v>0</v>
      </c>
    </row>
    <row r="14" spans="1:17" x14ac:dyDescent="0.15">
      <c r="A14" s="110" t="s">
        <v>91</v>
      </c>
      <c r="B14" s="110" t="s">
        <v>1008</v>
      </c>
      <c r="C14" s="121">
        <f>SUMIFS('TB &amp; MCC Cost Audit 2020-Curren'!$P:$P,'TB &amp; MCC Cost Audit 2020-Curren'!$A:$A,'TB All Check'!$A14,'TB &amp; MCC Cost Audit 2020-Curren'!$C:$C,'TB All Check'!$B$7,'TB &amp; MCC Cost Audit 2020-Curren'!$D:$D,'TB All Check'!$A$7)</f>
        <v>0</v>
      </c>
      <c r="D14" s="121">
        <f>SUMIFS('2022 Partial Rev - NS'!$N:$N,'2022 Partial Rev - NS'!$G:$G,'TB All Check'!$B14,'2022 Partial Rev - NS'!$P:$P,'TB All Check'!$B$7)</f>
        <v>0</v>
      </c>
      <c r="E14" s="296">
        <f t="shared" si="0"/>
        <v>0</v>
      </c>
      <c r="G14" s="110" t="s">
        <v>91</v>
      </c>
      <c r="H14" s="110" t="s">
        <v>1008</v>
      </c>
      <c r="I14" s="121">
        <f>SUMIFS('TB &amp; MCC Cost Audit 2020-Curren'!$P:$P,'TB &amp; MCC Cost Audit 2020-Curren'!$A:$A,'TB All Check'!$A14,'TB &amp; MCC Cost Audit 2020-Curren'!$C:$C,'TB All Check'!$H$7,'TB &amp; MCC Cost Audit 2020-Curren'!$D:$D,'TB All Check'!$G$7)</f>
        <v>0</v>
      </c>
      <c r="J14" s="121">
        <f>SUMIFS('2023 Rev - NS'!$N:$N,'2023 Rev - NS'!$G:$G,'TB All Check'!$H14,'2023 Rev - NS'!$P:$P,'TB All Check'!$H$7)</f>
        <v>0</v>
      </c>
      <c r="K14" s="296">
        <f t="shared" si="1"/>
        <v>0</v>
      </c>
      <c r="M14" s="110" t="s">
        <v>91</v>
      </c>
      <c r="N14" s="110" t="s">
        <v>1008</v>
      </c>
      <c r="O14" s="121">
        <f>SUMIFS('TB &amp; MCC Cost Audit 2020-Curren'!$P:$P,'TB &amp; MCC Cost Audit 2020-Curren'!$A:$A,'TB All Check'!$M14,'TB &amp; MCC Cost Audit 2020-Curren'!$C:$C,'TB All Check'!$N$7,'TB &amp; MCC Cost Audit 2020-Curren'!$D:$D,'TB All Check'!$M$7)</f>
        <v>0</v>
      </c>
      <c r="P14" s="121">
        <f>SUMIFS('2024 Rev - NS'!$N:$N,'2024 Rev - NS'!$G:$G,'TB All Check'!$N14,'2024 Rev - NS'!$P:$P,'TB All Check'!$N$7)</f>
        <v>0</v>
      </c>
      <c r="Q14" s="296">
        <f t="shared" si="2"/>
        <v>0</v>
      </c>
    </row>
    <row r="15" spans="1:17" x14ac:dyDescent="0.15">
      <c r="A15" s="110" t="s">
        <v>548</v>
      </c>
      <c r="B15" s="110" t="s">
        <v>1009</v>
      </c>
      <c r="C15" s="121">
        <f>SUMIFS('TB &amp; MCC Cost Audit 2020-Curren'!$P:$P,'TB &amp; MCC Cost Audit 2020-Curren'!$A:$A,'TB All Check'!$A15,'TB &amp; MCC Cost Audit 2020-Curren'!$C:$C,'TB All Check'!$B$7,'TB &amp; MCC Cost Audit 2020-Curren'!$D:$D,'TB All Check'!$A$7)</f>
        <v>0</v>
      </c>
      <c r="D15" s="121">
        <f>SUMIFS('2022 Partial Rev - NS'!$N:$N,'2022 Partial Rev - NS'!$G:$G,'TB All Check'!$B15,'2022 Partial Rev - NS'!$P:$P,'TB All Check'!$B$7)</f>
        <v>0</v>
      </c>
      <c r="E15" s="296">
        <f t="shared" si="0"/>
        <v>0</v>
      </c>
      <c r="G15" s="110" t="s">
        <v>548</v>
      </c>
      <c r="H15" s="110" t="s">
        <v>1009</v>
      </c>
      <c r="I15" s="121">
        <f>SUMIFS('TB &amp; MCC Cost Audit 2020-Curren'!$P:$P,'TB &amp; MCC Cost Audit 2020-Curren'!$A:$A,'TB All Check'!$A15,'TB &amp; MCC Cost Audit 2020-Curren'!$C:$C,'TB All Check'!$H$7,'TB &amp; MCC Cost Audit 2020-Curren'!$D:$D,'TB All Check'!$G$7)</f>
        <v>0</v>
      </c>
      <c r="J15" s="121">
        <f>SUMIFS('2023 Rev - NS'!$N:$N,'2023 Rev - NS'!$G:$G,'TB All Check'!$H15,'2023 Rev - NS'!$P:$P,'TB All Check'!$H$7)</f>
        <v>0</v>
      </c>
      <c r="K15" s="296">
        <f t="shared" si="1"/>
        <v>0</v>
      </c>
      <c r="M15" s="110" t="s">
        <v>548</v>
      </c>
      <c r="N15" s="110" t="s">
        <v>1009</v>
      </c>
      <c r="O15" s="121">
        <f>SUMIFS('TB &amp; MCC Cost Audit 2020-Curren'!$P:$P,'TB &amp; MCC Cost Audit 2020-Curren'!$A:$A,'TB All Check'!$M15,'TB &amp; MCC Cost Audit 2020-Curren'!$C:$C,'TB All Check'!$N$7,'TB &amp; MCC Cost Audit 2020-Curren'!$D:$D,'TB All Check'!$M$7)</f>
        <v>0</v>
      </c>
      <c r="P15" s="121">
        <f>SUMIFS('2024 Rev - NS'!$N:$N,'2024 Rev - NS'!$G:$G,'TB All Check'!$N15,'2024 Rev - NS'!$P:$P,'TB All Check'!$N$7)</f>
        <v>0</v>
      </c>
      <c r="Q15" s="296">
        <f t="shared" si="2"/>
        <v>0</v>
      </c>
    </row>
    <row r="16" spans="1:17" x14ac:dyDescent="0.15">
      <c r="A16" s="110" t="s">
        <v>315</v>
      </c>
      <c r="B16" s="110" t="s">
        <v>1010</v>
      </c>
      <c r="C16" s="121">
        <f>SUMIFS('TB &amp; MCC Cost Audit 2020-Curren'!$P:$P,'TB &amp; MCC Cost Audit 2020-Curren'!$A:$A,'TB All Check'!$A16,'TB &amp; MCC Cost Audit 2020-Curren'!$C:$C,'TB All Check'!$B$7,'TB &amp; MCC Cost Audit 2020-Curren'!$D:$D,'TB All Check'!$A$7)</f>
        <v>20445</v>
      </c>
      <c r="D16" s="121">
        <f>SUMIFS('2022 Partial Rev - NS'!$N:$N,'2022 Partial Rev - NS'!$G:$G,'TB All Check'!$B16,'2022 Partial Rev - NS'!$P:$P,'TB All Check'!$B$7)</f>
        <v>20445</v>
      </c>
      <c r="E16" s="296">
        <f t="shared" si="0"/>
        <v>0</v>
      </c>
      <c r="G16" s="110" t="s">
        <v>315</v>
      </c>
      <c r="H16" s="110" t="s">
        <v>1010</v>
      </c>
      <c r="I16" s="121">
        <f>SUMIFS('TB &amp; MCC Cost Audit 2020-Curren'!$P:$P,'TB &amp; MCC Cost Audit 2020-Curren'!$A:$A,'TB All Check'!$A16,'TB &amp; MCC Cost Audit 2020-Curren'!$C:$C,'TB All Check'!$H$7,'TB &amp; MCC Cost Audit 2020-Curren'!$D:$D,'TB All Check'!$G$7)</f>
        <v>0</v>
      </c>
      <c r="J16" s="121">
        <f>SUMIFS('2023 Rev - NS'!$N:$N,'2023 Rev - NS'!$G:$G,'TB All Check'!$H16,'2023 Rev - NS'!$P:$P,'TB All Check'!$H$7)</f>
        <v>0</v>
      </c>
      <c r="K16" s="296">
        <f t="shared" si="1"/>
        <v>0</v>
      </c>
      <c r="M16" s="110" t="s">
        <v>315</v>
      </c>
      <c r="N16" s="110" t="s">
        <v>1010</v>
      </c>
      <c r="O16" s="121">
        <f>SUMIFS('TB &amp; MCC Cost Audit 2020-Curren'!$P:$P,'TB &amp; MCC Cost Audit 2020-Curren'!$A:$A,'TB All Check'!$M16,'TB &amp; MCC Cost Audit 2020-Curren'!$C:$C,'TB All Check'!$N$7,'TB &amp; MCC Cost Audit 2020-Curren'!$D:$D,'TB All Check'!$M$7)</f>
        <v>19269</v>
      </c>
      <c r="P16" s="121">
        <f>SUMIFS('2024 Rev - NS'!$N:$N,'2024 Rev - NS'!$G:$G,'TB All Check'!$N16,'2024 Rev - NS'!$P:$P,'TB All Check'!$N$7)</f>
        <v>19269</v>
      </c>
      <c r="Q16" s="296">
        <f t="shared" si="2"/>
        <v>0</v>
      </c>
    </row>
    <row r="17" spans="1:17" x14ac:dyDescent="0.15">
      <c r="A17" s="110" t="s">
        <v>557</v>
      </c>
      <c r="B17" s="110" t="s">
        <v>1011</v>
      </c>
      <c r="C17" s="121">
        <f>SUMIFS('TB &amp; MCC Cost Audit 2020-Curren'!$P:$P,'TB &amp; MCC Cost Audit 2020-Curren'!$A:$A,'TB All Check'!$A17,'TB &amp; MCC Cost Audit 2020-Curren'!$C:$C,'TB All Check'!$B$7,'TB &amp; MCC Cost Audit 2020-Curren'!$D:$D,'TB All Check'!$A$7)</f>
        <v>0</v>
      </c>
      <c r="D17" s="121">
        <f>SUMIFS('2022 Partial Rev - NS'!$N:$N,'2022 Partial Rev - NS'!$G:$G,'TB All Check'!$B17,'2022 Partial Rev - NS'!$P:$P,'TB All Check'!$B$7)</f>
        <v>0</v>
      </c>
      <c r="E17" s="296">
        <f t="shared" si="0"/>
        <v>0</v>
      </c>
      <c r="G17" s="110" t="s">
        <v>557</v>
      </c>
      <c r="H17" s="110" t="s">
        <v>1011</v>
      </c>
      <c r="I17" s="121">
        <f>SUMIFS('TB &amp; MCC Cost Audit 2020-Curren'!$P:$P,'TB &amp; MCC Cost Audit 2020-Curren'!$A:$A,'TB All Check'!$A17,'TB &amp; MCC Cost Audit 2020-Curren'!$C:$C,'TB All Check'!$H$7,'TB &amp; MCC Cost Audit 2020-Curren'!$D:$D,'TB All Check'!$G$7)</f>
        <v>188126</v>
      </c>
      <c r="J17" s="121">
        <f>SUMIFS('2023 Rev - NS'!$N:$N,'2023 Rev - NS'!$G:$G,'TB All Check'!$H17,'2023 Rev - NS'!$P:$P,'TB All Check'!$H$7)</f>
        <v>188126</v>
      </c>
      <c r="K17" s="296">
        <f t="shared" si="1"/>
        <v>0</v>
      </c>
      <c r="M17" s="110" t="s">
        <v>557</v>
      </c>
      <c r="N17" s="110" t="s">
        <v>1011</v>
      </c>
      <c r="O17" s="121">
        <f>SUMIFS('TB &amp; MCC Cost Audit 2020-Curren'!$P:$P,'TB &amp; MCC Cost Audit 2020-Curren'!$A:$A,'TB All Check'!$M17,'TB &amp; MCC Cost Audit 2020-Curren'!$C:$C,'TB All Check'!$N$7,'TB &amp; MCC Cost Audit 2020-Curren'!$D:$D,'TB All Check'!$M$7)</f>
        <v>0</v>
      </c>
      <c r="P17" s="121">
        <f>SUMIFS('2024 Rev - NS'!$N:$N,'2024 Rev - NS'!$G:$G,'TB All Check'!$N17,'2024 Rev - NS'!$P:$P,'TB All Check'!$N$7)</f>
        <v>0</v>
      </c>
      <c r="Q17" s="296">
        <f t="shared" si="2"/>
        <v>0</v>
      </c>
    </row>
    <row r="18" spans="1:17" x14ac:dyDescent="0.15">
      <c r="A18" s="110" t="s">
        <v>233</v>
      </c>
      <c r="B18" s="110" t="s">
        <v>1012</v>
      </c>
      <c r="C18" s="121">
        <f>SUMIFS('TB &amp; MCC Cost Audit 2020-Curren'!$P:$P,'TB &amp; MCC Cost Audit 2020-Curren'!$A:$A,'TB All Check'!$A18,'TB &amp; MCC Cost Audit 2020-Curren'!$C:$C,'TB All Check'!$B$7,'TB &amp; MCC Cost Audit 2020-Curren'!$D:$D,'TB All Check'!$A$7)</f>
        <v>14007</v>
      </c>
      <c r="D18" s="121">
        <f>SUMIFS('2022 Partial Rev - NS'!$N:$N,'2022 Partial Rev - NS'!$G:$G,'TB All Check'!$B18,'2022 Partial Rev - NS'!$P:$P,'TB All Check'!$B$7)</f>
        <v>14007</v>
      </c>
      <c r="E18" s="296">
        <f t="shared" si="0"/>
        <v>0</v>
      </c>
      <c r="G18" s="110" t="s">
        <v>233</v>
      </c>
      <c r="H18" s="110" t="s">
        <v>1012</v>
      </c>
      <c r="I18" s="121">
        <f>SUMIFS('TB &amp; MCC Cost Audit 2020-Curren'!$P:$P,'TB &amp; MCC Cost Audit 2020-Curren'!$A:$A,'TB All Check'!$A18,'TB &amp; MCC Cost Audit 2020-Curren'!$C:$C,'TB All Check'!$H$7,'TB &amp; MCC Cost Audit 2020-Curren'!$D:$D,'TB All Check'!$G$7)</f>
        <v>0</v>
      </c>
      <c r="J18" s="121">
        <f>SUMIFS('2023 Rev - NS'!$N:$N,'2023 Rev - NS'!$G:$G,'TB All Check'!$H18,'2023 Rev - NS'!$P:$P,'TB All Check'!$H$7)</f>
        <v>0</v>
      </c>
      <c r="K18" s="296">
        <f t="shared" si="1"/>
        <v>0</v>
      </c>
      <c r="M18" s="110" t="s">
        <v>233</v>
      </c>
      <c r="N18" s="110" t="s">
        <v>1012</v>
      </c>
      <c r="O18" s="121">
        <f>SUMIFS('TB &amp; MCC Cost Audit 2020-Curren'!$P:$P,'TB &amp; MCC Cost Audit 2020-Curren'!$A:$A,'TB All Check'!$M18,'TB &amp; MCC Cost Audit 2020-Curren'!$C:$C,'TB All Check'!$N$7,'TB &amp; MCC Cost Audit 2020-Curren'!$D:$D,'TB All Check'!$M$7)</f>
        <v>25403</v>
      </c>
      <c r="P18" s="121">
        <f>SUMIFS('2024 Rev - NS'!$N:$N,'2024 Rev - NS'!$G:$G,'TB All Check'!$N18,'2024 Rev - NS'!$P:$P,'TB All Check'!$N$7)</f>
        <v>25403</v>
      </c>
      <c r="Q18" s="296">
        <f t="shared" si="2"/>
        <v>0</v>
      </c>
    </row>
    <row r="19" spans="1:17" x14ac:dyDescent="0.15">
      <c r="A19" s="110" t="s">
        <v>547</v>
      </c>
      <c r="B19" s="110" t="s">
        <v>1013</v>
      </c>
      <c r="C19" s="121">
        <f>SUMIFS('TB &amp; MCC Cost Audit 2020-Curren'!$P:$P,'TB &amp; MCC Cost Audit 2020-Curren'!$A:$A,'TB All Check'!$A19,'TB &amp; MCC Cost Audit 2020-Curren'!$C:$C,'TB All Check'!$B$7,'TB &amp; MCC Cost Audit 2020-Curren'!$D:$D,'TB All Check'!$A$7)</f>
        <v>0</v>
      </c>
      <c r="D19" s="121">
        <f>SUMIFS('2022 Partial Rev - NS'!$N:$N,'2022 Partial Rev - NS'!$G:$G,'TB All Check'!$B19,'2022 Partial Rev - NS'!$P:$P,'TB All Check'!$B$7)</f>
        <v>0</v>
      </c>
      <c r="E19" s="296">
        <f t="shared" si="0"/>
        <v>0</v>
      </c>
      <c r="G19" s="110" t="s">
        <v>547</v>
      </c>
      <c r="H19" s="110" t="s">
        <v>1013</v>
      </c>
      <c r="I19" s="121">
        <f>SUMIFS('TB &amp; MCC Cost Audit 2020-Curren'!$P:$P,'TB &amp; MCC Cost Audit 2020-Curren'!$A:$A,'TB All Check'!$A19,'TB &amp; MCC Cost Audit 2020-Curren'!$C:$C,'TB All Check'!$H$7,'TB &amp; MCC Cost Audit 2020-Curren'!$D:$D,'TB All Check'!$G$7)</f>
        <v>0</v>
      </c>
      <c r="J19" s="121">
        <f>SUMIFS('2023 Rev - NS'!$N:$N,'2023 Rev - NS'!$G:$G,'TB All Check'!$H19,'2023 Rev - NS'!$P:$P,'TB All Check'!$H$7)</f>
        <v>0</v>
      </c>
      <c r="K19" s="296">
        <f t="shared" si="1"/>
        <v>0</v>
      </c>
      <c r="M19" s="110" t="s">
        <v>547</v>
      </c>
      <c r="N19" s="110" t="s">
        <v>1013</v>
      </c>
      <c r="O19" s="121">
        <f>SUMIFS('TB &amp; MCC Cost Audit 2020-Curren'!$P:$P,'TB &amp; MCC Cost Audit 2020-Curren'!$A:$A,'TB All Check'!$M19,'TB &amp; MCC Cost Audit 2020-Curren'!$C:$C,'TB All Check'!$N$7,'TB &amp; MCC Cost Audit 2020-Curren'!$D:$D,'TB All Check'!$M$7)</f>
        <v>0</v>
      </c>
      <c r="P19" s="121">
        <f>SUMIFS('2024 Rev - NS'!$N:$N,'2024 Rev - NS'!$G:$G,'TB All Check'!$N19,'2024 Rev - NS'!$P:$P,'TB All Check'!$N$7)</f>
        <v>0</v>
      </c>
      <c r="Q19" s="296">
        <f t="shared" si="2"/>
        <v>0</v>
      </c>
    </row>
    <row r="20" spans="1:17" x14ac:dyDescent="0.15">
      <c r="A20" s="110" t="s">
        <v>625</v>
      </c>
      <c r="B20" s="110" t="s">
        <v>1014</v>
      </c>
      <c r="C20" s="121">
        <f>SUMIFS('TB &amp; MCC Cost Audit 2020-Curren'!$P:$P,'TB &amp; MCC Cost Audit 2020-Curren'!$A:$A,'TB All Check'!$A20,'TB &amp; MCC Cost Audit 2020-Curren'!$C:$C,'TB All Check'!$B$7,'TB &amp; MCC Cost Audit 2020-Curren'!$D:$D,'TB All Check'!$A$7)</f>
        <v>0</v>
      </c>
      <c r="D20" s="121">
        <f>SUMIFS('2022 Partial Rev - NS'!$N:$N,'2022 Partial Rev - NS'!$G:$G,'TB All Check'!$B20,'2022 Partial Rev - NS'!$P:$P,'TB All Check'!$B$7)</f>
        <v>0</v>
      </c>
      <c r="E20" s="296">
        <f t="shared" si="0"/>
        <v>0</v>
      </c>
      <c r="G20" s="110" t="s">
        <v>625</v>
      </c>
      <c r="H20" s="110" t="s">
        <v>1014</v>
      </c>
      <c r="I20" s="121">
        <f>SUMIFS('TB &amp; MCC Cost Audit 2020-Curren'!$P:$P,'TB &amp; MCC Cost Audit 2020-Curren'!$A:$A,'TB All Check'!$A20,'TB &amp; MCC Cost Audit 2020-Curren'!$C:$C,'TB All Check'!$H$7,'TB &amp; MCC Cost Audit 2020-Curren'!$D:$D,'TB All Check'!$G$7)</f>
        <v>0</v>
      </c>
      <c r="J20" s="121">
        <f>SUMIFS('2023 Rev - NS'!$N:$N,'2023 Rev - NS'!$G:$G,'TB All Check'!$H20,'2023 Rev - NS'!$P:$P,'TB All Check'!$H$7)</f>
        <v>0</v>
      </c>
      <c r="K20" s="296">
        <f t="shared" si="1"/>
        <v>0</v>
      </c>
      <c r="M20" s="110" t="s">
        <v>625</v>
      </c>
      <c r="N20" s="110" t="s">
        <v>1014</v>
      </c>
      <c r="O20" s="121">
        <f>SUMIFS('TB &amp; MCC Cost Audit 2020-Curren'!$P:$P,'TB &amp; MCC Cost Audit 2020-Curren'!$A:$A,'TB All Check'!$M20,'TB &amp; MCC Cost Audit 2020-Curren'!$C:$C,'TB All Check'!$N$7,'TB &amp; MCC Cost Audit 2020-Curren'!$D:$D,'TB All Check'!$M$7)</f>
        <v>28891</v>
      </c>
      <c r="P20" s="121">
        <f>SUMIFS('2024 Rev - NS'!$N:$N,'2024 Rev - NS'!$G:$G,'TB All Check'!$N20,'2024 Rev - NS'!$P:$P,'TB All Check'!$N$7)</f>
        <v>28891</v>
      </c>
      <c r="Q20" s="296">
        <f t="shared" si="2"/>
        <v>0</v>
      </c>
    </row>
    <row r="21" spans="1:17" x14ac:dyDescent="0.15">
      <c r="A21" s="110" t="s">
        <v>127</v>
      </c>
      <c r="B21" s="110" t="s">
        <v>1015</v>
      </c>
      <c r="C21" s="121">
        <f>SUMIFS('TB &amp; MCC Cost Audit 2020-Curren'!$P:$P,'TB &amp; MCC Cost Audit 2020-Curren'!$A:$A,'TB All Check'!$A21,'TB &amp; MCC Cost Audit 2020-Curren'!$C:$C,'TB All Check'!$B$7,'TB &amp; MCC Cost Audit 2020-Curren'!$D:$D,'TB All Check'!$A$7)</f>
        <v>22926.959999999999</v>
      </c>
      <c r="D21" s="121">
        <f>SUMIFS('2022 Partial Rev - NS'!$N:$N,'2022 Partial Rev - NS'!$G:$G,'TB All Check'!$B21,'2022 Partial Rev - NS'!$P:$P,'TB All Check'!$B$7)</f>
        <v>22926.959999999999</v>
      </c>
      <c r="E21" s="296">
        <f t="shared" si="0"/>
        <v>0</v>
      </c>
      <c r="G21" s="110" t="s">
        <v>127</v>
      </c>
      <c r="H21" s="110" t="s">
        <v>1015</v>
      </c>
      <c r="I21" s="121">
        <f>SUMIFS('TB &amp; MCC Cost Audit 2020-Curren'!$P:$P,'TB &amp; MCC Cost Audit 2020-Curren'!$A:$A,'TB All Check'!$A21,'TB &amp; MCC Cost Audit 2020-Curren'!$C:$C,'TB All Check'!$H$7,'TB &amp; MCC Cost Audit 2020-Curren'!$D:$D,'TB All Check'!$G$7)</f>
        <v>0</v>
      </c>
      <c r="J21" s="121">
        <f>SUMIFS('2023 Rev - NS'!$N:$N,'2023 Rev - NS'!$G:$G,'TB All Check'!$H21,'2023 Rev - NS'!$P:$P,'TB All Check'!$H$7)</f>
        <v>0</v>
      </c>
      <c r="K21" s="296">
        <f t="shared" si="1"/>
        <v>0</v>
      </c>
      <c r="M21" s="110" t="s">
        <v>127</v>
      </c>
      <c r="N21" s="110" t="s">
        <v>1015</v>
      </c>
      <c r="O21" s="121">
        <f>SUMIFS('TB &amp; MCC Cost Audit 2020-Curren'!$P:$P,'TB &amp; MCC Cost Audit 2020-Curren'!$A:$A,'TB All Check'!$M21,'TB &amp; MCC Cost Audit 2020-Curren'!$C:$C,'TB All Check'!$N$7,'TB &amp; MCC Cost Audit 2020-Curren'!$D:$D,'TB All Check'!$M$7)</f>
        <v>31795</v>
      </c>
      <c r="P21" s="121">
        <f>SUMIFS('2024 Rev - NS'!$N:$N,'2024 Rev - NS'!$G:$G,'TB All Check'!$N21,'2024 Rev - NS'!$P:$P,'TB All Check'!$N$7)</f>
        <v>31795</v>
      </c>
      <c r="Q21" s="296">
        <f t="shared" si="2"/>
        <v>0</v>
      </c>
    </row>
    <row r="22" spans="1:17" x14ac:dyDescent="0.15">
      <c r="A22" s="110" t="s">
        <v>296</v>
      </c>
      <c r="B22" s="110" t="s">
        <v>1016</v>
      </c>
      <c r="C22" s="121">
        <f>SUMIFS('TB &amp; MCC Cost Audit 2020-Curren'!$P:$P,'TB &amp; MCC Cost Audit 2020-Curren'!$A:$A,'TB All Check'!$A22,'TB &amp; MCC Cost Audit 2020-Curren'!$C:$C,'TB All Check'!$B$7,'TB &amp; MCC Cost Audit 2020-Curren'!$D:$D,'TB All Check'!$A$7)</f>
        <v>32114.995999999999</v>
      </c>
      <c r="D22" s="121">
        <f>SUMIFS('2022 Partial Rev - NS'!$N:$N,'2022 Partial Rev - NS'!$G:$G,'TB All Check'!$B22,'2022 Partial Rev - NS'!$P:$P,'TB All Check'!$B$7)</f>
        <v>32115</v>
      </c>
      <c r="E22" s="296">
        <f t="shared" si="0"/>
        <v>-4.0000000008149073E-3</v>
      </c>
      <c r="G22" s="110" t="s">
        <v>296</v>
      </c>
      <c r="H22" s="110" t="s">
        <v>1016</v>
      </c>
      <c r="I22" s="121">
        <f>SUMIFS('TB &amp; MCC Cost Audit 2020-Curren'!$P:$P,'TB &amp; MCC Cost Audit 2020-Curren'!$A:$A,'TB All Check'!$A22,'TB &amp; MCC Cost Audit 2020-Curren'!$C:$C,'TB All Check'!$H$7,'TB &amp; MCC Cost Audit 2020-Curren'!$D:$D,'TB All Check'!$G$7)</f>
        <v>0</v>
      </c>
      <c r="J22" s="121">
        <f>SUMIFS('2023 Rev - NS'!$N:$N,'2023 Rev - NS'!$G:$G,'TB All Check'!$H22,'2023 Rev - NS'!$P:$P,'TB All Check'!$H$7)</f>
        <v>0</v>
      </c>
      <c r="K22" s="296">
        <f t="shared" si="1"/>
        <v>0</v>
      </c>
      <c r="M22" s="110" t="s">
        <v>296</v>
      </c>
      <c r="N22" s="110" t="s">
        <v>1016</v>
      </c>
      <c r="O22" s="121">
        <f>SUMIFS('TB &amp; MCC Cost Audit 2020-Curren'!$P:$P,'TB &amp; MCC Cost Audit 2020-Curren'!$A:$A,'TB All Check'!$M22,'TB &amp; MCC Cost Audit 2020-Curren'!$C:$C,'TB All Check'!$N$7,'TB &amp; MCC Cost Audit 2020-Curren'!$D:$D,'TB All Check'!$M$7)</f>
        <v>28480</v>
      </c>
      <c r="P22" s="121">
        <f>SUMIFS('2024 Rev - NS'!$N:$N,'2024 Rev - NS'!$G:$G,'TB All Check'!$N22,'2024 Rev - NS'!$P:$P,'TB All Check'!$N$7)</f>
        <v>28480</v>
      </c>
      <c r="Q22" s="296">
        <f t="shared" si="2"/>
        <v>0</v>
      </c>
    </row>
    <row r="23" spans="1:17" x14ac:dyDescent="0.15">
      <c r="A23" s="110" t="s">
        <v>307</v>
      </c>
      <c r="B23" s="110" t="s">
        <v>1017</v>
      </c>
      <c r="C23" s="121">
        <f>SUMIFS('TB &amp; MCC Cost Audit 2020-Curren'!$P:$P,'TB &amp; MCC Cost Audit 2020-Curren'!$A:$A,'TB All Check'!$A23,'TB &amp; MCC Cost Audit 2020-Curren'!$C:$C,'TB All Check'!$B$7,'TB &amp; MCC Cost Audit 2020-Curren'!$D:$D,'TB All Check'!$A$7)</f>
        <v>29746</v>
      </c>
      <c r="D23" s="121">
        <f>SUMIFS('2022 Partial Rev - NS'!$N:$N,'2022 Partial Rev - NS'!$G:$G,'TB All Check'!$B23,'2022 Partial Rev - NS'!$P:$P,'TB All Check'!$B$7)</f>
        <v>29746</v>
      </c>
      <c r="E23" s="296">
        <f t="shared" si="0"/>
        <v>0</v>
      </c>
      <c r="G23" s="110" t="s">
        <v>307</v>
      </c>
      <c r="H23" s="110" t="s">
        <v>1017</v>
      </c>
      <c r="I23" s="121">
        <f>SUMIFS('TB &amp; MCC Cost Audit 2020-Curren'!$P:$P,'TB &amp; MCC Cost Audit 2020-Curren'!$A:$A,'TB All Check'!$A23,'TB &amp; MCC Cost Audit 2020-Curren'!$C:$C,'TB All Check'!$H$7,'TB &amp; MCC Cost Audit 2020-Curren'!$D:$D,'TB All Check'!$G$7)</f>
        <v>0</v>
      </c>
      <c r="J23" s="121">
        <f>SUMIFS('2023 Rev - NS'!$N:$N,'2023 Rev - NS'!$G:$G,'TB All Check'!$H23,'2023 Rev - NS'!$P:$P,'TB All Check'!$H$7)</f>
        <v>0</v>
      </c>
      <c r="K23" s="296">
        <f t="shared" si="1"/>
        <v>0</v>
      </c>
      <c r="M23" s="110" t="s">
        <v>307</v>
      </c>
      <c r="N23" s="110" t="s">
        <v>1017</v>
      </c>
      <c r="O23" s="121">
        <f>SUMIFS('TB &amp; MCC Cost Audit 2020-Curren'!$P:$P,'TB &amp; MCC Cost Audit 2020-Curren'!$A:$A,'TB All Check'!$M23,'TB &amp; MCC Cost Audit 2020-Curren'!$C:$C,'TB All Check'!$N$7,'TB &amp; MCC Cost Audit 2020-Curren'!$D:$D,'TB All Check'!$M$7)</f>
        <v>38684</v>
      </c>
      <c r="P23" s="121">
        <f>SUMIFS('2024 Rev - NS'!$N:$N,'2024 Rev - NS'!$G:$G,'TB All Check'!$N23,'2024 Rev - NS'!$P:$P,'TB All Check'!$N$7)</f>
        <v>38684</v>
      </c>
      <c r="Q23" s="296">
        <f t="shared" si="2"/>
        <v>0</v>
      </c>
    </row>
    <row r="24" spans="1:17" x14ac:dyDescent="0.15">
      <c r="A24" s="110" t="s">
        <v>200</v>
      </c>
      <c r="B24" s="110" t="s">
        <v>1018</v>
      </c>
      <c r="C24" s="121">
        <f>SUMIFS('TB &amp; MCC Cost Audit 2020-Curren'!$P:$P,'TB &amp; MCC Cost Audit 2020-Curren'!$A:$A,'TB All Check'!$A24,'TB &amp; MCC Cost Audit 2020-Curren'!$C:$C,'TB All Check'!$B$7,'TB &amp; MCC Cost Audit 2020-Curren'!$D:$D,'TB All Check'!$A$7)</f>
        <v>0</v>
      </c>
      <c r="D24" s="121">
        <f>SUMIFS('2022 Partial Rev - NS'!$N:$N,'2022 Partial Rev - NS'!$G:$G,'TB All Check'!$B24,'2022 Partial Rev - NS'!$P:$P,'TB All Check'!$B$7)</f>
        <v>0</v>
      </c>
      <c r="E24" s="296">
        <f t="shared" si="0"/>
        <v>0</v>
      </c>
      <c r="G24" s="110" t="s">
        <v>200</v>
      </c>
      <c r="H24" s="110" t="s">
        <v>1018</v>
      </c>
      <c r="I24" s="121">
        <f>SUMIFS('TB &amp; MCC Cost Audit 2020-Curren'!$P:$P,'TB &amp; MCC Cost Audit 2020-Curren'!$A:$A,'TB All Check'!$A24,'TB &amp; MCC Cost Audit 2020-Curren'!$C:$C,'TB All Check'!$H$7,'TB &amp; MCC Cost Audit 2020-Curren'!$D:$D,'TB All Check'!$G$7)</f>
        <v>0</v>
      </c>
      <c r="J24" s="121">
        <f>SUMIFS('2023 Rev - NS'!$N:$N,'2023 Rev - NS'!$G:$G,'TB All Check'!$H24,'2023 Rev - NS'!$P:$P,'TB All Check'!$H$7)</f>
        <v>0</v>
      </c>
      <c r="K24" s="296">
        <f t="shared" si="1"/>
        <v>0</v>
      </c>
      <c r="M24" s="110" t="s">
        <v>200</v>
      </c>
      <c r="N24" s="110" t="s">
        <v>1018</v>
      </c>
      <c r="O24" s="121">
        <f>SUMIFS('TB &amp; MCC Cost Audit 2020-Curren'!$P:$P,'TB &amp; MCC Cost Audit 2020-Curren'!$A:$A,'TB All Check'!$M24,'TB &amp; MCC Cost Audit 2020-Curren'!$C:$C,'TB All Check'!$N$7,'TB &amp; MCC Cost Audit 2020-Curren'!$D:$D,'TB All Check'!$M$7)</f>
        <v>0</v>
      </c>
      <c r="P24" s="121">
        <f>SUMIFS('2024 Rev - NS'!$N:$N,'2024 Rev - NS'!$G:$G,'TB All Check'!$N24,'2024 Rev - NS'!$P:$P,'TB All Check'!$N$7)</f>
        <v>0</v>
      </c>
      <c r="Q24" s="296">
        <f t="shared" si="2"/>
        <v>0</v>
      </c>
    </row>
    <row r="25" spans="1:17" x14ac:dyDescent="0.15">
      <c r="A25" s="110" t="s">
        <v>758</v>
      </c>
      <c r="B25" s="110" t="s">
        <v>1019</v>
      </c>
      <c r="C25" s="121">
        <f>SUMIFS('TB &amp; MCC Cost Audit 2020-Curren'!$P:$P,'TB &amp; MCC Cost Audit 2020-Curren'!$A:$A,'TB All Check'!$A25,'TB &amp; MCC Cost Audit 2020-Curren'!$C:$C,'TB All Check'!$B$7,'TB &amp; MCC Cost Audit 2020-Curren'!$D:$D,'TB All Check'!$A$7)</f>
        <v>0</v>
      </c>
      <c r="D25" s="121">
        <f>SUMIFS('2022 Partial Rev - NS'!$N:$N,'2022 Partial Rev - NS'!$G:$G,'TB All Check'!$B25,'2022 Partial Rev - NS'!$P:$P,'TB All Check'!$B$7)</f>
        <v>0</v>
      </c>
      <c r="E25" s="296">
        <f t="shared" si="0"/>
        <v>0</v>
      </c>
      <c r="G25" s="110" t="s">
        <v>758</v>
      </c>
      <c r="H25" s="110" t="s">
        <v>1019</v>
      </c>
      <c r="I25" s="121">
        <f>SUMIFS('TB &amp; MCC Cost Audit 2020-Curren'!$P:$P,'TB &amp; MCC Cost Audit 2020-Curren'!$A:$A,'TB All Check'!$A25,'TB &amp; MCC Cost Audit 2020-Curren'!$C:$C,'TB All Check'!$H$7,'TB &amp; MCC Cost Audit 2020-Curren'!$D:$D,'TB All Check'!$G$7)</f>
        <v>0</v>
      </c>
      <c r="J25" s="121">
        <f>SUMIFS('2023 Rev - NS'!$N:$N,'2023 Rev - NS'!$G:$G,'TB All Check'!$H25,'2023 Rev - NS'!$P:$P,'TB All Check'!$H$7)</f>
        <v>0</v>
      </c>
      <c r="K25" s="296">
        <f t="shared" si="1"/>
        <v>0</v>
      </c>
      <c r="M25" s="110" t="s">
        <v>758</v>
      </c>
      <c r="N25" s="110" t="s">
        <v>1019</v>
      </c>
      <c r="O25" s="121">
        <f>SUMIFS('TB &amp; MCC Cost Audit 2020-Curren'!$P:$P,'TB &amp; MCC Cost Audit 2020-Curren'!$A:$A,'TB All Check'!$M25,'TB &amp; MCC Cost Audit 2020-Curren'!$C:$C,'TB All Check'!$N$7,'TB &amp; MCC Cost Audit 2020-Curren'!$D:$D,'TB All Check'!$M$7)</f>
        <v>0</v>
      </c>
      <c r="P25" s="121">
        <f>SUMIFS('2024 Rev - NS'!$N:$N,'2024 Rev - NS'!$G:$G,'TB All Check'!$N25,'2024 Rev - NS'!$P:$P,'TB All Check'!$N$7)</f>
        <v>0</v>
      </c>
      <c r="Q25" s="296">
        <f t="shared" si="2"/>
        <v>0</v>
      </c>
    </row>
    <row r="26" spans="1:17" x14ac:dyDescent="0.15">
      <c r="A26" s="110" t="s">
        <v>67</v>
      </c>
      <c r="B26" s="110" t="s">
        <v>1020</v>
      </c>
      <c r="C26" s="121">
        <f>SUMIFS('TB &amp; MCC Cost Audit 2020-Curren'!$P:$P,'TB &amp; MCC Cost Audit 2020-Curren'!$A:$A,'TB All Check'!$A26,'TB &amp; MCC Cost Audit 2020-Curren'!$C:$C,'TB All Check'!$B$7,'TB &amp; MCC Cost Audit 2020-Curren'!$D:$D,'TB All Check'!$A$7)</f>
        <v>0</v>
      </c>
      <c r="D26" s="121">
        <f>SUMIFS('2022 Partial Rev - NS'!$N:$N,'2022 Partial Rev - NS'!$G:$G,'TB All Check'!$B26,'2022 Partial Rev - NS'!$P:$P,'TB All Check'!$B$7)</f>
        <v>0</v>
      </c>
      <c r="E26" s="296">
        <f t="shared" si="0"/>
        <v>0</v>
      </c>
      <c r="G26" s="110" t="s">
        <v>67</v>
      </c>
      <c r="H26" s="110" t="s">
        <v>1020</v>
      </c>
      <c r="I26" s="121">
        <f>SUMIFS('TB &amp; MCC Cost Audit 2020-Curren'!$P:$P,'TB &amp; MCC Cost Audit 2020-Curren'!$A:$A,'TB All Check'!$A26,'TB &amp; MCC Cost Audit 2020-Curren'!$C:$C,'TB All Check'!$H$7,'TB &amp; MCC Cost Audit 2020-Curren'!$D:$D,'TB All Check'!$G$7)</f>
        <v>0</v>
      </c>
      <c r="J26" s="121">
        <f>SUMIFS('2023 Rev - NS'!$N:$N,'2023 Rev - NS'!$G:$G,'TB All Check'!$H26,'2023 Rev - NS'!$P:$P,'TB All Check'!$H$7)</f>
        <v>0</v>
      </c>
      <c r="K26" s="296">
        <f t="shared" si="1"/>
        <v>0</v>
      </c>
      <c r="M26" s="110" t="s">
        <v>67</v>
      </c>
      <c r="N26" s="110" t="s">
        <v>1020</v>
      </c>
      <c r="O26" s="121">
        <f>SUMIFS('TB &amp; MCC Cost Audit 2020-Curren'!$P:$P,'TB &amp; MCC Cost Audit 2020-Curren'!$A:$A,'TB All Check'!$M26,'TB &amp; MCC Cost Audit 2020-Curren'!$C:$C,'TB All Check'!$N$7,'TB &amp; MCC Cost Audit 2020-Curren'!$D:$D,'TB All Check'!$M$7)</f>
        <v>0</v>
      </c>
      <c r="P26" s="121">
        <f>SUMIFS('2024 Rev - NS'!$N:$N,'2024 Rev - NS'!$G:$G,'TB All Check'!$N26,'2024 Rev - NS'!$P:$P,'TB All Check'!$N$7)</f>
        <v>0</v>
      </c>
      <c r="Q26" s="296">
        <f t="shared" si="2"/>
        <v>0</v>
      </c>
    </row>
    <row r="27" spans="1:17" x14ac:dyDescent="0.15">
      <c r="A27" s="110" t="s">
        <v>639</v>
      </c>
      <c r="B27" s="110" t="s">
        <v>1021</v>
      </c>
      <c r="C27" s="121">
        <f>SUMIFS('TB &amp; MCC Cost Audit 2020-Curren'!$P:$P,'TB &amp; MCC Cost Audit 2020-Curren'!$A:$A,'TB All Check'!$A27,'TB &amp; MCC Cost Audit 2020-Curren'!$C:$C,'TB All Check'!$B$7,'TB &amp; MCC Cost Audit 2020-Curren'!$D:$D,'TB All Check'!$A$7)</f>
        <v>0</v>
      </c>
      <c r="D27" s="121">
        <f>SUMIFS('2022 Partial Rev - NS'!$N:$N,'2022 Partial Rev - NS'!$G:$G,'TB All Check'!$B27,'2022 Partial Rev - NS'!$P:$P,'TB All Check'!$B$7)</f>
        <v>0</v>
      </c>
      <c r="E27" s="296">
        <f t="shared" si="0"/>
        <v>0</v>
      </c>
      <c r="G27" s="110" t="s">
        <v>639</v>
      </c>
      <c r="H27" s="110" t="s">
        <v>1021</v>
      </c>
      <c r="I27" s="121">
        <f>SUMIFS('TB &amp; MCC Cost Audit 2020-Curren'!$P:$P,'TB &amp; MCC Cost Audit 2020-Curren'!$A:$A,'TB All Check'!$A27,'TB &amp; MCC Cost Audit 2020-Curren'!$C:$C,'TB All Check'!$H$7,'TB &amp; MCC Cost Audit 2020-Curren'!$D:$D,'TB All Check'!$G$7)</f>
        <v>365862</v>
      </c>
      <c r="J27" s="121">
        <f>SUMIFS('2023 Rev - NS'!$N:$N,'2023 Rev - NS'!$G:$G,'TB All Check'!$H27,'2023 Rev - NS'!$P:$P,'TB All Check'!$H$7)</f>
        <v>365862</v>
      </c>
      <c r="K27" s="296">
        <f t="shared" si="1"/>
        <v>0</v>
      </c>
      <c r="M27" s="110" t="s">
        <v>639</v>
      </c>
      <c r="N27" s="110" t="s">
        <v>1021</v>
      </c>
      <c r="O27" s="121">
        <f>SUMIFS('TB &amp; MCC Cost Audit 2020-Curren'!$P:$P,'TB &amp; MCC Cost Audit 2020-Curren'!$A:$A,'TB All Check'!$M27,'TB &amp; MCC Cost Audit 2020-Curren'!$C:$C,'TB All Check'!$N$7,'TB &amp; MCC Cost Audit 2020-Curren'!$D:$D,'TB All Check'!$M$7)</f>
        <v>0</v>
      </c>
      <c r="P27" s="121">
        <f>SUMIFS('2024 Rev - NS'!$N:$N,'2024 Rev - NS'!$G:$G,'TB All Check'!$N27,'2024 Rev - NS'!$P:$P,'TB All Check'!$N$7)</f>
        <v>0</v>
      </c>
      <c r="Q27" s="296">
        <f t="shared" si="2"/>
        <v>0</v>
      </c>
    </row>
    <row r="28" spans="1:17" x14ac:dyDescent="0.15">
      <c r="A28" s="110" t="s">
        <v>889</v>
      </c>
      <c r="B28" s="110" t="s">
        <v>1022</v>
      </c>
      <c r="C28" s="121">
        <f>SUMIFS('TB &amp; MCC Cost Audit 2020-Curren'!$P:$P,'TB &amp; MCC Cost Audit 2020-Curren'!$A:$A,'TB All Check'!$A28,'TB &amp; MCC Cost Audit 2020-Curren'!$C:$C,'TB All Check'!$B$7,'TB &amp; MCC Cost Audit 2020-Curren'!$D:$D,'TB All Check'!$A$7)</f>
        <v>0</v>
      </c>
      <c r="D28" s="121">
        <f>SUMIFS('2022 Partial Rev - NS'!$N:$N,'2022 Partial Rev - NS'!$G:$G,'TB All Check'!$B28,'2022 Partial Rev - NS'!$P:$P,'TB All Check'!$B$7)</f>
        <v>0</v>
      </c>
      <c r="E28" s="296">
        <f t="shared" si="0"/>
        <v>0</v>
      </c>
      <c r="G28" s="110" t="s">
        <v>889</v>
      </c>
      <c r="H28" s="110" t="s">
        <v>1022</v>
      </c>
      <c r="I28" s="121">
        <f>SUMIFS('TB &amp; MCC Cost Audit 2020-Curren'!$P:$P,'TB &amp; MCC Cost Audit 2020-Curren'!$A:$A,'TB All Check'!$A28,'TB &amp; MCC Cost Audit 2020-Curren'!$C:$C,'TB All Check'!$H$7,'TB &amp; MCC Cost Audit 2020-Curren'!$D:$D,'TB All Check'!$G$7)</f>
        <v>0</v>
      </c>
      <c r="J28" s="121">
        <f>SUMIFS('2023 Rev - NS'!$N:$N,'2023 Rev - NS'!$G:$G,'TB All Check'!$H28,'2023 Rev - NS'!$P:$P,'TB All Check'!$H$7)</f>
        <v>0</v>
      </c>
      <c r="K28" s="296">
        <f t="shared" si="1"/>
        <v>0</v>
      </c>
      <c r="M28" s="110" t="s">
        <v>889</v>
      </c>
      <c r="N28" s="110" t="s">
        <v>1022</v>
      </c>
      <c r="O28" s="121">
        <f>SUMIFS('TB &amp; MCC Cost Audit 2020-Curren'!$P:$P,'TB &amp; MCC Cost Audit 2020-Curren'!$A:$A,'TB All Check'!$M28,'TB &amp; MCC Cost Audit 2020-Curren'!$C:$C,'TB All Check'!$N$7,'TB &amp; MCC Cost Audit 2020-Curren'!$D:$D,'TB All Check'!$M$7)</f>
        <v>0</v>
      </c>
      <c r="P28" s="121">
        <f>SUMIFS('2024 Rev - NS'!$N:$N,'2024 Rev - NS'!$G:$G,'TB All Check'!$N28,'2024 Rev - NS'!$P:$P,'TB All Check'!$N$7)</f>
        <v>0</v>
      </c>
      <c r="Q28" s="296">
        <f t="shared" si="2"/>
        <v>0</v>
      </c>
    </row>
    <row r="29" spans="1:17" x14ac:dyDescent="0.15">
      <c r="A29" s="110" t="s">
        <v>365</v>
      </c>
      <c r="B29" s="110" t="s">
        <v>1023</v>
      </c>
      <c r="C29" s="121">
        <f>SUMIFS('TB &amp; MCC Cost Audit 2020-Curren'!$P:$P,'TB &amp; MCC Cost Audit 2020-Curren'!$A:$A,'TB All Check'!$A29,'TB &amp; MCC Cost Audit 2020-Curren'!$C:$C,'TB All Check'!$B$7,'TB &amp; MCC Cost Audit 2020-Curren'!$D:$D,'TB All Check'!$A$7)</f>
        <v>30995</v>
      </c>
      <c r="D29" s="121">
        <f>SUMIFS('2022 Partial Rev - NS'!$N:$N,'2022 Partial Rev - NS'!$G:$G,'TB All Check'!$B29,'2022 Partial Rev - NS'!$P:$P,'TB All Check'!$B$7)</f>
        <v>30995</v>
      </c>
      <c r="E29" s="296">
        <f t="shared" si="0"/>
        <v>0</v>
      </c>
      <c r="G29" s="110" t="s">
        <v>365</v>
      </c>
      <c r="H29" s="110" t="s">
        <v>1023</v>
      </c>
      <c r="I29" s="121">
        <f>SUMIFS('TB &amp; MCC Cost Audit 2020-Curren'!$P:$P,'TB &amp; MCC Cost Audit 2020-Curren'!$A:$A,'TB All Check'!$A29,'TB &amp; MCC Cost Audit 2020-Curren'!$C:$C,'TB All Check'!$H$7,'TB &amp; MCC Cost Audit 2020-Curren'!$D:$D,'TB All Check'!$G$7)</f>
        <v>0</v>
      </c>
      <c r="J29" s="121">
        <f>SUMIFS('2023 Rev - NS'!$N:$N,'2023 Rev - NS'!$G:$G,'TB All Check'!$H29,'2023 Rev - NS'!$P:$P,'TB All Check'!$H$7)</f>
        <v>0</v>
      </c>
      <c r="K29" s="296">
        <f t="shared" si="1"/>
        <v>0</v>
      </c>
      <c r="M29" s="110" t="s">
        <v>365</v>
      </c>
      <c r="N29" s="110" t="s">
        <v>1023</v>
      </c>
      <c r="O29" s="121">
        <f>SUMIFS('TB &amp; MCC Cost Audit 2020-Curren'!$P:$P,'TB &amp; MCC Cost Audit 2020-Curren'!$A:$A,'TB All Check'!$M29,'TB &amp; MCC Cost Audit 2020-Curren'!$C:$C,'TB All Check'!$N$7,'TB &amp; MCC Cost Audit 2020-Curren'!$D:$D,'TB All Check'!$M$7)</f>
        <v>30995</v>
      </c>
      <c r="P29" s="121">
        <f>SUMIFS('2024 Rev - NS'!$N:$N,'2024 Rev - NS'!$G:$G,'TB All Check'!$N29,'2024 Rev - NS'!$P:$P,'TB All Check'!$N$7)</f>
        <v>30995</v>
      </c>
      <c r="Q29" s="296">
        <f t="shared" si="2"/>
        <v>0</v>
      </c>
    </row>
    <row r="30" spans="1:17" x14ac:dyDescent="0.15">
      <c r="A30" s="110" t="s">
        <v>174</v>
      </c>
      <c r="B30" s="110" t="s">
        <v>1024</v>
      </c>
      <c r="C30" s="121">
        <f>SUMIFS('TB &amp; MCC Cost Audit 2020-Curren'!$P:$P,'TB &amp; MCC Cost Audit 2020-Curren'!$A:$A,'TB All Check'!$A30,'TB &amp; MCC Cost Audit 2020-Curren'!$C:$C,'TB All Check'!$B$7,'TB &amp; MCC Cost Audit 2020-Curren'!$D:$D,'TB All Check'!$A$7)</f>
        <v>36196.33</v>
      </c>
      <c r="D30" s="121">
        <f>SUMIFS('2022 Partial Rev - NS'!$N:$N,'2022 Partial Rev - NS'!$G:$G,'TB All Check'!$B30,'2022 Partial Rev - NS'!$P:$P,'TB All Check'!$B$7)</f>
        <v>36196.33</v>
      </c>
      <c r="E30" s="296">
        <f t="shared" si="0"/>
        <v>0</v>
      </c>
      <c r="G30" s="110" t="s">
        <v>174</v>
      </c>
      <c r="H30" s="110" t="s">
        <v>1024</v>
      </c>
      <c r="I30" s="121">
        <f>SUMIFS('TB &amp; MCC Cost Audit 2020-Curren'!$P:$P,'TB &amp; MCC Cost Audit 2020-Curren'!$A:$A,'TB All Check'!$A30,'TB &amp; MCC Cost Audit 2020-Curren'!$C:$C,'TB All Check'!$H$7,'TB &amp; MCC Cost Audit 2020-Curren'!$D:$D,'TB All Check'!$G$7)</f>
        <v>0</v>
      </c>
      <c r="J30" s="121">
        <f>SUMIFS('2023 Rev - NS'!$N:$N,'2023 Rev - NS'!$G:$G,'TB All Check'!$H30,'2023 Rev - NS'!$P:$P,'TB All Check'!$H$7)</f>
        <v>0</v>
      </c>
      <c r="K30" s="296">
        <f t="shared" si="1"/>
        <v>0</v>
      </c>
      <c r="M30" s="110" t="s">
        <v>174</v>
      </c>
      <c r="N30" s="110" t="s">
        <v>1024</v>
      </c>
      <c r="O30" s="121">
        <f>SUMIFS('TB &amp; MCC Cost Audit 2020-Curren'!$P:$P,'TB &amp; MCC Cost Audit 2020-Curren'!$A:$A,'TB All Check'!$M30,'TB &amp; MCC Cost Audit 2020-Curren'!$C:$C,'TB All Check'!$N$7,'TB &amp; MCC Cost Audit 2020-Curren'!$D:$D,'TB All Check'!$M$7)</f>
        <v>39103.593333333331</v>
      </c>
      <c r="P30" s="121">
        <f>SUMIFS('2024 Rev - NS'!$N:$N,'2024 Rev - NS'!$G:$G,'TB All Check'!$N30,'2024 Rev - NS'!$P:$P,'TB All Check'!$N$7)</f>
        <v>39103.589999999997</v>
      </c>
      <c r="Q30" s="296">
        <f t="shared" si="2"/>
        <v>-3.3333333340124227E-3</v>
      </c>
    </row>
    <row r="31" spans="1:17" x14ac:dyDescent="0.15">
      <c r="A31" s="110" t="s">
        <v>36</v>
      </c>
      <c r="B31" s="110" t="s">
        <v>1025</v>
      </c>
      <c r="C31" s="121">
        <f>SUMIFS('TB &amp; MCC Cost Audit 2020-Curren'!$P:$P,'TB &amp; MCC Cost Audit 2020-Curren'!$A:$A,'TB All Check'!$A31,'TB &amp; MCC Cost Audit 2020-Curren'!$C:$C,'TB All Check'!$B$7,'TB &amp; MCC Cost Audit 2020-Curren'!$D:$D,'TB All Check'!$A$7)</f>
        <v>15498</v>
      </c>
      <c r="D31" s="313">
        <v>15498</v>
      </c>
      <c r="E31" s="296">
        <f t="shared" si="0"/>
        <v>0</v>
      </c>
      <c r="G31" s="110" t="s">
        <v>36</v>
      </c>
      <c r="H31" s="110" t="s">
        <v>1025</v>
      </c>
      <c r="I31" s="121">
        <f>SUMIFS('TB &amp; MCC Cost Audit 2020-Curren'!$P:$P,'TB &amp; MCC Cost Audit 2020-Curren'!$A:$A,'TB All Check'!$A31,'TB &amp; MCC Cost Audit 2020-Curren'!$C:$C,'TB All Check'!$H$7,'TB &amp; MCC Cost Audit 2020-Curren'!$D:$D,'TB All Check'!$G$7)</f>
        <v>0</v>
      </c>
      <c r="J31" s="121">
        <f>SUMIFS('2023 Rev - NS'!$N:$N,'2023 Rev - NS'!$G:$G,'TB All Check'!$H31,'2023 Rev - NS'!$P:$P,'TB All Check'!$H$7)</f>
        <v>0</v>
      </c>
      <c r="K31" s="296">
        <f t="shared" si="1"/>
        <v>0</v>
      </c>
      <c r="M31" s="110" t="s">
        <v>36</v>
      </c>
      <c r="N31" s="110" t="s">
        <v>1025</v>
      </c>
      <c r="O31" s="121">
        <f>SUMIFS('TB &amp; MCC Cost Audit 2020-Curren'!$P:$P,'TB &amp; MCC Cost Audit 2020-Curren'!$A:$A,'TB All Check'!$M31,'TB &amp; MCC Cost Audit 2020-Curren'!$C:$C,'TB All Check'!$N$7,'TB &amp; MCC Cost Audit 2020-Curren'!$D:$D,'TB All Check'!$M$7)</f>
        <v>17086</v>
      </c>
      <c r="P31" s="121">
        <f>SUMIFS('2024 Rev - NS'!$N:$N,'2024 Rev - NS'!$G:$G,'TB All Check'!$N31,'2024 Rev - NS'!$P:$P,'TB All Check'!$N$7)</f>
        <v>17086</v>
      </c>
      <c r="Q31" s="296">
        <f t="shared" si="2"/>
        <v>0</v>
      </c>
    </row>
    <row r="32" spans="1:17" x14ac:dyDescent="0.15">
      <c r="A32" s="110" t="s">
        <v>576</v>
      </c>
      <c r="B32" s="110" t="s">
        <v>1026</v>
      </c>
      <c r="C32" s="121">
        <f>SUMIFS('TB &amp; MCC Cost Audit 2020-Curren'!$P:$P,'TB &amp; MCC Cost Audit 2020-Curren'!$A:$A,'TB All Check'!$A32,'TB &amp; MCC Cost Audit 2020-Curren'!$C:$C,'TB All Check'!$B$7,'TB &amp; MCC Cost Audit 2020-Curren'!$D:$D,'TB All Check'!$A$7)</f>
        <v>0</v>
      </c>
      <c r="D32" s="121">
        <f>SUMIFS('2022 Partial Rev - NS'!$N:$N,'2022 Partial Rev - NS'!$G:$G,'TB All Check'!$B32,'2022 Partial Rev - NS'!$P:$P,'TB All Check'!$B$7)</f>
        <v>0</v>
      </c>
      <c r="E32" s="296">
        <f t="shared" si="0"/>
        <v>0</v>
      </c>
      <c r="G32" s="110" t="s">
        <v>576</v>
      </c>
      <c r="H32" s="110" t="s">
        <v>1026</v>
      </c>
      <c r="I32" s="121">
        <f>SUMIFS('TB &amp; MCC Cost Audit 2020-Curren'!$P:$P,'TB &amp; MCC Cost Audit 2020-Curren'!$A:$A,'TB All Check'!$A32,'TB &amp; MCC Cost Audit 2020-Curren'!$C:$C,'TB All Check'!$H$7,'TB &amp; MCC Cost Audit 2020-Curren'!$D:$D,'TB All Check'!$G$7)</f>
        <v>311511</v>
      </c>
      <c r="J32" s="121">
        <f>SUMIFS('2023 Rev - NS'!$N:$N,'2023 Rev - NS'!$G:$G,'TB All Check'!$H32,'2023 Rev - NS'!$P:$P,'TB All Check'!$H$7)</f>
        <v>311511.00000000006</v>
      </c>
      <c r="K32" s="296">
        <f t="shared" si="1"/>
        <v>0</v>
      </c>
      <c r="M32" s="110" t="s">
        <v>576</v>
      </c>
      <c r="N32" s="110" t="s">
        <v>1026</v>
      </c>
      <c r="O32" s="121">
        <f>SUMIFS('TB &amp; MCC Cost Audit 2020-Curren'!$P:$P,'TB &amp; MCC Cost Audit 2020-Curren'!$A:$A,'TB All Check'!$M32,'TB &amp; MCC Cost Audit 2020-Curren'!$C:$C,'TB All Check'!$N$7,'TB &amp; MCC Cost Audit 2020-Curren'!$D:$D,'TB All Check'!$M$7)</f>
        <v>21344</v>
      </c>
      <c r="P32" s="121">
        <f>SUMIFS('2024 Rev - NS'!$N:$N,'2024 Rev - NS'!$G:$G,'TB All Check'!$N32,'2024 Rev - NS'!$P:$P,'TB All Check'!$N$7)</f>
        <v>21344</v>
      </c>
      <c r="Q32" s="296">
        <f t="shared" si="2"/>
        <v>0</v>
      </c>
    </row>
    <row r="33" spans="1:17" x14ac:dyDescent="0.15">
      <c r="A33" s="110" t="s">
        <v>198</v>
      </c>
      <c r="B33" s="110" t="s">
        <v>1027</v>
      </c>
      <c r="C33" s="121">
        <f>SUMIFS('TB &amp; MCC Cost Audit 2020-Curren'!$P:$P,'TB &amp; MCC Cost Audit 2020-Curren'!$A:$A,'TB All Check'!$A33,'TB &amp; MCC Cost Audit 2020-Curren'!$C:$C,'TB All Check'!$B$7,'TB &amp; MCC Cost Audit 2020-Curren'!$D:$D,'TB All Check'!$A$7)</f>
        <v>23470.489999999998</v>
      </c>
      <c r="D33" s="121">
        <f>SUMIFS('2022 Partial Rev - NS'!$N:$N,'2022 Partial Rev - NS'!$G:$G,'TB All Check'!$B33,'2022 Partial Rev - NS'!$P:$P,'TB All Check'!$B$7)</f>
        <v>23470.49</v>
      </c>
      <c r="E33" s="296">
        <f t="shared" si="0"/>
        <v>0</v>
      </c>
      <c r="G33" s="110" t="s">
        <v>198</v>
      </c>
      <c r="H33" s="110" t="s">
        <v>1027</v>
      </c>
      <c r="I33" s="121">
        <f>SUMIFS('TB &amp; MCC Cost Audit 2020-Curren'!$P:$P,'TB &amp; MCC Cost Audit 2020-Curren'!$A:$A,'TB All Check'!$A33,'TB &amp; MCC Cost Audit 2020-Curren'!$C:$C,'TB All Check'!$H$7,'TB &amp; MCC Cost Audit 2020-Curren'!$D:$D,'TB All Check'!$G$7)</f>
        <v>0</v>
      </c>
      <c r="J33" s="121">
        <f>SUMIFS('2023 Rev - NS'!$N:$N,'2023 Rev - NS'!$G:$G,'TB All Check'!$H33,'2023 Rev - NS'!$P:$P,'TB All Check'!$H$7)</f>
        <v>0</v>
      </c>
      <c r="K33" s="296">
        <f t="shared" si="1"/>
        <v>0</v>
      </c>
      <c r="M33" s="110" t="s">
        <v>198</v>
      </c>
      <c r="N33" s="110" t="s">
        <v>1027</v>
      </c>
      <c r="O33" s="121">
        <f>SUMIFS('TB &amp; MCC Cost Audit 2020-Curren'!$P:$P,'TB &amp; MCC Cost Audit 2020-Curren'!$A:$A,'TB All Check'!$M33,'TB &amp; MCC Cost Audit 2020-Curren'!$C:$C,'TB All Check'!$N$7,'TB &amp; MCC Cost Audit 2020-Curren'!$D:$D,'TB All Check'!$M$7)</f>
        <v>0</v>
      </c>
      <c r="P33" s="121">
        <f>SUMIFS('2024 Rev - NS'!$N:$N,'2024 Rev - NS'!$G:$G,'TB All Check'!$N33,'2024 Rev - NS'!$P:$P,'TB All Check'!$N$7)</f>
        <v>0</v>
      </c>
      <c r="Q33" s="296">
        <f t="shared" si="2"/>
        <v>0</v>
      </c>
    </row>
    <row r="34" spans="1:17" x14ac:dyDescent="0.15">
      <c r="A34" s="110" t="s">
        <v>115</v>
      </c>
      <c r="B34" s="110" t="s">
        <v>1028</v>
      </c>
      <c r="C34" s="121">
        <f>SUMIFS('TB &amp; MCC Cost Audit 2020-Curren'!$P:$P,'TB &amp; MCC Cost Audit 2020-Curren'!$A:$A,'TB All Check'!$A34,'TB &amp; MCC Cost Audit 2020-Curren'!$C:$C,'TB All Check'!$B$7,'TB &amp; MCC Cost Audit 2020-Curren'!$D:$D,'TB All Check'!$A$7)</f>
        <v>35058</v>
      </c>
      <c r="D34" s="121">
        <f>SUMIFS('2022 Partial Rev - NS'!$N:$N,'2022 Partial Rev - NS'!$G:$G,'TB All Check'!$B34,'2022 Partial Rev - NS'!$P:$P,'TB All Check'!$B$7)</f>
        <v>35058</v>
      </c>
      <c r="E34" s="296">
        <f t="shared" si="0"/>
        <v>0</v>
      </c>
      <c r="G34" s="110" t="s">
        <v>115</v>
      </c>
      <c r="H34" s="110" t="s">
        <v>1028</v>
      </c>
      <c r="I34" s="121">
        <f>SUMIFS('TB &amp; MCC Cost Audit 2020-Curren'!$P:$P,'TB &amp; MCC Cost Audit 2020-Curren'!$A:$A,'TB All Check'!$A34,'TB &amp; MCC Cost Audit 2020-Curren'!$C:$C,'TB All Check'!$H$7,'TB &amp; MCC Cost Audit 2020-Curren'!$D:$D,'TB All Check'!$G$7)</f>
        <v>0</v>
      </c>
      <c r="J34" s="121">
        <f>SUMIFS('2023 Rev - NS'!$N:$N,'2023 Rev - NS'!$G:$G,'TB All Check'!$H34,'2023 Rev - NS'!$P:$P,'TB All Check'!$H$7)</f>
        <v>0</v>
      </c>
      <c r="K34" s="296">
        <f t="shared" si="1"/>
        <v>0</v>
      </c>
      <c r="M34" s="110" t="s">
        <v>115</v>
      </c>
      <c r="N34" s="110" t="s">
        <v>1028</v>
      </c>
      <c r="O34" s="121">
        <f>SUMIFS('TB &amp; MCC Cost Audit 2020-Curren'!$P:$P,'TB &amp; MCC Cost Audit 2020-Curren'!$A:$A,'TB All Check'!$M34,'TB &amp; MCC Cost Audit 2020-Curren'!$C:$C,'TB All Check'!$N$7,'TB &amp; MCC Cost Audit 2020-Curren'!$D:$D,'TB All Check'!$M$7)</f>
        <v>46713</v>
      </c>
      <c r="P34" s="121">
        <f>SUMIFS('2024 Rev - NS'!$N:$N,'2024 Rev - NS'!$G:$G,'TB All Check'!$N34,'2024 Rev - NS'!$P:$P,'TB All Check'!$N$7)</f>
        <v>46713</v>
      </c>
      <c r="Q34" s="296">
        <f t="shared" si="2"/>
        <v>0</v>
      </c>
    </row>
    <row r="35" spans="1:17" x14ac:dyDescent="0.15">
      <c r="A35" s="110" t="s">
        <v>277</v>
      </c>
      <c r="B35" s="110" t="s">
        <v>1029</v>
      </c>
      <c r="C35" s="121">
        <f>SUMIFS('TB &amp; MCC Cost Audit 2020-Curren'!$P:$P,'TB &amp; MCC Cost Audit 2020-Curren'!$A:$A,'TB All Check'!$A35,'TB &amp; MCC Cost Audit 2020-Curren'!$C:$C,'TB All Check'!$B$7,'TB &amp; MCC Cost Audit 2020-Curren'!$D:$D,'TB All Check'!$A$7)</f>
        <v>31647</v>
      </c>
      <c r="D35" s="121">
        <f>SUMIFS('2022 Partial Rev - NS'!$N:$N,'2022 Partial Rev - NS'!$G:$G,'TB All Check'!$B35,'2022 Partial Rev - NS'!$P:$P,'TB All Check'!$B$7)</f>
        <v>31647</v>
      </c>
      <c r="E35" s="296">
        <f t="shared" si="0"/>
        <v>0</v>
      </c>
      <c r="G35" s="110" t="s">
        <v>277</v>
      </c>
      <c r="H35" s="110" t="s">
        <v>1029</v>
      </c>
      <c r="I35" s="121">
        <f>SUMIFS('TB &amp; MCC Cost Audit 2020-Curren'!$P:$P,'TB &amp; MCC Cost Audit 2020-Curren'!$A:$A,'TB All Check'!$A35,'TB &amp; MCC Cost Audit 2020-Curren'!$C:$C,'TB All Check'!$H$7,'TB &amp; MCC Cost Audit 2020-Curren'!$D:$D,'TB All Check'!$G$7)</f>
        <v>0</v>
      </c>
      <c r="J35" s="121">
        <f>SUMIFS('2023 Rev - NS'!$N:$N,'2023 Rev - NS'!$G:$G,'TB All Check'!$H35,'2023 Rev - NS'!$P:$P,'TB All Check'!$H$7)</f>
        <v>0</v>
      </c>
      <c r="K35" s="296">
        <f t="shared" si="1"/>
        <v>0</v>
      </c>
      <c r="M35" s="110" t="s">
        <v>277</v>
      </c>
      <c r="N35" s="110" t="s">
        <v>1029</v>
      </c>
      <c r="O35" s="121">
        <f>SUMIFS('TB &amp; MCC Cost Audit 2020-Curren'!$P:$P,'TB &amp; MCC Cost Audit 2020-Curren'!$A:$A,'TB All Check'!$M35,'TB &amp; MCC Cost Audit 2020-Curren'!$C:$C,'TB All Check'!$N$7,'TB &amp; MCC Cost Audit 2020-Curren'!$D:$D,'TB All Check'!$M$7)</f>
        <v>31648</v>
      </c>
      <c r="P35" s="121">
        <f>SUMIFS('2024 Rev - NS'!$N:$N,'2024 Rev - NS'!$G:$G,'TB All Check'!$N35,'2024 Rev - NS'!$P:$P,'TB All Check'!$N$7)</f>
        <v>31648</v>
      </c>
      <c r="Q35" s="296">
        <f t="shared" si="2"/>
        <v>0</v>
      </c>
    </row>
    <row r="36" spans="1:17" x14ac:dyDescent="0.15">
      <c r="A36" s="110" t="s">
        <v>152</v>
      </c>
      <c r="B36" s="110" t="s">
        <v>1030</v>
      </c>
      <c r="C36" s="121">
        <f>SUMIFS('TB &amp; MCC Cost Audit 2020-Curren'!$P:$P,'TB &amp; MCC Cost Audit 2020-Curren'!$A:$A,'TB All Check'!$A36,'TB &amp; MCC Cost Audit 2020-Curren'!$C:$C,'TB All Check'!$B$7,'TB &amp; MCC Cost Audit 2020-Curren'!$D:$D,'TB All Check'!$A$7)</f>
        <v>16486</v>
      </c>
      <c r="D36" s="313">
        <v>16486</v>
      </c>
      <c r="E36" s="296">
        <f t="shared" si="0"/>
        <v>0</v>
      </c>
      <c r="G36" s="110" t="s">
        <v>152</v>
      </c>
      <c r="H36" s="110" t="s">
        <v>1030</v>
      </c>
      <c r="I36" s="121">
        <f>SUMIFS('TB &amp; MCC Cost Audit 2020-Curren'!$P:$P,'TB &amp; MCC Cost Audit 2020-Curren'!$A:$A,'TB All Check'!$A36,'TB &amp; MCC Cost Audit 2020-Curren'!$C:$C,'TB All Check'!$H$7,'TB &amp; MCC Cost Audit 2020-Curren'!$D:$D,'TB All Check'!$G$7)</f>
        <v>0</v>
      </c>
      <c r="J36" s="121">
        <f>SUMIFS('2023 Rev - NS'!$N:$N,'2023 Rev - NS'!$G:$G,'TB All Check'!$H36,'2023 Rev - NS'!$P:$P,'TB All Check'!$H$7)</f>
        <v>0</v>
      </c>
      <c r="K36" s="296">
        <f t="shared" si="1"/>
        <v>0</v>
      </c>
      <c r="M36" s="110" t="s">
        <v>152</v>
      </c>
      <c r="N36" s="110" t="s">
        <v>1030</v>
      </c>
      <c r="O36" s="121">
        <f>SUMIFS('TB &amp; MCC Cost Audit 2020-Curren'!$P:$P,'TB &amp; MCC Cost Audit 2020-Curren'!$A:$A,'TB All Check'!$M36,'TB &amp; MCC Cost Audit 2020-Curren'!$C:$C,'TB All Check'!$N$7,'TB &amp; MCC Cost Audit 2020-Curren'!$D:$D,'TB All Check'!$M$7)</f>
        <v>17017</v>
      </c>
      <c r="P36" s="121">
        <f>SUMIFS('2024 Rev - NS'!$N:$N,'2024 Rev - NS'!$G:$G,'TB All Check'!$N36,'2024 Rev - NS'!$P:$P,'TB All Check'!$N$7)</f>
        <v>17017</v>
      </c>
      <c r="Q36" s="296">
        <f t="shared" si="2"/>
        <v>0</v>
      </c>
    </row>
    <row r="37" spans="1:17" x14ac:dyDescent="0.15">
      <c r="A37" s="110" t="s">
        <v>2839</v>
      </c>
      <c r="B37" s="110" t="s">
        <v>1608</v>
      </c>
      <c r="C37" s="121">
        <f>SUMIFS('TB &amp; MCC Cost Audit 2020-Curren'!$P:$P,'TB &amp; MCC Cost Audit 2020-Curren'!$A:$A,'TB All Check'!$A37,'TB &amp; MCC Cost Audit 2020-Curren'!$C:$C,'TB All Check'!$B$7,'TB &amp; MCC Cost Audit 2020-Curren'!$D:$D,'TB All Check'!$A$7)</f>
        <v>0</v>
      </c>
      <c r="D37" s="121">
        <f>SUMIFS('2022 Partial Rev - NS'!$N:$N,'2022 Partial Rev - NS'!$G:$G,'TB All Check'!$B37,'2022 Partial Rev - NS'!$P:$P,'TB All Check'!$B$7)</f>
        <v>0</v>
      </c>
      <c r="E37" s="296">
        <f t="shared" ref="E37" si="3">C37-D37</f>
        <v>0</v>
      </c>
      <c r="G37" s="110" t="s">
        <v>2839</v>
      </c>
      <c r="H37" s="286" t="s">
        <v>1608</v>
      </c>
      <c r="I37" s="121">
        <f>SUMIFS('TB &amp; MCC Cost Audit 2020-Curren'!$P:$P,'TB &amp; MCC Cost Audit 2020-Curren'!$A:$A,'TB All Check'!$A37,'TB &amp; MCC Cost Audit 2020-Curren'!$C:$C,'TB All Check'!$H$7,'TB &amp; MCC Cost Audit 2020-Curren'!$D:$D,'TB All Check'!$G$7)</f>
        <v>196757.99999999997</v>
      </c>
      <c r="J37" s="121">
        <f>SUMIFS('2023 Rev - NS'!$N:$N,'2023 Rev - NS'!$G:$G,'TB All Check'!$H37,'2023 Rev - NS'!$P:$P,'TB All Check'!$H$7)</f>
        <v>196757.99999999997</v>
      </c>
      <c r="K37" s="296">
        <f t="shared" ref="K37" si="4">I37-J37</f>
        <v>0</v>
      </c>
      <c r="M37" s="110" t="s">
        <v>2839</v>
      </c>
      <c r="N37" s="286" t="s">
        <v>1608</v>
      </c>
      <c r="O37" s="121">
        <f>SUMIFS('TB &amp; MCC Cost Audit 2020-Curren'!$P:$P,'TB &amp; MCC Cost Audit 2020-Curren'!$A:$A,'TB All Check'!$M37,'TB &amp; MCC Cost Audit 2020-Curren'!$C:$C,'TB All Check'!$N$7,'TB &amp; MCC Cost Audit 2020-Curren'!$D:$D,'TB All Check'!$M$7)</f>
        <v>0</v>
      </c>
      <c r="P37" s="121">
        <f>SUMIFS('2024 Rev - NS'!$N:$N,'2024 Rev - NS'!$G:$G,'TB All Check'!$N37,'2024 Rev - NS'!$P:$P,'TB All Check'!$N$7)</f>
        <v>0</v>
      </c>
      <c r="Q37" s="296">
        <f t="shared" ref="Q37" si="5">P37-O37</f>
        <v>0</v>
      </c>
    </row>
    <row r="38" spans="1:17" x14ac:dyDescent="0.15">
      <c r="A38" s="110" t="s">
        <v>699</v>
      </c>
      <c r="B38" s="110" t="s">
        <v>1031</v>
      </c>
      <c r="C38" s="121">
        <f>SUMIFS('TB &amp; MCC Cost Audit 2020-Curren'!$P:$P,'TB &amp; MCC Cost Audit 2020-Curren'!$A:$A,'TB All Check'!$A38,'TB &amp; MCC Cost Audit 2020-Curren'!$C:$C,'TB All Check'!$B$7,'TB &amp; MCC Cost Audit 2020-Curren'!$D:$D,'TB All Check'!$A$7)</f>
        <v>0</v>
      </c>
      <c r="D38" s="121">
        <f>SUMIFS('2022 Partial Rev - NS'!$N:$N,'2022 Partial Rev - NS'!$G:$G,'TB All Check'!$B38,'2022 Partial Rev - NS'!$P:$P,'TB All Check'!$B$7)</f>
        <v>0</v>
      </c>
      <c r="E38" s="296">
        <f t="shared" si="0"/>
        <v>0</v>
      </c>
      <c r="G38" s="110" t="s">
        <v>699</v>
      </c>
      <c r="H38" s="110" t="s">
        <v>1031</v>
      </c>
      <c r="I38" s="121">
        <f>SUMIFS('TB &amp; MCC Cost Audit 2020-Curren'!$P:$P,'TB &amp; MCC Cost Audit 2020-Curren'!$A:$A,'TB All Check'!$A38,'TB &amp; MCC Cost Audit 2020-Curren'!$C:$C,'TB All Check'!$H$7,'TB &amp; MCC Cost Audit 2020-Curren'!$D:$D,'TB All Check'!$G$7)</f>
        <v>712216</v>
      </c>
      <c r="J38" s="121">
        <f>SUMIFS('2023 Rev - NS'!$N:$N,'2023 Rev - NS'!$G:$G,'TB All Check'!$H38,'2023 Rev - NS'!$P:$P,'TB All Check'!$H$7)</f>
        <v>712216</v>
      </c>
      <c r="K38" s="296">
        <f t="shared" si="1"/>
        <v>0</v>
      </c>
      <c r="M38" s="110" t="s">
        <v>699</v>
      </c>
      <c r="N38" s="110" t="s">
        <v>1031</v>
      </c>
      <c r="O38" s="121">
        <f>SUMIFS('TB &amp; MCC Cost Audit 2020-Curren'!$P:$P,'TB &amp; MCC Cost Audit 2020-Curren'!$A:$A,'TB All Check'!$M38,'TB &amp; MCC Cost Audit 2020-Curren'!$C:$C,'TB All Check'!$N$7,'TB &amp; MCC Cost Audit 2020-Curren'!$D:$D,'TB All Check'!$M$7)</f>
        <v>0</v>
      </c>
      <c r="P38" s="121">
        <f>SUMIFS('2024 Rev - NS'!$N:$N,'2024 Rev - NS'!$G:$G,'TB All Check'!$N38,'2024 Rev - NS'!$P:$P,'TB All Check'!$N$7)</f>
        <v>0</v>
      </c>
      <c r="Q38" s="296">
        <f t="shared" si="2"/>
        <v>0</v>
      </c>
    </row>
    <row r="39" spans="1:17" x14ac:dyDescent="0.15">
      <c r="A39" s="110" t="s">
        <v>327</v>
      </c>
      <c r="B39" s="110" t="s">
        <v>1032</v>
      </c>
      <c r="C39" s="121">
        <f>SUMIFS('TB &amp; MCC Cost Audit 2020-Curren'!$P:$P,'TB &amp; MCC Cost Audit 2020-Curren'!$A:$A,'TB All Check'!$A39,'TB &amp; MCC Cost Audit 2020-Curren'!$C:$C,'TB All Check'!$B$7,'TB &amp; MCC Cost Audit 2020-Curren'!$D:$D,'TB All Check'!$A$7)</f>
        <v>0</v>
      </c>
      <c r="D39" s="121">
        <f>SUMIFS('2022 Partial Rev - NS'!$N:$N,'2022 Partial Rev - NS'!$G:$G,'TB All Check'!$B39,'2022 Partial Rev - NS'!$P:$P,'TB All Check'!$B$7)</f>
        <v>0</v>
      </c>
      <c r="E39" s="296">
        <f t="shared" si="0"/>
        <v>0</v>
      </c>
      <c r="G39" s="110" t="s">
        <v>327</v>
      </c>
      <c r="H39" s="110" t="s">
        <v>1032</v>
      </c>
      <c r="I39" s="121">
        <f>SUMIFS('TB &amp; MCC Cost Audit 2020-Curren'!$P:$P,'TB &amp; MCC Cost Audit 2020-Curren'!$A:$A,'TB All Check'!$A39,'TB &amp; MCC Cost Audit 2020-Curren'!$C:$C,'TB All Check'!$H$7,'TB &amp; MCC Cost Audit 2020-Curren'!$D:$D,'TB All Check'!$G$7)</f>
        <v>0</v>
      </c>
      <c r="J39" s="121">
        <f>SUMIFS('2023 Rev - NS'!$N:$N,'2023 Rev - NS'!$G:$G,'TB All Check'!$H39,'2023 Rev - NS'!$P:$P,'TB All Check'!$H$7)</f>
        <v>0</v>
      </c>
      <c r="K39" s="296">
        <f t="shared" si="1"/>
        <v>0</v>
      </c>
      <c r="M39" s="110" t="s">
        <v>327</v>
      </c>
      <c r="N39" s="110" t="s">
        <v>1032</v>
      </c>
      <c r="O39" s="121">
        <f>SUMIFS('TB &amp; MCC Cost Audit 2020-Curren'!$P:$P,'TB &amp; MCC Cost Audit 2020-Curren'!$A:$A,'TB All Check'!$M39,'TB &amp; MCC Cost Audit 2020-Curren'!$C:$C,'TB All Check'!$N$7,'TB &amp; MCC Cost Audit 2020-Curren'!$D:$D,'TB All Check'!$M$7)</f>
        <v>0</v>
      </c>
      <c r="P39" s="121">
        <f>SUMIFS('2024 Rev - NS'!$N:$N,'2024 Rev - NS'!$G:$G,'TB All Check'!$N39,'2024 Rev - NS'!$P:$P,'TB All Check'!$N$7)</f>
        <v>0</v>
      </c>
      <c r="Q39" s="296">
        <f t="shared" si="2"/>
        <v>0</v>
      </c>
    </row>
    <row r="40" spans="1:17" x14ac:dyDescent="0.15">
      <c r="A40" s="110" t="s">
        <v>97</v>
      </c>
      <c r="B40" s="110" t="s">
        <v>1033</v>
      </c>
      <c r="C40" s="121">
        <f>SUMIFS('TB &amp; MCC Cost Audit 2020-Curren'!$P:$P,'TB &amp; MCC Cost Audit 2020-Curren'!$A:$A,'TB All Check'!$A40,'TB &amp; MCC Cost Audit 2020-Curren'!$C:$C,'TB All Check'!$B$7,'TB &amp; MCC Cost Audit 2020-Curren'!$D:$D,'TB All Check'!$A$7)</f>
        <v>0</v>
      </c>
      <c r="D40" s="121">
        <f>SUMIFS('2022 Partial Rev - NS'!$N:$N,'2022 Partial Rev - NS'!$G:$G,'TB All Check'!$B40,'2022 Partial Rev - NS'!$P:$P,'TB All Check'!$B$7)</f>
        <v>0</v>
      </c>
      <c r="E40" s="296">
        <f t="shared" si="0"/>
        <v>0</v>
      </c>
      <c r="G40" s="110" t="s">
        <v>97</v>
      </c>
      <c r="H40" s="110" t="s">
        <v>1033</v>
      </c>
      <c r="I40" s="121">
        <f>SUMIFS('TB &amp; MCC Cost Audit 2020-Curren'!$P:$P,'TB &amp; MCC Cost Audit 2020-Curren'!$A:$A,'TB All Check'!$A40,'TB &amp; MCC Cost Audit 2020-Curren'!$C:$C,'TB All Check'!$H$7,'TB &amp; MCC Cost Audit 2020-Curren'!$D:$D,'TB All Check'!$G$7)</f>
        <v>0</v>
      </c>
      <c r="J40" s="121">
        <f>SUMIFS('2023 Rev - NS'!$N:$N,'2023 Rev - NS'!$G:$G,'TB All Check'!$H40,'2023 Rev - NS'!$P:$P,'TB All Check'!$H$7)</f>
        <v>0</v>
      </c>
      <c r="K40" s="296">
        <f t="shared" si="1"/>
        <v>0</v>
      </c>
      <c r="M40" s="110" t="s">
        <v>97</v>
      </c>
      <c r="N40" s="110" t="s">
        <v>1033</v>
      </c>
      <c r="O40" s="121">
        <f>SUMIFS('TB &amp; MCC Cost Audit 2020-Curren'!$P:$P,'TB &amp; MCC Cost Audit 2020-Curren'!$A:$A,'TB All Check'!$M40,'TB &amp; MCC Cost Audit 2020-Curren'!$C:$C,'TB All Check'!$N$7,'TB &amp; MCC Cost Audit 2020-Curren'!$D:$D,'TB All Check'!$M$7)</f>
        <v>0</v>
      </c>
      <c r="P40" s="121">
        <f>SUMIFS('2024 Rev - NS'!$N:$N,'2024 Rev - NS'!$G:$G,'TB All Check'!$N40,'2024 Rev - NS'!$P:$P,'TB All Check'!$N$7)</f>
        <v>0</v>
      </c>
      <c r="Q40" s="296">
        <f t="shared" si="2"/>
        <v>0</v>
      </c>
    </row>
    <row r="41" spans="1:17" x14ac:dyDescent="0.15">
      <c r="A41" s="110" t="s">
        <v>665</v>
      </c>
      <c r="B41" s="110" t="s">
        <v>1034</v>
      </c>
      <c r="C41" s="121">
        <f>SUMIFS('TB &amp; MCC Cost Audit 2020-Curren'!$P:$P,'TB &amp; MCC Cost Audit 2020-Curren'!$A:$A,'TB All Check'!$A41,'TB &amp; MCC Cost Audit 2020-Curren'!$C:$C,'TB All Check'!$B$7,'TB &amp; MCC Cost Audit 2020-Curren'!$D:$D,'TB All Check'!$A$7)</f>
        <v>0</v>
      </c>
      <c r="D41" s="121">
        <f>SUMIFS('2022 Partial Rev - NS'!$N:$N,'2022 Partial Rev - NS'!$G:$G,'TB All Check'!$B41,'2022 Partial Rev - NS'!$P:$P,'TB All Check'!$B$7)</f>
        <v>0</v>
      </c>
      <c r="E41" s="296">
        <f t="shared" si="0"/>
        <v>0</v>
      </c>
      <c r="G41" s="110" t="s">
        <v>665</v>
      </c>
      <c r="H41" s="110" t="s">
        <v>1034</v>
      </c>
      <c r="I41" s="121">
        <f>SUMIFS('TB &amp; MCC Cost Audit 2020-Curren'!$P:$P,'TB &amp; MCC Cost Audit 2020-Curren'!$A:$A,'TB All Check'!$A41,'TB &amp; MCC Cost Audit 2020-Curren'!$C:$C,'TB All Check'!$H$7,'TB &amp; MCC Cost Audit 2020-Curren'!$D:$D,'TB All Check'!$G$7)</f>
        <v>229969</v>
      </c>
      <c r="J41" s="121">
        <f>SUMIFS('2023 Rev - NS'!$N:$N,'2023 Rev - NS'!$G:$G,'TB All Check'!$H41,'2023 Rev - NS'!$P:$P,'TB All Check'!$H$7)</f>
        <v>229969</v>
      </c>
      <c r="K41" s="296">
        <f t="shared" si="1"/>
        <v>0</v>
      </c>
      <c r="M41" s="110" t="s">
        <v>665</v>
      </c>
      <c r="N41" s="110" t="s">
        <v>1034</v>
      </c>
      <c r="O41" s="121">
        <f>SUMIFS('TB &amp; MCC Cost Audit 2020-Curren'!$P:$P,'TB &amp; MCC Cost Audit 2020-Curren'!$A:$A,'TB All Check'!$M41,'TB &amp; MCC Cost Audit 2020-Curren'!$C:$C,'TB All Check'!$N$7,'TB &amp; MCC Cost Audit 2020-Curren'!$D:$D,'TB All Check'!$M$7)</f>
        <v>0</v>
      </c>
      <c r="P41" s="121">
        <f>SUMIFS('2024 Rev - NS'!$N:$N,'2024 Rev - NS'!$H:$H,'TB All Check'!$N41,'2024 Rev - NS'!$P:$P,'TB All Check'!$N$7)</f>
        <v>0</v>
      </c>
      <c r="Q41" s="296">
        <f t="shared" si="2"/>
        <v>0</v>
      </c>
    </row>
    <row r="42" spans="1:17" x14ac:dyDescent="0.15">
      <c r="A42" s="110" t="s">
        <v>264</v>
      </c>
      <c r="B42" s="110" t="s">
        <v>1035</v>
      </c>
      <c r="C42" s="121">
        <f>SUMIFS('TB &amp; MCC Cost Audit 2020-Curren'!$P:$P,'TB &amp; MCC Cost Audit 2020-Curren'!$A:$A,'TB All Check'!$A42,'TB &amp; MCC Cost Audit 2020-Curren'!$C:$C,'TB All Check'!$B$7,'TB &amp; MCC Cost Audit 2020-Curren'!$D:$D,'TB All Check'!$A$7)</f>
        <v>9389</v>
      </c>
      <c r="D42" s="121">
        <f>SUMIFS('2022 Partial Rev - NS'!$N:$N,'2022 Partial Rev - NS'!$G:$G,'TB All Check'!$B42,'2022 Partial Rev - NS'!$P:$P,'TB All Check'!$B$7)</f>
        <v>9389</v>
      </c>
      <c r="E42" s="296">
        <f t="shared" si="0"/>
        <v>0</v>
      </c>
      <c r="G42" s="110" t="s">
        <v>264</v>
      </c>
      <c r="H42" s="110" t="s">
        <v>1035</v>
      </c>
      <c r="I42" s="121">
        <f>SUMIFS('TB &amp; MCC Cost Audit 2020-Curren'!$P:$P,'TB &amp; MCC Cost Audit 2020-Curren'!$A:$A,'TB All Check'!$A42,'TB &amp; MCC Cost Audit 2020-Curren'!$C:$C,'TB All Check'!$H$7,'TB &amp; MCC Cost Audit 2020-Curren'!$D:$D,'TB All Check'!$G$7)</f>
        <v>0</v>
      </c>
      <c r="J42" s="121">
        <f>SUMIFS('2023 Rev - NS'!$N:$N,'2023 Rev - NS'!$G:$G,'TB All Check'!$H42,'2023 Rev - NS'!$P:$P,'TB All Check'!$H$7)</f>
        <v>0</v>
      </c>
      <c r="K42" s="296">
        <f t="shared" si="1"/>
        <v>0</v>
      </c>
      <c r="M42" s="110" t="s">
        <v>264</v>
      </c>
      <c r="N42" s="110" t="s">
        <v>1035</v>
      </c>
      <c r="O42" s="121">
        <f>SUMIFS('TB &amp; MCC Cost Audit 2020-Curren'!$P:$P,'TB &amp; MCC Cost Audit 2020-Curren'!$A:$A,'TB All Check'!$M42,'TB &amp; MCC Cost Audit 2020-Curren'!$C:$C,'TB All Check'!$N$7,'TB &amp; MCC Cost Audit 2020-Curren'!$D:$D,'TB All Check'!$M$7)</f>
        <v>9961</v>
      </c>
      <c r="P42" s="121">
        <f>SUMIFS('2024 Rev - NS'!$N:$N,'2024 Rev - NS'!$G:$G,'TB All Check'!$N42,'2024 Rev - NS'!$P:$P,'TB All Check'!$N$7)</f>
        <v>9961</v>
      </c>
      <c r="Q42" s="296">
        <f t="shared" si="2"/>
        <v>0</v>
      </c>
    </row>
    <row r="43" spans="1:17" x14ac:dyDescent="0.15">
      <c r="A43" s="110" t="s">
        <v>683</v>
      </c>
      <c r="B43" s="110" t="s">
        <v>1036</v>
      </c>
      <c r="C43" s="121">
        <f>SUMIFS('TB &amp; MCC Cost Audit 2020-Curren'!$P:$P,'TB &amp; MCC Cost Audit 2020-Curren'!$A:$A,'TB All Check'!$A43,'TB &amp; MCC Cost Audit 2020-Curren'!$C:$C,'TB All Check'!$B$7,'TB &amp; MCC Cost Audit 2020-Curren'!$D:$D,'TB All Check'!$A$7)</f>
        <v>0</v>
      </c>
      <c r="D43" s="121">
        <f>SUMIFS('2022 Partial Rev - NS'!$N:$N,'2022 Partial Rev - NS'!$G:$G,'TB All Check'!$B43,'2022 Partial Rev - NS'!$P:$P,'TB All Check'!$B$7)</f>
        <v>0</v>
      </c>
      <c r="E43" s="296">
        <f t="shared" si="0"/>
        <v>0</v>
      </c>
      <c r="G43" s="110" t="s">
        <v>683</v>
      </c>
      <c r="H43" s="110" t="s">
        <v>1036</v>
      </c>
      <c r="I43" s="121">
        <f>SUMIFS('TB &amp; MCC Cost Audit 2020-Curren'!$P:$P,'TB &amp; MCC Cost Audit 2020-Curren'!$A:$A,'TB All Check'!$A43,'TB &amp; MCC Cost Audit 2020-Curren'!$C:$C,'TB All Check'!$H$7,'TB &amp; MCC Cost Audit 2020-Curren'!$D:$D,'TB All Check'!$G$7)</f>
        <v>317501</v>
      </c>
      <c r="J43" s="121">
        <f>SUMIFS('2023 Rev - NS'!$N:$N,'2023 Rev - NS'!$G:$G,'TB All Check'!$H43,'2023 Rev - NS'!$P:$P,'TB All Check'!$H$7)</f>
        <v>317501</v>
      </c>
      <c r="K43" s="296">
        <f t="shared" si="1"/>
        <v>0</v>
      </c>
      <c r="M43" s="110" t="s">
        <v>683</v>
      </c>
      <c r="N43" s="110" t="s">
        <v>1036</v>
      </c>
      <c r="O43" s="121">
        <f>SUMIFS('TB &amp; MCC Cost Audit 2020-Curren'!$P:$P,'TB &amp; MCC Cost Audit 2020-Curren'!$A:$A,'TB All Check'!$M43,'TB &amp; MCC Cost Audit 2020-Curren'!$C:$C,'TB All Check'!$N$7,'TB &amp; MCC Cost Audit 2020-Curren'!$D:$D,'TB All Check'!$M$7)</f>
        <v>12876</v>
      </c>
      <c r="P43" s="121">
        <f>SUMIFS('2024 Rev - NS'!$N:$N,'2024 Rev - NS'!$G:$G,'TB All Check'!$N43,'2024 Rev - NS'!$P:$P,'TB All Check'!$N$7)</f>
        <v>12876</v>
      </c>
      <c r="Q43" s="296">
        <f t="shared" si="2"/>
        <v>0</v>
      </c>
    </row>
    <row r="44" spans="1:17" x14ac:dyDescent="0.15">
      <c r="A44" s="110" t="s">
        <v>788</v>
      </c>
      <c r="B44" s="110" t="s">
        <v>1037</v>
      </c>
      <c r="C44" s="121">
        <f>SUMIFS('TB &amp; MCC Cost Audit 2020-Curren'!$P:$P,'TB &amp; MCC Cost Audit 2020-Curren'!$A:$A,'TB All Check'!$A44,'TB &amp; MCC Cost Audit 2020-Curren'!$C:$C,'TB All Check'!$B$7,'TB &amp; MCC Cost Audit 2020-Curren'!$D:$D,'TB All Check'!$A$7)</f>
        <v>0</v>
      </c>
      <c r="D44" s="121">
        <f>SUMIFS('2022 Partial Rev - NS'!$N:$N,'2022 Partial Rev - NS'!$G:$G,'TB All Check'!$B44,'2022 Partial Rev - NS'!$P:$P,'TB All Check'!$B$7)</f>
        <v>0</v>
      </c>
      <c r="E44" s="296">
        <f t="shared" si="0"/>
        <v>0</v>
      </c>
      <c r="G44" s="110" t="s">
        <v>788</v>
      </c>
      <c r="H44" s="110" t="s">
        <v>1037</v>
      </c>
      <c r="I44" s="121">
        <f>SUMIFS('TB &amp; MCC Cost Audit 2020-Curren'!$P:$P,'TB &amp; MCC Cost Audit 2020-Curren'!$A:$A,'TB All Check'!$A44,'TB &amp; MCC Cost Audit 2020-Curren'!$C:$C,'TB All Check'!$H$7,'TB &amp; MCC Cost Audit 2020-Curren'!$D:$D,'TB All Check'!$G$7)</f>
        <v>0</v>
      </c>
      <c r="J44" s="121">
        <f>SUMIFS('2023 Rev - NS'!$N:$N,'2023 Rev - NS'!$G:$G,'TB All Check'!$H44,'2023 Rev - NS'!$P:$P,'TB All Check'!$H$7)</f>
        <v>0</v>
      </c>
      <c r="K44" s="296">
        <f t="shared" si="1"/>
        <v>0</v>
      </c>
      <c r="M44" s="110" t="s">
        <v>788</v>
      </c>
      <c r="N44" s="110" t="s">
        <v>1037</v>
      </c>
      <c r="O44" s="121">
        <f>SUMIFS('TB &amp; MCC Cost Audit 2020-Curren'!$P:$P,'TB &amp; MCC Cost Audit 2020-Curren'!$A:$A,'TB All Check'!$M44,'TB &amp; MCC Cost Audit 2020-Curren'!$C:$C,'TB All Check'!$N$7,'TB &amp; MCC Cost Audit 2020-Curren'!$D:$D,'TB All Check'!$M$7)</f>
        <v>15756</v>
      </c>
      <c r="P44" s="121">
        <f>SUMIFS('2024 Rev - NS'!$N:$N,'2024 Rev - NS'!$G:$G,'TB All Check'!$N44,'2024 Rev - NS'!$P:$P,'TB All Check'!$N$7)</f>
        <v>15756</v>
      </c>
      <c r="Q44" s="296">
        <f t="shared" si="2"/>
        <v>0</v>
      </c>
    </row>
    <row r="45" spans="1:17" x14ac:dyDescent="0.15">
      <c r="A45" s="110" t="s">
        <v>426</v>
      </c>
      <c r="B45" s="110" t="s">
        <v>1038</v>
      </c>
      <c r="C45" s="121">
        <f>SUMIFS('TB &amp; MCC Cost Audit 2020-Curren'!$P:$P,'TB &amp; MCC Cost Audit 2020-Curren'!$A:$A,'TB All Check'!$A45,'TB &amp; MCC Cost Audit 2020-Curren'!$C:$C,'TB All Check'!$B$7,'TB &amp; MCC Cost Audit 2020-Curren'!$D:$D,'TB All Check'!$A$7)</f>
        <v>0</v>
      </c>
      <c r="D45" s="121">
        <f>SUMIFS('2022 Partial Rev - NS'!$N:$N,'2022 Partial Rev - NS'!$G:$G,'TB All Check'!$B45,'2022 Partial Rev - NS'!$P:$P,'TB All Check'!$B$7)</f>
        <v>0</v>
      </c>
      <c r="E45" s="296">
        <f t="shared" si="0"/>
        <v>0</v>
      </c>
      <c r="G45" s="110" t="s">
        <v>426</v>
      </c>
      <c r="H45" s="110" t="s">
        <v>1038</v>
      </c>
      <c r="I45" s="121">
        <f>SUMIFS('TB &amp; MCC Cost Audit 2020-Curren'!$P:$P,'TB &amp; MCC Cost Audit 2020-Curren'!$A:$A,'TB All Check'!$A45,'TB &amp; MCC Cost Audit 2020-Curren'!$C:$C,'TB All Check'!$H$7,'TB &amp; MCC Cost Audit 2020-Curren'!$D:$D,'TB All Check'!$G$7)</f>
        <v>0</v>
      </c>
      <c r="J45" s="121">
        <f>SUMIFS('2023 Rev - NS'!$N:$N,'2023 Rev - NS'!$G:$G,'TB All Check'!$H45,'2023 Rev - NS'!$P:$P,'TB All Check'!$H$7)</f>
        <v>0</v>
      </c>
      <c r="K45" s="296">
        <f t="shared" si="1"/>
        <v>0</v>
      </c>
      <c r="M45" s="110" t="s">
        <v>426</v>
      </c>
      <c r="N45" s="110" t="s">
        <v>1038</v>
      </c>
      <c r="O45" s="121">
        <f>SUMIFS('TB &amp; MCC Cost Audit 2020-Curren'!$P:$P,'TB &amp; MCC Cost Audit 2020-Curren'!$A:$A,'TB All Check'!$M45,'TB &amp; MCC Cost Audit 2020-Curren'!$C:$C,'TB All Check'!$N$7,'TB &amp; MCC Cost Audit 2020-Curren'!$D:$D,'TB All Check'!$M$7)</f>
        <v>8865</v>
      </c>
      <c r="P45" s="121">
        <f>SUMIFS('2024 Rev - NS'!$N:$N,'2024 Rev - NS'!$G:$G,'TB All Check'!$N45,'2024 Rev - NS'!$P:$P,'TB All Check'!$N$7)</f>
        <v>8865</v>
      </c>
      <c r="Q45" s="296">
        <f t="shared" si="2"/>
        <v>0</v>
      </c>
    </row>
    <row r="46" spans="1:17" x14ac:dyDescent="0.15">
      <c r="A46" s="110" t="s">
        <v>121</v>
      </c>
      <c r="B46" s="110" t="s">
        <v>1039</v>
      </c>
      <c r="C46" s="121">
        <f>SUMIFS('TB &amp; MCC Cost Audit 2020-Curren'!$P:$P,'TB &amp; MCC Cost Audit 2020-Curren'!$A:$A,'TB All Check'!$A46,'TB &amp; MCC Cost Audit 2020-Curren'!$C:$C,'TB All Check'!$B$7,'TB &amp; MCC Cost Audit 2020-Curren'!$D:$D,'TB All Check'!$A$7)</f>
        <v>9572</v>
      </c>
      <c r="D46" s="121">
        <f>SUMIFS('2022 Partial Rev - NS'!$N:$N,'2022 Partial Rev - NS'!$G:$G,'TB All Check'!$B46,'2022 Partial Rev - NS'!$P:$P,'TB All Check'!$B$7)</f>
        <v>9572</v>
      </c>
      <c r="E46" s="296">
        <f t="shared" si="0"/>
        <v>0</v>
      </c>
      <c r="G46" s="110" t="s">
        <v>121</v>
      </c>
      <c r="H46" s="110" t="s">
        <v>1039</v>
      </c>
      <c r="I46" s="121">
        <f>SUMIFS('TB &amp; MCC Cost Audit 2020-Curren'!$P:$P,'TB &amp; MCC Cost Audit 2020-Curren'!$A:$A,'TB All Check'!$A46,'TB &amp; MCC Cost Audit 2020-Curren'!$C:$C,'TB All Check'!$H$7,'TB &amp; MCC Cost Audit 2020-Curren'!$D:$D,'TB All Check'!$G$7)</f>
        <v>0</v>
      </c>
      <c r="J46" s="121">
        <f>SUMIFS('2023 Rev - NS'!$N:$N,'2023 Rev - NS'!$G:$G,'TB All Check'!$H46,'2023 Rev - NS'!$P:$P,'TB All Check'!$H$7)</f>
        <v>0</v>
      </c>
      <c r="K46" s="296">
        <f t="shared" si="1"/>
        <v>0</v>
      </c>
      <c r="M46" s="110" t="s">
        <v>121</v>
      </c>
      <c r="N46" s="110" t="s">
        <v>1039</v>
      </c>
      <c r="O46" s="121">
        <f>SUMIFS('TB &amp; MCC Cost Audit 2020-Curren'!$P:$P,'TB &amp; MCC Cost Audit 2020-Curren'!$A:$A,'TB All Check'!$M46,'TB &amp; MCC Cost Audit 2020-Curren'!$C:$C,'TB All Check'!$N$7,'TB &amp; MCC Cost Audit 2020-Curren'!$D:$D,'TB All Check'!$M$7)</f>
        <v>11062</v>
      </c>
      <c r="P46" s="121">
        <f>SUMIFS('2024 Rev - NS'!$N:$N,'2024 Rev - NS'!$G:$G,'TB All Check'!$N46,'2024 Rev - NS'!$P:$P,'TB All Check'!$N$7)</f>
        <v>11062</v>
      </c>
      <c r="Q46" s="296">
        <f t="shared" si="2"/>
        <v>0</v>
      </c>
    </row>
    <row r="47" spans="1:17" x14ac:dyDescent="0.15">
      <c r="A47" s="110" t="s">
        <v>404</v>
      </c>
      <c r="B47" s="110" t="e">
        <v>#N/A</v>
      </c>
      <c r="C47" s="121">
        <f>SUMIFS('TB &amp; MCC Cost Audit 2020-Curren'!$P:$P,'TB &amp; MCC Cost Audit 2020-Curren'!$A:$A,'TB All Check'!$A47,'TB &amp; MCC Cost Audit 2020-Curren'!$C:$C,'TB All Check'!$B$7,'TB &amp; MCC Cost Audit 2020-Curren'!$D:$D,'TB All Check'!$A$7)</f>
        <v>0</v>
      </c>
      <c r="D47" s="121">
        <f>SUMIFS('2022 Partial Rev - NS'!$N:$N,'2022 Partial Rev - NS'!$G:$G,'TB All Check'!$B47,'2022 Partial Rev - NS'!$P:$P,'TB All Check'!$B$7)</f>
        <v>0</v>
      </c>
      <c r="E47" s="296">
        <f t="shared" si="0"/>
        <v>0</v>
      </c>
      <c r="G47" s="110" t="s">
        <v>404</v>
      </c>
      <c r="H47" s="110" t="e">
        <v>#N/A</v>
      </c>
      <c r="I47" s="121">
        <f>SUMIFS('TB &amp; MCC Cost Audit 2020-Curren'!$P:$P,'TB &amp; MCC Cost Audit 2020-Curren'!$A:$A,'TB All Check'!$A47,'TB &amp; MCC Cost Audit 2020-Curren'!$C:$C,'TB All Check'!$H$7,'TB &amp; MCC Cost Audit 2020-Curren'!$D:$D,'TB All Check'!$G$7)</f>
        <v>0</v>
      </c>
      <c r="J47" s="121">
        <f>SUMIFS('2023 Rev - NS'!$N:$N,'2023 Rev - NS'!$G:$G,'TB All Check'!$H47,'2023 Rev - NS'!$P:$P,'TB All Check'!$H$7)</f>
        <v>0</v>
      </c>
      <c r="K47" s="296">
        <f t="shared" si="1"/>
        <v>0</v>
      </c>
      <c r="M47" s="110" t="s">
        <v>404</v>
      </c>
      <c r="N47" s="110" t="e">
        <v>#N/A</v>
      </c>
      <c r="O47" s="121">
        <f>SUMIFS('TB &amp; MCC Cost Audit 2020-Curren'!$P:$P,'TB &amp; MCC Cost Audit 2020-Curren'!$A:$A,'TB All Check'!$M47,'TB &amp; MCC Cost Audit 2020-Curren'!$C:$C,'TB All Check'!$N$7,'TB &amp; MCC Cost Audit 2020-Curren'!$D:$D,'TB All Check'!$M$7)</f>
        <v>0</v>
      </c>
      <c r="P47" s="121">
        <f>SUMIFS('2024 Rev - NS'!$N:$N,'2024 Rev - NS'!$G:$G,'TB All Check'!$N47,'2024 Rev - NS'!$P:$P,'TB All Check'!$N$7)</f>
        <v>0</v>
      </c>
      <c r="Q47" s="296">
        <f t="shared" si="2"/>
        <v>0</v>
      </c>
    </row>
    <row r="48" spans="1:17" x14ac:dyDescent="0.15">
      <c r="A48" s="110" t="s">
        <v>294</v>
      </c>
      <c r="B48" s="110" t="s">
        <v>1040</v>
      </c>
      <c r="C48" s="121">
        <f>SUMIFS('TB &amp; MCC Cost Audit 2020-Curren'!$P:$P,'TB &amp; MCC Cost Audit 2020-Curren'!$A:$A,'TB All Check'!$A48,'TB &amp; MCC Cost Audit 2020-Curren'!$C:$C,'TB All Check'!$B$7,'TB &amp; MCC Cost Audit 2020-Curren'!$D:$D,'TB All Check'!$A$7)</f>
        <v>15087</v>
      </c>
      <c r="D48" s="121">
        <f>SUMIFS('2022 Partial Rev - NS'!$N:$N,'2022 Partial Rev - NS'!$G:$G,'TB All Check'!$B48,'2022 Partial Rev - NS'!$P:$P,'TB All Check'!$B$7)</f>
        <v>15087</v>
      </c>
      <c r="E48" s="296">
        <f t="shared" si="0"/>
        <v>0</v>
      </c>
      <c r="G48" s="110" t="s">
        <v>294</v>
      </c>
      <c r="H48" s="110" t="s">
        <v>1040</v>
      </c>
      <c r="I48" s="121">
        <f>SUMIFS('TB &amp; MCC Cost Audit 2020-Curren'!$P:$P,'TB &amp; MCC Cost Audit 2020-Curren'!$A:$A,'TB All Check'!$A48,'TB &amp; MCC Cost Audit 2020-Curren'!$C:$C,'TB All Check'!$H$7,'TB &amp; MCC Cost Audit 2020-Curren'!$D:$D,'TB All Check'!$G$7)</f>
        <v>0</v>
      </c>
      <c r="J48" s="121">
        <f>SUMIFS('2023 Rev - NS'!$N:$N,'2023 Rev - NS'!$G:$G,'TB All Check'!$H48,'2023 Rev - NS'!$P:$P,'TB All Check'!$H$7)</f>
        <v>0</v>
      </c>
      <c r="K48" s="296">
        <f t="shared" si="1"/>
        <v>0</v>
      </c>
      <c r="M48" s="110" t="s">
        <v>294</v>
      </c>
      <c r="N48" s="110" t="s">
        <v>1040</v>
      </c>
      <c r="O48" s="121">
        <f>SUMIFS('TB &amp; MCC Cost Audit 2020-Curren'!$P:$P,'TB &amp; MCC Cost Audit 2020-Curren'!$A:$A,'TB All Check'!$M48,'TB &amp; MCC Cost Audit 2020-Curren'!$C:$C,'TB All Check'!$N$7,'TB &amp; MCC Cost Audit 2020-Curren'!$D:$D,'TB All Check'!$M$7)</f>
        <v>27819</v>
      </c>
      <c r="P48" s="121">
        <f>SUMIFS('2024 Rev - NS'!$N:$N,'2024 Rev - NS'!$G:$G,'TB All Check'!$N48,'2024 Rev - NS'!$P:$P,'TB All Check'!$N$7)</f>
        <v>27819</v>
      </c>
      <c r="Q48" s="296">
        <f t="shared" si="2"/>
        <v>0</v>
      </c>
    </row>
    <row r="49" spans="1:17" x14ac:dyDescent="0.15">
      <c r="A49" s="110" t="s">
        <v>638</v>
      </c>
      <c r="B49" s="110" t="s">
        <v>1041</v>
      </c>
      <c r="C49" s="121">
        <f>SUMIFS('TB &amp; MCC Cost Audit 2020-Curren'!$P:$P,'TB &amp; MCC Cost Audit 2020-Curren'!$A:$A,'TB All Check'!$A49,'TB &amp; MCC Cost Audit 2020-Curren'!$C:$C,'TB All Check'!$B$7,'TB &amp; MCC Cost Audit 2020-Curren'!$D:$D,'TB All Check'!$A$7)</f>
        <v>0</v>
      </c>
      <c r="D49" s="121">
        <f>SUMIFS('2022 Partial Rev - NS'!$N:$N,'2022 Partial Rev - NS'!$G:$G,'TB All Check'!$B49,'2022 Partial Rev - NS'!$P:$P,'TB All Check'!$B$7)</f>
        <v>0</v>
      </c>
      <c r="E49" s="296">
        <f t="shared" si="0"/>
        <v>0</v>
      </c>
      <c r="G49" s="110" t="s">
        <v>638</v>
      </c>
      <c r="H49" s="110" t="s">
        <v>1041</v>
      </c>
      <c r="I49" s="121">
        <f>SUMIFS('TB &amp; MCC Cost Audit 2020-Curren'!$P:$P,'TB &amp; MCC Cost Audit 2020-Curren'!$A:$A,'TB All Check'!$A49,'TB &amp; MCC Cost Audit 2020-Curren'!$C:$C,'TB All Check'!$H$7,'TB &amp; MCC Cost Audit 2020-Curren'!$D:$D,'TB All Check'!$G$7)</f>
        <v>0</v>
      </c>
      <c r="J49" s="121">
        <f>SUMIFS('2023 Rev - NS'!$N:$N,'2023 Rev - NS'!$G:$G,'TB All Check'!$H49,'2023 Rev - NS'!$P:$P,'TB All Check'!$H$7)</f>
        <v>0</v>
      </c>
      <c r="K49" s="296">
        <f t="shared" si="1"/>
        <v>0</v>
      </c>
      <c r="M49" s="110" t="s">
        <v>638</v>
      </c>
      <c r="N49" s="110" t="s">
        <v>1041</v>
      </c>
      <c r="O49" s="121">
        <f>SUMIFS('TB &amp; MCC Cost Audit 2020-Curren'!$P:$P,'TB &amp; MCC Cost Audit 2020-Curren'!$A:$A,'TB All Check'!$M49,'TB &amp; MCC Cost Audit 2020-Curren'!$C:$C,'TB All Check'!$N$7,'TB &amp; MCC Cost Audit 2020-Curren'!$D:$D,'TB All Check'!$M$7)</f>
        <v>0</v>
      </c>
      <c r="P49" s="121">
        <f>SUMIFS('2024 Rev - NS'!$N:$N,'2024 Rev - NS'!$G:$G,'TB All Check'!$N49,'2024 Rev - NS'!$P:$P,'TB All Check'!$N$7)</f>
        <v>0</v>
      </c>
      <c r="Q49" s="296">
        <f t="shared" si="2"/>
        <v>0</v>
      </c>
    </row>
    <row r="50" spans="1:17" x14ac:dyDescent="0.15">
      <c r="A50" s="110" t="s">
        <v>324</v>
      </c>
      <c r="B50" s="110" t="s">
        <v>1041</v>
      </c>
      <c r="C50" s="121">
        <f>SUMIFS('TB &amp; MCC Cost Audit 2020-Curren'!$P:$P,'TB &amp; MCC Cost Audit 2020-Curren'!$A:$A,'TB All Check'!$A50,'TB &amp; MCC Cost Audit 2020-Curren'!$C:$C,'TB All Check'!$B$7,'TB &amp; MCC Cost Audit 2020-Curren'!$D:$D,'TB All Check'!$A$7)</f>
        <v>0</v>
      </c>
      <c r="D50" s="121">
        <f>SUMIFS('2022 Partial Rev - NS'!$N:$N,'2022 Partial Rev - NS'!$G:$G,'TB All Check'!$B50,'2022 Partial Rev - NS'!$P:$P,'TB All Check'!$B$7)</f>
        <v>0</v>
      </c>
      <c r="E50" s="296">
        <f t="shared" si="0"/>
        <v>0</v>
      </c>
      <c r="G50" s="110" t="s">
        <v>324</v>
      </c>
      <c r="H50" s="110" t="s">
        <v>324</v>
      </c>
      <c r="I50" s="121">
        <f>SUMIFS('TB &amp; MCC Cost Audit 2020-Curren'!$P:$P,'TB &amp; MCC Cost Audit 2020-Curren'!$A:$A,'TB All Check'!$A50,'TB &amp; MCC Cost Audit 2020-Curren'!$C:$C,'TB All Check'!$H$7,'TB &amp; MCC Cost Audit 2020-Curren'!$D:$D,'TB All Check'!$G$7)</f>
        <v>0</v>
      </c>
      <c r="J50" s="121">
        <f>SUMIFS('2023 Rev - NS'!$N:$N,'2023 Rev - NS'!$G:$G,'TB All Check'!$H50,'2023 Rev - NS'!$P:$P,'TB All Check'!$H$7)</f>
        <v>0</v>
      </c>
      <c r="K50" s="296">
        <f t="shared" si="1"/>
        <v>0</v>
      </c>
      <c r="M50" s="110" t="s">
        <v>324</v>
      </c>
      <c r="N50" s="110" t="s">
        <v>324</v>
      </c>
      <c r="O50" s="121">
        <f>SUMIFS('TB &amp; MCC Cost Audit 2020-Curren'!$P:$P,'TB &amp; MCC Cost Audit 2020-Curren'!$A:$A,'TB All Check'!$M50,'TB &amp; MCC Cost Audit 2020-Curren'!$C:$C,'TB All Check'!$N$7,'TB &amp; MCC Cost Audit 2020-Curren'!$D:$D,'TB All Check'!$M$7)</f>
        <v>55240.53</v>
      </c>
      <c r="P50" s="121">
        <f>SUMIFS('2024 Rev - NS'!$N:$N,'2024 Rev - NS'!$G:$G,'TB All Check'!$N50,'2024 Rev - NS'!$P:$P,'TB All Check'!$N$7)</f>
        <v>55240.53</v>
      </c>
      <c r="Q50" s="296">
        <f t="shared" si="2"/>
        <v>0</v>
      </c>
    </row>
    <row r="51" spans="1:17" x14ac:dyDescent="0.15">
      <c r="A51" s="110" t="s">
        <v>322</v>
      </c>
      <c r="B51" s="110" t="s">
        <v>1041</v>
      </c>
      <c r="C51" s="121">
        <f>SUMIFS('TB &amp; MCC Cost Audit 2020-Curren'!$P:$P,'TB &amp; MCC Cost Audit 2020-Curren'!$A:$A,'TB All Check'!$A51,'TB &amp; MCC Cost Audit 2020-Curren'!$C:$C,'TB All Check'!$B$7,'TB &amp; MCC Cost Audit 2020-Curren'!$D:$D,'TB All Check'!$A$7)</f>
        <v>0</v>
      </c>
      <c r="D51" s="121">
        <f>SUMIFS('2022 Partial Rev - NS'!$N:$N,'2022 Partial Rev - NS'!$G:$G,'TB All Check'!$B51,'2022 Partial Rev - NS'!$P:$P,'TB All Check'!$B$7)</f>
        <v>0</v>
      </c>
      <c r="E51" s="296">
        <f t="shared" si="0"/>
        <v>0</v>
      </c>
      <c r="G51" s="110" t="s">
        <v>322</v>
      </c>
      <c r="H51" s="110" t="s">
        <v>322</v>
      </c>
      <c r="I51" s="121">
        <f>SUMIFS('TB &amp; MCC Cost Audit 2020-Curren'!$P:$P,'TB &amp; MCC Cost Audit 2020-Curren'!$A:$A,'TB All Check'!$A51,'TB &amp; MCC Cost Audit 2020-Curren'!$C:$C,'TB All Check'!$H$7,'TB &amp; MCC Cost Audit 2020-Curren'!$D:$D,'TB All Check'!$G$7)</f>
        <v>0</v>
      </c>
      <c r="J51" s="121">
        <f>SUMIFS('2023 Rev - NS'!$N:$N,'2023 Rev - NS'!$G:$G,'TB All Check'!$H51,'2023 Rev - NS'!$P:$P,'TB All Check'!$H$7)</f>
        <v>0</v>
      </c>
      <c r="K51" s="296">
        <f t="shared" si="1"/>
        <v>0</v>
      </c>
      <c r="M51" s="110" t="s">
        <v>322</v>
      </c>
      <c r="N51" s="110" t="s">
        <v>322</v>
      </c>
      <c r="O51" s="121">
        <f>SUMIFS('TB &amp; MCC Cost Audit 2020-Curren'!$P:$P,'TB &amp; MCC Cost Audit 2020-Curren'!$A:$A,'TB All Check'!$M51,'TB &amp; MCC Cost Audit 2020-Curren'!$C:$C,'TB All Check'!$N$7,'TB &amp; MCC Cost Audit 2020-Curren'!$D:$D,'TB All Check'!$M$7)</f>
        <v>42343.979999999996</v>
      </c>
      <c r="P51" s="121">
        <f>SUMIFS('2024 Rev - NS'!$N:$N,'2024 Rev - NS'!$G:$G,'TB All Check'!$N51,'2024 Rev - NS'!$P:$P,'TB All Check'!$N$7)</f>
        <v>42343.979999999996</v>
      </c>
      <c r="Q51" s="296">
        <f t="shared" si="2"/>
        <v>0</v>
      </c>
    </row>
    <row r="52" spans="1:17" x14ac:dyDescent="0.15">
      <c r="A52" s="110" t="s">
        <v>197</v>
      </c>
      <c r="B52" s="110" t="s">
        <v>1042</v>
      </c>
      <c r="C52" s="121">
        <f>SUMIFS('TB &amp; MCC Cost Audit 2020-Curren'!$P:$P,'TB &amp; MCC Cost Audit 2020-Curren'!$A:$A,'TB All Check'!$A52,'TB &amp; MCC Cost Audit 2020-Curren'!$C:$C,'TB All Check'!$B$7,'TB &amp; MCC Cost Audit 2020-Curren'!$D:$D,'TB All Check'!$A$7)</f>
        <v>0</v>
      </c>
      <c r="D52" s="121">
        <f>SUMIFS('2022 Partial Rev - NS'!$N:$N,'2022 Partial Rev - NS'!$G:$G,'TB All Check'!$B52,'2022 Partial Rev - NS'!$P:$P,'TB All Check'!$B$7)</f>
        <v>0</v>
      </c>
      <c r="E52" s="296">
        <f t="shared" si="0"/>
        <v>0</v>
      </c>
      <c r="G52" s="108" t="s">
        <v>197</v>
      </c>
      <c r="H52" s="108" t="s">
        <v>1042</v>
      </c>
      <c r="I52" s="121">
        <f>SUMIFS('TB &amp; MCC Cost Audit 2020-Curren'!$P:$P,'TB &amp; MCC Cost Audit 2020-Curren'!$A:$A,'TB All Check'!$A52,'TB &amp; MCC Cost Audit 2020-Curren'!$C:$C,'TB All Check'!$H$7,'TB &amp; MCC Cost Audit 2020-Curren'!$D:$D,'TB All Check'!$G$7)</f>
        <v>0</v>
      </c>
      <c r="J52" s="121">
        <f>SUMIFS('2023 Rev - NS'!$N:$N,'2023 Rev - NS'!$G:$G,'TB All Check'!$H52,'2023 Rev - NS'!$P:$P,'TB All Check'!$H$7)</f>
        <v>0</v>
      </c>
      <c r="K52" s="296">
        <f t="shared" si="1"/>
        <v>0</v>
      </c>
      <c r="M52" s="110" t="s">
        <v>197</v>
      </c>
      <c r="N52" s="110" t="s">
        <v>1042</v>
      </c>
      <c r="O52" s="121">
        <f>SUMIFS('TB &amp; MCC Cost Audit 2020-Curren'!$P:$P,'TB &amp; MCC Cost Audit 2020-Curren'!$A:$A,'TB All Check'!$M52,'TB &amp; MCC Cost Audit 2020-Curren'!$C:$C,'TB All Check'!$N$7,'TB &amp; MCC Cost Audit 2020-Curren'!$D:$D,'TB All Check'!$M$7)</f>
        <v>0</v>
      </c>
      <c r="P52" s="121">
        <f>SUMIFS('2024 Rev - NS'!$N:$N,'2024 Rev - NS'!$G:$G,'TB All Check'!$N52,'2024 Rev - NS'!$P:$P,'TB All Check'!$N$7)</f>
        <v>0</v>
      </c>
      <c r="Q52" s="296">
        <f t="shared" si="2"/>
        <v>0</v>
      </c>
    </row>
    <row r="53" spans="1:17" x14ac:dyDescent="0.15">
      <c r="A53" s="110" t="s">
        <v>292</v>
      </c>
      <c r="B53" s="110" t="s">
        <v>1043</v>
      </c>
      <c r="C53" s="121">
        <f>SUMIFS('TB &amp; MCC Cost Audit 2020-Curren'!$P:$P,'TB &amp; MCC Cost Audit 2020-Curren'!$A:$A,'TB All Check'!$A53,'TB &amp; MCC Cost Audit 2020-Curren'!$C:$C,'TB All Check'!$B$7,'TB &amp; MCC Cost Audit 2020-Curren'!$D:$D,'TB All Check'!$A$7)</f>
        <v>7870</v>
      </c>
      <c r="D53" s="121">
        <f>SUMIFS('2022 Partial Rev - NS'!$N:$N,'2022 Partial Rev - NS'!$G:$G,'TB All Check'!$B53,'2022 Partial Rev - NS'!$P:$P,'TB All Check'!$B$7)</f>
        <v>7870</v>
      </c>
      <c r="E53" s="296">
        <f t="shared" si="0"/>
        <v>0</v>
      </c>
      <c r="G53" s="110" t="s">
        <v>292</v>
      </c>
      <c r="H53" s="110" t="s">
        <v>1043</v>
      </c>
      <c r="I53" s="121">
        <f>SUMIFS('TB &amp; MCC Cost Audit 2020-Curren'!$P:$P,'TB &amp; MCC Cost Audit 2020-Curren'!$A:$A,'TB All Check'!$A53,'TB &amp; MCC Cost Audit 2020-Curren'!$C:$C,'TB All Check'!$H$7,'TB &amp; MCC Cost Audit 2020-Curren'!$D:$D,'TB All Check'!$G$7)</f>
        <v>0</v>
      </c>
      <c r="J53" s="121">
        <f>SUMIFS('2023 Rev - NS'!$N:$N,'2023 Rev - NS'!$G:$G,'TB All Check'!$H53,'2023 Rev - NS'!$P:$P,'TB All Check'!$H$7)</f>
        <v>0</v>
      </c>
      <c r="K53" s="296">
        <f t="shared" si="1"/>
        <v>0</v>
      </c>
      <c r="M53" s="110" t="s">
        <v>292</v>
      </c>
      <c r="N53" s="110" t="s">
        <v>1043</v>
      </c>
      <c r="O53" s="121">
        <f>SUMIFS('TB &amp; MCC Cost Audit 2020-Curren'!$P:$P,'TB &amp; MCC Cost Audit 2020-Curren'!$A:$A,'TB All Check'!$M53,'TB &amp; MCC Cost Audit 2020-Curren'!$C:$C,'TB All Check'!$N$7,'TB &amp; MCC Cost Audit 2020-Curren'!$D:$D,'TB All Check'!$M$7)</f>
        <v>7870</v>
      </c>
      <c r="P53" s="121">
        <f>SUMIFS('2024 Rev - NS'!$N:$N,'2024 Rev - NS'!$G:$G,'TB All Check'!$N53,'2024 Rev - NS'!$P:$P,'TB All Check'!$N$7)</f>
        <v>7870</v>
      </c>
      <c r="Q53" s="296">
        <f t="shared" si="2"/>
        <v>0</v>
      </c>
    </row>
    <row r="54" spans="1:17" x14ac:dyDescent="0.15">
      <c r="A54" s="110" t="s">
        <v>540</v>
      </c>
      <c r="B54" s="110" t="s">
        <v>1044</v>
      </c>
      <c r="C54" s="121">
        <f>SUMIFS('TB &amp; MCC Cost Audit 2020-Curren'!$P:$P,'TB &amp; MCC Cost Audit 2020-Curren'!$A:$A,'TB All Check'!$A54,'TB &amp; MCC Cost Audit 2020-Curren'!$C:$C,'TB All Check'!$B$7,'TB &amp; MCC Cost Audit 2020-Curren'!$D:$D,'TB All Check'!$A$7)</f>
        <v>0</v>
      </c>
      <c r="D54" s="121">
        <f>SUMIFS('2022 Partial Rev - NS'!$N:$N,'2022 Partial Rev - NS'!$G:$G,'TB All Check'!$B54,'2022 Partial Rev - NS'!$P:$P,'TB All Check'!$B$7)</f>
        <v>0</v>
      </c>
      <c r="E54" s="296">
        <f t="shared" si="0"/>
        <v>0</v>
      </c>
      <c r="G54" s="110" t="s">
        <v>540</v>
      </c>
      <c r="H54" s="286" t="s">
        <v>1044</v>
      </c>
      <c r="I54" s="121">
        <f>SUMIFS('TB &amp; MCC Cost Audit 2020-Curren'!$P:$P,'TB &amp; MCC Cost Audit 2020-Curren'!$A:$A,'TB All Check'!$A54,'TB &amp; MCC Cost Audit 2020-Curren'!$C:$C,'TB All Check'!$H$7,'TB &amp; MCC Cost Audit 2020-Curren'!$D:$D,'TB All Check'!$G$7)</f>
        <v>138467</v>
      </c>
      <c r="J54" s="152">
        <f>SUMIFS('2023 Rev - NS'!$N:$N,'2023 Rev - NS'!$G:$G,'TB All Check'!$H54,'2023 Rev - NS'!$P:$P,'TB All Check'!$H$7)</f>
        <v>138467</v>
      </c>
      <c r="K54" s="296">
        <f t="shared" si="1"/>
        <v>0</v>
      </c>
      <c r="M54" s="110" t="s">
        <v>540</v>
      </c>
      <c r="N54" s="110" t="s">
        <v>1044</v>
      </c>
      <c r="O54" s="121">
        <f>SUMIFS('TB &amp; MCC Cost Audit 2020-Curren'!$P:$P,'TB &amp; MCC Cost Audit 2020-Curren'!$A:$A,'TB All Check'!$M54,'TB &amp; MCC Cost Audit 2020-Curren'!$C:$C,'TB All Check'!$N$7,'TB &amp; MCC Cost Audit 2020-Curren'!$D:$D,'TB All Check'!$M$7)</f>
        <v>22864</v>
      </c>
      <c r="P54" s="121">
        <f>SUMIFS('2024 Rev - NS'!$N:$N,'2024 Rev - NS'!$G:$G,'TB All Check'!$N54,'2024 Rev - NS'!$P:$P,'TB All Check'!$N$7)</f>
        <v>22864</v>
      </c>
      <c r="Q54" s="296">
        <f t="shared" si="2"/>
        <v>0</v>
      </c>
    </row>
    <row r="55" spans="1:17" x14ac:dyDescent="0.15">
      <c r="A55" s="110" t="s">
        <v>179</v>
      </c>
      <c r="B55" s="110" t="s">
        <v>1045</v>
      </c>
      <c r="C55" s="121">
        <f>SUMIFS('TB &amp; MCC Cost Audit 2020-Curren'!$P:$P,'TB &amp; MCC Cost Audit 2020-Curren'!$A:$A,'TB All Check'!$A55,'TB &amp; MCC Cost Audit 2020-Curren'!$C:$C,'TB All Check'!$B$7,'TB &amp; MCC Cost Audit 2020-Curren'!$D:$D,'TB All Check'!$A$7)</f>
        <v>9680</v>
      </c>
      <c r="D55" s="121">
        <f>SUMIFS('2022 Partial Rev - NS'!$N:$N,'2022 Partial Rev - NS'!$G:$G,'TB All Check'!$B55,'2022 Partial Rev - NS'!$P:$P,'TB All Check'!$B$7)</f>
        <v>9680</v>
      </c>
      <c r="E55" s="296">
        <f t="shared" si="0"/>
        <v>0</v>
      </c>
      <c r="G55" s="110" t="s">
        <v>179</v>
      </c>
      <c r="H55" s="110" t="s">
        <v>1045</v>
      </c>
      <c r="I55" s="121">
        <f>SUMIFS('TB &amp; MCC Cost Audit 2020-Curren'!$P:$P,'TB &amp; MCC Cost Audit 2020-Curren'!$A:$A,'TB All Check'!$A55,'TB &amp; MCC Cost Audit 2020-Curren'!$C:$C,'TB All Check'!$H$7,'TB &amp; MCC Cost Audit 2020-Curren'!$D:$D,'TB All Check'!$G$7)</f>
        <v>0</v>
      </c>
      <c r="J55" s="121">
        <f>SUMIFS('2023 Rev - NS'!$N:$N,'2023 Rev - NS'!$G:$G,'TB All Check'!$H55,'2023 Rev - NS'!$P:$P,'TB All Check'!$H$7)</f>
        <v>0</v>
      </c>
      <c r="K55" s="296">
        <f t="shared" si="1"/>
        <v>0</v>
      </c>
      <c r="M55" s="110" t="s">
        <v>179</v>
      </c>
      <c r="N55" s="110" t="s">
        <v>1045</v>
      </c>
      <c r="O55" s="121">
        <f>SUMIFS('TB &amp; MCC Cost Audit 2020-Curren'!$P:$P,'TB &amp; MCC Cost Audit 2020-Curren'!$A:$A,'TB All Check'!$M55,'TB &amp; MCC Cost Audit 2020-Curren'!$C:$C,'TB All Check'!$N$7,'TB &amp; MCC Cost Audit 2020-Curren'!$D:$D,'TB All Check'!$M$7)</f>
        <v>9680</v>
      </c>
      <c r="P55" s="121">
        <f>SUMIFS('2024 Rev - NS'!$N:$N,'2024 Rev - NS'!$G:$G,'TB All Check'!$N55,'2024 Rev - NS'!$P:$P,'TB All Check'!$N$7)</f>
        <v>9680</v>
      </c>
      <c r="Q55" s="296">
        <f t="shared" si="2"/>
        <v>0</v>
      </c>
    </row>
    <row r="56" spans="1:17" x14ac:dyDescent="0.15">
      <c r="A56" s="110" t="s">
        <v>317</v>
      </c>
      <c r="B56" s="110" t="s">
        <v>1046</v>
      </c>
      <c r="C56" s="121">
        <f>SUMIFS('TB &amp; MCC Cost Audit 2020-Curren'!$P:$P,'TB &amp; MCC Cost Audit 2020-Curren'!$A:$A,'TB All Check'!$A56,'TB &amp; MCC Cost Audit 2020-Curren'!$C:$C,'TB All Check'!$B$7,'TB &amp; MCC Cost Audit 2020-Curren'!$D:$D,'TB All Check'!$A$7)</f>
        <v>7670</v>
      </c>
      <c r="D56" s="313">
        <v>7670</v>
      </c>
      <c r="E56" s="296">
        <f t="shared" si="0"/>
        <v>0</v>
      </c>
      <c r="G56" s="110" t="s">
        <v>317</v>
      </c>
      <c r="H56" s="110" t="s">
        <v>1046</v>
      </c>
      <c r="I56" s="121">
        <f>SUMIFS('TB &amp; MCC Cost Audit 2020-Curren'!$P:$P,'TB &amp; MCC Cost Audit 2020-Curren'!$A:$A,'TB All Check'!$A56,'TB &amp; MCC Cost Audit 2020-Curren'!$C:$C,'TB All Check'!$H$7,'TB &amp; MCC Cost Audit 2020-Curren'!$D:$D,'TB All Check'!$G$7)</f>
        <v>0</v>
      </c>
      <c r="J56" s="121">
        <f>SUMIFS('2023 Rev - NS'!$N:$N,'2023 Rev - NS'!$G:$G,'TB All Check'!$H56,'2023 Rev - NS'!$P:$P,'TB All Check'!$H$7)</f>
        <v>0</v>
      </c>
      <c r="K56" s="296">
        <f t="shared" si="1"/>
        <v>0</v>
      </c>
      <c r="M56" s="110" t="s">
        <v>317</v>
      </c>
      <c r="N56" s="110" t="s">
        <v>1046</v>
      </c>
      <c r="O56" s="121">
        <f>SUMIFS('TB &amp; MCC Cost Audit 2020-Curren'!$P:$P,'TB &amp; MCC Cost Audit 2020-Curren'!$A:$A,'TB All Check'!$M56,'TB &amp; MCC Cost Audit 2020-Curren'!$C:$C,'TB All Check'!$N$7,'TB &amp; MCC Cost Audit 2020-Curren'!$D:$D,'TB All Check'!$M$7)</f>
        <v>8865</v>
      </c>
      <c r="P56" s="121">
        <f>SUMIFS('2024 Rev - NS'!$N:$N,'2024 Rev - NS'!$G:$G,'TB All Check'!$N56,'2024 Rev - NS'!$P:$P,'TB All Check'!$N$7)</f>
        <v>8865</v>
      </c>
      <c r="Q56" s="296">
        <f t="shared" si="2"/>
        <v>0</v>
      </c>
    </row>
    <row r="57" spans="1:17" x14ac:dyDescent="0.15">
      <c r="A57" s="110" t="s">
        <v>719</v>
      </c>
      <c r="B57" s="110" t="s">
        <v>1047</v>
      </c>
      <c r="C57" s="121">
        <f>SUMIFS('TB &amp; MCC Cost Audit 2020-Curren'!$P:$P,'TB &amp; MCC Cost Audit 2020-Curren'!$A:$A,'TB All Check'!$A57,'TB &amp; MCC Cost Audit 2020-Curren'!$C:$C,'TB All Check'!$B$7,'TB &amp; MCC Cost Audit 2020-Curren'!$D:$D,'TB All Check'!$A$7)</f>
        <v>0</v>
      </c>
      <c r="D57" s="121">
        <f>SUMIFS('2022 Partial Rev - NS'!$N:$N,'2022 Partial Rev - NS'!$G:$G,'TB All Check'!$B57,'2022 Partial Rev - NS'!$P:$P,'TB All Check'!$B$7)</f>
        <v>0</v>
      </c>
      <c r="E57" s="296">
        <f t="shared" si="0"/>
        <v>0</v>
      </c>
      <c r="G57" s="110" t="s">
        <v>719</v>
      </c>
      <c r="H57" s="110" t="s">
        <v>1047</v>
      </c>
      <c r="I57" s="121">
        <f>SUMIFS('TB &amp; MCC Cost Audit 2020-Curren'!$P:$P,'TB &amp; MCC Cost Audit 2020-Curren'!$A:$A,'TB All Check'!$A57,'TB &amp; MCC Cost Audit 2020-Curren'!$C:$C,'TB All Check'!$H$7,'TB &amp; MCC Cost Audit 2020-Curren'!$D:$D,'TB All Check'!$G$7)</f>
        <v>0</v>
      </c>
      <c r="J57" s="121">
        <f>SUMIFS('2023 Rev - NS'!$N:$N,'2023 Rev - NS'!$G:$G,'TB All Check'!$H57,'2023 Rev - NS'!$P:$P,'TB All Check'!$H$7)</f>
        <v>0</v>
      </c>
      <c r="K57" s="296">
        <f t="shared" si="1"/>
        <v>0</v>
      </c>
      <c r="M57" s="110" t="s">
        <v>719</v>
      </c>
      <c r="N57" s="110" t="s">
        <v>1047</v>
      </c>
      <c r="O57" s="121">
        <f>SUMIFS('TB &amp; MCC Cost Audit 2020-Curren'!$P:$P,'TB &amp; MCC Cost Audit 2020-Curren'!$A:$A,'TB All Check'!$M57,'TB &amp; MCC Cost Audit 2020-Curren'!$C:$C,'TB All Check'!$N$7,'TB &amp; MCC Cost Audit 2020-Curren'!$D:$D,'TB All Check'!$M$7)</f>
        <v>8865</v>
      </c>
      <c r="P57" s="121">
        <f>SUMIFS('2024 Rev - NS'!$N:$N,'2024 Rev - NS'!$G:$G,'TB All Check'!$N57,'2024 Rev - NS'!$P:$P,'TB All Check'!$N$7)</f>
        <v>8865</v>
      </c>
      <c r="Q57" s="296">
        <f t="shared" si="2"/>
        <v>0</v>
      </c>
    </row>
    <row r="58" spans="1:17" x14ac:dyDescent="0.15">
      <c r="A58" s="110" t="s">
        <v>593</v>
      </c>
      <c r="B58" s="110" t="s">
        <v>1048</v>
      </c>
      <c r="C58" s="121">
        <f>SUMIFS('TB &amp; MCC Cost Audit 2020-Curren'!$P:$P,'TB &amp; MCC Cost Audit 2020-Curren'!$A:$A,'TB All Check'!$A58,'TB &amp; MCC Cost Audit 2020-Curren'!$C:$C,'TB All Check'!$B$7,'TB &amp; MCC Cost Audit 2020-Curren'!$D:$D,'TB All Check'!$A$7)</f>
        <v>0</v>
      </c>
      <c r="D58" s="121">
        <f>SUMIFS('2022 Partial Rev - NS'!$N:$N,'2022 Partial Rev - NS'!$G:$G,'TB All Check'!$B58,'2022 Partial Rev - NS'!$P:$P,'TB All Check'!$B$7)</f>
        <v>0</v>
      </c>
      <c r="E58" s="296">
        <f t="shared" si="0"/>
        <v>0</v>
      </c>
      <c r="G58" s="110" t="s">
        <v>593</v>
      </c>
      <c r="H58" s="110" t="s">
        <v>1048</v>
      </c>
      <c r="I58" s="121">
        <f>SUMIFS('TB &amp; MCC Cost Audit 2020-Curren'!$P:$P,'TB &amp; MCC Cost Audit 2020-Curren'!$A:$A,'TB All Check'!$A58,'TB &amp; MCC Cost Audit 2020-Curren'!$C:$C,'TB All Check'!$H$7,'TB &amp; MCC Cost Audit 2020-Curren'!$D:$D,'TB All Check'!$G$7)</f>
        <v>195096</v>
      </c>
      <c r="J58" s="121">
        <f>SUMIFS('2023 Rev - NS'!$N:$N,'2023 Rev - NS'!$G:$G,'TB All Check'!$H58,'2023 Rev - NS'!$P:$P,'TB All Check'!$H$7)</f>
        <v>195096</v>
      </c>
      <c r="K58" s="296">
        <f t="shared" si="1"/>
        <v>0</v>
      </c>
      <c r="M58" s="110" t="s">
        <v>593</v>
      </c>
      <c r="N58" s="110" t="s">
        <v>1048</v>
      </c>
      <c r="O58" s="121">
        <f>SUMIFS('TB &amp; MCC Cost Audit 2020-Curren'!$P:$P,'TB &amp; MCC Cost Audit 2020-Curren'!$A:$A,'TB All Check'!$M58,'TB &amp; MCC Cost Audit 2020-Curren'!$C:$C,'TB All Check'!$N$7,'TB &amp; MCC Cost Audit 2020-Curren'!$D:$D,'TB All Check'!$M$7)</f>
        <v>12190</v>
      </c>
      <c r="P58" s="121">
        <f>SUMIFS('2024 Rev - NS'!$N:$N,'2024 Rev - NS'!$G:$G,'TB All Check'!$N58,'2024 Rev - NS'!$P:$P,'TB All Check'!$N$7)</f>
        <v>12190</v>
      </c>
      <c r="Q58" s="296">
        <f t="shared" si="2"/>
        <v>0</v>
      </c>
    </row>
    <row r="59" spans="1:17" x14ac:dyDescent="0.15">
      <c r="A59" s="108" t="s">
        <v>204</v>
      </c>
      <c r="B59" s="108" t="s">
        <v>1049</v>
      </c>
      <c r="C59" s="121">
        <f>SUMIFS('TB &amp; MCC Cost Audit 2020-Curren'!$P:$P,'TB &amp; MCC Cost Audit 2020-Curren'!$A:$A,'TB All Check'!$A59,'TB &amp; MCC Cost Audit 2020-Curren'!$C:$C,'TB All Check'!$B$7,'TB &amp; MCC Cost Audit 2020-Curren'!$D:$D,'TB All Check'!$A$7)</f>
        <v>0</v>
      </c>
      <c r="D59" s="121">
        <f>SUMIFS('2022 Partial Rev - NS'!$N:$N,'2022 Partial Rev - NS'!$G:$G,'TB All Check'!$B59,'2022 Partial Rev - NS'!$P:$P,'TB All Check'!$B$7)</f>
        <v>0</v>
      </c>
      <c r="E59" s="296">
        <f t="shared" si="0"/>
        <v>0</v>
      </c>
      <c r="G59" s="110" t="s">
        <v>204</v>
      </c>
      <c r="H59" s="110" t="s">
        <v>1049</v>
      </c>
      <c r="I59" s="121">
        <f>SUMIFS('TB &amp; MCC Cost Audit 2020-Curren'!$P:$P,'TB &amp; MCC Cost Audit 2020-Curren'!$A:$A,'TB All Check'!$A59,'TB &amp; MCC Cost Audit 2020-Curren'!$C:$C,'TB All Check'!$H$7,'TB &amp; MCC Cost Audit 2020-Curren'!$D:$D,'TB All Check'!$G$7)</f>
        <v>0</v>
      </c>
      <c r="J59" s="121">
        <f>SUMIFS('2023 Rev - NS'!$N:$N,'2023 Rev - NS'!$G:$G,'TB All Check'!$H59,'2023 Rev - NS'!$P:$P,'TB All Check'!$H$7)</f>
        <v>0</v>
      </c>
      <c r="K59" s="296">
        <f t="shared" si="1"/>
        <v>0</v>
      </c>
      <c r="M59" s="110" t="s">
        <v>204</v>
      </c>
      <c r="N59" s="110" t="s">
        <v>1049</v>
      </c>
      <c r="O59" s="121">
        <f>SUMIFS('TB &amp; MCC Cost Audit 2020-Curren'!$P:$P,'TB &amp; MCC Cost Audit 2020-Curren'!$A:$A,'TB All Check'!$M59,'TB &amp; MCC Cost Audit 2020-Curren'!$C:$C,'TB All Check'!$N$7,'TB &amp; MCC Cost Audit 2020-Curren'!$D:$D,'TB All Check'!$M$7)</f>
        <v>0</v>
      </c>
      <c r="P59" s="121">
        <f>SUMIFS('2024 Rev - NS'!$N:$N,'2024 Rev - NS'!$G:$G,'TB All Check'!$N59,'2024 Rev - NS'!$P:$P,'TB All Check'!$N$7)</f>
        <v>0</v>
      </c>
      <c r="Q59" s="296">
        <f t="shared" si="2"/>
        <v>0</v>
      </c>
    </row>
    <row r="60" spans="1:17" x14ac:dyDescent="0.15">
      <c r="A60" s="110" t="s">
        <v>832</v>
      </c>
      <c r="B60" s="110" t="s">
        <v>1050</v>
      </c>
      <c r="C60" s="121">
        <f>SUMIFS('TB &amp; MCC Cost Audit 2020-Curren'!$P:$P,'TB &amp; MCC Cost Audit 2020-Curren'!$A:$A,'TB All Check'!$A60,'TB &amp; MCC Cost Audit 2020-Curren'!$C:$C,'TB All Check'!$B$7,'TB &amp; MCC Cost Audit 2020-Curren'!$D:$D,'TB All Check'!$A$7)</f>
        <v>0</v>
      </c>
      <c r="D60" s="121">
        <f>SUMIFS('2022 Partial Rev - NS'!$N:$N,'2022 Partial Rev - NS'!$G:$G,'TB All Check'!$B60,'2022 Partial Rev - NS'!$P:$P,'TB All Check'!$B$7)</f>
        <v>0</v>
      </c>
      <c r="E60" s="296">
        <f t="shared" si="0"/>
        <v>0</v>
      </c>
      <c r="G60" s="110" t="s">
        <v>832</v>
      </c>
      <c r="H60" s="110" t="s">
        <v>1050</v>
      </c>
      <c r="I60" s="121">
        <f>SUMIFS('TB &amp; MCC Cost Audit 2020-Curren'!$P:$P,'TB &amp; MCC Cost Audit 2020-Curren'!$A:$A,'TB All Check'!$A60,'TB &amp; MCC Cost Audit 2020-Curren'!$C:$C,'TB All Check'!$H$7,'TB &amp; MCC Cost Audit 2020-Curren'!$D:$D,'TB All Check'!$G$7)</f>
        <v>0</v>
      </c>
      <c r="J60" s="121">
        <f>SUMIFS('2023 Rev - NS'!$N:$N,'2023 Rev - NS'!$G:$G,'TB All Check'!$H60,'2023 Rev - NS'!$P:$P,'TB All Check'!$H$7)</f>
        <v>0</v>
      </c>
      <c r="K60" s="296">
        <f t="shared" si="1"/>
        <v>0</v>
      </c>
      <c r="M60" s="110" t="s">
        <v>832</v>
      </c>
      <c r="N60" s="110" t="s">
        <v>1050</v>
      </c>
      <c r="O60" s="121">
        <f>SUMIFS('TB &amp; MCC Cost Audit 2020-Curren'!$P:$P,'TB &amp; MCC Cost Audit 2020-Curren'!$A:$A,'TB All Check'!$M60,'TB &amp; MCC Cost Audit 2020-Curren'!$C:$C,'TB All Check'!$N$7,'TB &amp; MCC Cost Audit 2020-Curren'!$D:$D,'TB All Check'!$M$7)</f>
        <v>0</v>
      </c>
      <c r="P60" s="121">
        <f>SUMIFS('2024 Rev - NS'!$N:$N,'2024 Rev - NS'!$G:$G,'TB All Check'!$N60,'2024 Rev - NS'!$P:$P,'TB All Check'!$N$7)</f>
        <v>0</v>
      </c>
      <c r="Q60" s="296">
        <f t="shared" si="2"/>
        <v>0</v>
      </c>
    </row>
    <row r="61" spans="1:17" x14ac:dyDescent="0.15">
      <c r="A61" s="110" t="s">
        <v>187</v>
      </c>
      <c r="B61" s="110" t="s">
        <v>1051</v>
      </c>
      <c r="C61" s="121">
        <f>SUMIFS('TB &amp; MCC Cost Audit 2020-Curren'!$P:$P,'TB &amp; MCC Cost Audit 2020-Curren'!$A:$A,'TB All Check'!$A61,'TB &amp; MCC Cost Audit 2020-Curren'!$C:$C,'TB All Check'!$B$7,'TB &amp; MCC Cost Audit 2020-Curren'!$D:$D,'TB All Check'!$A$7)</f>
        <v>0</v>
      </c>
      <c r="D61" s="121">
        <f>SUMIFS('2022 Partial Rev - NS'!$N:$N,'2022 Partial Rev - NS'!$G:$G,'TB All Check'!$B61,'2022 Partial Rev - NS'!$P:$P,'TB All Check'!$B$7)</f>
        <v>0</v>
      </c>
      <c r="E61" s="296">
        <f t="shared" si="0"/>
        <v>0</v>
      </c>
      <c r="G61" s="110" t="s">
        <v>187</v>
      </c>
      <c r="H61" s="110" t="s">
        <v>1051</v>
      </c>
      <c r="I61" s="121">
        <f>SUMIFS('TB &amp; MCC Cost Audit 2020-Curren'!$P:$P,'TB &amp; MCC Cost Audit 2020-Curren'!$A:$A,'TB All Check'!$A61,'TB &amp; MCC Cost Audit 2020-Curren'!$C:$C,'TB All Check'!$H$7,'TB &amp; MCC Cost Audit 2020-Curren'!$D:$D,'TB All Check'!$G$7)</f>
        <v>0</v>
      </c>
      <c r="J61" s="121">
        <f>SUMIFS('2023 Rev - NS'!$N:$N,'2023 Rev - NS'!$G:$G,'TB All Check'!$H61,'2023 Rev - NS'!$P:$P,'TB All Check'!$H$7)</f>
        <v>0</v>
      </c>
      <c r="K61" s="296">
        <f t="shared" si="1"/>
        <v>0</v>
      </c>
      <c r="M61" s="110" t="s">
        <v>187</v>
      </c>
      <c r="N61" s="110" t="s">
        <v>1051</v>
      </c>
      <c r="O61" s="121">
        <f>SUMIFS('TB &amp; MCC Cost Audit 2020-Curren'!$P:$P,'TB &amp; MCC Cost Audit 2020-Curren'!$A:$A,'TB All Check'!$M61,'TB &amp; MCC Cost Audit 2020-Curren'!$C:$C,'TB All Check'!$N$7,'TB &amp; MCC Cost Audit 2020-Curren'!$D:$D,'TB All Check'!$M$7)</f>
        <v>0</v>
      </c>
      <c r="P61" s="121">
        <f>SUMIFS('2024 Rev - NS'!$N:$N,'2024 Rev - NS'!$G:$G,'TB All Check'!$N61,'2024 Rev - NS'!$P:$P,'TB All Check'!$N$7)</f>
        <v>0</v>
      </c>
      <c r="Q61" s="296">
        <f t="shared" si="2"/>
        <v>0</v>
      </c>
    </row>
    <row r="62" spans="1:17" x14ac:dyDescent="0.15">
      <c r="A62" s="110" t="s">
        <v>178</v>
      </c>
      <c r="B62" s="110" t="s">
        <v>1052</v>
      </c>
      <c r="C62" s="121">
        <f>SUMIFS('TB &amp; MCC Cost Audit 2020-Curren'!$P:$P,'TB &amp; MCC Cost Audit 2020-Curren'!$A:$A,'TB All Check'!$A62,'TB &amp; MCC Cost Audit 2020-Curren'!$C:$C,'TB All Check'!$B$7,'TB &amp; MCC Cost Audit 2020-Curren'!$D:$D,'TB All Check'!$A$7)</f>
        <v>20512</v>
      </c>
      <c r="D62" s="313">
        <v>20512</v>
      </c>
      <c r="E62" s="296">
        <f t="shared" si="0"/>
        <v>0</v>
      </c>
      <c r="G62" s="110" t="s">
        <v>178</v>
      </c>
      <c r="H62" s="110" t="s">
        <v>1052</v>
      </c>
      <c r="I62" s="121">
        <f>SUMIFS('TB &amp; MCC Cost Audit 2020-Curren'!$P:$P,'TB &amp; MCC Cost Audit 2020-Curren'!$A:$A,'TB All Check'!$A62,'TB &amp; MCC Cost Audit 2020-Curren'!$C:$C,'TB All Check'!$H$7,'TB &amp; MCC Cost Audit 2020-Curren'!$D:$D,'TB All Check'!$G$7)</f>
        <v>0</v>
      </c>
      <c r="J62" s="121">
        <f>SUMIFS('2023 Rev - NS'!$N:$N,'2023 Rev - NS'!$G:$G,'TB All Check'!$H62,'2023 Rev - NS'!$P:$P,'TB All Check'!$H$7)</f>
        <v>0</v>
      </c>
      <c r="K62" s="296">
        <f t="shared" si="1"/>
        <v>0</v>
      </c>
      <c r="M62" s="110" t="s">
        <v>178</v>
      </c>
      <c r="N62" s="110" t="s">
        <v>1052</v>
      </c>
      <c r="O62" s="121">
        <f>SUMIFS('TB &amp; MCC Cost Audit 2020-Curren'!$P:$P,'TB &amp; MCC Cost Audit 2020-Curren'!$A:$A,'TB All Check'!$M62,'TB &amp; MCC Cost Audit 2020-Curren'!$C:$C,'TB All Check'!$N$7,'TB &amp; MCC Cost Audit 2020-Curren'!$D:$D,'TB All Check'!$M$7)</f>
        <v>0</v>
      </c>
      <c r="P62" s="121">
        <f>SUMIFS('2024 Rev - NS'!$N:$N,'2024 Rev - NS'!$G:$G,'TB All Check'!$N62,'2024 Rev - NS'!$P:$P,'TB All Check'!$N$7)</f>
        <v>27783</v>
      </c>
      <c r="Q62" s="296">
        <f t="shared" si="2"/>
        <v>27783</v>
      </c>
    </row>
    <row r="63" spans="1:17" x14ac:dyDescent="0.15">
      <c r="A63" s="110" t="s">
        <v>748</v>
      </c>
      <c r="B63" s="110" t="s">
        <v>1053</v>
      </c>
      <c r="C63" s="121">
        <f>SUMIFS('TB &amp; MCC Cost Audit 2020-Curren'!$P:$P,'TB &amp; MCC Cost Audit 2020-Curren'!$A:$A,'TB All Check'!$A63,'TB &amp; MCC Cost Audit 2020-Curren'!$C:$C,'TB All Check'!$B$7,'TB &amp; MCC Cost Audit 2020-Curren'!$D:$D,'TB All Check'!$A$7)</f>
        <v>0</v>
      </c>
      <c r="D63" s="121">
        <f>SUMIFS('2022 Partial Rev - NS'!$N:$N,'2022 Partial Rev - NS'!$G:$G,'TB All Check'!$B63,'2022 Partial Rev - NS'!$P:$P,'TB All Check'!$B$7)</f>
        <v>0</v>
      </c>
      <c r="E63" s="296">
        <f t="shared" si="0"/>
        <v>0</v>
      </c>
      <c r="G63" s="110" t="s">
        <v>748</v>
      </c>
      <c r="H63" s="110" t="s">
        <v>1053</v>
      </c>
      <c r="I63" s="121">
        <f>SUMIFS('TB &amp; MCC Cost Audit 2020-Curren'!$P:$P,'TB &amp; MCC Cost Audit 2020-Curren'!$A:$A,'TB All Check'!$A63,'TB &amp; MCC Cost Audit 2020-Curren'!$C:$C,'TB All Check'!$H$7,'TB &amp; MCC Cost Audit 2020-Curren'!$D:$D,'TB All Check'!$G$7)</f>
        <v>0</v>
      </c>
      <c r="J63" s="121">
        <f>SUMIFS('2023 Rev - NS'!$N:$N,'2023 Rev - NS'!$G:$G,'TB All Check'!$H63,'2023 Rev - NS'!$P:$P,'TB All Check'!$H$7)</f>
        <v>0</v>
      </c>
      <c r="K63" s="296">
        <f t="shared" si="1"/>
        <v>0</v>
      </c>
      <c r="M63" s="110" t="s">
        <v>748</v>
      </c>
      <c r="N63" s="110" t="s">
        <v>1053</v>
      </c>
      <c r="O63" s="121">
        <f>SUMIFS('TB &amp; MCC Cost Audit 2020-Curren'!$P:$P,'TB &amp; MCC Cost Audit 2020-Curren'!$A:$A,'TB All Check'!$M63,'TB &amp; MCC Cost Audit 2020-Curren'!$C:$C,'TB All Check'!$N$7,'TB &amp; MCC Cost Audit 2020-Curren'!$D:$D,'TB All Check'!$M$7)</f>
        <v>14896</v>
      </c>
      <c r="P63" s="121">
        <f>SUMIFS('2024 Rev - NS'!$N:$N,'2024 Rev - NS'!$G:$G,'TB All Check'!$N63,'2024 Rev - NS'!$P:$P,'TB All Check'!$N$7)</f>
        <v>14896</v>
      </c>
      <c r="Q63" s="296">
        <f t="shared" si="2"/>
        <v>0</v>
      </c>
    </row>
    <row r="64" spans="1:17" x14ac:dyDescent="0.15">
      <c r="A64" s="110" t="s">
        <v>784</v>
      </c>
      <c r="B64" s="110" t="s">
        <v>1054</v>
      </c>
      <c r="C64" s="121">
        <f>SUMIFS('TB &amp; MCC Cost Audit 2020-Curren'!$P:$P,'TB &amp; MCC Cost Audit 2020-Curren'!$A:$A,'TB All Check'!$A64,'TB &amp; MCC Cost Audit 2020-Curren'!$C:$C,'TB All Check'!$B$7,'TB &amp; MCC Cost Audit 2020-Curren'!$D:$D,'TB All Check'!$A$7)</f>
        <v>0</v>
      </c>
      <c r="D64" s="121">
        <f>SUMIFS('2022 Partial Rev - NS'!$N:$N,'2022 Partial Rev - NS'!$G:$G,'TB All Check'!$B64,'2022 Partial Rev - NS'!$P:$P,'TB All Check'!$B$7)</f>
        <v>0</v>
      </c>
      <c r="E64" s="296">
        <f t="shared" si="0"/>
        <v>0</v>
      </c>
      <c r="G64" s="110" t="s">
        <v>784</v>
      </c>
      <c r="H64" s="110" t="s">
        <v>1054</v>
      </c>
      <c r="I64" s="121">
        <f>SUMIFS('TB &amp; MCC Cost Audit 2020-Curren'!$P:$P,'TB &amp; MCC Cost Audit 2020-Curren'!$A:$A,'TB All Check'!$A64,'TB &amp; MCC Cost Audit 2020-Curren'!$C:$C,'TB All Check'!$H$7,'TB &amp; MCC Cost Audit 2020-Curren'!$D:$D,'TB All Check'!$G$7)</f>
        <v>0</v>
      </c>
      <c r="J64" s="121">
        <f>SUMIFS('2023 Rev - NS'!$N:$N,'2023 Rev - NS'!$G:$G,'TB All Check'!$H64,'2023 Rev - NS'!$P:$P,'TB All Check'!$H$7)</f>
        <v>0</v>
      </c>
      <c r="K64" s="296">
        <f t="shared" si="1"/>
        <v>0</v>
      </c>
      <c r="M64" s="110" t="s">
        <v>784</v>
      </c>
      <c r="N64" s="110" t="s">
        <v>1054</v>
      </c>
      <c r="O64" s="121">
        <f>SUMIFS('TB &amp; MCC Cost Audit 2020-Curren'!$P:$P,'TB &amp; MCC Cost Audit 2020-Curren'!$A:$A,'TB All Check'!$M64,'TB &amp; MCC Cost Audit 2020-Curren'!$C:$C,'TB All Check'!$N$7,'TB &amp; MCC Cost Audit 2020-Curren'!$D:$D,'TB All Check'!$M$7)</f>
        <v>0</v>
      </c>
      <c r="P64" s="121">
        <f>SUMIFS('2024 Rev - NS'!$N:$N,'2024 Rev - NS'!$G:$G,'TB All Check'!$N64,'2024 Rev - NS'!$P:$P,'TB All Check'!$N$7)</f>
        <v>0</v>
      </c>
      <c r="Q64" s="296">
        <f t="shared" si="2"/>
        <v>0</v>
      </c>
    </row>
    <row r="65" spans="1:17" x14ac:dyDescent="0.15">
      <c r="A65" s="110" t="s">
        <v>454</v>
      </c>
      <c r="B65" s="110" t="s">
        <v>1055</v>
      </c>
      <c r="C65" s="121">
        <f>SUMIFS('TB &amp; MCC Cost Audit 2020-Curren'!$P:$P,'TB &amp; MCC Cost Audit 2020-Curren'!$A:$A,'TB All Check'!$A65,'TB &amp; MCC Cost Audit 2020-Curren'!$C:$C,'TB All Check'!$B$7,'TB &amp; MCC Cost Audit 2020-Curren'!$D:$D,'TB All Check'!$A$7)</f>
        <v>0</v>
      </c>
      <c r="D65" s="121">
        <f>SUMIFS('2022 Partial Rev - NS'!$N:$N,'2022 Partial Rev - NS'!$G:$G,'TB All Check'!$B65,'2022 Partial Rev - NS'!$P:$P,'TB All Check'!$B$7)</f>
        <v>0</v>
      </c>
      <c r="E65" s="296">
        <f t="shared" si="0"/>
        <v>0</v>
      </c>
      <c r="G65" s="110" t="s">
        <v>454</v>
      </c>
      <c r="H65" s="110" t="s">
        <v>1055</v>
      </c>
      <c r="I65" s="121">
        <f>SUMIFS('TB &amp; MCC Cost Audit 2020-Curren'!$P:$P,'TB &amp; MCC Cost Audit 2020-Curren'!$A:$A,'TB All Check'!$A65,'TB &amp; MCC Cost Audit 2020-Curren'!$C:$C,'TB All Check'!$H$7,'TB &amp; MCC Cost Audit 2020-Curren'!$D:$D,'TB All Check'!$G$7)</f>
        <v>0</v>
      </c>
      <c r="J65" s="121">
        <f>SUMIFS('2023 Rev - NS'!$N:$N,'2023 Rev - NS'!$G:$G,'TB All Check'!$H65,'2023 Rev - NS'!$P:$P,'TB All Check'!$H$7)</f>
        <v>0</v>
      </c>
      <c r="K65" s="296">
        <f t="shared" si="1"/>
        <v>0</v>
      </c>
      <c r="M65" s="110" t="s">
        <v>454</v>
      </c>
      <c r="N65" s="110" t="s">
        <v>1055</v>
      </c>
      <c r="O65" s="121">
        <f>SUMIFS('TB &amp; MCC Cost Audit 2020-Curren'!$P:$P,'TB &amp; MCC Cost Audit 2020-Curren'!$A:$A,'TB All Check'!$M65,'TB &amp; MCC Cost Audit 2020-Curren'!$C:$C,'TB All Check'!$N$7,'TB &amp; MCC Cost Audit 2020-Curren'!$D:$D,'TB All Check'!$M$7)</f>
        <v>13028</v>
      </c>
      <c r="P65" s="121">
        <f>SUMIFS('2024 Rev - NS'!$N:$N,'2024 Rev - NS'!$G:$G,'TB All Check'!$N65,'2024 Rev - NS'!$P:$P,'TB All Check'!$N$7)</f>
        <v>13028</v>
      </c>
      <c r="Q65" s="296">
        <f t="shared" si="2"/>
        <v>0</v>
      </c>
    </row>
    <row r="66" spans="1:17" x14ac:dyDescent="0.15">
      <c r="A66" s="110" t="s">
        <v>308</v>
      </c>
      <c r="B66" s="110" t="s">
        <v>1056</v>
      </c>
      <c r="C66" s="121">
        <f>SUMIFS('TB &amp; MCC Cost Audit 2020-Curren'!$P:$P,'TB &amp; MCC Cost Audit 2020-Curren'!$A:$A,'TB All Check'!$A66,'TB &amp; MCC Cost Audit 2020-Curren'!$C:$C,'TB All Check'!$B$7,'TB &amp; MCC Cost Audit 2020-Curren'!$D:$D,'TB All Check'!$A$7)</f>
        <v>63364</v>
      </c>
      <c r="D66" s="121">
        <f>SUMIFS('2022 Partial Rev - NS'!$N:$N,'2022 Partial Rev - NS'!$G:$G,'TB All Check'!$B66,'2022 Partial Rev - NS'!$P:$P,'TB All Check'!$B$7)</f>
        <v>63364</v>
      </c>
      <c r="E66" s="296">
        <f t="shared" ref="E66:E102" si="6">C66-D66</f>
        <v>0</v>
      </c>
      <c r="G66" s="110" t="s">
        <v>308</v>
      </c>
      <c r="H66" s="110" t="s">
        <v>1056</v>
      </c>
      <c r="I66" s="121">
        <f>SUMIFS('TB &amp; MCC Cost Audit 2020-Curren'!$P:$P,'TB &amp; MCC Cost Audit 2020-Curren'!$A:$A,'TB All Check'!$A66,'TB &amp; MCC Cost Audit 2020-Curren'!$C:$C,'TB All Check'!$H$7,'TB &amp; MCC Cost Audit 2020-Curren'!$D:$D,'TB All Check'!$G$7)</f>
        <v>0</v>
      </c>
      <c r="J66" s="121">
        <f>SUMIFS('2023 Rev - NS'!$N:$N,'2023 Rev - NS'!$G:$G,'TB All Check'!$H66,'2023 Rev - NS'!$P:$P,'TB All Check'!$H$7)</f>
        <v>0</v>
      </c>
      <c r="K66" s="296">
        <f t="shared" ref="K66:K102" si="7">I66-J66</f>
        <v>0</v>
      </c>
      <c r="M66" s="110" t="s">
        <v>308</v>
      </c>
      <c r="N66" s="110" t="s">
        <v>1056</v>
      </c>
      <c r="O66" s="121">
        <f>SUMIFS('TB &amp; MCC Cost Audit 2020-Curren'!$P:$P,'TB &amp; MCC Cost Audit 2020-Curren'!$A:$A,'TB All Check'!$M66,'TB &amp; MCC Cost Audit 2020-Curren'!$C:$C,'TB All Check'!$N$7,'TB &amp; MCC Cost Audit 2020-Curren'!$D:$D,'TB All Check'!$M$7)</f>
        <v>63364</v>
      </c>
      <c r="P66" s="121">
        <f>SUMIFS('2024 Rev - NS'!$N:$N,'2024 Rev - NS'!$G:$G,'TB All Check'!$N66,'2024 Rev - NS'!$P:$P,'TB All Check'!$N$7)</f>
        <v>63364</v>
      </c>
      <c r="Q66" s="296">
        <f t="shared" ref="Q66:Q102" si="8">P66-O66</f>
        <v>0</v>
      </c>
    </row>
    <row r="67" spans="1:17" x14ac:dyDescent="0.15">
      <c r="A67" s="110" t="s">
        <v>382</v>
      </c>
      <c r="B67" s="110" t="s">
        <v>1057</v>
      </c>
      <c r="C67" s="121">
        <f>SUMIFS('TB &amp; MCC Cost Audit 2020-Curren'!$P:$P,'TB &amp; MCC Cost Audit 2020-Curren'!$A:$A,'TB All Check'!$A67,'TB &amp; MCC Cost Audit 2020-Curren'!$C:$C,'TB All Check'!$B$7,'TB &amp; MCC Cost Audit 2020-Curren'!$D:$D,'TB All Check'!$A$7)</f>
        <v>0</v>
      </c>
      <c r="D67" s="121">
        <f>SUMIFS('2022 Partial Rev - NS'!$N:$N,'2022 Partial Rev - NS'!$G:$G,'TB All Check'!$B67,'2022 Partial Rev - NS'!$P:$P,'TB All Check'!$B$7)</f>
        <v>0</v>
      </c>
      <c r="E67" s="296">
        <f t="shared" si="6"/>
        <v>0</v>
      </c>
      <c r="G67" s="110" t="s">
        <v>382</v>
      </c>
      <c r="H67" s="110" t="s">
        <v>1057</v>
      </c>
      <c r="I67" s="121">
        <f>SUMIFS('TB &amp; MCC Cost Audit 2020-Curren'!$P:$P,'TB &amp; MCC Cost Audit 2020-Curren'!$A:$A,'TB All Check'!$A67,'TB &amp; MCC Cost Audit 2020-Curren'!$C:$C,'TB All Check'!$H$7,'TB &amp; MCC Cost Audit 2020-Curren'!$D:$D,'TB All Check'!$G$7)</f>
        <v>0</v>
      </c>
      <c r="J67" s="121">
        <f>SUMIFS('2023 Rev - NS'!$N:$N,'2023 Rev - NS'!$G:$G,'TB All Check'!$H67,'2023 Rev - NS'!$P:$P,'TB All Check'!$H$7)</f>
        <v>0</v>
      </c>
      <c r="K67" s="296">
        <f t="shared" si="7"/>
        <v>0</v>
      </c>
      <c r="M67" s="110" t="s">
        <v>382</v>
      </c>
      <c r="N67" s="110" t="s">
        <v>1057</v>
      </c>
      <c r="O67" s="121">
        <f>SUMIFS('TB &amp; MCC Cost Audit 2020-Curren'!$P:$P,'TB &amp; MCC Cost Audit 2020-Curren'!$A:$A,'TB All Check'!$M67,'TB &amp; MCC Cost Audit 2020-Curren'!$C:$C,'TB All Check'!$N$7,'TB &amp; MCC Cost Audit 2020-Curren'!$D:$D,'TB All Check'!$M$7)</f>
        <v>12896</v>
      </c>
      <c r="P67" s="121">
        <f>SUMIFS('2024 Rev - NS'!$N:$N,'2024 Rev - NS'!$G:$G,'TB All Check'!$N67,'2024 Rev - NS'!$P:$P,'TB All Check'!$N$7)</f>
        <v>12896</v>
      </c>
      <c r="Q67" s="296">
        <f t="shared" si="8"/>
        <v>0</v>
      </c>
    </row>
    <row r="68" spans="1:17" x14ac:dyDescent="0.15">
      <c r="A68" s="110" t="s">
        <v>436</v>
      </c>
      <c r="B68" s="110" t="s">
        <v>1058</v>
      </c>
      <c r="C68" s="121">
        <f>SUMIFS('TB &amp; MCC Cost Audit 2020-Curren'!$P:$P,'TB &amp; MCC Cost Audit 2020-Curren'!$A:$A,'TB All Check'!$A68,'TB &amp; MCC Cost Audit 2020-Curren'!$C:$C,'TB All Check'!$B$7,'TB &amp; MCC Cost Audit 2020-Curren'!$D:$D,'TB All Check'!$A$7)</f>
        <v>0</v>
      </c>
      <c r="D68" s="121">
        <f>SUMIFS('2022 Partial Rev - NS'!$N:$N,'2022 Partial Rev - NS'!$G:$G,'TB All Check'!$B68,'2022 Partial Rev - NS'!$P:$P,'TB All Check'!$B$7)</f>
        <v>0</v>
      </c>
      <c r="E68" s="296">
        <f t="shared" si="6"/>
        <v>0</v>
      </c>
      <c r="G68" s="110" t="s">
        <v>436</v>
      </c>
      <c r="H68" s="110" t="s">
        <v>1058</v>
      </c>
      <c r="I68" s="121">
        <f>SUMIFS('TB &amp; MCC Cost Audit 2020-Curren'!$P:$P,'TB &amp; MCC Cost Audit 2020-Curren'!$A:$A,'TB All Check'!$A68,'TB &amp; MCC Cost Audit 2020-Curren'!$C:$C,'TB All Check'!$H$7,'TB &amp; MCC Cost Audit 2020-Curren'!$D:$D,'TB All Check'!$G$7)</f>
        <v>0</v>
      </c>
      <c r="J68" s="121">
        <f>SUMIFS('2023 Rev - NS'!$N:$N,'2023 Rev - NS'!$G:$G,'TB All Check'!$H68,'2023 Rev - NS'!$P:$P,'TB All Check'!$H$7)</f>
        <v>0</v>
      </c>
      <c r="K68" s="296">
        <f t="shared" si="7"/>
        <v>0</v>
      </c>
      <c r="M68" s="110" t="s">
        <v>436</v>
      </c>
      <c r="N68" s="110" t="s">
        <v>1058</v>
      </c>
      <c r="O68" s="121">
        <f>SUMIFS('TB &amp; MCC Cost Audit 2020-Curren'!$P:$P,'TB &amp; MCC Cost Audit 2020-Curren'!$A:$A,'TB All Check'!$M68,'TB &amp; MCC Cost Audit 2020-Curren'!$C:$C,'TB All Check'!$N$7,'TB &amp; MCC Cost Audit 2020-Curren'!$D:$D,'TB All Check'!$M$7)</f>
        <v>13607</v>
      </c>
      <c r="P68" s="121">
        <f>SUMIFS('2024 Rev - NS'!$N:$N,'2024 Rev - NS'!$G:$G,'TB All Check'!$N68,'2024 Rev - NS'!$P:$P,'TB All Check'!$N$7)</f>
        <v>13607</v>
      </c>
      <c r="Q68" s="296">
        <f t="shared" si="8"/>
        <v>0</v>
      </c>
    </row>
    <row r="69" spans="1:17" x14ac:dyDescent="0.15">
      <c r="A69" s="110" t="s">
        <v>510</v>
      </c>
      <c r="B69" s="110" t="s">
        <v>1059</v>
      </c>
      <c r="C69" s="121">
        <f>SUMIFS('TB &amp; MCC Cost Audit 2020-Curren'!$P:$P,'TB &amp; MCC Cost Audit 2020-Curren'!$A:$A,'TB All Check'!$A69,'TB &amp; MCC Cost Audit 2020-Curren'!$C:$C,'TB All Check'!$B$7,'TB &amp; MCC Cost Audit 2020-Curren'!$D:$D,'TB All Check'!$A$7)</f>
        <v>0</v>
      </c>
      <c r="D69" s="121">
        <f>SUMIFS('2022 Partial Rev - NS'!$N:$N,'2022 Partial Rev - NS'!$G:$G,'TB All Check'!$B69,'2022 Partial Rev - NS'!$P:$P,'TB All Check'!$B$7)</f>
        <v>0</v>
      </c>
      <c r="E69" s="296">
        <f t="shared" si="6"/>
        <v>0</v>
      </c>
      <c r="G69" s="110" t="s">
        <v>510</v>
      </c>
      <c r="H69" s="110" t="s">
        <v>1059</v>
      </c>
      <c r="I69" s="121">
        <f>SUMIFS('TB &amp; MCC Cost Audit 2020-Curren'!$P:$P,'TB &amp; MCC Cost Audit 2020-Curren'!$A:$A,'TB All Check'!$A69,'TB &amp; MCC Cost Audit 2020-Curren'!$C:$C,'TB All Check'!$H$7,'TB &amp; MCC Cost Audit 2020-Curren'!$D:$D,'TB All Check'!$G$7)</f>
        <v>0</v>
      </c>
      <c r="J69" s="121">
        <f>SUMIFS('2023 Rev - NS'!$N:$N,'2023 Rev - NS'!$G:$G,'TB All Check'!$H69,'2023 Rev - NS'!$P:$P,'TB All Check'!$H$7)</f>
        <v>0</v>
      </c>
      <c r="K69" s="296">
        <f t="shared" si="7"/>
        <v>0</v>
      </c>
      <c r="M69" s="110" t="s">
        <v>510</v>
      </c>
      <c r="N69" s="110" t="s">
        <v>1059</v>
      </c>
      <c r="O69" s="121">
        <f>SUMIFS('TB &amp; MCC Cost Audit 2020-Curren'!$P:$P,'TB &amp; MCC Cost Audit 2020-Curren'!$A:$A,'TB All Check'!$M69,'TB &amp; MCC Cost Audit 2020-Curren'!$C:$C,'TB All Check'!$N$7,'TB &amp; MCC Cost Audit 2020-Curren'!$D:$D,'TB All Check'!$M$7)</f>
        <v>26696</v>
      </c>
      <c r="P69" s="121">
        <f>SUMIFS('2024 Rev - NS'!$N:$N,'2024 Rev - NS'!$G:$G,'TB All Check'!$N69,'2024 Rev - NS'!$P:$P,'TB All Check'!$N$7)</f>
        <v>26696</v>
      </c>
      <c r="Q69" s="296">
        <f t="shared" si="8"/>
        <v>0</v>
      </c>
    </row>
    <row r="70" spans="1:17" x14ac:dyDescent="0.15">
      <c r="A70" s="110" t="s">
        <v>134</v>
      </c>
      <c r="B70" s="110" t="s">
        <v>1060</v>
      </c>
      <c r="C70" s="121">
        <f>SUMIFS('TB &amp; MCC Cost Audit 2020-Curren'!$P:$P,'TB &amp; MCC Cost Audit 2020-Curren'!$A:$A,'TB All Check'!$A70,'TB &amp; MCC Cost Audit 2020-Curren'!$C:$C,'TB All Check'!$B$7,'TB &amp; MCC Cost Audit 2020-Curren'!$D:$D,'TB All Check'!$A$7)</f>
        <v>0</v>
      </c>
      <c r="D70" s="121">
        <f>SUMIFS('2022 Partial Rev - NS'!$N:$N,'2022 Partial Rev - NS'!$G:$G,'TB All Check'!$B70,'2022 Partial Rev - NS'!$P:$P,'TB All Check'!$B$7)</f>
        <v>0</v>
      </c>
      <c r="E70" s="296">
        <f t="shared" si="6"/>
        <v>0</v>
      </c>
      <c r="G70" s="110" t="s">
        <v>134</v>
      </c>
      <c r="H70" s="110" t="s">
        <v>1060</v>
      </c>
      <c r="I70" s="121">
        <f>SUMIFS('TB &amp; MCC Cost Audit 2020-Curren'!$P:$P,'TB &amp; MCC Cost Audit 2020-Curren'!$A:$A,'TB All Check'!$A70,'TB &amp; MCC Cost Audit 2020-Curren'!$C:$C,'TB All Check'!$H$7,'TB &amp; MCC Cost Audit 2020-Curren'!$D:$D,'TB All Check'!$G$7)</f>
        <v>0</v>
      </c>
      <c r="J70" s="121">
        <f>SUMIFS('2023 Rev - NS'!$N:$N,'2023 Rev - NS'!$G:$G,'TB All Check'!$H70,'2023 Rev - NS'!$P:$P,'TB All Check'!$H$7)</f>
        <v>0</v>
      </c>
      <c r="K70" s="296">
        <f t="shared" si="7"/>
        <v>0</v>
      </c>
      <c r="M70" s="110" t="s">
        <v>134</v>
      </c>
      <c r="N70" s="110" t="s">
        <v>1060</v>
      </c>
      <c r="O70" s="121">
        <f>SUMIFS('TB &amp; MCC Cost Audit 2020-Curren'!$P:$P,'TB &amp; MCC Cost Audit 2020-Curren'!$A:$A,'TB All Check'!$M70,'TB &amp; MCC Cost Audit 2020-Curren'!$C:$C,'TB All Check'!$N$7,'TB &amp; MCC Cost Audit 2020-Curren'!$D:$D,'TB All Check'!$M$7)</f>
        <v>0</v>
      </c>
      <c r="P70" s="121">
        <f>SUMIFS('2024 Rev - NS'!$N:$N,'2024 Rev - NS'!$G:$G,'TB All Check'!$N70,'2024 Rev - NS'!$P:$P,'TB All Check'!$N$7)</f>
        <v>0</v>
      </c>
      <c r="Q70" s="296">
        <f t="shared" si="8"/>
        <v>0</v>
      </c>
    </row>
    <row r="71" spans="1:17" x14ac:dyDescent="0.15">
      <c r="A71" s="110" t="s">
        <v>505</v>
      </c>
      <c r="B71" s="110" t="s">
        <v>505</v>
      </c>
      <c r="C71" s="121">
        <f>SUMIFS('TB &amp; MCC Cost Audit 2020-Curren'!$P:$P,'TB &amp; MCC Cost Audit 2020-Curren'!$A:$A,'TB All Check'!$A71,'TB &amp; MCC Cost Audit 2020-Curren'!$C:$C,'TB All Check'!$B$7,'TB &amp; MCC Cost Audit 2020-Curren'!$D:$D,'TB All Check'!$A$7)</f>
        <v>0</v>
      </c>
      <c r="D71" s="121">
        <f>SUMIFS('2022 Partial Rev - NS'!$N:$N,'2022 Partial Rev - NS'!$G:$G,'TB All Check'!$B71,'2022 Partial Rev - NS'!$P:$P,'TB All Check'!$B$7)</f>
        <v>0</v>
      </c>
      <c r="E71" s="296">
        <f t="shared" si="6"/>
        <v>0</v>
      </c>
      <c r="G71" s="110" t="s">
        <v>505</v>
      </c>
      <c r="H71" s="110" t="s">
        <v>505</v>
      </c>
      <c r="I71" s="121">
        <f>SUMIFS('TB &amp; MCC Cost Audit 2020-Curren'!$P:$P,'TB &amp; MCC Cost Audit 2020-Curren'!$A:$A,'TB All Check'!$A71,'TB &amp; MCC Cost Audit 2020-Curren'!$C:$C,'TB All Check'!$H$7,'TB &amp; MCC Cost Audit 2020-Curren'!$D:$D,'TB All Check'!$G$7)</f>
        <v>0</v>
      </c>
      <c r="J71" s="121">
        <f>SUMIFS('2023 Rev - NS'!$N:$N,'2023 Rev - NS'!$G:$G,'TB All Check'!$H71,'2023 Rev - NS'!$P:$P,'TB All Check'!$H$7)</f>
        <v>0</v>
      </c>
      <c r="K71" s="296">
        <f t="shared" si="7"/>
        <v>0</v>
      </c>
      <c r="M71" s="110" t="s">
        <v>505</v>
      </c>
      <c r="N71" s="110" t="s">
        <v>505</v>
      </c>
      <c r="O71" s="121">
        <f>SUMIFS('TB &amp; MCC Cost Audit 2020-Curren'!$P:$P,'TB &amp; MCC Cost Audit 2020-Curren'!$A:$A,'TB All Check'!$M71,'TB &amp; MCC Cost Audit 2020-Curren'!$C:$C,'TB All Check'!$N$7,'TB &amp; MCC Cost Audit 2020-Curren'!$D:$D,'TB All Check'!$M$7)</f>
        <v>0</v>
      </c>
      <c r="P71" s="121">
        <f>SUMIFS('2024 Rev - NS'!$N:$N,'2024 Rev - NS'!$G:$G,'TB All Check'!$N71,'2024 Rev - NS'!$P:$P,'TB All Check'!$N$7)</f>
        <v>0</v>
      </c>
      <c r="Q71" s="296">
        <f t="shared" si="8"/>
        <v>0</v>
      </c>
    </row>
    <row r="72" spans="1:17" x14ac:dyDescent="0.15">
      <c r="A72" s="110" t="s">
        <v>239</v>
      </c>
      <c r="B72" s="110" t="s">
        <v>1061</v>
      </c>
      <c r="C72" s="121">
        <f>SUMIFS('TB &amp; MCC Cost Audit 2020-Curren'!$P:$P,'TB &amp; MCC Cost Audit 2020-Curren'!$A:$A,'TB All Check'!$A72,'TB &amp; MCC Cost Audit 2020-Curren'!$C:$C,'TB All Check'!$B$7,'TB &amp; MCC Cost Audit 2020-Curren'!$D:$D,'TB All Check'!$A$7)</f>
        <v>10572</v>
      </c>
      <c r="D72" s="121">
        <f>SUMIFS('2022 Partial Rev - NS'!$N:$N,'2022 Partial Rev - NS'!$G:$G,'TB All Check'!$B72,'2022 Partial Rev - NS'!$P:$P,'TB All Check'!$B$7)</f>
        <v>10572</v>
      </c>
      <c r="E72" s="296">
        <f t="shared" si="6"/>
        <v>0</v>
      </c>
      <c r="G72" s="110" t="s">
        <v>239</v>
      </c>
      <c r="H72" s="110" t="s">
        <v>1061</v>
      </c>
      <c r="I72" s="121">
        <f>SUMIFS('TB &amp; MCC Cost Audit 2020-Curren'!$P:$P,'TB &amp; MCC Cost Audit 2020-Curren'!$A:$A,'TB All Check'!$A72,'TB &amp; MCC Cost Audit 2020-Curren'!$C:$C,'TB All Check'!$H$7,'TB &amp; MCC Cost Audit 2020-Curren'!$D:$D,'TB All Check'!$G$7)</f>
        <v>0</v>
      </c>
      <c r="J72" s="121">
        <f>SUMIFS('2023 Rev - NS'!$N:$N,'2023 Rev - NS'!$G:$G,'TB All Check'!$H72,'2023 Rev - NS'!$P:$P,'TB All Check'!$H$7)</f>
        <v>0</v>
      </c>
      <c r="K72" s="296">
        <f t="shared" si="7"/>
        <v>0</v>
      </c>
      <c r="M72" s="110" t="s">
        <v>239</v>
      </c>
      <c r="N72" s="110" t="s">
        <v>1061</v>
      </c>
      <c r="O72" s="121">
        <f>SUMIFS('TB &amp; MCC Cost Audit 2020-Curren'!$P:$P,'TB &amp; MCC Cost Audit 2020-Curren'!$A:$A,'TB All Check'!$M72,'TB &amp; MCC Cost Audit 2020-Curren'!$C:$C,'TB All Check'!$N$7,'TB &amp; MCC Cost Audit 2020-Curren'!$D:$D,'TB All Check'!$M$7)</f>
        <v>12218</v>
      </c>
      <c r="P72" s="121">
        <f>SUMIFS('2024 Rev - NS'!$N:$N,'2024 Rev - NS'!$G:$G,'TB All Check'!$N72,'2024 Rev - NS'!$P:$P,'TB All Check'!$N$7)</f>
        <v>12218</v>
      </c>
      <c r="Q72" s="296">
        <f t="shared" si="8"/>
        <v>0</v>
      </c>
    </row>
    <row r="73" spans="1:17" x14ac:dyDescent="0.15">
      <c r="A73" s="108" t="s">
        <v>420</v>
      </c>
      <c r="B73" s="108" t="s">
        <v>1062</v>
      </c>
      <c r="C73" s="121">
        <f>SUMIFS('TB &amp; MCC Cost Audit 2020-Curren'!$P:$P,'TB &amp; MCC Cost Audit 2020-Curren'!$A:$A,'TB All Check'!$A73,'TB &amp; MCC Cost Audit 2020-Curren'!$C:$C,'TB All Check'!$B$7,'TB &amp; MCC Cost Audit 2020-Curren'!$D:$D,'TB All Check'!$A$7)</f>
        <v>19860.61</v>
      </c>
      <c r="D73" s="121">
        <f>SUMIFS('2022 Partial Rev - NS'!$N:$N,'2022 Partial Rev - NS'!$G:$G,'TB All Check'!$B73,'2022 Partial Rev - NS'!$P:$P,'TB All Check'!$B$7)</f>
        <v>0</v>
      </c>
      <c r="E73" s="296">
        <f t="shared" si="6"/>
        <v>19860.61</v>
      </c>
      <c r="G73" s="110" t="s">
        <v>420</v>
      </c>
      <c r="H73" s="110" t="s">
        <v>1062</v>
      </c>
      <c r="I73" s="121">
        <f>SUMIFS('TB &amp; MCC Cost Audit 2020-Curren'!$P:$P,'TB &amp; MCC Cost Audit 2020-Curren'!$A:$A,'TB All Check'!$A73,'TB &amp; MCC Cost Audit 2020-Curren'!$C:$C,'TB All Check'!$H$7,'TB &amp; MCC Cost Audit 2020-Curren'!$D:$D,'TB All Check'!$G$7)</f>
        <v>0</v>
      </c>
      <c r="J73" s="121">
        <f>SUMIFS('2023 Rev - NS'!$N:$N,'2023 Rev - NS'!$G:$G,'TB All Check'!$H73,'2023 Rev - NS'!$P:$P,'TB All Check'!$H$7)</f>
        <v>0</v>
      </c>
      <c r="K73" s="296">
        <f t="shared" si="7"/>
        <v>0</v>
      </c>
      <c r="M73" s="110" t="s">
        <v>420</v>
      </c>
      <c r="N73" s="110" t="s">
        <v>1062</v>
      </c>
      <c r="O73" s="121">
        <f>SUMIFS('TB &amp; MCC Cost Audit 2020-Curren'!$P:$P,'TB &amp; MCC Cost Audit 2020-Curren'!$A:$A,'TB All Check'!$M73,'TB &amp; MCC Cost Audit 2020-Curren'!$C:$C,'TB All Check'!$N$7,'TB &amp; MCC Cost Audit 2020-Curren'!$D:$D,'TB All Check'!$M$7)</f>
        <v>29439</v>
      </c>
      <c r="P73" s="121">
        <f>SUMIFS('2024 Rev - NS'!$N:$N,'2024 Rev - NS'!$G:$G,'TB All Check'!$N73,'2024 Rev - NS'!$P:$P,'TB All Check'!$N$7)</f>
        <v>29439</v>
      </c>
      <c r="Q73" s="296">
        <f t="shared" si="8"/>
        <v>0</v>
      </c>
    </row>
    <row r="74" spans="1:17" x14ac:dyDescent="0.15">
      <c r="A74" s="110" t="s">
        <v>214</v>
      </c>
      <c r="B74" s="110" t="s">
        <v>1063</v>
      </c>
      <c r="C74" s="121">
        <f>SUMIFS('TB &amp; MCC Cost Audit 2020-Curren'!$P:$P,'TB &amp; MCC Cost Audit 2020-Curren'!$A:$A,'TB All Check'!$A74,'TB &amp; MCC Cost Audit 2020-Curren'!$C:$C,'TB All Check'!$B$7,'TB &amp; MCC Cost Audit 2020-Curren'!$D:$D,'TB All Check'!$A$7)</f>
        <v>0</v>
      </c>
      <c r="D74" s="121">
        <f>SUMIFS('2022 Partial Rev - NS'!$N:$N,'2022 Partial Rev - NS'!$G:$G,'TB All Check'!$B74,'2022 Partial Rev - NS'!$P:$P,'TB All Check'!$B$7)</f>
        <v>0</v>
      </c>
      <c r="E74" s="296">
        <f t="shared" si="6"/>
        <v>0</v>
      </c>
      <c r="G74" s="110" t="s">
        <v>214</v>
      </c>
      <c r="H74" s="110" t="s">
        <v>1063</v>
      </c>
      <c r="I74" s="121">
        <f>SUMIFS('TB &amp; MCC Cost Audit 2020-Curren'!$P:$P,'TB &amp; MCC Cost Audit 2020-Curren'!$A:$A,'TB All Check'!$A74,'TB &amp; MCC Cost Audit 2020-Curren'!$C:$C,'TB All Check'!$H$7,'TB &amp; MCC Cost Audit 2020-Curren'!$D:$D,'TB All Check'!$G$7)</f>
        <v>0</v>
      </c>
      <c r="J74" s="121">
        <f>SUMIFS('2023 Rev - NS'!$N:$N,'2023 Rev - NS'!$G:$G,'TB All Check'!$H74,'2023 Rev - NS'!$P:$P,'TB All Check'!$H$7)</f>
        <v>0</v>
      </c>
      <c r="K74" s="296">
        <f t="shared" si="7"/>
        <v>0</v>
      </c>
      <c r="M74" s="110" t="s">
        <v>214</v>
      </c>
      <c r="N74" s="110" t="s">
        <v>1063</v>
      </c>
      <c r="O74" s="121">
        <f>SUMIFS('TB &amp; MCC Cost Audit 2020-Curren'!$P:$P,'TB &amp; MCC Cost Audit 2020-Curren'!$A:$A,'TB All Check'!$M74,'TB &amp; MCC Cost Audit 2020-Curren'!$C:$C,'TB All Check'!$N$7,'TB &amp; MCC Cost Audit 2020-Curren'!$D:$D,'TB All Check'!$M$7)</f>
        <v>8865</v>
      </c>
      <c r="P74" s="121">
        <f>SUMIFS('2024 Rev - NS'!$N:$N,'2024 Rev - NS'!$G:$G,'TB All Check'!$N74,'2024 Rev - NS'!$P:$P,'TB All Check'!$N$7)</f>
        <v>8865</v>
      </c>
      <c r="Q74" s="296">
        <f t="shared" si="8"/>
        <v>0</v>
      </c>
    </row>
    <row r="75" spans="1:17" x14ac:dyDescent="0.15">
      <c r="A75" s="110" t="s">
        <v>194</v>
      </c>
      <c r="B75" s="110" t="s">
        <v>1064</v>
      </c>
      <c r="C75" s="121">
        <f>SUMIFS('TB &amp; MCC Cost Audit 2020-Curren'!$P:$P,'TB &amp; MCC Cost Audit 2020-Curren'!$A:$A,'TB All Check'!$A75,'TB &amp; MCC Cost Audit 2020-Curren'!$C:$C,'TB All Check'!$B$7,'TB &amp; MCC Cost Audit 2020-Curren'!$D:$D,'TB All Check'!$A$7)</f>
        <v>20829</v>
      </c>
      <c r="D75" s="121">
        <f>SUMIFS('2022 Partial Rev - NS'!$N:$N,'2022 Partial Rev - NS'!$G:$G,'TB All Check'!$B75,'2022 Partial Rev - NS'!$P:$P,'TB All Check'!$B$7)</f>
        <v>20829</v>
      </c>
      <c r="E75" s="296">
        <f t="shared" si="6"/>
        <v>0</v>
      </c>
      <c r="G75" s="110" t="s">
        <v>194</v>
      </c>
      <c r="H75" s="110" t="s">
        <v>1064</v>
      </c>
      <c r="I75" s="121">
        <f>SUMIFS('TB &amp; MCC Cost Audit 2020-Curren'!$P:$P,'TB &amp; MCC Cost Audit 2020-Curren'!$A:$A,'TB All Check'!$A75,'TB &amp; MCC Cost Audit 2020-Curren'!$C:$C,'TB All Check'!$H$7,'TB &amp; MCC Cost Audit 2020-Curren'!$D:$D,'TB All Check'!$G$7)</f>
        <v>0</v>
      </c>
      <c r="J75" s="121">
        <f>SUMIFS('2023 Rev - NS'!$N:$N,'2023 Rev - NS'!$G:$G,'TB All Check'!$H75,'2023 Rev - NS'!$P:$P,'TB All Check'!$H$7)</f>
        <v>0</v>
      </c>
      <c r="K75" s="296">
        <f t="shared" si="7"/>
        <v>0</v>
      </c>
      <c r="M75" s="110" t="s">
        <v>194</v>
      </c>
      <c r="N75" s="110" t="s">
        <v>1064</v>
      </c>
      <c r="O75" s="121">
        <f>SUMIFS('TB &amp; MCC Cost Audit 2020-Curren'!$P:$P,'TB &amp; MCC Cost Audit 2020-Curren'!$A:$A,'TB All Check'!$M75,'TB &amp; MCC Cost Audit 2020-Curren'!$C:$C,'TB All Check'!$N$7,'TB &amp; MCC Cost Audit 2020-Curren'!$D:$D,'TB All Check'!$M$7)</f>
        <v>22526</v>
      </c>
      <c r="P75" s="121">
        <f>SUMIFS('2024 Rev - NS'!$N:$N,'2024 Rev - NS'!$G:$G,'TB All Check'!$N75,'2024 Rev - NS'!$P:$P,'TB All Check'!$N$7)</f>
        <v>22526</v>
      </c>
      <c r="Q75" s="296">
        <f t="shared" si="8"/>
        <v>0</v>
      </c>
    </row>
    <row r="76" spans="1:17" x14ac:dyDescent="0.15">
      <c r="A76" s="110" t="s">
        <v>425</v>
      </c>
      <c r="B76" s="110" t="s">
        <v>1065</v>
      </c>
      <c r="C76" s="121">
        <f>SUMIFS('TB &amp; MCC Cost Audit 2020-Curren'!$P:$P,'TB &amp; MCC Cost Audit 2020-Curren'!$A:$A,'TB All Check'!$A76,'TB &amp; MCC Cost Audit 2020-Curren'!$C:$C,'TB All Check'!$B$7,'TB &amp; MCC Cost Audit 2020-Curren'!$D:$D,'TB All Check'!$A$7)</f>
        <v>0</v>
      </c>
      <c r="D76" s="121">
        <f>SUMIFS('2022 Partial Rev - NS'!$N:$N,'2022 Partial Rev - NS'!$G:$G,'TB All Check'!$B76,'2022 Partial Rev - NS'!$P:$P,'TB All Check'!$B$7)</f>
        <v>0</v>
      </c>
      <c r="E76" s="296">
        <f t="shared" si="6"/>
        <v>0</v>
      </c>
      <c r="G76" s="110" t="s">
        <v>425</v>
      </c>
      <c r="H76" s="110" t="s">
        <v>1065</v>
      </c>
      <c r="I76" s="121">
        <f>SUMIFS('TB &amp; MCC Cost Audit 2020-Curren'!$P:$P,'TB &amp; MCC Cost Audit 2020-Curren'!$A:$A,'TB All Check'!$A76,'TB &amp; MCC Cost Audit 2020-Curren'!$C:$C,'TB All Check'!$H$7,'TB &amp; MCC Cost Audit 2020-Curren'!$D:$D,'TB All Check'!$G$7)</f>
        <v>0</v>
      </c>
      <c r="J76" s="121">
        <f>SUMIFS('2023 Rev - NS'!$N:$N,'2023 Rev - NS'!$G:$G,'TB All Check'!$H76,'2023 Rev - NS'!$P:$P,'TB All Check'!$H$7)</f>
        <v>0</v>
      </c>
      <c r="K76" s="296">
        <f t="shared" si="7"/>
        <v>0</v>
      </c>
      <c r="M76" s="110" t="s">
        <v>425</v>
      </c>
      <c r="N76" s="110" t="s">
        <v>1065</v>
      </c>
      <c r="O76" s="121">
        <f>SUMIFS('TB &amp; MCC Cost Audit 2020-Curren'!$P:$P,'TB &amp; MCC Cost Audit 2020-Curren'!$A:$A,'TB All Check'!$M76,'TB &amp; MCC Cost Audit 2020-Curren'!$C:$C,'TB All Check'!$N$7,'TB &amp; MCC Cost Audit 2020-Curren'!$D:$D,'TB All Check'!$M$7)</f>
        <v>0</v>
      </c>
      <c r="P76" s="121">
        <f>SUMIFS('2024 Rev - NS'!$N:$N,'2024 Rev - NS'!$G:$G,'TB All Check'!$N76,'2024 Rev - NS'!$P:$P,'TB All Check'!$N$7)</f>
        <v>0</v>
      </c>
      <c r="Q76" s="296">
        <f t="shared" si="8"/>
        <v>0</v>
      </c>
    </row>
    <row r="77" spans="1:17" x14ac:dyDescent="0.15">
      <c r="A77" s="110" t="s">
        <v>330</v>
      </c>
      <c r="B77" s="110" t="s">
        <v>1066</v>
      </c>
      <c r="C77" s="121">
        <f>SUMIFS('TB &amp; MCC Cost Audit 2020-Curren'!$P:$P,'TB &amp; MCC Cost Audit 2020-Curren'!$A:$A,'TB All Check'!$A77,'TB &amp; MCC Cost Audit 2020-Curren'!$C:$C,'TB All Check'!$B$7,'TB &amp; MCC Cost Audit 2020-Curren'!$D:$D,'TB All Check'!$A$7)</f>
        <v>1500</v>
      </c>
      <c r="D77" s="121">
        <f>SUMIFS('2022 Partial Rev - NS'!$N:$N,'2022 Partial Rev - NS'!$G:$G,'TB All Check'!$B77,'2022 Partial Rev - NS'!$P:$P,'TB All Check'!$B$7)</f>
        <v>1500</v>
      </c>
      <c r="E77" s="296">
        <f t="shared" si="6"/>
        <v>0</v>
      </c>
      <c r="G77" s="110" t="s">
        <v>330</v>
      </c>
      <c r="H77" s="110" t="s">
        <v>1066</v>
      </c>
      <c r="I77" s="121">
        <f>SUMIFS('TB &amp; MCC Cost Audit 2020-Curren'!$P:$P,'TB &amp; MCC Cost Audit 2020-Curren'!$A:$A,'TB All Check'!$A77,'TB &amp; MCC Cost Audit 2020-Curren'!$C:$C,'TB All Check'!$H$7,'TB &amp; MCC Cost Audit 2020-Curren'!$D:$D,'TB All Check'!$G$7)</f>
        <v>0</v>
      </c>
      <c r="J77" s="121">
        <f>SUMIFS('2023 Rev - NS'!$N:$N,'2023 Rev - NS'!$G:$G,'TB All Check'!$H77,'2023 Rev - NS'!$P:$P,'TB All Check'!$H$7)</f>
        <v>0</v>
      </c>
      <c r="K77" s="296">
        <f t="shared" si="7"/>
        <v>0</v>
      </c>
      <c r="M77" s="110" t="s">
        <v>330</v>
      </c>
      <c r="N77" s="110" t="s">
        <v>1066</v>
      </c>
      <c r="O77" s="121">
        <f>SUMIFS('TB &amp; MCC Cost Audit 2020-Curren'!$P:$P,'TB &amp; MCC Cost Audit 2020-Curren'!$A:$A,'TB All Check'!$M77,'TB &amp; MCC Cost Audit 2020-Curren'!$C:$C,'TB All Check'!$N$7,'TB &amp; MCC Cost Audit 2020-Curren'!$D:$D,'TB All Check'!$M$7)</f>
        <v>4600</v>
      </c>
      <c r="P77" s="121">
        <f>SUMIFS('2024 Rev - NS'!$N:$N,'2024 Rev - NS'!$G:$G,'TB All Check'!$N77,'2024 Rev - NS'!$P:$P,'TB All Check'!$N$7)</f>
        <v>4600</v>
      </c>
      <c r="Q77" s="296">
        <f t="shared" si="8"/>
        <v>0</v>
      </c>
    </row>
    <row r="78" spans="1:17" x14ac:dyDescent="0.15">
      <c r="A78" s="110" t="s">
        <v>193</v>
      </c>
      <c r="B78" s="110" t="s">
        <v>1067</v>
      </c>
      <c r="C78" s="121">
        <f>SUMIFS('TB &amp; MCC Cost Audit 2020-Curren'!$P:$P,'TB &amp; MCC Cost Audit 2020-Curren'!$A:$A,'TB All Check'!$A78,'TB &amp; MCC Cost Audit 2020-Curren'!$C:$C,'TB All Check'!$B$7,'TB &amp; MCC Cost Audit 2020-Curren'!$D:$D,'TB All Check'!$A$7)</f>
        <v>11899</v>
      </c>
      <c r="D78" s="121">
        <f>SUMIFS('2022 Partial Rev - NS'!$N:$N,'2022 Partial Rev - NS'!$G:$G,'TB All Check'!$B78,'2022 Partial Rev - NS'!$P:$P,'TB All Check'!$B$7)</f>
        <v>11899</v>
      </c>
      <c r="E78" s="296">
        <f t="shared" si="6"/>
        <v>0</v>
      </c>
      <c r="G78" s="110" t="s">
        <v>193</v>
      </c>
      <c r="H78" s="110" t="s">
        <v>1067</v>
      </c>
      <c r="I78" s="121">
        <f>SUMIFS('TB &amp; MCC Cost Audit 2020-Curren'!$P:$P,'TB &amp; MCC Cost Audit 2020-Curren'!$A:$A,'TB All Check'!$A78,'TB &amp; MCC Cost Audit 2020-Curren'!$C:$C,'TB All Check'!$H$7,'TB &amp; MCC Cost Audit 2020-Curren'!$D:$D,'TB All Check'!$G$7)</f>
        <v>0</v>
      </c>
      <c r="J78" s="121">
        <f>SUMIFS('2023 Rev - NS'!$N:$N,'2023 Rev - NS'!$G:$G,'TB All Check'!$H78,'2023 Rev - NS'!$P:$P,'TB All Check'!$H$7)</f>
        <v>0</v>
      </c>
      <c r="K78" s="296">
        <f t="shared" si="7"/>
        <v>0</v>
      </c>
      <c r="M78" s="110" t="s">
        <v>193</v>
      </c>
      <c r="N78" s="110" t="s">
        <v>1067</v>
      </c>
      <c r="O78" s="121">
        <f>SUMIFS('TB &amp; MCC Cost Audit 2020-Curren'!$P:$P,'TB &amp; MCC Cost Audit 2020-Curren'!$A:$A,'TB All Check'!$M78,'TB &amp; MCC Cost Audit 2020-Curren'!$C:$C,'TB All Check'!$N$7,'TB &amp; MCC Cost Audit 2020-Curren'!$D:$D,'TB All Check'!$M$7)</f>
        <v>11217</v>
      </c>
      <c r="P78" s="121">
        <f>SUMIFS('2024 Rev - NS'!$N:$N,'2024 Rev - NS'!$G:$G,'TB All Check'!$N78,'2024 Rev - NS'!$P:$P,'TB All Check'!$N$7)</f>
        <v>11217</v>
      </c>
      <c r="Q78" s="296">
        <f t="shared" si="8"/>
        <v>0</v>
      </c>
    </row>
    <row r="79" spans="1:17" x14ac:dyDescent="0.15">
      <c r="A79" s="110" t="s">
        <v>125</v>
      </c>
      <c r="B79" s="110" t="s">
        <v>1068</v>
      </c>
      <c r="C79" s="121">
        <f>SUMIFS('TB &amp; MCC Cost Audit 2020-Curren'!$P:$P,'TB &amp; MCC Cost Audit 2020-Curren'!$A:$A,'TB All Check'!$A79,'TB &amp; MCC Cost Audit 2020-Curren'!$C:$C,'TB All Check'!$B$7,'TB &amp; MCC Cost Audit 2020-Curren'!$D:$D,'TB All Check'!$A$7)</f>
        <v>9033</v>
      </c>
      <c r="D79" s="121">
        <f>SUMIFS('2022 Partial Rev - NS'!$N:$N,'2022 Partial Rev - NS'!$G:$G,'TB All Check'!$B79,'2022 Partial Rev - NS'!$P:$P,'TB All Check'!$B$7)</f>
        <v>9033</v>
      </c>
      <c r="E79" s="296">
        <f t="shared" si="6"/>
        <v>0</v>
      </c>
      <c r="G79" s="110" t="s">
        <v>125</v>
      </c>
      <c r="H79" s="110" t="s">
        <v>1068</v>
      </c>
      <c r="I79" s="121">
        <f>SUMIFS('TB &amp; MCC Cost Audit 2020-Curren'!$P:$P,'TB &amp; MCC Cost Audit 2020-Curren'!$A:$A,'TB All Check'!$A79,'TB &amp; MCC Cost Audit 2020-Curren'!$C:$C,'TB All Check'!$H$7,'TB &amp; MCC Cost Audit 2020-Curren'!$D:$D,'TB All Check'!$G$7)</f>
        <v>0</v>
      </c>
      <c r="J79" s="121">
        <f>SUMIFS('2023 Rev - NS'!$N:$N,'2023 Rev - NS'!$G:$G,'TB All Check'!$H79,'2023 Rev - NS'!$P:$P,'TB All Check'!$H$7)</f>
        <v>0</v>
      </c>
      <c r="K79" s="296">
        <f t="shared" si="7"/>
        <v>0</v>
      </c>
      <c r="M79" s="110" t="s">
        <v>125</v>
      </c>
      <c r="N79" s="110" t="s">
        <v>1068</v>
      </c>
      <c r="O79" s="121">
        <f>SUMIFS('TB &amp; MCC Cost Audit 2020-Curren'!$P:$P,'TB &amp; MCC Cost Audit 2020-Curren'!$A:$A,'TB All Check'!$M79,'TB &amp; MCC Cost Audit 2020-Curren'!$C:$C,'TB All Check'!$N$7,'TB &amp; MCC Cost Audit 2020-Curren'!$D:$D,'TB All Check'!$M$7)</f>
        <v>9398</v>
      </c>
      <c r="P79" s="121">
        <f>SUMIFS('2024 Rev - NS'!$N:$N,'2024 Rev - NS'!$G:$G,'TB All Check'!$N79,'2024 Rev - NS'!$P:$P,'TB All Check'!$N$7)</f>
        <v>9398</v>
      </c>
      <c r="Q79" s="296">
        <f t="shared" si="8"/>
        <v>0</v>
      </c>
    </row>
    <row r="80" spans="1:17" x14ac:dyDescent="0.15">
      <c r="A80" s="110" t="s">
        <v>418</v>
      </c>
      <c r="B80" s="110" t="s">
        <v>1069</v>
      </c>
      <c r="C80" s="121">
        <f>SUMIFS('TB &amp; MCC Cost Audit 2020-Curren'!$P:$P,'TB &amp; MCC Cost Audit 2020-Curren'!$A:$A,'TB All Check'!$A80,'TB &amp; MCC Cost Audit 2020-Curren'!$C:$C,'TB All Check'!$B$7,'TB &amp; MCC Cost Audit 2020-Curren'!$D:$D,'TB All Check'!$A$7)</f>
        <v>8522</v>
      </c>
      <c r="D80" s="121">
        <f>SUMIFS('2022 Partial Rev - NS'!$N:$N,'2022 Partial Rev - NS'!$G:$G,'TB All Check'!$B80,'2022 Partial Rev - NS'!$P:$P,'TB All Check'!$B$7)</f>
        <v>8522</v>
      </c>
      <c r="E80" s="296">
        <f t="shared" si="6"/>
        <v>0</v>
      </c>
      <c r="G80" s="110" t="s">
        <v>418</v>
      </c>
      <c r="H80" s="110" t="s">
        <v>1069</v>
      </c>
      <c r="I80" s="121">
        <f>SUMIFS('TB &amp; MCC Cost Audit 2020-Curren'!$P:$P,'TB &amp; MCC Cost Audit 2020-Curren'!$A:$A,'TB All Check'!$A80,'TB &amp; MCC Cost Audit 2020-Curren'!$C:$C,'TB All Check'!$H$7,'TB &amp; MCC Cost Audit 2020-Curren'!$D:$D,'TB All Check'!$G$7)</f>
        <v>0</v>
      </c>
      <c r="J80" s="121">
        <f>SUMIFS('2023 Rev - NS'!$N:$N,'2023 Rev - NS'!$G:$G,'TB All Check'!$H80,'2023 Rev - NS'!$P:$P,'TB All Check'!$H$7)</f>
        <v>0</v>
      </c>
      <c r="K80" s="296">
        <f t="shared" si="7"/>
        <v>0</v>
      </c>
      <c r="M80" s="110" t="s">
        <v>418</v>
      </c>
      <c r="N80" s="110" t="s">
        <v>1069</v>
      </c>
      <c r="O80" s="121">
        <f>SUMIFS('TB &amp; MCC Cost Audit 2020-Curren'!$P:$P,'TB &amp; MCC Cost Audit 2020-Curren'!$A:$A,'TB All Check'!$M80,'TB &amp; MCC Cost Audit 2020-Curren'!$C:$C,'TB All Check'!$N$7,'TB &amp; MCC Cost Audit 2020-Curren'!$D:$D,'TB All Check'!$M$7)</f>
        <v>9845</v>
      </c>
      <c r="P80" s="121">
        <f>SUMIFS('2024 Rev - NS'!$N:$N,'2024 Rev - NS'!$G:$G,'TB All Check'!$N80,'2024 Rev - NS'!$P:$P,'TB All Check'!$N$7)</f>
        <v>9845</v>
      </c>
      <c r="Q80" s="296">
        <f t="shared" si="8"/>
        <v>0</v>
      </c>
    </row>
    <row r="81" spans="1:17" x14ac:dyDescent="0.15">
      <c r="A81" s="110" t="s">
        <v>222</v>
      </c>
      <c r="B81" s="110" t="s">
        <v>1070</v>
      </c>
      <c r="C81" s="121">
        <f>SUMIFS('TB &amp; MCC Cost Audit 2020-Curren'!$P:$P,'TB &amp; MCC Cost Audit 2020-Curren'!$A:$A,'TB All Check'!$A81,'TB &amp; MCC Cost Audit 2020-Curren'!$C:$C,'TB All Check'!$B$7,'TB &amp; MCC Cost Audit 2020-Curren'!$D:$D,'TB All Check'!$A$7)</f>
        <v>0</v>
      </c>
      <c r="D81" s="121">
        <f>SUMIFS('2022 Partial Rev - NS'!$N:$N,'2022 Partial Rev - NS'!$G:$G,'TB All Check'!$B81,'2022 Partial Rev - NS'!$P:$P,'TB All Check'!$B$7)</f>
        <v>0</v>
      </c>
      <c r="E81" s="296">
        <f t="shared" si="6"/>
        <v>0</v>
      </c>
      <c r="G81" s="110" t="s">
        <v>222</v>
      </c>
      <c r="H81" s="110" t="s">
        <v>1070</v>
      </c>
      <c r="I81" s="121">
        <f>SUMIFS('TB &amp; MCC Cost Audit 2020-Curren'!$P:$P,'TB &amp; MCC Cost Audit 2020-Curren'!$A:$A,'TB All Check'!$A81,'TB &amp; MCC Cost Audit 2020-Curren'!$C:$C,'TB All Check'!$H$7,'TB &amp; MCC Cost Audit 2020-Curren'!$D:$D,'TB All Check'!$G$7)</f>
        <v>0</v>
      </c>
      <c r="J81" s="121">
        <f>SUMIFS('2023 Rev - NS'!$N:$N,'2023 Rev - NS'!$G:$G,'TB All Check'!$H81,'2023 Rev - NS'!$P:$P,'TB All Check'!$H$7)</f>
        <v>0</v>
      </c>
      <c r="K81" s="296">
        <f t="shared" si="7"/>
        <v>0</v>
      </c>
      <c r="M81" s="110" t="s">
        <v>222</v>
      </c>
      <c r="N81" s="110" t="s">
        <v>1070</v>
      </c>
      <c r="O81" s="121">
        <f>SUMIFS('TB &amp; MCC Cost Audit 2020-Curren'!$P:$P,'TB &amp; MCC Cost Audit 2020-Curren'!$A:$A,'TB All Check'!$M81,'TB &amp; MCC Cost Audit 2020-Curren'!$C:$C,'TB All Check'!$N$7,'TB &amp; MCC Cost Audit 2020-Curren'!$D:$D,'TB All Check'!$M$7)</f>
        <v>0</v>
      </c>
      <c r="P81" s="121">
        <f>SUMIFS('2024 Rev - NS'!$N:$N,'2024 Rev - NS'!$G:$G,'TB All Check'!$N81,'2024 Rev - NS'!$P:$P,'TB All Check'!$N$7)</f>
        <v>0</v>
      </c>
      <c r="Q81" s="296">
        <f t="shared" si="8"/>
        <v>0</v>
      </c>
    </row>
    <row r="82" spans="1:17" x14ac:dyDescent="0.15">
      <c r="A82" s="110" t="s">
        <v>109</v>
      </c>
      <c r="B82" s="110" t="s">
        <v>1071</v>
      </c>
      <c r="C82" s="121">
        <f>SUMIFS('TB &amp; MCC Cost Audit 2020-Curren'!$P:$P,'TB &amp; MCC Cost Audit 2020-Curren'!$A:$A,'TB All Check'!$A82,'TB &amp; MCC Cost Audit 2020-Curren'!$C:$C,'TB All Check'!$B$7,'TB &amp; MCC Cost Audit 2020-Curren'!$D:$D,'TB All Check'!$A$7)</f>
        <v>11123</v>
      </c>
      <c r="D82" s="121">
        <f>SUMIFS('2022 Partial Rev - NS'!$N:$N,'2022 Partial Rev - NS'!$G:$G,'TB All Check'!$B82,'2022 Partial Rev - NS'!$P:$P,'TB All Check'!$B$7)</f>
        <v>11123</v>
      </c>
      <c r="E82" s="296">
        <f t="shared" si="6"/>
        <v>0</v>
      </c>
      <c r="G82" s="110" t="s">
        <v>109</v>
      </c>
      <c r="H82" s="110" t="s">
        <v>1071</v>
      </c>
      <c r="I82" s="121">
        <f>SUMIFS('TB &amp; MCC Cost Audit 2020-Curren'!$P:$P,'TB &amp; MCC Cost Audit 2020-Curren'!$A:$A,'TB All Check'!$A82,'TB &amp; MCC Cost Audit 2020-Curren'!$C:$C,'TB All Check'!$H$7,'TB &amp; MCC Cost Audit 2020-Curren'!$D:$D,'TB All Check'!$G$7)</f>
        <v>0</v>
      </c>
      <c r="J82" s="121">
        <f>SUMIFS('2023 Rev - NS'!$N:$N,'2023 Rev - NS'!$G:$G,'TB All Check'!$H82,'2023 Rev - NS'!$P:$P,'TB All Check'!$H$7)</f>
        <v>0</v>
      </c>
      <c r="K82" s="296">
        <f t="shared" si="7"/>
        <v>0</v>
      </c>
      <c r="M82" s="110" t="s">
        <v>109</v>
      </c>
      <c r="N82" s="110" t="s">
        <v>1071</v>
      </c>
      <c r="O82" s="121">
        <f>SUMIFS('TB &amp; MCC Cost Audit 2020-Curren'!$P:$P,'TB &amp; MCC Cost Audit 2020-Curren'!$A:$A,'TB All Check'!$M82,'TB &amp; MCC Cost Audit 2020-Curren'!$C:$C,'TB All Check'!$N$7,'TB &amp; MCC Cost Audit 2020-Curren'!$D:$D,'TB All Check'!$M$7)</f>
        <v>11572</v>
      </c>
      <c r="P82" s="121">
        <f>SUMIFS('2024 Rev - NS'!$N:$N,'2024 Rev - NS'!$G:$G,'TB All Check'!$N82,'2024 Rev - NS'!$P:$P,'TB All Check'!$N$7)</f>
        <v>11572</v>
      </c>
      <c r="Q82" s="296">
        <f t="shared" si="8"/>
        <v>0</v>
      </c>
    </row>
    <row r="83" spans="1:17" x14ac:dyDescent="0.15">
      <c r="A83" s="110" t="s">
        <v>675</v>
      </c>
      <c r="B83" s="110" t="s">
        <v>1072</v>
      </c>
      <c r="C83" s="121">
        <f>SUMIFS('TB &amp; MCC Cost Audit 2020-Curren'!$P:$P,'TB &amp; MCC Cost Audit 2020-Curren'!$A:$A,'TB All Check'!$A83,'TB &amp; MCC Cost Audit 2020-Curren'!$C:$C,'TB All Check'!$B$7,'TB &amp; MCC Cost Audit 2020-Curren'!$D:$D,'TB All Check'!$A$7)</f>
        <v>0</v>
      </c>
      <c r="D83" s="121">
        <f>SUMIFS('2022 Partial Rev - NS'!$N:$N,'2022 Partial Rev - NS'!$G:$G,'TB All Check'!$B83,'2022 Partial Rev - NS'!$P:$P,'TB All Check'!$B$7)</f>
        <v>0</v>
      </c>
      <c r="E83" s="296">
        <f t="shared" si="6"/>
        <v>0</v>
      </c>
      <c r="G83" s="110" t="s">
        <v>675</v>
      </c>
      <c r="H83" s="110" t="s">
        <v>1072</v>
      </c>
      <c r="I83" s="121">
        <f>SUMIFS('TB &amp; MCC Cost Audit 2020-Curren'!$P:$P,'TB &amp; MCC Cost Audit 2020-Curren'!$A:$A,'TB All Check'!$A83,'TB &amp; MCC Cost Audit 2020-Curren'!$C:$C,'TB All Check'!$H$7,'TB &amp; MCC Cost Audit 2020-Curren'!$D:$D,'TB All Check'!$G$7)</f>
        <v>7030</v>
      </c>
      <c r="J83" s="121">
        <f>SUMIFS('2023 Rev - NS'!$N:$N,'2023 Rev - NS'!$G:$G,'TB All Check'!$H83,'2023 Rev - NS'!$P:$P,'TB All Check'!$H$7)</f>
        <v>7030</v>
      </c>
      <c r="K83" s="296">
        <f t="shared" si="7"/>
        <v>0</v>
      </c>
      <c r="M83" s="110" t="s">
        <v>675</v>
      </c>
      <c r="N83" s="110" t="s">
        <v>1072</v>
      </c>
      <c r="O83" s="121">
        <f>SUMIFS('TB &amp; MCC Cost Audit 2020-Curren'!$P:$P,'TB &amp; MCC Cost Audit 2020-Curren'!$A:$A,'TB All Check'!$M83,'TB &amp; MCC Cost Audit 2020-Curren'!$C:$C,'TB All Check'!$N$7,'TB &amp; MCC Cost Audit 2020-Curren'!$D:$D,'TB All Check'!$M$7)</f>
        <v>0</v>
      </c>
      <c r="P83" s="121">
        <f>SUMIFS('2024 Rev - NS'!$N:$N,'2024 Rev - NS'!$G:$G,'TB All Check'!$N83,'2024 Rev - NS'!$P:$P,'TB All Check'!$N$7)</f>
        <v>0</v>
      </c>
      <c r="Q83" s="296">
        <f t="shared" si="8"/>
        <v>0</v>
      </c>
    </row>
    <row r="84" spans="1:17" x14ac:dyDescent="0.15">
      <c r="A84" s="110" t="s">
        <v>137</v>
      </c>
      <c r="B84" s="110" t="s">
        <v>1073</v>
      </c>
      <c r="C84" s="121">
        <f>SUMIFS('TB &amp; MCC Cost Audit 2020-Curren'!$P:$P,'TB &amp; MCC Cost Audit 2020-Curren'!$A:$A,'TB All Check'!$A84,'TB &amp; MCC Cost Audit 2020-Curren'!$C:$C,'TB All Check'!$B$7,'TB &amp; MCC Cost Audit 2020-Curren'!$D:$D,'TB All Check'!$A$7)</f>
        <v>120016.73000000001</v>
      </c>
      <c r="D84" s="121">
        <f>SUMIFS('2022 Partial Rev - NS'!$N:$N,'2022 Partial Rev - NS'!$G:$G,'TB All Check'!$B84,'2022 Partial Rev - NS'!$P:$P,'TB All Check'!$B$7)</f>
        <v>120016.73000000001</v>
      </c>
      <c r="E84" s="296">
        <f t="shared" si="6"/>
        <v>0</v>
      </c>
      <c r="G84" s="110" t="s">
        <v>137</v>
      </c>
      <c r="H84" s="110" t="s">
        <v>1073</v>
      </c>
      <c r="I84" s="121">
        <f>SUMIFS('TB &amp; MCC Cost Audit 2020-Curren'!$P:$P,'TB &amp; MCC Cost Audit 2020-Curren'!$A:$A,'TB All Check'!$A84,'TB &amp; MCC Cost Audit 2020-Curren'!$C:$C,'TB All Check'!$H$7,'TB &amp; MCC Cost Audit 2020-Curren'!$D:$D,'TB All Check'!$G$7)</f>
        <v>0</v>
      </c>
      <c r="J84" s="121">
        <f>SUMIFS('2023 Rev - NS'!$N:$N,'2023 Rev - NS'!$G:$G,'TB All Check'!$H84,'2023 Rev - NS'!$P:$P,'TB All Check'!$H$7)</f>
        <v>0</v>
      </c>
      <c r="K84" s="296">
        <f t="shared" si="7"/>
        <v>0</v>
      </c>
      <c r="M84" s="110" t="s">
        <v>137</v>
      </c>
      <c r="N84" s="110" t="s">
        <v>1073</v>
      </c>
      <c r="O84" s="121">
        <f>SUMIFS('TB &amp; MCC Cost Audit 2020-Curren'!$P:$P,'TB &amp; MCC Cost Audit 2020-Curren'!$A:$A,'TB All Check'!$M84,'TB &amp; MCC Cost Audit 2020-Curren'!$C:$C,'TB All Check'!$N$7,'TB &amp; MCC Cost Audit 2020-Curren'!$D:$D,'TB All Check'!$M$7)</f>
        <v>201097.22999999998</v>
      </c>
      <c r="P84" s="121">
        <f>SUMIFS('2024 Rev - NS'!$N:$N,'2024 Rev - NS'!$G:$G,'TB All Check'!$N84,'2024 Rev - NS'!$P:$P,'TB All Check'!$N$7)</f>
        <v>160556.98000000001</v>
      </c>
      <c r="Q84" s="296">
        <f t="shared" si="8"/>
        <v>-40540.249999999971</v>
      </c>
    </row>
    <row r="85" spans="1:17" x14ac:dyDescent="0.15">
      <c r="A85" s="110" t="s">
        <v>885</v>
      </c>
      <c r="B85" s="110" t="s">
        <v>1074</v>
      </c>
      <c r="C85" s="121">
        <f>SUMIFS('TB &amp; MCC Cost Audit 2020-Curren'!$P:$P,'TB &amp; MCC Cost Audit 2020-Curren'!$A:$A,'TB All Check'!$A85,'TB &amp; MCC Cost Audit 2020-Curren'!$C:$C,'TB All Check'!$B$7,'TB &amp; MCC Cost Audit 2020-Curren'!$D:$D,'TB All Check'!$A$7)</f>
        <v>0</v>
      </c>
      <c r="D85" s="121">
        <f>SUMIFS('2022 Partial Rev - NS'!$N:$N,'2022 Partial Rev - NS'!$G:$G,'TB All Check'!$B85,'2022 Partial Rev - NS'!$P:$P,'TB All Check'!$B$7)</f>
        <v>0</v>
      </c>
      <c r="E85" s="296">
        <f t="shared" si="6"/>
        <v>0</v>
      </c>
      <c r="G85" s="110" t="s">
        <v>885</v>
      </c>
      <c r="H85" s="110" t="s">
        <v>1074</v>
      </c>
      <c r="I85" s="121">
        <f>SUMIFS('TB &amp; MCC Cost Audit 2020-Curren'!$P:$P,'TB &amp; MCC Cost Audit 2020-Curren'!$A:$A,'TB All Check'!$A85,'TB &amp; MCC Cost Audit 2020-Curren'!$C:$C,'TB All Check'!$H$7,'TB &amp; MCC Cost Audit 2020-Curren'!$D:$D,'TB All Check'!$G$7)</f>
        <v>0</v>
      </c>
      <c r="J85" s="121">
        <f>SUMIFS('2023 Rev - NS'!$N:$N,'2023 Rev - NS'!$G:$G,'TB All Check'!$H85,'2023 Rev - NS'!$P:$P,'TB All Check'!$H$7)</f>
        <v>0</v>
      </c>
      <c r="K85" s="296">
        <f t="shared" si="7"/>
        <v>0</v>
      </c>
      <c r="M85" s="110" t="s">
        <v>885</v>
      </c>
      <c r="N85" s="110" t="s">
        <v>1074</v>
      </c>
      <c r="O85" s="121">
        <f>SUMIFS('TB &amp; MCC Cost Audit 2020-Curren'!$P:$P,'TB &amp; MCC Cost Audit 2020-Curren'!$A:$A,'TB All Check'!$M85,'TB &amp; MCC Cost Audit 2020-Curren'!$C:$C,'TB All Check'!$N$7,'TB &amp; MCC Cost Audit 2020-Curren'!$D:$D,'TB All Check'!$M$7)</f>
        <v>0</v>
      </c>
      <c r="P85" s="121">
        <f>SUMIFS('2024 Rev - NS'!$N:$N,'2024 Rev - NS'!$G:$G,'TB All Check'!$N85,'2024 Rev - NS'!$P:$P,'TB All Check'!$N$7)</f>
        <v>0</v>
      </c>
      <c r="Q85" s="296">
        <f t="shared" si="8"/>
        <v>0</v>
      </c>
    </row>
    <row r="86" spans="1:17" x14ac:dyDescent="0.15">
      <c r="A86" s="110" t="s">
        <v>223</v>
      </c>
      <c r="B86" s="110" t="s">
        <v>1075</v>
      </c>
      <c r="C86" s="121">
        <f>SUMIFS('TB &amp; MCC Cost Audit 2020-Curren'!$P:$P,'TB &amp; MCC Cost Audit 2020-Curren'!$A:$A,'TB All Check'!$A86,'TB &amp; MCC Cost Audit 2020-Curren'!$C:$C,'TB All Check'!$B$7,'TB &amp; MCC Cost Audit 2020-Curren'!$D:$D,'TB All Check'!$A$7)</f>
        <v>34554.160000000003</v>
      </c>
      <c r="D86" s="121">
        <f>SUMIFS('2022 Partial Rev - NS'!$N:$N,'2022 Partial Rev - NS'!$G:$G,'TB All Check'!$B86,'2022 Partial Rev - NS'!$P:$P,'TB All Check'!$B$7)</f>
        <v>34554.160000000003</v>
      </c>
      <c r="E86" s="296">
        <f t="shared" si="6"/>
        <v>0</v>
      </c>
      <c r="G86" s="110" t="s">
        <v>223</v>
      </c>
      <c r="H86" s="110" t="s">
        <v>1075</v>
      </c>
      <c r="I86" s="121">
        <f>SUMIFS('TB &amp; MCC Cost Audit 2020-Curren'!$P:$P,'TB &amp; MCC Cost Audit 2020-Curren'!$A:$A,'TB All Check'!$A86,'TB &amp; MCC Cost Audit 2020-Curren'!$C:$C,'TB All Check'!$H$7,'TB &amp; MCC Cost Audit 2020-Curren'!$D:$D,'TB All Check'!$G$7)</f>
        <v>0</v>
      </c>
      <c r="J86" s="121">
        <f>SUMIFS('2023 Rev - NS'!$N:$N,'2023 Rev - NS'!$G:$G,'TB All Check'!$H86,'2023 Rev - NS'!$P:$P,'TB All Check'!$H$7)</f>
        <v>0</v>
      </c>
      <c r="K86" s="296">
        <f t="shared" si="7"/>
        <v>0</v>
      </c>
      <c r="M86" s="110" t="s">
        <v>223</v>
      </c>
      <c r="N86" s="110" t="s">
        <v>1075</v>
      </c>
      <c r="O86" s="121">
        <f>SUMIFS('TB &amp; MCC Cost Audit 2020-Curren'!$P:$P,'TB &amp; MCC Cost Audit 2020-Curren'!$A:$A,'TB All Check'!$M86,'TB &amp; MCC Cost Audit 2020-Curren'!$C:$C,'TB All Check'!$N$7,'TB &amp; MCC Cost Audit 2020-Curren'!$D:$D,'TB All Check'!$M$7)</f>
        <v>56488</v>
      </c>
      <c r="P86" s="121">
        <f>SUMIFS('2024 Rev - NS'!$N:$N,'2024 Rev - NS'!$G:$G,'TB All Check'!$N86,'2024 Rev - NS'!$P:$P,'TB All Check'!$N$7)</f>
        <v>56488</v>
      </c>
      <c r="Q86" s="296">
        <f t="shared" si="8"/>
        <v>0</v>
      </c>
    </row>
    <row r="87" spans="1:17" x14ac:dyDescent="0.15">
      <c r="A87" s="110" t="s">
        <v>856</v>
      </c>
      <c r="B87" s="110" t="s">
        <v>1076</v>
      </c>
      <c r="C87" s="121">
        <f>SUMIFS('TB &amp; MCC Cost Audit 2020-Curren'!$P:$P,'TB &amp; MCC Cost Audit 2020-Curren'!$A:$A,'TB All Check'!$A87,'TB &amp; MCC Cost Audit 2020-Curren'!$C:$C,'TB All Check'!$B$7,'TB &amp; MCC Cost Audit 2020-Curren'!$D:$D,'TB All Check'!$A$7)</f>
        <v>0</v>
      </c>
      <c r="D87" s="121">
        <f>SUMIFS('2022 Partial Rev - NS'!$N:$N,'2022 Partial Rev - NS'!$G:$G,'TB All Check'!$B87,'2022 Partial Rev - NS'!$P:$P,'TB All Check'!$B$7)</f>
        <v>0</v>
      </c>
      <c r="E87" s="296">
        <f t="shared" si="6"/>
        <v>0</v>
      </c>
      <c r="G87" s="110" t="s">
        <v>856</v>
      </c>
      <c r="H87" s="110" t="s">
        <v>1076</v>
      </c>
      <c r="I87" s="121">
        <f>SUMIFS('TB &amp; MCC Cost Audit 2020-Curren'!$P:$P,'TB &amp; MCC Cost Audit 2020-Curren'!$A:$A,'TB All Check'!$A87,'TB &amp; MCC Cost Audit 2020-Curren'!$C:$C,'TB All Check'!$H$7,'TB &amp; MCC Cost Audit 2020-Curren'!$D:$D,'TB All Check'!$G$7)</f>
        <v>0</v>
      </c>
      <c r="J87" s="121">
        <f>SUMIFS('2023 Rev - NS'!$N:$N,'2023 Rev - NS'!$G:$G,'TB All Check'!$H87,'2023 Rev - NS'!$P:$P,'TB All Check'!$H$7)</f>
        <v>0</v>
      </c>
      <c r="K87" s="296">
        <f t="shared" si="7"/>
        <v>0</v>
      </c>
      <c r="M87" s="110" t="s">
        <v>856</v>
      </c>
      <c r="N87" s="110" t="s">
        <v>1076</v>
      </c>
      <c r="O87" s="121">
        <f>SUMIFS('TB &amp; MCC Cost Audit 2020-Curren'!$P:$P,'TB &amp; MCC Cost Audit 2020-Curren'!$A:$A,'TB All Check'!$M87,'TB &amp; MCC Cost Audit 2020-Curren'!$C:$C,'TB All Check'!$N$7,'TB &amp; MCC Cost Audit 2020-Curren'!$D:$D,'TB All Check'!$M$7)</f>
        <v>15255</v>
      </c>
      <c r="P87" s="121">
        <f>SUMIFS('2024 Rev - NS'!$N:$N,'2024 Rev - NS'!$G:$G,'TB All Check'!$N87,'2024 Rev - NS'!$P:$P,'TB All Check'!$N$7)</f>
        <v>15255</v>
      </c>
      <c r="Q87" s="296">
        <f t="shared" si="8"/>
        <v>0</v>
      </c>
    </row>
    <row r="88" spans="1:17" x14ac:dyDescent="0.15">
      <c r="A88" s="110" t="s">
        <v>882</v>
      </c>
      <c r="B88" s="110" t="s">
        <v>1077</v>
      </c>
      <c r="C88" s="121">
        <f>SUMIFS('TB &amp; MCC Cost Audit 2020-Curren'!$P:$P,'TB &amp; MCC Cost Audit 2020-Curren'!$A:$A,'TB All Check'!$A88,'TB &amp; MCC Cost Audit 2020-Curren'!$C:$C,'TB All Check'!$B$7,'TB &amp; MCC Cost Audit 2020-Curren'!$D:$D,'TB All Check'!$A$7)</f>
        <v>0</v>
      </c>
      <c r="D88" s="121">
        <f>SUMIFS('2022 Partial Rev - NS'!$N:$N,'2022 Partial Rev - NS'!$G:$G,'TB All Check'!$B88,'2022 Partial Rev - NS'!$P:$P,'TB All Check'!$B$7)</f>
        <v>0</v>
      </c>
      <c r="E88" s="296">
        <f t="shared" si="6"/>
        <v>0</v>
      </c>
      <c r="G88" s="110" t="s">
        <v>882</v>
      </c>
      <c r="H88" s="110" t="s">
        <v>1077</v>
      </c>
      <c r="I88" s="121">
        <f>SUMIFS('TB &amp; MCC Cost Audit 2020-Curren'!$P:$P,'TB &amp; MCC Cost Audit 2020-Curren'!$A:$A,'TB All Check'!$A88,'TB &amp; MCC Cost Audit 2020-Curren'!$C:$C,'TB All Check'!$H$7,'TB &amp; MCC Cost Audit 2020-Curren'!$D:$D,'TB All Check'!$G$7)</f>
        <v>0</v>
      </c>
      <c r="J88" s="121">
        <f>SUMIFS('2023 Rev - NS'!$N:$N,'2023 Rev - NS'!$G:$G,'TB All Check'!$H88,'2023 Rev - NS'!$P:$P,'TB All Check'!$H$7)</f>
        <v>0</v>
      </c>
      <c r="K88" s="296">
        <f t="shared" si="7"/>
        <v>0</v>
      </c>
      <c r="M88" s="110" t="s">
        <v>882</v>
      </c>
      <c r="N88" s="110" t="s">
        <v>1077</v>
      </c>
      <c r="O88" s="121">
        <f>SUMIFS('TB &amp; MCC Cost Audit 2020-Curren'!$P:$P,'TB &amp; MCC Cost Audit 2020-Curren'!$A:$A,'TB All Check'!$M88,'TB &amp; MCC Cost Audit 2020-Curren'!$C:$C,'TB All Check'!$N$7,'TB &amp; MCC Cost Audit 2020-Curren'!$D:$D,'TB All Check'!$M$7)</f>
        <v>0</v>
      </c>
      <c r="P88" s="121">
        <f>SUMIFS('2024 Rev - NS'!$N:$N,'2024 Rev - NS'!$G:$G,'TB All Check'!$N88,'2024 Rev - NS'!$P:$P,'TB All Check'!$N$7)</f>
        <v>0</v>
      </c>
      <c r="Q88" s="296">
        <f t="shared" si="8"/>
        <v>0</v>
      </c>
    </row>
    <row r="89" spans="1:17" x14ac:dyDescent="0.15">
      <c r="A89" s="108" t="s">
        <v>301</v>
      </c>
      <c r="B89" s="108" t="s">
        <v>1078</v>
      </c>
      <c r="C89" s="302">
        <f>SUMIFS('TB &amp; MCC Cost Audit 2020-Curren'!$P:$P,'TB &amp; MCC Cost Audit 2020-Curren'!$A:$A,'TB All Check'!$A89,'TB &amp; MCC Cost Audit 2020-Curren'!$C:$C,'TB All Check'!$B$7,'TB &amp; MCC Cost Audit 2020-Curren'!$D:$D,'TB All Check'!$A$7)</f>
        <v>9572</v>
      </c>
      <c r="D89" s="302">
        <f>SUMIFS('2022 Partial Rev - NS'!$N:$N,'2022 Partial Rev - NS'!$G:$G,'TB All Check'!$B89,'2022 Partial Rev - NS'!$P:$P,'TB All Check'!$B$7)</f>
        <v>18503</v>
      </c>
      <c r="E89" s="296">
        <f t="shared" si="6"/>
        <v>-8931</v>
      </c>
      <c r="G89" s="110" t="s">
        <v>301</v>
      </c>
      <c r="H89" s="110" t="s">
        <v>1078</v>
      </c>
      <c r="I89" s="121">
        <f>SUMIFS('TB &amp; MCC Cost Audit 2020-Curren'!$P:$P,'TB &amp; MCC Cost Audit 2020-Curren'!$A:$A,'TB All Check'!$A89,'TB &amp; MCC Cost Audit 2020-Curren'!$C:$C,'TB All Check'!$H$7,'TB &amp; MCC Cost Audit 2020-Curren'!$D:$D,'TB All Check'!$G$7)</f>
        <v>0</v>
      </c>
      <c r="J89" s="121">
        <f>SUMIFS('2023 Rev - NS'!$N:$N,'2023 Rev - NS'!$G:$G,'TB All Check'!$H89,'2023 Rev - NS'!$P:$P,'TB All Check'!$H$7)</f>
        <v>0</v>
      </c>
      <c r="K89" s="296">
        <f t="shared" si="7"/>
        <v>0</v>
      </c>
      <c r="M89" s="110" t="s">
        <v>301</v>
      </c>
      <c r="N89" s="110" t="s">
        <v>1078</v>
      </c>
      <c r="O89" s="121">
        <f>SUMIFS('TB &amp; MCC Cost Audit 2020-Curren'!$P:$P,'TB &amp; MCC Cost Audit 2020-Curren'!$A:$A,'TB All Check'!$M89,'TB &amp; MCC Cost Audit 2020-Curren'!$C:$C,'TB All Check'!$N$7,'TB &amp; MCC Cost Audit 2020-Curren'!$D:$D,'TB All Check'!$M$7)</f>
        <v>10471</v>
      </c>
      <c r="P89" s="121">
        <f>SUMIFS('2024 Rev - NS'!$N:$N,'2024 Rev - NS'!$G:$G,'TB All Check'!$N89,'2024 Rev - NS'!$P:$P,'TB All Check'!$N$7)</f>
        <v>10471</v>
      </c>
      <c r="Q89" s="296">
        <f t="shared" si="8"/>
        <v>0</v>
      </c>
    </row>
    <row r="90" spans="1:17" x14ac:dyDescent="0.15">
      <c r="A90" s="110" t="s">
        <v>231</v>
      </c>
      <c r="B90" s="110" t="s">
        <v>1079</v>
      </c>
      <c r="C90" s="121">
        <f>SUMIFS('TB &amp; MCC Cost Audit 2020-Curren'!$P:$P,'TB &amp; MCC Cost Audit 2020-Curren'!$A:$A,'TB All Check'!$A90,'TB &amp; MCC Cost Audit 2020-Curren'!$C:$C,'TB All Check'!$B$7,'TB &amp; MCC Cost Audit 2020-Curren'!$D:$D,'TB All Check'!$A$7)</f>
        <v>37577</v>
      </c>
      <c r="D90" s="121">
        <f>SUMIFS('2022 Partial Rev - NS'!$N:$N,'2022 Partial Rev - NS'!$G:$G,'TB All Check'!$B90,'2022 Partial Rev - NS'!$P:$P,'TB All Check'!$B$7)</f>
        <v>37577</v>
      </c>
      <c r="E90" s="296">
        <f t="shared" si="6"/>
        <v>0</v>
      </c>
      <c r="G90" s="108" t="s">
        <v>231</v>
      </c>
      <c r="H90" s="108" t="s">
        <v>1079</v>
      </c>
      <c r="I90" s="121">
        <f>SUMIFS('TB &amp; MCC Cost Audit 2020-Curren'!$P:$P,'TB &amp; MCC Cost Audit 2020-Curren'!$A:$A,'TB All Check'!$A90,'TB &amp; MCC Cost Audit 2020-Curren'!$C:$C,'TB All Check'!$H$7,'TB &amp; MCC Cost Audit 2020-Curren'!$D:$D,'TB All Check'!$G$7)</f>
        <v>240135</v>
      </c>
      <c r="J90" s="121">
        <f>SUMIFS('2023 Rev - NS'!$N:$N,'2023 Rev - NS'!$G:$G,'TB All Check'!$H90,'2023 Rev - NS'!$P:$P,'TB All Check'!$H$7)</f>
        <v>240135</v>
      </c>
      <c r="K90" s="296">
        <f t="shared" si="7"/>
        <v>0</v>
      </c>
      <c r="M90" s="108" t="s">
        <v>231</v>
      </c>
      <c r="N90" s="108" t="s">
        <v>1079</v>
      </c>
      <c r="O90" s="121">
        <f>SUMIFS('TB &amp; MCC Cost Audit 2020-Curren'!$P:$P,'TB &amp; MCC Cost Audit 2020-Curren'!$A:$A,'TB All Check'!$M90,'TB &amp; MCC Cost Audit 2020-Curren'!$C:$C,'TB All Check'!$N$7,'TB &amp; MCC Cost Audit 2020-Curren'!$D:$D,'TB All Check'!$M$7)</f>
        <v>39095</v>
      </c>
      <c r="P90" s="121">
        <f>SUMIFS('2024 Rev - NS'!$N:$N,'2024 Rev - NS'!$G:$G,'TB All Check'!$N90,'2024 Rev - NS'!$P:$P,'TB All Check'!$N$7)</f>
        <v>39095</v>
      </c>
      <c r="Q90" s="296">
        <f t="shared" si="8"/>
        <v>0</v>
      </c>
    </row>
    <row r="91" spans="1:17" x14ac:dyDescent="0.15">
      <c r="A91" s="110" t="s">
        <v>196</v>
      </c>
      <c r="B91" s="110" t="s">
        <v>1080</v>
      </c>
      <c r="C91" s="121">
        <f>SUMIFS('TB &amp; MCC Cost Audit 2020-Curren'!$P:$P,'TB &amp; MCC Cost Audit 2020-Curren'!$A:$A,'TB All Check'!$A91,'TB &amp; MCC Cost Audit 2020-Curren'!$C:$C,'TB All Check'!$B$7,'TB &amp; MCC Cost Audit 2020-Curren'!$D:$D,'TB All Check'!$A$7)</f>
        <v>18295</v>
      </c>
      <c r="D91" s="121">
        <f>SUMIFS('2022 Partial Rev - NS'!$N:$N,'2022 Partial Rev - NS'!$G:$G,'TB All Check'!$B91,'2022 Partial Rev - NS'!$P:$P,'TB All Check'!$B$7)</f>
        <v>18295</v>
      </c>
      <c r="E91" s="296">
        <f t="shared" si="6"/>
        <v>0</v>
      </c>
      <c r="G91" s="110" t="s">
        <v>196</v>
      </c>
      <c r="H91" s="110" t="s">
        <v>1080</v>
      </c>
      <c r="I91" s="121">
        <f>SUMIFS('TB &amp; MCC Cost Audit 2020-Curren'!$P:$P,'TB &amp; MCC Cost Audit 2020-Curren'!$A:$A,'TB All Check'!$A91,'TB &amp; MCC Cost Audit 2020-Curren'!$C:$C,'TB All Check'!$H$7,'TB &amp; MCC Cost Audit 2020-Curren'!$D:$D,'TB All Check'!$G$7)</f>
        <v>0</v>
      </c>
      <c r="J91" s="121">
        <f>SUMIFS('2023 Rev - NS'!$N:$N,'2023 Rev - NS'!$G:$G,'TB All Check'!$H91,'2023 Rev - NS'!$P:$P,'TB All Check'!$H$7)</f>
        <v>0</v>
      </c>
      <c r="K91" s="296">
        <f t="shared" si="7"/>
        <v>0</v>
      </c>
      <c r="M91" s="110" t="s">
        <v>196</v>
      </c>
      <c r="N91" s="110" t="s">
        <v>1080</v>
      </c>
      <c r="O91" s="121">
        <f>SUMIFS('TB &amp; MCC Cost Audit 2020-Curren'!$P:$P,'TB &amp; MCC Cost Audit 2020-Curren'!$A:$A,'TB All Check'!$M91,'TB &amp; MCC Cost Audit 2020-Curren'!$C:$C,'TB All Check'!$N$7,'TB &amp; MCC Cost Audit 2020-Curren'!$D:$D,'TB All Check'!$M$7)</f>
        <v>25571</v>
      </c>
      <c r="P91" s="121">
        <f>SUMIFS('2024 Rev - NS'!$N:$N,'2024 Rev - NS'!$G:$G,'TB All Check'!$N91,'2024 Rev - NS'!$P:$P,'TB All Check'!$N$7)</f>
        <v>25571</v>
      </c>
      <c r="Q91" s="296">
        <f t="shared" si="8"/>
        <v>0</v>
      </c>
    </row>
    <row r="92" spans="1:17" x14ac:dyDescent="0.15">
      <c r="A92" s="110" t="s">
        <v>107</v>
      </c>
      <c r="B92" s="110" t="s">
        <v>1081</v>
      </c>
      <c r="C92" s="121">
        <f>SUMIFS('TB &amp; MCC Cost Audit 2020-Curren'!$P:$P,'TB &amp; MCC Cost Audit 2020-Curren'!$A:$A,'TB All Check'!$A92,'TB &amp; MCC Cost Audit 2020-Curren'!$C:$C,'TB All Check'!$B$7,'TB &amp; MCC Cost Audit 2020-Curren'!$D:$D,'TB All Check'!$A$7)</f>
        <v>0</v>
      </c>
      <c r="D92" s="121">
        <f>SUMIFS('2022 Partial Rev - NS'!$N:$N,'2022 Partial Rev - NS'!$G:$G,'TB All Check'!$B92,'2022 Partial Rev - NS'!$P:$P,'TB All Check'!$B$7)</f>
        <v>0</v>
      </c>
      <c r="E92" s="296">
        <f t="shared" si="6"/>
        <v>0</v>
      </c>
      <c r="G92" s="110" t="s">
        <v>107</v>
      </c>
      <c r="H92" s="110" t="s">
        <v>1081</v>
      </c>
      <c r="I92" s="121">
        <f>SUMIFS('TB &amp; MCC Cost Audit 2020-Curren'!$P:$P,'TB &amp; MCC Cost Audit 2020-Curren'!$A:$A,'TB All Check'!$A92,'TB &amp; MCC Cost Audit 2020-Curren'!$C:$C,'TB All Check'!$H$7,'TB &amp; MCC Cost Audit 2020-Curren'!$D:$D,'TB All Check'!$G$7)</f>
        <v>0</v>
      </c>
      <c r="J92" s="121">
        <f>SUMIFS('2023 Rev - NS'!$N:$N,'2023 Rev - NS'!$G:$G,'TB All Check'!$H92,'2023 Rev - NS'!$P:$P,'TB All Check'!$H$7)</f>
        <v>0</v>
      </c>
      <c r="K92" s="296">
        <f t="shared" si="7"/>
        <v>0</v>
      </c>
      <c r="M92" s="110" t="s">
        <v>107</v>
      </c>
      <c r="N92" s="110" t="s">
        <v>1081</v>
      </c>
      <c r="O92" s="121">
        <f>SUMIFS('TB &amp; MCC Cost Audit 2020-Curren'!$P:$P,'TB &amp; MCC Cost Audit 2020-Curren'!$A:$A,'TB All Check'!$M92,'TB &amp; MCC Cost Audit 2020-Curren'!$C:$C,'TB All Check'!$N$7,'TB &amp; MCC Cost Audit 2020-Curren'!$D:$D,'TB All Check'!$M$7)</f>
        <v>0</v>
      </c>
      <c r="P92" s="121">
        <f>SUMIFS('2024 Rev - NS'!$N:$N,'2024 Rev - NS'!$G:$G,'TB All Check'!$N92,'2024 Rev - NS'!$P:$P,'TB All Check'!$N$7)</f>
        <v>0</v>
      </c>
      <c r="Q92" s="296">
        <f t="shared" si="8"/>
        <v>0</v>
      </c>
    </row>
    <row r="93" spans="1:17" x14ac:dyDescent="0.15">
      <c r="A93" s="110" t="s">
        <v>79</v>
      </c>
      <c r="B93" s="110" t="s">
        <v>1082</v>
      </c>
      <c r="C93" s="121">
        <f>SUMIFS('TB &amp; MCC Cost Audit 2020-Curren'!$P:$P,'TB &amp; MCC Cost Audit 2020-Curren'!$A:$A,'TB All Check'!$A93,'TB &amp; MCC Cost Audit 2020-Curren'!$C:$C,'TB All Check'!$B$7,'TB &amp; MCC Cost Audit 2020-Curren'!$D:$D,'TB All Check'!$A$7)</f>
        <v>0</v>
      </c>
      <c r="D93" s="121">
        <f>SUMIFS('2022 Partial Rev - NS'!$N:$N,'2022 Partial Rev - NS'!$G:$G,'TB All Check'!$B93,'2022 Partial Rev - NS'!$P:$P,'TB All Check'!$B$7)</f>
        <v>0</v>
      </c>
      <c r="E93" s="296">
        <f t="shared" si="6"/>
        <v>0</v>
      </c>
      <c r="G93" s="108" t="s">
        <v>79</v>
      </c>
      <c r="H93" s="108" t="s">
        <v>1082</v>
      </c>
      <c r="I93" s="121">
        <f>SUMIFS('TB &amp; MCC Cost Audit 2020-Curren'!$P:$P,'TB &amp; MCC Cost Audit 2020-Curren'!$A:$A,'TB All Check'!$A93,'TB &amp; MCC Cost Audit 2020-Curren'!$C:$C,'TB All Check'!$H$7,'TB &amp; MCC Cost Audit 2020-Curren'!$D:$D,'TB All Check'!$G$7)</f>
        <v>0</v>
      </c>
      <c r="J93" s="121">
        <f>SUMIFS('2023 Rev - NS'!$N:$N,'2023 Rev - NS'!$G:$G,'TB All Check'!$H93,'2023 Rev - NS'!$P:$P,'TB All Check'!$H$7)</f>
        <v>0</v>
      </c>
      <c r="K93" s="296">
        <f t="shared" si="7"/>
        <v>0</v>
      </c>
      <c r="M93" s="110" t="s">
        <v>79</v>
      </c>
      <c r="N93" s="110" t="s">
        <v>1082</v>
      </c>
      <c r="O93" s="121">
        <f>SUMIFS('TB &amp; MCC Cost Audit 2020-Curren'!$P:$P,'TB &amp; MCC Cost Audit 2020-Curren'!$A:$A,'TB All Check'!$M93,'TB &amp; MCC Cost Audit 2020-Curren'!$C:$C,'TB All Check'!$N$7,'TB &amp; MCC Cost Audit 2020-Curren'!$D:$D,'TB All Check'!$M$7)</f>
        <v>0</v>
      </c>
      <c r="P93" s="121">
        <f>SUMIFS('2024 Rev - NS'!$N:$N,'2024 Rev - NS'!$G:$G,'TB All Check'!$N93,'2024 Rev - NS'!$P:$P,'TB All Check'!$N$7)</f>
        <v>0</v>
      </c>
      <c r="Q93" s="296">
        <f t="shared" si="8"/>
        <v>0</v>
      </c>
    </row>
    <row r="94" spans="1:17" x14ac:dyDescent="0.15">
      <c r="A94" s="110" t="s">
        <v>377</v>
      </c>
      <c r="B94" s="110" t="s">
        <v>1083</v>
      </c>
      <c r="C94" s="121">
        <f>SUMIFS('TB &amp; MCC Cost Audit 2020-Curren'!$P:$P,'TB &amp; MCC Cost Audit 2020-Curren'!$A:$A,'TB All Check'!$A94,'TB &amp; MCC Cost Audit 2020-Curren'!$C:$C,'TB All Check'!$B$7,'TB &amp; MCC Cost Audit 2020-Curren'!$D:$D,'TB All Check'!$A$7)</f>
        <v>9572</v>
      </c>
      <c r="D94" s="121">
        <f>SUMIFS('2022 Partial Rev - NS'!$N:$N,'2022 Partial Rev - NS'!$G:$G,'TB All Check'!$B94,'2022 Partial Rev - NS'!$P:$P,'TB All Check'!$B$7)</f>
        <v>9572</v>
      </c>
      <c r="E94" s="296">
        <f t="shared" si="6"/>
        <v>0</v>
      </c>
      <c r="G94" s="110" t="s">
        <v>377</v>
      </c>
      <c r="H94" s="110" t="s">
        <v>1083</v>
      </c>
      <c r="I94" s="121">
        <f>SUMIFS('TB &amp; MCC Cost Audit 2020-Curren'!$P:$P,'TB &amp; MCC Cost Audit 2020-Curren'!$A:$A,'TB All Check'!$A94,'TB &amp; MCC Cost Audit 2020-Curren'!$C:$C,'TB All Check'!$H$7,'TB &amp; MCC Cost Audit 2020-Curren'!$D:$D,'TB All Check'!$G$7)</f>
        <v>0</v>
      </c>
      <c r="J94" s="121">
        <f>SUMIFS('2023 Rev - NS'!$N:$N,'2023 Rev - NS'!$G:$G,'TB All Check'!$H94,'2023 Rev - NS'!$P:$P,'TB All Check'!$H$7)</f>
        <v>0</v>
      </c>
      <c r="K94" s="296">
        <f t="shared" si="7"/>
        <v>0</v>
      </c>
      <c r="M94" s="110" t="s">
        <v>377</v>
      </c>
      <c r="N94" s="110" t="s">
        <v>1083</v>
      </c>
      <c r="O94" s="121">
        <f>SUMIFS('TB &amp; MCC Cost Audit 2020-Curren'!$P:$P,'TB &amp; MCC Cost Audit 2020-Curren'!$A:$A,'TB All Check'!$M94,'TB &amp; MCC Cost Audit 2020-Curren'!$C:$C,'TB All Check'!$N$7,'TB &amp; MCC Cost Audit 2020-Curren'!$D:$D,'TB All Check'!$M$7)</f>
        <v>11410</v>
      </c>
      <c r="P94" s="121">
        <f>SUMIFS('2024 Rev - NS'!$N:$N,'2024 Rev - NS'!$G:$G,'TB All Check'!$N94,'2024 Rev - NS'!$P:$P,'TB All Check'!$N$7)</f>
        <v>11410</v>
      </c>
      <c r="Q94" s="296">
        <f t="shared" si="8"/>
        <v>0</v>
      </c>
    </row>
    <row r="95" spans="1:17" x14ac:dyDescent="0.15">
      <c r="A95" s="110" t="s">
        <v>306</v>
      </c>
      <c r="B95" s="110" t="s">
        <v>1084</v>
      </c>
      <c r="C95" s="121">
        <f>SUMIFS('TB &amp; MCC Cost Audit 2020-Curren'!$P:$P,'TB &amp; MCC Cost Audit 2020-Curren'!$A:$A,'TB All Check'!$A95,'TB &amp; MCC Cost Audit 2020-Curren'!$C:$C,'TB All Check'!$B$7,'TB &amp; MCC Cost Audit 2020-Curren'!$D:$D,'TB All Check'!$A$7)</f>
        <v>17711.400000000001</v>
      </c>
      <c r="D95" s="121">
        <f>SUMIFS('2022 Partial Rev - NS'!$N:$N,'2022 Partial Rev - NS'!$G:$G,'TB All Check'!$B95,'2022 Partial Rev - NS'!$P:$P,'TB All Check'!$B$7)</f>
        <v>17711.400000000001</v>
      </c>
      <c r="E95" s="296">
        <f t="shared" si="6"/>
        <v>0</v>
      </c>
      <c r="G95" s="110" t="s">
        <v>306</v>
      </c>
      <c r="H95" s="110" t="s">
        <v>1084</v>
      </c>
      <c r="I95" s="121">
        <f>SUMIFS('TB &amp; MCC Cost Audit 2020-Curren'!$P:$P,'TB &amp; MCC Cost Audit 2020-Curren'!$A:$A,'TB All Check'!$A95,'TB &amp; MCC Cost Audit 2020-Curren'!$C:$C,'TB All Check'!$H$7,'TB &amp; MCC Cost Audit 2020-Curren'!$D:$D,'TB All Check'!$G$7)</f>
        <v>0</v>
      </c>
      <c r="J95" s="121">
        <f>SUMIFS('2023 Rev - NS'!$N:$N,'2023 Rev - NS'!$G:$G,'TB All Check'!$H95,'2023 Rev - NS'!$P:$P,'TB All Check'!$H$7)</f>
        <v>0</v>
      </c>
      <c r="K95" s="296">
        <f t="shared" si="7"/>
        <v>0</v>
      </c>
      <c r="M95" s="110" t="s">
        <v>306</v>
      </c>
      <c r="N95" s="110" t="s">
        <v>1084</v>
      </c>
      <c r="O95" s="121">
        <f>SUMIFS('TB &amp; MCC Cost Audit 2020-Curren'!$P:$P,'TB &amp; MCC Cost Audit 2020-Curren'!$A:$A,'TB All Check'!$M95,'TB &amp; MCC Cost Audit 2020-Curren'!$C:$C,'TB All Check'!$N$7,'TB &amp; MCC Cost Audit 2020-Curren'!$D:$D,'TB All Check'!$M$7)</f>
        <v>22567</v>
      </c>
      <c r="P95" s="121">
        <f>SUMIFS('2024 Rev - NS'!$N:$N,'2024 Rev - NS'!$G:$G,'TB All Check'!$N95,'2024 Rev - NS'!$P:$P,'TB All Check'!$N$7)</f>
        <v>22567</v>
      </c>
      <c r="Q95" s="296">
        <f t="shared" si="8"/>
        <v>0</v>
      </c>
    </row>
    <row r="96" spans="1:17" x14ac:dyDescent="0.15">
      <c r="A96" s="110" t="s">
        <v>356</v>
      </c>
      <c r="B96" s="110" t="s">
        <v>1085</v>
      </c>
      <c r="C96" s="121">
        <f>SUMIFS('TB &amp; MCC Cost Audit 2020-Curren'!$P:$P,'TB &amp; MCC Cost Audit 2020-Curren'!$A:$A,'TB All Check'!$A96,'TB &amp; MCC Cost Audit 2020-Curren'!$C:$C,'TB All Check'!$B$7,'TB &amp; MCC Cost Audit 2020-Curren'!$D:$D,'TB All Check'!$A$7)</f>
        <v>0</v>
      </c>
      <c r="D96" s="121">
        <f>SUMIFS('2022 Partial Rev - NS'!$N:$N,'2022 Partial Rev - NS'!$G:$G,'TB All Check'!$B96,'2022 Partial Rev - NS'!$P:$P,'TB All Check'!$B$7)</f>
        <v>0</v>
      </c>
      <c r="E96" s="296">
        <f t="shared" si="6"/>
        <v>0</v>
      </c>
      <c r="G96" s="110" t="s">
        <v>356</v>
      </c>
      <c r="H96" s="110" t="s">
        <v>1085</v>
      </c>
      <c r="I96" s="121">
        <f>SUMIFS('TB &amp; MCC Cost Audit 2020-Curren'!$P:$P,'TB &amp; MCC Cost Audit 2020-Curren'!$A:$A,'TB All Check'!$A96,'TB &amp; MCC Cost Audit 2020-Curren'!$C:$C,'TB All Check'!$H$7,'TB &amp; MCC Cost Audit 2020-Curren'!$D:$D,'TB All Check'!$G$7)</f>
        <v>0</v>
      </c>
      <c r="J96" s="121">
        <f>SUMIFS('2023 Rev - NS'!$N:$N,'2023 Rev - NS'!$G:$G,'TB All Check'!$H96,'2023 Rev - NS'!$P:$P,'TB All Check'!$H$7)</f>
        <v>0</v>
      </c>
      <c r="K96" s="296">
        <f t="shared" si="7"/>
        <v>0</v>
      </c>
      <c r="M96" s="110" t="s">
        <v>356</v>
      </c>
      <c r="N96" s="110" t="s">
        <v>1085</v>
      </c>
      <c r="O96" s="121">
        <f>SUMIFS('TB &amp; MCC Cost Audit 2020-Curren'!$P:$P,'TB &amp; MCC Cost Audit 2020-Curren'!$A:$A,'TB All Check'!$M96,'TB &amp; MCC Cost Audit 2020-Curren'!$C:$C,'TB All Check'!$N$7,'TB &amp; MCC Cost Audit 2020-Curren'!$D:$D,'TB All Check'!$M$7)</f>
        <v>0</v>
      </c>
      <c r="P96" s="121">
        <f>SUMIFS('2024 Rev - NS'!$N:$N,'2024 Rev - NS'!$G:$G,'TB All Check'!$N96,'2024 Rev - NS'!$P:$P,'TB All Check'!$N$7)</f>
        <v>0</v>
      </c>
      <c r="Q96" s="296">
        <f t="shared" si="8"/>
        <v>0</v>
      </c>
    </row>
    <row r="97" spans="1:17" x14ac:dyDescent="0.15">
      <c r="A97" s="110" t="s">
        <v>253</v>
      </c>
      <c r="B97" s="110" t="s">
        <v>1086</v>
      </c>
      <c r="C97" s="121">
        <f>SUMIFS('TB &amp; MCC Cost Audit 2020-Curren'!$P:$P,'TB &amp; MCC Cost Audit 2020-Curren'!$A:$A,'TB All Check'!$A97,'TB &amp; MCC Cost Audit 2020-Curren'!$C:$C,'TB All Check'!$B$7,'TB &amp; MCC Cost Audit 2020-Curren'!$D:$D,'TB All Check'!$A$7)</f>
        <v>7670</v>
      </c>
      <c r="D97" s="121">
        <f>SUMIFS('2022 Partial Rev - NS'!$N:$N,'2022 Partial Rev - NS'!$G:$G,'TB All Check'!$B97,'2022 Partial Rev - NS'!$P:$P,'TB All Check'!$B$7)</f>
        <v>7670</v>
      </c>
      <c r="E97" s="296">
        <f t="shared" si="6"/>
        <v>0</v>
      </c>
      <c r="G97" s="110" t="s">
        <v>253</v>
      </c>
      <c r="H97" s="110" t="s">
        <v>1086</v>
      </c>
      <c r="I97" s="121">
        <f>SUMIFS('TB &amp; MCC Cost Audit 2020-Curren'!$P:$P,'TB &amp; MCC Cost Audit 2020-Curren'!$A:$A,'TB All Check'!$A97,'TB &amp; MCC Cost Audit 2020-Curren'!$C:$C,'TB All Check'!$H$7,'TB &amp; MCC Cost Audit 2020-Curren'!$D:$D,'TB All Check'!$G$7)</f>
        <v>0</v>
      </c>
      <c r="J97" s="121">
        <f>SUMIFS('2023 Rev - NS'!$N:$N,'2023 Rev - NS'!$G:$G,'TB All Check'!$H97,'2023 Rev - NS'!$P:$P,'TB All Check'!$H$7)</f>
        <v>0</v>
      </c>
      <c r="K97" s="296">
        <f t="shared" si="7"/>
        <v>0</v>
      </c>
      <c r="M97" s="110" t="s">
        <v>253</v>
      </c>
      <c r="N97" s="110" t="s">
        <v>1086</v>
      </c>
      <c r="O97" s="121">
        <f>SUMIFS('TB &amp; MCC Cost Audit 2020-Curren'!$P:$P,'TB &amp; MCC Cost Audit 2020-Curren'!$A:$A,'TB All Check'!$M97,'TB &amp; MCC Cost Audit 2020-Curren'!$C:$C,'TB All Check'!$N$7,'TB &amp; MCC Cost Audit 2020-Curren'!$D:$D,'TB All Check'!$M$7)</f>
        <v>8865</v>
      </c>
      <c r="P97" s="121">
        <f>SUMIFS('2024 Rev - NS'!$N:$N,'2024 Rev - NS'!$G:$G,'TB All Check'!$N97,'2024 Rev - NS'!$P:$P,'TB All Check'!$N$7)</f>
        <v>8865</v>
      </c>
      <c r="Q97" s="296">
        <f t="shared" si="8"/>
        <v>0</v>
      </c>
    </row>
    <row r="98" spans="1:17" x14ac:dyDescent="0.15">
      <c r="A98" s="110" t="s">
        <v>522</v>
      </c>
      <c r="B98" s="110" t="s">
        <v>1087</v>
      </c>
      <c r="C98" s="121">
        <f>SUMIFS('TB &amp; MCC Cost Audit 2020-Curren'!$P:$P,'TB &amp; MCC Cost Audit 2020-Curren'!$A:$A,'TB All Check'!$A98,'TB &amp; MCC Cost Audit 2020-Curren'!$C:$C,'TB All Check'!$B$7,'TB &amp; MCC Cost Audit 2020-Curren'!$D:$D,'TB All Check'!$A$7)</f>
        <v>7670</v>
      </c>
      <c r="D98" s="121">
        <f>SUMIFS('2022 Partial Rev - NS'!$N:$N,'2022 Partial Rev - NS'!$G:$G,'TB All Check'!$B98,'2022 Partial Rev - NS'!$P:$P,'TB All Check'!$B$7)</f>
        <v>7670</v>
      </c>
      <c r="E98" s="296">
        <f t="shared" si="6"/>
        <v>0</v>
      </c>
      <c r="G98" s="110" t="s">
        <v>522</v>
      </c>
      <c r="H98" s="110" t="s">
        <v>1087</v>
      </c>
      <c r="I98" s="121">
        <f>SUMIFS('TB &amp; MCC Cost Audit 2020-Curren'!$P:$P,'TB &amp; MCC Cost Audit 2020-Curren'!$A:$A,'TB All Check'!$A98,'TB &amp; MCC Cost Audit 2020-Curren'!$C:$C,'TB All Check'!$H$7,'TB &amp; MCC Cost Audit 2020-Curren'!$D:$D,'TB All Check'!$G$7)</f>
        <v>0</v>
      </c>
      <c r="J98" s="121">
        <f>SUMIFS('2023 Rev - NS'!$N:$N,'2023 Rev - NS'!$G:$G,'TB All Check'!$H98,'2023 Rev - NS'!$P:$P,'TB All Check'!$H$7)</f>
        <v>0</v>
      </c>
      <c r="K98" s="296">
        <f t="shared" si="7"/>
        <v>0</v>
      </c>
      <c r="M98" s="110" t="s">
        <v>522</v>
      </c>
      <c r="N98" s="110" t="s">
        <v>1087</v>
      </c>
      <c r="O98" s="121">
        <f>SUMIFS('TB &amp; MCC Cost Audit 2020-Curren'!$P:$P,'TB &amp; MCC Cost Audit 2020-Curren'!$A:$A,'TB All Check'!$M98,'TB &amp; MCC Cost Audit 2020-Curren'!$C:$C,'TB All Check'!$N$7,'TB &amp; MCC Cost Audit 2020-Curren'!$D:$D,'TB All Check'!$M$7)</f>
        <v>0</v>
      </c>
      <c r="P98" s="121">
        <f>SUMIFS('2024 Rev - NS'!$N:$N,'2024 Rev - NS'!$G:$G,'TB All Check'!$N98,'2024 Rev - NS'!$P:$P,'TB All Check'!$N$7)</f>
        <v>0</v>
      </c>
      <c r="Q98" s="296">
        <f t="shared" si="8"/>
        <v>0</v>
      </c>
    </row>
    <row r="99" spans="1:17" x14ac:dyDescent="0.15">
      <c r="A99" s="110" t="s">
        <v>299</v>
      </c>
      <c r="B99" s="110" t="s">
        <v>1088</v>
      </c>
      <c r="C99" s="121">
        <f>SUMIFS('TB &amp; MCC Cost Audit 2020-Curren'!$P:$P,'TB &amp; MCC Cost Audit 2020-Curren'!$A:$A,'TB All Check'!$A99,'TB &amp; MCC Cost Audit 2020-Curren'!$C:$C,'TB All Check'!$B$7,'TB &amp; MCC Cost Audit 2020-Curren'!$D:$D,'TB All Check'!$A$7)</f>
        <v>0</v>
      </c>
      <c r="D99" s="121">
        <f>SUMIFS('2022 Partial Rev - NS'!$N:$N,'2022 Partial Rev - NS'!$G:$G,'TB All Check'!$B99,'2022 Partial Rev - NS'!$P:$P,'TB All Check'!$B$7)</f>
        <v>0</v>
      </c>
      <c r="E99" s="296">
        <f t="shared" si="6"/>
        <v>0</v>
      </c>
      <c r="G99" s="110" t="s">
        <v>299</v>
      </c>
      <c r="H99" s="110" t="s">
        <v>1088</v>
      </c>
      <c r="I99" s="121">
        <f>SUMIFS('TB &amp; MCC Cost Audit 2020-Curren'!$P:$P,'TB &amp; MCC Cost Audit 2020-Curren'!$A:$A,'TB All Check'!$A99,'TB &amp; MCC Cost Audit 2020-Curren'!$C:$C,'TB All Check'!$H$7,'TB &amp; MCC Cost Audit 2020-Curren'!$D:$D,'TB All Check'!$G$7)</f>
        <v>0</v>
      </c>
      <c r="J99" s="121">
        <f>SUMIFS('2023 Rev - NS'!$N:$N,'2023 Rev - NS'!$G:$G,'TB All Check'!$H99,'2023 Rev - NS'!$P:$P,'TB All Check'!$H$7)</f>
        <v>0</v>
      </c>
      <c r="K99" s="296">
        <f t="shared" si="7"/>
        <v>0</v>
      </c>
      <c r="M99" s="110" t="s">
        <v>299</v>
      </c>
      <c r="N99" s="110" t="s">
        <v>1088</v>
      </c>
      <c r="O99" s="121">
        <f>SUMIFS('TB &amp; MCC Cost Audit 2020-Curren'!$P:$P,'TB &amp; MCC Cost Audit 2020-Curren'!$A:$A,'TB All Check'!$M99,'TB &amp; MCC Cost Audit 2020-Curren'!$C:$C,'TB All Check'!$N$7,'TB &amp; MCC Cost Audit 2020-Curren'!$D:$D,'TB All Check'!$M$7)</f>
        <v>8865</v>
      </c>
      <c r="P99" s="121">
        <f>SUMIFS('2024 Rev - NS'!$N:$N,'2024 Rev - NS'!$G:$G,'TB All Check'!$N99,'2024 Rev - NS'!$P:$P,'TB All Check'!$N$7)</f>
        <v>8865</v>
      </c>
      <c r="Q99" s="296">
        <f t="shared" si="8"/>
        <v>0</v>
      </c>
    </row>
    <row r="100" spans="1:17" x14ac:dyDescent="0.15">
      <c r="A100" s="110" t="s">
        <v>423</v>
      </c>
      <c r="B100" s="110" t="s">
        <v>1089</v>
      </c>
      <c r="C100" s="121">
        <f>SUMIFS('TB &amp; MCC Cost Audit 2020-Curren'!$P:$P,'TB &amp; MCC Cost Audit 2020-Curren'!$A:$A,'TB All Check'!$A100,'TB &amp; MCC Cost Audit 2020-Curren'!$C:$C,'TB All Check'!$B$7,'TB &amp; MCC Cost Audit 2020-Curren'!$D:$D,'TB All Check'!$A$7)</f>
        <v>0</v>
      </c>
      <c r="D100" s="121">
        <f>SUMIFS('2022 Partial Rev - NS'!$N:$N,'2022 Partial Rev - NS'!$G:$G,'TB All Check'!$B100,'2022 Partial Rev - NS'!$P:$P,'TB All Check'!$B$7)</f>
        <v>0</v>
      </c>
      <c r="E100" s="296">
        <f t="shared" si="6"/>
        <v>0</v>
      </c>
      <c r="G100" s="110" t="s">
        <v>423</v>
      </c>
      <c r="H100" s="110" t="s">
        <v>1089</v>
      </c>
      <c r="I100" s="121">
        <f>SUMIFS('TB &amp; MCC Cost Audit 2020-Curren'!$P:$P,'TB &amp; MCC Cost Audit 2020-Curren'!$A:$A,'TB All Check'!$A100,'TB &amp; MCC Cost Audit 2020-Curren'!$C:$C,'TB All Check'!$H$7,'TB &amp; MCC Cost Audit 2020-Curren'!$D:$D,'TB All Check'!$G$7)</f>
        <v>0</v>
      </c>
      <c r="J100" s="121">
        <f>SUMIFS('2023 Rev - NS'!$N:$N,'2023 Rev - NS'!$G:$G,'TB All Check'!$H100,'2023 Rev - NS'!$P:$P,'TB All Check'!$H$7)</f>
        <v>0</v>
      </c>
      <c r="K100" s="296">
        <f t="shared" si="7"/>
        <v>0</v>
      </c>
      <c r="M100" s="110" t="s">
        <v>423</v>
      </c>
      <c r="N100" s="110" t="s">
        <v>1089</v>
      </c>
      <c r="O100" s="121">
        <f>SUMIFS('TB &amp; MCC Cost Audit 2020-Curren'!$P:$P,'TB &amp; MCC Cost Audit 2020-Curren'!$A:$A,'TB All Check'!$M100,'TB &amp; MCC Cost Audit 2020-Curren'!$C:$C,'TB All Check'!$N$7,'TB &amp; MCC Cost Audit 2020-Curren'!$D:$D,'TB All Check'!$M$7)</f>
        <v>0</v>
      </c>
      <c r="P100" s="121">
        <f>SUMIFS('2024 Rev - NS'!$N:$N,'2024 Rev - NS'!$G:$G,'TB All Check'!$N100,'2024 Rev - NS'!$P:$P,'TB All Check'!$N$7)</f>
        <v>0</v>
      </c>
      <c r="Q100" s="296">
        <f t="shared" si="8"/>
        <v>0</v>
      </c>
    </row>
    <row r="101" spans="1:17" x14ac:dyDescent="0.15">
      <c r="A101" s="110" t="s">
        <v>72</v>
      </c>
      <c r="B101" s="110" t="s">
        <v>1090</v>
      </c>
      <c r="C101" s="121">
        <f>SUMIFS('TB &amp; MCC Cost Audit 2020-Curren'!$P:$P,'TB &amp; MCC Cost Audit 2020-Curren'!$A:$A,'TB All Check'!$A101,'TB &amp; MCC Cost Audit 2020-Curren'!$C:$C,'TB All Check'!$B$7,'TB &amp; MCC Cost Audit 2020-Curren'!$D:$D,'TB All Check'!$A$7)</f>
        <v>9572</v>
      </c>
      <c r="D101" s="121">
        <f>SUMIFS('2022 Partial Rev - NS'!$N:$N,'2022 Partial Rev - NS'!$G:$G,'TB All Check'!$B101,'2022 Partial Rev - NS'!$P:$P,'TB All Check'!$B$7)</f>
        <v>9572</v>
      </c>
      <c r="E101" s="296">
        <f t="shared" si="6"/>
        <v>0</v>
      </c>
      <c r="G101" s="110" t="s">
        <v>72</v>
      </c>
      <c r="H101" s="110" t="s">
        <v>1090</v>
      </c>
      <c r="I101" s="121">
        <f>SUMIFS('TB &amp; MCC Cost Audit 2020-Curren'!$P:$P,'TB &amp; MCC Cost Audit 2020-Curren'!$A:$A,'TB All Check'!$A101,'TB &amp; MCC Cost Audit 2020-Curren'!$C:$C,'TB All Check'!$H$7,'TB &amp; MCC Cost Audit 2020-Curren'!$D:$D,'TB All Check'!$G$7)</f>
        <v>0</v>
      </c>
      <c r="J101" s="121">
        <f>SUMIFS('2023 Rev - NS'!$N:$N,'2023 Rev - NS'!$G:$G,'TB All Check'!$H101,'2023 Rev - NS'!$P:$P,'TB All Check'!$H$7)</f>
        <v>0</v>
      </c>
      <c r="K101" s="296">
        <f t="shared" si="7"/>
        <v>0</v>
      </c>
      <c r="M101" s="110" t="s">
        <v>72</v>
      </c>
      <c r="N101" s="110" t="s">
        <v>1090</v>
      </c>
      <c r="O101" s="121">
        <f>SUMIFS('TB &amp; MCC Cost Audit 2020-Curren'!$P:$P,'TB &amp; MCC Cost Audit 2020-Curren'!$A:$A,'TB All Check'!$M101,'TB &amp; MCC Cost Audit 2020-Curren'!$C:$C,'TB All Check'!$N$7,'TB &amp; MCC Cost Audit 2020-Curren'!$D:$D,'TB All Check'!$M$7)</f>
        <v>0</v>
      </c>
      <c r="P101" s="121">
        <f>SUMIFS('2024 Rev - NS'!$N:$N,'2024 Rev - NS'!$G:$G,'TB All Check'!$N101,'2024 Rev - NS'!$P:$P,'TB All Check'!$N$7)</f>
        <v>0</v>
      </c>
      <c r="Q101" s="296">
        <f t="shared" si="8"/>
        <v>0</v>
      </c>
    </row>
    <row r="102" spans="1:17" x14ac:dyDescent="0.15">
      <c r="A102" s="110" t="s">
        <v>237</v>
      </c>
      <c r="B102" s="110" t="s">
        <v>1091</v>
      </c>
      <c r="C102" s="121">
        <f>SUMIFS('TB &amp; MCC Cost Audit 2020-Curren'!$P:$P,'TB &amp; MCC Cost Audit 2020-Curren'!$A:$A,'TB All Check'!$A102,'TB &amp; MCC Cost Audit 2020-Curren'!$C:$C,'TB All Check'!$B$7,'TB &amp; MCC Cost Audit 2020-Curren'!$D:$D,'TB All Check'!$A$7)</f>
        <v>0</v>
      </c>
      <c r="D102" s="121">
        <f>SUMIFS('2022 Partial Rev - NS'!$N:$N,'2022 Partial Rev - NS'!$G:$G,'TB All Check'!$B102,'2022 Partial Rev - NS'!$P:$P,'TB All Check'!$B$7)</f>
        <v>0</v>
      </c>
      <c r="E102" s="296">
        <f t="shared" si="6"/>
        <v>0</v>
      </c>
      <c r="G102" s="110" t="s">
        <v>237</v>
      </c>
      <c r="H102" s="110" t="s">
        <v>1091</v>
      </c>
      <c r="I102" s="121">
        <f>SUMIFS('TB &amp; MCC Cost Audit 2020-Curren'!$P:$P,'TB &amp; MCC Cost Audit 2020-Curren'!$A:$A,'TB All Check'!$A102,'TB &amp; MCC Cost Audit 2020-Curren'!$C:$C,'TB All Check'!$H$7,'TB &amp; MCC Cost Audit 2020-Curren'!$D:$D,'TB All Check'!$G$7)</f>
        <v>0</v>
      </c>
      <c r="J102" s="121">
        <f>SUMIFS('2023 Rev - NS'!$N:$N,'2023 Rev - NS'!$G:$G,'TB All Check'!$H102,'2023 Rev - NS'!$P:$P,'TB All Check'!$H$7)</f>
        <v>0</v>
      </c>
      <c r="K102" s="296">
        <f t="shared" si="7"/>
        <v>0</v>
      </c>
      <c r="M102" s="110" t="s">
        <v>237</v>
      </c>
      <c r="N102" s="110" t="s">
        <v>1091</v>
      </c>
      <c r="O102" s="121">
        <f>SUMIFS('TB &amp; MCC Cost Audit 2020-Curren'!$P:$P,'TB &amp; MCC Cost Audit 2020-Curren'!$A:$A,'TB All Check'!$M102,'TB &amp; MCC Cost Audit 2020-Curren'!$C:$C,'TB All Check'!$N$7,'TB &amp; MCC Cost Audit 2020-Curren'!$D:$D,'TB All Check'!$M$7)</f>
        <v>53179.000000000007</v>
      </c>
      <c r="P102" s="121">
        <f>SUMIFS('2024 Rev - NS'!$N:$N,'2024 Rev - NS'!$G:$G,'TB All Check'!$N102,'2024 Rev - NS'!$P:$P,'TB All Check'!$N$7)</f>
        <v>53179</v>
      </c>
      <c r="Q102" s="296">
        <f t="shared" si="8"/>
        <v>0</v>
      </c>
    </row>
    <row r="103" spans="1:17" x14ac:dyDescent="0.15">
      <c r="J103" s="121"/>
    </row>
  </sheetData>
  <conditionalFormatting sqref="A18">
    <cfRule type="duplicateValues" dxfId="15" priority="7"/>
  </conditionalFormatting>
  <conditionalFormatting sqref="A33">
    <cfRule type="duplicateValues" dxfId="14" priority="6"/>
  </conditionalFormatting>
  <conditionalFormatting sqref="A34">
    <cfRule type="duplicateValues" dxfId="13" priority="5"/>
  </conditionalFormatting>
  <conditionalFormatting sqref="A41">
    <cfRule type="duplicateValues" dxfId="12" priority="4"/>
  </conditionalFormatting>
  <conditionalFormatting sqref="A54">
    <cfRule type="duplicateValues" dxfId="11" priority="3"/>
  </conditionalFormatting>
  <conditionalFormatting sqref="G18">
    <cfRule type="duplicateValues" dxfId="10" priority="13"/>
  </conditionalFormatting>
  <conditionalFormatting sqref="G33">
    <cfRule type="duplicateValues" dxfId="9" priority="12"/>
  </conditionalFormatting>
  <conditionalFormatting sqref="G34">
    <cfRule type="duplicateValues" dxfId="8" priority="11"/>
  </conditionalFormatting>
  <conditionalFormatting sqref="G41">
    <cfRule type="duplicateValues" dxfId="7" priority="10"/>
  </conditionalFormatting>
  <conditionalFormatting sqref="G54">
    <cfRule type="duplicateValues" dxfId="6" priority="1"/>
  </conditionalFormatting>
  <conditionalFormatting sqref="M18">
    <cfRule type="duplicateValues" dxfId="5" priority="17"/>
  </conditionalFormatting>
  <conditionalFormatting sqref="M33">
    <cfRule type="duplicateValues" dxfId="4" priority="16"/>
  </conditionalFormatting>
  <conditionalFormatting sqref="M34">
    <cfRule type="duplicateValues" dxfId="3" priority="15"/>
  </conditionalFormatting>
  <conditionalFormatting sqref="M41">
    <cfRule type="duplicateValues" dxfId="2" priority="8"/>
  </conditionalFormatting>
  <conditionalFormatting sqref="M54">
    <cfRule type="duplicateValues" dxfId="1" priority="14"/>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F425324E-402E-4822-B685-CD34E174C5FC}">
          <x14:formula1>
            <xm:f>'Customer Conversion'!$J$2:$J$23</xm:f>
          </x14:formula1>
          <xm:sqref>N7 H7</xm:sqref>
        </x14:dataValidation>
        <x14:dataValidation type="list" allowBlank="1" showInputMessage="1" showErrorMessage="1" xr:uid="{5B8D5DE2-B131-4C0A-A0BC-F8504E7C1EBD}">
          <x14:formula1>
            <xm:f>'Customer Conversion'!$J$2:$J$22</xm:f>
          </x14:formula1>
          <xm:sqref>B7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96B15-76CE-414C-ACA9-1B038F50B9EA}">
  <sheetPr filterMode="1"/>
  <dimension ref="A1:P882"/>
  <sheetViews>
    <sheetView workbookViewId="0">
      <pane xSplit="1" ySplit="1" topLeftCell="C600" activePane="bottomRight" state="frozen"/>
      <selection pane="topRight" activeCell="B1" sqref="B1"/>
      <selection pane="bottomLeft" activeCell="A2" sqref="A2"/>
      <selection pane="bottomRight" activeCell="G897" sqref="G897"/>
    </sheetView>
  </sheetViews>
  <sheetFormatPr baseColWidth="10" defaultColWidth="9.1640625" defaultRowHeight="11" x14ac:dyDescent="0.15"/>
  <cols>
    <col min="1" max="1" width="8.5" style="286" bestFit="1" customWidth="1"/>
    <col min="2" max="2" width="13.1640625" style="286" bestFit="1" customWidth="1"/>
    <col min="3" max="3" width="7.5" style="286" bestFit="1" customWidth="1"/>
    <col min="4" max="4" width="16" style="286" bestFit="1" customWidth="1"/>
    <col min="5" max="5" width="9.5" style="286" bestFit="1" customWidth="1"/>
    <col min="6" max="6" width="14.83203125" style="286" bestFit="1" customWidth="1"/>
    <col min="7" max="7" width="29" style="286" customWidth="1"/>
    <col min="8" max="8" width="30.83203125" style="286" customWidth="1"/>
    <col min="9" max="9" width="50.5" style="286" bestFit="1" customWidth="1"/>
    <col min="10" max="10" width="23.5" style="286" bestFit="1" customWidth="1"/>
    <col min="11" max="11" width="10.1640625" style="286" bestFit="1" customWidth="1"/>
    <col min="12" max="12" width="14.5" style="286" customWidth="1"/>
    <col min="13" max="13" width="7.5" style="286" bestFit="1" customWidth="1"/>
    <col min="14" max="14" width="13.5" style="286" bestFit="1" customWidth="1"/>
    <col min="15" max="15" width="13.5" style="286" customWidth="1"/>
    <col min="16" max="16384" width="9.1640625" style="286"/>
  </cols>
  <sheetData>
    <row r="1" spans="1:16" x14ac:dyDescent="0.15">
      <c r="A1" s="289" t="s">
        <v>1092</v>
      </c>
      <c r="B1" s="289" t="s">
        <v>1093</v>
      </c>
      <c r="C1" s="289" t="s">
        <v>1094</v>
      </c>
      <c r="D1" s="289" t="s">
        <v>1095</v>
      </c>
      <c r="E1" s="289" t="s">
        <v>8</v>
      </c>
      <c r="F1" s="289" t="s">
        <v>1096</v>
      </c>
      <c r="G1" s="289" t="s">
        <v>1097</v>
      </c>
      <c r="H1" s="289" t="s">
        <v>1098</v>
      </c>
      <c r="I1" s="289" t="s">
        <v>1099</v>
      </c>
      <c r="J1" s="289" t="s">
        <v>1100</v>
      </c>
      <c r="K1" s="289" t="s">
        <v>1101</v>
      </c>
      <c r="L1" s="289" t="s">
        <v>16</v>
      </c>
      <c r="M1" s="289" t="s">
        <v>1102</v>
      </c>
      <c r="N1" s="289" t="s">
        <v>1103</v>
      </c>
      <c r="O1" s="289"/>
    </row>
    <row r="2" spans="1:16" hidden="1" x14ac:dyDescent="0.15">
      <c r="A2" s="286">
        <v>658</v>
      </c>
      <c r="B2" s="288">
        <v>44616.699305555558</v>
      </c>
      <c r="C2" s="286" t="s">
        <v>1104</v>
      </c>
      <c r="D2" s="286" t="s">
        <v>1105</v>
      </c>
      <c r="E2" s="286" t="s">
        <v>1106</v>
      </c>
      <c r="F2" s="286" t="s">
        <v>1107</v>
      </c>
      <c r="G2" s="286" t="s">
        <v>53</v>
      </c>
      <c r="H2" s="286" t="s">
        <v>53</v>
      </c>
      <c r="I2" s="286" t="s">
        <v>1108</v>
      </c>
      <c r="J2" s="286" t="s">
        <v>53</v>
      </c>
      <c r="K2" s="286" t="s">
        <v>53</v>
      </c>
      <c r="L2" s="286" t="s">
        <v>53</v>
      </c>
      <c r="M2" s="286" t="s">
        <v>53</v>
      </c>
      <c r="N2" s="287">
        <v>140882.16</v>
      </c>
      <c r="O2" s="305">
        <f>EOMONTH(B2,0)</f>
        <v>44620</v>
      </c>
      <c r="P2" s="286" t="s">
        <v>37</v>
      </c>
    </row>
    <row r="3" spans="1:16" hidden="1" x14ac:dyDescent="0.15">
      <c r="A3" s="286">
        <v>658</v>
      </c>
      <c r="B3" s="288">
        <v>44616.699305555558</v>
      </c>
      <c r="C3" s="286" t="s">
        <v>1104</v>
      </c>
      <c r="D3" s="286" t="s">
        <v>1105</v>
      </c>
      <c r="E3" s="286" t="s">
        <v>1106</v>
      </c>
      <c r="F3" s="286" t="s">
        <v>1107</v>
      </c>
      <c r="G3" s="286" t="s">
        <v>53</v>
      </c>
      <c r="H3" s="286" t="s">
        <v>53</v>
      </c>
      <c r="I3" s="286" t="s">
        <v>1109</v>
      </c>
      <c r="J3" s="286" t="s">
        <v>53</v>
      </c>
      <c r="K3" s="286" t="s">
        <v>53</v>
      </c>
      <c r="L3" s="286" t="s">
        <v>53</v>
      </c>
      <c r="M3" s="286" t="s">
        <v>53</v>
      </c>
      <c r="N3" s="287">
        <v>5500</v>
      </c>
      <c r="O3" s="305">
        <f t="shared" ref="O3:O66" si="0">EOMONTH(B3,0)</f>
        <v>44620</v>
      </c>
    </row>
    <row r="4" spans="1:16" hidden="1" x14ac:dyDescent="0.15">
      <c r="A4" s="286">
        <v>659</v>
      </c>
      <c r="B4" s="288">
        <v>44616.699305555558</v>
      </c>
      <c r="C4" s="286" t="s">
        <v>1110</v>
      </c>
      <c r="D4" s="286" t="s">
        <v>1105</v>
      </c>
      <c r="E4" s="286" t="s">
        <v>1106</v>
      </c>
      <c r="F4" s="286" t="s">
        <v>1111</v>
      </c>
      <c r="G4" s="286" t="s">
        <v>53</v>
      </c>
      <c r="H4" s="286" t="s">
        <v>53</v>
      </c>
      <c r="I4" s="286" t="s">
        <v>1108</v>
      </c>
      <c r="J4" s="286" t="s">
        <v>53</v>
      </c>
      <c r="K4" s="286" t="s">
        <v>53</v>
      </c>
      <c r="L4" s="286" t="s">
        <v>53</v>
      </c>
      <c r="M4" s="286" t="s">
        <v>53</v>
      </c>
      <c r="N4" s="287">
        <v>129589.91</v>
      </c>
      <c r="O4" s="305">
        <f t="shared" si="0"/>
        <v>44620</v>
      </c>
      <c r="P4" s="286" t="s">
        <v>37</v>
      </c>
    </row>
    <row r="5" spans="1:16" hidden="1" x14ac:dyDescent="0.15">
      <c r="A5" s="286">
        <v>659</v>
      </c>
      <c r="B5" s="288">
        <v>44616.699305555558</v>
      </c>
      <c r="C5" s="286" t="s">
        <v>1110</v>
      </c>
      <c r="D5" s="286" t="s">
        <v>1105</v>
      </c>
      <c r="E5" s="286" t="s">
        <v>1106</v>
      </c>
      <c r="F5" s="286" t="s">
        <v>1111</v>
      </c>
      <c r="G5" s="286" t="s">
        <v>53</v>
      </c>
      <c r="H5" s="286" t="s">
        <v>53</v>
      </c>
      <c r="I5" s="286" t="s">
        <v>1112</v>
      </c>
      <c r="J5" s="286" t="s">
        <v>53</v>
      </c>
      <c r="K5" s="286" t="s">
        <v>53</v>
      </c>
      <c r="L5" s="286" t="s">
        <v>53</v>
      </c>
      <c r="M5" s="286" t="s">
        <v>53</v>
      </c>
      <c r="N5" s="287">
        <v>20580</v>
      </c>
      <c r="O5" s="305">
        <f t="shared" si="0"/>
        <v>44620</v>
      </c>
      <c r="P5" s="286" t="s">
        <v>175</v>
      </c>
    </row>
    <row r="6" spans="1:16" hidden="1" x14ac:dyDescent="0.15">
      <c r="A6" s="286">
        <v>660</v>
      </c>
      <c r="B6" s="288">
        <v>44616.699305555558</v>
      </c>
      <c r="C6" s="286" t="s">
        <v>1113</v>
      </c>
      <c r="D6" s="286" t="s">
        <v>1105</v>
      </c>
      <c r="E6" s="286" t="s">
        <v>1106</v>
      </c>
      <c r="F6" s="286" t="s">
        <v>1114</v>
      </c>
      <c r="G6" s="286" t="s">
        <v>53</v>
      </c>
      <c r="H6" s="286" t="s">
        <v>53</v>
      </c>
      <c r="I6" s="286" t="s">
        <v>1109</v>
      </c>
      <c r="J6" s="286" t="s">
        <v>53</v>
      </c>
      <c r="K6" s="286" t="s">
        <v>53</v>
      </c>
      <c r="L6" s="286" t="s">
        <v>53</v>
      </c>
      <c r="M6" s="286" t="s">
        <v>53</v>
      </c>
      <c r="N6" s="287">
        <v>71373.119999999995</v>
      </c>
      <c r="O6" s="305">
        <f t="shared" si="0"/>
        <v>44620</v>
      </c>
    </row>
    <row r="7" spans="1:16" hidden="1" x14ac:dyDescent="0.15">
      <c r="A7" s="286">
        <v>660</v>
      </c>
      <c r="B7" s="288">
        <v>44616.699305555558</v>
      </c>
      <c r="C7" s="286" t="s">
        <v>1113</v>
      </c>
      <c r="D7" s="286" t="s">
        <v>1105</v>
      </c>
      <c r="E7" s="286" t="s">
        <v>1106</v>
      </c>
      <c r="F7" s="286" t="s">
        <v>1114</v>
      </c>
      <c r="G7" s="286" t="s">
        <v>53</v>
      </c>
      <c r="H7" s="286" t="s">
        <v>53</v>
      </c>
      <c r="I7" s="286" t="s">
        <v>1108</v>
      </c>
      <c r="J7" s="286" t="s">
        <v>53</v>
      </c>
      <c r="K7" s="286" t="s">
        <v>53</v>
      </c>
      <c r="L7" s="286" t="s">
        <v>53</v>
      </c>
      <c r="M7" s="286" t="s">
        <v>53</v>
      </c>
      <c r="N7" s="287">
        <v>49832.22</v>
      </c>
      <c r="O7" s="305">
        <f t="shared" si="0"/>
        <v>44620</v>
      </c>
      <c r="P7" s="286" t="s">
        <v>37</v>
      </c>
    </row>
    <row r="8" spans="1:16" hidden="1" x14ac:dyDescent="0.15">
      <c r="A8" s="286">
        <v>660</v>
      </c>
      <c r="B8" s="288">
        <v>44616.699305555558</v>
      </c>
      <c r="C8" s="286" t="s">
        <v>1113</v>
      </c>
      <c r="D8" s="286" t="s">
        <v>1105</v>
      </c>
      <c r="E8" s="286" t="s">
        <v>1106</v>
      </c>
      <c r="F8" s="286" t="s">
        <v>1114</v>
      </c>
      <c r="G8" s="286" t="s">
        <v>53</v>
      </c>
      <c r="H8" s="286" t="s">
        <v>53</v>
      </c>
      <c r="I8" s="286" t="s">
        <v>1112</v>
      </c>
      <c r="J8" s="286" t="s">
        <v>53</v>
      </c>
      <c r="K8" s="286" t="s">
        <v>53</v>
      </c>
      <c r="L8" s="286" t="s">
        <v>53</v>
      </c>
      <c r="M8" s="286" t="s">
        <v>53</v>
      </c>
      <c r="N8" s="287">
        <v>10275</v>
      </c>
      <c r="O8" s="305">
        <f t="shared" si="0"/>
        <v>44620</v>
      </c>
      <c r="P8" s="286" t="s">
        <v>175</v>
      </c>
    </row>
    <row r="9" spans="1:16" hidden="1" x14ac:dyDescent="0.15">
      <c r="A9" s="286">
        <v>661</v>
      </c>
      <c r="B9" s="288">
        <v>44616.7</v>
      </c>
      <c r="C9" s="286" t="s">
        <v>1115</v>
      </c>
      <c r="D9" s="286" t="s">
        <v>1105</v>
      </c>
      <c r="E9" s="286" t="s">
        <v>1106</v>
      </c>
      <c r="F9" s="286" t="s">
        <v>1116</v>
      </c>
      <c r="G9" s="286" t="s">
        <v>53</v>
      </c>
      <c r="H9" s="286" t="s">
        <v>53</v>
      </c>
      <c r="I9" s="286" t="s">
        <v>1108</v>
      </c>
      <c r="J9" s="286" t="s">
        <v>53</v>
      </c>
      <c r="K9" s="286" t="s">
        <v>53</v>
      </c>
      <c r="L9" s="286" t="s">
        <v>53</v>
      </c>
      <c r="M9" s="286" t="s">
        <v>53</v>
      </c>
      <c r="N9" s="287">
        <v>38500</v>
      </c>
      <c r="O9" s="305">
        <f t="shared" si="0"/>
        <v>44620</v>
      </c>
      <c r="P9" s="286" t="s">
        <v>37</v>
      </c>
    </row>
    <row r="10" spans="1:16" hidden="1" x14ac:dyDescent="0.15">
      <c r="A10" s="286">
        <v>661</v>
      </c>
      <c r="B10" s="288">
        <v>44616.7</v>
      </c>
      <c r="C10" s="286" t="s">
        <v>1115</v>
      </c>
      <c r="D10" s="286" t="s">
        <v>1105</v>
      </c>
      <c r="E10" s="286" t="s">
        <v>1106</v>
      </c>
      <c r="F10" s="286" t="s">
        <v>1116</v>
      </c>
      <c r="G10" s="286" t="s">
        <v>53</v>
      </c>
      <c r="H10" s="286" t="s">
        <v>53</v>
      </c>
      <c r="I10" s="286" t="s">
        <v>1112</v>
      </c>
      <c r="J10" s="286" t="s">
        <v>53</v>
      </c>
      <c r="K10" s="286" t="s">
        <v>53</v>
      </c>
      <c r="L10" s="286" t="s">
        <v>53</v>
      </c>
      <c r="M10" s="286" t="s">
        <v>53</v>
      </c>
      <c r="N10" s="287">
        <v>1303.3</v>
      </c>
      <c r="O10" s="305">
        <f t="shared" si="0"/>
        <v>44620</v>
      </c>
      <c r="P10" s="286" t="s">
        <v>175</v>
      </c>
    </row>
    <row r="11" spans="1:16" hidden="1" x14ac:dyDescent="0.15">
      <c r="A11" s="286">
        <v>758</v>
      </c>
      <c r="B11" s="288">
        <v>44616.70416666667</v>
      </c>
      <c r="C11" s="286" t="s">
        <v>1117</v>
      </c>
      <c r="D11" s="286" t="s">
        <v>1105</v>
      </c>
      <c r="E11" s="286" t="s">
        <v>1106</v>
      </c>
      <c r="F11" s="286" t="s">
        <v>1118</v>
      </c>
      <c r="G11" s="286" t="s">
        <v>53</v>
      </c>
      <c r="H11" s="286" t="s">
        <v>53</v>
      </c>
      <c r="I11" s="286" t="s">
        <v>1112</v>
      </c>
      <c r="J11" s="286" t="s">
        <v>53</v>
      </c>
      <c r="K11" s="286" t="s">
        <v>53</v>
      </c>
      <c r="L11" s="286" t="s">
        <v>53</v>
      </c>
      <c r="M11" s="286" t="s">
        <v>53</v>
      </c>
      <c r="N11" s="287">
        <v>61408</v>
      </c>
      <c r="O11" s="305">
        <f t="shared" si="0"/>
        <v>44620</v>
      </c>
      <c r="P11" s="286" t="s">
        <v>175</v>
      </c>
    </row>
    <row r="12" spans="1:16" hidden="1" x14ac:dyDescent="0.15">
      <c r="A12" s="286">
        <v>758</v>
      </c>
      <c r="B12" s="288">
        <v>44616.70416666667</v>
      </c>
      <c r="C12" s="286" t="s">
        <v>1117</v>
      </c>
      <c r="D12" s="286" t="s">
        <v>1105</v>
      </c>
      <c r="E12" s="286" t="s">
        <v>1106</v>
      </c>
      <c r="F12" s="286" t="s">
        <v>1118</v>
      </c>
      <c r="G12" s="286" t="s">
        <v>53</v>
      </c>
      <c r="H12" s="286" t="s">
        <v>53</v>
      </c>
      <c r="I12" s="286" t="s">
        <v>1109</v>
      </c>
      <c r="J12" s="286" t="s">
        <v>53</v>
      </c>
      <c r="K12" s="286" t="s">
        <v>53</v>
      </c>
      <c r="L12" s="286" t="s">
        <v>53</v>
      </c>
      <c r="M12" s="286" t="s">
        <v>53</v>
      </c>
      <c r="N12" s="287">
        <v>6500</v>
      </c>
      <c r="O12" s="305">
        <f t="shared" si="0"/>
        <v>44620</v>
      </c>
    </row>
    <row r="13" spans="1:16" hidden="1" x14ac:dyDescent="0.15">
      <c r="A13" s="286">
        <v>859</v>
      </c>
      <c r="B13" s="288">
        <v>44616.727777777778</v>
      </c>
      <c r="C13" s="286" t="s">
        <v>1119</v>
      </c>
      <c r="D13" s="286" t="s">
        <v>1105</v>
      </c>
      <c r="E13" s="286" t="s">
        <v>1106</v>
      </c>
      <c r="F13" s="286" t="s">
        <v>1120</v>
      </c>
      <c r="G13" s="286" t="s">
        <v>53</v>
      </c>
      <c r="H13" s="286" t="s">
        <v>53</v>
      </c>
      <c r="I13" s="286" t="s">
        <v>1112</v>
      </c>
      <c r="J13" s="286" t="s">
        <v>53</v>
      </c>
      <c r="K13" s="286" t="s">
        <v>53</v>
      </c>
      <c r="L13" s="286" t="s">
        <v>53</v>
      </c>
      <c r="M13" s="286" t="s">
        <v>53</v>
      </c>
      <c r="N13" s="287">
        <v>8450</v>
      </c>
      <c r="O13" s="305">
        <f t="shared" si="0"/>
        <v>44620</v>
      </c>
      <c r="P13" s="286" t="s">
        <v>175</v>
      </c>
    </row>
    <row r="14" spans="1:16" hidden="1" x14ac:dyDescent="0.15">
      <c r="A14" s="286">
        <v>859</v>
      </c>
      <c r="B14" s="288">
        <v>44616.727777777778</v>
      </c>
      <c r="C14" s="286" t="s">
        <v>1119</v>
      </c>
      <c r="D14" s="286" t="s">
        <v>1105</v>
      </c>
      <c r="E14" s="286" t="s">
        <v>1106</v>
      </c>
      <c r="F14" s="286" t="s">
        <v>1120</v>
      </c>
      <c r="G14" s="286" t="s">
        <v>53</v>
      </c>
      <c r="H14" s="286" t="s">
        <v>53</v>
      </c>
      <c r="I14" s="286" t="s">
        <v>1109</v>
      </c>
      <c r="J14" s="286" t="s">
        <v>53</v>
      </c>
      <c r="K14" s="286" t="s">
        <v>53</v>
      </c>
      <c r="L14" s="286" t="s">
        <v>53</v>
      </c>
      <c r="M14" s="286" t="s">
        <v>53</v>
      </c>
      <c r="N14" s="287">
        <v>27.77</v>
      </c>
      <c r="O14" s="305">
        <f t="shared" si="0"/>
        <v>44620</v>
      </c>
    </row>
    <row r="15" spans="1:16" hidden="1" x14ac:dyDescent="0.15">
      <c r="A15" s="286">
        <v>859</v>
      </c>
      <c r="B15" s="288">
        <v>44616.727777777778</v>
      </c>
      <c r="C15" s="286" t="s">
        <v>1119</v>
      </c>
      <c r="D15" s="286" t="s">
        <v>1105</v>
      </c>
      <c r="E15" s="286" t="s">
        <v>1106</v>
      </c>
      <c r="F15" s="286" t="s">
        <v>1120</v>
      </c>
      <c r="G15" s="286" t="s">
        <v>53</v>
      </c>
      <c r="H15" s="286" t="s">
        <v>53</v>
      </c>
      <c r="I15" s="286" t="s">
        <v>1121</v>
      </c>
      <c r="J15" s="286" t="s">
        <v>53</v>
      </c>
      <c r="K15" s="286" t="s">
        <v>53</v>
      </c>
      <c r="L15" s="286" t="s">
        <v>53</v>
      </c>
      <c r="M15" s="286" t="s">
        <v>53</v>
      </c>
      <c r="N15" s="287">
        <v>-505.6</v>
      </c>
      <c r="O15" s="305">
        <f t="shared" si="0"/>
        <v>44620</v>
      </c>
      <c r="P15" s="286" t="s">
        <v>248</v>
      </c>
    </row>
    <row r="16" spans="1:16" hidden="1" x14ac:dyDescent="0.15">
      <c r="A16" s="286">
        <v>860</v>
      </c>
      <c r="B16" s="288">
        <v>44616.727777777778</v>
      </c>
      <c r="C16" s="286" t="s">
        <v>1122</v>
      </c>
      <c r="D16" s="286" t="s">
        <v>1105</v>
      </c>
      <c r="E16" s="286" t="s">
        <v>1106</v>
      </c>
      <c r="F16" s="286" t="s">
        <v>1123</v>
      </c>
      <c r="G16" s="286" t="s">
        <v>53</v>
      </c>
      <c r="H16" s="286" t="s">
        <v>53</v>
      </c>
      <c r="I16" s="286" t="s">
        <v>1108</v>
      </c>
      <c r="J16" s="286" t="s">
        <v>53</v>
      </c>
      <c r="K16" s="286" t="s">
        <v>53</v>
      </c>
      <c r="L16" s="286" t="s">
        <v>53</v>
      </c>
      <c r="M16" s="286" t="s">
        <v>53</v>
      </c>
      <c r="N16" s="287">
        <v>60887.41</v>
      </c>
      <c r="O16" s="305">
        <f t="shared" si="0"/>
        <v>44620</v>
      </c>
      <c r="P16" s="286" t="s">
        <v>37</v>
      </c>
    </row>
    <row r="17" spans="1:16" hidden="1" x14ac:dyDescent="0.15">
      <c r="A17" s="286">
        <v>860</v>
      </c>
      <c r="B17" s="288">
        <v>44616.727777777778</v>
      </c>
      <c r="C17" s="286" t="s">
        <v>1122</v>
      </c>
      <c r="D17" s="286" t="s">
        <v>1105</v>
      </c>
      <c r="E17" s="286" t="s">
        <v>1106</v>
      </c>
      <c r="F17" s="286" t="s">
        <v>1123</v>
      </c>
      <c r="G17" s="286" t="s">
        <v>53</v>
      </c>
      <c r="H17" s="286" t="s">
        <v>53</v>
      </c>
      <c r="I17" s="286" t="s">
        <v>1112</v>
      </c>
      <c r="J17" s="286" t="s">
        <v>53</v>
      </c>
      <c r="K17" s="286" t="s">
        <v>53</v>
      </c>
      <c r="L17" s="286" t="s">
        <v>53</v>
      </c>
      <c r="M17" s="286" t="s">
        <v>53</v>
      </c>
      <c r="N17" s="287">
        <v>7450</v>
      </c>
      <c r="O17" s="305">
        <f t="shared" si="0"/>
        <v>44620</v>
      </c>
      <c r="P17" s="286" t="s">
        <v>175</v>
      </c>
    </row>
    <row r="18" spans="1:16" hidden="1" x14ac:dyDescent="0.15">
      <c r="A18" s="286">
        <v>861</v>
      </c>
      <c r="B18" s="288">
        <v>44616.727777777778</v>
      </c>
      <c r="C18" s="286" t="s">
        <v>1124</v>
      </c>
      <c r="D18" s="286" t="s">
        <v>1105</v>
      </c>
      <c r="E18" s="286" t="s">
        <v>1106</v>
      </c>
      <c r="F18" s="286" t="s">
        <v>1125</v>
      </c>
      <c r="G18" s="286" t="s">
        <v>53</v>
      </c>
      <c r="H18" s="286" t="s">
        <v>53</v>
      </c>
      <c r="I18" s="286" t="s">
        <v>1109</v>
      </c>
      <c r="J18" s="286" t="s">
        <v>53</v>
      </c>
      <c r="K18" s="286" t="s">
        <v>53</v>
      </c>
      <c r="L18" s="286" t="s">
        <v>53</v>
      </c>
      <c r="M18" s="286" t="s">
        <v>53</v>
      </c>
      <c r="N18" s="287">
        <v>9999.99</v>
      </c>
      <c r="O18" s="305">
        <f t="shared" si="0"/>
        <v>44620</v>
      </c>
    </row>
    <row r="19" spans="1:16" hidden="1" x14ac:dyDescent="0.15">
      <c r="A19" s="286">
        <v>861</v>
      </c>
      <c r="B19" s="288">
        <v>44616.727777777778</v>
      </c>
      <c r="C19" s="286" t="s">
        <v>1124</v>
      </c>
      <c r="D19" s="286" t="s">
        <v>1105</v>
      </c>
      <c r="E19" s="286" t="s">
        <v>1106</v>
      </c>
      <c r="F19" s="286" t="s">
        <v>1125</v>
      </c>
      <c r="G19" s="286" t="s">
        <v>53</v>
      </c>
      <c r="H19" s="286" t="s">
        <v>53</v>
      </c>
      <c r="I19" s="286" t="s">
        <v>1112</v>
      </c>
      <c r="J19" s="286" t="s">
        <v>53</v>
      </c>
      <c r="K19" s="286" t="s">
        <v>53</v>
      </c>
      <c r="L19" s="286" t="s">
        <v>53</v>
      </c>
      <c r="M19" s="286" t="s">
        <v>53</v>
      </c>
      <c r="N19" s="287">
        <v>4500</v>
      </c>
      <c r="O19" s="305">
        <f t="shared" si="0"/>
        <v>44620</v>
      </c>
      <c r="P19" s="286" t="s">
        <v>175</v>
      </c>
    </row>
    <row r="20" spans="1:16" hidden="1" x14ac:dyDescent="0.15">
      <c r="A20" s="286">
        <v>861</v>
      </c>
      <c r="B20" s="288">
        <v>44616.727777777778</v>
      </c>
      <c r="C20" s="286" t="s">
        <v>1124</v>
      </c>
      <c r="D20" s="286" t="s">
        <v>1105</v>
      </c>
      <c r="E20" s="286" t="s">
        <v>1106</v>
      </c>
      <c r="F20" s="286" t="s">
        <v>1125</v>
      </c>
      <c r="G20" s="286" t="s">
        <v>53</v>
      </c>
      <c r="H20" s="286" t="s">
        <v>53</v>
      </c>
      <c r="I20" s="286" t="s">
        <v>1121</v>
      </c>
      <c r="J20" s="286" t="s">
        <v>53</v>
      </c>
      <c r="K20" s="286" t="s">
        <v>53</v>
      </c>
      <c r="L20" s="286" t="s">
        <v>53</v>
      </c>
      <c r="M20" s="286" t="s">
        <v>53</v>
      </c>
      <c r="N20" s="287">
        <v>505.6</v>
      </c>
      <c r="O20" s="305">
        <f t="shared" si="0"/>
        <v>44620</v>
      </c>
      <c r="P20" s="286" t="s">
        <v>248</v>
      </c>
    </row>
    <row r="21" spans="1:16" hidden="1" x14ac:dyDescent="0.15">
      <c r="A21" s="286">
        <v>862</v>
      </c>
      <c r="B21" s="288">
        <v>44616.727777777778</v>
      </c>
      <c r="C21" s="286" t="s">
        <v>1126</v>
      </c>
      <c r="D21" s="286" t="s">
        <v>1105</v>
      </c>
      <c r="E21" s="286" t="s">
        <v>1106</v>
      </c>
      <c r="F21" s="286" t="s">
        <v>1127</v>
      </c>
      <c r="G21" s="286" t="s">
        <v>53</v>
      </c>
      <c r="H21" s="286" t="s">
        <v>53</v>
      </c>
      <c r="I21" s="286" t="s">
        <v>1128</v>
      </c>
      <c r="J21" s="286" t="s">
        <v>53</v>
      </c>
      <c r="K21" s="286" t="s">
        <v>53</v>
      </c>
      <c r="L21" s="286" t="s">
        <v>53</v>
      </c>
      <c r="M21" s="286" t="s">
        <v>53</v>
      </c>
      <c r="N21" s="287">
        <v>61050</v>
      </c>
      <c r="O21" s="305">
        <f t="shared" si="0"/>
        <v>44620</v>
      </c>
      <c r="P21" s="286" t="s">
        <v>47</v>
      </c>
    </row>
    <row r="22" spans="1:16" hidden="1" x14ac:dyDescent="0.15">
      <c r="A22" s="286">
        <v>862</v>
      </c>
      <c r="B22" s="288">
        <v>44616.727777777778</v>
      </c>
      <c r="C22" s="286" t="s">
        <v>1126</v>
      </c>
      <c r="D22" s="286" t="s">
        <v>1105</v>
      </c>
      <c r="E22" s="286" t="s">
        <v>1106</v>
      </c>
      <c r="F22" s="286" t="s">
        <v>1127</v>
      </c>
      <c r="G22" s="286" t="s">
        <v>53</v>
      </c>
      <c r="H22" s="286" t="s">
        <v>53</v>
      </c>
      <c r="I22" s="286" t="s">
        <v>1109</v>
      </c>
      <c r="J22" s="286" t="s">
        <v>53</v>
      </c>
      <c r="K22" s="286" t="s">
        <v>53</v>
      </c>
      <c r="L22" s="286" t="s">
        <v>53</v>
      </c>
      <c r="M22" s="286" t="s">
        <v>53</v>
      </c>
      <c r="N22" s="287">
        <v>53984.15</v>
      </c>
      <c r="O22" s="305">
        <f t="shared" si="0"/>
        <v>44620</v>
      </c>
    </row>
    <row r="23" spans="1:16" hidden="1" x14ac:dyDescent="0.15">
      <c r="A23" s="286">
        <v>862</v>
      </c>
      <c r="B23" s="288">
        <v>44616.727777777778</v>
      </c>
      <c r="C23" s="286" t="s">
        <v>1126</v>
      </c>
      <c r="D23" s="286" t="s">
        <v>1105</v>
      </c>
      <c r="E23" s="286" t="s">
        <v>1106</v>
      </c>
      <c r="F23" s="286" t="s">
        <v>1127</v>
      </c>
      <c r="G23" s="286" t="s">
        <v>53</v>
      </c>
      <c r="H23" s="286" t="s">
        <v>53</v>
      </c>
      <c r="I23" s="286" t="s">
        <v>1108</v>
      </c>
      <c r="J23" s="286" t="s">
        <v>53</v>
      </c>
      <c r="K23" s="286" t="s">
        <v>53</v>
      </c>
      <c r="L23" s="286" t="s">
        <v>53</v>
      </c>
      <c r="M23" s="286" t="s">
        <v>53</v>
      </c>
      <c r="N23" s="287">
        <v>44112.86</v>
      </c>
      <c r="O23" s="305">
        <f t="shared" si="0"/>
        <v>44620</v>
      </c>
      <c r="P23" s="286" t="s">
        <v>37</v>
      </c>
    </row>
    <row r="24" spans="1:16" hidden="1" x14ac:dyDescent="0.15">
      <c r="A24" s="286">
        <v>862</v>
      </c>
      <c r="B24" s="288">
        <v>44616.727777777778</v>
      </c>
      <c r="C24" s="286" t="s">
        <v>1126</v>
      </c>
      <c r="D24" s="286" t="s">
        <v>1105</v>
      </c>
      <c r="E24" s="286" t="s">
        <v>1106</v>
      </c>
      <c r="F24" s="286" t="s">
        <v>1127</v>
      </c>
      <c r="G24" s="286" t="s">
        <v>53</v>
      </c>
      <c r="H24" s="286" t="s">
        <v>53</v>
      </c>
      <c r="I24" s="286" t="s">
        <v>1129</v>
      </c>
      <c r="J24" s="286" t="s">
        <v>53</v>
      </c>
      <c r="K24" s="286" t="s">
        <v>53</v>
      </c>
      <c r="L24" s="286" t="s">
        <v>53</v>
      </c>
      <c r="M24" s="286" t="s">
        <v>53</v>
      </c>
      <c r="N24" s="287">
        <v>4132.04</v>
      </c>
      <c r="O24" s="305">
        <f t="shared" si="0"/>
        <v>44620</v>
      </c>
      <c r="P24" s="286" t="s">
        <v>164</v>
      </c>
    </row>
    <row r="25" spans="1:16" hidden="1" x14ac:dyDescent="0.15">
      <c r="A25" s="286">
        <v>863</v>
      </c>
      <c r="B25" s="288">
        <v>44616.727777777778</v>
      </c>
      <c r="C25" s="286" t="s">
        <v>1130</v>
      </c>
      <c r="D25" s="286" t="s">
        <v>1105</v>
      </c>
      <c r="E25" s="286" t="s">
        <v>1106</v>
      </c>
      <c r="F25" s="286" t="s">
        <v>1131</v>
      </c>
      <c r="G25" s="286" t="s">
        <v>53</v>
      </c>
      <c r="H25" s="286" t="s">
        <v>53</v>
      </c>
      <c r="I25" s="286" t="s">
        <v>1109</v>
      </c>
      <c r="J25" s="286" t="s">
        <v>53</v>
      </c>
      <c r="K25" s="286" t="s">
        <v>53</v>
      </c>
      <c r="L25" s="286" t="s">
        <v>53</v>
      </c>
      <c r="M25" s="286" t="s">
        <v>53</v>
      </c>
      <c r="N25" s="287">
        <v>34334.65</v>
      </c>
      <c r="O25" s="305">
        <f t="shared" si="0"/>
        <v>44620</v>
      </c>
    </row>
    <row r="26" spans="1:16" hidden="1" x14ac:dyDescent="0.15">
      <c r="A26" s="286">
        <v>863</v>
      </c>
      <c r="B26" s="288">
        <v>44616.727777777778</v>
      </c>
      <c r="C26" s="286" t="s">
        <v>1130</v>
      </c>
      <c r="D26" s="286" t="s">
        <v>1105</v>
      </c>
      <c r="E26" s="286" t="s">
        <v>1106</v>
      </c>
      <c r="F26" s="286" t="s">
        <v>1131</v>
      </c>
      <c r="G26" s="286" t="s">
        <v>53</v>
      </c>
      <c r="H26" s="286" t="s">
        <v>53</v>
      </c>
      <c r="I26" s="286" t="s">
        <v>1129</v>
      </c>
      <c r="J26" s="286" t="s">
        <v>53</v>
      </c>
      <c r="K26" s="286" t="s">
        <v>53</v>
      </c>
      <c r="L26" s="286" t="s">
        <v>53</v>
      </c>
      <c r="M26" s="286" t="s">
        <v>53</v>
      </c>
      <c r="N26" s="287">
        <v>15386.24</v>
      </c>
      <c r="O26" s="305">
        <f t="shared" si="0"/>
        <v>44620</v>
      </c>
      <c r="P26" s="286" t="s">
        <v>164</v>
      </c>
    </row>
    <row r="27" spans="1:16" hidden="1" x14ac:dyDescent="0.15">
      <c r="A27" s="286">
        <v>863</v>
      </c>
      <c r="B27" s="288">
        <v>44616.727777777778</v>
      </c>
      <c r="C27" s="286" t="s">
        <v>1130</v>
      </c>
      <c r="D27" s="286" t="s">
        <v>1105</v>
      </c>
      <c r="E27" s="286" t="s">
        <v>1106</v>
      </c>
      <c r="F27" s="286" t="s">
        <v>1131</v>
      </c>
      <c r="G27" s="286" t="s">
        <v>53</v>
      </c>
      <c r="H27" s="286" t="s">
        <v>53</v>
      </c>
      <c r="I27" s="286" t="s">
        <v>1112</v>
      </c>
      <c r="J27" s="286" t="s">
        <v>53</v>
      </c>
      <c r="K27" s="286" t="s">
        <v>53</v>
      </c>
      <c r="L27" s="286" t="s">
        <v>53</v>
      </c>
      <c r="M27" s="286" t="s">
        <v>53</v>
      </c>
      <c r="N27" s="287">
        <v>7000</v>
      </c>
      <c r="O27" s="305">
        <f t="shared" si="0"/>
        <v>44620</v>
      </c>
      <c r="P27" s="286" t="s">
        <v>175</v>
      </c>
    </row>
    <row r="28" spans="1:16" hidden="1" x14ac:dyDescent="0.15">
      <c r="A28" s="286">
        <v>864</v>
      </c>
      <c r="B28" s="288">
        <v>44616.727777777778</v>
      </c>
      <c r="C28" s="286" t="s">
        <v>1132</v>
      </c>
      <c r="D28" s="286" t="s">
        <v>1105</v>
      </c>
      <c r="E28" s="286" t="s">
        <v>1106</v>
      </c>
      <c r="F28" s="286" t="s">
        <v>1133</v>
      </c>
      <c r="G28" s="286" t="s">
        <v>53</v>
      </c>
      <c r="H28" s="286" t="s">
        <v>53</v>
      </c>
      <c r="I28" s="286" t="s">
        <v>1108</v>
      </c>
      <c r="J28" s="286" t="s">
        <v>53</v>
      </c>
      <c r="K28" s="286" t="s">
        <v>53</v>
      </c>
      <c r="L28" s="286" t="s">
        <v>53</v>
      </c>
      <c r="M28" s="286" t="s">
        <v>53</v>
      </c>
      <c r="N28" s="287">
        <v>28611.61</v>
      </c>
      <c r="O28" s="305">
        <f t="shared" si="0"/>
        <v>44620</v>
      </c>
      <c r="P28" s="286" t="s">
        <v>37</v>
      </c>
    </row>
    <row r="29" spans="1:16" hidden="1" x14ac:dyDescent="0.15">
      <c r="A29" s="286">
        <v>864</v>
      </c>
      <c r="B29" s="288">
        <v>44616.727777777778</v>
      </c>
      <c r="C29" s="286" t="s">
        <v>1132</v>
      </c>
      <c r="D29" s="286" t="s">
        <v>1105</v>
      </c>
      <c r="E29" s="286" t="s">
        <v>1106</v>
      </c>
      <c r="F29" s="286" t="s">
        <v>1133</v>
      </c>
      <c r="G29" s="286" t="s">
        <v>53</v>
      </c>
      <c r="H29" s="286" t="s">
        <v>53</v>
      </c>
      <c r="I29" s="286" t="s">
        <v>1112</v>
      </c>
      <c r="J29" s="286" t="s">
        <v>53</v>
      </c>
      <c r="K29" s="286" t="s">
        <v>53</v>
      </c>
      <c r="L29" s="286" t="s">
        <v>53</v>
      </c>
      <c r="M29" s="286" t="s">
        <v>53</v>
      </c>
      <c r="N29" s="287">
        <v>8500</v>
      </c>
      <c r="O29" s="305">
        <f t="shared" si="0"/>
        <v>44620</v>
      </c>
      <c r="P29" s="286" t="s">
        <v>175</v>
      </c>
    </row>
    <row r="30" spans="1:16" hidden="1" x14ac:dyDescent="0.15">
      <c r="A30" s="286">
        <v>864</v>
      </c>
      <c r="B30" s="288">
        <v>44616.727777777778</v>
      </c>
      <c r="C30" s="286" t="s">
        <v>1132</v>
      </c>
      <c r="D30" s="286" t="s">
        <v>1105</v>
      </c>
      <c r="E30" s="286" t="s">
        <v>1106</v>
      </c>
      <c r="F30" s="286" t="s">
        <v>1133</v>
      </c>
      <c r="G30" s="286" t="s">
        <v>53</v>
      </c>
      <c r="H30" s="286" t="s">
        <v>53</v>
      </c>
      <c r="I30" s="286" t="s">
        <v>1129</v>
      </c>
      <c r="J30" s="286" t="s">
        <v>53</v>
      </c>
      <c r="K30" s="286" t="s">
        <v>53</v>
      </c>
      <c r="L30" s="286" t="s">
        <v>53</v>
      </c>
      <c r="M30" s="286" t="s">
        <v>53</v>
      </c>
      <c r="N30" s="287">
        <v>2787.94</v>
      </c>
      <c r="O30" s="305">
        <f t="shared" si="0"/>
        <v>44620</v>
      </c>
      <c r="P30" s="286" t="s">
        <v>164</v>
      </c>
    </row>
    <row r="31" spans="1:16" hidden="1" x14ac:dyDescent="0.15">
      <c r="A31" s="286">
        <v>864</v>
      </c>
      <c r="B31" s="288">
        <v>44616.727777777778</v>
      </c>
      <c r="C31" s="286" t="s">
        <v>1132</v>
      </c>
      <c r="D31" s="286" t="s">
        <v>1105</v>
      </c>
      <c r="E31" s="286" t="s">
        <v>1106</v>
      </c>
      <c r="F31" s="286" t="s">
        <v>1133</v>
      </c>
      <c r="G31" s="286" t="s">
        <v>53</v>
      </c>
      <c r="H31" s="286" t="s">
        <v>53</v>
      </c>
      <c r="I31" s="286" t="s">
        <v>1109</v>
      </c>
      <c r="J31" s="286" t="s">
        <v>53</v>
      </c>
      <c r="K31" s="286" t="s">
        <v>53</v>
      </c>
      <c r="L31" s="286" t="s">
        <v>53</v>
      </c>
      <c r="M31" s="286" t="s">
        <v>53</v>
      </c>
      <c r="N31" s="287">
        <v>2715</v>
      </c>
      <c r="O31" s="305">
        <f t="shared" si="0"/>
        <v>44620</v>
      </c>
    </row>
    <row r="32" spans="1:16" hidden="1" x14ac:dyDescent="0.15">
      <c r="A32" s="286">
        <v>865</v>
      </c>
      <c r="B32" s="288">
        <v>44616.727777777778</v>
      </c>
      <c r="C32" s="286" t="s">
        <v>1134</v>
      </c>
      <c r="D32" s="286" t="s">
        <v>1105</v>
      </c>
      <c r="E32" s="286" t="s">
        <v>1106</v>
      </c>
      <c r="F32" s="286" t="s">
        <v>1135</v>
      </c>
      <c r="G32" s="286" t="s">
        <v>53</v>
      </c>
      <c r="H32" s="286" t="s">
        <v>53</v>
      </c>
      <c r="I32" s="286" t="s">
        <v>1109</v>
      </c>
      <c r="J32" s="286" t="s">
        <v>53</v>
      </c>
      <c r="K32" s="286" t="s">
        <v>53</v>
      </c>
      <c r="L32" s="286" t="s">
        <v>53</v>
      </c>
      <c r="M32" s="286" t="s">
        <v>53</v>
      </c>
      <c r="N32" s="287">
        <v>100322.23</v>
      </c>
      <c r="O32" s="305">
        <f t="shared" si="0"/>
        <v>44620</v>
      </c>
    </row>
    <row r="33" spans="1:16" hidden="1" x14ac:dyDescent="0.15">
      <c r="A33" s="286">
        <v>865</v>
      </c>
      <c r="B33" s="288">
        <v>44616.727777777778</v>
      </c>
      <c r="C33" s="286" t="s">
        <v>1134</v>
      </c>
      <c r="D33" s="286" t="s">
        <v>1105</v>
      </c>
      <c r="E33" s="286" t="s">
        <v>1106</v>
      </c>
      <c r="F33" s="286" t="s">
        <v>1135</v>
      </c>
      <c r="G33" s="286" t="s">
        <v>53</v>
      </c>
      <c r="H33" s="286" t="s">
        <v>53</v>
      </c>
      <c r="I33" s="286" t="s">
        <v>1108</v>
      </c>
      <c r="J33" s="286" t="s">
        <v>53</v>
      </c>
      <c r="K33" s="286" t="s">
        <v>53</v>
      </c>
      <c r="L33" s="286" t="s">
        <v>53</v>
      </c>
      <c r="M33" s="286" t="s">
        <v>53</v>
      </c>
      <c r="N33" s="287">
        <v>66810.210000000006</v>
      </c>
      <c r="O33" s="305">
        <f t="shared" si="0"/>
        <v>44620</v>
      </c>
      <c r="P33" s="286" t="s">
        <v>37</v>
      </c>
    </row>
    <row r="34" spans="1:16" hidden="1" x14ac:dyDescent="0.15">
      <c r="A34" s="286">
        <v>865</v>
      </c>
      <c r="B34" s="288">
        <v>44616.727777777778</v>
      </c>
      <c r="C34" s="286" t="s">
        <v>1134</v>
      </c>
      <c r="D34" s="286" t="s">
        <v>1105</v>
      </c>
      <c r="E34" s="286" t="s">
        <v>1106</v>
      </c>
      <c r="F34" s="286" t="s">
        <v>1135</v>
      </c>
      <c r="G34" s="286" t="s">
        <v>53</v>
      </c>
      <c r="H34" s="286" t="s">
        <v>53</v>
      </c>
      <c r="I34" s="286" t="s">
        <v>1112</v>
      </c>
      <c r="J34" s="286" t="s">
        <v>53</v>
      </c>
      <c r="K34" s="286" t="s">
        <v>53</v>
      </c>
      <c r="L34" s="286" t="s">
        <v>53</v>
      </c>
      <c r="M34" s="286" t="s">
        <v>53</v>
      </c>
      <c r="N34" s="287">
        <v>10389.66</v>
      </c>
      <c r="O34" s="305">
        <f t="shared" si="0"/>
        <v>44620</v>
      </c>
      <c r="P34" s="286" t="s">
        <v>175</v>
      </c>
    </row>
    <row r="35" spans="1:16" hidden="1" x14ac:dyDescent="0.15">
      <c r="A35" s="286">
        <v>865</v>
      </c>
      <c r="B35" s="288">
        <v>44616.727777777778</v>
      </c>
      <c r="C35" s="286" t="s">
        <v>1134</v>
      </c>
      <c r="D35" s="286" t="s">
        <v>1105</v>
      </c>
      <c r="E35" s="286" t="s">
        <v>1106</v>
      </c>
      <c r="F35" s="286" t="s">
        <v>1135</v>
      </c>
      <c r="G35" s="286" t="s">
        <v>53</v>
      </c>
      <c r="H35" s="286" t="s">
        <v>53</v>
      </c>
      <c r="I35" s="286" t="s">
        <v>1128</v>
      </c>
      <c r="J35" s="286" t="s">
        <v>53</v>
      </c>
      <c r="K35" s="286" t="s">
        <v>53</v>
      </c>
      <c r="L35" s="286" t="s">
        <v>53</v>
      </c>
      <c r="M35" s="286" t="s">
        <v>53</v>
      </c>
      <c r="N35" s="287">
        <v>10004.26</v>
      </c>
      <c r="O35" s="305">
        <f t="shared" si="0"/>
        <v>44620</v>
      </c>
      <c r="P35" s="286" t="s">
        <v>47</v>
      </c>
    </row>
    <row r="36" spans="1:16" hidden="1" x14ac:dyDescent="0.15">
      <c r="A36" s="286">
        <v>865</v>
      </c>
      <c r="B36" s="288">
        <v>44616.727777777778</v>
      </c>
      <c r="C36" s="286" t="s">
        <v>1134</v>
      </c>
      <c r="D36" s="286" t="s">
        <v>1105</v>
      </c>
      <c r="E36" s="286" t="s">
        <v>1106</v>
      </c>
      <c r="F36" s="286" t="s">
        <v>1135</v>
      </c>
      <c r="G36" s="286" t="s">
        <v>53</v>
      </c>
      <c r="H36" s="286" t="s">
        <v>53</v>
      </c>
      <c r="I36" s="286" t="s">
        <v>1129</v>
      </c>
      <c r="J36" s="286" t="s">
        <v>53</v>
      </c>
      <c r="K36" s="286" t="s">
        <v>53</v>
      </c>
      <c r="L36" s="286" t="s">
        <v>53</v>
      </c>
      <c r="M36" s="286" t="s">
        <v>53</v>
      </c>
      <c r="N36" s="287">
        <v>6839.25</v>
      </c>
      <c r="O36" s="305">
        <f t="shared" si="0"/>
        <v>44620</v>
      </c>
      <c r="P36" s="286" t="s">
        <v>164</v>
      </c>
    </row>
    <row r="37" spans="1:16" hidden="1" x14ac:dyDescent="0.15">
      <c r="A37" s="286">
        <v>866</v>
      </c>
      <c r="B37" s="288">
        <v>44616.728472222225</v>
      </c>
      <c r="C37" s="286" t="s">
        <v>1136</v>
      </c>
      <c r="D37" s="286" t="s">
        <v>1105</v>
      </c>
      <c r="E37" s="286" t="s">
        <v>1106</v>
      </c>
      <c r="F37" s="286" t="s">
        <v>1137</v>
      </c>
      <c r="G37" s="286" t="s">
        <v>53</v>
      </c>
      <c r="H37" s="286" t="s">
        <v>53</v>
      </c>
      <c r="I37" s="286" t="s">
        <v>1128</v>
      </c>
      <c r="J37" s="286" t="s">
        <v>53</v>
      </c>
      <c r="K37" s="286" t="s">
        <v>53</v>
      </c>
      <c r="L37" s="286" t="s">
        <v>53</v>
      </c>
      <c r="M37" s="286" t="s">
        <v>53</v>
      </c>
      <c r="N37" s="287">
        <v>31295</v>
      </c>
      <c r="O37" s="305">
        <f t="shared" si="0"/>
        <v>44620</v>
      </c>
      <c r="P37" s="286" t="s">
        <v>47</v>
      </c>
    </row>
    <row r="38" spans="1:16" hidden="1" x14ac:dyDescent="0.15">
      <c r="A38" s="286">
        <v>866</v>
      </c>
      <c r="B38" s="288">
        <v>44616.728472222225</v>
      </c>
      <c r="C38" s="286" t="s">
        <v>1136</v>
      </c>
      <c r="D38" s="286" t="s">
        <v>1105</v>
      </c>
      <c r="E38" s="286" t="s">
        <v>1106</v>
      </c>
      <c r="F38" s="286" t="s">
        <v>1137</v>
      </c>
      <c r="G38" s="286" t="s">
        <v>53</v>
      </c>
      <c r="H38" s="286" t="s">
        <v>53</v>
      </c>
      <c r="I38" s="286" t="s">
        <v>1108</v>
      </c>
      <c r="J38" s="286" t="s">
        <v>53</v>
      </c>
      <c r="K38" s="286" t="s">
        <v>53</v>
      </c>
      <c r="L38" s="286" t="s">
        <v>53</v>
      </c>
      <c r="M38" s="286" t="s">
        <v>53</v>
      </c>
      <c r="N38" s="287">
        <v>20801.48</v>
      </c>
      <c r="O38" s="305">
        <f t="shared" si="0"/>
        <v>44620</v>
      </c>
      <c r="P38" s="286" t="s">
        <v>37</v>
      </c>
    </row>
    <row r="39" spans="1:16" hidden="1" x14ac:dyDescent="0.15">
      <c r="A39" s="286">
        <v>866</v>
      </c>
      <c r="B39" s="288">
        <v>44616.728472222225</v>
      </c>
      <c r="C39" s="286" t="s">
        <v>1136</v>
      </c>
      <c r="D39" s="286" t="s">
        <v>1105</v>
      </c>
      <c r="E39" s="286" t="s">
        <v>1106</v>
      </c>
      <c r="F39" s="286" t="s">
        <v>1137</v>
      </c>
      <c r="G39" s="286" t="s">
        <v>53</v>
      </c>
      <c r="H39" s="286" t="s">
        <v>53</v>
      </c>
      <c r="I39" s="286" t="s">
        <v>1129</v>
      </c>
      <c r="J39" s="286" t="s">
        <v>53</v>
      </c>
      <c r="K39" s="286" t="s">
        <v>53</v>
      </c>
      <c r="L39" s="286" t="s">
        <v>53</v>
      </c>
      <c r="M39" s="286" t="s">
        <v>53</v>
      </c>
      <c r="N39" s="287">
        <v>16766.82</v>
      </c>
      <c r="O39" s="305">
        <f t="shared" si="0"/>
        <v>44620</v>
      </c>
      <c r="P39" s="286" t="s">
        <v>164</v>
      </c>
    </row>
    <row r="40" spans="1:16" hidden="1" x14ac:dyDescent="0.15">
      <c r="A40" s="286">
        <v>866</v>
      </c>
      <c r="B40" s="288">
        <v>44616.728472222225</v>
      </c>
      <c r="C40" s="286" t="s">
        <v>1136</v>
      </c>
      <c r="D40" s="286" t="s">
        <v>1105</v>
      </c>
      <c r="E40" s="286" t="s">
        <v>1106</v>
      </c>
      <c r="F40" s="286" t="s">
        <v>1137</v>
      </c>
      <c r="G40" s="286" t="s">
        <v>53</v>
      </c>
      <c r="H40" s="286" t="s">
        <v>53</v>
      </c>
      <c r="I40" s="286" t="s">
        <v>1109</v>
      </c>
      <c r="J40" s="286" t="s">
        <v>53</v>
      </c>
      <c r="K40" s="286" t="s">
        <v>53</v>
      </c>
      <c r="L40" s="286" t="s">
        <v>53</v>
      </c>
      <c r="M40" s="286" t="s">
        <v>53</v>
      </c>
      <c r="N40" s="287">
        <v>15061.67</v>
      </c>
      <c r="O40" s="305">
        <f t="shared" si="0"/>
        <v>44620</v>
      </c>
    </row>
    <row r="41" spans="1:16" hidden="1" x14ac:dyDescent="0.15">
      <c r="A41" s="286">
        <v>867</v>
      </c>
      <c r="B41" s="288">
        <v>44616.728472222225</v>
      </c>
      <c r="C41" s="286" t="s">
        <v>1138</v>
      </c>
      <c r="D41" s="286" t="s">
        <v>1105</v>
      </c>
      <c r="E41" s="286" t="s">
        <v>1106</v>
      </c>
      <c r="F41" s="286" t="s">
        <v>1139</v>
      </c>
      <c r="G41" s="286" t="s">
        <v>53</v>
      </c>
      <c r="H41" s="286" t="s">
        <v>53</v>
      </c>
      <c r="I41" s="286" t="s">
        <v>1109</v>
      </c>
      <c r="J41" s="286" t="s">
        <v>53</v>
      </c>
      <c r="K41" s="286" t="s">
        <v>53</v>
      </c>
      <c r="L41" s="286" t="s">
        <v>53</v>
      </c>
      <c r="M41" s="286" t="s">
        <v>53</v>
      </c>
      <c r="N41" s="287">
        <v>31273.48</v>
      </c>
      <c r="O41" s="305">
        <f t="shared" si="0"/>
        <v>44620</v>
      </c>
    </row>
    <row r="42" spans="1:16" hidden="1" x14ac:dyDescent="0.15">
      <c r="A42" s="286">
        <v>867</v>
      </c>
      <c r="B42" s="288">
        <v>44616.728472222225</v>
      </c>
      <c r="C42" s="286" t="s">
        <v>1138</v>
      </c>
      <c r="D42" s="286" t="s">
        <v>1105</v>
      </c>
      <c r="E42" s="286" t="s">
        <v>1106</v>
      </c>
      <c r="F42" s="286" t="s">
        <v>1139</v>
      </c>
      <c r="G42" s="286" t="s">
        <v>53</v>
      </c>
      <c r="H42" s="286" t="s">
        <v>53</v>
      </c>
      <c r="I42" s="286" t="s">
        <v>1112</v>
      </c>
      <c r="J42" s="286" t="s">
        <v>53</v>
      </c>
      <c r="K42" s="286" t="s">
        <v>53</v>
      </c>
      <c r="L42" s="286" t="s">
        <v>53</v>
      </c>
      <c r="M42" s="286" t="s">
        <v>53</v>
      </c>
      <c r="N42" s="287">
        <v>15800</v>
      </c>
      <c r="O42" s="305">
        <f t="shared" si="0"/>
        <v>44620</v>
      </c>
      <c r="P42" s="286" t="s">
        <v>175</v>
      </c>
    </row>
    <row r="43" spans="1:16" hidden="1" x14ac:dyDescent="0.15">
      <c r="A43" s="286">
        <v>867</v>
      </c>
      <c r="B43" s="288">
        <v>44616.728472222225</v>
      </c>
      <c r="C43" s="286" t="s">
        <v>1138</v>
      </c>
      <c r="D43" s="286" t="s">
        <v>1105</v>
      </c>
      <c r="E43" s="286" t="s">
        <v>1106</v>
      </c>
      <c r="F43" s="286" t="s">
        <v>1139</v>
      </c>
      <c r="G43" s="286" t="s">
        <v>53</v>
      </c>
      <c r="H43" s="286" t="s">
        <v>53</v>
      </c>
      <c r="I43" s="286" t="s">
        <v>1128</v>
      </c>
      <c r="J43" s="286" t="s">
        <v>53</v>
      </c>
      <c r="K43" s="286" t="s">
        <v>53</v>
      </c>
      <c r="L43" s="286" t="s">
        <v>53</v>
      </c>
      <c r="M43" s="286" t="s">
        <v>53</v>
      </c>
      <c r="N43" s="287">
        <v>11650</v>
      </c>
      <c r="O43" s="305">
        <f t="shared" si="0"/>
        <v>44620</v>
      </c>
      <c r="P43" s="286" t="s">
        <v>47</v>
      </c>
    </row>
    <row r="44" spans="1:16" hidden="1" x14ac:dyDescent="0.15">
      <c r="A44" s="286">
        <v>867</v>
      </c>
      <c r="B44" s="288">
        <v>44616.728472222225</v>
      </c>
      <c r="C44" s="286" t="s">
        <v>1138</v>
      </c>
      <c r="D44" s="286" t="s">
        <v>1105</v>
      </c>
      <c r="E44" s="286" t="s">
        <v>1106</v>
      </c>
      <c r="F44" s="286" t="s">
        <v>1139</v>
      </c>
      <c r="G44" s="286" t="s">
        <v>53</v>
      </c>
      <c r="H44" s="286" t="s">
        <v>53</v>
      </c>
      <c r="I44" s="286" t="s">
        <v>1129</v>
      </c>
      <c r="J44" s="286" t="s">
        <v>53</v>
      </c>
      <c r="K44" s="286" t="s">
        <v>53</v>
      </c>
      <c r="L44" s="286" t="s">
        <v>53</v>
      </c>
      <c r="M44" s="286" t="s">
        <v>53</v>
      </c>
      <c r="N44" s="287">
        <v>5674.95</v>
      </c>
      <c r="O44" s="305">
        <f t="shared" si="0"/>
        <v>44620</v>
      </c>
      <c r="P44" s="286" t="s">
        <v>164</v>
      </c>
    </row>
    <row r="45" spans="1:16" hidden="1" x14ac:dyDescent="0.15">
      <c r="A45" s="286">
        <v>867</v>
      </c>
      <c r="B45" s="288">
        <v>44616.728472222225</v>
      </c>
      <c r="C45" s="286" t="s">
        <v>1138</v>
      </c>
      <c r="D45" s="286" t="s">
        <v>1105</v>
      </c>
      <c r="E45" s="286" t="s">
        <v>1106</v>
      </c>
      <c r="F45" s="286" t="s">
        <v>1139</v>
      </c>
      <c r="G45" s="286" t="s">
        <v>53</v>
      </c>
      <c r="H45" s="286" t="s">
        <v>53</v>
      </c>
      <c r="I45" s="286" t="s">
        <v>1121</v>
      </c>
      <c r="J45" s="286" t="s">
        <v>53</v>
      </c>
      <c r="K45" s="286" t="s">
        <v>53</v>
      </c>
      <c r="L45" s="286" t="s">
        <v>53</v>
      </c>
      <c r="M45" s="286" t="s">
        <v>53</v>
      </c>
      <c r="N45" s="287">
        <v>5025</v>
      </c>
      <c r="O45" s="305">
        <f t="shared" si="0"/>
        <v>44620</v>
      </c>
      <c r="P45" s="286" t="s">
        <v>248</v>
      </c>
    </row>
    <row r="46" spans="1:16" hidden="1" x14ac:dyDescent="0.15">
      <c r="A46" s="286">
        <v>868</v>
      </c>
      <c r="B46" s="288">
        <v>44616.728472222225</v>
      </c>
      <c r="C46" s="286" t="s">
        <v>1140</v>
      </c>
      <c r="D46" s="286" t="s">
        <v>1105</v>
      </c>
      <c r="E46" s="286" t="s">
        <v>1106</v>
      </c>
      <c r="F46" s="286" t="s">
        <v>1141</v>
      </c>
      <c r="G46" s="286" t="s">
        <v>53</v>
      </c>
      <c r="H46" s="286" t="s">
        <v>53</v>
      </c>
      <c r="I46" s="286" t="s">
        <v>1108</v>
      </c>
      <c r="J46" s="286" t="s">
        <v>53</v>
      </c>
      <c r="K46" s="286" t="s">
        <v>53</v>
      </c>
      <c r="L46" s="286" t="s">
        <v>53</v>
      </c>
      <c r="M46" s="286" t="s">
        <v>53</v>
      </c>
      <c r="N46" s="287">
        <v>397131.13</v>
      </c>
      <c r="O46" s="305">
        <f t="shared" si="0"/>
        <v>44620</v>
      </c>
      <c r="P46" s="286" t="s">
        <v>37</v>
      </c>
    </row>
    <row r="47" spans="1:16" hidden="1" x14ac:dyDescent="0.15">
      <c r="A47" s="286">
        <v>868</v>
      </c>
      <c r="B47" s="288">
        <v>44616.728472222225</v>
      </c>
      <c r="C47" s="286" t="s">
        <v>1140</v>
      </c>
      <c r="D47" s="286" t="s">
        <v>1105</v>
      </c>
      <c r="E47" s="286" t="s">
        <v>1106</v>
      </c>
      <c r="F47" s="286" t="s">
        <v>1141</v>
      </c>
      <c r="G47" s="286" t="s">
        <v>53</v>
      </c>
      <c r="H47" s="286" t="s">
        <v>53</v>
      </c>
      <c r="I47" s="286" t="s">
        <v>1109</v>
      </c>
      <c r="J47" s="286" t="s">
        <v>53</v>
      </c>
      <c r="K47" s="286" t="s">
        <v>53</v>
      </c>
      <c r="L47" s="286" t="s">
        <v>53</v>
      </c>
      <c r="M47" s="286" t="s">
        <v>53</v>
      </c>
      <c r="N47" s="287">
        <v>320500.86</v>
      </c>
      <c r="O47" s="305">
        <f t="shared" si="0"/>
        <v>44620</v>
      </c>
    </row>
    <row r="48" spans="1:16" hidden="1" x14ac:dyDescent="0.15">
      <c r="A48" s="286">
        <v>868</v>
      </c>
      <c r="B48" s="288">
        <v>44616.728472222225</v>
      </c>
      <c r="C48" s="286" t="s">
        <v>1140</v>
      </c>
      <c r="D48" s="286" t="s">
        <v>1105</v>
      </c>
      <c r="E48" s="286" t="s">
        <v>1106</v>
      </c>
      <c r="F48" s="286" t="s">
        <v>1141</v>
      </c>
      <c r="G48" s="286" t="s">
        <v>53</v>
      </c>
      <c r="H48" s="286" t="s">
        <v>53</v>
      </c>
      <c r="I48" s="286" t="s">
        <v>1128</v>
      </c>
      <c r="J48" s="286" t="s">
        <v>53</v>
      </c>
      <c r="K48" s="286" t="s">
        <v>53</v>
      </c>
      <c r="L48" s="286" t="s">
        <v>53</v>
      </c>
      <c r="M48" s="286" t="s">
        <v>53</v>
      </c>
      <c r="N48" s="287">
        <v>25935</v>
      </c>
      <c r="O48" s="305">
        <f t="shared" si="0"/>
        <v>44620</v>
      </c>
      <c r="P48" s="286" t="s">
        <v>47</v>
      </c>
    </row>
    <row r="49" spans="1:16" hidden="1" x14ac:dyDescent="0.15">
      <c r="A49" s="286">
        <v>868</v>
      </c>
      <c r="B49" s="288">
        <v>44616.728472222225</v>
      </c>
      <c r="C49" s="286" t="s">
        <v>1140</v>
      </c>
      <c r="D49" s="286" t="s">
        <v>1105</v>
      </c>
      <c r="E49" s="286" t="s">
        <v>1106</v>
      </c>
      <c r="F49" s="286" t="s">
        <v>1141</v>
      </c>
      <c r="G49" s="286" t="s">
        <v>53</v>
      </c>
      <c r="H49" s="286" t="s">
        <v>53</v>
      </c>
      <c r="I49" s="286" t="s">
        <v>1129</v>
      </c>
      <c r="J49" s="286" t="s">
        <v>53</v>
      </c>
      <c r="K49" s="286" t="s">
        <v>53</v>
      </c>
      <c r="L49" s="286" t="s">
        <v>53</v>
      </c>
      <c r="M49" s="286" t="s">
        <v>53</v>
      </c>
      <c r="N49" s="287">
        <v>16200.81</v>
      </c>
      <c r="O49" s="305">
        <f t="shared" si="0"/>
        <v>44620</v>
      </c>
      <c r="P49" s="286" t="s">
        <v>164</v>
      </c>
    </row>
    <row r="50" spans="1:16" hidden="1" x14ac:dyDescent="0.15">
      <c r="A50" s="286">
        <v>868</v>
      </c>
      <c r="B50" s="288">
        <v>44616.728472222225</v>
      </c>
      <c r="C50" s="286" t="s">
        <v>1140</v>
      </c>
      <c r="D50" s="286" t="s">
        <v>1105</v>
      </c>
      <c r="E50" s="286" t="s">
        <v>1106</v>
      </c>
      <c r="F50" s="286" t="s">
        <v>1141</v>
      </c>
      <c r="G50" s="286" t="s">
        <v>53</v>
      </c>
      <c r="H50" s="286" t="s">
        <v>53</v>
      </c>
      <c r="I50" s="286" t="s">
        <v>1112</v>
      </c>
      <c r="J50" s="286" t="s">
        <v>53</v>
      </c>
      <c r="K50" s="286" t="s">
        <v>53</v>
      </c>
      <c r="L50" s="286" t="s">
        <v>53</v>
      </c>
      <c r="M50" s="286" t="s">
        <v>53</v>
      </c>
      <c r="N50" s="287">
        <v>5833.3</v>
      </c>
      <c r="O50" s="305">
        <f t="shared" si="0"/>
        <v>44620</v>
      </c>
      <c r="P50" s="286" t="s">
        <v>175</v>
      </c>
    </row>
    <row r="51" spans="1:16" hidden="1" x14ac:dyDescent="0.15">
      <c r="A51" s="286">
        <v>869</v>
      </c>
      <c r="B51" s="288">
        <v>44616.728472222225</v>
      </c>
      <c r="C51" s="286" t="s">
        <v>1142</v>
      </c>
      <c r="D51" s="286" t="s">
        <v>1105</v>
      </c>
      <c r="E51" s="286" t="s">
        <v>1106</v>
      </c>
      <c r="F51" s="286" t="s">
        <v>1143</v>
      </c>
      <c r="G51" s="286" t="s">
        <v>53</v>
      </c>
      <c r="H51" s="286" t="s">
        <v>53</v>
      </c>
      <c r="I51" s="286" t="s">
        <v>1108</v>
      </c>
      <c r="J51" s="286" t="s">
        <v>53</v>
      </c>
      <c r="K51" s="286" t="s">
        <v>53</v>
      </c>
      <c r="L51" s="286" t="s">
        <v>53</v>
      </c>
      <c r="M51" s="286" t="s">
        <v>53</v>
      </c>
      <c r="N51" s="287">
        <v>43812.55</v>
      </c>
      <c r="O51" s="305">
        <f t="shared" si="0"/>
        <v>44620</v>
      </c>
      <c r="P51" s="286" t="s">
        <v>37</v>
      </c>
    </row>
    <row r="52" spans="1:16" hidden="1" x14ac:dyDescent="0.15">
      <c r="A52" s="286">
        <v>869</v>
      </c>
      <c r="B52" s="288">
        <v>44616.728472222225</v>
      </c>
      <c r="C52" s="286" t="s">
        <v>1142</v>
      </c>
      <c r="D52" s="286" t="s">
        <v>1105</v>
      </c>
      <c r="E52" s="286" t="s">
        <v>1106</v>
      </c>
      <c r="F52" s="286" t="s">
        <v>1143</v>
      </c>
      <c r="G52" s="286" t="s">
        <v>53</v>
      </c>
      <c r="H52" s="286" t="s">
        <v>53</v>
      </c>
      <c r="I52" s="286" t="s">
        <v>1128</v>
      </c>
      <c r="J52" s="286" t="s">
        <v>53</v>
      </c>
      <c r="K52" s="286" t="s">
        <v>53</v>
      </c>
      <c r="L52" s="286" t="s">
        <v>53</v>
      </c>
      <c r="M52" s="286" t="s">
        <v>53</v>
      </c>
      <c r="N52" s="287">
        <v>41505.379999999997</v>
      </c>
      <c r="O52" s="305">
        <f t="shared" si="0"/>
        <v>44620</v>
      </c>
      <c r="P52" s="286" t="s">
        <v>47</v>
      </c>
    </row>
    <row r="53" spans="1:16" hidden="1" x14ac:dyDescent="0.15">
      <c r="A53" s="286">
        <v>869</v>
      </c>
      <c r="B53" s="288">
        <v>44616.728472222225</v>
      </c>
      <c r="C53" s="286" t="s">
        <v>1142</v>
      </c>
      <c r="D53" s="286" t="s">
        <v>1105</v>
      </c>
      <c r="E53" s="286" t="s">
        <v>1106</v>
      </c>
      <c r="F53" s="286" t="s">
        <v>1143</v>
      </c>
      <c r="G53" s="286" t="s">
        <v>53</v>
      </c>
      <c r="H53" s="286" t="s">
        <v>53</v>
      </c>
      <c r="I53" s="286" t="s">
        <v>1112</v>
      </c>
      <c r="J53" s="286" t="s">
        <v>53</v>
      </c>
      <c r="K53" s="286" t="s">
        <v>53</v>
      </c>
      <c r="L53" s="286" t="s">
        <v>53</v>
      </c>
      <c r="M53" s="286" t="s">
        <v>53</v>
      </c>
      <c r="N53" s="287">
        <v>16150</v>
      </c>
      <c r="O53" s="305">
        <f t="shared" si="0"/>
        <v>44620</v>
      </c>
      <c r="P53" s="286" t="s">
        <v>175</v>
      </c>
    </row>
    <row r="54" spans="1:16" hidden="1" x14ac:dyDescent="0.15">
      <c r="A54" s="286">
        <v>869</v>
      </c>
      <c r="B54" s="288">
        <v>44616.728472222225</v>
      </c>
      <c r="C54" s="286" t="s">
        <v>1142</v>
      </c>
      <c r="D54" s="286" t="s">
        <v>1105</v>
      </c>
      <c r="E54" s="286" t="s">
        <v>1106</v>
      </c>
      <c r="F54" s="286" t="s">
        <v>1143</v>
      </c>
      <c r="G54" s="286" t="s">
        <v>53</v>
      </c>
      <c r="H54" s="286" t="s">
        <v>53</v>
      </c>
      <c r="I54" s="286" t="s">
        <v>1129</v>
      </c>
      <c r="J54" s="286" t="s">
        <v>53</v>
      </c>
      <c r="K54" s="286" t="s">
        <v>53</v>
      </c>
      <c r="L54" s="286" t="s">
        <v>53</v>
      </c>
      <c r="M54" s="286" t="s">
        <v>53</v>
      </c>
      <c r="N54" s="287">
        <v>-1639.72</v>
      </c>
      <c r="O54" s="305">
        <f t="shared" si="0"/>
        <v>44620</v>
      </c>
      <c r="P54" s="286" t="s">
        <v>164</v>
      </c>
    </row>
    <row r="55" spans="1:16" hidden="1" x14ac:dyDescent="0.15">
      <c r="A55" s="286">
        <v>870</v>
      </c>
      <c r="B55" s="288">
        <v>44616.728472222225</v>
      </c>
      <c r="C55" s="286" t="s">
        <v>1144</v>
      </c>
      <c r="D55" s="286" t="s">
        <v>1105</v>
      </c>
      <c r="E55" s="286" t="s">
        <v>1106</v>
      </c>
      <c r="F55" s="286" t="s">
        <v>1145</v>
      </c>
      <c r="G55" s="286" t="s">
        <v>53</v>
      </c>
      <c r="H55" s="286" t="s">
        <v>53</v>
      </c>
      <c r="I55" s="286" t="s">
        <v>1128</v>
      </c>
      <c r="J55" s="286" t="s">
        <v>53</v>
      </c>
      <c r="K55" s="286" t="s">
        <v>53</v>
      </c>
      <c r="L55" s="286" t="s">
        <v>53</v>
      </c>
      <c r="M55" s="286" t="s">
        <v>53</v>
      </c>
      <c r="N55" s="287">
        <v>91468</v>
      </c>
      <c r="O55" s="305">
        <f t="shared" si="0"/>
        <v>44620</v>
      </c>
      <c r="P55" s="286" t="s">
        <v>47</v>
      </c>
    </row>
    <row r="56" spans="1:16" hidden="1" x14ac:dyDescent="0.15">
      <c r="A56" s="286">
        <v>870</v>
      </c>
      <c r="B56" s="288">
        <v>44616.728472222225</v>
      </c>
      <c r="C56" s="286" t="s">
        <v>1144</v>
      </c>
      <c r="D56" s="286" t="s">
        <v>1105</v>
      </c>
      <c r="E56" s="286" t="s">
        <v>1106</v>
      </c>
      <c r="F56" s="286" t="s">
        <v>1145</v>
      </c>
      <c r="G56" s="286" t="s">
        <v>53</v>
      </c>
      <c r="H56" s="286" t="s">
        <v>53</v>
      </c>
      <c r="I56" s="286" t="s">
        <v>1108</v>
      </c>
      <c r="J56" s="286" t="s">
        <v>53</v>
      </c>
      <c r="K56" s="286" t="s">
        <v>53</v>
      </c>
      <c r="L56" s="286" t="s">
        <v>53</v>
      </c>
      <c r="M56" s="286" t="s">
        <v>53</v>
      </c>
      <c r="N56" s="287">
        <v>81620.83</v>
      </c>
      <c r="O56" s="305">
        <f t="shared" si="0"/>
        <v>44620</v>
      </c>
      <c r="P56" s="286" t="s">
        <v>37</v>
      </c>
    </row>
    <row r="57" spans="1:16" hidden="1" x14ac:dyDescent="0.15">
      <c r="A57" s="286">
        <v>870</v>
      </c>
      <c r="B57" s="288">
        <v>44616.728472222225</v>
      </c>
      <c r="C57" s="286" t="s">
        <v>1144</v>
      </c>
      <c r="D57" s="286" t="s">
        <v>1105</v>
      </c>
      <c r="E57" s="286" t="s">
        <v>1106</v>
      </c>
      <c r="F57" s="286" t="s">
        <v>1145</v>
      </c>
      <c r="G57" s="286" t="s">
        <v>53</v>
      </c>
      <c r="H57" s="286" t="s">
        <v>53</v>
      </c>
      <c r="I57" s="286" t="s">
        <v>1112</v>
      </c>
      <c r="J57" s="286" t="s">
        <v>53</v>
      </c>
      <c r="K57" s="286" t="s">
        <v>53</v>
      </c>
      <c r="L57" s="286" t="s">
        <v>53</v>
      </c>
      <c r="M57" s="286" t="s">
        <v>53</v>
      </c>
      <c r="N57" s="287">
        <v>9750</v>
      </c>
      <c r="O57" s="305">
        <f t="shared" si="0"/>
        <v>44620</v>
      </c>
      <c r="P57" s="286" t="s">
        <v>175</v>
      </c>
    </row>
    <row r="58" spans="1:16" hidden="1" x14ac:dyDescent="0.15">
      <c r="A58" s="286">
        <v>870</v>
      </c>
      <c r="B58" s="288">
        <v>44616.728472222225</v>
      </c>
      <c r="C58" s="286" t="s">
        <v>1144</v>
      </c>
      <c r="D58" s="286" t="s">
        <v>1105</v>
      </c>
      <c r="E58" s="286" t="s">
        <v>1106</v>
      </c>
      <c r="F58" s="286" t="s">
        <v>1145</v>
      </c>
      <c r="G58" s="286" t="s">
        <v>53</v>
      </c>
      <c r="H58" s="286" t="s">
        <v>53</v>
      </c>
      <c r="I58" s="286" t="s">
        <v>1129</v>
      </c>
      <c r="J58" s="286" t="s">
        <v>53</v>
      </c>
      <c r="K58" s="286" t="s">
        <v>53</v>
      </c>
      <c r="L58" s="286" t="s">
        <v>53</v>
      </c>
      <c r="M58" s="286" t="s">
        <v>53</v>
      </c>
      <c r="N58" s="287">
        <v>4045.74</v>
      </c>
      <c r="O58" s="305">
        <f t="shared" si="0"/>
        <v>44620</v>
      </c>
      <c r="P58" s="286" t="s">
        <v>164</v>
      </c>
    </row>
    <row r="59" spans="1:16" hidden="1" x14ac:dyDescent="0.15">
      <c r="A59" s="286">
        <v>870</v>
      </c>
      <c r="B59" s="288">
        <v>44616.728472222225</v>
      </c>
      <c r="C59" s="286" t="s">
        <v>1144</v>
      </c>
      <c r="D59" s="286" t="s">
        <v>1105</v>
      </c>
      <c r="E59" s="286" t="s">
        <v>1106</v>
      </c>
      <c r="F59" s="286" t="s">
        <v>1145</v>
      </c>
      <c r="G59" s="286" t="s">
        <v>53</v>
      </c>
      <c r="H59" s="286" t="s">
        <v>53</v>
      </c>
      <c r="I59" s="286" t="s">
        <v>1109</v>
      </c>
      <c r="J59" s="286" t="s">
        <v>53</v>
      </c>
      <c r="K59" s="286" t="s">
        <v>53</v>
      </c>
      <c r="L59" s="286" t="s">
        <v>53</v>
      </c>
      <c r="M59" s="286" t="s">
        <v>53</v>
      </c>
      <c r="N59" s="287">
        <v>3500</v>
      </c>
      <c r="O59" s="305">
        <f t="shared" si="0"/>
        <v>44620</v>
      </c>
    </row>
    <row r="60" spans="1:16" hidden="1" x14ac:dyDescent="0.15">
      <c r="A60" s="286">
        <v>960</v>
      </c>
      <c r="B60" s="288">
        <v>44616.750694444447</v>
      </c>
      <c r="C60" s="286" t="s">
        <v>1146</v>
      </c>
      <c r="D60" s="286" t="s">
        <v>1105</v>
      </c>
      <c r="E60" s="286" t="s">
        <v>1106</v>
      </c>
      <c r="F60" s="286" t="s">
        <v>1147</v>
      </c>
      <c r="G60" s="286" t="s">
        <v>53</v>
      </c>
      <c r="H60" s="286" t="s">
        <v>53</v>
      </c>
      <c r="I60" s="286" t="s">
        <v>1112</v>
      </c>
      <c r="J60" s="286" t="s">
        <v>53</v>
      </c>
      <c r="K60" s="286" t="s">
        <v>53</v>
      </c>
      <c r="L60" s="286" t="s">
        <v>53</v>
      </c>
      <c r="M60" s="286" t="s">
        <v>53</v>
      </c>
      <c r="N60" s="287">
        <v>17000</v>
      </c>
      <c r="O60" s="305">
        <f t="shared" si="0"/>
        <v>44620</v>
      </c>
      <c r="P60" s="286" t="s">
        <v>175</v>
      </c>
    </row>
    <row r="61" spans="1:16" hidden="1" x14ac:dyDescent="0.15">
      <c r="A61" s="286">
        <v>960</v>
      </c>
      <c r="B61" s="288">
        <v>44616.750694444447</v>
      </c>
      <c r="C61" s="286" t="s">
        <v>1146</v>
      </c>
      <c r="D61" s="286" t="s">
        <v>1105</v>
      </c>
      <c r="E61" s="286" t="s">
        <v>1106</v>
      </c>
      <c r="F61" s="286" t="s">
        <v>1147</v>
      </c>
      <c r="G61" s="286" t="s">
        <v>53</v>
      </c>
      <c r="H61" s="286" t="s">
        <v>53</v>
      </c>
      <c r="I61" s="286" t="s">
        <v>1108</v>
      </c>
      <c r="J61" s="286" t="s">
        <v>53</v>
      </c>
      <c r="K61" s="286" t="s">
        <v>53</v>
      </c>
      <c r="L61" s="286" t="s">
        <v>53</v>
      </c>
      <c r="M61" s="286" t="s">
        <v>53</v>
      </c>
      <c r="N61" s="287">
        <v>8744.61</v>
      </c>
      <c r="O61" s="305">
        <f t="shared" si="0"/>
        <v>44620</v>
      </c>
      <c r="P61" s="286" t="s">
        <v>37</v>
      </c>
    </row>
    <row r="62" spans="1:16" hidden="1" x14ac:dyDescent="0.15">
      <c r="A62" s="286">
        <v>961</v>
      </c>
      <c r="B62" s="288">
        <v>44616.750694444447</v>
      </c>
      <c r="C62" s="286" t="s">
        <v>1148</v>
      </c>
      <c r="D62" s="286" t="s">
        <v>1105</v>
      </c>
      <c r="E62" s="286" t="s">
        <v>1106</v>
      </c>
      <c r="F62" s="286" t="s">
        <v>1149</v>
      </c>
      <c r="G62" s="286" t="s">
        <v>53</v>
      </c>
      <c r="H62" s="286" t="s">
        <v>53</v>
      </c>
      <c r="I62" s="286" t="s">
        <v>1108</v>
      </c>
      <c r="J62" s="286" t="s">
        <v>53</v>
      </c>
      <c r="K62" s="286" t="s">
        <v>53</v>
      </c>
      <c r="L62" s="286" t="s">
        <v>53</v>
      </c>
      <c r="M62" s="286" t="s">
        <v>53</v>
      </c>
      <c r="N62" s="287">
        <v>133406.26</v>
      </c>
      <c r="O62" s="305">
        <f t="shared" si="0"/>
        <v>44620</v>
      </c>
      <c r="P62" s="286" t="s">
        <v>37</v>
      </c>
    </row>
    <row r="63" spans="1:16" hidden="1" x14ac:dyDescent="0.15">
      <c r="A63" s="286">
        <v>961</v>
      </c>
      <c r="B63" s="288">
        <v>44616.750694444447</v>
      </c>
      <c r="C63" s="286" t="s">
        <v>1148</v>
      </c>
      <c r="D63" s="286" t="s">
        <v>1105</v>
      </c>
      <c r="E63" s="286" t="s">
        <v>1106</v>
      </c>
      <c r="F63" s="286" t="s">
        <v>1149</v>
      </c>
      <c r="G63" s="286" t="s">
        <v>53</v>
      </c>
      <c r="H63" s="286" t="s">
        <v>53</v>
      </c>
      <c r="I63" s="286" t="s">
        <v>1112</v>
      </c>
      <c r="J63" s="286" t="s">
        <v>53</v>
      </c>
      <c r="K63" s="286" t="s">
        <v>53</v>
      </c>
      <c r="L63" s="286" t="s">
        <v>53</v>
      </c>
      <c r="M63" s="286" t="s">
        <v>53</v>
      </c>
      <c r="N63" s="287">
        <v>15838.86</v>
      </c>
      <c r="O63" s="305">
        <f t="shared" si="0"/>
        <v>44620</v>
      </c>
      <c r="P63" s="286" t="s">
        <v>175</v>
      </c>
    </row>
    <row r="64" spans="1:16" hidden="1" x14ac:dyDescent="0.15">
      <c r="A64" s="286">
        <v>962</v>
      </c>
      <c r="B64" s="288">
        <v>44616.750694444447</v>
      </c>
      <c r="C64" s="286" t="s">
        <v>1150</v>
      </c>
      <c r="D64" s="286" t="s">
        <v>1105</v>
      </c>
      <c r="E64" s="286" t="s">
        <v>1106</v>
      </c>
      <c r="F64" s="286" t="s">
        <v>1151</v>
      </c>
      <c r="G64" s="286" t="s">
        <v>53</v>
      </c>
      <c r="H64" s="286" t="s">
        <v>53</v>
      </c>
      <c r="I64" s="286" t="s">
        <v>1108</v>
      </c>
      <c r="J64" s="286" t="s">
        <v>53</v>
      </c>
      <c r="K64" s="286" t="s">
        <v>53</v>
      </c>
      <c r="L64" s="286" t="s">
        <v>53</v>
      </c>
      <c r="M64" s="286" t="s">
        <v>53</v>
      </c>
      <c r="N64" s="287">
        <v>283213.82</v>
      </c>
      <c r="O64" s="305">
        <f t="shared" si="0"/>
        <v>44620</v>
      </c>
      <c r="P64" s="286" t="s">
        <v>37</v>
      </c>
    </row>
    <row r="65" spans="1:16" hidden="1" x14ac:dyDescent="0.15">
      <c r="A65" s="286">
        <v>962</v>
      </c>
      <c r="B65" s="288">
        <v>44616.750694444447</v>
      </c>
      <c r="C65" s="286" t="s">
        <v>1150</v>
      </c>
      <c r="D65" s="286" t="s">
        <v>1105</v>
      </c>
      <c r="E65" s="286" t="s">
        <v>1106</v>
      </c>
      <c r="F65" s="286" t="s">
        <v>1151</v>
      </c>
      <c r="G65" s="286" t="s">
        <v>53</v>
      </c>
      <c r="H65" s="286" t="s">
        <v>53</v>
      </c>
      <c r="I65" s="286" t="s">
        <v>1152</v>
      </c>
      <c r="J65" s="286" t="s">
        <v>53</v>
      </c>
      <c r="K65" s="286" t="s">
        <v>53</v>
      </c>
      <c r="L65" s="286" t="s">
        <v>53</v>
      </c>
      <c r="M65" s="286" t="s">
        <v>53</v>
      </c>
      <c r="N65" s="287">
        <v>30000</v>
      </c>
      <c r="O65" s="305">
        <f t="shared" si="0"/>
        <v>44620</v>
      </c>
      <c r="P65" s="111" t="s">
        <v>58</v>
      </c>
    </row>
    <row r="66" spans="1:16" hidden="1" x14ac:dyDescent="0.15">
      <c r="A66" s="286">
        <v>962</v>
      </c>
      <c r="B66" s="288">
        <v>44616.750694444447</v>
      </c>
      <c r="C66" s="286" t="s">
        <v>1150</v>
      </c>
      <c r="D66" s="286" t="s">
        <v>1105</v>
      </c>
      <c r="E66" s="286" t="s">
        <v>1106</v>
      </c>
      <c r="F66" s="286" t="s">
        <v>1151</v>
      </c>
      <c r="G66" s="286" t="s">
        <v>53</v>
      </c>
      <c r="H66" s="286" t="s">
        <v>53</v>
      </c>
      <c r="I66" s="286" t="s">
        <v>1112</v>
      </c>
      <c r="J66" s="286" t="s">
        <v>53</v>
      </c>
      <c r="K66" s="286" t="s">
        <v>53</v>
      </c>
      <c r="L66" s="286" t="s">
        <v>53</v>
      </c>
      <c r="M66" s="286" t="s">
        <v>53</v>
      </c>
      <c r="N66" s="287">
        <v>9000</v>
      </c>
      <c r="O66" s="305">
        <f t="shared" si="0"/>
        <v>44620</v>
      </c>
      <c r="P66" s="286" t="s">
        <v>175</v>
      </c>
    </row>
    <row r="67" spans="1:16" hidden="1" x14ac:dyDescent="0.15">
      <c r="A67" s="286">
        <v>963</v>
      </c>
      <c r="B67" s="288">
        <v>44616.750694444447</v>
      </c>
      <c r="C67" s="286" t="s">
        <v>1153</v>
      </c>
      <c r="D67" s="286" t="s">
        <v>1105</v>
      </c>
      <c r="E67" s="286" t="s">
        <v>1106</v>
      </c>
      <c r="F67" s="286" t="s">
        <v>1154</v>
      </c>
      <c r="G67" s="286" t="s">
        <v>53</v>
      </c>
      <c r="H67" s="286" t="s">
        <v>53</v>
      </c>
      <c r="I67" s="286" t="s">
        <v>1108</v>
      </c>
      <c r="J67" s="286" t="s">
        <v>53</v>
      </c>
      <c r="K67" s="286" t="s">
        <v>53</v>
      </c>
      <c r="L67" s="286" t="s">
        <v>53</v>
      </c>
      <c r="M67" s="286" t="s">
        <v>53</v>
      </c>
      <c r="N67" s="287">
        <v>383168.45</v>
      </c>
      <c r="O67" s="305">
        <f t="shared" ref="O67:O130" si="1">EOMONTH(B67,0)</f>
        <v>44620</v>
      </c>
      <c r="P67" s="286" t="s">
        <v>37</v>
      </c>
    </row>
    <row r="68" spans="1:16" hidden="1" x14ac:dyDescent="0.15">
      <c r="A68" s="286">
        <v>963</v>
      </c>
      <c r="B68" s="288">
        <v>44616.750694444447</v>
      </c>
      <c r="C68" s="286" t="s">
        <v>1153</v>
      </c>
      <c r="D68" s="286" t="s">
        <v>1105</v>
      </c>
      <c r="E68" s="286" t="s">
        <v>1106</v>
      </c>
      <c r="F68" s="286" t="s">
        <v>1154</v>
      </c>
      <c r="G68" s="286" t="s">
        <v>53</v>
      </c>
      <c r="H68" s="286" t="s">
        <v>53</v>
      </c>
      <c r="I68" s="286" t="s">
        <v>1128</v>
      </c>
      <c r="J68" s="286" t="s">
        <v>53</v>
      </c>
      <c r="K68" s="286" t="s">
        <v>53</v>
      </c>
      <c r="L68" s="286" t="s">
        <v>53</v>
      </c>
      <c r="M68" s="286" t="s">
        <v>53</v>
      </c>
      <c r="N68" s="287">
        <v>-448</v>
      </c>
      <c r="O68" s="305">
        <f t="shared" si="1"/>
        <v>44620</v>
      </c>
      <c r="P68" s="286" t="s">
        <v>47</v>
      </c>
    </row>
    <row r="69" spans="1:16" hidden="1" x14ac:dyDescent="0.15">
      <c r="A69" s="286">
        <v>964</v>
      </c>
      <c r="B69" s="288">
        <v>44616.750694444447</v>
      </c>
      <c r="C69" s="286" t="s">
        <v>1155</v>
      </c>
      <c r="D69" s="286" t="s">
        <v>1105</v>
      </c>
      <c r="E69" s="286" t="s">
        <v>1106</v>
      </c>
      <c r="F69" s="286" t="s">
        <v>1156</v>
      </c>
      <c r="G69" s="286" t="s">
        <v>53</v>
      </c>
      <c r="H69" s="286" t="s">
        <v>53</v>
      </c>
      <c r="I69" s="286" t="s">
        <v>1108</v>
      </c>
      <c r="J69" s="286" t="s">
        <v>53</v>
      </c>
      <c r="K69" s="286" t="s">
        <v>53</v>
      </c>
      <c r="L69" s="286" t="s">
        <v>53</v>
      </c>
      <c r="M69" s="286" t="s">
        <v>53</v>
      </c>
      <c r="N69" s="287">
        <v>234429.02</v>
      </c>
      <c r="O69" s="305">
        <f t="shared" si="1"/>
        <v>44620</v>
      </c>
      <c r="P69" s="286" t="s">
        <v>37</v>
      </c>
    </row>
    <row r="70" spans="1:16" hidden="1" x14ac:dyDescent="0.15">
      <c r="A70" s="286">
        <v>964</v>
      </c>
      <c r="B70" s="288">
        <v>44616.750694444447</v>
      </c>
      <c r="C70" s="286" t="s">
        <v>1155</v>
      </c>
      <c r="D70" s="286" t="s">
        <v>1105</v>
      </c>
      <c r="E70" s="286" t="s">
        <v>1106</v>
      </c>
      <c r="F70" s="286" t="s">
        <v>1156</v>
      </c>
      <c r="G70" s="286" t="s">
        <v>53</v>
      </c>
      <c r="H70" s="286" t="s">
        <v>53</v>
      </c>
      <c r="I70" s="286" t="s">
        <v>1112</v>
      </c>
      <c r="J70" s="286" t="s">
        <v>53</v>
      </c>
      <c r="K70" s="286" t="s">
        <v>53</v>
      </c>
      <c r="L70" s="286" t="s">
        <v>53</v>
      </c>
      <c r="M70" s="286" t="s">
        <v>53</v>
      </c>
      <c r="N70" s="287">
        <v>9680</v>
      </c>
      <c r="O70" s="305">
        <f t="shared" si="1"/>
        <v>44620</v>
      </c>
      <c r="P70" s="286" t="s">
        <v>175</v>
      </c>
    </row>
    <row r="71" spans="1:16" hidden="1" x14ac:dyDescent="0.15">
      <c r="A71" s="286">
        <v>964</v>
      </c>
      <c r="B71" s="288">
        <v>44616.750694444447</v>
      </c>
      <c r="C71" s="286" t="s">
        <v>1155</v>
      </c>
      <c r="D71" s="286" t="s">
        <v>1105</v>
      </c>
      <c r="E71" s="286" t="s">
        <v>1106</v>
      </c>
      <c r="F71" s="286" t="s">
        <v>1156</v>
      </c>
      <c r="G71" s="286" t="s">
        <v>53</v>
      </c>
      <c r="H71" s="286" t="s">
        <v>53</v>
      </c>
      <c r="I71" s="286" t="s">
        <v>1128</v>
      </c>
      <c r="J71" s="286" t="s">
        <v>53</v>
      </c>
      <c r="K71" s="286" t="s">
        <v>53</v>
      </c>
      <c r="L71" s="286" t="s">
        <v>53</v>
      </c>
      <c r="M71" s="286" t="s">
        <v>53</v>
      </c>
      <c r="N71" s="287">
        <v>448</v>
      </c>
      <c r="O71" s="305">
        <f t="shared" si="1"/>
        <v>44620</v>
      </c>
      <c r="P71" s="286" t="s">
        <v>47</v>
      </c>
    </row>
    <row r="72" spans="1:16" hidden="1" x14ac:dyDescent="0.15">
      <c r="A72" s="286">
        <v>965</v>
      </c>
      <c r="B72" s="288">
        <v>44616.750694444447</v>
      </c>
      <c r="C72" s="286" t="s">
        <v>1157</v>
      </c>
      <c r="D72" s="286" t="s">
        <v>1105</v>
      </c>
      <c r="E72" s="286" t="s">
        <v>1106</v>
      </c>
      <c r="F72" s="286" t="s">
        <v>1158</v>
      </c>
      <c r="G72" s="286" t="s">
        <v>53</v>
      </c>
      <c r="H72" s="286" t="s">
        <v>53</v>
      </c>
      <c r="I72" s="286" t="s">
        <v>1108</v>
      </c>
      <c r="J72" s="286" t="s">
        <v>53</v>
      </c>
      <c r="K72" s="286" t="s">
        <v>53</v>
      </c>
      <c r="L72" s="286" t="s">
        <v>53</v>
      </c>
      <c r="M72" s="286" t="s">
        <v>53</v>
      </c>
      <c r="N72" s="287">
        <v>749955.58</v>
      </c>
      <c r="O72" s="305">
        <f t="shared" si="1"/>
        <v>44620</v>
      </c>
      <c r="P72" s="286" t="s">
        <v>37</v>
      </c>
    </row>
    <row r="73" spans="1:16" hidden="1" x14ac:dyDescent="0.15">
      <c r="A73" s="286">
        <v>965</v>
      </c>
      <c r="B73" s="288">
        <v>44616.750694444447</v>
      </c>
      <c r="C73" s="286" t="s">
        <v>1157</v>
      </c>
      <c r="D73" s="286" t="s">
        <v>1105</v>
      </c>
      <c r="E73" s="286" t="s">
        <v>1106</v>
      </c>
      <c r="F73" s="286" t="s">
        <v>1158</v>
      </c>
      <c r="G73" s="286" t="s">
        <v>53</v>
      </c>
      <c r="H73" s="286" t="s">
        <v>53</v>
      </c>
      <c r="I73" s="286" t="s">
        <v>1112</v>
      </c>
      <c r="J73" s="286" t="s">
        <v>53</v>
      </c>
      <c r="K73" s="286" t="s">
        <v>53</v>
      </c>
      <c r="L73" s="286" t="s">
        <v>53</v>
      </c>
      <c r="M73" s="286" t="s">
        <v>53</v>
      </c>
      <c r="N73" s="287">
        <v>14500</v>
      </c>
      <c r="O73" s="305">
        <f t="shared" si="1"/>
        <v>44620</v>
      </c>
      <c r="P73" s="286" t="s">
        <v>175</v>
      </c>
    </row>
    <row r="74" spans="1:16" hidden="1" x14ac:dyDescent="0.15">
      <c r="A74" s="286">
        <v>966</v>
      </c>
      <c r="B74" s="288">
        <v>44616.750694444447</v>
      </c>
      <c r="C74" s="286" t="s">
        <v>1159</v>
      </c>
      <c r="D74" s="286" t="s">
        <v>1105</v>
      </c>
      <c r="E74" s="286" t="s">
        <v>1106</v>
      </c>
      <c r="F74" s="286" t="s">
        <v>1160</v>
      </c>
      <c r="G74" s="286" t="s">
        <v>53</v>
      </c>
      <c r="H74" s="286" t="s">
        <v>53</v>
      </c>
      <c r="I74" s="286" t="s">
        <v>1108</v>
      </c>
      <c r="J74" s="286" t="s">
        <v>53</v>
      </c>
      <c r="K74" s="286" t="s">
        <v>53</v>
      </c>
      <c r="L74" s="286" t="s">
        <v>53</v>
      </c>
      <c r="M74" s="286" t="s">
        <v>53</v>
      </c>
      <c r="N74" s="287">
        <v>42734.080000000002</v>
      </c>
      <c r="O74" s="305">
        <f t="shared" si="1"/>
        <v>44620</v>
      </c>
      <c r="P74" s="286" t="s">
        <v>37</v>
      </c>
    </row>
    <row r="75" spans="1:16" hidden="1" x14ac:dyDescent="0.15">
      <c r="A75" s="286">
        <v>966</v>
      </c>
      <c r="B75" s="288">
        <v>44616.750694444447</v>
      </c>
      <c r="C75" s="286" t="s">
        <v>1159</v>
      </c>
      <c r="D75" s="286" t="s">
        <v>1105</v>
      </c>
      <c r="E75" s="286" t="s">
        <v>1106</v>
      </c>
      <c r="F75" s="286" t="s">
        <v>1160</v>
      </c>
      <c r="G75" s="286" t="s">
        <v>53</v>
      </c>
      <c r="H75" s="286" t="s">
        <v>53</v>
      </c>
      <c r="I75" s="286" t="s">
        <v>1112</v>
      </c>
      <c r="J75" s="286" t="s">
        <v>53</v>
      </c>
      <c r="K75" s="286" t="s">
        <v>53</v>
      </c>
      <c r="L75" s="286" t="s">
        <v>53</v>
      </c>
      <c r="M75" s="286" t="s">
        <v>53</v>
      </c>
      <c r="N75" s="287">
        <v>8500</v>
      </c>
      <c r="O75" s="305">
        <f t="shared" si="1"/>
        <v>44620</v>
      </c>
      <c r="P75" s="286" t="s">
        <v>175</v>
      </c>
    </row>
    <row r="76" spans="1:16" hidden="1" x14ac:dyDescent="0.15">
      <c r="A76" s="286">
        <v>966</v>
      </c>
      <c r="B76" s="288">
        <v>44616.750694444447</v>
      </c>
      <c r="C76" s="286" t="s">
        <v>1159</v>
      </c>
      <c r="D76" s="286" t="s">
        <v>1105</v>
      </c>
      <c r="E76" s="286" t="s">
        <v>1106</v>
      </c>
      <c r="F76" s="286" t="s">
        <v>1160</v>
      </c>
      <c r="G76" s="286" t="s">
        <v>53</v>
      </c>
      <c r="H76" s="286" t="s">
        <v>53</v>
      </c>
      <c r="I76" s="286" t="s">
        <v>1109</v>
      </c>
      <c r="J76" s="286" t="s">
        <v>53</v>
      </c>
      <c r="K76" s="286" t="s">
        <v>53</v>
      </c>
      <c r="L76" s="286" t="s">
        <v>53</v>
      </c>
      <c r="M76" s="286" t="s">
        <v>53</v>
      </c>
      <c r="N76" s="287">
        <v>-69</v>
      </c>
      <c r="O76" s="305">
        <f t="shared" si="1"/>
        <v>44620</v>
      </c>
    </row>
    <row r="77" spans="1:16" hidden="1" x14ac:dyDescent="0.15">
      <c r="A77" s="286">
        <v>967</v>
      </c>
      <c r="B77" s="288">
        <v>44616.750694444447</v>
      </c>
      <c r="C77" s="286" t="s">
        <v>1161</v>
      </c>
      <c r="D77" s="286" t="s">
        <v>1105</v>
      </c>
      <c r="E77" s="286" t="s">
        <v>1106</v>
      </c>
      <c r="F77" s="286" t="s">
        <v>1162</v>
      </c>
      <c r="G77" s="286" t="s">
        <v>53</v>
      </c>
      <c r="H77" s="286" t="s">
        <v>53</v>
      </c>
      <c r="I77" s="286" t="s">
        <v>1112</v>
      </c>
      <c r="J77" s="286" t="s">
        <v>53</v>
      </c>
      <c r="K77" s="286" t="s">
        <v>53</v>
      </c>
      <c r="L77" s="286" t="s">
        <v>53</v>
      </c>
      <c r="M77" s="286" t="s">
        <v>53</v>
      </c>
      <c r="N77" s="287">
        <v>12000</v>
      </c>
      <c r="O77" s="305">
        <f t="shared" si="1"/>
        <v>44620</v>
      </c>
      <c r="P77" s="286" t="s">
        <v>175</v>
      </c>
    </row>
    <row r="78" spans="1:16" hidden="1" x14ac:dyDescent="0.15">
      <c r="A78" s="286">
        <v>967</v>
      </c>
      <c r="B78" s="288">
        <v>44616.750694444447</v>
      </c>
      <c r="C78" s="286" t="s">
        <v>1161</v>
      </c>
      <c r="D78" s="286" t="s">
        <v>1105</v>
      </c>
      <c r="E78" s="286" t="s">
        <v>1106</v>
      </c>
      <c r="F78" s="286" t="s">
        <v>1162</v>
      </c>
      <c r="G78" s="286" t="s">
        <v>53</v>
      </c>
      <c r="H78" s="286" t="s">
        <v>53</v>
      </c>
      <c r="I78" s="286" t="s">
        <v>1109</v>
      </c>
      <c r="J78" s="286" t="s">
        <v>53</v>
      </c>
      <c r="K78" s="286" t="s">
        <v>53</v>
      </c>
      <c r="L78" s="286" t="s">
        <v>53</v>
      </c>
      <c r="M78" s="286" t="s">
        <v>53</v>
      </c>
      <c r="N78" s="287">
        <v>217.58</v>
      </c>
      <c r="O78" s="305">
        <f t="shared" si="1"/>
        <v>44620</v>
      </c>
    </row>
    <row r="79" spans="1:16" hidden="1" x14ac:dyDescent="0.15">
      <c r="A79" s="286">
        <v>968</v>
      </c>
      <c r="B79" s="288">
        <v>44616.750694444447</v>
      </c>
      <c r="C79" s="286" t="s">
        <v>1163</v>
      </c>
      <c r="D79" s="286" t="s">
        <v>1105</v>
      </c>
      <c r="E79" s="286" t="s">
        <v>1106</v>
      </c>
      <c r="F79" s="286" t="s">
        <v>1164</v>
      </c>
      <c r="G79" s="286" t="s">
        <v>53</v>
      </c>
      <c r="H79" s="286" t="s">
        <v>53</v>
      </c>
      <c r="I79" s="286" t="s">
        <v>1108</v>
      </c>
      <c r="J79" s="286" t="s">
        <v>53</v>
      </c>
      <c r="K79" s="286" t="s">
        <v>53</v>
      </c>
      <c r="L79" s="286" t="s">
        <v>53</v>
      </c>
      <c r="M79" s="286" t="s">
        <v>53</v>
      </c>
      <c r="N79" s="287">
        <v>667884.18999999994</v>
      </c>
      <c r="O79" s="305">
        <f t="shared" si="1"/>
        <v>44620</v>
      </c>
      <c r="P79" s="286" t="s">
        <v>37</v>
      </c>
    </row>
    <row r="80" spans="1:16" hidden="1" x14ac:dyDescent="0.15">
      <c r="A80" s="286">
        <v>968</v>
      </c>
      <c r="B80" s="288">
        <v>44616.750694444447</v>
      </c>
      <c r="C80" s="286" t="s">
        <v>1163</v>
      </c>
      <c r="D80" s="286" t="s">
        <v>1105</v>
      </c>
      <c r="E80" s="286" t="s">
        <v>1106</v>
      </c>
      <c r="F80" s="286" t="s">
        <v>1164</v>
      </c>
      <c r="G80" s="286" t="s">
        <v>53</v>
      </c>
      <c r="H80" s="286" t="s">
        <v>53</v>
      </c>
      <c r="I80" s="286" t="s">
        <v>1112</v>
      </c>
      <c r="J80" s="286" t="s">
        <v>53</v>
      </c>
      <c r="K80" s="286" t="s">
        <v>53</v>
      </c>
      <c r="L80" s="286" t="s">
        <v>53</v>
      </c>
      <c r="M80" s="286" t="s">
        <v>53</v>
      </c>
      <c r="N80" s="287">
        <v>22965</v>
      </c>
      <c r="O80" s="305">
        <f t="shared" si="1"/>
        <v>44620</v>
      </c>
      <c r="P80" s="286" t="s">
        <v>175</v>
      </c>
    </row>
    <row r="81" spans="1:16" hidden="1" x14ac:dyDescent="0.15">
      <c r="A81" s="286">
        <v>968</v>
      </c>
      <c r="B81" s="288">
        <v>44616.750694444447</v>
      </c>
      <c r="C81" s="286" t="s">
        <v>1163</v>
      </c>
      <c r="D81" s="286" t="s">
        <v>1105</v>
      </c>
      <c r="E81" s="286" t="s">
        <v>1106</v>
      </c>
      <c r="F81" s="286" t="s">
        <v>1164</v>
      </c>
      <c r="G81" s="286" t="s">
        <v>53</v>
      </c>
      <c r="H81" s="286" t="s">
        <v>53</v>
      </c>
      <c r="I81" s="286" t="s">
        <v>1109</v>
      </c>
      <c r="J81" s="286" t="s">
        <v>53</v>
      </c>
      <c r="K81" s="286" t="s">
        <v>53</v>
      </c>
      <c r="L81" s="286" t="s">
        <v>53</v>
      </c>
      <c r="M81" s="286" t="s">
        <v>53</v>
      </c>
      <c r="N81" s="287">
        <v>16853.78</v>
      </c>
      <c r="O81" s="305">
        <f t="shared" si="1"/>
        <v>44620</v>
      </c>
    </row>
    <row r="82" spans="1:16" hidden="1" x14ac:dyDescent="0.15">
      <c r="A82" s="286">
        <v>969</v>
      </c>
      <c r="B82" s="288">
        <v>44616.750694444447</v>
      </c>
      <c r="C82" s="286" t="s">
        <v>1165</v>
      </c>
      <c r="D82" s="286" t="s">
        <v>1105</v>
      </c>
      <c r="E82" s="286" t="s">
        <v>1106</v>
      </c>
      <c r="F82" s="286" t="s">
        <v>1166</v>
      </c>
      <c r="G82" s="286" t="s">
        <v>53</v>
      </c>
      <c r="H82" s="286" t="s">
        <v>53</v>
      </c>
      <c r="I82" s="286" t="s">
        <v>1108</v>
      </c>
      <c r="J82" s="286" t="s">
        <v>53</v>
      </c>
      <c r="K82" s="286" t="s">
        <v>53</v>
      </c>
      <c r="L82" s="286" t="s">
        <v>53</v>
      </c>
      <c r="M82" s="286" t="s">
        <v>53</v>
      </c>
      <c r="N82" s="287">
        <v>486492.05</v>
      </c>
      <c r="O82" s="305">
        <f t="shared" si="1"/>
        <v>44620</v>
      </c>
      <c r="P82" s="286" t="s">
        <v>37</v>
      </c>
    </row>
    <row r="83" spans="1:16" hidden="1" x14ac:dyDescent="0.15">
      <c r="A83" s="286">
        <v>969</v>
      </c>
      <c r="B83" s="288">
        <v>44616.750694444447</v>
      </c>
      <c r="C83" s="286" t="s">
        <v>1165</v>
      </c>
      <c r="D83" s="286" t="s">
        <v>1105</v>
      </c>
      <c r="E83" s="286" t="s">
        <v>1106</v>
      </c>
      <c r="F83" s="286" t="s">
        <v>1166</v>
      </c>
      <c r="G83" s="286" t="s">
        <v>53</v>
      </c>
      <c r="H83" s="286" t="s">
        <v>53</v>
      </c>
      <c r="I83" s="286" t="s">
        <v>1128</v>
      </c>
      <c r="J83" s="286" t="s">
        <v>53</v>
      </c>
      <c r="K83" s="286" t="s">
        <v>53</v>
      </c>
      <c r="L83" s="286" t="s">
        <v>53</v>
      </c>
      <c r="M83" s="286" t="s">
        <v>53</v>
      </c>
      <c r="N83" s="287">
        <v>40465</v>
      </c>
      <c r="O83" s="305">
        <f t="shared" si="1"/>
        <v>44620</v>
      </c>
      <c r="P83" s="286" t="s">
        <v>47</v>
      </c>
    </row>
    <row r="84" spans="1:16" hidden="1" x14ac:dyDescent="0.15">
      <c r="A84" s="286">
        <v>969</v>
      </c>
      <c r="B84" s="288">
        <v>44616.750694444447</v>
      </c>
      <c r="C84" s="286" t="s">
        <v>1165</v>
      </c>
      <c r="D84" s="286" t="s">
        <v>1105</v>
      </c>
      <c r="E84" s="286" t="s">
        <v>1106</v>
      </c>
      <c r="F84" s="286" t="s">
        <v>1166</v>
      </c>
      <c r="G84" s="286" t="s">
        <v>53</v>
      </c>
      <c r="H84" s="286" t="s">
        <v>53</v>
      </c>
      <c r="I84" s="286" t="s">
        <v>1109</v>
      </c>
      <c r="J84" s="286" t="s">
        <v>53</v>
      </c>
      <c r="K84" s="286" t="s">
        <v>53</v>
      </c>
      <c r="L84" s="286" t="s">
        <v>53</v>
      </c>
      <c r="M84" s="286" t="s">
        <v>53</v>
      </c>
      <c r="N84" s="287">
        <v>12167.55</v>
      </c>
      <c r="O84" s="305">
        <f t="shared" si="1"/>
        <v>44620</v>
      </c>
    </row>
    <row r="85" spans="1:16" hidden="1" x14ac:dyDescent="0.15">
      <c r="A85" s="286">
        <v>970</v>
      </c>
      <c r="B85" s="288">
        <v>44616.750694444447</v>
      </c>
      <c r="C85" s="286" t="s">
        <v>1167</v>
      </c>
      <c r="D85" s="286" t="s">
        <v>1105</v>
      </c>
      <c r="E85" s="286" t="s">
        <v>1106</v>
      </c>
      <c r="F85" s="286" t="s">
        <v>1168</v>
      </c>
      <c r="G85" s="286" t="s">
        <v>53</v>
      </c>
      <c r="H85" s="286" t="s">
        <v>53</v>
      </c>
      <c r="I85" s="286" t="s">
        <v>1108</v>
      </c>
      <c r="J85" s="286" t="s">
        <v>53</v>
      </c>
      <c r="K85" s="286" t="s">
        <v>53</v>
      </c>
      <c r="L85" s="286" t="s">
        <v>53</v>
      </c>
      <c r="M85" s="286" t="s">
        <v>53</v>
      </c>
      <c r="N85" s="287">
        <v>342391.65</v>
      </c>
      <c r="O85" s="305">
        <f t="shared" si="1"/>
        <v>44620</v>
      </c>
      <c r="P85" s="286" t="s">
        <v>37</v>
      </c>
    </row>
    <row r="86" spans="1:16" hidden="1" x14ac:dyDescent="0.15">
      <c r="A86" s="286">
        <v>970</v>
      </c>
      <c r="B86" s="288">
        <v>44616.750694444447</v>
      </c>
      <c r="C86" s="286" t="s">
        <v>1167</v>
      </c>
      <c r="D86" s="286" t="s">
        <v>1105</v>
      </c>
      <c r="E86" s="286" t="s">
        <v>1106</v>
      </c>
      <c r="F86" s="286" t="s">
        <v>1168</v>
      </c>
      <c r="G86" s="286" t="s">
        <v>53</v>
      </c>
      <c r="H86" s="286" t="s">
        <v>53</v>
      </c>
      <c r="I86" s="286" t="s">
        <v>1112</v>
      </c>
      <c r="J86" s="286" t="s">
        <v>53</v>
      </c>
      <c r="K86" s="286" t="s">
        <v>53</v>
      </c>
      <c r="L86" s="286" t="s">
        <v>53</v>
      </c>
      <c r="M86" s="286" t="s">
        <v>53</v>
      </c>
      <c r="N86" s="287">
        <v>22830</v>
      </c>
      <c r="O86" s="305">
        <f t="shared" si="1"/>
        <v>44620</v>
      </c>
      <c r="P86" s="286" t="s">
        <v>175</v>
      </c>
    </row>
    <row r="87" spans="1:16" hidden="1" x14ac:dyDescent="0.15">
      <c r="A87" s="286">
        <v>970</v>
      </c>
      <c r="B87" s="288">
        <v>44616.750694444447</v>
      </c>
      <c r="C87" s="286" t="s">
        <v>1167</v>
      </c>
      <c r="D87" s="286" t="s">
        <v>1105</v>
      </c>
      <c r="E87" s="286" t="s">
        <v>1106</v>
      </c>
      <c r="F87" s="286" t="s">
        <v>1168</v>
      </c>
      <c r="G87" s="286" t="s">
        <v>53</v>
      </c>
      <c r="H87" s="286" t="s">
        <v>53</v>
      </c>
      <c r="I87" s="286" t="s">
        <v>1128</v>
      </c>
      <c r="J87" s="286" t="s">
        <v>53</v>
      </c>
      <c r="K87" s="286" t="s">
        <v>53</v>
      </c>
      <c r="L87" s="286" t="s">
        <v>53</v>
      </c>
      <c r="M87" s="286" t="s">
        <v>53</v>
      </c>
      <c r="N87" s="287">
        <v>22720</v>
      </c>
      <c r="O87" s="305">
        <f t="shared" si="1"/>
        <v>44620</v>
      </c>
      <c r="P87" s="286" t="s">
        <v>47</v>
      </c>
    </row>
    <row r="88" spans="1:16" hidden="1" x14ac:dyDescent="0.15">
      <c r="A88" s="286">
        <v>971</v>
      </c>
      <c r="B88" s="288">
        <v>44616.750694444447</v>
      </c>
      <c r="C88" s="286" t="s">
        <v>1169</v>
      </c>
      <c r="D88" s="286" t="s">
        <v>1105</v>
      </c>
      <c r="E88" s="286" t="s">
        <v>1106</v>
      </c>
      <c r="F88" s="286" t="s">
        <v>1170</v>
      </c>
      <c r="G88" s="286" t="s">
        <v>53</v>
      </c>
      <c r="H88" s="286" t="s">
        <v>53</v>
      </c>
      <c r="I88" s="286" t="s">
        <v>1108</v>
      </c>
      <c r="J88" s="286" t="s">
        <v>53</v>
      </c>
      <c r="K88" s="286" t="s">
        <v>53</v>
      </c>
      <c r="L88" s="286" t="s">
        <v>53</v>
      </c>
      <c r="M88" s="286" t="s">
        <v>53</v>
      </c>
      <c r="N88" s="287">
        <v>93371.39</v>
      </c>
      <c r="O88" s="305">
        <f t="shared" si="1"/>
        <v>44620</v>
      </c>
      <c r="P88" s="286" t="s">
        <v>37</v>
      </c>
    </row>
    <row r="89" spans="1:16" hidden="1" x14ac:dyDescent="0.15">
      <c r="A89" s="286">
        <v>971</v>
      </c>
      <c r="B89" s="288">
        <v>44616.750694444447</v>
      </c>
      <c r="C89" s="286" t="s">
        <v>1169</v>
      </c>
      <c r="D89" s="286" t="s">
        <v>1105</v>
      </c>
      <c r="E89" s="286" t="s">
        <v>1106</v>
      </c>
      <c r="F89" s="286" t="s">
        <v>1170</v>
      </c>
      <c r="G89" s="286" t="s">
        <v>53</v>
      </c>
      <c r="H89" s="286" t="s">
        <v>53</v>
      </c>
      <c r="I89" s="286" t="s">
        <v>1152</v>
      </c>
      <c r="J89" s="286" t="s">
        <v>53</v>
      </c>
      <c r="K89" s="286" t="s">
        <v>53</v>
      </c>
      <c r="L89" s="286" t="s">
        <v>53</v>
      </c>
      <c r="M89" s="286" t="s">
        <v>53</v>
      </c>
      <c r="N89" s="287">
        <v>49998</v>
      </c>
      <c r="O89" s="305">
        <f t="shared" si="1"/>
        <v>44620</v>
      </c>
      <c r="P89" s="111" t="s">
        <v>58</v>
      </c>
    </row>
    <row r="90" spans="1:16" hidden="1" x14ac:dyDescent="0.15">
      <c r="A90" s="286">
        <v>971</v>
      </c>
      <c r="B90" s="288">
        <v>44616.750694444447</v>
      </c>
      <c r="C90" s="286" t="s">
        <v>1169</v>
      </c>
      <c r="D90" s="286" t="s">
        <v>1105</v>
      </c>
      <c r="E90" s="286" t="s">
        <v>1106</v>
      </c>
      <c r="F90" s="286" t="s">
        <v>1170</v>
      </c>
      <c r="G90" s="286" t="s">
        <v>53</v>
      </c>
      <c r="H90" s="286" t="s">
        <v>53</v>
      </c>
      <c r="I90" s="286" t="s">
        <v>1112</v>
      </c>
      <c r="J90" s="286" t="s">
        <v>53</v>
      </c>
      <c r="K90" s="286" t="s">
        <v>53</v>
      </c>
      <c r="L90" s="286" t="s">
        <v>53</v>
      </c>
      <c r="M90" s="286" t="s">
        <v>53</v>
      </c>
      <c r="N90" s="287">
        <v>41230</v>
      </c>
      <c r="O90" s="305">
        <f t="shared" si="1"/>
        <v>44620</v>
      </c>
      <c r="P90" s="286" t="s">
        <v>175</v>
      </c>
    </row>
    <row r="91" spans="1:16" hidden="1" x14ac:dyDescent="0.15">
      <c r="A91" s="286">
        <v>971</v>
      </c>
      <c r="B91" s="288">
        <v>44616.750694444447</v>
      </c>
      <c r="C91" s="286" t="s">
        <v>1169</v>
      </c>
      <c r="D91" s="286" t="s">
        <v>1105</v>
      </c>
      <c r="E91" s="286" t="s">
        <v>1106</v>
      </c>
      <c r="F91" s="286" t="s">
        <v>1170</v>
      </c>
      <c r="G91" s="286" t="s">
        <v>53</v>
      </c>
      <c r="H91" s="286" t="s">
        <v>53</v>
      </c>
      <c r="I91" s="286" t="s">
        <v>1128</v>
      </c>
      <c r="J91" s="286" t="s">
        <v>53</v>
      </c>
      <c r="K91" s="286" t="s">
        <v>53</v>
      </c>
      <c r="L91" s="286" t="s">
        <v>53</v>
      </c>
      <c r="M91" s="286" t="s">
        <v>53</v>
      </c>
      <c r="N91" s="287">
        <v>32490.77</v>
      </c>
      <c r="O91" s="305">
        <f t="shared" si="1"/>
        <v>44620</v>
      </c>
      <c r="P91" s="286" t="s">
        <v>47</v>
      </c>
    </row>
    <row r="92" spans="1:16" hidden="1" x14ac:dyDescent="0.15">
      <c r="A92" s="286">
        <v>971</v>
      </c>
      <c r="B92" s="288">
        <v>44616.750694444447</v>
      </c>
      <c r="C92" s="286" t="s">
        <v>1169</v>
      </c>
      <c r="D92" s="286" t="s">
        <v>1105</v>
      </c>
      <c r="E92" s="286" t="s">
        <v>1106</v>
      </c>
      <c r="F92" s="286" t="s">
        <v>1170</v>
      </c>
      <c r="G92" s="286" t="s">
        <v>53</v>
      </c>
      <c r="H92" s="286" t="s">
        <v>53</v>
      </c>
      <c r="I92" s="286" t="s">
        <v>1109</v>
      </c>
      <c r="J92" s="286" t="s">
        <v>53</v>
      </c>
      <c r="K92" s="286" t="s">
        <v>53</v>
      </c>
      <c r="L92" s="286" t="s">
        <v>53</v>
      </c>
      <c r="M92" s="286" t="s">
        <v>53</v>
      </c>
      <c r="N92" s="287">
        <v>0.46</v>
      </c>
      <c r="O92" s="305">
        <f t="shared" si="1"/>
        <v>44620</v>
      </c>
    </row>
    <row r="93" spans="1:16" hidden="1" x14ac:dyDescent="0.15">
      <c r="A93" s="286">
        <v>1060</v>
      </c>
      <c r="B93" s="288">
        <v>44616.780555555553</v>
      </c>
      <c r="C93" s="286" t="s">
        <v>1171</v>
      </c>
      <c r="D93" s="286" t="s">
        <v>1105</v>
      </c>
      <c r="E93" s="286" t="s">
        <v>1106</v>
      </c>
      <c r="F93" s="286" t="s">
        <v>1172</v>
      </c>
      <c r="G93" s="286" t="s">
        <v>53</v>
      </c>
      <c r="H93" s="286" t="s">
        <v>53</v>
      </c>
      <c r="I93" s="286" t="s">
        <v>1173</v>
      </c>
      <c r="J93" s="286" t="s">
        <v>53</v>
      </c>
      <c r="K93" s="286" t="s">
        <v>53</v>
      </c>
      <c r="L93" s="286" t="s">
        <v>53</v>
      </c>
      <c r="M93" s="286" t="s">
        <v>53</v>
      </c>
      <c r="N93" s="287">
        <v>101784</v>
      </c>
      <c r="O93" s="305">
        <f t="shared" si="1"/>
        <v>44620</v>
      </c>
      <c r="P93" s="286" t="s">
        <v>58</v>
      </c>
    </row>
    <row r="94" spans="1:16" hidden="1" x14ac:dyDescent="0.15">
      <c r="A94" s="286">
        <v>1060</v>
      </c>
      <c r="B94" s="288">
        <v>44616.780555555553</v>
      </c>
      <c r="C94" s="286" t="s">
        <v>1171</v>
      </c>
      <c r="D94" s="286" t="s">
        <v>1105</v>
      </c>
      <c r="E94" s="286" t="s">
        <v>1106</v>
      </c>
      <c r="F94" s="286" t="s">
        <v>1172</v>
      </c>
      <c r="G94" s="286" t="s">
        <v>53</v>
      </c>
      <c r="H94" s="286" t="s">
        <v>53</v>
      </c>
      <c r="I94" s="286" t="s">
        <v>1108</v>
      </c>
      <c r="J94" s="286" t="s">
        <v>53</v>
      </c>
      <c r="K94" s="286" t="s">
        <v>53</v>
      </c>
      <c r="L94" s="286" t="s">
        <v>53</v>
      </c>
      <c r="M94" s="286" t="s">
        <v>53</v>
      </c>
      <c r="N94" s="287">
        <v>79784.77</v>
      </c>
      <c r="O94" s="305">
        <f t="shared" si="1"/>
        <v>44620</v>
      </c>
      <c r="P94" s="286" t="s">
        <v>37</v>
      </c>
    </row>
    <row r="95" spans="1:16" hidden="1" x14ac:dyDescent="0.15">
      <c r="A95" s="286">
        <v>1060</v>
      </c>
      <c r="B95" s="288">
        <v>44616.780555555553</v>
      </c>
      <c r="C95" s="286" t="s">
        <v>1171</v>
      </c>
      <c r="D95" s="286" t="s">
        <v>1105</v>
      </c>
      <c r="E95" s="286" t="s">
        <v>1106</v>
      </c>
      <c r="F95" s="286" t="s">
        <v>1172</v>
      </c>
      <c r="G95" s="286" t="s">
        <v>53</v>
      </c>
      <c r="H95" s="286" t="s">
        <v>53</v>
      </c>
      <c r="I95" s="286" t="s">
        <v>1128</v>
      </c>
      <c r="J95" s="286" t="s">
        <v>53</v>
      </c>
      <c r="K95" s="286" t="s">
        <v>53</v>
      </c>
      <c r="L95" s="286" t="s">
        <v>53</v>
      </c>
      <c r="M95" s="286" t="s">
        <v>53</v>
      </c>
      <c r="N95" s="287">
        <v>16771</v>
      </c>
      <c r="O95" s="305">
        <f t="shared" si="1"/>
        <v>44620</v>
      </c>
      <c r="P95" s="286" t="s">
        <v>47</v>
      </c>
    </row>
    <row r="96" spans="1:16" hidden="1" x14ac:dyDescent="0.15">
      <c r="A96" s="286">
        <v>1060</v>
      </c>
      <c r="B96" s="288">
        <v>44616.780555555553</v>
      </c>
      <c r="C96" s="286" t="s">
        <v>1171</v>
      </c>
      <c r="D96" s="286" t="s">
        <v>1105</v>
      </c>
      <c r="E96" s="286" t="s">
        <v>1106</v>
      </c>
      <c r="F96" s="286" t="s">
        <v>1172</v>
      </c>
      <c r="G96" s="286" t="s">
        <v>53</v>
      </c>
      <c r="H96" s="286" t="s">
        <v>53</v>
      </c>
      <c r="I96" s="286" t="s">
        <v>1129</v>
      </c>
      <c r="J96" s="286" t="s">
        <v>53</v>
      </c>
      <c r="K96" s="286" t="s">
        <v>53</v>
      </c>
      <c r="L96" s="286" t="s">
        <v>53</v>
      </c>
      <c r="M96" s="286" t="s">
        <v>53</v>
      </c>
      <c r="N96" s="287">
        <v>4403.6000000000004</v>
      </c>
      <c r="O96" s="305">
        <f t="shared" si="1"/>
        <v>44620</v>
      </c>
      <c r="P96" s="286" t="s">
        <v>164</v>
      </c>
    </row>
    <row r="97" spans="1:16" hidden="1" x14ac:dyDescent="0.15">
      <c r="A97" s="286">
        <v>1061</v>
      </c>
      <c r="B97" s="288">
        <v>44616.780555555553</v>
      </c>
      <c r="C97" s="286" t="s">
        <v>1174</v>
      </c>
      <c r="D97" s="286" t="s">
        <v>1105</v>
      </c>
      <c r="E97" s="286" t="s">
        <v>1106</v>
      </c>
      <c r="F97" s="286" t="s">
        <v>1175</v>
      </c>
      <c r="G97" s="286" t="s">
        <v>53</v>
      </c>
      <c r="H97" s="286" t="s">
        <v>53</v>
      </c>
      <c r="I97" s="286" t="s">
        <v>1108</v>
      </c>
      <c r="J97" s="286" t="s">
        <v>53</v>
      </c>
      <c r="K97" s="286" t="s">
        <v>53</v>
      </c>
      <c r="L97" s="286" t="s">
        <v>53</v>
      </c>
      <c r="M97" s="286" t="s">
        <v>53</v>
      </c>
      <c r="N97" s="287">
        <v>136977.17000000001</v>
      </c>
      <c r="O97" s="305">
        <f t="shared" si="1"/>
        <v>44620</v>
      </c>
      <c r="P97" s="286" t="s">
        <v>37</v>
      </c>
    </row>
    <row r="98" spans="1:16" hidden="1" x14ac:dyDescent="0.15">
      <c r="A98" s="286">
        <v>1061</v>
      </c>
      <c r="B98" s="288">
        <v>44616.780555555553</v>
      </c>
      <c r="C98" s="286" t="s">
        <v>1174</v>
      </c>
      <c r="D98" s="286" t="s">
        <v>1105</v>
      </c>
      <c r="E98" s="286" t="s">
        <v>1106</v>
      </c>
      <c r="F98" s="286" t="s">
        <v>1175</v>
      </c>
      <c r="G98" s="286" t="s">
        <v>53</v>
      </c>
      <c r="H98" s="286" t="s">
        <v>53</v>
      </c>
      <c r="I98" s="286" t="s">
        <v>1128</v>
      </c>
      <c r="J98" s="286" t="s">
        <v>53</v>
      </c>
      <c r="K98" s="286" t="s">
        <v>53</v>
      </c>
      <c r="L98" s="286" t="s">
        <v>53</v>
      </c>
      <c r="M98" s="286" t="s">
        <v>53</v>
      </c>
      <c r="N98" s="287">
        <v>59522</v>
      </c>
      <c r="O98" s="305">
        <f t="shared" si="1"/>
        <v>44620</v>
      </c>
      <c r="P98" s="286" t="s">
        <v>47</v>
      </c>
    </row>
    <row r="99" spans="1:16" hidden="1" x14ac:dyDescent="0.15">
      <c r="A99" s="286">
        <v>1061</v>
      </c>
      <c r="B99" s="288">
        <v>44616.780555555553</v>
      </c>
      <c r="C99" s="286" t="s">
        <v>1174</v>
      </c>
      <c r="D99" s="286" t="s">
        <v>1105</v>
      </c>
      <c r="E99" s="286" t="s">
        <v>1106</v>
      </c>
      <c r="F99" s="286" t="s">
        <v>1175</v>
      </c>
      <c r="G99" s="286" t="s">
        <v>53</v>
      </c>
      <c r="H99" s="286" t="s">
        <v>53</v>
      </c>
      <c r="I99" s="286" t="s">
        <v>1152</v>
      </c>
      <c r="J99" s="286" t="s">
        <v>53</v>
      </c>
      <c r="K99" s="286" t="s">
        <v>53</v>
      </c>
      <c r="L99" s="286" t="s">
        <v>53</v>
      </c>
      <c r="M99" s="286" t="s">
        <v>53</v>
      </c>
      <c r="N99" s="287">
        <v>30905</v>
      </c>
      <c r="O99" s="305">
        <f t="shared" si="1"/>
        <v>44620</v>
      </c>
      <c r="P99" s="111" t="s">
        <v>58</v>
      </c>
    </row>
    <row r="100" spans="1:16" hidden="1" x14ac:dyDescent="0.15">
      <c r="A100" s="286">
        <v>1061</v>
      </c>
      <c r="B100" s="288">
        <v>44616.780555555553</v>
      </c>
      <c r="C100" s="286" t="s">
        <v>1174</v>
      </c>
      <c r="D100" s="286" t="s">
        <v>1105</v>
      </c>
      <c r="E100" s="286" t="s">
        <v>1106</v>
      </c>
      <c r="F100" s="286" t="s">
        <v>1175</v>
      </c>
      <c r="G100" s="286" t="s">
        <v>53</v>
      </c>
      <c r="H100" s="286" t="s">
        <v>53</v>
      </c>
      <c r="I100" s="286" t="s">
        <v>1129</v>
      </c>
      <c r="J100" s="286" t="s">
        <v>53</v>
      </c>
      <c r="K100" s="286" t="s">
        <v>53</v>
      </c>
      <c r="L100" s="286" t="s">
        <v>53</v>
      </c>
      <c r="M100" s="286" t="s">
        <v>53</v>
      </c>
      <c r="N100" s="287">
        <v>-803.85</v>
      </c>
      <c r="O100" s="305">
        <f t="shared" si="1"/>
        <v>44620</v>
      </c>
      <c r="P100" s="286" t="s">
        <v>164</v>
      </c>
    </row>
    <row r="101" spans="1:16" hidden="1" x14ac:dyDescent="0.15">
      <c r="A101" s="286">
        <v>1062</v>
      </c>
      <c r="B101" s="288">
        <v>44616.780555555553</v>
      </c>
      <c r="C101" s="286" t="s">
        <v>1176</v>
      </c>
      <c r="D101" s="286" t="s">
        <v>1105</v>
      </c>
      <c r="E101" s="286" t="s">
        <v>1106</v>
      </c>
      <c r="F101" s="286" t="s">
        <v>1177</v>
      </c>
      <c r="G101" s="286" t="s">
        <v>53</v>
      </c>
      <c r="H101" s="286" t="s">
        <v>53</v>
      </c>
      <c r="I101" s="286" t="s">
        <v>1108</v>
      </c>
      <c r="J101" s="286" t="s">
        <v>53</v>
      </c>
      <c r="K101" s="286" t="s">
        <v>53</v>
      </c>
      <c r="L101" s="286" t="s">
        <v>53</v>
      </c>
      <c r="M101" s="286" t="s">
        <v>53</v>
      </c>
      <c r="N101" s="287">
        <v>478082</v>
      </c>
      <c r="O101" s="305">
        <f t="shared" si="1"/>
        <v>44620</v>
      </c>
      <c r="P101" s="286" t="s">
        <v>37</v>
      </c>
    </row>
    <row r="102" spans="1:16" hidden="1" x14ac:dyDescent="0.15">
      <c r="A102" s="286">
        <v>1062</v>
      </c>
      <c r="B102" s="288">
        <v>44616.780555555553</v>
      </c>
      <c r="C102" s="286" t="s">
        <v>1176</v>
      </c>
      <c r="D102" s="286" t="s">
        <v>1105</v>
      </c>
      <c r="E102" s="286" t="s">
        <v>1106</v>
      </c>
      <c r="F102" s="286" t="s">
        <v>1177</v>
      </c>
      <c r="G102" s="286" t="s">
        <v>53</v>
      </c>
      <c r="H102" s="286" t="s">
        <v>53</v>
      </c>
      <c r="I102" s="286" t="s">
        <v>1128</v>
      </c>
      <c r="J102" s="286" t="s">
        <v>53</v>
      </c>
      <c r="K102" s="286" t="s">
        <v>53</v>
      </c>
      <c r="L102" s="286" t="s">
        <v>53</v>
      </c>
      <c r="M102" s="286" t="s">
        <v>53</v>
      </c>
      <c r="N102" s="287">
        <v>53992</v>
      </c>
      <c r="O102" s="305">
        <f t="shared" si="1"/>
        <v>44620</v>
      </c>
      <c r="P102" s="286" t="s">
        <v>47</v>
      </c>
    </row>
    <row r="103" spans="1:16" hidden="1" x14ac:dyDescent="0.15">
      <c r="A103" s="286">
        <v>1062</v>
      </c>
      <c r="B103" s="288">
        <v>44616.780555555553</v>
      </c>
      <c r="C103" s="286" t="s">
        <v>1176</v>
      </c>
      <c r="D103" s="286" t="s">
        <v>1105</v>
      </c>
      <c r="E103" s="286" t="s">
        <v>1106</v>
      </c>
      <c r="F103" s="286" t="s">
        <v>1177</v>
      </c>
      <c r="G103" s="286" t="s">
        <v>53</v>
      </c>
      <c r="H103" s="286" t="s">
        <v>53</v>
      </c>
      <c r="I103" s="286" t="s">
        <v>1112</v>
      </c>
      <c r="J103" s="286" t="s">
        <v>53</v>
      </c>
      <c r="K103" s="286" t="s">
        <v>53</v>
      </c>
      <c r="L103" s="286" t="s">
        <v>53</v>
      </c>
      <c r="M103" s="286" t="s">
        <v>53</v>
      </c>
      <c r="N103" s="287">
        <v>35900</v>
      </c>
      <c r="O103" s="305">
        <f t="shared" si="1"/>
        <v>44620</v>
      </c>
      <c r="P103" s="286" t="s">
        <v>175</v>
      </c>
    </row>
    <row r="104" spans="1:16" hidden="1" x14ac:dyDescent="0.15">
      <c r="A104" s="286">
        <v>1062</v>
      </c>
      <c r="B104" s="288">
        <v>44616.780555555553</v>
      </c>
      <c r="C104" s="286" t="s">
        <v>1176</v>
      </c>
      <c r="D104" s="286" t="s">
        <v>1105</v>
      </c>
      <c r="E104" s="286" t="s">
        <v>1106</v>
      </c>
      <c r="F104" s="286" t="s">
        <v>1177</v>
      </c>
      <c r="G104" s="286" t="s">
        <v>53</v>
      </c>
      <c r="H104" s="286" t="s">
        <v>53</v>
      </c>
      <c r="I104" s="286" t="s">
        <v>1152</v>
      </c>
      <c r="J104" s="286" t="s">
        <v>53</v>
      </c>
      <c r="K104" s="286" t="s">
        <v>53</v>
      </c>
      <c r="L104" s="286" t="s">
        <v>53</v>
      </c>
      <c r="M104" s="286" t="s">
        <v>53</v>
      </c>
      <c r="N104" s="287">
        <v>5000</v>
      </c>
      <c r="O104" s="305">
        <f t="shared" si="1"/>
        <v>44620</v>
      </c>
      <c r="P104" s="111" t="s">
        <v>58</v>
      </c>
    </row>
    <row r="105" spans="1:16" hidden="1" x14ac:dyDescent="0.15">
      <c r="A105" s="286">
        <v>1062</v>
      </c>
      <c r="B105" s="288">
        <v>44616.780555555553</v>
      </c>
      <c r="C105" s="286" t="s">
        <v>1176</v>
      </c>
      <c r="D105" s="286" t="s">
        <v>1105</v>
      </c>
      <c r="E105" s="286" t="s">
        <v>1106</v>
      </c>
      <c r="F105" s="286" t="s">
        <v>1177</v>
      </c>
      <c r="G105" s="286" t="s">
        <v>53</v>
      </c>
      <c r="H105" s="286" t="s">
        <v>53</v>
      </c>
      <c r="I105" s="286" t="s">
        <v>1129</v>
      </c>
      <c r="J105" s="286" t="s">
        <v>53</v>
      </c>
      <c r="K105" s="286" t="s">
        <v>53</v>
      </c>
      <c r="L105" s="286" t="s">
        <v>53</v>
      </c>
      <c r="M105" s="286" t="s">
        <v>53</v>
      </c>
      <c r="N105" s="287">
        <v>3388.65</v>
      </c>
      <c r="O105" s="305">
        <f t="shared" si="1"/>
        <v>44620</v>
      </c>
      <c r="P105" s="286" t="s">
        <v>164</v>
      </c>
    </row>
    <row r="106" spans="1:16" hidden="1" x14ac:dyDescent="0.15">
      <c r="A106" s="286">
        <v>1063</v>
      </c>
      <c r="B106" s="288">
        <v>44616.780555555553</v>
      </c>
      <c r="C106" s="286" t="s">
        <v>1178</v>
      </c>
      <c r="D106" s="286" t="s">
        <v>1105</v>
      </c>
      <c r="E106" s="286" t="s">
        <v>1106</v>
      </c>
      <c r="F106" s="286" t="s">
        <v>1179</v>
      </c>
      <c r="G106" s="286" t="s">
        <v>53</v>
      </c>
      <c r="H106" s="286" t="s">
        <v>53</v>
      </c>
      <c r="I106" s="286" t="s">
        <v>1112</v>
      </c>
      <c r="J106" s="286" t="s">
        <v>53</v>
      </c>
      <c r="K106" s="286" t="s">
        <v>53</v>
      </c>
      <c r="L106" s="286" t="s">
        <v>53</v>
      </c>
      <c r="M106" s="286" t="s">
        <v>53</v>
      </c>
      <c r="N106" s="287">
        <v>48000</v>
      </c>
      <c r="O106" s="305">
        <f t="shared" si="1"/>
        <v>44620</v>
      </c>
      <c r="P106" s="286" t="s">
        <v>175</v>
      </c>
    </row>
    <row r="107" spans="1:16" hidden="1" x14ac:dyDescent="0.15">
      <c r="A107" s="286">
        <v>1063</v>
      </c>
      <c r="B107" s="288">
        <v>44616.780555555553</v>
      </c>
      <c r="C107" s="286" t="s">
        <v>1178</v>
      </c>
      <c r="D107" s="286" t="s">
        <v>1105</v>
      </c>
      <c r="E107" s="286" t="s">
        <v>1106</v>
      </c>
      <c r="F107" s="286" t="s">
        <v>1179</v>
      </c>
      <c r="G107" s="286" t="s">
        <v>53</v>
      </c>
      <c r="H107" s="286" t="s">
        <v>53</v>
      </c>
      <c r="I107" s="286" t="s">
        <v>1152</v>
      </c>
      <c r="J107" s="286" t="s">
        <v>53</v>
      </c>
      <c r="K107" s="286" t="s">
        <v>53</v>
      </c>
      <c r="L107" s="286" t="s">
        <v>53</v>
      </c>
      <c r="M107" s="286" t="s">
        <v>53</v>
      </c>
      <c r="N107" s="287">
        <v>45905</v>
      </c>
      <c r="O107" s="305">
        <f t="shared" si="1"/>
        <v>44620</v>
      </c>
      <c r="P107" s="111" t="s">
        <v>58</v>
      </c>
    </row>
    <row r="108" spans="1:16" hidden="1" x14ac:dyDescent="0.15">
      <c r="A108" s="286">
        <v>1063</v>
      </c>
      <c r="B108" s="288">
        <v>44616.780555555553</v>
      </c>
      <c r="C108" s="286" t="s">
        <v>1178</v>
      </c>
      <c r="D108" s="286" t="s">
        <v>1105</v>
      </c>
      <c r="E108" s="286" t="s">
        <v>1106</v>
      </c>
      <c r="F108" s="286" t="s">
        <v>1179</v>
      </c>
      <c r="G108" s="286" t="s">
        <v>53</v>
      </c>
      <c r="H108" s="286" t="s">
        <v>53</v>
      </c>
      <c r="I108" s="286" t="s">
        <v>1129</v>
      </c>
      <c r="J108" s="286" t="s">
        <v>53</v>
      </c>
      <c r="K108" s="286" t="s">
        <v>53</v>
      </c>
      <c r="L108" s="286" t="s">
        <v>53</v>
      </c>
      <c r="M108" s="286" t="s">
        <v>53</v>
      </c>
      <c r="N108" s="287">
        <v>8159.05</v>
      </c>
      <c r="O108" s="305">
        <f t="shared" si="1"/>
        <v>44620</v>
      </c>
      <c r="P108" s="286" t="s">
        <v>164</v>
      </c>
    </row>
    <row r="109" spans="1:16" hidden="1" x14ac:dyDescent="0.15">
      <c r="A109" s="286">
        <v>1063</v>
      </c>
      <c r="B109" s="288">
        <v>44616.780555555553</v>
      </c>
      <c r="C109" s="286" t="s">
        <v>1178</v>
      </c>
      <c r="D109" s="286" t="s">
        <v>1105</v>
      </c>
      <c r="E109" s="286" t="s">
        <v>1106</v>
      </c>
      <c r="F109" s="286" t="s">
        <v>1179</v>
      </c>
      <c r="G109" s="286" t="s">
        <v>53</v>
      </c>
      <c r="H109" s="286" t="s">
        <v>53</v>
      </c>
      <c r="I109" s="286" t="s">
        <v>1128</v>
      </c>
      <c r="J109" s="286" t="s">
        <v>53</v>
      </c>
      <c r="K109" s="286" t="s">
        <v>53</v>
      </c>
      <c r="L109" s="286" t="s">
        <v>53</v>
      </c>
      <c r="M109" s="286" t="s">
        <v>53</v>
      </c>
      <c r="N109" s="287">
        <v>5675</v>
      </c>
      <c r="O109" s="305">
        <f t="shared" si="1"/>
        <v>44620</v>
      </c>
      <c r="P109" s="286" t="s">
        <v>47</v>
      </c>
    </row>
    <row r="110" spans="1:16" hidden="1" x14ac:dyDescent="0.15">
      <c r="A110" s="286">
        <v>1064</v>
      </c>
      <c r="B110" s="288">
        <v>44616.780555555553</v>
      </c>
      <c r="C110" s="286" t="s">
        <v>1180</v>
      </c>
      <c r="D110" s="286" t="s">
        <v>1105</v>
      </c>
      <c r="E110" s="286" t="s">
        <v>1106</v>
      </c>
      <c r="F110" s="286" t="s">
        <v>1181</v>
      </c>
      <c r="G110" s="286" t="s">
        <v>53</v>
      </c>
      <c r="H110" s="286" t="s">
        <v>53</v>
      </c>
      <c r="I110" s="286" t="s">
        <v>1112</v>
      </c>
      <c r="J110" s="286" t="s">
        <v>53</v>
      </c>
      <c r="K110" s="286" t="s">
        <v>53</v>
      </c>
      <c r="L110" s="286" t="s">
        <v>53</v>
      </c>
      <c r="M110" s="286" t="s">
        <v>53</v>
      </c>
      <c r="N110" s="287">
        <v>41760</v>
      </c>
      <c r="O110" s="305">
        <f t="shared" si="1"/>
        <v>44620</v>
      </c>
      <c r="P110" s="286" t="s">
        <v>175</v>
      </c>
    </row>
    <row r="111" spans="1:16" hidden="1" x14ac:dyDescent="0.15">
      <c r="A111" s="286">
        <v>1064</v>
      </c>
      <c r="B111" s="288">
        <v>44616.780555555553</v>
      </c>
      <c r="C111" s="286" t="s">
        <v>1180</v>
      </c>
      <c r="D111" s="286" t="s">
        <v>1105</v>
      </c>
      <c r="E111" s="286" t="s">
        <v>1106</v>
      </c>
      <c r="F111" s="286" t="s">
        <v>1181</v>
      </c>
      <c r="G111" s="286" t="s">
        <v>53</v>
      </c>
      <c r="H111" s="286" t="s">
        <v>53</v>
      </c>
      <c r="I111" s="286" t="s">
        <v>1129</v>
      </c>
      <c r="J111" s="286" t="s">
        <v>53</v>
      </c>
      <c r="K111" s="286" t="s">
        <v>53</v>
      </c>
      <c r="L111" s="286" t="s">
        <v>53</v>
      </c>
      <c r="M111" s="286" t="s">
        <v>53</v>
      </c>
      <c r="N111" s="287">
        <v>1417.02</v>
      </c>
      <c r="O111" s="305">
        <f t="shared" si="1"/>
        <v>44620</v>
      </c>
      <c r="P111" s="286" t="s">
        <v>164</v>
      </c>
    </row>
    <row r="112" spans="1:16" hidden="1" x14ac:dyDescent="0.15">
      <c r="A112" s="286">
        <v>1065</v>
      </c>
      <c r="B112" s="288">
        <v>44616.780555555553</v>
      </c>
      <c r="C112" s="286" t="s">
        <v>1182</v>
      </c>
      <c r="D112" s="286" t="s">
        <v>1105</v>
      </c>
      <c r="E112" s="286" t="s">
        <v>1106</v>
      </c>
      <c r="F112" s="286" t="s">
        <v>1183</v>
      </c>
      <c r="G112" s="286" t="s">
        <v>53</v>
      </c>
      <c r="H112" s="286" t="s">
        <v>53</v>
      </c>
      <c r="I112" s="286" t="s">
        <v>1108</v>
      </c>
      <c r="J112" s="286" t="s">
        <v>53</v>
      </c>
      <c r="K112" s="286" t="s">
        <v>53</v>
      </c>
      <c r="L112" s="286" t="s">
        <v>53</v>
      </c>
      <c r="M112" s="286" t="s">
        <v>53</v>
      </c>
      <c r="N112" s="287">
        <v>37000</v>
      </c>
      <c r="O112" s="305">
        <f t="shared" si="1"/>
        <v>44620</v>
      </c>
      <c r="P112" s="286" t="s">
        <v>37</v>
      </c>
    </row>
    <row r="113" spans="1:16" hidden="1" x14ac:dyDescent="0.15">
      <c r="A113" s="286">
        <v>1065</v>
      </c>
      <c r="B113" s="288">
        <v>44616.780555555553</v>
      </c>
      <c r="C113" s="286" t="s">
        <v>1182</v>
      </c>
      <c r="D113" s="286" t="s">
        <v>1105</v>
      </c>
      <c r="E113" s="286" t="s">
        <v>1106</v>
      </c>
      <c r="F113" s="286" t="s">
        <v>1183</v>
      </c>
      <c r="G113" s="286" t="s">
        <v>53</v>
      </c>
      <c r="H113" s="286" t="s">
        <v>53</v>
      </c>
      <c r="I113" s="286" t="s">
        <v>1112</v>
      </c>
      <c r="J113" s="286" t="s">
        <v>53</v>
      </c>
      <c r="K113" s="286" t="s">
        <v>53</v>
      </c>
      <c r="L113" s="286" t="s">
        <v>53</v>
      </c>
      <c r="M113" s="286" t="s">
        <v>53</v>
      </c>
      <c r="N113" s="287">
        <v>11353.71</v>
      </c>
      <c r="O113" s="305">
        <f t="shared" si="1"/>
        <v>44620</v>
      </c>
      <c r="P113" s="286" t="s">
        <v>175</v>
      </c>
    </row>
    <row r="114" spans="1:16" hidden="1" x14ac:dyDescent="0.15">
      <c r="A114" s="286">
        <v>1065</v>
      </c>
      <c r="B114" s="288">
        <v>44616.780555555553</v>
      </c>
      <c r="C114" s="286" t="s">
        <v>1182</v>
      </c>
      <c r="D114" s="286" t="s">
        <v>1105</v>
      </c>
      <c r="E114" s="286" t="s">
        <v>1106</v>
      </c>
      <c r="F114" s="286" t="s">
        <v>1183</v>
      </c>
      <c r="G114" s="286" t="s">
        <v>53</v>
      </c>
      <c r="H114" s="286" t="s">
        <v>53</v>
      </c>
      <c r="I114" s="286" t="s">
        <v>1173</v>
      </c>
      <c r="J114" s="286" t="s">
        <v>53</v>
      </c>
      <c r="K114" s="286" t="s">
        <v>53</v>
      </c>
      <c r="L114" s="286" t="s">
        <v>53</v>
      </c>
      <c r="M114" s="286" t="s">
        <v>53</v>
      </c>
      <c r="N114" s="287">
        <v>10800</v>
      </c>
      <c r="O114" s="305">
        <f t="shared" si="1"/>
        <v>44620</v>
      </c>
      <c r="P114" s="286" t="s">
        <v>58</v>
      </c>
    </row>
    <row r="115" spans="1:16" hidden="1" x14ac:dyDescent="0.15">
      <c r="A115" s="286">
        <v>1065</v>
      </c>
      <c r="B115" s="288">
        <v>44616.780555555553</v>
      </c>
      <c r="C115" s="286" t="s">
        <v>1182</v>
      </c>
      <c r="D115" s="286" t="s">
        <v>1105</v>
      </c>
      <c r="E115" s="286" t="s">
        <v>1106</v>
      </c>
      <c r="F115" s="286" t="s">
        <v>1183</v>
      </c>
      <c r="G115" s="286" t="s">
        <v>53</v>
      </c>
      <c r="H115" s="286" t="s">
        <v>53</v>
      </c>
      <c r="I115" s="286" t="s">
        <v>1129</v>
      </c>
      <c r="J115" s="286" t="s">
        <v>53</v>
      </c>
      <c r="K115" s="286" t="s">
        <v>53</v>
      </c>
      <c r="L115" s="286" t="s">
        <v>53</v>
      </c>
      <c r="M115" s="286" t="s">
        <v>53</v>
      </c>
      <c r="N115" s="287">
        <v>2259.64</v>
      </c>
      <c r="O115" s="305">
        <f t="shared" si="1"/>
        <v>44620</v>
      </c>
      <c r="P115" s="286" t="s">
        <v>164</v>
      </c>
    </row>
    <row r="116" spans="1:16" hidden="1" x14ac:dyDescent="0.15">
      <c r="A116" s="286">
        <v>1066</v>
      </c>
      <c r="B116" s="288">
        <v>44616.780555555553</v>
      </c>
      <c r="C116" s="286" t="s">
        <v>1184</v>
      </c>
      <c r="D116" s="286" t="s">
        <v>1105</v>
      </c>
      <c r="E116" s="286" t="s">
        <v>1106</v>
      </c>
      <c r="F116" s="286" t="s">
        <v>1185</v>
      </c>
      <c r="G116" s="286" t="s">
        <v>53</v>
      </c>
      <c r="H116" s="286" t="s">
        <v>53</v>
      </c>
      <c r="I116" s="286" t="s">
        <v>1108</v>
      </c>
      <c r="J116" s="286" t="s">
        <v>53</v>
      </c>
      <c r="K116" s="286" t="s">
        <v>53</v>
      </c>
      <c r="L116" s="286" t="s">
        <v>53</v>
      </c>
      <c r="M116" s="286" t="s">
        <v>53</v>
      </c>
      <c r="N116" s="287">
        <v>668868</v>
      </c>
      <c r="O116" s="305">
        <f t="shared" si="1"/>
        <v>44620</v>
      </c>
      <c r="P116" s="286" t="s">
        <v>37</v>
      </c>
    </row>
    <row r="117" spans="1:16" hidden="1" x14ac:dyDescent="0.15">
      <c r="A117" s="286">
        <v>1066</v>
      </c>
      <c r="B117" s="288">
        <v>44616.780555555553</v>
      </c>
      <c r="C117" s="286" t="s">
        <v>1184</v>
      </c>
      <c r="D117" s="286" t="s">
        <v>1105</v>
      </c>
      <c r="E117" s="286" t="s">
        <v>1106</v>
      </c>
      <c r="F117" s="286" t="s">
        <v>1185</v>
      </c>
      <c r="G117" s="286" t="s">
        <v>53</v>
      </c>
      <c r="H117" s="286" t="s">
        <v>53</v>
      </c>
      <c r="I117" s="286" t="s">
        <v>1173</v>
      </c>
      <c r="J117" s="286" t="s">
        <v>53</v>
      </c>
      <c r="K117" s="286" t="s">
        <v>53</v>
      </c>
      <c r="L117" s="286" t="s">
        <v>53</v>
      </c>
      <c r="M117" s="286" t="s">
        <v>53</v>
      </c>
      <c r="N117" s="287">
        <v>58188</v>
      </c>
      <c r="O117" s="305">
        <f t="shared" si="1"/>
        <v>44620</v>
      </c>
      <c r="P117" s="286" t="s">
        <v>58</v>
      </c>
    </row>
    <row r="118" spans="1:16" hidden="1" x14ac:dyDescent="0.15">
      <c r="A118" s="286">
        <v>1066</v>
      </c>
      <c r="B118" s="288">
        <v>44616.780555555553</v>
      </c>
      <c r="C118" s="286" t="s">
        <v>1184</v>
      </c>
      <c r="D118" s="286" t="s">
        <v>1105</v>
      </c>
      <c r="E118" s="286" t="s">
        <v>1106</v>
      </c>
      <c r="F118" s="286" t="s">
        <v>1185</v>
      </c>
      <c r="G118" s="286" t="s">
        <v>53</v>
      </c>
      <c r="H118" s="286" t="s">
        <v>53</v>
      </c>
      <c r="I118" s="286" t="s">
        <v>1112</v>
      </c>
      <c r="J118" s="286" t="s">
        <v>53</v>
      </c>
      <c r="K118" s="286" t="s">
        <v>53</v>
      </c>
      <c r="L118" s="286" t="s">
        <v>53</v>
      </c>
      <c r="M118" s="286" t="s">
        <v>53</v>
      </c>
      <c r="N118" s="287">
        <v>10250</v>
      </c>
      <c r="O118" s="305">
        <f t="shared" si="1"/>
        <v>44620</v>
      </c>
      <c r="P118" s="286" t="s">
        <v>175</v>
      </c>
    </row>
    <row r="119" spans="1:16" hidden="1" x14ac:dyDescent="0.15">
      <c r="A119" s="286">
        <v>1066</v>
      </c>
      <c r="B119" s="288">
        <v>44616.780555555553</v>
      </c>
      <c r="C119" s="286" t="s">
        <v>1184</v>
      </c>
      <c r="D119" s="286" t="s">
        <v>1105</v>
      </c>
      <c r="E119" s="286" t="s">
        <v>1106</v>
      </c>
      <c r="F119" s="286" t="s">
        <v>1185</v>
      </c>
      <c r="G119" s="286" t="s">
        <v>53</v>
      </c>
      <c r="H119" s="286" t="s">
        <v>53</v>
      </c>
      <c r="I119" s="286" t="s">
        <v>1129</v>
      </c>
      <c r="J119" s="286" t="s">
        <v>53</v>
      </c>
      <c r="K119" s="286" t="s">
        <v>53</v>
      </c>
      <c r="L119" s="286" t="s">
        <v>53</v>
      </c>
      <c r="M119" s="286" t="s">
        <v>53</v>
      </c>
      <c r="N119" s="287">
        <v>398.95</v>
      </c>
      <c r="O119" s="305">
        <f t="shared" si="1"/>
        <v>44620</v>
      </c>
      <c r="P119" s="286" t="s">
        <v>164</v>
      </c>
    </row>
    <row r="120" spans="1:16" hidden="1" x14ac:dyDescent="0.15">
      <c r="A120" s="286">
        <v>1067</v>
      </c>
      <c r="B120" s="288">
        <v>44616.780555555553</v>
      </c>
      <c r="C120" s="286" t="s">
        <v>1186</v>
      </c>
      <c r="D120" s="286" t="s">
        <v>1105</v>
      </c>
      <c r="E120" s="286" t="s">
        <v>1106</v>
      </c>
      <c r="F120" s="286" t="s">
        <v>1187</v>
      </c>
      <c r="G120" s="286" t="s">
        <v>53</v>
      </c>
      <c r="H120" s="286" t="s">
        <v>53</v>
      </c>
      <c r="I120" s="286" t="s">
        <v>1188</v>
      </c>
      <c r="J120" s="286" t="s">
        <v>53</v>
      </c>
      <c r="K120" s="286" t="s">
        <v>53</v>
      </c>
      <c r="L120" s="286" t="s">
        <v>53</v>
      </c>
      <c r="M120" s="286" t="s">
        <v>53</v>
      </c>
      <c r="N120" s="287">
        <v>49756</v>
      </c>
      <c r="O120" s="305">
        <f t="shared" si="1"/>
        <v>44620</v>
      </c>
      <c r="P120" s="286" t="s">
        <v>58</v>
      </c>
    </row>
    <row r="121" spans="1:16" hidden="1" x14ac:dyDescent="0.15">
      <c r="A121" s="286">
        <v>1067</v>
      </c>
      <c r="B121" s="288">
        <v>44616.780555555553</v>
      </c>
      <c r="C121" s="286" t="s">
        <v>1186</v>
      </c>
      <c r="D121" s="286" t="s">
        <v>1105</v>
      </c>
      <c r="E121" s="286" t="s">
        <v>1106</v>
      </c>
      <c r="F121" s="286" t="s">
        <v>1187</v>
      </c>
      <c r="G121" s="286" t="s">
        <v>53</v>
      </c>
      <c r="H121" s="286" t="s">
        <v>53</v>
      </c>
      <c r="I121" s="286" t="s">
        <v>1108</v>
      </c>
      <c r="J121" s="286" t="s">
        <v>53</v>
      </c>
      <c r="K121" s="286" t="s">
        <v>53</v>
      </c>
      <c r="L121" s="286" t="s">
        <v>53</v>
      </c>
      <c r="M121" s="286" t="s">
        <v>53</v>
      </c>
      <c r="N121" s="287">
        <v>39241.46</v>
      </c>
      <c r="O121" s="305">
        <f t="shared" si="1"/>
        <v>44620</v>
      </c>
      <c r="P121" s="286" t="s">
        <v>37</v>
      </c>
    </row>
    <row r="122" spans="1:16" hidden="1" x14ac:dyDescent="0.15">
      <c r="A122" s="286">
        <v>1067</v>
      </c>
      <c r="B122" s="288">
        <v>44616.780555555553</v>
      </c>
      <c r="C122" s="286" t="s">
        <v>1186</v>
      </c>
      <c r="D122" s="286" t="s">
        <v>1105</v>
      </c>
      <c r="E122" s="286" t="s">
        <v>1106</v>
      </c>
      <c r="F122" s="286" t="s">
        <v>1187</v>
      </c>
      <c r="G122" s="286" t="s">
        <v>53</v>
      </c>
      <c r="H122" s="286" t="s">
        <v>53</v>
      </c>
      <c r="I122" s="286" t="s">
        <v>1112</v>
      </c>
      <c r="J122" s="286" t="s">
        <v>53</v>
      </c>
      <c r="K122" s="286" t="s">
        <v>53</v>
      </c>
      <c r="L122" s="286" t="s">
        <v>53</v>
      </c>
      <c r="M122" s="286" t="s">
        <v>53</v>
      </c>
      <c r="N122" s="287">
        <v>23250</v>
      </c>
      <c r="O122" s="305">
        <f t="shared" si="1"/>
        <v>44620</v>
      </c>
      <c r="P122" s="286" t="s">
        <v>175</v>
      </c>
    </row>
    <row r="123" spans="1:16" hidden="1" x14ac:dyDescent="0.15">
      <c r="A123" s="286">
        <v>1067</v>
      </c>
      <c r="B123" s="288">
        <v>44616.780555555553</v>
      </c>
      <c r="C123" s="286" t="s">
        <v>1186</v>
      </c>
      <c r="D123" s="286" t="s">
        <v>1105</v>
      </c>
      <c r="E123" s="286" t="s">
        <v>1106</v>
      </c>
      <c r="F123" s="286" t="s">
        <v>1187</v>
      </c>
      <c r="G123" s="286" t="s">
        <v>53</v>
      </c>
      <c r="H123" s="286" t="s">
        <v>53</v>
      </c>
      <c r="I123" s="286" t="s">
        <v>1129</v>
      </c>
      <c r="J123" s="286" t="s">
        <v>53</v>
      </c>
      <c r="K123" s="286" t="s">
        <v>53</v>
      </c>
      <c r="L123" s="286" t="s">
        <v>53</v>
      </c>
      <c r="M123" s="286" t="s">
        <v>53</v>
      </c>
      <c r="N123" s="287">
        <v>823.48</v>
      </c>
      <c r="O123" s="305">
        <f t="shared" si="1"/>
        <v>44620</v>
      </c>
      <c r="P123" s="286" t="s">
        <v>164</v>
      </c>
    </row>
    <row r="124" spans="1:16" hidden="1" x14ac:dyDescent="0.15">
      <c r="A124" s="286">
        <v>1068</v>
      </c>
      <c r="B124" s="288">
        <v>44616.78125</v>
      </c>
      <c r="C124" s="286" t="s">
        <v>1189</v>
      </c>
      <c r="D124" s="286" t="s">
        <v>1105</v>
      </c>
      <c r="E124" s="286" t="s">
        <v>1106</v>
      </c>
      <c r="F124" s="286" t="s">
        <v>1190</v>
      </c>
      <c r="G124" s="286" t="s">
        <v>53</v>
      </c>
      <c r="H124" s="286" t="s">
        <v>53</v>
      </c>
      <c r="I124" s="286" t="s">
        <v>1112</v>
      </c>
      <c r="J124" s="286" t="s">
        <v>53</v>
      </c>
      <c r="K124" s="286" t="s">
        <v>53</v>
      </c>
      <c r="L124" s="286" t="s">
        <v>53</v>
      </c>
      <c r="M124" s="286" t="s">
        <v>53</v>
      </c>
      <c r="N124" s="287">
        <v>15250</v>
      </c>
      <c r="O124" s="305">
        <f t="shared" si="1"/>
        <v>44620</v>
      </c>
      <c r="P124" s="286" t="s">
        <v>175</v>
      </c>
    </row>
    <row r="125" spans="1:16" hidden="1" x14ac:dyDescent="0.15">
      <c r="A125" s="286">
        <v>1068</v>
      </c>
      <c r="B125" s="288">
        <v>44616.78125</v>
      </c>
      <c r="C125" s="286" t="s">
        <v>1189</v>
      </c>
      <c r="D125" s="286" t="s">
        <v>1105</v>
      </c>
      <c r="E125" s="286" t="s">
        <v>1106</v>
      </c>
      <c r="F125" s="286" t="s">
        <v>1190</v>
      </c>
      <c r="G125" s="286" t="s">
        <v>53</v>
      </c>
      <c r="H125" s="286" t="s">
        <v>53</v>
      </c>
      <c r="I125" s="286" t="s">
        <v>1108</v>
      </c>
      <c r="J125" s="286" t="s">
        <v>53</v>
      </c>
      <c r="K125" s="286" t="s">
        <v>53</v>
      </c>
      <c r="L125" s="286" t="s">
        <v>53</v>
      </c>
      <c r="M125" s="286" t="s">
        <v>53</v>
      </c>
      <c r="N125" s="287">
        <v>12360</v>
      </c>
      <c r="O125" s="305">
        <f t="shared" si="1"/>
        <v>44620</v>
      </c>
      <c r="P125" s="286" t="s">
        <v>37</v>
      </c>
    </row>
    <row r="126" spans="1:16" hidden="1" x14ac:dyDescent="0.15">
      <c r="A126" s="286">
        <v>1068</v>
      </c>
      <c r="B126" s="288">
        <v>44616.78125</v>
      </c>
      <c r="C126" s="286" t="s">
        <v>1189</v>
      </c>
      <c r="D126" s="286" t="s">
        <v>1105</v>
      </c>
      <c r="E126" s="286" t="s">
        <v>1106</v>
      </c>
      <c r="F126" s="286" t="s">
        <v>1190</v>
      </c>
      <c r="G126" s="286" t="s">
        <v>53</v>
      </c>
      <c r="H126" s="286" t="s">
        <v>53</v>
      </c>
      <c r="I126" s="286" t="s">
        <v>1128</v>
      </c>
      <c r="J126" s="286" t="s">
        <v>53</v>
      </c>
      <c r="K126" s="286" t="s">
        <v>53</v>
      </c>
      <c r="L126" s="286" t="s">
        <v>53</v>
      </c>
      <c r="M126" s="286" t="s">
        <v>53</v>
      </c>
      <c r="N126" s="287">
        <v>7000</v>
      </c>
      <c r="O126" s="305">
        <f t="shared" si="1"/>
        <v>44620</v>
      </c>
      <c r="P126" s="286" t="s">
        <v>47</v>
      </c>
    </row>
    <row r="127" spans="1:16" hidden="1" x14ac:dyDescent="0.15">
      <c r="A127" s="286">
        <v>1068</v>
      </c>
      <c r="B127" s="288">
        <v>44616.78125</v>
      </c>
      <c r="C127" s="286" t="s">
        <v>1189</v>
      </c>
      <c r="D127" s="286" t="s">
        <v>1105</v>
      </c>
      <c r="E127" s="286" t="s">
        <v>1106</v>
      </c>
      <c r="F127" s="286" t="s">
        <v>1190</v>
      </c>
      <c r="G127" s="286" t="s">
        <v>53</v>
      </c>
      <c r="H127" s="286" t="s">
        <v>53</v>
      </c>
      <c r="I127" s="286" t="s">
        <v>1129</v>
      </c>
      <c r="J127" s="286" t="s">
        <v>53</v>
      </c>
      <c r="K127" s="286" t="s">
        <v>53</v>
      </c>
      <c r="L127" s="286" t="s">
        <v>53</v>
      </c>
      <c r="M127" s="286" t="s">
        <v>53</v>
      </c>
      <c r="N127" s="287">
        <v>4360.53</v>
      </c>
      <c r="O127" s="305">
        <f t="shared" si="1"/>
        <v>44620</v>
      </c>
      <c r="P127" s="286" t="s">
        <v>164</v>
      </c>
    </row>
    <row r="128" spans="1:16" hidden="1" x14ac:dyDescent="0.15">
      <c r="A128" s="286">
        <v>1069</v>
      </c>
      <c r="B128" s="288">
        <v>44616.78125</v>
      </c>
      <c r="C128" s="286" t="s">
        <v>1191</v>
      </c>
      <c r="D128" s="286" t="s">
        <v>1105</v>
      </c>
      <c r="E128" s="286" t="s">
        <v>1106</v>
      </c>
      <c r="F128" s="286" t="s">
        <v>1192</v>
      </c>
      <c r="G128" s="286" t="s">
        <v>53</v>
      </c>
      <c r="H128" s="286" t="s">
        <v>53</v>
      </c>
      <c r="I128" s="286" t="s">
        <v>1108</v>
      </c>
      <c r="J128" s="286" t="s">
        <v>53</v>
      </c>
      <c r="K128" s="286" t="s">
        <v>53</v>
      </c>
      <c r="L128" s="286" t="s">
        <v>53</v>
      </c>
      <c r="M128" s="286" t="s">
        <v>53</v>
      </c>
      <c r="N128" s="287">
        <v>84781.3</v>
      </c>
      <c r="O128" s="305">
        <f t="shared" si="1"/>
        <v>44620</v>
      </c>
      <c r="P128" s="286" t="s">
        <v>37</v>
      </c>
    </row>
    <row r="129" spans="1:16" hidden="1" x14ac:dyDescent="0.15">
      <c r="A129" s="286">
        <v>1069</v>
      </c>
      <c r="B129" s="288">
        <v>44616.78125</v>
      </c>
      <c r="C129" s="286" t="s">
        <v>1191</v>
      </c>
      <c r="D129" s="286" t="s">
        <v>1105</v>
      </c>
      <c r="E129" s="286" t="s">
        <v>1106</v>
      </c>
      <c r="F129" s="286" t="s">
        <v>1192</v>
      </c>
      <c r="G129" s="286" t="s">
        <v>53</v>
      </c>
      <c r="H129" s="286" t="s">
        <v>53</v>
      </c>
      <c r="I129" s="286" t="s">
        <v>1129</v>
      </c>
      <c r="J129" s="286" t="s">
        <v>53</v>
      </c>
      <c r="K129" s="286" t="s">
        <v>53</v>
      </c>
      <c r="L129" s="286" t="s">
        <v>53</v>
      </c>
      <c r="M129" s="286" t="s">
        <v>53</v>
      </c>
      <c r="N129" s="287">
        <v>7432.23</v>
      </c>
      <c r="O129" s="305">
        <f t="shared" si="1"/>
        <v>44620</v>
      </c>
      <c r="P129" s="286" t="s">
        <v>164</v>
      </c>
    </row>
    <row r="130" spans="1:16" hidden="1" x14ac:dyDescent="0.15">
      <c r="A130" s="286">
        <v>1069</v>
      </c>
      <c r="B130" s="288">
        <v>44616.78125</v>
      </c>
      <c r="C130" s="286" t="s">
        <v>1191</v>
      </c>
      <c r="D130" s="286" t="s">
        <v>1105</v>
      </c>
      <c r="E130" s="286" t="s">
        <v>1106</v>
      </c>
      <c r="F130" s="286" t="s">
        <v>1192</v>
      </c>
      <c r="G130" s="286" t="s">
        <v>53</v>
      </c>
      <c r="H130" s="286" t="s">
        <v>53</v>
      </c>
      <c r="I130" s="286" t="s">
        <v>1112</v>
      </c>
      <c r="J130" s="286" t="s">
        <v>53</v>
      </c>
      <c r="K130" s="286" t="s">
        <v>53</v>
      </c>
      <c r="L130" s="286" t="s">
        <v>53</v>
      </c>
      <c r="M130" s="286" t="s">
        <v>53</v>
      </c>
      <c r="N130" s="287">
        <v>7000</v>
      </c>
      <c r="O130" s="305">
        <f t="shared" si="1"/>
        <v>44620</v>
      </c>
      <c r="P130" s="286" t="s">
        <v>175</v>
      </c>
    </row>
    <row r="131" spans="1:16" hidden="1" x14ac:dyDescent="0.15">
      <c r="A131" s="286">
        <v>1070</v>
      </c>
      <c r="B131" s="288">
        <v>44616.78125</v>
      </c>
      <c r="C131" s="286" t="s">
        <v>1193</v>
      </c>
      <c r="D131" s="286" t="s">
        <v>1105</v>
      </c>
      <c r="E131" s="286" t="s">
        <v>1106</v>
      </c>
      <c r="F131" s="286" t="s">
        <v>1194</v>
      </c>
      <c r="G131" s="286" t="s">
        <v>53</v>
      </c>
      <c r="H131" s="286" t="s">
        <v>53</v>
      </c>
      <c r="I131" s="286" t="s">
        <v>1108</v>
      </c>
      <c r="J131" s="286" t="s">
        <v>53</v>
      </c>
      <c r="K131" s="286" t="s">
        <v>53</v>
      </c>
      <c r="L131" s="286" t="s">
        <v>53</v>
      </c>
      <c r="M131" s="286" t="s">
        <v>53</v>
      </c>
      <c r="N131" s="287">
        <v>373960</v>
      </c>
      <c r="O131" s="305">
        <f t="shared" ref="O131:O194" si="2">EOMONTH(B131,0)</f>
        <v>44620</v>
      </c>
      <c r="P131" s="286" t="s">
        <v>37</v>
      </c>
    </row>
    <row r="132" spans="1:16" hidden="1" x14ac:dyDescent="0.15">
      <c r="A132" s="286">
        <v>1070</v>
      </c>
      <c r="B132" s="288">
        <v>44616.78125</v>
      </c>
      <c r="C132" s="286" t="s">
        <v>1193</v>
      </c>
      <c r="D132" s="286" t="s">
        <v>1105</v>
      </c>
      <c r="E132" s="286" t="s">
        <v>1106</v>
      </c>
      <c r="F132" s="286" t="s">
        <v>1194</v>
      </c>
      <c r="G132" s="286" t="s">
        <v>53</v>
      </c>
      <c r="H132" s="286" t="s">
        <v>53</v>
      </c>
      <c r="I132" s="286" t="s">
        <v>1112</v>
      </c>
      <c r="J132" s="286" t="s">
        <v>53</v>
      </c>
      <c r="K132" s="286" t="s">
        <v>53</v>
      </c>
      <c r="L132" s="286" t="s">
        <v>53</v>
      </c>
      <c r="M132" s="286" t="s">
        <v>53</v>
      </c>
      <c r="N132" s="287">
        <v>21700</v>
      </c>
      <c r="O132" s="305">
        <f t="shared" si="2"/>
        <v>44620</v>
      </c>
      <c r="P132" s="286" t="s">
        <v>175</v>
      </c>
    </row>
    <row r="133" spans="1:16" hidden="1" x14ac:dyDescent="0.15">
      <c r="A133" s="286">
        <v>1070</v>
      </c>
      <c r="B133" s="288">
        <v>44616.78125</v>
      </c>
      <c r="C133" s="286" t="s">
        <v>1193</v>
      </c>
      <c r="D133" s="286" t="s">
        <v>1105</v>
      </c>
      <c r="E133" s="286" t="s">
        <v>1106</v>
      </c>
      <c r="F133" s="286" t="s">
        <v>1194</v>
      </c>
      <c r="G133" s="286" t="s">
        <v>53</v>
      </c>
      <c r="H133" s="286" t="s">
        <v>53</v>
      </c>
      <c r="I133" s="286" t="s">
        <v>1129</v>
      </c>
      <c r="J133" s="286" t="s">
        <v>53</v>
      </c>
      <c r="K133" s="286" t="s">
        <v>53</v>
      </c>
      <c r="L133" s="286" t="s">
        <v>53</v>
      </c>
      <c r="M133" s="286" t="s">
        <v>53</v>
      </c>
      <c r="N133" s="287">
        <v>11449.23</v>
      </c>
      <c r="O133" s="305">
        <f t="shared" si="2"/>
        <v>44620</v>
      </c>
      <c r="P133" s="286" t="s">
        <v>164</v>
      </c>
    </row>
    <row r="134" spans="1:16" hidden="1" x14ac:dyDescent="0.15">
      <c r="A134" s="286">
        <v>1071</v>
      </c>
      <c r="B134" s="288">
        <v>44616.78125</v>
      </c>
      <c r="C134" s="286" t="s">
        <v>1195</v>
      </c>
      <c r="D134" s="286" t="s">
        <v>1105</v>
      </c>
      <c r="E134" s="286" t="s">
        <v>1106</v>
      </c>
      <c r="F134" s="286" t="s">
        <v>1196</v>
      </c>
      <c r="G134" s="286" t="s">
        <v>53</v>
      </c>
      <c r="H134" s="286" t="s">
        <v>53</v>
      </c>
      <c r="I134" s="286" t="s">
        <v>1108</v>
      </c>
      <c r="J134" s="286" t="s">
        <v>53</v>
      </c>
      <c r="K134" s="286" t="s">
        <v>53</v>
      </c>
      <c r="L134" s="286" t="s">
        <v>53</v>
      </c>
      <c r="M134" s="286" t="s">
        <v>53</v>
      </c>
      <c r="N134" s="287">
        <v>520305.42</v>
      </c>
      <c r="O134" s="305">
        <f t="shared" si="2"/>
        <v>44620</v>
      </c>
      <c r="P134" s="286" t="s">
        <v>37</v>
      </c>
    </row>
    <row r="135" spans="1:16" hidden="1" x14ac:dyDescent="0.15">
      <c r="A135" s="286">
        <v>1071</v>
      </c>
      <c r="B135" s="288">
        <v>44616.78125</v>
      </c>
      <c r="C135" s="286" t="s">
        <v>1195</v>
      </c>
      <c r="D135" s="286" t="s">
        <v>1105</v>
      </c>
      <c r="E135" s="286" t="s">
        <v>1106</v>
      </c>
      <c r="F135" s="286" t="s">
        <v>1196</v>
      </c>
      <c r="G135" s="286" t="s">
        <v>53</v>
      </c>
      <c r="H135" s="286" t="s">
        <v>53</v>
      </c>
      <c r="I135" s="286" t="s">
        <v>1128</v>
      </c>
      <c r="J135" s="286" t="s">
        <v>53</v>
      </c>
      <c r="K135" s="286" t="s">
        <v>53</v>
      </c>
      <c r="L135" s="286" t="s">
        <v>53</v>
      </c>
      <c r="M135" s="286" t="s">
        <v>53</v>
      </c>
      <c r="N135" s="287">
        <v>82674</v>
      </c>
      <c r="O135" s="305">
        <f t="shared" si="2"/>
        <v>44620</v>
      </c>
      <c r="P135" s="286" t="s">
        <v>47</v>
      </c>
    </row>
    <row r="136" spans="1:16" hidden="1" x14ac:dyDescent="0.15">
      <c r="A136" s="286">
        <v>1071</v>
      </c>
      <c r="B136" s="288">
        <v>44616.78125</v>
      </c>
      <c r="C136" s="286" t="s">
        <v>1195</v>
      </c>
      <c r="D136" s="286" t="s">
        <v>1105</v>
      </c>
      <c r="E136" s="286" t="s">
        <v>1106</v>
      </c>
      <c r="F136" s="286" t="s">
        <v>1196</v>
      </c>
      <c r="G136" s="286" t="s">
        <v>53</v>
      </c>
      <c r="H136" s="286" t="s">
        <v>53</v>
      </c>
      <c r="I136" s="286" t="s">
        <v>1173</v>
      </c>
      <c r="J136" s="286" t="s">
        <v>53</v>
      </c>
      <c r="K136" s="286" t="s">
        <v>53</v>
      </c>
      <c r="L136" s="286" t="s">
        <v>53</v>
      </c>
      <c r="M136" s="286" t="s">
        <v>53</v>
      </c>
      <c r="N136" s="287">
        <v>49940</v>
      </c>
      <c r="O136" s="305">
        <f t="shared" si="2"/>
        <v>44620</v>
      </c>
      <c r="P136" s="286" t="s">
        <v>58</v>
      </c>
    </row>
    <row r="137" spans="1:16" hidden="1" x14ac:dyDescent="0.15">
      <c r="A137" s="286">
        <v>1071</v>
      </c>
      <c r="B137" s="288">
        <v>44616.78125</v>
      </c>
      <c r="C137" s="286" t="s">
        <v>1195</v>
      </c>
      <c r="D137" s="286" t="s">
        <v>1105</v>
      </c>
      <c r="E137" s="286" t="s">
        <v>1106</v>
      </c>
      <c r="F137" s="286" t="s">
        <v>1196</v>
      </c>
      <c r="G137" s="286" t="s">
        <v>53</v>
      </c>
      <c r="H137" s="286" t="s">
        <v>53</v>
      </c>
      <c r="I137" s="286" t="s">
        <v>1129</v>
      </c>
      <c r="J137" s="286" t="s">
        <v>53</v>
      </c>
      <c r="K137" s="286" t="s">
        <v>53</v>
      </c>
      <c r="L137" s="286" t="s">
        <v>53</v>
      </c>
      <c r="M137" s="286" t="s">
        <v>53</v>
      </c>
      <c r="N137" s="287">
        <v>14949.51</v>
      </c>
      <c r="O137" s="305">
        <f t="shared" si="2"/>
        <v>44620</v>
      </c>
      <c r="P137" s="286" t="s">
        <v>164</v>
      </c>
    </row>
    <row r="138" spans="1:16" hidden="1" x14ac:dyDescent="0.15">
      <c r="A138" s="286">
        <v>1071</v>
      </c>
      <c r="B138" s="288">
        <v>44616.78125</v>
      </c>
      <c r="C138" s="286" t="s">
        <v>1195</v>
      </c>
      <c r="D138" s="286" t="s">
        <v>1105</v>
      </c>
      <c r="E138" s="286" t="s">
        <v>1106</v>
      </c>
      <c r="F138" s="286" t="s">
        <v>1196</v>
      </c>
      <c r="G138" s="286" t="s">
        <v>53</v>
      </c>
      <c r="H138" s="286" t="s">
        <v>53</v>
      </c>
      <c r="I138" s="286" t="s">
        <v>1112</v>
      </c>
      <c r="J138" s="286" t="s">
        <v>53</v>
      </c>
      <c r="K138" s="286" t="s">
        <v>53</v>
      </c>
      <c r="L138" s="286" t="s">
        <v>53</v>
      </c>
      <c r="M138" s="286" t="s">
        <v>53</v>
      </c>
      <c r="N138" s="287">
        <v>-7000</v>
      </c>
      <c r="O138" s="305">
        <f t="shared" si="2"/>
        <v>44620</v>
      </c>
      <c r="P138" s="286" t="s">
        <v>175</v>
      </c>
    </row>
    <row r="139" spans="1:16" hidden="1" x14ac:dyDescent="0.15">
      <c r="A139" s="286">
        <v>1072</v>
      </c>
      <c r="B139" s="288">
        <v>44616.78125</v>
      </c>
      <c r="C139" s="286" t="s">
        <v>1197</v>
      </c>
      <c r="D139" s="286" t="s">
        <v>1105</v>
      </c>
      <c r="E139" s="286" t="s">
        <v>1106</v>
      </c>
      <c r="F139" s="286" t="s">
        <v>1198</v>
      </c>
      <c r="G139" s="286" t="s">
        <v>53</v>
      </c>
      <c r="H139" s="286" t="s">
        <v>53</v>
      </c>
      <c r="I139" s="286" t="s">
        <v>1199</v>
      </c>
      <c r="J139" s="286" t="s">
        <v>53</v>
      </c>
      <c r="K139" s="286" t="s">
        <v>53</v>
      </c>
      <c r="L139" s="286" t="s">
        <v>53</v>
      </c>
      <c r="M139" s="286" t="s">
        <v>53</v>
      </c>
      <c r="N139" s="287">
        <v>112584</v>
      </c>
      <c r="O139" s="305">
        <f t="shared" si="2"/>
        <v>44620</v>
      </c>
      <c r="P139" s="286" t="s">
        <v>58</v>
      </c>
    </row>
    <row r="140" spans="1:16" hidden="1" x14ac:dyDescent="0.15">
      <c r="A140" s="286">
        <v>1072</v>
      </c>
      <c r="B140" s="288">
        <v>44616.78125</v>
      </c>
      <c r="C140" s="286" t="s">
        <v>1197</v>
      </c>
      <c r="D140" s="286" t="s">
        <v>1105</v>
      </c>
      <c r="E140" s="286" t="s">
        <v>1106</v>
      </c>
      <c r="F140" s="286" t="s">
        <v>1198</v>
      </c>
      <c r="G140" s="286" t="s">
        <v>53</v>
      </c>
      <c r="H140" s="286" t="s">
        <v>53</v>
      </c>
      <c r="I140" s="286" t="s">
        <v>1129</v>
      </c>
      <c r="J140" s="286" t="s">
        <v>53</v>
      </c>
      <c r="K140" s="286" t="s">
        <v>53</v>
      </c>
      <c r="L140" s="286" t="s">
        <v>53</v>
      </c>
      <c r="M140" s="286" t="s">
        <v>53</v>
      </c>
      <c r="N140" s="287">
        <v>24702.36</v>
      </c>
      <c r="O140" s="305">
        <f t="shared" si="2"/>
        <v>44620</v>
      </c>
      <c r="P140" s="286" t="s">
        <v>164</v>
      </c>
    </row>
    <row r="141" spans="1:16" hidden="1" x14ac:dyDescent="0.15">
      <c r="A141" s="286">
        <v>1072</v>
      </c>
      <c r="B141" s="288">
        <v>44616.78125</v>
      </c>
      <c r="C141" s="286" t="s">
        <v>1197</v>
      </c>
      <c r="D141" s="286" t="s">
        <v>1105</v>
      </c>
      <c r="E141" s="286" t="s">
        <v>1106</v>
      </c>
      <c r="F141" s="286" t="s">
        <v>1198</v>
      </c>
      <c r="G141" s="286" t="s">
        <v>53</v>
      </c>
      <c r="H141" s="286" t="s">
        <v>53</v>
      </c>
      <c r="I141" s="286" t="s">
        <v>1112</v>
      </c>
      <c r="J141" s="286" t="s">
        <v>53</v>
      </c>
      <c r="K141" s="286" t="s">
        <v>53</v>
      </c>
      <c r="L141" s="286" t="s">
        <v>53</v>
      </c>
      <c r="M141" s="286" t="s">
        <v>53</v>
      </c>
      <c r="N141" s="287">
        <v>8267</v>
      </c>
      <c r="O141" s="305">
        <f t="shared" si="2"/>
        <v>44620</v>
      </c>
      <c r="P141" s="286" t="s">
        <v>175</v>
      </c>
    </row>
    <row r="142" spans="1:16" hidden="1" x14ac:dyDescent="0.15">
      <c r="A142" s="286">
        <v>1073</v>
      </c>
      <c r="B142" s="288">
        <v>44616.78125</v>
      </c>
      <c r="C142" s="286" t="s">
        <v>1200</v>
      </c>
      <c r="D142" s="286" t="s">
        <v>1105</v>
      </c>
      <c r="E142" s="286" t="s">
        <v>1106</v>
      </c>
      <c r="F142" s="286" t="s">
        <v>1201</v>
      </c>
      <c r="G142" s="286" t="s">
        <v>53</v>
      </c>
      <c r="H142" s="286" t="s">
        <v>53</v>
      </c>
      <c r="I142" s="286" t="s">
        <v>1108</v>
      </c>
      <c r="J142" s="286" t="s">
        <v>53</v>
      </c>
      <c r="K142" s="286" t="s">
        <v>53</v>
      </c>
      <c r="L142" s="286" t="s">
        <v>53</v>
      </c>
      <c r="M142" s="286" t="s">
        <v>53</v>
      </c>
      <c r="N142" s="287">
        <v>140693.82</v>
      </c>
      <c r="O142" s="305">
        <f t="shared" si="2"/>
        <v>44620</v>
      </c>
      <c r="P142" s="286" t="s">
        <v>37</v>
      </c>
    </row>
    <row r="143" spans="1:16" hidden="1" x14ac:dyDescent="0.15">
      <c r="A143" s="286">
        <v>1073</v>
      </c>
      <c r="B143" s="288">
        <v>44616.78125</v>
      </c>
      <c r="C143" s="286" t="s">
        <v>1200</v>
      </c>
      <c r="D143" s="286" t="s">
        <v>1105</v>
      </c>
      <c r="E143" s="286" t="s">
        <v>1106</v>
      </c>
      <c r="F143" s="286" t="s">
        <v>1201</v>
      </c>
      <c r="G143" s="286" t="s">
        <v>53</v>
      </c>
      <c r="H143" s="286" t="s">
        <v>53</v>
      </c>
      <c r="I143" s="286" t="s">
        <v>1152</v>
      </c>
      <c r="J143" s="286" t="s">
        <v>53</v>
      </c>
      <c r="K143" s="286" t="s">
        <v>53</v>
      </c>
      <c r="L143" s="286" t="s">
        <v>53</v>
      </c>
      <c r="M143" s="286" t="s">
        <v>53</v>
      </c>
      <c r="N143" s="287">
        <v>69626.179999999993</v>
      </c>
      <c r="O143" s="305">
        <f t="shared" si="2"/>
        <v>44620</v>
      </c>
      <c r="P143" s="111" t="s">
        <v>58</v>
      </c>
    </row>
    <row r="144" spans="1:16" hidden="1" x14ac:dyDescent="0.15">
      <c r="A144" s="286">
        <v>1073</v>
      </c>
      <c r="B144" s="288">
        <v>44616.78125</v>
      </c>
      <c r="C144" s="286" t="s">
        <v>1200</v>
      </c>
      <c r="D144" s="286" t="s">
        <v>1105</v>
      </c>
      <c r="E144" s="286" t="s">
        <v>1106</v>
      </c>
      <c r="F144" s="286" t="s">
        <v>1201</v>
      </c>
      <c r="G144" s="286" t="s">
        <v>53</v>
      </c>
      <c r="H144" s="286" t="s">
        <v>53</v>
      </c>
      <c r="I144" s="286" t="s">
        <v>1112</v>
      </c>
      <c r="J144" s="286" t="s">
        <v>53</v>
      </c>
      <c r="K144" s="286" t="s">
        <v>53</v>
      </c>
      <c r="L144" s="286" t="s">
        <v>53</v>
      </c>
      <c r="M144" s="286" t="s">
        <v>53</v>
      </c>
      <c r="N144" s="287">
        <v>61818.1</v>
      </c>
      <c r="O144" s="305">
        <f t="shared" si="2"/>
        <v>44620</v>
      </c>
      <c r="P144" s="286" t="s">
        <v>175</v>
      </c>
    </row>
    <row r="145" spans="1:16" hidden="1" x14ac:dyDescent="0.15">
      <c r="A145" s="286">
        <v>1073</v>
      </c>
      <c r="B145" s="288">
        <v>44616.78125</v>
      </c>
      <c r="C145" s="286" t="s">
        <v>1200</v>
      </c>
      <c r="D145" s="286" t="s">
        <v>1105</v>
      </c>
      <c r="E145" s="286" t="s">
        <v>1106</v>
      </c>
      <c r="F145" s="286" t="s">
        <v>1201</v>
      </c>
      <c r="G145" s="286" t="s">
        <v>53</v>
      </c>
      <c r="H145" s="286" t="s">
        <v>53</v>
      </c>
      <c r="I145" s="286" t="s">
        <v>1129</v>
      </c>
      <c r="J145" s="286" t="s">
        <v>53</v>
      </c>
      <c r="K145" s="286" t="s">
        <v>53</v>
      </c>
      <c r="L145" s="286" t="s">
        <v>53</v>
      </c>
      <c r="M145" s="286" t="s">
        <v>53</v>
      </c>
      <c r="N145" s="287">
        <v>15218.67</v>
      </c>
      <c r="O145" s="305">
        <f t="shared" si="2"/>
        <v>44620</v>
      </c>
      <c r="P145" s="286" t="s">
        <v>164</v>
      </c>
    </row>
    <row r="146" spans="1:16" hidden="1" x14ac:dyDescent="0.15">
      <c r="A146" s="286">
        <v>1073</v>
      </c>
      <c r="B146" s="288">
        <v>44616.78125</v>
      </c>
      <c r="C146" s="286" t="s">
        <v>1200</v>
      </c>
      <c r="D146" s="286" t="s">
        <v>1105</v>
      </c>
      <c r="E146" s="286" t="s">
        <v>1106</v>
      </c>
      <c r="F146" s="286" t="s">
        <v>1201</v>
      </c>
      <c r="G146" s="286" t="s">
        <v>53</v>
      </c>
      <c r="H146" s="286" t="s">
        <v>53</v>
      </c>
      <c r="I146" s="286" t="s">
        <v>1173</v>
      </c>
      <c r="J146" s="286" t="s">
        <v>53</v>
      </c>
      <c r="K146" s="286" t="s">
        <v>53</v>
      </c>
      <c r="L146" s="286" t="s">
        <v>53</v>
      </c>
      <c r="M146" s="286" t="s">
        <v>53</v>
      </c>
      <c r="N146" s="287">
        <v>14045</v>
      </c>
      <c r="O146" s="305">
        <f t="shared" si="2"/>
        <v>44620</v>
      </c>
      <c r="P146" s="286" t="s">
        <v>58</v>
      </c>
    </row>
    <row r="147" spans="1:16" hidden="1" x14ac:dyDescent="0.15">
      <c r="A147" s="286">
        <v>1074</v>
      </c>
      <c r="B147" s="288">
        <v>44616.78125</v>
      </c>
      <c r="C147" s="286" t="s">
        <v>1202</v>
      </c>
      <c r="D147" s="286" t="s">
        <v>1105</v>
      </c>
      <c r="E147" s="286" t="s">
        <v>1106</v>
      </c>
      <c r="F147" s="286" t="s">
        <v>1203</v>
      </c>
      <c r="G147" s="286" t="s">
        <v>53</v>
      </c>
      <c r="H147" s="286" t="s">
        <v>53</v>
      </c>
      <c r="I147" s="286" t="s">
        <v>1112</v>
      </c>
      <c r="J147" s="286" t="s">
        <v>53</v>
      </c>
      <c r="K147" s="286" t="s">
        <v>53</v>
      </c>
      <c r="L147" s="286" t="s">
        <v>53</v>
      </c>
      <c r="M147" s="286" t="s">
        <v>53</v>
      </c>
      <c r="N147" s="287">
        <v>19374.39</v>
      </c>
      <c r="O147" s="305">
        <f t="shared" si="2"/>
        <v>44620</v>
      </c>
      <c r="P147" s="286" t="s">
        <v>175</v>
      </c>
    </row>
    <row r="148" spans="1:16" hidden="1" x14ac:dyDescent="0.15">
      <c r="A148" s="286">
        <v>1074</v>
      </c>
      <c r="B148" s="288">
        <v>44616.78125</v>
      </c>
      <c r="C148" s="286" t="s">
        <v>1202</v>
      </c>
      <c r="D148" s="286" t="s">
        <v>1105</v>
      </c>
      <c r="E148" s="286" t="s">
        <v>1106</v>
      </c>
      <c r="F148" s="286" t="s">
        <v>1203</v>
      </c>
      <c r="G148" s="286" t="s">
        <v>53</v>
      </c>
      <c r="H148" s="286" t="s">
        <v>53</v>
      </c>
      <c r="I148" s="286" t="s">
        <v>1204</v>
      </c>
      <c r="J148" s="286" t="s">
        <v>53</v>
      </c>
      <c r="K148" s="286" t="s">
        <v>53</v>
      </c>
      <c r="L148" s="286" t="s">
        <v>53</v>
      </c>
      <c r="M148" s="286" t="s">
        <v>53</v>
      </c>
      <c r="N148" s="287">
        <v>16950</v>
      </c>
      <c r="O148" s="305">
        <f t="shared" si="2"/>
        <v>44620</v>
      </c>
      <c r="P148" s="286" t="s">
        <v>49</v>
      </c>
    </row>
    <row r="149" spans="1:16" hidden="1" x14ac:dyDescent="0.15">
      <c r="A149" s="286">
        <v>1074</v>
      </c>
      <c r="B149" s="288">
        <v>44616.78125</v>
      </c>
      <c r="C149" s="286" t="s">
        <v>1202</v>
      </c>
      <c r="D149" s="286" t="s">
        <v>1105</v>
      </c>
      <c r="E149" s="286" t="s">
        <v>1106</v>
      </c>
      <c r="F149" s="286" t="s">
        <v>1203</v>
      </c>
      <c r="G149" s="286" t="s">
        <v>53</v>
      </c>
      <c r="H149" s="286" t="s">
        <v>53</v>
      </c>
      <c r="I149" s="286" t="s">
        <v>1199</v>
      </c>
      <c r="J149" s="286" t="s">
        <v>53</v>
      </c>
      <c r="K149" s="286" t="s">
        <v>53</v>
      </c>
      <c r="L149" s="286" t="s">
        <v>53</v>
      </c>
      <c r="M149" s="286" t="s">
        <v>53</v>
      </c>
      <c r="N149" s="287">
        <v>11000</v>
      </c>
      <c r="O149" s="305">
        <f t="shared" si="2"/>
        <v>44620</v>
      </c>
      <c r="P149" s="286" t="s">
        <v>58</v>
      </c>
    </row>
    <row r="150" spans="1:16" hidden="1" x14ac:dyDescent="0.15">
      <c r="A150" s="286">
        <v>1074</v>
      </c>
      <c r="B150" s="288">
        <v>44616.78125</v>
      </c>
      <c r="C150" s="286" t="s">
        <v>1202</v>
      </c>
      <c r="D150" s="286" t="s">
        <v>1105</v>
      </c>
      <c r="E150" s="286" t="s">
        <v>1106</v>
      </c>
      <c r="F150" s="286" t="s">
        <v>1203</v>
      </c>
      <c r="G150" s="286" t="s">
        <v>53</v>
      </c>
      <c r="H150" s="286" t="s">
        <v>53</v>
      </c>
      <c r="I150" s="286" t="s">
        <v>1129</v>
      </c>
      <c r="J150" s="286" t="s">
        <v>53</v>
      </c>
      <c r="K150" s="286" t="s">
        <v>53</v>
      </c>
      <c r="L150" s="286" t="s">
        <v>53</v>
      </c>
      <c r="M150" s="286" t="s">
        <v>53</v>
      </c>
      <c r="N150" s="287">
        <v>3236.16</v>
      </c>
      <c r="O150" s="305">
        <f t="shared" si="2"/>
        <v>44620</v>
      </c>
      <c r="P150" s="286" t="s">
        <v>164</v>
      </c>
    </row>
    <row r="151" spans="1:16" hidden="1" x14ac:dyDescent="0.15">
      <c r="A151" s="286">
        <v>1075</v>
      </c>
      <c r="B151" s="288">
        <v>44616.78125</v>
      </c>
      <c r="C151" s="286" t="s">
        <v>1205</v>
      </c>
      <c r="D151" s="286" t="s">
        <v>1105</v>
      </c>
      <c r="E151" s="286" t="s">
        <v>1106</v>
      </c>
      <c r="F151" s="286" t="s">
        <v>1206</v>
      </c>
      <c r="G151" s="286" t="s">
        <v>53</v>
      </c>
      <c r="H151" s="286" t="s">
        <v>53</v>
      </c>
      <c r="I151" s="286" t="s">
        <v>1199</v>
      </c>
      <c r="J151" s="286" t="s">
        <v>53</v>
      </c>
      <c r="K151" s="286" t="s">
        <v>53</v>
      </c>
      <c r="L151" s="286" t="s">
        <v>53</v>
      </c>
      <c r="M151" s="286" t="s">
        <v>53</v>
      </c>
      <c r="N151" s="287">
        <v>50462.52</v>
      </c>
      <c r="O151" s="305">
        <f t="shared" si="2"/>
        <v>44620</v>
      </c>
      <c r="P151" s="286" t="s">
        <v>58</v>
      </c>
    </row>
    <row r="152" spans="1:16" hidden="1" x14ac:dyDescent="0.15">
      <c r="A152" s="286">
        <v>1075</v>
      </c>
      <c r="B152" s="288">
        <v>44616.78125</v>
      </c>
      <c r="C152" s="286" t="s">
        <v>1205</v>
      </c>
      <c r="D152" s="286" t="s">
        <v>1105</v>
      </c>
      <c r="E152" s="286" t="s">
        <v>1106</v>
      </c>
      <c r="F152" s="286" t="s">
        <v>1206</v>
      </c>
      <c r="G152" s="286" t="s">
        <v>53</v>
      </c>
      <c r="H152" s="286" t="s">
        <v>53</v>
      </c>
      <c r="I152" s="286" t="s">
        <v>1128</v>
      </c>
      <c r="J152" s="286" t="s">
        <v>53</v>
      </c>
      <c r="K152" s="286" t="s">
        <v>53</v>
      </c>
      <c r="L152" s="286" t="s">
        <v>53</v>
      </c>
      <c r="M152" s="286" t="s">
        <v>53</v>
      </c>
      <c r="N152" s="287">
        <v>34097</v>
      </c>
      <c r="O152" s="305">
        <f t="shared" si="2"/>
        <v>44620</v>
      </c>
      <c r="P152" s="286" t="s">
        <v>47</v>
      </c>
    </row>
    <row r="153" spans="1:16" hidden="1" x14ac:dyDescent="0.15">
      <c r="A153" s="286">
        <v>1075</v>
      </c>
      <c r="B153" s="288">
        <v>44616.78125</v>
      </c>
      <c r="C153" s="286" t="s">
        <v>1205</v>
      </c>
      <c r="D153" s="286" t="s">
        <v>1105</v>
      </c>
      <c r="E153" s="286" t="s">
        <v>1106</v>
      </c>
      <c r="F153" s="286" t="s">
        <v>1206</v>
      </c>
      <c r="G153" s="286" t="s">
        <v>53</v>
      </c>
      <c r="H153" s="286" t="s">
        <v>53</v>
      </c>
      <c r="I153" s="286" t="s">
        <v>1204</v>
      </c>
      <c r="J153" s="286" t="s">
        <v>53</v>
      </c>
      <c r="K153" s="286" t="s">
        <v>53</v>
      </c>
      <c r="L153" s="286" t="s">
        <v>53</v>
      </c>
      <c r="M153" s="286" t="s">
        <v>53</v>
      </c>
      <c r="N153" s="287">
        <v>22049</v>
      </c>
      <c r="O153" s="305">
        <f t="shared" si="2"/>
        <v>44620</v>
      </c>
      <c r="P153" s="286" t="s">
        <v>49</v>
      </c>
    </row>
    <row r="154" spans="1:16" hidden="1" x14ac:dyDescent="0.15">
      <c r="A154" s="286">
        <v>1075</v>
      </c>
      <c r="B154" s="288">
        <v>44616.78125</v>
      </c>
      <c r="C154" s="286" t="s">
        <v>1205</v>
      </c>
      <c r="D154" s="286" t="s">
        <v>1105</v>
      </c>
      <c r="E154" s="286" t="s">
        <v>1106</v>
      </c>
      <c r="F154" s="286" t="s">
        <v>1206</v>
      </c>
      <c r="G154" s="286" t="s">
        <v>53</v>
      </c>
      <c r="H154" s="286" t="s">
        <v>53</v>
      </c>
      <c r="I154" s="286" t="s">
        <v>1112</v>
      </c>
      <c r="J154" s="286" t="s">
        <v>53</v>
      </c>
      <c r="K154" s="286" t="s">
        <v>53</v>
      </c>
      <c r="L154" s="286" t="s">
        <v>53</v>
      </c>
      <c r="M154" s="286" t="s">
        <v>53</v>
      </c>
      <c r="N154" s="287">
        <v>19452</v>
      </c>
      <c r="O154" s="305">
        <f t="shared" si="2"/>
        <v>44620</v>
      </c>
      <c r="P154" s="286" t="s">
        <v>175</v>
      </c>
    </row>
    <row r="155" spans="1:16" hidden="1" x14ac:dyDescent="0.15">
      <c r="A155" s="286">
        <v>1075</v>
      </c>
      <c r="B155" s="288">
        <v>44616.78125</v>
      </c>
      <c r="C155" s="286" t="s">
        <v>1205</v>
      </c>
      <c r="D155" s="286" t="s">
        <v>1105</v>
      </c>
      <c r="E155" s="286" t="s">
        <v>1106</v>
      </c>
      <c r="F155" s="286" t="s">
        <v>1206</v>
      </c>
      <c r="G155" s="286" t="s">
        <v>53</v>
      </c>
      <c r="H155" s="286" t="s">
        <v>53</v>
      </c>
      <c r="I155" s="286" t="s">
        <v>1108</v>
      </c>
      <c r="J155" s="286" t="s">
        <v>53</v>
      </c>
      <c r="K155" s="286" t="s">
        <v>53</v>
      </c>
      <c r="L155" s="286" t="s">
        <v>53</v>
      </c>
      <c r="M155" s="286" t="s">
        <v>53</v>
      </c>
      <c r="N155" s="287">
        <v>4996</v>
      </c>
      <c r="O155" s="305">
        <f t="shared" si="2"/>
        <v>44620</v>
      </c>
      <c r="P155" s="286" t="s">
        <v>37</v>
      </c>
    </row>
    <row r="156" spans="1:16" hidden="1" x14ac:dyDescent="0.15">
      <c r="A156" s="286">
        <v>1075</v>
      </c>
      <c r="B156" s="288">
        <v>44616.78125</v>
      </c>
      <c r="C156" s="286" t="s">
        <v>1205</v>
      </c>
      <c r="D156" s="286" t="s">
        <v>1105</v>
      </c>
      <c r="E156" s="286" t="s">
        <v>1106</v>
      </c>
      <c r="F156" s="286" t="s">
        <v>1206</v>
      </c>
      <c r="G156" s="286" t="s">
        <v>53</v>
      </c>
      <c r="H156" s="286" t="s">
        <v>53</v>
      </c>
      <c r="I156" s="286" t="s">
        <v>1129</v>
      </c>
      <c r="J156" s="286" t="s">
        <v>53</v>
      </c>
      <c r="K156" s="286" t="s">
        <v>53</v>
      </c>
      <c r="L156" s="286" t="s">
        <v>53</v>
      </c>
      <c r="M156" s="286" t="s">
        <v>53</v>
      </c>
      <c r="N156" s="287">
        <v>-6915.57</v>
      </c>
      <c r="O156" s="305">
        <f t="shared" si="2"/>
        <v>44620</v>
      </c>
      <c r="P156" s="286" t="s">
        <v>164</v>
      </c>
    </row>
    <row r="157" spans="1:16" hidden="1" x14ac:dyDescent="0.15">
      <c r="A157" s="286">
        <v>1076</v>
      </c>
      <c r="B157" s="288">
        <v>44616.78125</v>
      </c>
      <c r="C157" s="286" t="s">
        <v>1207</v>
      </c>
      <c r="D157" s="286" t="s">
        <v>1105</v>
      </c>
      <c r="E157" s="286" t="s">
        <v>1106</v>
      </c>
      <c r="F157" s="286" t="s">
        <v>1208</v>
      </c>
      <c r="G157" s="286" t="s">
        <v>53</v>
      </c>
      <c r="H157" s="286" t="s">
        <v>53</v>
      </c>
      <c r="I157" s="286" t="s">
        <v>1173</v>
      </c>
      <c r="J157" s="286" t="s">
        <v>53</v>
      </c>
      <c r="K157" s="286" t="s">
        <v>53</v>
      </c>
      <c r="L157" s="286" t="s">
        <v>53</v>
      </c>
      <c r="M157" s="286" t="s">
        <v>53</v>
      </c>
      <c r="N157" s="287">
        <v>20538</v>
      </c>
      <c r="O157" s="305">
        <f t="shared" si="2"/>
        <v>44620</v>
      </c>
      <c r="P157" s="286" t="s">
        <v>58</v>
      </c>
    </row>
    <row r="158" spans="1:16" hidden="1" x14ac:dyDescent="0.15">
      <c r="A158" s="286">
        <v>1076</v>
      </c>
      <c r="B158" s="288">
        <v>44616.78125</v>
      </c>
      <c r="C158" s="286" t="s">
        <v>1207</v>
      </c>
      <c r="D158" s="286" t="s">
        <v>1105</v>
      </c>
      <c r="E158" s="286" t="s">
        <v>1106</v>
      </c>
      <c r="F158" s="286" t="s">
        <v>1208</v>
      </c>
      <c r="G158" s="286" t="s">
        <v>53</v>
      </c>
      <c r="H158" s="286" t="s">
        <v>53</v>
      </c>
      <c r="I158" s="286" t="s">
        <v>1112</v>
      </c>
      <c r="J158" s="286" t="s">
        <v>53</v>
      </c>
      <c r="K158" s="286" t="s">
        <v>53</v>
      </c>
      <c r="L158" s="286" t="s">
        <v>53</v>
      </c>
      <c r="M158" s="286" t="s">
        <v>53</v>
      </c>
      <c r="N158" s="287">
        <v>17000</v>
      </c>
      <c r="O158" s="305">
        <f t="shared" si="2"/>
        <v>44620</v>
      </c>
      <c r="P158" s="286" t="s">
        <v>175</v>
      </c>
    </row>
    <row r="159" spans="1:16" hidden="1" x14ac:dyDescent="0.15">
      <c r="A159" s="286">
        <v>1076</v>
      </c>
      <c r="B159" s="288">
        <v>44616.78125</v>
      </c>
      <c r="C159" s="286" t="s">
        <v>1207</v>
      </c>
      <c r="D159" s="286" t="s">
        <v>1105</v>
      </c>
      <c r="E159" s="286" t="s">
        <v>1106</v>
      </c>
      <c r="F159" s="286" t="s">
        <v>1208</v>
      </c>
      <c r="G159" s="286" t="s">
        <v>53</v>
      </c>
      <c r="H159" s="286" t="s">
        <v>53</v>
      </c>
      <c r="I159" s="286" t="s">
        <v>1129</v>
      </c>
      <c r="J159" s="286" t="s">
        <v>53</v>
      </c>
      <c r="K159" s="286" t="s">
        <v>53</v>
      </c>
      <c r="L159" s="286" t="s">
        <v>53</v>
      </c>
      <c r="M159" s="286" t="s">
        <v>53</v>
      </c>
      <c r="N159" s="287">
        <v>3130.93</v>
      </c>
      <c r="O159" s="305">
        <f t="shared" si="2"/>
        <v>44620</v>
      </c>
      <c r="P159" s="286" t="s">
        <v>164</v>
      </c>
    </row>
    <row r="160" spans="1:16" hidden="1" x14ac:dyDescent="0.15">
      <c r="A160" s="286">
        <v>1077</v>
      </c>
      <c r="B160" s="288">
        <v>44616.78125</v>
      </c>
      <c r="C160" s="286" t="s">
        <v>1209</v>
      </c>
      <c r="D160" s="286" t="s">
        <v>1105</v>
      </c>
      <c r="E160" s="286" t="s">
        <v>1106</v>
      </c>
      <c r="F160" s="286" t="s">
        <v>1210</v>
      </c>
      <c r="G160" s="286" t="s">
        <v>53</v>
      </c>
      <c r="H160" s="286" t="s">
        <v>53</v>
      </c>
      <c r="I160" s="286" t="s">
        <v>1152</v>
      </c>
      <c r="J160" s="286" t="s">
        <v>53</v>
      </c>
      <c r="K160" s="286" t="s">
        <v>53</v>
      </c>
      <c r="L160" s="286" t="s">
        <v>53</v>
      </c>
      <c r="M160" s="286" t="s">
        <v>53</v>
      </c>
      <c r="N160" s="287">
        <v>133570</v>
      </c>
      <c r="O160" s="305">
        <f t="shared" si="2"/>
        <v>44620</v>
      </c>
      <c r="P160" s="111" t="s">
        <v>58</v>
      </c>
    </row>
    <row r="161" spans="1:16" hidden="1" x14ac:dyDescent="0.15">
      <c r="A161" s="286">
        <v>1077</v>
      </c>
      <c r="B161" s="288">
        <v>44616.78125</v>
      </c>
      <c r="C161" s="286" t="s">
        <v>1209</v>
      </c>
      <c r="D161" s="286" t="s">
        <v>1105</v>
      </c>
      <c r="E161" s="286" t="s">
        <v>1106</v>
      </c>
      <c r="F161" s="286" t="s">
        <v>1210</v>
      </c>
      <c r="G161" s="286" t="s">
        <v>53</v>
      </c>
      <c r="H161" s="286" t="s">
        <v>53</v>
      </c>
      <c r="I161" s="286" t="s">
        <v>1128</v>
      </c>
      <c r="J161" s="286" t="s">
        <v>53</v>
      </c>
      <c r="K161" s="286" t="s">
        <v>53</v>
      </c>
      <c r="L161" s="286" t="s">
        <v>53</v>
      </c>
      <c r="M161" s="286" t="s">
        <v>53</v>
      </c>
      <c r="N161" s="287">
        <v>79750</v>
      </c>
      <c r="O161" s="305">
        <f t="shared" si="2"/>
        <v>44620</v>
      </c>
      <c r="P161" s="286" t="s">
        <v>47</v>
      </c>
    </row>
    <row r="162" spans="1:16" hidden="1" x14ac:dyDescent="0.15">
      <c r="A162" s="286">
        <v>1077</v>
      </c>
      <c r="B162" s="288">
        <v>44616.78125</v>
      </c>
      <c r="C162" s="286" t="s">
        <v>1209</v>
      </c>
      <c r="D162" s="286" t="s">
        <v>1105</v>
      </c>
      <c r="E162" s="286" t="s">
        <v>1106</v>
      </c>
      <c r="F162" s="286" t="s">
        <v>1210</v>
      </c>
      <c r="G162" s="286" t="s">
        <v>53</v>
      </c>
      <c r="H162" s="286" t="s">
        <v>53</v>
      </c>
      <c r="I162" s="286" t="s">
        <v>1112</v>
      </c>
      <c r="J162" s="286" t="s">
        <v>53</v>
      </c>
      <c r="K162" s="286" t="s">
        <v>53</v>
      </c>
      <c r="L162" s="286" t="s">
        <v>53</v>
      </c>
      <c r="M162" s="286" t="s">
        <v>53</v>
      </c>
      <c r="N162" s="287">
        <v>18035</v>
      </c>
      <c r="O162" s="305">
        <f t="shared" si="2"/>
        <v>44620</v>
      </c>
      <c r="P162" s="286" t="s">
        <v>175</v>
      </c>
    </row>
    <row r="163" spans="1:16" hidden="1" x14ac:dyDescent="0.15">
      <c r="A163" s="286">
        <v>1077</v>
      </c>
      <c r="B163" s="288">
        <v>44616.78125</v>
      </c>
      <c r="C163" s="286" t="s">
        <v>1209</v>
      </c>
      <c r="D163" s="286" t="s">
        <v>1105</v>
      </c>
      <c r="E163" s="286" t="s">
        <v>1106</v>
      </c>
      <c r="F163" s="286" t="s">
        <v>1210</v>
      </c>
      <c r="G163" s="286" t="s">
        <v>53</v>
      </c>
      <c r="H163" s="286" t="s">
        <v>53</v>
      </c>
      <c r="I163" s="286" t="s">
        <v>1199</v>
      </c>
      <c r="J163" s="286" t="s">
        <v>53</v>
      </c>
      <c r="K163" s="286" t="s">
        <v>53</v>
      </c>
      <c r="L163" s="286" t="s">
        <v>53</v>
      </c>
      <c r="M163" s="286" t="s">
        <v>53</v>
      </c>
      <c r="N163" s="287">
        <v>16400</v>
      </c>
      <c r="O163" s="305">
        <f t="shared" si="2"/>
        <v>44620</v>
      </c>
      <c r="P163" s="286" t="s">
        <v>58</v>
      </c>
    </row>
    <row r="164" spans="1:16" hidden="1" x14ac:dyDescent="0.15">
      <c r="A164" s="286">
        <v>1077</v>
      </c>
      <c r="B164" s="288">
        <v>44616.78125</v>
      </c>
      <c r="C164" s="286" t="s">
        <v>1209</v>
      </c>
      <c r="D164" s="286" t="s">
        <v>1105</v>
      </c>
      <c r="E164" s="286" t="s">
        <v>1106</v>
      </c>
      <c r="F164" s="286" t="s">
        <v>1210</v>
      </c>
      <c r="G164" s="286" t="s">
        <v>53</v>
      </c>
      <c r="H164" s="286" t="s">
        <v>53</v>
      </c>
      <c r="I164" s="286" t="s">
        <v>1108</v>
      </c>
      <c r="J164" s="286" t="s">
        <v>53</v>
      </c>
      <c r="K164" s="286" t="s">
        <v>53</v>
      </c>
      <c r="L164" s="286" t="s">
        <v>53</v>
      </c>
      <c r="M164" s="286" t="s">
        <v>53</v>
      </c>
      <c r="N164" s="287">
        <v>9750</v>
      </c>
      <c r="O164" s="305">
        <f t="shared" si="2"/>
        <v>44620</v>
      </c>
      <c r="P164" s="286" t="s">
        <v>37</v>
      </c>
    </row>
    <row r="165" spans="1:16" hidden="1" x14ac:dyDescent="0.15">
      <c r="A165" s="286">
        <v>1077</v>
      </c>
      <c r="B165" s="288">
        <v>44616.78125</v>
      </c>
      <c r="C165" s="286" t="s">
        <v>1209</v>
      </c>
      <c r="D165" s="286" t="s">
        <v>1105</v>
      </c>
      <c r="E165" s="286" t="s">
        <v>1106</v>
      </c>
      <c r="F165" s="286" t="s">
        <v>1210</v>
      </c>
      <c r="G165" s="286" t="s">
        <v>53</v>
      </c>
      <c r="H165" s="286" t="s">
        <v>53</v>
      </c>
      <c r="I165" s="286" t="s">
        <v>1211</v>
      </c>
      <c r="J165" s="286" t="s">
        <v>53</v>
      </c>
      <c r="K165" s="286" t="s">
        <v>53</v>
      </c>
      <c r="L165" s="286" t="s">
        <v>53</v>
      </c>
      <c r="M165" s="286" t="s">
        <v>53</v>
      </c>
      <c r="N165" s="287">
        <v>9250</v>
      </c>
      <c r="O165" s="305">
        <f t="shared" si="2"/>
        <v>44620</v>
      </c>
      <c r="P165" s="286" t="s">
        <v>452</v>
      </c>
    </row>
    <row r="166" spans="1:16" hidden="1" x14ac:dyDescent="0.15">
      <c r="A166" s="286">
        <v>1077</v>
      </c>
      <c r="B166" s="288">
        <v>44616.78125</v>
      </c>
      <c r="C166" s="286" t="s">
        <v>1209</v>
      </c>
      <c r="D166" s="286" t="s">
        <v>1105</v>
      </c>
      <c r="E166" s="286" t="s">
        <v>1106</v>
      </c>
      <c r="F166" s="286" t="s">
        <v>1210</v>
      </c>
      <c r="G166" s="286" t="s">
        <v>53</v>
      </c>
      <c r="H166" s="286" t="s">
        <v>53</v>
      </c>
      <c r="I166" s="286" t="s">
        <v>1188</v>
      </c>
      <c r="J166" s="286" t="s">
        <v>53</v>
      </c>
      <c r="K166" s="286" t="s">
        <v>53</v>
      </c>
      <c r="L166" s="286" t="s">
        <v>53</v>
      </c>
      <c r="M166" s="286" t="s">
        <v>53</v>
      </c>
      <c r="N166" s="287">
        <v>5400</v>
      </c>
      <c r="O166" s="305">
        <f t="shared" si="2"/>
        <v>44620</v>
      </c>
      <c r="P166" s="286" t="s">
        <v>58</v>
      </c>
    </row>
    <row r="167" spans="1:16" hidden="1" x14ac:dyDescent="0.15">
      <c r="A167" s="286">
        <v>1077</v>
      </c>
      <c r="B167" s="288">
        <v>44616.78125</v>
      </c>
      <c r="C167" s="286" t="s">
        <v>1209</v>
      </c>
      <c r="D167" s="286" t="s">
        <v>1105</v>
      </c>
      <c r="E167" s="286" t="s">
        <v>1106</v>
      </c>
      <c r="F167" s="286" t="s">
        <v>1210</v>
      </c>
      <c r="G167" s="286" t="s">
        <v>53</v>
      </c>
      <c r="H167" s="286" t="s">
        <v>53</v>
      </c>
      <c r="I167" s="286" t="s">
        <v>1129</v>
      </c>
      <c r="J167" s="286" t="s">
        <v>53</v>
      </c>
      <c r="K167" s="286" t="s">
        <v>53</v>
      </c>
      <c r="L167" s="286" t="s">
        <v>53</v>
      </c>
      <c r="M167" s="286" t="s">
        <v>53</v>
      </c>
      <c r="N167" s="287">
        <v>357.14</v>
      </c>
      <c r="O167" s="305">
        <f t="shared" si="2"/>
        <v>44620</v>
      </c>
      <c r="P167" s="286" t="s">
        <v>164</v>
      </c>
    </row>
    <row r="168" spans="1:16" hidden="1" x14ac:dyDescent="0.15">
      <c r="A168" s="286">
        <v>1078</v>
      </c>
      <c r="B168" s="288">
        <v>44616.78125</v>
      </c>
      <c r="C168" s="286" t="s">
        <v>1212</v>
      </c>
      <c r="D168" s="286" t="s">
        <v>1105</v>
      </c>
      <c r="E168" s="286" t="s">
        <v>1106</v>
      </c>
      <c r="F168" s="286" t="s">
        <v>1213</v>
      </c>
      <c r="G168" s="286" t="s">
        <v>53</v>
      </c>
      <c r="H168" s="286" t="s">
        <v>53</v>
      </c>
      <c r="I168" s="286" t="s">
        <v>1199</v>
      </c>
      <c r="J168" s="286" t="s">
        <v>53</v>
      </c>
      <c r="K168" s="286" t="s">
        <v>53</v>
      </c>
      <c r="L168" s="286" t="s">
        <v>53</v>
      </c>
      <c r="M168" s="286" t="s">
        <v>53</v>
      </c>
      <c r="N168" s="287">
        <v>242425</v>
      </c>
      <c r="O168" s="305">
        <f t="shared" si="2"/>
        <v>44620</v>
      </c>
      <c r="P168" s="286" t="s">
        <v>58</v>
      </c>
    </row>
    <row r="169" spans="1:16" hidden="1" x14ac:dyDescent="0.15">
      <c r="A169" s="286">
        <v>1078</v>
      </c>
      <c r="B169" s="288">
        <v>44616.78125</v>
      </c>
      <c r="C169" s="286" t="s">
        <v>1212</v>
      </c>
      <c r="D169" s="286" t="s">
        <v>1105</v>
      </c>
      <c r="E169" s="286" t="s">
        <v>1106</v>
      </c>
      <c r="F169" s="286" t="s">
        <v>1213</v>
      </c>
      <c r="G169" s="286" t="s">
        <v>53</v>
      </c>
      <c r="H169" s="286" t="s">
        <v>53</v>
      </c>
      <c r="I169" s="286" t="s">
        <v>1108</v>
      </c>
      <c r="J169" s="286" t="s">
        <v>53</v>
      </c>
      <c r="K169" s="286" t="s">
        <v>53</v>
      </c>
      <c r="L169" s="286" t="s">
        <v>53</v>
      </c>
      <c r="M169" s="286" t="s">
        <v>53</v>
      </c>
      <c r="N169" s="287">
        <v>128937.83</v>
      </c>
      <c r="O169" s="305">
        <f t="shared" si="2"/>
        <v>44620</v>
      </c>
      <c r="P169" s="286" t="s">
        <v>37</v>
      </c>
    </row>
    <row r="170" spans="1:16" hidden="1" x14ac:dyDescent="0.15">
      <c r="A170" s="286">
        <v>1078</v>
      </c>
      <c r="B170" s="288">
        <v>44616.78125</v>
      </c>
      <c r="C170" s="286" t="s">
        <v>1212</v>
      </c>
      <c r="D170" s="286" t="s">
        <v>1105</v>
      </c>
      <c r="E170" s="286" t="s">
        <v>1106</v>
      </c>
      <c r="F170" s="286" t="s">
        <v>1213</v>
      </c>
      <c r="G170" s="286" t="s">
        <v>53</v>
      </c>
      <c r="H170" s="286" t="s">
        <v>53</v>
      </c>
      <c r="I170" s="286" t="s">
        <v>1173</v>
      </c>
      <c r="J170" s="286" t="s">
        <v>53</v>
      </c>
      <c r="K170" s="286" t="s">
        <v>53</v>
      </c>
      <c r="L170" s="286" t="s">
        <v>53</v>
      </c>
      <c r="M170" s="286" t="s">
        <v>53</v>
      </c>
      <c r="N170" s="287">
        <v>17250</v>
      </c>
      <c r="O170" s="305">
        <f t="shared" si="2"/>
        <v>44620</v>
      </c>
      <c r="P170" s="286" t="s">
        <v>58</v>
      </c>
    </row>
    <row r="171" spans="1:16" hidden="1" x14ac:dyDescent="0.15">
      <c r="A171" s="286">
        <v>1078</v>
      </c>
      <c r="B171" s="288">
        <v>44616.78125</v>
      </c>
      <c r="C171" s="286" t="s">
        <v>1212</v>
      </c>
      <c r="D171" s="286" t="s">
        <v>1105</v>
      </c>
      <c r="E171" s="286" t="s">
        <v>1106</v>
      </c>
      <c r="F171" s="286" t="s">
        <v>1213</v>
      </c>
      <c r="G171" s="286" t="s">
        <v>53</v>
      </c>
      <c r="H171" s="286" t="s">
        <v>53</v>
      </c>
      <c r="I171" s="286" t="s">
        <v>1112</v>
      </c>
      <c r="J171" s="286" t="s">
        <v>53</v>
      </c>
      <c r="K171" s="286" t="s">
        <v>53</v>
      </c>
      <c r="L171" s="286" t="s">
        <v>53</v>
      </c>
      <c r="M171" s="286" t="s">
        <v>53</v>
      </c>
      <c r="N171" s="287">
        <v>16332</v>
      </c>
      <c r="O171" s="305">
        <f t="shared" si="2"/>
        <v>44620</v>
      </c>
      <c r="P171" s="286" t="s">
        <v>175</v>
      </c>
    </row>
    <row r="172" spans="1:16" hidden="1" x14ac:dyDescent="0.15">
      <c r="A172" s="286">
        <v>1078</v>
      </c>
      <c r="B172" s="288">
        <v>44616.78125</v>
      </c>
      <c r="C172" s="286" t="s">
        <v>1212</v>
      </c>
      <c r="D172" s="286" t="s">
        <v>1105</v>
      </c>
      <c r="E172" s="286" t="s">
        <v>1106</v>
      </c>
      <c r="F172" s="286" t="s">
        <v>1213</v>
      </c>
      <c r="G172" s="286" t="s">
        <v>53</v>
      </c>
      <c r="H172" s="286" t="s">
        <v>53</v>
      </c>
      <c r="I172" s="286" t="s">
        <v>1128</v>
      </c>
      <c r="J172" s="286" t="s">
        <v>53</v>
      </c>
      <c r="K172" s="286" t="s">
        <v>53</v>
      </c>
      <c r="L172" s="286" t="s">
        <v>53</v>
      </c>
      <c r="M172" s="286" t="s">
        <v>53</v>
      </c>
      <c r="N172" s="287">
        <v>15695</v>
      </c>
      <c r="O172" s="305">
        <f t="shared" si="2"/>
        <v>44620</v>
      </c>
      <c r="P172" s="286" t="s">
        <v>47</v>
      </c>
    </row>
    <row r="173" spans="1:16" hidden="1" x14ac:dyDescent="0.15">
      <c r="A173" s="286">
        <v>1078</v>
      </c>
      <c r="B173" s="288">
        <v>44616.78125</v>
      </c>
      <c r="C173" s="286" t="s">
        <v>1212</v>
      </c>
      <c r="D173" s="286" t="s">
        <v>1105</v>
      </c>
      <c r="E173" s="286" t="s">
        <v>1106</v>
      </c>
      <c r="F173" s="286" t="s">
        <v>1213</v>
      </c>
      <c r="G173" s="286" t="s">
        <v>53</v>
      </c>
      <c r="H173" s="286" t="s">
        <v>53</v>
      </c>
      <c r="I173" s="286" t="s">
        <v>1204</v>
      </c>
      <c r="J173" s="286" t="s">
        <v>53</v>
      </c>
      <c r="K173" s="286" t="s">
        <v>53</v>
      </c>
      <c r="L173" s="286" t="s">
        <v>53</v>
      </c>
      <c r="M173" s="286" t="s">
        <v>53</v>
      </c>
      <c r="N173" s="287">
        <v>8000</v>
      </c>
      <c r="O173" s="305">
        <f t="shared" si="2"/>
        <v>44620</v>
      </c>
      <c r="P173" s="286" t="s">
        <v>49</v>
      </c>
    </row>
    <row r="174" spans="1:16" hidden="1" x14ac:dyDescent="0.15">
      <c r="A174" s="286">
        <v>1078</v>
      </c>
      <c r="B174" s="288">
        <v>44616.78125</v>
      </c>
      <c r="C174" s="286" t="s">
        <v>1212</v>
      </c>
      <c r="D174" s="286" t="s">
        <v>1105</v>
      </c>
      <c r="E174" s="286" t="s">
        <v>1106</v>
      </c>
      <c r="F174" s="286" t="s">
        <v>1213</v>
      </c>
      <c r="G174" s="286" t="s">
        <v>53</v>
      </c>
      <c r="H174" s="286" t="s">
        <v>53</v>
      </c>
      <c r="I174" s="286" t="s">
        <v>1211</v>
      </c>
      <c r="J174" s="286" t="s">
        <v>53</v>
      </c>
      <c r="K174" s="286" t="s">
        <v>53</v>
      </c>
      <c r="L174" s="286" t="s">
        <v>53</v>
      </c>
      <c r="M174" s="286" t="s">
        <v>53</v>
      </c>
      <c r="N174" s="287">
        <v>2537</v>
      </c>
      <c r="O174" s="305">
        <f t="shared" si="2"/>
        <v>44620</v>
      </c>
      <c r="P174" s="286" t="s">
        <v>452</v>
      </c>
    </row>
    <row r="175" spans="1:16" hidden="1" x14ac:dyDescent="0.15">
      <c r="A175" s="286">
        <v>1078</v>
      </c>
      <c r="B175" s="288">
        <v>44616.78125</v>
      </c>
      <c r="C175" s="286" t="s">
        <v>1212</v>
      </c>
      <c r="D175" s="286" t="s">
        <v>1105</v>
      </c>
      <c r="E175" s="286" t="s">
        <v>1106</v>
      </c>
      <c r="F175" s="286" t="s">
        <v>1213</v>
      </c>
      <c r="G175" s="286" t="s">
        <v>53</v>
      </c>
      <c r="H175" s="286" t="s">
        <v>53</v>
      </c>
      <c r="I175" s="286" t="s">
        <v>1129</v>
      </c>
      <c r="J175" s="286" t="s">
        <v>53</v>
      </c>
      <c r="K175" s="286" t="s">
        <v>53</v>
      </c>
      <c r="L175" s="286" t="s">
        <v>53</v>
      </c>
      <c r="M175" s="286" t="s">
        <v>53</v>
      </c>
      <c r="N175" s="287">
        <v>1102.5</v>
      </c>
      <c r="O175" s="305">
        <f t="shared" si="2"/>
        <v>44620</v>
      </c>
      <c r="P175" s="286" t="s">
        <v>164</v>
      </c>
    </row>
    <row r="176" spans="1:16" hidden="1" x14ac:dyDescent="0.15">
      <c r="A176" s="286">
        <v>1078</v>
      </c>
      <c r="B176" s="288">
        <v>44616.78125</v>
      </c>
      <c r="C176" s="286" t="s">
        <v>1212</v>
      </c>
      <c r="D176" s="286" t="s">
        <v>1105</v>
      </c>
      <c r="E176" s="286" t="s">
        <v>1106</v>
      </c>
      <c r="F176" s="286" t="s">
        <v>1213</v>
      </c>
      <c r="G176" s="286" t="s">
        <v>53</v>
      </c>
      <c r="H176" s="286" t="s">
        <v>53</v>
      </c>
      <c r="I176" s="286" t="s">
        <v>1152</v>
      </c>
      <c r="J176" s="286" t="s">
        <v>53</v>
      </c>
      <c r="K176" s="286" t="s">
        <v>53</v>
      </c>
      <c r="L176" s="286" t="s">
        <v>53</v>
      </c>
      <c r="M176" s="286" t="s">
        <v>53</v>
      </c>
      <c r="N176" s="287">
        <v>-182936</v>
      </c>
      <c r="O176" s="305">
        <f t="shared" si="2"/>
        <v>44620</v>
      </c>
      <c r="P176" s="111" t="s">
        <v>58</v>
      </c>
    </row>
    <row r="177" spans="1:16" hidden="1" x14ac:dyDescent="0.15">
      <c r="A177" s="286">
        <v>1079</v>
      </c>
      <c r="B177" s="288">
        <v>44616.781944444447</v>
      </c>
      <c r="C177" s="286" t="s">
        <v>1214</v>
      </c>
      <c r="D177" s="286" t="s">
        <v>1105</v>
      </c>
      <c r="E177" s="286" t="s">
        <v>1106</v>
      </c>
      <c r="F177" s="286" t="s">
        <v>1215</v>
      </c>
      <c r="G177" s="286" t="s">
        <v>53</v>
      </c>
      <c r="H177" s="286" t="s">
        <v>53</v>
      </c>
      <c r="I177" s="286" t="s">
        <v>1129</v>
      </c>
      <c r="J177" s="286" t="s">
        <v>53</v>
      </c>
      <c r="K177" s="286" t="s">
        <v>53</v>
      </c>
      <c r="L177" s="286" t="s">
        <v>53</v>
      </c>
      <c r="M177" s="286" t="s">
        <v>53</v>
      </c>
      <c r="N177" s="287">
        <v>36172.400000000001</v>
      </c>
      <c r="O177" s="305">
        <f t="shared" si="2"/>
        <v>44620</v>
      </c>
      <c r="P177" s="286" t="s">
        <v>164</v>
      </c>
    </row>
    <row r="178" spans="1:16" hidden="1" x14ac:dyDescent="0.15">
      <c r="A178" s="286">
        <v>1079</v>
      </c>
      <c r="B178" s="288">
        <v>44616.781944444447</v>
      </c>
      <c r="C178" s="286" t="s">
        <v>1214</v>
      </c>
      <c r="D178" s="286" t="s">
        <v>1105</v>
      </c>
      <c r="E178" s="286" t="s">
        <v>1106</v>
      </c>
      <c r="F178" s="286" t="s">
        <v>1215</v>
      </c>
      <c r="G178" s="286" t="s">
        <v>53</v>
      </c>
      <c r="H178" s="286" t="s">
        <v>53</v>
      </c>
      <c r="I178" s="286" t="s">
        <v>1112</v>
      </c>
      <c r="J178" s="286" t="s">
        <v>53</v>
      </c>
      <c r="K178" s="286" t="s">
        <v>53</v>
      </c>
      <c r="L178" s="286" t="s">
        <v>53</v>
      </c>
      <c r="M178" s="286" t="s">
        <v>53</v>
      </c>
      <c r="N178" s="287">
        <v>17464</v>
      </c>
      <c r="O178" s="305">
        <f t="shared" si="2"/>
        <v>44620</v>
      </c>
      <c r="P178" s="286" t="s">
        <v>175</v>
      </c>
    </row>
    <row r="179" spans="1:16" hidden="1" x14ac:dyDescent="0.15">
      <c r="A179" s="286">
        <v>1079</v>
      </c>
      <c r="B179" s="288">
        <v>44616.781944444447</v>
      </c>
      <c r="C179" s="286" t="s">
        <v>1214</v>
      </c>
      <c r="D179" s="286" t="s">
        <v>1105</v>
      </c>
      <c r="E179" s="286" t="s">
        <v>1106</v>
      </c>
      <c r="F179" s="286" t="s">
        <v>1215</v>
      </c>
      <c r="G179" s="286" t="s">
        <v>53</v>
      </c>
      <c r="H179" s="286" t="s">
        <v>53</v>
      </c>
      <c r="I179" s="286" t="s">
        <v>1199</v>
      </c>
      <c r="J179" s="286" t="s">
        <v>53</v>
      </c>
      <c r="K179" s="286" t="s">
        <v>53</v>
      </c>
      <c r="L179" s="286" t="s">
        <v>53</v>
      </c>
      <c r="M179" s="286" t="s">
        <v>53</v>
      </c>
      <c r="N179" s="287">
        <v>4203</v>
      </c>
      <c r="O179" s="305">
        <f t="shared" si="2"/>
        <v>44620</v>
      </c>
      <c r="P179" s="286" t="s">
        <v>58</v>
      </c>
    </row>
    <row r="180" spans="1:16" hidden="1" x14ac:dyDescent="0.15">
      <c r="A180" s="286">
        <v>1080</v>
      </c>
      <c r="B180" s="288">
        <v>44616.781944444447</v>
      </c>
      <c r="C180" s="286" t="s">
        <v>1216</v>
      </c>
      <c r="D180" s="286" t="s">
        <v>1105</v>
      </c>
      <c r="E180" s="286" t="s">
        <v>1106</v>
      </c>
      <c r="F180" s="286" t="s">
        <v>1217</v>
      </c>
      <c r="G180" s="286" t="s">
        <v>53</v>
      </c>
      <c r="H180" s="286" t="s">
        <v>53</v>
      </c>
      <c r="I180" s="286" t="s">
        <v>1152</v>
      </c>
      <c r="J180" s="286" t="s">
        <v>53</v>
      </c>
      <c r="K180" s="286" t="s">
        <v>53</v>
      </c>
      <c r="L180" s="286" t="s">
        <v>53</v>
      </c>
      <c r="M180" s="286" t="s">
        <v>53</v>
      </c>
      <c r="N180" s="287">
        <v>101784</v>
      </c>
      <c r="O180" s="305">
        <f t="shared" si="2"/>
        <v>44620</v>
      </c>
      <c r="P180" s="111" t="s">
        <v>58</v>
      </c>
    </row>
    <row r="181" spans="1:16" hidden="1" x14ac:dyDescent="0.15">
      <c r="A181" s="286">
        <v>1080</v>
      </c>
      <c r="B181" s="288">
        <v>44616.781944444447</v>
      </c>
      <c r="C181" s="286" t="s">
        <v>1216</v>
      </c>
      <c r="D181" s="286" t="s">
        <v>1105</v>
      </c>
      <c r="E181" s="286" t="s">
        <v>1106</v>
      </c>
      <c r="F181" s="286" t="s">
        <v>1217</v>
      </c>
      <c r="G181" s="286" t="s">
        <v>53</v>
      </c>
      <c r="H181" s="286" t="s">
        <v>53</v>
      </c>
      <c r="I181" s="286" t="s">
        <v>1108</v>
      </c>
      <c r="J181" s="286" t="s">
        <v>53</v>
      </c>
      <c r="K181" s="286" t="s">
        <v>53</v>
      </c>
      <c r="L181" s="286" t="s">
        <v>53</v>
      </c>
      <c r="M181" s="286" t="s">
        <v>53</v>
      </c>
      <c r="N181" s="287">
        <v>12600</v>
      </c>
      <c r="O181" s="305">
        <f t="shared" si="2"/>
        <v>44620</v>
      </c>
      <c r="P181" s="286" t="s">
        <v>37</v>
      </c>
    </row>
    <row r="182" spans="1:16" hidden="1" x14ac:dyDescent="0.15">
      <c r="A182" s="286">
        <v>1080</v>
      </c>
      <c r="B182" s="288">
        <v>44616.781944444447</v>
      </c>
      <c r="C182" s="286" t="s">
        <v>1216</v>
      </c>
      <c r="D182" s="286" t="s">
        <v>1105</v>
      </c>
      <c r="E182" s="286" t="s">
        <v>1106</v>
      </c>
      <c r="F182" s="286" t="s">
        <v>1217</v>
      </c>
      <c r="G182" s="286" t="s">
        <v>53</v>
      </c>
      <c r="H182" s="286" t="s">
        <v>53</v>
      </c>
      <c r="I182" s="286" t="s">
        <v>1112</v>
      </c>
      <c r="J182" s="286" t="s">
        <v>53</v>
      </c>
      <c r="K182" s="286" t="s">
        <v>53</v>
      </c>
      <c r="L182" s="286" t="s">
        <v>53</v>
      </c>
      <c r="M182" s="286" t="s">
        <v>53</v>
      </c>
      <c r="N182" s="287">
        <v>10000</v>
      </c>
      <c r="O182" s="305">
        <f t="shared" si="2"/>
        <v>44620</v>
      </c>
      <c r="P182" s="286" t="s">
        <v>175</v>
      </c>
    </row>
    <row r="183" spans="1:16" hidden="1" x14ac:dyDescent="0.15">
      <c r="A183" s="286">
        <v>1080</v>
      </c>
      <c r="B183" s="288">
        <v>44616.781944444447</v>
      </c>
      <c r="C183" s="286" t="s">
        <v>1216</v>
      </c>
      <c r="D183" s="286" t="s">
        <v>1105</v>
      </c>
      <c r="E183" s="286" t="s">
        <v>1106</v>
      </c>
      <c r="F183" s="286" t="s">
        <v>1217</v>
      </c>
      <c r="G183" s="286" t="s">
        <v>53</v>
      </c>
      <c r="H183" s="286" t="s">
        <v>53</v>
      </c>
      <c r="I183" s="286" t="s">
        <v>1129</v>
      </c>
      <c r="J183" s="286" t="s">
        <v>53</v>
      </c>
      <c r="K183" s="286" t="s">
        <v>53</v>
      </c>
      <c r="L183" s="286" t="s">
        <v>53</v>
      </c>
      <c r="M183" s="286" t="s">
        <v>53</v>
      </c>
      <c r="N183" s="287">
        <v>816.72</v>
      </c>
      <c r="O183" s="305">
        <f t="shared" si="2"/>
        <v>44620</v>
      </c>
      <c r="P183" s="286" t="s">
        <v>164</v>
      </c>
    </row>
    <row r="184" spans="1:16" hidden="1" x14ac:dyDescent="0.15">
      <c r="A184" s="286">
        <v>1080</v>
      </c>
      <c r="B184" s="288">
        <v>44616.781944444447</v>
      </c>
      <c r="C184" s="286" t="s">
        <v>1216</v>
      </c>
      <c r="D184" s="286" t="s">
        <v>1105</v>
      </c>
      <c r="E184" s="286" t="s">
        <v>1106</v>
      </c>
      <c r="F184" s="286" t="s">
        <v>1217</v>
      </c>
      <c r="G184" s="286" t="s">
        <v>53</v>
      </c>
      <c r="H184" s="286" t="s">
        <v>53</v>
      </c>
      <c r="I184" s="286" t="s">
        <v>1199</v>
      </c>
      <c r="J184" s="286" t="s">
        <v>53</v>
      </c>
      <c r="K184" s="286" t="s">
        <v>53</v>
      </c>
      <c r="L184" s="286" t="s">
        <v>53</v>
      </c>
      <c r="M184" s="286" t="s">
        <v>53</v>
      </c>
      <c r="N184" s="287">
        <v>-92331</v>
      </c>
      <c r="O184" s="305">
        <f t="shared" si="2"/>
        <v>44620</v>
      </c>
      <c r="P184" s="286" t="s">
        <v>58</v>
      </c>
    </row>
    <row r="185" spans="1:16" hidden="1" x14ac:dyDescent="0.15">
      <c r="A185" s="286">
        <v>1081</v>
      </c>
      <c r="B185" s="288">
        <v>44616.781944444447</v>
      </c>
      <c r="C185" s="286" t="s">
        <v>1218</v>
      </c>
      <c r="D185" s="286" t="s">
        <v>1105</v>
      </c>
      <c r="E185" s="286" t="s">
        <v>1106</v>
      </c>
      <c r="F185" s="286" t="s">
        <v>1219</v>
      </c>
      <c r="G185" s="286" t="s">
        <v>53</v>
      </c>
      <c r="H185" s="286" t="s">
        <v>53</v>
      </c>
      <c r="I185" s="286" t="s">
        <v>1108</v>
      </c>
      <c r="J185" s="286" t="s">
        <v>53</v>
      </c>
      <c r="K185" s="286" t="s">
        <v>53</v>
      </c>
      <c r="L185" s="286" t="s">
        <v>53</v>
      </c>
      <c r="M185" s="286" t="s">
        <v>53</v>
      </c>
      <c r="N185" s="287">
        <v>176297.24</v>
      </c>
      <c r="O185" s="305">
        <f t="shared" si="2"/>
        <v>44620</v>
      </c>
      <c r="P185" s="286" t="s">
        <v>37</v>
      </c>
    </row>
    <row r="186" spans="1:16" hidden="1" x14ac:dyDescent="0.15">
      <c r="A186" s="286">
        <v>1081</v>
      </c>
      <c r="B186" s="288">
        <v>44616.781944444447</v>
      </c>
      <c r="C186" s="286" t="s">
        <v>1218</v>
      </c>
      <c r="D186" s="286" t="s">
        <v>1105</v>
      </c>
      <c r="E186" s="286" t="s">
        <v>1106</v>
      </c>
      <c r="F186" s="286" t="s">
        <v>1219</v>
      </c>
      <c r="G186" s="286" t="s">
        <v>53</v>
      </c>
      <c r="H186" s="286" t="s">
        <v>53</v>
      </c>
      <c r="I186" s="286" t="s">
        <v>1173</v>
      </c>
      <c r="J186" s="286" t="s">
        <v>53</v>
      </c>
      <c r="K186" s="286" t="s">
        <v>53</v>
      </c>
      <c r="L186" s="286" t="s">
        <v>53</v>
      </c>
      <c r="M186" s="286" t="s">
        <v>53</v>
      </c>
      <c r="N186" s="287">
        <v>75232</v>
      </c>
      <c r="O186" s="305">
        <f t="shared" si="2"/>
        <v>44620</v>
      </c>
      <c r="P186" s="286" t="s">
        <v>58</v>
      </c>
    </row>
    <row r="187" spans="1:16" hidden="1" x14ac:dyDescent="0.15">
      <c r="A187" s="286">
        <v>1081</v>
      </c>
      <c r="B187" s="288">
        <v>44616.781944444447</v>
      </c>
      <c r="C187" s="286" t="s">
        <v>1218</v>
      </c>
      <c r="D187" s="286" t="s">
        <v>1105</v>
      </c>
      <c r="E187" s="286" t="s">
        <v>1106</v>
      </c>
      <c r="F187" s="286" t="s">
        <v>1219</v>
      </c>
      <c r="G187" s="286" t="s">
        <v>53</v>
      </c>
      <c r="H187" s="286" t="s">
        <v>53</v>
      </c>
      <c r="I187" s="286" t="s">
        <v>1129</v>
      </c>
      <c r="J187" s="286" t="s">
        <v>53</v>
      </c>
      <c r="K187" s="286" t="s">
        <v>53</v>
      </c>
      <c r="L187" s="286" t="s">
        <v>53</v>
      </c>
      <c r="M187" s="286" t="s">
        <v>53</v>
      </c>
      <c r="N187" s="287">
        <v>49129.72</v>
      </c>
      <c r="O187" s="305">
        <f t="shared" si="2"/>
        <v>44620</v>
      </c>
      <c r="P187" s="286" t="s">
        <v>164</v>
      </c>
    </row>
    <row r="188" spans="1:16" hidden="1" x14ac:dyDescent="0.15">
      <c r="A188" s="286">
        <v>1081</v>
      </c>
      <c r="B188" s="288">
        <v>44616.781944444447</v>
      </c>
      <c r="C188" s="286" t="s">
        <v>1218</v>
      </c>
      <c r="D188" s="286" t="s">
        <v>1105</v>
      </c>
      <c r="E188" s="286" t="s">
        <v>1106</v>
      </c>
      <c r="F188" s="286" t="s">
        <v>1219</v>
      </c>
      <c r="G188" s="286" t="s">
        <v>53</v>
      </c>
      <c r="H188" s="286" t="s">
        <v>53</v>
      </c>
      <c r="I188" s="286" t="s">
        <v>1112</v>
      </c>
      <c r="J188" s="286" t="s">
        <v>53</v>
      </c>
      <c r="K188" s="286" t="s">
        <v>53</v>
      </c>
      <c r="L188" s="286" t="s">
        <v>53</v>
      </c>
      <c r="M188" s="286" t="s">
        <v>53</v>
      </c>
      <c r="N188" s="287">
        <v>48294</v>
      </c>
      <c r="O188" s="305">
        <f t="shared" si="2"/>
        <v>44620</v>
      </c>
      <c r="P188" s="286" t="s">
        <v>175</v>
      </c>
    </row>
    <row r="189" spans="1:16" hidden="1" x14ac:dyDescent="0.15">
      <c r="A189" s="286">
        <v>1081</v>
      </c>
      <c r="B189" s="288">
        <v>44616.781944444447</v>
      </c>
      <c r="C189" s="286" t="s">
        <v>1218</v>
      </c>
      <c r="D189" s="286" t="s">
        <v>1105</v>
      </c>
      <c r="E189" s="286" t="s">
        <v>1106</v>
      </c>
      <c r="F189" s="286" t="s">
        <v>1219</v>
      </c>
      <c r="G189" s="286" t="s">
        <v>53</v>
      </c>
      <c r="H189" s="286" t="s">
        <v>53</v>
      </c>
      <c r="I189" s="286" t="s">
        <v>1211</v>
      </c>
      <c r="J189" s="286" t="s">
        <v>53</v>
      </c>
      <c r="K189" s="286" t="s">
        <v>53</v>
      </c>
      <c r="L189" s="286" t="s">
        <v>53</v>
      </c>
      <c r="M189" s="286" t="s">
        <v>53</v>
      </c>
      <c r="N189" s="287">
        <v>34650</v>
      </c>
      <c r="O189" s="305">
        <f t="shared" si="2"/>
        <v>44620</v>
      </c>
      <c r="P189" s="286" t="s">
        <v>452</v>
      </c>
    </row>
    <row r="190" spans="1:16" hidden="1" x14ac:dyDescent="0.15">
      <c r="A190" s="286">
        <v>1081</v>
      </c>
      <c r="B190" s="288">
        <v>44616.781944444447</v>
      </c>
      <c r="C190" s="286" t="s">
        <v>1218</v>
      </c>
      <c r="D190" s="286" t="s">
        <v>1105</v>
      </c>
      <c r="E190" s="286" t="s">
        <v>1106</v>
      </c>
      <c r="F190" s="286" t="s">
        <v>1219</v>
      </c>
      <c r="G190" s="286" t="s">
        <v>53</v>
      </c>
      <c r="H190" s="286" t="s">
        <v>53</v>
      </c>
      <c r="I190" s="286" t="s">
        <v>1128</v>
      </c>
      <c r="J190" s="286" t="s">
        <v>53</v>
      </c>
      <c r="K190" s="286" t="s">
        <v>53</v>
      </c>
      <c r="L190" s="286" t="s">
        <v>53</v>
      </c>
      <c r="M190" s="286" t="s">
        <v>53</v>
      </c>
      <c r="N190" s="287">
        <v>34000</v>
      </c>
      <c r="O190" s="305">
        <f t="shared" si="2"/>
        <v>44620</v>
      </c>
      <c r="P190" s="286" t="s">
        <v>47</v>
      </c>
    </row>
    <row r="191" spans="1:16" hidden="1" x14ac:dyDescent="0.15">
      <c r="A191" s="286">
        <v>1081</v>
      </c>
      <c r="B191" s="288">
        <v>44616.781944444447</v>
      </c>
      <c r="C191" s="286" t="s">
        <v>1218</v>
      </c>
      <c r="D191" s="286" t="s">
        <v>1105</v>
      </c>
      <c r="E191" s="286" t="s">
        <v>1106</v>
      </c>
      <c r="F191" s="286" t="s">
        <v>1219</v>
      </c>
      <c r="G191" s="286" t="s">
        <v>53</v>
      </c>
      <c r="H191" s="286" t="s">
        <v>53</v>
      </c>
      <c r="I191" s="286" t="s">
        <v>1204</v>
      </c>
      <c r="J191" s="286" t="s">
        <v>53</v>
      </c>
      <c r="K191" s="286" t="s">
        <v>53</v>
      </c>
      <c r="L191" s="286" t="s">
        <v>53</v>
      </c>
      <c r="M191" s="286" t="s">
        <v>53</v>
      </c>
      <c r="N191" s="287">
        <v>1869</v>
      </c>
      <c r="O191" s="305">
        <f t="shared" si="2"/>
        <v>44620</v>
      </c>
      <c r="P191" s="286" t="s">
        <v>49</v>
      </c>
    </row>
    <row r="192" spans="1:16" hidden="1" x14ac:dyDescent="0.15">
      <c r="A192" s="286">
        <v>1082</v>
      </c>
      <c r="B192" s="288">
        <v>44616.781944444447</v>
      </c>
      <c r="C192" s="286" t="s">
        <v>1220</v>
      </c>
      <c r="D192" s="286" t="s">
        <v>1105</v>
      </c>
      <c r="E192" s="286" t="s">
        <v>1106</v>
      </c>
      <c r="F192" s="286" t="s">
        <v>1221</v>
      </c>
      <c r="G192" s="286" t="s">
        <v>53</v>
      </c>
      <c r="H192" s="286" t="s">
        <v>53</v>
      </c>
      <c r="I192" s="286" t="s">
        <v>1108</v>
      </c>
      <c r="J192" s="286" t="s">
        <v>53</v>
      </c>
      <c r="K192" s="286" t="s">
        <v>53</v>
      </c>
      <c r="L192" s="286" t="s">
        <v>53</v>
      </c>
      <c r="M192" s="286" t="s">
        <v>53</v>
      </c>
      <c r="N192" s="287">
        <v>12041.99</v>
      </c>
      <c r="O192" s="305">
        <f t="shared" si="2"/>
        <v>44620</v>
      </c>
      <c r="P192" s="286" t="s">
        <v>37</v>
      </c>
    </row>
    <row r="193" spans="1:16" hidden="1" x14ac:dyDescent="0.15">
      <c r="A193" s="286">
        <v>1082</v>
      </c>
      <c r="B193" s="288">
        <v>44616.781944444447</v>
      </c>
      <c r="C193" s="286" t="s">
        <v>1220</v>
      </c>
      <c r="D193" s="286" t="s">
        <v>1105</v>
      </c>
      <c r="E193" s="286" t="s">
        <v>1106</v>
      </c>
      <c r="F193" s="286" t="s">
        <v>1221</v>
      </c>
      <c r="G193" s="286" t="s">
        <v>53</v>
      </c>
      <c r="H193" s="286" t="s">
        <v>53</v>
      </c>
      <c r="I193" s="286" t="s">
        <v>1199</v>
      </c>
      <c r="J193" s="286" t="s">
        <v>53</v>
      </c>
      <c r="K193" s="286" t="s">
        <v>53</v>
      </c>
      <c r="L193" s="286" t="s">
        <v>53</v>
      </c>
      <c r="M193" s="286" t="s">
        <v>53</v>
      </c>
      <c r="N193" s="287">
        <v>12004</v>
      </c>
      <c r="O193" s="305">
        <f t="shared" si="2"/>
        <v>44620</v>
      </c>
      <c r="P193" s="286" t="s">
        <v>58</v>
      </c>
    </row>
    <row r="194" spans="1:16" hidden="1" x14ac:dyDescent="0.15">
      <c r="A194" s="286">
        <v>1082</v>
      </c>
      <c r="B194" s="288">
        <v>44616.781944444447</v>
      </c>
      <c r="C194" s="286" t="s">
        <v>1220</v>
      </c>
      <c r="D194" s="286" t="s">
        <v>1105</v>
      </c>
      <c r="E194" s="286" t="s">
        <v>1106</v>
      </c>
      <c r="F194" s="286" t="s">
        <v>1221</v>
      </c>
      <c r="G194" s="286" t="s">
        <v>53</v>
      </c>
      <c r="H194" s="286" t="s">
        <v>53</v>
      </c>
      <c r="I194" s="286" t="s">
        <v>1112</v>
      </c>
      <c r="J194" s="286" t="s">
        <v>53</v>
      </c>
      <c r="K194" s="286" t="s">
        <v>53</v>
      </c>
      <c r="L194" s="286" t="s">
        <v>53</v>
      </c>
      <c r="M194" s="286" t="s">
        <v>53</v>
      </c>
      <c r="N194" s="287">
        <v>6795</v>
      </c>
      <c r="O194" s="305">
        <f t="shared" si="2"/>
        <v>44620</v>
      </c>
      <c r="P194" s="286" t="s">
        <v>175</v>
      </c>
    </row>
    <row r="195" spans="1:16" hidden="1" x14ac:dyDescent="0.15">
      <c r="A195" s="286">
        <v>1082</v>
      </c>
      <c r="B195" s="288">
        <v>44616.781944444447</v>
      </c>
      <c r="C195" s="286" t="s">
        <v>1220</v>
      </c>
      <c r="D195" s="286" t="s">
        <v>1105</v>
      </c>
      <c r="E195" s="286" t="s">
        <v>1106</v>
      </c>
      <c r="F195" s="286" t="s">
        <v>1221</v>
      </c>
      <c r="G195" s="286" t="s">
        <v>53</v>
      </c>
      <c r="H195" s="286" t="s">
        <v>53</v>
      </c>
      <c r="I195" s="286" t="s">
        <v>1173</v>
      </c>
      <c r="J195" s="286" t="s">
        <v>53</v>
      </c>
      <c r="K195" s="286" t="s">
        <v>53</v>
      </c>
      <c r="L195" s="286" t="s">
        <v>53</v>
      </c>
      <c r="M195" s="286" t="s">
        <v>53</v>
      </c>
      <c r="N195" s="287">
        <v>6050</v>
      </c>
      <c r="O195" s="305">
        <f t="shared" ref="O195:O258" si="3">EOMONTH(B195,0)</f>
        <v>44620</v>
      </c>
      <c r="P195" s="286" t="s">
        <v>58</v>
      </c>
    </row>
    <row r="196" spans="1:16" hidden="1" x14ac:dyDescent="0.15">
      <c r="A196" s="286">
        <v>1082</v>
      </c>
      <c r="B196" s="288">
        <v>44616.781944444447</v>
      </c>
      <c r="C196" s="286" t="s">
        <v>1220</v>
      </c>
      <c r="D196" s="286" t="s">
        <v>1105</v>
      </c>
      <c r="E196" s="286" t="s">
        <v>1106</v>
      </c>
      <c r="F196" s="286" t="s">
        <v>1221</v>
      </c>
      <c r="G196" s="286" t="s">
        <v>53</v>
      </c>
      <c r="H196" s="286" t="s">
        <v>53</v>
      </c>
      <c r="I196" s="286" t="s">
        <v>1129</v>
      </c>
      <c r="J196" s="286" t="s">
        <v>53</v>
      </c>
      <c r="K196" s="286" t="s">
        <v>53</v>
      </c>
      <c r="L196" s="286" t="s">
        <v>53</v>
      </c>
      <c r="M196" s="286" t="s">
        <v>53</v>
      </c>
      <c r="N196" s="287">
        <v>3733.97</v>
      </c>
      <c r="O196" s="305">
        <f t="shared" si="3"/>
        <v>44620</v>
      </c>
      <c r="P196" s="286" t="s">
        <v>164</v>
      </c>
    </row>
    <row r="197" spans="1:16" hidden="1" x14ac:dyDescent="0.15">
      <c r="A197" s="286">
        <v>1083</v>
      </c>
      <c r="B197" s="288">
        <v>44616.781944444447</v>
      </c>
      <c r="C197" s="286" t="s">
        <v>1222</v>
      </c>
      <c r="D197" s="286" t="s">
        <v>1105</v>
      </c>
      <c r="E197" s="286" t="s">
        <v>1106</v>
      </c>
      <c r="F197" s="286" t="s">
        <v>1223</v>
      </c>
      <c r="G197" s="286" t="s">
        <v>53</v>
      </c>
      <c r="H197" s="286" t="s">
        <v>53</v>
      </c>
      <c r="I197" s="286" t="s">
        <v>1128</v>
      </c>
      <c r="J197" s="286" t="s">
        <v>53</v>
      </c>
      <c r="K197" s="286" t="s">
        <v>53</v>
      </c>
      <c r="L197" s="286" t="s">
        <v>53</v>
      </c>
      <c r="M197" s="286" t="s">
        <v>53</v>
      </c>
      <c r="N197" s="287">
        <v>87625</v>
      </c>
      <c r="O197" s="305">
        <f t="shared" si="3"/>
        <v>44620</v>
      </c>
      <c r="P197" s="286" t="s">
        <v>47</v>
      </c>
    </row>
    <row r="198" spans="1:16" hidden="1" x14ac:dyDescent="0.15">
      <c r="A198" s="286">
        <v>1083</v>
      </c>
      <c r="B198" s="288">
        <v>44616.781944444447</v>
      </c>
      <c r="C198" s="286" t="s">
        <v>1222</v>
      </c>
      <c r="D198" s="286" t="s">
        <v>1105</v>
      </c>
      <c r="E198" s="286" t="s">
        <v>1106</v>
      </c>
      <c r="F198" s="286" t="s">
        <v>1223</v>
      </c>
      <c r="G198" s="286" t="s">
        <v>53</v>
      </c>
      <c r="H198" s="286" t="s">
        <v>53</v>
      </c>
      <c r="I198" s="286" t="s">
        <v>1112</v>
      </c>
      <c r="J198" s="286" t="s">
        <v>53</v>
      </c>
      <c r="K198" s="286" t="s">
        <v>53</v>
      </c>
      <c r="L198" s="286" t="s">
        <v>53</v>
      </c>
      <c r="M198" s="286" t="s">
        <v>53</v>
      </c>
      <c r="N198" s="287">
        <v>24963</v>
      </c>
      <c r="O198" s="305">
        <f t="shared" si="3"/>
        <v>44620</v>
      </c>
      <c r="P198" s="286" t="s">
        <v>175</v>
      </c>
    </row>
    <row r="199" spans="1:16" hidden="1" x14ac:dyDescent="0.15">
      <c r="A199" s="286">
        <v>1083</v>
      </c>
      <c r="B199" s="288">
        <v>44616.781944444447</v>
      </c>
      <c r="C199" s="286" t="s">
        <v>1222</v>
      </c>
      <c r="D199" s="286" t="s">
        <v>1105</v>
      </c>
      <c r="E199" s="286" t="s">
        <v>1106</v>
      </c>
      <c r="F199" s="286" t="s">
        <v>1223</v>
      </c>
      <c r="G199" s="286" t="s">
        <v>53</v>
      </c>
      <c r="H199" s="286" t="s">
        <v>53</v>
      </c>
      <c r="I199" s="286" t="s">
        <v>1204</v>
      </c>
      <c r="J199" s="286" t="s">
        <v>53</v>
      </c>
      <c r="K199" s="286" t="s">
        <v>53</v>
      </c>
      <c r="L199" s="286" t="s">
        <v>53</v>
      </c>
      <c r="M199" s="286" t="s">
        <v>53</v>
      </c>
      <c r="N199" s="287">
        <v>10000</v>
      </c>
      <c r="O199" s="305">
        <f t="shared" si="3"/>
        <v>44620</v>
      </c>
      <c r="P199" s="286" t="s">
        <v>49</v>
      </c>
    </row>
    <row r="200" spans="1:16" hidden="1" x14ac:dyDescent="0.15">
      <c r="A200" s="286">
        <v>1083</v>
      </c>
      <c r="B200" s="288">
        <v>44616.781944444447</v>
      </c>
      <c r="C200" s="286" t="s">
        <v>1222</v>
      </c>
      <c r="D200" s="286" t="s">
        <v>1105</v>
      </c>
      <c r="E200" s="286" t="s">
        <v>1106</v>
      </c>
      <c r="F200" s="286" t="s">
        <v>1223</v>
      </c>
      <c r="G200" s="286" t="s">
        <v>53</v>
      </c>
      <c r="H200" s="286" t="s">
        <v>53</v>
      </c>
      <c r="I200" s="286" t="s">
        <v>1173</v>
      </c>
      <c r="J200" s="286" t="s">
        <v>53</v>
      </c>
      <c r="K200" s="286" t="s">
        <v>53</v>
      </c>
      <c r="L200" s="286" t="s">
        <v>53</v>
      </c>
      <c r="M200" s="286" t="s">
        <v>53</v>
      </c>
      <c r="N200" s="287">
        <v>3598</v>
      </c>
      <c r="O200" s="305">
        <f t="shared" si="3"/>
        <v>44620</v>
      </c>
      <c r="P200" s="286" t="s">
        <v>58</v>
      </c>
    </row>
    <row r="201" spans="1:16" hidden="1" x14ac:dyDescent="0.15">
      <c r="A201" s="286">
        <v>1083</v>
      </c>
      <c r="B201" s="288">
        <v>44616.781944444447</v>
      </c>
      <c r="C201" s="286" t="s">
        <v>1222</v>
      </c>
      <c r="D201" s="286" t="s">
        <v>1105</v>
      </c>
      <c r="E201" s="286" t="s">
        <v>1106</v>
      </c>
      <c r="F201" s="286" t="s">
        <v>1223</v>
      </c>
      <c r="G201" s="286" t="s">
        <v>53</v>
      </c>
      <c r="H201" s="286" t="s">
        <v>53</v>
      </c>
      <c r="I201" s="286" t="s">
        <v>1199</v>
      </c>
      <c r="J201" s="286" t="s">
        <v>53</v>
      </c>
      <c r="K201" s="286" t="s">
        <v>53</v>
      </c>
      <c r="L201" s="286" t="s">
        <v>53</v>
      </c>
      <c r="M201" s="286" t="s">
        <v>53</v>
      </c>
      <c r="N201" s="287">
        <v>605</v>
      </c>
      <c r="O201" s="305">
        <f t="shared" si="3"/>
        <v>44620</v>
      </c>
      <c r="P201" s="286" t="s">
        <v>58</v>
      </c>
    </row>
    <row r="202" spans="1:16" hidden="1" x14ac:dyDescent="0.15">
      <c r="A202" s="286">
        <v>1083</v>
      </c>
      <c r="B202" s="288">
        <v>44616.781944444447</v>
      </c>
      <c r="C202" s="286" t="s">
        <v>1222</v>
      </c>
      <c r="D202" s="286" t="s">
        <v>1105</v>
      </c>
      <c r="E202" s="286" t="s">
        <v>1106</v>
      </c>
      <c r="F202" s="286" t="s">
        <v>1223</v>
      </c>
      <c r="G202" s="286" t="s">
        <v>53</v>
      </c>
      <c r="H202" s="286" t="s">
        <v>53</v>
      </c>
      <c r="I202" s="286" t="s">
        <v>1129</v>
      </c>
      <c r="J202" s="286" t="s">
        <v>53</v>
      </c>
      <c r="K202" s="286" t="s">
        <v>53</v>
      </c>
      <c r="L202" s="286" t="s">
        <v>53</v>
      </c>
      <c r="M202" s="286" t="s">
        <v>53</v>
      </c>
      <c r="N202" s="287">
        <v>-4970.74</v>
      </c>
      <c r="O202" s="305">
        <f t="shared" si="3"/>
        <v>44620</v>
      </c>
      <c r="P202" s="286" t="s">
        <v>164</v>
      </c>
    </row>
    <row r="203" spans="1:16" hidden="1" x14ac:dyDescent="0.15">
      <c r="A203" s="286">
        <v>1084</v>
      </c>
      <c r="B203" s="288">
        <v>44616.781944444447</v>
      </c>
      <c r="C203" s="286" t="s">
        <v>1224</v>
      </c>
      <c r="D203" s="286" t="s">
        <v>1105</v>
      </c>
      <c r="E203" s="286" t="s">
        <v>1106</v>
      </c>
      <c r="F203" s="286" t="s">
        <v>1225</v>
      </c>
      <c r="G203" s="286" t="s">
        <v>53</v>
      </c>
      <c r="H203" s="286" t="s">
        <v>53</v>
      </c>
      <c r="I203" s="286" t="s">
        <v>1199</v>
      </c>
      <c r="J203" s="286" t="s">
        <v>53</v>
      </c>
      <c r="K203" s="286" t="s">
        <v>53</v>
      </c>
      <c r="L203" s="286" t="s">
        <v>53</v>
      </c>
      <c r="M203" s="286" t="s">
        <v>53</v>
      </c>
      <c r="N203" s="287">
        <v>174901</v>
      </c>
      <c r="O203" s="305">
        <f t="shared" si="3"/>
        <v>44620</v>
      </c>
      <c r="P203" s="286" t="s">
        <v>58</v>
      </c>
    </row>
    <row r="204" spans="1:16" hidden="1" x14ac:dyDescent="0.15">
      <c r="A204" s="286">
        <v>1084</v>
      </c>
      <c r="B204" s="288">
        <v>44616.781944444447</v>
      </c>
      <c r="C204" s="286" t="s">
        <v>1224</v>
      </c>
      <c r="D204" s="286" t="s">
        <v>1105</v>
      </c>
      <c r="E204" s="286" t="s">
        <v>1106</v>
      </c>
      <c r="F204" s="286" t="s">
        <v>1225</v>
      </c>
      <c r="G204" s="286" t="s">
        <v>53</v>
      </c>
      <c r="H204" s="286" t="s">
        <v>53</v>
      </c>
      <c r="I204" s="286" t="s">
        <v>1108</v>
      </c>
      <c r="J204" s="286" t="s">
        <v>53</v>
      </c>
      <c r="K204" s="286" t="s">
        <v>53</v>
      </c>
      <c r="L204" s="286" t="s">
        <v>53</v>
      </c>
      <c r="M204" s="286" t="s">
        <v>53</v>
      </c>
      <c r="N204" s="287">
        <v>15295</v>
      </c>
      <c r="O204" s="305">
        <f t="shared" si="3"/>
        <v>44620</v>
      </c>
      <c r="P204" s="286" t="s">
        <v>37</v>
      </c>
    </row>
    <row r="205" spans="1:16" hidden="1" x14ac:dyDescent="0.15">
      <c r="A205" s="286">
        <v>1084</v>
      </c>
      <c r="B205" s="288">
        <v>44616.781944444447</v>
      </c>
      <c r="C205" s="286" t="s">
        <v>1224</v>
      </c>
      <c r="D205" s="286" t="s">
        <v>1105</v>
      </c>
      <c r="E205" s="286" t="s">
        <v>1106</v>
      </c>
      <c r="F205" s="286" t="s">
        <v>1225</v>
      </c>
      <c r="G205" s="286" t="s">
        <v>53</v>
      </c>
      <c r="H205" s="286" t="s">
        <v>53</v>
      </c>
      <c r="I205" s="286" t="s">
        <v>1112</v>
      </c>
      <c r="J205" s="286" t="s">
        <v>53</v>
      </c>
      <c r="K205" s="286" t="s">
        <v>53</v>
      </c>
      <c r="L205" s="286" t="s">
        <v>53</v>
      </c>
      <c r="M205" s="286" t="s">
        <v>53</v>
      </c>
      <c r="N205" s="287">
        <v>12291.2</v>
      </c>
      <c r="O205" s="305">
        <f t="shared" si="3"/>
        <v>44620</v>
      </c>
      <c r="P205" s="286" t="s">
        <v>175</v>
      </c>
    </row>
    <row r="206" spans="1:16" hidden="1" x14ac:dyDescent="0.15">
      <c r="A206" s="286">
        <v>1084</v>
      </c>
      <c r="B206" s="288">
        <v>44616.781944444447</v>
      </c>
      <c r="C206" s="286" t="s">
        <v>1224</v>
      </c>
      <c r="D206" s="286" t="s">
        <v>1105</v>
      </c>
      <c r="E206" s="286" t="s">
        <v>1106</v>
      </c>
      <c r="F206" s="286" t="s">
        <v>1225</v>
      </c>
      <c r="G206" s="286" t="s">
        <v>53</v>
      </c>
      <c r="H206" s="286" t="s">
        <v>53</v>
      </c>
      <c r="I206" s="286" t="s">
        <v>1129</v>
      </c>
      <c r="J206" s="286" t="s">
        <v>53</v>
      </c>
      <c r="K206" s="286" t="s">
        <v>53</v>
      </c>
      <c r="L206" s="286" t="s">
        <v>53</v>
      </c>
      <c r="M206" s="286" t="s">
        <v>53</v>
      </c>
      <c r="N206" s="287">
        <v>536.05999999999995</v>
      </c>
      <c r="O206" s="305">
        <f t="shared" si="3"/>
        <v>44620</v>
      </c>
      <c r="P206" s="286" t="s">
        <v>164</v>
      </c>
    </row>
    <row r="207" spans="1:16" hidden="1" x14ac:dyDescent="0.15">
      <c r="A207" s="286">
        <v>1085</v>
      </c>
      <c r="B207" s="288">
        <v>44616.781944444447</v>
      </c>
      <c r="C207" s="286" t="s">
        <v>1226</v>
      </c>
      <c r="D207" s="286" t="s">
        <v>1105</v>
      </c>
      <c r="E207" s="286" t="s">
        <v>1106</v>
      </c>
      <c r="F207" s="286" t="s">
        <v>1227</v>
      </c>
      <c r="G207" s="286" t="s">
        <v>53</v>
      </c>
      <c r="H207" s="286" t="s">
        <v>53</v>
      </c>
      <c r="I207" s="286" t="s">
        <v>1228</v>
      </c>
      <c r="J207" s="286" t="s">
        <v>53</v>
      </c>
      <c r="K207" s="286" t="s">
        <v>53</v>
      </c>
      <c r="L207" s="286" t="s">
        <v>53</v>
      </c>
      <c r="M207" s="286" t="s">
        <v>53</v>
      </c>
      <c r="N207" s="287">
        <v>189774</v>
      </c>
      <c r="O207" s="305">
        <f t="shared" si="3"/>
        <v>44620</v>
      </c>
      <c r="P207" s="286" t="s">
        <v>58</v>
      </c>
    </row>
    <row r="208" spans="1:16" hidden="1" x14ac:dyDescent="0.15">
      <c r="A208" s="286">
        <v>1085</v>
      </c>
      <c r="B208" s="288">
        <v>44616.781944444447</v>
      </c>
      <c r="C208" s="286" t="s">
        <v>1226</v>
      </c>
      <c r="D208" s="286" t="s">
        <v>1105</v>
      </c>
      <c r="E208" s="286" t="s">
        <v>1106</v>
      </c>
      <c r="F208" s="286" t="s">
        <v>1227</v>
      </c>
      <c r="G208" s="286" t="s">
        <v>53</v>
      </c>
      <c r="H208" s="286" t="s">
        <v>53</v>
      </c>
      <c r="I208" s="286" t="s">
        <v>1229</v>
      </c>
      <c r="J208" s="286" t="s">
        <v>53</v>
      </c>
      <c r="K208" s="286" t="s">
        <v>53</v>
      </c>
      <c r="L208" s="286" t="s">
        <v>53</v>
      </c>
      <c r="M208" s="286" t="s">
        <v>53</v>
      </c>
      <c r="N208" s="287">
        <v>16225.36</v>
      </c>
      <c r="O208" s="305">
        <f t="shared" si="3"/>
        <v>44620</v>
      </c>
      <c r="P208" s="286" t="s">
        <v>279</v>
      </c>
    </row>
    <row r="209" spans="1:16" hidden="1" x14ac:dyDescent="0.15">
      <c r="A209" s="286">
        <v>1085</v>
      </c>
      <c r="B209" s="288">
        <v>44616.781944444447</v>
      </c>
      <c r="C209" s="286" t="s">
        <v>1226</v>
      </c>
      <c r="D209" s="286" t="s">
        <v>1105</v>
      </c>
      <c r="E209" s="286" t="s">
        <v>1106</v>
      </c>
      <c r="F209" s="286" t="s">
        <v>1227</v>
      </c>
      <c r="G209" s="286" t="s">
        <v>53</v>
      </c>
      <c r="H209" s="286" t="s">
        <v>53</v>
      </c>
      <c r="I209" s="286" t="s">
        <v>1230</v>
      </c>
      <c r="J209" s="286" t="s">
        <v>53</v>
      </c>
      <c r="K209" s="286" t="s">
        <v>53</v>
      </c>
      <c r="L209" s="286" t="s">
        <v>53</v>
      </c>
      <c r="M209" s="286" t="s">
        <v>53</v>
      </c>
      <c r="N209" s="287">
        <v>10860</v>
      </c>
      <c r="O209" s="305">
        <f t="shared" si="3"/>
        <v>44620</v>
      </c>
      <c r="P209" s="286" t="s">
        <v>175</v>
      </c>
    </row>
    <row r="210" spans="1:16" hidden="1" x14ac:dyDescent="0.15">
      <c r="A210" s="286">
        <v>1085</v>
      </c>
      <c r="B210" s="288">
        <v>44616.781944444447</v>
      </c>
      <c r="C210" s="286" t="s">
        <v>1226</v>
      </c>
      <c r="D210" s="286" t="s">
        <v>1105</v>
      </c>
      <c r="E210" s="286" t="s">
        <v>1106</v>
      </c>
      <c r="F210" s="286" t="s">
        <v>1227</v>
      </c>
      <c r="G210" s="286" t="s">
        <v>53</v>
      </c>
      <c r="H210" s="286" t="s">
        <v>53</v>
      </c>
      <c r="I210" s="286" t="s">
        <v>1211</v>
      </c>
      <c r="J210" s="286" t="s">
        <v>53</v>
      </c>
      <c r="K210" s="286" t="s">
        <v>53</v>
      </c>
      <c r="L210" s="286" t="s">
        <v>53</v>
      </c>
      <c r="M210" s="286" t="s">
        <v>53</v>
      </c>
      <c r="N210" s="287">
        <v>9875</v>
      </c>
      <c r="O210" s="305">
        <f t="shared" si="3"/>
        <v>44620</v>
      </c>
      <c r="P210" s="286" t="s">
        <v>452</v>
      </c>
    </row>
    <row r="211" spans="1:16" hidden="1" x14ac:dyDescent="0.15">
      <c r="A211" s="286">
        <v>1085</v>
      </c>
      <c r="B211" s="288">
        <v>44616.781944444447</v>
      </c>
      <c r="C211" s="286" t="s">
        <v>1226</v>
      </c>
      <c r="D211" s="286" t="s">
        <v>1105</v>
      </c>
      <c r="E211" s="286" t="s">
        <v>1106</v>
      </c>
      <c r="F211" s="286" t="s">
        <v>1227</v>
      </c>
      <c r="G211" s="286" t="s">
        <v>53</v>
      </c>
      <c r="H211" s="286" t="s">
        <v>53</v>
      </c>
      <c r="I211" s="286" t="s">
        <v>1129</v>
      </c>
      <c r="J211" s="286" t="s">
        <v>53</v>
      </c>
      <c r="K211" s="286" t="s">
        <v>53</v>
      </c>
      <c r="L211" s="286" t="s">
        <v>53</v>
      </c>
      <c r="M211" s="286" t="s">
        <v>53</v>
      </c>
      <c r="N211" s="287">
        <v>3088.39</v>
      </c>
      <c r="O211" s="305">
        <f t="shared" si="3"/>
        <v>44620</v>
      </c>
      <c r="P211" s="286" t="s">
        <v>164</v>
      </c>
    </row>
    <row r="212" spans="1:16" hidden="1" x14ac:dyDescent="0.15">
      <c r="A212" s="286">
        <v>1085</v>
      </c>
      <c r="B212" s="288">
        <v>44616.781944444447</v>
      </c>
      <c r="C212" s="286" t="s">
        <v>1226</v>
      </c>
      <c r="D212" s="286" t="s">
        <v>1105</v>
      </c>
      <c r="E212" s="286" t="s">
        <v>1106</v>
      </c>
      <c r="F212" s="286" t="s">
        <v>1227</v>
      </c>
      <c r="G212" s="286" t="s">
        <v>53</v>
      </c>
      <c r="H212" s="286" t="s">
        <v>53</v>
      </c>
      <c r="I212" s="286" t="s">
        <v>1108</v>
      </c>
      <c r="J212" s="286" t="s">
        <v>53</v>
      </c>
      <c r="K212" s="286" t="s">
        <v>53</v>
      </c>
      <c r="L212" s="286" t="s">
        <v>53</v>
      </c>
      <c r="M212" s="286" t="s">
        <v>53</v>
      </c>
      <c r="N212" s="287">
        <v>129.26</v>
      </c>
      <c r="O212" s="305">
        <f t="shared" si="3"/>
        <v>44620</v>
      </c>
      <c r="P212" s="286" t="s">
        <v>37</v>
      </c>
    </row>
    <row r="213" spans="1:16" hidden="1" x14ac:dyDescent="0.15">
      <c r="A213" s="286">
        <v>1085</v>
      </c>
      <c r="B213" s="288">
        <v>44616.781944444447</v>
      </c>
      <c r="C213" s="286" t="s">
        <v>1226</v>
      </c>
      <c r="D213" s="286" t="s">
        <v>1105</v>
      </c>
      <c r="E213" s="286" t="s">
        <v>1106</v>
      </c>
      <c r="F213" s="286" t="s">
        <v>1227</v>
      </c>
      <c r="G213" s="286" t="s">
        <v>53</v>
      </c>
      <c r="H213" s="286" t="s">
        <v>53</v>
      </c>
      <c r="I213" s="286" t="s">
        <v>1199</v>
      </c>
      <c r="J213" s="286" t="s">
        <v>53</v>
      </c>
      <c r="K213" s="286" t="s">
        <v>53</v>
      </c>
      <c r="L213" s="286" t="s">
        <v>53</v>
      </c>
      <c r="M213" s="286" t="s">
        <v>53</v>
      </c>
      <c r="N213" s="287">
        <v>-4201.3</v>
      </c>
      <c r="O213" s="305">
        <f t="shared" si="3"/>
        <v>44620</v>
      </c>
      <c r="P213" s="286" t="s">
        <v>58</v>
      </c>
    </row>
    <row r="214" spans="1:16" hidden="1" x14ac:dyDescent="0.15">
      <c r="A214" s="286">
        <v>1086</v>
      </c>
      <c r="B214" s="288">
        <v>44616.781944444447</v>
      </c>
      <c r="C214" s="286" t="s">
        <v>1231</v>
      </c>
      <c r="D214" s="286" t="s">
        <v>1105</v>
      </c>
      <c r="E214" s="286" t="s">
        <v>1106</v>
      </c>
      <c r="F214" s="286" t="s">
        <v>1232</v>
      </c>
      <c r="G214" s="286" t="s">
        <v>53</v>
      </c>
      <c r="H214" s="286" t="s">
        <v>53</v>
      </c>
      <c r="I214" s="286" t="s">
        <v>1108</v>
      </c>
      <c r="J214" s="286" t="s">
        <v>53</v>
      </c>
      <c r="K214" s="286" t="s">
        <v>53</v>
      </c>
      <c r="L214" s="286" t="s">
        <v>53</v>
      </c>
      <c r="M214" s="286" t="s">
        <v>53</v>
      </c>
      <c r="N214" s="287">
        <v>421332.37</v>
      </c>
      <c r="O214" s="305">
        <f t="shared" si="3"/>
        <v>44620</v>
      </c>
      <c r="P214" s="286" t="s">
        <v>37</v>
      </c>
    </row>
    <row r="215" spans="1:16" hidden="1" x14ac:dyDescent="0.15">
      <c r="A215" s="286">
        <v>1086</v>
      </c>
      <c r="B215" s="288">
        <v>44616.781944444447</v>
      </c>
      <c r="C215" s="286" t="s">
        <v>1231</v>
      </c>
      <c r="D215" s="286" t="s">
        <v>1105</v>
      </c>
      <c r="E215" s="286" t="s">
        <v>1106</v>
      </c>
      <c r="F215" s="286" t="s">
        <v>1232</v>
      </c>
      <c r="G215" s="286" t="s">
        <v>53</v>
      </c>
      <c r="H215" s="286" t="s">
        <v>53</v>
      </c>
      <c r="I215" s="286" t="s">
        <v>1173</v>
      </c>
      <c r="J215" s="286" t="s">
        <v>53</v>
      </c>
      <c r="K215" s="286" t="s">
        <v>53</v>
      </c>
      <c r="L215" s="286" t="s">
        <v>53</v>
      </c>
      <c r="M215" s="286" t="s">
        <v>53</v>
      </c>
      <c r="N215" s="287">
        <v>96700</v>
      </c>
      <c r="O215" s="305">
        <f t="shared" si="3"/>
        <v>44620</v>
      </c>
      <c r="P215" s="286" t="s">
        <v>58</v>
      </c>
    </row>
    <row r="216" spans="1:16" hidden="1" x14ac:dyDescent="0.15">
      <c r="A216" s="286">
        <v>1086</v>
      </c>
      <c r="B216" s="288">
        <v>44616.781944444447</v>
      </c>
      <c r="C216" s="286" t="s">
        <v>1231</v>
      </c>
      <c r="D216" s="286" t="s">
        <v>1105</v>
      </c>
      <c r="E216" s="286" t="s">
        <v>1106</v>
      </c>
      <c r="F216" s="286" t="s">
        <v>1232</v>
      </c>
      <c r="G216" s="286" t="s">
        <v>53</v>
      </c>
      <c r="H216" s="286" t="s">
        <v>53</v>
      </c>
      <c r="I216" s="286" t="s">
        <v>1128</v>
      </c>
      <c r="J216" s="286" t="s">
        <v>53</v>
      </c>
      <c r="K216" s="286" t="s">
        <v>53</v>
      </c>
      <c r="L216" s="286" t="s">
        <v>53</v>
      </c>
      <c r="M216" s="286" t="s">
        <v>53</v>
      </c>
      <c r="N216" s="287">
        <v>56770</v>
      </c>
      <c r="O216" s="305">
        <f t="shared" si="3"/>
        <v>44620</v>
      </c>
      <c r="P216" s="286" t="s">
        <v>47</v>
      </c>
    </row>
    <row r="217" spans="1:16" hidden="1" x14ac:dyDescent="0.15">
      <c r="A217" s="286">
        <v>1086</v>
      </c>
      <c r="B217" s="288">
        <v>44616.781944444447</v>
      </c>
      <c r="C217" s="286" t="s">
        <v>1231</v>
      </c>
      <c r="D217" s="286" t="s">
        <v>1105</v>
      </c>
      <c r="E217" s="286" t="s">
        <v>1106</v>
      </c>
      <c r="F217" s="286" t="s">
        <v>1232</v>
      </c>
      <c r="G217" s="286" t="s">
        <v>53</v>
      </c>
      <c r="H217" s="286" t="s">
        <v>53</v>
      </c>
      <c r="I217" s="286" t="s">
        <v>1228</v>
      </c>
      <c r="J217" s="286" t="s">
        <v>53</v>
      </c>
      <c r="K217" s="286" t="s">
        <v>53</v>
      </c>
      <c r="L217" s="286" t="s">
        <v>53</v>
      </c>
      <c r="M217" s="286" t="s">
        <v>53</v>
      </c>
      <c r="N217" s="287">
        <v>49491.66</v>
      </c>
      <c r="O217" s="305">
        <f t="shared" si="3"/>
        <v>44620</v>
      </c>
      <c r="P217" s="286" t="s">
        <v>58</v>
      </c>
    </row>
    <row r="218" spans="1:16" hidden="1" x14ac:dyDescent="0.15">
      <c r="A218" s="286">
        <v>1086</v>
      </c>
      <c r="B218" s="288">
        <v>44616.781944444447</v>
      </c>
      <c r="C218" s="286" t="s">
        <v>1231</v>
      </c>
      <c r="D218" s="286" t="s">
        <v>1105</v>
      </c>
      <c r="E218" s="286" t="s">
        <v>1106</v>
      </c>
      <c r="F218" s="286" t="s">
        <v>1232</v>
      </c>
      <c r="G218" s="286" t="s">
        <v>53</v>
      </c>
      <c r="H218" s="286" t="s">
        <v>53</v>
      </c>
      <c r="I218" s="286" t="s">
        <v>1152</v>
      </c>
      <c r="J218" s="286" t="s">
        <v>53</v>
      </c>
      <c r="K218" s="286" t="s">
        <v>53</v>
      </c>
      <c r="L218" s="286" t="s">
        <v>53</v>
      </c>
      <c r="M218" s="286" t="s">
        <v>53</v>
      </c>
      <c r="N218" s="287">
        <v>30566</v>
      </c>
      <c r="O218" s="305">
        <f t="shared" si="3"/>
        <v>44620</v>
      </c>
      <c r="P218" s="111" t="s">
        <v>58</v>
      </c>
    </row>
    <row r="219" spans="1:16" hidden="1" x14ac:dyDescent="0.15">
      <c r="A219" s="286">
        <v>1086</v>
      </c>
      <c r="B219" s="288">
        <v>44616.781944444447</v>
      </c>
      <c r="C219" s="286" t="s">
        <v>1231</v>
      </c>
      <c r="D219" s="286" t="s">
        <v>1105</v>
      </c>
      <c r="E219" s="286" t="s">
        <v>1106</v>
      </c>
      <c r="F219" s="286" t="s">
        <v>1232</v>
      </c>
      <c r="G219" s="286" t="s">
        <v>53</v>
      </c>
      <c r="H219" s="286" t="s">
        <v>53</v>
      </c>
      <c r="I219" s="286" t="s">
        <v>1204</v>
      </c>
      <c r="J219" s="286" t="s">
        <v>53</v>
      </c>
      <c r="K219" s="286" t="s">
        <v>53</v>
      </c>
      <c r="L219" s="286" t="s">
        <v>53</v>
      </c>
      <c r="M219" s="286" t="s">
        <v>53</v>
      </c>
      <c r="N219" s="287">
        <v>27876</v>
      </c>
      <c r="O219" s="305">
        <f t="shared" si="3"/>
        <v>44620</v>
      </c>
      <c r="P219" s="286" t="s">
        <v>49</v>
      </c>
    </row>
    <row r="220" spans="1:16" hidden="1" x14ac:dyDescent="0.15">
      <c r="A220" s="286">
        <v>1086</v>
      </c>
      <c r="B220" s="288">
        <v>44616.781944444447</v>
      </c>
      <c r="C220" s="286" t="s">
        <v>1231</v>
      </c>
      <c r="D220" s="286" t="s">
        <v>1105</v>
      </c>
      <c r="E220" s="286" t="s">
        <v>1106</v>
      </c>
      <c r="F220" s="286" t="s">
        <v>1232</v>
      </c>
      <c r="G220" s="286" t="s">
        <v>53</v>
      </c>
      <c r="H220" s="286" t="s">
        <v>53</v>
      </c>
      <c r="I220" s="286" t="s">
        <v>1112</v>
      </c>
      <c r="J220" s="286" t="s">
        <v>53</v>
      </c>
      <c r="K220" s="286" t="s">
        <v>53</v>
      </c>
      <c r="L220" s="286" t="s">
        <v>53</v>
      </c>
      <c r="M220" s="286" t="s">
        <v>53</v>
      </c>
      <c r="N220" s="287">
        <v>18279</v>
      </c>
      <c r="O220" s="305">
        <f t="shared" si="3"/>
        <v>44620</v>
      </c>
      <c r="P220" s="286" t="s">
        <v>175</v>
      </c>
    </row>
    <row r="221" spans="1:16" hidden="1" x14ac:dyDescent="0.15">
      <c r="A221" s="286">
        <v>1086</v>
      </c>
      <c r="B221" s="288">
        <v>44616.781944444447</v>
      </c>
      <c r="C221" s="286" t="s">
        <v>1231</v>
      </c>
      <c r="D221" s="286" t="s">
        <v>1105</v>
      </c>
      <c r="E221" s="286" t="s">
        <v>1106</v>
      </c>
      <c r="F221" s="286" t="s">
        <v>1232</v>
      </c>
      <c r="G221" s="286" t="s">
        <v>53</v>
      </c>
      <c r="H221" s="286" t="s">
        <v>53</v>
      </c>
      <c r="I221" s="286" t="s">
        <v>1211</v>
      </c>
      <c r="J221" s="286" t="s">
        <v>53</v>
      </c>
      <c r="K221" s="286" t="s">
        <v>53</v>
      </c>
      <c r="L221" s="286" t="s">
        <v>53</v>
      </c>
      <c r="M221" s="286" t="s">
        <v>53</v>
      </c>
      <c r="N221" s="287">
        <v>17350</v>
      </c>
      <c r="O221" s="305">
        <f t="shared" si="3"/>
        <v>44620</v>
      </c>
      <c r="P221" s="286" t="s">
        <v>452</v>
      </c>
    </row>
    <row r="222" spans="1:16" hidden="1" x14ac:dyDescent="0.15">
      <c r="A222" s="286">
        <v>1086</v>
      </c>
      <c r="B222" s="288">
        <v>44616.781944444447</v>
      </c>
      <c r="C222" s="286" t="s">
        <v>1231</v>
      </c>
      <c r="D222" s="286" t="s">
        <v>1105</v>
      </c>
      <c r="E222" s="286" t="s">
        <v>1106</v>
      </c>
      <c r="F222" s="286" t="s">
        <v>1232</v>
      </c>
      <c r="G222" s="286" t="s">
        <v>53</v>
      </c>
      <c r="H222" s="286" t="s">
        <v>53</v>
      </c>
      <c r="I222" s="286" t="s">
        <v>1199</v>
      </c>
      <c r="J222" s="286" t="s">
        <v>53</v>
      </c>
      <c r="K222" s="286" t="s">
        <v>53</v>
      </c>
      <c r="L222" s="286" t="s">
        <v>53</v>
      </c>
      <c r="M222" s="286" t="s">
        <v>53</v>
      </c>
      <c r="N222" s="287">
        <v>4203</v>
      </c>
      <c r="O222" s="305">
        <f t="shared" si="3"/>
        <v>44620</v>
      </c>
      <c r="P222" s="286" t="s">
        <v>58</v>
      </c>
    </row>
    <row r="223" spans="1:16" hidden="1" x14ac:dyDescent="0.15">
      <c r="A223" s="286">
        <v>1087</v>
      </c>
      <c r="B223" s="288">
        <v>44616.781944444447</v>
      </c>
      <c r="C223" s="286" t="s">
        <v>1233</v>
      </c>
      <c r="D223" s="286" t="s">
        <v>1105</v>
      </c>
      <c r="E223" s="286" t="s">
        <v>1106</v>
      </c>
      <c r="F223" s="286" t="s">
        <v>1234</v>
      </c>
      <c r="G223" s="286" t="s">
        <v>53</v>
      </c>
      <c r="H223" s="286" t="s">
        <v>53</v>
      </c>
      <c r="I223" s="286" t="s">
        <v>1228</v>
      </c>
      <c r="J223" s="286" t="s">
        <v>53</v>
      </c>
      <c r="K223" s="286" t="s">
        <v>53</v>
      </c>
      <c r="L223" s="286" t="s">
        <v>53</v>
      </c>
      <c r="M223" s="286" t="s">
        <v>53</v>
      </c>
      <c r="N223" s="287">
        <v>188995</v>
      </c>
      <c r="O223" s="305">
        <f t="shared" si="3"/>
        <v>44620</v>
      </c>
      <c r="P223" s="286" t="s">
        <v>58</v>
      </c>
    </row>
    <row r="224" spans="1:16" hidden="1" x14ac:dyDescent="0.15">
      <c r="A224" s="286">
        <v>1087</v>
      </c>
      <c r="B224" s="288">
        <v>44616.781944444447</v>
      </c>
      <c r="C224" s="286" t="s">
        <v>1233</v>
      </c>
      <c r="D224" s="286" t="s">
        <v>1105</v>
      </c>
      <c r="E224" s="286" t="s">
        <v>1106</v>
      </c>
      <c r="F224" s="286" t="s">
        <v>1234</v>
      </c>
      <c r="G224" s="286" t="s">
        <v>53</v>
      </c>
      <c r="H224" s="286" t="s">
        <v>53</v>
      </c>
      <c r="I224" s="286" t="s">
        <v>1199</v>
      </c>
      <c r="J224" s="286" t="s">
        <v>53</v>
      </c>
      <c r="K224" s="286" t="s">
        <v>53</v>
      </c>
      <c r="L224" s="286" t="s">
        <v>53</v>
      </c>
      <c r="M224" s="286" t="s">
        <v>53</v>
      </c>
      <c r="N224" s="287">
        <v>113619.8</v>
      </c>
      <c r="O224" s="305">
        <f t="shared" si="3"/>
        <v>44620</v>
      </c>
      <c r="P224" s="286" t="s">
        <v>58</v>
      </c>
    </row>
    <row r="225" spans="1:16" hidden="1" x14ac:dyDescent="0.15">
      <c r="A225" s="286">
        <v>1087</v>
      </c>
      <c r="B225" s="288">
        <v>44616.781944444447</v>
      </c>
      <c r="C225" s="286" t="s">
        <v>1233</v>
      </c>
      <c r="D225" s="286" t="s">
        <v>1105</v>
      </c>
      <c r="E225" s="286" t="s">
        <v>1106</v>
      </c>
      <c r="F225" s="286" t="s">
        <v>1234</v>
      </c>
      <c r="G225" s="286" t="s">
        <v>53</v>
      </c>
      <c r="H225" s="286" t="s">
        <v>53</v>
      </c>
      <c r="I225" s="286" t="s">
        <v>1112</v>
      </c>
      <c r="J225" s="286" t="s">
        <v>53</v>
      </c>
      <c r="K225" s="286" t="s">
        <v>53</v>
      </c>
      <c r="L225" s="286" t="s">
        <v>53</v>
      </c>
      <c r="M225" s="286" t="s">
        <v>53</v>
      </c>
      <c r="N225" s="287">
        <v>72314</v>
      </c>
      <c r="O225" s="305">
        <f t="shared" si="3"/>
        <v>44620</v>
      </c>
      <c r="P225" s="286" t="s">
        <v>175</v>
      </c>
    </row>
    <row r="226" spans="1:16" hidden="1" x14ac:dyDescent="0.15">
      <c r="A226" s="286">
        <v>1087</v>
      </c>
      <c r="B226" s="288">
        <v>44616.781944444447</v>
      </c>
      <c r="C226" s="286" t="s">
        <v>1233</v>
      </c>
      <c r="D226" s="286" t="s">
        <v>1105</v>
      </c>
      <c r="E226" s="286" t="s">
        <v>1106</v>
      </c>
      <c r="F226" s="286" t="s">
        <v>1234</v>
      </c>
      <c r="G226" s="286" t="s">
        <v>53</v>
      </c>
      <c r="H226" s="286" t="s">
        <v>53</v>
      </c>
      <c r="I226" s="286" t="s">
        <v>1235</v>
      </c>
      <c r="J226" s="286" t="s">
        <v>53</v>
      </c>
      <c r="K226" s="286" t="s">
        <v>53</v>
      </c>
      <c r="L226" s="286" t="s">
        <v>53</v>
      </c>
      <c r="M226" s="286" t="s">
        <v>53</v>
      </c>
      <c r="N226" s="287">
        <v>48564</v>
      </c>
      <c r="O226" s="305">
        <f t="shared" si="3"/>
        <v>44620</v>
      </c>
      <c r="P226" s="286" t="s">
        <v>180</v>
      </c>
    </row>
    <row r="227" spans="1:16" hidden="1" x14ac:dyDescent="0.15">
      <c r="A227" s="286">
        <v>1087</v>
      </c>
      <c r="B227" s="288">
        <v>44616.781944444447</v>
      </c>
      <c r="C227" s="286" t="s">
        <v>1233</v>
      </c>
      <c r="D227" s="286" t="s">
        <v>1105</v>
      </c>
      <c r="E227" s="286" t="s">
        <v>1106</v>
      </c>
      <c r="F227" s="286" t="s">
        <v>1234</v>
      </c>
      <c r="G227" s="286" t="s">
        <v>53</v>
      </c>
      <c r="H227" s="286" t="s">
        <v>53</v>
      </c>
      <c r="I227" s="286" t="s">
        <v>1129</v>
      </c>
      <c r="J227" s="286" t="s">
        <v>53</v>
      </c>
      <c r="K227" s="286" t="s">
        <v>53</v>
      </c>
      <c r="L227" s="286" t="s">
        <v>53</v>
      </c>
      <c r="M227" s="286" t="s">
        <v>53</v>
      </c>
      <c r="N227" s="287">
        <v>242.2</v>
      </c>
      <c r="O227" s="305">
        <f t="shared" si="3"/>
        <v>44620</v>
      </c>
      <c r="P227" s="286" t="s">
        <v>164</v>
      </c>
    </row>
    <row r="228" spans="1:16" hidden="1" x14ac:dyDescent="0.15">
      <c r="A228" s="286">
        <v>1088</v>
      </c>
      <c r="B228" s="288">
        <v>44616.781944444447</v>
      </c>
      <c r="C228" s="286" t="s">
        <v>1236</v>
      </c>
      <c r="D228" s="286" t="s">
        <v>1105</v>
      </c>
      <c r="E228" s="286" t="s">
        <v>1106</v>
      </c>
      <c r="F228" s="286" t="s">
        <v>1237</v>
      </c>
      <c r="G228" s="286" t="s">
        <v>53</v>
      </c>
      <c r="H228" s="286" t="s">
        <v>53</v>
      </c>
      <c r="I228" s="286" t="s">
        <v>1108</v>
      </c>
      <c r="J228" s="286" t="s">
        <v>53</v>
      </c>
      <c r="K228" s="286" t="s">
        <v>53</v>
      </c>
      <c r="L228" s="286" t="s">
        <v>53</v>
      </c>
      <c r="M228" s="286" t="s">
        <v>53</v>
      </c>
      <c r="N228" s="287">
        <v>421684</v>
      </c>
      <c r="O228" s="305">
        <f t="shared" si="3"/>
        <v>44620</v>
      </c>
      <c r="P228" s="286" t="s">
        <v>37</v>
      </c>
    </row>
    <row r="229" spans="1:16" hidden="1" x14ac:dyDescent="0.15">
      <c r="A229" s="286">
        <v>1088</v>
      </c>
      <c r="B229" s="288">
        <v>44616.781944444447</v>
      </c>
      <c r="C229" s="286" t="s">
        <v>1236</v>
      </c>
      <c r="D229" s="286" t="s">
        <v>1105</v>
      </c>
      <c r="E229" s="286" t="s">
        <v>1106</v>
      </c>
      <c r="F229" s="286" t="s">
        <v>1237</v>
      </c>
      <c r="G229" s="286" t="s">
        <v>53</v>
      </c>
      <c r="H229" s="286" t="s">
        <v>53</v>
      </c>
      <c r="I229" s="286" t="s">
        <v>1204</v>
      </c>
      <c r="J229" s="286" t="s">
        <v>53</v>
      </c>
      <c r="K229" s="286" t="s">
        <v>53</v>
      </c>
      <c r="L229" s="286" t="s">
        <v>53</v>
      </c>
      <c r="M229" s="286" t="s">
        <v>53</v>
      </c>
      <c r="N229" s="287">
        <v>142411</v>
      </c>
      <c r="O229" s="305">
        <f t="shared" si="3"/>
        <v>44620</v>
      </c>
      <c r="P229" s="286" t="s">
        <v>49</v>
      </c>
    </row>
    <row r="230" spans="1:16" hidden="1" x14ac:dyDescent="0.15">
      <c r="A230" s="286">
        <v>1088</v>
      </c>
      <c r="B230" s="288">
        <v>44616.781944444447</v>
      </c>
      <c r="C230" s="286" t="s">
        <v>1236</v>
      </c>
      <c r="D230" s="286" t="s">
        <v>1105</v>
      </c>
      <c r="E230" s="286" t="s">
        <v>1106</v>
      </c>
      <c r="F230" s="286" t="s">
        <v>1237</v>
      </c>
      <c r="G230" s="286" t="s">
        <v>53</v>
      </c>
      <c r="H230" s="286" t="s">
        <v>53</v>
      </c>
      <c r="I230" s="286" t="s">
        <v>1112</v>
      </c>
      <c r="J230" s="286" t="s">
        <v>53</v>
      </c>
      <c r="K230" s="286" t="s">
        <v>53</v>
      </c>
      <c r="L230" s="286" t="s">
        <v>53</v>
      </c>
      <c r="M230" s="286" t="s">
        <v>53</v>
      </c>
      <c r="N230" s="287">
        <v>65914</v>
      </c>
      <c r="O230" s="305">
        <f t="shared" si="3"/>
        <v>44620</v>
      </c>
      <c r="P230" s="286" t="s">
        <v>175</v>
      </c>
    </row>
    <row r="231" spans="1:16" hidden="1" x14ac:dyDescent="0.15">
      <c r="A231" s="286">
        <v>1088</v>
      </c>
      <c r="B231" s="288">
        <v>44616.781944444447</v>
      </c>
      <c r="C231" s="286" t="s">
        <v>1236</v>
      </c>
      <c r="D231" s="286" t="s">
        <v>1105</v>
      </c>
      <c r="E231" s="286" t="s">
        <v>1106</v>
      </c>
      <c r="F231" s="286" t="s">
        <v>1237</v>
      </c>
      <c r="G231" s="286" t="s">
        <v>53</v>
      </c>
      <c r="H231" s="286" t="s">
        <v>53</v>
      </c>
      <c r="I231" s="286" t="s">
        <v>1128</v>
      </c>
      <c r="J231" s="286" t="s">
        <v>53</v>
      </c>
      <c r="K231" s="286" t="s">
        <v>53</v>
      </c>
      <c r="L231" s="286" t="s">
        <v>53</v>
      </c>
      <c r="M231" s="286" t="s">
        <v>53</v>
      </c>
      <c r="N231" s="287">
        <v>40655</v>
      </c>
      <c r="O231" s="305">
        <f t="shared" si="3"/>
        <v>44620</v>
      </c>
      <c r="P231" s="286" t="s">
        <v>47</v>
      </c>
    </row>
    <row r="232" spans="1:16" hidden="1" x14ac:dyDescent="0.15">
      <c r="A232" s="286">
        <v>1088</v>
      </c>
      <c r="B232" s="288">
        <v>44616.781944444447</v>
      </c>
      <c r="C232" s="286" t="s">
        <v>1236</v>
      </c>
      <c r="D232" s="286" t="s">
        <v>1105</v>
      </c>
      <c r="E232" s="286" t="s">
        <v>1106</v>
      </c>
      <c r="F232" s="286" t="s">
        <v>1237</v>
      </c>
      <c r="G232" s="286" t="s">
        <v>53</v>
      </c>
      <c r="H232" s="286" t="s">
        <v>53</v>
      </c>
      <c r="I232" s="286" t="s">
        <v>1230</v>
      </c>
      <c r="J232" s="286" t="s">
        <v>53</v>
      </c>
      <c r="K232" s="286" t="s">
        <v>53</v>
      </c>
      <c r="L232" s="286" t="s">
        <v>53</v>
      </c>
      <c r="M232" s="286" t="s">
        <v>53</v>
      </c>
      <c r="N232" s="287">
        <v>11679</v>
      </c>
      <c r="O232" s="305">
        <f t="shared" si="3"/>
        <v>44620</v>
      </c>
      <c r="P232" s="286" t="s">
        <v>175</v>
      </c>
    </row>
    <row r="233" spans="1:16" hidden="1" x14ac:dyDescent="0.15">
      <c r="A233" s="286">
        <v>1088</v>
      </c>
      <c r="B233" s="288">
        <v>44616.781944444447</v>
      </c>
      <c r="C233" s="286" t="s">
        <v>1236</v>
      </c>
      <c r="D233" s="286" t="s">
        <v>1105</v>
      </c>
      <c r="E233" s="286" t="s">
        <v>1106</v>
      </c>
      <c r="F233" s="286" t="s">
        <v>1237</v>
      </c>
      <c r="G233" s="286" t="s">
        <v>53</v>
      </c>
      <c r="H233" s="286" t="s">
        <v>53</v>
      </c>
      <c r="I233" s="286" t="s">
        <v>1199</v>
      </c>
      <c r="J233" s="286" t="s">
        <v>53</v>
      </c>
      <c r="K233" s="286" t="s">
        <v>53</v>
      </c>
      <c r="L233" s="286" t="s">
        <v>53</v>
      </c>
      <c r="M233" s="286" t="s">
        <v>53</v>
      </c>
      <c r="N233" s="287">
        <v>4203</v>
      </c>
      <c r="O233" s="305">
        <f t="shared" si="3"/>
        <v>44620</v>
      </c>
      <c r="P233" s="286" t="s">
        <v>58</v>
      </c>
    </row>
    <row r="234" spans="1:16" hidden="1" x14ac:dyDescent="0.15">
      <c r="A234" s="286">
        <v>1088</v>
      </c>
      <c r="B234" s="288">
        <v>44616.781944444447</v>
      </c>
      <c r="C234" s="286" t="s">
        <v>1236</v>
      </c>
      <c r="D234" s="286" t="s">
        <v>1105</v>
      </c>
      <c r="E234" s="286" t="s">
        <v>1106</v>
      </c>
      <c r="F234" s="286" t="s">
        <v>1237</v>
      </c>
      <c r="G234" s="286" t="s">
        <v>53</v>
      </c>
      <c r="H234" s="286" t="s">
        <v>53</v>
      </c>
      <c r="I234" s="286" t="s">
        <v>1129</v>
      </c>
      <c r="J234" s="286" t="s">
        <v>53</v>
      </c>
      <c r="K234" s="286" t="s">
        <v>53</v>
      </c>
      <c r="L234" s="286" t="s">
        <v>53</v>
      </c>
      <c r="M234" s="286" t="s">
        <v>53</v>
      </c>
      <c r="N234" s="287">
        <v>58.89</v>
      </c>
      <c r="O234" s="305">
        <f t="shared" si="3"/>
        <v>44620</v>
      </c>
      <c r="P234" s="286" t="s">
        <v>164</v>
      </c>
    </row>
    <row r="235" spans="1:16" hidden="1" x14ac:dyDescent="0.15">
      <c r="A235" s="286">
        <v>1089</v>
      </c>
      <c r="B235" s="288">
        <v>44616.781944444447</v>
      </c>
      <c r="C235" s="286" t="s">
        <v>1238</v>
      </c>
      <c r="D235" s="286" t="s">
        <v>1105</v>
      </c>
      <c r="E235" s="286" t="s">
        <v>1106</v>
      </c>
      <c r="F235" s="286" t="s">
        <v>1239</v>
      </c>
      <c r="G235" s="286" t="s">
        <v>53</v>
      </c>
      <c r="H235" s="286" t="s">
        <v>53</v>
      </c>
      <c r="I235" s="286" t="s">
        <v>1230</v>
      </c>
      <c r="J235" s="286" t="s">
        <v>53</v>
      </c>
      <c r="K235" s="286" t="s">
        <v>53</v>
      </c>
      <c r="L235" s="286" t="s">
        <v>53</v>
      </c>
      <c r="M235" s="286" t="s">
        <v>53</v>
      </c>
      <c r="N235" s="287">
        <v>44122.44</v>
      </c>
      <c r="O235" s="305">
        <f t="shared" si="3"/>
        <v>44620</v>
      </c>
      <c r="P235" s="286" t="s">
        <v>175</v>
      </c>
    </row>
    <row r="236" spans="1:16" hidden="1" x14ac:dyDescent="0.15">
      <c r="A236" s="286">
        <v>1089</v>
      </c>
      <c r="B236" s="288">
        <v>44616.781944444447</v>
      </c>
      <c r="C236" s="286" t="s">
        <v>1238</v>
      </c>
      <c r="D236" s="286" t="s">
        <v>1105</v>
      </c>
      <c r="E236" s="286" t="s">
        <v>1106</v>
      </c>
      <c r="F236" s="286" t="s">
        <v>1239</v>
      </c>
      <c r="G236" s="286" t="s">
        <v>53</v>
      </c>
      <c r="H236" s="286" t="s">
        <v>53</v>
      </c>
      <c r="I236" s="286" t="s">
        <v>1199</v>
      </c>
      <c r="J236" s="286" t="s">
        <v>53</v>
      </c>
      <c r="K236" s="286" t="s">
        <v>53</v>
      </c>
      <c r="L236" s="286" t="s">
        <v>53</v>
      </c>
      <c r="M236" s="286" t="s">
        <v>53</v>
      </c>
      <c r="N236" s="287">
        <v>12321.84</v>
      </c>
      <c r="O236" s="305">
        <f t="shared" si="3"/>
        <v>44620</v>
      </c>
      <c r="P236" s="286" t="s">
        <v>58</v>
      </c>
    </row>
    <row r="237" spans="1:16" hidden="1" x14ac:dyDescent="0.15">
      <c r="A237" s="286">
        <v>1089</v>
      </c>
      <c r="B237" s="288">
        <v>44616.781944444447</v>
      </c>
      <c r="C237" s="286" t="s">
        <v>1238</v>
      </c>
      <c r="D237" s="286" t="s">
        <v>1105</v>
      </c>
      <c r="E237" s="286" t="s">
        <v>1106</v>
      </c>
      <c r="F237" s="286" t="s">
        <v>1239</v>
      </c>
      <c r="G237" s="286" t="s">
        <v>53</v>
      </c>
      <c r="H237" s="286" t="s">
        <v>53</v>
      </c>
      <c r="I237" s="286" t="s">
        <v>1112</v>
      </c>
      <c r="J237" s="286" t="s">
        <v>53</v>
      </c>
      <c r="K237" s="286" t="s">
        <v>53</v>
      </c>
      <c r="L237" s="286" t="s">
        <v>53</v>
      </c>
      <c r="M237" s="286" t="s">
        <v>53</v>
      </c>
      <c r="N237" s="287">
        <v>9875</v>
      </c>
      <c r="O237" s="305">
        <f t="shared" si="3"/>
        <v>44620</v>
      </c>
      <c r="P237" s="286" t="s">
        <v>175</v>
      </c>
    </row>
    <row r="238" spans="1:16" hidden="1" x14ac:dyDescent="0.15">
      <c r="A238" s="286">
        <v>1089</v>
      </c>
      <c r="B238" s="288">
        <v>44616.781944444447</v>
      </c>
      <c r="C238" s="286" t="s">
        <v>1238</v>
      </c>
      <c r="D238" s="286" t="s">
        <v>1105</v>
      </c>
      <c r="E238" s="286" t="s">
        <v>1106</v>
      </c>
      <c r="F238" s="286" t="s">
        <v>1239</v>
      </c>
      <c r="G238" s="286" t="s">
        <v>53</v>
      </c>
      <c r="H238" s="286" t="s">
        <v>53</v>
      </c>
      <c r="I238" s="286" t="s">
        <v>1235</v>
      </c>
      <c r="J238" s="286" t="s">
        <v>53</v>
      </c>
      <c r="K238" s="286" t="s">
        <v>53</v>
      </c>
      <c r="L238" s="286" t="s">
        <v>53</v>
      </c>
      <c r="M238" s="286" t="s">
        <v>53</v>
      </c>
      <c r="N238" s="287">
        <v>9743.1</v>
      </c>
      <c r="O238" s="305">
        <f t="shared" si="3"/>
        <v>44620</v>
      </c>
      <c r="P238" s="286" t="s">
        <v>180</v>
      </c>
    </row>
    <row r="239" spans="1:16" hidden="1" x14ac:dyDescent="0.15">
      <c r="A239" s="286">
        <v>1089</v>
      </c>
      <c r="B239" s="288">
        <v>44616.781944444447</v>
      </c>
      <c r="C239" s="286" t="s">
        <v>1238</v>
      </c>
      <c r="D239" s="286" t="s">
        <v>1105</v>
      </c>
      <c r="E239" s="286" t="s">
        <v>1106</v>
      </c>
      <c r="F239" s="286" t="s">
        <v>1239</v>
      </c>
      <c r="G239" s="286" t="s">
        <v>53</v>
      </c>
      <c r="H239" s="286" t="s">
        <v>53</v>
      </c>
      <c r="I239" s="286" t="s">
        <v>1129</v>
      </c>
      <c r="J239" s="286" t="s">
        <v>53</v>
      </c>
      <c r="K239" s="286" t="s">
        <v>53</v>
      </c>
      <c r="L239" s="286" t="s">
        <v>53</v>
      </c>
      <c r="M239" s="286" t="s">
        <v>53</v>
      </c>
      <c r="N239" s="287">
        <v>7990.65</v>
      </c>
      <c r="O239" s="305">
        <f t="shared" si="3"/>
        <v>44620</v>
      </c>
      <c r="P239" s="286" t="s">
        <v>164</v>
      </c>
    </row>
    <row r="240" spans="1:16" hidden="1" x14ac:dyDescent="0.15">
      <c r="A240" s="286">
        <v>1089</v>
      </c>
      <c r="B240" s="288">
        <v>44616.781944444447</v>
      </c>
      <c r="C240" s="286" t="s">
        <v>1238</v>
      </c>
      <c r="D240" s="286" t="s">
        <v>1105</v>
      </c>
      <c r="E240" s="286" t="s">
        <v>1106</v>
      </c>
      <c r="F240" s="286" t="s">
        <v>1239</v>
      </c>
      <c r="G240" s="286" t="s">
        <v>53</v>
      </c>
      <c r="H240" s="286" t="s">
        <v>53</v>
      </c>
      <c r="I240" s="286" t="s">
        <v>1128</v>
      </c>
      <c r="J240" s="286" t="s">
        <v>53</v>
      </c>
      <c r="K240" s="286" t="s">
        <v>53</v>
      </c>
      <c r="L240" s="286" t="s">
        <v>53</v>
      </c>
      <c r="M240" s="286" t="s">
        <v>53</v>
      </c>
      <c r="N240" s="287">
        <v>2289</v>
      </c>
      <c r="O240" s="305">
        <f t="shared" si="3"/>
        <v>44620</v>
      </c>
      <c r="P240" s="286" t="s">
        <v>47</v>
      </c>
    </row>
    <row r="241" spans="1:16" hidden="1" x14ac:dyDescent="0.15">
      <c r="A241" s="286">
        <v>1089</v>
      </c>
      <c r="B241" s="288">
        <v>44616.781944444447</v>
      </c>
      <c r="C241" s="286" t="s">
        <v>1238</v>
      </c>
      <c r="D241" s="286" t="s">
        <v>1105</v>
      </c>
      <c r="E241" s="286" t="s">
        <v>1106</v>
      </c>
      <c r="F241" s="286" t="s">
        <v>1239</v>
      </c>
      <c r="G241" s="286" t="s">
        <v>53</v>
      </c>
      <c r="H241" s="286" t="s">
        <v>53</v>
      </c>
      <c r="I241" s="286" t="s">
        <v>1108</v>
      </c>
      <c r="J241" s="286" t="s">
        <v>53</v>
      </c>
      <c r="K241" s="286" t="s">
        <v>53</v>
      </c>
      <c r="L241" s="286" t="s">
        <v>53</v>
      </c>
      <c r="M241" s="286" t="s">
        <v>53</v>
      </c>
      <c r="N241" s="287">
        <v>375.42</v>
      </c>
      <c r="O241" s="305">
        <f t="shared" si="3"/>
        <v>44620</v>
      </c>
      <c r="P241" s="286" t="s">
        <v>37</v>
      </c>
    </row>
    <row r="242" spans="1:16" hidden="1" x14ac:dyDescent="0.15">
      <c r="A242" s="286">
        <v>1090</v>
      </c>
      <c r="B242" s="288">
        <v>44616.782638888886</v>
      </c>
      <c r="C242" s="286" t="s">
        <v>1240</v>
      </c>
      <c r="D242" s="286" t="s">
        <v>1105</v>
      </c>
      <c r="E242" s="286" t="s">
        <v>1106</v>
      </c>
      <c r="F242" s="286" t="s">
        <v>1241</v>
      </c>
      <c r="G242" s="286" t="s">
        <v>53</v>
      </c>
      <c r="H242" s="286" t="s">
        <v>53</v>
      </c>
      <c r="I242" s="286" t="s">
        <v>1199</v>
      </c>
      <c r="J242" s="286" t="s">
        <v>53</v>
      </c>
      <c r="K242" s="286" t="s">
        <v>53</v>
      </c>
      <c r="L242" s="286" t="s">
        <v>53</v>
      </c>
      <c r="M242" s="286" t="s">
        <v>53</v>
      </c>
      <c r="N242" s="287">
        <v>214651.44</v>
      </c>
      <c r="O242" s="305">
        <f t="shared" si="3"/>
        <v>44620</v>
      </c>
      <c r="P242" s="286" t="s">
        <v>58</v>
      </c>
    </row>
    <row r="243" spans="1:16" hidden="1" x14ac:dyDescent="0.15">
      <c r="A243" s="286">
        <v>1090</v>
      </c>
      <c r="B243" s="288">
        <v>44616.782638888886</v>
      </c>
      <c r="C243" s="286" t="s">
        <v>1240</v>
      </c>
      <c r="D243" s="286" t="s">
        <v>1105</v>
      </c>
      <c r="E243" s="286" t="s">
        <v>1106</v>
      </c>
      <c r="F243" s="286" t="s">
        <v>1241</v>
      </c>
      <c r="G243" s="286" t="s">
        <v>53</v>
      </c>
      <c r="H243" s="286" t="s">
        <v>53</v>
      </c>
      <c r="I243" s="286" t="s">
        <v>1108</v>
      </c>
      <c r="J243" s="286" t="s">
        <v>53</v>
      </c>
      <c r="K243" s="286" t="s">
        <v>53</v>
      </c>
      <c r="L243" s="286" t="s">
        <v>53</v>
      </c>
      <c r="M243" s="286" t="s">
        <v>53</v>
      </c>
      <c r="N243" s="287">
        <v>111859</v>
      </c>
      <c r="O243" s="305">
        <f t="shared" si="3"/>
        <v>44620</v>
      </c>
      <c r="P243" s="286" t="s">
        <v>37</v>
      </c>
    </row>
    <row r="244" spans="1:16" hidden="1" x14ac:dyDescent="0.15">
      <c r="A244" s="286">
        <v>1090</v>
      </c>
      <c r="B244" s="288">
        <v>44616.782638888886</v>
      </c>
      <c r="C244" s="286" t="s">
        <v>1240</v>
      </c>
      <c r="D244" s="286" t="s">
        <v>1105</v>
      </c>
      <c r="E244" s="286" t="s">
        <v>1106</v>
      </c>
      <c r="F244" s="286" t="s">
        <v>1241</v>
      </c>
      <c r="G244" s="286" t="s">
        <v>53</v>
      </c>
      <c r="H244" s="286" t="s">
        <v>53</v>
      </c>
      <c r="I244" s="286" t="s">
        <v>1112</v>
      </c>
      <c r="J244" s="286" t="s">
        <v>53</v>
      </c>
      <c r="K244" s="286" t="s">
        <v>53</v>
      </c>
      <c r="L244" s="286" t="s">
        <v>53</v>
      </c>
      <c r="M244" s="286" t="s">
        <v>53</v>
      </c>
      <c r="N244" s="287">
        <v>43468</v>
      </c>
      <c r="O244" s="305">
        <f t="shared" si="3"/>
        <v>44620</v>
      </c>
      <c r="P244" s="286" t="s">
        <v>175</v>
      </c>
    </row>
    <row r="245" spans="1:16" hidden="1" x14ac:dyDescent="0.15">
      <c r="A245" s="286">
        <v>1090</v>
      </c>
      <c r="B245" s="288">
        <v>44616.782638888886</v>
      </c>
      <c r="C245" s="286" t="s">
        <v>1240</v>
      </c>
      <c r="D245" s="286" t="s">
        <v>1105</v>
      </c>
      <c r="E245" s="286" t="s">
        <v>1106</v>
      </c>
      <c r="F245" s="286" t="s">
        <v>1241</v>
      </c>
      <c r="G245" s="286" t="s">
        <v>53</v>
      </c>
      <c r="H245" s="286" t="s">
        <v>53</v>
      </c>
      <c r="I245" s="286" t="s">
        <v>1228</v>
      </c>
      <c r="J245" s="286" t="s">
        <v>53</v>
      </c>
      <c r="K245" s="286" t="s">
        <v>53</v>
      </c>
      <c r="L245" s="286" t="s">
        <v>53</v>
      </c>
      <c r="M245" s="286" t="s">
        <v>53</v>
      </c>
      <c r="N245" s="287">
        <v>37396</v>
      </c>
      <c r="O245" s="305">
        <f t="shared" si="3"/>
        <v>44620</v>
      </c>
      <c r="P245" s="286" t="s">
        <v>58</v>
      </c>
    </row>
    <row r="246" spans="1:16" hidden="1" x14ac:dyDescent="0.15">
      <c r="A246" s="286">
        <v>1090</v>
      </c>
      <c r="B246" s="288">
        <v>44616.782638888886</v>
      </c>
      <c r="C246" s="286" t="s">
        <v>1240</v>
      </c>
      <c r="D246" s="286" t="s">
        <v>1105</v>
      </c>
      <c r="E246" s="286" t="s">
        <v>1106</v>
      </c>
      <c r="F246" s="286" t="s">
        <v>1241</v>
      </c>
      <c r="G246" s="286" t="s">
        <v>53</v>
      </c>
      <c r="H246" s="286" t="s">
        <v>53</v>
      </c>
      <c r="I246" s="286" t="s">
        <v>1128</v>
      </c>
      <c r="J246" s="286" t="s">
        <v>53</v>
      </c>
      <c r="K246" s="286" t="s">
        <v>53</v>
      </c>
      <c r="L246" s="286" t="s">
        <v>53</v>
      </c>
      <c r="M246" s="286" t="s">
        <v>53</v>
      </c>
      <c r="N246" s="287">
        <v>10550</v>
      </c>
      <c r="O246" s="305">
        <f t="shared" si="3"/>
        <v>44620</v>
      </c>
      <c r="P246" s="286" t="s">
        <v>47</v>
      </c>
    </row>
    <row r="247" spans="1:16" hidden="1" x14ac:dyDescent="0.15">
      <c r="A247" s="286">
        <v>1090</v>
      </c>
      <c r="B247" s="288">
        <v>44616.782638888886</v>
      </c>
      <c r="C247" s="286" t="s">
        <v>1240</v>
      </c>
      <c r="D247" s="286" t="s">
        <v>1105</v>
      </c>
      <c r="E247" s="286" t="s">
        <v>1106</v>
      </c>
      <c r="F247" s="286" t="s">
        <v>1241</v>
      </c>
      <c r="G247" s="286" t="s">
        <v>53</v>
      </c>
      <c r="H247" s="286" t="s">
        <v>53</v>
      </c>
      <c r="I247" s="286" t="s">
        <v>1129</v>
      </c>
      <c r="J247" s="286" t="s">
        <v>53</v>
      </c>
      <c r="K247" s="286" t="s">
        <v>53</v>
      </c>
      <c r="L247" s="286" t="s">
        <v>53</v>
      </c>
      <c r="M247" s="286" t="s">
        <v>53</v>
      </c>
      <c r="N247" s="287">
        <v>1106.78</v>
      </c>
      <c r="O247" s="305">
        <f t="shared" si="3"/>
        <v>44620</v>
      </c>
      <c r="P247" s="286" t="s">
        <v>164</v>
      </c>
    </row>
    <row r="248" spans="1:16" hidden="1" x14ac:dyDescent="0.15">
      <c r="A248" s="286">
        <v>1091</v>
      </c>
      <c r="B248" s="288">
        <v>44616.782638888886</v>
      </c>
      <c r="C248" s="286" t="s">
        <v>1242</v>
      </c>
      <c r="D248" s="286" t="s">
        <v>1105</v>
      </c>
      <c r="E248" s="286" t="s">
        <v>1106</v>
      </c>
      <c r="F248" s="286" t="s">
        <v>1243</v>
      </c>
      <c r="G248" s="286" t="s">
        <v>53</v>
      </c>
      <c r="H248" s="286" t="s">
        <v>53</v>
      </c>
      <c r="I248" s="286" t="s">
        <v>1108</v>
      </c>
      <c r="J248" s="286" t="s">
        <v>53</v>
      </c>
      <c r="K248" s="286" t="s">
        <v>53</v>
      </c>
      <c r="L248" s="286" t="s">
        <v>53</v>
      </c>
      <c r="M248" s="286" t="s">
        <v>53</v>
      </c>
      <c r="N248" s="287">
        <v>1164676.47</v>
      </c>
      <c r="O248" s="305">
        <f t="shared" si="3"/>
        <v>44620</v>
      </c>
      <c r="P248" s="286" t="s">
        <v>37</v>
      </c>
    </row>
    <row r="249" spans="1:16" hidden="1" x14ac:dyDescent="0.15">
      <c r="A249" s="286">
        <v>1091</v>
      </c>
      <c r="B249" s="288">
        <v>44616.782638888886</v>
      </c>
      <c r="C249" s="286" t="s">
        <v>1242</v>
      </c>
      <c r="D249" s="286" t="s">
        <v>1105</v>
      </c>
      <c r="E249" s="286" t="s">
        <v>1106</v>
      </c>
      <c r="F249" s="286" t="s">
        <v>1243</v>
      </c>
      <c r="G249" s="286" t="s">
        <v>53</v>
      </c>
      <c r="H249" s="286" t="s">
        <v>53</v>
      </c>
      <c r="I249" s="286" t="s">
        <v>1152</v>
      </c>
      <c r="J249" s="286" t="s">
        <v>53</v>
      </c>
      <c r="K249" s="286" t="s">
        <v>53</v>
      </c>
      <c r="L249" s="286" t="s">
        <v>53</v>
      </c>
      <c r="M249" s="286" t="s">
        <v>53</v>
      </c>
      <c r="N249" s="287">
        <v>207331.95</v>
      </c>
      <c r="O249" s="305">
        <f t="shared" si="3"/>
        <v>44620</v>
      </c>
      <c r="P249" s="111" t="s">
        <v>58</v>
      </c>
    </row>
    <row r="250" spans="1:16" hidden="1" x14ac:dyDescent="0.15">
      <c r="A250" s="286">
        <v>1091</v>
      </c>
      <c r="B250" s="288">
        <v>44616.782638888886</v>
      </c>
      <c r="C250" s="286" t="s">
        <v>1242</v>
      </c>
      <c r="D250" s="286" t="s">
        <v>1105</v>
      </c>
      <c r="E250" s="286" t="s">
        <v>1106</v>
      </c>
      <c r="F250" s="286" t="s">
        <v>1243</v>
      </c>
      <c r="G250" s="286" t="s">
        <v>53</v>
      </c>
      <c r="H250" s="286" t="s">
        <v>53</v>
      </c>
      <c r="I250" s="286" t="s">
        <v>1112</v>
      </c>
      <c r="J250" s="286" t="s">
        <v>53</v>
      </c>
      <c r="K250" s="286" t="s">
        <v>53</v>
      </c>
      <c r="L250" s="286" t="s">
        <v>53</v>
      </c>
      <c r="M250" s="286" t="s">
        <v>53</v>
      </c>
      <c r="N250" s="287">
        <v>101887.48</v>
      </c>
      <c r="O250" s="305">
        <f t="shared" si="3"/>
        <v>44620</v>
      </c>
      <c r="P250" s="286" t="s">
        <v>175</v>
      </c>
    </row>
    <row r="251" spans="1:16" hidden="1" x14ac:dyDescent="0.15">
      <c r="A251" s="286">
        <v>1091</v>
      </c>
      <c r="B251" s="288">
        <v>44616.782638888886</v>
      </c>
      <c r="C251" s="286" t="s">
        <v>1242</v>
      </c>
      <c r="D251" s="286" t="s">
        <v>1105</v>
      </c>
      <c r="E251" s="286" t="s">
        <v>1106</v>
      </c>
      <c r="F251" s="286" t="s">
        <v>1243</v>
      </c>
      <c r="G251" s="286" t="s">
        <v>53</v>
      </c>
      <c r="H251" s="286" t="s">
        <v>53</v>
      </c>
      <c r="I251" s="286" t="s">
        <v>1235</v>
      </c>
      <c r="J251" s="286" t="s">
        <v>53</v>
      </c>
      <c r="K251" s="286" t="s">
        <v>53</v>
      </c>
      <c r="L251" s="286" t="s">
        <v>53</v>
      </c>
      <c r="M251" s="286" t="s">
        <v>53</v>
      </c>
      <c r="N251" s="287">
        <v>80338</v>
      </c>
      <c r="O251" s="305">
        <f t="shared" si="3"/>
        <v>44620</v>
      </c>
      <c r="P251" s="286" t="s">
        <v>180</v>
      </c>
    </row>
    <row r="252" spans="1:16" hidden="1" x14ac:dyDescent="0.15">
      <c r="A252" s="286">
        <v>1091</v>
      </c>
      <c r="B252" s="288">
        <v>44616.782638888886</v>
      </c>
      <c r="C252" s="286" t="s">
        <v>1242</v>
      </c>
      <c r="D252" s="286" t="s">
        <v>1105</v>
      </c>
      <c r="E252" s="286" t="s">
        <v>1106</v>
      </c>
      <c r="F252" s="286" t="s">
        <v>1243</v>
      </c>
      <c r="G252" s="286" t="s">
        <v>53</v>
      </c>
      <c r="H252" s="286" t="s">
        <v>53</v>
      </c>
      <c r="I252" s="286" t="s">
        <v>1128</v>
      </c>
      <c r="J252" s="286" t="s">
        <v>53</v>
      </c>
      <c r="K252" s="286" t="s">
        <v>53</v>
      </c>
      <c r="L252" s="286" t="s">
        <v>53</v>
      </c>
      <c r="M252" s="286" t="s">
        <v>53</v>
      </c>
      <c r="N252" s="287">
        <v>23636</v>
      </c>
      <c r="O252" s="305">
        <f t="shared" si="3"/>
        <v>44620</v>
      </c>
      <c r="P252" s="286" t="s">
        <v>47</v>
      </c>
    </row>
    <row r="253" spans="1:16" hidden="1" x14ac:dyDescent="0.15">
      <c r="A253" s="286">
        <v>1091</v>
      </c>
      <c r="B253" s="288">
        <v>44616.782638888886</v>
      </c>
      <c r="C253" s="286" t="s">
        <v>1242</v>
      </c>
      <c r="D253" s="286" t="s">
        <v>1105</v>
      </c>
      <c r="E253" s="286" t="s">
        <v>1106</v>
      </c>
      <c r="F253" s="286" t="s">
        <v>1243</v>
      </c>
      <c r="G253" s="286" t="s">
        <v>53</v>
      </c>
      <c r="H253" s="286" t="s">
        <v>53</v>
      </c>
      <c r="I253" s="286" t="s">
        <v>1228</v>
      </c>
      <c r="J253" s="286" t="s">
        <v>53</v>
      </c>
      <c r="K253" s="286" t="s">
        <v>53</v>
      </c>
      <c r="L253" s="286" t="s">
        <v>53</v>
      </c>
      <c r="M253" s="286" t="s">
        <v>53</v>
      </c>
      <c r="N253" s="287">
        <v>3305</v>
      </c>
      <c r="O253" s="305">
        <f t="shared" si="3"/>
        <v>44620</v>
      </c>
      <c r="P253" s="286" t="s">
        <v>58</v>
      </c>
    </row>
    <row r="254" spans="1:16" hidden="1" x14ac:dyDescent="0.15">
      <c r="A254" s="286">
        <v>1091</v>
      </c>
      <c r="B254" s="288">
        <v>44616.782638888886</v>
      </c>
      <c r="C254" s="286" t="s">
        <v>1242</v>
      </c>
      <c r="D254" s="286" t="s">
        <v>1105</v>
      </c>
      <c r="E254" s="286" t="s">
        <v>1106</v>
      </c>
      <c r="F254" s="286" t="s">
        <v>1243</v>
      </c>
      <c r="G254" s="286" t="s">
        <v>53</v>
      </c>
      <c r="H254" s="286" t="s">
        <v>53</v>
      </c>
      <c r="I254" s="286" t="s">
        <v>1129</v>
      </c>
      <c r="J254" s="286" t="s">
        <v>53</v>
      </c>
      <c r="K254" s="286" t="s">
        <v>53</v>
      </c>
      <c r="L254" s="286" t="s">
        <v>53</v>
      </c>
      <c r="M254" s="286" t="s">
        <v>53</v>
      </c>
      <c r="N254" s="287">
        <v>265</v>
      </c>
      <c r="O254" s="305">
        <f t="shared" si="3"/>
        <v>44620</v>
      </c>
      <c r="P254" s="286" t="s">
        <v>164</v>
      </c>
    </row>
    <row r="255" spans="1:16" hidden="1" x14ac:dyDescent="0.15">
      <c r="A255" s="286">
        <v>1092</v>
      </c>
      <c r="B255" s="288">
        <v>44616.782638888886</v>
      </c>
      <c r="C255" s="286" t="s">
        <v>1244</v>
      </c>
      <c r="D255" s="286" t="s">
        <v>1105</v>
      </c>
      <c r="E255" s="286" t="s">
        <v>1106</v>
      </c>
      <c r="F255" s="286" t="s">
        <v>1245</v>
      </c>
      <c r="G255" s="286" t="s">
        <v>53</v>
      </c>
      <c r="H255" s="286" t="s">
        <v>53</v>
      </c>
      <c r="I255" s="286" t="s">
        <v>1173</v>
      </c>
      <c r="J255" s="286" t="s">
        <v>53</v>
      </c>
      <c r="K255" s="286" t="s">
        <v>53</v>
      </c>
      <c r="L255" s="286" t="s">
        <v>53</v>
      </c>
      <c r="M255" s="286" t="s">
        <v>53</v>
      </c>
      <c r="N255" s="287">
        <v>28139</v>
      </c>
      <c r="O255" s="305">
        <f t="shared" si="3"/>
        <v>44620</v>
      </c>
      <c r="P255" s="286" t="s">
        <v>58</v>
      </c>
    </row>
    <row r="256" spans="1:16" hidden="1" x14ac:dyDescent="0.15">
      <c r="A256" s="286">
        <v>1092</v>
      </c>
      <c r="B256" s="288">
        <v>44616.782638888886</v>
      </c>
      <c r="C256" s="286" t="s">
        <v>1244</v>
      </c>
      <c r="D256" s="286" t="s">
        <v>1105</v>
      </c>
      <c r="E256" s="286" t="s">
        <v>1106</v>
      </c>
      <c r="F256" s="286" t="s">
        <v>1245</v>
      </c>
      <c r="G256" s="286" t="s">
        <v>53</v>
      </c>
      <c r="H256" s="286" t="s">
        <v>53</v>
      </c>
      <c r="I256" s="286" t="s">
        <v>1152</v>
      </c>
      <c r="J256" s="286" t="s">
        <v>53</v>
      </c>
      <c r="K256" s="286" t="s">
        <v>53</v>
      </c>
      <c r="L256" s="286" t="s">
        <v>53</v>
      </c>
      <c r="M256" s="286" t="s">
        <v>53</v>
      </c>
      <c r="N256" s="287">
        <v>18748.55</v>
      </c>
      <c r="O256" s="305">
        <f t="shared" si="3"/>
        <v>44620</v>
      </c>
      <c r="P256" s="111" t="s">
        <v>58</v>
      </c>
    </row>
    <row r="257" spans="1:16" hidden="1" x14ac:dyDescent="0.15">
      <c r="A257" s="286">
        <v>1092</v>
      </c>
      <c r="B257" s="288">
        <v>44616.782638888886</v>
      </c>
      <c r="C257" s="286" t="s">
        <v>1244</v>
      </c>
      <c r="D257" s="286" t="s">
        <v>1105</v>
      </c>
      <c r="E257" s="286" t="s">
        <v>1106</v>
      </c>
      <c r="F257" s="286" t="s">
        <v>1245</v>
      </c>
      <c r="G257" s="286" t="s">
        <v>53</v>
      </c>
      <c r="H257" s="286" t="s">
        <v>53</v>
      </c>
      <c r="I257" s="286" t="s">
        <v>1112</v>
      </c>
      <c r="J257" s="286" t="s">
        <v>53</v>
      </c>
      <c r="K257" s="286" t="s">
        <v>53</v>
      </c>
      <c r="L257" s="286" t="s">
        <v>53</v>
      </c>
      <c r="M257" s="286" t="s">
        <v>53</v>
      </c>
      <c r="N257" s="287">
        <v>12600</v>
      </c>
      <c r="O257" s="305">
        <f t="shared" si="3"/>
        <v>44620</v>
      </c>
      <c r="P257" s="286" t="s">
        <v>175</v>
      </c>
    </row>
    <row r="258" spans="1:16" hidden="1" x14ac:dyDescent="0.15">
      <c r="A258" s="286">
        <v>1093</v>
      </c>
      <c r="B258" s="288">
        <v>44616.782638888886</v>
      </c>
      <c r="C258" s="286" t="s">
        <v>1246</v>
      </c>
      <c r="D258" s="286" t="s">
        <v>1105</v>
      </c>
      <c r="E258" s="286" t="s">
        <v>1106</v>
      </c>
      <c r="F258" s="286" t="s">
        <v>1247</v>
      </c>
      <c r="G258" s="286" t="s">
        <v>53</v>
      </c>
      <c r="H258" s="286" t="s">
        <v>53</v>
      </c>
      <c r="I258" s="286" t="s">
        <v>1108</v>
      </c>
      <c r="J258" s="286" t="s">
        <v>53</v>
      </c>
      <c r="K258" s="286" t="s">
        <v>53</v>
      </c>
      <c r="L258" s="286" t="s">
        <v>53</v>
      </c>
      <c r="M258" s="286" t="s">
        <v>53</v>
      </c>
      <c r="N258" s="287">
        <v>50840</v>
      </c>
      <c r="O258" s="305">
        <f t="shared" si="3"/>
        <v>44620</v>
      </c>
      <c r="P258" s="286" t="s">
        <v>37</v>
      </c>
    </row>
    <row r="259" spans="1:16" hidden="1" x14ac:dyDescent="0.15">
      <c r="A259" s="286">
        <v>1093</v>
      </c>
      <c r="B259" s="288">
        <v>44616.782638888886</v>
      </c>
      <c r="C259" s="286" t="s">
        <v>1246</v>
      </c>
      <c r="D259" s="286" t="s">
        <v>1105</v>
      </c>
      <c r="E259" s="286" t="s">
        <v>1106</v>
      </c>
      <c r="F259" s="286" t="s">
        <v>1247</v>
      </c>
      <c r="G259" s="286" t="s">
        <v>53</v>
      </c>
      <c r="H259" s="286" t="s">
        <v>53</v>
      </c>
      <c r="I259" s="286" t="s">
        <v>1204</v>
      </c>
      <c r="J259" s="286" t="s">
        <v>53</v>
      </c>
      <c r="K259" s="286" t="s">
        <v>53</v>
      </c>
      <c r="L259" s="286" t="s">
        <v>53</v>
      </c>
      <c r="M259" s="286" t="s">
        <v>53</v>
      </c>
      <c r="N259" s="287">
        <v>19965</v>
      </c>
      <c r="O259" s="305">
        <f t="shared" ref="O259:O322" si="4">EOMONTH(B259,0)</f>
        <v>44620</v>
      </c>
      <c r="P259" s="286" t="s">
        <v>49</v>
      </c>
    </row>
    <row r="260" spans="1:16" hidden="1" x14ac:dyDescent="0.15">
      <c r="A260" s="286">
        <v>1093</v>
      </c>
      <c r="B260" s="288">
        <v>44616.782638888886</v>
      </c>
      <c r="C260" s="286" t="s">
        <v>1246</v>
      </c>
      <c r="D260" s="286" t="s">
        <v>1105</v>
      </c>
      <c r="E260" s="286" t="s">
        <v>1106</v>
      </c>
      <c r="F260" s="286" t="s">
        <v>1247</v>
      </c>
      <c r="G260" s="286" t="s">
        <v>53</v>
      </c>
      <c r="H260" s="286" t="s">
        <v>53</v>
      </c>
      <c r="I260" s="286" t="s">
        <v>1199</v>
      </c>
      <c r="J260" s="286" t="s">
        <v>53</v>
      </c>
      <c r="K260" s="286" t="s">
        <v>53</v>
      </c>
      <c r="L260" s="286" t="s">
        <v>53</v>
      </c>
      <c r="M260" s="286" t="s">
        <v>53</v>
      </c>
      <c r="N260" s="287">
        <v>12321.84</v>
      </c>
      <c r="O260" s="305">
        <f t="shared" si="4"/>
        <v>44620</v>
      </c>
      <c r="P260" s="286" t="s">
        <v>58</v>
      </c>
    </row>
    <row r="261" spans="1:16" hidden="1" x14ac:dyDescent="0.15">
      <c r="A261" s="286">
        <v>1093</v>
      </c>
      <c r="B261" s="288">
        <v>44616.782638888886</v>
      </c>
      <c r="C261" s="286" t="s">
        <v>1246</v>
      </c>
      <c r="D261" s="286" t="s">
        <v>1105</v>
      </c>
      <c r="E261" s="286" t="s">
        <v>1106</v>
      </c>
      <c r="F261" s="286" t="s">
        <v>1247</v>
      </c>
      <c r="G261" s="286" t="s">
        <v>53</v>
      </c>
      <c r="H261" s="286" t="s">
        <v>53</v>
      </c>
      <c r="I261" s="286" t="s">
        <v>1152</v>
      </c>
      <c r="J261" s="286" t="s">
        <v>53</v>
      </c>
      <c r="K261" s="286" t="s">
        <v>53</v>
      </c>
      <c r="L261" s="286" t="s">
        <v>53</v>
      </c>
      <c r="M261" s="286" t="s">
        <v>53</v>
      </c>
      <c r="N261" s="287">
        <v>12298</v>
      </c>
      <c r="O261" s="305">
        <f t="shared" si="4"/>
        <v>44620</v>
      </c>
      <c r="P261" s="111" t="s">
        <v>58</v>
      </c>
    </row>
    <row r="262" spans="1:16" hidden="1" x14ac:dyDescent="0.15">
      <c r="A262" s="286">
        <v>1093</v>
      </c>
      <c r="B262" s="288">
        <v>44616.782638888886</v>
      </c>
      <c r="C262" s="286" t="s">
        <v>1246</v>
      </c>
      <c r="D262" s="286" t="s">
        <v>1105</v>
      </c>
      <c r="E262" s="286" t="s">
        <v>1106</v>
      </c>
      <c r="F262" s="286" t="s">
        <v>1247</v>
      </c>
      <c r="G262" s="286" t="s">
        <v>53</v>
      </c>
      <c r="H262" s="286" t="s">
        <v>53</v>
      </c>
      <c r="I262" s="286" t="s">
        <v>1109</v>
      </c>
      <c r="J262" s="286" t="s">
        <v>53</v>
      </c>
      <c r="K262" s="286" t="s">
        <v>53</v>
      </c>
      <c r="L262" s="286" t="s">
        <v>53</v>
      </c>
      <c r="M262" s="286" t="s">
        <v>53</v>
      </c>
      <c r="N262" s="287">
        <v>1426.47</v>
      </c>
      <c r="O262" s="305">
        <f t="shared" si="4"/>
        <v>44620</v>
      </c>
    </row>
    <row r="263" spans="1:16" hidden="1" x14ac:dyDescent="0.15">
      <c r="A263" s="286">
        <v>1093</v>
      </c>
      <c r="B263" s="288">
        <v>44616.782638888886</v>
      </c>
      <c r="C263" s="286" t="s">
        <v>1246</v>
      </c>
      <c r="D263" s="286" t="s">
        <v>1105</v>
      </c>
      <c r="E263" s="286" t="s">
        <v>1106</v>
      </c>
      <c r="F263" s="286" t="s">
        <v>1247</v>
      </c>
      <c r="G263" s="286" t="s">
        <v>53</v>
      </c>
      <c r="H263" s="286" t="s">
        <v>53</v>
      </c>
      <c r="I263" s="286" t="s">
        <v>1129</v>
      </c>
      <c r="J263" s="286" t="s">
        <v>53</v>
      </c>
      <c r="K263" s="286" t="s">
        <v>53</v>
      </c>
      <c r="L263" s="286" t="s">
        <v>53</v>
      </c>
      <c r="M263" s="286" t="s">
        <v>53</v>
      </c>
      <c r="N263" s="287">
        <v>433.9</v>
      </c>
      <c r="O263" s="305">
        <f t="shared" si="4"/>
        <v>44620</v>
      </c>
      <c r="P263" s="286" t="s">
        <v>164</v>
      </c>
    </row>
    <row r="264" spans="1:16" hidden="1" x14ac:dyDescent="0.15">
      <c r="A264" s="286">
        <v>1094</v>
      </c>
      <c r="B264" s="288">
        <v>44616.782638888886</v>
      </c>
      <c r="C264" s="286" t="s">
        <v>1248</v>
      </c>
      <c r="D264" s="286" t="s">
        <v>1105</v>
      </c>
      <c r="E264" s="286" t="s">
        <v>1106</v>
      </c>
      <c r="F264" s="286" t="s">
        <v>1249</v>
      </c>
      <c r="G264" s="286" t="s">
        <v>53</v>
      </c>
      <c r="H264" s="286" t="s">
        <v>53</v>
      </c>
      <c r="I264" s="286" t="s">
        <v>1230</v>
      </c>
      <c r="J264" s="286" t="s">
        <v>53</v>
      </c>
      <c r="K264" s="286" t="s">
        <v>53</v>
      </c>
      <c r="L264" s="286" t="s">
        <v>53</v>
      </c>
      <c r="M264" s="286" t="s">
        <v>53</v>
      </c>
      <c r="N264" s="287">
        <v>25125</v>
      </c>
      <c r="O264" s="305">
        <f t="shared" si="4"/>
        <v>44620</v>
      </c>
      <c r="P264" s="286" t="s">
        <v>175</v>
      </c>
    </row>
    <row r="265" spans="1:16" hidden="1" x14ac:dyDescent="0.15">
      <c r="A265" s="286">
        <v>1094</v>
      </c>
      <c r="B265" s="288">
        <v>44616.782638888886</v>
      </c>
      <c r="C265" s="286" t="s">
        <v>1248</v>
      </c>
      <c r="D265" s="286" t="s">
        <v>1105</v>
      </c>
      <c r="E265" s="286" t="s">
        <v>1106</v>
      </c>
      <c r="F265" s="286" t="s">
        <v>1249</v>
      </c>
      <c r="G265" s="286" t="s">
        <v>53</v>
      </c>
      <c r="H265" s="286" t="s">
        <v>53</v>
      </c>
      <c r="I265" s="286" t="s">
        <v>1228</v>
      </c>
      <c r="J265" s="286" t="s">
        <v>53</v>
      </c>
      <c r="K265" s="286" t="s">
        <v>53</v>
      </c>
      <c r="L265" s="286" t="s">
        <v>53</v>
      </c>
      <c r="M265" s="286" t="s">
        <v>53</v>
      </c>
      <c r="N265" s="287">
        <v>23418</v>
      </c>
      <c r="O265" s="305">
        <f t="shared" si="4"/>
        <v>44620</v>
      </c>
      <c r="P265" s="286" t="s">
        <v>58</v>
      </c>
    </row>
    <row r="266" spans="1:16" hidden="1" x14ac:dyDescent="0.15">
      <c r="A266" s="286">
        <v>1094</v>
      </c>
      <c r="B266" s="288">
        <v>44616.782638888886</v>
      </c>
      <c r="C266" s="286" t="s">
        <v>1248</v>
      </c>
      <c r="D266" s="286" t="s">
        <v>1105</v>
      </c>
      <c r="E266" s="286" t="s">
        <v>1106</v>
      </c>
      <c r="F266" s="286" t="s">
        <v>1249</v>
      </c>
      <c r="G266" s="286" t="s">
        <v>53</v>
      </c>
      <c r="H266" s="286" t="s">
        <v>53</v>
      </c>
      <c r="I266" s="286" t="s">
        <v>1199</v>
      </c>
      <c r="J266" s="286" t="s">
        <v>53</v>
      </c>
      <c r="K266" s="286" t="s">
        <v>53</v>
      </c>
      <c r="L266" s="286" t="s">
        <v>53</v>
      </c>
      <c r="M266" s="286" t="s">
        <v>53</v>
      </c>
      <c r="N266" s="287">
        <v>6160.92</v>
      </c>
      <c r="O266" s="305">
        <f t="shared" si="4"/>
        <v>44620</v>
      </c>
      <c r="P266" s="286" t="s">
        <v>58</v>
      </c>
    </row>
    <row r="267" spans="1:16" hidden="1" x14ac:dyDescent="0.15">
      <c r="A267" s="286">
        <v>1094</v>
      </c>
      <c r="B267" s="288">
        <v>44616.782638888886</v>
      </c>
      <c r="C267" s="286" t="s">
        <v>1248</v>
      </c>
      <c r="D267" s="286" t="s">
        <v>1105</v>
      </c>
      <c r="E267" s="286" t="s">
        <v>1106</v>
      </c>
      <c r="F267" s="286" t="s">
        <v>1249</v>
      </c>
      <c r="G267" s="286" t="s">
        <v>53</v>
      </c>
      <c r="H267" s="286" t="s">
        <v>53</v>
      </c>
      <c r="I267" s="286" t="s">
        <v>1129</v>
      </c>
      <c r="J267" s="286" t="s">
        <v>53</v>
      </c>
      <c r="K267" s="286" t="s">
        <v>53</v>
      </c>
      <c r="L267" s="286" t="s">
        <v>53</v>
      </c>
      <c r="M267" s="286" t="s">
        <v>53</v>
      </c>
      <c r="N267" s="287">
        <v>160</v>
      </c>
      <c r="O267" s="305">
        <f t="shared" si="4"/>
        <v>44620</v>
      </c>
      <c r="P267" s="286" t="s">
        <v>164</v>
      </c>
    </row>
    <row r="268" spans="1:16" hidden="1" x14ac:dyDescent="0.15">
      <c r="A268" s="286">
        <v>1094</v>
      </c>
      <c r="B268" s="288">
        <v>44616.782638888886</v>
      </c>
      <c r="C268" s="286" t="s">
        <v>1248</v>
      </c>
      <c r="D268" s="286" t="s">
        <v>1105</v>
      </c>
      <c r="E268" s="286" t="s">
        <v>1106</v>
      </c>
      <c r="F268" s="286" t="s">
        <v>1249</v>
      </c>
      <c r="G268" s="286" t="s">
        <v>53</v>
      </c>
      <c r="H268" s="286" t="s">
        <v>53</v>
      </c>
      <c r="I268" s="286" t="s">
        <v>1112</v>
      </c>
      <c r="J268" s="286" t="s">
        <v>53</v>
      </c>
      <c r="K268" s="286" t="s">
        <v>53</v>
      </c>
      <c r="L268" s="286" t="s">
        <v>53</v>
      </c>
      <c r="M268" s="286" t="s">
        <v>53</v>
      </c>
      <c r="N268" s="287">
        <v>-26373</v>
      </c>
      <c r="O268" s="305">
        <f t="shared" si="4"/>
        <v>44620</v>
      </c>
      <c r="P268" s="286" t="s">
        <v>175</v>
      </c>
    </row>
    <row r="269" spans="1:16" hidden="1" x14ac:dyDescent="0.15">
      <c r="A269" s="286">
        <v>1095</v>
      </c>
      <c r="B269" s="288">
        <v>44616.782638888886</v>
      </c>
      <c r="C269" s="286" t="s">
        <v>1250</v>
      </c>
      <c r="D269" s="286" t="s">
        <v>1105</v>
      </c>
      <c r="E269" s="286" t="s">
        <v>1106</v>
      </c>
      <c r="F269" s="286" t="s">
        <v>1251</v>
      </c>
      <c r="G269" s="286" t="s">
        <v>53</v>
      </c>
      <c r="H269" s="286" t="s">
        <v>53</v>
      </c>
      <c r="I269" s="286" t="s">
        <v>1108</v>
      </c>
      <c r="J269" s="286" t="s">
        <v>53</v>
      </c>
      <c r="K269" s="286" t="s">
        <v>53</v>
      </c>
      <c r="L269" s="286" t="s">
        <v>53</v>
      </c>
      <c r="M269" s="286" t="s">
        <v>53</v>
      </c>
      <c r="N269" s="287">
        <v>991765.87</v>
      </c>
      <c r="O269" s="305">
        <f t="shared" si="4"/>
        <v>44620</v>
      </c>
      <c r="P269" s="286" t="s">
        <v>37</v>
      </c>
    </row>
    <row r="270" spans="1:16" hidden="1" x14ac:dyDescent="0.15">
      <c r="A270" s="286">
        <v>1095</v>
      </c>
      <c r="B270" s="288">
        <v>44616.782638888886</v>
      </c>
      <c r="C270" s="286" t="s">
        <v>1250</v>
      </c>
      <c r="D270" s="286" t="s">
        <v>1105</v>
      </c>
      <c r="E270" s="286" t="s">
        <v>1106</v>
      </c>
      <c r="F270" s="286" t="s">
        <v>1251</v>
      </c>
      <c r="G270" s="286" t="s">
        <v>53</v>
      </c>
      <c r="H270" s="286" t="s">
        <v>53</v>
      </c>
      <c r="I270" s="286" t="s">
        <v>1128</v>
      </c>
      <c r="J270" s="286" t="s">
        <v>53</v>
      </c>
      <c r="K270" s="286" t="s">
        <v>53</v>
      </c>
      <c r="L270" s="286" t="s">
        <v>53</v>
      </c>
      <c r="M270" s="286" t="s">
        <v>53</v>
      </c>
      <c r="N270" s="287">
        <v>457250.53</v>
      </c>
      <c r="O270" s="305">
        <f t="shared" si="4"/>
        <v>44620</v>
      </c>
      <c r="P270" s="286" t="s">
        <v>47</v>
      </c>
    </row>
    <row r="271" spans="1:16" hidden="1" x14ac:dyDescent="0.15">
      <c r="A271" s="286">
        <v>1095</v>
      </c>
      <c r="B271" s="288">
        <v>44616.782638888886</v>
      </c>
      <c r="C271" s="286" t="s">
        <v>1250</v>
      </c>
      <c r="D271" s="286" t="s">
        <v>1105</v>
      </c>
      <c r="E271" s="286" t="s">
        <v>1106</v>
      </c>
      <c r="F271" s="286" t="s">
        <v>1251</v>
      </c>
      <c r="G271" s="286" t="s">
        <v>53</v>
      </c>
      <c r="H271" s="286" t="s">
        <v>53</v>
      </c>
      <c r="I271" s="286" t="s">
        <v>1235</v>
      </c>
      <c r="J271" s="286" t="s">
        <v>53</v>
      </c>
      <c r="K271" s="286" t="s">
        <v>53</v>
      </c>
      <c r="L271" s="286" t="s">
        <v>53</v>
      </c>
      <c r="M271" s="286" t="s">
        <v>53</v>
      </c>
      <c r="N271" s="287">
        <v>380860</v>
      </c>
      <c r="O271" s="305">
        <f t="shared" si="4"/>
        <v>44620</v>
      </c>
      <c r="P271" s="286" t="s">
        <v>180</v>
      </c>
    </row>
    <row r="272" spans="1:16" hidden="1" x14ac:dyDescent="0.15">
      <c r="A272" s="286">
        <v>1095</v>
      </c>
      <c r="B272" s="288">
        <v>44616.782638888886</v>
      </c>
      <c r="C272" s="286" t="s">
        <v>1250</v>
      </c>
      <c r="D272" s="286" t="s">
        <v>1105</v>
      </c>
      <c r="E272" s="286" t="s">
        <v>1106</v>
      </c>
      <c r="F272" s="286" t="s">
        <v>1251</v>
      </c>
      <c r="G272" s="286" t="s">
        <v>53</v>
      </c>
      <c r="H272" s="286" t="s">
        <v>53</v>
      </c>
      <c r="I272" s="286" t="s">
        <v>1152</v>
      </c>
      <c r="J272" s="286" t="s">
        <v>53</v>
      </c>
      <c r="K272" s="286" t="s">
        <v>53</v>
      </c>
      <c r="L272" s="286" t="s">
        <v>53</v>
      </c>
      <c r="M272" s="286" t="s">
        <v>53</v>
      </c>
      <c r="N272" s="287">
        <v>150104.78</v>
      </c>
      <c r="O272" s="305">
        <f t="shared" si="4"/>
        <v>44620</v>
      </c>
      <c r="P272" s="111" t="s">
        <v>58</v>
      </c>
    </row>
    <row r="273" spans="1:16" hidden="1" x14ac:dyDescent="0.15">
      <c r="A273" s="286">
        <v>1095</v>
      </c>
      <c r="B273" s="288">
        <v>44616.782638888886</v>
      </c>
      <c r="C273" s="286" t="s">
        <v>1250</v>
      </c>
      <c r="D273" s="286" t="s">
        <v>1105</v>
      </c>
      <c r="E273" s="286" t="s">
        <v>1106</v>
      </c>
      <c r="F273" s="286" t="s">
        <v>1251</v>
      </c>
      <c r="G273" s="286" t="s">
        <v>53</v>
      </c>
      <c r="H273" s="286" t="s">
        <v>53</v>
      </c>
      <c r="I273" s="286" t="s">
        <v>1204</v>
      </c>
      <c r="J273" s="286" t="s">
        <v>53</v>
      </c>
      <c r="K273" s="286" t="s">
        <v>53</v>
      </c>
      <c r="L273" s="286" t="s">
        <v>53</v>
      </c>
      <c r="M273" s="286" t="s">
        <v>53</v>
      </c>
      <c r="N273" s="287">
        <v>84064.5</v>
      </c>
      <c r="O273" s="305">
        <f t="shared" si="4"/>
        <v>44620</v>
      </c>
      <c r="P273" s="286" t="s">
        <v>49</v>
      </c>
    </row>
    <row r="274" spans="1:16" hidden="1" x14ac:dyDescent="0.15">
      <c r="A274" s="286">
        <v>1095</v>
      </c>
      <c r="B274" s="288">
        <v>44616.782638888886</v>
      </c>
      <c r="C274" s="286" t="s">
        <v>1250</v>
      </c>
      <c r="D274" s="286" t="s">
        <v>1105</v>
      </c>
      <c r="E274" s="286" t="s">
        <v>1106</v>
      </c>
      <c r="F274" s="286" t="s">
        <v>1251</v>
      </c>
      <c r="G274" s="286" t="s">
        <v>53</v>
      </c>
      <c r="H274" s="286" t="s">
        <v>53</v>
      </c>
      <c r="I274" s="286" t="s">
        <v>1230</v>
      </c>
      <c r="J274" s="286" t="s">
        <v>53</v>
      </c>
      <c r="K274" s="286" t="s">
        <v>53</v>
      </c>
      <c r="L274" s="286" t="s">
        <v>53</v>
      </c>
      <c r="M274" s="286" t="s">
        <v>53</v>
      </c>
      <c r="N274" s="287">
        <v>27185</v>
      </c>
      <c r="O274" s="305">
        <f t="shared" si="4"/>
        <v>44620</v>
      </c>
      <c r="P274" s="286" t="s">
        <v>175</v>
      </c>
    </row>
    <row r="275" spans="1:16" hidden="1" x14ac:dyDescent="0.15">
      <c r="A275" s="286">
        <v>1095</v>
      </c>
      <c r="B275" s="288">
        <v>44616.782638888886</v>
      </c>
      <c r="C275" s="286" t="s">
        <v>1250</v>
      </c>
      <c r="D275" s="286" t="s">
        <v>1105</v>
      </c>
      <c r="E275" s="286" t="s">
        <v>1106</v>
      </c>
      <c r="F275" s="286" t="s">
        <v>1251</v>
      </c>
      <c r="G275" s="286" t="s">
        <v>53</v>
      </c>
      <c r="H275" s="286" t="s">
        <v>53</v>
      </c>
      <c r="I275" s="286" t="s">
        <v>1121</v>
      </c>
      <c r="J275" s="286" t="s">
        <v>53</v>
      </c>
      <c r="K275" s="286" t="s">
        <v>53</v>
      </c>
      <c r="L275" s="286" t="s">
        <v>53</v>
      </c>
      <c r="M275" s="286" t="s">
        <v>53</v>
      </c>
      <c r="N275" s="287">
        <v>25000</v>
      </c>
      <c r="O275" s="305">
        <f t="shared" si="4"/>
        <v>44620</v>
      </c>
      <c r="P275" s="286" t="s">
        <v>248</v>
      </c>
    </row>
    <row r="276" spans="1:16" hidden="1" x14ac:dyDescent="0.15">
      <c r="A276" s="286">
        <v>1095</v>
      </c>
      <c r="B276" s="288">
        <v>44616.782638888886</v>
      </c>
      <c r="C276" s="286" t="s">
        <v>1250</v>
      </c>
      <c r="D276" s="286" t="s">
        <v>1105</v>
      </c>
      <c r="E276" s="286" t="s">
        <v>1106</v>
      </c>
      <c r="F276" s="286" t="s">
        <v>1251</v>
      </c>
      <c r="G276" s="286" t="s">
        <v>53</v>
      </c>
      <c r="H276" s="286" t="s">
        <v>53</v>
      </c>
      <c r="I276" s="286" t="s">
        <v>1229</v>
      </c>
      <c r="J276" s="286" t="s">
        <v>53</v>
      </c>
      <c r="K276" s="286" t="s">
        <v>53</v>
      </c>
      <c r="L276" s="286" t="s">
        <v>53</v>
      </c>
      <c r="M276" s="286" t="s">
        <v>53</v>
      </c>
      <c r="N276" s="287">
        <v>11406</v>
      </c>
      <c r="O276" s="305">
        <f t="shared" si="4"/>
        <v>44620</v>
      </c>
      <c r="P276" s="286" t="s">
        <v>279</v>
      </c>
    </row>
    <row r="277" spans="1:16" hidden="1" x14ac:dyDescent="0.15">
      <c r="A277" s="286">
        <v>1095</v>
      </c>
      <c r="B277" s="288">
        <v>44616.782638888886</v>
      </c>
      <c r="C277" s="286" t="s">
        <v>1250</v>
      </c>
      <c r="D277" s="286" t="s">
        <v>1105</v>
      </c>
      <c r="E277" s="286" t="s">
        <v>1106</v>
      </c>
      <c r="F277" s="286" t="s">
        <v>1251</v>
      </c>
      <c r="G277" s="286" t="s">
        <v>53</v>
      </c>
      <c r="H277" s="286" t="s">
        <v>53</v>
      </c>
      <c r="I277" s="286" t="s">
        <v>1112</v>
      </c>
      <c r="J277" s="286" t="s">
        <v>53</v>
      </c>
      <c r="K277" s="286" t="s">
        <v>53</v>
      </c>
      <c r="L277" s="286" t="s">
        <v>53</v>
      </c>
      <c r="M277" s="286" t="s">
        <v>53</v>
      </c>
      <c r="N277" s="287">
        <v>10250</v>
      </c>
      <c r="O277" s="305">
        <f t="shared" si="4"/>
        <v>44620</v>
      </c>
      <c r="P277" s="286" t="s">
        <v>175</v>
      </c>
    </row>
    <row r="278" spans="1:16" hidden="1" x14ac:dyDescent="0.15">
      <c r="A278" s="286">
        <v>1095</v>
      </c>
      <c r="B278" s="288">
        <v>44616.782638888886</v>
      </c>
      <c r="C278" s="286" t="s">
        <v>1250</v>
      </c>
      <c r="D278" s="286" t="s">
        <v>1105</v>
      </c>
      <c r="E278" s="286" t="s">
        <v>1106</v>
      </c>
      <c r="F278" s="286" t="s">
        <v>1251</v>
      </c>
      <c r="G278" s="286" t="s">
        <v>53</v>
      </c>
      <c r="H278" s="286" t="s">
        <v>53</v>
      </c>
      <c r="I278" s="286" t="s">
        <v>1211</v>
      </c>
      <c r="J278" s="286" t="s">
        <v>53</v>
      </c>
      <c r="K278" s="286" t="s">
        <v>53</v>
      </c>
      <c r="L278" s="286" t="s">
        <v>53</v>
      </c>
      <c r="M278" s="286" t="s">
        <v>53</v>
      </c>
      <c r="N278" s="287">
        <v>9619</v>
      </c>
      <c r="O278" s="305">
        <f t="shared" si="4"/>
        <v>44620</v>
      </c>
      <c r="P278" s="286" t="s">
        <v>452</v>
      </c>
    </row>
    <row r="279" spans="1:16" hidden="1" x14ac:dyDescent="0.15">
      <c r="A279" s="286">
        <v>1095</v>
      </c>
      <c r="B279" s="288">
        <v>44616.782638888886</v>
      </c>
      <c r="C279" s="286" t="s">
        <v>1250</v>
      </c>
      <c r="D279" s="286" t="s">
        <v>1105</v>
      </c>
      <c r="E279" s="286" t="s">
        <v>1106</v>
      </c>
      <c r="F279" s="286" t="s">
        <v>1251</v>
      </c>
      <c r="G279" s="286" t="s">
        <v>53</v>
      </c>
      <c r="H279" s="286" t="s">
        <v>53</v>
      </c>
      <c r="I279" s="286" t="s">
        <v>1129</v>
      </c>
      <c r="J279" s="286" t="s">
        <v>53</v>
      </c>
      <c r="K279" s="286" t="s">
        <v>53</v>
      </c>
      <c r="L279" s="286" t="s">
        <v>53</v>
      </c>
      <c r="M279" s="286" t="s">
        <v>53</v>
      </c>
      <c r="N279" s="287">
        <v>411.15</v>
      </c>
      <c r="O279" s="305">
        <f t="shared" si="4"/>
        <v>44620</v>
      </c>
      <c r="P279" s="286" t="s">
        <v>164</v>
      </c>
    </row>
    <row r="280" spans="1:16" hidden="1" x14ac:dyDescent="0.15">
      <c r="A280" s="286">
        <v>1095</v>
      </c>
      <c r="B280" s="288">
        <v>44616.782638888886</v>
      </c>
      <c r="C280" s="286" t="s">
        <v>1250</v>
      </c>
      <c r="D280" s="286" t="s">
        <v>1105</v>
      </c>
      <c r="E280" s="286" t="s">
        <v>1106</v>
      </c>
      <c r="F280" s="286" t="s">
        <v>1251</v>
      </c>
      <c r="G280" s="286" t="s">
        <v>53</v>
      </c>
      <c r="H280" s="286" t="s">
        <v>53</v>
      </c>
      <c r="I280" s="286" t="s">
        <v>1228</v>
      </c>
      <c r="J280" s="286" t="s">
        <v>53</v>
      </c>
      <c r="K280" s="286" t="s">
        <v>53</v>
      </c>
      <c r="L280" s="286" t="s">
        <v>53</v>
      </c>
      <c r="M280" s="286" t="s">
        <v>53</v>
      </c>
      <c r="N280" s="287">
        <v>-178271.84</v>
      </c>
      <c r="O280" s="305">
        <f t="shared" si="4"/>
        <v>44620</v>
      </c>
      <c r="P280" s="286" t="s">
        <v>58</v>
      </c>
    </row>
    <row r="281" spans="1:16" hidden="1" x14ac:dyDescent="0.15">
      <c r="A281" s="286">
        <v>1095</v>
      </c>
      <c r="B281" s="288">
        <v>44616.782638888886</v>
      </c>
      <c r="C281" s="286" t="s">
        <v>1250</v>
      </c>
      <c r="D281" s="286" t="s">
        <v>1105</v>
      </c>
      <c r="E281" s="286" t="s">
        <v>1106</v>
      </c>
      <c r="F281" s="286" t="s">
        <v>1251</v>
      </c>
      <c r="G281" s="286" t="s">
        <v>53</v>
      </c>
      <c r="H281" s="286" t="s">
        <v>53</v>
      </c>
      <c r="I281" s="286" t="s">
        <v>1199</v>
      </c>
      <c r="J281" s="286" t="s">
        <v>53</v>
      </c>
      <c r="K281" s="286" t="s">
        <v>53</v>
      </c>
      <c r="L281" s="286" t="s">
        <v>53</v>
      </c>
      <c r="M281" s="286" t="s">
        <v>53</v>
      </c>
      <c r="N281" s="287">
        <v>-449767.71</v>
      </c>
      <c r="O281" s="305">
        <f t="shared" si="4"/>
        <v>44620</v>
      </c>
      <c r="P281" s="286" t="s">
        <v>58</v>
      </c>
    </row>
    <row r="282" spans="1:16" hidden="1" x14ac:dyDescent="0.15">
      <c r="A282" s="286">
        <v>1096</v>
      </c>
      <c r="B282" s="288">
        <v>44616.783333333333</v>
      </c>
      <c r="C282" s="286" t="s">
        <v>1252</v>
      </c>
      <c r="D282" s="286" t="s">
        <v>1105</v>
      </c>
      <c r="E282" s="286" t="s">
        <v>1106</v>
      </c>
      <c r="F282" s="286" t="s">
        <v>1253</v>
      </c>
      <c r="G282" s="286" t="s">
        <v>53</v>
      </c>
      <c r="H282" s="286" t="s">
        <v>53</v>
      </c>
      <c r="I282" s="286" t="s">
        <v>1228</v>
      </c>
      <c r="J282" s="286" t="s">
        <v>53</v>
      </c>
      <c r="K282" s="286" t="s">
        <v>53</v>
      </c>
      <c r="L282" s="286" t="s">
        <v>53</v>
      </c>
      <c r="M282" s="286" t="s">
        <v>53</v>
      </c>
      <c r="N282" s="287">
        <v>70045</v>
      </c>
      <c r="O282" s="305">
        <f t="shared" si="4"/>
        <v>44620</v>
      </c>
      <c r="P282" s="286" t="s">
        <v>58</v>
      </c>
    </row>
    <row r="283" spans="1:16" hidden="1" x14ac:dyDescent="0.15">
      <c r="A283" s="286">
        <v>1096</v>
      </c>
      <c r="B283" s="288">
        <v>44616.783333333333</v>
      </c>
      <c r="C283" s="286" t="s">
        <v>1252</v>
      </c>
      <c r="D283" s="286" t="s">
        <v>1105</v>
      </c>
      <c r="E283" s="286" t="s">
        <v>1106</v>
      </c>
      <c r="F283" s="286" t="s">
        <v>1253</v>
      </c>
      <c r="G283" s="286" t="s">
        <v>53</v>
      </c>
      <c r="H283" s="286" t="s">
        <v>53</v>
      </c>
      <c r="I283" s="286" t="s">
        <v>1199</v>
      </c>
      <c r="J283" s="286" t="s">
        <v>53</v>
      </c>
      <c r="K283" s="286" t="s">
        <v>53</v>
      </c>
      <c r="L283" s="286" t="s">
        <v>53</v>
      </c>
      <c r="M283" s="286" t="s">
        <v>53</v>
      </c>
      <c r="N283" s="287">
        <v>62014.82</v>
      </c>
      <c r="O283" s="305">
        <f t="shared" si="4"/>
        <v>44620</v>
      </c>
      <c r="P283" s="286" t="s">
        <v>58</v>
      </c>
    </row>
    <row r="284" spans="1:16" hidden="1" x14ac:dyDescent="0.15">
      <c r="A284" s="286">
        <v>1096</v>
      </c>
      <c r="B284" s="288">
        <v>44616.783333333333</v>
      </c>
      <c r="C284" s="286" t="s">
        <v>1252</v>
      </c>
      <c r="D284" s="286" t="s">
        <v>1105</v>
      </c>
      <c r="E284" s="286" t="s">
        <v>1106</v>
      </c>
      <c r="F284" s="286" t="s">
        <v>1253</v>
      </c>
      <c r="G284" s="286" t="s">
        <v>53</v>
      </c>
      <c r="H284" s="286" t="s">
        <v>53</v>
      </c>
      <c r="I284" s="286" t="s">
        <v>1109</v>
      </c>
      <c r="J284" s="286" t="s">
        <v>53</v>
      </c>
      <c r="K284" s="286" t="s">
        <v>53</v>
      </c>
      <c r="L284" s="286" t="s">
        <v>53</v>
      </c>
      <c r="M284" s="286" t="s">
        <v>53</v>
      </c>
      <c r="N284" s="287">
        <v>35314.74</v>
      </c>
      <c r="O284" s="305">
        <f t="shared" si="4"/>
        <v>44620</v>
      </c>
    </row>
    <row r="285" spans="1:16" hidden="1" x14ac:dyDescent="0.15">
      <c r="A285" s="286">
        <v>1096</v>
      </c>
      <c r="B285" s="288">
        <v>44616.783333333333</v>
      </c>
      <c r="C285" s="286" t="s">
        <v>1252</v>
      </c>
      <c r="D285" s="286" t="s">
        <v>1105</v>
      </c>
      <c r="E285" s="286" t="s">
        <v>1106</v>
      </c>
      <c r="F285" s="286" t="s">
        <v>1253</v>
      </c>
      <c r="G285" s="286" t="s">
        <v>53</v>
      </c>
      <c r="H285" s="286" t="s">
        <v>53</v>
      </c>
      <c r="I285" s="286" t="s">
        <v>1230</v>
      </c>
      <c r="J285" s="286" t="s">
        <v>53</v>
      </c>
      <c r="K285" s="286" t="s">
        <v>53</v>
      </c>
      <c r="L285" s="286" t="s">
        <v>53</v>
      </c>
      <c r="M285" s="286" t="s">
        <v>53</v>
      </c>
      <c r="N285" s="287">
        <v>25460</v>
      </c>
      <c r="O285" s="305">
        <f t="shared" si="4"/>
        <v>44620</v>
      </c>
      <c r="P285" s="286" t="s">
        <v>175</v>
      </c>
    </row>
    <row r="286" spans="1:16" hidden="1" x14ac:dyDescent="0.15">
      <c r="A286" s="286">
        <v>1096</v>
      </c>
      <c r="B286" s="288">
        <v>44616.783333333333</v>
      </c>
      <c r="C286" s="286" t="s">
        <v>1252</v>
      </c>
      <c r="D286" s="286" t="s">
        <v>1105</v>
      </c>
      <c r="E286" s="286" t="s">
        <v>1106</v>
      </c>
      <c r="F286" s="286" t="s">
        <v>1253</v>
      </c>
      <c r="G286" s="286" t="s">
        <v>53</v>
      </c>
      <c r="H286" s="286" t="s">
        <v>53</v>
      </c>
      <c r="I286" s="286" t="s">
        <v>1129</v>
      </c>
      <c r="J286" s="286" t="s">
        <v>53</v>
      </c>
      <c r="K286" s="286" t="s">
        <v>53</v>
      </c>
      <c r="L286" s="286" t="s">
        <v>53</v>
      </c>
      <c r="M286" s="286" t="s">
        <v>53</v>
      </c>
      <c r="N286" s="287">
        <v>851.42</v>
      </c>
      <c r="O286" s="305">
        <f t="shared" si="4"/>
        <v>44620</v>
      </c>
      <c r="P286" s="286" t="s">
        <v>164</v>
      </c>
    </row>
    <row r="287" spans="1:16" hidden="1" x14ac:dyDescent="0.15">
      <c r="A287" s="286">
        <v>1096</v>
      </c>
      <c r="B287" s="288">
        <v>44616.783333333333</v>
      </c>
      <c r="C287" s="286" t="s">
        <v>1252</v>
      </c>
      <c r="D287" s="286" t="s">
        <v>1105</v>
      </c>
      <c r="E287" s="286" t="s">
        <v>1106</v>
      </c>
      <c r="F287" s="286" t="s">
        <v>1253</v>
      </c>
      <c r="G287" s="286" t="s">
        <v>53</v>
      </c>
      <c r="H287" s="286" t="s">
        <v>53</v>
      </c>
      <c r="I287" s="286" t="s">
        <v>1173</v>
      </c>
      <c r="J287" s="286" t="s">
        <v>53</v>
      </c>
      <c r="K287" s="286" t="s">
        <v>53</v>
      </c>
      <c r="L287" s="286" t="s">
        <v>53</v>
      </c>
      <c r="M287" s="286" t="s">
        <v>53</v>
      </c>
      <c r="N287" s="287">
        <v>0.1</v>
      </c>
      <c r="O287" s="305">
        <f t="shared" si="4"/>
        <v>44620</v>
      </c>
      <c r="P287" s="286" t="s">
        <v>58</v>
      </c>
    </row>
    <row r="288" spans="1:16" hidden="1" x14ac:dyDescent="0.15">
      <c r="A288" s="286">
        <v>1096</v>
      </c>
      <c r="B288" s="288">
        <v>44616.783333333333</v>
      </c>
      <c r="C288" s="286" t="s">
        <v>1252</v>
      </c>
      <c r="D288" s="286" t="s">
        <v>1105</v>
      </c>
      <c r="E288" s="286" t="s">
        <v>1106</v>
      </c>
      <c r="F288" s="286" t="s">
        <v>1253</v>
      </c>
      <c r="G288" s="286" t="s">
        <v>53</v>
      </c>
      <c r="H288" s="286" t="s">
        <v>53</v>
      </c>
      <c r="I288" s="286" t="s">
        <v>1121</v>
      </c>
      <c r="J288" s="286" t="s">
        <v>53</v>
      </c>
      <c r="K288" s="286" t="s">
        <v>53</v>
      </c>
      <c r="L288" s="286" t="s">
        <v>53</v>
      </c>
      <c r="M288" s="286" t="s">
        <v>53</v>
      </c>
      <c r="N288" s="287">
        <v>0.1</v>
      </c>
      <c r="O288" s="305">
        <f t="shared" si="4"/>
        <v>44620</v>
      </c>
      <c r="P288" s="286" t="s">
        <v>248</v>
      </c>
    </row>
    <row r="289" spans="1:16" hidden="1" x14ac:dyDescent="0.15">
      <c r="A289" s="286">
        <v>1097</v>
      </c>
      <c r="B289" s="288">
        <v>44616.783333333333</v>
      </c>
      <c r="C289" s="286" t="s">
        <v>1254</v>
      </c>
      <c r="D289" s="286" t="s">
        <v>1105</v>
      </c>
      <c r="E289" s="286" t="s">
        <v>1106</v>
      </c>
      <c r="F289" s="286" t="s">
        <v>1255</v>
      </c>
      <c r="G289" s="286" t="s">
        <v>53</v>
      </c>
      <c r="H289" s="286" t="s">
        <v>53</v>
      </c>
      <c r="I289" s="286" t="s">
        <v>1228</v>
      </c>
      <c r="J289" s="286" t="s">
        <v>53</v>
      </c>
      <c r="K289" s="286" t="s">
        <v>53</v>
      </c>
      <c r="L289" s="286" t="s">
        <v>53</v>
      </c>
      <c r="M289" s="286" t="s">
        <v>53</v>
      </c>
      <c r="N289" s="287">
        <v>70080.75</v>
      </c>
      <c r="O289" s="305">
        <f t="shared" si="4"/>
        <v>44620</v>
      </c>
      <c r="P289" s="286" t="s">
        <v>58</v>
      </c>
    </row>
    <row r="290" spans="1:16" hidden="1" x14ac:dyDescent="0.15">
      <c r="A290" s="286">
        <v>1097</v>
      </c>
      <c r="B290" s="288">
        <v>44616.783333333333</v>
      </c>
      <c r="C290" s="286" t="s">
        <v>1254</v>
      </c>
      <c r="D290" s="286" t="s">
        <v>1105</v>
      </c>
      <c r="E290" s="286" t="s">
        <v>1106</v>
      </c>
      <c r="F290" s="286" t="s">
        <v>1255</v>
      </c>
      <c r="G290" s="286" t="s">
        <v>53</v>
      </c>
      <c r="H290" s="286" t="s">
        <v>53</v>
      </c>
      <c r="I290" s="286" t="s">
        <v>1199</v>
      </c>
      <c r="J290" s="286" t="s">
        <v>53</v>
      </c>
      <c r="K290" s="286" t="s">
        <v>53</v>
      </c>
      <c r="L290" s="286" t="s">
        <v>53</v>
      </c>
      <c r="M290" s="286" t="s">
        <v>53</v>
      </c>
      <c r="N290" s="287">
        <v>63185.23</v>
      </c>
      <c r="O290" s="305">
        <f t="shared" si="4"/>
        <v>44620</v>
      </c>
      <c r="P290" s="286" t="s">
        <v>58</v>
      </c>
    </row>
    <row r="291" spans="1:16" hidden="1" x14ac:dyDescent="0.15">
      <c r="A291" s="286">
        <v>1097</v>
      </c>
      <c r="B291" s="288">
        <v>44616.783333333333</v>
      </c>
      <c r="C291" s="286" t="s">
        <v>1254</v>
      </c>
      <c r="D291" s="286" t="s">
        <v>1105</v>
      </c>
      <c r="E291" s="286" t="s">
        <v>1106</v>
      </c>
      <c r="F291" s="286" t="s">
        <v>1255</v>
      </c>
      <c r="G291" s="286" t="s">
        <v>53</v>
      </c>
      <c r="H291" s="286" t="s">
        <v>53</v>
      </c>
      <c r="I291" s="286" t="s">
        <v>1112</v>
      </c>
      <c r="J291" s="286" t="s">
        <v>53</v>
      </c>
      <c r="K291" s="286" t="s">
        <v>53</v>
      </c>
      <c r="L291" s="286" t="s">
        <v>53</v>
      </c>
      <c r="M291" s="286" t="s">
        <v>53</v>
      </c>
      <c r="N291" s="287">
        <v>34320</v>
      </c>
      <c r="O291" s="305">
        <f t="shared" si="4"/>
        <v>44620</v>
      </c>
      <c r="P291" s="286" t="s">
        <v>175</v>
      </c>
    </row>
    <row r="292" spans="1:16" hidden="1" x14ac:dyDescent="0.15">
      <c r="A292" s="286">
        <v>1097</v>
      </c>
      <c r="B292" s="288">
        <v>44616.783333333333</v>
      </c>
      <c r="C292" s="286" t="s">
        <v>1254</v>
      </c>
      <c r="D292" s="286" t="s">
        <v>1105</v>
      </c>
      <c r="E292" s="286" t="s">
        <v>1106</v>
      </c>
      <c r="F292" s="286" t="s">
        <v>1255</v>
      </c>
      <c r="G292" s="286" t="s">
        <v>53</v>
      </c>
      <c r="H292" s="286" t="s">
        <v>53</v>
      </c>
      <c r="I292" s="286" t="s">
        <v>1230</v>
      </c>
      <c r="J292" s="286" t="s">
        <v>53</v>
      </c>
      <c r="K292" s="286" t="s">
        <v>53</v>
      </c>
      <c r="L292" s="286" t="s">
        <v>53</v>
      </c>
      <c r="M292" s="286" t="s">
        <v>53</v>
      </c>
      <c r="N292" s="287">
        <v>18893</v>
      </c>
      <c r="O292" s="305">
        <f t="shared" si="4"/>
        <v>44620</v>
      </c>
      <c r="P292" s="286" t="s">
        <v>175</v>
      </c>
    </row>
    <row r="293" spans="1:16" hidden="1" x14ac:dyDescent="0.15">
      <c r="A293" s="286">
        <v>1097</v>
      </c>
      <c r="B293" s="288">
        <v>44616.783333333333</v>
      </c>
      <c r="C293" s="286" t="s">
        <v>1254</v>
      </c>
      <c r="D293" s="286" t="s">
        <v>1105</v>
      </c>
      <c r="E293" s="286" t="s">
        <v>1106</v>
      </c>
      <c r="F293" s="286" t="s">
        <v>1255</v>
      </c>
      <c r="G293" s="286" t="s">
        <v>53</v>
      </c>
      <c r="H293" s="286" t="s">
        <v>53</v>
      </c>
      <c r="I293" s="286" t="s">
        <v>1129</v>
      </c>
      <c r="J293" s="286" t="s">
        <v>53</v>
      </c>
      <c r="K293" s="286" t="s">
        <v>53</v>
      </c>
      <c r="L293" s="286" t="s">
        <v>53</v>
      </c>
      <c r="M293" s="286" t="s">
        <v>53</v>
      </c>
      <c r="N293" s="287">
        <v>240.4</v>
      </c>
      <c r="O293" s="305">
        <f t="shared" si="4"/>
        <v>44620</v>
      </c>
      <c r="P293" s="286" t="s">
        <v>164</v>
      </c>
    </row>
    <row r="294" spans="1:16" hidden="1" x14ac:dyDescent="0.15">
      <c r="A294" s="286">
        <v>1098</v>
      </c>
      <c r="B294" s="288">
        <v>44616.783333333333</v>
      </c>
      <c r="C294" s="286" t="s">
        <v>1256</v>
      </c>
      <c r="D294" s="286" t="s">
        <v>1105</v>
      </c>
      <c r="E294" s="286" t="s">
        <v>1106</v>
      </c>
      <c r="F294" s="286" t="s">
        <v>1257</v>
      </c>
      <c r="G294" s="286" t="s">
        <v>53</v>
      </c>
      <c r="H294" s="286" t="s">
        <v>53</v>
      </c>
      <c r="I294" s="286" t="s">
        <v>1108</v>
      </c>
      <c r="J294" s="286" t="s">
        <v>53</v>
      </c>
      <c r="K294" s="286" t="s">
        <v>53</v>
      </c>
      <c r="L294" s="286" t="s">
        <v>53</v>
      </c>
      <c r="M294" s="286" t="s">
        <v>53</v>
      </c>
      <c r="N294" s="287">
        <v>451878.8</v>
      </c>
      <c r="O294" s="305">
        <f t="shared" si="4"/>
        <v>44620</v>
      </c>
      <c r="P294" s="286" t="s">
        <v>37</v>
      </c>
    </row>
    <row r="295" spans="1:16" hidden="1" x14ac:dyDescent="0.15">
      <c r="A295" s="286">
        <v>1098</v>
      </c>
      <c r="B295" s="288">
        <v>44616.783333333333</v>
      </c>
      <c r="C295" s="286" t="s">
        <v>1256</v>
      </c>
      <c r="D295" s="286" t="s">
        <v>1105</v>
      </c>
      <c r="E295" s="286" t="s">
        <v>1106</v>
      </c>
      <c r="F295" s="286" t="s">
        <v>1257</v>
      </c>
      <c r="G295" s="286" t="s">
        <v>53</v>
      </c>
      <c r="H295" s="286" t="s">
        <v>53</v>
      </c>
      <c r="I295" s="286" t="s">
        <v>1228</v>
      </c>
      <c r="J295" s="286" t="s">
        <v>53</v>
      </c>
      <c r="K295" s="286" t="s">
        <v>53</v>
      </c>
      <c r="L295" s="286" t="s">
        <v>53</v>
      </c>
      <c r="M295" s="286" t="s">
        <v>53</v>
      </c>
      <c r="N295" s="287">
        <v>76563.5</v>
      </c>
      <c r="O295" s="305">
        <f t="shared" si="4"/>
        <v>44620</v>
      </c>
      <c r="P295" s="286" t="s">
        <v>58</v>
      </c>
    </row>
    <row r="296" spans="1:16" hidden="1" x14ac:dyDescent="0.15">
      <c r="A296" s="286">
        <v>1098</v>
      </c>
      <c r="B296" s="288">
        <v>44616.783333333333</v>
      </c>
      <c r="C296" s="286" t="s">
        <v>1256</v>
      </c>
      <c r="D296" s="286" t="s">
        <v>1105</v>
      </c>
      <c r="E296" s="286" t="s">
        <v>1106</v>
      </c>
      <c r="F296" s="286" t="s">
        <v>1257</v>
      </c>
      <c r="G296" s="286" t="s">
        <v>53</v>
      </c>
      <c r="H296" s="286" t="s">
        <v>53</v>
      </c>
      <c r="I296" s="286" t="s">
        <v>1199</v>
      </c>
      <c r="J296" s="286" t="s">
        <v>53</v>
      </c>
      <c r="K296" s="286" t="s">
        <v>53</v>
      </c>
      <c r="L296" s="286" t="s">
        <v>53</v>
      </c>
      <c r="M296" s="286" t="s">
        <v>53</v>
      </c>
      <c r="N296" s="287">
        <v>62380.9</v>
      </c>
      <c r="O296" s="305">
        <f t="shared" si="4"/>
        <v>44620</v>
      </c>
      <c r="P296" s="286" t="s">
        <v>58</v>
      </c>
    </row>
    <row r="297" spans="1:16" hidden="1" x14ac:dyDescent="0.15">
      <c r="A297" s="286">
        <v>1098</v>
      </c>
      <c r="B297" s="288">
        <v>44616.783333333333</v>
      </c>
      <c r="C297" s="286" t="s">
        <v>1256</v>
      </c>
      <c r="D297" s="286" t="s">
        <v>1105</v>
      </c>
      <c r="E297" s="286" t="s">
        <v>1106</v>
      </c>
      <c r="F297" s="286" t="s">
        <v>1257</v>
      </c>
      <c r="G297" s="286" t="s">
        <v>53</v>
      </c>
      <c r="H297" s="286" t="s">
        <v>53</v>
      </c>
      <c r="I297" s="286" t="s">
        <v>1128</v>
      </c>
      <c r="J297" s="286" t="s">
        <v>53</v>
      </c>
      <c r="K297" s="286" t="s">
        <v>53</v>
      </c>
      <c r="L297" s="286" t="s">
        <v>53</v>
      </c>
      <c r="M297" s="286" t="s">
        <v>53</v>
      </c>
      <c r="N297" s="287">
        <v>56745</v>
      </c>
      <c r="O297" s="305">
        <f t="shared" si="4"/>
        <v>44620</v>
      </c>
      <c r="P297" s="286" t="s">
        <v>47</v>
      </c>
    </row>
    <row r="298" spans="1:16" hidden="1" x14ac:dyDescent="0.15">
      <c r="A298" s="286">
        <v>1098</v>
      </c>
      <c r="B298" s="288">
        <v>44616.783333333333</v>
      </c>
      <c r="C298" s="286" t="s">
        <v>1256</v>
      </c>
      <c r="D298" s="286" t="s">
        <v>1105</v>
      </c>
      <c r="E298" s="286" t="s">
        <v>1106</v>
      </c>
      <c r="F298" s="286" t="s">
        <v>1257</v>
      </c>
      <c r="G298" s="286" t="s">
        <v>53</v>
      </c>
      <c r="H298" s="286" t="s">
        <v>53</v>
      </c>
      <c r="I298" s="286" t="s">
        <v>1235</v>
      </c>
      <c r="J298" s="286" t="s">
        <v>53</v>
      </c>
      <c r="K298" s="286" t="s">
        <v>53</v>
      </c>
      <c r="L298" s="286" t="s">
        <v>53</v>
      </c>
      <c r="M298" s="286" t="s">
        <v>53</v>
      </c>
      <c r="N298" s="287">
        <v>55449</v>
      </c>
      <c r="O298" s="305">
        <f t="shared" si="4"/>
        <v>44620</v>
      </c>
      <c r="P298" s="286" t="s">
        <v>180</v>
      </c>
    </row>
    <row r="299" spans="1:16" hidden="1" x14ac:dyDescent="0.15">
      <c r="A299" s="286">
        <v>1098</v>
      </c>
      <c r="B299" s="288">
        <v>44616.783333333333</v>
      </c>
      <c r="C299" s="286" t="s">
        <v>1256</v>
      </c>
      <c r="D299" s="286" t="s">
        <v>1105</v>
      </c>
      <c r="E299" s="286" t="s">
        <v>1106</v>
      </c>
      <c r="F299" s="286" t="s">
        <v>1257</v>
      </c>
      <c r="G299" s="286" t="s">
        <v>53</v>
      </c>
      <c r="H299" s="286" t="s">
        <v>53</v>
      </c>
      <c r="I299" s="286" t="s">
        <v>1230</v>
      </c>
      <c r="J299" s="286" t="s">
        <v>53</v>
      </c>
      <c r="K299" s="286" t="s">
        <v>53</v>
      </c>
      <c r="L299" s="286" t="s">
        <v>53</v>
      </c>
      <c r="M299" s="286" t="s">
        <v>53</v>
      </c>
      <c r="N299" s="287">
        <v>21111</v>
      </c>
      <c r="O299" s="305">
        <f t="shared" si="4"/>
        <v>44620</v>
      </c>
      <c r="P299" s="286" t="s">
        <v>175</v>
      </c>
    </row>
    <row r="300" spans="1:16" hidden="1" x14ac:dyDescent="0.15">
      <c r="A300" s="286">
        <v>1098</v>
      </c>
      <c r="B300" s="288">
        <v>44616.783333333333</v>
      </c>
      <c r="C300" s="286" t="s">
        <v>1256</v>
      </c>
      <c r="D300" s="286" t="s">
        <v>1105</v>
      </c>
      <c r="E300" s="286" t="s">
        <v>1106</v>
      </c>
      <c r="F300" s="286" t="s">
        <v>1257</v>
      </c>
      <c r="G300" s="286" t="s">
        <v>53</v>
      </c>
      <c r="H300" s="286" t="s">
        <v>53</v>
      </c>
      <c r="I300" s="286" t="s">
        <v>1204</v>
      </c>
      <c r="J300" s="286" t="s">
        <v>53</v>
      </c>
      <c r="K300" s="286" t="s">
        <v>53</v>
      </c>
      <c r="L300" s="286" t="s">
        <v>53</v>
      </c>
      <c r="M300" s="286" t="s">
        <v>53</v>
      </c>
      <c r="N300" s="287">
        <v>19977</v>
      </c>
      <c r="O300" s="305">
        <f t="shared" si="4"/>
        <v>44620</v>
      </c>
      <c r="P300" s="286" t="s">
        <v>49</v>
      </c>
    </row>
    <row r="301" spans="1:16" hidden="1" x14ac:dyDescent="0.15">
      <c r="A301" s="286">
        <v>1098</v>
      </c>
      <c r="B301" s="288">
        <v>44616.783333333333</v>
      </c>
      <c r="C301" s="286" t="s">
        <v>1256</v>
      </c>
      <c r="D301" s="286" t="s">
        <v>1105</v>
      </c>
      <c r="E301" s="286" t="s">
        <v>1106</v>
      </c>
      <c r="F301" s="286" t="s">
        <v>1257</v>
      </c>
      <c r="G301" s="286" t="s">
        <v>53</v>
      </c>
      <c r="H301" s="286" t="s">
        <v>53</v>
      </c>
      <c r="I301" s="286" t="s">
        <v>1129</v>
      </c>
      <c r="J301" s="286" t="s">
        <v>53</v>
      </c>
      <c r="K301" s="286" t="s">
        <v>53</v>
      </c>
      <c r="L301" s="286" t="s">
        <v>53</v>
      </c>
      <c r="M301" s="286" t="s">
        <v>53</v>
      </c>
      <c r="N301" s="287">
        <v>554.04</v>
      </c>
      <c r="O301" s="305">
        <f t="shared" si="4"/>
        <v>44620</v>
      </c>
      <c r="P301" s="286" t="s">
        <v>164</v>
      </c>
    </row>
    <row r="302" spans="1:16" hidden="1" x14ac:dyDescent="0.15">
      <c r="A302" s="286">
        <v>1099</v>
      </c>
      <c r="B302" s="288">
        <v>44616.783333333333</v>
      </c>
      <c r="C302" s="286" t="s">
        <v>1258</v>
      </c>
      <c r="D302" s="286" t="s">
        <v>1105</v>
      </c>
      <c r="E302" s="286" t="s">
        <v>1106</v>
      </c>
      <c r="F302" s="286" t="s">
        <v>1259</v>
      </c>
      <c r="G302" s="286" t="s">
        <v>53</v>
      </c>
      <c r="H302" s="286" t="s">
        <v>53</v>
      </c>
      <c r="I302" s="286" t="s">
        <v>1235</v>
      </c>
      <c r="J302" s="286" t="s">
        <v>53</v>
      </c>
      <c r="K302" s="286" t="s">
        <v>53</v>
      </c>
      <c r="L302" s="286" t="s">
        <v>53</v>
      </c>
      <c r="M302" s="286" t="s">
        <v>53</v>
      </c>
      <c r="N302" s="287">
        <v>263370</v>
      </c>
      <c r="O302" s="305">
        <f t="shared" si="4"/>
        <v>44620</v>
      </c>
      <c r="P302" s="286" t="s">
        <v>180</v>
      </c>
    </row>
    <row r="303" spans="1:16" hidden="1" x14ac:dyDescent="0.15">
      <c r="A303" s="286">
        <v>1099</v>
      </c>
      <c r="B303" s="288">
        <v>44616.783333333333</v>
      </c>
      <c r="C303" s="286" t="s">
        <v>1258</v>
      </c>
      <c r="D303" s="286" t="s">
        <v>1105</v>
      </c>
      <c r="E303" s="286" t="s">
        <v>1106</v>
      </c>
      <c r="F303" s="286" t="s">
        <v>1259</v>
      </c>
      <c r="G303" s="286" t="s">
        <v>53</v>
      </c>
      <c r="H303" s="286" t="s">
        <v>53</v>
      </c>
      <c r="I303" s="286" t="s">
        <v>1228</v>
      </c>
      <c r="J303" s="286" t="s">
        <v>53</v>
      </c>
      <c r="K303" s="286" t="s">
        <v>53</v>
      </c>
      <c r="L303" s="286" t="s">
        <v>53</v>
      </c>
      <c r="M303" s="286" t="s">
        <v>53</v>
      </c>
      <c r="N303" s="287">
        <v>76563.5</v>
      </c>
      <c r="O303" s="305">
        <f t="shared" si="4"/>
        <v>44620</v>
      </c>
      <c r="P303" s="286" t="s">
        <v>58</v>
      </c>
    </row>
    <row r="304" spans="1:16" hidden="1" x14ac:dyDescent="0.15">
      <c r="A304" s="286">
        <v>1099</v>
      </c>
      <c r="B304" s="288">
        <v>44616.783333333333</v>
      </c>
      <c r="C304" s="286" t="s">
        <v>1258</v>
      </c>
      <c r="D304" s="286" t="s">
        <v>1105</v>
      </c>
      <c r="E304" s="286" t="s">
        <v>1106</v>
      </c>
      <c r="F304" s="286" t="s">
        <v>1259</v>
      </c>
      <c r="G304" s="286" t="s">
        <v>53</v>
      </c>
      <c r="H304" s="286" t="s">
        <v>53</v>
      </c>
      <c r="I304" s="286" t="s">
        <v>1199</v>
      </c>
      <c r="J304" s="286" t="s">
        <v>53</v>
      </c>
      <c r="K304" s="286" t="s">
        <v>53</v>
      </c>
      <c r="L304" s="286" t="s">
        <v>53</v>
      </c>
      <c r="M304" s="286" t="s">
        <v>53</v>
      </c>
      <c r="N304" s="287">
        <v>72741.570000000007</v>
      </c>
      <c r="O304" s="305">
        <f t="shared" si="4"/>
        <v>44620</v>
      </c>
      <c r="P304" s="286" t="s">
        <v>58</v>
      </c>
    </row>
    <row r="305" spans="1:16" hidden="1" x14ac:dyDescent="0.15">
      <c r="A305" s="286">
        <v>1099</v>
      </c>
      <c r="B305" s="288">
        <v>44616.783333333333</v>
      </c>
      <c r="C305" s="286" t="s">
        <v>1258</v>
      </c>
      <c r="D305" s="286" t="s">
        <v>1105</v>
      </c>
      <c r="E305" s="286" t="s">
        <v>1106</v>
      </c>
      <c r="F305" s="286" t="s">
        <v>1259</v>
      </c>
      <c r="G305" s="286" t="s">
        <v>53</v>
      </c>
      <c r="H305" s="286" t="s">
        <v>53</v>
      </c>
      <c r="I305" s="286" t="s">
        <v>1204</v>
      </c>
      <c r="J305" s="286" t="s">
        <v>53</v>
      </c>
      <c r="K305" s="286" t="s">
        <v>53</v>
      </c>
      <c r="L305" s="286" t="s">
        <v>53</v>
      </c>
      <c r="M305" s="286" t="s">
        <v>53</v>
      </c>
      <c r="N305" s="287">
        <v>38923</v>
      </c>
      <c r="O305" s="305">
        <f t="shared" si="4"/>
        <v>44620</v>
      </c>
      <c r="P305" s="286" t="s">
        <v>49</v>
      </c>
    </row>
    <row r="306" spans="1:16" hidden="1" x14ac:dyDescent="0.15">
      <c r="A306" s="286">
        <v>1099</v>
      </c>
      <c r="B306" s="288">
        <v>44616.783333333333</v>
      </c>
      <c r="C306" s="286" t="s">
        <v>1258</v>
      </c>
      <c r="D306" s="286" t="s">
        <v>1105</v>
      </c>
      <c r="E306" s="286" t="s">
        <v>1106</v>
      </c>
      <c r="F306" s="286" t="s">
        <v>1259</v>
      </c>
      <c r="G306" s="286" t="s">
        <v>53</v>
      </c>
      <c r="H306" s="286" t="s">
        <v>53</v>
      </c>
      <c r="I306" s="286" t="s">
        <v>1229</v>
      </c>
      <c r="J306" s="286" t="s">
        <v>53</v>
      </c>
      <c r="K306" s="286" t="s">
        <v>53</v>
      </c>
      <c r="L306" s="286" t="s">
        <v>53</v>
      </c>
      <c r="M306" s="286" t="s">
        <v>53</v>
      </c>
      <c r="N306" s="287">
        <v>15680</v>
      </c>
      <c r="O306" s="305">
        <f t="shared" si="4"/>
        <v>44620</v>
      </c>
      <c r="P306" s="286" t="s">
        <v>279</v>
      </c>
    </row>
    <row r="307" spans="1:16" hidden="1" x14ac:dyDescent="0.15">
      <c r="A307" s="286">
        <v>1099</v>
      </c>
      <c r="B307" s="288">
        <v>44616.783333333333</v>
      </c>
      <c r="C307" s="286" t="s">
        <v>1258</v>
      </c>
      <c r="D307" s="286" t="s">
        <v>1105</v>
      </c>
      <c r="E307" s="286" t="s">
        <v>1106</v>
      </c>
      <c r="F307" s="286" t="s">
        <v>1259</v>
      </c>
      <c r="G307" s="286" t="s">
        <v>53</v>
      </c>
      <c r="H307" s="286" t="s">
        <v>53</v>
      </c>
      <c r="I307" s="286" t="s">
        <v>1128</v>
      </c>
      <c r="J307" s="286" t="s">
        <v>53</v>
      </c>
      <c r="K307" s="286" t="s">
        <v>53</v>
      </c>
      <c r="L307" s="286" t="s">
        <v>53</v>
      </c>
      <c r="M307" s="286" t="s">
        <v>53</v>
      </c>
      <c r="N307" s="287">
        <v>6500</v>
      </c>
      <c r="O307" s="305">
        <f t="shared" si="4"/>
        <v>44620</v>
      </c>
      <c r="P307" s="286" t="s">
        <v>47</v>
      </c>
    </row>
    <row r="308" spans="1:16" hidden="1" x14ac:dyDescent="0.15">
      <c r="A308" s="286">
        <v>1099</v>
      </c>
      <c r="B308" s="288">
        <v>44616.783333333333</v>
      </c>
      <c r="C308" s="286" t="s">
        <v>1258</v>
      </c>
      <c r="D308" s="286" t="s">
        <v>1105</v>
      </c>
      <c r="E308" s="286" t="s">
        <v>1106</v>
      </c>
      <c r="F308" s="286" t="s">
        <v>1259</v>
      </c>
      <c r="G308" s="286" t="s">
        <v>53</v>
      </c>
      <c r="H308" s="286" t="s">
        <v>53</v>
      </c>
      <c r="I308" s="286" t="s">
        <v>1129</v>
      </c>
      <c r="J308" s="286" t="s">
        <v>53</v>
      </c>
      <c r="K308" s="286" t="s">
        <v>53</v>
      </c>
      <c r="L308" s="286" t="s">
        <v>53</v>
      </c>
      <c r="M308" s="286" t="s">
        <v>53</v>
      </c>
      <c r="N308" s="287">
        <v>638.58000000000004</v>
      </c>
      <c r="O308" s="305">
        <f t="shared" si="4"/>
        <v>44620</v>
      </c>
      <c r="P308" s="286" t="s">
        <v>164</v>
      </c>
    </row>
    <row r="309" spans="1:16" hidden="1" x14ac:dyDescent="0.15">
      <c r="A309" s="286">
        <v>1100</v>
      </c>
      <c r="B309" s="288">
        <v>44616.783333333333</v>
      </c>
      <c r="C309" s="286" t="s">
        <v>1260</v>
      </c>
      <c r="D309" s="286" t="s">
        <v>1105</v>
      </c>
      <c r="E309" s="286" t="s">
        <v>1106</v>
      </c>
      <c r="F309" s="286" t="s">
        <v>1261</v>
      </c>
      <c r="G309" s="286" t="s">
        <v>53</v>
      </c>
      <c r="H309" s="286" t="s">
        <v>53</v>
      </c>
      <c r="I309" s="286" t="s">
        <v>1108</v>
      </c>
      <c r="J309" s="286" t="s">
        <v>53</v>
      </c>
      <c r="K309" s="286" t="s">
        <v>53</v>
      </c>
      <c r="L309" s="286" t="s">
        <v>53</v>
      </c>
      <c r="M309" s="286" t="s">
        <v>53</v>
      </c>
      <c r="N309" s="287">
        <v>162018.37</v>
      </c>
      <c r="O309" s="305">
        <f t="shared" si="4"/>
        <v>44620</v>
      </c>
      <c r="P309" s="286" t="s">
        <v>37</v>
      </c>
    </row>
    <row r="310" spans="1:16" hidden="1" x14ac:dyDescent="0.15">
      <c r="A310" s="286">
        <v>1100</v>
      </c>
      <c r="B310" s="288">
        <v>44616.783333333333</v>
      </c>
      <c r="C310" s="286" t="s">
        <v>1260</v>
      </c>
      <c r="D310" s="286" t="s">
        <v>1105</v>
      </c>
      <c r="E310" s="286" t="s">
        <v>1106</v>
      </c>
      <c r="F310" s="286" t="s">
        <v>1261</v>
      </c>
      <c r="G310" s="286" t="s">
        <v>53</v>
      </c>
      <c r="H310" s="286" t="s">
        <v>53</v>
      </c>
      <c r="I310" s="286" t="s">
        <v>1199</v>
      </c>
      <c r="J310" s="286" t="s">
        <v>53</v>
      </c>
      <c r="K310" s="286" t="s">
        <v>53</v>
      </c>
      <c r="L310" s="286" t="s">
        <v>53</v>
      </c>
      <c r="M310" s="286" t="s">
        <v>53</v>
      </c>
      <c r="N310" s="287">
        <v>143124.01</v>
      </c>
      <c r="O310" s="305">
        <f t="shared" si="4"/>
        <v>44620</v>
      </c>
      <c r="P310" s="286" t="s">
        <v>58</v>
      </c>
    </row>
    <row r="311" spans="1:16" hidden="1" x14ac:dyDescent="0.15">
      <c r="A311" s="286">
        <v>1100</v>
      </c>
      <c r="B311" s="288">
        <v>44616.783333333333</v>
      </c>
      <c r="C311" s="286" t="s">
        <v>1260</v>
      </c>
      <c r="D311" s="286" t="s">
        <v>1105</v>
      </c>
      <c r="E311" s="286" t="s">
        <v>1106</v>
      </c>
      <c r="F311" s="286" t="s">
        <v>1261</v>
      </c>
      <c r="G311" s="286" t="s">
        <v>53</v>
      </c>
      <c r="H311" s="286" t="s">
        <v>53</v>
      </c>
      <c r="I311" s="286" t="s">
        <v>1235</v>
      </c>
      <c r="J311" s="286" t="s">
        <v>53</v>
      </c>
      <c r="K311" s="286" t="s">
        <v>53</v>
      </c>
      <c r="L311" s="286" t="s">
        <v>53</v>
      </c>
      <c r="M311" s="286" t="s">
        <v>53</v>
      </c>
      <c r="N311" s="287">
        <v>107922</v>
      </c>
      <c r="O311" s="305">
        <f t="shared" si="4"/>
        <v>44620</v>
      </c>
      <c r="P311" s="286" t="s">
        <v>180</v>
      </c>
    </row>
    <row r="312" spans="1:16" hidden="1" x14ac:dyDescent="0.15">
      <c r="A312" s="286">
        <v>1100</v>
      </c>
      <c r="B312" s="288">
        <v>44616.783333333333</v>
      </c>
      <c r="C312" s="286" t="s">
        <v>1260</v>
      </c>
      <c r="D312" s="286" t="s">
        <v>1105</v>
      </c>
      <c r="E312" s="286" t="s">
        <v>1106</v>
      </c>
      <c r="F312" s="286" t="s">
        <v>1261</v>
      </c>
      <c r="G312" s="286" t="s">
        <v>53</v>
      </c>
      <c r="H312" s="286" t="s">
        <v>53</v>
      </c>
      <c r="I312" s="286" t="s">
        <v>1228</v>
      </c>
      <c r="J312" s="286" t="s">
        <v>53</v>
      </c>
      <c r="K312" s="286" t="s">
        <v>53</v>
      </c>
      <c r="L312" s="286" t="s">
        <v>53</v>
      </c>
      <c r="M312" s="286" t="s">
        <v>53</v>
      </c>
      <c r="N312" s="287">
        <v>25703.42</v>
      </c>
      <c r="O312" s="305">
        <f t="shared" si="4"/>
        <v>44620</v>
      </c>
      <c r="P312" s="286" t="s">
        <v>58</v>
      </c>
    </row>
    <row r="313" spans="1:16" hidden="1" x14ac:dyDescent="0.15">
      <c r="A313" s="286">
        <v>1100</v>
      </c>
      <c r="B313" s="288">
        <v>44616.783333333333</v>
      </c>
      <c r="C313" s="286" t="s">
        <v>1260</v>
      </c>
      <c r="D313" s="286" t="s">
        <v>1105</v>
      </c>
      <c r="E313" s="286" t="s">
        <v>1106</v>
      </c>
      <c r="F313" s="286" t="s">
        <v>1261</v>
      </c>
      <c r="G313" s="286" t="s">
        <v>53</v>
      </c>
      <c r="H313" s="286" t="s">
        <v>53</v>
      </c>
      <c r="I313" s="286" t="s">
        <v>1152</v>
      </c>
      <c r="J313" s="286" t="s">
        <v>53</v>
      </c>
      <c r="K313" s="286" t="s">
        <v>53</v>
      </c>
      <c r="L313" s="286" t="s">
        <v>53</v>
      </c>
      <c r="M313" s="286" t="s">
        <v>53</v>
      </c>
      <c r="N313" s="287">
        <v>16420.52</v>
      </c>
      <c r="O313" s="305">
        <f t="shared" si="4"/>
        <v>44620</v>
      </c>
      <c r="P313" s="111" t="s">
        <v>58</v>
      </c>
    </row>
    <row r="314" spans="1:16" hidden="1" x14ac:dyDescent="0.15">
      <c r="A314" s="286">
        <v>1100</v>
      </c>
      <c r="B314" s="288">
        <v>44616.783333333333</v>
      </c>
      <c r="C314" s="286" t="s">
        <v>1260</v>
      </c>
      <c r="D314" s="286" t="s">
        <v>1105</v>
      </c>
      <c r="E314" s="286" t="s">
        <v>1106</v>
      </c>
      <c r="F314" s="286" t="s">
        <v>1261</v>
      </c>
      <c r="G314" s="286" t="s">
        <v>53</v>
      </c>
      <c r="H314" s="286" t="s">
        <v>53</v>
      </c>
      <c r="I314" s="286" t="s">
        <v>1128</v>
      </c>
      <c r="J314" s="286" t="s">
        <v>53</v>
      </c>
      <c r="K314" s="286" t="s">
        <v>53</v>
      </c>
      <c r="L314" s="286" t="s">
        <v>53</v>
      </c>
      <c r="M314" s="286" t="s">
        <v>53</v>
      </c>
      <c r="N314" s="287">
        <v>14920</v>
      </c>
      <c r="O314" s="305">
        <f t="shared" si="4"/>
        <v>44620</v>
      </c>
      <c r="P314" s="286" t="s">
        <v>47</v>
      </c>
    </row>
    <row r="315" spans="1:16" hidden="1" x14ac:dyDescent="0.15">
      <c r="A315" s="286">
        <v>1100</v>
      </c>
      <c r="B315" s="288">
        <v>44616.783333333333</v>
      </c>
      <c r="C315" s="286" t="s">
        <v>1260</v>
      </c>
      <c r="D315" s="286" t="s">
        <v>1105</v>
      </c>
      <c r="E315" s="286" t="s">
        <v>1106</v>
      </c>
      <c r="F315" s="286" t="s">
        <v>1261</v>
      </c>
      <c r="G315" s="286" t="s">
        <v>53</v>
      </c>
      <c r="H315" s="286" t="s">
        <v>53</v>
      </c>
      <c r="I315" s="286" t="s">
        <v>1204</v>
      </c>
      <c r="J315" s="286" t="s">
        <v>53</v>
      </c>
      <c r="K315" s="286" t="s">
        <v>53</v>
      </c>
      <c r="L315" s="286" t="s">
        <v>53</v>
      </c>
      <c r="M315" s="286" t="s">
        <v>53</v>
      </c>
      <c r="N315" s="287">
        <v>6655</v>
      </c>
      <c r="O315" s="305">
        <f t="shared" si="4"/>
        <v>44620</v>
      </c>
      <c r="P315" s="286" t="s">
        <v>49</v>
      </c>
    </row>
    <row r="316" spans="1:16" hidden="1" x14ac:dyDescent="0.15">
      <c r="A316" s="286">
        <v>1100</v>
      </c>
      <c r="B316" s="288">
        <v>44616.783333333333</v>
      </c>
      <c r="C316" s="286" t="s">
        <v>1260</v>
      </c>
      <c r="D316" s="286" t="s">
        <v>1105</v>
      </c>
      <c r="E316" s="286" t="s">
        <v>1106</v>
      </c>
      <c r="F316" s="286" t="s">
        <v>1261</v>
      </c>
      <c r="G316" s="286" t="s">
        <v>53</v>
      </c>
      <c r="H316" s="286" t="s">
        <v>53</v>
      </c>
      <c r="I316" s="286" t="s">
        <v>1129</v>
      </c>
      <c r="J316" s="286" t="s">
        <v>53</v>
      </c>
      <c r="K316" s="286" t="s">
        <v>53</v>
      </c>
      <c r="L316" s="286" t="s">
        <v>53</v>
      </c>
      <c r="M316" s="286" t="s">
        <v>53</v>
      </c>
      <c r="N316" s="287">
        <v>1163.3399999999999</v>
      </c>
      <c r="O316" s="305">
        <f t="shared" si="4"/>
        <v>44620</v>
      </c>
      <c r="P316" s="286" t="s">
        <v>164</v>
      </c>
    </row>
    <row r="317" spans="1:16" hidden="1" x14ac:dyDescent="0.15">
      <c r="A317" s="286">
        <v>1100</v>
      </c>
      <c r="B317" s="288">
        <v>44616.783333333333</v>
      </c>
      <c r="C317" s="286" t="s">
        <v>1260</v>
      </c>
      <c r="D317" s="286" t="s">
        <v>1105</v>
      </c>
      <c r="E317" s="286" t="s">
        <v>1106</v>
      </c>
      <c r="F317" s="286" t="s">
        <v>1261</v>
      </c>
      <c r="G317" s="286" t="s">
        <v>53</v>
      </c>
      <c r="H317" s="286" t="s">
        <v>53</v>
      </c>
      <c r="I317" s="286" t="s">
        <v>1112</v>
      </c>
      <c r="J317" s="286" t="s">
        <v>53</v>
      </c>
      <c r="K317" s="286" t="s">
        <v>53</v>
      </c>
      <c r="L317" s="286" t="s">
        <v>53</v>
      </c>
      <c r="M317" s="286" t="s">
        <v>53</v>
      </c>
      <c r="N317" s="287">
        <v>-2650</v>
      </c>
      <c r="O317" s="305">
        <f t="shared" si="4"/>
        <v>44620</v>
      </c>
      <c r="P317" s="286" t="s">
        <v>175</v>
      </c>
    </row>
    <row r="318" spans="1:16" hidden="1" x14ac:dyDescent="0.15">
      <c r="A318" s="286">
        <v>1101</v>
      </c>
      <c r="B318" s="288">
        <v>44616.783333333333</v>
      </c>
      <c r="C318" s="286" t="s">
        <v>1262</v>
      </c>
      <c r="D318" s="286" t="s">
        <v>1105</v>
      </c>
      <c r="E318" s="286" t="s">
        <v>1106</v>
      </c>
      <c r="F318" s="286" t="s">
        <v>1263</v>
      </c>
      <c r="G318" s="286" t="s">
        <v>53</v>
      </c>
      <c r="H318" s="286" t="s">
        <v>53</v>
      </c>
      <c r="I318" s="286" t="s">
        <v>1199</v>
      </c>
      <c r="J318" s="286" t="s">
        <v>53</v>
      </c>
      <c r="K318" s="286" t="s">
        <v>53</v>
      </c>
      <c r="L318" s="286" t="s">
        <v>53</v>
      </c>
      <c r="M318" s="286" t="s">
        <v>53</v>
      </c>
      <c r="N318" s="287">
        <v>86818.07</v>
      </c>
      <c r="O318" s="305">
        <f t="shared" si="4"/>
        <v>44620</v>
      </c>
      <c r="P318" s="286" t="s">
        <v>58</v>
      </c>
    </row>
    <row r="319" spans="1:16" hidden="1" x14ac:dyDescent="0.15">
      <c r="A319" s="286">
        <v>1101</v>
      </c>
      <c r="B319" s="288">
        <v>44616.783333333333</v>
      </c>
      <c r="C319" s="286" t="s">
        <v>1262</v>
      </c>
      <c r="D319" s="286" t="s">
        <v>1105</v>
      </c>
      <c r="E319" s="286" t="s">
        <v>1106</v>
      </c>
      <c r="F319" s="286" t="s">
        <v>1263</v>
      </c>
      <c r="G319" s="286" t="s">
        <v>53</v>
      </c>
      <c r="H319" s="286" t="s">
        <v>53</v>
      </c>
      <c r="I319" s="286" t="s">
        <v>1228</v>
      </c>
      <c r="J319" s="286" t="s">
        <v>53</v>
      </c>
      <c r="K319" s="286" t="s">
        <v>53</v>
      </c>
      <c r="L319" s="286" t="s">
        <v>53</v>
      </c>
      <c r="M319" s="286" t="s">
        <v>53</v>
      </c>
      <c r="N319" s="287">
        <v>68769.490000000005</v>
      </c>
      <c r="O319" s="305">
        <f t="shared" si="4"/>
        <v>44620</v>
      </c>
      <c r="P319" s="286" t="s">
        <v>58</v>
      </c>
    </row>
    <row r="320" spans="1:16" hidden="1" x14ac:dyDescent="0.15">
      <c r="A320" s="286">
        <v>1101</v>
      </c>
      <c r="B320" s="288">
        <v>44616.783333333333</v>
      </c>
      <c r="C320" s="286" t="s">
        <v>1262</v>
      </c>
      <c r="D320" s="286" t="s">
        <v>1105</v>
      </c>
      <c r="E320" s="286" t="s">
        <v>1106</v>
      </c>
      <c r="F320" s="286" t="s">
        <v>1263</v>
      </c>
      <c r="G320" s="286" t="s">
        <v>53</v>
      </c>
      <c r="H320" s="286" t="s">
        <v>53</v>
      </c>
      <c r="I320" s="286" t="s">
        <v>1229</v>
      </c>
      <c r="J320" s="286" t="s">
        <v>53</v>
      </c>
      <c r="K320" s="286" t="s">
        <v>53</v>
      </c>
      <c r="L320" s="286" t="s">
        <v>53</v>
      </c>
      <c r="M320" s="286" t="s">
        <v>53</v>
      </c>
      <c r="N320" s="287">
        <v>62720</v>
      </c>
      <c r="O320" s="305">
        <f t="shared" si="4"/>
        <v>44620</v>
      </c>
      <c r="P320" s="286" t="s">
        <v>279</v>
      </c>
    </row>
    <row r="321" spans="1:16" hidden="1" x14ac:dyDescent="0.15">
      <c r="A321" s="286">
        <v>1101</v>
      </c>
      <c r="B321" s="288">
        <v>44616.783333333333</v>
      </c>
      <c r="C321" s="286" t="s">
        <v>1262</v>
      </c>
      <c r="D321" s="286" t="s">
        <v>1105</v>
      </c>
      <c r="E321" s="286" t="s">
        <v>1106</v>
      </c>
      <c r="F321" s="286" t="s">
        <v>1263</v>
      </c>
      <c r="G321" s="286" t="s">
        <v>53</v>
      </c>
      <c r="H321" s="286" t="s">
        <v>53</v>
      </c>
      <c r="I321" s="286" t="s">
        <v>1204</v>
      </c>
      <c r="J321" s="286" t="s">
        <v>53</v>
      </c>
      <c r="K321" s="286" t="s">
        <v>53</v>
      </c>
      <c r="L321" s="286" t="s">
        <v>53</v>
      </c>
      <c r="M321" s="286" t="s">
        <v>53</v>
      </c>
      <c r="N321" s="287">
        <v>33275</v>
      </c>
      <c r="O321" s="305">
        <f t="shared" si="4"/>
        <v>44620</v>
      </c>
      <c r="P321" s="286" t="s">
        <v>49</v>
      </c>
    </row>
    <row r="322" spans="1:16" hidden="1" x14ac:dyDescent="0.15">
      <c r="A322" s="286">
        <v>1101</v>
      </c>
      <c r="B322" s="288">
        <v>44616.783333333333</v>
      </c>
      <c r="C322" s="286" t="s">
        <v>1262</v>
      </c>
      <c r="D322" s="286" t="s">
        <v>1105</v>
      </c>
      <c r="E322" s="286" t="s">
        <v>1106</v>
      </c>
      <c r="F322" s="286" t="s">
        <v>1263</v>
      </c>
      <c r="G322" s="286" t="s">
        <v>53</v>
      </c>
      <c r="H322" s="286" t="s">
        <v>53</v>
      </c>
      <c r="I322" s="286" t="s">
        <v>1235</v>
      </c>
      <c r="J322" s="286" t="s">
        <v>53</v>
      </c>
      <c r="K322" s="286" t="s">
        <v>53</v>
      </c>
      <c r="L322" s="286" t="s">
        <v>53</v>
      </c>
      <c r="M322" s="286" t="s">
        <v>53</v>
      </c>
      <c r="N322" s="287">
        <v>26880</v>
      </c>
      <c r="O322" s="305">
        <f t="shared" si="4"/>
        <v>44620</v>
      </c>
      <c r="P322" s="286" t="s">
        <v>180</v>
      </c>
    </row>
    <row r="323" spans="1:16" hidden="1" x14ac:dyDescent="0.15">
      <c r="A323" s="286">
        <v>1101</v>
      </c>
      <c r="B323" s="288">
        <v>44616.783333333333</v>
      </c>
      <c r="C323" s="286" t="s">
        <v>1262</v>
      </c>
      <c r="D323" s="286" t="s">
        <v>1105</v>
      </c>
      <c r="E323" s="286" t="s">
        <v>1106</v>
      </c>
      <c r="F323" s="286" t="s">
        <v>1263</v>
      </c>
      <c r="G323" s="286" t="s">
        <v>53</v>
      </c>
      <c r="H323" s="286" t="s">
        <v>53</v>
      </c>
      <c r="I323" s="286" t="s">
        <v>1230</v>
      </c>
      <c r="J323" s="286" t="s">
        <v>53</v>
      </c>
      <c r="K323" s="286" t="s">
        <v>53</v>
      </c>
      <c r="L323" s="286" t="s">
        <v>53</v>
      </c>
      <c r="M323" s="286" t="s">
        <v>53</v>
      </c>
      <c r="N323" s="287">
        <v>16065</v>
      </c>
      <c r="O323" s="305">
        <f t="shared" ref="O323:O386" si="5">EOMONTH(B323,0)</f>
        <v>44620</v>
      </c>
      <c r="P323" s="286" t="s">
        <v>175</v>
      </c>
    </row>
    <row r="324" spans="1:16" hidden="1" x14ac:dyDescent="0.15">
      <c r="A324" s="286">
        <v>1101</v>
      </c>
      <c r="B324" s="288">
        <v>44616.783333333333</v>
      </c>
      <c r="C324" s="286" t="s">
        <v>1262</v>
      </c>
      <c r="D324" s="286" t="s">
        <v>1105</v>
      </c>
      <c r="E324" s="286" t="s">
        <v>1106</v>
      </c>
      <c r="F324" s="286" t="s">
        <v>1263</v>
      </c>
      <c r="G324" s="286" t="s">
        <v>53</v>
      </c>
      <c r="H324" s="286" t="s">
        <v>53</v>
      </c>
      <c r="I324" s="286" t="s">
        <v>1112</v>
      </c>
      <c r="J324" s="286" t="s">
        <v>53</v>
      </c>
      <c r="K324" s="286" t="s">
        <v>53</v>
      </c>
      <c r="L324" s="286" t="s">
        <v>53</v>
      </c>
      <c r="M324" s="286" t="s">
        <v>53</v>
      </c>
      <c r="N324" s="287">
        <v>12600</v>
      </c>
      <c r="O324" s="305">
        <f t="shared" si="5"/>
        <v>44620</v>
      </c>
      <c r="P324" s="286" t="s">
        <v>175</v>
      </c>
    </row>
    <row r="325" spans="1:16" hidden="1" x14ac:dyDescent="0.15">
      <c r="A325" s="286">
        <v>1101</v>
      </c>
      <c r="B325" s="288">
        <v>44616.783333333333</v>
      </c>
      <c r="C325" s="286" t="s">
        <v>1262</v>
      </c>
      <c r="D325" s="286" t="s">
        <v>1105</v>
      </c>
      <c r="E325" s="286" t="s">
        <v>1106</v>
      </c>
      <c r="F325" s="286" t="s">
        <v>1263</v>
      </c>
      <c r="G325" s="286" t="s">
        <v>53</v>
      </c>
      <c r="H325" s="286" t="s">
        <v>53</v>
      </c>
      <c r="I325" s="286" t="s">
        <v>1152</v>
      </c>
      <c r="J325" s="286" t="s">
        <v>53</v>
      </c>
      <c r="K325" s="286" t="s">
        <v>53</v>
      </c>
      <c r="L325" s="286" t="s">
        <v>53</v>
      </c>
      <c r="M325" s="286" t="s">
        <v>53</v>
      </c>
      <c r="N325" s="287">
        <v>8769.92</v>
      </c>
      <c r="O325" s="305">
        <f t="shared" si="5"/>
        <v>44620</v>
      </c>
      <c r="P325" s="111" t="s">
        <v>58</v>
      </c>
    </row>
    <row r="326" spans="1:16" hidden="1" x14ac:dyDescent="0.15">
      <c r="A326" s="286">
        <v>1101</v>
      </c>
      <c r="B326" s="288">
        <v>44616.783333333333</v>
      </c>
      <c r="C326" s="286" t="s">
        <v>1262</v>
      </c>
      <c r="D326" s="286" t="s">
        <v>1105</v>
      </c>
      <c r="E326" s="286" t="s">
        <v>1106</v>
      </c>
      <c r="F326" s="286" t="s">
        <v>1263</v>
      </c>
      <c r="G326" s="286" t="s">
        <v>53</v>
      </c>
      <c r="H326" s="286" t="s">
        <v>53</v>
      </c>
      <c r="I326" s="286" t="s">
        <v>1129</v>
      </c>
      <c r="J326" s="286" t="s">
        <v>53</v>
      </c>
      <c r="K326" s="286" t="s">
        <v>53</v>
      </c>
      <c r="L326" s="286" t="s">
        <v>53</v>
      </c>
      <c r="M326" s="286" t="s">
        <v>53</v>
      </c>
      <c r="N326" s="287">
        <v>2532.48</v>
      </c>
      <c r="O326" s="305">
        <f t="shared" si="5"/>
        <v>44620</v>
      </c>
      <c r="P326" s="286" t="s">
        <v>164</v>
      </c>
    </row>
    <row r="327" spans="1:16" hidden="1" x14ac:dyDescent="0.15">
      <c r="A327" s="286">
        <v>1102</v>
      </c>
      <c r="B327" s="288">
        <v>44616.783333333333</v>
      </c>
      <c r="C327" s="286" t="s">
        <v>1264</v>
      </c>
      <c r="D327" s="286" t="s">
        <v>1105</v>
      </c>
      <c r="E327" s="286" t="s">
        <v>1106</v>
      </c>
      <c r="F327" s="286" t="s">
        <v>1265</v>
      </c>
      <c r="G327" s="286" t="s">
        <v>53</v>
      </c>
      <c r="H327" s="286" t="s">
        <v>53</v>
      </c>
      <c r="I327" s="286" t="s">
        <v>1108</v>
      </c>
      <c r="J327" s="286" t="s">
        <v>53</v>
      </c>
      <c r="K327" s="286" t="s">
        <v>53</v>
      </c>
      <c r="L327" s="286" t="s">
        <v>53</v>
      </c>
      <c r="M327" s="286" t="s">
        <v>53</v>
      </c>
      <c r="N327" s="287">
        <v>139227</v>
      </c>
      <c r="O327" s="305">
        <f t="shared" si="5"/>
        <v>44620</v>
      </c>
      <c r="P327" s="286" t="s">
        <v>37</v>
      </c>
    </row>
    <row r="328" spans="1:16" hidden="1" x14ac:dyDescent="0.15">
      <c r="A328" s="286">
        <v>1102</v>
      </c>
      <c r="B328" s="288">
        <v>44616.783333333333</v>
      </c>
      <c r="C328" s="286" t="s">
        <v>1264</v>
      </c>
      <c r="D328" s="286" t="s">
        <v>1105</v>
      </c>
      <c r="E328" s="286" t="s">
        <v>1106</v>
      </c>
      <c r="F328" s="286" t="s">
        <v>1265</v>
      </c>
      <c r="G328" s="286" t="s">
        <v>53</v>
      </c>
      <c r="H328" s="286" t="s">
        <v>53</v>
      </c>
      <c r="I328" s="286" t="s">
        <v>1199</v>
      </c>
      <c r="J328" s="286" t="s">
        <v>53</v>
      </c>
      <c r="K328" s="286" t="s">
        <v>53</v>
      </c>
      <c r="L328" s="286" t="s">
        <v>53</v>
      </c>
      <c r="M328" s="286" t="s">
        <v>53</v>
      </c>
      <c r="N328" s="287">
        <v>86818.07</v>
      </c>
      <c r="O328" s="305">
        <f t="shared" si="5"/>
        <v>44620</v>
      </c>
      <c r="P328" s="286" t="s">
        <v>58</v>
      </c>
    </row>
    <row r="329" spans="1:16" hidden="1" x14ac:dyDescent="0.15">
      <c r="A329" s="286">
        <v>1102</v>
      </c>
      <c r="B329" s="288">
        <v>44616.783333333333</v>
      </c>
      <c r="C329" s="286" t="s">
        <v>1264</v>
      </c>
      <c r="D329" s="286" t="s">
        <v>1105</v>
      </c>
      <c r="E329" s="286" t="s">
        <v>1106</v>
      </c>
      <c r="F329" s="286" t="s">
        <v>1265</v>
      </c>
      <c r="G329" s="286" t="s">
        <v>53</v>
      </c>
      <c r="H329" s="286" t="s">
        <v>53</v>
      </c>
      <c r="I329" s="286" t="s">
        <v>1228</v>
      </c>
      <c r="J329" s="286" t="s">
        <v>53</v>
      </c>
      <c r="K329" s="286" t="s">
        <v>53</v>
      </c>
      <c r="L329" s="286" t="s">
        <v>53</v>
      </c>
      <c r="M329" s="286" t="s">
        <v>53</v>
      </c>
      <c r="N329" s="287">
        <v>68779.58</v>
      </c>
      <c r="O329" s="305">
        <f t="shared" si="5"/>
        <v>44620</v>
      </c>
      <c r="P329" s="286" t="s">
        <v>58</v>
      </c>
    </row>
    <row r="330" spans="1:16" hidden="1" x14ac:dyDescent="0.15">
      <c r="A330" s="286">
        <v>1102</v>
      </c>
      <c r="B330" s="288">
        <v>44616.783333333333</v>
      </c>
      <c r="C330" s="286" t="s">
        <v>1264</v>
      </c>
      <c r="D330" s="286" t="s">
        <v>1105</v>
      </c>
      <c r="E330" s="286" t="s">
        <v>1106</v>
      </c>
      <c r="F330" s="286" t="s">
        <v>1265</v>
      </c>
      <c r="G330" s="286" t="s">
        <v>53</v>
      </c>
      <c r="H330" s="286" t="s">
        <v>53</v>
      </c>
      <c r="I330" s="286" t="s">
        <v>1230</v>
      </c>
      <c r="J330" s="286" t="s">
        <v>53</v>
      </c>
      <c r="K330" s="286" t="s">
        <v>53</v>
      </c>
      <c r="L330" s="286" t="s">
        <v>53</v>
      </c>
      <c r="M330" s="286" t="s">
        <v>53</v>
      </c>
      <c r="N330" s="287">
        <v>55357</v>
      </c>
      <c r="O330" s="305">
        <f t="shared" si="5"/>
        <v>44620</v>
      </c>
      <c r="P330" s="286" t="s">
        <v>175</v>
      </c>
    </row>
    <row r="331" spans="1:16" hidden="1" x14ac:dyDescent="0.15">
      <c r="A331" s="286">
        <v>1102</v>
      </c>
      <c r="B331" s="288">
        <v>44616.783333333333</v>
      </c>
      <c r="C331" s="286" t="s">
        <v>1264</v>
      </c>
      <c r="D331" s="286" t="s">
        <v>1105</v>
      </c>
      <c r="E331" s="286" t="s">
        <v>1106</v>
      </c>
      <c r="F331" s="286" t="s">
        <v>1265</v>
      </c>
      <c r="G331" s="286" t="s">
        <v>53</v>
      </c>
      <c r="H331" s="286" t="s">
        <v>53</v>
      </c>
      <c r="I331" s="286" t="s">
        <v>1128</v>
      </c>
      <c r="J331" s="286" t="s">
        <v>53</v>
      </c>
      <c r="K331" s="286" t="s">
        <v>53</v>
      </c>
      <c r="L331" s="286" t="s">
        <v>53</v>
      </c>
      <c r="M331" s="286" t="s">
        <v>53</v>
      </c>
      <c r="N331" s="287">
        <v>39913</v>
      </c>
      <c r="O331" s="305">
        <f t="shared" si="5"/>
        <v>44620</v>
      </c>
      <c r="P331" s="286" t="s">
        <v>47</v>
      </c>
    </row>
    <row r="332" spans="1:16" hidden="1" x14ac:dyDescent="0.15">
      <c r="A332" s="286">
        <v>1102</v>
      </c>
      <c r="B332" s="288">
        <v>44616.783333333333</v>
      </c>
      <c r="C332" s="286" t="s">
        <v>1264</v>
      </c>
      <c r="D332" s="286" t="s">
        <v>1105</v>
      </c>
      <c r="E332" s="286" t="s">
        <v>1106</v>
      </c>
      <c r="F332" s="286" t="s">
        <v>1265</v>
      </c>
      <c r="G332" s="286" t="s">
        <v>53</v>
      </c>
      <c r="H332" s="286" t="s">
        <v>53</v>
      </c>
      <c r="I332" s="286" t="s">
        <v>1121</v>
      </c>
      <c r="J332" s="286" t="s">
        <v>53</v>
      </c>
      <c r="K332" s="286" t="s">
        <v>53</v>
      </c>
      <c r="L332" s="286" t="s">
        <v>53</v>
      </c>
      <c r="M332" s="286" t="s">
        <v>53</v>
      </c>
      <c r="N332" s="287">
        <v>28800</v>
      </c>
      <c r="O332" s="305">
        <f t="shared" si="5"/>
        <v>44620</v>
      </c>
      <c r="P332" s="286" t="s">
        <v>248</v>
      </c>
    </row>
    <row r="333" spans="1:16" hidden="1" x14ac:dyDescent="0.15">
      <c r="A333" s="286">
        <v>1102</v>
      </c>
      <c r="B333" s="288">
        <v>44616.783333333333</v>
      </c>
      <c r="C333" s="286" t="s">
        <v>1264</v>
      </c>
      <c r="D333" s="286" t="s">
        <v>1105</v>
      </c>
      <c r="E333" s="286" t="s">
        <v>1106</v>
      </c>
      <c r="F333" s="286" t="s">
        <v>1265</v>
      </c>
      <c r="G333" s="286" t="s">
        <v>53</v>
      </c>
      <c r="H333" s="286" t="s">
        <v>53</v>
      </c>
      <c r="I333" s="286" t="s">
        <v>1152</v>
      </c>
      <c r="J333" s="286" t="s">
        <v>53</v>
      </c>
      <c r="K333" s="286" t="s">
        <v>53</v>
      </c>
      <c r="L333" s="286" t="s">
        <v>53</v>
      </c>
      <c r="M333" s="286" t="s">
        <v>53</v>
      </c>
      <c r="N333" s="287">
        <v>13846.76</v>
      </c>
      <c r="O333" s="305">
        <f t="shared" si="5"/>
        <v>44620</v>
      </c>
      <c r="P333" s="111" t="s">
        <v>58</v>
      </c>
    </row>
    <row r="334" spans="1:16" hidden="1" x14ac:dyDescent="0.15">
      <c r="A334" s="286">
        <v>1102</v>
      </c>
      <c r="B334" s="288">
        <v>44616.783333333333</v>
      </c>
      <c r="C334" s="286" t="s">
        <v>1264</v>
      </c>
      <c r="D334" s="286" t="s">
        <v>1105</v>
      </c>
      <c r="E334" s="286" t="s">
        <v>1106</v>
      </c>
      <c r="F334" s="286" t="s">
        <v>1265</v>
      </c>
      <c r="G334" s="286" t="s">
        <v>53</v>
      </c>
      <c r="H334" s="286" t="s">
        <v>53</v>
      </c>
      <c r="I334" s="286" t="s">
        <v>1204</v>
      </c>
      <c r="J334" s="286" t="s">
        <v>53</v>
      </c>
      <c r="K334" s="286" t="s">
        <v>53</v>
      </c>
      <c r="L334" s="286" t="s">
        <v>53</v>
      </c>
      <c r="M334" s="286" t="s">
        <v>53</v>
      </c>
      <c r="N334" s="287">
        <v>7321</v>
      </c>
      <c r="O334" s="305">
        <f t="shared" si="5"/>
        <v>44620</v>
      </c>
      <c r="P334" s="286" t="s">
        <v>49</v>
      </c>
    </row>
    <row r="335" spans="1:16" hidden="1" x14ac:dyDescent="0.15">
      <c r="A335" s="286">
        <v>1102</v>
      </c>
      <c r="B335" s="288">
        <v>44616.783333333333</v>
      </c>
      <c r="C335" s="286" t="s">
        <v>1264</v>
      </c>
      <c r="D335" s="286" t="s">
        <v>1105</v>
      </c>
      <c r="E335" s="286" t="s">
        <v>1106</v>
      </c>
      <c r="F335" s="286" t="s">
        <v>1265</v>
      </c>
      <c r="G335" s="286" t="s">
        <v>53</v>
      </c>
      <c r="H335" s="286" t="s">
        <v>53</v>
      </c>
      <c r="I335" s="286" t="s">
        <v>1129</v>
      </c>
      <c r="J335" s="286" t="s">
        <v>53</v>
      </c>
      <c r="K335" s="286" t="s">
        <v>53</v>
      </c>
      <c r="L335" s="286" t="s">
        <v>53</v>
      </c>
      <c r="M335" s="286" t="s">
        <v>53</v>
      </c>
      <c r="N335" s="287">
        <v>1272.52</v>
      </c>
      <c r="O335" s="305">
        <f t="shared" si="5"/>
        <v>44620</v>
      </c>
      <c r="P335" s="286" t="s">
        <v>164</v>
      </c>
    </row>
    <row r="336" spans="1:16" hidden="1" x14ac:dyDescent="0.15">
      <c r="A336" s="286">
        <v>1103</v>
      </c>
      <c r="B336" s="288">
        <v>44616.783333333333</v>
      </c>
      <c r="C336" s="286" t="s">
        <v>1266</v>
      </c>
      <c r="D336" s="286" t="s">
        <v>1105</v>
      </c>
      <c r="E336" s="286" t="s">
        <v>1106</v>
      </c>
      <c r="F336" s="286" t="s">
        <v>1267</v>
      </c>
      <c r="G336" s="286" t="s">
        <v>53</v>
      </c>
      <c r="H336" s="286" t="s">
        <v>53</v>
      </c>
      <c r="I336" s="286" t="s">
        <v>1199</v>
      </c>
      <c r="J336" s="286" t="s">
        <v>53</v>
      </c>
      <c r="K336" s="286" t="s">
        <v>53</v>
      </c>
      <c r="L336" s="286" t="s">
        <v>53</v>
      </c>
      <c r="M336" s="286" t="s">
        <v>53</v>
      </c>
      <c r="N336" s="287">
        <v>86818.07</v>
      </c>
      <c r="O336" s="305">
        <f t="shared" si="5"/>
        <v>44620</v>
      </c>
      <c r="P336" s="286" t="s">
        <v>58</v>
      </c>
    </row>
    <row r="337" spans="1:16" hidden="1" x14ac:dyDescent="0.15">
      <c r="A337" s="286">
        <v>1103</v>
      </c>
      <c r="B337" s="288">
        <v>44616.783333333333</v>
      </c>
      <c r="C337" s="286" t="s">
        <v>1266</v>
      </c>
      <c r="D337" s="286" t="s">
        <v>1105</v>
      </c>
      <c r="E337" s="286" t="s">
        <v>1106</v>
      </c>
      <c r="F337" s="286" t="s">
        <v>1267</v>
      </c>
      <c r="G337" s="286" t="s">
        <v>53</v>
      </c>
      <c r="H337" s="286" t="s">
        <v>53</v>
      </c>
      <c r="I337" s="286" t="s">
        <v>1228</v>
      </c>
      <c r="J337" s="286" t="s">
        <v>53</v>
      </c>
      <c r="K337" s="286" t="s">
        <v>53</v>
      </c>
      <c r="L337" s="286" t="s">
        <v>53</v>
      </c>
      <c r="M337" s="286" t="s">
        <v>53</v>
      </c>
      <c r="N337" s="287">
        <v>69557.509999999995</v>
      </c>
      <c r="O337" s="305">
        <f t="shared" si="5"/>
        <v>44620</v>
      </c>
      <c r="P337" s="286" t="s">
        <v>58</v>
      </c>
    </row>
    <row r="338" spans="1:16" hidden="1" x14ac:dyDescent="0.15">
      <c r="A338" s="286">
        <v>1103</v>
      </c>
      <c r="B338" s="288">
        <v>44616.783333333333</v>
      </c>
      <c r="C338" s="286" t="s">
        <v>1266</v>
      </c>
      <c r="D338" s="286" t="s">
        <v>1105</v>
      </c>
      <c r="E338" s="286" t="s">
        <v>1106</v>
      </c>
      <c r="F338" s="286" t="s">
        <v>1267</v>
      </c>
      <c r="G338" s="286" t="s">
        <v>53</v>
      </c>
      <c r="H338" s="286" t="s">
        <v>53</v>
      </c>
      <c r="I338" s="286" t="s">
        <v>1152</v>
      </c>
      <c r="J338" s="286" t="s">
        <v>53</v>
      </c>
      <c r="K338" s="286" t="s">
        <v>53</v>
      </c>
      <c r="L338" s="286" t="s">
        <v>53</v>
      </c>
      <c r="M338" s="286" t="s">
        <v>53</v>
      </c>
      <c r="N338" s="287">
        <v>35358.86</v>
      </c>
      <c r="O338" s="305">
        <f t="shared" si="5"/>
        <v>44620</v>
      </c>
      <c r="P338" s="111" t="s">
        <v>58</v>
      </c>
    </row>
    <row r="339" spans="1:16" hidden="1" x14ac:dyDescent="0.15">
      <c r="A339" s="286">
        <v>1103</v>
      </c>
      <c r="B339" s="288">
        <v>44616.783333333333</v>
      </c>
      <c r="C339" s="286" t="s">
        <v>1266</v>
      </c>
      <c r="D339" s="286" t="s">
        <v>1105</v>
      </c>
      <c r="E339" s="286" t="s">
        <v>1106</v>
      </c>
      <c r="F339" s="286" t="s">
        <v>1267</v>
      </c>
      <c r="G339" s="286" t="s">
        <v>53</v>
      </c>
      <c r="H339" s="286" t="s">
        <v>53</v>
      </c>
      <c r="I339" s="286" t="s">
        <v>1129</v>
      </c>
      <c r="J339" s="286" t="s">
        <v>53</v>
      </c>
      <c r="K339" s="286" t="s">
        <v>53</v>
      </c>
      <c r="L339" s="286" t="s">
        <v>53</v>
      </c>
      <c r="M339" s="286" t="s">
        <v>53</v>
      </c>
      <c r="N339" s="287">
        <v>3244.5</v>
      </c>
      <c r="O339" s="305">
        <f t="shared" si="5"/>
        <v>44620</v>
      </c>
      <c r="P339" s="286" t="s">
        <v>164</v>
      </c>
    </row>
    <row r="340" spans="1:16" hidden="1" x14ac:dyDescent="0.15">
      <c r="A340" s="286">
        <v>1103</v>
      </c>
      <c r="B340" s="288">
        <v>44616.783333333333</v>
      </c>
      <c r="C340" s="286" t="s">
        <v>1266</v>
      </c>
      <c r="D340" s="286" t="s">
        <v>1105</v>
      </c>
      <c r="E340" s="286" t="s">
        <v>1106</v>
      </c>
      <c r="F340" s="286" t="s">
        <v>1267</v>
      </c>
      <c r="G340" s="286" t="s">
        <v>53</v>
      </c>
      <c r="H340" s="286" t="s">
        <v>53</v>
      </c>
      <c r="I340" s="286" t="s">
        <v>1128</v>
      </c>
      <c r="J340" s="286" t="s">
        <v>53</v>
      </c>
      <c r="K340" s="286" t="s">
        <v>53</v>
      </c>
      <c r="L340" s="286" t="s">
        <v>53</v>
      </c>
      <c r="M340" s="286" t="s">
        <v>53</v>
      </c>
      <c r="N340" s="287">
        <v>-2000</v>
      </c>
      <c r="O340" s="305">
        <f t="shared" si="5"/>
        <v>44620</v>
      </c>
      <c r="P340" s="286" t="s">
        <v>47</v>
      </c>
    </row>
    <row r="341" spans="1:16" hidden="1" x14ac:dyDescent="0.15">
      <c r="A341" s="286">
        <v>1104</v>
      </c>
      <c r="B341" s="288">
        <v>44616.783333333333</v>
      </c>
      <c r="C341" s="286" t="s">
        <v>1268</v>
      </c>
      <c r="D341" s="286" t="s">
        <v>1105</v>
      </c>
      <c r="E341" s="286" t="s">
        <v>1106</v>
      </c>
      <c r="F341" s="286" t="s">
        <v>1269</v>
      </c>
      <c r="G341" s="286" t="s">
        <v>53</v>
      </c>
      <c r="H341" s="286" t="s">
        <v>53</v>
      </c>
      <c r="I341" s="286" t="s">
        <v>1108</v>
      </c>
      <c r="J341" s="286" t="s">
        <v>53</v>
      </c>
      <c r="K341" s="286" t="s">
        <v>53</v>
      </c>
      <c r="L341" s="286" t="s">
        <v>53</v>
      </c>
      <c r="M341" s="286" t="s">
        <v>53</v>
      </c>
      <c r="N341" s="287">
        <v>392563.18</v>
      </c>
      <c r="O341" s="305">
        <f t="shared" si="5"/>
        <v>44620</v>
      </c>
      <c r="P341" s="286" t="s">
        <v>37</v>
      </c>
    </row>
    <row r="342" spans="1:16" hidden="1" x14ac:dyDescent="0.15">
      <c r="A342" s="286">
        <v>1104</v>
      </c>
      <c r="B342" s="288">
        <v>44616.783333333333</v>
      </c>
      <c r="C342" s="286" t="s">
        <v>1268</v>
      </c>
      <c r="D342" s="286" t="s">
        <v>1105</v>
      </c>
      <c r="E342" s="286" t="s">
        <v>1106</v>
      </c>
      <c r="F342" s="286" t="s">
        <v>1269</v>
      </c>
      <c r="G342" s="286" t="s">
        <v>53</v>
      </c>
      <c r="H342" s="286" t="s">
        <v>53</v>
      </c>
      <c r="I342" s="286" t="s">
        <v>1128</v>
      </c>
      <c r="J342" s="286" t="s">
        <v>53</v>
      </c>
      <c r="K342" s="286" t="s">
        <v>53</v>
      </c>
      <c r="L342" s="286" t="s">
        <v>53</v>
      </c>
      <c r="M342" s="286" t="s">
        <v>53</v>
      </c>
      <c r="N342" s="287">
        <v>121078</v>
      </c>
      <c r="O342" s="305">
        <f t="shared" si="5"/>
        <v>44620</v>
      </c>
      <c r="P342" s="286" t="s">
        <v>47</v>
      </c>
    </row>
    <row r="343" spans="1:16" hidden="1" x14ac:dyDescent="0.15">
      <c r="A343" s="286">
        <v>1104</v>
      </c>
      <c r="B343" s="288">
        <v>44616.783333333333</v>
      </c>
      <c r="C343" s="286" t="s">
        <v>1268</v>
      </c>
      <c r="D343" s="286" t="s">
        <v>1105</v>
      </c>
      <c r="E343" s="286" t="s">
        <v>1106</v>
      </c>
      <c r="F343" s="286" t="s">
        <v>1269</v>
      </c>
      <c r="G343" s="286" t="s">
        <v>53</v>
      </c>
      <c r="H343" s="286" t="s">
        <v>53</v>
      </c>
      <c r="I343" s="286" t="s">
        <v>1199</v>
      </c>
      <c r="J343" s="286" t="s">
        <v>53</v>
      </c>
      <c r="K343" s="286" t="s">
        <v>53</v>
      </c>
      <c r="L343" s="286" t="s">
        <v>53</v>
      </c>
      <c r="M343" s="286" t="s">
        <v>53</v>
      </c>
      <c r="N343" s="287">
        <v>86818.07</v>
      </c>
      <c r="O343" s="305">
        <f t="shared" si="5"/>
        <v>44620</v>
      </c>
      <c r="P343" s="286" t="s">
        <v>58</v>
      </c>
    </row>
    <row r="344" spans="1:16" hidden="1" x14ac:dyDescent="0.15">
      <c r="A344" s="286">
        <v>1104</v>
      </c>
      <c r="B344" s="288">
        <v>44616.783333333333</v>
      </c>
      <c r="C344" s="286" t="s">
        <v>1268</v>
      </c>
      <c r="D344" s="286" t="s">
        <v>1105</v>
      </c>
      <c r="E344" s="286" t="s">
        <v>1106</v>
      </c>
      <c r="F344" s="286" t="s">
        <v>1269</v>
      </c>
      <c r="G344" s="286" t="s">
        <v>53</v>
      </c>
      <c r="H344" s="286" t="s">
        <v>53</v>
      </c>
      <c r="I344" s="286" t="s">
        <v>1112</v>
      </c>
      <c r="J344" s="286" t="s">
        <v>53</v>
      </c>
      <c r="K344" s="286" t="s">
        <v>53</v>
      </c>
      <c r="L344" s="286" t="s">
        <v>53</v>
      </c>
      <c r="M344" s="286" t="s">
        <v>53</v>
      </c>
      <c r="N344" s="287">
        <v>67718</v>
      </c>
      <c r="O344" s="305">
        <f t="shared" si="5"/>
        <v>44620</v>
      </c>
      <c r="P344" s="286" t="s">
        <v>175</v>
      </c>
    </row>
    <row r="345" spans="1:16" hidden="1" x14ac:dyDescent="0.15">
      <c r="A345" s="286">
        <v>1104</v>
      </c>
      <c r="B345" s="288">
        <v>44616.783333333333</v>
      </c>
      <c r="C345" s="286" t="s">
        <v>1268</v>
      </c>
      <c r="D345" s="286" t="s">
        <v>1105</v>
      </c>
      <c r="E345" s="286" t="s">
        <v>1106</v>
      </c>
      <c r="F345" s="286" t="s">
        <v>1269</v>
      </c>
      <c r="G345" s="286" t="s">
        <v>53</v>
      </c>
      <c r="H345" s="286" t="s">
        <v>53</v>
      </c>
      <c r="I345" s="286" t="s">
        <v>1228</v>
      </c>
      <c r="J345" s="286" t="s">
        <v>53</v>
      </c>
      <c r="K345" s="286" t="s">
        <v>53</v>
      </c>
      <c r="L345" s="286" t="s">
        <v>53</v>
      </c>
      <c r="M345" s="286" t="s">
        <v>53</v>
      </c>
      <c r="N345" s="287">
        <v>63096.51</v>
      </c>
      <c r="O345" s="305">
        <f t="shared" si="5"/>
        <v>44620</v>
      </c>
      <c r="P345" s="286" t="s">
        <v>58</v>
      </c>
    </row>
    <row r="346" spans="1:16" hidden="1" x14ac:dyDescent="0.15">
      <c r="A346" s="286">
        <v>1104</v>
      </c>
      <c r="B346" s="288">
        <v>44616.783333333333</v>
      </c>
      <c r="C346" s="286" t="s">
        <v>1268</v>
      </c>
      <c r="D346" s="286" t="s">
        <v>1105</v>
      </c>
      <c r="E346" s="286" t="s">
        <v>1106</v>
      </c>
      <c r="F346" s="286" t="s">
        <v>1269</v>
      </c>
      <c r="G346" s="286" t="s">
        <v>53</v>
      </c>
      <c r="H346" s="286" t="s">
        <v>53</v>
      </c>
      <c r="I346" s="286" t="s">
        <v>1121</v>
      </c>
      <c r="J346" s="286" t="s">
        <v>53</v>
      </c>
      <c r="K346" s="286" t="s">
        <v>53</v>
      </c>
      <c r="L346" s="286" t="s">
        <v>53</v>
      </c>
      <c r="M346" s="286" t="s">
        <v>53</v>
      </c>
      <c r="N346" s="287">
        <v>31970</v>
      </c>
      <c r="O346" s="305">
        <f t="shared" si="5"/>
        <v>44620</v>
      </c>
      <c r="P346" s="286" t="s">
        <v>248</v>
      </c>
    </row>
    <row r="347" spans="1:16" hidden="1" x14ac:dyDescent="0.15">
      <c r="A347" s="286">
        <v>1104</v>
      </c>
      <c r="B347" s="288">
        <v>44616.783333333333</v>
      </c>
      <c r="C347" s="286" t="s">
        <v>1268</v>
      </c>
      <c r="D347" s="286" t="s">
        <v>1105</v>
      </c>
      <c r="E347" s="286" t="s">
        <v>1106</v>
      </c>
      <c r="F347" s="286" t="s">
        <v>1269</v>
      </c>
      <c r="G347" s="286" t="s">
        <v>53</v>
      </c>
      <c r="H347" s="286" t="s">
        <v>53</v>
      </c>
      <c r="I347" s="286" t="s">
        <v>1204</v>
      </c>
      <c r="J347" s="286" t="s">
        <v>53</v>
      </c>
      <c r="K347" s="286" t="s">
        <v>53</v>
      </c>
      <c r="L347" s="286" t="s">
        <v>53</v>
      </c>
      <c r="M347" s="286" t="s">
        <v>53</v>
      </c>
      <c r="N347" s="287">
        <v>13981</v>
      </c>
      <c r="O347" s="305">
        <f t="shared" si="5"/>
        <v>44620</v>
      </c>
      <c r="P347" s="286" t="s">
        <v>49</v>
      </c>
    </row>
    <row r="348" spans="1:16" hidden="1" x14ac:dyDescent="0.15">
      <c r="A348" s="286">
        <v>1104</v>
      </c>
      <c r="B348" s="288">
        <v>44616.783333333333</v>
      </c>
      <c r="C348" s="286" t="s">
        <v>1268</v>
      </c>
      <c r="D348" s="286" t="s">
        <v>1105</v>
      </c>
      <c r="E348" s="286" t="s">
        <v>1106</v>
      </c>
      <c r="F348" s="286" t="s">
        <v>1269</v>
      </c>
      <c r="G348" s="286" t="s">
        <v>53</v>
      </c>
      <c r="H348" s="286" t="s">
        <v>53</v>
      </c>
      <c r="I348" s="286" t="s">
        <v>1152</v>
      </c>
      <c r="J348" s="286" t="s">
        <v>53</v>
      </c>
      <c r="K348" s="286" t="s">
        <v>53</v>
      </c>
      <c r="L348" s="286" t="s">
        <v>53</v>
      </c>
      <c r="M348" s="286" t="s">
        <v>53</v>
      </c>
      <c r="N348" s="287">
        <v>13846.75</v>
      </c>
      <c r="O348" s="305">
        <f t="shared" si="5"/>
        <v>44620</v>
      </c>
      <c r="P348" s="111" t="s">
        <v>58</v>
      </c>
    </row>
    <row r="349" spans="1:16" hidden="1" x14ac:dyDescent="0.15">
      <c r="A349" s="286">
        <v>1104</v>
      </c>
      <c r="B349" s="288">
        <v>44616.783333333333</v>
      </c>
      <c r="C349" s="286" t="s">
        <v>1268</v>
      </c>
      <c r="D349" s="286" t="s">
        <v>1105</v>
      </c>
      <c r="E349" s="286" t="s">
        <v>1106</v>
      </c>
      <c r="F349" s="286" t="s">
        <v>1269</v>
      </c>
      <c r="G349" s="286" t="s">
        <v>53</v>
      </c>
      <c r="H349" s="286" t="s">
        <v>53</v>
      </c>
      <c r="I349" s="286" t="s">
        <v>1235</v>
      </c>
      <c r="J349" s="286" t="s">
        <v>53</v>
      </c>
      <c r="K349" s="286" t="s">
        <v>53</v>
      </c>
      <c r="L349" s="286" t="s">
        <v>53</v>
      </c>
      <c r="M349" s="286" t="s">
        <v>53</v>
      </c>
      <c r="N349" s="287">
        <v>12000</v>
      </c>
      <c r="O349" s="305">
        <f t="shared" si="5"/>
        <v>44620</v>
      </c>
      <c r="P349" s="286" t="s">
        <v>180</v>
      </c>
    </row>
    <row r="350" spans="1:16" hidden="1" x14ac:dyDescent="0.15">
      <c r="A350" s="286">
        <v>1104</v>
      </c>
      <c r="B350" s="288">
        <v>44616.783333333333</v>
      </c>
      <c r="C350" s="286" t="s">
        <v>1268</v>
      </c>
      <c r="D350" s="286" t="s">
        <v>1105</v>
      </c>
      <c r="E350" s="286" t="s">
        <v>1106</v>
      </c>
      <c r="F350" s="286" t="s">
        <v>1269</v>
      </c>
      <c r="G350" s="286" t="s">
        <v>53</v>
      </c>
      <c r="H350" s="286" t="s">
        <v>53</v>
      </c>
      <c r="I350" s="286" t="s">
        <v>1129</v>
      </c>
      <c r="J350" s="286" t="s">
        <v>53</v>
      </c>
      <c r="K350" s="286" t="s">
        <v>53</v>
      </c>
      <c r="L350" s="286" t="s">
        <v>53</v>
      </c>
      <c r="M350" s="286" t="s">
        <v>53</v>
      </c>
      <c r="N350" s="287">
        <v>2684.64</v>
      </c>
      <c r="O350" s="305">
        <f t="shared" si="5"/>
        <v>44620</v>
      </c>
      <c r="P350" s="286" t="s">
        <v>164</v>
      </c>
    </row>
    <row r="351" spans="1:16" hidden="1" x14ac:dyDescent="0.15">
      <c r="A351" s="286">
        <v>1105</v>
      </c>
      <c r="B351" s="288">
        <v>44616.783333333333</v>
      </c>
      <c r="C351" s="286" t="s">
        <v>1270</v>
      </c>
      <c r="D351" s="286" t="s">
        <v>1105</v>
      </c>
      <c r="E351" s="286" t="s">
        <v>1106</v>
      </c>
      <c r="F351" s="286" t="s">
        <v>1271</v>
      </c>
      <c r="G351" s="286" t="s">
        <v>53</v>
      </c>
      <c r="H351" s="286" t="s">
        <v>53</v>
      </c>
      <c r="I351" s="286" t="s">
        <v>1199</v>
      </c>
      <c r="J351" s="286" t="s">
        <v>53</v>
      </c>
      <c r="K351" s="286" t="s">
        <v>53</v>
      </c>
      <c r="L351" s="286" t="s">
        <v>53</v>
      </c>
      <c r="M351" s="286" t="s">
        <v>53</v>
      </c>
      <c r="N351" s="287">
        <v>86818.07</v>
      </c>
      <c r="O351" s="305">
        <f t="shared" si="5"/>
        <v>44620</v>
      </c>
      <c r="P351" s="286" t="s">
        <v>58</v>
      </c>
    </row>
    <row r="352" spans="1:16" hidden="1" x14ac:dyDescent="0.15">
      <c r="A352" s="286">
        <v>1105</v>
      </c>
      <c r="B352" s="288">
        <v>44616.783333333333</v>
      </c>
      <c r="C352" s="286" t="s">
        <v>1270</v>
      </c>
      <c r="D352" s="286" t="s">
        <v>1105</v>
      </c>
      <c r="E352" s="286" t="s">
        <v>1106</v>
      </c>
      <c r="F352" s="286" t="s">
        <v>1271</v>
      </c>
      <c r="G352" s="286" t="s">
        <v>53</v>
      </c>
      <c r="H352" s="286" t="s">
        <v>53</v>
      </c>
      <c r="I352" s="286" t="s">
        <v>1228</v>
      </c>
      <c r="J352" s="286" t="s">
        <v>53</v>
      </c>
      <c r="K352" s="286" t="s">
        <v>53</v>
      </c>
      <c r="L352" s="286" t="s">
        <v>53</v>
      </c>
      <c r="M352" s="286" t="s">
        <v>53</v>
      </c>
      <c r="N352" s="287">
        <v>70207.179999999993</v>
      </c>
      <c r="O352" s="305">
        <f t="shared" si="5"/>
        <v>44620</v>
      </c>
      <c r="P352" s="286" t="s">
        <v>58</v>
      </c>
    </row>
    <row r="353" spans="1:16" hidden="1" x14ac:dyDescent="0.15">
      <c r="A353" s="286">
        <v>1105</v>
      </c>
      <c r="B353" s="288">
        <v>44616.783333333333</v>
      </c>
      <c r="C353" s="286" t="s">
        <v>1270</v>
      </c>
      <c r="D353" s="286" t="s">
        <v>1105</v>
      </c>
      <c r="E353" s="286" t="s">
        <v>1106</v>
      </c>
      <c r="F353" s="286" t="s">
        <v>1271</v>
      </c>
      <c r="G353" s="286" t="s">
        <v>53</v>
      </c>
      <c r="H353" s="286" t="s">
        <v>53</v>
      </c>
      <c r="I353" s="286" t="s">
        <v>1230</v>
      </c>
      <c r="J353" s="286" t="s">
        <v>53</v>
      </c>
      <c r="K353" s="286" t="s">
        <v>53</v>
      </c>
      <c r="L353" s="286" t="s">
        <v>53</v>
      </c>
      <c r="M353" s="286" t="s">
        <v>53</v>
      </c>
      <c r="N353" s="287">
        <v>40719</v>
      </c>
      <c r="O353" s="305">
        <f t="shared" si="5"/>
        <v>44620</v>
      </c>
      <c r="P353" s="286" t="s">
        <v>175</v>
      </c>
    </row>
    <row r="354" spans="1:16" hidden="1" x14ac:dyDescent="0.15">
      <c r="A354" s="286">
        <v>1105</v>
      </c>
      <c r="B354" s="288">
        <v>44616.783333333333</v>
      </c>
      <c r="C354" s="286" t="s">
        <v>1270</v>
      </c>
      <c r="D354" s="286" t="s">
        <v>1105</v>
      </c>
      <c r="E354" s="286" t="s">
        <v>1106</v>
      </c>
      <c r="F354" s="286" t="s">
        <v>1271</v>
      </c>
      <c r="G354" s="286" t="s">
        <v>53</v>
      </c>
      <c r="H354" s="286" t="s">
        <v>53</v>
      </c>
      <c r="I354" s="286" t="s">
        <v>1112</v>
      </c>
      <c r="J354" s="286" t="s">
        <v>53</v>
      </c>
      <c r="K354" s="286" t="s">
        <v>53</v>
      </c>
      <c r="L354" s="286" t="s">
        <v>53</v>
      </c>
      <c r="M354" s="286" t="s">
        <v>53</v>
      </c>
      <c r="N354" s="287">
        <v>22877</v>
      </c>
      <c r="O354" s="305">
        <f t="shared" si="5"/>
        <v>44620</v>
      </c>
      <c r="P354" s="286" t="s">
        <v>175</v>
      </c>
    </row>
    <row r="355" spans="1:16" hidden="1" x14ac:dyDescent="0.15">
      <c r="A355" s="286">
        <v>1105</v>
      </c>
      <c r="B355" s="288">
        <v>44616.783333333333</v>
      </c>
      <c r="C355" s="286" t="s">
        <v>1270</v>
      </c>
      <c r="D355" s="286" t="s">
        <v>1105</v>
      </c>
      <c r="E355" s="286" t="s">
        <v>1106</v>
      </c>
      <c r="F355" s="286" t="s">
        <v>1271</v>
      </c>
      <c r="G355" s="286" t="s">
        <v>53</v>
      </c>
      <c r="H355" s="286" t="s">
        <v>53</v>
      </c>
      <c r="I355" s="286" t="s">
        <v>1152</v>
      </c>
      <c r="J355" s="286" t="s">
        <v>53</v>
      </c>
      <c r="K355" s="286" t="s">
        <v>53</v>
      </c>
      <c r="L355" s="286" t="s">
        <v>53</v>
      </c>
      <c r="M355" s="286" t="s">
        <v>53</v>
      </c>
      <c r="N355" s="287">
        <v>15665.92</v>
      </c>
      <c r="O355" s="305">
        <f t="shared" si="5"/>
        <v>44620</v>
      </c>
      <c r="P355" s="111" t="s">
        <v>58</v>
      </c>
    </row>
    <row r="356" spans="1:16" hidden="1" x14ac:dyDescent="0.15">
      <c r="A356" s="286">
        <v>1105</v>
      </c>
      <c r="B356" s="288">
        <v>44616.783333333333</v>
      </c>
      <c r="C356" s="286" t="s">
        <v>1270</v>
      </c>
      <c r="D356" s="286" t="s">
        <v>1105</v>
      </c>
      <c r="E356" s="286" t="s">
        <v>1106</v>
      </c>
      <c r="F356" s="286" t="s">
        <v>1271</v>
      </c>
      <c r="G356" s="286" t="s">
        <v>53</v>
      </c>
      <c r="H356" s="286" t="s">
        <v>53</v>
      </c>
      <c r="I356" s="286" t="s">
        <v>1129</v>
      </c>
      <c r="J356" s="286" t="s">
        <v>53</v>
      </c>
      <c r="K356" s="286" t="s">
        <v>53</v>
      </c>
      <c r="L356" s="286" t="s">
        <v>53</v>
      </c>
      <c r="M356" s="286" t="s">
        <v>53</v>
      </c>
      <c r="N356" s="287">
        <v>924.23</v>
      </c>
      <c r="O356" s="305">
        <f t="shared" si="5"/>
        <v>44620</v>
      </c>
      <c r="P356" s="286" t="s">
        <v>164</v>
      </c>
    </row>
    <row r="357" spans="1:16" hidden="1" x14ac:dyDescent="0.15">
      <c r="A357" s="286">
        <v>1106</v>
      </c>
      <c r="B357" s="288">
        <v>44616.783333333333</v>
      </c>
      <c r="C357" s="286" t="s">
        <v>1272</v>
      </c>
      <c r="D357" s="286" t="s">
        <v>1105</v>
      </c>
      <c r="E357" s="286" t="s">
        <v>1106</v>
      </c>
      <c r="F357" s="286" t="s">
        <v>1273</v>
      </c>
      <c r="G357" s="286" t="s">
        <v>53</v>
      </c>
      <c r="H357" s="286" t="s">
        <v>53</v>
      </c>
      <c r="I357" s="286" t="s">
        <v>1112</v>
      </c>
      <c r="J357" s="286" t="s">
        <v>53</v>
      </c>
      <c r="K357" s="286" t="s">
        <v>53</v>
      </c>
      <c r="L357" s="286" t="s">
        <v>53</v>
      </c>
      <c r="M357" s="286" t="s">
        <v>53</v>
      </c>
      <c r="N357" s="287">
        <v>111642.47</v>
      </c>
      <c r="O357" s="305">
        <f t="shared" si="5"/>
        <v>44620</v>
      </c>
      <c r="P357" s="286" t="s">
        <v>175</v>
      </c>
    </row>
    <row r="358" spans="1:16" hidden="1" x14ac:dyDescent="0.15">
      <c r="A358" s="286">
        <v>1106</v>
      </c>
      <c r="B358" s="288">
        <v>44616.783333333333</v>
      </c>
      <c r="C358" s="286" t="s">
        <v>1272</v>
      </c>
      <c r="D358" s="286" t="s">
        <v>1105</v>
      </c>
      <c r="E358" s="286" t="s">
        <v>1106</v>
      </c>
      <c r="F358" s="286" t="s">
        <v>1273</v>
      </c>
      <c r="G358" s="286" t="s">
        <v>53</v>
      </c>
      <c r="H358" s="286" t="s">
        <v>53</v>
      </c>
      <c r="I358" s="286" t="s">
        <v>1128</v>
      </c>
      <c r="J358" s="286" t="s">
        <v>53</v>
      </c>
      <c r="K358" s="286" t="s">
        <v>53</v>
      </c>
      <c r="L358" s="286" t="s">
        <v>53</v>
      </c>
      <c r="M358" s="286" t="s">
        <v>53</v>
      </c>
      <c r="N358" s="287">
        <v>98127</v>
      </c>
      <c r="O358" s="305">
        <f t="shared" si="5"/>
        <v>44620</v>
      </c>
      <c r="P358" s="286" t="s">
        <v>47</v>
      </c>
    </row>
    <row r="359" spans="1:16" hidden="1" x14ac:dyDescent="0.15">
      <c r="A359" s="286">
        <v>1106</v>
      </c>
      <c r="B359" s="288">
        <v>44616.783333333333</v>
      </c>
      <c r="C359" s="286" t="s">
        <v>1272</v>
      </c>
      <c r="D359" s="286" t="s">
        <v>1105</v>
      </c>
      <c r="E359" s="286" t="s">
        <v>1106</v>
      </c>
      <c r="F359" s="286" t="s">
        <v>1273</v>
      </c>
      <c r="G359" s="286" t="s">
        <v>53</v>
      </c>
      <c r="H359" s="286" t="s">
        <v>53</v>
      </c>
      <c r="I359" s="286" t="s">
        <v>1199</v>
      </c>
      <c r="J359" s="286" t="s">
        <v>53</v>
      </c>
      <c r="K359" s="286" t="s">
        <v>53</v>
      </c>
      <c r="L359" s="286" t="s">
        <v>53</v>
      </c>
      <c r="M359" s="286" t="s">
        <v>53</v>
      </c>
      <c r="N359" s="287">
        <v>87058.48</v>
      </c>
      <c r="O359" s="305">
        <f t="shared" si="5"/>
        <v>44620</v>
      </c>
      <c r="P359" s="286" t="s">
        <v>58</v>
      </c>
    </row>
    <row r="360" spans="1:16" hidden="1" x14ac:dyDescent="0.15">
      <c r="A360" s="286">
        <v>1106</v>
      </c>
      <c r="B360" s="288">
        <v>44616.783333333333</v>
      </c>
      <c r="C360" s="286" t="s">
        <v>1272</v>
      </c>
      <c r="D360" s="286" t="s">
        <v>1105</v>
      </c>
      <c r="E360" s="286" t="s">
        <v>1106</v>
      </c>
      <c r="F360" s="286" t="s">
        <v>1273</v>
      </c>
      <c r="G360" s="286" t="s">
        <v>53</v>
      </c>
      <c r="H360" s="286" t="s">
        <v>53</v>
      </c>
      <c r="I360" s="286" t="s">
        <v>1235</v>
      </c>
      <c r="J360" s="286" t="s">
        <v>53</v>
      </c>
      <c r="K360" s="286" t="s">
        <v>53</v>
      </c>
      <c r="L360" s="286" t="s">
        <v>53</v>
      </c>
      <c r="M360" s="286" t="s">
        <v>53</v>
      </c>
      <c r="N360" s="287">
        <v>53835</v>
      </c>
      <c r="O360" s="305">
        <f t="shared" si="5"/>
        <v>44620</v>
      </c>
      <c r="P360" s="286" t="s">
        <v>180</v>
      </c>
    </row>
    <row r="361" spans="1:16" hidden="1" x14ac:dyDescent="0.15">
      <c r="A361" s="286">
        <v>1106</v>
      </c>
      <c r="B361" s="288">
        <v>44616.783333333333</v>
      </c>
      <c r="C361" s="286" t="s">
        <v>1272</v>
      </c>
      <c r="D361" s="286" t="s">
        <v>1105</v>
      </c>
      <c r="E361" s="286" t="s">
        <v>1106</v>
      </c>
      <c r="F361" s="286" t="s">
        <v>1273</v>
      </c>
      <c r="G361" s="286" t="s">
        <v>53</v>
      </c>
      <c r="H361" s="286" t="s">
        <v>53</v>
      </c>
      <c r="I361" s="286" t="s">
        <v>1152</v>
      </c>
      <c r="J361" s="286" t="s">
        <v>53</v>
      </c>
      <c r="K361" s="286" t="s">
        <v>53</v>
      </c>
      <c r="L361" s="286" t="s">
        <v>53</v>
      </c>
      <c r="M361" s="286" t="s">
        <v>53</v>
      </c>
      <c r="N361" s="287">
        <v>15665.82</v>
      </c>
      <c r="O361" s="305">
        <f t="shared" si="5"/>
        <v>44620</v>
      </c>
      <c r="P361" s="111" t="s">
        <v>58</v>
      </c>
    </row>
    <row r="362" spans="1:16" hidden="1" x14ac:dyDescent="0.15">
      <c r="A362" s="286">
        <v>1106</v>
      </c>
      <c r="B362" s="288">
        <v>44616.783333333333</v>
      </c>
      <c r="C362" s="286" t="s">
        <v>1272</v>
      </c>
      <c r="D362" s="286" t="s">
        <v>1105</v>
      </c>
      <c r="E362" s="286" t="s">
        <v>1106</v>
      </c>
      <c r="F362" s="286" t="s">
        <v>1273</v>
      </c>
      <c r="G362" s="286" t="s">
        <v>53</v>
      </c>
      <c r="H362" s="286" t="s">
        <v>53</v>
      </c>
      <c r="I362" s="286" t="s">
        <v>1274</v>
      </c>
      <c r="J362" s="286" t="s">
        <v>53</v>
      </c>
      <c r="K362" s="286" t="s">
        <v>53</v>
      </c>
      <c r="L362" s="286" t="s">
        <v>53</v>
      </c>
      <c r="M362" s="286" t="s">
        <v>53</v>
      </c>
      <c r="N362" s="287">
        <v>7083.33</v>
      </c>
      <c r="O362" s="305">
        <f t="shared" si="5"/>
        <v>44620</v>
      </c>
      <c r="P362" s="286" t="s">
        <v>201</v>
      </c>
    </row>
    <row r="363" spans="1:16" hidden="1" x14ac:dyDescent="0.15">
      <c r="A363" s="286">
        <v>1106</v>
      </c>
      <c r="B363" s="288">
        <v>44616.783333333333</v>
      </c>
      <c r="C363" s="286" t="s">
        <v>1272</v>
      </c>
      <c r="D363" s="286" t="s">
        <v>1105</v>
      </c>
      <c r="E363" s="286" t="s">
        <v>1106</v>
      </c>
      <c r="F363" s="286" t="s">
        <v>1273</v>
      </c>
      <c r="G363" s="286" t="s">
        <v>53</v>
      </c>
      <c r="H363" s="286" t="s">
        <v>53</v>
      </c>
      <c r="I363" s="286" t="s">
        <v>1129</v>
      </c>
      <c r="J363" s="286" t="s">
        <v>53</v>
      </c>
      <c r="K363" s="286" t="s">
        <v>53</v>
      </c>
      <c r="L363" s="286" t="s">
        <v>53</v>
      </c>
      <c r="M363" s="286" t="s">
        <v>53</v>
      </c>
      <c r="N363" s="287">
        <v>1957.26</v>
      </c>
      <c r="O363" s="305">
        <f t="shared" si="5"/>
        <v>44620</v>
      </c>
      <c r="P363" s="286" t="s">
        <v>164</v>
      </c>
    </row>
    <row r="364" spans="1:16" hidden="1" x14ac:dyDescent="0.15">
      <c r="A364" s="286">
        <v>1106</v>
      </c>
      <c r="B364" s="288">
        <v>44616.783333333333</v>
      </c>
      <c r="C364" s="286" t="s">
        <v>1272</v>
      </c>
      <c r="D364" s="286" t="s">
        <v>1105</v>
      </c>
      <c r="E364" s="286" t="s">
        <v>1106</v>
      </c>
      <c r="F364" s="286" t="s">
        <v>1273</v>
      </c>
      <c r="G364" s="286" t="s">
        <v>53</v>
      </c>
      <c r="H364" s="286" t="s">
        <v>53</v>
      </c>
      <c r="I364" s="286" t="s">
        <v>1228</v>
      </c>
      <c r="J364" s="286" t="s">
        <v>53</v>
      </c>
      <c r="K364" s="286" t="s">
        <v>53</v>
      </c>
      <c r="L364" s="286" t="s">
        <v>53</v>
      </c>
      <c r="M364" s="286" t="s">
        <v>53</v>
      </c>
      <c r="N364" s="287">
        <v>-6687.15</v>
      </c>
      <c r="O364" s="305">
        <f t="shared" si="5"/>
        <v>44620</v>
      </c>
      <c r="P364" s="286" t="s">
        <v>58</v>
      </c>
    </row>
    <row r="365" spans="1:16" hidden="1" x14ac:dyDescent="0.15">
      <c r="A365" s="286">
        <v>1107</v>
      </c>
      <c r="B365" s="288">
        <v>44616.783333333333</v>
      </c>
      <c r="C365" s="286" t="s">
        <v>1275</v>
      </c>
      <c r="D365" s="286" t="s">
        <v>1105</v>
      </c>
      <c r="E365" s="286" t="s">
        <v>1106</v>
      </c>
      <c r="F365" s="286" t="s">
        <v>1276</v>
      </c>
      <c r="G365" s="286" t="s">
        <v>53</v>
      </c>
      <c r="H365" s="286" t="s">
        <v>53</v>
      </c>
      <c r="I365" s="286" t="s">
        <v>1108</v>
      </c>
      <c r="J365" s="286" t="s">
        <v>53</v>
      </c>
      <c r="K365" s="286" t="s">
        <v>53</v>
      </c>
      <c r="L365" s="286" t="s">
        <v>53</v>
      </c>
      <c r="M365" s="286" t="s">
        <v>53</v>
      </c>
      <c r="N365" s="287">
        <v>1101514</v>
      </c>
      <c r="O365" s="305">
        <f t="shared" si="5"/>
        <v>44620</v>
      </c>
      <c r="P365" s="286" t="s">
        <v>37</v>
      </c>
    </row>
    <row r="366" spans="1:16" hidden="1" x14ac:dyDescent="0.15">
      <c r="A366" s="286">
        <v>1107</v>
      </c>
      <c r="B366" s="288">
        <v>44616.783333333333</v>
      </c>
      <c r="C366" s="286" t="s">
        <v>1275</v>
      </c>
      <c r="D366" s="286" t="s">
        <v>1105</v>
      </c>
      <c r="E366" s="286" t="s">
        <v>1106</v>
      </c>
      <c r="F366" s="286" t="s">
        <v>1276</v>
      </c>
      <c r="G366" s="286" t="s">
        <v>53</v>
      </c>
      <c r="H366" s="286" t="s">
        <v>53</v>
      </c>
      <c r="I366" s="286" t="s">
        <v>1235</v>
      </c>
      <c r="J366" s="286" t="s">
        <v>53</v>
      </c>
      <c r="K366" s="286" t="s">
        <v>53</v>
      </c>
      <c r="L366" s="286" t="s">
        <v>53</v>
      </c>
      <c r="M366" s="286" t="s">
        <v>53</v>
      </c>
      <c r="N366" s="287">
        <v>168832</v>
      </c>
      <c r="O366" s="305">
        <f t="shared" si="5"/>
        <v>44620</v>
      </c>
      <c r="P366" s="286" t="s">
        <v>180</v>
      </c>
    </row>
    <row r="367" spans="1:16" hidden="1" x14ac:dyDescent="0.15">
      <c r="A367" s="286">
        <v>1107</v>
      </c>
      <c r="B367" s="288">
        <v>44616.783333333333</v>
      </c>
      <c r="C367" s="286" t="s">
        <v>1275</v>
      </c>
      <c r="D367" s="286" t="s">
        <v>1105</v>
      </c>
      <c r="E367" s="286" t="s">
        <v>1106</v>
      </c>
      <c r="F367" s="286" t="s">
        <v>1276</v>
      </c>
      <c r="G367" s="286" t="s">
        <v>53</v>
      </c>
      <c r="H367" s="286" t="s">
        <v>53</v>
      </c>
      <c r="I367" s="286" t="s">
        <v>1128</v>
      </c>
      <c r="J367" s="286" t="s">
        <v>53</v>
      </c>
      <c r="K367" s="286" t="s">
        <v>53</v>
      </c>
      <c r="L367" s="286" t="s">
        <v>53</v>
      </c>
      <c r="M367" s="286" t="s">
        <v>53</v>
      </c>
      <c r="N367" s="287">
        <v>138680</v>
      </c>
      <c r="O367" s="305">
        <f t="shared" si="5"/>
        <v>44620</v>
      </c>
      <c r="P367" s="286" t="s">
        <v>47</v>
      </c>
    </row>
    <row r="368" spans="1:16" hidden="1" x14ac:dyDescent="0.15">
      <c r="A368" s="286">
        <v>1107</v>
      </c>
      <c r="B368" s="288">
        <v>44616.783333333333</v>
      </c>
      <c r="C368" s="286" t="s">
        <v>1275</v>
      </c>
      <c r="D368" s="286" t="s">
        <v>1105</v>
      </c>
      <c r="E368" s="286" t="s">
        <v>1106</v>
      </c>
      <c r="F368" s="286" t="s">
        <v>1276</v>
      </c>
      <c r="G368" s="286" t="s">
        <v>53</v>
      </c>
      <c r="H368" s="286" t="s">
        <v>53</v>
      </c>
      <c r="I368" s="286" t="s">
        <v>1199</v>
      </c>
      <c r="J368" s="286" t="s">
        <v>53</v>
      </c>
      <c r="K368" s="286" t="s">
        <v>53</v>
      </c>
      <c r="L368" s="286" t="s">
        <v>53</v>
      </c>
      <c r="M368" s="286" t="s">
        <v>53</v>
      </c>
      <c r="N368" s="287">
        <v>102562.52</v>
      </c>
      <c r="O368" s="305">
        <f t="shared" si="5"/>
        <v>44620</v>
      </c>
      <c r="P368" s="286" t="s">
        <v>58</v>
      </c>
    </row>
    <row r="369" spans="1:16" hidden="1" x14ac:dyDescent="0.15">
      <c r="A369" s="286">
        <v>1107</v>
      </c>
      <c r="B369" s="288">
        <v>44616.783333333333</v>
      </c>
      <c r="C369" s="286" t="s">
        <v>1275</v>
      </c>
      <c r="D369" s="286" t="s">
        <v>1105</v>
      </c>
      <c r="E369" s="286" t="s">
        <v>1106</v>
      </c>
      <c r="F369" s="286" t="s">
        <v>1276</v>
      </c>
      <c r="G369" s="286" t="s">
        <v>53</v>
      </c>
      <c r="H369" s="286" t="s">
        <v>53</v>
      </c>
      <c r="I369" s="286" t="s">
        <v>1228</v>
      </c>
      <c r="J369" s="286" t="s">
        <v>53</v>
      </c>
      <c r="K369" s="286" t="s">
        <v>53</v>
      </c>
      <c r="L369" s="286" t="s">
        <v>53</v>
      </c>
      <c r="M369" s="286" t="s">
        <v>53</v>
      </c>
      <c r="N369" s="287">
        <v>46584.66</v>
      </c>
      <c r="O369" s="305">
        <f t="shared" si="5"/>
        <v>44620</v>
      </c>
      <c r="P369" s="286" t="s">
        <v>58</v>
      </c>
    </row>
    <row r="370" spans="1:16" hidden="1" x14ac:dyDescent="0.15">
      <c r="A370" s="286">
        <v>1107</v>
      </c>
      <c r="B370" s="288">
        <v>44616.783333333333</v>
      </c>
      <c r="C370" s="286" t="s">
        <v>1275</v>
      </c>
      <c r="D370" s="286" t="s">
        <v>1105</v>
      </c>
      <c r="E370" s="286" t="s">
        <v>1106</v>
      </c>
      <c r="F370" s="286" t="s">
        <v>1276</v>
      </c>
      <c r="G370" s="286" t="s">
        <v>53</v>
      </c>
      <c r="H370" s="286" t="s">
        <v>53</v>
      </c>
      <c r="I370" s="286" t="s">
        <v>1204</v>
      </c>
      <c r="J370" s="286" t="s">
        <v>53</v>
      </c>
      <c r="K370" s="286" t="s">
        <v>53</v>
      </c>
      <c r="L370" s="286" t="s">
        <v>53</v>
      </c>
      <c r="M370" s="286" t="s">
        <v>53</v>
      </c>
      <c r="N370" s="287">
        <v>35939</v>
      </c>
      <c r="O370" s="305">
        <f t="shared" si="5"/>
        <v>44620</v>
      </c>
      <c r="P370" s="286" t="s">
        <v>49</v>
      </c>
    </row>
    <row r="371" spans="1:16" hidden="1" x14ac:dyDescent="0.15">
      <c r="A371" s="286">
        <v>1107</v>
      </c>
      <c r="B371" s="288">
        <v>44616.783333333333</v>
      </c>
      <c r="C371" s="286" t="s">
        <v>1275</v>
      </c>
      <c r="D371" s="286" t="s">
        <v>1105</v>
      </c>
      <c r="E371" s="286" t="s">
        <v>1106</v>
      </c>
      <c r="F371" s="286" t="s">
        <v>1276</v>
      </c>
      <c r="G371" s="286" t="s">
        <v>53</v>
      </c>
      <c r="H371" s="286" t="s">
        <v>53</v>
      </c>
      <c r="I371" s="286" t="s">
        <v>1229</v>
      </c>
      <c r="J371" s="286" t="s">
        <v>53</v>
      </c>
      <c r="K371" s="286" t="s">
        <v>53</v>
      </c>
      <c r="L371" s="286" t="s">
        <v>53</v>
      </c>
      <c r="M371" s="286" t="s">
        <v>53</v>
      </c>
      <c r="N371" s="287">
        <v>31363</v>
      </c>
      <c r="O371" s="305">
        <f t="shared" si="5"/>
        <v>44620</v>
      </c>
      <c r="P371" s="286" t="s">
        <v>279</v>
      </c>
    </row>
    <row r="372" spans="1:16" hidden="1" x14ac:dyDescent="0.15">
      <c r="A372" s="286">
        <v>1107</v>
      </c>
      <c r="B372" s="288">
        <v>44616.783333333333</v>
      </c>
      <c r="C372" s="286" t="s">
        <v>1275</v>
      </c>
      <c r="D372" s="286" t="s">
        <v>1105</v>
      </c>
      <c r="E372" s="286" t="s">
        <v>1106</v>
      </c>
      <c r="F372" s="286" t="s">
        <v>1276</v>
      </c>
      <c r="G372" s="286" t="s">
        <v>53</v>
      </c>
      <c r="H372" s="286" t="s">
        <v>53</v>
      </c>
      <c r="I372" s="286" t="s">
        <v>1152</v>
      </c>
      <c r="J372" s="286" t="s">
        <v>53</v>
      </c>
      <c r="K372" s="286" t="s">
        <v>53</v>
      </c>
      <c r="L372" s="286" t="s">
        <v>53</v>
      </c>
      <c r="M372" s="286" t="s">
        <v>53</v>
      </c>
      <c r="N372" s="287">
        <v>18605.71</v>
      </c>
      <c r="O372" s="305">
        <f t="shared" si="5"/>
        <v>44620</v>
      </c>
      <c r="P372" s="111" t="s">
        <v>58</v>
      </c>
    </row>
    <row r="373" spans="1:16" hidden="1" x14ac:dyDescent="0.15">
      <c r="A373" s="286">
        <v>1107</v>
      </c>
      <c r="B373" s="288">
        <v>44616.783333333333</v>
      </c>
      <c r="C373" s="286" t="s">
        <v>1275</v>
      </c>
      <c r="D373" s="286" t="s">
        <v>1105</v>
      </c>
      <c r="E373" s="286" t="s">
        <v>1106</v>
      </c>
      <c r="F373" s="286" t="s">
        <v>1276</v>
      </c>
      <c r="G373" s="286" t="s">
        <v>53</v>
      </c>
      <c r="H373" s="286" t="s">
        <v>53</v>
      </c>
      <c r="I373" s="286" t="s">
        <v>1274</v>
      </c>
      <c r="J373" s="286" t="s">
        <v>53</v>
      </c>
      <c r="K373" s="286" t="s">
        <v>53</v>
      </c>
      <c r="L373" s="286" t="s">
        <v>53</v>
      </c>
      <c r="M373" s="286" t="s">
        <v>53</v>
      </c>
      <c r="N373" s="287">
        <v>7083.33</v>
      </c>
      <c r="O373" s="305">
        <f t="shared" si="5"/>
        <v>44620</v>
      </c>
      <c r="P373" s="286" t="s">
        <v>201</v>
      </c>
    </row>
    <row r="374" spans="1:16" hidden="1" x14ac:dyDescent="0.15">
      <c r="A374" s="286">
        <v>1107</v>
      </c>
      <c r="B374" s="288">
        <v>44616.783333333333</v>
      </c>
      <c r="C374" s="286" t="s">
        <v>1275</v>
      </c>
      <c r="D374" s="286" t="s">
        <v>1105</v>
      </c>
      <c r="E374" s="286" t="s">
        <v>1106</v>
      </c>
      <c r="F374" s="286" t="s">
        <v>1276</v>
      </c>
      <c r="G374" s="286" t="s">
        <v>53</v>
      </c>
      <c r="H374" s="286" t="s">
        <v>53</v>
      </c>
      <c r="I374" s="286" t="s">
        <v>1230</v>
      </c>
      <c r="J374" s="286" t="s">
        <v>53</v>
      </c>
      <c r="K374" s="286" t="s">
        <v>53</v>
      </c>
      <c r="L374" s="286" t="s">
        <v>53</v>
      </c>
      <c r="M374" s="286" t="s">
        <v>53</v>
      </c>
      <c r="N374" s="287">
        <v>6957</v>
      </c>
      <c r="O374" s="305">
        <f t="shared" si="5"/>
        <v>44620</v>
      </c>
      <c r="P374" s="286" t="s">
        <v>175</v>
      </c>
    </row>
    <row r="375" spans="1:16" hidden="1" x14ac:dyDescent="0.15">
      <c r="A375" s="286">
        <v>1107</v>
      </c>
      <c r="B375" s="288">
        <v>44616.783333333333</v>
      </c>
      <c r="C375" s="286" t="s">
        <v>1275</v>
      </c>
      <c r="D375" s="286" t="s">
        <v>1105</v>
      </c>
      <c r="E375" s="286" t="s">
        <v>1106</v>
      </c>
      <c r="F375" s="286" t="s">
        <v>1276</v>
      </c>
      <c r="G375" s="286" t="s">
        <v>53</v>
      </c>
      <c r="H375" s="286" t="s">
        <v>53</v>
      </c>
      <c r="I375" s="286" t="s">
        <v>1129</v>
      </c>
      <c r="J375" s="286" t="s">
        <v>53</v>
      </c>
      <c r="K375" s="286" t="s">
        <v>53</v>
      </c>
      <c r="L375" s="286" t="s">
        <v>53</v>
      </c>
      <c r="M375" s="286" t="s">
        <v>53</v>
      </c>
      <c r="N375" s="287">
        <v>5006.26</v>
      </c>
      <c r="O375" s="305">
        <f t="shared" si="5"/>
        <v>44620</v>
      </c>
      <c r="P375" s="286" t="s">
        <v>164</v>
      </c>
    </row>
    <row r="376" spans="1:16" hidden="1" x14ac:dyDescent="0.15">
      <c r="A376" s="286">
        <v>1107</v>
      </c>
      <c r="B376" s="288">
        <v>44616.783333333333</v>
      </c>
      <c r="C376" s="286" t="s">
        <v>1275</v>
      </c>
      <c r="D376" s="286" t="s">
        <v>1105</v>
      </c>
      <c r="E376" s="286" t="s">
        <v>1106</v>
      </c>
      <c r="F376" s="286" t="s">
        <v>1276</v>
      </c>
      <c r="G376" s="286" t="s">
        <v>53</v>
      </c>
      <c r="H376" s="286" t="s">
        <v>53</v>
      </c>
      <c r="I376" s="286" t="s">
        <v>1112</v>
      </c>
      <c r="J376" s="286" t="s">
        <v>53</v>
      </c>
      <c r="K376" s="286" t="s">
        <v>53</v>
      </c>
      <c r="L376" s="286" t="s">
        <v>53</v>
      </c>
      <c r="M376" s="286" t="s">
        <v>53</v>
      </c>
      <c r="N376" s="287">
        <v>-2000</v>
      </c>
      <c r="O376" s="305">
        <f t="shared" si="5"/>
        <v>44620</v>
      </c>
      <c r="P376" s="286" t="s">
        <v>175</v>
      </c>
    </row>
    <row r="377" spans="1:16" hidden="1" x14ac:dyDescent="0.15">
      <c r="A377" s="286">
        <v>1108</v>
      </c>
      <c r="B377" s="288">
        <v>44616.78402777778</v>
      </c>
      <c r="C377" s="286" t="s">
        <v>1277</v>
      </c>
      <c r="D377" s="286" t="s">
        <v>1105</v>
      </c>
      <c r="E377" s="286" t="s">
        <v>1106</v>
      </c>
      <c r="F377" s="286" t="s">
        <v>1278</v>
      </c>
      <c r="G377" s="286" t="s">
        <v>53</v>
      </c>
      <c r="H377" s="286" t="s">
        <v>53</v>
      </c>
      <c r="I377" s="286" t="s">
        <v>1199</v>
      </c>
      <c r="J377" s="286" t="s">
        <v>53</v>
      </c>
      <c r="K377" s="286" t="s">
        <v>53</v>
      </c>
      <c r="L377" s="286" t="s">
        <v>53</v>
      </c>
      <c r="M377" s="286" t="s">
        <v>53</v>
      </c>
      <c r="N377" s="287">
        <v>102712.38</v>
      </c>
      <c r="O377" s="305">
        <f t="shared" si="5"/>
        <v>44620</v>
      </c>
      <c r="P377" s="286" t="s">
        <v>58</v>
      </c>
    </row>
    <row r="378" spans="1:16" hidden="1" x14ac:dyDescent="0.15">
      <c r="A378" s="286">
        <v>1108</v>
      </c>
      <c r="B378" s="288">
        <v>44616.78402777778</v>
      </c>
      <c r="C378" s="286" t="s">
        <v>1277</v>
      </c>
      <c r="D378" s="286" t="s">
        <v>1105</v>
      </c>
      <c r="E378" s="286" t="s">
        <v>1106</v>
      </c>
      <c r="F378" s="286" t="s">
        <v>1278</v>
      </c>
      <c r="G378" s="286" t="s">
        <v>53</v>
      </c>
      <c r="H378" s="286" t="s">
        <v>53</v>
      </c>
      <c r="I378" s="286" t="s">
        <v>1228</v>
      </c>
      <c r="J378" s="286" t="s">
        <v>53</v>
      </c>
      <c r="K378" s="286" t="s">
        <v>53</v>
      </c>
      <c r="L378" s="286" t="s">
        <v>53</v>
      </c>
      <c r="M378" s="286" t="s">
        <v>53</v>
      </c>
      <c r="N378" s="287">
        <v>57871.55</v>
      </c>
      <c r="O378" s="305">
        <f t="shared" si="5"/>
        <v>44620</v>
      </c>
      <c r="P378" s="286" t="s">
        <v>58</v>
      </c>
    </row>
    <row r="379" spans="1:16" hidden="1" x14ac:dyDescent="0.15">
      <c r="A379" s="286">
        <v>1108</v>
      </c>
      <c r="B379" s="288">
        <v>44616.78402777778</v>
      </c>
      <c r="C379" s="286" t="s">
        <v>1277</v>
      </c>
      <c r="D379" s="286" t="s">
        <v>1105</v>
      </c>
      <c r="E379" s="286" t="s">
        <v>1106</v>
      </c>
      <c r="F379" s="286" t="s">
        <v>1278</v>
      </c>
      <c r="G379" s="286" t="s">
        <v>53</v>
      </c>
      <c r="H379" s="286" t="s">
        <v>53</v>
      </c>
      <c r="I379" s="286" t="s">
        <v>1152</v>
      </c>
      <c r="J379" s="286" t="s">
        <v>53</v>
      </c>
      <c r="K379" s="286" t="s">
        <v>53</v>
      </c>
      <c r="L379" s="286" t="s">
        <v>53</v>
      </c>
      <c r="M379" s="286" t="s">
        <v>53</v>
      </c>
      <c r="N379" s="287">
        <v>20352.71</v>
      </c>
      <c r="O379" s="305">
        <f t="shared" si="5"/>
        <v>44620</v>
      </c>
      <c r="P379" s="111" t="s">
        <v>58</v>
      </c>
    </row>
    <row r="380" spans="1:16" hidden="1" x14ac:dyDescent="0.15">
      <c r="A380" s="286">
        <v>1108</v>
      </c>
      <c r="B380" s="288">
        <v>44616.78402777778</v>
      </c>
      <c r="C380" s="286" t="s">
        <v>1277</v>
      </c>
      <c r="D380" s="286" t="s">
        <v>1105</v>
      </c>
      <c r="E380" s="286" t="s">
        <v>1106</v>
      </c>
      <c r="F380" s="286" t="s">
        <v>1278</v>
      </c>
      <c r="G380" s="286" t="s">
        <v>53</v>
      </c>
      <c r="H380" s="286" t="s">
        <v>53</v>
      </c>
      <c r="I380" s="286" t="s">
        <v>1109</v>
      </c>
      <c r="J380" s="286" t="s">
        <v>53</v>
      </c>
      <c r="K380" s="286" t="s">
        <v>53</v>
      </c>
      <c r="L380" s="286" t="s">
        <v>53</v>
      </c>
      <c r="M380" s="286" t="s">
        <v>53</v>
      </c>
      <c r="N380" s="287">
        <v>11580</v>
      </c>
      <c r="O380" s="305">
        <f t="shared" si="5"/>
        <v>44620</v>
      </c>
    </row>
    <row r="381" spans="1:16" hidden="1" x14ac:dyDescent="0.15">
      <c r="A381" s="286">
        <v>1108</v>
      </c>
      <c r="B381" s="288">
        <v>44616.78402777778</v>
      </c>
      <c r="C381" s="286" t="s">
        <v>1277</v>
      </c>
      <c r="D381" s="286" t="s">
        <v>1105</v>
      </c>
      <c r="E381" s="286" t="s">
        <v>1106</v>
      </c>
      <c r="F381" s="286" t="s">
        <v>1278</v>
      </c>
      <c r="G381" s="286" t="s">
        <v>53</v>
      </c>
      <c r="H381" s="286" t="s">
        <v>53</v>
      </c>
      <c r="I381" s="286" t="s">
        <v>1274</v>
      </c>
      <c r="J381" s="286" t="s">
        <v>53</v>
      </c>
      <c r="K381" s="286" t="s">
        <v>53</v>
      </c>
      <c r="L381" s="286" t="s">
        <v>53</v>
      </c>
      <c r="M381" s="286" t="s">
        <v>53</v>
      </c>
      <c r="N381" s="287">
        <v>7083.33</v>
      </c>
      <c r="O381" s="305">
        <f t="shared" si="5"/>
        <v>44620</v>
      </c>
      <c r="P381" s="286" t="s">
        <v>201</v>
      </c>
    </row>
    <row r="382" spans="1:16" hidden="1" x14ac:dyDescent="0.15">
      <c r="A382" s="286">
        <v>1108</v>
      </c>
      <c r="B382" s="288">
        <v>44616.78402777778</v>
      </c>
      <c r="C382" s="286" t="s">
        <v>1277</v>
      </c>
      <c r="D382" s="286" t="s">
        <v>1105</v>
      </c>
      <c r="E382" s="286" t="s">
        <v>1106</v>
      </c>
      <c r="F382" s="286" t="s">
        <v>1278</v>
      </c>
      <c r="G382" s="286" t="s">
        <v>53</v>
      </c>
      <c r="H382" s="286" t="s">
        <v>53</v>
      </c>
      <c r="I382" s="286" t="s">
        <v>1279</v>
      </c>
      <c r="J382" s="286" t="s">
        <v>53</v>
      </c>
      <c r="K382" s="286" t="s">
        <v>53</v>
      </c>
      <c r="L382" s="286" t="s">
        <v>53</v>
      </c>
      <c r="M382" s="286" t="s">
        <v>53</v>
      </c>
      <c r="N382" s="287">
        <v>4971.8999999999996</v>
      </c>
      <c r="O382" s="305">
        <f t="shared" si="5"/>
        <v>44620</v>
      </c>
      <c r="P382" s="286" t="s">
        <v>58</v>
      </c>
    </row>
    <row r="383" spans="1:16" hidden="1" x14ac:dyDescent="0.15">
      <c r="A383" s="286">
        <v>1108</v>
      </c>
      <c r="B383" s="288">
        <v>44616.78402777778</v>
      </c>
      <c r="C383" s="286" t="s">
        <v>1277</v>
      </c>
      <c r="D383" s="286" t="s">
        <v>1105</v>
      </c>
      <c r="E383" s="286" t="s">
        <v>1106</v>
      </c>
      <c r="F383" s="286" t="s">
        <v>1278</v>
      </c>
      <c r="G383" s="286" t="s">
        <v>53</v>
      </c>
      <c r="H383" s="286" t="s">
        <v>53</v>
      </c>
      <c r="I383" s="286" t="s">
        <v>1129</v>
      </c>
      <c r="J383" s="286" t="s">
        <v>53</v>
      </c>
      <c r="K383" s="286" t="s">
        <v>53</v>
      </c>
      <c r="L383" s="286" t="s">
        <v>53</v>
      </c>
      <c r="M383" s="286" t="s">
        <v>53</v>
      </c>
      <c r="N383" s="287">
        <v>4327.6899999999996</v>
      </c>
      <c r="O383" s="305">
        <f t="shared" si="5"/>
        <v>44620</v>
      </c>
      <c r="P383" s="286" t="s">
        <v>164</v>
      </c>
    </row>
    <row r="384" spans="1:16" hidden="1" x14ac:dyDescent="0.15">
      <c r="A384" s="286">
        <v>1109</v>
      </c>
      <c r="B384" s="288">
        <v>44616.78402777778</v>
      </c>
      <c r="C384" s="286" t="s">
        <v>1280</v>
      </c>
      <c r="D384" s="286" t="s">
        <v>1105</v>
      </c>
      <c r="E384" s="286" t="s">
        <v>1106</v>
      </c>
      <c r="F384" s="286" t="s">
        <v>1281</v>
      </c>
      <c r="G384" s="286" t="s">
        <v>53</v>
      </c>
      <c r="H384" s="286" t="s">
        <v>53</v>
      </c>
      <c r="I384" s="286" t="s">
        <v>1199</v>
      </c>
      <c r="J384" s="286" t="s">
        <v>53</v>
      </c>
      <c r="K384" s="286" t="s">
        <v>53</v>
      </c>
      <c r="L384" s="286" t="s">
        <v>53</v>
      </c>
      <c r="M384" s="286" t="s">
        <v>53</v>
      </c>
      <c r="N384" s="287">
        <v>109234.02</v>
      </c>
      <c r="O384" s="305">
        <f t="shared" si="5"/>
        <v>44620</v>
      </c>
      <c r="P384" s="286" t="s">
        <v>58</v>
      </c>
    </row>
    <row r="385" spans="1:16" hidden="1" x14ac:dyDescent="0.15">
      <c r="A385" s="286">
        <v>1109</v>
      </c>
      <c r="B385" s="288">
        <v>44616.78402777778</v>
      </c>
      <c r="C385" s="286" t="s">
        <v>1280</v>
      </c>
      <c r="D385" s="286" t="s">
        <v>1105</v>
      </c>
      <c r="E385" s="286" t="s">
        <v>1106</v>
      </c>
      <c r="F385" s="286" t="s">
        <v>1281</v>
      </c>
      <c r="G385" s="286" t="s">
        <v>53</v>
      </c>
      <c r="H385" s="286" t="s">
        <v>53</v>
      </c>
      <c r="I385" s="286" t="s">
        <v>1228</v>
      </c>
      <c r="J385" s="286" t="s">
        <v>53</v>
      </c>
      <c r="K385" s="286" t="s">
        <v>53</v>
      </c>
      <c r="L385" s="286" t="s">
        <v>53</v>
      </c>
      <c r="M385" s="286" t="s">
        <v>53</v>
      </c>
      <c r="N385" s="287">
        <v>72386.16</v>
      </c>
      <c r="O385" s="305">
        <f t="shared" si="5"/>
        <v>44620</v>
      </c>
      <c r="P385" s="286" t="s">
        <v>58</v>
      </c>
    </row>
    <row r="386" spans="1:16" hidden="1" x14ac:dyDescent="0.15">
      <c r="A386" s="286">
        <v>1109</v>
      </c>
      <c r="B386" s="288">
        <v>44616.78402777778</v>
      </c>
      <c r="C386" s="286" t="s">
        <v>1280</v>
      </c>
      <c r="D386" s="286" t="s">
        <v>1105</v>
      </c>
      <c r="E386" s="286" t="s">
        <v>1106</v>
      </c>
      <c r="F386" s="286" t="s">
        <v>1281</v>
      </c>
      <c r="G386" s="286" t="s">
        <v>53</v>
      </c>
      <c r="H386" s="286" t="s">
        <v>53</v>
      </c>
      <c r="I386" s="286" t="s">
        <v>1152</v>
      </c>
      <c r="J386" s="286" t="s">
        <v>53</v>
      </c>
      <c r="K386" s="286" t="s">
        <v>53</v>
      </c>
      <c r="L386" s="286" t="s">
        <v>53</v>
      </c>
      <c r="M386" s="286" t="s">
        <v>53</v>
      </c>
      <c r="N386" s="287">
        <v>18693.43</v>
      </c>
      <c r="O386" s="305">
        <f t="shared" si="5"/>
        <v>44620</v>
      </c>
      <c r="P386" s="111" t="s">
        <v>58</v>
      </c>
    </row>
    <row r="387" spans="1:16" hidden="1" x14ac:dyDescent="0.15">
      <c r="A387" s="286">
        <v>1109</v>
      </c>
      <c r="B387" s="288">
        <v>44616.78402777778</v>
      </c>
      <c r="C387" s="286" t="s">
        <v>1280</v>
      </c>
      <c r="D387" s="286" t="s">
        <v>1105</v>
      </c>
      <c r="E387" s="286" t="s">
        <v>1106</v>
      </c>
      <c r="F387" s="286" t="s">
        <v>1281</v>
      </c>
      <c r="G387" s="286" t="s">
        <v>53</v>
      </c>
      <c r="H387" s="286" t="s">
        <v>53</v>
      </c>
      <c r="I387" s="286" t="s">
        <v>1112</v>
      </c>
      <c r="J387" s="286" t="s">
        <v>53</v>
      </c>
      <c r="K387" s="286" t="s">
        <v>53</v>
      </c>
      <c r="L387" s="286" t="s">
        <v>53</v>
      </c>
      <c r="M387" s="286" t="s">
        <v>53</v>
      </c>
      <c r="N387" s="287">
        <v>16868</v>
      </c>
      <c r="O387" s="305">
        <f t="shared" ref="O387:O450" si="6">EOMONTH(B387,0)</f>
        <v>44620</v>
      </c>
      <c r="P387" s="286" t="s">
        <v>175</v>
      </c>
    </row>
    <row r="388" spans="1:16" hidden="1" x14ac:dyDescent="0.15">
      <c r="A388" s="286">
        <v>1109</v>
      </c>
      <c r="B388" s="288">
        <v>44616.78402777778</v>
      </c>
      <c r="C388" s="286" t="s">
        <v>1280</v>
      </c>
      <c r="D388" s="286" t="s">
        <v>1105</v>
      </c>
      <c r="E388" s="286" t="s">
        <v>1106</v>
      </c>
      <c r="F388" s="286" t="s">
        <v>1281</v>
      </c>
      <c r="G388" s="286" t="s">
        <v>53</v>
      </c>
      <c r="H388" s="286" t="s">
        <v>53</v>
      </c>
      <c r="I388" s="286" t="s">
        <v>1230</v>
      </c>
      <c r="J388" s="286" t="s">
        <v>53</v>
      </c>
      <c r="K388" s="286" t="s">
        <v>53</v>
      </c>
      <c r="L388" s="286" t="s">
        <v>53</v>
      </c>
      <c r="M388" s="286" t="s">
        <v>53</v>
      </c>
      <c r="N388" s="287">
        <v>9116</v>
      </c>
      <c r="O388" s="305">
        <f t="shared" si="6"/>
        <v>44620</v>
      </c>
      <c r="P388" s="286" t="s">
        <v>175</v>
      </c>
    </row>
    <row r="389" spans="1:16" hidden="1" x14ac:dyDescent="0.15">
      <c r="A389" s="286">
        <v>1109</v>
      </c>
      <c r="B389" s="288">
        <v>44616.78402777778</v>
      </c>
      <c r="C389" s="286" t="s">
        <v>1280</v>
      </c>
      <c r="D389" s="286" t="s">
        <v>1105</v>
      </c>
      <c r="E389" s="286" t="s">
        <v>1106</v>
      </c>
      <c r="F389" s="286" t="s">
        <v>1281</v>
      </c>
      <c r="G389" s="286" t="s">
        <v>53</v>
      </c>
      <c r="H389" s="286" t="s">
        <v>53</v>
      </c>
      <c r="I389" s="286" t="s">
        <v>1282</v>
      </c>
      <c r="J389" s="286" t="s">
        <v>53</v>
      </c>
      <c r="K389" s="286" t="s">
        <v>53</v>
      </c>
      <c r="L389" s="286" t="s">
        <v>53</v>
      </c>
      <c r="M389" s="286" t="s">
        <v>53</v>
      </c>
      <c r="N389" s="287">
        <v>7335.78</v>
      </c>
      <c r="O389" s="305">
        <f t="shared" si="6"/>
        <v>44620</v>
      </c>
      <c r="P389" s="286" t="s">
        <v>201</v>
      </c>
    </row>
    <row r="390" spans="1:16" hidden="1" x14ac:dyDescent="0.15">
      <c r="A390" s="286">
        <v>1109</v>
      </c>
      <c r="B390" s="288">
        <v>44616.78402777778</v>
      </c>
      <c r="C390" s="286" t="s">
        <v>1280</v>
      </c>
      <c r="D390" s="286" t="s">
        <v>1105</v>
      </c>
      <c r="E390" s="286" t="s">
        <v>1106</v>
      </c>
      <c r="F390" s="286" t="s">
        <v>1281</v>
      </c>
      <c r="G390" s="286" t="s">
        <v>53</v>
      </c>
      <c r="H390" s="286" t="s">
        <v>53</v>
      </c>
      <c r="I390" s="286" t="s">
        <v>1274</v>
      </c>
      <c r="J390" s="286" t="s">
        <v>53</v>
      </c>
      <c r="K390" s="286" t="s">
        <v>53</v>
      </c>
      <c r="L390" s="286" t="s">
        <v>53</v>
      </c>
      <c r="M390" s="286" t="s">
        <v>53</v>
      </c>
      <c r="N390" s="287">
        <v>7083.33</v>
      </c>
      <c r="O390" s="305">
        <f t="shared" si="6"/>
        <v>44620</v>
      </c>
      <c r="P390" s="286" t="s">
        <v>201</v>
      </c>
    </row>
    <row r="391" spans="1:16" hidden="1" x14ac:dyDescent="0.15">
      <c r="A391" s="286">
        <v>1109</v>
      </c>
      <c r="B391" s="288">
        <v>44616.78402777778</v>
      </c>
      <c r="C391" s="286" t="s">
        <v>1280</v>
      </c>
      <c r="D391" s="286" t="s">
        <v>1105</v>
      </c>
      <c r="E391" s="286" t="s">
        <v>1106</v>
      </c>
      <c r="F391" s="286" t="s">
        <v>1281</v>
      </c>
      <c r="G391" s="286" t="s">
        <v>53</v>
      </c>
      <c r="H391" s="286" t="s">
        <v>53</v>
      </c>
      <c r="I391" s="286" t="s">
        <v>1109</v>
      </c>
      <c r="J391" s="286" t="s">
        <v>53</v>
      </c>
      <c r="K391" s="286" t="s">
        <v>53</v>
      </c>
      <c r="L391" s="286" t="s">
        <v>53</v>
      </c>
      <c r="M391" s="286" t="s">
        <v>53</v>
      </c>
      <c r="N391" s="287">
        <v>3822.92</v>
      </c>
      <c r="O391" s="305">
        <f t="shared" si="6"/>
        <v>44620</v>
      </c>
    </row>
    <row r="392" spans="1:16" hidden="1" x14ac:dyDescent="0.15">
      <c r="A392" s="286">
        <v>1109</v>
      </c>
      <c r="B392" s="288">
        <v>44616.78402777778</v>
      </c>
      <c r="C392" s="286" t="s">
        <v>1280</v>
      </c>
      <c r="D392" s="286" t="s">
        <v>1105</v>
      </c>
      <c r="E392" s="286" t="s">
        <v>1106</v>
      </c>
      <c r="F392" s="286" t="s">
        <v>1281</v>
      </c>
      <c r="G392" s="286" t="s">
        <v>53</v>
      </c>
      <c r="H392" s="286" t="s">
        <v>53</v>
      </c>
      <c r="I392" s="286" t="s">
        <v>1279</v>
      </c>
      <c r="J392" s="286" t="s">
        <v>53</v>
      </c>
      <c r="K392" s="286" t="s">
        <v>53</v>
      </c>
      <c r="L392" s="286" t="s">
        <v>53</v>
      </c>
      <c r="M392" s="286" t="s">
        <v>53</v>
      </c>
      <c r="N392" s="287">
        <v>761.65</v>
      </c>
      <c r="O392" s="305">
        <f t="shared" si="6"/>
        <v>44620</v>
      </c>
      <c r="P392" s="286" t="s">
        <v>58</v>
      </c>
    </row>
    <row r="393" spans="1:16" hidden="1" x14ac:dyDescent="0.15">
      <c r="A393" s="286">
        <v>1109</v>
      </c>
      <c r="B393" s="288">
        <v>44616.78402777778</v>
      </c>
      <c r="C393" s="286" t="s">
        <v>1280</v>
      </c>
      <c r="D393" s="286" t="s">
        <v>1105</v>
      </c>
      <c r="E393" s="286" t="s">
        <v>1106</v>
      </c>
      <c r="F393" s="286" t="s">
        <v>1281</v>
      </c>
      <c r="G393" s="286" t="s">
        <v>53</v>
      </c>
      <c r="H393" s="286" t="s">
        <v>53</v>
      </c>
      <c r="I393" s="286" t="s">
        <v>1129</v>
      </c>
      <c r="J393" s="286" t="s">
        <v>53</v>
      </c>
      <c r="K393" s="286" t="s">
        <v>53</v>
      </c>
      <c r="L393" s="286" t="s">
        <v>53</v>
      </c>
      <c r="M393" s="286" t="s">
        <v>53</v>
      </c>
      <c r="N393" s="287">
        <v>194.68</v>
      </c>
      <c r="O393" s="305">
        <f t="shared" si="6"/>
        <v>44620</v>
      </c>
      <c r="P393" s="286" t="s">
        <v>164</v>
      </c>
    </row>
    <row r="394" spans="1:16" hidden="1" x14ac:dyDescent="0.15">
      <c r="A394" s="286">
        <v>1110</v>
      </c>
      <c r="B394" s="288">
        <v>44616.78402777778</v>
      </c>
      <c r="C394" s="286" t="s">
        <v>1283</v>
      </c>
      <c r="D394" s="286" t="s">
        <v>1105</v>
      </c>
      <c r="E394" s="286" t="s">
        <v>1106</v>
      </c>
      <c r="F394" s="286" t="s">
        <v>1284</v>
      </c>
      <c r="G394" s="286" t="s">
        <v>53</v>
      </c>
      <c r="H394" s="286" t="s">
        <v>53</v>
      </c>
      <c r="I394" s="286" t="s">
        <v>1235</v>
      </c>
      <c r="J394" s="286" t="s">
        <v>53</v>
      </c>
      <c r="K394" s="286" t="s">
        <v>53</v>
      </c>
      <c r="L394" s="286" t="s">
        <v>53</v>
      </c>
      <c r="M394" s="286" t="s">
        <v>53</v>
      </c>
      <c r="N394" s="287">
        <v>186995</v>
      </c>
      <c r="O394" s="305">
        <f t="shared" si="6"/>
        <v>44620</v>
      </c>
      <c r="P394" s="286" t="s">
        <v>180</v>
      </c>
    </row>
    <row r="395" spans="1:16" hidden="1" x14ac:dyDescent="0.15">
      <c r="A395" s="286">
        <v>1110</v>
      </c>
      <c r="B395" s="288">
        <v>44616.78402777778</v>
      </c>
      <c r="C395" s="286" t="s">
        <v>1283</v>
      </c>
      <c r="D395" s="286" t="s">
        <v>1105</v>
      </c>
      <c r="E395" s="286" t="s">
        <v>1106</v>
      </c>
      <c r="F395" s="286" t="s">
        <v>1284</v>
      </c>
      <c r="G395" s="286" t="s">
        <v>53</v>
      </c>
      <c r="H395" s="286" t="s">
        <v>53</v>
      </c>
      <c r="I395" s="286" t="s">
        <v>1199</v>
      </c>
      <c r="J395" s="286" t="s">
        <v>53</v>
      </c>
      <c r="K395" s="286" t="s">
        <v>53</v>
      </c>
      <c r="L395" s="286" t="s">
        <v>53</v>
      </c>
      <c r="M395" s="286" t="s">
        <v>53</v>
      </c>
      <c r="N395" s="287">
        <v>112813.01</v>
      </c>
      <c r="O395" s="305">
        <f t="shared" si="6"/>
        <v>44620</v>
      </c>
      <c r="P395" s="286" t="s">
        <v>58</v>
      </c>
    </row>
    <row r="396" spans="1:16" hidden="1" x14ac:dyDescent="0.15">
      <c r="A396" s="286">
        <v>1110</v>
      </c>
      <c r="B396" s="288">
        <v>44616.78402777778</v>
      </c>
      <c r="C396" s="286" t="s">
        <v>1283</v>
      </c>
      <c r="D396" s="286" t="s">
        <v>1105</v>
      </c>
      <c r="E396" s="286" t="s">
        <v>1106</v>
      </c>
      <c r="F396" s="286" t="s">
        <v>1284</v>
      </c>
      <c r="G396" s="286" t="s">
        <v>53</v>
      </c>
      <c r="H396" s="286" t="s">
        <v>53</v>
      </c>
      <c r="I396" s="286" t="s">
        <v>1108</v>
      </c>
      <c r="J396" s="286" t="s">
        <v>53</v>
      </c>
      <c r="K396" s="286" t="s">
        <v>53</v>
      </c>
      <c r="L396" s="286" t="s">
        <v>53</v>
      </c>
      <c r="M396" s="286" t="s">
        <v>53</v>
      </c>
      <c r="N396" s="287">
        <v>101314</v>
      </c>
      <c r="O396" s="305">
        <f t="shared" si="6"/>
        <v>44620</v>
      </c>
      <c r="P396" s="286" t="s">
        <v>37</v>
      </c>
    </row>
    <row r="397" spans="1:16" hidden="1" x14ac:dyDescent="0.15">
      <c r="A397" s="286">
        <v>1110</v>
      </c>
      <c r="B397" s="288">
        <v>44616.78402777778</v>
      </c>
      <c r="C397" s="286" t="s">
        <v>1283</v>
      </c>
      <c r="D397" s="286" t="s">
        <v>1105</v>
      </c>
      <c r="E397" s="286" t="s">
        <v>1106</v>
      </c>
      <c r="F397" s="286" t="s">
        <v>1284</v>
      </c>
      <c r="G397" s="286" t="s">
        <v>53</v>
      </c>
      <c r="H397" s="286" t="s">
        <v>53</v>
      </c>
      <c r="I397" s="286" t="s">
        <v>1228</v>
      </c>
      <c r="J397" s="286" t="s">
        <v>53</v>
      </c>
      <c r="K397" s="286" t="s">
        <v>53</v>
      </c>
      <c r="L397" s="286" t="s">
        <v>53</v>
      </c>
      <c r="M397" s="286" t="s">
        <v>53</v>
      </c>
      <c r="N397" s="287">
        <v>71617.929999999993</v>
      </c>
      <c r="O397" s="305">
        <f t="shared" si="6"/>
        <v>44620</v>
      </c>
      <c r="P397" s="286" t="s">
        <v>58</v>
      </c>
    </row>
    <row r="398" spans="1:16" hidden="1" x14ac:dyDescent="0.15">
      <c r="A398" s="286">
        <v>1110</v>
      </c>
      <c r="B398" s="288">
        <v>44616.78402777778</v>
      </c>
      <c r="C398" s="286" t="s">
        <v>1283</v>
      </c>
      <c r="D398" s="286" t="s">
        <v>1105</v>
      </c>
      <c r="E398" s="286" t="s">
        <v>1106</v>
      </c>
      <c r="F398" s="286" t="s">
        <v>1284</v>
      </c>
      <c r="G398" s="286" t="s">
        <v>53</v>
      </c>
      <c r="H398" s="286" t="s">
        <v>53</v>
      </c>
      <c r="I398" s="286" t="s">
        <v>1229</v>
      </c>
      <c r="J398" s="286" t="s">
        <v>53</v>
      </c>
      <c r="K398" s="286" t="s">
        <v>53</v>
      </c>
      <c r="L398" s="286" t="s">
        <v>53</v>
      </c>
      <c r="M398" s="286" t="s">
        <v>53</v>
      </c>
      <c r="N398" s="287">
        <v>39990</v>
      </c>
      <c r="O398" s="305">
        <f t="shared" si="6"/>
        <v>44620</v>
      </c>
      <c r="P398" s="286" t="s">
        <v>279</v>
      </c>
    </row>
    <row r="399" spans="1:16" hidden="1" x14ac:dyDescent="0.15">
      <c r="A399" s="286">
        <v>1110</v>
      </c>
      <c r="B399" s="288">
        <v>44616.78402777778</v>
      </c>
      <c r="C399" s="286" t="s">
        <v>1283</v>
      </c>
      <c r="D399" s="286" t="s">
        <v>1105</v>
      </c>
      <c r="E399" s="286" t="s">
        <v>1106</v>
      </c>
      <c r="F399" s="286" t="s">
        <v>1284</v>
      </c>
      <c r="G399" s="286" t="s">
        <v>53</v>
      </c>
      <c r="H399" s="286" t="s">
        <v>53</v>
      </c>
      <c r="I399" s="286" t="s">
        <v>1204</v>
      </c>
      <c r="J399" s="286" t="s">
        <v>53</v>
      </c>
      <c r="K399" s="286" t="s">
        <v>53</v>
      </c>
      <c r="L399" s="286" t="s">
        <v>53</v>
      </c>
      <c r="M399" s="286" t="s">
        <v>53</v>
      </c>
      <c r="N399" s="287">
        <v>29283</v>
      </c>
      <c r="O399" s="305">
        <f t="shared" si="6"/>
        <v>44620</v>
      </c>
      <c r="P399" s="286" t="s">
        <v>49</v>
      </c>
    </row>
    <row r="400" spans="1:16" hidden="1" x14ac:dyDescent="0.15">
      <c r="A400" s="286">
        <v>1110</v>
      </c>
      <c r="B400" s="288">
        <v>44616.78402777778</v>
      </c>
      <c r="C400" s="286" t="s">
        <v>1283</v>
      </c>
      <c r="D400" s="286" t="s">
        <v>1105</v>
      </c>
      <c r="E400" s="286" t="s">
        <v>1106</v>
      </c>
      <c r="F400" s="286" t="s">
        <v>1284</v>
      </c>
      <c r="G400" s="286" t="s">
        <v>53</v>
      </c>
      <c r="H400" s="286" t="s">
        <v>53</v>
      </c>
      <c r="I400" s="286" t="s">
        <v>1128</v>
      </c>
      <c r="J400" s="286" t="s">
        <v>53</v>
      </c>
      <c r="K400" s="286" t="s">
        <v>53</v>
      </c>
      <c r="L400" s="286" t="s">
        <v>53</v>
      </c>
      <c r="M400" s="286" t="s">
        <v>53</v>
      </c>
      <c r="N400" s="287">
        <v>20435</v>
      </c>
      <c r="O400" s="305">
        <f t="shared" si="6"/>
        <v>44620</v>
      </c>
      <c r="P400" s="286" t="s">
        <v>47</v>
      </c>
    </row>
    <row r="401" spans="1:16" hidden="1" x14ac:dyDescent="0.15">
      <c r="A401" s="286">
        <v>1110</v>
      </c>
      <c r="B401" s="288">
        <v>44616.78402777778</v>
      </c>
      <c r="C401" s="286" t="s">
        <v>1283</v>
      </c>
      <c r="D401" s="286" t="s">
        <v>1105</v>
      </c>
      <c r="E401" s="286" t="s">
        <v>1106</v>
      </c>
      <c r="F401" s="286" t="s">
        <v>1284</v>
      </c>
      <c r="G401" s="286" t="s">
        <v>53</v>
      </c>
      <c r="H401" s="286" t="s">
        <v>53</v>
      </c>
      <c r="I401" s="286" t="s">
        <v>1112</v>
      </c>
      <c r="J401" s="286" t="s">
        <v>53</v>
      </c>
      <c r="K401" s="286" t="s">
        <v>53</v>
      </c>
      <c r="L401" s="286" t="s">
        <v>53</v>
      </c>
      <c r="M401" s="286" t="s">
        <v>53</v>
      </c>
      <c r="N401" s="287">
        <v>19535.650000000001</v>
      </c>
      <c r="O401" s="305">
        <f t="shared" si="6"/>
        <v>44620</v>
      </c>
      <c r="P401" s="286" t="s">
        <v>175</v>
      </c>
    </row>
    <row r="402" spans="1:16" hidden="1" x14ac:dyDescent="0.15">
      <c r="A402" s="286">
        <v>1110</v>
      </c>
      <c r="B402" s="288">
        <v>44616.78402777778</v>
      </c>
      <c r="C402" s="286" t="s">
        <v>1283</v>
      </c>
      <c r="D402" s="286" t="s">
        <v>1105</v>
      </c>
      <c r="E402" s="286" t="s">
        <v>1106</v>
      </c>
      <c r="F402" s="286" t="s">
        <v>1284</v>
      </c>
      <c r="G402" s="286" t="s">
        <v>53</v>
      </c>
      <c r="H402" s="286" t="s">
        <v>53</v>
      </c>
      <c r="I402" s="286" t="s">
        <v>1152</v>
      </c>
      <c r="J402" s="286" t="s">
        <v>53</v>
      </c>
      <c r="K402" s="286" t="s">
        <v>53</v>
      </c>
      <c r="L402" s="286" t="s">
        <v>53</v>
      </c>
      <c r="M402" s="286" t="s">
        <v>53</v>
      </c>
      <c r="N402" s="287">
        <v>14809.88</v>
      </c>
      <c r="O402" s="305">
        <f t="shared" si="6"/>
        <v>44620</v>
      </c>
      <c r="P402" s="111" t="s">
        <v>58</v>
      </c>
    </row>
    <row r="403" spans="1:16" hidden="1" x14ac:dyDescent="0.15">
      <c r="A403" s="286">
        <v>1110</v>
      </c>
      <c r="B403" s="288">
        <v>44616.78402777778</v>
      </c>
      <c r="C403" s="286" t="s">
        <v>1283</v>
      </c>
      <c r="D403" s="286" t="s">
        <v>1105</v>
      </c>
      <c r="E403" s="286" t="s">
        <v>1106</v>
      </c>
      <c r="F403" s="286" t="s">
        <v>1284</v>
      </c>
      <c r="G403" s="286" t="s">
        <v>53</v>
      </c>
      <c r="H403" s="286" t="s">
        <v>53</v>
      </c>
      <c r="I403" s="286" t="s">
        <v>1282</v>
      </c>
      <c r="J403" s="286" t="s">
        <v>53</v>
      </c>
      <c r="K403" s="286" t="s">
        <v>53</v>
      </c>
      <c r="L403" s="286" t="s">
        <v>53</v>
      </c>
      <c r="M403" s="286" t="s">
        <v>53</v>
      </c>
      <c r="N403" s="287">
        <v>13461.09</v>
      </c>
      <c r="O403" s="305">
        <f t="shared" si="6"/>
        <v>44620</v>
      </c>
      <c r="P403" s="286" t="s">
        <v>201</v>
      </c>
    </row>
    <row r="404" spans="1:16" hidden="1" x14ac:dyDescent="0.15">
      <c r="A404" s="286">
        <v>1110</v>
      </c>
      <c r="B404" s="288">
        <v>44616.78402777778</v>
      </c>
      <c r="C404" s="286" t="s">
        <v>1283</v>
      </c>
      <c r="D404" s="286" t="s">
        <v>1105</v>
      </c>
      <c r="E404" s="286" t="s">
        <v>1106</v>
      </c>
      <c r="F404" s="286" t="s">
        <v>1284</v>
      </c>
      <c r="G404" s="286" t="s">
        <v>53</v>
      </c>
      <c r="H404" s="286" t="s">
        <v>53</v>
      </c>
      <c r="I404" s="286" t="s">
        <v>1211</v>
      </c>
      <c r="J404" s="286" t="s">
        <v>53</v>
      </c>
      <c r="K404" s="286" t="s">
        <v>53</v>
      </c>
      <c r="L404" s="286" t="s">
        <v>53</v>
      </c>
      <c r="M404" s="286" t="s">
        <v>53</v>
      </c>
      <c r="N404" s="287">
        <v>8045</v>
      </c>
      <c r="O404" s="305">
        <f t="shared" si="6"/>
        <v>44620</v>
      </c>
      <c r="P404" s="286" t="s">
        <v>452</v>
      </c>
    </row>
    <row r="405" spans="1:16" hidden="1" x14ac:dyDescent="0.15">
      <c r="A405" s="286">
        <v>1110</v>
      </c>
      <c r="B405" s="288">
        <v>44616.78402777778</v>
      </c>
      <c r="C405" s="286" t="s">
        <v>1283</v>
      </c>
      <c r="D405" s="286" t="s">
        <v>1105</v>
      </c>
      <c r="E405" s="286" t="s">
        <v>1106</v>
      </c>
      <c r="F405" s="286" t="s">
        <v>1284</v>
      </c>
      <c r="G405" s="286" t="s">
        <v>53</v>
      </c>
      <c r="H405" s="286" t="s">
        <v>53</v>
      </c>
      <c r="I405" s="286" t="s">
        <v>1274</v>
      </c>
      <c r="J405" s="286" t="s">
        <v>53</v>
      </c>
      <c r="K405" s="286" t="s">
        <v>53</v>
      </c>
      <c r="L405" s="286" t="s">
        <v>53</v>
      </c>
      <c r="M405" s="286" t="s">
        <v>53</v>
      </c>
      <c r="N405" s="287">
        <v>7083.33</v>
      </c>
      <c r="O405" s="305">
        <f t="shared" si="6"/>
        <v>44620</v>
      </c>
      <c r="P405" s="286" t="s">
        <v>201</v>
      </c>
    </row>
    <row r="406" spans="1:16" hidden="1" x14ac:dyDescent="0.15">
      <c r="A406" s="286">
        <v>1110</v>
      </c>
      <c r="B406" s="288">
        <v>44616.78402777778</v>
      </c>
      <c r="C406" s="286" t="s">
        <v>1283</v>
      </c>
      <c r="D406" s="286" t="s">
        <v>1105</v>
      </c>
      <c r="E406" s="286" t="s">
        <v>1106</v>
      </c>
      <c r="F406" s="286" t="s">
        <v>1284</v>
      </c>
      <c r="G406" s="286" t="s">
        <v>53</v>
      </c>
      <c r="H406" s="286" t="s">
        <v>53</v>
      </c>
      <c r="I406" s="286" t="s">
        <v>1129</v>
      </c>
      <c r="J406" s="286" t="s">
        <v>53</v>
      </c>
      <c r="K406" s="286" t="s">
        <v>53</v>
      </c>
      <c r="L406" s="286" t="s">
        <v>53</v>
      </c>
      <c r="M406" s="286" t="s">
        <v>53</v>
      </c>
      <c r="N406" s="287">
        <v>1851.14</v>
      </c>
      <c r="O406" s="305">
        <f t="shared" si="6"/>
        <v>44620</v>
      </c>
      <c r="P406" s="286" t="s">
        <v>164</v>
      </c>
    </row>
    <row r="407" spans="1:16" hidden="1" x14ac:dyDescent="0.15">
      <c r="A407" s="286">
        <v>1110</v>
      </c>
      <c r="B407" s="288">
        <v>44616.78402777778</v>
      </c>
      <c r="C407" s="286" t="s">
        <v>1283</v>
      </c>
      <c r="D407" s="286" t="s">
        <v>1105</v>
      </c>
      <c r="E407" s="286" t="s">
        <v>1106</v>
      </c>
      <c r="F407" s="286" t="s">
        <v>1284</v>
      </c>
      <c r="G407" s="286" t="s">
        <v>53</v>
      </c>
      <c r="H407" s="286" t="s">
        <v>53</v>
      </c>
      <c r="I407" s="286" t="s">
        <v>1279</v>
      </c>
      <c r="J407" s="286" t="s">
        <v>53</v>
      </c>
      <c r="K407" s="286" t="s">
        <v>53</v>
      </c>
      <c r="L407" s="286" t="s">
        <v>53</v>
      </c>
      <c r="M407" s="286" t="s">
        <v>53</v>
      </c>
      <c r="N407" s="287">
        <v>1523.33</v>
      </c>
      <c r="O407" s="305">
        <f t="shared" si="6"/>
        <v>44620</v>
      </c>
      <c r="P407" s="286" t="s">
        <v>58</v>
      </c>
    </row>
    <row r="408" spans="1:16" hidden="1" x14ac:dyDescent="0.15">
      <c r="A408" s="286">
        <v>1111</v>
      </c>
      <c r="B408" s="288">
        <v>44616.78402777778</v>
      </c>
      <c r="C408" s="286" t="s">
        <v>1285</v>
      </c>
      <c r="D408" s="286" t="s">
        <v>1105</v>
      </c>
      <c r="E408" s="286" t="s">
        <v>1106</v>
      </c>
      <c r="F408" s="286" t="s">
        <v>1286</v>
      </c>
      <c r="G408" s="286" t="s">
        <v>53</v>
      </c>
      <c r="H408" s="286" t="s">
        <v>53</v>
      </c>
      <c r="I408" s="286" t="s">
        <v>1108</v>
      </c>
      <c r="J408" s="286" t="s">
        <v>53</v>
      </c>
      <c r="K408" s="286" t="s">
        <v>53</v>
      </c>
      <c r="L408" s="286" t="s">
        <v>53</v>
      </c>
      <c r="M408" s="286" t="s">
        <v>53</v>
      </c>
      <c r="N408" s="287">
        <v>136810</v>
      </c>
      <c r="O408" s="305">
        <f t="shared" si="6"/>
        <v>44620</v>
      </c>
      <c r="P408" s="286" t="s">
        <v>37</v>
      </c>
    </row>
    <row r="409" spans="1:16" hidden="1" x14ac:dyDescent="0.15">
      <c r="A409" s="286">
        <v>1111</v>
      </c>
      <c r="B409" s="288">
        <v>44616.78402777778</v>
      </c>
      <c r="C409" s="286" t="s">
        <v>1285</v>
      </c>
      <c r="D409" s="286" t="s">
        <v>1105</v>
      </c>
      <c r="E409" s="286" t="s">
        <v>1106</v>
      </c>
      <c r="F409" s="286" t="s">
        <v>1286</v>
      </c>
      <c r="G409" s="286" t="s">
        <v>53</v>
      </c>
      <c r="H409" s="286" t="s">
        <v>53</v>
      </c>
      <c r="I409" s="286" t="s">
        <v>1199</v>
      </c>
      <c r="J409" s="286" t="s">
        <v>53</v>
      </c>
      <c r="K409" s="286" t="s">
        <v>53</v>
      </c>
      <c r="L409" s="286" t="s">
        <v>53</v>
      </c>
      <c r="M409" s="286" t="s">
        <v>53</v>
      </c>
      <c r="N409" s="287">
        <v>112813.01</v>
      </c>
      <c r="O409" s="305">
        <f t="shared" si="6"/>
        <v>44620</v>
      </c>
      <c r="P409" s="286" t="s">
        <v>58</v>
      </c>
    </row>
    <row r="410" spans="1:16" hidden="1" x14ac:dyDescent="0.15">
      <c r="A410" s="286">
        <v>1111</v>
      </c>
      <c r="B410" s="288">
        <v>44616.78402777778</v>
      </c>
      <c r="C410" s="286" t="s">
        <v>1285</v>
      </c>
      <c r="D410" s="286" t="s">
        <v>1105</v>
      </c>
      <c r="E410" s="286" t="s">
        <v>1106</v>
      </c>
      <c r="F410" s="286" t="s">
        <v>1286</v>
      </c>
      <c r="G410" s="286" t="s">
        <v>53</v>
      </c>
      <c r="H410" s="286" t="s">
        <v>53</v>
      </c>
      <c r="I410" s="286" t="s">
        <v>1228</v>
      </c>
      <c r="J410" s="286" t="s">
        <v>53</v>
      </c>
      <c r="K410" s="286" t="s">
        <v>53</v>
      </c>
      <c r="L410" s="286" t="s">
        <v>53</v>
      </c>
      <c r="M410" s="286" t="s">
        <v>53</v>
      </c>
      <c r="N410" s="287">
        <v>73617.570000000007</v>
      </c>
      <c r="O410" s="305">
        <f t="shared" si="6"/>
        <v>44620</v>
      </c>
      <c r="P410" s="286" t="s">
        <v>58</v>
      </c>
    </row>
    <row r="411" spans="1:16" hidden="1" x14ac:dyDescent="0.15">
      <c r="A411" s="286">
        <v>1111</v>
      </c>
      <c r="B411" s="288">
        <v>44616.78402777778</v>
      </c>
      <c r="C411" s="286" t="s">
        <v>1285</v>
      </c>
      <c r="D411" s="286" t="s">
        <v>1105</v>
      </c>
      <c r="E411" s="286" t="s">
        <v>1106</v>
      </c>
      <c r="F411" s="286" t="s">
        <v>1286</v>
      </c>
      <c r="G411" s="286" t="s">
        <v>53</v>
      </c>
      <c r="H411" s="286" t="s">
        <v>53</v>
      </c>
      <c r="I411" s="286" t="s">
        <v>1112</v>
      </c>
      <c r="J411" s="286" t="s">
        <v>53</v>
      </c>
      <c r="K411" s="286" t="s">
        <v>53</v>
      </c>
      <c r="L411" s="286" t="s">
        <v>53</v>
      </c>
      <c r="M411" s="286" t="s">
        <v>53</v>
      </c>
      <c r="N411" s="287">
        <v>25403</v>
      </c>
      <c r="O411" s="305">
        <f t="shared" si="6"/>
        <v>44620</v>
      </c>
      <c r="P411" s="286" t="s">
        <v>175</v>
      </c>
    </row>
    <row r="412" spans="1:16" hidden="1" x14ac:dyDescent="0.15">
      <c r="A412" s="286">
        <v>1111</v>
      </c>
      <c r="B412" s="288">
        <v>44616.78402777778</v>
      </c>
      <c r="C412" s="286" t="s">
        <v>1285</v>
      </c>
      <c r="D412" s="286" t="s">
        <v>1105</v>
      </c>
      <c r="E412" s="286" t="s">
        <v>1106</v>
      </c>
      <c r="F412" s="286" t="s">
        <v>1286</v>
      </c>
      <c r="G412" s="286" t="s">
        <v>53</v>
      </c>
      <c r="H412" s="286" t="s">
        <v>53</v>
      </c>
      <c r="I412" s="286" t="s">
        <v>1128</v>
      </c>
      <c r="J412" s="286" t="s">
        <v>53</v>
      </c>
      <c r="K412" s="286" t="s">
        <v>53</v>
      </c>
      <c r="L412" s="286" t="s">
        <v>53</v>
      </c>
      <c r="M412" s="286" t="s">
        <v>53</v>
      </c>
      <c r="N412" s="287">
        <v>22580</v>
      </c>
      <c r="O412" s="305">
        <f t="shared" si="6"/>
        <v>44620</v>
      </c>
      <c r="P412" s="286" t="s">
        <v>47</v>
      </c>
    </row>
    <row r="413" spans="1:16" hidden="1" x14ac:dyDescent="0.15">
      <c r="A413" s="286">
        <v>1111</v>
      </c>
      <c r="B413" s="288">
        <v>44616.78402777778</v>
      </c>
      <c r="C413" s="286" t="s">
        <v>1285</v>
      </c>
      <c r="D413" s="286" t="s">
        <v>1105</v>
      </c>
      <c r="E413" s="286" t="s">
        <v>1106</v>
      </c>
      <c r="F413" s="286" t="s">
        <v>1286</v>
      </c>
      <c r="G413" s="286" t="s">
        <v>53</v>
      </c>
      <c r="H413" s="286" t="s">
        <v>53</v>
      </c>
      <c r="I413" s="286" t="s">
        <v>1282</v>
      </c>
      <c r="J413" s="286" t="s">
        <v>53</v>
      </c>
      <c r="K413" s="286" t="s">
        <v>53</v>
      </c>
      <c r="L413" s="286" t="s">
        <v>53</v>
      </c>
      <c r="M413" s="286" t="s">
        <v>53</v>
      </c>
      <c r="N413" s="287">
        <v>18253.11</v>
      </c>
      <c r="O413" s="305">
        <f t="shared" si="6"/>
        <v>44620</v>
      </c>
      <c r="P413" s="286" t="s">
        <v>201</v>
      </c>
    </row>
    <row r="414" spans="1:16" hidden="1" x14ac:dyDescent="0.15">
      <c r="A414" s="286">
        <v>1111</v>
      </c>
      <c r="B414" s="288">
        <v>44616.78402777778</v>
      </c>
      <c r="C414" s="286" t="s">
        <v>1285</v>
      </c>
      <c r="D414" s="286" t="s">
        <v>1105</v>
      </c>
      <c r="E414" s="286" t="s">
        <v>1106</v>
      </c>
      <c r="F414" s="286" t="s">
        <v>1286</v>
      </c>
      <c r="G414" s="286" t="s">
        <v>53</v>
      </c>
      <c r="H414" s="286" t="s">
        <v>53</v>
      </c>
      <c r="I414" s="286" t="s">
        <v>1152</v>
      </c>
      <c r="J414" s="286" t="s">
        <v>53</v>
      </c>
      <c r="K414" s="286" t="s">
        <v>53</v>
      </c>
      <c r="L414" s="286" t="s">
        <v>53</v>
      </c>
      <c r="M414" s="286" t="s">
        <v>53</v>
      </c>
      <c r="N414" s="287">
        <v>13978.22</v>
      </c>
      <c r="O414" s="305">
        <f t="shared" si="6"/>
        <v>44620</v>
      </c>
      <c r="P414" s="111" t="s">
        <v>58</v>
      </c>
    </row>
    <row r="415" spans="1:16" hidden="1" x14ac:dyDescent="0.15">
      <c r="A415" s="286">
        <v>1111</v>
      </c>
      <c r="B415" s="288">
        <v>44616.78402777778</v>
      </c>
      <c r="C415" s="286" t="s">
        <v>1285</v>
      </c>
      <c r="D415" s="286" t="s">
        <v>1105</v>
      </c>
      <c r="E415" s="286" t="s">
        <v>1106</v>
      </c>
      <c r="F415" s="286" t="s">
        <v>1286</v>
      </c>
      <c r="G415" s="286" t="s">
        <v>53</v>
      </c>
      <c r="H415" s="286" t="s">
        <v>53</v>
      </c>
      <c r="I415" s="286" t="s">
        <v>1109</v>
      </c>
      <c r="J415" s="286" t="s">
        <v>53</v>
      </c>
      <c r="K415" s="286" t="s">
        <v>53</v>
      </c>
      <c r="L415" s="286" t="s">
        <v>53</v>
      </c>
      <c r="M415" s="286" t="s">
        <v>53</v>
      </c>
      <c r="N415" s="287">
        <v>13370.7</v>
      </c>
      <c r="O415" s="305">
        <f t="shared" si="6"/>
        <v>44620</v>
      </c>
    </row>
    <row r="416" spans="1:16" hidden="1" x14ac:dyDescent="0.15">
      <c r="A416" s="286">
        <v>1111</v>
      </c>
      <c r="B416" s="288">
        <v>44616.78402777778</v>
      </c>
      <c r="C416" s="286" t="s">
        <v>1285</v>
      </c>
      <c r="D416" s="286" t="s">
        <v>1105</v>
      </c>
      <c r="E416" s="286" t="s">
        <v>1106</v>
      </c>
      <c r="F416" s="286" t="s">
        <v>1286</v>
      </c>
      <c r="G416" s="286" t="s">
        <v>53</v>
      </c>
      <c r="H416" s="286" t="s">
        <v>53</v>
      </c>
      <c r="I416" s="286" t="s">
        <v>1121</v>
      </c>
      <c r="J416" s="286" t="s">
        <v>53</v>
      </c>
      <c r="K416" s="286" t="s">
        <v>53</v>
      </c>
      <c r="L416" s="286" t="s">
        <v>53</v>
      </c>
      <c r="M416" s="286" t="s">
        <v>53</v>
      </c>
      <c r="N416" s="287">
        <v>9362</v>
      </c>
      <c r="O416" s="305">
        <f t="shared" si="6"/>
        <v>44620</v>
      </c>
      <c r="P416" s="286" t="s">
        <v>248</v>
      </c>
    </row>
    <row r="417" spans="1:16" hidden="1" x14ac:dyDescent="0.15">
      <c r="A417" s="286">
        <v>1111</v>
      </c>
      <c r="B417" s="288">
        <v>44616.78402777778</v>
      </c>
      <c r="C417" s="286" t="s">
        <v>1285</v>
      </c>
      <c r="D417" s="286" t="s">
        <v>1105</v>
      </c>
      <c r="E417" s="286" t="s">
        <v>1106</v>
      </c>
      <c r="F417" s="286" t="s">
        <v>1286</v>
      </c>
      <c r="G417" s="286" t="s">
        <v>53</v>
      </c>
      <c r="H417" s="286" t="s">
        <v>53</v>
      </c>
      <c r="I417" s="286" t="s">
        <v>1204</v>
      </c>
      <c r="J417" s="286" t="s">
        <v>53</v>
      </c>
      <c r="K417" s="286" t="s">
        <v>53</v>
      </c>
      <c r="L417" s="286" t="s">
        <v>53</v>
      </c>
      <c r="M417" s="286" t="s">
        <v>53</v>
      </c>
      <c r="N417" s="287">
        <v>8053</v>
      </c>
      <c r="O417" s="305">
        <f t="shared" si="6"/>
        <v>44620</v>
      </c>
      <c r="P417" s="286" t="s">
        <v>49</v>
      </c>
    </row>
    <row r="418" spans="1:16" hidden="1" x14ac:dyDescent="0.15">
      <c r="A418" s="286">
        <v>1111</v>
      </c>
      <c r="B418" s="288">
        <v>44616.78402777778</v>
      </c>
      <c r="C418" s="286" t="s">
        <v>1285</v>
      </c>
      <c r="D418" s="286" t="s">
        <v>1105</v>
      </c>
      <c r="E418" s="286" t="s">
        <v>1106</v>
      </c>
      <c r="F418" s="286" t="s">
        <v>1286</v>
      </c>
      <c r="G418" s="286" t="s">
        <v>53</v>
      </c>
      <c r="H418" s="286" t="s">
        <v>53</v>
      </c>
      <c r="I418" s="286" t="s">
        <v>1274</v>
      </c>
      <c r="J418" s="286" t="s">
        <v>53</v>
      </c>
      <c r="K418" s="286" t="s">
        <v>53</v>
      </c>
      <c r="L418" s="286" t="s">
        <v>53</v>
      </c>
      <c r="M418" s="286" t="s">
        <v>53</v>
      </c>
      <c r="N418" s="287">
        <v>7083</v>
      </c>
      <c r="O418" s="305">
        <f t="shared" si="6"/>
        <v>44620</v>
      </c>
      <c r="P418" s="286" t="s">
        <v>201</v>
      </c>
    </row>
    <row r="419" spans="1:16" hidden="1" x14ac:dyDescent="0.15">
      <c r="A419" s="286">
        <v>1111</v>
      </c>
      <c r="B419" s="288">
        <v>44616.78402777778</v>
      </c>
      <c r="C419" s="286" t="s">
        <v>1285</v>
      </c>
      <c r="D419" s="286" t="s">
        <v>1105</v>
      </c>
      <c r="E419" s="286" t="s">
        <v>1106</v>
      </c>
      <c r="F419" s="286" t="s">
        <v>1286</v>
      </c>
      <c r="G419" s="286" t="s">
        <v>53</v>
      </c>
      <c r="H419" s="286" t="s">
        <v>53</v>
      </c>
      <c r="I419" s="286" t="s">
        <v>1129</v>
      </c>
      <c r="J419" s="286" t="s">
        <v>53</v>
      </c>
      <c r="K419" s="286" t="s">
        <v>53</v>
      </c>
      <c r="L419" s="286" t="s">
        <v>53</v>
      </c>
      <c r="M419" s="286" t="s">
        <v>53</v>
      </c>
      <c r="N419" s="287">
        <v>1680.1</v>
      </c>
      <c r="O419" s="305">
        <f t="shared" si="6"/>
        <v>44620</v>
      </c>
      <c r="P419" s="286" t="s">
        <v>164</v>
      </c>
    </row>
    <row r="420" spans="1:16" hidden="1" x14ac:dyDescent="0.15">
      <c r="A420" s="286">
        <v>1111</v>
      </c>
      <c r="B420" s="288">
        <v>44616.78402777778</v>
      </c>
      <c r="C420" s="286" t="s">
        <v>1285</v>
      </c>
      <c r="D420" s="286" t="s">
        <v>1105</v>
      </c>
      <c r="E420" s="286" t="s">
        <v>1106</v>
      </c>
      <c r="F420" s="286" t="s">
        <v>1286</v>
      </c>
      <c r="G420" s="286" t="s">
        <v>53</v>
      </c>
      <c r="H420" s="286" t="s">
        <v>53</v>
      </c>
      <c r="I420" s="286" t="s">
        <v>1279</v>
      </c>
      <c r="J420" s="286" t="s">
        <v>53</v>
      </c>
      <c r="K420" s="286" t="s">
        <v>53</v>
      </c>
      <c r="L420" s="286" t="s">
        <v>53</v>
      </c>
      <c r="M420" s="286" t="s">
        <v>53</v>
      </c>
      <c r="N420" s="287">
        <v>1523.33</v>
      </c>
      <c r="O420" s="305">
        <f t="shared" si="6"/>
        <v>44620</v>
      </c>
      <c r="P420" s="286" t="s">
        <v>58</v>
      </c>
    </row>
    <row r="421" spans="1:16" hidden="1" x14ac:dyDescent="0.15">
      <c r="A421" s="286">
        <v>1112</v>
      </c>
      <c r="B421" s="288">
        <v>44616.78402777778</v>
      </c>
      <c r="C421" s="286" t="s">
        <v>1287</v>
      </c>
      <c r="D421" s="286" t="s">
        <v>1105</v>
      </c>
      <c r="E421" s="286" t="s">
        <v>1106</v>
      </c>
      <c r="F421" s="286" t="s">
        <v>1288</v>
      </c>
      <c r="G421" s="286" t="s">
        <v>53</v>
      </c>
      <c r="H421" s="286" t="s">
        <v>53</v>
      </c>
      <c r="I421" s="286" t="s">
        <v>1108</v>
      </c>
      <c r="J421" s="286" t="s">
        <v>53</v>
      </c>
      <c r="K421" s="286" t="s">
        <v>53</v>
      </c>
      <c r="L421" s="286" t="s">
        <v>53</v>
      </c>
      <c r="M421" s="286" t="s">
        <v>53</v>
      </c>
      <c r="N421" s="287">
        <v>204042</v>
      </c>
      <c r="O421" s="305">
        <f t="shared" si="6"/>
        <v>44620</v>
      </c>
      <c r="P421" s="286" t="s">
        <v>37</v>
      </c>
    </row>
    <row r="422" spans="1:16" hidden="1" x14ac:dyDescent="0.15">
      <c r="A422" s="286">
        <v>1112</v>
      </c>
      <c r="B422" s="288">
        <v>44616.78402777778</v>
      </c>
      <c r="C422" s="286" t="s">
        <v>1287</v>
      </c>
      <c r="D422" s="286" t="s">
        <v>1105</v>
      </c>
      <c r="E422" s="286" t="s">
        <v>1106</v>
      </c>
      <c r="F422" s="286" t="s">
        <v>1288</v>
      </c>
      <c r="G422" s="286" t="s">
        <v>53</v>
      </c>
      <c r="H422" s="286" t="s">
        <v>53</v>
      </c>
      <c r="I422" s="286" t="s">
        <v>1199</v>
      </c>
      <c r="J422" s="286" t="s">
        <v>53</v>
      </c>
      <c r="K422" s="286" t="s">
        <v>53</v>
      </c>
      <c r="L422" s="286" t="s">
        <v>53</v>
      </c>
      <c r="M422" s="286" t="s">
        <v>53</v>
      </c>
      <c r="N422" s="287">
        <v>89119.28</v>
      </c>
      <c r="O422" s="305">
        <f t="shared" si="6"/>
        <v>44620</v>
      </c>
      <c r="P422" s="286" t="s">
        <v>58</v>
      </c>
    </row>
    <row r="423" spans="1:16" hidden="1" x14ac:dyDescent="0.15">
      <c r="A423" s="286">
        <v>1112</v>
      </c>
      <c r="B423" s="288">
        <v>44616.78402777778</v>
      </c>
      <c r="C423" s="286" t="s">
        <v>1287</v>
      </c>
      <c r="D423" s="286" t="s">
        <v>1105</v>
      </c>
      <c r="E423" s="286" t="s">
        <v>1106</v>
      </c>
      <c r="F423" s="286" t="s">
        <v>1288</v>
      </c>
      <c r="G423" s="286" t="s">
        <v>53</v>
      </c>
      <c r="H423" s="286" t="s">
        <v>53</v>
      </c>
      <c r="I423" s="286" t="s">
        <v>1228</v>
      </c>
      <c r="J423" s="286" t="s">
        <v>53</v>
      </c>
      <c r="K423" s="286" t="s">
        <v>53</v>
      </c>
      <c r="L423" s="286" t="s">
        <v>53</v>
      </c>
      <c r="M423" s="286" t="s">
        <v>53</v>
      </c>
      <c r="N423" s="287">
        <v>47023.47</v>
      </c>
      <c r="O423" s="305">
        <f t="shared" si="6"/>
        <v>44620</v>
      </c>
      <c r="P423" s="286" t="s">
        <v>58</v>
      </c>
    </row>
    <row r="424" spans="1:16" hidden="1" x14ac:dyDescent="0.15">
      <c r="A424" s="286">
        <v>1112</v>
      </c>
      <c r="B424" s="288">
        <v>44616.78402777778</v>
      </c>
      <c r="C424" s="286" t="s">
        <v>1287</v>
      </c>
      <c r="D424" s="286" t="s">
        <v>1105</v>
      </c>
      <c r="E424" s="286" t="s">
        <v>1106</v>
      </c>
      <c r="F424" s="286" t="s">
        <v>1288</v>
      </c>
      <c r="G424" s="286" t="s">
        <v>53</v>
      </c>
      <c r="H424" s="286" t="s">
        <v>53</v>
      </c>
      <c r="I424" s="286" t="s">
        <v>1128</v>
      </c>
      <c r="J424" s="286" t="s">
        <v>53</v>
      </c>
      <c r="K424" s="286" t="s">
        <v>53</v>
      </c>
      <c r="L424" s="286" t="s">
        <v>53</v>
      </c>
      <c r="M424" s="286" t="s">
        <v>53</v>
      </c>
      <c r="N424" s="287">
        <v>28313</v>
      </c>
      <c r="O424" s="305">
        <f t="shared" si="6"/>
        <v>44620</v>
      </c>
      <c r="P424" s="286" t="s">
        <v>47</v>
      </c>
    </row>
    <row r="425" spans="1:16" hidden="1" x14ac:dyDescent="0.15">
      <c r="A425" s="286">
        <v>1112</v>
      </c>
      <c r="B425" s="288">
        <v>44616.78402777778</v>
      </c>
      <c r="C425" s="286" t="s">
        <v>1287</v>
      </c>
      <c r="D425" s="286" t="s">
        <v>1105</v>
      </c>
      <c r="E425" s="286" t="s">
        <v>1106</v>
      </c>
      <c r="F425" s="286" t="s">
        <v>1288</v>
      </c>
      <c r="G425" s="286" t="s">
        <v>53</v>
      </c>
      <c r="H425" s="286" t="s">
        <v>53</v>
      </c>
      <c r="I425" s="286" t="s">
        <v>1112</v>
      </c>
      <c r="J425" s="286" t="s">
        <v>53</v>
      </c>
      <c r="K425" s="286" t="s">
        <v>53</v>
      </c>
      <c r="L425" s="286" t="s">
        <v>53</v>
      </c>
      <c r="M425" s="286" t="s">
        <v>53</v>
      </c>
      <c r="N425" s="287">
        <v>10905</v>
      </c>
      <c r="O425" s="305">
        <f t="shared" si="6"/>
        <v>44620</v>
      </c>
      <c r="P425" s="286" t="s">
        <v>175</v>
      </c>
    </row>
    <row r="426" spans="1:16" hidden="1" x14ac:dyDescent="0.15">
      <c r="A426" s="286">
        <v>1112</v>
      </c>
      <c r="B426" s="288">
        <v>44616.78402777778</v>
      </c>
      <c r="C426" s="286" t="s">
        <v>1287</v>
      </c>
      <c r="D426" s="286" t="s">
        <v>1105</v>
      </c>
      <c r="E426" s="286" t="s">
        <v>1106</v>
      </c>
      <c r="F426" s="286" t="s">
        <v>1288</v>
      </c>
      <c r="G426" s="286" t="s">
        <v>53</v>
      </c>
      <c r="H426" s="286" t="s">
        <v>53</v>
      </c>
      <c r="I426" s="286" t="s">
        <v>1274</v>
      </c>
      <c r="J426" s="286" t="s">
        <v>53</v>
      </c>
      <c r="K426" s="286" t="s">
        <v>53</v>
      </c>
      <c r="L426" s="286" t="s">
        <v>53</v>
      </c>
      <c r="M426" s="286" t="s">
        <v>53</v>
      </c>
      <c r="N426" s="287">
        <v>7083</v>
      </c>
      <c r="O426" s="305">
        <f t="shared" si="6"/>
        <v>44620</v>
      </c>
      <c r="P426" s="286" t="s">
        <v>201</v>
      </c>
    </row>
    <row r="427" spans="1:16" hidden="1" x14ac:dyDescent="0.15">
      <c r="A427" s="286">
        <v>1112</v>
      </c>
      <c r="B427" s="288">
        <v>44616.78402777778</v>
      </c>
      <c r="C427" s="286" t="s">
        <v>1287</v>
      </c>
      <c r="D427" s="286" t="s">
        <v>1105</v>
      </c>
      <c r="E427" s="286" t="s">
        <v>1106</v>
      </c>
      <c r="F427" s="286" t="s">
        <v>1288</v>
      </c>
      <c r="G427" s="286" t="s">
        <v>53</v>
      </c>
      <c r="H427" s="286" t="s">
        <v>53</v>
      </c>
      <c r="I427" s="286" t="s">
        <v>1129</v>
      </c>
      <c r="J427" s="286" t="s">
        <v>53</v>
      </c>
      <c r="K427" s="286" t="s">
        <v>53</v>
      </c>
      <c r="L427" s="286" t="s">
        <v>53</v>
      </c>
      <c r="M427" s="286" t="s">
        <v>53</v>
      </c>
      <c r="N427" s="287">
        <v>6717.46</v>
      </c>
      <c r="O427" s="305">
        <f t="shared" si="6"/>
        <v>44620</v>
      </c>
      <c r="P427" s="286" t="s">
        <v>164</v>
      </c>
    </row>
    <row r="428" spans="1:16" hidden="1" x14ac:dyDescent="0.15">
      <c r="A428" s="286">
        <v>1112</v>
      </c>
      <c r="B428" s="288">
        <v>44616.78402777778</v>
      </c>
      <c r="C428" s="286" t="s">
        <v>1287</v>
      </c>
      <c r="D428" s="286" t="s">
        <v>1105</v>
      </c>
      <c r="E428" s="286" t="s">
        <v>1106</v>
      </c>
      <c r="F428" s="286" t="s">
        <v>1288</v>
      </c>
      <c r="G428" s="286" t="s">
        <v>53</v>
      </c>
      <c r="H428" s="286" t="s">
        <v>53</v>
      </c>
      <c r="I428" s="286" t="s">
        <v>1282</v>
      </c>
      <c r="J428" s="286" t="s">
        <v>53</v>
      </c>
      <c r="K428" s="286" t="s">
        <v>53</v>
      </c>
      <c r="L428" s="286" t="s">
        <v>53</v>
      </c>
      <c r="M428" s="286" t="s">
        <v>53</v>
      </c>
      <c r="N428" s="287">
        <v>5000</v>
      </c>
      <c r="O428" s="305">
        <f t="shared" si="6"/>
        <v>44620</v>
      </c>
      <c r="P428" s="286" t="s">
        <v>201</v>
      </c>
    </row>
    <row r="429" spans="1:16" hidden="1" x14ac:dyDescent="0.15">
      <c r="A429" s="286">
        <v>1112</v>
      </c>
      <c r="B429" s="288">
        <v>44616.78402777778</v>
      </c>
      <c r="C429" s="286" t="s">
        <v>1287</v>
      </c>
      <c r="D429" s="286" t="s">
        <v>1105</v>
      </c>
      <c r="E429" s="286" t="s">
        <v>1106</v>
      </c>
      <c r="F429" s="286" t="s">
        <v>1288</v>
      </c>
      <c r="G429" s="286" t="s">
        <v>53</v>
      </c>
      <c r="H429" s="286" t="s">
        <v>53</v>
      </c>
      <c r="I429" s="286" t="s">
        <v>1279</v>
      </c>
      <c r="J429" s="286" t="s">
        <v>53</v>
      </c>
      <c r="K429" s="286" t="s">
        <v>53</v>
      </c>
      <c r="L429" s="286" t="s">
        <v>53</v>
      </c>
      <c r="M429" s="286" t="s">
        <v>53</v>
      </c>
      <c r="N429" s="287">
        <v>4041.83</v>
      </c>
      <c r="O429" s="305">
        <f t="shared" si="6"/>
        <v>44620</v>
      </c>
      <c r="P429" s="286" t="s">
        <v>58</v>
      </c>
    </row>
    <row r="430" spans="1:16" hidden="1" x14ac:dyDescent="0.15">
      <c r="A430" s="286">
        <v>1112</v>
      </c>
      <c r="B430" s="288">
        <v>44616.78402777778</v>
      </c>
      <c r="C430" s="286" t="s">
        <v>1287</v>
      </c>
      <c r="D430" s="286" t="s">
        <v>1105</v>
      </c>
      <c r="E430" s="286" t="s">
        <v>1106</v>
      </c>
      <c r="F430" s="286" t="s">
        <v>1288</v>
      </c>
      <c r="G430" s="286" t="s">
        <v>53</v>
      </c>
      <c r="H430" s="286" t="s">
        <v>53</v>
      </c>
      <c r="I430" s="286" t="s">
        <v>1152</v>
      </c>
      <c r="J430" s="286" t="s">
        <v>53</v>
      </c>
      <c r="K430" s="286" t="s">
        <v>53</v>
      </c>
      <c r="L430" s="286" t="s">
        <v>53</v>
      </c>
      <c r="M430" s="286" t="s">
        <v>53</v>
      </c>
      <c r="N430" s="287">
        <v>3611.83</v>
      </c>
      <c r="O430" s="305">
        <f t="shared" si="6"/>
        <v>44620</v>
      </c>
      <c r="P430" s="111" t="s">
        <v>58</v>
      </c>
    </row>
    <row r="431" spans="1:16" hidden="1" x14ac:dyDescent="0.15">
      <c r="A431" s="286">
        <v>1112</v>
      </c>
      <c r="B431" s="288">
        <v>44616.78402777778</v>
      </c>
      <c r="C431" s="286" t="s">
        <v>1287</v>
      </c>
      <c r="D431" s="286" t="s">
        <v>1105</v>
      </c>
      <c r="E431" s="286" t="s">
        <v>1106</v>
      </c>
      <c r="F431" s="286" t="s">
        <v>1288</v>
      </c>
      <c r="G431" s="286" t="s">
        <v>53</v>
      </c>
      <c r="H431" s="286" t="s">
        <v>53</v>
      </c>
      <c r="I431" s="286" t="s">
        <v>1204</v>
      </c>
      <c r="J431" s="286" t="s">
        <v>53</v>
      </c>
      <c r="K431" s="286" t="s">
        <v>53</v>
      </c>
      <c r="L431" s="286" t="s">
        <v>53</v>
      </c>
      <c r="M431" s="286" t="s">
        <v>53</v>
      </c>
      <c r="N431" s="287">
        <v>3500</v>
      </c>
      <c r="O431" s="305">
        <f t="shared" si="6"/>
        <v>44620</v>
      </c>
      <c r="P431" s="286" t="s">
        <v>49</v>
      </c>
    </row>
    <row r="432" spans="1:16" hidden="1" x14ac:dyDescent="0.15">
      <c r="A432" s="286">
        <v>1112</v>
      </c>
      <c r="B432" s="288">
        <v>44616.78402777778</v>
      </c>
      <c r="C432" s="286" t="s">
        <v>1287</v>
      </c>
      <c r="D432" s="286" t="s">
        <v>1105</v>
      </c>
      <c r="E432" s="286" t="s">
        <v>1106</v>
      </c>
      <c r="F432" s="286" t="s">
        <v>1288</v>
      </c>
      <c r="G432" s="286" t="s">
        <v>53</v>
      </c>
      <c r="H432" s="286" t="s">
        <v>53</v>
      </c>
      <c r="I432" s="286" t="s">
        <v>1109</v>
      </c>
      <c r="J432" s="286" t="s">
        <v>53</v>
      </c>
      <c r="K432" s="286" t="s">
        <v>53</v>
      </c>
      <c r="L432" s="286" t="s">
        <v>53</v>
      </c>
      <c r="M432" s="286" t="s">
        <v>53</v>
      </c>
      <c r="N432" s="287">
        <v>-0.01</v>
      </c>
      <c r="O432" s="305">
        <f t="shared" si="6"/>
        <v>44620</v>
      </c>
    </row>
    <row r="433" spans="1:16" hidden="1" x14ac:dyDescent="0.15">
      <c r="A433" s="286">
        <v>1113</v>
      </c>
      <c r="B433" s="288">
        <v>44616.78402777778</v>
      </c>
      <c r="C433" s="286" t="s">
        <v>1289</v>
      </c>
      <c r="D433" s="286" t="s">
        <v>1105</v>
      </c>
      <c r="E433" s="286" t="s">
        <v>1106</v>
      </c>
      <c r="F433" s="286" t="s">
        <v>1290</v>
      </c>
      <c r="G433" s="286" t="s">
        <v>53</v>
      </c>
      <c r="H433" s="286" t="s">
        <v>53</v>
      </c>
      <c r="I433" s="286" t="s">
        <v>1199</v>
      </c>
      <c r="J433" s="286" t="s">
        <v>53</v>
      </c>
      <c r="K433" s="286" t="s">
        <v>53</v>
      </c>
      <c r="L433" s="286" t="s">
        <v>53</v>
      </c>
      <c r="M433" s="286" t="s">
        <v>53</v>
      </c>
      <c r="N433" s="287">
        <v>115597.8</v>
      </c>
      <c r="O433" s="305">
        <f t="shared" si="6"/>
        <v>44620</v>
      </c>
      <c r="P433" s="286" t="s">
        <v>58</v>
      </c>
    </row>
    <row r="434" spans="1:16" hidden="1" x14ac:dyDescent="0.15">
      <c r="A434" s="286">
        <v>1113</v>
      </c>
      <c r="B434" s="288">
        <v>44616.78402777778</v>
      </c>
      <c r="C434" s="286" t="s">
        <v>1289</v>
      </c>
      <c r="D434" s="286" t="s">
        <v>1105</v>
      </c>
      <c r="E434" s="286" t="s">
        <v>1106</v>
      </c>
      <c r="F434" s="286" t="s">
        <v>1290</v>
      </c>
      <c r="G434" s="286" t="s">
        <v>53</v>
      </c>
      <c r="H434" s="286" t="s">
        <v>53</v>
      </c>
      <c r="I434" s="286" t="s">
        <v>1112</v>
      </c>
      <c r="J434" s="286" t="s">
        <v>53</v>
      </c>
      <c r="K434" s="286" t="s">
        <v>53</v>
      </c>
      <c r="L434" s="286" t="s">
        <v>53</v>
      </c>
      <c r="M434" s="286" t="s">
        <v>53</v>
      </c>
      <c r="N434" s="287">
        <v>100204</v>
      </c>
      <c r="O434" s="305">
        <f t="shared" si="6"/>
        <v>44620</v>
      </c>
      <c r="P434" s="286" t="s">
        <v>175</v>
      </c>
    </row>
    <row r="435" spans="1:16" hidden="1" x14ac:dyDescent="0.15">
      <c r="A435" s="286">
        <v>1113</v>
      </c>
      <c r="B435" s="288">
        <v>44616.78402777778</v>
      </c>
      <c r="C435" s="286" t="s">
        <v>1289</v>
      </c>
      <c r="D435" s="286" t="s">
        <v>1105</v>
      </c>
      <c r="E435" s="286" t="s">
        <v>1106</v>
      </c>
      <c r="F435" s="286" t="s">
        <v>1290</v>
      </c>
      <c r="G435" s="286" t="s">
        <v>53</v>
      </c>
      <c r="H435" s="286" t="s">
        <v>53</v>
      </c>
      <c r="I435" s="286" t="s">
        <v>1228</v>
      </c>
      <c r="J435" s="286" t="s">
        <v>53</v>
      </c>
      <c r="K435" s="286" t="s">
        <v>53</v>
      </c>
      <c r="L435" s="286" t="s">
        <v>53</v>
      </c>
      <c r="M435" s="286" t="s">
        <v>53</v>
      </c>
      <c r="N435" s="287">
        <v>73042.070000000007</v>
      </c>
      <c r="O435" s="305">
        <f t="shared" si="6"/>
        <v>44620</v>
      </c>
      <c r="P435" s="286" t="s">
        <v>58</v>
      </c>
    </row>
    <row r="436" spans="1:16" hidden="1" x14ac:dyDescent="0.15">
      <c r="A436" s="286">
        <v>1113</v>
      </c>
      <c r="B436" s="288">
        <v>44616.78402777778</v>
      </c>
      <c r="C436" s="286" t="s">
        <v>1289</v>
      </c>
      <c r="D436" s="286" t="s">
        <v>1105</v>
      </c>
      <c r="E436" s="286" t="s">
        <v>1106</v>
      </c>
      <c r="F436" s="286" t="s">
        <v>1290</v>
      </c>
      <c r="G436" s="286" t="s">
        <v>53</v>
      </c>
      <c r="H436" s="286" t="s">
        <v>53</v>
      </c>
      <c r="I436" s="286" t="s">
        <v>1230</v>
      </c>
      <c r="J436" s="286" t="s">
        <v>53</v>
      </c>
      <c r="K436" s="286" t="s">
        <v>53</v>
      </c>
      <c r="L436" s="286" t="s">
        <v>53</v>
      </c>
      <c r="M436" s="286" t="s">
        <v>53</v>
      </c>
      <c r="N436" s="287">
        <v>63799.6</v>
      </c>
      <c r="O436" s="305">
        <f t="shared" si="6"/>
        <v>44620</v>
      </c>
      <c r="P436" s="286" t="s">
        <v>175</v>
      </c>
    </row>
    <row r="437" spans="1:16" hidden="1" x14ac:dyDescent="0.15">
      <c r="A437" s="286">
        <v>1113</v>
      </c>
      <c r="B437" s="288">
        <v>44616.78402777778</v>
      </c>
      <c r="C437" s="286" t="s">
        <v>1289</v>
      </c>
      <c r="D437" s="286" t="s">
        <v>1105</v>
      </c>
      <c r="E437" s="286" t="s">
        <v>1106</v>
      </c>
      <c r="F437" s="286" t="s">
        <v>1290</v>
      </c>
      <c r="G437" s="286" t="s">
        <v>53</v>
      </c>
      <c r="H437" s="286" t="s">
        <v>53</v>
      </c>
      <c r="I437" s="286" t="s">
        <v>1152</v>
      </c>
      <c r="J437" s="286" t="s">
        <v>53</v>
      </c>
      <c r="K437" s="286" t="s">
        <v>53</v>
      </c>
      <c r="L437" s="286" t="s">
        <v>53</v>
      </c>
      <c r="M437" s="286" t="s">
        <v>53</v>
      </c>
      <c r="N437" s="287">
        <v>13928.55</v>
      </c>
      <c r="O437" s="305">
        <f t="shared" si="6"/>
        <v>44620</v>
      </c>
      <c r="P437" s="111" t="s">
        <v>58</v>
      </c>
    </row>
    <row r="438" spans="1:16" hidden="1" x14ac:dyDescent="0.15">
      <c r="A438" s="286">
        <v>1113</v>
      </c>
      <c r="B438" s="288">
        <v>44616.78402777778</v>
      </c>
      <c r="C438" s="286" t="s">
        <v>1289</v>
      </c>
      <c r="D438" s="286" t="s">
        <v>1105</v>
      </c>
      <c r="E438" s="286" t="s">
        <v>1106</v>
      </c>
      <c r="F438" s="286" t="s">
        <v>1290</v>
      </c>
      <c r="G438" s="286" t="s">
        <v>53</v>
      </c>
      <c r="H438" s="286" t="s">
        <v>53</v>
      </c>
      <c r="I438" s="286" t="s">
        <v>1129</v>
      </c>
      <c r="J438" s="286" t="s">
        <v>53</v>
      </c>
      <c r="K438" s="286" t="s">
        <v>53</v>
      </c>
      <c r="L438" s="286" t="s">
        <v>53</v>
      </c>
      <c r="M438" s="286" t="s">
        <v>53</v>
      </c>
      <c r="N438" s="287">
        <v>10899.54</v>
      </c>
      <c r="O438" s="305">
        <f t="shared" si="6"/>
        <v>44620</v>
      </c>
      <c r="P438" s="286" t="s">
        <v>164</v>
      </c>
    </row>
    <row r="439" spans="1:16" hidden="1" x14ac:dyDescent="0.15">
      <c r="A439" s="286">
        <v>1113</v>
      </c>
      <c r="B439" s="288">
        <v>44616.78402777778</v>
      </c>
      <c r="C439" s="286" t="s">
        <v>1289</v>
      </c>
      <c r="D439" s="286" t="s">
        <v>1105</v>
      </c>
      <c r="E439" s="286" t="s">
        <v>1106</v>
      </c>
      <c r="F439" s="286" t="s">
        <v>1290</v>
      </c>
      <c r="G439" s="286" t="s">
        <v>53</v>
      </c>
      <c r="H439" s="286" t="s">
        <v>53</v>
      </c>
      <c r="I439" s="286" t="s">
        <v>1274</v>
      </c>
      <c r="J439" s="286" t="s">
        <v>53</v>
      </c>
      <c r="K439" s="286" t="s">
        <v>53</v>
      </c>
      <c r="L439" s="286" t="s">
        <v>53</v>
      </c>
      <c r="M439" s="286" t="s">
        <v>53</v>
      </c>
      <c r="N439" s="287">
        <v>7083.33</v>
      </c>
      <c r="O439" s="305">
        <f t="shared" si="6"/>
        <v>44620</v>
      </c>
      <c r="P439" s="286" t="s">
        <v>201</v>
      </c>
    </row>
    <row r="440" spans="1:16" hidden="1" x14ac:dyDescent="0.15">
      <c r="A440" s="286">
        <v>1113</v>
      </c>
      <c r="B440" s="288">
        <v>44616.78402777778</v>
      </c>
      <c r="C440" s="286" t="s">
        <v>1289</v>
      </c>
      <c r="D440" s="286" t="s">
        <v>1105</v>
      </c>
      <c r="E440" s="286" t="s">
        <v>1106</v>
      </c>
      <c r="F440" s="286" t="s">
        <v>1290</v>
      </c>
      <c r="G440" s="286" t="s">
        <v>53</v>
      </c>
      <c r="H440" s="286" t="s">
        <v>53</v>
      </c>
      <c r="I440" s="286" t="s">
        <v>1279</v>
      </c>
      <c r="J440" s="286" t="s">
        <v>53</v>
      </c>
      <c r="K440" s="286" t="s">
        <v>53</v>
      </c>
      <c r="L440" s="286" t="s">
        <v>53</v>
      </c>
      <c r="M440" s="286" t="s">
        <v>53</v>
      </c>
      <c r="N440" s="287">
        <v>4041.83</v>
      </c>
      <c r="O440" s="305">
        <f t="shared" si="6"/>
        <v>44620</v>
      </c>
      <c r="P440" s="286" t="s">
        <v>58</v>
      </c>
    </row>
    <row r="441" spans="1:16" hidden="1" x14ac:dyDescent="0.15">
      <c r="A441" s="286">
        <v>1113</v>
      </c>
      <c r="B441" s="288">
        <v>44616.78402777778</v>
      </c>
      <c r="C441" s="286" t="s">
        <v>1289</v>
      </c>
      <c r="D441" s="286" t="s">
        <v>1105</v>
      </c>
      <c r="E441" s="286" t="s">
        <v>1106</v>
      </c>
      <c r="F441" s="286" t="s">
        <v>1290</v>
      </c>
      <c r="G441" s="286" t="s">
        <v>53</v>
      </c>
      <c r="H441" s="286" t="s">
        <v>53</v>
      </c>
      <c r="I441" s="286" t="s">
        <v>1282</v>
      </c>
      <c r="J441" s="286" t="s">
        <v>53</v>
      </c>
      <c r="K441" s="286" t="s">
        <v>53</v>
      </c>
      <c r="L441" s="286" t="s">
        <v>53</v>
      </c>
      <c r="M441" s="286" t="s">
        <v>53</v>
      </c>
      <c r="N441" s="287">
        <v>2000</v>
      </c>
      <c r="O441" s="305">
        <f t="shared" si="6"/>
        <v>44620</v>
      </c>
      <c r="P441" s="286" t="s">
        <v>201</v>
      </c>
    </row>
    <row r="442" spans="1:16" hidden="1" x14ac:dyDescent="0.15">
      <c r="A442" s="286">
        <v>1114</v>
      </c>
      <c r="B442" s="288">
        <v>44616.78402777778</v>
      </c>
      <c r="C442" s="286" t="s">
        <v>1291</v>
      </c>
      <c r="D442" s="286" t="s">
        <v>1105</v>
      </c>
      <c r="E442" s="286" t="s">
        <v>1106</v>
      </c>
      <c r="F442" s="286" t="s">
        <v>1292</v>
      </c>
      <c r="G442" s="286" t="s">
        <v>53</v>
      </c>
      <c r="H442" s="286" t="s">
        <v>53</v>
      </c>
      <c r="I442" s="286" t="s">
        <v>1112</v>
      </c>
      <c r="J442" s="286" t="s">
        <v>53</v>
      </c>
      <c r="K442" s="286" t="s">
        <v>53</v>
      </c>
      <c r="L442" s="286" t="s">
        <v>53</v>
      </c>
      <c r="M442" s="286" t="s">
        <v>53</v>
      </c>
      <c r="N442" s="287">
        <v>140452</v>
      </c>
      <c r="O442" s="305">
        <f t="shared" si="6"/>
        <v>44620</v>
      </c>
      <c r="P442" s="286" t="s">
        <v>175</v>
      </c>
    </row>
    <row r="443" spans="1:16" hidden="1" x14ac:dyDescent="0.15">
      <c r="A443" s="286">
        <v>1114</v>
      </c>
      <c r="B443" s="288">
        <v>44616.78402777778</v>
      </c>
      <c r="C443" s="286" t="s">
        <v>1291</v>
      </c>
      <c r="D443" s="286" t="s">
        <v>1105</v>
      </c>
      <c r="E443" s="286" t="s">
        <v>1106</v>
      </c>
      <c r="F443" s="286" t="s">
        <v>1292</v>
      </c>
      <c r="G443" s="286" t="s">
        <v>53</v>
      </c>
      <c r="H443" s="286" t="s">
        <v>53</v>
      </c>
      <c r="I443" s="286" t="s">
        <v>1199</v>
      </c>
      <c r="J443" s="286" t="s">
        <v>53</v>
      </c>
      <c r="K443" s="286" t="s">
        <v>53</v>
      </c>
      <c r="L443" s="286" t="s">
        <v>53</v>
      </c>
      <c r="M443" s="286" t="s">
        <v>53</v>
      </c>
      <c r="N443" s="287">
        <v>120716.42</v>
      </c>
      <c r="O443" s="305">
        <f t="shared" si="6"/>
        <v>44620</v>
      </c>
      <c r="P443" s="286" t="s">
        <v>58</v>
      </c>
    </row>
    <row r="444" spans="1:16" hidden="1" x14ac:dyDescent="0.15">
      <c r="A444" s="286">
        <v>1114</v>
      </c>
      <c r="B444" s="288">
        <v>44616.78402777778</v>
      </c>
      <c r="C444" s="286" t="s">
        <v>1291</v>
      </c>
      <c r="D444" s="286" t="s">
        <v>1105</v>
      </c>
      <c r="E444" s="286" t="s">
        <v>1106</v>
      </c>
      <c r="F444" s="286" t="s">
        <v>1292</v>
      </c>
      <c r="G444" s="286" t="s">
        <v>53</v>
      </c>
      <c r="H444" s="286" t="s">
        <v>53</v>
      </c>
      <c r="I444" s="286" t="s">
        <v>1228</v>
      </c>
      <c r="J444" s="286" t="s">
        <v>53</v>
      </c>
      <c r="K444" s="286" t="s">
        <v>53</v>
      </c>
      <c r="L444" s="286" t="s">
        <v>53</v>
      </c>
      <c r="M444" s="286" t="s">
        <v>53</v>
      </c>
      <c r="N444" s="287">
        <v>68675.16</v>
      </c>
      <c r="O444" s="305">
        <f t="shared" si="6"/>
        <v>44620</v>
      </c>
      <c r="P444" s="286" t="s">
        <v>58</v>
      </c>
    </row>
    <row r="445" spans="1:16" hidden="1" x14ac:dyDescent="0.15">
      <c r="A445" s="286">
        <v>1114</v>
      </c>
      <c r="B445" s="288">
        <v>44616.78402777778</v>
      </c>
      <c r="C445" s="286" t="s">
        <v>1291</v>
      </c>
      <c r="D445" s="286" t="s">
        <v>1105</v>
      </c>
      <c r="E445" s="286" t="s">
        <v>1106</v>
      </c>
      <c r="F445" s="286" t="s">
        <v>1292</v>
      </c>
      <c r="G445" s="286" t="s">
        <v>53</v>
      </c>
      <c r="H445" s="286" t="s">
        <v>53</v>
      </c>
      <c r="I445" s="286" t="s">
        <v>1108</v>
      </c>
      <c r="J445" s="286" t="s">
        <v>53</v>
      </c>
      <c r="K445" s="286" t="s">
        <v>53</v>
      </c>
      <c r="L445" s="286" t="s">
        <v>53</v>
      </c>
      <c r="M445" s="286" t="s">
        <v>53</v>
      </c>
      <c r="N445" s="287">
        <v>44732</v>
      </c>
      <c r="O445" s="305">
        <f t="shared" si="6"/>
        <v>44620</v>
      </c>
      <c r="P445" s="286" t="s">
        <v>37</v>
      </c>
    </row>
    <row r="446" spans="1:16" hidden="1" x14ac:dyDescent="0.15">
      <c r="A446" s="286">
        <v>1114</v>
      </c>
      <c r="B446" s="288">
        <v>44616.78402777778</v>
      </c>
      <c r="C446" s="286" t="s">
        <v>1291</v>
      </c>
      <c r="D446" s="286" t="s">
        <v>1105</v>
      </c>
      <c r="E446" s="286" t="s">
        <v>1106</v>
      </c>
      <c r="F446" s="286" t="s">
        <v>1292</v>
      </c>
      <c r="G446" s="286" t="s">
        <v>53</v>
      </c>
      <c r="H446" s="286" t="s">
        <v>53</v>
      </c>
      <c r="I446" s="286" t="s">
        <v>1152</v>
      </c>
      <c r="J446" s="286" t="s">
        <v>53</v>
      </c>
      <c r="K446" s="286" t="s">
        <v>53</v>
      </c>
      <c r="L446" s="286" t="s">
        <v>53</v>
      </c>
      <c r="M446" s="286" t="s">
        <v>53</v>
      </c>
      <c r="N446" s="287">
        <v>12109.38</v>
      </c>
      <c r="O446" s="305">
        <f t="shared" si="6"/>
        <v>44620</v>
      </c>
      <c r="P446" s="111" t="s">
        <v>58</v>
      </c>
    </row>
    <row r="447" spans="1:16" hidden="1" x14ac:dyDescent="0.15">
      <c r="A447" s="286">
        <v>1114</v>
      </c>
      <c r="B447" s="288">
        <v>44616.78402777778</v>
      </c>
      <c r="C447" s="286" t="s">
        <v>1291</v>
      </c>
      <c r="D447" s="286" t="s">
        <v>1105</v>
      </c>
      <c r="E447" s="286" t="s">
        <v>1106</v>
      </c>
      <c r="F447" s="286" t="s">
        <v>1292</v>
      </c>
      <c r="G447" s="286" t="s">
        <v>53</v>
      </c>
      <c r="H447" s="286" t="s">
        <v>53</v>
      </c>
      <c r="I447" s="286" t="s">
        <v>1128</v>
      </c>
      <c r="J447" s="286" t="s">
        <v>53</v>
      </c>
      <c r="K447" s="286" t="s">
        <v>53</v>
      </c>
      <c r="L447" s="286" t="s">
        <v>53</v>
      </c>
      <c r="M447" s="286" t="s">
        <v>53</v>
      </c>
      <c r="N447" s="287">
        <v>8450</v>
      </c>
      <c r="O447" s="305">
        <f t="shared" si="6"/>
        <v>44620</v>
      </c>
      <c r="P447" s="286" t="s">
        <v>47</v>
      </c>
    </row>
    <row r="448" spans="1:16" hidden="1" x14ac:dyDescent="0.15">
      <c r="A448" s="286">
        <v>1114</v>
      </c>
      <c r="B448" s="288">
        <v>44616.78402777778</v>
      </c>
      <c r="C448" s="286" t="s">
        <v>1291</v>
      </c>
      <c r="D448" s="286" t="s">
        <v>1105</v>
      </c>
      <c r="E448" s="286" t="s">
        <v>1106</v>
      </c>
      <c r="F448" s="286" t="s">
        <v>1292</v>
      </c>
      <c r="G448" s="286" t="s">
        <v>53</v>
      </c>
      <c r="H448" s="286" t="s">
        <v>53</v>
      </c>
      <c r="I448" s="286" t="s">
        <v>1274</v>
      </c>
      <c r="J448" s="286" t="s">
        <v>53</v>
      </c>
      <c r="K448" s="286" t="s">
        <v>53</v>
      </c>
      <c r="L448" s="286" t="s">
        <v>53</v>
      </c>
      <c r="M448" s="286" t="s">
        <v>53</v>
      </c>
      <c r="N448" s="287">
        <v>7084.36</v>
      </c>
      <c r="O448" s="305">
        <f t="shared" si="6"/>
        <v>44620</v>
      </c>
      <c r="P448" s="286" t="s">
        <v>201</v>
      </c>
    </row>
    <row r="449" spans="1:16" hidden="1" x14ac:dyDescent="0.15">
      <c r="A449" s="286">
        <v>1114</v>
      </c>
      <c r="B449" s="288">
        <v>44616.78402777778</v>
      </c>
      <c r="C449" s="286" t="s">
        <v>1291</v>
      </c>
      <c r="D449" s="286" t="s">
        <v>1105</v>
      </c>
      <c r="E449" s="286" t="s">
        <v>1106</v>
      </c>
      <c r="F449" s="286" t="s">
        <v>1292</v>
      </c>
      <c r="G449" s="286" t="s">
        <v>53</v>
      </c>
      <c r="H449" s="286" t="s">
        <v>53</v>
      </c>
      <c r="I449" s="286" t="s">
        <v>1279</v>
      </c>
      <c r="J449" s="286" t="s">
        <v>53</v>
      </c>
      <c r="K449" s="286" t="s">
        <v>53</v>
      </c>
      <c r="L449" s="286" t="s">
        <v>53</v>
      </c>
      <c r="M449" s="286" t="s">
        <v>53</v>
      </c>
      <c r="N449" s="287">
        <v>4041.84</v>
      </c>
      <c r="O449" s="305">
        <f t="shared" si="6"/>
        <v>44620</v>
      </c>
      <c r="P449" s="286" t="s">
        <v>58</v>
      </c>
    </row>
    <row r="450" spans="1:16" hidden="1" x14ac:dyDescent="0.15">
      <c r="A450" s="286">
        <v>1114</v>
      </c>
      <c r="B450" s="288">
        <v>44616.78402777778</v>
      </c>
      <c r="C450" s="286" t="s">
        <v>1291</v>
      </c>
      <c r="D450" s="286" t="s">
        <v>1105</v>
      </c>
      <c r="E450" s="286" t="s">
        <v>1106</v>
      </c>
      <c r="F450" s="286" t="s">
        <v>1292</v>
      </c>
      <c r="G450" s="286" t="s">
        <v>53</v>
      </c>
      <c r="H450" s="286" t="s">
        <v>53</v>
      </c>
      <c r="I450" s="286" t="s">
        <v>1282</v>
      </c>
      <c r="J450" s="286" t="s">
        <v>53</v>
      </c>
      <c r="K450" s="286" t="s">
        <v>53</v>
      </c>
      <c r="L450" s="286" t="s">
        <v>53</v>
      </c>
      <c r="M450" s="286" t="s">
        <v>53</v>
      </c>
      <c r="N450" s="287">
        <v>2000</v>
      </c>
      <c r="O450" s="305">
        <f t="shared" si="6"/>
        <v>44620</v>
      </c>
      <c r="P450" s="286" t="s">
        <v>201</v>
      </c>
    </row>
    <row r="451" spans="1:16" hidden="1" x14ac:dyDescent="0.15">
      <c r="A451" s="286">
        <v>1114</v>
      </c>
      <c r="B451" s="288">
        <v>44616.78402777778</v>
      </c>
      <c r="C451" s="286" t="s">
        <v>1291</v>
      </c>
      <c r="D451" s="286" t="s">
        <v>1105</v>
      </c>
      <c r="E451" s="286" t="s">
        <v>1106</v>
      </c>
      <c r="F451" s="286" t="s">
        <v>1292</v>
      </c>
      <c r="G451" s="286" t="s">
        <v>53</v>
      </c>
      <c r="H451" s="286" t="s">
        <v>53</v>
      </c>
      <c r="I451" s="286" t="s">
        <v>1129</v>
      </c>
      <c r="J451" s="286" t="s">
        <v>53</v>
      </c>
      <c r="K451" s="286" t="s">
        <v>53</v>
      </c>
      <c r="L451" s="286" t="s">
        <v>53</v>
      </c>
      <c r="M451" s="286" t="s">
        <v>53</v>
      </c>
      <c r="N451" s="287">
        <v>1070.8599999999999</v>
      </c>
      <c r="O451" s="305">
        <f t="shared" ref="O451:O514" si="7">EOMONTH(B451,0)</f>
        <v>44620</v>
      </c>
      <c r="P451" s="286" t="s">
        <v>164</v>
      </c>
    </row>
    <row r="452" spans="1:16" hidden="1" x14ac:dyDescent="0.15">
      <c r="A452" s="286">
        <v>1160</v>
      </c>
      <c r="B452" s="288">
        <v>44616.797222222223</v>
      </c>
      <c r="C452" s="286" t="s">
        <v>1293</v>
      </c>
      <c r="D452" s="286" t="s">
        <v>1105</v>
      </c>
      <c r="E452" s="286" t="s">
        <v>1106</v>
      </c>
      <c r="F452" s="286" t="s">
        <v>1294</v>
      </c>
      <c r="G452" s="286" t="s">
        <v>53</v>
      </c>
      <c r="H452" s="286" t="s">
        <v>53</v>
      </c>
      <c r="I452" s="286" t="s">
        <v>1199</v>
      </c>
      <c r="J452" s="286" t="s">
        <v>53</v>
      </c>
      <c r="K452" s="286" t="s">
        <v>53</v>
      </c>
      <c r="L452" s="286" t="s">
        <v>53</v>
      </c>
      <c r="M452" s="286" t="s">
        <v>53</v>
      </c>
      <c r="N452" s="287">
        <v>102712.31</v>
      </c>
      <c r="O452" s="305">
        <f t="shared" si="7"/>
        <v>44620</v>
      </c>
      <c r="P452" s="286" t="s">
        <v>58</v>
      </c>
    </row>
    <row r="453" spans="1:16" hidden="1" x14ac:dyDescent="0.15">
      <c r="A453" s="286">
        <v>1160</v>
      </c>
      <c r="B453" s="288">
        <v>44616.797222222223</v>
      </c>
      <c r="C453" s="286" t="s">
        <v>1293</v>
      </c>
      <c r="D453" s="286" t="s">
        <v>1105</v>
      </c>
      <c r="E453" s="286" t="s">
        <v>1106</v>
      </c>
      <c r="F453" s="286" t="s">
        <v>1294</v>
      </c>
      <c r="G453" s="286" t="s">
        <v>53</v>
      </c>
      <c r="H453" s="286" t="s">
        <v>53</v>
      </c>
      <c r="I453" s="286" t="s">
        <v>1228</v>
      </c>
      <c r="J453" s="286" t="s">
        <v>53</v>
      </c>
      <c r="K453" s="286" t="s">
        <v>53</v>
      </c>
      <c r="L453" s="286" t="s">
        <v>53</v>
      </c>
      <c r="M453" s="286" t="s">
        <v>53</v>
      </c>
      <c r="N453" s="287">
        <v>57412.23</v>
      </c>
      <c r="O453" s="305">
        <f t="shared" si="7"/>
        <v>44620</v>
      </c>
      <c r="P453" s="286" t="s">
        <v>58</v>
      </c>
    </row>
    <row r="454" spans="1:16" hidden="1" x14ac:dyDescent="0.15">
      <c r="A454" s="286">
        <v>1160</v>
      </c>
      <c r="B454" s="288">
        <v>44616.797222222223</v>
      </c>
      <c r="C454" s="286" t="s">
        <v>1293</v>
      </c>
      <c r="D454" s="286" t="s">
        <v>1105</v>
      </c>
      <c r="E454" s="286" t="s">
        <v>1106</v>
      </c>
      <c r="F454" s="286" t="s">
        <v>1294</v>
      </c>
      <c r="G454" s="286" t="s">
        <v>53</v>
      </c>
      <c r="H454" s="286" t="s">
        <v>53</v>
      </c>
      <c r="I454" s="286" t="s">
        <v>1128</v>
      </c>
      <c r="J454" s="286" t="s">
        <v>53</v>
      </c>
      <c r="K454" s="286" t="s">
        <v>53</v>
      </c>
      <c r="L454" s="286" t="s">
        <v>53</v>
      </c>
      <c r="M454" s="286" t="s">
        <v>53</v>
      </c>
      <c r="N454" s="287">
        <v>35490</v>
      </c>
      <c r="O454" s="305">
        <f t="shared" si="7"/>
        <v>44620</v>
      </c>
      <c r="P454" s="286" t="s">
        <v>47</v>
      </c>
    </row>
    <row r="455" spans="1:16" hidden="1" x14ac:dyDescent="0.15">
      <c r="A455" s="286">
        <v>1160</v>
      </c>
      <c r="B455" s="288">
        <v>44616.797222222223</v>
      </c>
      <c r="C455" s="286" t="s">
        <v>1293</v>
      </c>
      <c r="D455" s="286" t="s">
        <v>1105</v>
      </c>
      <c r="E455" s="286" t="s">
        <v>1106</v>
      </c>
      <c r="F455" s="286" t="s">
        <v>1294</v>
      </c>
      <c r="G455" s="286" t="s">
        <v>53</v>
      </c>
      <c r="H455" s="286" t="s">
        <v>53</v>
      </c>
      <c r="I455" s="286" t="s">
        <v>1230</v>
      </c>
      <c r="J455" s="286" t="s">
        <v>53</v>
      </c>
      <c r="K455" s="286" t="s">
        <v>53</v>
      </c>
      <c r="L455" s="286" t="s">
        <v>53</v>
      </c>
      <c r="M455" s="286" t="s">
        <v>53</v>
      </c>
      <c r="N455" s="287">
        <v>34088</v>
      </c>
      <c r="O455" s="305">
        <f t="shared" si="7"/>
        <v>44620</v>
      </c>
      <c r="P455" s="286" t="s">
        <v>175</v>
      </c>
    </row>
    <row r="456" spans="1:16" hidden="1" x14ac:dyDescent="0.15">
      <c r="A456" s="286">
        <v>1160</v>
      </c>
      <c r="B456" s="288">
        <v>44616.797222222223</v>
      </c>
      <c r="C456" s="286" t="s">
        <v>1293</v>
      </c>
      <c r="D456" s="286" t="s">
        <v>1105</v>
      </c>
      <c r="E456" s="286" t="s">
        <v>1106</v>
      </c>
      <c r="F456" s="286" t="s">
        <v>1294</v>
      </c>
      <c r="G456" s="286" t="s">
        <v>53</v>
      </c>
      <c r="H456" s="286" t="s">
        <v>53</v>
      </c>
      <c r="I456" s="286" t="s">
        <v>1152</v>
      </c>
      <c r="J456" s="286" t="s">
        <v>53</v>
      </c>
      <c r="K456" s="286" t="s">
        <v>53</v>
      </c>
      <c r="L456" s="286" t="s">
        <v>53</v>
      </c>
      <c r="M456" s="286" t="s">
        <v>53</v>
      </c>
      <c r="N456" s="287">
        <v>20352.599999999999</v>
      </c>
      <c r="O456" s="305">
        <f t="shared" si="7"/>
        <v>44620</v>
      </c>
      <c r="P456" s="111" t="s">
        <v>58</v>
      </c>
    </row>
    <row r="457" spans="1:16" hidden="1" x14ac:dyDescent="0.15">
      <c r="A457" s="286">
        <v>1160</v>
      </c>
      <c r="B457" s="288">
        <v>44616.797222222223</v>
      </c>
      <c r="C457" s="286" t="s">
        <v>1293</v>
      </c>
      <c r="D457" s="286" t="s">
        <v>1105</v>
      </c>
      <c r="E457" s="286" t="s">
        <v>1106</v>
      </c>
      <c r="F457" s="286" t="s">
        <v>1294</v>
      </c>
      <c r="G457" s="286" t="s">
        <v>53</v>
      </c>
      <c r="H457" s="286" t="s">
        <v>53</v>
      </c>
      <c r="I457" s="286" t="s">
        <v>1112</v>
      </c>
      <c r="J457" s="286" t="s">
        <v>53</v>
      </c>
      <c r="K457" s="286" t="s">
        <v>53</v>
      </c>
      <c r="L457" s="286" t="s">
        <v>53</v>
      </c>
      <c r="M457" s="286" t="s">
        <v>53</v>
      </c>
      <c r="N457" s="287">
        <v>14760</v>
      </c>
      <c r="O457" s="305">
        <f t="shared" si="7"/>
        <v>44620</v>
      </c>
      <c r="P457" s="286" t="s">
        <v>175</v>
      </c>
    </row>
    <row r="458" spans="1:16" hidden="1" x14ac:dyDescent="0.15">
      <c r="A458" s="286">
        <v>1160</v>
      </c>
      <c r="B458" s="288">
        <v>44616.797222222223</v>
      </c>
      <c r="C458" s="286" t="s">
        <v>1293</v>
      </c>
      <c r="D458" s="286" t="s">
        <v>1105</v>
      </c>
      <c r="E458" s="286" t="s">
        <v>1106</v>
      </c>
      <c r="F458" s="286" t="s">
        <v>1294</v>
      </c>
      <c r="G458" s="286" t="s">
        <v>53</v>
      </c>
      <c r="H458" s="286" t="s">
        <v>53</v>
      </c>
      <c r="I458" s="286" t="s">
        <v>1204</v>
      </c>
      <c r="J458" s="286" t="s">
        <v>53</v>
      </c>
      <c r="K458" s="286" t="s">
        <v>53</v>
      </c>
      <c r="L458" s="286" t="s">
        <v>53</v>
      </c>
      <c r="M458" s="286" t="s">
        <v>53</v>
      </c>
      <c r="N458" s="287">
        <v>7321</v>
      </c>
      <c r="O458" s="305">
        <f t="shared" si="7"/>
        <v>44620</v>
      </c>
      <c r="P458" s="286" t="s">
        <v>49</v>
      </c>
    </row>
    <row r="459" spans="1:16" hidden="1" x14ac:dyDescent="0.15">
      <c r="A459" s="286">
        <v>1160</v>
      </c>
      <c r="B459" s="288">
        <v>44616.797222222223</v>
      </c>
      <c r="C459" s="286" t="s">
        <v>1293</v>
      </c>
      <c r="D459" s="286" t="s">
        <v>1105</v>
      </c>
      <c r="E459" s="286" t="s">
        <v>1106</v>
      </c>
      <c r="F459" s="286" t="s">
        <v>1294</v>
      </c>
      <c r="G459" s="286" t="s">
        <v>53</v>
      </c>
      <c r="H459" s="286" t="s">
        <v>53</v>
      </c>
      <c r="I459" s="286" t="s">
        <v>1274</v>
      </c>
      <c r="J459" s="286" t="s">
        <v>53</v>
      </c>
      <c r="K459" s="286" t="s">
        <v>53</v>
      </c>
      <c r="L459" s="286" t="s">
        <v>53</v>
      </c>
      <c r="M459" s="286" t="s">
        <v>53</v>
      </c>
      <c r="N459" s="287">
        <v>7083.33</v>
      </c>
      <c r="O459" s="305">
        <f t="shared" si="7"/>
        <v>44620</v>
      </c>
      <c r="P459" s="286" t="s">
        <v>201</v>
      </c>
    </row>
    <row r="460" spans="1:16" hidden="1" x14ac:dyDescent="0.15">
      <c r="A460" s="286">
        <v>1160</v>
      </c>
      <c r="B460" s="288">
        <v>44616.797222222223</v>
      </c>
      <c r="C460" s="286" t="s">
        <v>1293</v>
      </c>
      <c r="D460" s="286" t="s">
        <v>1105</v>
      </c>
      <c r="E460" s="286" t="s">
        <v>1106</v>
      </c>
      <c r="F460" s="286" t="s">
        <v>1294</v>
      </c>
      <c r="G460" s="286" t="s">
        <v>53</v>
      </c>
      <c r="H460" s="286" t="s">
        <v>53</v>
      </c>
      <c r="I460" s="286" t="s">
        <v>1279</v>
      </c>
      <c r="J460" s="286" t="s">
        <v>53</v>
      </c>
      <c r="K460" s="286" t="s">
        <v>53</v>
      </c>
      <c r="L460" s="286" t="s">
        <v>53</v>
      </c>
      <c r="M460" s="286" t="s">
        <v>53</v>
      </c>
      <c r="N460" s="287">
        <v>5339.88</v>
      </c>
      <c r="O460" s="305">
        <f t="shared" si="7"/>
        <v>44620</v>
      </c>
      <c r="P460" s="286" t="s">
        <v>58</v>
      </c>
    </row>
    <row r="461" spans="1:16" hidden="1" x14ac:dyDescent="0.15">
      <c r="A461" s="286">
        <v>1160</v>
      </c>
      <c r="B461" s="288">
        <v>44616.797222222223</v>
      </c>
      <c r="C461" s="286" t="s">
        <v>1293</v>
      </c>
      <c r="D461" s="286" t="s">
        <v>1105</v>
      </c>
      <c r="E461" s="286" t="s">
        <v>1106</v>
      </c>
      <c r="F461" s="286" t="s">
        <v>1294</v>
      </c>
      <c r="G461" s="286" t="s">
        <v>53</v>
      </c>
      <c r="H461" s="286" t="s">
        <v>53</v>
      </c>
      <c r="I461" s="286" t="s">
        <v>1129</v>
      </c>
      <c r="J461" s="286" t="s">
        <v>53</v>
      </c>
      <c r="K461" s="286" t="s">
        <v>53</v>
      </c>
      <c r="L461" s="286" t="s">
        <v>53</v>
      </c>
      <c r="M461" s="286" t="s">
        <v>53</v>
      </c>
      <c r="N461" s="287">
        <v>3077.11</v>
      </c>
      <c r="O461" s="305">
        <f t="shared" si="7"/>
        <v>44620</v>
      </c>
      <c r="P461" s="286" t="s">
        <v>164</v>
      </c>
    </row>
    <row r="462" spans="1:16" hidden="1" x14ac:dyDescent="0.15">
      <c r="A462" s="286">
        <v>1161</v>
      </c>
      <c r="B462" s="288">
        <v>44616.797222222223</v>
      </c>
      <c r="C462" s="286" t="s">
        <v>1295</v>
      </c>
      <c r="D462" s="286" t="s">
        <v>1105</v>
      </c>
      <c r="E462" s="286" t="s">
        <v>1106</v>
      </c>
      <c r="F462" s="286" t="s">
        <v>1296</v>
      </c>
      <c r="G462" s="286" t="s">
        <v>53</v>
      </c>
      <c r="H462" s="286" t="s">
        <v>53</v>
      </c>
      <c r="I462" s="286" t="s">
        <v>1199</v>
      </c>
      <c r="J462" s="286" t="s">
        <v>53</v>
      </c>
      <c r="K462" s="286" t="s">
        <v>53</v>
      </c>
      <c r="L462" s="286" t="s">
        <v>53</v>
      </c>
      <c r="M462" s="286" t="s">
        <v>53</v>
      </c>
      <c r="N462" s="287">
        <v>102328.71</v>
      </c>
      <c r="O462" s="305">
        <f t="shared" si="7"/>
        <v>44620</v>
      </c>
      <c r="P462" s="286" t="s">
        <v>58</v>
      </c>
    </row>
    <row r="463" spans="1:16" hidden="1" x14ac:dyDescent="0.15">
      <c r="A463" s="286">
        <v>1161</v>
      </c>
      <c r="B463" s="288">
        <v>44616.797222222223</v>
      </c>
      <c r="C463" s="286" t="s">
        <v>1295</v>
      </c>
      <c r="D463" s="286" t="s">
        <v>1105</v>
      </c>
      <c r="E463" s="286" t="s">
        <v>1106</v>
      </c>
      <c r="F463" s="286" t="s">
        <v>1296</v>
      </c>
      <c r="G463" s="286" t="s">
        <v>53</v>
      </c>
      <c r="H463" s="286" t="s">
        <v>53</v>
      </c>
      <c r="I463" s="286" t="s">
        <v>1108</v>
      </c>
      <c r="J463" s="286" t="s">
        <v>53</v>
      </c>
      <c r="K463" s="286" t="s">
        <v>53</v>
      </c>
      <c r="L463" s="286" t="s">
        <v>53</v>
      </c>
      <c r="M463" s="286" t="s">
        <v>53</v>
      </c>
      <c r="N463" s="287">
        <v>93288</v>
      </c>
      <c r="O463" s="305">
        <f t="shared" si="7"/>
        <v>44620</v>
      </c>
      <c r="P463" s="286" t="s">
        <v>37</v>
      </c>
    </row>
    <row r="464" spans="1:16" hidden="1" x14ac:dyDescent="0.15">
      <c r="A464" s="286">
        <v>1161</v>
      </c>
      <c r="B464" s="288">
        <v>44616.797222222223</v>
      </c>
      <c r="C464" s="286" t="s">
        <v>1295</v>
      </c>
      <c r="D464" s="286" t="s">
        <v>1105</v>
      </c>
      <c r="E464" s="286" t="s">
        <v>1106</v>
      </c>
      <c r="F464" s="286" t="s">
        <v>1296</v>
      </c>
      <c r="G464" s="286" t="s">
        <v>53</v>
      </c>
      <c r="H464" s="286" t="s">
        <v>53</v>
      </c>
      <c r="I464" s="286" t="s">
        <v>1230</v>
      </c>
      <c r="J464" s="286" t="s">
        <v>53</v>
      </c>
      <c r="K464" s="286" t="s">
        <v>53</v>
      </c>
      <c r="L464" s="286" t="s">
        <v>53</v>
      </c>
      <c r="M464" s="286" t="s">
        <v>53</v>
      </c>
      <c r="N464" s="287">
        <v>86270.65</v>
      </c>
      <c r="O464" s="305">
        <f t="shared" si="7"/>
        <v>44620</v>
      </c>
      <c r="P464" s="286" t="s">
        <v>175</v>
      </c>
    </row>
    <row r="465" spans="1:16" hidden="1" x14ac:dyDescent="0.15">
      <c r="A465" s="286">
        <v>1161</v>
      </c>
      <c r="B465" s="288">
        <v>44616.797222222223</v>
      </c>
      <c r="C465" s="286" t="s">
        <v>1295</v>
      </c>
      <c r="D465" s="286" t="s">
        <v>1105</v>
      </c>
      <c r="E465" s="286" t="s">
        <v>1106</v>
      </c>
      <c r="F465" s="286" t="s">
        <v>1296</v>
      </c>
      <c r="G465" s="286" t="s">
        <v>53</v>
      </c>
      <c r="H465" s="286" t="s">
        <v>53</v>
      </c>
      <c r="I465" s="286" t="s">
        <v>1112</v>
      </c>
      <c r="J465" s="286" t="s">
        <v>53</v>
      </c>
      <c r="K465" s="286" t="s">
        <v>53</v>
      </c>
      <c r="L465" s="286" t="s">
        <v>53</v>
      </c>
      <c r="M465" s="286" t="s">
        <v>53</v>
      </c>
      <c r="N465" s="287">
        <v>72908</v>
      </c>
      <c r="O465" s="305">
        <f t="shared" si="7"/>
        <v>44620</v>
      </c>
      <c r="P465" s="286" t="s">
        <v>175</v>
      </c>
    </row>
    <row r="466" spans="1:16" hidden="1" x14ac:dyDescent="0.15">
      <c r="A466" s="286">
        <v>1161</v>
      </c>
      <c r="B466" s="288">
        <v>44616.797222222223</v>
      </c>
      <c r="C466" s="286" t="s">
        <v>1295</v>
      </c>
      <c r="D466" s="286" t="s">
        <v>1105</v>
      </c>
      <c r="E466" s="286" t="s">
        <v>1106</v>
      </c>
      <c r="F466" s="286" t="s">
        <v>1296</v>
      </c>
      <c r="G466" s="286" t="s">
        <v>53</v>
      </c>
      <c r="H466" s="286" t="s">
        <v>53</v>
      </c>
      <c r="I466" s="286" t="s">
        <v>1228</v>
      </c>
      <c r="J466" s="286" t="s">
        <v>53</v>
      </c>
      <c r="K466" s="286" t="s">
        <v>53</v>
      </c>
      <c r="L466" s="286" t="s">
        <v>53</v>
      </c>
      <c r="M466" s="286" t="s">
        <v>53</v>
      </c>
      <c r="N466" s="287">
        <v>61447.59</v>
      </c>
      <c r="O466" s="305">
        <f t="shared" si="7"/>
        <v>44620</v>
      </c>
      <c r="P466" s="286" t="s">
        <v>58</v>
      </c>
    </row>
    <row r="467" spans="1:16" hidden="1" x14ac:dyDescent="0.15">
      <c r="A467" s="286">
        <v>1161</v>
      </c>
      <c r="B467" s="288">
        <v>44616.797222222223</v>
      </c>
      <c r="C467" s="286" t="s">
        <v>1295</v>
      </c>
      <c r="D467" s="286" t="s">
        <v>1105</v>
      </c>
      <c r="E467" s="286" t="s">
        <v>1106</v>
      </c>
      <c r="F467" s="286" t="s">
        <v>1296</v>
      </c>
      <c r="G467" s="286" t="s">
        <v>53</v>
      </c>
      <c r="H467" s="286" t="s">
        <v>53</v>
      </c>
      <c r="I467" s="286" t="s">
        <v>1235</v>
      </c>
      <c r="J467" s="286" t="s">
        <v>53</v>
      </c>
      <c r="K467" s="286" t="s">
        <v>53</v>
      </c>
      <c r="L467" s="286" t="s">
        <v>53</v>
      </c>
      <c r="M467" s="286" t="s">
        <v>53</v>
      </c>
      <c r="N467" s="287">
        <v>58674</v>
      </c>
      <c r="O467" s="305">
        <f t="shared" si="7"/>
        <v>44620</v>
      </c>
      <c r="P467" s="286" t="s">
        <v>180</v>
      </c>
    </row>
    <row r="468" spans="1:16" hidden="1" x14ac:dyDescent="0.15">
      <c r="A468" s="286">
        <v>1161</v>
      </c>
      <c r="B468" s="288">
        <v>44616.797222222223</v>
      </c>
      <c r="C468" s="286" t="s">
        <v>1295</v>
      </c>
      <c r="D468" s="286" t="s">
        <v>1105</v>
      </c>
      <c r="E468" s="286" t="s">
        <v>1106</v>
      </c>
      <c r="F468" s="286" t="s">
        <v>1296</v>
      </c>
      <c r="G468" s="286" t="s">
        <v>53</v>
      </c>
      <c r="H468" s="286" t="s">
        <v>53</v>
      </c>
      <c r="I468" s="286" t="s">
        <v>1128</v>
      </c>
      <c r="J468" s="286" t="s">
        <v>53</v>
      </c>
      <c r="K468" s="286" t="s">
        <v>53</v>
      </c>
      <c r="L468" s="286" t="s">
        <v>53</v>
      </c>
      <c r="M468" s="286" t="s">
        <v>53</v>
      </c>
      <c r="N468" s="287">
        <v>26478</v>
      </c>
      <c r="O468" s="305">
        <f t="shared" si="7"/>
        <v>44620</v>
      </c>
      <c r="P468" s="286" t="s">
        <v>47</v>
      </c>
    </row>
    <row r="469" spans="1:16" hidden="1" x14ac:dyDescent="0.15">
      <c r="A469" s="286">
        <v>1161</v>
      </c>
      <c r="B469" s="288">
        <v>44616.797222222223</v>
      </c>
      <c r="C469" s="286" t="s">
        <v>1295</v>
      </c>
      <c r="D469" s="286" t="s">
        <v>1105</v>
      </c>
      <c r="E469" s="286" t="s">
        <v>1106</v>
      </c>
      <c r="F469" s="286" t="s">
        <v>1296</v>
      </c>
      <c r="G469" s="286" t="s">
        <v>53</v>
      </c>
      <c r="H469" s="286" t="s">
        <v>53</v>
      </c>
      <c r="I469" s="286" t="s">
        <v>1152</v>
      </c>
      <c r="J469" s="286" t="s">
        <v>53</v>
      </c>
      <c r="K469" s="286" t="s">
        <v>53</v>
      </c>
      <c r="L469" s="286" t="s">
        <v>53</v>
      </c>
      <c r="M469" s="286" t="s">
        <v>53</v>
      </c>
      <c r="N469" s="287">
        <v>18699.080000000002</v>
      </c>
      <c r="O469" s="305">
        <f t="shared" si="7"/>
        <v>44620</v>
      </c>
      <c r="P469" s="111" t="s">
        <v>58</v>
      </c>
    </row>
    <row r="470" spans="1:16" hidden="1" x14ac:dyDescent="0.15">
      <c r="A470" s="286">
        <v>1161</v>
      </c>
      <c r="B470" s="288">
        <v>44616.797222222223</v>
      </c>
      <c r="C470" s="286" t="s">
        <v>1295</v>
      </c>
      <c r="D470" s="286" t="s">
        <v>1105</v>
      </c>
      <c r="E470" s="286" t="s">
        <v>1106</v>
      </c>
      <c r="F470" s="286" t="s">
        <v>1296</v>
      </c>
      <c r="G470" s="286" t="s">
        <v>53</v>
      </c>
      <c r="H470" s="286" t="s">
        <v>53</v>
      </c>
      <c r="I470" s="286" t="s">
        <v>1109</v>
      </c>
      <c r="J470" s="286" t="s">
        <v>53</v>
      </c>
      <c r="K470" s="286" t="s">
        <v>53</v>
      </c>
      <c r="L470" s="286" t="s">
        <v>53</v>
      </c>
      <c r="M470" s="286" t="s">
        <v>53</v>
      </c>
      <c r="N470" s="287">
        <v>8740.9500000000007</v>
      </c>
      <c r="O470" s="305">
        <f t="shared" si="7"/>
        <v>44620</v>
      </c>
    </row>
    <row r="471" spans="1:16" hidden="1" x14ac:dyDescent="0.15">
      <c r="A471" s="286">
        <v>1161</v>
      </c>
      <c r="B471" s="288">
        <v>44616.797222222223</v>
      </c>
      <c r="C471" s="286" t="s">
        <v>1295</v>
      </c>
      <c r="D471" s="286" t="s">
        <v>1105</v>
      </c>
      <c r="E471" s="286" t="s">
        <v>1106</v>
      </c>
      <c r="F471" s="286" t="s">
        <v>1296</v>
      </c>
      <c r="G471" s="286" t="s">
        <v>53</v>
      </c>
      <c r="H471" s="286" t="s">
        <v>53</v>
      </c>
      <c r="I471" s="286" t="s">
        <v>1274</v>
      </c>
      <c r="J471" s="286" t="s">
        <v>53</v>
      </c>
      <c r="K471" s="286" t="s">
        <v>53</v>
      </c>
      <c r="L471" s="286" t="s">
        <v>53</v>
      </c>
      <c r="M471" s="286" t="s">
        <v>53</v>
      </c>
      <c r="N471" s="287">
        <v>7083.33</v>
      </c>
      <c r="O471" s="305">
        <f t="shared" si="7"/>
        <v>44620</v>
      </c>
      <c r="P471" s="286" t="s">
        <v>201</v>
      </c>
    </row>
    <row r="472" spans="1:16" hidden="1" x14ac:dyDescent="0.15">
      <c r="A472" s="286">
        <v>1161</v>
      </c>
      <c r="B472" s="288">
        <v>44616.797222222223</v>
      </c>
      <c r="C472" s="286" t="s">
        <v>1295</v>
      </c>
      <c r="D472" s="286" t="s">
        <v>1105</v>
      </c>
      <c r="E472" s="286" t="s">
        <v>1106</v>
      </c>
      <c r="F472" s="286" t="s">
        <v>1296</v>
      </c>
      <c r="G472" s="286" t="s">
        <v>53</v>
      </c>
      <c r="H472" s="286" t="s">
        <v>53</v>
      </c>
      <c r="I472" s="286" t="s">
        <v>1279</v>
      </c>
      <c r="J472" s="286" t="s">
        <v>53</v>
      </c>
      <c r="K472" s="286" t="s">
        <v>53</v>
      </c>
      <c r="L472" s="286" t="s">
        <v>53</v>
      </c>
      <c r="M472" s="286" t="s">
        <v>53</v>
      </c>
      <c r="N472" s="287">
        <v>4763.42</v>
      </c>
      <c r="O472" s="305">
        <f t="shared" si="7"/>
        <v>44620</v>
      </c>
      <c r="P472" s="286" t="s">
        <v>58</v>
      </c>
    </row>
    <row r="473" spans="1:16" hidden="1" x14ac:dyDescent="0.15">
      <c r="A473" s="286">
        <v>1161</v>
      </c>
      <c r="B473" s="288">
        <v>44616.797222222223</v>
      </c>
      <c r="C473" s="286" t="s">
        <v>1295</v>
      </c>
      <c r="D473" s="286" t="s">
        <v>1105</v>
      </c>
      <c r="E473" s="286" t="s">
        <v>1106</v>
      </c>
      <c r="F473" s="286" t="s">
        <v>1296</v>
      </c>
      <c r="G473" s="286" t="s">
        <v>53</v>
      </c>
      <c r="H473" s="286" t="s">
        <v>53</v>
      </c>
      <c r="I473" s="286" t="s">
        <v>1129</v>
      </c>
      <c r="J473" s="286" t="s">
        <v>53</v>
      </c>
      <c r="K473" s="286" t="s">
        <v>53</v>
      </c>
      <c r="L473" s="286" t="s">
        <v>53</v>
      </c>
      <c r="M473" s="286" t="s">
        <v>53</v>
      </c>
      <c r="N473" s="287">
        <v>2466.4</v>
      </c>
      <c r="O473" s="305">
        <f t="shared" si="7"/>
        <v>44620</v>
      </c>
      <c r="P473" s="286" t="s">
        <v>164</v>
      </c>
    </row>
    <row r="474" spans="1:16" hidden="1" x14ac:dyDescent="0.15">
      <c r="A474" s="286">
        <v>1260</v>
      </c>
      <c r="B474" s="288">
        <v>44616.800694444442</v>
      </c>
      <c r="C474" s="286" t="s">
        <v>1297</v>
      </c>
      <c r="D474" s="286" t="s">
        <v>1105</v>
      </c>
      <c r="E474" s="286" t="s">
        <v>1106</v>
      </c>
      <c r="F474" s="286" t="s">
        <v>1298</v>
      </c>
      <c r="G474" s="286" t="s">
        <v>53</v>
      </c>
      <c r="H474" s="286" t="s">
        <v>53</v>
      </c>
      <c r="I474" s="286" t="s">
        <v>1112</v>
      </c>
      <c r="J474" s="286" t="s">
        <v>53</v>
      </c>
      <c r="K474" s="286" t="s">
        <v>53</v>
      </c>
      <c r="L474" s="286" t="s">
        <v>53</v>
      </c>
      <c r="M474" s="286" t="s">
        <v>53</v>
      </c>
      <c r="N474" s="287">
        <v>148802</v>
      </c>
      <c r="O474" s="305">
        <f t="shared" si="7"/>
        <v>44620</v>
      </c>
      <c r="P474" s="286" t="s">
        <v>175</v>
      </c>
    </row>
    <row r="475" spans="1:16" hidden="1" x14ac:dyDescent="0.15">
      <c r="A475" s="286">
        <v>1260</v>
      </c>
      <c r="B475" s="288">
        <v>44616.800694444442</v>
      </c>
      <c r="C475" s="286" t="s">
        <v>1297</v>
      </c>
      <c r="D475" s="286" t="s">
        <v>1105</v>
      </c>
      <c r="E475" s="286" t="s">
        <v>1106</v>
      </c>
      <c r="F475" s="286" t="s">
        <v>1298</v>
      </c>
      <c r="G475" s="286" t="s">
        <v>53</v>
      </c>
      <c r="H475" s="286" t="s">
        <v>53</v>
      </c>
      <c r="I475" s="286" t="s">
        <v>1199</v>
      </c>
      <c r="J475" s="286" t="s">
        <v>53</v>
      </c>
      <c r="K475" s="286" t="s">
        <v>53</v>
      </c>
      <c r="L475" s="286" t="s">
        <v>53</v>
      </c>
      <c r="M475" s="286" t="s">
        <v>53</v>
      </c>
      <c r="N475" s="287">
        <v>118135.8</v>
      </c>
      <c r="O475" s="305">
        <f t="shared" si="7"/>
        <v>44620</v>
      </c>
      <c r="P475" s="286" t="s">
        <v>58</v>
      </c>
    </row>
    <row r="476" spans="1:16" hidden="1" x14ac:dyDescent="0.15">
      <c r="A476" s="286">
        <v>1260</v>
      </c>
      <c r="B476" s="288">
        <v>44616.800694444442</v>
      </c>
      <c r="C476" s="286" t="s">
        <v>1297</v>
      </c>
      <c r="D476" s="286" t="s">
        <v>1105</v>
      </c>
      <c r="E476" s="286" t="s">
        <v>1106</v>
      </c>
      <c r="F476" s="286" t="s">
        <v>1298</v>
      </c>
      <c r="G476" s="286" t="s">
        <v>53</v>
      </c>
      <c r="H476" s="286" t="s">
        <v>53</v>
      </c>
      <c r="I476" s="286" t="s">
        <v>1235</v>
      </c>
      <c r="J476" s="286" t="s">
        <v>53</v>
      </c>
      <c r="K476" s="286" t="s">
        <v>53</v>
      </c>
      <c r="L476" s="286" t="s">
        <v>53</v>
      </c>
      <c r="M476" s="286" t="s">
        <v>53</v>
      </c>
      <c r="N476" s="287">
        <v>104205</v>
      </c>
      <c r="O476" s="305">
        <f t="shared" si="7"/>
        <v>44620</v>
      </c>
      <c r="P476" s="286" t="s">
        <v>180</v>
      </c>
    </row>
    <row r="477" spans="1:16" hidden="1" x14ac:dyDescent="0.15">
      <c r="A477" s="286">
        <v>1260</v>
      </c>
      <c r="B477" s="288">
        <v>44616.800694444442</v>
      </c>
      <c r="C477" s="286" t="s">
        <v>1297</v>
      </c>
      <c r="D477" s="286" t="s">
        <v>1105</v>
      </c>
      <c r="E477" s="286" t="s">
        <v>1106</v>
      </c>
      <c r="F477" s="286" t="s">
        <v>1298</v>
      </c>
      <c r="G477" s="286" t="s">
        <v>53</v>
      </c>
      <c r="H477" s="286" t="s">
        <v>53</v>
      </c>
      <c r="I477" s="286" t="s">
        <v>1228</v>
      </c>
      <c r="J477" s="286" t="s">
        <v>53</v>
      </c>
      <c r="K477" s="286" t="s">
        <v>53</v>
      </c>
      <c r="L477" s="286" t="s">
        <v>53</v>
      </c>
      <c r="M477" s="286" t="s">
        <v>53</v>
      </c>
      <c r="N477" s="287">
        <v>71237.509999999995</v>
      </c>
      <c r="O477" s="305">
        <f t="shared" si="7"/>
        <v>44620</v>
      </c>
      <c r="P477" s="286" t="s">
        <v>58</v>
      </c>
    </row>
    <row r="478" spans="1:16" hidden="1" x14ac:dyDescent="0.15">
      <c r="A478" s="286">
        <v>1260</v>
      </c>
      <c r="B478" s="288">
        <v>44616.800694444442</v>
      </c>
      <c r="C478" s="286" t="s">
        <v>1297</v>
      </c>
      <c r="D478" s="286" t="s">
        <v>1105</v>
      </c>
      <c r="E478" s="286" t="s">
        <v>1106</v>
      </c>
      <c r="F478" s="286" t="s">
        <v>1298</v>
      </c>
      <c r="G478" s="286" t="s">
        <v>53</v>
      </c>
      <c r="H478" s="286" t="s">
        <v>53</v>
      </c>
      <c r="I478" s="286" t="s">
        <v>1108</v>
      </c>
      <c r="J478" s="286" t="s">
        <v>53</v>
      </c>
      <c r="K478" s="286" t="s">
        <v>53</v>
      </c>
      <c r="L478" s="286" t="s">
        <v>53</v>
      </c>
      <c r="M478" s="286" t="s">
        <v>53</v>
      </c>
      <c r="N478" s="287">
        <v>46543</v>
      </c>
      <c r="O478" s="305">
        <f t="shared" si="7"/>
        <v>44620</v>
      </c>
      <c r="P478" s="286" t="s">
        <v>37</v>
      </c>
    </row>
    <row r="479" spans="1:16" hidden="1" x14ac:dyDescent="0.15">
      <c r="A479" s="286">
        <v>1260</v>
      </c>
      <c r="B479" s="288">
        <v>44616.800694444442</v>
      </c>
      <c r="C479" s="286" t="s">
        <v>1297</v>
      </c>
      <c r="D479" s="286" t="s">
        <v>1105</v>
      </c>
      <c r="E479" s="286" t="s">
        <v>1106</v>
      </c>
      <c r="F479" s="286" t="s">
        <v>1298</v>
      </c>
      <c r="G479" s="286" t="s">
        <v>53</v>
      </c>
      <c r="H479" s="286" t="s">
        <v>53</v>
      </c>
      <c r="I479" s="286" t="s">
        <v>1128</v>
      </c>
      <c r="J479" s="286" t="s">
        <v>53</v>
      </c>
      <c r="K479" s="286" t="s">
        <v>53</v>
      </c>
      <c r="L479" s="286" t="s">
        <v>53</v>
      </c>
      <c r="M479" s="286" t="s">
        <v>53</v>
      </c>
      <c r="N479" s="287">
        <v>35079</v>
      </c>
      <c r="O479" s="305">
        <f t="shared" si="7"/>
        <v>44620</v>
      </c>
      <c r="P479" s="286" t="s">
        <v>47</v>
      </c>
    </row>
    <row r="480" spans="1:16" hidden="1" x14ac:dyDescent="0.15">
      <c r="A480" s="286">
        <v>1260</v>
      </c>
      <c r="B480" s="288">
        <v>44616.800694444442</v>
      </c>
      <c r="C480" s="286" t="s">
        <v>1297</v>
      </c>
      <c r="D480" s="286" t="s">
        <v>1105</v>
      </c>
      <c r="E480" s="286" t="s">
        <v>1106</v>
      </c>
      <c r="F480" s="286" t="s">
        <v>1298</v>
      </c>
      <c r="G480" s="286" t="s">
        <v>53</v>
      </c>
      <c r="H480" s="286" t="s">
        <v>53</v>
      </c>
      <c r="I480" s="286" t="s">
        <v>1230</v>
      </c>
      <c r="J480" s="286" t="s">
        <v>53</v>
      </c>
      <c r="K480" s="286" t="s">
        <v>53</v>
      </c>
      <c r="L480" s="286" t="s">
        <v>53</v>
      </c>
      <c r="M480" s="286" t="s">
        <v>53</v>
      </c>
      <c r="N480" s="287">
        <v>34296</v>
      </c>
      <c r="O480" s="305">
        <f t="shared" si="7"/>
        <v>44620</v>
      </c>
      <c r="P480" s="286" t="s">
        <v>175</v>
      </c>
    </row>
    <row r="481" spans="1:16" hidden="1" x14ac:dyDescent="0.15">
      <c r="A481" s="286">
        <v>1260</v>
      </c>
      <c r="B481" s="288">
        <v>44616.800694444442</v>
      </c>
      <c r="C481" s="286" t="s">
        <v>1297</v>
      </c>
      <c r="D481" s="286" t="s">
        <v>1105</v>
      </c>
      <c r="E481" s="286" t="s">
        <v>1106</v>
      </c>
      <c r="F481" s="286" t="s">
        <v>1298</v>
      </c>
      <c r="G481" s="286" t="s">
        <v>53</v>
      </c>
      <c r="H481" s="286" t="s">
        <v>53</v>
      </c>
      <c r="I481" s="286" t="s">
        <v>1229</v>
      </c>
      <c r="J481" s="286" t="s">
        <v>53</v>
      </c>
      <c r="K481" s="286" t="s">
        <v>53</v>
      </c>
      <c r="L481" s="286" t="s">
        <v>53</v>
      </c>
      <c r="M481" s="286" t="s">
        <v>53</v>
      </c>
      <c r="N481" s="287">
        <v>15680</v>
      </c>
      <c r="O481" s="305">
        <f t="shared" si="7"/>
        <v>44620</v>
      </c>
      <c r="P481" s="286" t="s">
        <v>279</v>
      </c>
    </row>
    <row r="482" spans="1:16" hidden="1" x14ac:dyDescent="0.15">
      <c r="A482" s="286">
        <v>1260</v>
      </c>
      <c r="B482" s="288">
        <v>44616.800694444442</v>
      </c>
      <c r="C482" s="286" t="s">
        <v>1297</v>
      </c>
      <c r="D482" s="286" t="s">
        <v>1105</v>
      </c>
      <c r="E482" s="286" t="s">
        <v>1106</v>
      </c>
      <c r="F482" s="286" t="s">
        <v>1298</v>
      </c>
      <c r="G482" s="286" t="s">
        <v>53</v>
      </c>
      <c r="H482" s="286" t="s">
        <v>53</v>
      </c>
      <c r="I482" s="286" t="s">
        <v>1152</v>
      </c>
      <c r="J482" s="286" t="s">
        <v>53</v>
      </c>
      <c r="K482" s="286" t="s">
        <v>53</v>
      </c>
      <c r="L482" s="286" t="s">
        <v>53</v>
      </c>
      <c r="M482" s="286" t="s">
        <v>53</v>
      </c>
      <c r="N482" s="287">
        <v>13928.55</v>
      </c>
      <c r="O482" s="305">
        <f t="shared" si="7"/>
        <v>44620</v>
      </c>
      <c r="P482" s="111" t="s">
        <v>58</v>
      </c>
    </row>
    <row r="483" spans="1:16" hidden="1" x14ac:dyDescent="0.15">
      <c r="A483" s="286">
        <v>1260</v>
      </c>
      <c r="B483" s="288">
        <v>44616.800694444442</v>
      </c>
      <c r="C483" s="286" t="s">
        <v>1297</v>
      </c>
      <c r="D483" s="286" t="s">
        <v>1105</v>
      </c>
      <c r="E483" s="286" t="s">
        <v>1106</v>
      </c>
      <c r="F483" s="286" t="s">
        <v>1298</v>
      </c>
      <c r="G483" s="286" t="s">
        <v>53</v>
      </c>
      <c r="H483" s="286" t="s">
        <v>53</v>
      </c>
      <c r="I483" s="286" t="s">
        <v>1274</v>
      </c>
      <c r="J483" s="286" t="s">
        <v>53</v>
      </c>
      <c r="K483" s="286" t="s">
        <v>53</v>
      </c>
      <c r="L483" s="286" t="s">
        <v>53</v>
      </c>
      <c r="M483" s="286" t="s">
        <v>53</v>
      </c>
      <c r="N483" s="287">
        <v>7083</v>
      </c>
      <c r="O483" s="305">
        <f t="shared" si="7"/>
        <v>44620</v>
      </c>
      <c r="P483" s="286" t="s">
        <v>201</v>
      </c>
    </row>
    <row r="484" spans="1:16" hidden="1" x14ac:dyDescent="0.15">
      <c r="A484" s="286">
        <v>1260</v>
      </c>
      <c r="B484" s="288">
        <v>44616.800694444442</v>
      </c>
      <c r="C484" s="286" t="s">
        <v>1297</v>
      </c>
      <c r="D484" s="286" t="s">
        <v>1105</v>
      </c>
      <c r="E484" s="286" t="s">
        <v>1106</v>
      </c>
      <c r="F484" s="286" t="s">
        <v>1298</v>
      </c>
      <c r="G484" s="286" t="s">
        <v>53</v>
      </c>
      <c r="H484" s="286" t="s">
        <v>53</v>
      </c>
      <c r="I484" s="286" t="s">
        <v>1121</v>
      </c>
      <c r="J484" s="286" t="s">
        <v>53</v>
      </c>
      <c r="K484" s="286" t="s">
        <v>53</v>
      </c>
      <c r="L484" s="286" t="s">
        <v>53</v>
      </c>
      <c r="M484" s="286" t="s">
        <v>53</v>
      </c>
      <c r="N484" s="287">
        <v>6337</v>
      </c>
      <c r="O484" s="305">
        <f t="shared" si="7"/>
        <v>44620</v>
      </c>
      <c r="P484" s="286" t="s">
        <v>248</v>
      </c>
    </row>
    <row r="485" spans="1:16" hidden="1" x14ac:dyDescent="0.15">
      <c r="A485" s="286">
        <v>1260</v>
      </c>
      <c r="B485" s="288">
        <v>44616.800694444442</v>
      </c>
      <c r="C485" s="286" t="s">
        <v>1297</v>
      </c>
      <c r="D485" s="286" t="s">
        <v>1105</v>
      </c>
      <c r="E485" s="286" t="s">
        <v>1106</v>
      </c>
      <c r="F485" s="286" t="s">
        <v>1298</v>
      </c>
      <c r="G485" s="286" t="s">
        <v>53</v>
      </c>
      <c r="H485" s="286" t="s">
        <v>53</v>
      </c>
      <c r="I485" s="286" t="s">
        <v>1279</v>
      </c>
      <c r="J485" s="286" t="s">
        <v>53</v>
      </c>
      <c r="K485" s="286" t="s">
        <v>53</v>
      </c>
      <c r="L485" s="286" t="s">
        <v>53</v>
      </c>
      <c r="M485" s="286" t="s">
        <v>53</v>
      </c>
      <c r="N485" s="287">
        <v>4041.83</v>
      </c>
      <c r="O485" s="305">
        <f t="shared" si="7"/>
        <v>44620</v>
      </c>
      <c r="P485" s="286" t="s">
        <v>58</v>
      </c>
    </row>
    <row r="486" spans="1:16" hidden="1" x14ac:dyDescent="0.15">
      <c r="A486" s="286">
        <v>1260</v>
      </c>
      <c r="B486" s="288">
        <v>44616.800694444442</v>
      </c>
      <c r="C486" s="286" t="s">
        <v>1297</v>
      </c>
      <c r="D486" s="286" t="s">
        <v>1105</v>
      </c>
      <c r="E486" s="286" t="s">
        <v>1106</v>
      </c>
      <c r="F486" s="286" t="s">
        <v>1298</v>
      </c>
      <c r="G486" s="286" t="s">
        <v>53</v>
      </c>
      <c r="H486" s="286" t="s">
        <v>53</v>
      </c>
      <c r="I486" s="286" t="s">
        <v>1129</v>
      </c>
      <c r="J486" s="286" t="s">
        <v>53</v>
      </c>
      <c r="K486" s="286" t="s">
        <v>53</v>
      </c>
      <c r="L486" s="286" t="s">
        <v>53</v>
      </c>
      <c r="M486" s="286" t="s">
        <v>53</v>
      </c>
      <c r="N486" s="287">
        <v>2429.69</v>
      </c>
      <c r="O486" s="305">
        <f t="shared" si="7"/>
        <v>44620</v>
      </c>
      <c r="P486" s="286" t="s">
        <v>164</v>
      </c>
    </row>
    <row r="487" spans="1:16" hidden="1" x14ac:dyDescent="0.15">
      <c r="A487" s="286">
        <v>1260</v>
      </c>
      <c r="B487" s="288">
        <v>44616.800694444442</v>
      </c>
      <c r="C487" s="286" t="s">
        <v>1297</v>
      </c>
      <c r="D487" s="286" t="s">
        <v>1105</v>
      </c>
      <c r="E487" s="286" t="s">
        <v>1106</v>
      </c>
      <c r="F487" s="286" t="s">
        <v>1298</v>
      </c>
      <c r="G487" s="286" t="s">
        <v>53</v>
      </c>
      <c r="H487" s="286" t="s">
        <v>53</v>
      </c>
      <c r="I487" s="286" t="s">
        <v>1282</v>
      </c>
      <c r="J487" s="286" t="s">
        <v>53</v>
      </c>
      <c r="K487" s="286" t="s">
        <v>53</v>
      </c>
      <c r="L487" s="286" t="s">
        <v>53</v>
      </c>
      <c r="M487" s="286" t="s">
        <v>53</v>
      </c>
      <c r="N487" s="287">
        <v>2000</v>
      </c>
      <c r="O487" s="305">
        <f t="shared" si="7"/>
        <v>44620</v>
      </c>
      <c r="P487" s="286" t="s">
        <v>201</v>
      </c>
    </row>
    <row r="488" spans="1:16" hidden="1" x14ac:dyDescent="0.15">
      <c r="A488" s="286">
        <v>1261</v>
      </c>
      <c r="B488" s="288">
        <v>44616.800694444442</v>
      </c>
      <c r="C488" s="286" t="s">
        <v>1299</v>
      </c>
      <c r="D488" s="286" t="s">
        <v>1105</v>
      </c>
      <c r="E488" s="286" t="s">
        <v>1106</v>
      </c>
      <c r="F488" s="286" t="s">
        <v>1300</v>
      </c>
      <c r="G488" s="286" t="s">
        <v>53</v>
      </c>
      <c r="H488" s="286" t="s">
        <v>53</v>
      </c>
      <c r="I488" s="286" t="s">
        <v>1108</v>
      </c>
      <c r="J488" s="286" t="s">
        <v>53</v>
      </c>
      <c r="K488" s="286" t="s">
        <v>53</v>
      </c>
      <c r="L488" s="286" t="s">
        <v>53</v>
      </c>
      <c r="M488" s="286" t="s">
        <v>53</v>
      </c>
      <c r="N488" s="287">
        <v>270004.03999999998</v>
      </c>
      <c r="O488" s="305">
        <f t="shared" si="7"/>
        <v>44620</v>
      </c>
      <c r="P488" s="286" t="s">
        <v>37</v>
      </c>
    </row>
    <row r="489" spans="1:16" hidden="1" x14ac:dyDescent="0.15">
      <c r="A489" s="286">
        <v>1261</v>
      </c>
      <c r="B489" s="288">
        <v>44616.800694444442</v>
      </c>
      <c r="C489" s="286" t="s">
        <v>1299</v>
      </c>
      <c r="D489" s="286" t="s">
        <v>1105</v>
      </c>
      <c r="E489" s="286" t="s">
        <v>1106</v>
      </c>
      <c r="F489" s="286" t="s">
        <v>1300</v>
      </c>
      <c r="G489" s="286" t="s">
        <v>53</v>
      </c>
      <c r="H489" s="286" t="s">
        <v>53</v>
      </c>
      <c r="I489" s="286" t="s">
        <v>1199</v>
      </c>
      <c r="J489" s="286" t="s">
        <v>53</v>
      </c>
      <c r="K489" s="286" t="s">
        <v>53</v>
      </c>
      <c r="L489" s="286" t="s">
        <v>53</v>
      </c>
      <c r="M489" s="286" t="s">
        <v>53</v>
      </c>
      <c r="N489" s="287">
        <v>129654.92</v>
      </c>
      <c r="O489" s="305">
        <f t="shared" si="7"/>
        <v>44620</v>
      </c>
      <c r="P489" s="286" t="s">
        <v>58</v>
      </c>
    </row>
    <row r="490" spans="1:16" hidden="1" x14ac:dyDescent="0.15">
      <c r="A490" s="286">
        <v>1261</v>
      </c>
      <c r="B490" s="288">
        <v>44616.800694444442</v>
      </c>
      <c r="C490" s="286" t="s">
        <v>1299</v>
      </c>
      <c r="D490" s="286" t="s">
        <v>1105</v>
      </c>
      <c r="E490" s="286" t="s">
        <v>1106</v>
      </c>
      <c r="F490" s="286" t="s">
        <v>1300</v>
      </c>
      <c r="G490" s="286" t="s">
        <v>53</v>
      </c>
      <c r="H490" s="286" t="s">
        <v>53</v>
      </c>
      <c r="I490" s="286" t="s">
        <v>1235</v>
      </c>
      <c r="J490" s="286" t="s">
        <v>53</v>
      </c>
      <c r="K490" s="286" t="s">
        <v>53</v>
      </c>
      <c r="L490" s="286" t="s">
        <v>53</v>
      </c>
      <c r="M490" s="286" t="s">
        <v>53</v>
      </c>
      <c r="N490" s="287">
        <v>99193</v>
      </c>
      <c r="O490" s="305">
        <f t="shared" si="7"/>
        <v>44620</v>
      </c>
      <c r="P490" s="286" t="s">
        <v>180</v>
      </c>
    </row>
    <row r="491" spans="1:16" hidden="1" x14ac:dyDescent="0.15">
      <c r="A491" s="286">
        <v>1261</v>
      </c>
      <c r="B491" s="288">
        <v>44616.800694444442</v>
      </c>
      <c r="C491" s="286" t="s">
        <v>1299</v>
      </c>
      <c r="D491" s="286" t="s">
        <v>1105</v>
      </c>
      <c r="E491" s="286" t="s">
        <v>1106</v>
      </c>
      <c r="F491" s="286" t="s">
        <v>1300</v>
      </c>
      <c r="G491" s="286" t="s">
        <v>53</v>
      </c>
      <c r="H491" s="286" t="s">
        <v>53</v>
      </c>
      <c r="I491" s="286" t="s">
        <v>1228</v>
      </c>
      <c r="J491" s="286" t="s">
        <v>53</v>
      </c>
      <c r="K491" s="286" t="s">
        <v>53</v>
      </c>
      <c r="L491" s="286" t="s">
        <v>53</v>
      </c>
      <c r="M491" s="286" t="s">
        <v>53</v>
      </c>
      <c r="N491" s="287">
        <v>56638.68</v>
      </c>
      <c r="O491" s="305">
        <f t="shared" si="7"/>
        <v>44620</v>
      </c>
      <c r="P491" s="286" t="s">
        <v>58</v>
      </c>
    </row>
    <row r="492" spans="1:16" hidden="1" x14ac:dyDescent="0.15">
      <c r="A492" s="286">
        <v>1261</v>
      </c>
      <c r="B492" s="288">
        <v>44616.800694444442</v>
      </c>
      <c r="C492" s="286" t="s">
        <v>1299</v>
      </c>
      <c r="D492" s="286" t="s">
        <v>1105</v>
      </c>
      <c r="E492" s="286" t="s">
        <v>1106</v>
      </c>
      <c r="F492" s="286" t="s">
        <v>1300</v>
      </c>
      <c r="G492" s="286" t="s">
        <v>53</v>
      </c>
      <c r="H492" s="286" t="s">
        <v>53</v>
      </c>
      <c r="I492" s="286" t="s">
        <v>1204</v>
      </c>
      <c r="J492" s="286" t="s">
        <v>53</v>
      </c>
      <c r="K492" s="286" t="s">
        <v>53</v>
      </c>
      <c r="L492" s="286" t="s">
        <v>53</v>
      </c>
      <c r="M492" s="286" t="s">
        <v>53</v>
      </c>
      <c r="N492" s="287">
        <v>37987.050000000003</v>
      </c>
      <c r="O492" s="305">
        <f t="shared" si="7"/>
        <v>44620</v>
      </c>
      <c r="P492" s="286" t="s">
        <v>49</v>
      </c>
    </row>
    <row r="493" spans="1:16" hidden="1" x14ac:dyDescent="0.15">
      <c r="A493" s="286">
        <v>1261</v>
      </c>
      <c r="B493" s="288">
        <v>44616.800694444442</v>
      </c>
      <c r="C493" s="286" t="s">
        <v>1299</v>
      </c>
      <c r="D493" s="286" t="s">
        <v>1105</v>
      </c>
      <c r="E493" s="286" t="s">
        <v>1106</v>
      </c>
      <c r="F493" s="286" t="s">
        <v>1300</v>
      </c>
      <c r="G493" s="286" t="s">
        <v>53</v>
      </c>
      <c r="H493" s="286" t="s">
        <v>53</v>
      </c>
      <c r="I493" s="286" t="s">
        <v>1128</v>
      </c>
      <c r="J493" s="286" t="s">
        <v>53</v>
      </c>
      <c r="K493" s="286" t="s">
        <v>53</v>
      </c>
      <c r="L493" s="286" t="s">
        <v>53</v>
      </c>
      <c r="M493" s="286" t="s">
        <v>53</v>
      </c>
      <c r="N493" s="287">
        <v>37882.620000000003</v>
      </c>
      <c r="O493" s="305">
        <f t="shared" si="7"/>
        <v>44620</v>
      </c>
      <c r="P493" s="286" t="s">
        <v>47</v>
      </c>
    </row>
    <row r="494" spans="1:16" hidden="1" x14ac:dyDescent="0.15">
      <c r="A494" s="286">
        <v>1261</v>
      </c>
      <c r="B494" s="288">
        <v>44616.800694444442</v>
      </c>
      <c r="C494" s="286" t="s">
        <v>1299</v>
      </c>
      <c r="D494" s="286" t="s">
        <v>1105</v>
      </c>
      <c r="E494" s="286" t="s">
        <v>1106</v>
      </c>
      <c r="F494" s="286" t="s">
        <v>1300</v>
      </c>
      <c r="G494" s="286" t="s">
        <v>53</v>
      </c>
      <c r="H494" s="286" t="s">
        <v>53</v>
      </c>
      <c r="I494" s="286" t="s">
        <v>1112</v>
      </c>
      <c r="J494" s="286" t="s">
        <v>53</v>
      </c>
      <c r="K494" s="286" t="s">
        <v>53</v>
      </c>
      <c r="L494" s="286" t="s">
        <v>53</v>
      </c>
      <c r="M494" s="286" t="s">
        <v>53</v>
      </c>
      <c r="N494" s="287">
        <v>25350.35</v>
      </c>
      <c r="O494" s="305">
        <f t="shared" si="7"/>
        <v>44620</v>
      </c>
      <c r="P494" s="286" t="s">
        <v>175</v>
      </c>
    </row>
    <row r="495" spans="1:16" hidden="1" x14ac:dyDescent="0.15">
      <c r="A495" s="286">
        <v>1261</v>
      </c>
      <c r="B495" s="288">
        <v>44616.800694444442</v>
      </c>
      <c r="C495" s="286" t="s">
        <v>1299</v>
      </c>
      <c r="D495" s="286" t="s">
        <v>1105</v>
      </c>
      <c r="E495" s="286" t="s">
        <v>1106</v>
      </c>
      <c r="F495" s="286" t="s">
        <v>1300</v>
      </c>
      <c r="G495" s="286" t="s">
        <v>53</v>
      </c>
      <c r="H495" s="286" t="s">
        <v>53</v>
      </c>
      <c r="I495" s="286" t="s">
        <v>1301</v>
      </c>
      <c r="J495" s="286" t="s">
        <v>53</v>
      </c>
      <c r="K495" s="286" t="s">
        <v>53</v>
      </c>
      <c r="L495" s="286" t="s">
        <v>53</v>
      </c>
      <c r="M495" s="286" t="s">
        <v>53</v>
      </c>
      <c r="N495" s="287">
        <v>20880</v>
      </c>
      <c r="O495" s="305">
        <f t="shared" si="7"/>
        <v>44620</v>
      </c>
      <c r="P495" s="286" t="s">
        <v>55</v>
      </c>
    </row>
    <row r="496" spans="1:16" hidden="1" x14ac:dyDescent="0.15">
      <c r="A496" s="286">
        <v>1261</v>
      </c>
      <c r="B496" s="288">
        <v>44616.800694444442</v>
      </c>
      <c r="C496" s="286" t="s">
        <v>1299</v>
      </c>
      <c r="D496" s="286" t="s">
        <v>1105</v>
      </c>
      <c r="E496" s="286" t="s">
        <v>1106</v>
      </c>
      <c r="F496" s="286" t="s">
        <v>1300</v>
      </c>
      <c r="G496" s="286" t="s">
        <v>53</v>
      </c>
      <c r="H496" s="286" t="s">
        <v>53</v>
      </c>
      <c r="I496" s="286" t="s">
        <v>1229</v>
      </c>
      <c r="J496" s="286" t="s">
        <v>53</v>
      </c>
      <c r="K496" s="286" t="s">
        <v>53</v>
      </c>
      <c r="L496" s="286" t="s">
        <v>53</v>
      </c>
      <c r="M496" s="286" t="s">
        <v>53</v>
      </c>
      <c r="N496" s="287">
        <v>15680</v>
      </c>
      <c r="O496" s="305">
        <f t="shared" si="7"/>
        <v>44620</v>
      </c>
      <c r="P496" s="286" t="s">
        <v>279</v>
      </c>
    </row>
    <row r="497" spans="1:16" hidden="1" x14ac:dyDescent="0.15">
      <c r="A497" s="286">
        <v>1261</v>
      </c>
      <c r="B497" s="288">
        <v>44616.800694444442</v>
      </c>
      <c r="C497" s="286" t="s">
        <v>1299</v>
      </c>
      <c r="D497" s="286" t="s">
        <v>1105</v>
      </c>
      <c r="E497" s="286" t="s">
        <v>1106</v>
      </c>
      <c r="F497" s="286" t="s">
        <v>1300</v>
      </c>
      <c r="G497" s="286" t="s">
        <v>53</v>
      </c>
      <c r="H497" s="286" t="s">
        <v>53</v>
      </c>
      <c r="I497" s="286" t="s">
        <v>1152</v>
      </c>
      <c r="J497" s="286" t="s">
        <v>53</v>
      </c>
      <c r="K497" s="286" t="s">
        <v>53</v>
      </c>
      <c r="L497" s="286" t="s">
        <v>53</v>
      </c>
      <c r="M497" s="286" t="s">
        <v>53</v>
      </c>
      <c r="N497" s="287">
        <v>9059.1299999999992</v>
      </c>
      <c r="O497" s="305">
        <f t="shared" si="7"/>
        <v>44620</v>
      </c>
      <c r="P497" s="111" t="s">
        <v>58</v>
      </c>
    </row>
    <row r="498" spans="1:16" hidden="1" x14ac:dyDescent="0.15">
      <c r="A498" s="286">
        <v>1261</v>
      </c>
      <c r="B498" s="288">
        <v>44616.800694444442</v>
      </c>
      <c r="C498" s="286" t="s">
        <v>1299</v>
      </c>
      <c r="D498" s="286" t="s">
        <v>1105</v>
      </c>
      <c r="E498" s="286" t="s">
        <v>1106</v>
      </c>
      <c r="F498" s="286" t="s">
        <v>1300</v>
      </c>
      <c r="G498" s="286" t="s">
        <v>53</v>
      </c>
      <c r="H498" s="286" t="s">
        <v>53</v>
      </c>
      <c r="I498" s="286" t="s">
        <v>1121</v>
      </c>
      <c r="J498" s="286" t="s">
        <v>53</v>
      </c>
      <c r="K498" s="286" t="s">
        <v>53</v>
      </c>
      <c r="L498" s="286" t="s">
        <v>53</v>
      </c>
      <c r="M498" s="286" t="s">
        <v>53</v>
      </c>
      <c r="N498" s="287">
        <v>7893</v>
      </c>
      <c r="O498" s="305">
        <f t="shared" si="7"/>
        <v>44620</v>
      </c>
      <c r="P498" s="286" t="s">
        <v>248</v>
      </c>
    </row>
    <row r="499" spans="1:16" hidden="1" x14ac:dyDescent="0.15">
      <c r="A499" s="286">
        <v>1261</v>
      </c>
      <c r="B499" s="288">
        <v>44616.800694444442</v>
      </c>
      <c r="C499" s="286" t="s">
        <v>1299</v>
      </c>
      <c r="D499" s="286" t="s">
        <v>1105</v>
      </c>
      <c r="E499" s="286" t="s">
        <v>1106</v>
      </c>
      <c r="F499" s="286" t="s">
        <v>1300</v>
      </c>
      <c r="G499" s="286" t="s">
        <v>53</v>
      </c>
      <c r="H499" s="286" t="s">
        <v>53</v>
      </c>
      <c r="I499" s="286" t="s">
        <v>1279</v>
      </c>
      <c r="J499" s="286" t="s">
        <v>53</v>
      </c>
      <c r="K499" s="286" t="s">
        <v>53</v>
      </c>
      <c r="L499" s="286" t="s">
        <v>53</v>
      </c>
      <c r="M499" s="286" t="s">
        <v>53</v>
      </c>
      <c r="N499" s="287">
        <v>4041.83</v>
      </c>
      <c r="O499" s="305">
        <f t="shared" si="7"/>
        <v>44620</v>
      </c>
      <c r="P499" s="286" t="s">
        <v>58</v>
      </c>
    </row>
    <row r="500" spans="1:16" hidden="1" x14ac:dyDescent="0.15">
      <c r="A500" s="286">
        <v>1262</v>
      </c>
      <c r="B500" s="288">
        <v>44616.800694444442</v>
      </c>
      <c r="C500" s="286" t="s">
        <v>1302</v>
      </c>
      <c r="D500" s="286" t="s">
        <v>1105</v>
      </c>
      <c r="E500" s="286" t="s">
        <v>1106</v>
      </c>
      <c r="F500" s="286" t="s">
        <v>1303</v>
      </c>
      <c r="G500" s="286" t="s">
        <v>53</v>
      </c>
      <c r="H500" s="286" t="s">
        <v>53</v>
      </c>
      <c r="I500" s="286" t="s">
        <v>1235</v>
      </c>
      <c r="J500" s="286" t="s">
        <v>53</v>
      </c>
      <c r="K500" s="286" t="s">
        <v>53</v>
      </c>
      <c r="L500" s="286" t="s">
        <v>53</v>
      </c>
      <c r="M500" s="286" t="s">
        <v>53</v>
      </c>
      <c r="N500" s="287">
        <v>249228</v>
      </c>
      <c r="O500" s="305">
        <f t="shared" si="7"/>
        <v>44620</v>
      </c>
      <c r="P500" s="286" t="s">
        <v>180</v>
      </c>
    </row>
    <row r="501" spans="1:16" hidden="1" x14ac:dyDescent="0.15">
      <c r="A501" s="286">
        <v>1262</v>
      </c>
      <c r="B501" s="288">
        <v>44616.800694444442</v>
      </c>
      <c r="C501" s="286" t="s">
        <v>1302</v>
      </c>
      <c r="D501" s="286" t="s">
        <v>1105</v>
      </c>
      <c r="E501" s="286" t="s">
        <v>1106</v>
      </c>
      <c r="F501" s="286" t="s">
        <v>1303</v>
      </c>
      <c r="G501" s="286" t="s">
        <v>53</v>
      </c>
      <c r="H501" s="286" t="s">
        <v>53</v>
      </c>
      <c r="I501" s="286" t="s">
        <v>1108</v>
      </c>
      <c r="J501" s="286" t="s">
        <v>53</v>
      </c>
      <c r="K501" s="286" t="s">
        <v>53</v>
      </c>
      <c r="L501" s="286" t="s">
        <v>53</v>
      </c>
      <c r="M501" s="286" t="s">
        <v>53</v>
      </c>
      <c r="N501" s="287">
        <v>143741</v>
      </c>
      <c r="O501" s="305">
        <f t="shared" si="7"/>
        <v>44620</v>
      </c>
      <c r="P501" s="286" t="s">
        <v>37</v>
      </c>
    </row>
    <row r="502" spans="1:16" hidden="1" x14ac:dyDescent="0.15">
      <c r="A502" s="286">
        <v>1262</v>
      </c>
      <c r="B502" s="288">
        <v>44616.800694444442</v>
      </c>
      <c r="C502" s="286" t="s">
        <v>1302</v>
      </c>
      <c r="D502" s="286" t="s">
        <v>1105</v>
      </c>
      <c r="E502" s="286" t="s">
        <v>1106</v>
      </c>
      <c r="F502" s="286" t="s">
        <v>1303</v>
      </c>
      <c r="G502" s="286" t="s">
        <v>53</v>
      </c>
      <c r="H502" s="286" t="s">
        <v>53</v>
      </c>
      <c r="I502" s="286" t="s">
        <v>1199</v>
      </c>
      <c r="J502" s="286" t="s">
        <v>53</v>
      </c>
      <c r="K502" s="286" t="s">
        <v>53</v>
      </c>
      <c r="L502" s="286" t="s">
        <v>53</v>
      </c>
      <c r="M502" s="286" t="s">
        <v>53</v>
      </c>
      <c r="N502" s="287">
        <v>134796.62</v>
      </c>
      <c r="O502" s="305">
        <f t="shared" si="7"/>
        <v>44620</v>
      </c>
      <c r="P502" s="286" t="s">
        <v>58</v>
      </c>
    </row>
    <row r="503" spans="1:16" hidden="1" x14ac:dyDescent="0.15">
      <c r="A503" s="286">
        <v>1262</v>
      </c>
      <c r="B503" s="288">
        <v>44616.800694444442</v>
      </c>
      <c r="C503" s="286" t="s">
        <v>1302</v>
      </c>
      <c r="D503" s="286" t="s">
        <v>1105</v>
      </c>
      <c r="E503" s="286" t="s">
        <v>1106</v>
      </c>
      <c r="F503" s="286" t="s">
        <v>1303</v>
      </c>
      <c r="G503" s="286" t="s">
        <v>53</v>
      </c>
      <c r="H503" s="286" t="s">
        <v>53</v>
      </c>
      <c r="I503" s="286" t="s">
        <v>1128</v>
      </c>
      <c r="J503" s="286" t="s">
        <v>53</v>
      </c>
      <c r="K503" s="286" t="s">
        <v>53</v>
      </c>
      <c r="L503" s="286" t="s">
        <v>53</v>
      </c>
      <c r="M503" s="286" t="s">
        <v>53</v>
      </c>
      <c r="N503" s="287">
        <v>79588.570000000007</v>
      </c>
      <c r="O503" s="305">
        <f t="shared" si="7"/>
        <v>44620</v>
      </c>
      <c r="P503" s="286" t="s">
        <v>47</v>
      </c>
    </row>
    <row r="504" spans="1:16" hidden="1" x14ac:dyDescent="0.15">
      <c r="A504" s="286">
        <v>1262</v>
      </c>
      <c r="B504" s="288">
        <v>44616.800694444442</v>
      </c>
      <c r="C504" s="286" t="s">
        <v>1302</v>
      </c>
      <c r="D504" s="286" t="s">
        <v>1105</v>
      </c>
      <c r="E504" s="286" t="s">
        <v>1106</v>
      </c>
      <c r="F504" s="286" t="s">
        <v>1303</v>
      </c>
      <c r="G504" s="286" t="s">
        <v>53</v>
      </c>
      <c r="H504" s="286" t="s">
        <v>53</v>
      </c>
      <c r="I504" s="286" t="s">
        <v>1228</v>
      </c>
      <c r="J504" s="286" t="s">
        <v>53</v>
      </c>
      <c r="K504" s="286" t="s">
        <v>53</v>
      </c>
      <c r="L504" s="286" t="s">
        <v>53</v>
      </c>
      <c r="M504" s="286" t="s">
        <v>53</v>
      </c>
      <c r="N504" s="287">
        <v>60057.56</v>
      </c>
      <c r="O504" s="305">
        <f t="shared" si="7"/>
        <v>44620</v>
      </c>
      <c r="P504" s="286" t="s">
        <v>58</v>
      </c>
    </row>
    <row r="505" spans="1:16" hidden="1" x14ac:dyDescent="0.15">
      <c r="A505" s="286">
        <v>1262</v>
      </c>
      <c r="B505" s="288">
        <v>44616.800694444442</v>
      </c>
      <c r="C505" s="286" t="s">
        <v>1302</v>
      </c>
      <c r="D505" s="286" t="s">
        <v>1105</v>
      </c>
      <c r="E505" s="286" t="s">
        <v>1106</v>
      </c>
      <c r="F505" s="286" t="s">
        <v>1303</v>
      </c>
      <c r="G505" s="286" t="s">
        <v>53</v>
      </c>
      <c r="H505" s="286" t="s">
        <v>53</v>
      </c>
      <c r="I505" s="286" t="s">
        <v>1129</v>
      </c>
      <c r="J505" s="286" t="s">
        <v>53</v>
      </c>
      <c r="K505" s="286" t="s">
        <v>53</v>
      </c>
      <c r="L505" s="286" t="s">
        <v>53</v>
      </c>
      <c r="M505" s="286" t="s">
        <v>53</v>
      </c>
      <c r="N505" s="287">
        <v>33286.120000000003</v>
      </c>
      <c r="O505" s="305">
        <f t="shared" si="7"/>
        <v>44620</v>
      </c>
      <c r="P505" s="286" t="s">
        <v>164</v>
      </c>
    </row>
    <row r="506" spans="1:16" hidden="1" x14ac:dyDescent="0.15">
      <c r="A506" s="286">
        <v>1262</v>
      </c>
      <c r="B506" s="288">
        <v>44616.800694444442</v>
      </c>
      <c r="C506" s="286" t="s">
        <v>1302</v>
      </c>
      <c r="D506" s="286" t="s">
        <v>1105</v>
      </c>
      <c r="E506" s="286" t="s">
        <v>1106</v>
      </c>
      <c r="F506" s="286" t="s">
        <v>1303</v>
      </c>
      <c r="G506" s="286" t="s">
        <v>53</v>
      </c>
      <c r="H506" s="286" t="s">
        <v>53</v>
      </c>
      <c r="I506" s="286" t="s">
        <v>1121</v>
      </c>
      <c r="J506" s="286" t="s">
        <v>53</v>
      </c>
      <c r="K506" s="286" t="s">
        <v>53</v>
      </c>
      <c r="L506" s="286" t="s">
        <v>53</v>
      </c>
      <c r="M506" s="286" t="s">
        <v>53</v>
      </c>
      <c r="N506" s="287">
        <v>31818</v>
      </c>
      <c r="O506" s="305">
        <f t="shared" si="7"/>
        <v>44620</v>
      </c>
      <c r="P506" s="286" t="s">
        <v>248</v>
      </c>
    </row>
    <row r="507" spans="1:16" hidden="1" x14ac:dyDescent="0.15">
      <c r="A507" s="286">
        <v>1262</v>
      </c>
      <c r="B507" s="288">
        <v>44616.800694444442</v>
      </c>
      <c r="C507" s="286" t="s">
        <v>1302</v>
      </c>
      <c r="D507" s="286" t="s">
        <v>1105</v>
      </c>
      <c r="E507" s="286" t="s">
        <v>1106</v>
      </c>
      <c r="F507" s="286" t="s">
        <v>1303</v>
      </c>
      <c r="G507" s="286" t="s">
        <v>53</v>
      </c>
      <c r="H507" s="286" t="s">
        <v>53</v>
      </c>
      <c r="I507" s="286" t="s">
        <v>1204</v>
      </c>
      <c r="J507" s="286" t="s">
        <v>53</v>
      </c>
      <c r="K507" s="286" t="s">
        <v>53</v>
      </c>
      <c r="L507" s="286" t="s">
        <v>53</v>
      </c>
      <c r="M507" s="286" t="s">
        <v>53</v>
      </c>
      <c r="N507" s="287">
        <v>25939</v>
      </c>
      <c r="O507" s="305">
        <f t="shared" si="7"/>
        <v>44620</v>
      </c>
      <c r="P507" s="286" t="s">
        <v>49</v>
      </c>
    </row>
    <row r="508" spans="1:16" hidden="1" x14ac:dyDescent="0.15">
      <c r="A508" s="286">
        <v>1262</v>
      </c>
      <c r="B508" s="288">
        <v>44616.800694444442</v>
      </c>
      <c r="C508" s="286" t="s">
        <v>1302</v>
      </c>
      <c r="D508" s="286" t="s">
        <v>1105</v>
      </c>
      <c r="E508" s="286" t="s">
        <v>1106</v>
      </c>
      <c r="F508" s="286" t="s">
        <v>1303</v>
      </c>
      <c r="G508" s="286" t="s">
        <v>53</v>
      </c>
      <c r="H508" s="286" t="s">
        <v>53</v>
      </c>
      <c r="I508" s="286" t="s">
        <v>1152</v>
      </c>
      <c r="J508" s="286" t="s">
        <v>53</v>
      </c>
      <c r="K508" s="286" t="s">
        <v>53</v>
      </c>
      <c r="L508" s="286" t="s">
        <v>53</v>
      </c>
      <c r="M508" s="286" t="s">
        <v>53</v>
      </c>
      <c r="N508" s="287">
        <v>10342.83</v>
      </c>
      <c r="O508" s="305">
        <f t="shared" si="7"/>
        <v>44620</v>
      </c>
      <c r="P508" s="111" t="s">
        <v>58</v>
      </c>
    </row>
    <row r="509" spans="1:16" hidden="1" x14ac:dyDescent="0.15">
      <c r="A509" s="286">
        <v>1262</v>
      </c>
      <c r="B509" s="288">
        <v>44616.800694444442</v>
      </c>
      <c r="C509" s="286" t="s">
        <v>1302</v>
      </c>
      <c r="D509" s="286" t="s">
        <v>1105</v>
      </c>
      <c r="E509" s="286" t="s">
        <v>1106</v>
      </c>
      <c r="F509" s="286" t="s">
        <v>1303</v>
      </c>
      <c r="G509" s="286" t="s">
        <v>53</v>
      </c>
      <c r="H509" s="286" t="s">
        <v>53</v>
      </c>
      <c r="I509" s="286" t="s">
        <v>1112</v>
      </c>
      <c r="J509" s="286" t="s">
        <v>53</v>
      </c>
      <c r="K509" s="286" t="s">
        <v>53</v>
      </c>
      <c r="L509" s="286" t="s">
        <v>53</v>
      </c>
      <c r="M509" s="286" t="s">
        <v>53</v>
      </c>
      <c r="N509" s="287">
        <v>9680</v>
      </c>
      <c r="O509" s="305">
        <f t="shared" si="7"/>
        <v>44620</v>
      </c>
      <c r="P509" s="286" t="s">
        <v>175</v>
      </c>
    </row>
    <row r="510" spans="1:16" hidden="1" x14ac:dyDescent="0.15">
      <c r="A510" s="286">
        <v>1262</v>
      </c>
      <c r="B510" s="288">
        <v>44616.800694444442</v>
      </c>
      <c r="C510" s="286" t="s">
        <v>1302</v>
      </c>
      <c r="D510" s="286" t="s">
        <v>1105</v>
      </c>
      <c r="E510" s="286" t="s">
        <v>1106</v>
      </c>
      <c r="F510" s="286" t="s">
        <v>1303</v>
      </c>
      <c r="G510" s="286" t="s">
        <v>53</v>
      </c>
      <c r="H510" s="286" t="s">
        <v>53</v>
      </c>
      <c r="I510" s="286" t="s">
        <v>1301</v>
      </c>
      <c r="J510" s="286" t="s">
        <v>53</v>
      </c>
      <c r="K510" s="286" t="s">
        <v>53</v>
      </c>
      <c r="L510" s="286" t="s">
        <v>53</v>
      </c>
      <c r="M510" s="286" t="s">
        <v>53</v>
      </c>
      <c r="N510" s="287">
        <v>7745</v>
      </c>
      <c r="O510" s="305">
        <f t="shared" si="7"/>
        <v>44620</v>
      </c>
      <c r="P510" s="286" t="s">
        <v>55</v>
      </c>
    </row>
    <row r="511" spans="1:16" hidden="1" x14ac:dyDescent="0.15">
      <c r="A511" s="286">
        <v>1262</v>
      </c>
      <c r="B511" s="288">
        <v>44616.800694444442</v>
      </c>
      <c r="C511" s="286" t="s">
        <v>1302</v>
      </c>
      <c r="D511" s="286" t="s">
        <v>1105</v>
      </c>
      <c r="E511" s="286" t="s">
        <v>1106</v>
      </c>
      <c r="F511" s="286" t="s">
        <v>1303</v>
      </c>
      <c r="G511" s="286" t="s">
        <v>53</v>
      </c>
      <c r="H511" s="286" t="s">
        <v>53</v>
      </c>
      <c r="I511" s="286" t="s">
        <v>1279</v>
      </c>
      <c r="J511" s="286" t="s">
        <v>53</v>
      </c>
      <c r="K511" s="286" t="s">
        <v>53</v>
      </c>
      <c r="L511" s="286" t="s">
        <v>53</v>
      </c>
      <c r="M511" s="286" t="s">
        <v>53</v>
      </c>
      <c r="N511" s="287">
        <v>4041.85</v>
      </c>
      <c r="O511" s="305">
        <f t="shared" si="7"/>
        <v>44620</v>
      </c>
      <c r="P511" s="286" t="s">
        <v>58</v>
      </c>
    </row>
    <row r="512" spans="1:16" hidden="1" x14ac:dyDescent="0.15">
      <c r="A512" s="286">
        <v>1863</v>
      </c>
      <c r="B512" s="288">
        <v>44621.79583333333</v>
      </c>
      <c r="C512" s="286" t="s">
        <v>1304</v>
      </c>
      <c r="D512" s="286" t="s">
        <v>1105</v>
      </c>
      <c r="E512" s="286" t="s">
        <v>1106</v>
      </c>
      <c r="F512" s="286" t="s">
        <v>1305</v>
      </c>
      <c r="G512" s="286" t="s">
        <v>53</v>
      </c>
      <c r="H512" s="286" t="s">
        <v>53</v>
      </c>
      <c r="I512" s="286" t="s">
        <v>1199</v>
      </c>
      <c r="J512" s="286" t="s">
        <v>53</v>
      </c>
      <c r="K512" s="286" t="s">
        <v>53</v>
      </c>
      <c r="L512" s="286" t="s">
        <v>53</v>
      </c>
      <c r="M512" s="286" t="s">
        <v>53</v>
      </c>
      <c r="N512" s="287">
        <v>120771.79</v>
      </c>
      <c r="O512" s="305">
        <f t="shared" si="7"/>
        <v>44651</v>
      </c>
      <c r="P512" s="286" t="s">
        <v>58</v>
      </c>
    </row>
    <row r="513" spans="1:16" hidden="1" x14ac:dyDescent="0.15">
      <c r="A513" s="286">
        <v>1863</v>
      </c>
      <c r="B513" s="288">
        <v>44621.79583333333</v>
      </c>
      <c r="C513" s="286" t="s">
        <v>1304</v>
      </c>
      <c r="D513" s="286" t="s">
        <v>1105</v>
      </c>
      <c r="E513" s="286" t="s">
        <v>1106</v>
      </c>
      <c r="F513" s="286" t="s">
        <v>1305</v>
      </c>
      <c r="G513" s="286" t="s">
        <v>53</v>
      </c>
      <c r="H513" s="286" t="s">
        <v>53</v>
      </c>
      <c r="I513" s="286" t="s">
        <v>1112</v>
      </c>
      <c r="J513" s="286" t="s">
        <v>53</v>
      </c>
      <c r="K513" s="286" t="s">
        <v>53</v>
      </c>
      <c r="L513" s="286" t="s">
        <v>53</v>
      </c>
      <c r="M513" s="286" t="s">
        <v>53</v>
      </c>
      <c r="N513" s="287">
        <v>79069</v>
      </c>
      <c r="O513" s="305">
        <f t="shared" si="7"/>
        <v>44651</v>
      </c>
      <c r="P513" s="286" t="s">
        <v>175</v>
      </c>
    </row>
    <row r="514" spans="1:16" hidden="1" x14ac:dyDescent="0.15">
      <c r="A514" s="286">
        <v>1863</v>
      </c>
      <c r="B514" s="288">
        <v>44621.79583333333</v>
      </c>
      <c r="C514" s="286" t="s">
        <v>1304</v>
      </c>
      <c r="D514" s="286" t="s">
        <v>1105</v>
      </c>
      <c r="E514" s="286" t="s">
        <v>1106</v>
      </c>
      <c r="F514" s="286" t="s">
        <v>1305</v>
      </c>
      <c r="G514" s="286" t="s">
        <v>53</v>
      </c>
      <c r="H514" s="286" t="s">
        <v>53</v>
      </c>
      <c r="I514" s="286" t="s">
        <v>1228</v>
      </c>
      <c r="J514" s="286" t="s">
        <v>53</v>
      </c>
      <c r="K514" s="286" t="s">
        <v>53</v>
      </c>
      <c r="L514" s="286" t="s">
        <v>53</v>
      </c>
      <c r="M514" s="286" t="s">
        <v>53</v>
      </c>
      <c r="N514" s="287">
        <v>73292.929999999993</v>
      </c>
      <c r="O514" s="305">
        <f t="shared" si="7"/>
        <v>44651</v>
      </c>
      <c r="P514" s="286" t="s">
        <v>58</v>
      </c>
    </row>
    <row r="515" spans="1:16" hidden="1" x14ac:dyDescent="0.15">
      <c r="A515" s="286">
        <v>1863</v>
      </c>
      <c r="B515" s="288">
        <v>44621.79583333333</v>
      </c>
      <c r="C515" s="286" t="s">
        <v>1304</v>
      </c>
      <c r="D515" s="286" t="s">
        <v>1105</v>
      </c>
      <c r="E515" s="286" t="s">
        <v>1106</v>
      </c>
      <c r="F515" s="286" t="s">
        <v>1305</v>
      </c>
      <c r="G515" s="286" t="s">
        <v>53</v>
      </c>
      <c r="H515" s="286" t="s">
        <v>53</v>
      </c>
      <c r="I515" s="286" t="s">
        <v>1108</v>
      </c>
      <c r="J515" s="286" t="s">
        <v>53</v>
      </c>
      <c r="K515" s="286" t="s">
        <v>53</v>
      </c>
      <c r="L515" s="286" t="s">
        <v>53</v>
      </c>
      <c r="M515" s="286" t="s">
        <v>53</v>
      </c>
      <c r="N515" s="287">
        <v>64889</v>
      </c>
      <c r="O515" s="305">
        <f t="shared" ref="O515:O578" si="8">EOMONTH(B515,0)</f>
        <v>44651</v>
      </c>
      <c r="P515" s="286" t="s">
        <v>37</v>
      </c>
    </row>
    <row r="516" spans="1:16" hidden="1" x14ac:dyDescent="0.15">
      <c r="A516" s="286">
        <v>1863</v>
      </c>
      <c r="B516" s="288">
        <v>44621.79583333333</v>
      </c>
      <c r="C516" s="286" t="s">
        <v>1304</v>
      </c>
      <c r="D516" s="286" t="s">
        <v>1105</v>
      </c>
      <c r="E516" s="286" t="s">
        <v>1106</v>
      </c>
      <c r="F516" s="286" t="s">
        <v>1305</v>
      </c>
      <c r="G516" s="286" t="s">
        <v>53</v>
      </c>
      <c r="H516" s="286" t="s">
        <v>53</v>
      </c>
      <c r="I516" s="286" t="s">
        <v>1230</v>
      </c>
      <c r="J516" s="286" t="s">
        <v>53</v>
      </c>
      <c r="K516" s="286" t="s">
        <v>53</v>
      </c>
      <c r="L516" s="286" t="s">
        <v>53</v>
      </c>
      <c r="M516" s="286" t="s">
        <v>53</v>
      </c>
      <c r="N516" s="287">
        <v>40606</v>
      </c>
      <c r="O516" s="305">
        <f t="shared" si="8"/>
        <v>44651</v>
      </c>
      <c r="P516" s="286" t="s">
        <v>175</v>
      </c>
    </row>
    <row r="517" spans="1:16" hidden="1" x14ac:dyDescent="0.15">
      <c r="A517" s="286">
        <v>1863</v>
      </c>
      <c r="B517" s="288">
        <v>44621.79583333333</v>
      </c>
      <c r="C517" s="286" t="s">
        <v>1304</v>
      </c>
      <c r="D517" s="286" t="s">
        <v>1105</v>
      </c>
      <c r="E517" s="286" t="s">
        <v>1106</v>
      </c>
      <c r="F517" s="286" t="s">
        <v>1305</v>
      </c>
      <c r="G517" s="286" t="s">
        <v>53</v>
      </c>
      <c r="H517" s="286" t="s">
        <v>53</v>
      </c>
      <c r="I517" s="286" t="s">
        <v>1152</v>
      </c>
      <c r="J517" s="286" t="s">
        <v>53</v>
      </c>
      <c r="K517" s="286" t="s">
        <v>53</v>
      </c>
      <c r="L517" s="286" t="s">
        <v>53</v>
      </c>
      <c r="M517" s="286" t="s">
        <v>53</v>
      </c>
      <c r="N517" s="287">
        <v>22924.29</v>
      </c>
      <c r="O517" s="305">
        <f t="shared" si="8"/>
        <v>44651</v>
      </c>
      <c r="P517" s="111" t="s">
        <v>58</v>
      </c>
    </row>
    <row r="518" spans="1:16" hidden="1" x14ac:dyDescent="0.15">
      <c r="A518" s="286">
        <v>1863</v>
      </c>
      <c r="B518" s="288">
        <v>44621.79583333333</v>
      </c>
      <c r="C518" s="286" t="s">
        <v>1304</v>
      </c>
      <c r="D518" s="286" t="s">
        <v>1105</v>
      </c>
      <c r="E518" s="286" t="s">
        <v>1106</v>
      </c>
      <c r="F518" s="286" t="s">
        <v>1305</v>
      </c>
      <c r="G518" s="286" t="s">
        <v>53</v>
      </c>
      <c r="H518" s="286" t="s">
        <v>53</v>
      </c>
      <c r="I518" s="286" t="s">
        <v>1235</v>
      </c>
      <c r="J518" s="286" t="s">
        <v>53</v>
      </c>
      <c r="K518" s="286" t="s">
        <v>53</v>
      </c>
      <c r="L518" s="286" t="s">
        <v>53</v>
      </c>
      <c r="M518" s="286" t="s">
        <v>53</v>
      </c>
      <c r="N518" s="287">
        <v>16286</v>
      </c>
      <c r="O518" s="305">
        <f t="shared" si="8"/>
        <v>44651</v>
      </c>
      <c r="P518" s="286" t="s">
        <v>180</v>
      </c>
    </row>
    <row r="519" spans="1:16" hidden="1" x14ac:dyDescent="0.15">
      <c r="A519" s="286">
        <v>1863</v>
      </c>
      <c r="B519" s="288">
        <v>44621.79583333333</v>
      </c>
      <c r="C519" s="286" t="s">
        <v>1304</v>
      </c>
      <c r="D519" s="286" t="s">
        <v>1105</v>
      </c>
      <c r="E519" s="286" t="s">
        <v>1106</v>
      </c>
      <c r="F519" s="286" t="s">
        <v>1305</v>
      </c>
      <c r="G519" s="286" t="s">
        <v>53</v>
      </c>
      <c r="H519" s="286" t="s">
        <v>53</v>
      </c>
      <c r="I519" s="286" t="s">
        <v>1128</v>
      </c>
      <c r="J519" s="286" t="s">
        <v>53</v>
      </c>
      <c r="K519" s="286" t="s">
        <v>53</v>
      </c>
      <c r="L519" s="286" t="s">
        <v>53</v>
      </c>
      <c r="M519" s="286" t="s">
        <v>53</v>
      </c>
      <c r="N519" s="287">
        <v>15993</v>
      </c>
      <c r="O519" s="305">
        <f t="shared" si="8"/>
        <v>44651</v>
      </c>
      <c r="P519" s="286" t="s">
        <v>47</v>
      </c>
    </row>
    <row r="520" spans="1:16" hidden="1" x14ac:dyDescent="0.15">
      <c r="A520" s="286">
        <v>1863</v>
      </c>
      <c r="B520" s="288">
        <v>44621.79583333333</v>
      </c>
      <c r="C520" s="286" t="s">
        <v>1304</v>
      </c>
      <c r="D520" s="286" t="s">
        <v>1105</v>
      </c>
      <c r="E520" s="286" t="s">
        <v>1106</v>
      </c>
      <c r="F520" s="286" t="s">
        <v>1305</v>
      </c>
      <c r="G520" s="286" t="s">
        <v>53</v>
      </c>
      <c r="H520" s="286" t="s">
        <v>53</v>
      </c>
      <c r="I520" s="286" t="s">
        <v>1129</v>
      </c>
      <c r="J520" s="286" t="s">
        <v>53</v>
      </c>
      <c r="K520" s="286" t="s">
        <v>53</v>
      </c>
      <c r="L520" s="286" t="s">
        <v>53</v>
      </c>
      <c r="M520" s="286" t="s">
        <v>53</v>
      </c>
      <c r="N520" s="287">
        <v>5997.66</v>
      </c>
      <c r="O520" s="305">
        <f t="shared" si="8"/>
        <v>44651</v>
      </c>
      <c r="P520" s="286" t="s">
        <v>164</v>
      </c>
    </row>
    <row r="521" spans="1:16" hidden="1" x14ac:dyDescent="0.15">
      <c r="A521" s="286">
        <v>1863</v>
      </c>
      <c r="B521" s="288">
        <v>44621.79583333333</v>
      </c>
      <c r="C521" s="286" t="s">
        <v>1304</v>
      </c>
      <c r="D521" s="286" t="s">
        <v>1105</v>
      </c>
      <c r="E521" s="286" t="s">
        <v>1106</v>
      </c>
      <c r="F521" s="286" t="s">
        <v>1305</v>
      </c>
      <c r="G521" s="286" t="s">
        <v>53</v>
      </c>
      <c r="H521" s="286" t="s">
        <v>53</v>
      </c>
      <c r="I521" s="286" t="s">
        <v>1279</v>
      </c>
      <c r="J521" s="286" t="s">
        <v>53</v>
      </c>
      <c r="K521" s="286" t="s">
        <v>53</v>
      </c>
      <c r="L521" s="286" t="s">
        <v>53</v>
      </c>
      <c r="M521" s="286" t="s">
        <v>53</v>
      </c>
      <c r="N521" s="287">
        <v>4041.84</v>
      </c>
      <c r="O521" s="305">
        <f t="shared" si="8"/>
        <v>44651</v>
      </c>
      <c r="P521" s="286" t="s">
        <v>58</v>
      </c>
    </row>
    <row r="522" spans="1:16" hidden="1" x14ac:dyDescent="0.15">
      <c r="A522" s="286">
        <v>1863</v>
      </c>
      <c r="B522" s="288">
        <v>44621.79583333333</v>
      </c>
      <c r="C522" s="286" t="s">
        <v>1304</v>
      </c>
      <c r="D522" s="286" t="s">
        <v>1105</v>
      </c>
      <c r="E522" s="286" t="s">
        <v>1106</v>
      </c>
      <c r="F522" s="286" t="s">
        <v>1305</v>
      </c>
      <c r="G522" s="286" t="s">
        <v>53</v>
      </c>
      <c r="H522" s="286" t="s">
        <v>53</v>
      </c>
      <c r="I522" s="286" t="s">
        <v>1301</v>
      </c>
      <c r="J522" s="286" t="s">
        <v>53</v>
      </c>
      <c r="K522" s="286" t="s">
        <v>53</v>
      </c>
      <c r="L522" s="286" t="s">
        <v>53</v>
      </c>
      <c r="M522" s="286" t="s">
        <v>53</v>
      </c>
      <c r="N522" s="287">
        <v>3983</v>
      </c>
      <c r="O522" s="305">
        <f t="shared" si="8"/>
        <v>44651</v>
      </c>
      <c r="P522" s="286" t="s">
        <v>55</v>
      </c>
    </row>
    <row r="523" spans="1:16" hidden="1" x14ac:dyDescent="0.15">
      <c r="A523" s="286">
        <v>2064</v>
      </c>
      <c r="B523" s="288">
        <v>44621.82708333333</v>
      </c>
      <c r="C523" s="286" t="s">
        <v>1306</v>
      </c>
      <c r="D523" s="286" t="s">
        <v>1105</v>
      </c>
      <c r="E523" s="286" t="s">
        <v>1106</v>
      </c>
      <c r="F523" s="286" t="s">
        <v>1307</v>
      </c>
      <c r="G523" s="286" t="s">
        <v>53</v>
      </c>
      <c r="H523" s="286" t="s">
        <v>53</v>
      </c>
      <c r="I523" s="286" t="s">
        <v>1108</v>
      </c>
      <c r="J523" s="286" t="s">
        <v>53</v>
      </c>
      <c r="K523" s="286" t="s">
        <v>53</v>
      </c>
      <c r="L523" s="286" t="s">
        <v>53</v>
      </c>
      <c r="M523" s="286" t="s">
        <v>53</v>
      </c>
      <c r="N523" s="287">
        <v>178072</v>
      </c>
      <c r="O523" s="305">
        <f t="shared" si="8"/>
        <v>44651</v>
      </c>
      <c r="P523" s="286" t="s">
        <v>37</v>
      </c>
    </row>
    <row r="524" spans="1:16" hidden="1" x14ac:dyDescent="0.15">
      <c r="A524" s="286">
        <v>2064</v>
      </c>
      <c r="B524" s="288">
        <v>44621.82708333333</v>
      </c>
      <c r="C524" s="286" t="s">
        <v>1306</v>
      </c>
      <c r="D524" s="286" t="s">
        <v>1105</v>
      </c>
      <c r="E524" s="286" t="s">
        <v>1106</v>
      </c>
      <c r="F524" s="286" t="s">
        <v>1307</v>
      </c>
      <c r="G524" s="286" t="s">
        <v>53</v>
      </c>
      <c r="H524" s="286" t="s">
        <v>53</v>
      </c>
      <c r="I524" s="286" t="s">
        <v>1128</v>
      </c>
      <c r="J524" s="286" t="s">
        <v>53</v>
      </c>
      <c r="K524" s="286" t="s">
        <v>53</v>
      </c>
      <c r="L524" s="286" t="s">
        <v>53</v>
      </c>
      <c r="M524" s="286" t="s">
        <v>53</v>
      </c>
      <c r="N524" s="287">
        <v>31743</v>
      </c>
      <c r="O524" s="305">
        <f t="shared" si="8"/>
        <v>44651</v>
      </c>
      <c r="P524" s="286" t="s">
        <v>47</v>
      </c>
    </row>
    <row r="525" spans="1:16" hidden="1" x14ac:dyDescent="0.15">
      <c r="A525" s="286">
        <v>2064</v>
      </c>
      <c r="B525" s="288">
        <v>44621.82708333333</v>
      </c>
      <c r="C525" s="286" t="s">
        <v>1306</v>
      </c>
      <c r="D525" s="286" t="s">
        <v>1105</v>
      </c>
      <c r="E525" s="286" t="s">
        <v>1106</v>
      </c>
      <c r="F525" s="286" t="s">
        <v>1307</v>
      </c>
      <c r="G525" s="286" t="s">
        <v>53</v>
      </c>
      <c r="H525" s="286" t="s">
        <v>53</v>
      </c>
      <c r="I525" s="286" t="s">
        <v>1121</v>
      </c>
      <c r="J525" s="286" t="s">
        <v>53</v>
      </c>
      <c r="K525" s="286" t="s">
        <v>53</v>
      </c>
      <c r="L525" s="286" t="s">
        <v>53</v>
      </c>
      <c r="M525" s="286" t="s">
        <v>53</v>
      </c>
      <c r="N525" s="287">
        <v>12630</v>
      </c>
      <c r="O525" s="305">
        <f t="shared" si="8"/>
        <v>44651</v>
      </c>
      <c r="P525" s="286" t="s">
        <v>248</v>
      </c>
    </row>
    <row r="526" spans="1:16" hidden="1" x14ac:dyDescent="0.15">
      <c r="A526" s="286">
        <v>2064</v>
      </c>
      <c r="B526" s="288">
        <v>44621.82708333333</v>
      </c>
      <c r="C526" s="286" t="s">
        <v>1306</v>
      </c>
      <c r="D526" s="286" t="s">
        <v>1105</v>
      </c>
      <c r="E526" s="286" t="s">
        <v>1106</v>
      </c>
      <c r="F526" s="286" t="s">
        <v>1307</v>
      </c>
      <c r="G526" s="286" t="s">
        <v>53</v>
      </c>
      <c r="H526" s="286" t="s">
        <v>53</v>
      </c>
      <c r="I526" s="286" t="s">
        <v>1301</v>
      </c>
      <c r="J526" s="286" t="s">
        <v>53</v>
      </c>
      <c r="K526" s="286" t="s">
        <v>53</v>
      </c>
      <c r="L526" s="286" t="s">
        <v>53</v>
      </c>
      <c r="M526" s="286" t="s">
        <v>53</v>
      </c>
      <c r="N526" s="287">
        <v>9261</v>
      </c>
      <c r="O526" s="305">
        <f t="shared" si="8"/>
        <v>44651</v>
      </c>
      <c r="P526" s="286" t="s">
        <v>55</v>
      </c>
    </row>
    <row r="527" spans="1:16" hidden="1" x14ac:dyDescent="0.15">
      <c r="A527" s="286">
        <v>2064</v>
      </c>
      <c r="B527" s="288">
        <v>44621.82708333333</v>
      </c>
      <c r="C527" s="286" t="s">
        <v>1306</v>
      </c>
      <c r="D527" s="286" t="s">
        <v>1105</v>
      </c>
      <c r="E527" s="286" t="s">
        <v>1106</v>
      </c>
      <c r="F527" s="286" t="s">
        <v>1307</v>
      </c>
      <c r="G527" s="286" t="s">
        <v>53</v>
      </c>
      <c r="H527" s="286" t="s">
        <v>53</v>
      </c>
      <c r="I527" s="286" t="s">
        <v>1204</v>
      </c>
      <c r="J527" s="286" t="s">
        <v>53</v>
      </c>
      <c r="K527" s="286" t="s">
        <v>53</v>
      </c>
      <c r="L527" s="286" t="s">
        <v>53</v>
      </c>
      <c r="M527" s="286" t="s">
        <v>53</v>
      </c>
      <c r="N527" s="287">
        <v>8053</v>
      </c>
      <c r="O527" s="305">
        <f t="shared" si="8"/>
        <v>44651</v>
      </c>
      <c r="P527" s="286" t="s">
        <v>49</v>
      </c>
    </row>
    <row r="528" spans="1:16" hidden="1" x14ac:dyDescent="0.15">
      <c r="A528" s="286">
        <v>2064</v>
      </c>
      <c r="B528" s="288">
        <v>44621.82708333333</v>
      </c>
      <c r="C528" s="286" t="s">
        <v>1306</v>
      </c>
      <c r="D528" s="286" t="s">
        <v>1105</v>
      </c>
      <c r="E528" s="286" t="s">
        <v>1106</v>
      </c>
      <c r="F528" s="286" t="s">
        <v>1307</v>
      </c>
      <c r="G528" s="286" t="s">
        <v>53</v>
      </c>
      <c r="H528" s="286" t="s">
        <v>53</v>
      </c>
      <c r="I528" s="286" t="s">
        <v>1109</v>
      </c>
      <c r="J528" s="286" t="s">
        <v>53</v>
      </c>
      <c r="K528" s="286" t="s">
        <v>53</v>
      </c>
      <c r="L528" s="286" t="s">
        <v>53</v>
      </c>
      <c r="M528" s="286" t="s">
        <v>53</v>
      </c>
      <c r="N528" s="287">
        <v>2500</v>
      </c>
      <c r="O528" s="305">
        <f t="shared" si="8"/>
        <v>44651</v>
      </c>
    </row>
    <row r="529" spans="1:16" hidden="1" x14ac:dyDescent="0.15">
      <c r="A529" s="286">
        <v>2064</v>
      </c>
      <c r="B529" s="288">
        <v>44621.82708333333</v>
      </c>
      <c r="C529" s="286" t="s">
        <v>1306</v>
      </c>
      <c r="D529" s="286" t="s">
        <v>1105</v>
      </c>
      <c r="E529" s="286" t="s">
        <v>1106</v>
      </c>
      <c r="F529" s="286" t="s">
        <v>1307</v>
      </c>
      <c r="G529" s="286" t="s">
        <v>53</v>
      </c>
      <c r="H529" s="286" t="s">
        <v>53</v>
      </c>
      <c r="I529" s="286" t="s">
        <v>1129</v>
      </c>
      <c r="J529" s="286" t="s">
        <v>53</v>
      </c>
      <c r="K529" s="286" t="s">
        <v>53</v>
      </c>
      <c r="L529" s="286" t="s">
        <v>53</v>
      </c>
      <c r="M529" s="286" t="s">
        <v>53</v>
      </c>
      <c r="N529" s="287">
        <v>1743.25</v>
      </c>
      <c r="O529" s="305">
        <f t="shared" si="8"/>
        <v>44651</v>
      </c>
      <c r="P529" s="286" t="s">
        <v>164</v>
      </c>
    </row>
    <row r="530" spans="1:16" hidden="1" x14ac:dyDescent="0.15">
      <c r="A530" s="286">
        <v>4439</v>
      </c>
      <c r="B530" s="288">
        <v>44628.586111111108</v>
      </c>
      <c r="C530" s="286" t="s">
        <v>1308</v>
      </c>
      <c r="D530" s="286" t="s">
        <v>1309</v>
      </c>
      <c r="E530" s="286" t="s">
        <v>1310</v>
      </c>
      <c r="F530" s="286" t="s">
        <v>1311</v>
      </c>
      <c r="G530" s="286" t="s">
        <v>1039</v>
      </c>
      <c r="H530" s="286" t="s">
        <v>1039</v>
      </c>
      <c r="I530" s="286" t="s">
        <v>1129</v>
      </c>
      <c r="J530" s="286" t="s">
        <v>1312</v>
      </c>
      <c r="K530" s="286" t="s">
        <v>1313</v>
      </c>
      <c r="L530" s="286" t="s">
        <v>1314</v>
      </c>
      <c r="M530" s="286">
        <v>2</v>
      </c>
      <c r="N530" s="287">
        <v>124.12</v>
      </c>
      <c r="O530" s="305">
        <f t="shared" si="8"/>
        <v>44651</v>
      </c>
      <c r="P530" s="286" t="s">
        <v>164</v>
      </c>
    </row>
    <row r="531" spans="1:16" hidden="1" x14ac:dyDescent="0.15">
      <c r="A531" s="286">
        <v>4579</v>
      </c>
      <c r="B531" s="288">
        <v>44629.336111111108</v>
      </c>
      <c r="C531" s="286" t="s">
        <v>1308</v>
      </c>
      <c r="D531" s="286" t="s">
        <v>1309</v>
      </c>
      <c r="E531" s="286" t="s">
        <v>1310</v>
      </c>
      <c r="F531" s="286" t="s">
        <v>1315</v>
      </c>
      <c r="G531" s="286" t="s">
        <v>1316</v>
      </c>
      <c r="H531" s="286" t="s">
        <v>1316</v>
      </c>
      <c r="I531" s="286" t="s">
        <v>1109</v>
      </c>
      <c r="J531" s="286" t="s">
        <v>1312</v>
      </c>
      <c r="K531" s="286" t="s">
        <v>53</v>
      </c>
      <c r="L531" s="286" t="s">
        <v>53</v>
      </c>
      <c r="M531" s="286" t="s">
        <v>53</v>
      </c>
      <c r="N531" s="287">
        <v>575.1</v>
      </c>
      <c r="O531" s="305">
        <f t="shared" si="8"/>
        <v>44651</v>
      </c>
    </row>
    <row r="532" spans="1:16" hidden="1" x14ac:dyDescent="0.15">
      <c r="A532" s="286">
        <v>4949</v>
      </c>
      <c r="B532" s="288">
        <v>44630.300694444442</v>
      </c>
      <c r="C532" s="286" t="s">
        <v>1308</v>
      </c>
      <c r="D532" s="286" t="s">
        <v>1309</v>
      </c>
      <c r="E532" s="286" t="s">
        <v>1310</v>
      </c>
      <c r="F532" s="286" t="s">
        <v>1317</v>
      </c>
      <c r="G532" s="286" t="s">
        <v>1062</v>
      </c>
      <c r="H532" s="286" t="s">
        <v>1062</v>
      </c>
      <c r="I532" s="286" t="s">
        <v>1129</v>
      </c>
      <c r="J532" s="286" t="s">
        <v>1312</v>
      </c>
      <c r="K532" s="286" t="s">
        <v>1318</v>
      </c>
      <c r="L532" s="286" t="s">
        <v>1319</v>
      </c>
      <c r="M532" s="286">
        <v>1</v>
      </c>
      <c r="N532" s="287">
        <v>490.06</v>
      </c>
      <c r="O532" s="305">
        <f t="shared" si="8"/>
        <v>44651</v>
      </c>
      <c r="P532" s="286" t="s">
        <v>164</v>
      </c>
    </row>
    <row r="533" spans="1:16" hidden="1" x14ac:dyDescent="0.15">
      <c r="A533" s="286">
        <v>7023</v>
      </c>
      <c r="B533" s="288">
        <v>44631.263194444444</v>
      </c>
      <c r="C533" s="286" t="s">
        <v>1308</v>
      </c>
      <c r="D533" s="286" t="s">
        <v>1309</v>
      </c>
      <c r="E533" s="286" t="s">
        <v>1310</v>
      </c>
      <c r="F533" s="286" t="s">
        <v>1320</v>
      </c>
      <c r="G533" s="286" t="s">
        <v>1039</v>
      </c>
      <c r="H533" s="286" t="s">
        <v>1039</v>
      </c>
      <c r="I533" s="286" t="s">
        <v>1129</v>
      </c>
      <c r="J533" s="286" t="s">
        <v>1312</v>
      </c>
      <c r="K533" s="286" t="s">
        <v>1321</v>
      </c>
      <c r="L533" s="286" t="s">
        <v>1322</v>
      </c>
      <c r="M533" s="286">
        <v>6</v>
      </c>
      <c r="N533" s="287">
        <v>76.98</v>
      </c>
      <c r="O533" s="305">
        <f t="shared" si="8"/>
        <v>44651</v>
      </c>
      <c r="P533" s="286" t="s">
        <v>164</v>
      </c>
    </row>
    <row r="534" spans="1:16" hidden="1" x14ac:dyDescent="0.15">
      <c r="A534" s="286">
        <v>8010</v>
      </c>
      <c r="B534" s="288">
        <v>44635.520833333336</v>
      </c>
      <c r="C534" s="286" t="s">
        <v>1306</v>
      </c>
      <c r="D534" s="286" t="s">
        <v>1105</v>
      </c>
      <c r="E534" s="286" t="s">
        <v>1106</v>
      </c>
      <c r="F534" s="286" t="s">
        <v>1323</v>
      </c>
      <c r="G534" s="286" t="s">
        <v>53</v>
      </c>
      <c r="H534" s="286" t="s">
        <v>53</v>
      </c>
      <c r="I534" s="286" t="s">
        <v>1199</v>
      </c>
      <c r="J534" s="286" t="s">
        <v>53</v>
      </c>
      <c r="K534" s="286" t="s">
        <v>53</v>
      </c>
      <c r="L534" s="286" t="s">
        <v>53</v>
      </c>
      <c r="M534" s="286" t="s">
        <v>53</v>
      </c>
      <c r="N534" s="287">
        <v>122893.28</v>
      </c>
      <c r="O534" s="305">
        <f t="shared" si="8"/>
        <v>44651</v>
      </c>
      <c r="P534" s="286" t="s">
        <v>58</v>
      </c>
    </row>
    <row r="535" spans="1:16" hidden="1" x14ac:dyDescent="0.15">
      <c r="A535" s="286">
        <v>8010</v>
      </c>
      <c r="B535" s="288">
        <v>44635.520833333336</v>
      </c>
      <c r="C535" s="286" t="s">
        <v>1306</v>
      </c>
      <c r="D535" s="286" t="s">
        <v>1105</v>
      </c>
      <c r="E535" s="286" t="s">
        <v>1106</v>
      </c>
      <c r="F535" s="286" t="s">
        <v>1323</v>
      </c>
      <c r="G535" s="286" t="s">
        <v>53</v>
      </c>
      <c r="H535" s="286" t="s">
        <v>53</v>
      </c>
      <c r="I535" s="286" t="s">
        <v>1228</v>
      </c>
      <c r="J535" s="286" t="s">
        <v>53</v>
      </c>
      <c r="K535" s="286" t="s">
        <v>53</v>
      </c>
      <c r="L535" s="286" t="s">
        <v>53</v>
      </c>
      <c r="M535" s="286" t="s">
        <v>53</v>
      </c>
      <c r="N535" s="287">
        <v>70250.25</v>
      </c>
      <c r="O535" s="305">
        <f t="shared" si="8"/>
        <v>44651</v>
      </c>
      <c r="P535" s="286" t="s">
        <v>58</v>
      </c>
    </row>
    <row r="536" spans="1:16" hidden="1" x14ac:dyDescent="0.15">
      <c r="A536" s="286">
        <v>8010</v>
      </c>
      <c r="B536" s="288">
        <v>44635.520833333336</v>
      </c>
      <c r="C536" s="286" t="s">
        <v>1306</v>
      </c>
      <c r="D536" s="286" t="s">
        <v>1105</v>
      </c>
      <c r="E536" s="286" t="s">
        <v>1106</v>
      </c>
      <c r="F536" s="286" t="s">
        <v>1323</v>
      </c>
      <c r="G536" s="286" t="s">
        <v>53</v>
      </c>
      <c r="H536" s="286" t="s">
        <v>53</v>
      </c>
      <c r="I536" s="286" t="s">
        <v>1152</v>
      </c>
      <c r="J536" s="286" t="s">
        <v>53</v>
      </c>
      <c r="K536" s="286" t="s">
        <v>53</v>
      </c>
      <c r="L536" s="286" t="s">
        <v>53</v>
      </c>
      <c r="M536" s="286" t="s">
        <v>53</v>
      </c>
      <c r="N536" s="287">
        <v>22924.28</v>
      </c>
      <c r="O536" s="305">
        <f t="shared" si="8"/>
        <v>44651</v>
      </c>
      <c r="P536" s="111" t="s">
        <v>58</v>
      </c>
    </row>
    <row r="537" spans="1:16" hidden="1" x14ac:dyDescent="0.15">
      <c r="A537" s="286">
        <v>8010</v>
      </c>
      <c r="B537" s="288">
        <v>44635.520833333336</v>
      </c>
      <c r="C537" s="286" t="s">
        <v>1306</v>
      </c>
      <c r="D537" s="286" t="s">
        <v>1105</v>
      </c>
      <c r="E537" s="286" t="s">
        <v>1106</v>
      </c>
      <c r="F537" s="286" t="s">
        <v>1323</v>
      </c>
      <c r="G537" s="286" t="s">
        <v>53</v>
      </c>
      <c r="H537" s="286" t="s">
        <v>53</v>
      </c>
      <c r="I537" s="286" t="s">
        <v>1279</v>
      </c>
      <c r="J537" s="286" t="s">
        <v>53</v>
      </c>
      <c r="K537" s="286" t="s">
        <v>53</v>
      </c>
      <c r="L537" s="286" t="s">
        <v>53</v>
      </c>
      <c r="M537" s="286" t="s">
        <v>53</v>
      </c>
      <c r="N537" s="287">
        <v>4041.82</v>
      </c>
      <c r="O537" s="305">
        <f t="shared" si="8"/>
        <v>44651</v>
      </c>
      <c r="P537" s="286" t="s">
        <v>58</v>
      </c>
    </row>
    <row r="538" spans="1:16" hidden="1" x14ac:dyDescent="0.15">
      <c r="A538" s="286">
        <v>8241</v>
      </c>
      <c r="B538" s="288">
        <v>44635.663194444445</v>
      </c>
      <c r="C538" s="286" t="s">
        <v>1306</v>
      </c>
      <c r="D538" s="286" t="s">
        <v>1105</v>
      </c>
      <c r="E538" s="286" t="s">
        <v>1106</v>
      </c>
      <c r="F538" s="286" t="s">
        <v>1324</v>
      </c>
      <c r="G538" s="286" t="s">
        <v>53</v>
      </c>
      <c r="H538" s="286" t="s">
        <v>53</v>
      </c>
      <c r="I538" s="286" t="s">
        <v>1230</v>
      </c>
      <c r="J538" s="286" t="s">
        <v>53</v>
      </c>
      <c r="K538" s="286" t="s">
        <v>53</v>
      </c>
      <c r="L538" s="286" t="s">
        <v>53</v>
      </c>
      <c r="M538" s="286" t="s">
        <v>53</v>
      </c>
      <c r="N538" s="287">
        <v>38563.61</v>
      </c>
      <c r="O538" s="305">
        <f t="shared" si="8"/>
        <v>44651</v>
      </c>
      <c r="P538" s="286" t="s">
        <v>175</v>
      </c>
    </row>
    <row r="539" spans="1:16" hidden="1" x14ac:dyDescent="0.15">
      <c r="A539" s="286">
        <v>8241</v>
      </c>
      <c r="B539" s="288">
        <v>44635.663194444445</v>
      </c>
      <c r="C539" s="286" t="s">
        <v>1306</v>
      </c>
      <c r="D539" s="286" t="s">
        <v>1105</v>
      </c>
      <c r="E539" s="286" t="s">
        <v>1106</v>
      </c>
      <c r="F539" s="286" t="s">
        <v>1324</v>
      </c>
      <c r="G539" s="286" t="s">
        <v>53</v>
      </c>
      <c r="H539" s="286" t="s">
        <v>53</v>
      </c>
      <c r="I539" s="286" t="s">
        <v>1112</v>
      </c>
      <c r="J539" s="286" t="s">
        <v>53</v>
      </c>
      <c r="K539" s="286" t="s">
        <v>53</v>
      </c>
      <c r="L539" s="286" t="s">
        <v>53</v>
      </c>
      <c r="M539" s="286" t="s">
        <v>53</v>
      </c>
      <c r="N539" s="287">
        <v>17724.7</v>
      </c>
      <c r="O539" s="305">
        <f t="shared" si="8"/>
        <v>44651</v>
      </c>
      <c r="P539" s="286" t="s">
        <v>175</v>
      </c>
    </row>
    <row r="540" spans="1:16" hidden="1" x14ac:dyDescent="0.15">
      <c r="A540" s="286">
        <v>8241</v>
      </c>
      <c r="B540" s="288">
        <v>44635.663194444445</v>
      </c>
      <c r="C540" s="286" t="s">
        <v>1306</v>
      </c>
      <c r="D540" s="286" t="s">
        <v>1105</v>
      </c>
      <c r="E540" s="286" t="s">
        <v>1106</v>
      </c>
      <c r="F540" s="286" t="s">
        <v>1324</v>
      </c>
      <c r="G540" s="286" t="s">
        <v>53</v>
      </c>
      <c r="H540" s="286" t="s">
        <v>53</v>
      </c>
      <c r="I540" s="286" t="s">
        <v>1230</v>
      </c>
      <c r="J540" s="286" t="s">
        <v>53</v>
      </c>
      <c r="K540" s="286" t="s">
        <v>53</v>
      </c>
      <c r="L540" s="286" t="s">
        <v>53</v>
      </c>
      <c r="M540" s="286" t="s">
        <v>53</v>
      </c>
      <c r="N540" s="287">
        <v>16486</v>
      </c>
      <c r="O540" s="305">
        <f t="shared" si="8"/>
        <v>44651</v>
      </c>
      <c r="P540" s="286" t="s">
        <v>175</v>
      </c>
    </row>
    <row r="541" spans="1:16" hidden="1" x14ac:dyDescent="0.15">
      <c r="A541" s="286">
        <v>8241</v>
      </c>
      <c r="B541" s="288">
        <v>44635.663194444445</v>
      </c>
      <c r="C541" s="286" t="s">
        <v>1306</v>
      </c>
      <c r="D541" s="286" t="s">
        <v>1105</v>
      </c>
      <c r="E541" s="286" t="s">
        <v>1106</v>
      </c>
      <c r="F541" s="286" t="s">
        <v>1324</v>
      </c>
      <c r="G541" s="286" t="s">
        <v>53</v>
      </c>
      <c r="H541" s="286" t="s">
        <v>53</v>
      </c>
      <c r="I541" s="286" t="s">
        <v>1112</v>
      </c>
      <c r="J541" s="286" t="s">
        <v>53</v>
      </c>
      <c r="K541" s="286" t="s">
        <v>53</v>
      </c>
      <c r="L541" s="286" t="s">
        <v>53</v>
      </c>
      <c r="M541" s="286" t="s">
        <v>53</v>
      </c>
      <c r="N541" s="287">
        <v>15498</v>
      </c>
      <c r="O541" s="305">
        <f t="shared" si="8"/>
        <v>44651</v>
      </c>
      <c r="P541" s="286" t="s">
        <v>175</v>
      </c>
    </row>
    <row r="542" spans="1:16" hidden="1" x14ac:dyDescent="0.15">
      <c r="A542" s="286">
        <v>8241</v>
      </c>
      <c r="B542" s="288">
        <v>44635.663194444445</v>
      </c>
      <c r="C542" s="286" t="s">
        <v>1306</v>
      </c>
      <c r="D542" s="286" t="s">
        <v>1105</v>
      </c>
      <c r="E542" s="286" t="s">
        <v>1106</v>
      </c>
      <c r="F542" s="286" t="s">
        <v>1324</v>
      </c>
      <c r="G542" s="286" t="s">
        <v>53</v>
      </c>
      <c r="H542" s="286" t="s">
        <v>53</v>
      </c>
      <c r="I542" s="286" t="s">
        <v>1112</v>
      </c>
      <c r="J542" s="286" t="s">
        <v>53</v>
      </c>
      <c r="K542" s="286" t="s">
        <v>53</v>
      </c>
      <c r="L542" s="286" t="s">
        <v>53</v>
      </c>
      <c r="M542" s="286" t="s">
        <v>53</v>
      </c>
      <c r="N542" s="287">
        <v>9353</v>
      </c>
      <c r="O542" s="305">
        <f t="shared" si="8"/>
        <v>44651</v>
      </c>
      <c r="P542" s="286" t="s">
        <v>175</v>
      </c>
    </row>
    <row r="543" spans="1:16" hidden="1" x14ac:dyDescent="0.15">
      <c r="A543" s="286">
        <v>8241</v>
      </c>
      <c r="B543" s="288">
        <v>44635.663194444445</v>
      </c>
      <c r="C543" s="286" t="s">
        <v>1306</v>
      </c>
      <c r="D543" s="286" t="s">
        <v>1105</v>
      </c>
      <c r="E543" s="286" t="s">
        <v>1106</v>
      </c>
      <c r="F543" s="286" t="s">
        <v>1324</v>
      </c>
      <c r="G543" s="286" t="s">
        <v>53</v>
      </c>
      <c r="H543" s="286" t="s">
        <v>53</v>
      </c>
      <c r="I543" s="286" t="s">
        <v>1230</v>
      </c>
      <c r="J543" s="286" t="s">
        <v>53</v>
      </c>
      <c r="K543" s="286" t="s">
        <v>53</v>
      </c>
      <c r="L543" s="286" t="s">
        <v>53</v>
      </c>
      <c r="M543" s="286" t="s">
        <v>53</v>
      </c>
      <c r="N543" s="287">
        <v>8116</v>
      </c>
      <c r="O543" s="305">
        <f t="shared" si="8"/>
        <v>44651</v>
      </c>
      <c r="P543" s="286" t="s">
        <v>175</v>
      </c>
    </row>
    <row r="544" spans="1:16" hidden="1" x14ac:dyDescent="0.15">
      <c r="A544" s="286">
        <v>13651</v>
      </c>
      <c r="B544" s="288">
        <v>44644.637499999997</v>
      </c>
      <c r="C544" s="286" t="s">
        <v>1308</v>
      </c>
      <c r="D544" s="286" t="s">
        <v>1105</v>
      </c>
      <c r="E544" s="286" t="s">
        <v>1106</v>
      </c>
      <c r="F544" s="286" t="s">
        <v>1325</v>
      </c>
      <c r="G544" s="286" t="s">
        <v>53</v>
      </c>
      <c r="H544" s="286" t="s">
        <v>53</v>
      </c>
      <c r="I544" s="286" t="s">
        <v>1199</v>
      </c>
      <c r="J544" s="286" t="s">
        <v>1312</v>
      </c>
      <c r="K544" s="286" t="s">
        <v>53</v>
      </c>
      <c r="L544" s="286" t="s">
        <v>53</v>
      </c>
      <c r="M544" s="286" t="s">
        <v>53</v>
      </c>
      <c r="N544" s="287">
        <v>128926.86</v>
      </c>
      <c r="O544" s="305">
        <f t="shared" si="8"/>
        <v>44651</v>
      </c>
      <c r="P544" s="286" t="s">
        <v>58</v>
      </c>
    </row>
    <row r="545" spans="1:16" hidden="1" x14ac:dyDescent="0.15">
      <c r="A545" s="286">
        <v>13651</v>
      </c>
      <c r="B545" s="288">
        <v>44644.637499999997</v>
      </c>
      <c r="C545" s="286" t="s">
        <v>1308</v>
      </c>
      <c r="D545" s="286" t="s">
        <v>1105</v>
      </c>
      <c r="E545" s="286" t="s">
        <v>1106</v>
      </c>
      <c r="F545" s="286" t="s">
        <v>1325</v>
      </c>
      <c r="G545" s="286" t="s">
        <v>53</v>
      </c>
      <c r="H545" s="286" t="s">
        <v>53</v>
      </c>
      <c r="I545" s="286" t="s">
        <v>1228</v>
      </c>
      <c r="J545" s="286" t="s">
        <v>1312</v>
      </c>
      <c r="K545" s="286" t="s">
        <v>53</v>
      </c>
      <c r="L545" s="286" t="s">
        <v>53</v>
      </c>
      <c r="M545" s="286" t="s">
        <v>53</v>
      </c>
      <c r="N545" s="287">
        <v>67490.78</v>
      </c>
      <c r="O545" s="305">
        <f t="shared" si="8"/>
        <v>44651</v>
      </c>
      <c r="P545" s="286" t="s">
        <v>58</v>
      </c>
    </row>
    <row r="546" spans="1:16" hidden="1" x14ac:dyDescent="0.15">
      <c r="A546" s="286">
        <v>13651</v>
      </c>
      <c r="B546" s="288">
        <v>44644.637499999997</v>
      </c>
      <c r="C546" s="286" t="s">
        <v>1308</v>
      </c>
      <c r="D546" s="286" t="s">
        <v>1105</v>
      </c>
      <c r="E546" s="286" t="s">
        <v>1106</v>
      </c>
      <c r="F546" s="286" t="s">
        <v>1325</v>
      </c>
      <c r="G546" s="286" t="s">
        <v>53</v>
      </c>
      <c r="H546" s="286" t="s">
        <v>53</v>
      </c>
      <c r="I546" s="286" t="s">
        <v>1152</v>
      </c>
      <c r="J546" s="286" t="s">
        <v>1312</v>
      </c>
      <c r="K546" s="286" t="s">
        <v>53</v>
      </c>
      <c r="L546" s="286" t="s">
        <v>53</v>
      </c>
      <c r="M546" s="286" t="s">
        <v>53</v>
      </c>
      <c r="N546" s="287">
        <v>25046.11</v>
      </c>
      <c r="O546" s="305">
        <f t="shared" si="8"/>
        <v>44651</v>
      </c>
      <c r="P546" s="111" t="s">
        <v>58</v>
      </c>
    </row>
    <row r="547" spans="1:16" hidden="1" x14ac:dyDescent="0.15">
      <c r="A547" s="286">
        <v>13651</v>
      </c>
      <c r="B547" s="288">
        <v>44644.637499999997</v>
      </c>
      <c r="C547" s="286" t="s">
        <v>1308</v>
      </c>
      <c r="D547" s="286" t="s">
        <v>1105</v>
      </c>
      <c r="E547" s="286" t="s">
        <v>1106</v>
      </c>
      <c r="F547" s="286" t="s">
        <v>1325</v>
      </c>
      <c r="G547" s="286" t="s">
        <v>53</v>
      </c>
      <c r="H547" s="286" t="s">
        <v>53</v>
      </c>
      <c r="I547" s="286" t="s">
        <v>1279</v>
      </c>
      <c r="J547" s="286" t="s">
        <v>1312</v>
      </c>
      <c r="K547" s="286" t="s">
        <v>53</v>
      </c>
      <c r="L547" s="286" t="s">
        <v>53</v>
      </c>
      <c r="M547" s="286" t="s">
        <v>53</v>
      </c>
      <c r="N547" s="287">
        <v>1523.33</v>
      </c>
      <c r="O547" s="305">
        <f t="shared" si="8"/>
        <v>44651</v>
      </c>
      <c r="P547" s="286" t="s">
        <v>58</v>
      </c>
    </row>
    <row r="548" spans="1:16" hidden="1" x14ac:dyDescent="0.15">
      <c r="A548" s="286">
        <v>13797</v>
      </c>
      <c r="B548" s="288">
        <v>44645.525000000001</v>
      </c>
      <c r="C548" s="286" t="s">
        <v>1308</v>
      </c>
      <c r="D548" s="286" t="s">
        <v>1309</v>
      </c>
      <c r="E548" s="286" t="s">
        <v>1310</v>
      </c>
      <c r="F548" s="286" t="s">
        <v>1326</v>
      </c>
      <c r="G548" s="286" t="s">
        <v>1327</v>
      </c>
      <c r="H548" s="286" t="s">
        <v>1327</v>
      </c>
      <c r="I548" s="286" t="s">
        <v>1129</v>
      </c>
      <c r="J548" s="286" t="s">
        <v>1312</v>
      </c>
      <c r="K548" s="286" t="s">
        <v>167</v>
      </c>
      <c r="L548" s="286" t="s">
        <v>1328</v>
      </c>
      <c r="M548" s="286">
        <v>2</v>
      </c>
      <c r="N548" s="287">
        <v>167.02</v>
      </c>
      <c r="O548" s="305">
        <f t="shared" si="8"/>
        <v>44651</v>
      </c>
      <c r="P548" s="286" t="s">
        <v>164</v>
      </c>
    </row>
    <row r="549" spans="1:16" hidden="1" x14ac:dyDescent="0.15">
      <c r="A549" s="286">
        <v>13797</v>
      </c>
      <c r="B549" s="288">
        <v>44645.525000000001</v>
      </c>
      <c r="C549" s="286" t="s">
        <v>1308</v>
      </c>
      <c r="D549" s="286" t="s">
        <v>1309</v>
      </c>
      <c r="E549" s="286" t="s">
        <v>1310</v>
      </c>
      <c r="F549" s="286" t="s">
        <v>1326</v>
      </c>
      <c r="G549" s="286" t="s">
        <v>1327</v>
      </c>
      <c r="H549" s="286" t="s">
        <v>1327</v>
      </c>
      <c r="I549" s="286" t="s">
        <v>1129</v>
      </c>
      <c r="J549" s="286" t="s">
        <v>1312</v>
      </c>
      <c r="K549" s="286" t="s">
        <v>165</v>
      </c>
      <c r="L549" s="286" t="s">
        <v>1329</v>
      </c>
      <c r="M549" s="286">
        <v>2</v>
      </c>
      <c r="N549" s="287">
        <v>143.12</v>
      </c>
      <c r="O549" s="305">
        <f t="shared" si="8"/>
        <v>44651</v>
      </c>
      <c r="P549" s="286" t="s">
        <v>164</v>
      </c>
    </row>
    <row r="550" spans="1:16" hidden="1" x14ac:dyDescent="0.15">
      <c r="A550" s="286">
        <v>14038</v>
      </c>
      <c r="B550" s="288">
        <v>44648.37222222222</v>
      </c>
      <c r="C550" s="286" t="s">
        <v>1308</v>
      </c>
      <c r="D550" s="286" t="s">
        <v>1309</v>
      </c>
      <c r="E550" s="286" t="s">
        <v>1310</v>
      </c>
      <c r="F550" s="286" t="s">
        <v>1330</v>
      </c>
      <c r="G550" s="286" t="s">
        <v>1052</v>
      </c>
      <c r="H550" s="286" t="s">
        <v>1052</v>
      </c>
      <c r="I550" s="286" t="s">
        <v>1129</v>
      </c>
      <c r="J550" s="286" t="s">
        <v>53</v>
      </c>
      <c r="K550" s="286" t="s">
        <v>1331</v>
      </c>
      <c r="L550" s="286" t="s">
        <v>1332</v>
      </c>
      <c r="M550" s="286">
        <v>12</v>
      </c>
      <c r="N550" s="287">
        <v>0</v>
      </c>
      <c r="O550" s="305">
        <f t="shared" si="8"/>
        <v>44651</v>
      </c>
      <c r="P550" s="286" t="s">
        <v>164</v>
      </c>
    </row>
    <row r="551" spans="1:16" hidden="1" x14ac:dyDescent="0.15">
      <c r="A551" s="286">
        <v>14038</v>
      </c>
      <c r="B551" s="288">
        <v>44648.37222222222</v>
      </c>
      <c r="C551" s="286" t="s">
        <v>1308</v>
      </c>
      <c r="D551" s="286" t="s">
        <v>1309</v>
      </c>
      <c r="E551" s="286" t="s">
        <v>1310</v>
      </c>
      <c r="F551" s="286" t="s">
        <v>1330</v>
      </c>
      <c r="G551" s="286" t="s">
        <v>1052</v>
      </c>
      <c r="H551" s="286" t="s">
        <v>1052</v>
      </c>
      <c r="I551" s="286" t="s">
        <v>1129</v>
      </c>
      <c r="J551" s="286" t="s">
        <v>53</v>
      </c>
      <c r="K551" s="286" t="s">
        <v>1333</v>
      </c>
      <c r="L551" s="286" t="s">
        <v>1334</v>
      </c>
      <c r="M551" s="286">
        <v>10</v>
      </c>
      <c r="N551" s="287">
        <v>0</v>
      </c>
      <c r="O551" s="305">
        <f t="shared" si="8"/>
        <v>44651</v>
      </c>
      <c r="P551" s="286" t="s">
        <v>164</v>
      </c>
    </row>
    <row r="552" spans="1:16" hidden="1" x14ac:dyDescent="0.15">
      <c r="A552" s="286">
        <v>14038</v>
      </c>
      <c r="B552" s="288">
        <v>44648.37222222222</v>
      </c>
      <c r="C552" s="286" t="s">
        <v>1308</v>
      </c>
      <c r="D552" s="286" t="s">
        <v>1309</v>
      </c>
      <c r="E552" s="286" t="s">
        <v>1310</v>
      </c>
      <c r="F552" s="286" t="s">
        <v>1330</v>
      </c>
      <c r="G552" s="286" t="s">
        <v>1052</v>
      </c>
      <c r="H552" s="286" t="s">
        <v>1052</v>
      </c>
      <c r="I552" s="286" t="s">
        <v>1129</v>
      </c>
      <c r="J552" s="286" t="s">
        <v>53</v>
      </c>
      <c r="K552" s="286" t="s">
        <v>1335</v>
      </c>
      <c r="L552" s="286" t="s">
        <v>1336</v>
      </c>
      <c r="M552" s="286">
        <v>4</v>
      </c>
      <c r="N552" s="287">
        <v>0</v>
      </c>
      <c r="O552" s="305">
        <f t="shared" si="8"/>
        <v>44651</v>
      </c>
      <c r="P552" s="286" t="s">
        <v>164</v>
      </c>
    </row>
    <row r="553" spans="1:16" hidden="1" x14ac:dyDescent="0.15">
      <c r="A553" s="286">
        <v>14038</v>
      </c>
      <c r="B553" s="288">
        <v>44648.37222222222</v>
      </c>
      <c r="C553" s="286" t="s">
        <v>1308</v>
      </c>
      <c r="D553" s="286" t="s">
        <v>1309</v>
      </c>
      <c r="E553" s="286" t="s">
        <v>1310</v>
      </c>
      <c r="F553" s="286" t="s">
        <v>1330</v>
      </c>
      <c r="G553" s="286" t="s">
        <v>1052</v>
      </c>
      <c r="H553" s="286" t="s">
        <v>1052</v>
      </c>
      <c r="I553" s="286" t="s">
        <v>1129</v>
      </c>
      <c r="J553" s="286" t="s">
        <v>53</v>
      </c>
      <c r="K553" s="286" t="s">
        <v>1337</v>
      </c>
      <c r="L553" s="286" t="s">
        <v>1338</v>
      </c>
      <c r="M553" s="286">
        <v>4</v>
      </c>
      <c r="N553" s="287">
        <v>0</v>
      </c>
      <c r="O553" s="305">
        <f t="shared" si="8"/>
        <v>44651</v>
      </c>
      <c r="P553" s="286" t="s">
        <v>164</v>
      </c>
    </row>
    <row r="554" spans="1:16" hidden="1" x14ac:dyDescent="0.15">
      <c r="A554" s="286">
        <v>14038</v>
      </c>
      <c r="B554" s="288">
        <v>44648.37222222222</v>
      </c>
      <c r="C554" s="286" t="s">
        <v>1308</v>
      </c>
      <c r="D554" s="286" t="s">
        <v>1309</v>
      </c>
      <c r="E554" s="286" t="s">
        <v>1310</v>
      </c>
      <c r="F554" s="286" t="s">
        <v>1330</v>
      </c>
      <c r="G554" s="286" t="s">
        <v>1052</v>
      </c>
      <c r="H554" s="286" t="s">
        <v>1052</v>
      </c>
      <c r="I554" s="286" t="s">
        <v>1108</v>
      </c>
      <c r="J554" s="286" t="s">
        <v>53</v>
      </c>
      <c r="K554" s="286" t="s">
        <v>1339</v>
      </c>
      <c r="L554" s="286" t="s">
        <v>1340</v>
      </c>
      <c r="M554" s="286">
        <v>2</v>
      </c>
      <c r="N554" s="287">
        <v>0</v>
      </c>
      <c r="O554" s="305">
        <f t="shared" si="8"/>
        <v>44651</v>
      </c>
      <c r="P554" s="286" t="s">
        <v>37</v>
      </c>
    </row>
    <row r="555" spans="1:16" hidden="1" x14ac:dyDescent="0.15">
      <c r="A555" s="286">
        <v>14038</v>
      </c>
      <c r="B555" s="288">
        <v>44648.37222222222</v>
      </c>
      <c r="C555" s="286" t="s">
        <v>1308</v>
      </c>
      <c r="D555" s="286" t="s">
        <v>1309</v>
      </c>
      <c r="E555" s="286" t="s">
        <v>1310</v>
      </c>
      <c r="F555" s="286" t="s">
        <v>1330</v>
      </c>
      <c r="G555" s="286" t="s">
        <v>1052</v>
      </c>
      <c r="H555" s="286" t="s">
        <v>1052</v>
      </c>
      <c r="I555" s="286" t="s">
        <v>1108</v>
      </c>
      <c r="J555" s="286" t="s">
        <v>53</v>
      </c>
      <c r="K555" s="286" t="s">
        <v>1339</v>
      </c>
      <c r="L555" s="286" t="s">
        <v>1340</v>
      </c>
      <c r="M555" s="286">
        <v>2</v>
      </c>
      <c r="N555" s="287">
        <v>0</v>
      </c>
      <c r="O555" s="305">
        <f t="shared" si="8"/>
        <v>44651</v>
      </c>
      <c r="P555" s="286" t="s">
        <v>37</v>
      </c>
    </row>
    <row r="556" spans="1:16" hidden="1" x14ac:dyDescent="0.15">
      <c r="A556" s="286">
        <v>14038</v>
      </c>
      <c r="B556" s="288">
        <v>44648.37222222222</v>
      </c>
      <c r="C556" s="286" t="s">
        <v>1308</v>
      </c>
      <c r="D556" s="286" t="s">
        <v>1309</v>
      </c>
      <c r="E556" s="286" t="s">
        <v>1310</v>
      </c>
      <c r="F556" s="286" t="s">
        <v>1330</v>
      </c>
      <c r="G556" s="286" t="s">
        <v>1052</v>
      </c>
      <c r="H556" s="286" t="s">
        <v>1052</v>
      </c>
      <c r="I556" s="286" t="s">
        <v>1108</v>
      </c>
      <c r="J556" s="286" t="s">
        <v>53</v>
      </c>
      <c r="K556" s="286" t="s">
        <v>1339</v>
      </c>
      <c r="L556" s="286" t="s">
        <v>1340</v>
      </c>
      <c r="M556" s="286">
        <v>12</v>
      </c>
      <c r="N556" s="287">
        <v>0</v>
      </c>
      <c r="O556" s="305">
        <f t="shared" si="8"/>
        <v>44651</v>
      </c>
      <c r="P556" s="286" t="s">
        <v>37</v>
      </c>
    </row>
    <row r="557" spans="1:16" hidden="1" x14ac:dyDescent="0.15">
      <c r="A557" s="286">
        <v>14038</v>
      </c>
      <c r="B557" s="288">
        <v>44648.37222222222</v>
      </c>
      <c r="C557" s="286" t="s">
        <v>1308</v>
      </c>
      <c r="D557" s="286" t="s">
        <v>1309</v>
      </c>
      <c r="E557" s="286" t="s">
        <v>1310</v>
      </c>
      <c r="F557" s="286" t="s">
        <v>1330</v>
      </c>
      <c r="G557" s="286" t="s">
        <v>1052</v>
      </c>
      <c r="H557" s="286" t="s">
        <v>1052</v>
      </c>
      <c r="I557" s="286" t="s">
        <v>1108</v>
      </c>
      <c r="J557" s="286" t="s">
        <v>53</v>
      </c>
      <c r="K557" s="286" t="s">
        <v>1339</v>
      </c>
      <c r="L557" s="286" t="s">
        <v>1340</v>
      </c>
      <c r="M557" s="286">
        <v>10</v>
      </c>
      <c r="N557" s="287">
        <v>0</v>
      </c>
      <c r="O557" s="305">
        <f t="shared" si="8"/>
        <v>44651</v>
      </c>
      <c r="P557" s="286" t="s">
        <v>37</v>
      </c>
    </row>
    <row r="558" spans="1:16" hidden="1" x14ac:dyDescent="0.15">
      <c r="A558" s="286">
        <v>16864</v>
      </c>
      <c r="B558" s="288">
        <v>44655.64166666667</v>
      </c>
      <c r="C558" s="286" t="s">
        <v>1341</v>
      </c>
      <c r="D558" s="286" t="s">
        <v>1309</v>
      </c>
      <c r="E558" s="286" t="s">
        <v>1310</v>
      </c>
      <c r="F558" s="286" t="s">
        <v>1342</v>
      </c>
      <c r="G558" s="286" t="s">
        <v>1343</v>
      </c>
      <c r="H558" s="286" t="s">
        <v>1343</v>
      </c>
      <c r="I558" s="286" t="s">
        <v>1129</v>
      </c>
      <c r="J558" s="286" t="s">
        <v>1312</v>
      </c>
      <c r="K558" s="286" t="s">
        <v>1344</v>
      </c>
      <c r="L558" s="286" t="s">
        <v>1345</v>
      </c>
      <c r="M558" s="286">
        <v>66</v>
      </c>
      <c r="N558" s="287">
        <v>2263.14</v>
      </c>
      <c r="O558" s="305">
        <f t="shared" si="8"/>
        <v>44681</v>
      </c>
      <c r="P558" s="286" t="s">
        <v>164</v>
      </c>
    </row>
    <row r="559" spans="1:16" hidden="1" x14ac:dyDescent="0.15">
      <c r="A559" s="286">
        <v>16864</v>
      </c>
      <c r="B559" s="288">
        <v>44655.64166666667</v>
      </c>
      <c r="C559" s="286" t="s">
        <v>1341</v>
      </c>
      <c r="D559" s="286" t="s">
        <v>1309</v>
      </c>
      <c r="E559" s="286" t="s">
        <v>1310</v>
      </c>
      <c r="F559" s="286" t="s">
        <v>1342</v>
      </c>
      <c r="G559" s="286" t="s">
        <v>1343</v>
      </c>
      <c r="H559" s="286" t="s">
        <v>1343</v>
      </c>
      <c r="I559" s="286" t="s">
        <v>1129</v>
      </c>
      <c r="J559" s="286" t="s">
        <v>1312</v>
      </c>
      <c r="K559" s="286" t="s">
        <v>524</v>
      </c>
      <c r="L559" s="286" t="s">
        <v>1346</v>
      </c>
      <c r="M559" s="286">
        <v>66</v>
      </c>
      <c r="N559" s="287">
        <v>316.8</v>
      </c>
      <c r="O559" s="305">
        <f t="shared" si="8"/>
        <v>44681</v>
      </c>
      <c r="P559" s="286" t="s">
        <v>164</v>
      </c>
    </row>
    <row r="560" spans="1:16" hidden="1" x14ac:dyDescent="0.15">
      <c r="A560" s="286">
        <v>17042</v>
      </c>
      <c r="B560" s="288">
        <v>44656.59652777778</v>
      </c>
      <c r="C560" s="286" t="s">
        <v>1341</v>
      </c>
      <c r="D560" s="286" t="s">
        <v>1309</v>
      </c>
      <c r="E560" s="286" t="s">
        <v>1310</v>
      </c>
      <c r="F560" s="286" t="s">
        <v>1347</v>
      </c>
      <c r="G560" s="286" t="s">
        <v>1073</v>
      </c>
      <c r="H560" s="286" t="s">
        <v>1073</v>
      </c>
      <c r="I560" s="286" t="s">
        <v>1129</v>
      </c>
      <c r="J560" s="286" t="s">
        <v>53</v>
      </c>
      <c r="K560" s="286" t="s">
        <v>1318</v>
      </c>
      <c r="L560" s="286" t="s">
        <v>1319</v>
      </c>
      <c r="M560" s="286">
        <v>1</v>
      </c>
      <c r="N560" s="287">
        <v>0</v>
      </c>
      <c r="O560" s="305">
        <f t="shared" si="8"/>
        <v>44681</v>
      </c>
      <c r="P560" s="286" t="s">
        <v>164</v>
      </c>
    </row>
    <row r="561" spans="1:16" hidden="1" x14ac:dyDescent="0.15">
      <c r="A561" s="286">
        <v>17064</v>
      </c>
      <c r="B561" s="288">
        <v>44656.691666666666</v>
      </c>
      <c r="C561" s="286" t="s">
        <v>1341</v>
      </c>
      <c r="D561" s="286" t="s">
        <v>1309</v>
      </c>
      <c r="E561" s="286" t="s">
        <v>1310</v>
      </c>
      <c r="F561" s="286" t="s">
        <v>1348</v>
      </c>
      <c r="G561" s="286" t="s">
        <v>1349</v>
      </c>
      <c r="H561" s="286" t="s">
        <v>1349</v>
      </c>
      <c r="I561" s="286" t="s">
        <v>1129</v>
      </c>
      <c r="J561" s="286" t="s">
        <v>1350</v>
      </c>
      <c r="K561" s="286" t="s">
        <v>167</v>
      </c>
      <c r="L561" s="286" t="s">
        <v>1328</v>
      </c>
      <c r="M561" s="286">
        <v>1</v>
      </c>
      <c r="N561" s="287">
        <v>83.25</v>
      </c>
      <c r="O561" s="305">
        <f t="shared" si="8"/>
        <v>44681</v>
      </c>
      <c r="P561" s="286" t="s">
        <v>164</v>
      </c>
    </row>
    <row r="562" spans="1:16" hidden="1" x14ac:dyDescent="0.15">
      <c r="A562" s="286">
        <v>17064</v>
      </c>
      <c r="B562" s="288">
        <v>44656.691666666666</v>
      </c>
      <c r="C562" s="286" t="s">
        <v>1341</v>
      </c>
      <c r="D562" s="286" t="s">
        <v>1309</v>
      </c>
      <c r="E562" s="286" t="s">
        <v>1310</v>
      </c>
      <c r="F562" s="286" t="s">
        <v>1348</v>
      </c>
      <c r="G562" s="286" t="s">
        <v>1349</v>
      </c>
      <c r="H562" s="286" t="s">
        <v>1349</v>
      </c>
      <c r="I562" s="286" t="s">
        <v>1129</v>
      </c>
      <c r="J562" s="286" t="s">
        <v>1350</v>
      </c>
      <c r="K562" s="286" t="s">
        <v>165</v>
      </c>
      <c r="L562" s="286" t="s">
        <v>1329</v>
      </c>
      <c r="M562" s="286">
        <v>1</v>
      </c>
      <c r="N562" s="287">
        <v>71.95</v>
      </c>
      <c r="O562" s="305">
        <f t="shared" si="8"/>
        <v>44681</v>
      </c>
      <c r="P562" s="286" t="s">
        <v>164</v>
      </c>
    </row>
    <row r="563" spans="1:16" hidden="1" x14ac:dyDescent="0.15">
      <c r="A563" s="286">
        <v>17965</v>
      </c>
      <c r="B563" s="288">
        <v>44658.569444444445</v>
      </c>
      <c r="C563" s="286" t="s">
        <v>1341</v>
      </c>
      <c r="D563" s="286" t="s">
        <v>1309</v>
      </c>
      <c r="E563" s="286" t="s">
        <v>1310</v>
      </c>
      <c r="F563" s="286" t="s">
        <v>1351</v>
      </c>
      <c r="G563" s="286" t="s">
        <v>1352</v>
      </c>
      <c r="H563" s="286" t="s">
        <v>1352</v>
      </c>
      <c r="I563" s="286" t="s">
        <v>1129</v>
      </c>
      <c r="J563" s="286" t="s">
        <v>1350</v>
      </c>
      <c r="K563" s="286" t="s">
        <v>1353</v>
      </c>
      <c r="L563" s="286" t="s">
        <v>1354</v>
      </c>
      <c r="M563" s="286">
        <v>1</v>
      </c>
      <c r="N563" s="287">
        <v>3.1</v>
      </c>
      <c r="O563" s="305">
        <f t="shared" si="8"/>
        <v>44681</v>
      </c>
      <c r="P563" s="286" t="s">
        <v>164</v>
      </c>
    </row>
    <row r="564" spans="1:16" hidden="1" x14ac:dyDescent="0.15">
      <c r="A564" s="286">
        <v>18252</v>
      </c>
      <c r="B564" s="288">
        <v>44662.303472222222</v>
      </c>
      <c r="C564" s="286" t="s">
        <v>1341</v>
      </c>
      <c r="D564" s="286" t="s">
        <v>1309</v>
      </c>
      <c r="E564" s="286" t="s">
        <v>1310</v>
      </c>
      <c r="F564" s="286" t="s">
        <v>1355</v>
      </c>
      <c r="G564" s="286" t="s">
        <v>1010</v>
      </c>
      <c r="H564" s="286" t="s">
        <v>1010</v>
      </c>
      <c r="I564" s="286" t="s">
        <v>1129</v>
      </c>
      <c r="J564" s="286" t="s">
        <v>1350</v>
      </c>
      <c r="K564" s="286" t="s">
        <v>1356</v>
      </c>
      <c r="L564" s="286" t="s">
        <v>1357</v>
      </c>
      <c r="M564" s="286">
        <v>2</v>
      </c>
      <c r="N564" s="287">
        <v>37.04</v>
      </c>
      <c r="O564" s="305">
        <f t="shared" si="8"/>
        <v>44681</v>
      </c>
      <c r="P564" s="286" t="s">
        <v>164</v>
      </c>
    </row>
    <row r="565" spans="1:16" hidden="1" x14ac:dyDescent="0.15">
      <c r="A565" s="286">
        <v>19791</v>
      </c>
      <c r="B565" s="288">
        <v>44664.583333333336</v>
      </c>
      <c r="C565" s="286" t="s">
        <v>1341</v>
      </c>
      <c r="D565" s="286" t="s">
        <v>1309</v>
      </c>
      <c r="E565" s="286" t="s">
        <v>1310</v>
      </c>
      <c r="F565" s="286" t="s">
        <v>1358</v>
      </c>
      <c r="G565" s="286" t="s">
        <v>1037</v>
      </c>
      <c r="H565" s="286" t="s">
        <v>1037</v>
      </c>
      <c r="I565" s="286" t="s">
        <v>1129</v>
      </c>
      <c r="J565" s="286" t="s">
        <v>1359</v>
      </c>
      <c r="K565" s="286" t="s">
        <v>526</v>
      </c>
      <c r="L565" s="286" t="s">
        <v>1360</v>
      </c>
      <c r="M565" s="286">
        <v>72</v>
      </c>
      <c r="N565" s="287">
        <v>236.16</v>
      </c>
      <c r="O565" s="305">
        <f t="shared" si="8"/>
        <v>44681</v>
      </c>
      <c r="P565" s="286" t="s">
        <v>164</v>
      </c>
    </row>
    <row r="566" spans="1:16" hidden="1" x14ac:dyDescent="0.15">
      <c r="A566" s="286">
        <v>19791</v>
      </c>
      <c r="B566" s="288">
        <v>44664.583333333336</v>
      </c>
      <c r="C566" s="286" t="s">
        <v>1341</v>
      </c>
      <c r="D566" s="286" t="s">
        <v>1309</v>
      </c>
      <c r="E566" s="286" t="s">
        <v>1310</v>
      </c>
      <c r="F566" s="286" t="s">
        <v>1358</v>
      </c>
      <c r="G566" s="286" t="s">
        <v>1037</v>
      </c>
      <c r="H566" s="286" t="s">
        <v>1037</v>
      </c>
      <c r="I566" s="286" t="s">
        <v>1129</v>
      </c>
      <c r="J566" s="286" t="s">
        <v>1359</v>
      </c>
      <c r="K566" s="286" t="s">
        <v>528</v>
      </c>
      <c r="L566" s="286" t="s">
        <v>529</v>
      </c>
      <c r="M566" s="286">
        <v>54</v>
      </c>
      <c r="N566" s="287">
        <v>166.32</v>
      </c>
      <c r="O566" s="305">
        <f t="shared" si="8"/>
        <v>44681</v>
      </c>
      <c r="P566" s="286" t="s">
        <v>164</v>
      </c>
    </row>
    <row r="567" spans="1:16" hidden="1" x14ac:dyDescent="0.15">
      <c r="A567" s="286">
        <v>19791</v>
      </c>
      <c r="B567" s="288">
        <v>44664.583333333336</v>
      </c>
      <c r="C567" s="286" t="s">
        <v>1341</v>
      </c>
      <c r="D567" s="286" t="s">
        <v>1309</v>
      </c>
      <c r="E567" s="286" t="s">
        <v>1310</v>
      </c>
      <c r="F567" s="286" t="s">
        <v>1358</v>
      </c>
      <c r="G567" s="286" t="s">
        <v>1037</v>
      </c>
      <c r="H567" s="286" t="s">
        <v>1037</v>
      </c>
      <c r="I567" s="286" t="s">
        <v>1129</v>
      </c>
      <c r="J567" s="286" t="s">
        <v>1359</v>
      </c>
      <c r="K567" s="286" t="s">
        <v>1361</v>
      </c>
      <c r="L567" s="286" t="s">
        <v>1362</v>
      </c>
      <c r="M567" s="286">
        <v>6</v>
      </c>
      <c r="N567" s="287">
        <v>136.91999999999999</v>
      </c>
      <c r="O567" s="305">
        <f t="shared" si="8"/>
        <v>44681</v>
      </c>
      <c r="P567" s="286" t="s">
        <v>164</v>
      </c>
    </row>
    <row r="568" spans="1:16" hidden="1" x14ac:dyDescent="0.15">
      <c r="A568" s="286">
        <v>20959</v>
      </c>
      <c r="B568" s="288">
        <v>44670.665972222225</v>
      </c>
      <c r="C568" s="286" t="s">
        <v>1341</v>
      </c>
      <c r="D568" s="286" t="s">
        <v>1309</v>
      </c>
      <c r="E568" s="286" t="s">
        <v>1310</v>
      </c>
      <c r="F568" s="286" t="s">
        <v>1363</v>
      </c>
      <c r="G568" s="286" t="s">
        <v>1349</v>
      </c>
      <c r="H568" s="286" t="s">
        <v>1349</v>
      </c>
      <c r="I568" s="286" t="s">
        <v>1129</v>
      </c>
      <c r="J568" s="286" t="s">
        <v>1312</v>
      </c>
      <c r="K568" s="286" t="s">
        <v>1321</v>
      </c>
      <c r="L568" s="286" t="s">
        <v>1322</v>
      </c>
      <c r="M568" s="286">
        <v>24</v>
      </c>
      <c r="N568" s="287">
        <v>195.6</v>
      </c>
      <c r="O568" s="305">
        <f t="shared" si="8"/>
        <v>44681</v>
      </c>
      <c r="P568" s="286" t="s">
        <v>164</v>
      </c>
    </row>
    <row r="569" spans="1:16" hidden="1" x14ac:dyDescent="0.15">
      <c r="A569" s="286">
        <v>20959</v>
      </c>
      <c r="B569" s="288">
        <v>44670.665972222225</v>
      </c>
      <c r="C569" s="286" t="s">
        <v>1341</v>
      </c>
      <c r="D569" s="286" t="s">
        <v>1309</v>
      </c>
      <c r="E569" s="286" t="s">
        <v>1310</v>
      </c>
      <c r="F569" s="286" t="s">
        <v>1363</v>
      </c>
      <c r="G569" s="286" t="s">
        <v>1349</v>
      </c>
      <c r="H569" s="286" t="s">
        <v>1349</v>
      </c>
      <c r="I569" s="286" t="s">
        <v>1129</v>
      </c>
      <c r="J569" s="286" t="s">
        <v>1312</v>
      </c>
      <c r="K569" s="286" t="s">
        <v>528</v>
      </c>
      <c r="L569" s="286" t="s">
        <v>529</v>
      </c>
      <c r="M569" s="286">
        <v>24</v>
      </c>
      <c r="N569" s="287">
        <v>74.400000000000006</v>
      </c>
      <c r="O569" s="305">
        <f t="shared" si="8"/>
        <v>44681</v>
      </c>
      <c r="P569" s="286" t="s">
        <v>164</v>
      </c>
    </row>
    <row r="570" spans="1:16" hidden="1" x14ac:dyDescent="0.15">
      <c r="A570" s="286">
        <v>21470</v>
      </c>
      <c r="B570" s="288">
        <v>44670.750694444447</v>
      </c>
      <c r="C570" s="286" t="s">
        <v>1308</v>
      </c>
      <c r="D570" s="286" t="s">
        <v>1105</v>
      </c>
      <c r="E570" s="286" t="s">
        <v>1106</v>
      </c>
      <c r="F570" s="286" t="s">
        <v>1364</v>
      </c>
      <c r="G570" s="286" t="s">
        <v>1073</v>
      </c>
      <c r="H570" s="286" t="s">
        <v>1073</v>
      </c>
      <c r="I570" s="286" t="s">
        <v>1112</v>
      </c>
      <c r="J570" s="286" t="s">
        <v>1312</v>
      </c>
      <c r="K570" s="286" t="s">
        <v>53</v>
      </c>
      <c r="L570" s="286" t="s">
        <v>53</v>
      </c>
      <c r="M570" s="286" t="s">
        <v>53</v>
      </c>
      <c r="N570" s="287">
        <v>40005.230000000003</v>
      </c>
      <c r="O570" s="305">
        <f t="shared" si="8"/>
        <v>44681</v>
      </c>
      <c r="P570" s="286" t="s">
        <v>175</v>
      </c>
    </row>
    <row r="571" spans="1:16" hidden="1" x14ac:dyDescent="0.15">
      <c r="A571" s="286">
        <v>21470</v>
      </c>
      <c r="B571" s="288">
        <v>44670.750694444447</v>
      </c>
      <c r="C571" s="286" t="s">
        <v>1308</v>
      </c>
      <c r="D571" s="286" t="s">
        <v>1105</v>
      </c>
      <c r="E571" s="286" t="s">
        <v>1106</v>
      </c>
      <c r="F571" s="286" t="s">
        <v>1364</v>
      </c>
      <c r="G571" s="286" t="s">
        <v>1027</v>
      </c>
      <c r="H571" s="286" t="s">
        <v>1027</v>
      </c>
      <c r="I571" s="286" t="s">
        <v>1230</v>
      </c>
      <c r="J571" s="286" t="s">
        <v>1312</v>
      </c>
      <c r="K571" s="286" t="s">
        <v>53</v>
      </c>
      <c r="L571" s="286" t="s">
        <v>53</v>
      </c>
      <c r="M571" s="286" t="s">
        <v>53</v>
      </c>
      <c r="N571" s="287">
        <v>23470.49</v>
      </c>
      <c r="O571" s="305">
        <f t="shared" si="8"/>
        <v>44681</v>
      </c>
      <c r="P571" s="286" t="s">
        <v>175</v>
      </c>
    </row>
    <row r="572" spans="1:16" hidden="1" x14ac:dyDescent="0.15">
      <c r="A572" s="286">
        <v>21470</v>
      </c>
      <c r="B572" s="288">
        <v>44670.750694444447</v>
      </c>
      <c r="C572" s="286" t="s">
        <v>1308</v>
      </c>
      <c r="D572" s="286" t="s">
        <v>1105</v>
      </c>
      <c r="E572" s="286" t="s">
        <v>1106</v>
      </c>
      <c r="F572" s="286" t="s">
        <v>1364</v>
      </c>
      <c r="G572" s="286" t="s">
        <v>1064</v>
      </c>
      <c r="H572" s="286" t="s">
        <v>1064</v>
      </c>
      <c r="I572" s="286" t="s">
        <v>1230</v>
      </c>
      <c r="J572" s="286" t="s">
        <v>1312</v>
      </c>
      <c r="K572" s="286" t="s">
        <v>53</v>
      </c>
      <c r="L572" s="286" t="s">
        <v>53</v>
      </c>
      <c r="M572" s="286" t="s">
        <v>53</v>
      </c>
      <c r="N572" s="287">
        <v>20829</v>
      </c>
      <c r="O572" s="305">
        <f t="shared" si="8"/>
        <v>44681</v>
      </c>
      <c r="P572" s="286" t="s">
        <v>175</v>
      </c>
    </row>
    <row r="573" spans="1:16" hidden="1" x14ac:dyDescent="0.15">
      <c r="A573" s="286">
        <v>21470</v>
      </c>
      <c r="B573" s="288">
        <v>44670.750694444447</v>
      </c>
      <c r="C573" s="286" t="s">
        <v>1308</v>
      </c>
      <c r="D573" s="286" t="s">
        <v>1105</v>
      </c>
      <c r="E573" s="286" t="s">
        <v>1106</v>
      </c>
      <c r="F573" s="286" t="s">
        <v>1364</v>
      </c>
      <c r="G573" s="286" t="s">
        <v>1012</v>
      </c>
      <c r="H573" s="286" t="s">
        <v>1012</v>
      </c>
      <c r="I573" s="286" t="s">
        <v>1112</v>
      </c>
      <c r="J573" s="286" t="s">
        <v>1312</v>
      </c>
      <c r="K573" s="286" t="s">
        <v>53</v>
      </c>
      <c r="L573" s="286" t="s">
        <v>53</v>
      </c>
      <c r="M573" s="286" t="s">
        <v>53</v>
      </c>
      <c r="N573" s="287">
        <v>14007</v>
      </c>
      <c r="O573" s="305">
        <f t="shared" si="8"/>
        <v>44681</v>
      </c>
      <c r="P573" s="286" t="s">
        <v>175</v>
      </c>
    </row>
    <row r="574" spans="1:16" hidden="1" x14ac:dyDescent="0.15">
      <c r="A574" s="286">
        <v>21470</v>
      </c>
      <c r="B574" s="288">
        <v>44670.750694444447</v>
      </c>
      <c r="C574" s="286" t="s">
        <v>1308</v>
      </c>
      <c r="D574" s="286" t="s">
        <v>1105</v>
      </c>
      <c r="E574" s="286" t="s">
        <v>1106</v>
      </c>
      <c r="F574" s="286" t="s">
        <v>1364</v>
      </c>
      <c r="G574" s="286" t="s">
        <v>1067</v>
      </c>
      <c r="H574" s="286" t="s">
        <v>1067</v>
      </c>
      <c r="I574" s="286" t="s">
        <v>1112</v>
      </c>
      <c r="J574" s="286" t="s">
        <v>1312</v>
      </c>
      <c r="K574" s="286" t="s">
        <v>53</v>
      </c>
      <c r="L574" s="286" t="s">
        <v>53</v>
      </c>
      <c r="M574" s="286" t="s">
        <v>53</v>
      </c>
      <c r="N574" s="287">
        <v>11227</v>
      </c>
      <c r="O574" s="305">
        <f t="shared" si="8"/>
        <v>44681</v>
      </c>
      <c r="P574" s="286" t="s">
        <v>175</v>
      </c>
    </row>
    <row r="575" spans="1:16" hidden="1" x14ac:dyDescent="0.15">
      <c r="A575" s="286">
        <v>21470</v>
      </c>
      <c r="B575" s="288">
        <v>44670.750694444447</v>
      </c>
      <c r="C575" s="286" t="s">
        <v>1308</v>
      </c>
      <c r="D575" s="286" t="s">
        <v>1105</v>
      </c>
      <c r="E575" s="286" t="s">
        <v>1106</v>
      </c>
      <c r="F575" s="286" t="s">
        <v>1364</v>
      </c>
      <c r="G575" s="286" t="s">
        <v>1066</v>
      </c>
      <c r="H575" s="286" t="s">
        <v>1066</v>
      </c>
      <c r="I575" s="286" t="s">
        <v>1112</v>
      </c>
      <c r="J575" s="286" t="s">
        <v>1312</v>
      </c>
      <c r="K575" s="286" t="s">
        <v>53</v>
      </c>
      <c r="L575" s="286" t="s">
        <v>53</v>
      </c>
      <c r="M575" s="286" t="s">
        <v>53</v>
      </c>
      <c r="N575" s="287">
        <v>-800</v>
      </c>
      <c r="O575" s="305">
        <f t="shared" si="8"/>
        <v>44681</v>
      </c>
      <c r="P575" s="286" t="s">
        <v>175</v>
      </c>
    </row>
    <row r="576" spans="1:16" hidden="1" x14ac:dyDescent="0.15">
      <c r="A576" s="286">
        <v>22332</v>
      </c>
      <c r="B576" s="288">
        <v>44676.677083333336</v>
      </c>
      <c r="C576" s="286" t="s">
        <v>1341</v>
      </c>
      <c r="D576" s="286" t="s">
        <v>1309</v>
      </c>
      <c r="E576" s="286" t="s">
        <v>1310</v>
      </c>
      <c r="F576" s="286" t="s">
        <v>1365</v>
      </c>
      <c r="G576" s="286" t="s">
        <v>1066</v>
      </c>
      <c r="H576" s="286" t="s">
        <v>1066</v>
      </c>
      <c r="I576" s="286" t="s">
        <v>1129</v>
      </c>
      <c r="J576" s="286" t="s">
        <v>1312</v>
      </c>
      <c r="K576" s="286" t="s">
        <v>1366</v>
      </c>
      <c r="L576" s="286" t="s">
        <v>1367</v>
      </c>
      <c r="M576" s="286">
        <v>2</v>
      </c>
      <c r="N576" s="287">
        <v>109.02</v>
      </c>
      <c r="O576" s="305">
        <f t="shared" si="8"/>
        <v>44681</v>
      </c>
      <c r="P576" s="286" t="s">
        <v>164</v>
      </c>
    </row>
    <row r="577" spans="1:16" hidden="1" x14ac:dyDescent="0.15">
      <c r="A577" s="286">
        <v>22861</v>
      </c>
      <c r="B577" s="288">
        <v>44678.554861111108</v>
      </c>
      <c r="C577" s="286" t="s">
        <v>1341</v>
      </c>
      <c r="D577" s="286" t="s">
        <v>1309</v>
      </c>
      <c r="E577" s="286" t="s">
        <v>1310</v>
      </c>
      <c r="F577" s="286" t="s">
        <v>1368</v>
      </c>
      <c r="G577" s="286" t="s">
        <v>1065</v>
      </c>
      <c r="H577" s="286" t="s">
        <v>1065</v>
      </c>
      <c r="I577" s="286" t="s">
        <v>1129</v>
      </c>
      <c r="J577" s="286" t="s">
        <v>1312</v>
      </c>
      <c r="K577" s="286" t="s">
        <v>1369</v>
      </c>
      <c r="L577" s="286" t="s">
        <v>1370</v>
      </c>
      <c r="M577" s="286">
        <v>2</v>
      </c>
      <c r="N577" s="287">
        <v>6152.38</v>
      </c>
      <c r="O577" s="305">
        <f t="shared" si="8"/>
        <v>44681</v>
      </c>
      <c r="P577" s="286" t="s">
        <v>164</v>
      </c>
    </row>
    <row r="578" spans="1:16" hidden="1" x14ac:dyDescent="0.15">
      <c r="A578" s="286">
        <v>22861</v>
      </c>
      <c r="B578" s="288">
        <v>44678.554861111108</v>
      </c>
      <c r="C578" s="286" t="s">
        <v>1341</v>
      </c>
      <c r="D578" s="286" t="s">
        <v>1309</v>
      </c>
      <c r="E578" s="286" t="s">
        <v>1310</v>
      </c>
      <c r="F578" s="286" t="s">
        <v>1368</v>
      </c>
      <c r="G578" s="286" t="s">
        <v>1065</v>
      </c>
      <c r="H578" s="286" t="s">
        <v>1065</v>
      </c>
      <c r="I578" s="286" t="s">
        <v>1129</v>
      </c>
      <c r="J578" s="286" t="s">
        <v>1312</v>
      </c>
      <c r="K578" s="286" t="s">
        <v>1371</v>
      </c>
      <c r="L578" s="286" t="s">
        <v>1372</v>
      </c>
      <c r="M578" s="286">
        <v>1</v>
      </c>
      <c r="N578" s="287">
        <v>5346</v>
      </c>
      <c r="O578" s="305">
        <f t="shared" si="8"/>
        <v>44681</v>
      </c>
      <c r="P578" s="286" t="s">
        <v>164</v>
      </c>
    </row>
    <row r="579" spans="1:16" hidden="1" x14ac:dyDescent="0.15">
      <c r="A579" s="286">
        <v>22861</v>
      </c>
      <c r="B579" s="288">
        <v>44678.554861111108</v>
      </c>
      <c r="C579" s="286" t="s">
        <v>1341</v>
      </c>
      <c r="D579" s="286" t="s">
        <v>1309</v>
      </c>
      <c r="E579" s="286" t="s">
        <v>1310</v>
      </c>
      <c r="F579" s="286" t="s">
        <v>1368</v>
      </c>
      <c r="G579" s="286" t="s">
        <v>1065</v>
      </c>
      <c r="H579" s="286" t="s">
        <v>1065</v>
      </c>
      <c r="I579" s="286" t="s">
        <v>1129</v>
      </c>
      <c r="J579" s="286" t="s">
        <v>1312</v>
      </c>
      <c r="K579" s="286" t="s">
        <v>1373</v>
      </c>
      <c r="L579" s="286" t="s">
        <v>1374</v>
      </c>
      <c r="M579" s="286">
        <v>1</v>
      </c>
      <c r="N579" s="287">
        <v>2269.14</v>
      </c>
      <c r="O579" s="305">
        <f t="shared" ref="O579:O642" si="9">EOMONTH(B579,0)</f>
        <v>44681</v>
      </c>
      <c r="P579" s="286" t="s">
        <v>164</v>
      </c>
    </row>
    <row r="580" spans="1:16" hidden="1" x14ac:dyDescent="0.15">
      <c r="A580" s="286">
        <v>22861</v>
      </c>
      <c r="B580" s="288">
        <v>44678.554861111108</v>
      </c>
      <c r="C580" s="286" t="s">
        <v>1341</v>
      </c>
      <c r="D580" s="286" t="s">
        <v>1309</v>
      </c>
      <c r="E580" s="286" t="s">
        <v>1310</v>
      </c>
      <c r="F580" s="286" t="s">
        <v>1368</v>
      </c>
      <c r="G580" s="286" t="s">
        <v>1065</v>
      </c>
      <c r="H580" s="286" t="s">
        <v>1065</v>
      </c>
      <c r="I580" s="286" t="s">
        <v>1129</v>
      </c>
      <c r="J580" s="286" t="s">
        <v>1312</v>
      </c>
      <c r="K580" s="286" t="s">
        <v>1375</v>
      </c>
      <c r="L580" s="286" t="s">
        <v>1376</v>
      </c>
      <c r="M580" s="286">
        <v>1</v>
      </c>
      <c r="N580" s="287">
        <v>1988.42</v>
      </c>
      <c r="O580" s="305">
        <f t="shared" si="9"/>
        <v>44681</v>
      </c>
      <c r="P580" s="286" t="s">
        <v>164</v>
      </c>
    </row>
    <row r="581" spans="1:16" hidden="1" x14ac:dyDescent="0.15">
      <c r="A581" s="286">
        <v>22861</v>
      </c>
      <c r="B581" s="288">
        <v>44678.554861111108</v>
      </c>
      <c r="C581" s="286" t="s">
        <v>1341</v>
      </c>
      <c r="D581" s="286" t="s">
        <v>1309</v>
      </c>
      <c r="E581" s="286" t="s">
        <v>1310</v>
      </c>
      <c r="F581" s="286" t="s">
        <v>1368</v>
      </c>
      <c r="G581" s="286" t="s">
        <v>1065</v>
      </c>
      <c r="H581" s="286" t="s">
        <v>1065</v>
      </c>
      <c r="I581" s="286" t="s">
        <v>1129</v>
      </c>
      <c r="J581" s="286" t="s">
        <v>1312</v>
      </c>
      <c r="K581" s="286" t="s">
        <v>378</v>
      </c>
      <c r="L581" s="286" t="s">
        <v>1377</v>
      </c>
      <c r="M581" s="286">
        <v>1</v>
      </c>
      <c r="N581" s="287">
        <v>1339.8</v>
      </c>
      <c r="O581" s="305">
        <f t="shared" si="9"/>
        <v>44681</v>
      </c>
      <c r="P581" s="286" t="s">
        <v>164</v>
      </c>
    </row>
    <row r="582" spans="1:16" hidden="1" x14ac:dyDescent="0.15">
      <c r="A582" s="286">
        <v>22861</v>
      </c>
      <c r="B582" s="288">
        <v>44678.554861111108</v>
      </c>
      <c r="C582" s="286" t="s">
        <v>1341</v>
      </c>
      <c r="D582" s="286" t="s">
        <v>1309</v>
      </c>
      <c r="E582" s="286" t="s">
        <v>1310</v>
      </c>
      <c r="F582" s="286" t="s">
        <v>1368</v>
      </c>
      <c r="G582" s="286" t="s">
        <v>1065</v>
      </c>
      <c r="H582" s="286" t="s">
        <v>1065</v>
      </c>
      <c r="I582" s="286" t="s">
        <v>1282</v>
      </c>
      <c r="J582" s="286" t="s">
        <v>1312</v>
      </c>
      <c r="K582" s="286" t="s">
        <v>202</v>
      </c>
      <c r="L582" s="286" t="s">
        <v>203</v>
      </c>
      <c r="M582" s="286">
        <v>1</v>
      </c>
      <c r="N582" s="287">
        <v>0</v>
      </c>
      <c r="O582" s="305">
        <f t="shared" si="9"/>
        <v>44681</v>
      </c>
      <c r="P582" s="286" t="s">
        <v>201</v>
      </c>
    </row>
    <row r="583" spans="1:16" hidden="1" x14ac:dyDescent="0.15">
      <c r="A583" s="286">
        <v>23741</v>
      </c>
      <c r="B583" s="288">
        <v>44680.591666666667</v>
      </c>
      <c r="C583" s="286" t="s">
        <v>1341</v>
      </c>
      <c r="D583" s="286" t="s">
        <v>1309</v>
      </c>
      <c r="E583" s="286" t="s">
        <v>1310</v>
      </c>
      <c r="F583" s="286" t="s">
        <v>1378</v>
      </c>
      <c r="G583" s="286" t="s">
        <v>1379</v>
      </c>
      <c r="H583" s="286" t="s">
        <v>1379</v>
      </c>
      <c r="I583" s="286" t="s">
        <v>1129</v>
      </c>
      <c r="J583" s="286" t="s">
        <v>1312</v>
      </c>
      <c r="K583" s="286" t="s">
        <v>378</v>
      </c>
      <c r="L583" s="286" t="s">
        <v>1377</v>
      </c>
      <c r="M583" s="286">
        <v>4</v>
      </c>
      <c r="N583" s="287">
        <v>4242.96</v>
      </c>
      <c r="O583" s="305">
        <f t="shared" si="9"/>
        <v>44681</v>
      </c>
      <c r="P583" s="286" t="s">
        <v>164</v>
      </c>
    </row>
    <row r="584" spans="1:16" hidden="1" x14ac:dyDescent="0.15">
      <c r="A584" s="286">
        <v>23741</v>
      </c>
      <c r="B584" s="288">
        <v>44680.591666666667</v>
      </c>
      <c r="C584" s="286" t="s">
        <v>1341</v>
      </c>
      <c r="D584" s="286" t="s">
        <v>1309</v>
      </c>
      <c r="E584" s="286" t="s">
        <v>1310</v>
      </c>
      <c r="F584" s="286" t="s">
        <v>1378</v>
      </c>
      <c r="G584" s="286" t="s">
        <v>1379</v>
      </c>
      <c r="H584" s="286" t="s">
        <v>1379</v>
      </c>
      <c r="I584" s="286" t="s">
        <v>1129</v>
      </c>
      <c r="J584" s="286" t="s">
        <v>1312</v>
      </c>
      <c r="K584" s="286" t="s">
        <v>752</v>
      </c>
      <c r="L584" s="286" t="s">
        <v>753</v>
      </c>
      <c r="M584" s="286">
        <v>4</v>
      </c>
      <c r="N584" s="287">
        <v>4001.88</v>
      </c>
      <c r="O584" s="305">
        <f t="shared" si="9"/>
        <v>44681</v>
      </c>
      <c r="P584" s="286" t="s">
        <v>164</v>
      </c>
    </row>
    <row r="585" spans="1:16" hidden="1" x14ac:dyDescent="0.15">
      <c r="A585" s="286">
        <v>23741</v>
      </c>
      <c r="B585" s="288">
        <v>44680.591666666667</v>
      </c>
      <c r="C585" s="286" t="s">
        <v>1341</v>
      </c>
      <c r="D585" s="286" t="s">
        <v>1309</v>
      </c>
      <c r="E585" s="286" t="s">
        <v>1310</v>
      </c>
      <c r="F585" s="286" t="s">
        <v>1378</v>
      </c>
      <c r="G585" s="286" t="s">
        <v>1379</v>
      </c>
      <c r="H585" s="286" t="s">
        <v>1379</v>
      </c>
      <c r="I585" s="286" t="s">
        <v>1129</v>
      </c>
      <c r="J585" s="286" t="s">
        <v>1312</v>
      </c>
      <c r="K585" s="286" t="s">
        <v>1380</v>
      </c>
      <c r="L585" s="286" t="s">
        <v>1381</v>
      </c>
      <c r="M585" s="286">
        <v>4</v>
      </c>
      <c r="N585" s="287">
        <v>2808.96</v>
      </c>
      <c r="O585" s="305">
        <f t="shared" si="9"/>
        <v>44681</v>
      </c>
      <c r="P585" s="286" t="s">
        <v>164</v>
      </c>
    </row>
    <row r="586" spans="1:16" hidden="1" x14ac:dyDescent="0.15">
      <c r="A586" s="286">
        <v>23741</v>
      </c>
      <c r="B586" s="288">
        <v>44680.591666666667</v>
      </c>
      <c r="C586" s="286" t="s">
        <v>1341</v>
      </c>
      <c r="D586" s="286" t="s">
        <v>1309</v>
      </c>
      <c r="E586" s="286" t="s">
        <v>1310</v>
      </c>
      <c r="F586" s="286" t="s">
        <v>1378</v>
      </c>
      <c r="G586" s="286" t="s">
        <v>1379</v>
      </c>
      <c r="H586" s="286" t="s">
        <v>1379</v>
      </c>
      <c r="I586" s="286" t="s">
        <v>1129</v>
      </c>
      <c r="J586" s="286" t="s">
        <v>1312</v>
      </c>
      <c r="K586" s="286" t="s">
        <v>1382</v>
      </c>
      <c r="L586" s="286" t="s">
        <v>1383</v>
      </c>
      <c r="M586" s="286">
        <v>4</v>
      </c>
      <c r="N586" s="287">
        <v>2149.16</v>
      </c>
      <c r="O586" s="305">
        <f t="shared" si="9"/>
        <v>44681</v>
      </c>
      <c r="P586" s="286" t="s">
        <v>164</v>
      </c>
    </row>
    <row r="587" spans="1:16" hidden="1" x14ac:dyDescent="0.15">
      <c r="A587" s="286">
        <v>23741</v>
      </c>
      <c r="B587" s="288">
        <v>44680.591666666667</v>
      </c>
      <c r="C587" s="286" t="s">
        <v>1341</v>
      </c>
      <c r="D587" s="286" t="s">
        <v>1309</v>
      </c>
      <c r="E587" s="286" t="s">
        <v>1310</v>
      </c>
      <c r="F587" s="286" t="s">
        <v>1378</v>
      </c>
      <c r="G587" s="286" t="s">
        <v>1379</v>
      </c>
      <c r="H587" s="286" t="s">
        <v>1379</v>
      </c>
      <c r="I587" s="286" t="s">
        <v>1129</v>
      </c>
      <c r="J587" s="286" t="s">
        <v>1312</v>
      </c>
      <c r="K587" s="286" t="s">
        <v>660</v>
      </c>
      <c r="L587" s="286" t="s">
        <v>1384</v>
      </c>
      <c r="M587" s="286">
        <v>4</v>
      </c>
      <c r="N587" s="287">
        <v>1414.04</v>
      </c>
      <c r="O587" s="305">
        <f t="shared" si="9"/>
        <v>44681</v>
      </c>
      <c r="P587" s="286" t="s">
        <v>164</v>
      </c>
    </row>
    <row r="588" spans="1:16" hidden="1" x14ac:dyDescent="0.15">
      <c r="A588" s="286">
        <v>23741</v>
      </c>
      <c r="B588" s="288">
        <v>44680.591666666667</v>
      </c>
      <c r="C588" s="286" t="s">
        <v>1341</v>
      </c>
      <c r="D588" s="286" t="s">
        <v>1309</v>
      </c>
      <c r="E588" s="286" t="s">
        <v>1310</v>
      </c>
      <c r="F588" s="286" t="s">
        <v>1378</v>
      </c>
      <c r="G588" s="286" t="s">
        <v>1379</v>
      </c>
      <c r="H588" s="286" t="s">
        <v>1379</v>
      </c>
      <c r="I588" s="286" t="s">
        <v>1129</v>
      </c>
      <c r="J588" s="286" t="s">
        <v>1312</v>
      </c>
      <c r="K588" s="286" t="s">
        <v>734</v>
      </c>
      <c r="L588" s="286" t="s">
        <v>1385</v>
      </c>
      <c r="M588" s="286">
        <v>2</v>
      </c>
      <c r="N588" s="287">
        <v>883.58</v>
      </c>
      <c r="O588" s="305">
        <f t="shared" si="9"/>
        <v>44681</v>
      </c>
      <c r="P588" s="286" t="s">
        <v>164</v>
      </c>
    </row>
    <row r="589" spans="1:16" hidden="1" x14ac:dyDescent="0.15">
      <c r="A589" s="286">
        <v>23741</v>
      </c>
      <c r="B589" s="288">
        <v>44680.591666666667</v>
      </c>
      <c r="C589" s="286" t="s">
        <v>1341</v>
      </c>
      <c r="D589" s="286" t="s">
        <v>1309</v>
      </c>
      <c r="E589" s="286" t="s">
        <v>1310</v>
      </c>
      <c r="F589" s="286" t="s">
        <v>1378</v>
      </c>
      <c r="G589" s="286" t="s">
        <v>1379</v>
      </c>
      <c r="H589" s="286" t="s">
        <v>1379</v>
      </c>
      <c r="I589" s="286" t="s">
        <v>1129</v>
      </c>
      <c r="J589" s="286" t="s">
        <v>1312</v>
      </c>
      <c r="K589" s="286" t="s">
        <v>1386</v>
      </c>
      <c r="L589" s="286" t="s">
        <v>1387</v>
      </c>
      <c r="M589" s="286">
        <v>1</v>
      </c>
      <c r="N589" s="287">
        <v>687.75</v>
      </c>
      <c r="O589" s="305">
        <f t="shared" si="9"/>
        <v>44681</v>
      </c>
      <c r="P589" s="286" t="s">
        <v>164</v>
      </c>
    </row>
    <row r="590" spans="1:16" hidden="1" x14ac:dyDescent="0.15">
      <c r="A590" s="286">
        <v>23741</v>
      </c>
      <c r="B590" s="288">
        <v>44680.591666666667</v>
      </c>
      <c r="C590" s="286" t="s">
        <v>1341</v>
      </c>
      <c r="D590" s="286" t="s">
        <v>1309</v>
      </c>
      <c r="E590" s="286" t="s">
        <v>1310</v>
      </c>
      <c r="F590" s="286" t="s">
        <v>1378</v>
      </c>
      <c r="G590" s="286" t="s">
        <v>1379</v>
      </c>
      <c r="H590" s="286" t="s">
        <v>1379</v>
      </c>
      <c r="I590" s="286" t="s">
        <v>1129</v>
      </c>
      <c r="J590" s="286" t="s">
        <v>1312</v>
      </c>
      <c r="K590" s="286" t="s">
        <v>1388</v>
      </c>
      <c r="L590" s="286" t="s">
        <v>1389</v>
      </c>
      <c r="M590" s="286">
        <v>2</v>
      </c>
      <c r="N590" s="287">
        <v>503.7</v>
      </c>
      <c r="O590" s="305">
        <f t="shared" si="9"/>
        <v>44681</v>
      </c>
      <c r="P590" s="286" t="s">
        <v>164</v>
      </c>
    </row>
    <row r="591" spans="1:16" hidden="1" x14ac:dyDescent="0.15">
      <c r="A591" s="286">
        <v>23741</v>
      </c>
      <c r="B591" s="288">
        <v>44680.591666666667</v>
      </c>
      <c r="C591" s="286" t="s">
        <v>1341</v>
      </c>
      <c r="D591" s="286" t="s">
        <v>1309</v>
      </c>
      <c r="E591" s="286" t="s">
        <v>1310</v>
      </c>
      <c r="F591" s="286" t="s">
        <v>1378</v>
      </c>
      <c r="G591" s="286" t="s">
        <v>1379</v>
      </c>
      <c r="H591" s="286" t="s">
        <v>1379</v>
      </c>
      <c r="I591" s="286" t="s">
        <v>1129</v>
      </c>
      <c r="J591" s="286" t="s">
        <v>1312</v>
      </c>
      <c r="K591" s="286" t="s">
        <v>1390</v>
      </c>
      <c r="L591" s="286" t="s">
        <v>1391</v>
      </c>
      <c r="M591" s="286">
        <v>2</v>
      </c>
      <c r="N591" s="287">
        <v>490</v>
      </c>
      <c r="O591" s="305">
        <f t="shared" si="9"/>
        <v>44681</v>
      </c>
      <c r="P591" s="286" t="s">
        <v>164</v>
      </c>
    </row>
    <row r="592" spans="1:16" hidden="1" x14ac:dyDescent="0.15">
      <c r="A592" s="286">
        <v>23741</v>
      </c>
      <c r="B592" s="288">
        <v>44680.591666666667</v>
      </c>
      <c r="C592" s="286" t="s">
        <v>1341</v>
      </c>
      <c r="D592" s="286" t="s">
        <v>1309</v>
      </c>
      <c r="E592" s="286" t="s">
        <v>1310</v>
      </c>
      <c r="F592" s="286" t="s">
        <v>1378</v>
      </c>
      <c r="G592" s="286" t="s">
        <v>1379</v>
      </c>
      <c r="H592" s="286" t="s">
        <v>1379</v>
      </c>
      <c r="I592" s="286" t="s">
        <v>1129</v>
      </c>
      <c r="J592" s="286" t="s">
        <v>1312</v>
      </c>
      <c r="K592" s="286" t="s">
        <v>1392</v>
      </c>
      <c r="L592" s="286" t="s">
        <v>1393</v>
      </c>
      <c r="M592" s="286">
        <v>1</v>
      </c>
      <c r="N592" s="287">
        <v>262.5</v>
      </c>
      <c r="O592" s="305">
        <f t="shared" si="9"/>
        <v>44681</v>
      </c>
      <c r="P592" s="286" t="s">
        <v>164</v>
      </c>
    </row>
    <row r="593" spans="1:16" hidden="1" x14ac:dyDescent="0.15">
      <c r="A593" s="286">
        <v>23741</v>
      </c>
      <c r="B593" s="288">
        <v>44680.591666666667</v>
      </c>
      <c r="C593" s="286" t="s">
        <v>1341</v>
      </c>
      <c r="D593" s="286" t="s">
        <v>1309</v>
      </c>
      <c r="E593" s="286" t="s">
        <v>1310</v>
      </c>
      <c r="F593" s="286" t="s">
        <v>1378</v>
      </c>
      <c r="G593" s="286" t="s">
        <v>1379</v>
      </c>
      <c r="H593" s="286" t="s">
        <v>1379</v>
      </c>
      <c r="I593" s="286" t="s">
        <v>1129</v>
      </c>
      <c r="J593" s="286" t="s">
        <v>1312</v>
      </c>
      <c r="K593" s="286" t="s">
        <v>1394</v>
      </c>
      <c r="L593" s="286" t="s">
        <v>1395</v>
      </c>
      <c r="M593" s="286">
        <v>1</v>
      </c>
      <c r="N593" s="287">
        <v>52.77</v>
      </c>
      <c r="O593" s="305">
        <f t="shared" si="9"/>
        <v>44681</v>
      </c>
      <c r="P593" s="286" t="s">
        <v>164</v>
      </c>
    </row>
    <row r="594" spans="1:16" hidden="1" x14ac:dyDescent="0.15">
      <c r="A594" s="286">
        <v>23741</v>
      </c>
      <c r="B594" s="288">
        <v>44680.591666666667</v>
      </c>
      <c r="C594" s="286" t="s">
        <v>1341</v>
      </c>
      <c r="D594" s="286" t="s">
        <v>1309</v>
      </c>
      <c r="E594" s="286" t="s">
        <v>1310</v>
      </c>
      <c r="F594" s="286" t="s">
        <v>1378</v>
      </c>
      <c r="G594" s="286" t="s">
        <v>1379</v>
      </c>
      <c r="H594" s="286" t="s">
        <v>1379</v>
      </c>
      <c r="I594" s="286" t="s">
        <v>1129</v>
      </c>
      <c r="J594" s="286" t="s">
        <v>1312</v>
      </c>
      <c r="K594" s="286" t="s">
        <v>1396</v>
      </c>
      <c r="L594" s="286" t="s">
        <v>1397</v>
      </c>
      <c r="M594" s="286">
        <v>1</v>
      </c>
      <c r="N594" s="287">
        <v>16.329999999999998</v>
      </c>
      <c r="O594" s="305">
        <f t="shared" si="9"/>
        <v>44681</v>
      </c>
      <c r="P594" s="286" t="s">
        <v>164</v>
      </c>
    </row>
    <row r="595" spans="1:16" hidden="1" x14ac:dyDescent="0.15">
      <c r="A595" s="286">
        <v>24022</v>
      </c>
      <c r="B595" s="288">
        <v>44683.467361111114</v>
      </c>
      <c r="C595" s="286" t="s">
        <v>1341</v>
      </c>
      <c r="D595" s="286" t="s">
        <v>1105</v>
      </c>
      <c r="E595" s="286" t="s">
        <v>1106</v>
      </c>
      <c r="F595" s="286" t="s">
        <v>1398</v>
      </c>
      <c r="G595" s="286" t="s">
        <v>53</v>
      </c>
      <c r="H595" s="286" t="s">
        <v>53</v>
      </c>
      <c r="I595" s="286" t="s">
        <v>1199</v>
      </c>
      <c r="J595" s="286" t="s">
        <v>1312</v>
      </c>
      <c r="K595" s="286" t="s">
        <v>53</v>
      </c>
      <c r="L595" s="286" t="s">
        <v>53</v>
      </c>
      <c r="M595" s="286" t="s">
        <v>53</v>
      </c>
      <c r="N595" s="287">
        <v>137744.44</v>
      </c>
      <c r="O595" s="305">
        <f t="shared" si="9"/>
        <v>44712</v>
      </c>
      <c r="P595" s="286" t="s">
        <v>58</v>
      </c>
    </row>
    <row r="596" spans="1:16" hidden="1" x14ac:dyDescent="0.15">
      <c r="A596" s="286">
        <v>24022</v>
      </c>
      <c r="B596" s="288">
        <v>44683.467361111114</v>
      </c>
      <c r="C596" s="286" t="s">
        <v>1341</v>
      </c>
      <c r="D596" s="286" t="s">
        <v>1105</v>
      </c>
      <c r="E596" s="286" t="s">
        <v>1106</v>
      </c>
      <c r="F596" s="286" t="s">
        <v>1398</v>
      </c>
      <c r="G596" s="286" t="s">
        <v>53</v>
      </c>
      <c r="H596" s="286" t="s">
        <v>53</v>
      </c>
      <c r="I596" s="286" t="s">
        <v>1228</v>
      </c>
      <c r="J596" s="286" t="s">
        <v>1312</v>
      </c>
      <c r="K596" s="286" t="s">
        <v>53</v>
      </c>
      <c r="L596" s="286" t="s">
        <v>53</v>
      </c>
      <c r="M596" s="286" t="s">
        <v>53</v>
      </c>
      <c r="N596" s="287">
        <v>54954.37</v>
      </c>
      <c r="O596" s="305">
        <f t="shared" si="9"/>
        <v>44712</v>
      </c>
      <c r="P596" s="286" t="s">
        <v>58</v>
      </c>
    </row>
    <row r="597" spans="1:16" hidden="1" x14ac:dyDescent="0.15">
      <c r="A597" s="286">
        <v>24022</v>
      </c>
      <c r="B597" s="288">
        <v>44683.467361111114</v>
      </c>
      <c r="C597" s="286" t="s">
        <v>1341</v>
      </c>
      <c r="D597" s="286" t="s">
        <v>1105</v>
      </c>
      <c r="E597" s="286" t="s">
        <v>1106</v>
      </c>
      <c r="F597" s="286" t="s">
        <v>1398</v>
      </c>
      <c r="G597" s="286" t="s">
        <v>53</v>
      </c>
      <c r="H597" s="286" t="s">
        <v>53</v>
      </c>
      <c r="I597" s="286" t="s">
        <v>1152</v>
      </c>
      <c r="J597" s="286" t="s">
        <v>1312</v>
      </c>
      <c r="K597" s="286" t="s">
        <v>53</v>
      </c>
      <c r="L597" s="286" t="s">
        <v>53</v>
      </c>
      <c r="M597" s="286" t="s">
        <v>53</v>
      </c>
      <c r="N597" s="287">
        <v>25046.11</v>
      </c>
      <c r="O597" s="305">
        <f t="shared" si="9"/>
        <v>44712</v>
      </c>
      <c r="P597" s="111" t="s">
        <v>58</v>
      </c>
    </row>
    <row r="598" spans="1:16" hidden="1" x14ac:dyDescent="0.15">
      <c r="A598" s="286">
        <v>24022</v>
      </c>
      <c r="B598" s="288">
        <v>44683.467361111114</v>
      </c>
      <c r="C598" s="286" t="s">
        <v>1341</v>
      </c>
      <c r="D598" s="286" t="s">
        <v>1105</v>
      </c>
      <c r="E598" s="286" t="s">
        <v>1106</v>
      </c>
      <c r="F598" s="286" t="s">
        <v>1398</v>
      </c>
      <c r="G598" s="286" t="s">
        <v>53</v>
      </c>
      <c r="H598" s="286" t="s">
        <v>53</v>
      </c>
      <c r="I598" s="286" t="s">
        <v>1279</v>
      </c>
      <c r="J598" s="286" t="s">
        <v>1312</v>
      </c>
      <c r="K598" s="286" t="s">
        <v>53</v>
      </c>
      <c r="L598" s="286" t="s">
        <v>53</v>
      </c>
      <c r="M598" s="286" t="s">
        <v>53</v>
      </c>
      <c r="N598" s="287">
        <v>1523.33</v>
      </c>
      <c r="O598" s="305">
        <f t="shared" si="9"/>
        <v>44712</v>
      </c>
      <c r="P598" s="286" t="s">
        <v>58</v>
      </c>
    </row>
    <row r="599" spans="1:16" hidden="1" x14ac:dyDescent="0.15">
      <c r="A599" s="286">
        <v>24518</v>
      </c>
      <c r="B599" s="288">
        <v>44685.584027777775</v>
      </c>
      <c r="C599" s="286" t="s">
        <v>1399</v>
      </c>
      <c r="D599" s="286" t="s">
        <v>1309</v>
      </c>
      <c r="E599" s="286" t="s">
        <v>1310</v>
      </c>
      <c r="F599" s="286" t="s">
        <v>1400</v>
      </c>
      <c r="G599" s="286" t="s">
        <v>1067</v>
      </c>
      <c r="H599" s="286" t="s">
        <v>1067</v>
      </c>
      <c r="I599" s="286" t="s">
        <v>1129</v>
      </c>
      <c r="J599" s="286" t="s">
        <v>1312</v>
      </c>
      <c r="K599" s="286" t="s">
        <v>378</v>
      </c>
      <c r="L599" s="286" t="s">
        <v>1377</v>
      </c>
      <c r="M599" s="286">
        <v>1</v>
      </c>
      <c r="N599" s="287">
        <v>1244.71</v>
      </c>
      <c r="O599" s="305">
        <f t="shared" si="9"/>
        <v>44712</v>
      </c>
      <c r="P599" s="286" t="s">
        <v>164</v>
      </c>
    </row>
    <row r="600" spans="1:16" x14ac:dyDescent="0.15">
      <c r="A600" s="286">
        <v>25580</v>
      </c>
      <c r="B600" s="288">
        <v>44687.628472222219</v>
      </c>
      <c r="C600" s="286" t="s">
        <v>1399</v>
      </c>
      <c r="D600" s="286" t="s">
        <v>1309</v>
      </c>
      <c r="E600" s="286" t="s">
        <v>1310</v>
      </c>
      <c r="F600" s="286" t="s">
        <v>1401</v>
      </c>
      <c r="G600" s="286" t="s">
        <v>1068</v>
      </c>
      <c r="H600" s="286" t="s">
        <v>1068</v>
      </c>
      <c r="I600" s="286" t="s">
        <v>1129</v>
      </c>
      <c r="J600" s="286" t="s">
        <v>1312</v>
      </c>
      <c r="K600" s="286" t="s">
        <v>1402</v>
      </c>
      <c r="L600" s="286" t="s">
        <v>1403</v>
      </c>
      <c r="M600" s="286">
        <v>1</v>
      </c>
      <c r="N600" s="287">
        <v>0</v>
      </c>
      <c r="O600" s="305">
        <f t="shared" si="9"/>
        <v>44712</v>
      </c>
      <c r="P600" s="286" t="s">
        <v>164</v>
      </c>
    </row>
    <row r="601" spans="1:16" hidden="1" x14ac:dyDescent="0.15">
      <c r="A601" s="286">
        <v>27420</v>
      </c>
      <c r="B601" s="288">
        <v>44691.771527777775</v>
      </c>
      <c r="C601" s="286" t="s">
        <v>1399</v>
      </c>
      <c r="D601" s="286" t="s">
        <v>1309</v>
      </c>
      <c r="E601" s="286" t="s">
        <v>1310</v>
      </c>
      <c r="F601" s="286" t="s">
        <v>1404</v>
      </c>
      <c r="G601" s="286" t="s">
        <v>1405</v>
      </c>
      <c r="H601" s="286" t="s">
        <v>1406</v>
      </c>
      <c r="I601" s="286" t="s">
        <v>1129</v>
      </c>
      <c r="J601" s="286" t="s">
        <v>1350</v>
      </c>
      <c r="K601" s="286" t="s">
        <v>167</v>
      </c>
      <c r="L601" s="286" t="s">
        <v>1328</v>
      </c>
      <c r="M601" s="286">
        <v>1</v>
      </c>
      <c r="N601" s="287">
        <v>95</v>
      </c>
      <c r="O601" s="305">
        <f t="shared" si="9"/>
        <v>44712</v>
      </c>
      <c r="P601" s="286" t="s">
        <v>164</v>
      </c>
    </row>
    <row r="602" spans="1:16" hidden="1" x14ac:dyDescent="0.15">
      <c r="A602" s="286">
        <v>27420</v>
      </c>
      <c r="B602" s="288">
        <v>44691.771527777775</v>
      </c>
      <c r="C602" s="286" t="s">
        <v>1399</v>
      </c>
      <c r="D602" s="286" t="s">
        <v>1309</v>
      </c>
      <c r="E602" s="286" t="s">
        <v>1310</v>
      </c>
      <c r="F602" s="286" t="s">
        <v>1404</v>
      </c>
      <c r="G602" s="286" t="s">
        <v>1405</v>
      </c>
      <c r="H602" s="286" t="s">
        <v>1406</v>
      </c>
      <c r="I602" s="286" t="s">
        <v>1129</v>
      </c>
      <c r="J602" s="286" t="s">
        <v>1350</v>
      </c>
      <c r="K602" s="286" t="s">
        <v>165</v>
      </c>
      <c r="L602" s="286" t="s">
        <v>1329</v>
      </c>
      <c r="M602" s="286">
        <v>1</v>
      </c>
      <c r="N602" s="287">
        <v>75</v>
      </c>
      <c r="O602" s="305">
        <f t="shared" si="9"/>
        <v>44712</v>
      </c>
      <c r="P602" s="286" t="s">
        <v>164</v>
      </c>
    </row>
    <row r="603" spans="1:16" hidden="1" x14ac:dyDescent="0.15">
      <c r="A603" s="286">
        <v>29203</v>
      </c>
      <c r="B603" s="288">
        <v>44698.563194444447</v>
      </c>
      <c r="C603" s="286" t="s">
        <v>1341</v>
      </c>
      <c r="D603" s="286" t="s">
        <v>1105</v>
      </c>
      <c r="E603" s="286" t="s">
        <v>1106</v>
      </c>
      <c r="F603" s="286" t="s">
        <v>1407</v>
      </c>
      <c r="G603" s="286" t="s">
        <v>1080</v>
      </c>
      <c r="H603" s="286" t="s">
        <v>1080</v>
      </c>
      <c r="I603" s="286" t="s">
        <v>1230</v>
      </c>
      <c r="J603" s="286" t="s">
        <v>1312</v>
      </c>
      <c r="K603" s="286" t="s">
        <v>53</v>
      </c>
      <c r="L603" s="286" t="s">
        <v>53</v>
      </c>
      <c r="M603" s="286" t="s">
        <v>53</v>
      </c>
      <c r="N603" s="287">
        <v>18295</v>
      </c>
      <c r="O603" s="305">
        <f t="shared" si="9"/>
        <v>44712</v>
      </c>
      <c r="P603" s="286" t="s">
        <v>175</v>
      </c>
    </row>
    <row r="604" spans="1:16" hidden="1" x14ac:dyDescent="0.15">
      <c r="A604" s="286">
        <v>29203</v>
      </c>
      <c r="B604" s="288">
        <v>44698.563194444447</v>
      </c>
      <c r="C604" s="286" t="s">
        <v>1341</v>
      </c>
      <c r="D604" s="286" t="s">
        <v>1105</v>
      </c>
      <c r="E604" s="286" t="s">
        <v>1106</v>
      </c>
      <c r="F604" s="286" t="s">
        <v>1407</v>
      </c>
      <c r="G604" s="286" t="s">
        <v>1061</v>
      </c>
      <c r="H604" s="286" t="s">
        <v>1061</v>
      </c>
      <c r="I604" s="286" t="s">
        <v>1230</v>
      </c>
      <c r="J604" s="286" t="s">
        <v>1312</v>
      </c>
      <c r="K604" s="286" t="s">
        <v>53</v>
      </c>
      <c r="L604" s="286" t="s">
        <v>53</v>
      </c>
      <c r="M604" s="286" t="s">
        <v>53</v>
      </c>
      <c r="N604" s="287">
        <v>10572</v>
      </c>
      <c r="O604" s="305">
        <f t="shared" si="9"/>
        <v>44712</v>
      </c>
      <c r="P604" s="286" t="s">
        <v>175</v>
      </c>
    </row>
    <row r="605" spans="1:16" hidden="1" x14ac:dyDescent="0.15">
      <c r="A605" s="286">
        <v>29203</v>
      </c>
      <c r="B605" s="288">
        <v>44698.563194444447</v>
      </c>
      <c r="C605" s="286" t="s">
        <v>1341</v>
      </c>
      <c r="D605" s="286" t="s">
        <v>1105</v>
      </c>
      <c r="E605" s="286" t="s">
        <v>1106</v>
      </c>
      <c r="F605" s="286" t="s">
        <v>1407</v>
      </c>
      <c r="G605" s="286" t="s">
        <v>1090</v>
      </c>
      <c r="H605" s="286" t="s">
        <v>1090</v>
      </c>
      <c r="I605" s="286" t="s">
        <v>1230</v>
      </c>
      <c r="J605" s="286" t="s">
        <v>1312</v>
      </c>
      <c r="K605" s="286" t="s">
        <v>53</v>
      </c>
      <c r="L605" s="286" t="s">
        <v>53</v>
      </c>
      <c r="M605" s="286" t="s">
        <v>53</v>
      </c>
      <c r="N605" s="287">
        <v>9572</v>
      </c>
      <c r="O605" s="305">
        <f t="shared" si="9"/>
        <v>44712</v>
      </c>
      <c r="P605" s="286" t="s">
        <v>175</v>
      </c>
    </row>
    <row r="606" spans="1:16" hidden="1" x14ac:dyDescent="0.15">
      <c r="A606" s="286">
        <v>29203</v>
      </c>
      <c r="B606" s="288">
        <v>44698.563194444447</v>
      </c>
      <c r="C606" s="286" t="s">
        <v>1341</v>
      </c>
      <c r="D606" s="286" t="s">
        <v>1105</v>
      </c>
      <c r="E606" s="286" t="s">
        <v>1106</v>
      </c>
      <c r="F606" s="286" t="s">
        <v>1407</v>
      </c>
      <c r="G606" s="286" t="s">
        <v>1067</v>
      </c>
      <c r="H606" s="286" t="s">
        <v>1067</v>
      </c>
      <c r="I606" s="286" t="s">
        <v>1112</v>
      </c>
      <c r="J606" s="286" t="s">
        <v>1312</v>
      </c>
      <c r="K606" s="286" t="s">
        <v>53</v>
      </c>
      <c r="L606" s="286" t="s">
        <v>53</v>
      </c>
      <c r="M606" s="286" t="s">
        <v>53</v>
      </c>
      <c r="N606" s="287">
        <v>672</v>
      </c>
      <c r="O606" s="305">
        <f t="shared" si="9"/>
        <v>44712</v>
      </c>
      <c r="P606" s="286" t="s">
        <v>175</v>
      </c>
    </row>
    <row r="607" spans="1:16" hidden="1" x14ac:dyDescent="0.15">
      <c r="A607" s="286">
        <v>32438</v>
      </c>
      <c r="B607" s="288">
        <v>44706.594444444447</v>
      </c>
      <c r="C607" s="286" t="s">
        <v>1399</v>
      </c>
      <c r="D607" s="286" t="s">
        <v>1309</v>
      </c>
      <c r="E607" s="286" t="s">
        <v>1310</v>
      </c>
      <c r="F607" s="286" t="s">
        <v>1408</v>
      </c>
      <c r="G607" s="286" t="s">
        <v>1065</v>
      </c>
      <c r="H607" s="286" t="s">
        <v>1065</v>
      </c>
      <c r="I607" s="286" t="s">
        <v>1282</v>
      </c>
      <c r="J607" s="286" t="s">
        <v>1312</v>
      </c>
      <c r="K607" s="286" t="s">
        <v>202</v>
      </c>
      <c r="L607" s="286" t="s">
        <v>203</v>
      </c>
      <c r="M607" s="286">
        <v>1</v>
      </c>
      <c r="N607" s="287">
        <v>12684</v>
      </c>
      <c r="O607" s="305">
        <f t="shared" si="9"/>
        <v>44712</v>
      </c>
      <c r="P607" s="286" t="s">
        <v>201</v>
      </c>
    </row>
    <row r="608" spans="1:16" hidden="1" x14ac:dyDescent="0.15">
      <c r="A608" s="286">
        <v>34001</v>
      </c>
      <c r="B608" s="288">
        <v>44708.46875</v>
      </c>
      <c r="C608" s="286" t="s">
        <v>1399</v>
      </c>
      <c r="D608" s="286" t="s">
        <v>1309</v>
      </c>
      <c r="E608" s="286" t="s">
        <v>1310</v>
      </c>
      <c r="F608" s="286" t="s">
        <v>1409</v>
      </c>
      <c r="G608" s="286" t="s">
        <v>1089</v>
      </c>
      <c r="H608" s="286" t="s">
        <v>1089</v>
      </c>
      <c r="I608" s="286" t="s">
        <v>1282</v>
      </c>
      <c r="J608" s="286" t="s">
        <v>1312</v>
      </c>
      <c r="K608" s="286" t="s">
        <v>202</v>
      </c>
      <c r="L608" s="286" t="s">
        <v>203</v>
      </c>
      <c r="M608" s="286">
        <v>1</v>
      </c>
      <c r="N608" s="287">
        <v>0</v>
      </c>
      <c r="O608" s="305">
        <f t="shared" si="9"/>
        <v>44712</v>
      </c>
      <c r="P608" s="286" t="s">
        <v>201</v>
      </c>
    </row>
    <row r="609" spans="1:16" hidden="1" x14ac:dyDescent="0.15">
      <c r="A609" s="286">
        <v>35641</v>
      </c>
      <c r="B609" s="288">
        <v>44712.673611111109</v>
      </c>
      <c r="C609" s="286" t="s">
        <v>1399</v>
      </c>
      <c r="D609" s="286" t="s">
        <v>1105</v>
      </c>
      <c r="E609" s="286" t="s">
        <v>1106</v>
      </c>
      <c r="F609" s="286" t="s">
        <v>1410</v>
      </c>
      <c r="G609" s="286" t="s">
        <v>53</v>
      </c>
      <c r="H609" s="286" t="s">
        <v>53</v>
      </c>
      <c r="I609" s="286" t="s">
        <v>1199</v>
      </c>
      <c r="J609" s="286" t="s">
        <v>1312</v>
      </c>
      <c r="K609" s="286" t="s">
        <v>53</v>
      </c>
      <c r="L609" s="286" t="s">
        <v>53</v>
      </c>
      <c r="M609" s="286" t="s">
        <v>53</v>
      </c>
      <c r="N609" s="287">
        <v>141920.92000000001</v>
      </c>
      <c r="O609" s="305">
        <f t="shared" si="9"/>
        <v>44712</v>
      </c>
      <c r="P609" s="286" t="s">
        <v>58</v>
      </c>
    </row>
    <row r="610" spans="1:16" hidden="1" x14ac:dyDescent="0.15">
      <c r="A610" s="286">
        <v>35641</v>
      </c>
      <c r="B610" s="288">
        <v>44712.673611111109</v>
      </c>
      <c r="C610" s="286" t="s">
        <v>1399</v>
      </c>
      <c r="D610" s="286" t="s">
        <v>1105</v>
      </c>
      <c r="E610" s="286" t="s">
        <v>1106</v>
      </c>
      <c r="F610" s="286" t="s">
        <v>1410</v>
      </c>
      <c r="G610" s="286" t="s">
        <v>53</v>
      </c>
      <c r="H610" s="286" t="s">
        <v>53</v>
      </c>
      <c r="I610" s="286" t="s">
        <v>1228</v>
      </c>
      <c r="J610" s="286" t="s">
        <v>1312</v>
      </c>
      <c r="K610" s="286" t="s">
        <v>53</v>
      </c>
      <c r="L610" s="286" t="s">
        <v>53</v>
      </c>
      <c r="M610" s="286" t="s">
        <v>53</v>
      </c>
      <c r="N610" s="287">
        <v>54954.400000000001</v>
      </c>
      <c r="O610" s="305">
        <f t="shared" si="9"/>
        <v>44712</v>
      </c>
      <c r="P610" s="286" t="s">
        <v>58</v>
      </c>
    </row>
    <row r="611" spans="1:16" hidden="1" x14ac:dyDescent="0.15">
      <c r="A611" s="286">
        <v>35641</v>
      </c>
      <c r="B611" s="288">
        <v>44712.673611111109</v>
      </c>
      <c r="C611" s="286" t="s">
        <v>1399</v>
      </c>
      <c r="D611" s="286" t="s">
        <v>1105</v>
      </c>
      <c r="E611" s="286" t="s">
        <v>1106</v>
      </c>
      <c r="F611" s="286" t="s">
        <v>1410</v>
      </c>
      <c r="G611" s="286" t="s">
        <v>53</v>
      </c>
      <c r="H611" s="286" t="s">
        <v>53</v>
      </c>
      <c r="I611" s="286" t="s">
        <v>1152</v>
      </c>
      <c r="J611" s="286" t="s">
        <v>1312</v>
      </c>
      <c r="K611" s="286" t="s">
        <v>53</v>
      </c>
      <c r="L611" s="286" t="s">
        <v>53</v>
      </c>
      <c r="M611" s="286" t="s">
        <v>53</v>
      </c>
      <c r="N611" s="287">
        <v>26246.03</v>
      </c>
      <c r="O611" s="305">
        <f t="shared" si="9"/>
        <v>44712</v>
      </c>
      <c r="P611" s="111" t="s">
        <v>58</v>
      </c>
    </row>
    <row r="612" spans="1:16" hidden="1" x14ac:dyDescent="0.15">
      <c r="A612" s="286">
        <v>35641</v>
      </c>
      <c r="B612" s="288">
        <v>44712.673611111109</v>
      </c>
      <c r="C612" s="286" t="s">
        <v>1399</v>
      </c>
      <c r="D612" s="286" t="s">
        <v>1105</v>
      </c>
      <c r="E612" s="286" t="s">
        <v>1106</v>
      </c>
      <c r="F612" s="286" t="s">
        <v>1410</v>
      </c>
      <c r="G612" s="286" t="s">
        <v>53</v>
      </c>
      <c r="H612" s="286" t="s">
        <v>53</v>
      </c>
      <c r="I612" s="286" t="s">
        <v>1279</v>
      </c>
      <c r="J612" s="286" t="s">
        <v>1312</v>
      </c>
      <c r="K612" s="286" t="s">
        <v>53</v>
      </c>
      <c r="L612" s="286" t="s">
        <v>53</v>
      </c>
      <c r="M612" s="286" t="s">
        <v>53</v>
      </c>
      <c r="N612" s="287">
        <v>935.24</v>
      </c>
      <c r="O612" s="305">
        <f t="shared" si="9"/>
        <v>44712</v>
      </c>
      <c r="P612" s="286" t="s">
        <v>58</v>
      </c>
    </row>
    <row r="613" spans="1:16" hidden="1" x14ac:dyDescent="0.15">
      <c r="A613" s="286">
        <v>36395</v>
      </c>
      <c r="B613" s="288">
        <v>44715.574305555558</v>
      </c>
      <c r="C613" s="286" t="s">
        <v>1399</v>
      </c>
      <c r="D613" s="286" t="s">
        <v>1309</v>
      </c>
      <c r="E613" s="286" t="s">
        <v>1310</v>
      </c>
      <c r="F613" s="286" t="s">
        <v>1411</v>
      </c>
      <c r="G613" s="286" t="s">
        <v>1038</v>
      </c>
      <c r="H613" s="286" t="s">
        <v>1038</v>
      </c>
      <c r="I613" s="286" t="s">
        <v>1235</v>
      </c>
      <c r="J613" s="286" t="s">
        <v>1312</v>
      </c>
      <c r="K613" s="286" t="s">
        <v>1412</v>
      </c>
      <c r="L613" s="286" t="s">
        <v>1413</v>
      </c>
      <c r="M613" s="286">
        <v>1</v>
      </c>
      <c r="N613" s="287">
        <v>36052</v>
      </c>
      <c r="O613" s="305">
        <f t="shared" si="9"/>
        <v>44742</v>
      </c>
      <c r="P613" s="286" t="s">
        <v>180</v>
      </c>
    </row>
    <row r="614" spans="1:16" hidden="1" x14ac:dyDescent="0.15">
      <c r="A614" s="286">
        <v>36395</v>
      </c>
      <c r="B614" s="288">
        <v>44715.574305555558</v>
      </c>
      <c r="C614" s="286" t="s">
        <v>1399</v>
      </c>
      <c r="D614" s="286" t="s">
        <v>1309</v>
      </c>
      <c r="E614" s="286" t="s">
        <v>1310</v>
      </c>
      <c r="F614" s="286" t="s">
        <v>1411</v>
      </c>
      <c r="G614" s="286" t="s">
        <v>1038</v>
      </c>
      <c r="H614" s="286" t="s">
        <v>1038</v>
      </c>
      <c r="I614" s="286" t="s">
        <v>1229</v>
      </c>
      <c r="J614" s="286" t="s">
        <v>1312</v>
      </c>
      <c r="K614" s="286" t="s">
        <v>1414</v>
      </c>
      <c r="L614" s="286" t="s">
        <v>1415</v>
      </c>
      <c r="M614" s="286">
        <v>1</v>
      </c>
      <c r="N614" s="287">
        <v>10503</v>
      </c>
      <c r="O614" s="305">
        <f t="shared" si="9"/>
        <v>44742</v>
      </c>
      <c r="P614" s="286" t="s">
        <v>279</v>
      </c>
    </row>
    <row r="615" spans="1:16" hidden="1" x14ac:dyDescent="0.15">
      <c r="A615" s="286">
        <v>36395</v>
      </c>
      <c r="B615" s="288">
        <v>44715.574305555558</v>
      </c>
      <c r="C615" s="286" t="s">
        <v>1399</v>
      </c>
      <c r="D615" s="286" t="s">
        <v>1309</v>
      </c>
      <c r="E615" s="286" t="s">
        <v>1310</v>
      </c>
      <c r="F615" s="286" t="s">
        <v>1411</v>
      </c>
      <c r="G615" s="286" t="s">
        <v>1038</v>
      </c>
      <c r="H615" s="286" t="s">
        <v>1038</v>
      </c>
      <c r="I615" s="286" t="s">
        <v>1301</v>
      </c>
      <c r="J615" s="286" t="s">
        <v>1312</v>
      </c>
      <c r="K615" s="286" t="s">
        <v>56</v>
      </c>
      <c r="L615" s="286" t="s">
        <v>71</v>
      </c>
      <c r="M615" s="286">
        <v>1</v>
      </c>
      <c r="N615" s="287">
        <v>3000</v>
      </c>
      <c r="O615" s="305">
        <f t="shared" si="9"/>
        <v>44742</v>
      </c>
      <c r="P615" s="286" t="s">
        <v>55</v>
      </c>
    </row>
    <row r="616" spans="1:16" hidden="1" x14ac:dyDescent="0.15">
      <c r="A616" s="286">
        <v>36877</v>
      </c>
      <c r="B616" s="288">
        <v>44718.597222222219</v>
      </c>
      <c r="C616" s="286" t="s">
        <v>1399</v>
      </c>
      <c r="D616" s="286" t="s">
        <v>1309</v>
      </c>
      <c r="E616" s="286" t="s">
        <v>1310</v>
      </c>
      <c r="F616" s="286" t="s">
        <v>1416</v>
      </c>
      <c r="G616" s="286" t="s">
        <v>1063</v>
      </c>
      <c r="H616" s="286" t="s">
        <v>1063</v>
      </c>
      <c r="I616" s="286" t="s">
        <v>1108</v>
      </c>
      <c r="J616" s="286" t="s">
        <v>1312</v>
      </c>
      <c r="K616" s="286" t="s">
        <v>1417</v>
      </c>
      <c r="L616" s="286" t="s">
        <v>430</v>
      </c>
      <c r="M616" s="286">
        <v>1</v>
      </c>
      <c r="N616" s="287">
        <v>162963</v>
      </c>
      <c r="O616" s="305">
        <f t="shared" si="9"/>
        <v>44742</v>
      </c>
      <c r="P616" s="286" t="s">
        <v>37</v>
      </c>
    </row>
    <row r="617" spans="1:16" hidden="1" x14ac:dyDescent="0.15">
      <c r="A617" s="286">
        <v>36877</v>
      </c>
      <c r="B617" s="288">
        <v>44718.597222222219</v>
      </c>
      <c r="C617" s="286" t="s">
        <v>1399</v>
      </c>
      <c r="D617" s="286" t="s">
        <v>1309</v>
      </c>
      <c r="E617" s="286" t="s">
        <v>1310</v>
      </c>
      <c r="F617" s="286" t="s">
        <v>1416</v>
      </c>
      <c r="G617" s="286" t="s">
        <v>1063</v>
      </c>
      <c r="H617" s="286" t="s">
        <v>1063</v>
      </c>
      <c r="I617" s="286" t="s">
        <v>1108</v>
      </c>
      <c r="J617" s="286" t="s">
        <v>1312</v>
      </c>
      <c r="K617" s="286" t="s">
        <v>1418</v>
      </c>
      <c r="L617" s="286" t="s">
        <v>431</v>
      </c>
      <c r="M617" s="286">
        <v>1</v>
      </c>
      <c r="N617" s="287">
        <v>58992</v>
      </c>
      <c r="O617" s="305">
        <f t="shared" si="9"/>
        <v>44742</v>
      </c>
      <c r="P617" s="286" t="s">
        <v>37</v>
      </c>
    </row>
    <row r="618" spans="1:16" hidden="1" x14ac:dyDescent="0.15">
      <c r="A618" s="286">
        <v>36877</v>
      </c>
      <c r="B618" s="288">
        <v>44718.597222222219</v>
      </c>
      <c r="C618" s="286" t="s">
        <v>1399</v>
      </c>
      <c r="D618" s="286" t="s">
        <v>1309</v>
      </c>
      <c r="E618" s="286" t="s">
        <v>1310</v>
      </c>
      <c r="F618" s="286" t="s">
        <v>1416</v>
      </c>
      <c r="G618" s="286" t="s">
        <v>1063</v>
      </c>
      <c r="H618" s="286" t="s">
        <v>1063</v>
      </c>
      <c r="I618" s="286" t="s">
        <v>1204</v>
      </c>
      <c r="J618" s="286" t="s">
        <v>1312</v>
      </c>
      <c r="K618" s="286" t="s">
        <v>1419</v>
      </c>
      <c r="L618" s="286" t="s">
        <v>894</v>
      </c>
      <c r="M618" s="286">
        <v>1</v>
      </c>
      <c r="N618" s="287">
        <v>8858</v>
      </c>
      <c r="O618" s="305">
        <f t="shared" si="9"/>
        <v>44742</v>
      </c>
      <c r="P618" s="286" t="s">
        <v>49</v>
      </c>
    </row>
    <row r="619" spans="1:16" hidden="1" x14ac:dyDescent="0.15">
      <c r="A619" s="286">
        <v>36877</v>
      </c>
      <c r="B619" s="288">
        <v>44718.597222222219</v>
      </c>
      <c r="C619" s="286" t="s">
        <v>1399</v>
      </c>
      <c r="D619" s="286" t="s">
        <v>1309</v>
      </c>
      <c r="E619" s="286" t="s">
        <v>1310</v>
      </c>
      <c r="F619" s="286" t="s">
        <v>1416</v>
      </c>
      <c r="G619" s="286" t="s">
        <v>1063</v>
      </c>
      <c r="H619" s="286" t="s">
        <v>1063</v>
      </c>
      <c r="I619" s="286" t="s">
        <v>1128</v>
      </c>
      <c r="J619" s="286" t="s">
        <v>1312</v>
      </c>
      <c r="K619" s="286" t="s">
        <v>1420</v>
      </c>
      <c r="L619" s="286" t="s">
        <v>1421</v>
      </c>
      <c r="M619" s="286">
        <v>1</v>
      </c>
      <c r="N619" s="287">
        <v>8229</v>
      </c>
      <c r="O619" s="305">
        <f t="shared" si="9"/>
        <v>44742</v>
      </c>
      <c r="P619" s="286" t="s">
        <v>47</v>
      </c>
    </row>
    <row r="620" spans="1:16" hidden="1" x14ac:dyDescent="0.15">
      <c r="A620" s="286">
        <v>36877</v>
      </c>
      <c r="B620" s="288">
        <v>44718.597222222219</v>
      </c>
      <c r="C620" s="286" t="s">
        <v>1399</v>
      </c>
      <c r="D620" s="286" t="s">
        <v>1309</v>
      </c>
      <c r="E620" s="286" t="s">
        <v>1310</v>
      </c>
      <c r="F620" s="286" t="s">
        <v>1416</v>
      </c>
      <c r="G620" s="286" t="s">
        <v>1063</v>
      </c>
      <c r="H620" s="286" t="s">
        <v>1063</v>
      </c>
      <c r="I620" s="286" t="s">
        <v>1121</v>
      </c>
      <c r="J620" s="286" t="s">
        <v>1312</v>
      </c>
      <c r="K620" s="286" t="s">
        <v>1422</v>
      </c>
      <c r="L620" s="286" t="s">
        <v>250</v>
      </c>
      <c r="M620" s="286">
        <v>1</v>
      </c>
      <c r="N620" s="287">
        <v>6239</v>
      </c>
      <c r="O620" s="305">
        <f t="shared" si="9"/>
        <v>44742</v>
      </c>
      <c r="P620" s="286" t="s">
        <v>248</v>
      </c>
    </row>
    <row r="621" spans="1:16" hidden="1" x14ac:dyDescent="0.15">
      <c r="A621" s="286">
        <v>38118</v>
      </c>
      <c r="B621" s="288">
        <v>44721.495138888888</v>
      </c>
      <c r="C621" s="286" t="s">
        <v>1423</v>
      </c>
      <c r="D621" s="286" t="s">
        <v>1309</v>
      </c>
      <c r="E621" s="286" t="s">
        <v>1310</v>
      </c>
      <c r="F621" s="286" t="s">
        <v>1424</v>
      </c>
      <c r="G621" s="286" t="s">
        <v>1030</v>
      </c>
      <c r="H621" s="286" t="s">
        <v>1030</v>
      </c>
      <c r="I621" s="286" t="s">
        <v>1152</v>
      </c>
      <c r="J621" s="286" t="s">
        <v>1312</v>
      </c>
      <c r="K621" s="286" t="s">
        <v>1425</v>
      </c>
      <c r="L621" s="286" t="s">
        <v>1426</v>
      </c>
      <c r="M621" s="286">
        <v>1</v>
      </c>
      <c r="N621" s="287">
        <v>0</v>
      </c>
      <c r="O621" s="305">
        <f t="shared" si="9"/>
        <v>44742</v>
      </c>
      <c r="P621" s="111" t="s">
        <v>58</v>
      </c>
    </row>
    <row r="622" spans="1:16" hidden="1" x14ac:dyDescent="0.15">
      <c r="A622" s="286">
        <v>38336</v>
      </c>
      <c r="B622" s="288">
        <v>44721.63958333333</v>
      </c>
      <c r="C622" s="286" t="s">
        <v>1423</v>
      </c>
      <c r="D622" s="286" t="s">
        <v>1309</v>
      </c>
      <c r="E622" s="286" t="s">
        <v>1310</v>
      </c>
      <c r="F622" s="286" t="s">
        <v>1427</v>
      </c>
      <c r="G622" s="286" t="s">
        <v>1079</v>
      </c>
      <c r="H622" s="286" t="s">
        <v>1079</v>
      </c>
      <c r="I622" s="286" t="s">
        <v>1282</v>
      </c>
      <c r="J622" s="286" t="s">
        <v>1312</v>
      </c>
      <c r="K622" s="286" t="s">
        <v>202</v>
      </c>
      <c r="L622" s="286" t="s">
        <v>203</v>
      </c>
      <c r="M622" s="286">
        <v>1</v>
      </c>
      <c r="N622" s="287">
        <v>5445</v>
      </c>
      <c r="O622" s="305">
        <f t="shared" si="9"/>
        <v>44742</v>
      </c>
      <c r="P622" s="286" t="s">
        <v>201</v>
      </c>
    </row>
    <row r="623" spans="1:16" hidden="1" x14ac:dyDescent="0.15">
      <c r="A623" s="286">
        <v>38900</v>
      </c>
      <c r="B623" s="288">
        <v>44726.606249999997</v>
      </c>
      <c r="C623" s="286" t="s">
        <v>1423</v>
      </c>
      <c r="D623" s="286" t="s">
        <v>1309</v>
      </c>
      <c r="E623" s="286" t="s">
        <v>1310</v>
      </c>
      <c r="F623" s="286" t="s">
        <v>1428</v>
      </c>
      <c r="G623" s="286" t="s">
        <v>1429</v>
      </c>
      <c r="H623" s="286" t="s">
        <v>1429</v>
      </c>
      <c r="I623" s="286" t="s">
        <v>1129</v>
      </c>
      <c r="J623" s="286" t="s">
        <v>1312</v>
      </c>
      <c r="K623" s="286" t="s">
        <v>1430</v>
      </c>
      <c r="L623" s="286" t="s">
        <v>1431</v>
      </c>
      <c r="M623" s="286">
        <v>6</v>
      </c>
      <c r="N623" s="287">
        <v>444.84</v>
      </c>
      <c r="O623" s="305">
        <f t="shared" si="9"/>
        <v>44742</v>
      </c>
      <c r="P623" s="286" t="s">
        <v>164</v>
      </c>
    </row>
    <row r="624" spans="1:16" hidden="1" x14ac:dyDescent="0.15">
      <c r="A624" s="286">
        <v>38900</v>
      </c>
      <c r="B624" s="288">
        <v>44726.606249999997</v>
      </c>
      <c r="C624" s="286" t="s">
        <v>1423</v>
      </c>
      <c r="D624" s="286" t="s">
        <v>1309</v>
      </c>
      <c r="E624" s="286" t="s">
        <v>1310</v>
      </c>
      <c r="F624" s="286" t="s">
        <v>1428</v>
      </c>
      <c r="G624" s="286" t="s">
        <v>1429</v>
      </c>
      <c r="H624" s="286" t="s">
        <v>1429</v>
      </c>
      <c r="I624" s="286" t="s">
        <v>1129</v>
      </c>
      <c r="J624" s="286" t="s">
        <v>1312</v>
      </c>
      <c r="K624" s="286" t="s">
        <v>1432</v>
      </c>
      <c r="L624" s="286" t="s">
        <v>1433</v>
      </c>
      <c r="M624" s="286">
        <v>6</v>
      </c>
      <c r="N624" s="287">
        <v>404.04</v>
      </c>
      <c r="O624" s="305">
        <f t="shared" si="9"/>
        <v>44742</v>
      </c>
      <c r="P624" s="286" t="s">
        <v>164</v>
      </c>
    </row>
    <row r="625" spans="1:16" hidden="1" x14ac:dyDescent="0.15">
      <c r="A625" s="286">
        <v>40884</v>
      </c>
      <c r="B625" s="288">
        <v>44733.463888888888</v>
      </c>
      <c r="C625" s="286" t="s">
        <v>1423</v>
      </c>
      <c r="D625" s="286" t="s">
        <v>1309</v>
      </c>
      <c r="E625" s="286" t="s">
        <v>1310</v>
      </c>
      <c r="F625" s="286" t="s">
        <v>1434</v>
      </c>
      <c r="G625" s="286" t="s">
        <v>1023</v>
      </c>
      <c r="H625" s="286" t="s">
        <v>1023</v>
      </c>
      <c r="I625" s="286" t="s">
        <v>1108</v>
      </c>
      <c r="J625" s="286" t="s">
        <v>1312</v>
      </c>
      <c r="K625" s="286" t="s">
        <v>1339</v>
      </c>
      <c r="L625" s="286" t="s">
        <v>1340</v>
      </c>
      <c r="M625" s="286">
        <v>1</v>
      </c>
      <c r="N625" s="287">
        <v>0</v>
      </c>
      <c r="O625" s="305">
        <f t="shared" si="9"/>
        <v>44742</v>
      </c>
      <c r="P625" s="286" t="s">
        <v>37</v>
      </c>
    </row>
    <row r="626" spans="1:16" hidden="1" x14ac:dyDescent="0.15">
      <c r="A626" s="286">
        <v>41833</v>
      </c>
      <c r="B626" s="288">
        <v>44735.42083333333</v>
      </c>
      <c r="C626" s="286" t="s">
        <v>1423</v>
      </c>
      <c r="D626" s="286" t="s">
        <v>1309</v>
      </c>
      <c r="E626" s="286" t="s">
        <v>1310</v>
      </c>
      <c r="F626" s="286" t="s">
        <v>1435</v>
      </c>
      <c r="G626" s="286" t="s">
        <v>1058</v>
      </c>
      <c r="H626" s="286" t="s">
        <v>1058</v>
      </c>
      <c r="I626" s="286" t="s">
        <v>1109</v>
      </c>
      <c r="J626" s="286" t="s">
        <v>1312</v>
      </c>
      <c r="K626" s="286" t="s">
        <v>53</v>
      </c>
      <c r="L626" s="286" t="s">
        <v>53</v>
      </c>
      <c r="M626" s="286" t="s">
        <v>53</v>
      </c>
      <c r="N626" s="287">
        <v>3500</v>
      </c>
      <c r="O626" s="305">
        <f t="shared" si="9"/>
        <v>44742</v>
      </c>
    </row>
    <row r="627" spans="1:16" hidden="1" x14ac:dyDescent="0.15">
      <c r="A627" s="286">
        <v>41962</v>
      </c>
      <c r="B627" s="288">
        <v>44735.561111111114</v>
      </c>
      <c r="C627" s="286" t="s">
        <v>1423</v>
      </c>
      <c r="D627" s="286" t="s">
        <v>1309</v>
      </c>
      <c r="E627" s="286" t="s">
        <v>1310</v>
      </c>
      <c r="F627" s="286" t="s">
        <v>1436</v>
      </c>
      <c r="G627" s="286" t="s">
        <v>1016</v>
      </c>
      <c r="H627" s="286" t="s">
        <v>1016</v>
      </c>
      <c r="I627" s="286" t="s">
        <v>1108</v>
      </c>
      <c r="J627" s="286" t="s">
        <v>53</v>
      </c>
      <c r="K627" s="286" t="s">
        <v>1339</v>
      </c>
      <c r="L627" s="286" t="s">
        <v>1340</v>
      </c>
      <c r="M627" s="286">
        <v>1</v>
      </c>
      <c r="N627" s="287">
        <v>0</v>
      </c>
      <c r="O627" s="305">
        <f t="shared" si="9"/>
        <v>44742</v>
      </c>
      <c r="P627" s="286" t="s">
        <v>37</v>
      </c>
    </row>
    <row r="628" spans="1:16" hidden="1" x14ac:dyDescent="0.15">
      <c r="A628" s="286">
        <v>41962</v>
      </c>
      <c r="B628" s="288">
        <v>44735.561111111114</v>
      </c>
      <c r="C628" s="286" t="s">
        <v>1423</v>
      </c>
      <c r="D628" s="286" t="s">
        <v>1309</v>
      </c>
      <c r="E628" s="286" t="s">
        <v>1310</v>
      </c>
      <c r="F628" s="286" t="s">
        <v>1436</v>
      </c>
      <c r="G628" s="286" t="s">
        <v>1016</v>
      </c>
      <c r="H628" s="286" t="s">
        <v>1016</v>
      </c>
      <c r="I628" s="286" t="s">
        <v>1108</v>
      </c>
      <c r="J628" s="286" t="s">
        <v>53</v>
      </c>
      <c r="K628" s="286" t="s">
        <v>1339</v>
      </c>
      <c r="L628" s="286" t="s">
        <v>1340</v>
      </c>
      <c r="M628" s="286">
        <v>1</v>
      </c>
      <c r="N628" s="287">
        <v>0</v>
      </c>
      <c r="O628" s="305">
        <f t="shared" si="9"/>
        <v>44742</v>
      </c>
      <c r="P628" s="286" t="s">
        <v>37</v>
      </c>
    </row>
    <row r="629" spans="1:16" hidden="1" x14ac:dyDescent="0.15">
      <c r="A629" s="286">
        <v>41967</v>
      </c>
      <c r="B629" s="288">
        <v>44735.561805555553</v>
      </c>
      <c r="C629" s="286" t="s">
        <v>1423</v>
      </c>
      <c r="D629" s="286" t="s">
        <v>1309</v>
      </c>
      <c r="E629" s="286" t="s">
        <v>1310</v>
      </c>
      <c r="F629" s="286" t="s">
        <v>1437</v>
      </c>
      <c r="G629" s="286" t="s">
        <v>1041</v>
      </c>
      <c r="H629" s="286" t="s">
        <v>1041</v>
      </c>
      <c r="I629" s="286" t="s">
        <v>1108</v>
      </c>
      <c r="J629" s="286" t="s">
        <v>53</v>
      </c>
      <c r="K629" s="286" t="s">
        <v>1339</v>
      </c>
      <c r="L629" s="286" t="s">
        <v>1340</v>
      </c>
      <c r="M629" s="286">
        <v>1</v>
      </c>
      <c r="N629" s="287">
        <v>0</v>
      </c>
      <c r="O629" s="305">
        <f t="shared" si="9"/>
        <v>44742</v>
      </c>
      <c r="P629" s="286" t="s">
        <v>37</v>
      </c>
    </row>
    <row r="630" spans="1:16" hidden="1" x14ac:dyDescent="0.15">
      <c r="A630" s="286">
        <v>42080</v>
      </c>
      <c r="B630" s="288">
        <v>44735.62777777778</v>
      </c>
      <c r="C630" s="286" t="s">
        <v>1423</v>
      </c>
      <c r="D630" s="286" t="s">
        <v>1438</v>
      </c>
      <c r="E630" s="286" t="s">
        <v>1439</v>
      </c>
      <c r="F630" s="286" t="s">
        <v>1440</v>
      </c>
      <c r="G630" s="286" t="s">
        <v>1023</v>
      </c>
      <c r="H630" s="286" t="s">
        <v>1023</v>
      </c>
      <c r="I630" s="286" t="s">
        <v>1108</v>
      </c>
      <c r="J630" s="286" t="s">
        <v>1312</v>
      </c>
      <c r="K630" s="286" t="s">
        <v>1339</v>
      </c>
      <c r="L630" s="286" t="s">
        <v>1340</v>
      </c>
      <c r="M630" s="286">
        <v>1</v>
      </c>
      <c r="N630" s="287">
        <v>0</v>
      </c>
      <c r="O630" s="305">
        <f t="shared" si="9"/>
        <v>44742</v>
      </c>
      <c r="P630" s="286" t="s">
        <v>37</v>
      </c>
    </row>
    <row r="631" spans="1:16" hidden="1" x14ac:dyDescent="0.15">
      <c r="A631" s="286">
        <v>42360</v>
      </c>
      <c r="B631" s="288">
        <v>44736.592361111114</v>
      </c>
      <c r="C631" s="286" t="s">
        <v>1399</v>
      </c>
      <c r="D631" s="286" t="s">
        <v>1105</v>
      </c>
      <c r="E631" s="286" t="s">
        <v>1106</v>
      </c>
      <c r="F631" s="286" t="s">
        <v>1441</v>
      </c>
      <c r="G631" s="286" t="s">
        <v>1024</v>
      </c>
      <c r="H631" s="286" t="s">
        <v>1024</v>
      </c>
      <c r="I631" s="286" t="s">
        <v>1112</v>
      </c>
      <c r="J631" s="286" t="s">
        <v>1312</v>
      </c>
      <c r="K631" s="286" t="s">
        <v>53</v>
      </c>
      <c r="L631" s="286" t="s">
        <v>53</v>
      </c>
      <c r="M631" s="286" t="s">
        <v>53</v>
      </c>
      <c r="N631" s="287">
        <v>17724</v>
      </c>
      <c r="O631" s="305">
        <f t="shared" si="9"/>
        <v>44742</v>
      </c>
      <c r="P631" s="286" t="s">
        <v>175</v>
      </c>
    </row>
    <row r="632" spans="1:16" hidden="1" x14ac:dyDescent="0.15">
      <c r="A632" s="286">
        <v>42360</v>
      </c>
      <c r="B632" s="288">
        <v>44736.592361111114</v>
      </c>
      <c r="C632" s="286" t="s">
        <v>1399</v>
      </c>
      <c r="D632" s="286" t="s">
        <v>1105</v>
      </c>
      <c r="E632" s="286" t="s">
        <v>1106</v>
      </c>
      <c r="F632" s="286" t="s">
        <v>1441</v>
      </c>
      <c r="G632" s="286" t="s">
        <v>1084</v>
      </c>
      <c r="H632" s="286" t="s">
        <v>1442</v>
      </c>
      <c r="I632" s="286" t="s">
        <v>1230</v>
      </c>
      <c r="J632" s="286" t="s">
        <v>1312</v>
      </c>
      <c r="K632" s="286" t="s">
        <v>53</v>
      </c>
      <c r="L632" s="286" t="s">
        <v>53</v>
      </c>
      <c r="M632" s="286" t="s">
        <v>53</v>
      </c>
      <c r="N632" s="287">
        <v>17711.400000000001</v>
      </c>
      <c r="O632" s="305">
        <f t="shared" si="9"/>
        <v>44742</v>
      </c>
      <c r="P632" s="286" t="s">
        <v>175</v>
      </c>
    </row>
    <row r="633" spans="1:16" hidden="1" x14ac:dyDescent="0.15">
      <c r="A633" s="286">
        <v>42360</v>
      </c>
      <c r="B633" s="288">
        <v>44736.592361111114</v>
      </c>
      <c r="C633" s="286" t="s">
        <v>1399</v>
      </c>
      <c r="D633" s="286" t="s">
        <v>1105</v>
      </c>
      <c r="E633" s="286" t="s">
        <v>1106</v>
      </c>
      <c r="F633" s="286" t="s">
        <v>1441</v>
      </c>
      <c r="G633" s="286" t="s">
        <v>1045</v>
      </c>
      <c r="H633" s="286" t="s">
        <v>1045</v>
      </c>
      <c r="I633" s="286" t="s">
        <v>1112</v>
      </c>
      <c r="J633" s="286" t="s">
        <v>1312</v>
      </c>
      <c r="K633" s="286" t="s">
        <v>53</v>
      </c>
      <c r="L633" s="286" t="s">
        <v>53</v>
      </c>
      <c r="M633" s="286" t="s">
        <v>53</v>
      </c>
      <c r="N633" s="287">
        <v>9680</v>
      </c>
      <c r="O633" s="305">
        <f t="shared" si="9"/>
        <v>44742</v>
      </c>
      <c r="P633" s="286" t="s">
        <v>175</v>
      </c>
    </row>
    <row r="634" spans="1:16" hidden="1" x14ac:dyDescent="0.15">
      <c r="A634" s="286">
        <v>42360</v>
      </c>
      <c r="B634" s="288">
        <v>44736.592361111114</v>
      </c>
      <c r="C634" s="286" t="s">
        <v>1399</v>
      </c>
      <c r="D634" s="286" t="s">
        <v>1105</v>
      </c>
      <c r="E634" s="286" t="s">
        <v>1106</v>
      </c>
      <c r="F634" s="286" t="s">
        <v>1441</v>
      </c>
      <c r="G634" s="286" t="s">
        <v>1035</v>
      </c>
      <c r="H634" s="286" t="s">
        <v>1035</v>
      </c>
      <c r="I634" s="286" t="s">
        <v>1112</v>
      </c>
      <c r="J634" s="286" t="s">
        <v>1312</v>
      </c>
      <c r="K634" s="286" t="s">
        <v>53</v>
      </c>
      <c r="L634" s="286" t="s">
        <v>53</v>
      </c>
      <c r="M634" s="286" t="s">
        <v>53</v>
      </c>
      <c r="N634" s="287">
        <v>9389</v>
      </c>
      <c r="O634" s="305">
        <f t="shared" si="9"/>
        <v>44742</v>
      </c>
      <c r="P634" s="286" t="s">
        <v>175</v>
      </c>
    </row>
    <row r="635" spans="1:16" hidden="1" x14ac:dyDescent="0.15">
      <c r="A635" s="286">
        <v>42360</v>
      </c>
      <c r="B635" s="288">
        <v>44736.592361111114</v>
      </c>
      <c r="C635" s="286" t="s">
        <v>1399</v>
      </c>
      <c r="D635" s="286" t="s">
        <v>1105</v>
      </c>
      <c r="E635" s="286" t="s">
        <v>1106</v>
      </c>
      <c r="F635" s="286" t="s">
        <v>1441</v>
      </c>
      <c r="G635" s="286" t="s">
        <v>1006</v>
      </c>
      <c r="H635" s="286" t="s">
        <v>1006</v>
      </c>
      <c r="I635" s="286" t="s">
        <v>1230</v>
      </c>
      <c r="J635" s="286" t="s">
        <v>1312</v>
      </c>
      <c r="K635" s="286" t="s">
        <v>53</v>
      </c>
      <c r="L635" s="286" t="s">
        <v>53</v>
      </c>
      <c r="M635" s="286" t="s">
        <v>53</v>
      </c>
      <c r="N635" s="287">
        <v>9116</v>
      </c>
      <c r="O635" s="305">
        <f t="shared" si="9"/>
        <v>44742</v>
      </c>
      <c r="P635" s="286" t="s">
        <v>175</v>
      </c>
    </row>
    <row r="636" spans="1:16" hidden="1" x14ac:dyDescent="0.15">
      <c r="A636" s="286">
        <v>42360</v>
      </c>
      <c r="B636" s="288">
        <v>44736.592361111114</v>
      </c>
      <c r="C636" s="286" t="s">
        <v>1399</v>
      </c>
      <c r="D636" s="286" t="s">
        <v>1105</v>
      </c>
      <c r="E636" s="286" t="s">
        <v>1106</v>
      </c>
      <c r="F636" s="286" t="s">
        <v>1441</v>
      </c>
      <c r="G636" s="286" t="s">
        <v>1043</v>
      </c>
      <c r="H636" s="286" t="s">
        <v>1043</v>
      </c>
      <c r="I636" s="286" t="s">
        <v>1112</v>
      </c>
      <c r="J636" s="286" t="s">
        <v>1312</v>
      </c>
      <c r="K636" s="286" t="s">
        <v>53</v>
      </c>
      <c r="L636" s="286" t="s">
        <v>53</v>
      </c>
      <c r="M636" s="286" t="s">
        <v>53</v>
      </c>
      <c r="N636" s="287">
        <v>7870</v>
      </c>
      <c r="O636" s="305">
        <f t="shared" si="9"/>
        <v>44742</v>
      </c>
      <c r="P636" s="286" t="s">
        <v>175</v>
      </c>
    </row>
    <row r="637" spans="1:16" hidden="1" x14ac:dyDescent="0.15">
      <c r="A637" s="286">
        <v>42360</v>
      </c>
      <c r="B637" s="288">
        <v>44736.592361111114</v>
      </c>
      <c r="C637" s="286" t="s">
        <v>1399</v>
      </c>
      <c r="D637" s="286" t="s">
        <v>1105</v>
      </c>
      <c r="E637" s="286" t="s">
        <v>1106</v>
      </c>
      <c r="F637" s="286" t="s">
        <v>1441</v>
      </c>
      <c r="G637" s="286" t="s">
        <v>1086</v>
      </c>
      <c r="H637" s="286" t="s">
        <v>1086</v>
      </c>
      <c r="I637" s="286" t="s">
        <v>1230</v>
      </c>
      <c r="J637" s="286" t="s">
        <v>1312</v>
      </c>
      <c r="K637" s="286" t="s">
        <v>53</v>
      </c>
      <c r="L637" s="286" t="s">
        <v>53</v>
      </c>
      <c r="M637" s="286" t="s">
        <v>53</v>
      </c>
      <c r="N637" s="287">
        <v>7670</v>
      </c>
      <c r="O637" s="305">
        <f t="shared" si="9"/>
        <v>44742</v>
      </c>
      <c r="P637" s="286" t="s">
        <v>175</v>
      </c>
    </row>
    <row r="638" spans="1:16" hidden="1" x14ac:dyDescent="0.15">
      <c r="A638" s="286">
        <v>42693</v>
      </c>
      <c r="B638" s="288">
        <v>44739.681250000001</v>
      </c>
      <c r="C638" s="286" t="s">
        <v>1423</v>
      </c>
      <c r="D638" s="286" t="s">
        <v>1105</v>
      </c>
      <c r="E638" s="286" t="s">
        <v>1106</v>
      </c>
      <c r="F638" s="286" t="s">
        <v>1443</v>
      </c>
      <c r="G638" s="286" t="s">
        <v>53</v>
      </c>
      <c r="H638" s="286" t="s">
        <v>53</v>
      </c>
      <c r="I638" s="286" t="s">
        <v>1199</v>
      </c>
      <c r="J638" s="286" t="s">
        <v>1312</v>
      </c>
      <c r="K638" s="286" t="s">
        <v>53</v>
      </c>
      <c r="L638" s="286" t="s">
        <v>53</v>
      </c>
      <c r="M638" s="286" t="s">
        <v>53</v>
      </c>
      <c r="N638" s="287">
        <v>147370.07</v>
      </c>
      <c r="O638" s="305">
        <f t="shared" si="9"/>
        <v>44742</v>
      </c>
      <c r="P638" s="286" t="s">
        <v>58</v>
      </c>
    </row>
    <row r="639" spans="1:16" hidden="1" x14ac:dyDescent="0.15">
      <c r="A639" s="286">
        <v>42693</v>
      </c>
      <c r="B639" s="288">
        <v>44739.681250000001</v>
      </c>
      <c r="C639" s="286" t="s">
        <v>1423</v>
      </c>
      <c r="D639" s="286" t="s">
        <v>1105</v>
      </c>
      <c r="E639" s="286" t="s">
        <v>1106</v>
      </c>
      <c r="F639" s="286" t="s">
        <v>1443</v>
      </c>
      <c r="G639" s="286" t="s">
        <v>53</v>
      </c>
      <c r="H639" s="286" t="s">
        <v>53</v>
      </c>
      <c r="I639" s="286" t="s">
        <v>1228</v>
      </c>
      <c r="J639" s="286" t="s">
        <v>1312</v>
      </c>
      <c r="K639" s="286" t="s">
        <v>53</v>
      </c>
      <c r="L639" s="286" t="s">
        <v>53</v>
      </c>
      <c r="M639" s="286" t="s">
        <v>53</v>
      </c>
      <c r="N639" s="287">
        <v>55420.81</v>
      </c>
      <c r="O639" s="305">
        <f t="shared" si="9"/>
        <v>44742</v>
      </c>
      <c r="P639" s="286" t="s">
        <v>58</v>
      </c>
    </row>
    <row r="640" spans="1:16" hidden="1" x14ac:dyDescent="0.15">
      <c r="A640" s="286">
        <v>42693</v>
      </c>
      <c r="B640" s="288">
        <v>44739.681250000001</v>
      </c>
      <c r="C640" s="286" t="s">
        <v>1423</v>
      </c>
      <c r="D640" s="286" t="s">
        <v>1105</v>
      </c>
      <c r="E640" s="286" t="s">
        <v>1106</v>
      </c>
      <c r="F640" s="286" t="s">
        <v>1443</v>
      </c>
      <c r="G640" s="286" t="s">
        <v>53</v>
      </c>
      <c r="H640" s="286" t="s">
        <v>53</v>
      </c>
      <c r="I640" s="286" t="s">
        <v>1152</v>
      </c>
      <c r="J640" s="286" t="s">
        <v>1312</v>
      </c>
      <c r="K640" s="286" t="s">
        <v>53</v>
      </c>
      <c r="L640" s="286" t="s">
        <v>53</v>
      </c>
      <c r="M640" s="286" t="s">
        <v>53</v>
      </c>
      <c r="N640" s="287">
        <v>27353.53</v>
      </c>
      <c r="O640" s="305">
        <f t="shared" si="9"/>
        <v>44742</v>
      </c>
      <c r="P640" s="111" t="s">
        <v>58</v>
      </c>
    </row>
    <row r="641" spans="1:16" hidden="1" x14ac:dyDescent="0.15">
      <c r="A641" s="286">
        <v>42693</v>
      </c>
      <c r="B641" s="288">
        <v>44739.681250000001</v>
      </c>
      <c r="C641" s="286" t="s">
        <v>1423</v>
      </c>
      <c r="D641" s="286" t="s">
        <v>1105</v>
      </c>
      <c r="E641" s="286" t="s">
        <v>1106</v>
      </c>
      <c r="F641" s="286" t="s">
        <v>1443</v>
      </c>
      <c r="G641" s="286" t="s">
        <v>53</v>
      </c>
      <c r="H641" s="286" t="s">
        <v>53</v>
      </c>
      <c r="I641" s="286" t="s">
        <v>1279</v>
      </c>
      <c r="J641" s="286" t="s">
        <v>1312</v>
      </c>
      <c r="K641" s="286" t="s">
        <v>53</v>
      </c>
      <c r="L641" s="286" t="s">
        <v>53</v>
      </c>
      <c r="M641" s="286" t="s">
        <v>53</v>
      </c>
      <c r="N641" s="287">
        <v>935.25</v>
      </c>
      <c r="O641" s="305">
        <f t="shared" si="9"/>
        <v>44742</v>
      </c>
      <c r="P641" s="286" t="s">
        <v>58</v>
      </c>
    </row>
    <row r="642" spans="1:16" hidden="1" x14ac:dyDescent="0.15">
      <c r="A642" s="286">
        <v>42719</v>
      </c>
      <c r="B642" s="288">
        <v>44740.338888888888</v>
      </c>
      <c r="C642" s="286" t="s">
        <v>1423</v>
      </c>
      <c r="D642" s="286" t="s">
        <v>1105</v>
      </c>
      <c r="E642" s="286" t="s">
        <v>1106</v>
      </c>
      <c r="F642" s="286" t="s">
        <v>1444</v>
      </c>
      <c r="G642" s="286" t="s">
        <v>1073</v>
      </c>
      <c r="H642" s="286" t="s">
        <v>1073</v>
      </c>
      <c r="I642" s="286" t="s">
        <v>1112</v>
      </c>
      <c r="J642" s="286" t="s">
        <v>1312</v>
      </c>
      <c r="K642" s="286" t="s">
        <v>53</v>
      </c>
      <c r="L642" s="286" t="s">
        <v>53</v>
      </c>
      <c r="M642" s="286" t="s">
        <v>53</v>
      </c>
      <c r="N642" s="287">
        <v>40005.75</v>
      </c>
      <c r="O642" s="305">
        <f t="shared" si="9"/>
        <v>44742</v>
      </c>
      <c r="P642" s="286" t="s">
        <v>175</v>
      </c>
    </row>
    <row r="643" spans="1:16" hidden="1" x14ac:dyDescent="0.15">
      <c r="A643" s="286">
        <v>42719</v>
      </c>
      <c r="B643" s="288">
        <v>44740.338888888888</v>
      </c>
      <c r="C643" s="299" t="s">
        <v>1423</v>
      </c>
      <c r="D643" s="299" t="s">
        <v>1105</v>
      </c>
      <c r="E643" s="299" t="s">
        <v>1106</v>
      </c>
      <c r="F643" s="299" t="s">
        <v>1444</v>
      </c>
      <c r="G643" s="299" t="s">
        <v>1078</v>
      </c>
      <c r="H643" s="299" t="s">
        <v>1078</v>
      </c>
      <c r="I643" s="299" t="s">
        <v>1230</v>
      </c>
      <c r="J643" s="299" t="s">
        <v>1312</v>
      </c>
      <c r="K643" s="299" t="s">
        <v>53</v>
      </c>
      <c r="L643" s="299" t="s">
        <v>53</v>
      </c>
      <c r="M643" s="299" t="s">
        <v>53</v>
      </c>
      <c r="N643" s="307">
        <v>18503</v>
      </c>
      <c r="O643" s="308">
        <f t="shared" ref="O643:O706" si="10">EOMONTH(B643,0)</f>
        <v>44742</v>
      </c>
      <c r="P643" s="299" t="s">
        <v>175</v>
      </c>
    </row>
    <row r="644" spans="1:16" hidden="1" x14ac:dyDescent="0.15">
      <c r="A644" s="286">
        <v>42719</v>
      </c>
      <c r="B644" s="288">
        <v>44740.338888888888</v>
      </c>
      <c r="C644" s="286" t="s">
        <v>1423</v>
      </c>
      <c r="D644" s="286" t="s">
        <v>1105</v>
      </c>
      <c r="E644" s="286" t="s">
        <v>1106</v>
      </c>
      <c r="F644" s="286" t="s">
        <v>1444</v>
      </c>
      <c r="G644" s="286" t="s">
        <v>1040</v>
      </c>
      <c r="H644" s="286" t="s">
        <v>1040</v>
      </c>
      <c r="I644" s="286" t="s">
        <v>1230</v>
      </c>
      <c r="J644" s="286" t="s">
        <v>1312</v>
      </c>
      <c r="K644" s="286" t="s">
        <v>53</v>
      </c>
      <c r="L644" s="286" t="s">
        <v>53</v>
      </c>
      <c r="M644" s="286" t="s">
        <v>53</v>
      </c>
      <c r="N644" s="287">
        <v>15087</v>
      </c>
      <c r="O644" s="305">
        <f t="shared" si="10"/>
        <v>44742</v>
      </c>
      <c r="P644" s="286" t="s">
        <v>175</v>
      </c>
    </row>
    <row r="645" spans="1:16" hidden="1" x14ac:dyDescent="0.15">
      <c r="A645" s="286">
        <v>43225</v>
      </c>
      <c r="B645" s="288">
        <v>44741.648611111108</v>
      </c>
      <c r="C645" s="286" t="s">
        <v>1423</v>
      </c>
      <c r="D645" s="286" t="s">
        <v>1309</v>
      </c>
      <c r="E645" s="286" t="s">
        <v>1310</v>
      </c>
      <c r="F645" s="286" t="s">
        <v>1445</v>
      </c>
      <c r="G645" s="286" t="s">
        <v>1067</v>
      </c>
      <c r="H645" s="286" t="s">
        <v>1067</v>
      </c>
      <c r="I645" s="286" t="s">
        <v>1129</v>
      </c>
      <c r="J645" s="286" t="s">
        <v>1312</v>
      </c>
      <c r="K645" s="286" t="s">
        <v>1402</v>
      </c>
      <c r="L645" s="286" t="s">
        <v>1403</v>
      </c>
      <c r="M645" s="286">
        <v>1</v>
      </c>
      <c r="N645" s="287">
        <v>0</v>
      </c>
      <c r="O645" s="305">
        <f t="shared" si="10"/>
        <v>44742</v>
      </c>
      <c r="P645" s="286" t="s">
        <v>164</v>
      </c>
    </row>
    <row r="646" spans="1:16" hidden="1" x14ac:dyDescent="0.15">
      <c r="A646" s="286">
        <v>43780</v>
      </c>
      <c r="B646" s="288">
        <v>44742.40625</v>
      </c>
      <c r="C646" s="286" t="s">
        <v>1304</v>
      </c>
      <c r="D646" s="286" t="s">
        <v>1105</v>
      </c>
      <c r="E646" s="286" t="s">
        <v>1106</v>
      </c>
      <c r="F646" s="286" t="s">
        <v>1446</v>
      </c>
      <c r="G646" s="286" t="s">
        <v>53</v>
      </c>
      <c r="H646" s="286" t="s">
        <v>53</v>
      </c>
      <c r="I646" s="286" t="s">
        <v>1199</v>
      </c>
      <c r="J646" s="286" t="s">
        <v>1312</v>
      </c>
      <c r="K646" s="286" t="s">
        <v>53</v>
      </c>
      <c r="L646" s="286" t="s">
        <v>53</v>
      </c>
      <c r="M646" s="286" t="s">
        <v>53</v>
      </c>
      <c r="N646" s="287">
        <v>120771.79</v>
      </c>
      <c r="O646" s="305">
        <f t="shared" si="10"/>
        <v>44742</v>
      </c>
      <c r="P646" s="286" t="s">
        <v>58</v>
      </c>
    </row>
    <row r="647" spans="1:16" hidden="1" x14ac:dyDescent="0.15">
      <c r="A647" s="286">
        <v>43780</v>
      </c>
      <c r="B647" s="288">
        <v>44742.40625</v>
      </c>
      <c r="C647" s="286" t="s">
        <v>1304</v>
      </c>
      <c r="D647" s="286" t="s">
        <v>1105</v>
      </c>
      <c r="E647" s="286" t="s">
        <v>1106</v>
      </c>
      <c r="F647" s="286" t="s">
        <v>1446</v>
      </c>
      <c r="G647" s="286" t="s">
        <v>53</v>
      </c>
      <c r="H647" s="286" t="s">
        <v>53</v>
      </c>
      <c r="I647" s="286" t="s">
        <v>1112</v>
      </c>
      <c r="J647" s="286" t="s">
        <v>1312</v>
      </c>
      <c r="K647" s="286" t="s">
        <v>53</v>
      </c>
      <c r="L647" s="286" t="s">
        <v>53</v>
      </c>
      <c r="M647" s="286" t="s">
        <v>53</v>
      </c>
      <c r="N647" s="287">
        <v>79069</v>
      </c>
      <c r="O647" s="305">
        <f t="shared" si="10"/>
        <v>44742</v>
      </c>
      <c r="P647" s="286" t="s">
        <v>175</v>
      </c>
    </row>
    <row r="648" spans="1:16" hidden="1" x14ac:dyDescent="0.15">
      <c r="A648" s="286">
        <v>43780</v>
      </c>
      <c r="B648" s="288">
        <v>44742.40625</v>
      </c>
      <c r="C648" s="286" t="s">
        <v>1304</v>
      </c>
      <c r="D648" s="286" t="s">
        <v>1105</v>
      </c>
      <c r="E648" s="286" t="s">
        <v>1106</v>
      </c>
      <c r="F648" s="286" t="s">
        <v>1446</v>
      </c>
      <c r="G648" s="286" t="s">
        <v>53</v>
      </c>
      <c r="H648" s="286" t="s">
        <v>53</v>
      </c>
      <c r="I648" s="286" t="s">
        <v>1228</v>
      </c>
      <c r="J648" s="286" t="s">
        <v>1312</v>
      </c>
      <c r="K648" s="286" t="s">
        <v>53</v>
      </c>
      <c r="L648" s="286" t="s">
        <v>53</v>
      </c>
      <c r="M648" s="286" t="s">
        <v>53</v>
      </c>
      <c r="N648" s="287">
        <v>73292.929999999993</v>
      </c>
      <c r="O648" s="305">
        <f t="shared" si="10"/>
        <v>44742</v>
      </c>
      <c r="P648" s="286" t="s">
        <v>58</v>
      </c>
    </row>
    <row r="649" spans="1:16" hidden="1" x14ac:dyDescent="0.15">
      <c r="A649" s="286">
        <v>43780</v>
      </c>
      <c r="B649" s="288">
        <v>44742.40625</v>
      </c>
      <c r="C649" s="286" t="s">
        <v>1304</v>
      </c>
      <c r="D649" s="286" t="s">
        <v>1105</v>
      </c>
      <c r="E649" s="286" t="s">
        <v>1106</v>
      </c>
      <c r="F649" s="286" t="s">
        <v>1446</v>
      </c>
      <c r="G649" s="286" t="s">
        <v>53</v>
      </c>
      <c r="H649" s="286" t="s">
        <v>53</v>
      </c>
      <c r="I649" s="286" t="s">
        <v>1108</v>
      </c>
      <c r="J649" s="286" t="s">
        <v>1312</v>
      </c>
      <c r="K649" s="286" t="s">
        <v>53</v>
      </c>
      <c r="L649" s="286" t="s">
        <v>53</v>
      </c>
      <c r="M649" s="286" t="s">
        <v>53</v>
      </c>
      <c r="N649" s="287">
        <v>64889</v>
      </c>
      <c r="O649" s="305">
        <f t="shared" si="10"/>
        <v>44742</v>
      </c>
      <c r="P649" s="286" t="s">
        <v>37</v>
      </c>
    </row>
    <row r="650" spans="1:16" hidden="1" x14ac:dyDescent="0.15">
      <c r="A650" s="286">
        <v>43780</v>
      </c>
      <c r="B650" s="288">
        <v>44742.40625</v>
      </c>
      <c r="C650" s="286" t="s">
        <v>1304</v>
      </c>
      <c r="D650" s="286" t="s">
        <v>1105</v>
      </c>
      <c r="E650" s="286" t="s">
        <v>1106</v>
      </c>
      <c r="F650" s="286" t="s">
        <v>1446</v>
      </c>
      <c r="G650" s="286" t="s">
        <v>53</v>
      </c>
      <c r="H650" s="286" t="s">
        <v>53</v>
      </c>
      <c r="I650" s="286" t="s">
        <v>1230</v>
      </c>
      <c r="J650" s="286" t="s">
        <v>1312</v>
      </c>
      <c r="K650" s="286" t="s">
        <v>53</v>
      </c>
      <c r="L650" s="286" t="s">
        <v>53</v>
      </c>
      <c r="M650" s="286" t="s">
        <v>53</v>
      </c>
      <c r="N650" s="287">
        <v>40606</v>
      </c>
      <c r="O650" s="305">
        <f t="shared" si="10"/>
        <v>44742</v>
      </c>
      <c r="P650" s="286" t="s">
        <v>175</v>
      </c>
    </row>
    <row r="651" spans="1:16" hidden="1" x14ac:dyDescent="0.15">
      <c r="A651" s="286">
        <v>43780</v>
      </c>
      <c r="B651" s="288">
        <v>44742.40625</v>
      </c>
      <c r="C651" s="286" t="s">
        <v>1304</v>
      </c>
      <c r="D651" s="286" t="s">
        <v>1105</v>
      </c>
      <c r="E651" s="286" t="s">
        <v>1106</v>
      </c>
      <c r="F651" s="286" t="s">
        <v>1446</v>
      </c>
      <c r="G651" s="286" t="s">
        <v>53</v>
      </c>
      <c r="H651" s="286" t="s">
        <v>53</v>
      </c>
      <c r="I651" s="286" t="s">
        <v>1152</v>
      </c>
      <c r="J651" s="286" t="s">
        <v>1312</v>
      </c>
      <c r="K651" s="286" t="s">
        <v>53</v>
      </c>
      <c r="L651" s="286" t="s">
        <v>53</v>
      </c>
      <c r="M651" s="286" t="s">
        <v>53</v>
      </c>
      <c r="N651" s="287">
        <v>22924.29</v>
      </c>
      <c r="O651" s="305">
        <f t="shared" si="10"/>
        <v>44742</v>
      </c>
      <c r="P651" s="111" t="s">
        <v>58</v>
      </c>
    </row>
    <row r="652" spans="1:16" hidden="1" x14ac:dyDescent="0.15">
      <c r="A652" s="286">
        <v>43780</v>
      </c>
      <c r="B652" s="288">
        <v>44742.40625</v>
      </c>
      <c r="C652" s="286" t="s">
        <v>1304</v>
      </c>
      <c r="D652" s="286" t="s">
        <v>1105</v>
      </c>
      <c r="E652" s="286" t="s">
        <v>1106</v>
      </c>
      <c r="F652" s="286" t="s">
        <v>1446</v>
      </c>
      <c r="G652" s="286" t="s">
        <v>53</v>
      </c>
      <c r="H652" s="286" t="s">
        <v>53</v>
      </c>
      <c r="I652" s="286" t="s">
        <v>1235</v>
      </c>
      <c r="J652" s="286" t="s">
        <v>1312</v>
      </c>
      <c r="K652" s="286" t="s">
        <v>53</v>
      </c>
      <c r="L652" s="286" t="s">
        <v>53</v>
      </c>
      <c r="M652" s="286" t="s">
        <v>53</v>
      </c>
      <c r="N652" s="287">
        <v>16286</v>
      </c>
      <c r="O652" s="305">
        <f t="shared" si="10"/>
        <v>44742</v>
      </c>
      <c r="P652" s="286" t="s">
        <v>180</v>
      </c>
    </row>
    <row r="653" spans="1:16" hidden="1" x14ac:dyDescent="0.15">
      <c r="A653" s="286">
        <v>43780</v>
      </c>
      <c r="B653" s="288">
        <v>44742.40625</v>
      </c>
      <c r="C653" s="286" t="s">
        <v>1304</v>
      </c>
      <c r="D653" s="286" t="s">
        <v>1105</v>
      </c>
      <c r="E653" s="286" t="s">
        <v>1106</v>
      </c>
      <c r="F653" s="286" t="s">
        <v>1446</v>
      </c>
      <c r="G653" s="286" t="s">
        <v>53</v>
      </c>
      <c r="H653" s="286" t="s">
        <v>53</v>
      </c>
      <c r="I653" s="286" t="s">
        <v>1128</v>
      </c>
      <c r="J653" s="286" t="s">
        <v>1312</v>
      </c>
      <c r="K653" s="286" t="s">
        <v>53</v>
      </c>
      <c r="L653" s="286" t="s">
        <v>53</v>
      </c>
      <c r="M653" s="286" t="s">
        <v>53</v>
      </c>
      <c r="N653" s="287">
        <v>15993</v>
      </c>
      <c r="O653" s="305">
        <f t="shared" si="10"/>
        <v>44742</v>
      </c>
      <c r="P653" s="286" t="s">
        <v>47</v>
      </c>
    </row>
    <row r="654" spans="1:16" hidden="1" x14ac:dyDescent="0.15">
      <c r="A654" s="286">
        <v>43780</v>
      </c>
      <c r="B654" s="288">
        <v>44742.40625</v>
      </c>
      <c r="C654" s="286" t="s">
        <v>1304</v>
      </c>
      <c r="D654" s="286" t="s">
        <v>1105</v>
      </c>
      <c r="E654" s="286" t="s">
        <v>1106</v>
      </c>
      <c r="F654" s="286" t="s">
        <v>1446</v>
      </c>
      <c r="G654" s="286" t="s">
        <v>53</v>
      </c>
      <c r="H654" s="286" t="s">
        <v>53</v>
      </c>
      <c r="I654" s="286" t="s">
        <v>1129</v>
      </c>
      <c r="J654" s="286" t="s">
        <v>1312</v>
      </c>
      <c r="K654" s="286" t="s">
        <v>53</v>
      </c>
      <c r="L654" s="286" t="s">
        <v>53</v>
      </c>
      <c r="M654" s="286" t="s">
        <v>53</v>
      </c>
      <c r="N654" s="287">
        <v>5997.66</v>
      </c>
      <c r="O654" s="305">
        <f t="shared" si="10"/>
        <v>44742</v>
      </c>
      <c r="P654" s="286" t="s">
        <v>164</v>
      </c>
    </row>
    <row r="655" spans="1:16" hidden="1" x14ac:dyDescent="0.15">
      <c r="A655" s="286">
        <v>43780</v>
      </c>
      <c r="B655" s="288">
        <v>44742.40625</v>
      </c>
      <c r="C655" s="286" t="s">
        <v>1304</v>
      </c>
      <c r="D655" s="286" t="s">
        <v>1105</v>
      </c>
      <c r="E655" s="286" t="s">
        <v>1106</v>
      </c>
      <c r="F655" s="286" t="s">
        <v>1446</v>
      </c>
      <c r="G655" s="286" t="s">
        <v>53</v>
      </c>
      <c r="H655" s="286" t="s">
        <v>53</v>
      </c>
      <c r="I655" s="286" t="s">
        <v>1279</v>
      </c>
      <c r="J655" s="286" t="s">
        <v>1312</v>
      </c>
      <c r="K655" s="286" t="s">
        <v>53</v>
      </c>
      <c r="L655" s="286" t="s">
        <v>53</v>
      </c>
      <c r="M655" s="286" t="s">
        <v>53</v>
      </c>
      <c r="N655" s="287">
        <v>4041.84</v>
      </c>
      <c r="O655" s="305">
        <f t="shared" si="10"/>
        <v>44742</v>
      </c>
      <c r="P655" s="286" t="s">
        <v>58</v>
      </c>
    </row>
    <row r="656" spans="1:16" hidden="1" x14ac:dyDescent="0.15">
      <c r="A656" s="286">
        <v>43780</v>
      </c>
      <c r="B656" s="288">
        <v>44742.40625</v>
      </c>
      <c r="C656" s="286" t="s">
        <v>1304</v>
      </c>
      <c r="D656" s="286" t="s">
        <v>1105</v>
      </c>
      <c r="E656" s="286" t="s">
        <v>1106</v>
      </c>
      <c r="F656" s="286" t="s">
        <v>1446</v>
      </c>
      <c r="G656" s="286" t="s">
        <v>53</v>
      </c>
      <c r="H656" s="286" t="s">
        <v>53</v>
      </c>
      <c r="I656" s="286" t="s">
        <v>1301</v>
      </c>
      <c r="J656" s="286" t="s">
        <v>1312</v>
      </c>
      <c r="K656" s="286" t="s">
        <v>53</v>
      </c>
      <c r="L656" s="286" t="s">
        <v>53</v>
      </c>
      <c r="M656" s="286" t="s">
        <v>53</v>
      </c>
      <c r="N656" s="287">
        <v>3983</v>
      </c>
      <c r="O656" s="305">
        <f t="shared" si="10"/>
        <v>44742</v>
      </c>
      <c r="P656" s="286" t="s">
        <v>55</v>
      </c>
    </row>
    <row r="657" spans="1:16" hidden="1" x14ac:dyDescent="0.15">
      <c r="A657" s="286">
        <v>43780</v>
      </c>
      <c r="B657" s="288">
        <v>44742.40625</v>
      </c>
      <c r="C657" s="286" t="s">
        <v>1304</v>
      </c>
      <c r="D657" s="286" t="s">
        <v>1105</v>
      </c>
      <c r="E657" s="286" t="s">
        <v>1106</v>
      </c>
      <c r="F657" s="286" t="s">
        <v>1446</v>
      </c>
      <c r="G657" s="286" t="s">
        <v>53</v>
      </c>
      <c r="H657" s="286" t="s">
        <v>53</v>
      </c>
      <c r="I657" s="286" t="s">
        <v>1301</v>
      </c>
      <c r="J657" s="286" t="s">
        <v>53</v>
      </c>
      <c r="K657" s="286" t="s">
        <v>53</v>
      </c>
      <c r="L657" s="286" t="s">
        <v>53</v>
      </c>
      <c r="M657" s="286" t="s">
        <v>53</v>
      </c>
      <c r="N657" s="287">
        <v>-3983</v>
      </c>
      <c r="O657" s="305">
        <f t="shared" si="10"/>
        <v>44742</v>
      </c>
      <c r="P657" s="286" t="s">
        <v>55</v>
      </c>
    </row>
    <row r="658" spans="1:16" hidden="1" x14ac:dyDescent="0.15">
      <c r="A658" s="286">
        <v>43780</v>
      </c>
      <c r="B658" s="288">
        <v>44742.40625</v>
      </c>
      <c r="C658" s="286" t="s">
        <v>1304</v>
      </c>
      <c r="D658" s="286" t="s">
        <v>1105</v>
      </c>
      <c r="E658" s="286" t="s">
        <v>1106</v>
      </c>
      <c r="F658" s="286" t="s">
        <v>1446</v>
      </c>
      <c r="G658" s="286" t="s">
        <v>53</v>
      </c>
      <c r="H658" s="286" t="s">
        <v>53</v>
      </c>
      <c r="I658" s="286" t="s">
        <v>1279</v>
      </c>
      <c r="J658" s="286" t="s">
        <v>53</v>
      </c>
      <c r="K658" s="286" t="s">
        <v>53</v>
      </c>
      <c r="L658" s="286" t="s">
        <v>53</v>
      </c>
      <c r="M658" s="286" t="s">
        <v>53</v>
      </c>
      <c r="N658" s="287">
        <v>-4041.84</v>
      </c>
      <c r="O658" s="305">
        <f t="shared" si="10"/>
        <v>44742</v>
      </c>
      <c r="P658" s="286" t="s">
        <v>58</v>
      </c>
    </row>
    <row r="659" spans="1:16" hidden="1" x14ac:dyDescent="0.15">
      <c r="A659" s="286">
        <v>43780</v>
      </c>
      <c r="B659" s="288">
        <v>44742.40625</v>
      </c>
      <c r="C659" s="286" t="s">
        <v>1304</v>
      </c>
      <c r="D659" s="286" t="s">
        <v>1105</v>
      </c>
      <c r="E659" s="286" t="s">
        <v>1106</v>
      </c>
      <c r="F659" s="286" t="s">
        <v>1446</v>
      </c>
      <c r="G659" s="286" t="s">
        <v>53</v>
      </c>
      <c r="H659" s="286" t="s">
        <v>53</v>
      </c>
      <c r="I659" s="286" t="s">
        <v>1129</v>
      </c>
      <c r="J659" s="286" t="s">
        <v>53</v>
      </c>
      <c r="K659" s="286" t="s">
        <v>53</v>
      </c>
      <c r="L659" s="286" t="s">
        <v>53</v>
      </c>
      <c r="M659" s="286" t="s">
        <v>53</v>
      </c>
      <c r="N659" s="287">
        <v>-5997.66</v>
      </c>
      <c r="O659" s="305">
        <f t="shared" si="10"/>
        <v>44742</v>
      </c>
      <c r="P659" s="286" t="s">
        <v>164</v>
      </c>
    </row>
    <row r="660" spans="1:16" hidden="1" x14ac:dyDescent="0.15">
      <c r="A660" s="286">
        <v>43780</v>
      </c>
      <c r="B660" s="288">
        <v>44742.40625</v>
      </c>
      <c r="C660" s="286" t="s">
        <v>1304</v>
      </c>
      <c r="D660" s="286" t="s">
        <v>1105</v>
      </c>
      <c r="E660" s="286" t="s">
        <v>1106</v>
      </c>
      <c r="F660" s="286" t="s">
        <v>1446</v>
      </c>
      <c r="G660" s="286" t="s">
        <v>53</v>
      </c>
      <c r="H660" s="286" t="s">
        <v>53</v>
      </c>
      <c r="I660" s="286" t="s">
        <v>1128</v>
      </c>
      <c r="J660" s="286" t="s">
        <v>53</v>
      </c>
      <c r="K660" s="286" t="s">
        <v>53</v>
      </c>
      <c r="L660" s="286" t="s">
        <v>53</v>
      </c>
      <c r="M660" s="286" t="s">
        <v>53</v>
      </c>
      <c r="N660" s="287">
        <v>-15993</v>
      </c>
      <c r="O660" s="305">
        <f t="shared" si="10"/>
        <v>44742</v>
      </c>
      <c r="P660" s="286" t="s">
        <v>47</v>
      </c>
    </row>
    <row r="661" spans="1:16" hidden="1" x14ac:dyDescent="0.15">
      <c r="A661" s="286">
        <v>43780</v>
      </c>
      <c r="B661" s="288">
        <v>44742.40625</v>
      </c>
      <c r="C661" s="286" t="s">
        <v>1304</v>
      </c>
      <c r="D661" s="286" t="s">
        <v>1105</v>
      </c>
      <c r="E661" s="286" t="s">
        <v>1106</v>
      </c>
      <c r="F661" s="286" t="s">
        <v>1446</v>
      </c>
      <c r="G661" s="286" t="s">
        <v>53</v>
      </c>
      <c r="H661" s="286" t="s">
        <v>53</v>
      </c>
      <c r="I661" s="286" t="s">
        <v>1235</v>
      </c>
      <c r="J661" s="286" t="s">
        <v>53</v>
      </c>
      <c r="K661" s="286" t="s">
        <v>53</v>
      </c>
      <c r="L661" s="286" t="s">
        <v>53</v>
      </c>
      <c r="M661" s="286" t="s">
        <v>53</v>
      </c>
      <c r="N661" s="287">
        <v>-16286</v>
      </c>
      <c r="O661" s="305">
        <f t="shared" si="10"/>
        <v>44742</v>
      </c>
      <c r="P661" s="286" t="s">
        <v>180</v>
      </c>
    </row>
    <row r="662" spans="1:16" hidden="1" x14ac:dyDescent="0.15">
      <c r="A662" s="286">
        <v>43780</v>
      </c>
      <c r="B662" s="288">
        <v>44742.40625</v>
      </c>
      <c r="C662" s="286" t="s">
        <v>1304</v>
      </c>
      <c r="D662" s="286" t="s">
        <v>1105</v>
      </c>
      <c r="E662" s="286" t="s">
        <v>1106</v>
      </c>
      <c r="F662" s="286" t="s">
        <v>1446</v>
      </c>
      <c r="G662" s="286" t="s">
        <v>53</v>
      </c>
      <c r="H662" s="286" t="s">
        <v>53</v>
      </c>
      <c r="I662" s="286" t="s">
        <v>1152</v>
      </c>
      <c r="J662" s="286" t="s">
        <v>53</v>
      </c>
      <c r="K662" s="286" t="s">
        <v>53</v>
      </c>
      <c r="L662" s="286" t="s">
        <v>53</v>
      </c>
      <c r="M662" s="286" t="s">
        <v>53</v>
      </c>
      <c r="N662" s="287">
        <v>-22924.29</v>
      </c>
      <c r="O662" s="305">
        <f t="shared" si="10"/>
        <v>44742</v>
      </c>
      <c r="P662" s="111" t="s">
        <v>58</v>
      </c>
    </row>
    <row r="663" spans="1:16" hidden="1" x14ac:dyDescent="0.15">
      <c r="A663" s="286">
        <v>43780</v>
      </c>
      <c r="B663" s="288">
        <v>44742.40625</v>
      </c>
      <c r="C663" s="286" t="s">
        <v>1304</v>
      </c>
      <c r="D663" s="286" t="s">
        <v>1105</v>
      </c>
      <c r="E663" s="286" t="s">
        <v>1106</v>
      </c>
      <c r="F663" s="286" t="s">
        <v>1446</v>
      </c>
      <c r="G663" s="286" t="s">
        <v>53</v>
      </c>
      <c r="H663" s="286" t="s">
        <v>53</v>
      </c>
      <c r="I663" s="286" t="s">
        <v>1230</v>
      </c>
      <c r="J663" s="286" t="s">
        <v>53</v>
      </c>
      <c r="K663" s="286" t="s">
        <v>53</v>
      </c>
      <c r="L663" s="286" t="s">
        <v>53</v>
      </c>
      <c r="M663" s="286" t="s">
        <v>53</v>
      </c>
      <c r="N663" s="287">
        <v>-40606</v>
      </c>
      <c r="O663" s="305">
        <f t="shared" si="10"/>
        <v>44742</v>
      </c>
      <c r="P663" s="286" t="s">
        <v>175</v>
      </c>
    </row>
    <row r="664" spans="1:16" hidden="1" x14ac:dyDescent="0.15">
      <c r="A664" s="286">
        <v>43780</v>
      </c>
      <c r="B664" s="288">
        <v>44742.40625</v>
      </c>
      <c r="C664" s="286" t="s">
        <v>1304</v>
      </c>
      <c r="D664" s="286" t="s">
        <v>1105</v>
      </c>
      <c r="E664" s="286" t="s">
        <v>1106</v>
      </c>
      <c r="F664" s="286" t="s">
        <v>1446</v>
      </c>
      <c r="G664" s="286" t="s">
        <v>53</v>
      </c>
      <c r="H664" s="286" t="s">
        <v>53</v>
      </c>
      <c r="I664" s="286" t="s">
        <v>1108</v>
      </c>
      <c r="J664" s="286" t="s">
        <v>53</v>
      </c>
      <c r="K664" s="286" t="s">
        <v>53</v>
      </c>
      <c r="L664" s="286" t="s">
        <v>53</v>
      </c>
      <c r="M664" s="286" t="s">
        <v>53</v>
      </c>
      <c r="N664" s="287">
        <v>-64889</v>
      </c>
      <c r="O664" s="305">
        <f t="shared" si="10"/>
        <v>44742</v>
      </c>
      <c r="P664" s="286" t="s">
        <v>37</v>
      </c>
    </row>
    <row r="665" spans="1:16" hidden="1" x14ac:dyDescent="0.15">
      <c r="A665" s="286">
        <v>43780</v>
      </c>
      <c r="B665" s="288">
        <v>44742.40625</v>
      </c>
      <c r="C665" s="286" t="s">
        <v>1304</v>
      </c>
      <c r="D665" s="286" t="s">
        <v>1105</v>
      </c>
      <c r="E665" s="286" t="s">
        <v>1106</v>
      </c>
      <c r="F665" s="286" t="s">
        <v>1446</v>
      </c>
      <c r="G665" s="286" t="s">
        <v>53</v>
      </c>
      <c r="H665" s="286" t="s">
        <v>53</v>
      </c>
      <c r="I665" s="286" t="s">
        <v>1228</v>
      </c>
      <c r="J665" s="286" t="s">
        <v>53</v>
      </c>
      <c r="K665" s="286" t="s">
        <v>53</v>
      </c>
      <c r="L665" s="286" t="s">
        <v>53</v>
      </c>
      <c r="M665" s="286" t="s">
        <v>53</v>
      </c>
      <c r="N665" s="287">
        <v>-73292.929999999993</v>
      </c>
      <c r="O665" s="305">
        <f t="shared" si="10"/>
        <v>44742</v>
      </c>
      <c r="P665" s="286" t="s">
        <v>58</v>
      </c>
    </row>
    <row r="666" spans="1:16" hidden="1" x14ac:dyDescent="0.15">
      <c r="A666" s="286">
        <v>43780</v>
      </c>
      <c r="B666" s="288">
        <v>44742.40625</v>
      </c>
      <c r="C666" s="286" t="s">
        <v>1304</v>
      </c>
      <c r="D666" s="286" t="s">
        <v>1105</v>
      </c>
      <c r="E666" s="286" t="s">
        <v>1106</v>
      </c>
      <c r="F666" s="286" t="s">
        <v>1446</v>
      </c>
      <c r="G666" s="286" t="s">
        <v>53</v>
      </c>
      <c r="H666" s="286" t="s">
        <v>53</v>
      </c>
      <c r="I666" s="286" t="s">
        <v>1112</v>
      </c>
      <c r="J666" s="286" t="s">
        <v>53</v>
      </c>
      <c r="K666" s="286" t="s">
        <v>53</v>
      </c>
      <c r="L666" s="286" t="s">
        <v>53</v>
      </c>
      <c r="M666" s="286" t="s">
        <v>53</v>
      </c>
      <c r="N666" s="287">
        <v>-79069</v>
      </c>
      <c r="O666" s="305">
        <f t="shared" si="10"/>
        <v>44742</v>
      </c>
      <c r="P666" s="286" t="s">
        <v>175</v>
      </c>
    </row>
    <row r="667" spans="1:16" hidden="1" x14ac:dyDescent="0.15">
      <c r="A667" s="286">
        <v>43780</v>
      </c>
      <c r="B667" s="288">
        <v>44742.40625</v>
      </c>
      <c r="C667" s="286" t="s">
        <v>1304</v>
      </c>
      <c r="D667" s="286" t="s">
        <v>1105</v>
      </c>
      <c r="E667" s="286" t="s">
        <v>1106</v>
      </c>
      <c r="F667" s="286" t="s">
        <v>1446</v>
      </c>
      <c r="G667" s="286" t="s">
        <v>53</v>
      </c>
      <c r="H667" s="286" t="s">
        <v>53</v>
      </c>
      <c r="I667" s="286" t="s">
        <v>1199</v>
      </c>
      <c r="J667" s="286" t="s">
        <v>53</v>
      </c>
      <c r="K667" s="286" t="s">
        <v>53</v>
      </c>
      <c r="L667" s="286" t="s">
        <v>53</v>
      </c>
      <c r="M667" s="286" t="s">
        <v>53</v>
      </c>
      <c r="N667" s="287">
        <v>-120771.79</v>
      </c>
      <c r="O667" s="305">
        <f t="shared" si="10"/>
        <v>44742</v>
      </c>
      <c r="P667" s="286" t="s">
        <v>58</v>
      </c>
    </row>
    <row r="668" spans="1:16" hidden="1" x14ac:dyDescent="0.15">
      <c r="A668" s="286">
        <v>43787</v>
      </c>
      <c r="B668" s="288">
        <v>44742.449305555558</v>
      </c>
      <c r="C668" s="286" t="s">
        <v>1306</v>
      </c>
      <c r="D668" s="286" t="s">
        <v>1105</v>
      </c>
      <c r="E668" s="286" t="s">
        <v>1106</v>
      </c>
      <c r="F668" s="286" t="s">
        <v>1447</v>
      </c>
      <c r="G668" s="286" t="s">
        <v>53</v>
      </c>
      <c r="H668" s="286" t="s">
        <v>53</v>
      </c>
      <c r="I668" s="286" t="s">
        <v>1108</v>
      </c>
      <c r="J668" s="286" t="s">
        <v>1312</v>
      </c>
      <c r="K668" s="286" t="s">
        <v>53</v>
      </c>
      <c r="L668" s="286" t="s">
        <v>53</v>
      </c>
      <c r="M668" s="286" t="s">
        <v>53</v>
      </c>
      <c r="N668" s="287">
        <v>178072</v>
      </c>
      <c r="O668" s="305">
        <f t="shared" si="10"/>
        <v>44742</v>
      </c>
      <c r="P668" s="286" t="s">
        <v>37</v>
      </c>
    </row>
    <row r="669" spans="1:16" hidden="1" x14ac:dyDescent="0.15">
      <c r="A669" s="286">
        <v>43787</v>
      </c>
      <c r="B669" s="288">
        <v>44742.449305555558</v>
      </c>
      <c r="C669" s="286" t="s">
        <v>1306</v>
      </c>
      <c r="D669" s="286" t="s">
        <v>1105</v>
      </c>
      <c r="E669" s="286" t="s">
        <v>1106</v>
      </c>
      <c r="F669" s="286" t="s">
        <v>1447</v>
      </c>
      <c r="G669" s="286" t="s">
        <v>53</v>
      </c>
      <c r="H669" s="286" t="s">
        <v>53</v>
      </c>
      <c r="I669" s="286" t="s">
        <v>1199</v>
      </c>
      <c r="J669" s="286" t="s">
        <v>1312</v>
      </c>
      <c r="K669" s="286" t="s">
        <v>53</v>
      </c>
      <c r="L669" s="286" t="s">
        <v>53</v>
      </c>
      <c r="M669" s="286" t="s">
        <v>53</v>
      </c>
      <c r="N669" s="287">
        <v>122893.28</v>
      </c>
      <c r="O669" s="305">
        <f t="shared" si="10"/>
        <v>44742</v>
      </c>
      <c r="P669" s="286" t="s">
        <v>58</v>
      </c>
    </row>
    <row r="670" spans="1:16" hidden="1" x14ac:dyDescent="0.15">
      <c r="A670" s="286">
        <v>43787</v>
      </c>
      <c r="B670" s="288">
        <v>44742.449305555558</v>
      </c>
      <c r="C670" s="286" t="s">
        <v>1306</v>
      </c>
      <c r="D670" s="286" t="s">
        <v>1105</v>
      </c>
      <c r="E670" s="286" t="s">
        <v>1106</v>
      </c>
      <c r="F670" s="286" t="s">
        <v>1447</v>
      </c>
      <c r="G670" s="286" t="s">
        <v>53</v>
      </c>
      <c r="H670" s="286" t="s">
        <v>53</v>
      </c>
      <c r="I670" s="286" t="s">
        <v>1228</v>
      </c>
      <c r="J670" s="286" t="s">
        <v>1312</v>
      </c>
      <c r="K670" s="286" t="s">
        <v>53</v>
      </c>
      <c r="L670" s="286" t="s">
        <v>53</v>
      </c>
      <c r="M670" s="286" t="s">
        <v>53</v>
      </c>
      <c r="N670" s="287">
        <v>70250.25</v>
      </c>
      <c r="O670" s="305">
        <f t="shared" si="10"/>
        <v>44742</v>
      </c>
      <c r="P670" s="286" t="s">
        <v>58</v>
      </c>
    </row>
    <row r="671" spans="1:16" hidden="1" x14ac:dyDescent="0.15">
      <c r="A671" s="286">
        <v>43787</v>
      </c>
      <c r="B671" s="288">
        <v>44742.449305555558</v>
      </c>
      <c r="C671" s="286" t="s">
        <v>1306</v>
      </c>
      <c r="D671" s="286" t="s">
        <v>1105</v>
      </c>
      <c r="E671" s="286" t="s">
        <v>1106</v>
      </c>
      <c r="F671" s="286" t="s">
        <v>1447</v>
      </c>
      <c r="G671" s="286" t="s">
        <v>53</v>
      </c>
      <c r="H671" s="286" t="s">
        <v>53</v>
      </c>
      <c r="I671" s="286" t="s">
        <v>1230</v>
      </c>
      <c r="J671" s="286" t="s">
        <v>1312</v>
      </c>
      <c r="K671" s="286" t="s">
        <v>53</v>
      </c>
      <c r="L671" s="286" t="s">
        <v>53</v>
      </c>
      <c r="M671" s="286" t="s">
        <v>53</v>
      </c>
      <c r="N671" s="287">
        <v>63165.61</v>
      </c>
      <c r="O671" s="305">
        <f t="shared" si="10"/>
        <v>44742</v>
      </c>
      <c r="P671" s="286" t="s">
        <v>175</v>
      </c>
    </row>
    <row r="672" spans="1:16" hidden="1" x14ac:dyDescent="0.15">
      <c r="A672" s="286">
        <v>43787</v>
      </c>
      <c r="B672" s="288">
        <v>44742.449305555558</v>
      </c>
      <c r="C672" s="286" t="s">
        <v>1306</v>
      </c>
      <c r="D672" s="286" t="s">
        <v>1105</v>
      </c>
      <c r="E672" s="286" t="s">
        <v>1106</v>
      </c>
      <c r="F672" s="286" t="s">
        <v>1447</v>
      </c>
      <c r="G672" s="286" t="s">
        <v>53</v>
      </c>
      <c r="H672" s="286" t="s">
        <v>53</v>
      </c>
      <c r="I672" s="286" t="s">
        <v>1112</v>
      </c>
      <c r="J672" s="286" t="s">
        <v>1312</v>
      </c>
      <c r="K672" s="286" t="s">
        <v>53</v>
      </c>
      <c r="L672" s="286" t="s">
        <v>53</v>
      </c>
      <c r="M672" s="286" t="s">
        <v>53</v>
      </c>
      <c r="N672" s="287">
        <v>42575.7</v>
      </c>
      <c r="O672" s="305">
        <f t="shared" si="10"/>
        <v>44742</v>
      </c>
      <c r="P672" s="286" t="s">
        <v>175</v>
      </c>
    </row>
    <row r="673" spans="1:16" hidden="1" x14ac:dyDescent="0.15">
      <c r="A673" s="286">
        <v>43787</v>
      </c>
      <c r="B673" s="288">
        <v>44742.449305555558</v>
      </c>
      <c r="C673" s="286" t="s">
        <v>1306</v>
      </c>
      <c r="D673" s="286" t="s">
        <v>1105</v>
      </c>
      <c r="E673" s="286" t="s">
        <v>1106</v>
      </c>
      <c r="F673" s="286" t="s">
        <v>1447</v>
      </c>
      <c r="G673" s="286" t="s">
        <v>53</v>
      </c>
      <c r="H673" s="286" t="s">
        <v>53</v>
      </c>
      <c r="I673" s="286" t="s">
        <v>1128</v>
      </c>
      <c r="J673" s="286" t="s">
        <v>1312</v>
      </c>
      <c r="K673" s="286" t="s">
        <v>53</v>
      </c>
      <c r="L673" s="286" t="s">
        <v>53</v>
      </c>
      <c r="M673" s="286" t="s">
        <v>53</v>
      </c>
      <c r="N673" s="287">
        <v>31743</v>
      </c>
      <c r="O673" s="305">
        <f t="shared" si="10"/>
        <v>44742</v>
      </c>
      <c r="P673" s="286" t="s">
        <v>47</v>
      </c>
    </row>
    <row r="674" spans="1:16" hidden="1" x14ac:dyDescent="0.15">
      <c r="A674" s="286">
        <v>43787</v>
      </c>
      <c r="B674" s="288">
        <v>44742.449305555558</v>
      </c>
      <c r="C674" s="286" t="s">
        <v>1306</v>
      </c>
      <c r="D674" s="286" t="s">
        <v>1105</v>
      </c>
      <c r="E674" s="286" t="s">
        <v>1106</v>
      </c>
      <c r="F674" s="286" t="s">
        <v>1447</v>
      </c>
      <c r="G674" s="286" t="s">
        <v>53</v>
      </c>
      <c r="H674" s="286" t="s">
        <v>53</v>
      </c>
      <c r="I674" s="286" t="s">
        <v>1152</v>
      </c>
      <c r="J674" s="286" t="s">
        <v>1312</v>
      </c>
      <c r="K674" s="286" t="s">
        <v>53</v>
      </c>
      <c r="L674" s="286" t="s">
        <v>53</v>
      </c>
      <c r="M674" s="286" t="s">
        <v>53</v>
      </c>
      <c r="N674" s="287">
        <v>22924.28</v>
      </c>
      <c r="O674" s="305">
        <f t="shared" si="10"/>
        <v>44742</v>
      </c>
      <c r="P674" s="111" t="s">
        <v>58</v>
      </c>
    </row>
    <row r="675" spans="1:16" hidden="1" x14ac:dyDescent="0.15">
      <c r="A675" s="286">
        <v>43787</v>
      </c>
      <c r="B675" s="288">
        <v>44742.449305555558</v>
      </c>
      <c r="C675" s="286" t="s">
        <v>1306</v>
      </c>
      <c r="D675" s="286" t="s">
        <v>1105</v>
      </c>
      <c r="E675" s="286" t="s">
        <v>1106</v>
      </c>
      <c r="F675" s="286" t="s">
        <v>1447</v>
      </c>
      <c r="G675" s="286" t="s">
        <v>53</v>
      </c>
      <c r="H675" s="286" t="s">
        <v>53</v>
      </c>
      <c r="I675" s="286" t="s">
        <v>1121</v>
      </c>
      <c r="J675" s="286" t="s">
        <v>1312</v>
      </c>
      <c r="K675" s="286" t="s">
        <v>53</v>
      </c>
      <c r="L675" s="286" t="s">
        <v>53</v>
      </c>
      <c r="M675" s="286" t="s">
        <v>53</v>
      </c>
      <c r="N675" s="287">
        <v>12630</v>
      </c>
      <c r="O675" s="305">
        <f t="shared" si="10"/>
        <v>44742</v>
      </c>
      <c r="P675" s="286" t="s">
        <v>248</v>
      </c>
    </row>
    <row r="676" spans="1:16" hidden="1" x14ac:dyDescent="0.15">
      <c r="A676" s="286">
        <v>43787</v>
      </c>
      <c r="B676" s="288">
        <v>44742.449305555558</v>
      </c>
      <c r="C676" s="286" t="s">
        <v>1306</v>
      </c>
      <c r="D676" s="286" t="s">
        <v>1105</v>
      </c>
      <c r="E676" s="286" t="s">
        <v>1106</v>
      </c>
      <c r="F676" s="286" t="s">
        <v>1447</v>
      </c>
      <c r="G676" s="286" t="s">
        <v>53</v>
      </c>
      <c r="H676" s="286" t="s">
        <v>53</v>
      </c>
      <c r="I676" s="286" t="s">
        <v>1301</v>
      </c>
      <c r="J676" s="286" t="s">
        <v>1312</v>
      </c>
      <c r="K676" s="286" t="s">
        <v>53</v>
      </c>
      <c r="L676" s="286" t="s">
        <v>53</v>
      </c>
      <c r="M676" s="286" t="s">
        <v>53</v>
      </c>
      <c r="N676" s="287">
        <v>9261</v>
      </c>
      <c r="O676" s="305">
        <f t="shared" si="10"/>
        <v>44742</v>
      </c>
      <c r="P676" s="286" t="s">
        <v>55</v>
      </c>
    </row>
    <row r="677" spans="1:16" hidden="1" x14ac:dyDescent="0.15">
      <c r="A677" s="286">
        <v>43787</v>
      </c>
      <c r="B677" s="288">
        <v>44742.449305555558</v>
      </c>
      <c r="C677" s="286" t="s">
        <v>1306</v>
      </c>
      <c r="D677" s="286" t="s">
        <v>1105</v>
      </c>
      <c r="E677" s="286" t="s">
        <v>1106</v>
      </c>
      <c r="F677" s="286" t="s">
        <v>1447</v>
      </c>
      <c r="G677" s="286" t="s">
        <v>53</v>
      </c>
      <c r="H677" s="286" t="s">
        <v>53</v>
      </c>
      <c r="I677" s="286" t="s">
        <v>1204</v>
      </c>
      <c r="J677" s="286" t="s">
        <v>1312</v>
      </c>
      <c r="K677" s="286" t="s">
        <v>53</v>
      </c>
      <c r="L677" s="286" t="s">
        <v>53</v>
      </c>
      <c r="M677" s="286" t="s">
        <v>53</v>
      </c>
      <c r="N677" s="287">
        <v>8053</v>
      </c>
      <c r="O677" s="305">
        <f t="shared" si="10"/>
        <v>44742</v>
      </c>
      <c r="P677" s="286" t="s">
        <v>49</v>
      </c>
    </row>
    <row r="678" spans="1:16" hidden="1" x14ac:dyDescent="0.15">
      <c r="A678" s="286">
        <v>43787</v>
      </c>
      <c r="B678" s="288">
        <v>44742.449305555558</v>
      </c>
      <c r="C678" s="286" t="s">
        <v>1306</v>
      </c>
      <c r="D678" s="286" t="s">
        <v>1105</v>
      </c>
      <c r="E678" s="286" t="s">
        <v>1106</v>
      </c>
      <c r="F678" s="286" t="s">
        <v>1447</v>
      </c>
      <c r="G678" s="286" t="s">
        <v>53</v>
      </c>
      <c r="H678" s="286" t="s">
        <v>53</v>
      </c>
      <c r="I678" s="286" t="s">
        <v>1279</v>
      </c>
      <c r="J678" s="286" t="s">
        <v>1312</v>
      </c>
      <c r="K678" s="286" t="s">
        <v>53</v>
      </c>
      <c r="L678" s="286" t="s">
        <v>53</v>
      </c>
      <c r="M678" s="286" t="s">
        <v>53</v>
      </c>
      <c r="N678" s="287">
        <v>4041.82</v>
      </c>
      <c r="O678" s="305">
        <f t="shared" si="10"/>
        <v>44742</v>
      </c>
      <c r="P678" s="286" t="s">
        <v>58</v>
      </c>
    </row>
    <row r="679" spans="1:16" hidden="1" x14ac:dyDescent="0.15">
      <c r="A679" s="286">
        <v>43787</v>
      </c>
      <c r="B679" s="288">
        <v>44742.449305555558</v>
      </c>
      <c r="C679" s="286" t="s">
        <v>1306</v>
      </c>
      <c r="D679" s="286" t="s">
        <v>1105</v>
      </c>
      <c r="E679" s="286" t="s">
        <v>1106</v>
      </c>
      <c r="F679" s="286" t="s">
        <v>1447</v>
      </c>
      <c r="G679" s="286" t="s">
        <v>53</v>
      </c>
      <c r="H679" s="286" t="s">
        <v>53</v>
      </c>
      <c r="I679" s="286" t="s">
        <v>1109</v>
      </c>
      <c r="J679" s="286" t="s">
        <v>1312</v>
      </c>
      <c r="K679" s="286" t="s">
        <v>53</v>
      </c>
      <c r="L679" s="286" t="s">
        <v>53</v>
      </c>
      <c r="M679" s="286" t="s">
        <v>53</v>
      </c>
      <c r="N679" s="287">
        <v>2500</v>
      </c>
      <c r="O679" s="305">
        <f t="shared" si="10"/>
        <v>44742</v>
      </c>
    </row>
    <row r="680" spans="1:16" hidden="1" x14ac:dyDescent="0.15">
      <c r="A680" s="286">
        <v>43787</v>
      </c>
      <c r="B680" s="288">
        <v>44742.449305555558</v>
      </c>
      <c r="C680" s="286" t="s">
        <v>1306</v>
      </c>
      <c r="D680" s="286" t="s">
        <v>1105</v>
      </c>
      <c r="E680" s="286" t="s">
        <v>1106</v>
      </c>
      <c r="F680" s="286" t="s">
        <v>1447</v>
      </c>
      <c r="G680" s="286" t="s">
        <v>53</v>
      </c>
      <c r="H680" s="286" t="s">
        <v>53</v>
      </c>
      <c r="I680" s="286" t="s">
        <v>1129</v>
      </c>
      <c r="J680" s="286" t="s">
        <v>1312</v>
      </c>
      <c r="K680" s="286" t="s">
        <v>53</v>
      </c>
      <c r="L680" s="286" t="s">
        <v>53</v>
      </c>
      <c r="M680" s="286" t="s">
        <v>53</v>
      </c>
      <c r="N680" s="287">
        <v>1743.25</v>
      </c>
      <c r="O680" s="305">
        <f t="shared" si="10"/>
        <v>44742</v>
      </c>
      <c r="P680" s="286" t="s">
        <v>164</v>
      </c>
    </row>
    <row r="681" spans="1:16" hidden="1" x14ac:dyDescent="0.15">
      <c r="A681" s="286">
        <v>43787</v>
      </c>
      <c r="B681" s="288">
        <v>44742.449305555558</v>
      </c>
      <c r="C681" s="286" t="s">
        <v>1306</v>
      </c>
      <c r="D681" s="286" t="s">
        <v>1105</v>
      </c>
      <c r="E681" s="286" t="s">
        <v>1106</v>
      </c>
      <c r="F681" s="286" t="s">
        <v>1447</v>
      </c>
      <c r="G681" s="286" t="s">
        <v>53</v>
      </c>
      <c r="H681" s="286" t="s">
        <v>53</v>
      </c>
      <c r="I681" s="286" t="s">
        <v>1129</v>
      </c>
      <c r="J681" s="286" t="s">
        <v>53</v>
      </c>
      <c r="K681" s="286" t="s">
        <v>53</v>
      </c>
      <c r="L681" s="286" t="s">
        <v>53</v>
      </c>
      <c r="M681" s="286" t="s">
        <v>53</v>
      </c>
      <c r="N681" s="287">
        <v>-1743.25</v>
      </c>
      <c r="O681" s="305">
        <f t="shared" si="10"/>
        <v>44742</v>
      </c>
      <c r="P681" s="286" t="s">
        <v>164</v>
      </c>
    </row>
    <row r="682" spans="1:16" hidden="1" x14ac:dyDescent="0.15">
      <c r="A682" s="286">
        <v>43787</v>
      </c>
      <c r="B682" s="288">
        <v>44742.449305555558</v>
      </c>
      <c r="C682" s="286" t="s">
        <v>1306</v>
      </c>
      <c r="D682" s="286" t="s">
        <v>1105</v>
      </c>
      <c r="E682" s="286" t="s">
        <v>1106</v>
      </c>
      <c r="F682" s="286" t="s">
        <v>1447</v>
      </c>
      <c r="G682" s="286" t="s">
        <v>53</v>
      </c>
      <c r="H682" s="286" t="s">
        <v>53</v>
      </c>
      <c r="I682" s="286" t="s">
        <v>1109</v>
      </c>
      <c r="J682" s="286" t="s">
        <v>53</v>
      </c>
      <c r="K682" s="286" t="s">
        <v>53</v>
      </c>
      <c r="L682" s="286" t="s">
        <v>53</v>
      </c>
      <c r="M682" s="286" t="s">
        <v>53</v>
      </c>
      <c r="N682" s="287">
        <v>-2500</v>
      </c>
      <c r="O682" s="305">
        <f t="shared" si="10"/>
        <v>44742</v>
      </c>
    </row>
    <row r="683" spans="1:16" hidden="1" x14ac:dyDescent="0.15">
      <c r="A683" s="286">
        <v>43787</v>
      </c>
      <c r="B683" s="288">
        <v>44742.449305555558</v>
      </c>
      <c r="C683" s="286" t="s">
        <v>1306</v>
      </c>
      <c r="D683" s="286" t="s">
        <v>1105</v>
      </c>
      <c r="E683" s="286" t="s">
        <v>1106</v>
      </c>
      <c r="F683" s="286" t="s">
        <v>1447</v>
      </c>
      <c r="G683" s="286" t="s">
        <v>53</v>
      </c>
      <c r="H683" s="286" t="s">
        <v>53</v>
      </c>
      <c r="I683" s="286" t="s">
        <v>1279</v>
      </c>
      <c r="J683" s="286" t="s">
        <v>53</v>
      </c>
      <c r="K683" s="286" t="s">
        <v>53</v>
      </c>
      <c r="L683" s="286" t="s">
        <v>53</v>
      </c>
      <c r="M683" s="286" t="s">
        <v>53</v>
      </c>
      <c r="N683" s="287">
        <v>-4041.82</v>
      </c>
      <c r="O683" s="305">
        <f t="shared" si="10"/>
        <v>44742</v>
      </c>
      <c r="P683" s="286" t="s">
        <v>58</v>
      </c>
    </row>
    <row r="684" spans="1:16" hidden="1" x14ac:dyDescent="0.15">
      <c r="A684" s="286">
        <v>43787</v>
      </c>
      <c r="B684" s="288">
        <v>44742.449305555558</v>
      </c>
      <c r="C684" s="286" t="s">
        <v>1306</v>
      </c>
      <c r="D684" s="286" t="s">
        <v>1105</v>
      </c>
      <c r="E684" s="286" t="s">
        <v>1106</v>
      </c>
      <c r="F684" s="286" t="s">
        <v>1447</v>
      </c>
      <c r="G684" s="286" t="s">
        <v>53</v>
      </c>
      <c r="H684" s="286" t="s">
        <v>53</v>
      </c>
      <c r="I684" s="286" t="s">
        <v>1204</v>
      </c>
      <c r="J684" s="286" t="s">
        <v>53</v>
      </c>
      <c r="K684" s="286" t="s">
        <v>53</v>
      </c>
      <c r="L684" s="286" t="s">
        <v>53</v>
      </c>
      <c r="M684" s="286" t="s">
        <v>53</v>
      </c>
      <c r="N684" s="287">
        <v>-8053</v>
      </c>
      <c r="O684" s="305">
        <f t="shared" si="10"/>
        <v>44742</v>
      </c>
      <c r="P684" s="286" t="s">
        <v>49</v>
      </c>
    </row>
    <row r="685" spans="1:16" hidden="1" x14ac:dyDescent="0.15">
      <c r="A685" s="286">
        <v>43787</v>
      </c>
      <c r="B685" s="288">
        <v>44742.449305555558</v>
      </c>
      <c r="C685" s="286" t="s">
        <v>1306</v>
      </c>
      <c r="D685" s="286" t="s">
        <v>1105</v>
      </c>
      <c r="E685" s="286" t="s">
        <v>1106</v>
      </c>
      <c r="F685" s="286" t="s">
        <v>1447</v>
      </c>
      <c r="G685" s="286" t="s">
        <v>53</v>
      </c>
      <c r="H685" s="286" t="s">
        <v>53</v>
      </c>
      <c r="I685" s="286" t="s">
        <v>1301</v>
      </c>
      <c r="J685" s="286" t="s">
        <v>53</v>
      </c>
      <c r="K685" s="286" t="s">
        <v>53</v>
      </c>
      <c r="L685" s="286" t="s">
        <v>53</v>
      </c>
      <c r="M685" s="286" t="s">
        <v>53</v>
      </c>
      <c r="N685" s="287">
        <v>-9261</v>
      </c>
      <c r="O685" s="305">
        <f t="shared" si="10"/>
        <v>44742</v>
      </c>
      <c r="P685" s="286" t="s">
        <v>55</v>
      </c>
    </row>
    <row r="686" spans="1:16" hidden="1" x14ac:dyDescent="0.15">
      <c r="A686" s="286">
        <v>43787</v>
      </c>
      <c r="B686" s="288">
        <v>44742.449305555558</v>
      </c>
      <c r="C686" s="286" t="s">
        <v>1306</v>
      </c>
      <c r="D686" s="286" t="s">
        <v>1105</v>
      </c>
      <c r="E686" s="286" t="s">
        <v>1106</v>
      </c>
      <c r="F686" s="286" t="s">
        <v>1447</v>
      </c>
      <c r="G686" s="286" t="s">
        <v>53</v>
      </c>
      <c r="H686" s="286" t="s">
        <v>53</v>
      </c>
      <c r="I686" s="286" t="s">
        <v>1121</v>
      </c>
      <c r="J686" s="286" t="s">
        <v>53</v>
      </c>
      <c r="K686" s="286" t="s">
        <v>53</v>
      </c>
      <c r="L686" s="286" t="s">
        <v>53</v>
      </c>
      <c r="M686" s="286" t="s">
        <v>53</v>
      </c>
      <c r="N686" s="287">
        <v>-12630</v>
      </c>
      <c r="O686" s="305">
        <f t="shared" si="10"/>
        <v>44742</v>
      </c>
      <c r="P686" s="286" t="s">
        <v>248</v>
      </c>
    </row>
    <row r="687" spans="1:16" hidden="1" x14ac:dyDescent="0.15">
      <c r="A687" s="286">
        <v>43787</v>
      </c>
      <c r="B687" s="288">
        <v>44742.449305555558</v>
      </c>
      <c r="C687" s="286" t="s">
        <v>1306</v>
      </c>
      <c r="D687" s="286" t="s">
        <v>1105</v>
      </c>
      <c r="E687" s="286" t="s">
        <v>1106</v>
      </c>
      <c r="F687" s="286" t="s">
        <v>1447</v>
      </c>
      <c r="G687" s="286" t="s">
        <v>53</v>
      </c>
      <c r="H687" s="286" t="s">
        <v>53</v>
      </c>
      <c r="I687" s="286" t="s">
        <v>1152</v>
      </c>
      <c r="J687" s="286" t="s">
        <v>53</v>
      </c>
      <c r="K687" s="286" t="s">
        <v>53</v>
      </c>
      <c r="L687" s="286" t="s">
        <v>53</v>
      </c>
      <c r="M687" s="286" t="s">
        <v>53</v>
      </c>
      <c r="N687" s="287">
        <v>-22924.28</v>
      </c>
      <c r="O687" s="305">
        <f t="shared" si="10"/>
        <v>44742</v>
      </c>
      <c r="P687" s="111" t="s">
        <v>58</v>
      </c>
    </row>
    <row r="688" spans="1:16" hidden="1" x14ac:dyDescent="0.15">
      <c r="A688" s="286">
        <v>43787</v>
      </c>
      <c r="B688" s="288">
        <v>44742.449305555558</v>
      </c>
      <c r="C688" s="286" t="s">
        <v>1306</v>
      </c>
      <c r="D688" s="286" t="s">
        <v>1105</v>
      </c>
      <c r="E688" s="286" t="s">
        <v>1106</v>
      </c>
      <c r="F688" s="286" t="s">
        <v>1447</v>
      </c>
      <c r="G688" s="286" t="s">
        <v>53</v>
      </c>
      <c r="H688" s="286" t="s">
        <v>53</v>
      </c>
      <c r="I688" s="286" t="s">
        <v>1128</v>
      </c>
      <c r="J688" s="286" t="s">
        <v>53</v>
      </c>
      <c r="K688" s="286" t="s">
        <v>53</v>
      </c>
      <c r="L688" s="286" t="s">
        <v>53</v>
      </c>
      <c r="M688" s="286" t="s">
        <v>53</v>
      </c>
      <c r="N688" s="287">
        <v>-31743</v>
      </c>
      <c r="O688" s="305">
        <f t="shared" si="10"/>
        <v>44742</v>
      </c>
      <c r="P688" s="286" t="s">
        <v>47</v>
      </c>
    </row>
    <row r="689" spans="1:16" hidden="1" x14ac:dyDescent="0.15">
      <c r="A689" s="286">
        <v>43787</v>
      </c>
      <c r="B689" s="288">
        <v>44742.449305555558</v>
      </c>
      <c r="C689" s="286" t="s">
        <v>1306</v>
      </c>
      <c r="D689" s="286" t="s">
        <v>1105</v>
      </c>
      <c r="E689" s="286" t="s">
        <v>1106</v>
      </c>
      <c r="F689" s="286" t="s">
        <v>1447</v>
      </c>
      <c r="G689" s="286" t="s">
        <v>53</v>
      </c>
      <c r="H689" s="286" t="s">
        <v>53</v>
      </c>
      <c r="I689" s="286" t="s">
        <v>1112</v>
      </c>
      <c r="J689" s="286" t="s">
        <v>53</v>
      </c>
      <c r="K689" s="286" t="s">
        <v>53</v>
      </c>
      <c r="L689" s="286" t="s">
        <v>53</v>
      </c>
      <c r="M689" s="286" t="s">
        <v>53</v>
      </c>
      <c r="N689" s="287">
        <v>-42575.7</v>
      </c>
      <c r="O689" s="305">
        <f t="shared" si="10"/>
        <v>44742</v>
      </c>
      <c r="P689" s="286" t="s">
        <v>175</v>
      </c>
    </row>
    <row r="690" spans="1:16" hidden="1" x14ac:dyDescent="0.15">
      <c r="A690" s="286">
        <v>43787</v>
      </c>
      <c r="B690" s="288">
        <v>44742.449305555558</v>
      </c>
      <c r="C690" s="286" t="s">
        <v>1306</v>
      </c>
      <c r="D690" s="286" t="s">
        <v>1105</v>
      </c>
      <c r="E690" s="286" t="s">
        <v>1106</v>
      </c>
      <c r="F690" s="286" t="s">
        <v>1447</v>
      </c>
      <c r="G690" s="286" t="s">
        <v>53</v>
      </c>
      <c r="H690" s="286" t="s">
        <v>53</v>
      </c>
      <c r="I690" s="286" t="s">
        <v>1230</v>
      </c>
      <c r="J690" s="286" t="s">
        <v>53</v>
      </c>
      <c r="K690" s="286" t="s">
        <v>53</v>
      </c>
      <c r="L690" s="286" t="s">
        <v>53</v>
      </c>
      <c r="M690" s="286" t="s">
        <v>53</v>
      </c>
      <c r="N690" s="287">
        <v>-63165.61</v>
      </c>
      <c r="O690" s="305">
        <f t="shared" si="10"/>
        <v>44742</v>
      </c>
      <c r="P690" s="286" t="s">
        <v>175</v>
      </c>
    </row>
    <row r="691" spans="1:16" hidden="1" x14ac:dyDescent="0.15">
      <c r="A691" s="286">
        <v>43787</v>
      </c>
      <c r="B691" s="288">
        <v>44742.449305555558</v>
      </c>
      <c r="C691" s="286" t="s">
        <v>1306</v>
      </c>
      <c r="D691" s="286" t="s">
        <v>1105</v>
      </c>
      <c r="E691" s="286" t="s">
        <v>1106</v>
      </c>
      <c r="F691" s="286" t="s">
        <v>1447</v>
      </c>
      <c r="G691" s="286" t="s">
        <v>53</v>
      </c>
      <c r="H691" s="286" t="s">
        <v>53</v>
      </c>
      <c r="I691" s="286" t="s">
        <v>1228</v>
      </c>
      <c r="J691" s="286" t="s">
        <v>53</v>
      </c>
      <c r="K691" s="286" t="s">
        <v>53</v>
      </c>
      <c r="L691" s="286" t="s">
        <v>53</v>
      </c>
      <c r="M691" s="286" t="s">
        <v>53</v>
      </c>
      <c r="N691" s="287">
        <v>-70250.25</v>
      </c>
      <c r="O691" s="305">
        <f t="shared" si="10"/>
        <v>44742</v>
      </c>
      <c r="P691" s="286" t="s">
        <v>58</v>
      </c>
    </row>
    <row r="692" spans="1:16" hidden="1" x14ac:dyDescent="0.15">
      <c r="A692" s="286">
        <v>43787</v>
      </c>
      <c r="B692" s="288">
        <v>44742.449305555558</v>
      </c>
      <c r="C692" s="286" t="s">
        <v>1306</v>
      </c>
      <c r="D692" s="286" t="s">
        <v>1105</v>
      </c>
      <c r="E692" s="286" t="s">
        <v>1106</v>
      </c>
      <c r="F692" s="286" t="s">
        <v>1447</v>
      </c>
      <c r="G692" s="286" t="s">
        <v>53</v>
      </c>
      <c r="H692" s="286" t="s">
        <v>53</v>
      </c>
      <c r="I692" s="286" t="s">
        <v>1199</v>
      </c>
      <c r="J692" s="286" t="s">
        <v>53</v>
      </c>
      <c r="K692" s="286" t="s">
        <v>53</v>
      </c>
      <c r="L692" s="286" t="s">
        <v>53</v>
      </c>
      <c r="M692" s="286" t="s">
        <v>53</v>
      </c>
      <c r="N692" s="287">
        <v>-122893.28</v>
      </c>
      <c r="O692" s="305">
        <f t="shared" si="10"/>
        <v>44742</v>
      </c>
      <c r="P692" s="286" t="s">
        <v>58</v>
      </c>
    </row>
    <row r="693" spans="1:16" hidden="1" x14ac:dyDescent="0.15">
      <c r="A693" s="286">
        <v>43787</v>
      </c>
      <c r="B693" s="288">
        <v>44742.449305555558</v>
      </c>
      <c r="C693" s="286" t="s">
        <v>1306</v>
      </c>
      <c r="D693" s="286" t="s">
        <v>1105</v>
      </c>
      <c r="E693" s="286" t="s">
        <v>1106</v>
      </c>
      <c r="F693" s="286" t="s">
        <v>1447</v>
      </c>
      <c r="G693" s="286" t="s">
        <v>53</v>
      </c>
      <c r="H693" s="286" t="s">
        <v>53</v>
      </c>
      <c r="I693" s="286" t="s">
        <v>1108</v>
      </c>
      <c r="J693" s="286" t="s">
        <v>53</v>
      </c>
      <c r="K693" s="286" t="s">
        <v>53</v>
      </c>
      <c r="L693" s="286" t="s">
        <v>53</v>
      </c>
      <c r="M693" s="286" t="s">
        <v>53</v>
      </c>
      <c r="N693" s="287">
        <v>-178072</v>
      </c>
      <c r="O693" s="305">
        <f t="shared" si="10"/>
        <v>44742</v>
      </c>
      <c r="P693" s="286" t="s">
        <v>37</v>
      </c>
    </row>
    <row r="694" spans="1:16" hidden="1" x14ac:dyDescent="0.15">
      <c r="A694" s="286">
        <v>44505</v>
      </c>
      <c r="B694" s="288">
        <v>44748.359027777777</v>
      </c>
      <c r="C694" s="286" t="s">
        <v>1448</v>
      </c>
      <c r="D694" s="286" t="s">
        <v>1309</v>
      </c>
      <c r="E694" s="286" t="s">
        <v>1310</v>
      </c>
      <c r="F694" s="286" t="s">
        <v>1449</v>
      </c>
      <c r="G694" s="286" t="s">
        <v>1075</v>
      </c>
      <c r="H694" s="286" t="s">
        <v>1075</v>
      </c>
      <c r="I694" s="286" t="s">
        <v>1282</v>
      </c>
      <c r="J694" s="286" t="s">
        <v>1312</v>
      </c>
      <c r="K694" s="286" t="s">
        <v>202</v>
      </c>
      <c r="L694" s="286" t="s">
        <v>203</v>
      </c>
      <c r="M694" s="286">
        <v>1</v>
      </c>
      <c r="N694" s="287">
        <v>6665.37</v>
      </c>
      <c r="O694" s="305">
        <f t="shared" si="10"/>
        <v>44773</v>
      </c>
      <c r="P694" s="286" t="s">
        <v>201</v>
      </c>
    </row>
    <row r="695" spans="1:16" hidden="1" x14ac:dyDescent="0.15">
      <c r="A695" s="286">
        <v>44505</v>
      </c>
      <c r="B695" s="288">
        <v>44748.359027777777</v>
      </c>
      <c r="C695" s="286" t="s">
        <v>1448</v>
      </c>
      <c r="D695" s="286" t="s">
        <v>1309</v>
      </c>
      <c r="E695" s="286" t="s">
        <v>1310</v>
      </c>
      <c r="F695" s="286" t="s">
        <v>1449</v>
      </c>
      <c r="G695" s="286" t="s">
        <v>1075</v>
      </c>
      <c r="H695" s="286" t="s">
        <v>1075</v>
      </c>
      <c r="I695" s="286" t="s">
        <v>1108</v>
      </c>
      <c r="J695" s="286" t="s">
        <v>1312</v>
      </c>
      <c r="K695" s="286" t="s">
        <v>1339</v>
      </c>
      <c r="L695" s="286" t="s">
        <v>1340</v>
      </c>
      <c r="M695" s="286">
        <v>1</v>
      </c>
      <c r="N695" s="287">
        <v>1142.8599999999999</v>
      </c>
      <c r="O695" s="305">
        <f t="shared" si="10"/>
        <v>44773</v>
      </c>
      <c r="P695" s="286" t="s">
        <v>37</v>
      </c>
    </row>
    <row r="696" spans="1:16" hidden="1" x14ac:dyDescent="0.15">
      <c r="A696" s="286">
        <v>44505</v>
      </c>
      <c r="B696" s="288">
        <v>44748.359027777777</v>
      </c>
      <c r="C696" s="286" t="s">
        <v>1448</v>
      </c>
      <c r="D696" s="286" t="s">
        <v>1309</v>
      </c>
      <c r="E696" s="286" t="s">
        <v>1310</v>
      </c>
      <c r="F696" s="286" t="s">
        <v>1449</v>
      </c>
      <c r="G696" s="286" t="s">
        <v>1075</v>
      </c>
      <c r="H696" s="286" t="s">
        <v>1075</v>
      </c>
      <c r="I696" s="286" t="s">
        <v>1108</v>
      </c>
      <c r="J696" s="286" t="s">
        <v>1312</v>
      </c>
      <c r="K696" s="286" t="s">
        <v>1339</v>
      </c>
      <c r="L696" s="286" t="s">
        <v>1340</v>
      </c>
      <c r="M696" s="286">
        <v>1</v>
      </c>
      <c r="N696" s="287">
        <v>-1142.8599999999999</v>
      </c>
      <c r="O696" s="305">
        <f t="shared" si="10"/>
        <v>44773</v>
      </c>
      <c r="P696" s="286" t="s">
        <v>37</v>
      </c>
    </row>
    <row r="697" spans="1:16" hidden="1" x14ac:dyDescent="0.15">
      <c r="A697" s="286">
        <v>44505</v>
      </c>
      <c r="B697" s="288">
        <v>44748.359027777777</v>
      </c>
      <c r="C697" s="286" t="s">
        <v>1448</v>
      </c>
      <c r="D697" s="286" t="s">
        <v>1309</v>
      </c>
      <c r="E697" s="286" t="s">
        <v>1310</v>
      </c>
      <c r="F697" s="286" t="s">
        <v>1449</v>
      </c>
      <c r="G697" s="286" t="s">
        <v>1075</v>
      </c>
      <c r="H697" s="286" t="s">
        <v>1075</v>
      </c>
      <c r="I697" s="286" t="s">
        <v>1282</v>
      </c>
      <c r="J697" s="286" t="s">
        <v>1312</v>
      </c>
      <c r="K697" s="286" t="s">
        <v>1450</v>
      </c>
      <c r="L697" s="286" t="s">
        <v>1451</v>
      </c>
      <c r="M697" s="286">
        <v>1</v>
      </c>
      <c r="N697" s="287">
        <v>-6665.37</v>
      </c>
      <c r="O697" s="305">
        <f t="shared" si="10"/>
        <v>44773</v>
      </c>
      <c r="P697" s="286" t="s">
        <v>201</v>
      </c>
    </row>
    <row r="698" spans="1:16" hidden="1" x14ac:dyDescent="0.15">
      <c r="A698" s="286">
        <v>44833</v>
      </c>
      <c r="B698" s="288">
        <v>44748.808333333334</v>
      </c>
      <c r="C698" s="286" t="s">
        <v>1423</v>
      </c>
      <c r="D698" s="286" t="s">
        <v>1309</v>
      </c>
      <c r="E698" s="286" t="s">
        <v>1310</v>
      </c>
      <c r="F698" s="286" t="s">
        <v>1452</v>
      </c>
      <c r="G698" s="286" t="s">
        <v>1058</v>
      </c>
      <c r="H698" s="286" t="s">
        <v>1058</v>
      </c>
      <c r="I698" s="286" t="s">
        <v>1108</v>
      </c>
      <c r="J698" s="286" t="s">
        <v>1312</v>
      </c>
      <c r="K698" s="286" t="s">
        <v>1453</v>
      </c>
      <c r="L698" s="286" t="s">
        <v>1454</v>
      </c>
      <c r="M698" s="286">
        <v>1</v>
      </c>
      <c r="N698" s="287">
        <v>125437</v>
      </c>
      <c r="O698" s="305">
        <f t="shared" si="10"/>
        <v>44773</v>
      </c>
      <c r="P698" s="286" t="s">
        <v>37</v>
      </c>
    </row>
    <row r="699" spans="1:16" hidden="1" x14ac:dyDescent="0.15">
      <c r="A699" s="286">
        <v>44833</v>
      </c>
      <c r="B699" s="288">
        <v>44748.808333333334</v>
      </c>
      <c r="C699" s="286" t="s">
        <v>1423</v>
      </c>
      <c r="D699" s="286" t="s">
        <v>1309</v>
      </c>
      <c r="E699" s="286" t="s">
        <v>1310</v>
      </c>
      <c r="F699" s="286" t="s">
        <v>1452</v>
      </c>
      <c r="G699" s="286" t="s">
        <v>1058</v>
      </c>
      <c r="H699" s="286" t="s">
        <v>1058</v>
      </c>
      <c r="I699" s="286" t="s">
        <v>1108</v>
      </c>
      <c r="J699" s="286" t="s">
        <v>1312</v>
      </c>
      <c r="K699" s="286" t="s">
        <v>1455</v>
      </c>
      <c r="L699" s="286" t="s">
        <v>441</v>
      </c>
      <c r="M699" s="286">
        <v>1</v>
      </c>
      <c r="N699" s="287">
        <v>39656</v>
      </c>
      <c r="O699" s="305">
        <f t="shared" si="10"/>
        <v>44773</v>
      </c>
      <c r="P699" s="286" t="s">
        <v>37</v>
      </c>
    </row>
    <row r="700" spans="1:16" hidden="1" x14ac:dyDescent="0.15">
      <c r="A700" s="286">
        <v>44833</v>
      </c>
      <c r="B700" s="288">
        <v>44748.808333333334</v>
      </c>
      <c r="C700" s="286" t="s">
        <v>1423</v>
      </c>
      <c r="D700" s="286" t="s">
        <v>1309</v>
      </c>
      <c r="E700" s="286" t="s">
        <v>1310</v>
      </c>
      <c r="F700" s="286" t="s">
        <v>1452</v>
      </c>
      <c r="G700" s="286" t="s">
        <v>1058</v>
      </c>
      <c r="H700" s="286" t="s">
        <v>1058</v>
      </c>
      <c r="I700" s="286" t="s">
        <v>1128</v>
      </c>
      <c r="J700" s="286" t="s">
        <v>1312</v>
      </c>
      <c r="K700" s="286" t="s">
        <v>1456</v>
      </c>
      <c r="L700" s="286" t="s">
        <v>442</v>
      </c>
      <c r="M700" s="286">
        <v>1</v>
      </c>
      <c r="N700" s="287">
        <v>22419</v>
      </c>
      <c r="O700" s="305">
        <f t="shared" si="10"/>
        <v>44773</v>
      </c>
      <c r="P700" s="286" t="s">
        <v>47</v>
      </c>
    </row>
    <row r="701" spans="1:16" hidden="1" x14ac:dyDescent="0.15">
      <c r="A701" s="286">
        <v>44833</v>
      </c>
      <c r="B701" s="288">
        <v>44748.808333333334</v>
      </c>
      <c r="C701" s="286" t="s">
        <v>1423</v>
      </c>
      <c r="D701" s="286" t="s">
        <v>1309</v>
      </c>
      <c r="E701" s="286" t="s">
        <v>1310</v>
      </c>
      <c r="F701" s="286" t="s">
        <v>1452</v>
      </c>
      <c r="G701" s="286" t="s">
        <v>1058</v>
      </c>
      <c r="H701" s="286" t="s">
        <v>1058</v>
      </c>
      <c r="I701" s="286" t="s">
        <v>1108</v>
      </c>
      <c r="J701" s="286" t="s">
        <v>1312</v>
      </c>
      <c r="K701" s="286" t="s">
        <v>1457</v>
      </c>
      <c r="L701" s="286" t="s">
        <v>439</v>
      </c>
      <c r="M701" s="286">
        <v>1</v>
      </c>
      <c r="N701" s="287">
        <v>16179</v>
      </c>
      <c r="O701" s="305">
        <f t="shared" si="10"/>
        <v>44773</v>
      </c>
      <c r="P701" s="286" t="s">
        <v>37</v>
      </c>
    </row>
    <row r="702" spans="1:16" hidden="1" x14ac:dyDescent="0.15">
      <c r="A702" s="286">
        <v>44833</v>
      </c>
      <c r="B702" s="288">
        <v>44748.808333333334</v>
      </c>
      <c r="C702" s="286" t="s">
        <v>1423</v>
      </c>
      <c r="D702" s="286" t="s">
        <v>1309</v>
      </c>
      <c r="E702" s="286" t="s">
        <v>1310</v>
      </c>
      <c r="F702" s="286" t="s">
        <v>1452</v>
      </c>
      <c r="G702" s="286" t="s">
        <v>1058</v>
      </c>
      <c r="H702" s="286" t="s">
        <v>1058</v>
      </c>
      <c r="I702" s="286" t="s">
        <v>1108</v>
      </c>
      <c r="J702" s="286" t="s">
        <v>1312</v>
      </c>
      <c r="K702" s="286" t="s">
        <v>1458</v>
      </c>
      <c r="L702" s="286" t="s">
        <v>440</v>
      </c>
      <c r="M702" s="286">
        <v>1</v>
      </c>
      <c r="N702" s="287">
        <v>14532</v>
      </c>
      <c r="O702" s="305">
        <f t="shared" si="10"/>
        <v>44773</v>
      </c>
      <c r="P702" s="286" t="s">
        <v>37</v>
      </c>
    </row>
    <row r="703" spans="1:16" hidden="1" x14ac:dyDescent="0.15">
      <c r="A703" s="286">
        <v>44833</v>
      </c>
      <c r="B703" s="288">
        <v>44748.808333333334</v>
      </c>
      <c r="C703" s="286" t="s">
        <v>1423</v>
      </c>
      <c r="D703" s="286" t="s">
        <v>1309</v>
      </c>
      <c r="E703" s="286" t="s">
        <v>1310</v>
      </c>
      <c r="F703" s="286" t="s">
        <v>1452</v>
      </c>
      <c r="G703" s="286" t="s">
        <v>1058</v>
      </c>
      <c r="H703" s="286" t="s">
        <v>1058</v>
      </c>
      <c r="I703" s="286" t="s">
        <v>1121</v>
      </c>
      <c r="J703" s="286" t="s">
        <v>1312</v>
      </c>
      <c r="K703" s="286" t="s">
        <v>1422</v>
      </c>
      <c r="L703" s="286" t="s">
        <v>250</v>
      </c>
      <c r="M703" s="286">
        <v>1</v>
      </c>
      <c r="N703" s="287">
        <v>12563</v>
      </c>
      <c r="O703" s="305">
        <f t="shared" si="10"/>
        <v>44773</v>
      </c>
      <c r="P703" s="286" t="s">
        <v>248</v>
      </c>
    </row>
    <row r="704" spans="1:16" hidden="1" x14ac:dyDescent="0.15">
      <c r="A704" s="286">
        <v>44833</v>
      </c>
      <c r="B704" s="288">
        <v>44748.808333333334</v>
      </c>
      <c r="C704" s="286" t="s">
        <v>1423</v>
      </c>
      <c r="D704" s="286" t="s">
        <v>1309</v>
      </c>
      <c r="E704" s="286" t="s">
        <v>1310</v>
      </c>
      <c r="F704" s="286" t="s">
        <v>1452</v>
      </c>
      <c r="G704" s="286" t="s">
        <v>1058</v>
      </c>
      <c r="H704" s="286" t="s">
        <v>1058</v>
      </c>
      <c r="I704" s="286" t="s">
        <v>1204</v>
      </c>
      <c r="J704" s="286" t="s">
        <v>1312</v>
      </c>
      <c r="K704" s="286" t="s">
        <v>1459</v>
      </c>
      <c r="L704" s="286" t="s">
        <v>444</v>
      </c>
      <c r="M704" s="286">
        <v>1</v>
      </c>
      <c r="N704" s="287">
        <v>8053</v>
      </c>
      <c r="O704" s="305">
        <f t="shared" si="10"/>
        <v>44773</v>
      </c>
      <c r="P704" s="286" t="s">
        <v>49</v>
      </c>
    </row>
    <row r="705" spans="1:16" hidden="1" x14ac:dyDescent="0.15">
      <c r="A705" s="286">
        <v>44833</v>
      </c>
      <c r="B705" s="288">
        <v>44748.808333333334</v>
      </c>
      <c r="C705" s="286" t="s">
        <v>1423</v>
      </c>
      <c r="D705" s="286" t="s">
        <v>1309</v>
      </c>
      <c r="E705" s="286" t="s">
        <v>1310</v>
      </c>
      <c r="F705" s="286" t="s">
        <v>1452</v>
      </c>
      <c r="G705" s="286" t="s">
        <v>1058</v>
      </c>
      <c r="H705" s="286" t="s">
        <v>1058</v>
      </c>
      <c r="I705" s="286" t="s">
        <v>1301</v>
      </c>
      <c r="J705" s="286" t="s">
        <v>1312</v>
      </c>
      <c r="K705" s="286" t="s">
        <v>56</v>
      </c>
      <c r="L705" s="286" t="s">
        <v>71</v>
      </c>
      <c r="M705" s="286">
        <v>1</v>
      </c>
      <c r="N705" s="287">
        <v>2856</v>
      </c>
      <c r="O705" s="305">
        <f t="shared" si="10"/>
        <v>44773</v>
      </c>
      <c r="P705" s="286" t="s">
        <v>55</v>
      </c>
    </row>
    <row r="706" spans="1:16" hidden="1" x14ac:dyDescent="0.15">
      <c r="A706" s="286">
        <v>47000</v>
      </c>
      <c r="B706" s="288">
        <v>44760.631249999999</v>
      </c>
      <c r="C706" s="286" t="s">
        <v>1448</v>
      </c>
      <c r="D706" s="286" t="s">
        <v>1309</v>
      </c>
      <c r="E706" s="286" t="s">
        <v>1310</v>
      </c>
      <c r="F706" s="286" t="s">
        <v>1460</v>
      </c>
      <c r="G706" s="286" t="s">
        <v>1429</v>
      </c>
      <c r="H706" s="286" t="s">
        <v>1429</v>
      </c>
      <c r="I706" s="286" t="s">
        <v>1129</v>
      </c>
      <c r="J706" s="286" t="s">
        <v>1312</v>
      </c>
      <c r="K706" s="286" t="s">
        <v>960</v>
      </c>
      <c r="L706" s="286" t="s">
        <v>1461</v>
      </c>
      <c r="M706" s="286">
        <v>1</v>
      </c>
      <c r="N706" s="287">
        <v>1701.66</v>
      </c>
      <c r="O706" s="305">
        <f t="shared" si="10"/>
        <v>44773</v>
      </c>
      <c r="P706" s="286" t="s">
        <v>164</v>
      </c>
    </row>
    <row r="707" spans="1:16" hidden="1" x14ac:dyDescent="0.15">
      <c r="A707" s="286">
        <v>47000</v>
      </c>
      <c r="B707" s="288">
        <v>44760.631249999999</v>
      </c>
      <c r="C707" s="286" t="s">
        <v>1448</v>
      </c>
      <c r="D707" s="286" t="s">
        <v>1309</v>
      </c>
      <c r="E707" s="286" t="s">
        <v>1310</v>
      </c>
      <c r="F707" s="286" t="s">
        <v>1460</v>
      </c>
      <c r="G707" s="286" t="s">
        <v>1429</v>
      </c>
      <c r="H707" s="286" t="s">
        <v>1429</v>
      </c>
      <c r="I707" s="286" t="s">
        <v>1129</v>
      </c>
      <c r="J707" s="286" t="s">
        <v>1312</v>
      </c>
      <c r="K707" s="286" t="s">
        <v>1430</v>
      </c>
      <c r="L707" s="286" t="s">
        <v>1431</v>
      </c>
      <c r="M707" s="286">
        <v>2</v>
      </c>
      <c r="N707" s="287">
        <v>148.28</v>
      </c>
      <c r="O707" s="305">
        <f t="shared" ref="O707:O770" si="11">EOMONTH(B707,0)</f>
        <v>44773</v>
      </c>
      <c r="P707" s="286" t="s">
        <v>164</v>
      </c>
    </row>
    <row r="708" spans="1:16" hidden="1" x14ac:dyDescent="0.15">
      <c r="A708" s="286">
        <v>47000</v>
      </c>
      <c r="B708" s="288">
        <v>44760.631249999999</v>
      </c>
      <c r="C708" s="286" t="s">
        <v>1448</v>
      </c>
      <c r="D708" s="286" t="s">
        <v>1309</v>
      </c>
      <c r="E708" s="286" t="s">
        <v>1310</v>
      </c>
      <c r="F708" s="286" t="s">
        <v>1460</v>
      </c>
      <c r="G708" s="286" t="s">
        <v>1429</v>
      </c>
      <c r="H708" s="286" t="s">
        <v>1429</v>
      </c>
      <c r="I708" s="286" t="s">
        <v>1129</v>
      </c>
      <c r="J708" s="286" t="s">
        <v>1312</v>
      </c>
      <c r="K708" s="286" t="s">
        <v>1432</v>
      </c>
      <c r="L708" s="286" t="s">
        <v>1433</v>
      </c>
      <c r="M708" s="286">
        <v>2</v>
      </c>
      <c r="N708" s="287">
        <v>134.68</v>
      </c>
      <c r="O708" s="305">
        <f t="shared" si="11"/>
        <v>44773</v>
      </c>
      <c r="P708" s="286" t="s">
        <v>164</v>
      </c>
    </row>
    <row r="709" spans="1:16" hidden="1" x14ac:dyDescent="0.15">
      <c r="A709" s="286">
        <v>47000</v>
      </c>
      <c r="B709" s="288">
        <v>44760.631249999999</v>
      </c>
      <c r="C709" s="286" t="s">
        <v>1448</v>
      </c>
      <c r="D709" s="286" t="s">
        <v>1309</v>
      </c>
      <c r="E709" s="286" t="s">
        <v>1310</v>
      </c>
      <c r="F709" s="286" t="s">
        <v>1460</v>
      </c>
      <c r="G709" s="286" t="s">
        <v>1429</v>
      </c>
      <c r="H709" s="286" t="s">
        <v>1429</v>
      </c>
      <c r="I709" s="286" t="s">
        <v>1129</v>
      </c>
      <c r="J709" s="286" t="s">
        <v>1312</v>
      </c>
      <c r="K709" s="286" t="s">
        <v>1321</v>
      </c>
      <c r="L709" s="286" t="s">
        <v>1322</v>
      </c>
      <c r="M709" s="286">
        <v>8</v>
      </c>
      <c r="N709" s="287">
        <v>71.680000000000007</v>
      </c>
      <c r="O709" s="305">
        <f t="shared" si="11"/>
        <v>44773</v>
      </c>
      <c r="P709" s="286" t="s">
        <v>164</v>
      </c>
    </row>
    <row r="710" spans="1:16" hidden="1" x14ac:dyDescent="0.15">
      <c r="A710" s="286">
        <v>47000</v>
      </c>
      <c r="B710" s="288">
        <v>44760.631249999999</v>
      </c>
      <c r="C710" s="286" t="s">
        <v>1448</v>
      </c>
      <c r="D710" s="286" t="s">
        <v>1309</v>
      </c>
      <c r="E710" s="286" t="s">
        <v>1310</v>
      </c>
      <c r="F710" s="286" t="s">
        <v>1460</v>
      </c>
      <c r="G710" s="286" t="s">
        <v>1429</v>
      </c>
      <c r="H710" s="286" t="s">
        <v>1429</v>
      </c>
      <c r="I710" s="286" t="s">
        <v>1129</v>
      </c>
      <c r="J710" s="286" t="s">
        <v>1312</v>
      </c>
      <c r="K710" s="286" t="s">
        <v>524</v>
      </c>
      <c r="L710" s="286" t="s">
        <v>1346</v>
      </c>
      <c r="M710" s="286">
        <v>14</v>
      </c>
      <c r="N710" s="287">
        <v>49.84</v>
      </c>
      <c r="O710" s="305">
        <f t="shared" si="11"/>
        <v>44773</v>
      </c>
      <c r="P710" s="286" t="s">
        <v>164</v>
      </c>
    </row>
    <row r="711" spans="1:16" hidden="1" x14ac:dyDescent="0.15">
      <c r="A711" s="286">
        <v>47000</v>
      </c>
      <c r="B711" s="288">
        <v>44760.631249999999</v>
      </c>
      <c r="C711" s="286" t="s">
        <v>1448</v>
      </c>
      <c r="D711" s="286" t="s">
        <v>1309</v>
      </c>
      <c r="E711" s="286" t="s">
        <v>1310</v>
      </c>
      <c r="F711" s="286" t="s">
        <v>1460</v>
      </c>
      <c r="G711" s="286" t="s">
        <v>1429</v>
      </c>
      <c r="H711" s="286" t="s">
        <v>1429</v>
      </c>
      <c r="I711" s="286" t="s">
        <v>1129</v>
      </c>
      <c r="J711" s="286" t="s">
        <v>1312</v>
      </c>
      <c r="K711" s="286" t="s">
        <v>526</v>
      </c>
      <c r="L711" s="286" t="s">
        <v>1360</v>
      </c>
      <c r="M711" s="286">
        <v>14</v>
      </c>
      <c r="N711" s="287">
        <v>47.32</v>
      </c>
      <c r="O711" s="305">
        <f t="shared" si="11"/>
        <v>44773</v>
      </c>
      <c r="P711" s="286" t="s">
        <v>164</v>
      </c>
    </row>
    <row r="712" spans="1:16" hidden="1" x14ac:dyDescent="0.15">
      <c r="A712" s="286">
        <v>47000</v>
      </c>
      <c r="B712" s="288">
        <v>44760.631249999999</v>
      </c>
      <c r="C712" s="286" t="s">
        <v>1448</v>
      </c>
      <c r="D712" s="286" t="s">
        <v>1309</v>
      </c>
      <c r="E712" s="286" t="s">
        <v>1310</v>
      </c>
      <c r="F712" s="286" t="s">
        <v>1460</v>
      </c>
      <c r="G712" s="286" t="s">
        <v>1429</v>
      </c>
      <c r="H712" s="286" t="s">
        <v>1429</v>
      </c>
      <c r="I712" s="286" t="s">
        <v>1129</v>
      </c>
      <c r="J712" s="286" t="s">
        <v>1312</v>
      </c>
      <c r="K712" s="286" t="s">
        <v>528</v>
      </c>
      <c r="L712" s="286" t="s">
        <v>529</v>
      </c>
      <c r="M712" s="286">
        <v>14</v>
      </c>
      <c r="N712" s="287">
        <v>43.4</v>
      </c>
      <c r="O712" s="305">
        <f t="shared" si="11"/>
        <v>44773</v>
      </c>
      <c r="P712" s="286" t="s">
        <v>164</v>
      </c>
    </row>
    <row r="713" spans="1:16" hidden="1" x14ac:dyDescent="0.15">
      <c r="A713" s="286">
        <v>47000</v>
      </c>
      <c r="B713" s="288">
        <v>44760.631249999999</v>
      </c>
      <c r="C713" s="286" t="s">
        <v>1448</v>
      </c>
      <c r="D713" s="286" t="s">
        <v>1309</v>
      </c>
      <c r="E713" s="286" t="s">
        <v>1310</v>
      </c>
      <c r="F713" s="286" t="s">
        <v>1460</v>
      </c>
      <c r="G713" s="286" t="s">
        <v>1429</v>
      </c>
      <c r="H713" s="286" t="s">
        <v>1429</v>
      </c>
      <c r="I713" s="286" t="s">
        <v>1129</v>
      </c>
      <c r="J713" s="286" t="s">
        <v>1312</v>
      </c>
      <c r="K713" s="286" t="s">
        <v>530</v>
      </c>
      <c r="L713" s="286" t="s">
        <v>531</v>
      </c>
      <c r="M713" s="286">
        <v>14</v>
      </c>
      <c r="N713" s="287">
        <v>35.840000000000003</v>
      </c>
      <c r="O713" s="305">
        <f t="shared" si="11"/>
        <v>44773</v>
      </c>
      <c r="P713" s="286" t="s">
        <v>164</v>
      </c>
    </row>
    <row r="714" spans="1:16" hidden="1" x14ac:dyDescent="0.15">
      <c r="A714" s="286">
        <v>47000</v>
      </c>
      <c r="B714" s="288">
        <v>44760.631249999999</v>
      </c>
      <c r="C714" s="286" t="s">
        <v>1448</v>
      </c>
      <c r="D714" s="286" t="s">
        <v>1309</v>
      </c>
      <c r="E714" s="286" t="s">
        <v>1310</v>
      </c>
      <c r="F714" s="286" t="s">
        <v>1460</v>
      </c>
      <c r="G714" s="286" t="s">
        <v>1429</v>
      </c>
      <c r="H714" s="286" t="s">
        <v>1429</v>
      </c>
      <c r="I714" s="286" t="s">
        <v>1129</v>
      </c>
      <c r="J714" s="286" t="s">
        <v>1312</v>
      </c>
      <c r="K714" s="286" t="s">
        <v>1462</v>
      </c>
      <c r="L714" s="286" t="s">
        <v>1463</v>
      </c>
      <c r="M714" s="286">
        <v>8</v>
      </c>
      <c r="N714" s="287">
        <v>29.44</v>
      </c>
      <c r="O714" s="305">
        <f t="shared" si="11"/>
        <v>44773</v>
      </c>
      <c r="P714" s="286" t="s">
        <v>164</v>
      </c>
    </row>
    <row r="715" spans="1:16" hidden="1" x14ac:dyDescent="0.15">
      <c r="A715" s="286">
        <v>47000</v>
      </c>
      <c r="B715" s="288">
        <v>44760.631249999999</v>
      </c>
      <c r="C715" s="286" t="s">
        <v>1448</v>
      </c>
      <c r="D715" s="286" t="s">
        <v>1309</v>
      </c>
      <c r="E715" s="286" t="s">
        <v>1310</v>
      </c>
      <c r="F715" s="286" t="s">
        <v>1460</v>
      </c>
      <c r="G715" s="286" t="s">
        <v>1429</v>
      </c>
      <c r="H715" s="286" t="s">
        <v>1429</v>
      </c>
      <c r="I715" s="286" t="s">
        <v>1129</v>
      </c>
      <c r="J715" s="286" t="s">
        <v>1312</v>
      </c>
      <c r="K715" s="286" t="s">
        <v>1464</v>
      </c>
      <c r="L715" s="286" t="s">
        <v>1465</v>
      </c>
      <c r="M715" s="286">
        <v>1</v>
      </c>
      <c r="N715" s="287">
        <v>24.88</v>
      </c>
      <c r="O715" s="305">
        <f t="shared" si="11"/>
        <v>44773</v>
      </c>
      <c r="P715" s="286" t="s">
        <v>164</v>
      </c>
    </row>
    <row r="716" spans="1:16" hidden="1" x14ac:dyDescent="0.15">
      <c r="A716" s="286">
        <v>47000</v>
      </c>
      <c r="B716" s="288">
        <v>44760.631249999999</v>
      </c>
      <c r="C716" s="286" t="s">
        <v>1448</v>
      </c>
      <c r="D716" s="286" t="s">
        <v>1309</v>
      </c>
      <c r="E716" s="286" t="s">
        <v>1310</v>
      </c>
      <c r="F716" s="286" t="s">
        <v>1460</v>
      </c>
      <c r="G716" s="286" t="s">
        <v>1429</v>
      </c>
      <c r="H716" s="286" t="s">
        <v>1429</v>
      </c>
      <c r="I716" s="286" t="s">
        <v>1129</v>
      </c>
      <c r="J716" s="286" t="s">
        <v>1312</v>
      </c>
      <c r="K716" s="286" t="s">
        <v>1466</v>
      </c>
      <c r="L716" s="286" t="s">
        <v>1467</v>
      </c>
      <c r="M716" s="286">
        <v>1</v>
      </c>
      <c r="N716" s="287">
        <v>21.43</v>
      </c>
      <c r="O716" s="305">
        <f t="shared" si="11"/>
        <v>44773</v>
      </c>
      <c r="P716" s="286" t="s">
        <v>164</v>
      </c>
    </row>
    <row r="717" spans="1:16" hidden="1" x14ac:dyDescent="0.15">
      <c r="A717" s="286">
        <v>47000</v>
      </c>
      <c r="B717" s="288">
        <v>44760.631249999999</v>
      </c>
      <c r="C717" s="286" t="s">
        <v>1448</v>
      </c>
      <c r="D717" s="286" t="s">
        <v>1309</v>
      </c>
      <c r="E717" s="286" t="s">
        <v>1310</v>
      </c>
      <c r="F717" s="286" t="s">
        <v>1460</v>
      </c>
      <c r="G717" s="286" t="s">
        <v>1429</v>
      </c>
      <c r="H717" s="286" t="s">
        <v>1429</v>
      </c>
      <c r="I717" s="286" t="s">
        <v>1129</v>
      </c>
      <c r="J717" s="286" t="s">
        <v>1312</v>
      </c>
      <c r="K717" s="286" t="s">
        <v>532</v>
      </c>
      <c r="L717" s="286" t="s">
        <v>533</v>
      </c>
      <c r="M717" s="286">
        <v>8</v>
      </c>
      <c r="N717" s="287">
        <v>5.44</v>
      </c>
      <c r="O717" s="305">
        <f t="shared" si="11"/>
        <v>44773</v>
      </c>
      <c r="P717" s="286" t="s">
        <v>164</v>
      </c>
    </row>
    <row r="718" spans="1:16" hidden="1" x14ac:dyDescent="0.15">
      <c r="A718" s="286">
        <v>47004</v>
      </c>
      <c r="B718" s="288">
        <v>44760.637499999997</v>
      </c>
      <c r="C718" s="286" t="s">
        <v>1448</v>
      </c>
      <c r="D718" s="286" t="s">
        <v>1309</v>
      </c>
      <c r="E718" s="286" t="s">
        <v>1310</v>
      </c>
      <c r="F718" s="286" t="s">
        <v>1468</v>
      </c>
      <c r="G718" s="286" t="s">
        <v>1086</v>
      </c>
      <c r="H718" s="286" t="s">
        <v>1086</v>
      </c>
      <c r="I718" s="286" t="s">
        <v>1108</v>
      </c>
      <c r="J718" s="286" t="s">
        <v>53</v>
      </c>
      <c r="K718" s="286" t="s">
        <v>1339</v>
      </c>
      <c r="L718" s="286" t="s">
        <v>1340</v>
      </c>
      <c r="M718" s="286">
        <v>1</v>
      </c>
      <c r="N718" s="287">
        <v>0</v>
      </c>
      <c r="O718" s="305">
        <f t="shared" si="11"/>
        <v>44773</v>
      </c>
      <c r="P718" s="286" t="s">
        <v>37</v>
      </c>
    </row>
    <row r="719" spans="1:16" hidden="1" x14ac:dyDescent="0.15">
      <c r="A719" s="286">
        <v>47285</v>
      </c>
      <c r="B719" s="288">
        <v>44761.544444444444</v>
      </c>
      <c r="C719" s="286" t="s">
        <v>1448</v>
      </c>
      <c r="D719" s="286" t="s">
        <v>1309</v>
      </c>
      <c r="E719" s="286" t="s">
        <v>1310</v>
      </c>
      <c r="F719" s="286" t="s">
        <v>1469</v>
      </c>
      <c r="G719" s="286" t="s">
        <v>1343</v>
      </c>
      <c r="H719" s="286" t="s">
        <v>1343</v>
      </c>
      <c r="I719" s="286" t="s">
        <v>1129</v>
      </c>
      <c r="J719" s="286" t="s">
        <v>1312</v>
      </c>
      <c r="K719" s="286" t="s">
        <v>532</v>
      </c>
      <c r="L719" s="286" t="s">
        <v>533</v>
      </c>
      <c r="M719" s="286">
        <v>12</v>
      </c>
      <c r="N719" s="287">
        <v>16.32</v>
      </c>
      <c r="O719" s="305">
        <f t="shared" si="11"/>
        <v>44773</v>
      </c>
      <c r="P719" s="286" t="s">
        <v>164</v>
      </c>
    </row>
    <row r="720" spans="1:16" hidden="1" x14ac:dyDescent="0.15">
      <c r="A720" s="286">
        <v>47703</v>
      </c>
      <c r="B720" s="288">
        <v>44762.672222222223</v>
      </c>
      <c r="C720" s="286" t="s">
        <v>1448</v>
      </c>
      <c r="D720" s="286" t="s">
        <v>1309</v>
      </c>
      <c r="E720" s="286" t="s">
        <v>1310</v>
      </c>
      <c r="F720" s="286" t="s">
        <v>1470</v>
      </c>
      <c r="G720" s="286" t="s">
        <v>1082</v>
      </c>
      <c r="H720" s="286" t="s">
        <v>1082</v>
      </c>
      <c r="I720" s="286" t="s">
        <v>1108</v>
      </c>
      <c r="J720" s="286" t="s">
        <v>53</v>
      </c>
      <c r="K720" s="286" t="s">
        <v>1339</v>
      </c>
      <c r="L720" s="286" t="s">
        <v>1340</v>
      </c>
      <c r="M720" s="286">
        <v>1</v>
      </c>
      <c r="N720" s="287">
        <v>0</v>
      </c>
      <c r="O720" s="305">
        <f t="shared" si="11"/>
        <v>44773</v>
      </c>
      <c r="P720" s="286" t="s">
        <v>37</v>
      </c>
    </row>
    <row r="721" spans="1:16" hidden="1" x14ac:dyDescent="0.15">
      <c r="A721" s="286">
        <v>49350</v>
      </c>
      <c r="B721" s="288">
        <v>44769.652083333334</v>
      </c>
      <c r="C721" s="286" t="s">
        <v>1448</v>
      </c>
      <c r="D721" s="286" t="s">
        <v>1309</v>
      </c>
      <c r="E721" s="286" t="s">
        <v>1310</v>
      </c>
      <c r="F721" s="286" t="s">
        <v>1471</v>
      </c>
      <c r="G721" s="286" t="s">
        <v>1080</v>
      </c>
      <c r="H721" s="286" t="s">
        <v>1080</v>
      </c>
      <c r="I721" s="286" t="s">
        <v>1129</v>
      </c>
      <c r="J721" s="286" t="s">
        <v>1312</v>
      </c>
      <c r="K721" s="286" t="s">
        <v>1472</v>
      </c>
      <c r="L721" s="286" t="s">
        <v>1473</v>
      </c>
      <c r="M721" s="286">
        <v>1</v>
      </c>
      <c r="N721" s="287">
        <v>0</v>
      </c>
      <c r="O721" s="305">
        <f t="shared" si="11"/>
        <v>44773</v>
      </c>
      <c r="P721" s="286" t="s">
        <v>164</v>
      </c>
    </row>
    <row r="722" spans="1:16" hidden="1" x14ac:dyDescent="0.15">
      <c r="A722" s="286">
        <v>49350</v>
      </c>
      <c r="B722" s="288">
        <v>44769.652083333334</v>
      </c>
      <c r="C722" s="286" t="s">
        <v>1448</v>
      </c>
      <c r="D722" s="286" t="s">
        <v>1309</v>
      </c>
      <c r="E722" s="286" t="s">
        <v>1310</v>
      </c>
      <c r="F722" s="286" t="s">
        <v>1471</v>
      </c>
      <c r="G722" s="286" t="s">
        <v>1080</v>
      </c>
      <c r="H722" s="286" t="s">
        <v>1080</v>
      </c>
      <c r="I722" s="286" t="s">
        <v>1129</v>
      </c>
      <c r="J722" s="286" t="s">
        <v>1312</v>
      </c>
      <c r="K722" s="286" t="s">
        <v>1474</v>
      </c>
      <c r="L722" s="286" t="s">
        <v>1475</v>
      </c>
      <c r="M722" s="286">
        <v>1</v>
      </c>
      <c r="N722" s="287">
        <v>0</v>
      </c>
      <c r="O722" s="305">
        <f t="shared" si="11"/>
        <v>44773</v>
      </c>
      <c r="P722" s="286" t="s">
        <v>164</v>
      </c>
    </row>
    <row r="723" spans="1:16" hidden="1" x14ac:dyDescent="0.15">
      <c r="A723" s="286">
        <v>51173</v>
      </c>
      <c r="B723" s="288">
        <v>44774.343055555553</v>
      </c>
      <c r="C723" s="286" t="s">
        <v>1448</v>
      </c>
      <c r="D723" s="286" t="s">
        <v>1309</v>
      </c>
      <c r="E723" s="286" t="s">
        <v>1310</v>
      </c>
      <c r="F723" s="286" t="s">
        <v>1476</v>
      </c>
      <c r="G723" s="286" t="s">
        <v>1042</v>
      </c>
      <c r="H723" s="286" t="s">
        <v>1042</v>
      </c>
      <c r="I723" s="286" t="s">
        <v>1108</v>
      </c>
      <c r="J723" s="286" t="s">
        <v>53</v>
      </c>
      <c r="K723" s="286" t="s">
        <v>1339</v>
      </c>
      <c r="L723" s="286" t="s">
        <v>1340</v>
      </c>
      <c r="M723" s="286">
        <v>1</v>
      </c>
      <c r="N723" s="287">
        <v>0</v>
      </c>
      <c r="O723" s="305">
        <f t="shared" si="11"/>
        <v>44804</v>
      </c>
      <c r="P723" s="286" t="s">
        <v>37</v>
      </c>
    </row>
    <row r="724" spans="1:16" hidden="1" x14ac:dyDescent="0.15">
      <c r="A724" s="286">
        <v>51174</v>
      </c>
      <c r="B724" s="288">
        <v>44774.343055555553</v>
      </c>
      <c r="C724" s="286" t="s">
        <v>1448</v>
      </c>
      <c r="D724" s="286" t="s">
        <v>1309</v>
      </c>
      <c r="E724" s="286" t="s">
        <v>1310</v>
      </c>
      <c r="F724" s="286" t="s">
        <v>1477</v>
      </c>
      <c r="G724" s="286" t="s">
        <v>1084</v>
      </c>
      <c r="H724" s="286" t="s">
        <v>1442</v>
      </c>
      <c r="I724" s="286" t="s">
        <v>1129</v>
      </c>
      <c r="J724" s="286" t="s">
        <v>1312</v>
      </c>
      <c r="K724" s="286" t="s">
        <v>1478</v>
      </c>
      <c r="L724" s="286" t="s">
        <v>1479</v>
      </c>
      <c r="M724" s="286">
        <v>1</v>
      </c>
      <c r="N724" s="287">
        <v>0</v>
      </c>
      <c r="O724" s="305">
        <f t="shared" si="11"/>
        <v>44804</v>
      </c>
      <c r="P724" s="286" t="s">
        <v>164</v>
      </c>
    </row>
    <row r="725" spans="1:16" hidden="1" x14ac:dyDescent="0.15">
      <c r="A725" s="286">
        <v>51920</v>
      </c>
      <c r="B725" s="288">
        <v>44776.577777777777</v>
      </c>
      <c r="C725" s="286" t="s">
        <v>1480</v>
      </c>
      <c r="D725" s="286" t="s">
        <v>1309</v>
      </c>
      <c r="E725" s="286" t="s">
        <v>1310</v>
      </c>
      <c r="F725" s="286" t="s">
        <v>1481</v>
      </c>
      <c r="G725" s="286" t="s">
        <v>1024</v>
      </c>
      <c r="H725" s="286" t="s">
        <v>1024</v>
      </c>
      <c r="I725" s="286" t="s">
        <v>1129</v>
      </c>
      <c r="J725" s="286" t="s">
        <v>1312</v>
      </c>
      <c r="K725" s="286" t="s">
        <v>1482</v>
      </c>
      <c r="L725" s="286" t="s">
        <v>1483</v>
      </c>
      <c r="M725" s="286">
        <v>1</v>
      </c>
      <c r="N725" s="287">
        <v>0</v>
      </c>
      <c r="O725" s="305">
        <f t="shared" si="11"/>
        <v>44804</v>
      </c>
      <c r="P725" s="286" t="s">
        <v>164</v>
      </c>
    </row>
    <row r="726" spans="1:16" hidden="1" x14ac:dyDescent="0.15">
      <c r="A726" s="286">
        <v>52860</v>
      </c>
      <c r="B726" s="288">
        <v>44778.416666666664</v>
      </c>
      <c r="C726" s="286" t="s">
        <v>1480</v>
      </c>
      <c r="D726" s="286" t="s">
        <v>1309</v>
      </c>
      <c r="E726" s="286" t="s">
        <v>1310</v>
      </c>
      <c r="F726" s="286" t="s">
        <v>1484</v>
      </c>
      <c r="G726" s="286" t="s">
        <v>1010</v>
      </c>
      <c r="H726" s="286" t="s">
        <v>1010</v>
      </c>
      <c r="I726" s="286" t="s">
        <v>1129</v>
      </c>
      <c r="J726" s="286" t="s">
        <v>1312</v>
      </c>
      <c r="K726" s="286" t="s">
        <v>1356</v>
      </c>
      <c r="L726" s="286" t="s">
        <v>1357</v>
      </c>
      <c r="M726" s="286">
        <v>1</v>
      </c>
      <c r="N726" s="287">
        <v>18.52</v>
      </c>
      <c r="O726" s="305">
        <f t="shared" si="11"/>
        <v>44804</v>
      </c>
      <c r="P726" s="286" t="s">
        <v>164</v>
      </c>
    </row>
    <row r="727" spans="1:16" hidden="1" x14ac:dyDescent="0.15">
      <c r="A727" s="286">
        <v>52860</v>
      </c>
      <c r="B727" s="288">
        <v>44778.416666666664</v>
      </c>
      <c r="C727" s="286" t="s">
        <v>1480</v>
      </c>
      <c r="D727" s="286" t="s">
        <v>1309</v>
      </c>
      <c r="E727" s="286" t="s">
        <v>1310</v>
      </c>
      <c r="F727" s="286" t="s">
        <v>1484</v>
      </c>
      <c r="G727" s="286" t="s">
        <v>1010</v>
      </c>
      <c r="H727" s="286" t="s">
        <v>1010</v>
      </c>
      <c r="I727" s="286" t="s">
        <v>1129</v>
      </c>
      <c r="J727" s="286" t="s">
        <v>1312</v>
      </c>
      <c r="K727" s="286" t="s">
        <v>1356</v>
      </c>
      <c r="L727" s="286" t="s">
        <v>1357</v>
      </c>
      <c r="M727" s="286">
        <v>1</v>
      </c>
      <c r="N727" s="287">
        <v>18.52</v>
      </c>
      <c r="O727" s="305">
        <f t="shared" si="11"/>
        <v>44804</v>
      </c>
      <c r="P727" s="286" t="s">
        <v>164</v>
      </c>
    </row>
    <row r="728" spans="1:16" hidden="1" x14ac:dyDescent="0.15">
      <c r="A728" s="286">
        <v>52860</v>
      </c>
      <c r="B728" s="288">
        <v>44778.416666666664</v>
      </c>
      <c r="C728" s="286" t="s">
        <v>1480</v>
      </c>
      <c r="D728" s="286" t="s">
        <v>1309</v>
      </c>
      <c r="E728" s="286" t="s">
        <v>1310</v>
      </c>
      <c r="F728" s="286" t="s">
        <v>1484</v>
      </c>
      <c r="G728" s="286" t="s">
        <v>1010</v>
      </c>
      <c r="H728" s="286" t="s">
        <v>1010</v>
      </c>
      <c r="I728" s="286" t="s">
        <v>1129</v>
      </c>
      <c r="J728" s="286" t="s">
        <v>1312</v>
      </c>
      <c r="K728" s="286" t="s">
        <v>1485</v>
      </c>
      <c r="L728" s="286" t="s">
        <v>1486</v>
      </c>
      <c r="M728" s="286">
        <v>2</v>
      </c>
      <c r="N728" s="287">
        <v>4.3600000000000003</v>
      </c>
      <c r="O728" s="305">
        <f t="shared" si="11"/>
        <v>44804</v>
      </c>
      <c r="P728" s="286" t="s">
        <v>164</v>
      </c>
    </row>
    <row r="729" spans="1:16" hidden="1" x14ac:dyDescent="0.15">
      <c r="A729" s="286">
        <v>52860</v>
      </c>
      <c r="B729" s="288">
        <v>44778.416666666664</v>
      </c>
      <c r="C729" s="286" t="s">
        <v>1480</v>
      </c>
      <c r="D729" s="286" t="s">
        <v>1309</v>
      </c>
      <c r="E729" s="286" t="s">
        <v>1310</v>
      </c>
      <c r="F729" s="286" t="s">
        <v>1484</v>
      </c>
      <c r="G729" s="286" t="s">
        <v>1010</v>
      </c>
      <c r="H729" s="286" t="s">
        <v>1010</v>
      </c>
      <c r="I729" s="286" t="s">
        <v>1129</v>
      </c>
      <c r="J729" s="286" t="s">
        <v>1312</v>
      </c>
      <c r="K729" s="286" t="s">
        <v>1485</v>
      </c>
      <c r="L729" s="286" t="s">
        <v>1486</v>
      </c>
      <c r="M729" s="286">
        <v>2</v>
      </c>
      <c r="N729" s="287">
        <v>4.3600000000000003</v>
      </c>
      <c r="O729" s="305">
        <f t="shared" si="11"/>
        <v>44804</v>
      </c>
      <c r="P729" s="286" t="s">
        <v>164</v>
      </c>
    </row>
    <row r="730" spans="1:16" hidden="1" x14ac:dyDescent="0.15">
      <c r="A730" s="286">
        <v>53661</v>
      </c>
      <c r="B730" s="288">
        <v>44782.277083333334</v>
      </c>
      <c r="C730" s="286" t="s">
        <v>1448</v>
      </c>
      <c r="D730" s="286" t="s">
        <v>1309</v>
      </c>
      <c r="E730" s="286" t="s">
        <v>1310</v>
      </c>
      <c r="F730" s="286" t="s">
        <v>1487</v>
      </c>
      <c r="G730" s="286" t="s">
        <v>1055</v>
      </c>
      <c r="H730" s="286" t="s">
        <v>1055</v>
      </c>
      <c r="I730" s="286" t="s">
        <v>1108</v>
      </c>
      <c r="J730" s="286" t="s">
        <v>1312</v>
      </c>
      <c r="K730" s="286" t="s">
        <v>1488</v>
      </c>
      <c r="L730" s="286" t="s">
        <v>455</v>
      </c>
      <c r="M730" s="286">
        <v>1</v>
      </c>
      <c r="N730" s="287">
        <v>86129.29</v>
      </c>
      <c r="O730" s="305">
        <f t="shared" si="11"/>
        <v>44804</v>
      </c>
      <c r="P730" s="286" t="s">
        <v>37</v>
      </c>
    </row>
    <row r="731" spans="1:16" hidden="1" x14ac:dyDescent="0.15">
      <c r="A731" s="286">
        <v>53661</v>
      </c>
      <c r="B731" s="288">
        <v>44782.277083333334</v>
      </c>
      <c r="C731" s="286" t="s">
        <v>1448</v>
      </c>
      <c r="D731" s="286" t="s">
        <v>1309</v>
      </c>
      <c r="E731" s="286" t="s">
        <v>1310</v>
      </c>
      <c r="F731" s="286" t="s">
        <v>1487</v>
      </c>
      <c r="G731" s="286" t="s">
        <v>1055</v>
      </c>
      <c r="H731" s="286" t="s">
        <v>1055</v>
      </c>
      <c r="I731" s="286" t="s">
        <v>1108</v>
      </c>
      <c r="J731" s="286" t="s">
        <v>1312</v>
      </c>
      <c r="K731" s="286" t="s">
        <v>1489</v>
      </c>
      <c r="L731" s="286" t="s">
        <v>458</v>
      </c>
      <c r="M731" s="286">
        <v>1</v>
      </c>
      <c r="N731" s="287">
        <v>35977</v>
      </c>
      <c r="O731" s="305">
        <f t="shared" si="11"/>
        <v>44804</v>
      </c>
      <c r="P731" s="286" t="s">
        <v>37</v>
      </c>
    </row>
    <row r="732" spans="1:16" hidden="1" x14ac:dyDescent="0.15">
      <c r="A732" s="286">
        <v>53661</v>
      </c>
      <c r="B732" s="288">
        <v>44782.277083333334</v>
      </c>
      <c r="C732" s="286" t="s">
        <v>1448</v>
      </c>
      <c r="D732" s="286" t="s">
        <v>1309</v>
      </c>
      <c r="E732" s="286" t="s">
        <v>1310</v>
      </c>
      <c r="F732" s="286" t="s">
        <v>1487</v>
      </c>
      <c r="G732" s="286" t="s">
        <v>1055</v>
      </c>
      <c r="H732" s="286" t="s">
        <v>1055</v>
      </c>
      <c r="I732" s="286" t="s">
        <v>1128</v>
      </c>
      <c r="J732" s="286" t="s">
        <v>1312</v>
      </c>
      <c r="K732" s="286" t="s">
        <v>1490</v>
      </c>
      <c r="L732" s="286" t="s">
        <v>1491</v>
      </c>
      <c r="M732" s="286">
        <v>1</v>
      </c>
      <c r="N732" s="287">
        <v>33930</v>
      </c>
      <c r="O732" s="305">
        <f t="shared" si="11"/>
        <v>44804</v>
      </c>
      <c r="P732" s="286" t="s">
        <v>47</v>
      </c>
    </row>
    <row r="733" spans="1:16" hidden="1" x14ac:dyDescent="0.15">
      <c r="A733" s="286">
        <v>53661</v>
      </c>
      <c r="B733" s="288">
        <v>44782.277083333334</v>
      </c>
      <c r="C733" s="286" t="s">
        <v>1448</v>
      </c>
      <c r="D733" s="286" t="s">
        <v>1309</v>
      </c>
      <c r="E733" s="286" t="s">
        <v>1310</v>
      </c>
      <c r="F733" s="286" t="s">
        <v>1487</v>
      </c>
      <c r="G733" s="286" t="s">
        <v>1055</v>
      </c>
      <c r="H733" s="286" t="s">
        <v>1055</v>
      </c>
      <c r="I733" s="286" t="s">
        <v>1108</v>
      </c>
      <c r="J733" s="286" t="s">
        <v>1312</v>
      </c>
      <c r="K733" s="286" t="s">
        <v>1492</v>
      </c>
      <c r="L733" s="286" t="s">
        <v>582</v>
      </c>
      <c r="M733" s="286">
        <v>1</v>
      </c>
      <c r="N733" s="287">
        <v>23944</v>
      </c>
      <c r="O733" s="305">
        <f t="shared" si="11"/>
        <v>44804</v>
      </c>
      <c r="P733" s="286" t="s">
        <v>37</v>
      </c>
    </row>
    <row r="734" spans="1:16" hidden="1" x14ac:dyDescent="0.15">
      <c r="A734" s="286">
        <v>53661</v>
      </c>
      <c r="B734" s="288">
        <v>44782.277083333334</v>
      </c>
      <c r="C734" s="286" t="s">
        <v>1448</v>
      </c>
      <c r="D734" s="286" t="s">
        <v>1309</v>
      </c>
      <c r="E734" s="286" t="s">
        <v>1310</v>
      </c>
      <c r="F734" s="286" t="s">
        <v>1487</v>
      </c>
      <c r="G734" s="286" t="s">
        <v>1055</v>
      </c>
      <c r="H734" s="286" t="s">
        <v>1055</v>
      </c>
      <c r="I734" s="286" t="s">
        <v>1108</v>
      </c>
      <c r="J734" s="286" t="s">
        <v>1312</v>
      </c>
      <c r="K734" s="286" t="s">
        <v>1457</v>
      </c>
      <c r="L734" s="286" t="s">
        <v>439</v>
      </c>
      <c r="M734" s="286">
        <v>1</v>
      </c>
      <c r="N734" s="287">
        <v>14711.71</v>
      </c>
      <c r="O734" s="305">
        <f t="shared" si="11"/>
        <v>44804</v>
      </c>
      <c r="P734" s="286" t="s">
        <v>37</v>
      </c>
    </row>
    <row r="735" spans="1:16" hidden="1" x14ac:dyDescent="0.15">
      <c r="A735" s="286">
        <v>53661</v>
      </c>
      <c r="B735" s="288">
        <v>44782.277083333334</v>
      </c>
      <c r="C735" s="286" t="s">
        <v>1448</v>
      </c>
      <c r="D735" s="286" t="s">
        <v>1309</v>
      </c>
      <c r="E735" s="286" t="s">
        <v>1310</v>
      </c>
      <c r="F735" s="286" t="s">
        <v>1487</v>
      </c>
      <c r="G735" s="286" t="s">
        <v>1055</v>
      </c>
      <c r="H735" s="286" t="s">
        <v>1055</v>
      </c>
      <c r="I735" s="286" t="s">
        <v>1108</v>
      </c>
      <c r="J735" s="286" t="s">
        <v>1312</v>
      </c>
      <c r="K735" s="286" t="s">
        <v>1493</v>
      </c>
      <c r="L735" s="286" t="s">
        <v>1494</v>
      </c>
      <c r="M735" s="286">
        <v>1</v>
      </c>
      <c r="N735" s="287">
        <v>14532</v>
      </c>
      <c r="O735" s="305">
        <f t="shared" si="11"/>
        <v>44804</v>
      </c>
      <c r="P735" s="286" t="s">
        <v>37</v>
      </c>
    </row>
    <row r="736" spans="1:16" hidden="1" x14ac:dyDescent="0.15">
      <c r="A736" s="286">
        <v>53661</v>
      </c>
      <c r="B736" s="288">
        <v>44782.277083333334</v>
      </c>
      <c r="C736" s="286" t="s">
        <v>1448</v>
      </c>
      <c r="D736" s="286" t="s">
        <v>1309</v>
      </c>
      <c r="E736" s="286" t="s">
        <v>1310</v>
      </c>
      <c r="F736" s="286" t="s">
        <v>1487</v>
      </c>
      <c r="G736" s="286" t="s">
        <v>1055</v>
      </c>
      <c r="H736" s="286" t="s">
        <v>1055</v>
      </c>
      <c r="I736" s="286" t="s">
        <v>1121</v>
      </c>
      <c r="J736" s="286" t="s">
        <v>1312</v>
      </c>
      <c r="K736" s="286" t="s">
        <v>1422</v>
      </c>
      <c r="L736" s="286" t="s">
        <v>250</v>
      </c>
      <c r="M736" s="286">
        <v>1</v>
      </c>
      <c r="N736" s="287">
        <v>11888</v>
      </c>
      <c r="O736" s="305">
        <f t="shared" si="11"/>
        <v>44804</v>
      </c>
      <c r="P736" s="286" t="s">
        <v>248</v>
      </c>
    </row>
    <row r="737" spans="1:16" hidden="1" x14ac:dyDescent="0.15">
      <c r="A737" s="286">
        <v>53661</v>
      </c>
      <c r="B737" s="288">
        <v>44782.277083333334</v>
      </c>
      <c r="C737" s="286" t="s">
        <v>1448</v>
      </c>
      <c r="D737" s="286" t="s">
        <v>1309</v>
      </c>
      <c r="E737" s="286" t="s">
        <v>1310</v>
      </c>
      <c r="F737" s="286" t="s">
        <v>1487</v>
      </c>
      <c r="G737" s="286" t="s">
        <v>1055</v>
      </c>
      <c r="H737" s="286" t="s">
        <v>1055</v>
      </c>
      <c r="I737" s="286" t="s">
        <v>1301</v>
      </c>
      <c r="J737" s="286" t="s">
        <v>1312</v>
      </c>
      <c r="K737" s="286" t="s">
        <v>56</v>
      </c>
      <c r="L737" s="286" t="s">
        <v>71</v>
      </c>
      <c r="M737" s="286">
        <v>1</v>
      </c>
      <c r="N737" s="287">
        <v>8400</v>
      </c>
      <c r="O737" s="305">
        <f t="shared" si="11"/>
        <v>44804</v>
      </c>
      <c r="P737" s="286" t="s">
        <v>55</v>
      </c>
    </row>
    <row r="738" spans="1:16" hidden="1" x14ac:dyDescent="0.15">
      <c r="A738" s="286">
        <v>53661</v>
      </c>
      <c r="B738" s="288">
        <v>44782.277083333334</v>
      </c>
      <c r="C738" s="286" t="s">
        <v>1448</v>
      </c>
      <c r="D738" s="286" t="s">
        <v>1309</v>
      </c>
      <c r="E738" s="286" t="s">
        <v>1310</v>
      </c>
      <c r="F738" s="286" t="s">
        <v>1487</v>
      </c>
      <c r="G738" s="286" t="s">
        <v>1055</v>
      </c>
      <c r="H738" s="286" t="s">
        <v>1055</v>
      </c>
      <c r="I738" s="286" t="s">
        <v>1204</v>
      </c>
      <c r="J738" s="286" t="s">
        <v>1312</v>
      </c>
      <c r="K738" s="286" t="s">
        <v>1495</v>
      </c>
      <c r="L738" s="286" t="s">
        <v>462</v>
      </c>
      <c r="M738" s="286">
        <v>1</v>
      </c>
      <c r="N738" s="287">
        <v>8053</v>
      </c>
      <c r="O738" s="305">
        <f t="shared" si="11"/>
        <v>44804</v>
      </c>
      <c r="P738" s="286" t="s">
        <v>49</v>
      </c>
    </row>
    <row r="739" spans="1:16" hidden="1" x14ac:dyDescent="0.15">
      <c r="A739" s="286">
        <v>53663</v>
      </c>
      <c r="B739" s="288">
        <v>44782.279861111114</v>
      </c>
      <c r="C739" s="286" t="s">
        <v>1448</v>
      </c>
      <c r="D739" s="286" t="s">
        <v>1309</v>
      </c>
      <c r="E739" s="286" t="s">
        <v>1310</v>
      </c>
      <c r="F739" s="286" t="s">
        <v>1496</v>
      </c>
      <c r="G739" s="286" t="s">
        <v>1083</v>
      </c>
      <c r="H739" s="286" t="s">
        <v>1083</v>
      </c>
      <c r="I739" s="286" t="s">
        <v>1235</v>
      </c>
      <c r="J739" s="286" t="s">
        <v>1312</v>
      </c>
      <c r="K739" s="286" t="s">
        <v>1497</v>
      </c>
      <c r="L739" s="286" t="s">
        <v>446</v>
      </c>
      <c r="M739" s="286">
        <v>1</v>
      </c>
      <c r="N739" s="287">
        <v>69119</v>
      </c>
      <c r="O739" s="305">
        <f t="shared" si="11"/>
        <v>44804</v>
      </c>
      <c r="P739" s="286" t="s">
        <v>180</v>
      </c>
    </row>
    <row r="740" spans="1:16" hidden="1" x14ac:dyDescent="0.15">
      <c r="A740" s="286">
        <v>53663</v>
      </c>
      <c r="B740" s="288">
        <v>44782.279861111114</v>
      </c>
      <c r="C740" s="286" t="s">
        <v>1448</v>
      </c>
      <c r="D740" s="286" t="s">
        <v>1309</v>
      </c>
      <c r="E740" s="286" t="s">
        <v>1310</v>
      </c>
      <c r="F740" s="286" t="s">
        <v>1496</v>
      </c>
      <c r="G740" s="286" t="s">
        <v>1083</v>
      </c>
      <c r="H740" s="286" t="s">
        <v>1083</v>
      </c>
      <c r="I740" s="286" t="s">
        <v>1235</v>
      </c>
      <c r="J740" s="286" t="s">
        <v>1312</v>
      </c>
      <c r="K740" s="286" t="s">
        <v>1498</v>
      </c>
      <c r="L740" s="286" t="s">
        <v>1499</v>
      </c>
      <c r="M740" s="286">
        <v>1</v>
      </c>
      <c r="N740" s="287">
        <v>28143</v>
      </c>
      <c r="O740" s="305">
        <f t="shared" si="11"/>
        <v>44804</v>
      </c>
      <c r="P740" s="286" t="s">
        <v>180</v>
      </c>
    </row>
    <row r="741" spans="1:16" hidden="1" x14ac:dyDescent="0.15">
      <c r="A741" s="286">
        <v>53663</v>
      </c>
      <c r="B741" s="288">
        <v>44782.279861111114</v>
      </c>
      <c r="C741" s="286" t="s">
        <v>1448</v>
      </c>
      <c r="D741" s="286" t="s">
        <v>1309</v>
      </c>
      <c r="E741" s="286" t="s">
        <v>1310</v>
      </c>
      <c r="F741" s="286" t="s">
        <v>1496</v>
      </c>
      <c r="G741" s="286" t="s">
        <v>1083</v>
      </c>
      <c r="H741" s="286" t="s">
        <v>1083</v>
      </c>
      <c r="I741" s="286" t="s">
        <v>1229</v>
      </c>
      <c r="J741" s="286" t="s">
        <v>1312</v>
      </c>
      <c r="K741" s="286" t="s">
        <v>1500</v>
      </c>
      <c r="L741" s="286" t="s">
        <v>1501</v>
      </c>
      <c r="M741" s="286">
        <v>1</v>
      </c>
      <c r="N741" s="287">
        <v>27676</v>
      </c>
      <c r="O741" s="305">
        <f t="shared" si="11"/>
        <v>44804</v>
      </c>
      <c r="P741" s="286" t="s">
        <v>279</v>
      </c>
    </row>
    <row r="742" spans="1:16" hidden="1" x14ac:dyDescent="0.15">
      <c r="A742" s="286">
        <v>53663</v>
      </c>
      <c r="B742" s="288">
        <v>44782.279861111114</v>
      </c>
      <c r="C742" s="286" t="s">
        <v>1448</v>
      </c>
      <c r="D742" s="286" t="s">
        <v>1309</v>
      </c>
      <c r="E742" s="286" t="s">
        <v>1310</v>
      </c>
      <c r="F742" s="286" t="s">
        <v>1496</v>
      </c>
      <c r="G742" s="286" t="s">
        <v>1083</v>
      </c>
      <c r="H742" s="286" t="s">
        <v>1083</v>
      </c>
      <c r="I742" s="286" t="s">
        <v>1211</v>
      </c>
      <c r="J742" s="286" t="s">
        <v>1312</v>
      </c>
      <c r="K742" s="286" t="s">
        <v>1502</v>
      </c>
      <c r="L742" s="286" t="s">
        <v>453</v>
      </c>
      <c r="M742" s="286">
        <v>1</v>
      </c>
      <c r="N742" s="287">
        <v>8858</v>
      </c>
      <c r="O742" s="305">
        <f t="shared" si="11"/>
        <v>44804</v>
      </c>
      <c r="P742" s="286" t="s">
        <v>452</v>
      </c>
    </row>
    <row r="743" spans="1:16" hidden="1" x14ac:dyDescent="0.15">
      <c r="A743" s="286">
        <v>53663</v>
      </c>
      <c r="B743" s="288">
        <v>44782.279861111114</v>
      </c>
      <c r="C743" s="286" t="s">
        <v>1448</v>
      </c>
      <c r="D743" s="286" t="s">
        <v>1309</v>
      </c>
      <c r="E743" s="286" t="s">
        <v>1310</v>
      </c>
      <c r="F743" s="286" t="s">
        <v>1496</v>
      </c>
      <c r="G743" s="286" t="s">
        <v>1083</v>
      </c>
      <c r="H743" s="286" t="s">
        <v>1083</v>
      </c>
      <c r="I743" s="286" t="s">
        <v>1121</v>
      </c>
      <c r="J743" s="286" t="s">
        <v>1312</v>
      </c>
      <c r="K743" s="286" t="s">
        <v>1503</v>
      </c>
      <c r="L743" s="286" t="s">
        <v>250</v>
      </c>
      <c r="M743" s="286">
        <v>1</v>
      </c>
      <c r="N743" s="287">
        <v>7052</v>
      </c>
      <c r="O743" s="305">
        <f t="shared" si="11"/>
        <v>44804</v>
      </c>
      <c r="P743" s="286" t="s">
        <v>248</v>
      </c>
    </row>
    <row r="744" spans="1:16" hidden="1" x14ac:dyDescent="0.15">
      <c r="A744" s="286">
        <v>53663</v>
      </c>
      <c r="B744" s="288">
        <v>44782.279861111114</v>
      </c>
      <c r="C744" s="286" t="s">
        <v>1448</v>
      </c>
      <c r="D744" s="286" t="s">
        <v>1309</v>
      </c>
      <c r="E744" s="286" t="s">
        <v>1310</v>
      </c>
      <c r="F744" s="286" t="s">
        <v>1496</v>
      </c>
      <c r="G744" s="286" t="s">
        <v>1083</v>
      </c>
      <c r="H744" s="286" t="s">
        <v>1083</v>
      </c>
      <c r="I744" s="286" t="s">
        <v>1301</v>
      </c>
      <c r="J744" s="286" t="s">
        <v>1312</v>
      </c>
      <c r="K744" s="286" t="s">
        <v>56</v>
      </c>
      <c r="L744" s="286" t="s">
        <v>71</v>
      </c>
      <c r="M744" s="286">
        <v>1</v>
      </c>
      <c r="N744" s="287">
        <v>4000</v>
      </c>
      <c r="O744" s="305">
        <f t="shared" si="11"/>
        <v>44804</v>
      </c>
      <c r="P744" s="286" t="s">
        <v>55</v>
      </c>
    </row>
    <row r="745" spans="1:16" hidden="1" x14ac:dyDescent="0.15">
      <c r="A745" s="286">
        <v>54153</v>
      </c>
      <c r="B745" s="288">
        <v>44782.64166666667</v>
      </c>
      <c r="C745" s="286" t="s">
        <v>1480</v>
      </c>
      <c r="D745" s="286" t="s">
        <v>1309</v>
      </c>
      <c r="E745" s="286" t="s">
        <v>1310</v>
      </c>
      <c r="F745" s="286" t="s">
        <v>1504</v>
      </c>
      <c r="G745" s="286" t="s">
        <v>1029</v>
      </c>
      <c r="H745" s="286" t="s">
        <v>1029</v>
      </c>
      <c r="I745" s="286" t="s">
        <v>1152</v>
      </c>
      <c r="J745" s="286" t="s">
        <v>1312</v>
      </c>
      <c r="K745" s="286" t="s">
        <v>1505</v>
      </c>
      <c r="L745" s="286" t="s">
        <v>1506</v>
      </c>
      <c r="M745" s="286">
        <v>2</v>
      </c>
      <c r="N745" s="287">
        <v>0</v>
      </c>
      <c r="O745" s="305">
        <f t="shared" si="11"/>
        <v>44804</v>
      </c>
      <c r="P745" s="111" t="s">
        <v>58</v>
      </c>
    </row>
    <row r="746" spans="1:16" hidden="1" x14ac:dyDescent="0.15">
      <c r="A746" s="286">
        <v>54429</v>
      </c>
      <c r="B746" s="288">
        <v>44783.545138888891</v>
      </c>
      <c r="C746" s="286" t="s">
        <v>1448</v>
      </c>
      <c r="D746" s="286" t="s">
        <v>1105</v>
      </c>
      <c r="E746" s="286" t="s">
        <v>1106</v>
      </c>
      <c r="F746" s="286" t="s">
        <v>1507</v>
      </c>
      <c r="G746" s="286" t="s">
        <v>53</v>
      </c>
      <c r="H746" s="286" t="s">
        <v>53</v>
      </c>
      <c r="I746" s="286" t="s">
        <v>1199</v>
      </c>
      <c r="J746" s="286" t="s">
        <v>1312</v>
      </c>
      <c r="K746" s="286" t="s">
        <v>53</v>
      </c>
      <c r="L746" s="286" t="s">
        <v>53</v>
      </c>
      <c r="M746" s="286" t="s">
        <v>53</v>
      </c>
      <c r="N746" s="287">
        <v>158797.35</v>
      </c>
      <c r="O746" s="305">
        <f t="shared" si="11"/>
        <v>44804</v>
      </c>
      <c r="P746" s="286" t="s">
        <v>58</v>
      </c>
    </row>
    <row r="747" spans="1:16" hidden="1" x14ac:dyDescent="0.15">
      <c r="A747" s="286">
        <v>54429</v>
      </c>
      <c r="B747" s="288">
        <v>44783.545138888891</v>
      </c>
      <c r="C747" s="286" t="s">
        <v>1448</v>
      </c>
      <c r="D747" s="286" t="s">
        <v>1105</v>
      </c>
      <c r="E747" s="286" t="s">
        <v>1106</v>
      </c>
      <c r="F747" s="286" t="s">
        <v>1507</v>
      </c>
      <c r="G747" s="286" t="s">
        <v>53</v>
      </c>
      <c r="H747" s="286" t="s">
        <v>53</v>
      </c>
      <c r="I747" s="286" t="s">
        <v>1228</v>
      </c>
      <c r="J747" s="286" t="s">
        <v>1312</v>
      </c>
      <c r="K747" s="286" t="s">
        <v>53</v>
      </c>
      <c r="L747" s="286" t="s">
        <v>53</v>
      </c>
      <c r="M747" s="286" t="s">
        <v>53</v>
      </c>
      <c r="N747" s="287">
        <v>53297.65</v>
      </c>
      <c r="O747" s="305">
        <f t="shared" si="11"/>
        <v>44804</v>
      </c>
      <c r="P747" s="286" t="s">
        <v>58</v>
      </c>
    </row>
    <row r="748" spans="1:16" hidden="1" x14ac:dyDescent="0.15">
      <c r="A748" s="286">
        <v>54429</v>
      </c>
      <c r="B748" s="288">
        <v>44783.545138888891</v>
      </c>
      <c r="C748" s="286" t="s">
        <v>1448</v>
      </c>
      <c r="D748" s="286" t="s">
        <v>1105</v>
      </c>
      <c r="E748" s="286" t="s">
        <v>1106</v>
      </c>
      <c r="F748" s="286" t="s">
        <v>1507</v>
      </c>
      <c r="G748" s="286" t="s">
        <v>53</v>
      </c>
      <c r="H748" s="286" t="s">
        <v>53</v>
      </c>
      <c r="I748" s="286" t="s">
        <v>1152</v>
      </c>
      <c r="J748" s="286" t="s">
        <v>1312</v>
      </c>
      <c r="K748" s="286" t="s">
        <v>53</v>
      </c>
      <c r="L748" s="286" t="s">
        <v>53</v>
      </c>
      <c r="M748" s="286" t="s">
        <v>53</v>
      </c>
      <c r="N748" s="287">
        <v>18164.03</v>
      </c>
      <c r="O748" s="305">
        <f t="shared" si="11"/>
        <v>44804</v>
      </c>
      <c r="P748" s="111" t="s">
        <v>58</v>
      </c>
    </row>
    <row r="749" spans="1:16" hidden="1" x14ac:dyDescent="0.15">
      <c r="A749" s="286">
        <v>54429</v>
      </c>
      <c r="B749" s="288">
        <v>44783.545138888891</v>
      </c>
      <c r="C749" s="286" t="s">
        <v>1448</v>
      </c>
      <c r="D749" s="286" t="s">
        <v>1105</v>
      </c>
      <c r="E749" s="286" t="s">
        <v>1106</v>
      </c>
      <c r="F749" s="286" t="s">
        <v>1507</v>
      </c>
      <c r="G749" s="286" t="s">
        <v>53</v>
      </c>
      <c r="H749" s="286" t="s">
        <v>53</v>
      </c>
      <c r="I749" s="286" t="s">
        <v>1279</v>
      </c>
      <c r="J749" s="286" t="s">
        <v>1312</v>
      </c>
      <c r="K749" s="286" t="s">
        <v>53</v>
      </c>
      <c r="L749" s="286" t="s">
        <v>53</v>
      </c>
      <c r="M749" s="286" t="s">
        <v>53</v>
      </c>
      <c r="N749" s="287">
        <v>935.25</v>
      </c>
      <c r="O749" s="305">
        <f t="shared" si="11"/>
        <v>44804</v>
      </c>
      <c r="P749" s="286" t="s">
        <v>58</v>
      </c>
    </row>
    <row r="750" spans="1:16" hidden="1" x14ac:dyDescent="0.15">
      <c r="A750" s="286">
        <v>54898</v>
      </c>
      <c r="B750" s="288">
        <v>44784.546527777777</v>
      </c>
      <c r="C750" s="286" t="s">
        <v>1448</v>
      </c>
      <c r="D750" s="286" t="s">
        <v>1105</v>
      </c>
      <c r="E750" s="286" t="s">
        <v>1106</v>
      </c>
      <c r="F750" s="286" t="s">
        <v>1508</v>
      </c>
      <c r="G750" s="286" t="s">
        <v>1028</v>
      </c>
      <c r="H750" s="286" t="s">
        <v>1028</v>
      </c>
      <c r="I750" s="286" t="s">
        <v>1112</v>
      </c>
      <c r="J750" s="286" t="s">
        <v>1312</v>
      </c>
      <c r="K750" s="286" t="s">
        <v>53</v>
      </c>
      <c r="L750" s="286" t="s">
        <v>53</v>
      </c>
      <c r="M750" s="286" t="s">
        <v>53</v>
      </c>
      <c r="N750" s="287">
        <v>35058</v>
      </c>
      <c r="O750" s="305">
        <f t="shared" si="11"/>
        <v>44804</v>
      </c>
      <c r="P750" s="286" t="s">
        <v>175</v>
      </c>
    </row>
    <row r="751" spans="1:16" hidden="1" x14ac:dyDescent="0.15">
      <c r="A751" s="286">
        <v>54898</v>
      </c>
      <c r="B751" s="288">
        <v>44784.546527777777</v>
      </c>
      <c r="C751" s="286" t="s">
        <v>1448</v>
      </c>
      <c r="D751" s="286" t="s">
        <v>1105</v>
      </c>
      <c r="E751" s="286" t="s">
        <v>1106</v>
      </c>
      <c r="F751" s="286" t="s">
        <v>1508</v>
      </c>
      <c r="G751" s="286" t="s">
        <v>1017</v>
      </c>
      <c r="H751" s="286" t="s">
        <v>1017</v>
      </c>
      <c r="I751" s="286" t="s">
        <v>1230</v>
      </c>
      <c r="J751" s="286" t="s">
        <v>1312</v>
      </c>
      <c r="K751" s="286" t="s">
        <v>53</v>
      </c>
      <c r="L751" s="286" t="s">
        <v>53</v>
      </c>
      <c r="M751" s="286" t="s">
        <v>53</v>
      </c>
      <c r="N751" s="287">
        <v>29746</v>
      </c>
      <c r="O751" s="305">
        <f t="shared" si="11"/>
        <v>44804</v>
      </c>
      <c r="P751" s="286" t="s">
        <v>175</v>
      </c>
    </row>
    <row r="752" spans="1:16" hidden="1" x14ac:dyDescent="0.15">
      <c r="A752" s="286">
        <v>54898</v>
      </c>
      <c r="B752" s="288">
        <v>44784.546527777777</v>
      </c>
      <c r="C752" s="286" t="s">
        <v>1448</v>
      </c>
      <c r="D752" s="286" t="s">
        <v>1105</v>
      </c>
      <c r="E752" s="286" t="s">
        <v>1106</v>
      </c>
      <c r="F752" s="286" t="s">
        <v>1508</v>
      </c>
      <c r="G752" s="286" t="s">
        <v>1071</v>
      </c>
      <c r="H752" s="286" t="s">
        <v>1071</v>
      </c>
      <c r="I752" s="286" t="s">
        <v>1230</v>
      </c>
      <c r="J752" s="286" t="s">
        <v>1312</v>
      </c>
      <c r="K752" s="286" t="s">
        <v>53</v>
      </c>
      <c r="L752" s="286" t="s">
        <v>53</v>
      </c>
      <c r="M752" s="286" t="s">
        <v>53</v>
      </c>
      <c r="N752" s="287">
        <v>11123</v>
      </c>
      <c r="O752" s="305">
        <f t="shared" si="11"/>
        <v>44804</v>
      </c>
      <c r="P752" s="286" t="s">
        <v>175</v>
      </c>
    </row>
    <row r="753" spans="1:16" hidden="1" x14ac:dyDescent="0.15">
      <c r="A753" s="286">
        <v>54898</v>
      </c>
      <c r="B753" s="288">
        <v>44784.546527777777</v>
      </c>
      <c r="C753" s="286" t="s">
        <v>1448</v>
      </c>
      <c r="D753" s="286" t="s">
        <v>1105</v>
      </c>
      <c r="E753" s="286" t="s">
        <v>1106</v>
      </c>
      <c r="F753" s="286" t="s">
        <v>1508</v>
      </c>
      <c r="G753" s="286" t="s">
        <v>1083</v>
      </c>
      <c r="H753" s="286" t="s">
        <v>1083</v>
      </c>
      <c r="I753" s="286" t="s">
        <v>1230</v>
      </c>
      <c r="J753" s="286" t="s">
        <v>1312</v>
      </c>
      <c r="K753" s="286" t="s">
        <v>53</v>
      </c>
      <c r="L753" s="286" t="s">
        <v>53</v>
      </c>
      <c r="M753" s="286" t="s">
        <v>53</v>
      </c>
      <c r="N753" s="287">
        <v>9572</v>
      </c>
      <c r="O753" s="305">
        <f t="shared" si="11"/>
        <v>44804</v>
      </c>
      <c r="P753" s="286" t="s">
        <v>175</v>
      </c>
    </row>
    <row r="754" spans="1:16" hidden="1" x14ac:dyDescent="0.15">
      <c r="A754" s="286">
        <v>55593</v>
      </c>
      <c r="B754" s="288">
        <v>44785.486805555556</v>
      </c>
      <c r="C754" s="286" t="s">
        <v>1480</v>
      </c>
      <c r="D754" s="286" t="s">
        <v>1309</v>
      </c>
      <c r="E754" s="286" t="s">
        <v>1310</v>
      </c>
      <c r="F754" s="286" t="s">
        <v>1509</v>
      </c>
      <c r="G754" s="286" t="s">
        <v>1510</v>
      </c>
      <c r="H754" s="286" t="s">
        <v>1510</v>
      </c>
      <c r="I754" s="286" t="s">
        <v>1129</v>
      </c>
      <c r="J754" s="286" t="s">
        <v>1312</v>
      </c>
      <c r="K754" s="286" t="s">
        <v>1511</v>
      </c>
      <c r="L754" s="286" t="s">
        <v>1512</v>
      </c>
      <c r="M754" s="286">
        <v>4</v>
      </c>
      <c r="N754" s="287">
        <v>107.2</v>
      </c>
      <c r="O754" s="305">
        <f t="shared" si="11"/>
        <v>44804</v>
      </c>
      <c r="P754" s="286" t="s">
        <v>164</v>
      </c>
    </row>
    <row r="755" spans="1:16" hidden="1" x14ac:dyDescent="0.15">
      <c r="A755" s="286">
        <v>55593</v>
      </c>
      <c r="B755" s="288">
        <v>44785.486805555556</v>
      </c>
      <c r="C755" s="286" t="s">
        <v>1480</v>
      </c>
      <c r="D755" s="286" t="s">
        <v>1309</v>
      </c>
      <c r="E755" s="286" t="s">
        <v>1310</v>
      </c>
      <c r="F755" s="286" t="s">
        <v>1509</v>
      </c>
      <c r="G755" s="286" t="s">
        <v>1510</v>
      </c>
      <c r="H755" s="286" t="s">
        <v>1510</v>
      </c>
      <c r="I755" s="286" t="s">
        <v>1129</v>
      </c>
      <c r="J755" s="286" t="s">
        <v>1312</v>
      </c>
      <c r="K755" s="286" t="s">
        <v>532</v>
      </c>
      <c r="L755" s="286" t="s">
        <v>533</v>
      </c>
      <c r="M755" s="286">
        <v>24</v>
      </c>
      <c r="N755" s="287">
        <v>34.799999999999997</v>
      </c>
      <c r="O755" s="305">
        <f t="shared" si="11"/>
        <v>44804</v>
      </c>
      <c r="P755" s="286" t="s">
        <v>164</v>
      </c>
    </row>
    <row r="756" spans="1:16" hidden="1" x14ac:dyDescent="0.15">
      <c r="A756" s="286">
        <v>58041</v>
      </c>
      <c r="B756" s="288">
        <v>44791.629166666666</v>
      </c>
      <c r="C756" s="286" t="s">
        <v>1480</v>
      </c>
      <c r="D756" s="286" t="s">
        <v>1309</v>
      </c>
      <c r="E756" s="286" t="s">
        <v>1310</v>
      </c>
      <c r="F756" s="286" t="s">
        <v>1513</v>
      </c>
      <c r="G756" s="286" t="s">
        <v>1067</v>
      </c>
      <c r="H756" s="286" t="s">
        <v>1067</v>
      </c>
      <c r="I756" s="286" t="s">
        <v>1129</v>
      </c>
      <c r="J756" s="286" t="s">
        <v>1312</v>
      </c>
      <c r="K756" s="286" t="s">
        <v>1402</v>
      </c>
      <c r="L756" s="286" t="s">
        <v>1403</v>
      </c>
      <c r="M756" s="286">
        <v>1</v>
      </c>
      <c r="N756" s="287">
        <v>0</v>
      </c>
      <c r="O756" s="305">
        <f t="shared" si="11"/>
        <v>44804</v>
      </c>
      <c r="P756" s="286" t="s">
        <v>164</v>
      </c>
    </row>
    <row r="757" spans="1:16" hidden="1" x14ac:dyDescent="0.15">
      <c r="A757" s="286">
        <v>58041</v>
      </c>
      <c r="B757" s="288">
        <v>44791.629166666666</v>
      </c>
      <c r="C757" s="286" t="s">
        <v>1480</v>
      </c>
      <c r="D757" s="286" t="s">
        <v>1309</v>
      </c>
      <c r="E757" s="286" t="s">
        <v>1310</v>
      </c>
      <c r="F757" s="286" t="s">
        <v>1513</v>
      </c>
      <c r="G757" s="286" t="s">
        <v>1067</v>
      </c>
      <c r="H757" s="286" t="s">
        <v>1067</v>
      </c>
      <c r="I757" s="286" t="s">
        <v>1129</v>
      </c>
      <c r="J757" s="286" t="s">
        <v>1312</v>
      </c>
      <c r="K757" s="286" t="s">
        <v>1514</v>
      </c>
      <c r="L757" s="286" t="s">
        <v>1515</v>
      </c>
      <c r="M757" s="286">
        <v>1</v>
      </c>
      <c r="N757" s="287">
        <v>0</v>
      </c>
      <c r="O757" s="305">
        <f t="shared" si="11"/>
        <v>44804</v>
      </c>
      <c r="P757" s="286" t="s">
        <v>164</v>
      </c>
    </row>
    <row r="758" spans="1:16" hidden="1" x14ac:dyDescent="0.15">
      <c r="A758" s="286">
        <v>58603</v>
      </c>
      <c r="B758" s="288">
        <v>44795.663194444445</v>
      </c>
      <c r="C758" s="286" t="s">
        <v>1480</v>
      </c>
      <c r="D758" s="286" t="s">
        <v>1309</v>
      </c>
      <c r="E758" s="286" t="s">
        <v>1310</v>
      </c>
      <c r="F758" s="286" t="s">
        <v>1516</v>
      </c>
      <c r="G758" s="286" t="s">
        <v>1066</v>
      </c>
      <c r="H758" s="286" t="s">
        <v>1066</v>
      </c>
      <c r="I758" s="286" t="s">
        <v>1129</v>
      </c>
      <c r="J758" s="286" t="s">
        <v>1312</v>
      </c>
      <c r="K758" s="286" t="s">
        <v>1517</v>
      </c>
      <c r="L758" s="286" t="s">
        <v>1518</v>
      </c>
      <c r="M758" s="286">
        <v>6</v>
      </c>
      <c r="N758" s="287">
        <v>0</v>
      </c>
      <c r="O758" s="305">
        <f t="shared" si="11"/>
        <v>44804</v>
      </c>
      <c r="P758" s="286" t="s">
        <v>164</v>
      </c>
    </row>
    <row r="759" spans="1:16" hidden="1" x14ac:dyDescent="0.15">
      <c r="A759" s="286">
        <v>60337</v>
      </c>
      <c r="B759" s="288">
        <v>44802.561111111114</v>
      </c>
      <c r="C759" s="286" t="s">
        <v>1480</v>
      </c>
      <c r="D759" s="286" t="s">
        <v>1309</v>
      </c>
      <c r="E759" s="286" t="s">
        <v>1310</v>
      </c>
      <c r="F759" s="286" t="s">
        <v>1519</v>
      </c>
      <c r="G759" s="286" t="s">
        <v>1520</v>
      </c>
      <c r="H759" s="286" t="s">
        <v>1520</v>
      </c>
      <c r="I759" s="286" t="s">
        <v>1129</v>
      </c>
      <c r="J759" s="286" t="s">
        <v>1312</v>
      </c>
      <c r="K759" s="286" t="s">
        <v>318</v>
      </c>
      <c r="L759" s="286" t="s">
        <v>1521</v>
      </c>
      <c r="M759" s="286">
        <v>9</v>
      </c>
      <c r="N759" s="287">
        <v>676.08</v>
      </c>
      <c r="O759" s="305">
        <f t="shared" si="11"/>
        <v>44804</v>
      </c>
      <c r="P759" s="286" t="s">
        <v>164</v>
      </c>
    </row>
    <row r="760" spans="1:16" hidden="1" x14ac:dyDescent="0.15">
      <c r="A760" s="286">
        <v>60337</v>
      </c>
      <c r="B760" s="288">
        <v>44802.561111111114</v>
      </c>
      <c r="C760" s="286" t="s">
        <v>1480</v>
      </c>
      <c r="D760" s="286" t="s">
        <v>1309</v>
      </c>
      <c r="E760" s="286" t="s">
        <v>1310</v>
      </c>
      <c r="F760" s="286" t="s">
        <v>1519</v>
      </c>
      <c r="G760" s="286" t="s">
        <v>1520</v>
      </c>
      <c r="H760" s="286" t="s">
        <v>1520</v>
      </c>
      <c r="I760" s="286" t="s">
        <v>1129</v>
      </c>
      <c r="J760" s="286" t="s">
        <v>1312</v>
      </c>
      <c r="K760" s="286" t="s">
        <v>1522</v>
      </c>
      <c r="L760" s="286" t="s">
        <v>1523</v>
      </c>
      <c r="M760" s="286">
        <v>8</v>
      </c>
      <c r="N760" s="287">
        <v>477.92</v>
      </c>
      <c r="O760" s="305">
        <f t="shared" si="11"/>
        <v>44804</v>
      </c>
      <c r="P760" s="286" t="s">
        <v>164</v>
      </c>
    </row>
    <row r="761" spans="1:16" hidden="1" x14ac:dyDescent="0.15">
      <c r="A761" s="286">
        <v>60748</v>
      </c>
      <c r="B761" s="288">
        <v>44802.681944444441</v>
      </c>
      <c r="C761" s="286" t="s">
        <v>1480</v>
      </c>
      <c r="D761" s="286" t="s">
        <v>1309</v>
      </c>
      <c r="E761" s="286" t="s">
        <v>1310</v>
      </c>
      <c r="F761" s="286" t="s">
        <v>1524</v>
      </c>
      <c r="G761" s="286" t="s">
        <v>1033</v>
      </c>
      <c r="H761" s="286" t="s">
        <v>1033</v>
      </c>
      <c r="I761" s="286" t="s">
        <v>1282</v>
      </c>
      <c r="J761" s="286" t="s">
        <v>1312</v>
      </c>
      <c r="K761" s="286" t="s">
        <v>202</v>
      </c>
      <c r="L761" s="286" t="s">
        <v>203</v>
      </c>
      <c r="M761" s="286">
        <v>1</v>
      </c>
      <c r="N761" s="287">
        <v>0</v>
      </c>
      <c r="O761" s="305">
        <f t="shared" si="11"/>
        <v>44804</v>
      </c>
      <c r="P761" s="286" t="s">
        <v>201</v>
      </c>
    </row>
    <row r="762" spans="1:16" hidden="1" x14ac:dyDescent="0.15">
      <c r="A762" s="286">
        <v>61047</v>
      </c>
      <c r="B762" s="288">
        <v>44803.718055555553</v>
      </c>
      <c r="C762" s="286" t="s">
        <v>1480</v>
      </c>
      <c r="D762" s="286" t="s">
        <v>1309</v>
      </c>
      <c r="E762" s="286" t="s">
        <v>1310</v>
      </c>
      <c r="F762" s="286" t="s">
        <v>1525</v>
      </c>
      <c r="G762" s="286" t="s">
        <v>1007</v>
      </c>
      <c r="H762" s="286" t="s">
        <v>1007</v>
      </c>
      <c r="I762" s="286" t="s">
        <v>1235</v>
      </c>
      <c r="J762" s="286" t="s">
        <v>1312</v>
      </c>
      <c r="K762" s="286" t="s">
        <v>1497</v>
      </c>
      <c r="L762" s="286" t="s">
        <v>446</v>
      </c>
      <c r="M762" s="286">
        <v>2</v>
      </c>
      <c r="N762" s="287">
        <v>125828.4</v>
      </c>
      <c r="O762" s="305">
        <f t="shared" si="11"/>
        <v>44804</v>
      </c>
      <c r="P762" s="286" t="s">
        <v>180</v>
      </c>
    </row>
    <row r="763" spans="1:16" hidden="1" x14ac:dyDescent="0.15">
      <c r="A763" s="286">
        <v>61047</v>
      </c>
      <c r="B763" s="288">
        <v>44803.718055555553</v>
      </c>
      <c r="C763" s="286" t="s">
        <v>1480</v>
      </c>
      <c r="D763" s="286" t="s">
        <v>1309</v>
      </c>
      <c r="E763" s="286" t="s">
        <v>1310</v>
      </c>
      <c r="F763" s="286" t="s">
        <v>1525</v>
      </c>
      <c r="G763" s="286" t="s">
        <v>1007</v>
      </c>
      <c r="H763" s="286" t="s">
        <v>1007</v>
      </c>
      <c r="I763" s="286" t="s">
        <v>1235</v>
      </c>
      <c r="J763" s="286" t="s">
        <v>1312</v>
      </c>
      <c r="K763" s="286" t="s">
        <v>1497</v>
      </c>
      <c r="L763" s="286" t="s">
        <v>446</v>
      </c>
      <c r="M763" s="286">
        <v>1</v>
      </c>
      <c r="N763" s="287">
        <v>62914.2</v>
      </c>
      <c r="O763" s="305">
        <f t="shared" si="11"/>
        <v>44804</v>
      </c>
      <c r="P763" s="286" t="s">
        <v>180</v>
      </c>
    </row>
    <row r="764" spans="1:16" hidden="1" x14ac:dyDescent="0.15">
      <c r="A764" s="286">
        <v>61047</v>
      </c>
      <c r="B764" s="288">
        <v>44803.718055555553</v>
      </c>
      <c r="C764" s="286" t="s">
        <v>1480</v>
      </c>
      <c r="D764" s="286" t="s">
        <v>1309</v>
      </c>
      <c r="E764" s="286" t="s">
        <v>1310</v>
      </c>
      <c r="F764" s="286" t="s">
        <v>1525</v>
      </c>
      <c r="G764" s="286" t="s">
        <v>1007</v>
      </c>
      <c r="H764" s="286" t="s">
        <v>1007</v>
      </c>
      <c r="I764" s="286" t="s">
        <v>1235</v>
      </c>
      <c r="J764" s="286" t="s">
        <v>1312</v>
      </c>
      <c r="K764" s="286" t="s">
        <v>1526</v>
      </c>
      <c r="L764" s="286" t="s">
        <v>901</v>
      </c>
      <c r="M764" s="286">
        <v>1</v>
      </c>
      <c r="N764" s="287">
        <v>62914.2</v>
      </c>
      <c r="O764" s="305">
        <f t="shared" si="11"/>
        <v>44804</v>
      </c>
      <c r="P764" s="286" t="s">
        <v>180</v>
      </c>
    </row>
    <row r="765" spans="1:16" hidden="1" x14ac:dyDescent="0.15">
      <c r="A765" s="286">
        <v>61047</v>
      </c>
      <c r="B765" s="288">
        <v>44803.718055555553</v>
      </c>
      <c r="C765" s="286" t="s">
        <v>1480</v>
      </c>
      <c r="D765" s="286" t="s">
        <v>1309</v>
      </c>
      <c r="E765" s="286" t="s">
        <v>1310</v>
      </c>
      <c r="F765" s="286" t="s">
        <v>1525</v>
      </c>
      <c r="G765" s="286" t="s">
        <v>1007</v>
      </c>
      <c r="H765" s="286" t="s">
        <v>1007</v>
      </c>
      <c r="I765" s="286" t="s">
        <v>1235</v>
      </c>
      <c r="J765" s="286" t="s">
        <v>1312</v>
      </c>
      <c r="K765" s="286" t="s">
        <v>1527</v>
      </c>
      <c r="L765" s="286" t="s">
        <v>469</v>
      </c>
      <c r="M765" s="286">
        <v>1</v>
      </c>
      <c r="N765" s="287">
        <v>62914.2</v>
      </c>
      <c r="O765" s="305">
        <f t="shared" si="11"/>
        <v>44804</v>
      </c>
      <c r="P765" s="286" t="s">
        <v>180</v>
      </c>
    </row>
    <row r="766" spans="1:16" hidden="1" x14ac:dyDescent="0.15">
      <c r="A766" s="286">
        <v>61047</v>
      </c>
      <c r="B766" s="288">
        <v>44803.718055555553</v>
      </c>
      <c r="C766" s="286" t="s">
        <v>1480</v>
      </c>
      <c r="D766" s="286" t="s">
        <v>1309</v>
      </c>
      <c r="E766" s="286" t="s">
        <v>1310</v>
      </c>
      <c r="F766" s="286" t="s">
        <v>1525</v>
      </c>
      <c r="G766" s="286" t="s">
        <v>1007</v>
      </c>
      <c r="H766" s="286" t="s">
        <v>1007</v>
      </c>
      <c r="I766" s="286" t="s">
        <v>1211</v>
      </c>
      <c r="J766" s="286" t="s">
        <v>1312</v>
      </c>
      <c r="K766" s="286" t="s">
        <v>1528</v>
      </c>
      <c r="L766" s="286" t="s">
        <v>481</v>
      </c>
      <c r="M766" s="286">
        <v>1</v>
      </c>
      <c r="N766" s="287">
        <v>62005</v>
      </c>
      <c r="O766" s="305">
        <f t="shared" si="11"/>
        <v>44804</v>
      </c>
      <c r="P766" s="286" t="s">
        <v>452</v>
      </c>
    </row>
    <row r="767" spans="1:16" hidden="1" x14ac:dyDescent="0.15">
      <c r="A767" s="286">
        <v>61047</v>
      </c>
      <c r="B767" s="288">
        <v>44803.718055555553</v>
      </c>
      <c r="C767" s="286" t="s">
        <v>1480</v>
      </c>
      <c r="D767" s="286" t="s">
        <v>1309</v>
      </c>
      <c r="E767" s="286" t="s">
        <v>1310</v>
      </c>
      <c r="F767" s="286" t="s">
        <v>1525</v>
      </c>
      <c r="G767" s="286" t="s">
        <v>1007</v>
      </c>
      <c r="H767" s="286" t="s">
        <v>1007</v>
      </c>
      <c r="I767" s="286" t="s">
        <v>1229</v>
      </c>
      <c r="J767" s="286" t="s">
        <v>1312</v>
      </c>
      <c r="K767" s="286" t="s">
        <v>1529</v>
      </c>
      <c r="L767" s="286" t="s">
        <v>478</v>
      </c>
      <c r="M767" s="286">
        <v>1</v>
      </c>
      <c r="N767" s="287">
        <v>44991</v>
      </c>
      <c r="O767" s="305">
        <f t="shared" si="11"/>
        <v>44804</v>
      </c>
      <c r="P767" s="286" t="s">
        <v>279</v>
      </c>
    </row>
    <row r="768" spans="1:16" hidden="1" x14ac:dyDescent="0.15">
      <c r="A768" s="286">
        <v>61047</v>
      </c>
      <c r="B768" s="288">
        <v>44803.718055555553</v>
      </c>
      <c r="C768" s="286" t="s">
        <v>1480</v>
      </c>
      <c r="D768" s="286" t="s">
        <v>1309</v>
      </c>
      <c r="E768" s="286" t="s">
        <v>1310</v>
      </c>
      <c r="F768" s="286" t="s">
        <v>1525</v>
      </c>
      <c r="G768" s="286" t="s">
        <v>1007</v>
      </c>
      <c r="H768" s="286" t="s">
        <v>1007</v>
      </c>
      <c r="I768" s="286" t="s">
        <v>1121</v>
      </c>
      <c r="J768" s="286" t="s">
        <v>1312</v>
      </c>
      <c r="K768" s="286" t="s">
        <v>1503</v>
      </c>
      <c r="L768" s="286" t="s">
        <v>250</v>
      </c>
      <c r="M768" s="286">
        <v>1</v>
      </c>
      <c r="N768" s="287">
        <v>41160</v>
      </c>
      <c r="O768" s="305">
        <f t="shared" si="11"/>
        <v>44804</v>
      </c>
      <c r="P768" s="286" t="s">
        <v>248</v>
      </c>
    </row>
    <row r="769" spans="1:16" hidden="1" x14ac:dyDescent="0.15">
      <c r="A769" s="286">
        <v>61047</v>
      </c>
      <c r="B769" s="288">
        <v>44803.718055555553</v>
      </c>
      <c r="C769" s="286" t="s">
        <v>1480</v>
      </c>
      <c r="D769" s="286" t="s">
        <v>1309</v>
      </c>
      <c r="E769" s="286" t="s">
        <v>1310</v>
      </c>
      <c r="F769" s="286" t="s">
        <v>1525</v>
      </c>
      <c r="G769" s="286" t="s">
        <v>1007</v>
      </c>
      <c r="H769" s="286" t="s">
        <v>1007</v>
      </c>
      <c r="I769" s="286" t="s">
        <v>1129</v>
      </c>
      <c r="J769" s="286" t="s">
        <v>1312</v>
      </c>
      <c r="K769" s="286" t="s">
        <v>473</v>
      </c>
      <c r="L769" s="286" t="s">
        <v>474</v>
      </c>
      <c r="M769" s="286">
        <v>3</v>
      </c>
      <c r="N769" s="287">
        <v>24744</v>
      </c>
      <c r="O769" s="305">
        <f t="shared" si="11"/>
        <v>44804</v>
      </c>
      <c r="P769" s="286" t="s">
        <v>164</v>
      </c>
    </row>
    <row r="770" spans="1:16" hidden="1" x14ac:dyDescent="0.15">
      <c r="A770" s="286">
        <v>61047</v>
      </c>
      <c r="B770" s="288">
        <v>44803.718055555553</v>
      </c>
      <c r="C770" s="286" t="s">
        <v>1480</v>
      </c>
      <c r="D770" s="286" t="s">
        <v>1309</v>
      </c>
      <c r="E770" s="286" t="s">
        <v>1310</v>
      </c>
      <c r="F770" s="286" t="s">
        <v>1525</v>
      </c>
      <c r="G770" s="286" t="s">
        <v>1007</v>
      </c>
      <c r="H770" s="286" t="s">
        <v>1007</v>
      </c>
      <c r="I770" s="286" t="s">
        <v>1301</v>
      </c>
      <c r="J770" s="286" t="s">
        <v>1312</v>
      </c>
      <c r="K770" s="286" t="s">
        <v>56</v>
      </c>
      <c r="L770" s="286" t="s">
        <v>71</v>
      </c>
      <c r="M770" s="286">
        <v>1</v>
      </c>
      <c r="N770" s="287">
        <v>15200</v>
      </c>
      <c r="O770" s="305">
        <f t="shared" si="11"/>
        <v>44804</v>
      </c>
      <c r="P770" s="286" t="s">
        <v>55</v>
      </c>
    </row>
    <row r="771" spans="1:16" hidden="1" x14ac:dyDescent="0.15">
      <c r="A771" s="286">
        <v>61047</v>
      </c>
      <c r="B771" s="288">
        <v>44803.718055555553</v>
      </c>
      <c r="C771" s="286" t="s">
        <v>1480</v>
      </c>
      <c r="D771" s="286" t="s">
        <v>1309</v>
      </c>
      <c r="E771" s="286" t="s">
        <v>1310</v>
      </c>
      <c r="F771" s="286" t="s">
        <v>1525</v>
      </c>
      <c r="G771" s="286" t="s">
        <v>1007</v>
      </c>
      <c r="H771" s="286" t="s">
        <v>1007</v>
      </c>
      <c r="I771" s="286" t="s">
        <v>1129</v>
      </c>
      <c r="J771" s="286" t="s">
        <v>1312</v>
      </c>
      <c r="K771" s="286" t="s">
        <v>470</v>
      </c>
      <c r="L771" s="286" t="s">
        <v>1530</v>
      </c>
      <c r="M771" s="286">
        <v>1</v>
      </c>
      <c r="N771" s="287">
        <v>10797</v>
      </c>
      <c r="O771" s="305">
        <f t="shared" ref="O771:O834" si="12">EOMONTH(B771,0)</f>
        <v>44804</v>
      </c>
      <c r="P771" s="286" t="s">
        <v>164</v>
      </c>
    </row>
    <row r="772" spans="1:16" hidden="1" x14ac:dyDescent="0.15">
      <c r="A772" s="286">
        <v>61047</v>
      </c>
      <c r="B772" s="288">
        <v>44803.718055555553</v>
      </c>
      <c r="C772" s="286" t="s">
        <v>1480</v>
      </c>
      <c r="D772" s="286" t="s">
        <v>1309</v>
      </c>
      <c r="E772" s="286" t="s">
        <v>1310</v>
      </c>
      <c r="F772" s="286" t="s">
        <v>1525</v>
      </c>
      <c r="G772" s="286" t="s">
        <v>1007</v>
      </c>
      <c r="H772" s="286" t="s">
        <v>1007</v>
      </c>
      <c r="I772" s="286" t="s">
        <v>1129</v>
      </c>
      <c r="J772" s="286" t="s">
        <v>1312</v>
      </c>
      <c r="K772" s="286" t="s">
        <v>476</v>
      </c>
      <c r="L772" s="286" t="s">
        <v>1531</v>
      </c>
      <c r="M772" s="286">
        <v>2</v>
      </c>
      <c r="N772" s="287">
        <v>1892</v>
      </c>
      <c r="O772" s="305">
        <f t="shared" si="12"/>
        <v>44804</v>
      </c>
      <c r="P772" s="286" t="s">
        <v>164</v>
      </c>
    </row>
    <row r="773" spans="1:16" hidden="1" x14ac:dyDescent="0.15">
      <c r="A773" s="286">
        <v>62242</v>
      </c>
      <c r="B773" s="288">
        <v>44805.635416666664</v>
      </c>
      <c r="C773" s="286" t="s">
        <v>1532</v>
      </c>
      <c r="D773" s="286" t="s">
        <v>1309</v>
      </c>
      <c r="E773" s="286" t="s">
        <v>1310</v>
      </c>
      <c r="F773" s="286" t="s">
        <v>1533</v>
      </c>
      <c r="G773" s="286" t="s">
        <v>1084</v>
      </c>
      <c r="H773" s="286" t="s">
        <v>1442</v>
      </c>
      <c r="I773" s="286" t="s">
        <v>1129</v>
      </c>
      <c r="J773" s="286" t="s">
        <v>1312</v>
      </c>
      <c r="K773" s="286" t="s">
        <v>1534</v>
      </c>
      <c r="L773" s="286" t="s">
        <v>1535</v>
      </c>
      <c r="M773" s="286">
        <v>890</v>
      </c>
      <c r="N773" s="287">
        <v>0</v>
      </c>
      <c r="O773" s="305">
        <f t="shared" si="12"/>
        <v>44834</v>
      </c>
      <c r="P773" s="286" t="s">
        <v>164</v>
      </c>
    </row>
    <row r="774" spans="1:16" hidden="1" x14ac:dyDescent="0.15">
      <c r="A774" s="286">
        <v>62746</v>
      </c>
      <c r="B774" s="288">
        <v>44810.65902777778</v>
      </c>
      <c r="C774" s="286" t="s">
        <v>1480</v>
      </c>
      <c r="D774" s="286" t="s">
        <v>1309</v>
      </c>
      <c r="E774" s="286" t="s">
        <v>1310</v>
      </c>
      <c r="F774" s="286" t="s">
        <v>1536</v>
      </c>
      <c r="G774" s="286" t="s">
        <v>1023</v>
      </c>
      <c r="H774" s="286" t="s">
        <v>1023</v>
      </c>
      <c r="I774" s="286" t="s">
        <v>1235</v>
      </c>
      <c r="J774" s="286" t="s">
        <v>1312</v>
      </c>
      <c r="K774" s="286" t="s">
        <v>1537</v>
      </c>
      <c r="L774" s="286" t="s">
        <v>1538</v>
      </c>
      <c r="M774" s="286">
        <v>1</v>
      </c>
      <c r="N774" s="287">
        <v>79168.55</v>
      </c>
      <c r="O774" s="305">
        <f t="shared" si="12"/>
        <v>44834</v>
      </c>
      <c r="P774" s="286" t="s">
        <v>180</v>
      </c>
    </row>
    <row r="775" spans="1:16" hidden="1" x14ac:dyDescent="0.15">
      <c r="A775" s="286">
        <v>62746</v>
      </c>
      <c r="B775" s="288">
        <v>44810.65902777778</v>
      </c>
      <c r="C775" s="286" t="s">
        <v>1480</v>
      </c>
      <c r="D775" s="286" t="s">
        <v>1309</v>
      </c>
      <c r="E775" s="286" t="s">
        <v>1310</v>
      </c>
      <c r="F775" s="286" t="s">
        <v>1536</v>
      </c>
      <c r="G775" s="286" t="s">
        <v>1023</v>
      </c>
      <c r="H775" s="286" t="s">
        <v>1023</v>
      </c>
      <c r="I775" s="286" t="s">
        <v>1235</v>
      </c>
      <c r="J775" s="286" t="s">
        <v>1312</v>
      </c>
      <c r="K775" s="286" t="s">
        <v>489</v>
      </c>
      <c r="L775" s="286" t="s">
        <v>490</v>
      </c>
      <c r="M775" s="286">
        <v>1</v>
      </c>
      <c r="N775" s="287">
        <v>79168.55</v>
      </c>
      <c r="O775" s="305">
        <f t="shared" si="12"/>
        <v>44834</v>
      </c>
      <c r="P775" s="286" t="s">
        <v>180</v>
      </c>
    </row>
    <row r="776" spans="1:16" hidden="1" x14ac:dyDescent="0.15">
      <c r="A776" s="286">
        <v>62746</v>
      </c>
      <c r="B776" s="288">
        <v>44810.65902777778</v>
      </c>
      <c r="C776" s="286" t="s">
        <v>1480</v>
      </c>
      <c r="D776" s="286" t="s">
        <v>1309</v>
      </c>
      <c r="E776" s="286" t="s">
        <v>1310</v>
      </c>
      <c r="F776" s="286" t="s">
        <v>1536</v>
      </c>
      <c r="G776" s="286" t="s">
        <v>1023</v>
      </c>
      <c r="H776" s="286" t="s">
        <v>1023</v>
      </c>
      <c r="I776" s="286" t="s">
        <v>1235</v>
      </c>
      <c r="J776" s="286" t="s">
        <v>1312</v>
      </c>
      <c r="K776" s="286" t="s">
        <v>1527</v>
      </c>
      <c r="L776" s="286" t="s">
        <v>469</v>
      </c>
      <c r="M776" s="286">
        <v>1</v>
      </c>
      <c r="N776" s="287">
        <v>73602</v>
      </c>
      <c r="O776" s="305">
        <f t="shared" si="12"/>
        <v>44834</v>
      </c>
      <c r="P776" s="286" t="s">
        <v>180</v>
      </c>
    </row>
    <row r="777" spans="1:16" hidden="1" x14ac:dyDescent="0.15">
      <c r="A777" s="286">
        <v>62746</v>
      </c>
      <c r="B777" s="288">
        <v>44810.65902777778</v>
      </c>
      <c r="C777" s="286" t="s">
        <v>1480</v>
      </c>
      <c r="D777" s="286" t="s">
        <v>1309</v>
      </c>
      <c r="E777" s="286" t="s">
        <v>1310</v>
      </c>
      <c r="F777" s="286" t="s">
        <v>1536</v>
      </c>
      <c r="G777" s="286" t="s">
        <v>1023</v>
      </c>
      <c r="H777" s="286" t="s">
        <v>1023</v>
      </c>
      <c r="I777" s="286" t="s">
        <v>1211</v>
      </c>
      <c r="J777" s="286" t="s">
        <v>1312</v>
      </c>
      <c r="K777" s="286" t="s">
        <v>1539</v>
      </c>
      <c r="L777" s="286" t="s">
        <v>494</v>
      </c>
      <c r="M777" s="286">
        <v>1</v>
      </c>
      <c r="N777" s="287">
        <v>26574</v>
      </c>
      <c r="O777" s="305">
        <f t="shared" si="12"/>
        <v>44834</v>
      </c>
      <c r="P777" s="286" t="s">
        <v>452</v>
      </c>
    </row>
    <row r="778" spans="1:16" hidden="1" x14ac:dyDescent="0.15">
      <c r="A778" s="286">
        <v>62746</v>
      </c>
      <c r="B778" s="288">
        <v>44810.65902777778</v>
      </c>
      <c r="C778" s="286" t="s">
        <v>1480</v>
      </c>
      <c r="D778" s="286" t="s">
        <v>1309</v>
      </c>
      <c r="E778" s="286" t="s">
        <v>1310</v>
      </c>
      <c r="F778" s="286" t="s">
        <v>1536</v>
      </c>
      <c r="G778" s="286" t="s">
        <v>1023</v>
      </c>
      <c r="H778" s="286" t="s">
        <v>1023</v>
      </c>
      <c r="I778" s="286" t="s">
        <v>1121</v>
      </c>
      <c r="J778" s="286" t="s">
        <v>1312</v>
      </c>
      <c r="K778" s="286" t="s">
        <v>1503</v>
      </c>
      <c r="L778" s="286" t="s">
        <v>250</v>
      </c>
      <c r="M778" s="286">
        <v>1</v>
      </c>
      <c r="N778" s="287">
        <v>25660</v>
      </c>
      <c r="O778" s="305">
        <f t="shared" si="12"/>
        <v>44834</v>
      </c>
      <c r="P778" s="286" t="s">
        <v>248</v>
      </c>
    </row>
    <row r="779" spans="1:16" hidden="1" x14ac:dyDescent="0.15">
      <c r="A779" s="286">
        <v>62746</v>
      </c>
      <c r="B779" s="288">
        <v>44810.65902777778</v>
      </c>
      <c r="C779" s="286" t="s">
        <v>1480</v>
      </c>
      <c r="D779" s="286" t="s">
        <v>1309</v>
      </c>
      <c r="E779" s="286" t="s">
        <v>1310</v>
      </c>
      <c r="F779" s="286" t="s">
        <v>1536</v>
      </c>
      <c r="G779" s="286" t="s">
        <v>1023</v>
      </c>
      <c r="H779" s="286" t="s">
        <v>1023</v>
      </c>
      <c r="I779" s="286" t="s">
        <v>1229</v>
      </c>
      <c r="J779" s="286" t="s">
        <v>1312</v>
      </c>
      <c r="K779" s="286" t="s">
        <v>1540</v>
      </c>
      <c r="L779" s="286" t="s">
        <v>1541</v>
      </c>
      <c r="M779" s="286">
        <v>1</v>
      </c>
      <c r="N779" s="287">
        <v>7824.7</v>
      </c>
      <c r="O779" s="305">
        <f t="shared" si="12"/>
        <v>44834</v>
      </c>
      <c r="P779" s="286" t="s">
        <v>279</v>
      </c>
    </row>
    <row r="780" spans="1:16" hidden="1" x14ac:dyDescent="0.15">
      <c r="A780" s="286">
        <v>62746</v>
      </c>
      <c r="B780" s="288">
        <v>44810.65902777778</v>
      </c>
      <c r="C780" s="286" t="s">
        <v>1480</v>
      </c>
      <c r="D780" s="286" t="s">
        <v>1309</v>
      </c>
      <c r="E780" s="286" t="s">
        <v>1310</v>
      </c>
      <c r="F780" s="286" t="s">
        <v>1536</v>
      </c>
      <c r="G780" s="286" t="s">
        <v>1023</v>
      </c>
      <c r="H780" s="286" t="s">
        <v>1023</v>
      </c>
      <c r="I780" s="286" t="s">
        <v>1211</v>
      </c>
      <c r="J780" s="286" t="s">
        <v>1312</v>
      </c>
      <c r="K780" s="286" t="s">
        <v>1542</v>
      </c>
      <c r="L780" s="286" t="s">
        <v>444</v>
      </c>
      <c r="M780" s="286">
        <v>1</v>
      </c>
      <c r="N780" s="287">
        <v>4114</v>
      </c>
      <c r="O780" s="305">
        <f t="shared" si="12"/>
        <v>44834</v>
      </c>
      <c r="P780" s="286" t="s">
        <v>452</v>
      </c>
    </row>
    <row r="781" spans="1:16" hidden="1" x14ac:dyDescent="0.15">
      <c r="A781" s="286">
        <v>62746</v>
      </c>
      <c r="B781" s="288">
        <v>44810.65902777778</v>
      </c>
      <c r="C781" s="286" t="s">
        <v>1480</v>
      </c>
      <c r="D781" s="286" t="s">
        <v>1309</v>
      </c>
      <c r="E781" s="286" t="s">
        <v>1310</v>
      </c>
      <c r="F781" s="286" t="s">
        <v>1536</v>
      </c>
      <c r="G781" s="286" t="s">
        <v>1023</v>
      </c>
      <c r="H781" s="286" t="s">
        <v>1023</v>
      </c>
      <c r="I781" s="286" t="s">
        <v>1211</v>
      </c>
      <c r="J781" s="286" t="s">
        <v>1312</v>
      </c>
      <c r="K781" s="286" t="s">
        <v>1543</v>
      </c>
      <c r="L781" s="286" t="s">
        <v>493</v>
      </c>
      <c r="M781" s="286">
        <v>1</v>
      </c>
      <c r="N781" s="287">
        <v>4114</v>
      </c>
      <c r="O781" s="305">
        <f t="shared" si="12"/>
        <v>44834</v>
      </c>
      <c r="P781" s="286" t="s">
        <v>452</v>
      </c>
    </row>
    <row r="782" spans="1:16" hidden="1" x14ac:dyDescent="0.15">
      <c r="A782" s="286">
        <v>62746</v>
      </c>
      <c r="B782" s="288">
        <v>44810.65902777778</v>
      </c>
      <c r="C782" s="286" t="s">
        <v>1480</v>
      </c>
      <c r="D782" s="286" t="s">
        <v>1309</v>
      </c>
      <c r="E782" s="286" t="s">
        <v>1310</v>
      </c>
      <c r="F782" s="286" t="s">
        <v>1536</v>
      </c>
      <c r="G782" s="286" t="s">
        <v>1023</v>
      </c>
      <c r="H782" s="286" t="s">
        <v>1023</v>
      </c>
      <c r="I782" s="286" t="s">
        <v>1229</v>
      </c>
      <c r="J782" s="286" t="s">
        <v>1312</v>
      </c>
      <c r="K782" s="286" t="s">
        <v>1544</v>
      </c>
      <c r="L782" s="286" t="s">
        <v>1545</v>
      </c>
      <c r="M782" s="286">
        <v>1</v>
      </c>
      <c r="N782" s="287">
        <v>2106.65</v>
      </c>
      <c r="O782" s="305">
        <f t="shared" si="12"/>
        <v>44834</v>
      </c>
      <c r="P782" s="286" t="s">
        <v>279</v>
      </c>
    </row>
    <row r="783" spans="1:16" hidden="1" x14ac:dyDescent="0.15">
      <c r="A783" s="286">
        <v>62746</v>
      </c>
      <c r="B783" s="288">
        <v>44810.65902777778</v>
      </c>
      <c r="C783" s="286" t="s">
        <v>1480</v>
      </c>
      <c r="D783" s="286" t="s">
        <v>1309</v>
      </c>
      <c r="E783" s="286" t="s">
        <v>1310</v>
      </c>
      <c r="F783" s="286" t="s">
        <v>1536</v>
      </c>
      <c r="G783" s="286" t="s">
        <v>1023</v>
      </c>
      <c r="H783" s="286" t="s">
        <v>1023</v>
      </c>
      <c r="I783" s="286" t="s">
        <v>1229</v>
      </c>
      <c r="J783" s="286" t="s">
        <v>1312</v>
      </c>
      <c r="K783" s="286" t="s">
        <v>1546</v>
      </c>
      <c r="L783" s="286" t="s">
        <v>1547</v>
      </c>
      <c r="M783" s="286">
        <v>1</v>
      </c>
      <c r="N783" s="287">
        <v>2106.65</v>
      </c>
      <c r="O783" s="305">
        <f t="shared" si="12"/>
        <v>44834</v>
      </c>
      <c r="P783" s="286" t="s">
        <v>279</v>
      </c>
    </row>
    <row r="784" spans="1:16" hidden="1" x14ac:dyDescent="0.15">
      <c r="A784" s="286">
        <v>62746</v>
      </c>
      <c r="B784" s="288">
        <v>44810.65902777778</v>
      </c>
      <c r="C784" s="286" t="s">
        <v>1480</v>
      </c>
      <c r="D784" s="286" t="s">
        <v>1309</v>
      </c>
      <c r="E784" s="286" t="s">
        <v>1310</v>
      </c>
      <c r="F784" s="286" t="s">
        <v>1536</v>
      </c>
      <c r="G784" s="286" t="s">
        <v>1023</v>
      </c>
      <c r="H784" s="286" t="s">
        <v>1023</v>
      </c>
      <c r="I784" s="286" t="s">
        <v>1301</v>
      </c>
      <c r="J784" s="286" t="s">
        <v>1312</v>
      </c>
      <c r="K784" s="286" t="s">
        <v>56</v>
      </c>
      <c r="L784" s="286" t="s">
        <v>71</v>
      </c>
      <c r="M784" s="286">
        <v>1</v>
      </c>
      <c r="N784" s="287">
        <v>0</v>
      </c>
      <c r="O784" s="305">
        <f t="shared" si="12"/>
        <v>44834</v>
      </c>
      <c r="P784" s="286" t="s">
        <v>55</v>
      </c>
    </row>
    <row r="785" spans="1:16" hidden="1" x14ac:dyDescent="0.15">
      <c r="A785" s="286">
        <v>62768</v>
      </c>
      <c r="B785" s="288">
        <v>44810.706944444442</v>
      </c>
      <c r="C785" s="286" t="s">
        <v>1532</v>
      </c>
      <c r="D785" s="286" t="s">
        <v>1309</v>
      </c>
      <c r="E785" s="286" t="s">
        <v>1310</v>
      </c>
      <c r="F785" s="286" t="s">
        <v>1548</v>
      </c>
      <c r="G785" s="286" t="s">
        <v>1052</v>
      </c>
      <c r="H785" s="286" t="s">
        <v>1052</v>
      </c>
      <c r="I785" s="286" t="s">
        <v>1129</v>
      </c>
      <c r="J785" s="286" t="s">
        <v>1312</v>
      </c>
      <c r="K785" s="286" t="s">
        <v>734</v>
      </c>
      <c r="L785" s="286" t="s">
        <v>1385</v>
      </c>
      <c r="M785" s="286">
        <v>1</v>
      </c>
      <c r="N785" s="287">
        <v>0</v>
      </c>
      <c r="O785" s="305">
        <f t="shared" si="12"/>
        <v>44834</v>
      </c>
      <c r="P785" s="286" t="s">
        <v>164</v>
      </c>
    </row>
    <row r="786" spans="1:16" hidden="1" x14ac:dyDescent="0.15">
      <c r="A786" s="286">
        <v>64289</v>
      </c>
      <c r="B786" s="288">
        <v>44816.459722222222</v>
      </c>
      <c r="C786" s="286" t="s">
        <v>1532</v>
      </c>
      <c r="D786" s="286" t="s">
        <v>1309</v>
      </c>
      <c r="E786" s="286" t="s">
        <v>1310</v>
      </c>
      <c r="F786" s="286" t="s">
        <v>1549</v>
      </c>
      <c r="G786" s="286" t="s">
        <v>1550</v>
      </c>
      <c r="H786" s="286" t="s">
        <v>1550</v>
      </c>
      <c r="I786" s="286" t="s">
        <v>1129</v>
      </c>
      <c r="J786" s="286" t="s">
        <v>1312</v>
      </c>
      <c r="K786" s="286" t="s">
        <v>532</v>
      </c>
      <c r="L786" s="286" t="s">
        <v>533</v>
      </c>
      <c r="M786" s="286">
        <v>12</v>
      </c>
      <c r="N786" s="287">
        <v>12</v>
      </c>
      <c r="O786" s="305">
        <f t="shared" si="12"/>
        <v>44834</v>
      </c>
      <c r="P786" s="286" t="s">
        <v>164</v>
      </c>
    </row>
    <row r="787" spans="1:16" hidden="1" x14ac:dyDescent="0.15">
      <c r="A787" s="286">
        <v>64426</v>
      </c>
      <c r="B787" s="288">
        <v>44816.629861111112</v>
      </c>
      <c r="C787" s="286" t="s">
        <v>1480</v>
      </c>
      <c r="D787" s="286" t="s">
        <v>1105</v>
      </c>
      <c r="E787" s="286" t="s">
        <v>1106</v>
      </c>
      <c r="F787" s="286" t="s">
        <v>1551</v>
      </c>
      <c r="G787" s="286" t="s">
        <v>53</v>
      </c>
      <c r="H787" s="286" t="s">
        <v>53</v>
      </c>
      <c r="I787" s="286" t="s">
        <v>1199</v>
      </c>
      <c r="J787" s="286" t="s">
        <v>1312</v>
      </c>
      <c r="K787" s="286" t="s">
        <v>53</v>
      </c>
      <c r="L787" s="286" t="s">
        <v>53</v>
      </c>
      <c r="M787" s="286" t="s">
        <v>53</v>
      </c>
      <c r="N787" s="287">
        <v>158797.35</v>
      </c>
      <c r="O787" s="305">
        <f t="shared" si="12"/>
        <v>44834</v>
      </c>
      <c r="P787" s="286" t="s">
        <v>58</v>
      </c>
    </row>
    <row r="788" spans="1:16" hidden="1" x14ac:dyDescent="0.15">
      <c r="A788" s="286">
        <v>64426</v>
      </c>
      <c r="B788" s="288">
        <v>44816.629861111112</v>
      </c>
      <c r="C788" s="286" t="s">
        <v>1480</v>
      </c>
      <c r="D788" s="286" t="s">
        <v>1105</v>
      </c>
      <c r="E788" s="286" t="s">
        <v>1106</v>
      </c>
      <c r="F788" s="286" t="s">
        <v>1551</v>
      </c>
      <c r="G788" s="286" t="s">
        <v>53</v>
      </c>
      <c r="H788" s="286" t="s">
        <v>53</v>
      </c>
      <c r="I788" s="286" t="s">
        <v>1228</v>
      </c>
      <c r="J788" s="286" t="s">
        <v>1312</v>
      </c>
      <c r="K788" s="286" t="s">
        <v>53</v>
      </c>
      <c r="L788" s="286" t="s">
        <v>53</v>
      </c>
      <c r="M788" s="286" t="s">
        <v>53</v>
      </c>
      <c r="N788" s="287">
        <v>55140.59</v>
      </c>
      <c r="O788" s="305">
        <f t="shared" si="12"/>
        <v>44834</v>
      </c>
      <c r="P788" s="286" t="s">
        <v>58</v>
      </c>
    </row>
    <row r="789" spans="1:16" hidden="1" x14ac:dyDescent="0.15">
      <c r="A789" s="286">
        <v>64426</v>
      </c>
      <c r="B789" s="288">
        <v>44816.629861111112</v>
      </c>
      <c r="C789" s="286" t="s">
        <v>1480</v>
      </c>
      <c r="D789" s="286" t="s">
        <v>1105</v>
      </c>
      <c r="E789" s="286" t="s">
        <v>1106</v>
      </c>
      <c r="F789" s="286" t="s">
        <v>1551</v>
      </c>
      <c r="G789" s="286" t="s">
        <v>53</v>
      </c>
      <c r="H789" s="286" t="s">
        <v>53</v>
      </c>
      <c r="I789" s="286" t="s">
        <v>1152</v>
      </c>
      <c r="J789" s="286" t="s">
        <v>1312</v>
      </c>
      <c r="K789" s="286" t="s">
        <v>53</v>
      </c>
      <c r="L789" s="286" t="s">
        <v>53</v>
      </c>
      <c r="M789" s="286" t="s">
        <v>53</v>
      </c>
      <c r="N789" s="287">
        <v>25513.45</v>
      </c>
      <c r="O789" s="305">
        <f t="shared" si="12"/>
        <v>44834</v>
      </c>
      <c r="P789" s="111" t="s">
        <v>58</v>
      </c>
    </row>
    <row r="790" spans="1:16" hidden="1" x14ac:dyDescent="0.15">
      <c r="A790" s="286">
        <v>64426</v>
      </c>
      <c r="B790" s="288">
        <v>44816.629861111112</v>
      </c>
      <c r="C790" s="286" t="s">
        <v>1480</v>
      </c>
      <c r="D790" s="286" t="s">
        <v>1105</v>
      </c>
      <c r="E790" s="286" t="s">
        <v>1106</v>
      </c>
      <c r="F790" s="286" t="s">
        <v>1551</v>
      </c>
      <c r="G790" s="286" t="s">
        <v>53</v>
      </c>
      <c r="H790" s="286" t="s">
        <v>53</v>
      </c>
      <c r="I790" s="286" t="s">
        <v>1279</v>
      </c>
      <c r="J790" s="286" t="s">
        <v>1312</v>
      </c>
      <c r="K790" s="286" t="s">
        <v>53</v>
      </c>
      <c r="L790" s="286" t="s">
        <v>53</v>
      </c>
      <c r="M790" s="286" t="s">
        <v>53</v>
      </c>
      <c r="N790" s="287">
        <v>935.25</v>
      </c>
      <c r="O790" s="305">
        <f t="shared" si="12"/>
        <v>44834</v>
      </c>
      <c r="P790" s="286" t="s">
        <v>58</v>
      </c>
    </row>
    <row r="791" spans="1:16" hidden="1" x14ac:dyDescent="0.15">
      <c r="A791" s="286">
        <v>64428</v>
      </c>
      <c r="B791" s="288">
        <v>44816.630555555559</v>
      </c>
      <c r="C791" s="286" t="s">
        <v>1532</v>
      </c>
      <c r="D791" s="286" t="s">
        <v>1105</v>
      </c>
      <c r="E791" s="286" t="s">
        <v>1106</v>
      </c>
      <c r="F791" s="286" t="s">
        <v>1552</v>
      </c>
      <c r="G791" s="286" t="s">
        <v>53</v>
      </c>
      <c r="H791" s="286" t="s">
        <v>53</v>
      </c>
      <c r="I791" s="286" t="s">
        <v>1199</v>
      </c>
      <c r="J791" s="286" t="s">
        <v>1312</v>
      </c>
      <c r="K791" s="286" t="s">
        <v>53</v>
      </c>
      <c r="L791" s="286" t="s">
        <v>53</v>
      </c>
      <c r="M791" s="286" t="s">
        <v>53</v>
      </c>
      <c r="N791" s="287">
        <v>159299.67000000001</v>
      </c>
      <c r="O791" s="305">
        <f t="shared" si="12"/>
        <v>44834</v>
      </c>
      <c r="P791" s="286" t="s">
        <v>58</v>
      </c>
    </row>
    <row r="792" spans="1:16" hidden="1" x14ac:dyDescent="0.15">
      <c r="A792" s="286">
        <v>64428</v>
      </c>
      <c r="B792" s="288">
        <v>44816.630555555559</v>
      </c>
      <c r="C792" s="286" t="s">
        <v>1532</v>
      </c>
      <c r="D792" s="286" t="s">
        <v>1105</v>
      </c>
      <c r="E792" s="286" t="s">
        <v>1106</v>
      </c>
      <c r="F792" s="286" t="s">
        <v>1552</v>
      </c>
      <c r="G792" s="286" t="s">
        <v>53</v>
      </c>
      <c r="H792" s="286" t="s">
        <v>53</v>
      </c>
      <c r="I792" s="286" t="s">
        <v>1228</v>
      </c>
      <c r="J792" s="286" t="s">
        <v>1312</v>
      </c>
      <c r="K792" s="286" t="s">
        <v>53</v>
      </c>
      <c r="L792" s="286" t="s">
        <v>53</v>
      </c>
      <c r="M792" s="286" t="s">
        <v>53</v>
      </c>
      <c r="N792" s="287">
        <v>58803.360000000001</v>
      </c>
      <c r="O792" s="305">
        <f t="shared" si="12"/>
        <v>44834</v>
      </c>
      <c r="P792" s="286" t="s">
        <v>58</v>
      </c>
    </row>
    <row r="793" spans="1:16" hidden="1" x14ac:dyDescent="0.15">
      <c r="A793" s="286">
        <v>64428</v>
      </c>
      <c r="B793" s="288">
        <v>44816.630555555559</v>
      </c>
      <c r="C793" s="286" t="s">
        <v>1532</v>
      </c>
      <c r="D793" s="286" t="s">
        <v>1105</v>
      </c>
      <c r="E793" s="286" t="s">
        <v>1106</v>
      </c>
      <c r="F793" s="286" t="s">
        <v>1552</v>
      </c>
      <c r="G793" s="286" t="s">
        <v>53</v>
      </c>
      <c r="H793" s="286" t="s">
        <v>53</v>
      </c>
      <c r="I793" s="286" t="s">
        <v>1152</v>
      </c>
      <c r="J793" s="286" t="s">
        <v>1312</v>
      </c>
      <c r="K793" s="286" t="s">
        <v>53</v>
      </c>
      <c r="L793" s="286" t="s">
        <v>53</v>
      </c>
      <c r="M793" s="286" t="s">
        <v>53</v>
      </c>
      <c r="N793" s="287">
        <v>49506.12</v>
      </c>
      <c r="O793" s="305">
        <f t="shared" si="12"/>
        <v>44834</v>
      </c>
      <c r="P793" s="111" t="s">
        <v>58</v>
      </c>
    </row>
    <row r="794" spans="1:16" hidden="1" x14ac:dyDescent="0.15">
      <c r="A794" s="286">
        <v>64428</v>
      </c>
      <c r="B794" s="288">
        <v>44816.630555555559</v>
      </c>
      <c r="C794" s="286" t="s">
        <v>1532</v>
      </c>
      <c r="D794" s="286" t="s">
        <v>1105</v>
      </c>
      <c r="E794" s="286" t="s">
        <v>1106</v>
      </c>
      <c r="F794" s="286" t="s">
        <v>1552</v>
      </c>
      <c r="G794" s="286" t="s">
        <v>53</v>
      </c>
      <c r="H794" s="286" t="s">
        <v>53</v>
      </c>
      <c r="I794" s="286" t="s">
        <v>1279</v>
      </c>
      <c r="J794" s="286" t="s">
        <v>1312</v>
      </c>
      <c r="K794" s="286" t="s">
        <v>53</v>
      </c>
      <c r="L794" s="286" t="s">
        <v>53</v>
      </c>
      <c r="M794" s="286" t="s">
        <v>53</v>
      </c>
      <c r="N794" s="287">
        <v>935.25</v>
      </c>
      <c r="O794" s="305">
        <f t="shared" si="12"/>
        <v>44834</v>
      </c>
      <c r="P794" s="286" t="s">
        <v>58</v>
      </c>
    </row>
    <row r="795" spans="1:16" hidden="1" x14ac:dyDescent="0.15">
      <c r="A795" s="286">
        <v>64435</v>
      </c>
      <c r="B795" s="288">
        <v>44816.650694444441</v>
      </c>
      <c r="C795" s="286" t="s">
        <v>1480</v>
      </c>
      <c r="D795" s="286" t="s">
        <v>1105</v>
      </c>
      <c r="E795" s="286" t="s">
        <v>1106</v>
      </c>
      <c r="F795" s="286" t="s">
        <v>1553</v>
      </c>
      <c r="G795" s="286" t="s">
        <v>1056</v>
      </c>
      <c r="H795" s="286" t="s">
        <v>1056</v>
      </c>
      <c r="I795" s="286" t="s">
        <v>1112</v>
      </c>
      <c r="J795" s="286" t="s">
        <v>1312</v>
      </c>
      <c r="K795" s="286" t="s">
        <v>53</v>
      </c>
      <c r="L795" s="286" t="s">
        <v>53</v>
      </c>
      <c r="M795" s="286" t="s">
        <v>53</v>
      </c>
      <c r="N795" s="287">
        <v>63364</v>
      </c>
      <c r="O795" s="305">
        <f t="shared" si="12"/>
        <v>44834</v>
      </c>
      <c r="P795" s="286" t="s">
        <v>175</v>
      </c>
    </row>
    <row r="796" spans="1:16" hidden="1" x14ac:dyDescent="0.15">
      <c r="A796" s="286">
        <v>64435</v>
      </c>
      <c r="B796" s="288">
        <v>44816.650694444441</v>
      </c>
      <c r="C796" s="286" t="s">
        <v>1480</v>
      </c>
      <c r="D796" s="286" t="s">
        <v>1105</v>
      </c>
      <c r="E796" s="286" t="s">
        <v>1106</v>
      </c>
      <c r="F796" s="286" t="s">
        <v>1553</v>
      </c>
      <c r="G796" s="286" t="s">
        <v>1016</v>
      </c>
      <c r="H796" s="286" t="s">
        <v>1016</v>
      </c>
      <c r="I796" s="286" t="s">
        <v>1112</v>
      </c>
      <c r="J796" s="286" t="s">
        <v>1312</v>
      </c>
      <c r="K796" s="286" t="s">
        <v>53</v>
      </c>
      <c r="L796" s="286" t="s">
        <v>53</v>
      </c>
      <c r="M796" s="286" t="s">
        <v>53</v>
      </c>
      <c r="N796" s="287">
        <v>32115</v>
      </c>
      <c r="O796" s="305">
        <f t="shared" si="12"/>
        <v>44834</v>
      </c>
      <c r="P796" s="286" t="s">
        <v>175</v>
      </c>
    </row>
    <row r="797" spans="1:16" hidden="1" x14ac:dyDescent="0.15">
      <c r="A797" s="286">
        <v>64435</v>
      </c>
      <c r="B797" s="288">
        <v>44816.650694444441</v>
      </c>
      <c r="C797" s="286" t="s">
        <v>1480</v>
      </c>
      <c r="D797" s="286" t="s">
        <v>1105</v>
      </c>
      <c r="E797" s="286" t="s">
        <v>1106</v>
      </c>
      <c r="F797" s="286" t="s">
        <v>1553</v>
      </c>
      <c r="G797" s="286" t="s">
        <v>1029</v>
      </c>
      <c r="H797" s="286" t="s">
        <v>1029</v>
      </c>
      <c r="I797" s="286" t="s">
        <v>1112</v>
      </c>
      <c r="J797" s="286" t="s">
        <v>1312</v>
      </c>
      <c r="K797" s="286" t="s">
        <v>53</v>
      </c>
      <c r="L797" s="286" t="s">
        <v>53</v>
      </c>
      <c r="M797" s="286" t="s">
        <v>53</v>
      </c>
      <c r="N797" s="287">
        <v>31647</v>
      </c>
      <c r="O797" s="305">
        <f t="shared" si="12"/>
        <v>44834</v>
      </c>
      <c r="P797" s="286" t="s">
        <v>175</v>
      </c>
    </row>
    <row r="798" spans="1:16" hidden="1" x14ac:dyDescent="0.15">
      <c r="A798" s="286">
        <v>64435</v>
      </c>
      <c r="B798" s="288">
        <v>44816.650694444441</v>
      </c>
      <c r="C798" s="286" t="s">
        <v>1480</v>
      </c>
      <c r="D798" s="286" t="s">
        <v>1105</v>
      </c>
      <c r="E798" s="286" t="s">
        <v>1106</v>
      </c>
      <c r="F798" s="286" t="s">
        <v>1553</v>
      </c>
      <c r="G798" s="286" t="s">
        <v>1023</v>
      </c>
      <c r="H798" s="286" t="s">
        <v>1023</v>
      </c>
      <c r="I798" s="286" t="s">
        <v>1112</v>
      </c>
      <c r="J798" s="286" t="s">
        <v>1312</v>
      </c>
      <c r="K798" s="286" t="s">
        <v>53</v>
      </c>
      <c r="L798" s="286" t="s">
        <v>53</v>
      </c>
      <c r="M798" s="286" t="s">
        <v>53</v>
      </c>
      <c r="N798" s="287">
        <v>30995</v>
      </c>
      <c r="O798" s="305">
        <f t="shared" si="12"/>
        <v>44834</v>
      </c>
      <c r="P798" s="286" t="s">
        <v>175</v>
      </c>
    </row>
    <row r="799" spans="1:16" hidden="1" x14ac:dyDescent="0.15">
      <c r="A799" s="286">
        <v>64453</v>
      </c>
      <c r="B799" s="288">
        <v>44816.707638888889</v>
      </c>
      <c r="C799" s="286" t="s">
        <v>1532</v>
      </c>
      <c r="D799" s="286" t="s">
        <v>1309</v>
      </c>
      <c r="E799" s="286" t="s">
        <v>1310</v>
      </c>
      <c r="F799" s="286" t="s">
        <v>1554</v>
      </c>
      <c r="G799" s="286" t="s">
        <v>1055</v>
      </c>
      <c r="H799" s="286" t="s">
        <v>1055</v>
      </c>
      <c r="I799" s="286" t="s">
        <v>1108</v>
      </c>
      <c r="J799" s="286" t="s">
        <v>53</v>
      </c>
      <c r="K799" s="286" t="s">
        <v>1339</v>
      </c>
      <c r="L799" s="286" t="s">
        <v>1340</v>
      </c>
      <c r="M799" s="286">
        <v>1</v>
      </c>
      <c r="N799" s="287">
        <v>0</v>
      </c>
      <c r="O799" s="305">
        <f t="shared" si="12"/>
        <v>44834</v>
      </c>
      <c r="P799" s="286" t="s">
        <v>37</v>
      </c>
    </row>
    <row r="800" spans="1:16" hidden="1" x14ac:dyDescent="0.15">
      <c r="A800" s="286">
        <v>65350</v>
      </c>
      <c r="B800" s="288">
        <v>44819.6875</v>
      </c>
      <c r="C800" s="286" t="s">
        <v>1532</v>
      </c>
      <c r="D800" s="286" t="s">
        <v>1309</v>
      </c>
      <c r="E800" s="286" t="s">
        <v>1310</v>
      </c>
      <c r="F800" s="286" t="s">
        <v>1555</v>
      </c>
      <c r="G800" s="286" t="s">
        <v>1051</v>
      </c>
      <c r="H800" s="286" t="s">
        <v>1051</v>
      </c>
      <c r="I800" s="286" t="s">
        <v>1129</v>
      </c>
      <c r="J800" s="286" t="s">
        <v>1312</v>
      </c>
      <c r="K800" s="286" t="s">
        <v>1356</v>
      </c>
      <c r="L800" s="286" t="s">
        <v>1357</v>
      </c>
      <c r="M800" s="286">
        <v>1</v>
      </c>
      <c r="N800" s="287">
        <v>20.38</v>
      </c>
      <c r="O800" s="305">
        <f t="shared" si="12"/>
        <v>44834</v>
      </c>
      <c r="P800" s="286" t="s">
        <v>164</v>
      </c>
    </row>
    <row r="801" spans="1:16" hidden="1" x14ac:dyDescent="0.15">
      <c r="A801" s="286">
        <v>65671</v>
      </c>
      <c r="B801" s="288">
        <v>44820.409722222219</v>
      </c>
      <c r="C801" s="286" t="s">
        <v>1532</v>
      </c>
      <c r="D801" s="286" t="s">
        <v>1309</v>
      </c>
      <c r="E801" s="286" t="s">
        <v>1310</v>
      </c>
      <c r="F801" s="286" t="s">
        <v>1556</v>
      </c>
      <c r="G801" s="286" t="s">
        <v>1083</v>
      </c>
      <c r="H801" s="286" t="s">
        <v>1083</v>
      </c>
      <c r="I801" s="286" t="s">
        <v>1282</v>
      </c>
      <c r="J801" s="286" t="s">
        <v>1312</v>
      </c>
      <c r="K801" s="286" t="s">
        <v>202</v>
      </c>
      <c r="L801" s="286" t="s">
        <v>203</v>
      </c>
      <c r="M801" s="286">
        <v>1</v>
      </c>
      <c r="N801" s="287">
        <v>0</v>
      </c>
      <c r="O801" s="305">
        <f t="shared" si="12"/>
        <v>44834</v>
      </c>
      <c r="P801" s="286" t="s">
        <v>201</v>
      </c>
    </row>
    <row r="802" spans="1:16" hidden="1" x14ac:dyDescent="0.15">
      <c r="A802" s="286">
        <v>65672</v>
      </c>
      <c r="B802" s="288">
        <v>44820.409722222219</v>
      </c>
      <c r="C802" s="286" t="s">
        <v>1532</v>
      </c>
      <c r="D802" s="286" t="s">
        <v>1309</v>
      </c>
      <c r="E802" s="286" t="s">
        <v>1310</v>
      </c>
      <c r="F802" s="286" t="s">
        <v>1557</v>
      </c>
      <c r="G802" s="286" t="s">
        <v>1016</v>
      </c>
      <c r="H802" s="286" t="s">
        <v>1016</v>
      </c>
      <c r="I802" s="286" t="s">
        <v>1108</v>
      </c>
      <c r="J802" s="286" t="s">
        <v>53</v>
      </c>
      <c r="K802" s="286" t="s">
        <v>1339</v>
      </c>
      <c r="L802" s="286" t="s">
        <v>1340</v>
      </c>
      <c r="M802" s="286">
        <v>1</v>
      </c>
      <c r="N802" s="287">
        <v>0</v>
      </c>
      <c r="O802" s="305">
        <f t="shared" si="12"/>
        <v>44834</v>
      </c>
      <c r="P802" s="286" t="s">
        <v>37</v>
      </c>
    </row>
    <row r="803" spans="1:16" hidden="1" x14ac:dyDescent="0.15">
      <c r="A803" s="286">
        <v>65673</v>
      </c>
      <c r="B803" s="288">
        <v>44820.409722222219</v>
      </c>
      <c r="C803" s="286" t="s">
        <v>1532</v>
      </c>
      <c r="D803" s="286" t="s">
        <v>1309</v>
      </c>
      <c r="E803" s="286" t="s">
        <v>1310</v>
      </c>
      <c r="F803" s="286" t="s">
        <v>1558</v>
      </c>
      <c r="G803" s="286" t="s">
        <v>1056</v>
      </c>
      <c r="H803" s="286" t="s">
        <v>1056</v>
      </c>
      <c r="I803" s="286" t="s">
        <v>1108</v>
      </c>
      <c r="J803" s="286" t="s">
        <v>53</v>
      </c>
      <c r="K803" s="286" t="s">
        <v>1339</v>
      </c>
      <c r="L803" s="286" t="s">
        <v>1340</v>
      </c>
      <c r="M803" s="286">
        <v>1</v>
      </c>
      <c r="N803" s="287">
        <v>0</v>
      </c>
      <c r="O803" s="305">
        <f t="shared" si="12"/>
        <v>44834</v>
      </c>
      <c r="P803" s="286" t="s">
        <v>37</v>
      </c>
    </row>
    <row r="804" spans="1:16" hidden="1" x14ac:dyDescent="0.15">
      <c r="A804" s="286">
        <v>66211</v>
      </c>
      <c r="B804" s="288">
        <v>44820.614583333336</v>
      </c>
      <c r="C804" s="286" t="s">
        <v>1532</v>
      </c>
      <c r="D804" s="286" t="s">
        <v>1309</v>
      </c>
      <c r="E804" s="286" t="s">
        <v>1310</v>
      </c>
      <c r="F804" s="286" t="s">
        <v>1559</v>
      </c>
      <c r="G804" s="286" t="s">
        <v>1028</v>
      </c>
      <c r="H804" s="286" t="s">
        <v>1028</v>
      </c>
      <c r="I804" s="286" t="s">
        <v>1108</v>
      </c>
      <c r="J804" s="286" t="s">
        <v>53</v>
      </c>
      <c r="K804" s="286" t="s">
        <v>1339</v>
      </c>
      <c r="L804" s="286" t="s">
        <v>1340</v>
      </c>
      <c r="M804" s="286">
        <v>1</v>
      </c>
      <c r="N804" s="287">
        <v>0</v>
      </c>
      <c r="O804" s="305">
        <f t="shared" si="12"/>
        <v>44834</v>
      </c>
      <c r="P804" s="286" t="s">
        <v>37</v>
      </c>
    </row>
    <row r="805" spans="1:16" hidden="1" x14ac:dyDescent="0.15">
      <c r="A805" s="286">
        <v>66326</v>
      </c>
      <c r="B805" s="288">
        <v>44820.658333333333</v>
      </c>
      <c r="C805" s="286" t="s">
        <v>1532</v>
      </c>
      <c r="D805" s="286" t="s">
        <v>1309</v>
      </c>
      <c r="E805" s="286" t="s">
        <v>1310</v>
      </c>
      <c r="F805" s="286" t="s">
        <v>1560</v>
      </c>
      <c r="G805" s="286" t="s">
        <v>1058</v>
      </c>
      <c r="H805" s="286" t="s">
        <v>1058</v>
      </c>
      <c r="I805" s="286" t="s">
        <v>1108</v>
      </c>
      <c r="J805" s="286" t="s">
        <v>53</v>
      </c>
      <c r="K805" s="286" t="s">
        <v>1339</v>
      </c>
      <c r="L805" s="286" t="s">
        <v>1340</v>
      </c>
      <c r="M805" s="286">
        <v>1</v>
      </c>
      <c r="N805" s="287">
        <v>0</v>
      </c>
      <c r="O805" s="305">
        <f t="shared" si="12"/>
        <v>44834</v>
      </c>
      <c r="P805" s="286" t="s">
        <v>37</v>
      </c>
    </row>
    <row r="806" spans="1:16" hidden="1" x14ac:dyDescent="0.15">
      <c r="A806" s="286">
        <v>66327</v>
      </c>
      <c r="B806" s="288">
        <v>44820.658333333333</v>
      </c>
      <c r="C806" s="286" t="s">
        <v>1532</v>
      </c>
      <c r="D806" s="286" t="s">
        <v>1309</v>
      </c>
      <c r="E806" s="286" t="s">
        <v>1310</v>
      </c>
      <c r="F806" s="286" t="s">
        <v>1561</v>
      </c>
      <c r="G806" s="286" t="s">
        <v>1073</v>
      </c>
      <c r="H806" s="286" t="s">
        <v>1073</v>
      </c>
      <c r="I806" s="286" t="s">
        <v>1152</v>
      </c>
      <c r="J806" s="286" t="s">
        <v>1312</v>
      </c>
      <c r="K806" s="286" t="s">
        <v>1562</v>
      </c>
      <c r="L806" s="286" t="s">
        <v>1563</v>
      </c>
      <c r="M806" s="286">
        <v>1</v>
      </c>
      <c r="N806" s="287">
        <v>0</v>
      </c>
      <c r="O806" s="305">
        <f t="shared" si="12"/>
        <v>44834</v>
      </c>
      <c r="P806" s="111" t="s">
        <v>58</v>
      </c>
    </row>
    <row r="807" spans="1:16" hidden="1" x14ac:dyDescent="0.15">
      <c r="A807" s="286">
        <v>70898</v>
      </c>
      <c r="B807" s="288">
        <v>44834.421527777777</v>
      </c>
      <c r="C807" s="286" t="s">
        <v>1532</v>
      </c>
      <c r="D807" s="286" t="s">
        <v>1309</v>
      </c>
      <c r="E807" s="286" t="s">
        <v>1310</v>
      </c>
      <c r="F807" s="286" t="s">
        <v>1564</v>
      </c>
      <c r="G807" s="286" t="s">
        <v>1069</v>
      </c>
      <c r="H807" s="286" t="s">
        <v>1069</v>
      </c>
      <c r="I807" s="286" t="s">
        <v>1282</v>
      </c>
      <c r="J807" s="286" t="s">
        <v>1312</v>
      </c>
      <c r="K807" s="286" t="s">
        <v>202</v>
      </c>
      <c r="L807" s="286" t="s">
        <v>203</v>
      </c>
      <c r="M807" s="286">
        <v>1</v>
      </c>
      <c r="N807" s="287">
        <v>0</v>
      </c>
      <c r="O807" s="305">
        <f t="shared" si="12"/>
        <v>44834</v>
      </c>
      <c r="P807" s="286" t="s">
        <v>201</v>
      </c>
    </row>
    <row r="808" spans="1:16" hidden="1" x14ac:dyDescent="0.15">
      <c r="A808" s="286">
        <v>72391</v>
      </c>
      <c r="B808" s="288">
        <v>44838.575694444444</v>
      </c>
      <c r="C808" s="286" t="s">
        <v>1532</v>
      </c>
      <c r="D808" s="286" t="s">
        <v>1309</v>
      </c>
      <c r="E808" s="286" t="s">
        <v>1310</v>
      </c>
      <c r="F808" s="286" t="s">
        <v>1565</v>
      </c>
      <c r="G808" s="286" t="s">
        <v>505</v>
      </c>
      <c r="H808" s="286" t="s">
        <v>505</v>
      </c>
      <c r="I808" s="286" t="s">
        <v>1108</v>
      </c>
      <c r="J808" s="286" t="s">
        <v>1312</v>
      </c>
      <c r="K808" s="286" t="s">
        <v>1566</v>
      </c>
      <c r="L808" s="286" t="s">
        <v>441</v>
      </c>
      <c r="M808" s="286">
        <v>1</v>
      </c>
      <c r="N808" s="287">
        <v>37658</v>
      </c>
      <c r="O808" s="305">
        <f t="shared" si="12"/>
        <v>44865</v>
      </c>
      <c r="P808" s="286" t="s">
        <v>37</v>
      </c>
    </row>
    <row r="809" spans="1:16" hidden="1" x14ac:dyDescent="0.15">
      <c r="A809" s="286">
        <v>72391</v>
      </c>
      <c r="B809" s="288">
        <v>44838.575694444444</v>
      </c>
      <c r="C809" s="286" t="s">
        <v>1532</v>
      </c>
      <c r="D809" s="286" t="s">
        <v>1309</v>
      </c>
      <c r="E809" s="286" t="s">
        <v>1310</v>
      </c>
      <c r="F809" s="286" t="s">
        <v>1565</v>
      </c>
      <c r="G809" s="286" t="s">
        <v>505</v>
      </c>
      <c r="H809" s="286" t="s">
        <v>505</v>
      </c>
      <c r="I809" s="286" t="s">
        <v>1108</v>
      </c>
      <c r="J809" s="286" t="s">
        <v>1312</v>
      </c>
      <c r="K809" s="286" t="s">
        <v>1567</v>
      </c>
      <c r="L809" s="286" t="s">
        <v>506</v>
      </c>
      <c r="M809" s="286">
        <v>1</v>
      </c>
      <c r="N809" s="287">
        <v>35512</v>
      </c>
      <c r="O809" s="305">
        <f t="shared" si="12"/>
        <v>44865</v>
      </c>
      <c r="P809" s="286" t="s">
        <v>37</v>
      </c>
    </row>
    <row r="810" spans="1:16" hidden="1" x14ac:dyDescent="0.15">
      <c r="A810" s="286">
        <v>72391</v>
      </c>
      <c r="B810" s="288">
        <v>44838.575694444444</v>
      </c>
      <c r="C810" s="286" t="s">
        <v>1532</v>
      </c>
      <c r="D810" s="286" t="s">
        <v>1309</v>
      </c>
      <c r="E810" s="286" t="s">
        <v>1310</v>
      </c>
      <c r="F810" s="286" t="s">
        <v>1565</v>
      </c>
      <c r="G810" s="286" t="s">
        <v>505</v>
      </c>
      <c r="H810" s="286" t="s">
        <v>505</v>
      </c>
      <c r="I810" s="286" t="s">
        <v>1128</v>
      </c>
      <c r="J810" s="286" t="s">
        <v>1312</v>
      </c>
      <c r="K810" s="286" t="s">
        <v>1568</v>
      </c>
      <c r="L810" s="286" t="s">
        <v>1569</v>
      </c>
      <c r="M810" s="286">
        <v>1</v>
      </c>
      <c r="N810" s="287">
        <v>21952</v>
      </c>
      <c r="O810" s="305">
        <f t="shared" si="12"/>
        <v>44865</v>
      </c>
      <c r="P810" s="286" t="s">
        <v>47</v>
      </c>
    </row>
    <row r="811" spans="1:16" hidden="1" x14ac:dyDescent="0.15">
      <c r="A811" s="286">
        <v>72391</v>
      </c>
      <c r="B811" s="288">
        <v>44838.575694444444</v>
      </c>
      <c r="C811" s="286" t="s">
        <v>1532</v>
      </c>
      <c r="D811" s="286" t="s">
        <v>1309</v>
      </c>
      <c r="E811" s="286" t="s">
        <v>1310</v>
      </c>
      <c r="F811" s="286" t="s">
        <v>1565</v>
      </c>
      <c r="G811" s="286" t="s">
        <v>505</v>
      </c>
      <c r="H811" s="286" t="s">
        <v>505</v>
      </c>
      <c r="I811" s="286" t="s">
        <v>1108</v>
      </c>
      <c r="J811" s="286" t="s">
        <v>1312</v>
      </c>
      <c r="K811" s="286" t="s">
        <v>1570</v>
      </c>
      <c r="L811" s="286" t="s">
        <v>1571</v>
      </c>
      <c r="M811" s="286">
        <v>1</v>
      </c>
      <c r="N811" s="287">
        <v>16000</v>
      </c>
      <c r="O811" s="305">
        <f t="shared" si="12"/>
        <v>44865</v>
      </c>
      <c r="P811" s="286" t="s">
        <v>37</v>
      </c>
    </row>
    <row r="812" spans="1:16" hidden="1" x14ac:dyDescent="0.15">
      <c r="A812" s="286">
        <v>72391</v>
      </c>
      <c r="B812" s="288">
        <v>44838.575694444444</v>
      </c>
      <c r="C812" s="286" t="s">
        <v>1532</v>
      </c>
      <c r="D812" s="286" t="s">
        <v>1309</v>
      </c>
      <c r="E812" s="286" t="s">
        <v>1310</v>
      </c>
      <c r="F812" s="286" t="s">
        <v>1565</v>
      </c>
      <c r="G812" s="286" t="s">
        <v>505</v>
      </c>
      <c r="H812" s="286" t="s">
        <v>505</v>
      </c>
      <c r="I812" s="286" t="s">
        <v>1121</v>
      </c>
      <c r="J812" s="286" t="s">
        <v>1312</v>
      </c>
      <c r="K812" s="286" t="s">
        <v>1503</v>
      </c>
      <c r="L812" s="286" t="s">
        <v>250</v>
      </c>
      <c r="M812" s="286">
        <v>1</v>
      </c>
      <c r="N812" s="287">
        <v>5506</v>
      </c>
      <c r="O812" s="305">
        <f t="shared" si="12"/>
        <v>44865</v>
      </c>
      <c r="P812" s="286" t="s">
        <v>248</v>
      </c>
    </row>
    <row r="813" spans="1:16" hidden="1" x14ac:dyDescent="0.15">
      <c r="A813" s="286">
        <v>72391</v>
      </c>
      <c r="B813" s="288">
        <v>44838.575694444444</v>
      </c>
      <c r="C813" s="286" t="s">
        <v>1532</v>
      </c>
      <c r="D813" s="286" t="s">
        <v>1309</v>
      </c>
      <c r="E813" s="286" t="s">
        <v>1310</v>
      </c>
      <c r="F813" s="286" t="s">
        <v>1565</v>
      </c>
      <c r="G813" s="286" t="s">
        <v>505</v>
      </c>
      <c r="H813" s="286" t="s">
        <v>505</v>
      </c>
      <c r="I813" s="286" t="s">
        <v>1301</v>
      </c>
      <c r="J813" s="286" t="s">
        <v>1312</v>
      </c>
      <c r="K813" s="286" t="s">
        <v>56</v>
      </c>
      <c r="L813" s="286" t="s">
        <v>71</v>
      </c>
      <c r="M813" s="286">
        <v>1</v>
      </c>
      <c r="N813" s="287">
        <v>3080</v>
      </c>
      <c r="O813" s="305">
        <f t="shared" si="12"/>
        <v>44865</v>
      </c>
      <c r="P813" s="286" t="s">
        <v>55</v>
      </c>
    </row>
    <row r="814" spans="1:16" hidden="1" x14ac:dyDescent="0.15">
      <c r="A814" s="286">
        <v>72392</v>
      </c>
      <c r="B814" s="288">
        <v>44838.576388888891</v>
      </c>
      <c r="C814" s="286" t="s">
        <v>1532</v>
      </c>
      <c r="D814" s="286" t="s">
        <v>1309</v>
      </c>
      <c r="E814" s="286" t="s">
        <v>1310</v>
      </c>
      <c r="F814" s="286" t="s">
        <v>1572</v>
      </c>
      <c r="G814" s="286" t="s">
        <v>1041</v>
      </c>
      <c r="H814" s="286" t="s">
        <v>1041</v>
      </c>
      <c r="I814" s="286" t="s">
        <v>1282</v>
      </c>
      <c r="J814" s="286" t="s">
        <v>1312</v>
      </c>
      <c r="K814" s="286" t="s">
        <v>202</v>
      </c>
      <c r="L814" s="286" t="s">
        <v>203</v>
      </c>
      <c r="M814" s="286">
        <v>1</v>
      </c>
      <c r="N814" s="287">
        <v>0</v>
      </c>
      <c r="O814" s="305">
        <f t="shared" si="12"/>
        <v>44865</v>
      </c>
      <c r="P814" s="286" t="s">
        <v>201</v>
      </c>
    </row>
    <row r="815" spans="1:16" hidden="1" x14ac:dyDescent="0.15">
      <c r="A815" s="286">
        <v>74981</v>
      </c>
      <c r="B815" s="288">
        <v>44844.394444444442</v>
      </c>
      <c r="C815" s="286" t="s">
        <v>1573</v>
      </c>
      <c r="D815" s="286" t="s">
        <v>1309</v>
      </c>
      <c r="E815" s="286" t="s">
        <v>1310</v>
      </c>
      <c r="F815" s="286" t="s">
        <v>1574</v>
      </c>
      <c r="G815" s="286" t="s">
        <v>1010</v>
      </c>
      <c r="H815" s="286" t="s">
        <v>1010</v>
      </c>
      <c r="I815" s="286" t="s">
        <v>1108</v>
      </c>
      <c r="J815" s="286" t="s">
        <v>53</v>
      </c>
      <c r="K815" s="286" t="s">
        <v>1339</v>
      </c>
      <c r="L815" s="286" t="s">
        <v>1340</v>
      </c>
      <c r="M815" s="286">
        <v>1</v>
      </c>
      <c r="N815" s="287">
        <v>0</v>
      </c>
      <c r="O815" s="305">
        <f t="shared" si="12"/>
        <v>44865</v>
      </c>
      <c r="P815" s="286" t="s">
        <v>37</v>
      </c>
    </row>
    <row r="816" spans="1:16" hidden="1" x14ac:dyDescent="0.15">
      <c r="A816" s="286">
        <v>74982</v>
      </c>
      <c r="B816" s="288">
        <v>44844.394444444442</v>
      </c>
      <c r="C816" s="286" t="s">
        <v>1573</v>
      </c>
      <c r="D816" s="286" t="s">
        <v>1309</v>
      </c>
      <c r="E816" s="286" t="s">
        <v>1310</v>
      </c>
      <c r="F816" s="286" t="s">
        <v>1575</v>
      </c>
      <c r="G816" s="286" t="s">
        <v>1343</v>
      </c>
      <c r="H816" s="286" t="s">
        <v>1343</v>
      </c>
      <c r="I816" s="286" t="s">
        <v>1129</v>
      </c>
      <c r="J816" s="286" t="s">
        <v>1312</v>
      </c>
      <c r="K816" s="286" t="s">
        <v>1576</v>
      </c>
      <c r="L816" s="286" t="s">
        <v>1577</v>
      </c>
      <c r="M816" s="286">
        <v>3</v>
      </c>
      <c r="N816" s="287">
        <v>353.13</v>
      </c>
      <c r="O816" s="305">
        <f t="shared" si="12"/>
        <v>44865</v>
      </c>
      <c r="P816" s="286" t="s">
        <v>164</v>
      </c>
    </row>
    <row r="817" spans="1:16" hidden="1" x14ac:dyDescent="0.15">
      <c r="A817" s="286">
        <v>75081</v>
      </c>
      <c r="B817" s="288">
        <v>44844.40347222222</v>
      </c>
      <c r="C817" s="286" t="s">
        <v>1573</v>
      </c>
      <c r="D817" s="286" t="s">
        <v>1309</v>
      </c>
      <c r="E817" s="286" t="s">
        <v>1310</v>
      </c>
      <c r="F817" s="286" t="s">
        <v>1578</v>
      </c>
      <c r="G817" s="286" t="s">
        <v>1069</v>
      </c>
      <c r="H817" s="286" t="s">
        <v>1069</v>
      </c>
      <c r="I817" s="286" t="s">
        <v>1129</v>
      </c>
      <c r="J817" s="286" t="s">
        <v>1312</v>
      </c>
      <c r="K817" s="286" t="s">
        <v>380</v>
      </c>
      <c r="L817" s="286" t="s">
        <v>1579</v>
      </c>
      <c r="M817" s="286">
        <v>1</v>
      </c>
      <c r="N817" s="287">
        <v>1278.78</v>
      </c>
      <c r="O817" s="305">
        <f t="shared" si="12"/>
        <v>44865</v>
      </c>
      <c r="P817" s="286" t="s">
        <v>164</v>
      </c>
    </row>
    <row r="818" spans="1:16" hidden="1" x14ac:dyDescent="0.15">
      <c r="A818" s="286">
        <v>75208</v>
      </c>
      <c r="B818" s="288">
        <v>44844.479861111111</v>
      </c>
      <c r="C818" s="286" t="s">
        <v>1573</v>
      </c>
      <c r="D818" s="286" t="s">
        <v>1309</v>
      </c>
      <c r="E818" s="286" t="s">
        <v>1310</v>
      </c>
      <c r="F818" s="286" t="s">
        <v>1580</v>
      </c>
      <c r="G818" s="286" t="s">
        <v>1056</v>
      </c>
      <c r="H818" s="286" t="s">
        <v>1056</v>
      </c>
      <c r="I818" s="286" t="s">
        <v>1108</v>
      </c>
      <c r="J818" s="286" t="s">
        <v>53</v>
      </c>
      <c r="K818" s="286" t="s">
        <v>1339</v>
      </c>
      <c r="L818" s="286" t="s">
        <v>1340</v>
      </c>
      <c r="M818" s="286">
        <v>1</v>
      </c>
      <c r="N818" s="287">
        <v>0</v>
      </c>
      <c r="O818" s="305">
        <f t="shared" si="12"/>
        <v>44865</v>
      </c>
      <c r="P818" s="286" t="s">
        <v>37</v>
      </c>
    </row>
    <row r="819" spans="1:16" hidden="1" x14ac:dyDescent="0.15">
      <c r="A819" s="286">
        <v>78829</v>
      </c>
      <c r="B819" s="288">
        <v>44851.556944444441</v>
      </c>
      <c r="C819" s="286" t="s">
        <v>1573</v>
      </c>
      <c r="D819" s="286" t="s">
        <v>1309</v>
      </c>
      <c r="E819" s="286" t="s">
        <v>1310</v>
      </c>
      <c r="F819" s="286" t="s">
        <v>1581</v>
      </c>
      <c r="G819" s="286" t="s">
        <v>1343</v>
      </c>
      <c r="H819" s="286" t="s">
        <v>1343</v>
      </c>
      <c r="I819" s="286" t="s">
        <v>1129</v>
      </c>
      <c r="J819" s="286" t="s">
        <v>1312</v>
      </c>
      <c r="K819" s="286" t="s">
        <v>1517</v>
      </c>
      <c r="L819" s="286" t="s">
        <v>1518</v>
      </c>
      <c r="M819" s="286">
        <v>4</v>
      </c>
      <c r="N819" s="287">
        <v>0</v>
      </c>
      <c r="O819" s="305">
        <f t="shared" si="12"/>
        <v>44865</v>
      </c>
      <c r="P819" s="286" t="s">
        <v>164</v>
      </c>
    </row>
    <row r="820" spans="1:16" hidden="1" x14ac:dyDescent="0.15">
      <c r="A820" s="286">
        <v>81354</v>
      </c>
      <c r="B820" s="288">
        <v>44855.625694444447</v>
      </c>
      <c r="C820" s="286" t="s">
        <v>1573</v>
      </c>
      <c r="D820" s="286" t="s">
        <v>1309</v>
      </c>
      <c r="E820" s="286" t="s">
        <v>1310</v>
      </c>
      <c r="F820" s="286" t="s">
        <v>1582</v>
      </c>
      <c r="G820" s="286" t="s">
        <v>1062</v>
      </c>
      <c r="H820" s="286" t="s">
        <v>1062</v>
      </c>
      <c r="I820" s="286" t="s">
        <v>1129</v>
      </c>
      <c r="J820" s="286" t="s">
        <v>1312</v>
      </c>
      <c r="K820" s="286" t="s">
        <v>1318</v>
      </c>
      <c r="L820" s="286" t="s">
        <v>1319</v>
      </c>
      <c r="M820" s="286">
        <v>1</v>
      </c>
      <c r="N820" s="287">
        <v>0</v>
      </c>
      <c r="O820" s="305">
        <f t="shared" si="12"/>
        <v>44865</v>
      </c>
      <c r="P820" s="286" t="s">
        <v>164</v>
      </c>
    </row>
    <row r="821" spans="1:16" hidden="1" x14ac:dyDescent="0.15">
      <c r="A821" s="286">
        <v>83901</v>
      </c>
      <c r="B821" s="288">
        <v>44861.619444444441</v>
      </c>
      <c r="C821" s="286" t="s">
        <v>1532</v>
      </c>
      <c r="D821" s="286" t="s">
        <v>1105</v>
      </c>
      <c r="E821" s="286" t="s">
        <v>1106</v>
      </c>
      <c r="F821" s="286" t="s">
        <v>1583</v>
      </c>
      <c r="G821" s="286" t="s">
        <v>1073</v>
      </c>
      <c r="H821" s="286" t="s">
        <v>1073</v>
      </c>
      <c r="I821" s="286" t="s">
        <v>1112</v>
      </c>
      <c r="J821" s="286" t="s">
        <v>1312</v>
      </c>
      <c r="K821" s="286" t="s">
        <v>53</v>
      </c>
      <c r="L821" s="286" t="s">
        <v>53</v>
      </c>
      <c r="M821" s="286" t="s">
        <v>53</v>
      </c>
      <c r="N821" s="287">
        <v>40005.75</v>
      </c>
      <c r="O821" s="305">
        <f t="shared" si="12"/>
        <v>44865</v>
      </c>
      <c r="P821" s="286" t="s">
        <v>175</v>
      </c>
    </row>
    <row r="822" spans="1:16" hidden="1" x14ac:dyDescent="0.15">
      <c r="A822" s="286">
        <v>83901</v>
      </c>
      <c r="B822" s="288">
        <v>44861.619444444441</v>
      </c>
      <c r="C822" s="286" t="s">
        <v>1532</v>
      </c>
      <c r="D822" s="286" t="s">
        <v>1105</v>
      </c>
      <c r="E822" s="286" t="s">
        <v>1106</v>
      </c>
      <c r="F822" s="286" t="s">
        <v>1583</v>
      </c>
      <c r="G822" s="286" t="s">
        <v>1079</v>
      </c>
      <c r="H822" s="286" t="s">
        <v>1079</v>
      </c>
      <c r="I822" s="286" t="s">
        <v>1112</v>
      </c>
      <c r="J822" s="286" t="s">
        <v>1312</v>
      </c>
      <c r="K822" s="286" t="s">
        <v>53</v>
      </c>
      <c r="L822" s="286" t="s">
        <v>53</v>
      </c>
      <c r="M822" s="286" t="s">
        <v>53</v>
      </c>
      <c r="N822" s="287">
        <v>37577</v>
      </c>
      <c r="O822" s="305">
        <f t="shared" si="12"/>
        <v>44865</v>
      </c>
      <c r="P822" s="286" t="s">
        <v>175</v>
      </c>
    </row>
    <row r="823" spans="1:16" x14ac:dyDescent="0.15">
      <c r="A823" s="286">
        <v>83901</v>
      </c>
      <c r="B823" s="288">
        <v>44861.619444444441</v>
      </c>
      <c r="C823" s="286" t="s">
        <v>1532</v>
      </c>
      <c r="D823" s="286" t="s">
        <v>1105</v>
      </c>
      <c r="E823" s="286" t="s">
        <v>1106</v>
      </c>
      <c r="F823" s="286" t="s">
        <v>1583</v>
      </c>
      <c r="G823" s="286" t="s">
        <v>1068</v>
      </c>
      <c r="H823" s="286" t="s">
        <v>1068</v>
      </c>
      <c r="I823" s="286" t="s">
        <v>1112</v>
      </c>
      <c r="J823" s="286" t="s">
        <v>1312</v>
      </c>
      <c r="K823" s="286" t="s">
        <v>53</v>
      </c>
      <c r="L823" s="286" t="s">
        <v>53</v>
      </c>
      <c r="M823" s="286" t="s">
        <v>53</v>
      </c>
      <c r="N823" s="287">
        <v>9033</v>
      </c>
      <c r="O823" s="305">
        <f t="shared" si="12"/>
        <v>44865</v>
      </c>
      <c r="P823" s="286" t="s">
        <v>175</v>
      </c>
    </row>
    <row r="824" spans="1:16" hidden="1" x14ac:dyDescent="0.15">
      <c r="A824" s="286">
        <v>83901</v>
      </c>
      <c r="B824" s="288">
        <v>44861.619444444441</v>
      </c>
      <c r="C824" s="286" t="s">
        <v>1532</v>
      </c>
      <c r="D824" s="286" t="s">
        <v>1105</v>
      </c>
      <c r="E824" s="286" t="s">
        <v>1106</v>
      </c>
      <c r="F824" s="286" t="s">
        <v>1583</v>
      </c>
      <c r="G824" s="286" t="s">
        <v>1066</v>
      </c>
      <c r="H824" s="286" t="s">
        <v>1066</v>
      </c>
      <c r="I824" s="286" t="s">
        <v>1112</v>
      </c>
      <c r="J824" s="286" t="s">
        <v>1312</v>
      </c>
      <c r="K824" s="286" t="s">
        <v>53</v>
      </c>
      <c r="L824" s="286" t="s">
        <v>53</v>
      </c>
      <c r="M824" s="286" t="s">
        <v>53</v>
      </c>
      <c r="N824" s="287">
        <v>2300</v>
      </c>
      <c r="O824" s="305">
        <f t="shared" si="12"/>
        <v>44865</v>
      </c>
      <c r="P824" s="286" t="s">
        <v>175</v>
      </c>
    </row>
    <row r="825" spans="1:16" hidden="1" x14ac:dyDescent="0.15">
      <c r="A825" s="286">
        <v>84499</v>
      </c>
      <c r="B825" s="288">
        <v>44862.586805555555</v>
      </c>
      <c r="C825" s="286" t="s">
        <v>1573</v>
      </c>
      <c r="D825" s="286" t="s">
        <v>1309</v>
      </c>
      <c r="E825" s="286" t="s">
        <v>1310</v>
      </c>
      <c r="F825" s="286" t="s">
        <v>1584</v>
      </c>
      <c r="G825" s="286" t="s">
        <v>1059</v>
      </c>
      <c r="H825" s="286" t="s">
        <v>1059</v>
      </c>
      <c r="I825" s="286" t="s">
        <v>1108</v>
      </c>
      <c r="J825" s="286" t="s">
        <v>1312</v>
      </c>
      <c r="K825" s="286" t="s">
        <v>1585</v>
      </c>
      <c r="L825" s="286" t="s">
        <v>511</v>
      </c>
      <c r="M825" s="286">
        <v>1</v>
      </c>
      <c r="N825" s="287">
        <v>135258.23000000001</v>
      </c>
      <c r="O825" s="305">
        <f t="shared" si="12"/>
        <v>44865</v>
      </c>
      <c r="P825" s="286" t="s">
        <v>37</v>
      </c>
    </row>
    <row r="826" spans="1:16" hidden="1" x14ac:dyDescent="0.15">
      <c r="A826" s="286">
        <v>84499</v>
      </c>
      <c r="B826" s="288">
        <v>44862.586805555555</v>
      </c>
      <c r="C826" s="286" t="s">
        <v>1573</v>
      </c>
      <c r="D826" s="286" t="s">
        <v>1309</v>
      </c>
      <c r="E826" s="286" t="s">
        <v>1310</v>
      </c>
      <c r="F826" s="286" t="s">
        <v>1584</v>
      </c>
      <c r="G826" s="286" t="s">
        <v>1059</v>
      </c>
      <c r="H826" s="286" t="s">
        <v>1059</v>
      </c>
      <c r="I826" s="286" t="s">
        <v>1108</v>
      </c>
      <c r="J826" s="286" t="s">
        <v>1312</v>
      </c>
      <c r="K826" s="286" t="s">
        <v>1586</v>
      </c>
      <c r="L826" s="286" t="s">
        <v>458</v>
      </c>
      <c r="M826" s="286">
        <v>1</v>
      </c>
      <c r="N826" s="287">
        <v>40335</v>
      </c>
      <c r="O826" s="305">
        <f t="shared" si="12"/>
        <v>44865</v>
      </c>
      <c r="P826" s="286" t="s">
        <v>37</v>
      </c>
    </row>
    <row r="827" spans="1:16" hidden="1" x14ac:dyDescent="0.15">
      <c r="A827" s="286">
        <v>84499</v>
      </c>
      <c r="B827" s="288">
        <v>44862.586805555555</v>
      </c>
      <c r="C827" s="286" t="s">
        <v>1573</v>
      </c>
      <c r="D827" s="286" t="s">
        <v>1309</v>
      </c>
      <c r="E827" s="286" t="s">
        <v>1310</v>
      </c>
      <c r="F827" s="286" t="s">
        <v>1584</v>
      </c>
      <c r="G827" s="286" t="s">
        <v>1059</v>
      </c>
      <c r="H827" s="286" t="s">
        <v>1059</v>
      </c>
      <c r="I827" s="286" t="s">
        <v>1108</v>
      </c>
      <c r="J827" s="286" t="s">
        <v>1312</v>
      </c>
      <c r="K827" s="286" t="s">
        <v>1587</v>
      </c>
      <c r="L827" s="286" t="s">
        <v>1588</v>
      </c>
      <c r="M827" s="286">
        <v>1</v>
      </c>
      <c r="N827" s="287">
        <v>27942</v>
      </c>
      <c r="O827" s="305">
        <f t="shared" si="12"/>
        <v>44865</v>
      </c>
      <c r="P827" s="286" t="s">
        <v>37</v>
      </c>
    </row>
    <row r="828" spans="1:16" hidden="1" x14ac:dyDescent="0.15">
      <c r="A828" s="286">
        <v>84499</v>
      </c>
      <c r="B828" s="288">
        <v>44862.586805555555</v>
      </c>
      <c r="C828" s="286" t="s">
        <v>1573</v>
      </c>
      <c r="D828" s="286" t="s">
        <v>1309</v>
      </c>
      <c r="E828" s="286" t="s">
        <v>1310</v>
      </c>
      <c r="F828" s="286" t="s">
        <v>1584</v>
      </c>
      <c r="G828" s="286" t="s">
        <v>1059</v>
      </c>
      <c r="H828" s="286" t="s">
        <v>1059</v>
      </c>
      <c r="I828" s="286" t="s">
        <v>1128</v>
      </c>
      <c r="J828" s="286" t="s">
        <v>1312</v>
      </c>
      <c r="K828" s="286" t="s">
        <v>1589</v>
      </c>
      <c r="L828" s="286" t="s">
        <v>1501</v>
      </c>
      <c r="M828" s="286">
        <v>1</v>
      </c>
      <c r="N828" s="287">
        <v>27722</v>
      </c>
      <c r="O828" s="305">
        <f t="shared" si="12"/>
        <v>44865</v>
      </c>
      <c r="P828" s="286" t="s">
        <v>47</v>
      </c>
    </row>
    <row r="829" spans="1:16" hidden="1" x14ac:dyDescent="0.15">
      <c r="A829" s="286">
        <v>84499</v>
      </c>
      <c r="B829" s="288">
        <v>44862.586805555555</v>
      </c>
      <c r="C829" s="286" t="s">
        <v>1573</v>
      </c>
      <c r="D829" s="286" t="s">
        <v>1309</v>
      </c>
      <c r="E829" s="286" t="s">
        <v>1310</v>
      </c>
      <c r="F829" s="286" t="s">
        <v>1584</v>
      </c>
      <c r="G829" s="286" t="s">
        <v>1059</v>
      </c>
      <c r="H829" s="286" t="s">
        <v>1059</v>
      </c>
      <c r="I829" s="286" t="s">
        <v>1108</v>
      </c>
      <c r="J829" s="286" t="s">
        <v>1312</v>
      </c>
      <c r="K829" s="286" t="s">
        <v>1590</v>
      </c>
      <c r="L829" s="286" t="s">
        <v>582</v>
      </c>
      <c r="M829" s="286">
        <v>1</v>
      </c>
      <c r="N829" s="287">
        <v>21564.06</v>
      </c>
      <c r="O829" s="305">
        <f t="shared" si="12"/>
        <v>44865</v>
      </c>
      <c r="P829" s="286" t="s">
        <v>37</v>
      </c>
    </row>
    <row r="830" spans="1:16" hidden="1" x14ac:dyDescent="0.15">
      <c r="A830" s="286">
        <v>84499</v>
      </c>
      <c r="B830" s="288">
        <v>44862.586805555555</v>
      </c>
      <c r="C830" s="286" t="s">
        <v>1573</v>
      </c>
      <c r="D830" s="286" t="s">
        <v>1309</v>
      </c>
      <c r="E830" s="286" t="s">
        <v>1310</v>
      </c>
      <c r="F830" s="286" t="s">
        <v>1584</v>
      </c>
      <c r="G830" s="286" t="s">
        <v>1059</v>
      </c>
      <c r="H830" s="286" t="s">
        <v>1059</v>
      </c>
      <c r="I830" s="286" t="s">
        <v>1121</v>
      </c>
      <c r="J830" s="286" t="s">
        <v>1312</v>
      </c>
      <c r="K830" s="286" t="s">
        <v>1503</v>
      </c>
      <c r="L830" s="286" t="s">
        <v>250</v>
      </c>
      <c r="M830" s="286">
        <v>1</v>
      </c>
      <c r="N830" s="287">
        <v>14756</v>
      </c>
      <c r="O830" s="305">
        <f t="shared" si="12"/>
        <v>44865</v>
      </c>
      <c r="P830" s="286" t="s">
        <v>248</v>
      </c>
    </row>
    <row r="831" spans="1:16" hidden="1" x14ac:dyDescent="0.15">
      <c r="A831" s="286">
        <v>84499</v>
      </c>
      <c r="B831" s="288">
        <v>44862.586805555555</v>
      </c>
      <c r="C831" s="286" t="s">
        <v>1573</v>
      </c>
      <c r="D831" s="286" t="s">
        <v>1309</v>
      </c>
      <c r="E831" s="286" t="s">
        <v>1310</v>
      </c>
      <c r="F831" s="286" t="s">
        <v>1584</v>
      </c>
      <c r="G831" s="286" t="s">
        <v>1059</v>
      </c>
      <c r="H831" s="286" t="s">
        <v>1059</v>
      </c>
      <c r="I831" s="286" t="s">
        <v>1108</v>
      </c>
      <c r="J831" s="286" t="s">
        <v>1312</v>
      </c>
      <c r="K831" s="286" t="s">
        <v>1591</v>
      </c>
      <c r="L831" s="286" t="s">
        <v>439</v>
      </c>
      <c r="M831" s="286">
        <v>1</v>
      </c>
      <c r="N831" s="287">
        <v>14711.71</v>
      </c>
      <c r="O831" s="305">
        <f t="shared" si="12"/>
        <v>44865</v>
      </c>
      <c r="P831" s="286" t="s">
        <v>37</v>
      </c>
    </row>
    <row r="832" spans="1:16" hidden="1" x14ac:dyDescent="0.15">
      <c r="A832" s="286">
        <v>84499</v>
      </c>
      <c r="B832" s="288">
        <v>44862.586805555555</v>
      </c>
      <c r="C832" s="286" t="s">
        <v>1573</v>
      </c>
      <c r="D832" s="286" t="s">
        <v>1309</v>
      </c>
      <c r="E832" s="286" t="s">
        <v>1310</v>
      </c>
      <c r="F832" s="286" t="s">
        <v>1584</v>
      </c>
      <c r="G832" s="286" t="s">
        <v>1059</v>
      </c>
      <c r="H832" s="286" t="s">
        <v>1059</v>
      </c>
      <c r="I832" s="286" t="s">
        <v>1301</v>
      </c>
      <c r="J832" s="286" t="s">
        <v>1312</v>
      </c>
      <c r="K832" s="286" t="s">
        <v>56</v>
      </c>
      <c r="L832" s="286" t="s">
        <v>71</v>
      </c>
      <c r="M832" s="286">
        <v>1</v>
      </c>
      <c r="N832" s="287">
        <v>12014</v>
      </c>
      <c r="O832" s="305">
        <f t="shared" si="12"/>
        <v>44865</v>
      </c>
      <c r="P832" s="286" t="s">
        <v>55</v>
      </c>
    </row>
    <row r="833" spans="1:16" hidden="1" x14ac:dyDescent="0.15">
      <c r="A833" s="286">
        <v>84499</v>
      </c>
      <c r="B833" s="288">
        <v>44862.586805555555</v>
      </c>
      <c r="C833" s="286" t="s">
        <v>1573</v>
      </c>
      <c r="D833" s="286" t="s">
        <v>1309</v>
      </c>
      <c r="E833" s="286" t="s">
        <v>1310</v>
      </c>
      <c r="F833" s="286" t="s">
        <v>1584</v>
      </c>
      <c r="G833" s="286" t="s">
        <v>1059</v>
      </c>
      <c r="H833" s="286" t="s">
        <v>1059</v>
      </c>
      <c r="I833" s="286" t="s">
        <v>1204</v>
      </c>
      <c r="J833" s="286" t="s">
        <v>1312</v>
      </c>
      <c r="K833" s="286" t="s">
        <v>1592</v>
      </c>
      <c r="L833" s="286" t="s">
        <v>519</v>
      </c>
      <c r="M833" s="286">
        <v>1</v>
      </c>
      <c r="N833" s="287">
        <v>8858</v>
      </c>
      <c r="O833" s="305">
        <f t="shared" si="12"/>
        <v>44865</v>
      </c>
      <c r="P833" s="286" t="s">
        <v>49</v>
      </c>
    </row>
    <row r="834" spans="1:16" hidden="1" x14ac:dyDescent="0.15">
      <c r="A834" s="286">
        <v>84709</v>
      </c>
      <c r="B834" s="288">
        <v>44862.60833333333</v>
      </c>
      <c r="C834" s="286" t="s">
        <v>1573</v>
      </c>
      <c r="D834" s="286" t="s">
        <v>1105</v>
      </c>
      <c r="E834" s="286" t="s">
        <v>1106</v>
      </c>
      <c r="F834" s="286" t="s">
        <v>1593</v>
      </c>
      <c r="G834" s="286" t="s">
        <v>53</v>
      </c>
      <c r="H834" s="286" t="s">
        <v>53</v>
      </c>
      <c r="I834" s="286" t="s">
        <v>1199</v>
      </c>
      <c r="J834" s="286" t="s">
        <v>1312</v>
      </c>
      <c r="K834" s="286" t="s">
        <v>53</v>
      </c>
      <c r="L834" s="286" t="s">
        <v>53</v>
      </c>
      <c r="M834" s="286" t="s">
        <v>53</v>
      </c>
      <c r="N834" s="287">
        <v>181836.63</v>
      </c>
      <c r="O834" s="305">
        <f t="shared" si="12"/>
        <v>44865</v>
      </c>
      <c r="P834" s="286" t="s">
        <v>58</v>
      </c>
    </row>
    <row r="835" spans="1:16" hidden="1" x14ac:dyDescent="0.15">
      <c r="A835" s="286">
        <v>84709</v>
      </c>
      <c r="B835" s="288">
        <v>44862.60833333333</v>
      </c>
      <c r="C835" s="286" t="s">
        <v>1573</v>
      </c>
      <c r="D835" s="286" t="s">
        <v>1105</v>
      </c>
      <c r="E835" s="286" t="s">
        <v>1106</v>
      </c>
      <c r="F835" s="286" t="s">
        <v>1593</v>
      </c>
      <c r="G835" s="286" t="s">
        <v>53</v>
      </c>
      <c r="H835" s="286" t="s">
        <v>53</v>
      </c>
      <c r="I835" s="286" t="s">
        <v>1152</v>
      </c>
      <c r="J835" s="286" t="s">
        <v>1312</v>
      </c>
      <c r="K835" s="286" t="s">
        <v>53</v>
      </c>
      <c r="L835" s="286" t="s">
        <v>53</v>
      </c>
      <c r="M835" s="286" t="s">
        <v>53</v>
      </c>
      <c r="N835" s="287">
        <v>65634.98</v>
      </c>
      <c r="O835" s="305">
        <f t="shared" ref="O835:O882" si="13">EOMONTH(B835,0)</f>
        <v>44865</v>
      </c>
      <c r="P835" s="111" t="s">
        <v>58</v>
      </c>
    </row>
    <row r="836" spans="1:16" hidden="1" x14ac:dyDescent="0.15">
      <c r="A836" s="286">
        <v>84709</v>
      </c>
      <c r="B836" s="288">
        <v>44862.60833333333</v>
      </c>
      <c r="C836" s="286" t="s">
        <v>1573</v>
      </c>
      <c r="D836" s="286" t="s">
        <v>1105</v>
      </c>
      <c r="E836" s="286" t="s">
        <v>1106</v>
      </c>
      <c r="F836" s="286" t="s">
        <v>1593</v>
      </c>
      <c r="G836" s="286" t="s">
        <v>53</v>
      </c>
      <c r="H836" s="286" t="s">
        <v>53</v>
      </c>
      <c r="I836" s="286" t="s">
        <v>1228</v>
      </c>
      <c r="J836" s="286" t="s">
        <v>1312</v>
      </c>
      <c r="K836" s="286" t="s">
        <v>53</v>
      </c>
      <c r="L836" s="286" t="s">
        <v>53</v>
      </c>
      <c r="M836" s="286" t="s">
        <v>53</v>
      </c>
      <c r="N836" s="287">
        <v>50793.84</v>
      </c>
      <c r="O836" s="305">
        <f t="shared" si="13"/>
        <v>44865</v>
      </c>
      <c r="P836" s="286" t="s">
        <v>58</v>
      </c>
    </row>
    <row r="837" spans="1:16" hidden="1" x14ac:dyDescent="0.15">
      <c r="A837" s="286">
        <v>84709</v>
      </c>
      <c r="B837" s="288">
        <v>44862.60833333333</v>
      </c>
      <c r="C837" s="286" t="s">
        <v>1573</v>
      </c>
      <c r="D837" s="286" t="s">
        <v>1105</v>
      </c>
      <c r="E837" s="286" t="s">
        <v>1106</v>
      </c>
      <c r="F837" s="286" t="s">
        <v>1593</v>
      </c>
      <c r="G837" s="286" t="s">
        <v>53</v>
      </c>
      <c r="H837" s="286" t="s">
        <v>53</v>
      </c>
      <c r="I837" s="286" t="s">
        <v>1279</v>
      </c>
      <c r="J837" s="286" t="s">
        <v>1312</v>
      </c>
      <c r="K837" s="286" t="s">
        <v>53</v>
      </c>
      <c r="L837" s="286" t="s">
        <v>53</v>
      </c>
      <c r="M837" s="286" t="s">
        <v>53</v>
      </c>
      <c r="N837" s="287">
        <v>935.25</v>
      </c>
      <c r="O837" s="305">
        <f t="shared" si="13"/>
        <v>44865</v>
      </c>
      <c r="P837" s="286" t="s">
        <v>58</v>
      </c>
    </row>
    <row r="838" spans="1:16" hidden="1" x14ac:dyDescent="0.15">
      <c r="A838" s="286">
        <v>84712</v>
      </c>
      <c r="B838" s="288">
        <v>44862.615972222222</v>
      </c>
      <c r="C838" s="286" t="s">
        <v>1573</v>
      </c>
      <c r="D838" s="286" t="s">
        <v>1105</v>
      </c>
      <c r="E838" s="286" t="s">
        <v>1106</v>
      </c>
      <c r="F838" s="286" t="s">
        <v>1594</v>
      </c>
      <c r="G838" s="286" t="s">
        <v>1075</v>
      </c>
      <c r="H838" s="286" t="s">
        <v>1075</v>
      </c>
      <c r="I838" s="286" t="s">
        <v>1230</v>
      </c>
      <c r="J838" s="286" t="s">
        <v>1312</v>
      </c>
      <c r="K838" s="286" t="s">
        <v>53</v>
      </c>
      <c r="L838" s="286" t="s">
        <v>53</v>
      </c>
      <c r="M838" s="286" t="s">
        <v>53</v>
      </c>
      <c r="N838" s="287">
        <v>34554.160000000003</v>
      </c>
      <c r="O838" s="305">
        <f t="shared" si="13"/>
        <v>44865</v>
      </c>
      <c r="P838" s="286" t="s">
        <v>175</v>
      </c>
    </row>
    <row r="839" spans="1:16" hidden="1" x14ac:dyDescent="0.15">
      <c r="A839" s="286">
        <v>84712</v>
      </c>
      <c r="B839" s="288">
        <v>44862.615972222222</v>
      </c>
      <c r="C839" s="286" t="s">
        <v>1573</v>
      </c>
      <c r="D839" s="286" t="s">
        <v>1105</v>
      </c>
      <c r="E839" s="286" t="s">
        <v>1106</v>
      </c>
      <c r="F839" s="286" t="s">
        <v>1594</v>
      </c>
      <c r="G839" s="286" t="s">
        <v>1002</v>
      </c>
      <c r="H839" s="286" t="s">
        <v>1002</v>
      </c>
      <c r="I839" s="286" t="s">
        <v>1112</v>
      </c>
      <c r="J839" s="286" t="s">
        <v>1312</v>
      </c>
      <c r="K839" s="286" t="s">
        <v>53</v>
      </c>
      <c r="L839" s="286" t="s">
        <v>53</v>
      </c>
      <c r="M839" s="286" t="s">
        <v>53</v>
      </c>
      <c r="N839" s="287">
        <v>31320</v>
      </c>
      <c r="O839" s="305">
        <f t="shared" si="13"/>
        <v>44865</v>
      </c>
      <c r="P839" s="286" t="s">
        <v>175</v>
      </c>
    </row>
    <row r="840" spans="1:16" hidden="1" x14ac:dyDescent="0.15">
      <c r="A840" s="286">
        <v>84712</v>
      </c>
      <c r="B840" s="288">
        <v>44862.615972222222</v>
      </c>
      <c r="C840" s="286" t="s">
        <v>1573</v>
      </c>
      <c r="D840" s="286" t="s">
        <v>1105</v>
      </c>
      <c r="E840" s="286" t="s">
        <v>1106</v>
      </c>
      <c r="F840" s="286" t="s">
        <v>1594</v>
      </c>
      <c r="G840" s="286" t="s">
        <v>1010</v>
      </c>
      <c r="H840" s="286" t="s">
        <v>1010</v>
      </c>
      <c r="I840" s="286" t="s">
        <v>1112</v>
      </c>
      <c r="J840" s="286" t="s">
        <v>1312</v>
      </c>
      <c r="K840" s="286" t="s">
        <v>53</v>
      </c>
      <c r="L840" s="286" t="s">
        <v>53</v>
      </c>
      <c r="M840" s="286" t="s">
        <v>53</v>
      </c>
      <c r="N840" s="287">
        <v>20445</v>
      </c>
      <c r="O840" s="305">
        <f t="shared" si="13"/>
        <v>44865</v>
      </c>
      <c r="P840" s="286" t="s">
        <v>175</v>
      </c>
    </row>
    <row r="841" spans="1:16" hidden="1" x14ac:dyDescent="0.15">
      <c r="A841" s="286">
        <v>84712</v>
      </c>
      <c r="B841" s="288">
        <v>44862.615972222222</v>
      </c>
      <c r="C841" s="286" t="s">
        <v>1573</v>
      </c>
      <c r="D841" s="286" t="s">
        <v>1105</v>
      </c>
      <c r="E841" s="286" t="s">
        <v>1106</v>
      </c>
      <c r="F841" s="286" t="s">
        <v>1594</v>
      </c>
      <c r="G841" s="286" t="s">
        <v>1024</v>
      </c>
      <c r="H841" s="286" t="s">
        <v>1024</v>
      </c>
      <c r="I841" s="286" t="s">
        <v>1112</v>
      </c>
      <c r="J841" s="286" t="s">
        <v>1312</v>
      </c>
      <c r="K841" s="286" t="s">
        <v>53</v>
      </c>
      <c r="L841" s="286" t="s">
        <v>53</v>
      </c>
      <c r="M841" s="286" t="s">
        <v>53</v>
      </c>
      <c r="N841" s="287">
        <v>18472.330000000002</v>
      </c>
      <c r="O841" s="305">
        <f t="shared" si="13"/>
        <v>44865</v>
      </c>
      <c r="P841" s="286" t="s">
        <v>175</v>
      </c>
    </row>
    <row r="842" spans="1:16" hidden="1" x14ac:dyDescent="0.15">
      <c r="A842" s="286">
        <v>85195</v>
      </c>
      <c r="B842" s="288">
        <v>44865.579861111109</v>
      </c>
      <c r="C842" s="286" t="s">
        <v>1573</v>
      </c>
      <c r="D842" s="286" t="s">
        <v>1309</v>
      </c>
      <c r="E842" s="286" t="s">
        <v>1310</v>
      </c>
      <c r="F842" s="286" t="s">
        <v>1595</v>
      </c>
      <c r="G842" s="286" t="s">
        <v>1002</v>
      </c>
      <c r="H842" s="286" t="s">
        <v>1002</v>
      </c>
      <c r="I842" s="286" t="s">
        <v>1152</v>
      </c>
      <c r="J842" s="286" t="s">
        <v>1312</v>
      </c>
      <c r="K842" s="286" t="s">
        <v>1596</v>
      </c>
      <c r="L842" s="286" t="s">
        <v>1597</v>
      </c>
      <c r="M842" s="286">
        <v>1</v>
      </c>
      <c r="N842" s="287">
        <v>0</v>
      </c>
      <c r="O842" s="305">
        <f t="shared" si="13"/>
        <v>44865</v>
      </c>
      <c r="P842" s="111" t="s">
        <v>58</v>
      </c>
    </row>
    <row r="843" spans="1:16" hidden="1" x14ac:dyDescent="0.15">
      <c r="A843" s="286">
        <v>88488</v>
      </c>
      <c r="B843" s="288">
        <v>44868.57916666667</v>
      </c>
      <c r="C843" s="286" t="s">
        <v>1598</v>
      </c>
      <c r="D843" s="286" t="s">
        <v>1309</v>
      </c>
      <c r="E843" s="286" t="s">
        <v>1310</v>
      </c>
      <c r="F843" s="286" t="s">
        <v>1599</v>
      </c>
      <c r="G843" s="286" t="s">
        <v>1007</v>
      </c>
      <c r="H843" s="286" t="s">
        <v>1007</v>
      </c>
      <c r="I843" s="286" t="s">
        <v>1129</v>
      </c>
      <c r="J843" s="286" t="s">
        <v>1312</v>
      </c>
      <c r="K843" s="286" t="s">
        <v>1478</v>
      </c>
      <c r="L843" s="286" t="s">
        <v>1479</v>
      </c>
      <c r="M843" s="286">
        <v>1</v>
      </c>
      <c r="N843" s="287">
        <v>0</v>
      </c>
      <c r="O843" s="305">
        <f t="shared" si="13"/>
        <v>44895</v>
      </c>
      <c r="P843" s="286" t="s">
        <v>164</v>
      </c>
    </row>
    <row r="844" spans="1:16" hidden="1" x14ac:dyDescent="0.15">
      <c r="A844" s="286">
        <v>89339</v>
      </c>
      <c r="B844" s="288">
        <v>44869.436111111114</v>
      </c>
      <c r="C844" s="286" t="s">
        <v>1598</v>
      </c>
      <c r="D844" s="286" t="s">
        <v>1309</v>
      </c>
      <c r="E844" s="286" t="s">
        <v>1310</v>
      </c>
      <c r="F844" s="286" t="s">
        <v>1600</v>
      </c>
      <c r="G844" s="286" t="s">
        <v>1087</v>
      </c>
      <c r="H844" s="286" t="s">
        <v>1087</v>
      </c>
      <c r="I844" s="286" t="s">
        <v>1229</v>
      </c>
      <c r="J844" s="286" t="s">
        <v>1312</v>
      </c>
      <c r="K844" s="286" t="s">
        <v>1601</v>
      </c>
      <c r="L844" s="286" t="s">
        <v>1602</v>
      </c>
      <c r="M844" s="286">
        <v>1</v>
      </c>
      <c r="N844" s="287">
        <v>11782</v>
      </c>
      <c r="O844" s="305">
        <f t="shared" si="13"/>
        <v>44895</v>
      </c>
      <c r="P844" s="286" t="s">
        <v>279</v>
      </c>
    </row>
    <row r="845" spans="1:16" hidden="1" x14ac:dyDescent="0.15">
      <c r="A845" s="286">
        <v>89339</v>
      </c>
      <c r="B845" s="288">
        <v>44869.436111111114</v>
      </c>
      <c r="C845" s="286" t="s">
        <v>1598</v>
      </c>
      <c r="D845" s="286" t="s">
        <v>1309</v>
      </c>
      <c r="E845" s="286" t="s">
        <v>1310</v>
      </c>
      <c r="F845" s="286" t="s">
        <v>1600</v>
      </c>
      <c r="G845" s="286" t="s">
        <v>1087</v>
      </c>
      <c r="H845" s="286" t="s">
        <v>1087</v>
      </c>
      <c r="I845" s="286" t="s">
        <v>1235</v>
      </c>
      <c r="J845" s="286" t="s">
        <v>1312</v>
      </c>
      <c r="K845" s="286" t="s">
        <v>1603</v>
      </c>
      <c r="L845" s="286" t="s">
        <v>523</v>
      </c>
      <c r="M845" s="286">
        <v>1</v>
      </c>
      <c r="N845" s="287">
        <v>9812</v>
      </c>
      <c r="O845" s="305">
        <f t="shared" si="13"/>
        <v>44895</v>
      </c>
      <c r="P845" s="286" t="s">
        <v>180</v>
      </c>
    </row>
    <row r="846" spans="1:16" hidden="1" x14ac:dyDescent="0.15">
      <c r="A846" s="286">
        <v>89339</v>
      </c>
      <c r="B846" s="288">
        <v>44869.436111111114</v>
      </c>
      <c r="C846" s="286" t="s">
        <v>1598</v>
      </c>
      <c r="D846" s="286" t="s">
        <v>1309</v>
      </c>
      <c r="E846" s="286" t="s">
        <v>1310</v>
      </c>
      <c r="F846" s="286" t="s">
        <v>1600</v>
      </c>
      <c r="G846" s="286" t="s">
        <v>1087</v>
      </c>
      <c r="H846" s="286" t="s">
        <v>1087</v>
      </c>
      <c r="I846" s="286" t="s">
        <v>1301</v>
      </c>
      <c r="J846" s="286" t="s">
        <v>1312</v>
      </c>
      <c r="K846" s="286" t="s">
        <v>56</v>
      </c>
      <c r="L846" s="286" t="s">
        <v>71</v>
      </c>
      <c r="M846" s="286">
        <v>1</v>
      </c>
      <c r="N846" s="287">
        <v>150</v>
      </c>
      <c r="O846" s="305">
        <f t="shared" si="13"/>
        <v>44895</v>
      </c>
      <c r="P846" s="286" t="s">
        <v>55</v>
      </c>
    </row>
    <row r="847" spans="1:16" hidden="1" x14ac:dyDescent="0.15">
      <c r="A847" s="286">
        <v>89339</v>
      </c>
      <c r="B847" s="288">
        <v>44869.436111111114</v>
      </c>
      <c r="C847" s="286" t="s">
        <v>1598</v>
      </c>
      <c r="D847" s="286" t="s">
        <v>1309</v>
      </c>
      <c r="E847" s="286" t="s">
        <v>1310</v>
      </c>
      <c r="F847" s="286" t="s">
        <v>1600</v>
      </c>
      <c r="G847" s="286" t="s">
        <v>1087</v>
      </c>
      <c r="H847" s="286" t="s">
        <v>1087</v>
      </c>
      <c r="I847" s="286" t="s">
        <v>1129</v>
      </c>
      <c r="J847" s="286" t="s">
        <v>1312</v>
      </c>
      <c r="K847" s="286" t="s">
        <v>530</v>
      </c>
      <c r="L847" s="286" t="s">
        <v>531</v>
      </c>
      <c r="M847" s="286">
        <v>3</v>
      </c>
      <c r="N847" s="287">
        <v>11.28</v>
      </c>
      <c r="O847" s="305">
        <f t="shared" si="13"/>
        <v>44895</v>
      </c>
      <c r="P847" s="286" t="s">
        <v>164</v>
      </c>
    </row>
    <row r="848" spans="1:16" hidden="1" x14ac:dyDescent="0.15">
      <c r="A848" s="286">
        <v>89339</v>
      </c>
      <c r="B848" s="288">
        <v>44869.436111111114</v>
      </c>
      <c r="C848" s="286" t="s">
        <v>1598</v>
      </c>
      <c r="D848" s="286" t="s">
        <v>1309</v>
      </c>
      <c r="E848" s="286" t="s">
        <v>1310</v>
      </c>
      <c r="F848" s="286" t="s">
        <v>1600</v>
      </c>
      <c r="G848" s="286" t="s">
        <v>1087</v>
      </c>
      <c r="H848" s="286" t="s">
        <v>1087</v>
      </c>
      <c r="I848" s="286" t="s">
        <v>1129</v>
      </c>
      <c r="J848" s="286" t="s">
        <v>1312</v>
      </c>
      <c r="K848" s="286" t="s">
        <v>524</v>
      </c>
      <c r="L848" s="286" t="s">
        <v>1346</v>
      </c>
      <c r="M848" s="286">
        <v>2</v>
      </c>
      <c r="N848" s="287">
        <v>10.46</v>
      </c>
      <c r="O848" s="305">
        <f t="shared" si="13"/>
        <v>44895</v>
      </c>
      <c r="P848" s="286" t="s">
        <v>164</v>
      </c>
    </row>
    <row r="849" spans="1:16" hidden="1" x14ac:dyDescent="0.15">
      <c r="A849" s="286">
        <v>89339</v>
      </c>
      <c r="B849" s="288">
        <v>44869.436111111114</v>
      </c>
      <c r="C849" s="286" t="s">
        <v>1598</v>
      </c>
      <c r="D849" s="286" t="s">
        <v>1309</v>
      </c>
      <c r="E849" s="286" t="s">
        <v>1310</v>
      </c>
      <c r="F849" s="286" t="s">
        <v>1600</v>
      </c>
      <c r="G849" s="286" t="s">
        <v>1087</v>
      </c>
      <c r="H849" s="286" t="s">
        <v>1087</v>
      </c>
      <c r="I849" s="286" t="s">
        <v>1129</v>
      </c>
      <c r="J849" s="286" t="s">
        <v>1312</v>
      </c>
      <c r="K849" s="286" t="s">
        <v>526</v>
      </c>
      <c r="L849" s="286" t="s">
        <v>1360</v>
      </c>
      <c r="M849" s="286">
        <v>2</v>
      </c>
      <c r="N849" s="287">
        <v>9.94</v>
      </c>
      <c r="O849" s="305">
        <f t="shared" si="13"/>
        <v>44895</v>
      </c>
      <c r="P849" s="286" t="s">
        <v>164</v>
      </c>
    </row>
    <row r="850" spans="1:16" hidden="1" x14ac:dyDescent="0.15">
      <c r="A850" s="286">
        <v>89339</v>
      </c>
      <c r="B850" s="288">
        <v>44869.436111111114</v>
      </c>
      <c r="C850" s="286" t="s">
        <v>1598</v>
      </c>
      <c r="D850" s="286" t="s">
        <v>1309</v>
      </c>
      <c r="E850" s="286" t="s">
        <v>1310</v>
      </c>
      <c r="F850" s="286" t="s">
        <v>1600</v>
      </c>
      <c r="G850" s="286" t="s">
        <v>1087</v>
      </c>
      <c r="H850" s="286" t="s">
        <v>1087</v>
      </c>
      <c r="I850" s="286" t="s">
        <v>1129</v>
      </c>
      <c r="J850" s="286" t="s">
        <v>1312</v>
      </c>
      <c r="K850" s="286" t="s">
        <v>528</v>
      </c>
      <c r="L850" s="286" t="s">
        <v>529</v>
      </c>
      <c r="M850" s="286">
        <v>2</v>
      </c>
      <c r="N850" s="287">
        <v>9.02</v>
      </c>
      <c r="O850" s="305">
        <f t="shared" si="13"/>
        <v>44895</v>
      </c>
      <c r="P850" s="286" t="s">
        <v>164</v>
      </c>
    </row>
    <row r="851" spans="1:16" hidden="1" x14ac:dyDescent="0.15">
      <c r="A851" s="286">
        <v>89339</v>
      </c>
      <c r="B851" s="288">
        <v>44869.436111111114</v>
      </c>
      <c r="C851" s="286" t="s">
        <v>1598</v>
      </c>
      <c r="D851" s="286" t="s">
        <v>1309</v>
      </c>
      <c r="E851" s="286" t="s">
        <v>1310</v>
      </c>
      <c r="F851" s="286" t="s">
        <v>1600</v>
      </c>
      <c r="G851" s="286" t="s">
        <v>1087</v>
      </c>
      <c r="H851" s="286" t="s">
        <v>1087</v>
      </c>
      <c r="I851" s="286" t="s">
        <v>1129</v>
      </c>
      <c r="J851" s="286" t="s">
        <v>1312</v>
      </c>
      <c r="K851" s="286" t="s">
        <v>532</v>
      </c>
      <c r="L851" s="286" t="s">
        <v>533</v>
      </c>
      <c r="M851" s="286">
        <v>2</v>
      </c>
      <c r="N851" s="287">
        <v>2.2999999999999998</v>
      </c>
      <c r="O851" s="305">
        <f t="shared" si="13"/>
        <v>44895</v>
      </c>
      <c r="P851" s="286" t="s">
        <v>164</v>
      </c>
    </row>
    <row r="852" spans="1:16" hidden="1" x14ac:dyDescent="0.15">
      <c r="A852" s="286">
        <v>89553</v>
      </c>
      <c r="B852" s="288">
        <v>44869.515972222223</v>
      </c>
      <c r="C852" s="286" t="s">
        <v>1598</v>
      </c>
      <c r="D852" s="286" t="s">
        <v>1105</v>
      </c>
      <c r="E852" s="286" t="s">
        <v>1106</v>
      </c>
      <c r="F852" s="286" t="s">
        <v>1604</v>
      </c>
      <c r="G852" s="286" t="s">
        <v>1015</v>
      </c>
      <c r="H852" s="286" t="s">
        <v>1015</v>
      </c>
      <c r="I852" s="286" t="s">
        <v>1230</v>
      </c>
      <c r="J852" s="286" t="s">
        <v>1312</v>
      </c>
      <c r="K852" s="286" t="s">
        <v>53</v>
      </c>
      <c r="L852" s="286" t="s">
        <v>53</v>
      </c>
      <c r="M852" s="286" t="s">
        <v>53</v>
      </c>
      <c r="N852" s="287">
        <v>22926.959999999999</v>
      </c>
      <c r="O852" s="305">
        <f t="shared" si="13"/>
        <v>44895</v>
      </c>
      <c r="P852" s="286" t="s">
        <v>175</v>
      </c>
    </row>
    <row r="853" spans="1:16" hidden="1" x14ac:dyDescent="0.15">
      <c r="A853" s="286">
        <v>89553</v>
      </c>
      <c r="B853" s="288">
        <v>44869.515972222223</v>
      </c>
      <c r="C853" s="286" t="s">
        <v>1598</v>
      </c>
      <c r="D853" s="286" t="s">
        <v>1105</v>
      </c>
      <c r="E853" s="286" t="s">
        <v>1106</v>
      </c>
      <c r="F853" s="286" t="s">
        <v>1604</v>
      </c>
      <c r="G853" s="286" t="s">
        <v>1039</v>
      </c>
      <c r="H853" s="286" t="s">
        <v>1039</v>
      </c>
      <c r="I853" s="286" t="s">
        <v>1230</v>
      </c>
      <c r="J853" s="286" t="s">
        <v>1312</v>
      </c>
      <c r="K853" s="286" t="s">
        <v>53</v>
      </c>
      <c r="L853" s="286" t="s">
        <v>53</v>
      </c>
      <c r="M853" s="286" t="s">
        <v>53</v>
      </c>
      <c r="N853" s="287">
        <v>9572</v>
      </c>
      <c r="O853" s="305">
        <f t="shared" si="13"/>
        <v>44895</v>
      </c>
      <c r="P853" s="286" t="s">
        <v>175</v>
      </c>
    </row>
    <row r="854" spans="1:16" hidden="1" x14ac:dyDescent="0.15">
      <c r="A854" s="286">
        <v>89553</v>
      </c>
      <c r="B854" s="288">
        <v>44869.515972222223</v>
      </c>
      <c r="C854" s="286" t="s">
        <v>1598</v>
      </c>
      <c r="D854" s="286" t="s">
        <v>1105</v>
      </c>
      <c r="E854" s="286" t="s">
        <v>1106</v>
      </c>
      <c r="F854" s="286" t="s">
        <v>1604</v>
      </c>
      <c r="G854" s="286" t="s">
        <v>1069</v>
      </c>
      <c r="H854" s="286" t="s">
        <v>1069</v>
      </c>
      <c r="I854" s="286" t="s">
        <v>1230</v>
      </c>
      <c r="J854" s="286" t="s">
        <v>1312</v>
      </c>
      <c r="K854" s="286" t="s">
        <v>53</v>
      </c>
      <c r="L854" s="286" t="s">
        <v>53</v>
      </c>
      <c r="M854" s="286" t="s">
        <v>53</v>
      </c>
      <c r="N854" s="287">
        <v>8522</v>
      </c>
      <c r="O854" s="305">
        <f t="shared" si="13"/>
        <v>44895</v>
      </c>
      <c r="P854" s="286" t="s">
        <v>175</v>
      </c>
    </row>
    <row r="855" spans="1:16" hidden="1" x14ac:dyDescent="0.15">
      <c r="A855" s="286">
        <v>89553</v>
      </c>
      <c r="B855" s="288">
        <v>44869.515972222223</v>
      </c>
      <c r="C855" s="286" t="s">
        <v>1598</v>
      </c>
      <c r="D855" s="286" t="s">
        <v>1105</v>
      </c>
      <c r="E855" s="286" t="s">
        <v>1106</v>
      </c>
      <c r="F855" s="286" t="s">
        <v>1604</v>
      </c>
      <c r="G855" s="286" t="s">
        <v>1087</v>
      </c>
      <c r="H855" s="286" t="s">
        <v>1087</v>
      </c>
      <c r="I855" s="286" t="s">
        <v>1230</v>
      </c>
      <c r="J855" s="286" t="s">
        <v>1312</v>
      </c>
      <c r="K855" s="286" t="s">
        <v>53</v>
      </c>
      <c r="L855" s="286" t="s">
        <v>53</v>
      </c>
      <c r="M855" s="286" t="s">
        <v>53</v>
      </c>
      <c r="N855" s="287">
        <v>7670</v>
      </c>
      <c r="O855" s="305">
        <f t="shared" si="13"/>
        <v>44895</v>
      </c>
      <c r="P855" s="286" t="s">
        <v>175</v>
      </c>
    </row>
    <row r="856" spans="1:16" hidden="1" x14ac:dyDescent="0.15">
      <c r="A856" s="286">
        <v>89553</v>
      </c>
      <c r="B856" s="288">
        <v>44869.515972222223</v>
      </c>
      <c r="C856" s="286" t="s">
        <v>1598</v>
      </c>
      <c r="D856" s="286" t="s">
        <v>1105</v>
      </c>
      <c r="E856" s="286" t="s">
        <v>1106</v>
      </c>
      <c r="F856" s="286" t="s">
        <v>1604</v>
      </c>
      <c r="G856" s="286" t="s">
        <v>53</v>
      </c>
      <c r="H856" s="286" t="s">
        <v>53</v>
      </c>
      <c r="I856" s="286" t="s">
        <v>1112</v>
      </c>
      <c r="J856" s="286" t="s">
        <v>1312</v>
      </c>
      <c r="K856" s="286" t="s">
        <v>53</v>
      </c>
      <c r="L856" s="286" t="s">
        <v>53</v>
      </c>
      <c r="M856" s="286" t="s">
        <v>53</v>
      </c>
      <c r="N856" s="287">
        <v>0</v>
      </c>
      <c r="O856" s="305">
        <f t="shared" si="13"/>
        <v>44895</v>
      </c>
      <c r="P856" s="286" t="s">
        <v>175</v>
      </c>
    </row>
    <row r="857" spans="1:16" hidden="1" x14ac:dyDescent="0.15">
      <c r="A857" s="286">
        <v>89553</v>
      </c>
      <c r="B857" s="288">
        <v>44869.515972222223</v>
      </c>
      <c r="C857" s="286" t="s">
        <v>1598</v>
      </c>
      <c r="D857" s="286" t="s">
        <v>1105</v>
      </c>
      <c r="E857" s="286" t="s">
        <v>1106</v>
      </c>
      <c r="F857" s="286" t="s">
        <v>1604</v>
      </c>
      <c r="G857" s="286" t="s">
        <v>53</v>
      </c>
      <c r="H857" s="286" t="s">
        <v>53</v>
      </c>
      <c r="I857" s="286" t="s">
        <v>1112</v>
      </c>
      <c r="J857" s="286" t="s">
        <v>1312</v>
      </c>
      <c r="K857" s="286" t="s">
        <v>53</v>
      </c>
      <c r="L857" s="286" t="s">
        <v>53</v>
      </c>
      <c r="M857" s="286" t="s">
        <v>53</v>
      </c>
      <c r="N857" s="287">
        <v>0</v>
      </c>
      <c r="O857" s="305">
        <f t="shared" si="13"/>
        <v>44895</v>
      </c>
      <c r="P857" s="286" t="s">
        <v>175</v>
      </c>
    </row>
    <row r="858" spans="1:16" hidden="1" x14ac:dyDescent="0.15">
      <c r="A858" s="286">
        <v>95421</v>
      </c>
      <c r="B858" s="288">
        <v>44879.652083333334</v>
      </c>
      <c r="C858" s="286" t="s">
        <v>1598</v>
      </c>
      <c r="D858" s="286" t="s">
        <v>1309</v>
      </c>
      <c r="E858" s="286" t="s">
        <v>1310</v>
      </c>
      <c r="F858" s="286" t="s">
        <v>1605</v>
      </c>
      <c r="G858" s="286" t="s">
        <v>1343</v>
      </c>
      <c r="H858" s="286" t="s">
        <v>1343</v>
      </c>
      <c r="I858" s="286" t="s">
        <v>1129</v>
      </c>
      <c r="J858" s="286" t="s">
        <v>1312</v>
      </c>
      <c r="K858" s="286" t="s">
        <v>530</v>
      </c>
      <c r="L858" s="286" t="s">
        <v>531</v>
      </c>
      <c r="M858" s="286">
        <v>3</v>
      </c>
      <c r="N858" s="287">
        <v>0</v>
      </c>
      <c r="O858" s="305">
        <f t="shared" si="13"/>
        <v>44895</v>
      </c>
      <c r="P858" s="286" t="s">
        <v>164</v>
      </c>
    </row>
    <row r="859" spans="1:16" hidden="1" x14ac:dyDescent="0.15">
      <c r="A859" s="286">
        <v>96376</v>
      </c>
      <c r="B859" s="288">
        <v>44880.406944444447</v>
      </c>
      <c r="C859" s="286" t="s">
        <v>1598</v>
      </c>
      <c r="D859" s="286" t="s">
        <v>1105</v>
      </c>
      <c r="E859" s="286" t="s">
        <v>1106</v>
      </c>
      <c r="F859" s="286" t="s">
        <v>1606</v>
      </c>
      <c r="G859" s="286" t="s">
        <v>53</v>
      </c>
      <c r="H859" s="286" t="s">
        <v>53</v>
      </c>
      <c r="I859" s="286" t="s">
        <v>1199</v>
      </c>
      <c r="J859" s="286" t="s">
        <v>1312</v>
      </c>
      <c r="K859" s="286" t="s">
        <v>53</v>
      </c>
      <c r="L859" s="286" t="s">
        <v>53</v>
      </c>
      <c r="M859" s="286" t="s">
        <v>53</v>
      </c>
      <c r="N859" s="287">
        <v>180340.21</v>
      </c>
      <c r="O859" s="305">
        <f t="shared" si="13"/>
        <v>44895</v>
      </c>
      <c r="P859" s="286" t="s">
        <v>58</v>
      </c>
    </row>
    <row r="860" spans="1:16" hidden="1" x14ac:dyDescent="0.15">
      <c r="A860" s="286">
        <v>96376</v>
      </c>
      <c r="B860" s="288">
        <v>44880.406944444447</v>
      </c>
      <c r="C860" s="286" t="s">
        <v>1598</v>
      </c>
      <c r="D860" s="286" t="s">
        <v>1105</v>
      </c>
      <c r="E860" s="286" t="s">
        <v>1106</v>
      </c>
      <c r="F860" s="286" t="s">
        <v>1606</v>
      </c>
      <c r="G860" s="286" t="s">
        <v>53</v>
      </c>
      <c r="H860" s="286" t="s">
        <v>53</v>
      </c>
      <c r="I860" s="286" t="s">
        <v>1228</v>
      </c>
      <c r="J860" s="286" t="s">
        <v>1312</v>
      </c>
      <c r="K860" s="286" t="s">
        <v>53</v>
      </c>
      <c r="L860" s="286" t="s">
        <v>53</v>
      </c>
      <c r="M860" s="286" t="s">
        <v>53</v>
      </c>
      <c r="N860" s="287">
        <v>50793.83</v>
      </c>
      <c r="O860" s="305">
        <f t="shared" si="13"/>
        <v>44895</v>
      </c>
      <c r="P860" s="286" t="s">
        <v>58</v>
      </c>
    </row>
    <row r="861" spans="1:16" hidden="1" x14ac:dyDescent="0.15">
      <c r="A861" s="286">
        <v>96376</v>
      </c>
      <c r="B861" s="288">
        <v>44880.406944444447</v>
      </c>
      <c r="C861" s="286" t="s">
        <v>1598</v>
      </c>
      <c r="D861" s="286" t="s">
        <v>1105</v>
      </c>
      <c r="E861" s="286" t="s">
        <v>1106</v>
      </c>
      <c r="F861" s="286" t="s">
        <v>1606</v>
      </c>
      <c r="G861" s="286" t="s">
        <v>53</v>
      </c>
      <c r="H861" s="286" t="s">
        <v>53</v>
      </c>
      <c r="I861" s="286" t="s">
        <v>1152</v>
      </c>
      <c r="J861" s="286" t="s">
        <v>1312</v>
      </c>
      <c r="K861" s="286" t="s">
        <v>53</v>
      </c>
      <c r="L861" s="286" t="s">
        <v>53</v>
      </c>
      <c r="M861" s="286" t="s">
        <v>53</v>
      </c>
      <c r="N861" s="287">
        <v>46068.23</v>
      </c>
      <c r="O861" s="305">
        <f t="shared" si="13"/>
        <v>44895</v>
      </c>
      <c r="P861" s="111" t="s">
        <v>58</v>
      </c>
    </row>
    <row r="862" spans="1:16" hidden="1" x14ac:dyDescent="0.15">
      <c r="A862" s="286">
        <v>96376</v>
      </c>
      <c r="B862" s="288">
        <v>44880.406944444447</v>
      </c>
      <c r="C862" s="286" t="s">
        <v>1598</v>
      </c>
      <c r="D862" s="286" t="s">
        <v>1105</v>
      </c>
      <c r="E862" s="286" t="s">
        <v>1106</v>
      </c>
      <c r="F862" s="286" t="s">
        <v>1606</v>
      </c>
      <c r="G862" s="286" t="s">
        <v>53</v>
      </c>
      <c r="H862" s="286" t="s">
        <v>53</v>
      </c>
      <c r="I862" s="286" t="s">
        <v>1279</v>
      </c>
      <c r="J862" s="286" t="s">
        <v>1312</v>
      </c>
      <c r="K862" s="286" t="s">
        <v>53</v>
      </c>
      <c r="L862" s="286" t="s">
        <v>53</v>
      </c>
      <c r="M862" s="286" t="s">
        <v>53</v>
      </c>
      <c r="N862" s="287">
        <v>935.25</v>
      </c>
      <c r="O862" s="305">
        <f t="shared" si="13"/>
        <v>44895</v>
      </c>
      <c r="P862" s="286" t="s">
        <v>58</v>
      </c>
    </row>
    <row r="863" spans="1:16" hidden="1" x14ac:dyDescent="0.15">
      <c r="A863" s="286">
        <v>99772</v>
      </c>
      <c r="B863" s="288">
        <v>44883.604861111111</v>
      </c>
      <c r="C863" s="286" t="s">
        <v>1598</v>
      </c>
      <c r="D863" s="286" t="s">
        <v>1309</v>
      </c>
      <c r="E863" s="286" t="s">
        <v>1310</v>
      </c>
      <c r="F863" s="286" t="s">
        <v>1607</v>
      </c>
      <c r="G863" s="286" t="s">
        <v>1608</v>
      </c>
      <c r="H863" s="286" t="s">
        <v>1608</v>
      </c>
      <c r="I863" s="286" t="s">
        <v>1129</v>
      </c>
      <c r="J863" s="286" t="s">
        <v>1312</v>
      </c>
      <c r="K863" s="286" t="s">
        <v>1609</v>
      </c>
      <c r="L863" s="286" t="s">
        <v>1610</v>
      </c>
      <c r="M863" s="286">
        <v>1</v>
      </c>
      <c r="N863" s="287">
        <v>26.4</v>
      </c>
      <c r="O863" s="305">
        <f t="shared" si="13"/>
        <v>44895</v>
      </c>
      <c r="P863" s="286" t="s">
        <v>164</v>
      </c>
    </row>
    <row r="864" spans="1:16" hidden="1" x14ac:dyDescent="0.15">
      <c r="A864" s="286">
        <v>101510</v>
      </c>
      <c r="B864" s="288">
        <v>44888.349305555559</v>
      </c>
      <c r="C864" s="286" t="s">
        <v>1598</v>
      </c>
      <c r="D864" s="286" t="s">
        <v>1309</v>
      </c>
      <c r="E864" s="286" t="s">
        <v>1310</v>
      </c>
      <c r="F864" s="286" t="s">
        <v>1611</v>
      </c>
      <c r="G864" s="286" t="s">
        <v>1007</v>
      </c>
      <c r="H864" s="286" t="s">
        <v>1007</v>
      </c>
      <c r="I864" s="286" t="s">
        <v>1129</v>
      </c>
      <c r="J864" s="286" t="s">
        <v>1312</v>
      </c>
      <c r="K864" s="286" t="s">
        <v>1534</v>
      </c>
      <c r="L864" s="286" t="s">
        <v>1535</v>
      </c>
      <c r="M864" s="286">
        <v>415.8</v>
      </c>
      <c r="N864" s="287">
        <v>0</v>
      </c>
      <c r="O864" s="305">
        <f t="shared" si="13"/>
        <v>44895</v>
      </c>
      <c r="P864" s="286" t="s">
        <v>164</v>
      </c>
    </row>
    <row r="865" spans="1:16" hidden="1" x14ac:dyDescent="0.15">
      <c r="A865" s="286">
        <v>101835</v>
      </c>
      <c r="B865" s="288">
        <v>44888.472916666666</v>
      </c>
      <c r="C865" s="286" t="s">
        <v>1598</v>
      </c>
      <c r="D865" s="286" t="s">
        <v>1309</v>
      </c>
      <c r="E865" s="286" t="s">
        <v>1310</v>
      </c>
      <c r="F865" s="286" t="s">
        <v>1612</v>
      </c>
      <c r="G865" s="286" t="s">
        <v>1016</v>
      </c>
      <c r="H865" s="286" t="s">
        <v>1016</v>
      </c>
      <c r="I865" s="286" t="s">
        <v>1129</v>
      </c>
      <c r="J865" s="286" t="s">
        <v>1312</v>
      </c>
      <c r="K865" s="286" t="s">
        <v>1613</v>
      </c>
      <c r="L865" s="286" t="s">
        <v>1614</v>
      </c>
      <c r="M865" s="286">
        <v>1</v>
      </c>
      <c r="N865" s="287">
        <v>0</v>
      </c>
      <c r="O865" s="305">
        <f t="shared" si="13"/>
        <v>44895</v>
      </c>
      <c r="P865" s="286" t="s">
        <v>164</v>
      </c>
    </row>
    <row r="866" spans="1:16" hidden="1" x14ac:dyDescent="0.15">
      <c r="A866" s="286">
        <v>116085</v>
      </c>
      <c r="B866" s="288">
        <v>44907.452777777777</v>
      </c>
      <c r="C866" s="286" t="s">
        <v>1615</v>
      </c>
      <c r="D866" s="286" t="s">
        <v>1105</v>
      </c>
      <c r="E866" s="286" t="s">
        <v>1106</v>
      </c>
      <c r="F866" s="286" t="s">
        <v>1616</v>
      </c>
      <c r="G866" s="286" t="s">
        <v>53</v>
      </c>
      <c r="H866" s="286" t="s">
        <v>53</v>
      </c>
      <c r="I866" s="286" t="s">
        <v>1199</v>
      </c>
      <c r="J866" s="286" t="s">
        <v>1312</v>
      </c>
      <c r="K866" s="286" t="s">
        <v>53</v>
      </c>
      <c r="L866" s="286" t="s">
        <v>53</v>
      </c>
      <c r="M866" s="286" t="s">
        <v>53</v>
      </c>
      <c r="N866" s="287">
        <v>107947.22</v>
      </c>
      <c r="O866" s="305">
        <f t="shared" si="13"/>
        <v>44926</v>
      </c>
      <c r="P866" s="286" t="s">
        <v>58</v>
      </c>
    </row>
    <row r="867" spans="1:16" hidden="1" x14ac:dyDescent="0.15">
      <c r="A867" s="286">
        <v>116085</v>
      </c>
      <c r="B867" s="288">
        <v>44907.452777777777</v>
      </c>
      <c r="C867" s="286" t="s">
        <v>1615</v>
      </c>
      <c r="D867" s="286" t="s">
        <v>1105</v>
      </c>
      <c r="E867" s="286" t="s">
        <v>1106</v>
      </c>
      <c r="F867" s="286" t="s">
        <v>1616</v>
      </c>
      <c r="G867" s="286" t="s">
        <v>53</v>
      </c>
      <c r="H867" s="286" t="s">
        <v>53</v>
      </c>
      <c r="I867" s="286" t="s">
        <v>1228</v>
      </c>
      <c r="J867" s="286" t="s">
        <v>1312</v>
      </c>
      <c r="K867" s="286" t="s">
        <v>53</v>
      </c>
      <c r="L867" s="286" t="s">
        <v>53</v>
      </c>
      <c r="M867" s="286" t="s">
        <v>53</v>
      </c>
      <c r="N867" s="287">
        <v>62503.28</v>
      </c>
      <c r="O867" s="305">
        <f t="shared" si="13"/>
        <v>44926</v>
      </c>
      <c r="P867" s="286" t="s">
        <v>58</v>
      </c>
    </row>
    <row r="868" spans="1:16" hidden="1" x14ac:dyDescent="0.15">
      <c r="A868" s="286">
        <v>116085</v>
      </c>
      <c r="B868" s="288">
        <v>44907.452777777777</v>
      </c>
      <c r="C868" s="286" t="s">
        <v>1615</v>
      </c>
      <c r="D868" s="286" t="s">
        <v>1105</v>
      </c>
      <c r="E868" s="286" t="s">
        <v>1106</v>
      </c>
      <c r="F868" s="286" t="s">
        <v>1616</v>
      </c>
      <c r="G868" s="286" t="s">
        <v>53</v>
      </c>
      <c r="H868" s="286" t="s">
        <v>53</v>
      </c>
      <c r="I868" s="286" t="s">
        <v>1152</v>
      </c>
      <c r="J868" s="286" t="s">
        <v>1312</v>
      </c>
      <c r="K868" s="286" t="s">
        <v>53</v>
      </c>
      <c r="L868" s="286" t="s">
        <v>53</v>
      </c>
      <c r="M868" s="286" t="s">
        <v>53</v>
      </c>
      <c r="N868" s="287">
        <v>42920.959999999999</v>
      </c>
      <c r="O868" s="305">
        <f t="shared" si="13"/>
        <v>44926</v>
      </c>
      <c r="P868" s="111" t="s">
        <v>58</v>
      </c>
    </row>
    <row r="869" spans="1:16" hidden="1" x14ac:dyDescent="0.15">
      <c r="A869" s="286">
        <v>116085</v>
      </c>
      <c r="B869" s="288">
        <v>44907.452777777777</v>
      </c>
      <c r="C869" s="286" t="s">
        <v>1615</v>
      </c>
      <c r="D869" s="286" t="s">
        <v>1105</v>
      </c>
      <c r="E869" s="286" t="s">
        <v>1106</v>
      </c>
      <c r="F869" s="286" t="s">
        <v>1616</v>
      </c>
      <c r="G869" s="286" t="s">
        <v>53</v>
      </c>
      <c r="H869" s="286" t="s">
        <v>53</v>
      </c>
      <c r="I869" s="286" t="s">
        <v>1279</v>
      </c>
      <c r="J869" s="286" t="s">
        <v>1312</v>
      </c>
      <c r="K869" s="286" t="s">
        <v>53</v>
      </c>
      <c r="L869" s="286" t="s">
        <v>53</v>
      </c>
      <c r="M869" s="286" t="s">
        <v>53</v>
      </c>
      <c r="N869" s="287">
        <v>935.25</v>
      </c>
      <c r="O869" s="305">
        <f t="shared" si="13"/>
        <v>44926</v>
      </c>
      <c r="P869" s="286" t="s">
        <v>58</v>
      </c>
    </row>
    <row r="870" spans="1:16" hidden="1" x14ac:dyDescent="0.15">
      <c r="A870" s="286">
        <v>121349</v>
      </c>
      <c r="B870" s="288">
        <v>44910.379166666666</v>
      </c>
      <c r="C870" s="286" t="s">
        <v>1615</v>
      </c>
      <c r="D870" s="286" t="s">
        <v>1309</v>
      </c>
      <c r="E870" s="286" t="s">
        <v>1310</v>
      </c>
      <c r="F870" s="286" t="s">
        <v>1617</v>
      </c>
      <c r="G870" s="286" t="s">
        <v>1046</v>
      </c>
      <c r="H870" s="286" t="s">
        <v>1046</v>
      </c>
      <c r="I870" s="286" t="s">
        <v>1235</v>
      </c>
      <c r="J870" s="286" t="s">
        <v>1312</v>
      </c>
      <c r="K870" s="286" t="s">
        <v>1618</v>
      </c>
      <c r="L870" s="286" t="s">
        <v>538</v>
      </c>
      <c r="M870" s="286">
        <v>1</v>
      </c>
      <c r="N870" s="287">
        <v>11132</v>
      </c>
      <c r="O870" s="305">
        <f t="shared" si="13"/>
        <v>44926</v>
      </c>
      <c r="P870" s="286" t="s">
        <v>180</v>
      </c>
    </row>
    <row r="871" spans="1:16" hidden="1" x14ac:dyDescent="0.15">
      <c r="A871" s="286">
        <v>121349</v>
      </c>
      <c r="B871" s="288">
        <v>44910.379166666666</v>
      </c>
      <c r="C871" s="286" t="s">
        <v>1615</v>
      </c>
      <c r="D871" s="286" t="s">
        <v>1309</v>
      </c>
      <c r="E871" s="286" t="s">
        <v>1310</v>
      </c>
      <c r="F871" s="286" t="s">
        <v>1617</v>
      </c>
      <c r="G871" s="286" t="s">
        <v>1046</v>
      </c>
      <c r="H871" s="286" t="s">
        <v>1046</v>
      </c>
      <c r="I871" s="286" t="s">
        <v>1229</v>
      </c>
      <c r="J871" s="286" t="s">
        <v>1312</v>
      </c>
      <c r="K871" s="286" t="s">
        <v>1619</v>
      </c>
      <c r="L871" s="286" t="s">
        <v>539</v>
      </c>
      <c r="M871" s="286">
        <v>1</v>
      </c>
      <c r="N871" s="287">
        <v>9372</v>
      </c>
      <c r="O871" s="305">
        <f t="shared" si="13"/>
        <v>44926</v>
      </c>
      <c r="P871" s="286" t="s">
        <v>279</v>
      </c>
    </row>
    <row r="872" spans="1:16" hidden="1" x14ac:dyDescent="0.15">
      <c r="A872" s="286">
        <v>125094</v>
      </c>
      <c r="B872" s="288">
        <v>44915.452777777777</v>
      </c>
      <c r="C872" s="286" t="s">
        <v>1615</v>
      </c>
      <c r="D872" s="286" t="s">
        <v>1309</v>
      </c>
      <c r="E872" s="286" t="s">
        <v>1310</v>
      </c>
      <c r="F872" s="286" t="s">
        <v>1620</v>
      </c>
      <c r="G872" s="286" t="s">
        <v>1045</v>
      </c>
      <c r="H872" s="286" t="s">
        <v>1045</v>
      </c>
      <c r="I872" s="286" t="s">
        <v>1152</v>
      </c>
      <c r="J872" s="286" t="s">
        <v>1312</v>
      </c>
      <c r="K872" s="286" t="s">
        <v>1621</v>
      </c>
      <c r="L872" s="286" t="s">
        <v>1622</v>
      </c>
      <c r="M872" s="286">
        <v>1</v>
      </c>
      <c r="N872" s="287">
        <v>0</v>
      </c>
      <c r="O872" s="305">
        <f t="shared" si="13"/>
        <v>44926</v>
      </c>
      <c r="P872" s="111" t="s">
        <v>58</v>
      </c>
    </row>
    <row r="873" spans="1:16" hidden="1" x14ac:dyDescent="0.15">
      <c r="A873" s="286">
        <v>125095</v>
      </c>
      <c r="B873" s="288">
        <v>44915.45416666667</v>
      </c>
      <c r="C873" s="286" t="s">
        <v>1615</v>
      </c>
      <c r="D873" s="286" t="s">
        <v>1309</v>
      </c>
      <c r="E873" s="286" t="s">
        <v>1310</v>
      </c>
      <c r="F873" s="286" t="s">
        <v>1623</v>
      </c>
      <c r="G873" s="286" t="s">
        <v>1090</v>
      </c>
      <c r="H873" s="286" t="s">
        <v>1090</v>
      </c>
      <c r="I873" s="286" t="s">
        <v>1129</v>
      </c>
      <c r="J873" s="286" t="s">
        <v>1312</v>
      </c>
      <c r="K873" s="286" t="s">
        <v>1624</v>
      </c>
      <c r="L873" s="286" t="s">
        <v>1625</v>
      </c>
      <c r="M873" s="286">
        <v>1</v>
      </c>
      <c r="N873" s="287">
        <v>0</v>
      </c>
      <c r="O873" s="305">
        <f t="shared" si="13"/>
        <v>44926</v>
      </c>
      <c r="P873" s="286" t="s">
        <v>164</v>
      </c>
    </row>
    <row r="874" spans="1:16" hidden="1" x14ac:dyDescent="0.15">
      <c r="A874" s="286">
        <v>125101</v>
      </c>
      <c r="B874" s="288">
        <v>44915.454861111109</v>
      </c>
      <c r="C874" s="286" t="s">
        <v>1615</v>
      </c>
      <c r="D874" s="286" t="s">
        <v>1309</v>
      </c>
      <c r="E874" s="286" t="s">
        <v>1310</v>
      </c>
      <c r="F874" s="286" t="s">
        <v>1626</v>
      </c>
      <c r="G874" s="286" t="s">
        <v>1316</v>
      </c>
      <c r="H874" s="286" t="s">
        <v>1316</v>
      </c>
      <c r="I874" s="286" t="s">
        <v>1129</v>
      </c>
      <c r="J874" s="286" t="s">
        <v>1312</v>
      </c>
      <c r="K874" s="286" t="s">
        <v>524</v>
      </c>
      <c r="L874" s="286" t="s">
        <v>1346</v>
      </c>
      <c r="M874" s="286">
        <v>48</v>
      </c>
      <c r="N874" s="287">
        <v>243.84</v>
      </c>
      <c r="O874" s="305">
        <f t="shared" si="13"/>
        <v>44926</v>
      </c>
      <c r="P874" s="286" t="s">
        <v>164</v>
      </c>
    </row>
    <row r="875" spans="1:16" hidden="1" x14ac:dyDescent="0.15">
      <c r="A875" s="286">
        <v>125101</v>
      </c>
      <c r="B875" s="288">
        <v>44915.454861111109</v>
      </c>
      <c r="C875" s="286" t="s">
        <v>1615</v>
      </c>
      <c r="D875" s="286" t="s">
        <v>1309</v>
      </c>
      <c r="E875" s="286" t="s">
        <v>1310</v>
      </c>
      <c r="F875" s="286" t="s">
        <v>1626</v>
      </c>
      <c r="G875" s="286" t="s">
        <v>1316</v>
      </c>
      <c r="H875" s="286" t="s">
        <v>1316</v>
      </c>
      <c r="I875" s="286" t="s">
        <v>1129</v>
      </c>
      <c r="J875" s="286" t="s">
        <v>1312</v>
      </c>
      <c r="K875" s="286" t="s">
        <v>526</v>
      </c>
      <c r="L875" s="286" t="s">
        <v>1360</v>
      </c>
      <c r="M875" s="286">
        <v>48</v>
      </c>
      <c r="N875" s="287">
        <v>231.84</v>
      </c>
      <c r="O875" s="305">
        <f t="shared" si="13"/>
        <v>44926</v>
      </c>
      <c r="P875" s="286" t="s">
        <v>164</v>
      </c>
    </row>
    <row r="876" spans="1:16" hidden="1" x14ac:dyDescent="0.15">
      <c r="A876" s="286">
        <v>125101</v>
      </c>
      <c r="B876" s="288">
        <v>44915.454861111109</v>
      </c>
      <c r="C876" s="286" t="s">
        <v>1615</v>
      </c>
      <c r="D876" s="286" t="s">
        <v>1309</v>
      </c>
      <c r="E876" s="286" t="s">
        <v>1310</v>
      </c>
      <c r="F876" s="286" t="s">
        <v>1626</v>
      </c>
      <c r="G876" s="286" t="s">
        <v>1316</v>
      </c>
      <c r="H876" s="286" t="s">
        <v>1316</v>
      </c>
      <c r="I876" s="286" t="s">
        <v>1129</v>
      </c>
      <c r="J876" s="286" t="s">
        <v>1312</v>
      </c>
      <c r="K876" s="286" t="s">
        <v>528</v>
      </c>
      <c r="L876" s="286" t="s">
        <v>529</v>
      </c>
      <c r="M876" s="286">
        <v>36</v>
      </c>
      <c r="N876" s="287">
        <v>159.12</v>
      </c>
      <c r="O876" s="305">
        <f t="shared" si="13"/>
        <v>44926</v>
      </c>
      <c r="P876" s="286" t="s">
        <v>164</v>
      </c>
    </row>
    <row r="877" spans="1:16" hidden="1" x14ac:dyDescent="0.15">
      <c r="A877" s="286">
        <v>125101</v>
      </c>
      <c r="B877" s="288">
        <v>44915.454861111109</v>
      </c>
      <c r="C877" s="286" t="s">
        <v>1615</v>
      </c>
      <c r="D877" s="286" t="s">
        <v>1309</v>
      </c>
      <c r="E877" s="286" t="s">
        <v>1310</v>
      </c>
      <c r="F877" s="286" t="s">
        <v>1626</v>
      </c>
      <c r="G877" s="286" t="s">
        <v>1316</v>
      </c>
      <c r="H877" s="286" t="s">
        <v>1316</v>
      </c>
      <c r="I877" s="286" t="s">
        <v>1129</v>
      </c>
      <c r="J877" s="286" t="s">
        <v>1312</v>
      </c>
      <c r="K877" s="286" t="s">
        <v>1321</v>
      </c>
      <c r="L877" s="286" t="s">
        <v>1322</v>
      </c>
      <c r="M877" s="286">
        <v>2</v>
      </c>
      <c r="N877" s="287">
        <v>33.54</v>
      </c>
      <c r="O877" s="305">
        <f t="shared" si="13"/>
        <v>44926</v>
      </c>
      <c r="P877" s="286" t="s">
        <v>164</v>
      </c>
    </row>
    <row r="878" spans="1:16" hidden="1" x14ac:dyDescent="0.15">
      <c r="A878" s="286">
        <v>125101</v>
      </c>
      <c r="B878" s="288">
        <v>44915.454861111109</v>
      </c>
      <c r="C878" s="286" t="s">
        <v>1615</v>
      </c>
      <c r="D878" s="286" t="s">
        <v>1309</v>
      </c>
      <c r="E878" s="286" t="s">
        <v>1310</v>
      </c>
      <c r="F878" s="286" t="s">
        <v>1626</v>
      </c>
      <c r="G878" s="286" t="s">
        <v>1316</v>
      </c>
      <c r="H878" s="286" t="s">
        <v>1316</v>
      </c>
      <c r="I878" s="286" t="s">
        <v>1129</v>
      </c>
      <c r="J878" s="286" t="s">
        <v>1312</v>
      </c>
      <c r="K878" s="286" t="s">
        <v>532</v>
      </c>
      <c r="L878" s="286" t="s">
        <v>533</v>
      </c>
      <c r="M878" s="286">
        <v>28</v>
      </c>
      <c r="N878" s="287">
        <v>27.16</v>
      </c>
      <c r="O878" s="305">
        <f t="shared" si="13"/>
        <v>44926</v>
      </c>
      <c r="P878" s="286" t="s">
        <v>164</v>
      </c>
    </row>
    <row r="879" spans="1:16" hidden="1" x14ac:dyDescent="0.15">
      <c r="A879" s="286">
        <v>125101</v>
      </c>
      <c r="B879" s="288">
        <v>44915.454861111109</v>
      </c>
      <c r="C879" s="286" t="s">
        <v>1615</v>
      </c>
      <c r="D879" s="286" t="s">
        <v>1309</v>
      </c>
      <c r="E879" s="286" t="s">
        <v>1310</v>
      </c>
      <c r="F879" s="286" t="s">
        <v>1626</v>
      </c>
      <c r="G879" s="286" t="s">
        <v>1316</v>
      </c>
      <c r="H879" s="286" t="s">
        <v>1316</v>
      </c>
      <c r="I879" s="286" t="s">
        <v>1129</v>
      </c>
      <c r="J879" s="286" t="s">
        <v>1312</v>
      </c>
      <c r="K879" s="286" t="s">
        <v>530</v>
      </c>
      <c r="L879" s="286" t="s">
        <v>531</v>
      </c>
      <c r="M879" s="286">
        <v>4</v>
      </c>
      <c r="N879" s="287">
        <v>14.48</v>
      </c>
      <c r="O879" s="305">
        <f t="shared" si="13"/>
        <v>44926</v>
      </c>
      <c r="P879" s="286" t="s">
        <v>164</v>
      </c>
    </row>
    <row r="880" spans="1:16" hidden="1" x14ac:dyDescent="0.15">
      <c r="A880" s="286">
        <v>125101</v>
      </c>
      <c r="B880" s="288">
        <v>44915.454861111109</v>
      </c>
      <c r="C880" s="286" t="s">
        <v>1615</v>
      </c>
      <c r="D880" s="286" t="s">
        <v>1309</v>
      </c>
      <c r="E880" s="286" t="s">
        <v>1310</v>
      </c>
      <c r="F880" s="286" t="s">
        <v>1626</v>
      </c>
      <c r="G880" s="286" t="s">
        <v>1316</v>
      </c>
      <c r="H880" s="286" t="s">
        <v>1316</v>
      </c>
      <c r="I880" s="286" t="s">
        <v>1129</v>
      </c>
      <c r="J880" s="286" t="s">
        <v>1312</v>
      </c>
      <c r="K880" s="286" t="s">
        <v>1517</v>
      </c>
      <c r="L880" s="286" t="s">
        <v>1518</v>
      </c>
      <c r="M880" s="286">
        <v>4</v>
      </c>
      <c r="N880" s="287">
        <v>2.2799999999999998</v>
      </c>
      <c r="O880" s="305">
        <f t="shared" si="13"/>
        <v>44926</v>
      </c>
      <c r="P880" s="286" t="s">
        <v>164</v>
      </c>
    </row>
    <row r="881" spans="1:16" hidden="1" x14ac:dyDescent="0.15">
      <c r="A881" s="286">
        <v>127231</v>
      </c>
      <c r="B881" s="288">
        <v>44917.477083333331</v>
      </c>
      <c r="C881" s="286" t="s">
        <v>1615</v>
      </c>
      <c r="D881" s="286" t="s">
        <v>1309</v>
      </c>
      <c r="E881" s="286" t="s">
        <v>1310</v>
      </c>
      <c r="F881" s="286" t="s">
        <v>1627</v>
      </c>
      <c r="G881" s="286" t="s">
        <v>1628</v>
      </c>
      <c r="H881" s="286" t="s">
        <v>1628</v>
      </c>
      <c r="I881" s="286" t="s">
        <v>1108</v>
      </c>
      <c r="J881" s="286" t="s">
        <v>1629</v>
      </c>
      <c r="K881" s="286" t="s">
        <v>1339</v>
      </c>
      <c r="L881" s="286" t="s">
        <v>1340</v>
      </c>
      <c r="M881" s="286">
        <v>1</v>
      </c>
      <c r="N881" s="287">
        <v>747.55</v>
      </c>
      <c r="O881" s="305">
        <f t="shared" si="13"/>
        <v>44926</v>
      </c>
      <c r="P881" s="286" t="s">
        <v>37</v>
      </c>
    </row>
    <row r="882" spans="1:16" hidden="1" x14ac:dyDescent="0.15">
      <c r="A882" s="286" t="s">
        <v>53</v>
      </c>
      <c r="B882" s="286" t="s">
        <v>1630</v>
      </c>
      <c r="C882" s="286" t="s">
        <v>53</v>
      </c>
      <c r="D882" s="286" t="s">
        <v>53</v>
      </c>
      <c r="E882" s="286" t="s">
        <v>53</v>
      </c>
      <c r="F882" s="286" t="s">
        <v>53</v>
      </c>
      <c r="G882" s="286" t="s">
        <v>53</v>
      </c>
      <c r="H882" s="286" t="s">
        <v>53</v>
      </c>
      <c r="I882" s="286" t="s">
        <v>53</v>
      </c>
      <c r="J882" s="286" t="s">
        <v>53</v>
      </c>
      <c r="K882" s="286" t="s">
        <v>53</v>
      </c>
      <c r="L882" s="286" t="s">
        <v>53</v>
      </c>
      <c r="M882" s="286" t="s">
        <v>1631</v>
      </c>
      <c r="N882" s="287">
        <v>35573521.060000002</v>
      </c>
      <c r="O882" s="305" t="e">
        <f t="shared" si="13"/>
        <v>#VALUE!</v>
      </c>
    </row>
  </sheetData>
  <autoFilter ref="A1:P882" xr:uid="{CF996B15-76CE-414C-ACA9-1B038F50B9EA}">
    <filterColumn colId="6">
      <filters>
        <filter val="Plano, City of"/>
      </filters>
    </filterColumn>
  </autoFilter>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47C86-C028-44D0-AEB0-887F8AE737D7}">
  <sheetPr filterMode="1"/>
  <dimension ref="A1:S1582"/>
  <sheetViews>
    <sheetView workbookViewId="0">
      <pane xSplit="1" ySplit="1" topLeftCell="B18" activePane="bottomRight" state="frozen"/>
      <selection pane="topRight" activeCell="B1" sqref="B1"/>
      <selection pane="bottomLeft" activeCell="A2" sqref="A2"/>
      <selection pane="bottomRight" activeCell="I1580" sqref="I1580"/>
    </sheetView>
  </sheetViews>
  <sheetFormatPr baseColWidth="10" defaultColWidth="9.1640625" defaultRowHeight="11" x14ac:dyDescent="0.15"/>
  <cols>
    <col min="1" max="1" width="8.5" style="286" bestFit="1" customWidth="1"/>
    <col min="2" max="2" width="13.1640625" style="286" bestFit="1" customWidth="1"/>
    <col min="3" max="3" width="7.5" style="286" bestFit="1" customWidth="1"/>
    <col min="4" max="4" width="15.83203125" style="286" bestFit="1" customWidth="1"/>
    <col min="5" max="5" width="9.5" style="286" bestFit="1" customWidth="1"/>
    <col min="6" max="6" width="9.5" style="286" customWidth="1"/>
    <col min="7" max="7" width="32.5" style="286" customWidth="1"/>
    <col min="8" max="8" width="26.5" style="286" customWidth="1"/>
    <col min="9" max="9" width="50" style="286" bestFit="1" customWidth="1"/>
    <col min="10" max="10" width="10.1640625" style="286" customWidth="1"/>
    <col min="11" max="11" width="9.83203125" style="286" bestFit="1" customWidth="1"/>
    <col min="12" max="12" width="23.5" style="286" customWidth="1"/>
    <col min="13" max="13" width="7.5" style="286" bestFit="1" customWidth="1"/>
    <col min="14" max="14" width="12.5" style="286" bestFit="1" customWidth="1"/>
    <col min="15" max="15" width="12.5" style="286" customWidth="1"/>
    <col min="16" max="16384" width="9.1640625" style="286"/>
  </cols>
  <sheetData>
    <row r="1" spans="1:16" x14ac:dyDescent="0.15">
      <c r="A1" s="289" t="s">
        <v>1092</v>
      </c>
      <c r="B1" s="289" t="s">
        <v>1093</v>
      </c>
      <c r="C1" s="289" t="s">
        <v>1094</v>
      </c>
      <c r="D1" s="289" t="s">
        <v>1095</v>
      </c>
      <c r="E1" s="289" t="s">
        <v>8</v>
      </c>
      <c r="F1" s="289" t="s">
        <v>1096</v>
      </c>
      <c r="G1" s="289" t="s">
        <v>1097</v>
      </c>
      <c r="H1" s="289" t="s">
        <v>1098</v>
      </c>
      <c r="I1" s="289" t="s">
        <v>1099</v>
      </c>
      <c r="J1" s="289" t="s">
        <v>1100</v>
      </c>
      <c r="K1" s="289" t="s">
        <v>1101</v>
      </c>
      <c r="L1" s="289" t="s">
        <v>16</v>
      </c>
      <c r="M1" s="289" t="s">
        <v>1102</v>
      </c>
      <c r="N1" s="289" t="s">
        <v>1103</v>
      </c>
      <c r="O1" s="289"/>
    </row>
    <row r="2" spans="1:16" hidden="1" x14ac:dyDescent="0.15">
      <c r="A2" s="286">
        <v>442744</v>
      </c>
      <c r="B2" s="288">
        <v>45300.341666666667</v>
      </c>
      <c r="C2" s="286" t="s">
        <v>1632</v>
      </c>
      <c r="D2" s="286" t="s">
        <v>1105</v>
      </c>
      <c r="E2" s="286" t="s">
        <v>1106</v>
      </c>
      <c r="F2" s="286" t="s">
        <v>1633</v>
      </c>
      <c r="G2" s="286" t="s">
        <v>1031</v>
      </c>
      <c r="H2" s="286" t="s">
        <v>1031</v>
      </c>
      <c r="I2" s="286" t="s">
        <v>1108</v>
      </c>
      <c r="J2" s="286" t="s">
        <v>1312</v>
      </c>
      <c r="K2" s="286" t="s">
        <v>702</v>
      </c>
      <c r="L2" s="286" t="s">
        <v>703</v>
      </c>
      <c r="M2" s="286">
        <v>1</v>
      </c>
      <c r="N2" s="287">
        <v>282367</v>
      </c>
      <c r="O2" s="305">
        <f>EOMONTH(B2,0)</f>
        <v>45322</v>
      </c>
      <c r="P2" s="286" t="s">
        <v>37</v>
      </c>
    </row>
    <row r="3" spans="1:16" hidden="1" x14ac:dyDescent="0.15">
      <c r="A3" s="286">
        <v>442744</v>
      </c>
      <c r="B3" s="288">
        <v>45300.341666666667</v>
      </c>
      <c r="C3" s="286" t="s">
        <v>1632</v>
      </c>
      <c r="D3" s="286" t="s">
        <v>1105</v>
      </c>
      <c r="E3" s="286" t="s">
        <v>1106</v>
      </c>
      <c r="F3" s="286" t="s">
        <v>1633</v>
      </c>
      <c r="G3" s="286" t="s">
        <v>1031</v>
      </c>
      <c r="H3" s="286" t="s">
        <v>1031</v>
      </c>
      <c r="I3" s="286" t="s">
        <v>1108</v>
      </c>
      <c r="J3" s="286" t="s">
        <v>1312</v>
      </c>
      <c r="K3" s="286" t="s">
        <v>1634</v>
      </c>
      <c r="L3" s="286" t="s">
        <v>708</v>
      </c>
      <c r="M3" s="286">
        <v>1</v>
      </c>
      <c r="N3" s="287">
        <v>269697</v>
      </c>
      <c r="O3" s="305">
        <f t="shared" ref="O3:O4" si="0">EOMONTH(B3,0)</f>
        <v>45322</v>
      </c>
      <c r="P3" s="286" t="s">
        <v>37</v>
      </c>
    </row>
    <row r="4" spans="1:16" hidden="1" x14ac:dyDescent="0.15">
      <c r="A4" s="286">
        <v>442744</v>
      </c>
      <c r="B4" s="288">
        <v>45300.341666666667</v>
      </c>
      <c r="C4" s="286" t="s">
        <v>1632</v>
      </c>
      <c r="D4" s="286" t="s">
        <v>1105</v>
      </c>
      <c r="E4" s="286" t="s">
        <v>1106</v>
      </c>
      <c r="F4" s="286" t="s">
        <v>1633</v>
      </c>
      <c r="G4" s="286" t="s">
        <v>1079</v>
      </c>
      <c r="H4" s="286" t="s">
        <v>1079</v>
      </c>
      <c r="I4" s="286" t="s">
        <v>1108</v>
      </c>
      <c r="J4" s="286" t="s">
        <v>1312</v>
      </c>
      <c r="K4" s="286" t="s">
        <v>1635</v>
      </c>
      <c r="L4" s="286" t="s">
        <v>580</v>
      </c>
      <c r="M4" s="286">
        <v>3</v>
      </c>
      <c r="N4" s="287">
        <v>266817</v>
      </c>
      <c r="O4" s="305">
        <f t="shared" si="0"/>
        <v>45322</v>
      </c>
      <c r="P4" s="286" t="s">
        <v>37</v>
      </c>
    </row>
    <row r="5" spans="1:16" hidden="1" x14ac:dyDescent="0.15">
      <c r="A5" s="286">
        <v>312100</v>
      </c>
      <c r="B5" s="288">
        <v>45147.425694444442</v>
      </c>
      <c r="C5" s="286" t="s">
        <v>1636</v>
      </c>
      <c r="D5" s="286" t="s">
        <v>1105</v>
      </c>
      <c r="E5" s="286" t="s">
        <v>1106</v>
      </c>
      <c r="F5" s="286" t="s">
        <v>1637</v>
      </c>
      <c r="G5" s="286" t="s">
        <v>1041</v>
      </c>
      <c r="H5" s="286" t="s">
        <v>1041</v>
      </c>
      <c r="I5" s="286" t="s">
        <v>1199</v>
      </c>
      <c r="J5" s="286" t="s">
        <v>1312</v>
      </c>
      <c r="K5" s="286" t="s">
        <v>53</v>
      </c>
      <c r="L5" s="286" t="s">
        <v>53</v>
      </c>
      <c r="M5" s="286" t="s">
        <v>53</v>
      </c>
      <c r="N5" s="287">
        <v>186225.57</v>
      </c>
      <c r="O5" s="287"/>
      <c r="P5" s="286" t="s">
        <v>58</v>
      </c>
    </row>
    <row r="6" spans="1:16" hidden="1" x14ac:dyDescent="0.15">
      <c r="A6" s="286">
        <v>161836</v>
      </c>
      <c r="B6" s="288">
        <v>44974.48333333333</v>
      </c>
      <c r="C6" s="286" t="s">
        <v>1638</v>
      </c>
      <c r="D6" s="286" t="s">
        <v>1105</v>
      </c>
      <c r="E6" s="286" t="s">
        <v>1106</v>
      </c>
      <c r="F6" s="286" t="s">
        <v>1639</v>
      </c>
      <c r="G6" s="286" t="s">
        <v>53</v>
      </c>
      <c r="H6" s="286" t="s">
        <v>53</v>
      </c>
      <c r="I6" s="286" t="s">
        <v>1199</v>
      </c>
      <c r="J6" s="286" t="s">
        <v>1312</v>
      </c>
      <c r="K6" s="286" t="s">
        <v>53</v>
      </c>
      <c r="L6" s="286" t="s">
        <v>53</v>
      </c>
      <c r="M6" s="286" t="s">
        <v>53</v>
      </c>
      <c r="N6" s="287">
        <v>159482.62</v>
      </c>
      <c r="O6" s="287"/>
      <c r="P6" s="286" t="s">
        <v>58</v>
      </c>
    </row>
    <row r="7" spans="1:16" hidden="1" x14ac:dyDescent="0.15">
      <c r="A7" s="286">
        <v>142605</v>
      </c>
      <c r="B7" s="288">
        <v>44950.463888888888</v>
      </c>
      <c r="C7" s="286" t="s">
        <v>1640</v>
      </c>
      <c r="D7" s="286" t="s">
        <v>1105</v>
      </c>
      <c r="E7" s="286" t="s">
        <v>1106</v>
      </c>
      <c r="F7" s="286" t="s">
        <v>1641</v>
      </c>
      <c r="G7" s="286" t="s">
        <v>53</v>
      </c>
      <c r="H7" s="286" t="s">
        <v>53</v>
      </c>
      <c r="I7" s="286" t="s">
        <v>1199</v>
      </c>
      <c r="J7" s="286" t="s">
        <v>1312</v>
      </c>
      <c r="K7" s="286" t="s">
        <v>53</v>
      </c>
      <c r="L7" s="286" t="s">
        <v>53</v>
      </c>
      <c r="M7" s="286" t="s">
        <v>53</v>
      </c>
      <c r="N7" s="287">
        <v>159326.79999999999</v>
      </c>
      <c r="O7" s="287"/>
      <c r="P7" s="286" t="s">
        <v>58</v>
      </c>
    </row>
    <row r="8" spans="1:16" hidden="1" x14ac:dyDescent="0.15">
      <c r="A8" s="286">
        <v>394327</v>
      </c>
      <c r="B8" s="288">
        <v>45233.704861111109</v>
      </c>
      <c r="C8" s="286" t="s">
        <v>1642</v>
      </c>
      <c r="D8" s="286" t="s">
        <v>1105</v>
      </c>
      <c r="E8" s="286" t="s">
        <v>1106</v>
      </c>
      <c r="F8" s="286" t="s">
        <v>1643</v>
      </c>
      <c r="G8" s="286" t="s">
        <v>1021</v>
      </c>
      <c r="H8" s="286" t="s">
        <v>1021</v>
      </c>
      <c r="I8" s="286" t="s">
        <v>1108</v>
      </c>
      <c r="J8" s="286" t="s">
        <v>1312</v>
      </c>
      <c r="K8" s="286" t="s">
        <v>1644</v>
      </c>
      <c r="L8" s="286" t="s">
        <v>578</v>
      </c>
      <c r="M8" s="286">
        <v>1</v>
      </c>
      <c r="N8" s="287">
        <v>144645.85999999999</v>
      </c>
      <c r="O8" s="305">
        <f t="shared" ref="O8:O10" si="1">EOMONTH(B8,0)</f>
        <v>45260</v>
      </c>
      <c r="P8" s="286" t="s">
        <v>37</v>
      </c>
    </row>
    <row r="9" spans="1:16" hidden="1" x14ac:dyDescent="0.15">
      <c r="A9" s="286">
        <v>307803</v>
      </c>
      <c r="B9" s="288">
        <v>45142.386805555558</v>
      </c>
      <c r="C9" s="286" t="s">
        <v>1636</v>
      </c>
      <c r="D9" s="286" t="s">
        <v>1105</v>
      </c>
      <c r="E9" s="286" t="s">
        <v>1106</v>
      </c>
      <c r="F9" s="286" t="s">
        <v>1645</v>
      </c>
      <c r="G9" s="286" t="s">
        <v>1048</v>
      </c>
      <c r="H9" s="286" t="s">
        <v>1048</v>
      </c>
      <c r="I9" s="286" t="s">
        <v>1108</v>
      </c>
      <c r="J9" s="286" t="s">
        <v>1312</v>
      </c>
      <c r="K9" s="286" t="s">
        <v>1646</v>
      </c>
      <c r="L9" s="286" t="s">
        <v>1647</v>
      </c>
      <c r="M9" s="286">
        <v>1</v>
      </c>
      <c r="N9" s="287">
        <v>138369.47</v>
      </c>
      <c r="O9" s="305">
        <f t="shared" si="1"/>
        <v>45169</v>
      </c>
      <c r="P9" s="286" t="s">
        <v>37</v>
      </c>
    </row>
    <row r="10" spans="1:16" hidden="1" x14ac:dyDescent="0.15">
      <c r="A10" s="286">
        <v>442744</v>
      </c>
      <c r="B10" s="288">
        <v>45300.341666666667</v>
      </c>
      <c r="C10" s="286" t="s">
        <v>1632</v>
      </c>
      <c r="D10" s="286" t="s">
        <v>1105</v>
      </c>
      <c r="E10" s="286" t="s">
        <v>1106</v>
      </c>
      <c r="F10" s="286" t="s">
        <v>1633</v>
      </c>
      <c r="G10" s="286" t="s">
        <v>1031</v>
      </c>
      <c r="H10" s="286" t="s">
        <v>1031</v>
      </c>
      <c r="I10" s="286" t="s">
        <v>1108</v>
      </c>
      <c r="J10" s="286" t="s">
        <v>1312</v>
      </c>
      <c r="K10" s="286" t="s">
        <v>1648</v>
      </c>
      <c r="L10" s="286" t="s">
        <v>700</v>
      </c>
      <c r="M10" s="286">
        <v>1</v>
      </c>
      <c r="N10" s="287">
        <v>133940</v>
      </c>
      <c r="O10" s="305">
        <f t="shared" si="1"/>
        <v>45322</v>
      </c>
      <c r="P10" s="286" t="s">
        <v>37</v>
      </c>
    </row>
    <row r="11" spans="1:16" hidden="1" x14ac:dyDescent="0.15">
      <c r="A11" s="286">
        <v>278260</v>
      </c>
      <c r="B11" s="288">
        <v>45118.491666666669</v>
      </c>
      <c r="C11" s="286" t="s">
        <v>1649</v>
      </c>
      <c r="D11" s="286" t="s">
        <v>1309</v>
      </c>
      <c r="E11" s="286" t="s">
        <v>1310</v>
      </c>
      <c r="F11" s="286" t="s">
        <v>1650</v>
      </c>
      <c r="G11" s="286" t="s">
        <v>1026</v>
      </c>
      <c r="H11" s="286" t="s">
        <v>1026</v>
      </c>
      <c r="I11" s="286" t="s">
        <v>1152</v>
      </c>
      <c r="J11" s="286" t="s">
        <v>1312</v>
      </c>
      <c r="K11" s="286" t="s">
        <v>1651</v>
      </c>
      <c r="L11" s="286" t="s">
        <v>588</v>
      </c>
      <c r="M11" s="286">
        <v>1</v>
      </c>
      <c r="N11" s="287">
        <v>131280</v>
      </c>
      <c r="O11" s="287"/>
      <c r="P11" s="286" t="s">
        <v>58</v>
      </c>
    </row>
    <row r="12" spans="1:16" hidden="1" x14ac:dyDescent="0.15">
      <c r="A12" s="286">
        <v>278260</v>
      </c>
      <c r="B12" s="288">
        <v>45118.491666666669</v>
      </c>
      <c r="C12" s="286" t="s">
        <v>1649</v>
      </c>
      <c r="D12" s="286" t="s">
        <v>1309</v>
      </c>
      <c r="E12" s="286" t="s">
        <v>1310</v>
      </c>
      <c r="F12" s="286" t="s">
        <v>1650</v>
      </c>
      <c r="G12" s="286" t="s">
        <v>1026</v>
      </c>
      <c r="H12" s="286" t="s">
        <v>1026</v>
      </c>
      <c r="I12" s="286" t="s">
        <v>1152</v>
      </c>
      <c r="J12" s="286" t="s">
        <v>1312</v>
      </c>
      <c r="K12" s="286" t="s">
        <v>1652</v>
      </c>
      <c r="L12" s="286" t="s">
        <v>1653</v>
      </c>
      <c r="M12" s="286">
        <v>1</v>
      </c>
      <c r="N12" s="287">
        <v>131280</v>
      </c>
      <c r="O12" s="287"/>
      <c r="P12" s="286" t="s">
        <v>58</v>
      </c>
    </row>
    <row r="13" spans="1:16" hidden="1" x14ac:dyDescent="0.15">
      <c r="A13" s="286">
        <v>418370</v>
      </c>
      <c r="B13" s="288">
        <v>45261.45416666667</v>
      </c>
      <c r="C13" s="286" t="s">
        <v>1654</v>
      </c>
      <c r="D13" s="286" t="s">
        <v>1105</v>
      </c>
      <c r="E13" s="286" t="s">
        <v>1106</v>
      </c>
      <c r="F13" s="286" t="s">
        <v>1655</v>
      </c>
      <c r="G13" s="286" t="s">
        <v>1034</v>
      </c>
      <c r="H13" s="286" t="s">
        <v>1034</v>
      </c>
      <c r="I13" s="286" t="s">
        <v>1108</v>
      </c>
      <c r="J13" s="286" t="s">
        <v>1312</v>
      </c>
      <c r="K13" s="286" t="s">
        <v>1648</v>
      </c>
      <c r="L13" s="286" t="s">
        <v>700</v>
      </c>
      <c r="M13" s="286">
        <v>1</v>
      </c>
      <c r="N13" s="287">
        <v>128756.6</v>
      </c>
      <c r="O13" s="305">
        <f t="shared" ref="O13:O20" si="2">EOMONTH(B13,0)</f>
        <v>45291</v>
      </c>
      <c r="P13" s="286" t="s">
        <v>37</v>
      </c>
    </row>
    <row r="14" spans="1:16" hidden="1" x14ac:dyDescent="0.15">
      <c r="A14" s="286">
        <v>437831</v>
      </c>
      <c r="B14" s="288">
        <v>45282.6</v>
      </c>
      <c r="C14" s="286" t="s">
        <v>1632</v>
      </c>
      <c r="D14" s="286" t="s">
        <v>1105</v>
      </c>
      <c r="E14" s="286" t="s">
        <v>1106</v>
      </c>
      <c r="F14" s="286" t="s">
        <v>1656</v>
      </c>
      <c r="G14" s="286" t="s">
        <v>1036</v>
      </c>
      <c r="H14" s="286" t="s">
        <v>1036</v>
      </c>
      <c r="I14" s="286" t="s">
        <v>1108</v>
      </c>
      <c r="J14" s="286" t="s">
        <v>1312</v>
      </c>
      <c r="K14" s="286" t="s">
        <v>1644</v>
      </c>
      <c r="L14" s="286" t="s">
        <v>578</v>
      </c>
      <c r="M14" s="286">
        <v>1</v>
      </c>
      <c r="N14" s="287">
        <v>128676</v>
      </c>
      <c r="O14" s="305">
        <f t="shared" si="2"/>
        <v>45291</v>
      </c>
      <c r="P14" s="286" t="s">
        <v>37</v>
      </c>
    </row>
    <row r="15" spans="1:16" hidden="1" x14ac:dyDescent="0.15">
      <c r="A15" s="286">
        <v>278260</v>
      </c>
      <c r="B15" s="288">
        <v>45118.491666666669</v>
      </c>
      <c r="C15" s="286" t="s">
        <v>1649</v>
      </c>
      <c r="D15" s="286" t="s">
        <v>1309</v>
      </c>
      <c r="E15" s="286" t="s">
        <v>1310</v>
      </c>
      <c r="F15" s="286" t="s">
        <v>1650</v>
      </c>
      <c r="G15" s="286" t="s">
        <v>1026</v>
      </c>
      <c r="H15" s="286" t="s">
        <v>1026</v>
      </c>
      <c r="I15" s="286" t="s">
        <v>1108</v>
      </c>
      <c r="J15" s="286" t="s">
        <v>1312</v>
      </c>
      <c r="K15" s="286" t="s">
        <v>1644</v>
      </c>
      <c r="L15" s="286" t="s">
        <v>578</v>
      </c>
      <c r="M15" s="286">
        <v>1</v>
      </c>
      <c r="N15" s="287">
        <v>125016.19</v>
      </c>
      <c r="O15" s="305">
        <f t="shared" si="2"/>
        <v>45138</v>
      </c>
      <c r="P15" s="286" t="s">
        <v>37</v>
      </c>
    </row>
    <row r="16" spans="1:16" hidden="1" x14ac:dyDescent="0.15">
      <c r="A16" s="286">
        <v>214151</v>
      </c>
      <c r="B16" s="288">
        <v>45042.540277777778</v>
      </c>
      <c r="C16" s="286" t="s">
        <v>1657</v>
      </c>
      <c r="D16" s="286" t="s">
        <v>1309</v>
      </c>
      <c r="E16" s="286" t="s">
        <v>1310</v>
      </c>
      <c r="F16" s="286" t="s">
        <v>1658</v>
      </c>
      <c r="G16" s="286" t="s">
        <v>1011</v>
      </c>
      <c r="H16" s="286" t="s">
        <v>1011</v>
      </c>
      <c r="I16" s="286" t="s">
        <v>1108</v>
      </c>
      <c r="J16" s="286" t="s">
        <v>1312</v>
      </c>
      <c r="K16" s="286" t="s">
        <v>1659</v>
      </c>
      <c r="L16" s="286" t="s">
        <v>559</v>
      </c>
      <c r="M16" s="286">
        <v>1</v>
      </c>
      <c r="N16" s="287">
        <v>116081</v>
      </c>
      <c r="O16" s="305">
        <f t="shared" si="2"/>
        <v>45046</v>
      </c>
      <c r="P16" s="286" t="s">
        <v>37</v>
      </c>
    </row>
    <row r="17" spans="1:16" hidden="1" x14ac:dyDescent="0.15">
      <c r="A17" s="286">
        <v>394327</v>
      </c>
      <c r="B17" s="288">
        <v>45233.704861111109</v>
      </c>
      <c r="C17" s="286" t="s">
        <v>1642</v>
      </c>
      <c r="D17" s="286" t="s">
        <v>1105</v>
      </c>
      <c r="E17" s="286" t="s">
        <v>1106</v>
      </c>
      <c r="F17" s="286" t="s">
        <v>1643</v>
      </c>
      <c r="G17" s="286" t="s">
        <v>1021</v>
      </c>
      <c r="H17" s="286" t="s">
        <v>1021</v>
      </c>
      <c r="I17" s="286" t="s">
        <v>1108</v>
      </c>
      <c r="J17" s="286" t="s">
        <v>1312</v>
      </c>
      <c r="K17" s="286" t="s">
        <v>1635</v>
      </c>
      <c r="L17" s="286" t="s">
        <v>580</v>
      </c>
      <c r="M17" s="286">
        <v>1</v>
      </c>
      <c r="N17" s="287">
        <v>113454</v>
      </c>
      <c r="O17" s="305">
        <f t="shared" si="2"/>
        <v>45260</v>
      </c>
      <c r="P17" s="286" t="s">
        <v>37</v>
      </c>
    </row>
    <row r="18" spans="1:16" x14ac:dyDescent="0.15">
      <c r="A18" s="286">
        <v>145118</v>
      </c>
      <c r="B18" s="288">
        <v>44953.417361111111</v>
      </c>
      <c r="C18" s="286" t="s">
        <v>1640</v>
      </c>
      <c r="D18" s="286" t="s">
        <v>1309</v>
      </c>
      <c r="E18" s="286" t="s">
        <v>1310</v>
      </c>
      <c r="F18" s="286" t="s">
        <v>1660</v>
      </c>
      <c r="G18" s="286" t="s">
        <v>1608</v>
      </c>
      <c r="H18" s="286" t="s">
        <v>1608</v>
      </c>
      <c r="I18" s="286" t="s">
        <v>1108</v>
      </c>
      <c r="J18" s="286" t="s">
        <v>1312</v>
      </c>
      <c r="K18" s="286" t="s">
        <v>1661</v>
      </c>
      <c r="L18" s="286" t="s">
        <v>455</v>
      </c>
      <c r="M18" s="286">
        <v>1</v>
      </c>
      <c r="N18" s="287">
        <v>107250.67</v>
      </c>
      <c r="O18" s="305">
        <f t="shared" si="2"/>
        <v>44957</v>
      </c>
      <c r="P18" s="286" t="s">
        <v>37</v>
      </c>
    </row>
    <row r="19" spans="1:16" hidden="1" x14ac:dyDescent="0.15">
      <c r="A19" s="286">
        <v>437831</v>
      </c>
      <c r="B19" s="288">
        <v>45282.6</v>
      </c>
      <c r="C19" s="286" t="s">
        <v>1632</v>
      </c>
      <c r="D19" s="286" t="s">
        <v>1105</v>
      </c>
      <c r="E19" s="286" t="s">
        <v>1106</v>
      </c>
      <c r="F19" s="286" t="s">
        <v>1656</v>
      </c>
      <c r="G19" s="286" t="s">
        <v>1036</v>
      </c>
      <c r="H19" s="286" t="s">
        <v>1036</v>
      </c>
      <c r="I19" s="286" t="s">
        <v>1108</v>
      </c>
      <c r="J19" s="286" t="s">
        <v>1312</v>
      </c>
      <c r="K19" s="286" t="s">
        <v>1635</v>
      </c>
      <c r="L19" s="286" t="s">
        <v>580</v>
      </c>
      <c r="M19" s="286">
        <v>1</v>
      </c>
      <c r="N19" s="287">
        <v>88939</v>
      </c>
      <c r="O19" s="305">
        <f t="shared" si="2"/>
        <v>45291</v>
      </c>
      <c r="P19" s="286" t="s">
        <v>37</v>
      </c>
    </row>
    <row r="20" spans="1:16" hidden="1" x14ac:dyDescent="0.15">
      <c r="A20" s="286">
        <v>278260</v>
      </c>
      <c r="B20" s="288">
        <v>45118.491666666669</v>
      </c>
      <c r="C20" s="286" t="s">
        <v>1649</v>
      </c>
      <c r="D20" s="286" t="s">
        <v>1309</v>
      </c>
      <c r="E20" s="286" t="s">
        <v>1310</v>
      </c>
      <c r="F20" s="286" t="s">
        <v>1650</v>
      </c>
      <c r="G20" s="286" t="s">
        <v>1026</v>
      </c>
      <c r="H20" s="286" t="s">
        <v>1026</v>
      </c>
      <c r="I20" s="286" t="s">
        <v>1108</v>
      </c>
      <c r="J20" s="286" t="s">
        <v>1312</v>
      </c>
      <c r="K20" s="286" t="s">
        <v>1635</v>
      </c>
      <c r="L20" s="286" t="s">
        <v>580</v>
      </c>
      <c r="M20" s="286">
        <v>1</v>
      </c>
      <c r="N20" s="287">
        <v>83121</v>
      </c>
      <c r="O20" s="305">
        <f t="shared" si="2"/>
        <v>45138</v>
      </c>
      <c r="P20" s="286" t="s">
        <v>37</v>
      </c>
    </row>
    <row r="21" spans="1:16" hidden="1" x14ac:dyDescent="0.15">
      <c r="A21" s="286">
        <v>161836</v>
      </c>
      <c r="B21" s="288">
        <v>44974.48333333333</v>
      </c>
      <c r="C21" s="286" t="s">
        <v>1638</v>
      </c>
      <c r="D21" s="286" t="s">
        <v>1105</v>
      </c>
      <c r="E21" s="286" t="s">
        <v>1106</v>
      </c>
      <c r="F21" s="286" t="s">
        <v>1639</v>
      </c>
      <c r="G21" s="286" t="s">
        <v>53</v>
      </c>
      <c r="H21" s="286" t="s">
        <v>53</v>
      </c>
      <c r="I21" s="286" t="s">
        <v>1228</v>
      </c>
      <c r="J21" s="286" t="s">
        <v>1312</v>
      </c>
      <c r="K21" s="286" t="s">
        <v>53</v>
      </c>
      <c r="L21" s="286" t="s">
        <v>53</v>
      </c>
      <c r="M21" s="286" t="s">
        <v>53</v>
      </c>
      <c r="N21" s="287">
        <v>71731.19</v>
      </c>
      <c r="O21" s="287"/>
      <c r="P21" s="286" t="s">
        <v>58</v>
      </c>
    </row>
    <row r="22" spans="1:16" hidden="1" x14ac:dyDescent="0.15">
      <c r="A22" s="286">
        <v>142605</v>
      </c>
      <c r="B22" s="288">
        <v>44950.463888888888</v>
      </c>
      <c r="C22" s="286" t="s">
        <v>1640</v>
      </c>
      <c r="D22" s="286" t="s">
        <v>1105</v>
      </c>
      <c r="E22" s="286" t="s">
        <v>1106</v>
      </c>
      <c r="F22" s="286" t="s">
        <v>1641</v>
      </c>
      <c r="G22" s="286" t="s">
        <v>53</v>
      </c>
      <c r="H22" s="286" t="s">
        <v>53</v>
      </c>
      <c r="I22" s="286" t="s">
        <v>1228</v>
      </c>
      <c r="J22" s="286" t="s">
        <v>1312</v>
      </c>
      <c r="K22" s="286" t="s">
        <v>53</v>
      </c>
      <c r="L22" s="286" t="s">
        <v>53</v>
      </c>
      <c r="M22" s="286" t="s">
        <v>53</v>
      </c>
      <c r="N22" s="287">
        <v>71419.09</v>
      </c>
      <c r="O22" s="287"/>
      <c r="P22" s="286" t="s">
        <v>58</v>
      </c>
    </row>
    <row r="23" spans="1:16" hidden="1" x14ac:dyDescent="0.15">
      <c r="A23" s="286">
        <v>442744</v>
      </c>
      <c r="B23" s="288">
        <v>45300.341666666667</v>
      </c>
      <c r="C23" s="286" t="s">
        <v>1632</v>
      </c>
      <c r="D23" s="286" t="s">
        <v>1105</v>
      </c>
      <c r="E23" s="286" t="s">
        <v>1106</v>
      </c>
      <c r="F23" s="286" t="s">
        <v>1633</v>
      </c>
      <c r="G23" s="286" t="s">
        <v>1031</v>
      </c>
      <c r="H23" s="286" t="s">
        <v>1031</v>
      </c>
      <c r="I23" s="286" t="s">
        <v>1108</v>
      </c>
      <c r="J23" s="286" t="s">
        <v>1312</v>
      </c>
      <c r="K23" s="286" t="s">
        <v>1662</v>
      </c>
      <c r="L23" s="286" t="s">
        <v>1663</v>
      </c>
      <c r="M23" s="286">
        <v>1</v>
      </c>
      <c r="N23" s="287">
        <v>70412</v>
      </c>
      <c r="O23" s="305">
        <f>EOMONTH(B23,0)</f>
        <v>45322</v>
      </c>
      <c r="P23" s="286" t="s">
        <v>37</v>
      </c>
    </row>
    <row r="24" spans="1:16" hidden="1" x14ac:dyDescent="0.15">
      <c r="A24" s="286">
        <v>312102</v>
      </c>
      <c r="B24" s="288">
        <v>45147.438888888886</v>
      </c>
      <c r="C24" s="286" t="s">
        <v>1636</v>
      </c>
      <c r="D24" s="286" t="s">
        <v>1105</v>
      </c>
      <c r="E24" s="286" t="s">
        <v>1106</v>
      </c>
      <c r="F24" s="286" t="s">
        <v>1664</v>
      </c>
      <c r="G24" s="286" t="s">
        <v>1016</v>
      </c>
      <c r="H24" s="286" t="s">
        <v>1016</v>
      </c>
      <c r="I24" s="286" t="s">
        <v>1199</v>
      </c>
      <c r="J24" s="286" t="s">
        <v>1312</v>
      </c>
      <c r="K24" s="286" t="s">
        <v>53</v>
      </c>
      <c r="L24" s="286" t="s">
        <v>53</v>
      </c>
      <c r="M24" s="286" t="s">
        <v>53</v>
      </c>
      <c r="N24" s="287">
        <v>65154.78</v>
      </c>
      <c r="O24" s="287"/>
      <c r="P24" s="286" t="s">
        <v>58</v>
      </c>
    </row>
    <row r="25" spans="1:16" hidden="1" x14ac:dyDescent="0.15">
      <c r="A25" s="286">
        <v>237271</v>
      </c>
      <c r="B25" s="288">
        <v>45070.706250000003</v>
      </c>
      <c r="C25" s="286" t="s">
        <v>1665</v>
      </c>
      <c r="D25" s="286" t="s">
        <v>1105</v>
      </c>
      <c r="E25" s="286" t="s">
        <v>1106</v>
      </c>
      <c r="F25" s="286" t="s">
        <v>1666</v>
      </c>
      <c r="G25" s="286" t="s">
        <v>1056</v>
      </c>
      <c r="H25" s="286" t="s">
        <v>1056</v>
      </c>
      <c r="I25" s="286" t="s">
        <v>1112</v>
      </c>
      <c r="J25" s="286" t="s">
        <v>1312</v>
      </c>
      <c r="K25" s="286" t="s">
        <v>53</v>
      </c>
      <c r="L25" s="286" t="s">
        <v>53</v>
      </c>
      <c r="M25" s="286" t="s">
        <v>53</v>
      </c>
      <c r="N25" s="287">
        <v>63364</v>
      </c>
      <c r="O25" s="287"/>
      <c r="P25" s="286" t="s">
        <v>175</v>
      </c>
    </row>
    <row r="26" spans="1:16" hidden="1" x14ac:dyDescent="0.15">
      <c r="A26" s="286">
        <v>394327</v>
      </c>
      <c r="B26" s="288">
        <v>45233.704861111109</v>
      </c>
      <c r="C26" s="286" t="s">
        <v>1642</v>
      </c>
      <c r="D26" s="286" t="s">
        <v>1105</v>
      </c>
      <c r="E26" s="286" t="s">
        <v>1106</v>
      </c>
      <c r="F26" s="286" t="s">
        <v>1643</v>
      </c>
      <c r="G26" s="286" t="s">
        <v>1021</v>
      </c>
      <c r="H26" s="286" t="s">
        <v>1021</v>
      </c>
      <c r="I26" s="286" t="s">
        <v>1301</v>
      </c>
      <c r="J26" s="286" t="s">
        <v>1312</v>
      </c>
      <c r="K26" s="286" t="s">
        <v>56</v>
      </c>
      <c r="L26" s="286" t="s">
        <v>71</v>
      </c>
      <c r="M26" s="286">
        <v>1</v>
      </c>
      <c r="N26" s="287">
        <v>61652</v>
      </c>
      <c r="O26" s="287"/>
      <c r="P26" s="286" t="s">
        <v>55</v>
      </c>
    </row>
    <row r="27" spans="1:16" hidden="1" x14ac:dyDescent="0.15">
      <c r="A27" s="286">
        <v>189237</v>
      </c>
      <c r="B27" s="288">
        <v>45012.618750000001</v>
      </c>
      <c r="C27" s="286" t="s">
        <v>1667</v>
      </c>
      <c r="D27" s="286" t="s">
        <v>1309</v>
      </c>
      <c r="E27" s="286" t="s">
        <v>1310</v>
      </c>
      <c r="F27" s="286" t="s">
        <v>1668</v>
      </c>
      <c r="G27" s="286" t="s">
        <v>1009</v>
      </c>
      <c r="H27" s="286" t="s">
        <v>1009</v>
      </c>
      <c r="I27" s="286" t="s">
        <v>1235</v>
      </c>
      <c r="J27" s="286" t="s">
        <v>1312</v>
      </c>
      <c r="K27" s="286" t="s">
        <v>1669</v>
      </c>
      <c r="L27" s="286" t="s">
        <v>549</v>
      </c>
      <c r="M27" s="286">
        <v>1</v>
      </c>
      <c r="N27" s="287">
        <v>60124</v>
      </c>
      <c r="O27" s="287"/>
      <c r="P27" s="286" t="s">
        <v>180</v>
      </c>
    </row>
    <row r="28" spans="1:16" hidden="1" x14ac:dyDescent="0.15">
      <c r="A28" s="286">
        <v>145112</v>
      </c>
      <c r="B28" s="288">
        <v>44953.381249999999</v>
      </c>
      <c r="C28" s="286" t="s">
        <v>1640</v>
      </c>
      <c r="D28" s="286" t="s">
        <v>1309</v>
      </c>
      <c r="E28" s="286" t="s">
        <v>1310</v>
      </c>
      <c r="F28" s="286" t="s">
        <v>1670</v>
      </c>
      <c r="G28" s="286" t="s">
        <v>1044</v>
      </c>
      <c r="H28" s="286" t="s">
        <v>1044</v>
      </c>
      <c r="I28" s="286" t="s">
        <v>1108</v>
      </c>
      <c r="J28" s="286" t="s">
        <v>1312</v>
      </c>
      <c r="K28" s="286" t="s">
        <v>1671</v>
      </c>
      <c r="L28" s="286" t="s">
        <v>1454</v>
      </c>
      <c r="M28" s="286">
        <v>1</v>
      </c>
      <c r="N28" s="287">
        <v>57910.879999999997</v>
      </c>
      <c r="O28" s="305">
        <f>EOMONTH(B28,0)</f>
        <v>44957</v>
      </c>
      <c r="P28" s="286" t="s">
        <v>37</v>
      </c>
    </row>
    <row r="29" spans="1:16" hidden="1" x14ac:dyDescent="0.15">
      <c r="A29" s="286">
        <v>298618</v>
      </c>
      <c r="B29" s="288">
        <v>45135.518750000003</v>
      </c>
      <c r="C29" s="286" t="s">
        <v>1636</v>
      </c>
      <c r="D29" s="286" t="s">
        <v>1105</v>
      </c>
      <c r="E29" s="286" t="s">
        <v>1106</v>
      </c>
      <c r="F29" s="286" t="s">
        <v>1672</v>
      </c>
      <c r="G29" s="286" t="s">
        <v>1041</v>
      </c>
      <c r="H29" s="286" t="s">
        <v>1041</v>
      </c>
      <c r="I29" s="286" t="s">
        <v>1228</v>
      </c>
      <c r="J29" s="286" t="s">
        <v>1312</v>
      </c>
      <c r="K29" s="286" t="s">
        <v>1673</v>
      </c>
      <c r="L29" s="286" t="s">
        <v>53</v>
      </c>
      <c r="M29" s="286">
        <v>1</v>
      </c>
      <c r="N29" s="287">
        <v>57800.06</v>
      </c>
      <c r="O29" s="287"/>
      <c r="P29" s="286" t="s">
        <v>58</v>
      </c>
    </row>
    <row r="30" spans="1:16" hidden="1" x14ac:dyDescent="0.15">
      <c r="A30" s="286">
        <v>298618</v>
      </c>
      <c r="B30" s="288">
        <v>45135.518750000003</v>
      </c>
      <c r="C30" s="286" t="s">
        <v>1636</v>
      </c>
      <c r="D30" s="286" t="s">
        <v>1105</v>
      </c>
      <c r="E30" s="286" t="s">
        <v>1106</v>
      </c>
      <c r="F30" s="286" t="s">
        <v>1672</v>
      </c>
      <c r="G30" s="286" t="s">
        <v>1041</v>
      </c>
      <c r="H30" s="286" t="s">
        <v>1041</v>
      </c>
      <c r="I30" s="286" t="s">
        <v>1228</v>
      </c>
      <c r="J30" s="286" t="s">
        <v>1312</v>
      </c>
      <c r="K30" s="286" t="s">
        <v>1673</v>
      </c>
      <c r="L30" s="286" t="s">
        <v>53</v>
      </c>
      <c r="M30" s="286">
        <v>1</v>
      </c>
      <c r="N30" s="287">
        <v>57800.06</v>
      </c>
      <c r="O30" s="287"/>
      <c r="P30" s="286" t="s">
        <v>58</v>
      </c>
    </row>
    <row r="31" spans="1:16" hidden="1" x14ac:dyDescent="0.15">
      <c r="A31" s="286">
        <v>298618</v>
      </c>
      <c r="B31" s="288">
        <v>45135.518750000003</v>
      </c>
      <c r="C31" s="286" t="s">
        <v>1636</v>
      </c>
      <c r="D31" s="286" t="s">
        <v>1105</v>
      </c>
      <c r="E31" s="286" t="s">
        <v>1106</v>
      </c>
      <c r="F31" s="286" t="s">
        <v>1672</v>
      </c>
      <c r="G31" s="286" t="s">
        <v>1041</v>
      </c>
      <c r="H31" s="286" t="s">
        <v>1041</v>
      </c>
      <c r="I31" s="286" t="s">
        <v>1228</v>
      </c>
      <c r="J31" s="286" t="s">
        <v>1312</v>
      </c>
      <c r="K31" s="286" t="s">
        <v>1673</v>
      </c>
      <c r="L31" s="286" t="s">
        <v>53</v>
      </c>
      <c r="M31" s="286">
        <v>1</v>
      </c>
      <c r="N31" s="287">
        <v>57800.06</v>
      </c>
      <c r="O31" s="287"/>
      <c r="P31" s="286" t="s">
        <v>58</v>
      </c>
    </row>
    <row r="32" spans="1:16" hidden="1" x14ac:dyDescent="0.15">
      <c r="A32" s="286">
        <v>298618</v>
      </c>
      <c r="B32" s="288">
        <v>45135.518750000003</v>
      </c>
      <c r="C32" s="286" t="s">
        <v>1636</v>
      </c>
      <c r="D32" s="286" t="s">
        <v>1105</v>
      </c>
      <c r="E32" s="286" t="s">
        <v>1106</v>
      </c>
      <c r="F32" s="286" t="s">
        <v>1672</v>
      </c>
      <c r="G32" s="286" t="s">
        <v>1041</v>
      </c>
      <c r="H32" s="286" t="s">
        <v>1041</v>
      </c>
      <c r="I32" s="286" t="s">
        <v>1228</v>
      </c>
      <c r="J32" s="286" t="s">
        <v>1312</v>
      </c>
      <c r="K32" s="286" t="s">
        <v>1673</v>
      </c>
      <c r="L32" s="286" t="s">
        <v>53</v>
      </c>
      <c r="M32" s="286">
        <v>1</v>
      </c>
      <c r="N32" s="287">
        <v>57800.06</v>
      </c>
      <c r="O32" s="287"/>
      <c r="P32" s="286" t="s">
        <v>58</v>
      </c>
    </row>
    <row r="33" spans="1:16" hidden="1" x14ac:dyDescent="0.15">
      <c r="A33" s="286">
        <v>298618</v>
      </c>
      <c r="B33" s="288">
        <v>45135.518750000003</v>
      </c>
      <c r="C33" s="286" t="s">
        <v>1636</v>
      </c>
      <c r="D33" s="286" t="s">
        <v>1105</v>
      </c>
      <c r="E33" s="286" t="s">
        <v>1106</v>
      </c>
      <c r="F33" s="286" t="s">
        <v>1672</v>
      </c>
      <c r="G33" s="286" t="s">
        <v>1041</v>
      </c>
      <c r="H33" s="286" t="s">
        <v>1041</v>
      </c>
      <c r="I33" s="286" t="s">
        <v>1228</v>
      </c>
      <c r="J33" s="286" t="s">
        <v>1312</v>
      </c>
      <c r="K33" s="286" t="s">
        <v>1673</v>
      </c>
      <c r="L33" s="286" t="s">
        <v>53</v>
      </c>
      <c r="M33" s="286">
        <v>1</v>
      </c>
      <c r="N33" s="287">
        <v>57800.06</v>
      </c>
      <c r="O33" s="287"/>
      <c r="P33" s="286" t="s">
        <v>58</v>
      </c>
    </row>
    <row r="34" spans="1:16" hidden="1" x14ac:dyDescent="0.15">
      <c r="A34" s="286">
        <v>394428</v>
      </c>
      <c r="B34" s="288">
        <v>45233.712500000001</v>
      </c>
      <c r="C34" s="286" t="s">
        <v>1642</v>
      </c>
      <c r="D34" s="286" t="s">
        <v>1105</v>
      </c>
      <c r="E34" s="286" t="s">
        <v>1106</v>
      </c>
      <c r="F34" s="286" t="s">
        <v>1674</v>
      </c>
      <c r="G34" s="286" t="s">
        <v>1075</v>
      </c>
      <c r="H34" s="286" t="s">
        <v>1075</v>
      </c>
      <c r="I34" s="286" t="s">
        <v>1230</v>
      </c>
      <c r="J34" s="286" t="s">
        <v>1312</v>
      </c>
      <c r="K34" s="286" t="s">
        <v>53</v>
      </c>
      <c r="L34" s="286" t="s">
        <v>53</v>
      </c>
      <c r="M34" s="286" t="s">
        <v>53</v>
      </c>
      <c r="N34" s="287">
        <v>56285</v>
      </c>
      <c r="O34" s="287"/>
      <c r="P34" s="286" t="s">
        <v>175</v>
      </c>
    </row>
    <row r="35" spans="1:16" hidden="1" x14ac:dyDescent="0.15">
      <c r="A35" s="286">
        <v>161839</v>
      </c>
      <c r="B35" s="288">
        <v>44974.491666666669</v>
      </c>
      <c r="C35" s="286" t="s">
        <v>1638</v>
      </c>
      <c r="D35" s="286" t="s">
        <v>1105</v>
      </c>
      <c r="E35" s="286" t="s">
        <v>1106</v>
      </c>
      <c r="F35" s="286" t="s">
        <v>1675</v>
      </c>
      <c r="G35" s="286" t="s">
        <v>1091</v>
      </c>
      <c r="H35" s="286" t="s">
        <v>1091</v>
      </c>
      <c r="I35" s="286" t="s">
        <v>1112</v>
      </c>
      <c r="J35" s="286" t="s">
        <v>1312</v>
      </c>
      <c r="K35" s="286" t="s">
        <v>53</v>
      </c>
      <c r="L35" s="286" t="s">
        <v>53</v>
      </c>
      <c r="M35" s="286" t="s">
        <v>53</v>
      </c>
      <c r="N35" s="287">
        <v>50646</v>
      </c>
      <c r="O35" s="287"/>
      <c r="P35" s="286" t="s">
        <v>175</v>
      </c>
    </row>
    <row r="36" spans="1:16" hidden="1" x14ac:dyDescent="0.15">
      <c r="A36" s="286">
        <v>369309</v>
      </c>
      <c r="B36" s="288">
        <v>45208.394444444442</v>
      </c>
      <c r="C36" s="286" t="s">
        <v>1676</v>
      </c>
      <c r="D36" s="286" t="s">
        <v>1105</v>
      </c>
      <c r="E36" s="286" t="s">
        <v>1106</v>
      </c>
      <c r="F36" s="286" t="s">
        <v>1677</v>
      </c>
      <c r="G36" s="286" t="s">
        <v>1073</v>
      </c>
      <c r="H36" s="286" t="s">
        <v>1073</v>
      </c>
      <c r="I36" s="286" t="s">
        <v>1112</v>
      </c>
      <c r="J36" s="286" t="s">
        <v>1312</v>
      </c>
      <c r="K36" s="286" t="s">
        <v>1678</v>
      </c>
      <c r="L36" s="286" t="s">
        <v>1679</v>
      </c>
      <c r="M36" s="286">
        <v>3</v>
      </c>
      <c r="N36" s="287">
        <v>47877.96</v>
      </c>
      <c r="O36" s="287"/>
      <c r="P36" s="286" t="s">
        <v>175</v>
      </c>
    </row>
    <row r="37" spans="1:16" hidden="1" x14ac:dyDescent="0.15">
      <c r="A37" s="286">
        <v>307803</v>
      </c>
      <c r="B37" s="288">
        <v>45142.386805555558</v>
      </c>
      <c r="C37" s="286" t="s">
        <v>1636</v>
      </c>
      <c r="D37" s="286" t="s">
        <v>1105</v>
      </c>
      <c r="E37" s="286" t="s">
        <v>1106</v>
      </c>
      <c r="F37" s="286" t="s">
        <v>1645</v>
      </c>
      <c r="G37" s="286" t="s">
        <v>1048</v>
      </c>
      <c r="H37" s="286" t="s">
        <v>1048</v>
      </c>
      <c r="I37" s="286" t="s">
        <v>1109</v>
      </c>
      <c r="J37" s="286" t="s">
        <v>1312</v>
      </c>
      <c r="K37" s="286" t="s">
        <v>1680</v>
      </c>
      <c r="L37" s="286" t="s">
        <v>53</v>
      </c>
      <c r="M37" s="286">
        <v>1</v>
      </c>
      <c r="N37" s="287">
        <v>45403.05</v>
      </c>
      <c r="O37" s="287"/>
      <c r="P37" s="286" t="s">
        <v>600</v>
      </c>
    </row>
    <row r="38" spans="1:16" hidden="1" x14ac:dyDescent="0.15">
      <c r="A38" s="286">
        <v>298618</v>
      </c>
      <c r="B38" s="288">
        <v>45135.518750000003</v>
      </c>
      <c r="C38" s="286" t="s">
        <v>1636</v>
      </c>
      <c r="D38" s="286" t="s">
        <v>1105</v>
      </c>
      <c r="E38" s="286" t="s">
        <v>1106</v>
      </c>
      <c r="F38" s="286" t="s">
        <v>1672</v>
      </c>
      <c r="G38" s="286" t="s">
        <v>1041</v>
      </c>
      <c r="H38" s="286" t="s">
        <v>1041</v>
      </c>
      <c r="I38" s="286" t="s">
        <v>1228</v>
      </c>
      <c r="J38" s="286" t="s">
        <v>1312</v>
      </c>
      <c r="K38" s="286" t="s">
        <v>1673</v>
      </c>
      <c r="L38" s="286" t="s">
        <v>53</v>
      </c>
      <c r="M38" s="286">
        <v>1</v>
      </c>
      <c r="N38" s="287">
        <v>44019.94</v>
      </c>
      <c r="O38" s="287"/>
      <c r="P38" s="286" t="s">
        <v>58</v>
      </c>
    </row>
    <row r="39" spans="1:16" hidden="1" x14ac:dyDescent="0.15">
      <c r="A39" s="286">
        <v>278260</v>
      </c>
      <c r="B39" s="288">
        <v>45118.491666666669</v>
      </c>
      <c r="C39" s="286" t="s">
        <v>1649</v>
      </c>
      <c r="D39" s="286" t="s">
        <v>1309</v>
      </c>
      <c r="E39" s="286" t="s">
        <v>1310</v>
      </c>
      <c r="F39" s="286" t="s">
        <v>1650</v>
      </c>
      <c r="G39" s="286" t="s">
        <v>1026</v>
      </c>
      <c r="H39" s="286" t="s">
        <v>1026</v>
      </c>
      <c r="I39" s="286" t="s">
        <v>1108</v>
      </c>
      <c r="J39" s="286" t="s">
        <v>1312</v>
      </c>
      <c r="K39" s="286" t="s">
        <v>1681</v>
      </c>
      <c r="L39" s="286" t="s">
        <v>584</v>
      </c>
      <c r="M39" s="286">
        <v>1</v>
      </c>
      <c r="N39" s="287">
        <v>43159</v>
      </c>
      <c r="O39" s="305">
        <f t="shared" ref="O39:O42" si="3">EOMONTH(B39,0)</f>
        <v>45138</v>
      </c>
      <c r="P39" s="286" t="s">
        <v>37</v>
      </c>
    </row>
    <row r="40" spans="1:16" hidden="1" x14ac:dyDescent="0.15">
      <c r="A40" s="286">
        <v>394327</v>
      </c>
      <c r="B40" s="288">
        <v>45233.704861111109</v>
      </c>
      <c r="C40" s="286" t="s">
        <v>1642</v>
      </c>
      <c r="D40" s="286" t="s">
        <v>1105</v>
      </c>
      <c r="E40" s="286" t="s">
        <v>1106</v>
      </c>
      <c r="F40" s="286" t="s">
        <v>1643</v>
      </c>
      <c r="G40" s="286" t="s">
        <v>1021</v>
      </c>
      <c r="H40" s="286" t="s">
        <v>1021</v>
      </c>
      <c r="I40" s="286" t="s">
        <v>1108</v>
      </c>
      <c r="J40" s="286" t="s">
        <v>1312</v>
      </c>
      <c r="K40" s="286" t="s">
        <v>1681</v>
      </c>
      <c r="L40" s="286" t="s">
        <v>584</v>
      </c>
      <c r="M40" s="286">
        <v>1</v>
      </c>
      <c r="N40" s="287">
        <v>43159</v>
      </c>
      <c r="O40" s="305">
        <f t="shared" si="3"/>
        <v>45260</v>
      </c>
      <c r="P40" s="286" t="s">
        <v>37</v>
      </c>
    </row>
    <row r="41" spans="1:16" hidden="1" x14ac:dyDescent="0.15">
      <c r="A41" s="286">
        <v>418370</v>
      </c>
      <c r="B41" s="288">
        <v>45261.45416666667</v>
      </c>
      <c r="C41" s="286" t="s">
        <v>1654</v>
      </c>
      <c r="D41" s="286" t="s">
        <v>1105</v>
      </c>
      <c r="E41" s="286" t="s">
        <v>1106</v>
      </c>
      <c r="F41" s="286" t="s">
        <v>1655</v>
      </c>
      <c r="G41" s="286" t="s">
        <v>1034</v>
      </c>
      <c r="H41" s="286" t="s">
        <v>1034</v>
      </c>
      <c r="I41" s="286" t="s">
        <v>1108</v>
      </c>
      <c r="J41" s="286" t="s">
        <v>1312</v>
      </c>
      <c r="K41" s="286" t="s">
        <v>1681</v>
      </c>
      <c r="L41" s="286" t="s">
        <v>584</v>
      </c>
      <c r="M41" s="286">
        <v>1</v>
      </c>
      <c r="N41" s="287">
        <v>43159</v>
      </c>
      <c r="O41" s="305">
        <f t="shared" si="3"/>
        <v>45291</v>
      </c>
      <c r="P41" s="286" t="s">
        <v>37</v>
      </c>
    </row>
    <row r="42" spans="1:16" hidden="1" x14ac:dyDescent="0.15">
      <c r="A42" s="286">
        <v>437831</v>
      </c>
      <c r="B42" s="288">
        <v>45282.6</v>
      </c>
      <c r="C42" s="286" t="s">
        <v>1632</v>
      </c>
      <c r="D42" s="286" t="s">
        <v>1105</v>
      </c>
      <c r="E42" s="286" t="s">
        <v>1106</v>
      </c>
      <c r="F42" s="286" t="s">
        <v>1656</v>
      </c>
      <c r="G42" s="286" t="s">
        <v>1036</v>
      </c>
      <c r="H42" s="286" t="s">
        <v>1036</v>
      </c>
      <c r="I42" s="286" t="s">
        <v>1108</v>
      </c>
      <c r="J42" s="286" t="s">
        <v>1312</v>
      </c>
      <c r="K42" s="286" t="s">
        <v>1681</v>
      </c>
      <c r="L42" s="286" t="s">
        <v>584</v>
      </c>
      <c r="M42" s="286">
        <v>1</v>
      </c>
      <c r="N42" s="287">
        <v>43159</v>
      </c>
      <c r="O42" s="305">
        <f t="shared" si="3"/>
        <v>45291</v>
      </c>
      <c r="P42" s="286" t="s">
        <v>37</v>
      </c>
    </row>
    <row r="43" spans="1:16" hidden="1" x14ac:dyDescent="0.15">
      <c r="A43" s="286">
        <v>214151</v>
      </c>
      <c r="B43" s="288">
        <v>45042.540277777778</v>
      </c>
      <c r="C43" s="286" t="s">
        <v>1657</v>
      </c>
      <c r="D43" s="286" t="s">
        <v>1309</v>
      </c>
      <c r="E43" s="286" t="s">
        <v>1310</v>
      </c>
      <c r="F43" s="286" t="s">
        <v>1658</v>
      </c>
      <c r="G43" s="286" t="s">
        <v>1011</v>
      </c>
      <c r="H43" s="286" t="s">
        <v>1011</v>
      </c>
      <c r="I43" s="286" t="s">
        <v>1128</v>
      </c>
      <c r="J43" s="286" t="s">
        <v>1312</v>
      </c>
      <c r="K43" s="286" t="s">
        <v>1682</v>
      </c>
      <c r="L43" s="286" t="s">
        <v>565</v>
      </c>
      <c r="M43" s="286">
        <v>1</v>
      </c>
      <c r="N43" s="287">
        <v>42784</v>
      </c>
      <c r="O43" s="287"/>
      <c r="P43" s="286" t="s">
        <v>47</v>
      </c>
    </row>
    <row r="44" spans="1:16" hidden="1" x14ac:dyDescent="0.15">
      <c r="A44" s="286">
        <v>422611</v>
      </c>
      <c r="B44" s="288">
        <v>45265.720833333333</v>
      </c>
      <c r="C44" s="286" t="s">
        <v>1654</v>
      </c>
      <c r="D44" s="286" t="s">
        <v>1105</v>
      </c>
      <c r="E44" s="286" t="s">
        <v>1106</v>
      </c>
      <c r="F44" s="286" t="s">
        <v>1683</v>
      </c>
      <c r="G44" s="286" t="s">
        <v>1007</v>
      </c>
      <c r="H44" s="286" t="s">
        <v>1007</v>
      </c>
      <c r="I44" s="286" t="s">
        <v>1230</v>
      </c>
      <c r="J44" s="286" t="s">
        <v>1312</v>
      </c>
      <c r="K44" s="286" t="s">
        <v>53</v>
      </c>
      <c r="L44" s="286" t="s">
        <v>53</v>
      </c>
      <c r="M44" s="286" t="s">
        <v>53</v>
      </c>
      <c r="N44" s="287">
        <v>41625</v>
      </c>
      <c r="O44" s="287"/>
      <c r="P44" s="286" t="s">
        <v>175</v>
      </c>
    </row>
    <row r="45" spans="1:16" x14ac:dyDescent="0.15">
      <c r="A45" s="286">
        <v>145118</v>
      </c>
      <c r="B45" s="288">
        <v>44953.417361111111</v>
      </c>
      <c r="C45" s="286" t="s">
        <v>1640</v>
      </c>
      <c r="D45" s="286" t="s">
        <v>1309</v>
      </c>
      <c r="E45" s="286" t="s">
        <v>1310</v>
      </c>
      <c r="F45" s="286" t="s">
        <v>1660</v>
      </c>
      <c r="G45" s="286" t="s">
        <v>1608</v>
      </c>
      <c r="H45" s="286" t="s">
        <v>1608</v>
      </c>
      <c r="I45" s="286" t="s">
        <v>1108</v>
      </c>
      <c r="J45" s="286" t="s">
        <v>1312</v>
      </c>
      <c r="K45" s="286" t="s">
        <v>1684</v>
      </c>
      <c r="L45" s="286" t="s">
        <v>584</v>
      </c>
      <c r="M45" s="286">
        <v>1</v>
      </c>
      <c r="N45" s="287">
        <v>40335</v>
      </c>
      <c r="O45" s="305">
        <f>EOMONTH(B45,0)</f>
        <v>44957</v>
      </c>
      <c r="P45" s="286" t="s">
        <v>37</v>
      </c>
    </row>
    <row r="46" spans="1:16" hidden="1" x14ac:dyDescent="0.15">
      <c r="A46" s="286">
        <v>185851</v>
      </c>
      <c r="B46" s="288">
        <v>45005.741666666669</v>
      </c>
      <c r="C46" s="286" t="s">
        <v>1667</v>
      </c>
      <c r="D46" s="286" t="s">
        <v>1105</v>
      </c>
      <c r="E46" s="286" t="s">
        <v>1106</v>
      </c>
      <c r="F46" s="286" t="s">
        <v>1685</v>
      </c>
      <c r="G46" s="286" t="s">
        <v>1073</v>
      </c>
      <c r="H46" s="286" t="s">
        <v>1073</v>
      </c>
      <c r="I46" s="286" t="s">
        <v>1112</v>
      </c>
      <c r="J46" s="286" t="s">
        <v>1312</v>
      </c>
      <c r="K46" s="286" t="s">
        <v>53</v>
      </c>
      <c r="L46" s="286" t="s">
        <v>53</v>
      </c>
      <c r="M46" s="286" t="s">
        <v>53</v>
      </c>
      <c r="N46" s="287">
        <v>40005.75</v>
      </c>
      <c r="O46" s="287"/>
      <c r="P46" s="286" t="s">
        <v>175</v>
      </c>
    </row>
    <row r="47" spans="1:16" hidden="1" x14ac:dyDescent="0.15">
      <c r="A47" s="286">
        <v>261837</v>
      </c>
      <c r="B47" s="288">
        <v>45099.665972222225</v>
      </c>
      <c r="C47" s="286" t="s">
        <v>1649</v>
      </c>
      <c r="D47" s="286" t="s">
        <v>1105</v>
      </c>
      <c r="E47" s="286" t="s">
        <v>1106</v>
      </c>
      <c r="F47" s="286" t="s">
        <v>1686</v>
      </c>
      <c r="G47" s="286" t="s">
        <v>1073</v>
      </c>
      <c r="H47" s="286" t="s">
        <v>1073</v>
      </c>
      <c r="I47" s="286" t="s">
        <v>1112</v>
      </c>
      <c r="J47" s="286" t="s">
        <v>1312</v>
      </c>
      <c r="K47" s="286" t="s">
        <v>53</v>
      </c>
      <c r="L47" s="286" t="s">
        <v>53</v>
      </c>
      <c r="M47" s="286" t="s">
        <v>53</v>
      </c>
      <c r="N47" s="287">
        <v>40005.75</v>
      </c>
      <c r="O47" s="287"/>
      <c r="P47" s="286" t="s">
        <v>175</v>
      </c>
    </row>
    <row r="48" spans="1:16" hidden="1" x14ac:dyDescent="0.15">
      <c r="A48" s="286">
        <v>354836</v>
      </c>
      <c r="B48" s="288">
        <v>45190.591666666667</v>
      </c>
      <c r="C48" s="286" t="s">
        <v>1676</v>
      </c>
      <c r="D48" s="286" t="s">
        <v>1105</v>
      </c>
      <c r="E48" s="286" t="s">
        <v>1106</v>
      </c>
      <c r="F48" s="286" t="s">
        <v>1687</v>
      </c>
      <c r="G48" s="286" t="s">
        <v>1073</v>
      </c>
      <c r="H48" s="286" t="s">
        <v>1073</v>
      </c>
      <c r="I48" s="286" t="s">
        <v>1112</v>
      </c>
      <c r="J48" s="286" t="s">
        <v>1312</v>
      </c>
      <c r="K48" s="286" t="s">
        <v>53</v>
      </c>
      <c r="L48" s="286" t="s">
        <v>53</v>
      </c>
      <c r="M48" s="286" t="s">
        <v>53</v>
      </c>
      <c r="N48" s="287">
        <v>40005.75</v>
      </c>
      <c r="O48" s="287"/>
      <c r="P48" s="286" t="s">
        <v>175</v>
      </c>
    </row>
    <row r="49" spans="1:16" hidden="1" x14ac:dyDescent="0.15">
      <c r="A49" s="286">
        <v>307803</v>
      </c>
      <c r="B49" s="288">
        <v>45142.386805555558</v>
      </c>
      <c r="C49" s="286" t="s">
        <v>1636</v>
      </c>
      <c r="D49" s="286" t="s">
        <v>1105</v>
      </c>
      <c r="E49" s="286" t="s">
        <v>1106</v>
      </c>
      <c r="F49" s="286" t="s">
        <v>1645</v>
      </c>
      <c r="G49" s="286" t="s">
        <v>1048</v>
      </c>
      <c r="H49" s="286" t="s">
        <v>1048</v>
      </c>
      <c r="I49" s="286" t="s">
        <v>1128</v>
      </c>
      <c r="J49" s="286" t="s">
        <v>1312</v>
      </c>
      <c r="K49" s="286" t="s">
        <v>1688</v>
      </c>
      <c r="L49" s="286" t="s">
        <v>628</v>
      </c>
      <c r="M49" s="286">
        <v>1</v>
      </c>
      <c r="N49" s="287">
        <v>39346</v>
      </c>
      <c r="O49" s="287"/>
      <c r="P49" s="286" t="s">
        <v>47</v>
      </c>
    </row>
    <row r="50" spans="1:16" hidden="1" x14ac:dyDescent="0.15">
      <c r="A50" s="286">
        <v>258759</v>
      </c>
      <c r="B50" s="288">
        <v>45097.430555555555</v>
      </c>
      <c r="C50" s="286" t="s">
        <v>1649</v>
      </c>
      <c r="D50" s="286" t="s">
        <v>1309</v>
      </c>
      <c r="E50" s="286" t="s">
        <v>1310</v>
      </c>
      <c r="F50" s="286" t="s">
        <v>1689</v>
      </c>
      <c r="G50" s="286" t="s">
        <v>1316</v>
      </c>
      <c r="H50" s="286" t="s">
        <v>1316</v>
      </c>
      <c r="I50" s="286" t="s">
        <v>1199</v>
      </c>
      <c r="J50" s="286" t="s">
        <v>1312</v>
      </c>
      <c r="K50" s="286" t="s">
        <v>1690</v>
      </c>
      <c r="L50" s="286" t="s">
        <v>672</v>
      </c>
      <c r="M50" s="286">
        <v>1</v>
      </c>
      <c r="N50" s="287">
        <v>38340</v>
      </c>
      <c r="O50" s="287"/>
      <c r="P50" s="286" t="s">
        <v>58</v>
      </c>
    </row>
    <row r="51" spans="1:16" hidden="1" x14ac:dyDescent="0.15">
      <c r="A51" s="286">
        <v>332509</v>
      </c>
      <c r="B51" s="288">
        <v>45167.436111111114</v>
      </c>
      <c r="C51" s="286" t="s">
        <v>1691</v>
      </c>
      <c r="D51" s="286" t="s">
        <v>1105</v>
      </c>
      <c r="E51" s="286" t="s">
        <v>1106</v>
      </c>
      <c r="F51" s="286" t="s">
        <v>1692</v>
      </c>
      <c r="G51" s="286" t="s">
        <v>1079</v>
      </c>
      <c r="H51" s="286" t="s">
        <v>1079</v>
      </c>
      <c r="I51" s="286" t="s">
        <v>1112</v>
      </c>
      <c r="J51" s="286" t="s">
        <v>1312</v>
      </c>
      <c r="K51" s="286" t="s">
        <v>53</v>
      </c>
      <c r="L51" s="286" t="s">
        <v>53</v>
      </c>
      <c r="M51" s="286" t="s">
        <v>53</v>
      </c>
      <c r="N51" s="287">
        <v>38329</v>
      </c>
      <c r="O51" s="287"/>
      <c r="P51" s="286" t="s">
        <v>175</v>
      </c>
    </row>
    <row r="52" spans="1:16" hidden="1" x14ac:dyDescent="0.15">
      <c r="A52" s="286">
        <v>145112</v>
      </c>
      <c r="B52" s="288">
        <v>44953.381249999999</v>
      </c>
      <c r="C52" s="286" t="s">
        <v>1640</v>
      </c>
      <c r="D52" s="286" t="s">
        <v>1309</v>
      </c>
      <c r="E52" s="286" t="s">
        <v>1310</v>
      </c>
      <c r="F52" s="286" t="s">
        <v>1670</v>
      </c>
      <c r="G52" s="286" t="s">
        <v>1044</v>
      </c>
      <c r="H52" s="286" t="s">
        <v>1044</v>
      </c>
      <c r="I52" s="286" t="s">
        <v>1108</v>
      </c>
      <c r="J52" s="286" t="s">
        <v>1312</v>
      </c>
      <c r="K52" s="286" t="s">
        <v>1684</v>
      </c>
      <c r="L52" s="286" t="s">
        <v>584</v>
      </c>
      <c r="M52" s="286">
        <v>1</v>
      </c>
      <c r="N52" s="287">
        <v>38053</v>
      </c>
      <c r="O52" s="305">
        <f t="shared" ref="O52:O53" si="4">EOMONTH(B52,0)</f>
        <v>44957</v>
      </c>
      <c r="P52" s="286" t="s">
        <v>37</v>
      </c>
    </row>
    <row r="53" spans="1:16" hidden="1" x14ac:dyDescent="0.15">
      <c r="A53" s="286">
        <v>214151</v>
      </c>
      <c r="B53" s="288">
        <v>45042.540277777778</v>
      </c>
      <c r="C53" s="286" t="s">
        <v>1657</v>
      </c>
      <c r="D53" s="286" t="s">
        <v>1309</v>
      </c>
      <c r="E53" s="286" t="s">
        <v>1310</v>
      </c>
      <c r="F53" s="286" t="s">
        <v>1658</v>
      </c>
      <c r="G53" s="286" t="s">
        <v>1011</v>
      </c>
      <c r="H53" s="286" t="s">
        <v>1011</v>
      </c>
      <c r="I53" s="286" t="s">
        <v>1108</v>
      </c>
      <c r="J53" s="286" t="s">
        <v>1312</v>
      </c>
      <c r="K53" s="286" t="s">
        <v>1693</v>
      </c>
      <c r="L53" s="286" t="s">
        <v>441</v>
      </c>
      <c r="M53" s="286">
        <v>1</v>
      </c>
      <c r="N53" s="287">
        <v>37882</v>
      </c>
      <c r="O53" s="305">
        <f t="shared" si="4"/>
        <v>45046</v>
      </c>
      <c r="P53" s="286" t="s">
        <v>37</v>
      </c>
    </row>
    <row r="54" spans="1:16" hidden="1" x14ac:dyDescent="0.15">
      <c r="A54" s="286">
        <v>418370</v>
      </c>
      <c r="B54" s="288">
        <v>45261.45416666667</v>
      </c>
      <c r="C54" s="286" t="s">
        <v>1654</v>
      </c>
      <c r="D54" s="286" t="s">
        <v>1105</v>
      </c>
      <c r="E54" s="286" t="s">
        <v>1106</v>
      </c>
      <c r="F54" s="286" t="s">
        <v>1655</v>
      </c>
      <c r="G54" s="286" t="s">
        <v>1034</v>
      </c>
      <c r="H54" s="286" t="s">
        <v>1034</v>
      </c>
      <c r="I54" s="286" t="s">
        <v>1128</v>
      </c>
      <c r="J54" s="286" t="s">
        <v>1312</v>
      </c>
      <c r="K54" s="286" t="s">
        <v>1694</v>
      </c>
      <c r="L54" s="286" t="s">
        <v>1501</v>
      </c>
      <c r="M54" s="286">
        <v>1</v>
      </c>
      <c r="N54" s="287">
        <v>36469</v>
      </c>
      <c r="O54" s="287"/>
      <c r="P54" s="286" t="s">
        <v>47</v>
      </c>
    </row>
    <row r="55" spans="1:16" hidden="1" x14ac:dyDescent="0.15">
      <c r="A55" s="286">
        <v>437831</v>
      </c>
      <c r="B55" s="288">
        <v>45282.6</v>
      </c>
      <c r="C55" s="286" t="s">
        <v>1632</v>
      </c>
      <c r="D55" s="286" t="s">
        <v>1105</v>
      </c>
      <c r="E55" s="286" t="s">
        <v>1106</v>
      </c>
      <c r="F55" s="286" t="s">
        <v>1656</v>
      </c>
      <c r="G55" s="286" t="s">
        <v>1036</v>
      </c>
      <c r="H55" s="286" t="s">
        <v>1036</v>
      </c>
      <c r="I55" s="286" t="s">
        <v>1128</v>
      </c>
      <c r="J55" s="286" t="s">
        <v>1312</v>
      </c>
      <c r="K55" s="286" t="s">
        <v>1695</v>
      </c>
      <c r="L55" s="286" t="s">
        <v>1696</v>
      </c>
      <c r="M55" s="286">
        <v>1</v>
      </c>
      <c r="N55" s="287">
        <v>36174</v>
      </c>
      <c r="O55" s="287"/>
      <c r="P55" s="286" t="s">
        <v>47</v>
      </c>
    </row>
    <row r="56" spans="1:16" hidden="1" x14ac:dyDescent="0.15">
      <c r="A56" s="286">
        <v>422611</v>
      </c>
      <c r="B56" s="288">
        <v>45265.720833333333</v>
      </c>
      <c r="C56" s="286" t="s">
        <v>1654</v>
      </c>
      <c r="D56" s="286" t="s">
        <v>1105</v>
      </c>
      <c r="E56" s="286" t="s">
        <v>1106</v>
      </c>
      <c r="F56" s="286" t="s">
        <v>1683</v>
      </c>
      <c r="G56" s="286" t="s">
        <v>1017</v>
      </c>
      <c r="H56" s="286" t="s">
        <v>1017</v>
      </c>
      <c r="I56" s="286" t="s">
        <v>1230</v>
      </c>
      <c r="J56" s="286" t="s">
        <v>1312</v>
      </c>
      <c r="K56" s="286" t="s">
        <v>53</v>
      </c>
      <c r="L56" s="286" t="s">
        <v>53</v>
      </c>
      <c r="M56" s="286" t="s">
        <v>53</v>
      </c>
      <c r="N56" s="287">
        <v>35984</v>
      </c>
      <c r="O56" s="287"/>
      <c r="P56" s="286" t="s">
        <v>175</v>
      </c>
    </row>
    <row r="57" spans="1:16" hidden="1" x14ac:dyDescent="0.15">
      <c r="A57" s="286">
        <v>438785</v>
      </c>
      <c r="B57" s="288">
        <v>45294.616666666669</v>
      </c>
      <c r="C57" s="286" t="s">
        <v>1632</v>
      </c>
      <c r="D57" s="286" t="s">
        <v>1105</v>
      </c>
      <c r="E57" s="286" t="s">
        <v>1106</v>
      </c>
      <c r="F57" s="286" t="s">
        <v>1697</v>
      </c>
      <c r="G57" s="286" t="s">
        <v>1072</v>
      </c>
      <c r="H57" s="286" t="s">
        <v>1072</v>
      </c>
      <c r="I57" s="286" t="s">
        <v>1152</v>
      </c>
      <c r="J57" s="286" t="s">
        <v>1312</v>
      </c>
      <c r="K57" s="286" t="s">
        <v>1698</v>
      </c>
      <c r="L57" s="286" t="s">
        <v>672</v>
      </c>
      <c r="M57" s="286">
        <v>1</v>
      </c>
      <c r="N57" s="287">
        <v>35907</v>
      </c>
      <c r="O57" s="287"/>
      <c r="P57" s="286" t="s">
        <v>58</v>
      </c>
    </row>
    <row r="58" spans="1:16" hidden="1" x14ac:dyDescent="0.15">
      <c r="A58" s="286">
        <v>438785</v>
      </c>
      <c r="B58" s="288">
        <v>45294.616666666669</v>
      </c>
      <c r="C58" s="286" t="s">
        <v>1632</v>
      </c>
      <c r="D58" s="286" t="s">
        <v>1105</v>
      </c>
      <c r="E58" s="286" t="s">
        <v>1106</v>
      </c>
      <c r="F58" s="286" t="s">
        <v>1697</v>
      </c>
      <c r="G58" s="286" t="s">
        <v>1072</v>
      </c>
      <c r="H58" s="286" t="s">
        <v>1072</v>
      </c>
      <c r="I58" s="286" t="s">
        <v>1152</v>
      </c>
      <c r="J58" s="286" t="s">
        <v>1312</v>
      </c>
      <c r="K58" s="286" t="s">
        <v>1699</v>
      </c>
      <c r="L58" s="286" t="s">
        <v>672</v>
      </c>
      <c r="M58" s="286">
        <v>1</v>
      </c>
      <c r="N58" s="287">
        <v>35907</v>
      </c>
      <c r="O58" s="287"/>
      <c r="P58" s="286" t="s">
        <v>58</v>
      </c>
    </row>
    <row r="59" spans="1:16" hidden="1" x14ac:dyDescent="0.15">
      <c r="A59" s="286">
        <v>332509</v>
      </c>
      <c r="B59" s="288">
        <v>45167.436111111114</v>
      </c>
      <c r="C59" s="286" t="s">
        <v>1691</v>
      </c>
      <c r="D59" s="286" t="s">
        <v>1105</v>
      </c>
      <c r="E59" s="286" t="s">
        <v>1106</v>
      </c>
      <c r="F59" s="286" t="s">
        <v>1692</v>
      </c>
      <c r="G59" s="286" t="s">
        <v>1028</v>
      </c>
      <c r="H59" s="286" t="s">
        <v>1028</v>
      </c>
      <c r="I59" s="286" t="s">
        <v>1112</v>
      </c>
      <c r="J59" s="286" t="s">
        <v>1312</v>
      </c>
      <c r="K59" s="286" t="s">
        <v>53</v>
      </c>
      <c r="L59" s="286" t="s">
        <v>53</v>
      </c>
      <c r="M59" s="286" t="s">
        <v>53</v>
      </c>
      <c r="N59" s="287">
        <v>35058</v>
      </c>
      <c r="O59" s="287"/>
      <c r="P59" s="286" t="s">
        <v>175</v>
      </c>
    </row>
    <row r="60" spans="1:16" hidden="1" x14ac:dyDescent="0.15">
      <c r="A60" s="286">
        <v>442744</v>
      </c>
      <c r="B60" s="288">
        <v>45300.341666666667</v>
      </c>
      <c r="C60" s="286" t="s">
        <v>1632</v>
      </c>
      <c r="D60" s="286" t="s">
        <v>1105</v>
      </c>
      <c r="E60" s="286" t="s">
        <v>1106</v>
      </c>
      <c r="F60" s="286" t="s">
        <v>1633</v>
      </c>
      <c r="G60" s="286" t="s">
        <v>1031</v>
      </c>
      <c r="H60" s="286" t="s">
        <v>1031</v>
      </c>
      <c r="I60" s="286" t="s">
        <v>1108</v>
      </c>
      <c r="J60" s="286" t="s">
        <v>1312</v>
      </c>
      <c r="K60" s="286" t="s">
        <v>1700</v>
      </c>
      <c r="L60" s="286" t="s">
        <v>707</v>
      </c>
      <c r="M60" s="286">
        <v>1</v>
      </c>
      <c r="N60" s="287">
        <v>34891</v>
      </c>
      <c r="O60" s="305">
        <f>EOMONTH(B60,0)</f>
        <v>45322</v>
      </c>
      <c r="P60" s="286" t="s">
        <v>37</v>
      </c>
    </row>
    <row r="61" spans="1:16" hidden="1" x14ac:dyDescent="0.15">
      <c r="A61" s="286">
        <v>278260</v>
      </c>
      <c r="B61" s="288">
        <v>45118.491666666669</v>
      </c>
      <c r="C61" s="286" t="s">
        <v>1649</v>
      </c>
      <c r="D61" s="286" t="s">
        <v>1309</v>
      </c>
      <c r="E61" s="286" t="s">
        <v>1310</v>
      </c>
      <c r="F61" s="286" t="s">
        <v>1650</v>
      </c>
      <c r="G61" s="286" t="s">
        <v>1026</v>
      </c>
      <c r="H61" s="286" t="s">
        <v>1026</v>
      </c>
      <c r="I61" s="286" t="s">
        <v>1128</v>
      </c>
      <c r="J61" s="286" t="s">
        <v>1312</v>
      </c>
      <c r="K61" s="286" t="s">
        <v>1701</v>
      </c>
      <c r="L61" s="286" t="s">
        <v>585</v>
      </c>
      <c r="M61" s="286">
        <v>1</v>
      </c>
      <c r="N61" s="287">
        <v>33893</v>
      </c>
      <c r="O61" s="287"/>
      <c r="P61" s="286" t="s">
        <v>47</v>
      </c>
    </row>
    <row r="62" spans="1:16" hidden="1" x14ac:dyDescent="0.15">
      <c r="A62" s="286">
        <v>185846</v>
      </c>
      <c r="B62" s="288">
        <v>45005.724305555559</v>
      </c>
      <c r="C62" s="286" t="s">
        <v>1667</v>
      </c>
      <c r="D62" s="286" t="s">
        <v>1105</v>
      </c>
      <c r="E62" s="286" t="s">
        <v>1106</v>
      </c>
      <c r="F62" s="286" t="s">
        <v>1702</v>
      </c>
      <c r="G62" s="286" t="s">
        <v>1009</v>
      </c>
      <c r="H62" s="286" t="s">
        <v>1009</v>
      </c>
      <c r="I62" s="286" t="s">
        <v>1152</v>
      </c>
      <c r="J62" s="286" t="s">
        <v>1312</v>
      </c>
      <c r="K62" s="286" t="s">
        <v>53</v>
      </c>
      <c r="L62" s="286" t="s">
        <v>53</v>
      </c>
      <c r="M62" s="286" t="s">
        <v>53</v>
      </c>
      <c r="N62" s="287">
        <v>33401</v>
      </c>
      <c r="O62" s="287"/>
      <c r="P62" s="286" t="s">
        <v>58</v>
      </c>
    </row>
    <row r="63" spans="1:16" hidden="1" x14ac:dyDescent="0.15">
      <c r="A63" s="286">
        <v>161836</v>
      </c>
      <c r="B63" s="288">
        <v>44974.48333333333</v>
      </c>
      <c r="C63" s="286" t="s">
        <v>1638</v>
      </c>
      <c r="D63" s="286" t="s">
        <v>1105</v>
      </c>
      <c r="E63" s="286" t="s">
        <v>1106</v>
      </c>
      <c r="F63" s="286" t="s">
        <v>1639</v>
      </c>
      <c r="G63" s="286" t="s">
        <v>53</v>
      </c>
      <c r="H63" s="286" t="s">
        <v>53</v>
      </c>
      <c r="I63" s="286" t="s">
        <v>1152</v>
      </c>
      <c r="J63" s="286" t="s">
        <v>1312</v>
      </c>
      <c r="K63" s="286" t="s">
        <v>53</v>
      </c>
      <c r="L63" s="286" t="s">
        <v>53</v>
      </c>
      <c r="M63" s="286" t="s">
        <v>53</v>
      </c>
      <c r="N63" s="287">
        <v>32427.38</v>
      </c>
      <c r="O63" s="287"/>
      <c r="P63" s="286" t="s">
        <v>58</v>
      </c>
    </row>
    <row r="64" spans="1:16" hidden="1" x14ac:dyDescent="0.15">
      <c r="A64" s="286">
        <v>237271</v>
      </c>
      <c r="B64" s="288">
        <v>45070.706250000003</v>
      </c>
      <c r="C64" s="286" t="s">
        <v>1665</v>
      </c>
      <c r="D64" s="286" t="s">
        <v>1105</v>
      </c>
      <c r="E64" s="286" t="s">
        <v>1106</v>
      </c>
      <c r="F64" s="286" t="s">
        <v>1666</v>
      </c>
      <c r="G64" s="286" t="s">
        <v>1016</v>
      </c>
      <c r="H64" s="286" t="s">
        <v>1016</v>
      </c>
      <c r="I64" s="286" t="s">
        <v>1112</v>
      </c>
      <c r="J64" s="286" t="s">
        <v>1312</v>
      </c>
      <c r="K64" s="286" t="s">
        <v>53</v>
      </c>
      <c r="L64" s="286" t="s">
        <v>53</v>
      </c>
      <c r="M64" s="286" t="s">
        <v>53</v>
      </c>
      <c r="N64" s="287">
        <v>32115.48</v>
      </c>
      <c r="O64" s="287"/>
      <c r="P64" s="286" t="s">
        <v>175</v>
      </c>
    </row>
    <row r="65" spans="1:16" hidden="1" x14ac:dyDescent="0.15">
      <c r="A65" s="286">
        <v>332509</v>
      </c>
      <c r="B65" s="288">
        <v>45167.436111111114</v>
      </c>
      <c r="C65" s="286" t="s">
        <v>1691</v>
      </c>
      <c r="D65" s="286" t="s">
        <v>1105</v>
      </c>
      <c r="E65" s="286" t="s">
        <v>1106</v>
      </c>
      <c r="F65" s="286" t="s">
        <v>1692</v>
      </c>
      <c r="G65" s="286" t="s">
        <v>1002</v>
      </c>
      <c r="H65" s="286" t="s">
        <v>1002</v>
      </c>
      <c r="I65" s="286" t="s">
        <v>1112</v>
      </c>
      <c r="J65" s="286" t="s">
        <v>1312</v>
      </c>
      <c r="K65" s="286" t="s">
        <v>53</v>
      </c>
      <c r="L65" s="286" t="s">
        <v>53</v>
      </c>
      <c r="M65" s="286" t="s">
        <v>53</v>
      </c>
      <c r="N65" s="287">
        <v>31946</v>
      </c>
      <c r="O65" s="287"/>
      <c r="P65" s="286" t="s">
        <v>175</v>
      </c>
    </row>
    <row r="66" spans="1:16" hidden="1" x14ac:dyDescent="0.15">
      <c r="A66" s="286">
        <v>332509</v>
      </c>
      <c r="B66" s="288">
        <v>45167.436111111114</v>
      </c>
      <c r="C66" s="286" t="s">
        <v>1691</v>
      </c>
      <c r="D66" s="286" t="s">
        <v>1105</v>
      </c>
      <c r="E66" s="286" t="s">
        <v>1106</v>
      </c>
      <c r="F66" s="286" t="s">
        <v>1692</v>
      </c>
      <c r="G66" s="286" t="s">
        <v>1029</v>
      </c>
      <c r="H66" s="286" t="s">
        <v>1029</v>
      </c>
      <c r="I66" s="286" t="s">
        <v>1112</v>
      </c>
      <c r="J66" s="286" t="s">
        <v>1312</v>
      </c>
      <c r="K66" s="286" t="s">
        <v>53</v>
      </c>
      <c r="L66" s="286" t="s">
        <v>53</v>
      </c>
      <c r="M66" s="286" t="s">
        <v>53</v>
      </c>
      <c r="N66" s="287">
        <v>31647</v>
      </c>
      <c r="O66" s="287"/>
      <c r="P66" s="286" t="s">
        <v>175</v>
      </c>
    </row>
    <row r="67" spans="1:16" hidden="1" x14ac:dyDescent="0.15">
      <c r="A67" s="286">
        <v>354836</v>
      </c>
      <c r="B67" s="288">
        <v>45190.591666666667</v>
      </c>
      <c r="C67" s="286" t="s">
        <v>1676</v>
      </c>
      <c r="D67" s="286" t="s">
        <v>1105</v>
      </c>
      <c r="E67" s="286" t="s">
        <v>1106</v>
      </c>
      <c r="F67" s="286" t="s">
        <v>1687</v>
      </c>
      <c r="G67" s="286" t="s">
        <v>1023</v>
      </c>
      <c r="H67" s="286" t="s">
        <v>1023</v>
      </c>
      <c r="I67" s="286" t="s">
        <v>1112</v>
      </c>
      <c r="J67" s="286" t="s">
        <v>1312</v>
      </c>
      <c r="K67" s="286" t="s">
        <v>53</v>
      </c>
      <c r="L67" s="286" t="s">
        <v>53</v>
      </c>
      <c r="M67" s="286" t="s">
        <v>53</v>
      </c>
      <c r="N67" s="287">
        <v>30995</v>
      </c>
      <c r="O67" s="287"/>
      <c r="P67" s="286" t="s">
        <v>175</v>
      </c>
    </row>
    <row r="68" spans="1:16" hidden="1" x14ac:dyDescent="0.15">
      <c r="A68" s="286">
        <v>142605</v>
      </c>
      <c r="B68" s="288">
        <v>44950.463888888888</v>
      </c>
      <c r="C68" s="286" t="s">
        <v>1640</v>
      </c>
      <c r="D68" s="286" t="s">
        <v>1105</v>
      </c>
      <c r="E68" s="286" t="s">
        <v>1106</v>
      </c>
      <c r="F68" s="286" t="s">
        <v>1641</v>
      </c>
      <c r="G68" s="286" t="s">
        <v>53</v>
      </c>
      <c r="H68" s="286" t="s">
        <v>53</v>
      </c>
      <c r="I68" s="286" t="s">
        <v>1152</v>
      </c>
      <c r="J68" s="286" t="s">
        <v>1312</v>
      </c>
      <c r="K68" s="286" t="s">
        <v>53</v>
      </c>
      <c r="L68" s="286" t="s">
        <v>53</v>
      </c>
      <c r="M68" s="286" t="s">
        <v>53</v>
      </c>
      <c r="N68" s="287">
        <v>30950.58</v>
      </c>
      <c r="O68" s="287"/>
      <c r="P68" s="286" t="s">
        <v>58</v>
      </c>
    </row>
    <row r="69" spans="1:16" hidden="1" x14ac:dyDescent="0.15">
      <c r="A69" s="286">
        <v>261837</v>
      </c>
      <c r="B69" s="288">
        <v>45099.665972222225</v>
      </c>
      <c r="C69" s="286" t="s">
        <v>1649</v>
      </c>
      <c r="D69" s="286" t="s">
        <v>1105</v>
      </c>
      <c r="E69" s="286" t="s">
        <v>1106</v>
      </c>
      <c r="F69" s="286" t="s">
        <v>1686</v>
      </c>
      <c r="G69" s="286" t="s">
        <v>1015</v>
      </c>
      <c r="H69" s="286" t="s">
        <v>1015</v>
      </c>
      <c r="I69" s="286" t="s">
        <v>1230</v>
      </c>
      <c r="J69" s="286" t="s">
        <v>1312</v>
      </c>
      <c r="K69" s="286" t="s">
        <v>53</v>
      </c>
      <c r="L69" s="286" t="s">
        <v>53</v>
      </c>
      <c r="M69" s="286" t="s">
        <v>53</v>
      </c>
      <c r="N69" s="287">
        <v>29577</v>
      </c>
      <c r="O69" s="287"/>
      <c r="P69" s="286" t="s">
        <v>175</v>
      </c>
    </row>
    <row r="70" spans="1:16" hidden="1" x14ac:dyDescent="0.15">
      <c r="A70" s="286">
        <v>237271</v>
      </c>
      <c r="B70" s="288">
        <v>45070.706250000003</v>
      </c>
      <c r="C70" s="286" t="s">
        <v>1665</v>
      </c>
      <c r="D70" s="286" t="s">
        <v>1105</v>
      </c>
      <c r="E70" s="286" t="s">
        <v>1106</v>
      </c>
      <c r="F70" s="286" t="s">
        <v>1666</v>
      </c>
      <c r="G70" s="286" t="s">
        <v>1027</v>
      </c>
      <c r="H70" s="286" t="s">
        <v>1027</v>
      </c>
      <c r="I70" s="286" t="s">
        <v>1230</v>
      </c>
      <c r="J70" s="286" t="s">
        <v>1312</v>
      </c>
      <c r="K70" s="286" t="s">
        <v>53</v>
      </c>
      <c r="L70" s="286" t="s">
        <v>53</v>
      </c>
      <c r="M70" s="286" t="s">
        <v>53</v>
      </c>
      <c r="N70" s="287">
        <v>28891</v>
      </c>
      <c r="O70" s="287"/>
      <c r="P70" s="286" t="s">
        <v>175</v>
      </c>
    </row>
    <row r="71" spans="1:16" hidden="1" x14ac:dyDescent="0.15">
      <c r="A71" s="286">
        <v>354635</v>
      </c>
      <c r="B71" s="288">
        <v>45190.588194444441</v>
      </c>
      <c r="C71" s="286" t="s">
        <v>1676</v>
      </c>
      <c r="D71" s="286" t="s">
        <v>1105</v>
      </c>
      <c r="E71" s="286" t="s">
        <v>1106</v>
      </c>
      <c r="F71" s="286" t="s">
        <v>1703</v>
      </c>
      <c r="G71" s="286" t="s">
        <v>1091</v>
      </c>
      <c r="H71" s="286" t="s">
        <v>1091</v>
      </c>
      <c r="I71" s="286" t="s">
        <v>1112</v>
      </c>
      <c r="J71" s="286" t="s">
        <v>1312</v>
      </c>
      <c r="K71" s="286" t="s">
        <v>53</v>
      </c>
      <c r="L71" s="286" t="s">
        <v>53</v>
      </c>
      <c r="M71" s="286" t="s">
        <v>53</v>
      </c>
      <c r="N71" s="287">
        <v>28636</v>
      </c>
      <c r="O71" s="287"/>
      <c r="P71" s="286" t="s">
        <v>175</v>
      </c>
    </row>
    <row r="72" spans="1:16" hidden="1" x14ac:dyDescent="0.15">
      <c r="A72" s="286">
        <v>158751</v>
      </c>
      <c r="B72" s="288">
        <v>44972.606944444444</v>
      </c>
      <c r="C72" s="286" t="s">
        <v>1638</v>
      </c>
      <c r="D72" s="286" t="s">
        <v>1309</v>
      </c>
      <c r="E72" s="286" t="s">
        <v>1310</v>
      </c>
      <c r="F72" s="286" t="s">
        <v>1704</v>
      </c>
      <c r="G72" s="286" t="s">
        <v>1044</v>
      </c>
      <c r="H72" s="286" t="s">
        <v>1044</v>
      </c>
      <c r="I72" s="286" t="s">
        <v>1128</v>
      </c>
      <c r="J72" s="286" t="s">
        <v>1312</v>
      </c>
      <c r="K72" s="286" t="s">
        <v>1705</v>
      </c>
      <c r="L72" s="286" t="s">
        <v>442</v>
      </c>
      <c r="M72" s="286">
        <v>1</v>
      </c>
      <c r="N72" s="287">
        <v>28148</v>
      </c>
      <c r="O72" s="287"/>
      <c r="P72" s="286" t="s">
        <v>47</v>
      </c>
    </row>
    <row r="73" spans="1:16" hidden="1" x14ac:dyDescent="0.15">
      <c r="A73" s="286">
        <v>357978</v>
      </c>
      <c r="B73" s="288">
        <v>45195.408333333333</v>
      </c>
      <c r="C73" s="286" t="s">
        <v>1676</v>
      </c>
      <c r="D73" s="286" t="s">
        <v>1105</v>
      </c>
      <c r="E73" s="286" t="s">
        <v>1106</v>
      </c>
      <c r="F73" s="286" t="s">
        <v>1706</v>
      </c>
      <c r="G73" s="286" t="s">
        <v>324</v>
      </c>
      <c r="H73" s="286" t="s">
        <v>1041</v>
      </c>
      <c r="I73" s="286" t="s">
        <v>1112</v>
      </c>
      <c r="J73" s="286" t="s">
        <v>1312</v>
      </c>
      <c r="K73" s="286" t="s">
        <v>1707</v>
      </c>
      <c r="L73" s="286" t="s">
        <v>1708</v>
      </c>
      <c r="M73" s="286">
        <v>3</v>
      </c>
      <c r="N73" s="287">
        <v>27881.279999999999</v>
      </c>
      <c r="O73" s="287"/>
      <c r="P73" s="286" t="s">
        <v>175</v>
      </c>
    </row>
    <row r="74" spans="1:16" hidden="1" x14ac:dyDescent="0.15">
      <c r="A74" s="286">
        <v>394327</v>
      </c>
      <c r="B74" s="288">
        <v>45233.704861111109</v>
      </c>
      <c r="C74" s="286" t="s">
        <v>1642</v>
      </c>
      <c r="D74" s="286" t="s">
        <v>1105</v>
      </c>
      <c r="E74" s="286" t="s">
        <v>1106</v>
      </c>
      <c r="F74" s="286" t="s">
        <v>1643</v>
      </c>
      <c r="G74" s="286" t="s">
        <v>1021</v>
      </c>
      <c r="H74" s="286" t="s">
        <v>1021</v>
      </c>
      <c r="I74" s="286" t="s">
        <v>1108</v>
      </c>
      <c r="J74" s="286" t="s">
        <v>1312</v>
      </c>
      <c r="K74" s="286" t="s">
        <v>1709</v>
      </c>
      <c r="L74" s="286" t="s">
        <v>582</v>
      </c>
      <c r="M74" s="286">
        <v>1</v>
      </c>
      <c r="N74" s="287">
        <v>27413</v>
      </c>
      <c r="O74" s="305">
        <f t="shared" ref="O74:O78" si="5">EOMONTH(B74,0)</f>
        <v>45260</v>
      </c>
      <c r="P74" s="286" t="s">
        <v>37</v>
      </c>
    </row>
    <row r="75" spans="1:16" hidden="1" x14ac:dyDescent="0.15">
      <c r="A75" s="286">
        <v>437831</v>
      </c>
      <c r="B75" s="288">
        <v>45282.6</v>
      </c>
      <c r="C75" s="286" t="s">
        <v>1632</v>
      </c>
      <c r="D75" s="286" t="s">
        <v>1105</v>
      </c>
      <c r="E75" s="286" t="s">
        <v>1106</v>
      </c>
      <c r="F75" s="286" t="s">
        <v>1656</v>
      </c>
      <c r="G75" s="286" t="s">
        <v>1036</v>
      </c>
      <c r="H75" s="286" t="s">
        <v>1036</v>
      </c>
      <c r="I75" s="286" t="s">
        <v>1108</v>
      </c>
      <c r="J75" s="286" t="s">
        <v>1312</v>
      </c>
      <c r="K75" s="286" t="s">
        <v>1709</v>
      </c>
      <c r="L75" s="286" t="s">
        <v>582</v>
      </c>
      <c r="M75" s="286">
        <v>1</v>
      </c>
      <c r="N75" s="287">
        <v>27413</v>
      </c>
      <c r="O75" s="305">
        <f t="shared" si="5"/>
        <v>45291</v>
      </c>
      <c r="P75" s="286" t="s">
        <v>37</v>
      </c>
    </row>
    <row r="76" spans="1:16" hidden="1" x14ac:dyDescent="0.15">
      <c r="A76" s="286">
        <v>278260</v>
      </c>
      <c r="B76" s="288">
        <v>45118.491666666669</v>
      </c>
      <c r="C76" s="286" t="s">
        <v>1649</v>
      </c>
      <c r="D76" s="286" t="s">
        <v>1309</v>
      </c>
      <c r="E76" s="286" t="s">
        <v>1310</v>
      </c>
      <c r="F76" s="286" t="s">
        <v>1650</v>
      </c>
      <c r="G76" s="286" t="s">
        <v>1026</v>
      </c>
      <c r="H76" s="286" t="s">
        <v>1026</v>
      </c>
      <c r="I76" s="286" t="s">
        <v>1108</v>
      </c>
      <c r="J76" s="286" t="s">
        <v>1312</v>
      </c>
      <c r="K76" s="286" t="s">
        <v>1709</v>
      </c>
      <c r="L76" s="286" t="s">
        <v>582</v>
      </c>
      <c r="M76" s="286">
        <v>1</v>
      </c>
      <c r="N76" s="287">
        <v>27412.97</v>
      </c>
      <c r="O76" s="305">
        <f t="shared" si="5"/>
        <v>45138</v>
      </c>
      <c r="P76" s="286" t="s">
        <v>37</v>
      </c>
    </row>
    <row r="77" spans="1:16" hidden="1" x14ac:dyDescent="0.15">
      <c r="A77" s="286">
        <v>307803</v>
      </c>
      <c r="B77" s="288">
        <v>45142.386805555558</v>
      </c>
      <c r="C77" s="286" t="s">
        <v>1636</v>
      </c>
      <c r="D77" s="286" t="s">
        <v>1105</v>
      </c>
      <c r="E77" s="286" t="s">
        <v>1106</v>
      </c>
      <c r="F77" s="286" t="s">
        <v>1645</v>
      </c>
      <c r="G77" s="286" t="s">
        <v>1048</v>
      </c>
      <c r="H77" s="286" t="s">
        <v>1048</v>
      </c>
      <c r="I77" s="286" t="s">
        <v>1108</v>
      </c>
      <c r="J77" s="286" t="s">
        <v>1312</v>
      </c>
      <c r="K77" s="286" t="s">
        <v>1709</v>
      </c>
      <c r="L77" s="286" t="s">
        <v>582</v>
      </c>
      <c r="M77" s="286">
        <v>1</v>
      </c>
      <c r="N77" s="287">
        <v>27412.959999999999</v>
      </c>
      <c r="O77" s="305">
        <f t="shared" si="5"/>
        <v>45169</v>
      </c>
      <c r="P77" s="286" t="s">
        <v>37</v>
      </c>
    </row>
    <row r="78" spans="1:16" hidden="1" x14ac:dyDescent="0.15">
      <c r="A78" s="286">
        <v>418370</v>
      </c>
      <c r="B78" s="288">
        <v>45261.45416666667</v>
      </c>
      <c r="C78" s="286" t="s">
        <v>1654</v>
      </c>
      <c r="D78" s="286" t="s">
        <v>1105</v>
      </c>
      <c r="E78" s="286" t="s">
        <v>1106</v>
      </c>
      <c r="F78" s="286" t="s">
        <v>1655</v>
      </c>
      <c r="G78" s="286" t="s">
        <v>1034</v>
      </c>
      <c r="H78" s="286" t="s">
        <v>1034</v>
      </c>
      <c r="I78" s="286" t="s">
        <v>1108</v>
      </c>
      <c r="J78" s="286" t="s">
        <v>1312</v>
      </c>
      <c r="K78" s="286" t="s">
        <v>1709</v>
      </c>
      <c r="L78" s="286" t="s">
        <v>582</v>
      </c>
      <c r="M78" s="286">
        <v>1</v>
      </c>
      <c r="N78" s="287">
        <v>27412.959999999999</v>
      </c>
      <c r="O78" s="305">
        <f t="shared" si="5"/>
        <v>45291</v>
      </c>
      <c r="P78" s="286" t="s">
        <v>37</v>
      </c>
    </row>
    <row r="79" spans="1:16" hidden="1" x14ac:dyDescent="0.15">
      <c r="A79" s="286">
        <v>355488</v>
      </c>
      <c r="B79" s="288">
        <v>45191.440972222219</v>
      </c>
      <c r="C79" s="286" t="s">
        <v>1676</v>
      </c>
      <c r="D79" s="286" t="s">
        <v>1105</v>
      </c>
      <c r="E79" s="286" t="s">
        <v>1106</v>
      </c>
      <c r="F79" s="286" t="s">
        <v>1710</v>
      </c>
      <c r="G79" s="286" t="s">
        <v>1056</v>
      </c>
      <c r="H79" s="286" t="s">
        <v>1056</v>
      </c>
      <c r="I79" s="286" t="s">
        <v>1112</v>
      </c>
      <c r="J79" s="286" t="s">
        <v>1312</v>
      </c>
      <c r="K79" s="286" t="s">
        <v>1711</v>
      </c>
      <c r="L79" s="286" t="s">
        <v>53</v>
      </c>
      <c r="M79" s="286">
        <v>1</v>
      </c>
      <c r="N79" s="287">
        <v>27412</v>
      </c>
      <c r="O79" s="287"/>
      <c r="P79" s="286" t="s">
        <v>175</v>
      </c>
    </row>
    <row r="80" spans="1:16" hidden="1" x14ac:dyDescent="0.15">
      <c r="A80" s="286">
        <v>354836</v>
      </c>
      <c r="B80" s="288">
        <v>45190.591666666667</v>
      </c>
      <c r="C80" s="286" t="s">
        <v>1676</v>
      </c>
      <c r="D80" s="286" t="s">
        <v>1105</v>
      </c>
      <c r="E80" s="286" t="s">
        <v>1106</v>
      </c>
      <c r="F80" s="286" t="s">
        <v>1687</v>
      </c>
      <c r="G80" s="286" t="s">
        <v>1014</v>
      </c>
      <c r="H80" s="286" t="s">
        <v>1014</v>
      </c>
      <c r="I80" s="286" t="s">
        <v>1112</v>
      </c>
      <c r="J80" s="286" t="s">
        <v>1312</v>
      </c>
      <c r="K80" s="286" t="s">
        <v>53</v>
      </c>
      <c r="L80" s="286" t="s">
        <v>53</v>
      </c>
      <c r="M80" s="286" t="s">
        <v>53</v>
      </c>
      <c r="N80" s="287">
        <v>27384</v>
      </c>
      <c r="O80" s="287"/>
      <c r="P80" s="286" t="s">
        <v>175</v>
      </c>
    </row>
    <row r="81" spans="1:16" hidden="1" x14ac:dyDescent="0.15">
      <c r="A81" s="286">
        <v>278788</v>
      </c>
      <c r="B81" s="288">
        <v>45118.57708333333</v>
      </c>
      <c r="C81" s="286" t="s">
        <v>1649</v>
      </c>
      <c r="D81" s="286" t="s">
        <v>1105</v>
      </c>
      <c r="E81" s="286" t="s">
        <v>1106</v>
      </c>
      <c r="F81" s="286" t="s">
        <v>1712</v>
      </c>
      <c r="G81" s="286" t="s">
        <v>1041</v>
      </c>
      <c r="H81" s="286" t="s">
        <v>1041</v>
      </c>
      <c r="I81" s="286" t="s">
        <v>1199</v>
      </c>
      <c r="J81" s="286" t="s">
        <v>53</v>
      </c>
      <c r="K81" s="286" t="s">
        <v>53</v>
      </c>
      <c r="L81" s="286" t="s">
        <v>53</v>
      </c>
      <c r="M81" s="286" t="s">
        <v>53</v>
      </c>
      <c r="N81" s="287">
        <v>26954.93</v>
      </c>
      <c r="O81" s="287"/>
      <c r="P81" s="286" t="s">
        <v>58</v>
      </c>
    </row>
    <row r="82" spans="1:16" hidden="1" x14ac:dyDescent="0.15">
      <c r="A82" s="286">
        <v>284271</v>
      </c>
      <c r="B82" s="288">
        <v>45121.682638888888</v>
      </c>
      <c r="C82" s="286" t="s">
        <v>1636</v>
      </c>
      <c r="D82" s="286" t="s">
        <v>1105</v>
      </c>
      <c r="E82" s="286" t="s">
        <v>1106</v>
      </c>
      <c r="F82" s="286" t="s">
        <v>1713</v>
      </c>
      <c r="G82" s="286" t="s">
        <v>1041</v>
      </c>
      <c r="H82" s="286" t="s">
        <v>1041</v>
      </c>
      <c r="I82" s="286" t="s">
        <v>1199</v>
      </c>
      <c r="J82" s="286" t="s">
        <v>53</v>
      </c>
      <c r="K82" s="286" t="s">
        <v>53</v>
      </c>
      <c r="L82" s="286" t="s">
        <v>53</v>
      </c>
      <c r="M82" s="286" t="s">
        <v>53</v>
      </c>
      <c r="N82" s="287">
        <v>26954.93</v>
      </c>
      <c r="O82" s="287"/>
      <c r="P82" s="286" t="s">
        <v>58</v>
      </c>
    </row>
    <row r="83" spans="1:16" hidden="1" x14ac:dyDescent="0.15">
      <c r="A83" s="286">
        <v>328287</v>
      </c>
      <c r="B83" s="288">
        <v>45161.62777777778</v>
      </c>
      <c r="C83" s="286" t="s">
        <v>1691</v>
      </c>
      <c r="D83" s="286" t="s">
        <v>1105</v>
      </c>
      <c r="E83" s="286" t="s">
        <v>1106</v>
      </c>
      <c r="F83" s="286" t="s">
        <v>1714</v>
      </c>
      <c r="G83" s="286" t="s">
        <v>1041</v>
      </c>
      <c r="H83" s="286" t="s">
        <v>1041</v>
      </c>
      <c r="I83" s="286" t="s">
        <v>1199</v>
      </c>
      <c r="J83" s="286" t="s">
        <v>53</v>
      </c>
      <c r="K83" s="286" t="s">
        <v>53</v>
      </c>
      <c r="L83" s="286" t="s">
        <v>53</v>
      </c>
      <c r="M83" s="286" t="s">
        <v>53</v>
      </c>
      <c r="N83" s="287">
        <v>26954.93</v>
      </c>
      <c r="O83" s="287"/>
      <c r="P83" s="286" t="s">
        <v>58</v>
      </c>
    </row>
    <row r="84" spans="1:16" hidden="1" x14ac:dyDescent="0.15">
      <c r="A84" s="286">
        <v>339870</v>
      </c>
      <c r="B84" s="288">
        <v>45177.481944444444</v>
      </c>
      <c r="C84" s="286" t="s">
        <v>1676</v>
      </c>
      <c r="D84" s="286" t="s">
        <v>1105</v>
      </c>
      <c r="E84" s="286" t="s">
        <v>1106</v>
      </c>
      <c r="F84" s="286" t="s">
        <v>1715</v>
      </c>
      <c r="G84" s="286" t="s">
        <v>1041</v>
      </c>
      <c r="H84" s="286" t="s">
        <v>1041</v>
      </c>
      <c r="I84" s="286" t="s">
        <v>1199</v>
      </c>
      <c r="J84" s="286" t="s">
        <v>53</v>
      </c>
      <c r="K84" s="286" t="s">
        <v>53</v>
      </c>
      <c r="L84" s="286" t="s">
        <v>53</v>
      </c>
      <c r="M84" s="286" t="s">
        <v>53</v>
      </c>
      <c r="N84" s="287">
        <v>26954.93</v>
      </c>
      <c r="O84" s="287"/>
      <c r="P84" s="286" t="s">
        <v>58</v>
      </c>
    </row>
    <row r="85" spans="1:16" hidden="1" x14ac:dyDescent="0.15">
      <c r="A85" s="286">
        <v>370270</v>
      </c>
      <c r="B85" s="288">
        <v>45208.668055555558</v>
      </c>
      <c r="C85" s="286" t="s">
        <v>1642</v>
      </c>
      <c r="D85" s="286" t="s">
        <v>1105</v>
      </c>
      <c r="E85" s="286" t="s">
        <v>1106</v>
      </c>
      <c r="F85" s="286" t="s">
        <v>1716</v>
      </c>
      <c r="G85" s="286" t="s">
        <v>1041</v>
      </c>
      <c r="H85" s="286" t="s">
        <v>1041</v>
      </c>
      <c r="I85" s="286" t="s">
        <v>1199</v>
      </c>
      <c r="J85" s="286" t="s">
        <v>53</v>
      </c>
      <c r="K85" s="286" t="s">
        <v>53</v>
      </c>
      <c r="L85" s="286" t="s">
        <v>53</v>
      </c>
      <c r="M85" s="286" t="s">
        <v>53</v>
      </c>
      <c r="N85" s="287">
        <v>26954.92</v>
      </c>
      <c r="O85" s="287"/>
      <c r="P85" s="286" t="s">
        <v>58</v>
      </c>
    </row>
    <row r="86" spans="1:16" hidden="1" x14ac:dyDescent="0.15">
      <c r="A86" s="286">
        <v>161839</v>
      </c>
      <c r="B86" s="288">
        <v>44974.491666666669</v>
      </c>
      <c r="C86" s="286" t="s">
        <v>1638</v>
      </c>
      <c r="D86" s="286" t="s">
        <v>1105</v>
      </c>
      <c r="E86" s="286" t="s">
        <v>1106</v>
      </c>
      <c r="F86" s="286" t="s">
        <v>1675</v>
      </c>
      <c r="G86" s="286" t="s">
        <v>1062</v>
      </c>
      <c r="H86" s="286" t="s">
        <v>1062</v>
      </c>
      <c r="I86" s="286" t="s">
        <v>1230</v>
      </c>
      <c r="J86" s="286" t="s">
        <v>1312</v>
      </c>
      <c r="K86" s="286" t="s">
        <v>53</v>
      </c>
      <c r="L86" s="286" t="s">
        <v>53</v>
      </c>
      <c r="M86" s="286" t="s">
        <v>53</v>
      </c>
      <c r="N86" s="287">
        <v>26748</v>
      </c>
      <c r="O86" s="287"/>
      <c r="P86" s="286" t="s">
        <v>175</v>
      </c>
    </row>
    <row r="87" spans="1:16" hidden="1" x14ac:dyDescent="0.15">
      <c r="A87" s="286">
        <v>407165</v>
      </c>
      <c r="B87" s="288">
        <v>45246.488888888889</v>
      </c>
      <c r="C87" s="286" t="s">
        <v>1642</v>
      </c>
      <c r="D87" s="286" t="s">
        <v>1105</v>
      </c>
      <c r="E87" s="286" t="s">
        <v>1106</v>
      </c>
      <c r="F87" s="286" t="s">
        <v>1717</v>
      </c>
      <c r="G87" s="286" t="s">
        <v>1052</v>
      </c>
      <c r="H87" s="286" t="s">
        <v>1052</v>
      </c>
      <c r="I87" s="286" t="s">
        <v>1230</v>
      </c>
      <c r="J87" s="286" t="s">
        <v>1312</v>
      </c>
      <c r="K87" s="286" t="s">
        <v>53</v>
      </c>
      <c r="L87" s="286" t="s">
        <v>53</v>
      </c>
      <c r="M87" s="286" t="s">
        <v>53</v>
      </c>
      <c r="N87" s="287">
        <v>25845</v>
      </c>
      <c r="O87" s="287"/>
      <c r="P87" s="286" t="s">
        <v>175</v>
      </c>
    </row>
    <row r="88" spans="1:16" hidden="1" x14ac:dyDescent="0.15">
      <c r="A88" s="286">
        <v>369309</v>
      </c>
      <c r="B88" s="288">
        <v>45208.394444444442</v>
      </c>
      <c r="C88" s="286" t="s">
        <v>1676</v>
      </c>
      <c r="D88" s="286" t="s">
        <v>1105</v>
      </c>
      <c r="E88" s="286" t="s">
        <v>1106</v>
      </c>
      <c r="F88" s="286" t="s">
        <v>1677</v>
      </c>
      <c r="G88" s="286" t="s">
        <v>1073</v>
      </c>
      <c r="H88" s="286" t="s">
        <v>1073</v>
      </c>
      <c r="I88" s="286" t="s">
        <v>1112</v>
      </c>
      <c r="J88" s="286" t="s">
        <v>1312</v>
      </c>
      <c r="K88" s="286" t="s">
        <v>1718</v>
      </c>
      <c r="L88" s="286" t="s">
        <v>1719</v>
      </c>
      <c r="M88" s="286">
        <v>1</v>
      </c>
      <c r="N88" s="287">
        <v>25780.46</v>
      </c>
      <c r="O88" s="287"/>
      <c r="P88" s="286" t="s">
        <v>175</v>
      </c>
    </row>
    <row r="89" spans="1:16" hidden="1" x14ac:dyDescent="0.15">
      <c r="A89" s="286">
        <v>145112</v>
      </c>
      <c r="B89" s="288">
        <v>44953.381249999999</v>
      </c>
      <c r="C89" s="286" t="s">
        <v>1640</v>
      </c>
      <c r="D89" s="286" t="s">
        <v>1309</v>
      </c>
      <c r="E89" s="286" t="s">
        <v>1310</v>
      </c>
      <c r="F89" s="286" t="s">
        <v>1670</v>
      </c>
      <c r="G89" s="286" t="s">
        <v>1044</v>
      </c>
      <c r="H89" s="286" t="s">
        <v>1044</v>
      </c>
      <c r="I89" s="286" t="s">
        <v>1108</v>
      </c>
      <c r="J89" s="286" t="s">
        <v>1312</v>
      </c>
      <c r="K89" s="286" t="s">
        <v>1590</v>
      </c>
      <c r="L89" s="286" t="s">
        <v>582</v>
      </c>
      <c r="M89" s="286">
        <v>1</v>
      </c>
      <c r="N89" s="287">
        <v>25619.59</v>
      </c>
      <c r="O89" s="305">
        <f>EOMONTH(B89,0)</f>
        <v>44957</v>
      </c>
      <c r="P89" s="286" t="s">
        <v>37</v>
      </c>
    </row>
    <row r="90" spans="1:16" hidden="1" x14ac:dyDescent="0.15">
      <c r="A90" s="286">
        <v>185851</v>
      </c>
      <c r="B90" s="288">
        <v>45005.741666666669</v>
      </c>
      <c r="C90" s="286" t="s">
        <v>1667</v>
      </c>
      <c r="D90" s="286" t="s">
        <v>1105</v>
      </c>
      <c r="E90" s="286" t="s">
        <v>1106</v>
      </c>
      <c r="F90" s="286" t="s">
        <v>1685</v>
      </c>
      <c r="G90" s="286" t="s">
        <v>1012</v>
      </c>
      <c r="H90" s="286" t="s">
        <v>1012</v>
      </c>
      <c r="I90" s="286" t="s">
        <v>1112</v>
      </c>
      <c r="J90" s="286" t="s">
        <v>1312</v>
      </c>
      <c r="K90" s="286" t="s">
        <v>53</v>
      </c>
      <c r="L90" s="286" t="s">
        <v>53</v>
      </c>
      <c r="M90" s="286" t="s">
        <v>53</v>
      </c>
      <c r="N90" s="287">
        <v>25403</v>
      </c>
      <c r="O90" s="287"/>
      <c r="P90" s="286" t="s">
        <v>175</v>
      </c>
    </row>
    <row r="91" spans="1:16" hidden="1" x14ac:dyDescent="0.15">
      <c r="A91" s="286">
        <v>170399</v>
      </c>
      <c r="B91" s="288">
        <v>44986.614583333336</v>
      </c>
      <c r="C91" s="286" t="s">
        <v>1640</v>
      </c>
      <c r="D91" s="286" t="s">
        <v>1105</v>
      </c>
      <c r="E91" s="286" t="s">
        <v>1106</v>
      </c>
      <c r="F91" s="286" t="s">
        <v>1720</v>
      </c>
      <c r="G91" s="286" t="s">
        <v>1073</v>
      </c>
      <c r="H91" s="286" t="s">
        <v>1073</v>
      </c>
      <c r="I91" s="286" t="s">
        <v>1199</v>
      </c>
      <c r="J91" s="286" t="s">
        <v>1312</v>
      </c>
      <c r="K91" s="286" t="s">
        <v>53</v>
      </c>
      <c r="L91" s="286" t="s">
        <v>53</v>
      </c>
      <c r="M91" s="286" t="s">
        <v>53</v>
      </c>
      <c r="N91" s="287">
        <v>25283.75</v>
      </c>
      <c r="O91" s="287"/>
      <c r="P91" s="286" t="s">
        <v>58</v>
      </c>
    </row>
    <row r="92" spans="1:16" hidden="1" x14ac:dyDescent="0.15">
      <c r="A92" s="286">
        <v>170298</v>
      </c>
      <c r="B92" s="288">
        <v>44986.623611111114</v>
      </c>
      <c r="C92" s="286" t="s">
        <v>1638</v>
      </c>
      <c r="D92" s="286" t="s">
        <v>1105</v>
      </c>
      <c r="E92" s="286" t="s">
        <v>1106</v>
      </c>
      <c r="F92" s="286" t="s">
        <v>1721</v>
      </c>
      <c r="G92" s="286" t="s">
        <v>1073</v>
      </c>
      <c r="H92" s="286" t="s">
        <v>1073</v>
      </c>
      <c r="I92" s="286" t="s">
        <v>1199</v>
      </c>
      <c r="J92" s="286" t="s">
        <v>1312</v>
      </c>
      <c r="K92" s="286" t="s">
        <v>53</v>
      </c>
      <c r="L92" s="286" t="s">
        <v>53</v>
      </c>
      <c r="M92" s="286" t="s">
        <v>53</v>
      </c>
      <c r="N92" s="287">
        <v>25283.75</v>
      </c>
      <c r="O92" s="287"/>
      <c r="P92" s="286" t="s">
        <v>58</v>
      </c>
    </row>
    <row r="93" spans="1:16" hidden="1" x14ac:dyDescent="0.15">
      <c r="A93" s="286">
        <v>185846</v>
      </c>
      <c r="B93" s="288">
        <v>45005.724305555559</v>
      </c>
      <c r="C93" s="286" t="s">
        <v>1667</v>
      </c>
      <c r="D93" s="286" t="s">
        <v>1105</v>
      </c>
      <c r="E93" s="286" t="s">
        <v>1106</v>
      </c>
      <c r="F93" s="286" t="s">
        <v>1702</v>
      </c>
      <c r="G93" s="286" t="s">
        <v>1073</v>
      </c>
      <c r="H93" s="286" t="s">
        <v>1073</v>
      </c>
      <c r="I93" s="286" t="s">
        <v>1199</v>
      </c>
      <c r="J93" s="286" t="s">
        <v>1312</v>
      </c>
      <c r="K93" s="286" t="s">
        <v>53</v>
      </c>
      <c r="L93" s="286" t="s">
        <v>53</v>
      </c>
      <c r="M93" s="286" t="s">
        <v>53</v>
      </c>
      <c r="N93" s="287">
        <v>25283.75</v>
      </c>
      <c r="O93" s="287"/>
      <c r="P93" s="286" t="s">
        <v>58</v>
      </c>
    </row>
    <row r="94" spans="1:16" hidden="1" x14ac:dyDescent="0.15">
      <c r="A94" s="286">
        <v>201556</v>
      </c>
      <c r="B94" s="288">
        <v>45029.540972222225</v>
      </c>
      <c r="C94" s="286" t="s">
        <v>1657</v>
      </c>
      <c r="D94" s="286" t="s">
        <v>1105</v>
      </c>
      <c r="E94" s="286" t="s">
        <v>1106</v>
      </c>
      <c r="F94" s="286" t="s">
        <v>1722</v>
      </c>
      <c r="G94" s="286" t="s">
        <v>1073</v>
      </c>
      <c r="H94" s="286" t="s">
        <v>1073</v>
      </c>
      <c r="I94" s="286" t="s">
        <v>1199</v>
      </c>
      <c r="J94" s="286" t="s">
        <v>1312</v>
      </c>
      <c r="K94" s="286" t="s">
        <v>53</v>
      </c>
      <c r="L94" s="286" t="s">
        <v>53</v>
      </c>
      <c r="M94" s="286" t="s">
        <v>53</v>
      </c>
      <c r="N94" s="287">
        <v>25283.75</v>
      </c>
      <c r="O94" s="287"/>
      <c r="P94" s="286" t="s">
        <v>58</v>
      </c>
    </row>
    <row r="95" spans="1:16" hidden="1" x14ac:dyDescent="0.15">
      <c r="A95" s="286">
        <v>225409</v>
      </c>
      <c r="B95" s="288">
        <v>45058.522222222222</v>
      </c>
      <c r="C95" s="286" t="s">
        <v>1665</v>
      </c>
      <c r="D95" s="286" t="s">
        <v>1105</v>
      </c>
      <c r="E95" s="286" t="s">
        <v>1106</v>
      </c>
      <c r="F95" s="286" t="s">
        <v>1723</v>
      </c>
      <c r="G95" s="286" t="s">
        <v>1073</v>
      </c>
      <c r="H95" s="286" t="s">
        <v>1073</v>
      </c>
      <c r="I95" s="286" t="s">
        <v>1199</v>
      </c>
      <c r="J95" s="286" t="s">
        <v>1312</v>
      </c>
      <c r="K95" s="286" t="s">
        <v>53</v>
      </c>
      <c r="L95" s="286" t="s">
        <v>53</v>
      </c>
      <c r="M95" s="286" t="s">
        <v>53</v>
      </c>
      <c r="N95" s="287">
        <v>25283.75</v>
      </c>
      <c r="O95" s="287"/>
      <c r="P95" s="286" t="s">
        <v>58</v>
      </c>
    </row>
    <row r="96" spans="1:16" hidden="1" x14ac:dyDescent="0.15">
      <c r="A96" s="286">
        <v>278788</v>
      </c>
      <c r="B96" s="288">
        <v>45118.57708333333</v>
      </c>
      <c r="C96" s="286" t="s">
        <v>1649</v>
      </c>
      <c r="D96" s="286" t="s">
        <v>1105</v>
      </c>
      <c r="E96" s="286" t="s">
        <v>1106</v>
      </c>
      <c r="F96" s="286" t="s">
        <v>1712</v>
      </c>
      <c r="G96" s="286" t="s">
        <v>1073</v>
      </c>
      <c r="H96" s="286" t="s">
        <v>1073</v>
      </c>
      <c r="I96" s="286" t="s">
        <v>1199</v>
      </c>
      <c r="J96" s="286" t="s">
        <v>53</v>
      </c>
      <c r="K96" s="286" t="s">
        <v>53</v>
      </c>
      <c r="L96" s="286" t="s">
        <v>53</v>
      </c>
      <c r="M96" s="286" t="s">
        <v>53</v>
      </c>
      <c r="N96" s="287">
        <v>25283.75</v>
      </c>
      <c r="O96" s="287"/>
      <c r="P96" s="286" t="s">
        <v>58</v>
      </c>
    </row>
    <row r="97" spans="1:16" hidden="1" x14ac:dyDescent="0.15">
      <c r="A97" s="286">
        <v>284271</v>
      </c>
      <c r="B97" s="288">
        <v>45121.682638888888</v>
      </c>
      <c r="C97" s="286" t="s">
        <v>1636</v>
      </c>
      <c r="D97" s="286" t="s">
        <v>1105</v>
      </c>
      <c r="E97" s="286" t="s">
        <v>1106</v>
      </c>
      <c r="F97" s="286" t="s">
        <v>1713</v>
      </c>
      <c r="G97" s="286" t="s">
        <v>1073</v>
      </c>
      <c r="H97" s="286" t="s">
        <v>1073</v>
      </c>
      <c r="I97" s="286" t="s">
        <v>1199</v>
      </c>
      <c r="J97" s="286" t="s">
        <v>53</v>
      </c>
      <c r="K97" s="286" t="s">
        <v>53</v>
      </c>
      <c r="L97" s="286" t="s">
        <v>53</v>
      </c>
      <c r="M97" s="286" t="s">
        <v>53</v>
      </c>
      <c r="N97" s="287">
        <v>25283.75</v>
      </c>
      <c r="O97" s="287"/>
      <c r="P97" s="286" t="s">
        <v>58</v>
      </c>
    </row>
    <row r="98" spans="1:16" hidden="1" x14ac:dyDescent="0.15">
      <c r="A98" s="286">
        <v>328287</v>
      </c>
      <c r="B98" s="288">
        <v>45161.62777777778</v>
      </c>
      <c r="C98" s="286" t="s">
        <v>1691</v>
      </c>
      <c r="D98" s="286" t="s">
        <v>1105</v>
      </c>
      <c r="E98" s="286" t="s">
        <v>1106</v>
      </c>
      <c r="F98" s="286" t="s">
        <v>1714</v>
      </c>
      <c r="G98" s="286" t="s">
        <v>1073</v>
      </c>
      <c r="H98" s="286" t="s">
        <v>1073</v>
      </c>
      <c r="I98" s="286" t="s">
        <v>1199</v>
      </c>
      <c r="J98" s="286" t="s">
        <v>53</v>
      </c>
      <c r="K98" s="286" t="s">
        <v>53</v>
      </c>
      <c r="L98" s="286" t="s">
        <v>53</v>
      </c>
      <c r="M98" s="286" t="s">
        <v>53</v>
      </c>
      <c r="N98" s="287">
        <v>25283.75</v>
      </c>
      <c r="O98" s="287"/>
      <c r="P98" s="286" t="s">
        <v>58</v>
      </c>
    </row>
    <row r="99" spans="1:16" hidden="1" x14ac:dyDescent="0.15">
      <c r="A99" s="286">
        <v>339870</v>
      </c>
      <c r="B99" s="288">
        <v>45177.481944444444</v>
      </c>
      <c r="C99" s="286" t="s">
        <v>1676</v>
      </c>
      <c r="D99" s="286" t="s">
        <v>1105</v>
      </c>
      <c r="E99" s="286" t="s">
        <v>1106</v>
      </c>
      <c r="F99" s="286" t="s">
        <v>1715</v>
      </c>
      <c r="G99" s="286" t="s">
        <v>1073</v>
      </c>
      <c r="H99" s="286" t="s">
        <v>1073</v>
      </c>
      <c r="I99" s="286" t="s">
        <v>1199</v>
      </c>
      <c r="J99" s="286" t="s">
        <v>53</v>
      </c>
      <c r="K99" s="286" t="s">
        <v>53</v>
      </c>
      <c r="L99" s="286" t="s">
        <v>53</v>
      </c>
      <c r="M99" s="286" t="s">
        <v>53</v>
      </c>
      <c r="N99" s="287">
        <v>25283.75</v>
      </c>
      <c r="O99" s="287"/>
      <c r="P99" s="286" t="s">
        <v>58</v>
      </c>
    </row>
    <row r="100" spans="1:16" hidden="1" x14ac:dyDescent="0.15">
      <c r="A100" s="286">
        <v>370270</v>
      </c>
      <c r="B100" s="288">
        <v>45208.668055555558</v>
      </c>
      <c r="C100" s="286" t="s">
        <v>1642</v>
      </c>
      <c r="D100" s="286" t="s">
        <v>1105</v>
      </c>
      <c r="E100" s="286" t="s">
        <v>1106</v>
      </c>
      <c r="F100" s="286" t="s">
        <v>1716</v>
      </c>
      <c r="G100" s="286" t="s">
        <v>1073</v>
      </c>
      <c r="H100" s="286" t="s">
        <v>1073</v>
      </c>
      <c r="I100" s="286" t="s">
        <v>1199</v>
      </c>
      <c r="J100" s="286" t="s">
        <v>53</v>
      </c>
      <c r="K100" s="286" t="s">
        <v>53</v>
      </c>
      <c r="L100" s="286" t="s">
        <v>53</v>
      </c>
      <c r="M100" s="286" t="s">
        <v>53</v>
      </c>
      <c r="N100" s="287">
        <v>25283.75</v>
      </c>
      <c r="O100" s="287"/>
      <c r="P100" s="286" t="s">
        <v>58</v>
      </c>
    </row>
    <row r="101" spans="1:16" hidden="1" x14ac:dyDescent="0.15">
      <c r="A101" s="286">
        <v>402221</v>
      </c>
      <c r="B101" s="288">
        <v>45243.579861111109</v>
      </c>
      <c r="C101" s="286" t="s">
        <v>1654</v>
      </c>
      <c r="D101" s="286" t="s">
        <v>1105</v>
      </c>
      <c r="E101" s="286" t="s">
        <v>1106</v>
      </c>
      <c r="F101" s="286" t="s">
        <v>1724</v>
      </c>
      <c r="G101" s="286" t="s">
        <v>1073</v>
      </c>
      <c r="H101" s="286" t="s">
        <v>1073</v>
      </c>
      <c r="I101" s="286" t="s">
        <v>1199</v>
      </c>
      <c r="J101" s="286" t="s">
        <v>53</v>
      </c>
      <c r="K101" s="286" t="s">
        <v>53</v>
      </c>
      <c r="L101" s="286" t="s">
        <v>53</v>
      </c>
      <c r="M101" s="286" t="s">
        <v>53</v>
      </c>
      <c r="N101" s="287">
        <v>25283.75</v>
      </c>
      <c r="O101" s="287"/>
      <c r="P101" s="286" t="s">
        <v>58</v>
      </c>
    </row>
    <row r="102" spans="1:16" hidden="1" x14ac:dyDescent="0.15">
      <c r="A102" s="286">
        <v>455146</v>
      </c>
      <c r="B102" s="288">
        <v>45310.510416666664</v>
      </c>
      <c r="C102" s="286" t="s">
        <v>1632</v>
      </c>
      <c r="D102" s="286" t="s">
        <v>1105</v>
      </c>
      <c r="E102" s="286" t="s">
        <v>1106</v>
      </c>
      <c r="F102" s="286" t="s">
        <v>1725</v>
      </c>
      <c r="G102" s="286" t="s">
        <v>1073</v>
      </c>
      <c r="H102" s="286" t="s">
        <v>1073</v>
      </c>
      <c r="I102" s="286" t="s">
        <v>1199</v>
      </c>
      <c r="J102" s="286" t="s">
        <v>53</v>
      </c>
      <c r="K102" s="286" t="s">
        <v>53</v>
      </c>
      <c r="L102" s="286" t="s">
        <v>53</v>
      </c>
      <c r="M102" s="286" t="s">
        <v>53</v>
      </c>
      <c r="N102" s="287">
        <v>25283.75</v>
      </c>
      <c r="O102" s="287"/>
      <c r="P102" s="286" t="s">
        <v>58</v>
      </c>
    </row>
    <row r="103" spans="1:16" hidden="1" x14ac:dyDescent="0.15">
      <c r="A103" s="286">
        <v>379134</v>
      </c>
      <c r="B103" s="288">
        <v>45218.479166666664</v>
      </c>
      <c r="C103" s="286" t="s">
        <v>1642</v>
      </c>
      <c r="D103" s="286" t="s">
        <v>1105</v>
      </c>
      <c r="E103" s="286" t="s">
        <v>1106</v>
      </c>
      <c r="F103" s="286" t="s">
        <v>1726</v>
      </c>
      <c r="H103" s="286" t="s">
        <v>1052</v>
      </c>
      <c r="I103" s="286" t="s">
        <v>1230</v>
      </c>
      <c r="J103" s="286" t="s">
        <v>1312</v>
      </c>
      <c r="K103" s="286" t="s">
        <v>1727</v>
      </c>
      <c r="L103" s="286" t="s">
        <v>1728</v>
      </c>
      <c r="M103" s="286">
        <v>2</v>
      </c>
      <c r="N103" s="287">
        <v>24696</v>
      </c>
      <c r="O103" s="287"/>
      <c r="P103" s="286" t="s">
        <v>175</v>
      </c>
    </row>
    <row r="104" spans="1:16" hidden="1" x14ac:dyDescent="0.15">
      <c r="A104" s="299">
        <v>454084</v>
      </c>
      <c r="B104" s="312">
        <v>45309.677083333336</v>
      </c>
      <c r="C104" s="299" t="s">
        <v>1632</v>
      </c>
      <c r="D104" s="299" t="s">
        <v>1105</v>
      </c>
      <c r="E104" s="299" t="s">
        <v>1106</v>
      </c>
      <c r="F104" s="299" t="s">
        <v>1729</v>
      </c>
      <c r="G104" s="299" t="s">
        <v>1082</v>
      </c>
      <c r="H104" s="299" t="s">
        <v>1082</v>
      </c>
      <c r="I104" s="299" t="s">
        <v>1230</v>
      </c>
      <c r="J104" s="299" t="s">
        <v>1312</v>
      </c>
      <c r="K104" s="299" t="s">
        <v>53</v>
      </c>
      <c r="L104" s="299" t="s">
        <v>53</v>
      </c>
      <c r="M104" s="299" t="s">
        <v>53</v>
      </c>
      <c r="N104" s="307">
        <v>24460</v>
      </c>
      <c r="O104" s="307"/>
      <c r="P104" s="299" t="s">
        <v>175</v>
      </c>
    </row>
    <row r="105" spans="1:16" hidden="1" x14ac:dyDescent="0.15">
      <c r="A105" s="286">
        <v>341101</v>
      </c>
      <c r="B105" s="288">
        <v>45177.685416666667</v>
      </c>
      <c r="C105" s="286" t="s">
        <v>1691</v>
      </c>
      <c r="D105" s="286" t="s">
        <v>1105</v>
      </c>
      <c r="E105" s="286" t="s">
        <v>1106</v>
      </c>
      <c r="F105" s="286" t="s">
        <v>1730</v>
      </c>
      <c r="G105" s="286" t="s">
        <v>1041</v>
      </c>
      <c r="H105" s="286" t="s">
        <v>1041</v>
      </c>
      <c r="I105" s="286" t="s">
        <v>1199</v>
      </c>
      <c r="J105" s="286" t="s">
        <v>1312</v>
      </c>
      <c r="K105" s="286" t="s">
        <v>53</v>
      </c>
      <c r="L105" s="286" t="s">
        <v>53</v>
      </c>
      <c r="M105" s="286" t="s">
        <v>53</v>
      </c>
      <c r="N105" s="287">
        <v>24384.55</v>
      </c>
      <c r="O105" s="287"/>
      <c r="P105" s="286" t="s">
        <v>58</v>
      </c>
    </row>
    <row r="106" spans="1:16" hidden="1" x14ac:dyDescent="0.15">
      <c r="A106" s="286">
        <v>354736</v>
      </c>
      <c r="B106" s="288">
        <v>45190.590277777781</v>
      </c>
      <c r="C106" s="286" t="s">
        <v>1676</v>
      </c>
      <c r="D106" s="286" t="s">
        <v>1105</v>
      </c>
      <c r="E106" s="286" t="s">
        <v>1106</v>
      </c>
      <c r="F106" s="286" t="s">
        <v>1731</v>
      </c>
      <c r="G106" s="286" t="s">
        <v>1041</v>
      </c>
      <c r="H106" s="286" t="s">
        <v>1041</v>
      </c>
      <c r="I106" s="286" t="s">
        <v>1199</v>
      </c>
      <c r="J106" s="286" t="s">
        <v>1312</v>
      </c>
      <c r="K106" s="286" t="s">
        <v>53</v>
      </c>
      <c r="L106" s="286" t="s">
        <v>53</v>
      </c>
      <c r="M106" s="286" t="s">
        <v>53</v>
      </c>
      <c r="N106" s="287">
        <v>24384.55</v>
      </c>
      <c r="O106" s="287"/>
      <c r="P106" s="286" t="s">
        <v>58</v>
      </c>
    </row>
    <row r="107" spans="1:16" hidden="1" x14ac:dyDescent="0.15">
      <c r="A107" s="286">
        <v>370270</v>
      </c>
      <c r="B107" s="288">
        <v>45208.668055555558</v>
      </c>
      <c r="C107" s="286" t="s">
        <v>1642</v>
      </c>
      <c r="D107" s="286" t="s">
        <v>1105</v>
      </c>
      <c r="E107" s="286" t="s">
        <v>1106</v>
      </c>
      <c r="F107" s="286" t="s">
        <v>1716</v>
      </c>
      <c r="G107" s="286" t="s">
        <v>1041</v>
      </c>
      <c r="H107" s="286" t="s">
        <v>1041</v>
      </c>
      <c r="I107" s="286" t="s">
        <v>1199</v>
      </c>
      <c r="J107" s="286" t="s">
        <v>1312</v>
      </c>
      <c r="K107" s="286" t="s">
        <v>53</v>
      </c>
      <c r="L107" s="286" t="s">
        <v>53</v>
      </c>
      <c r="M107" s="286" t="s">
        <v>53</v>
      </c>
      <c r="N107" s="287">
        <v>24384.55</v>
      </c>
      <c r="O107" s="287"/>
      <c r="P107" s="286" t="s">
        <v>58</v>
      </c>
    </row>
    <row r="108" spans="1:16" hidden="1" x14ac:dyDescent="0.15">
      <c r="A108" s="286">
        <v>402221</v>
      </c>
      <c r="B108" s="288">
        <v>45243.579861111109</v>
      </c>
      <c r="C108" s="286" t="s">
        <v>1654</v>
      </c>
      <c r="D108" s="286" t="s">
        <v>1105</v>
      </c>
      <c r="E108" s="286" t="s">
        <v>1106</v>
      </c>
      <c r="F108" s="286" t="s">
        <v>1724</v>
      </c>
      <c r="G108" s="286" t="s">
        <v>1041</v>
      </c>
      <c r="H108" s="286" t="s">
        <v>1041</v>
      </c>
      <c r="I108" s="286" t="s">
        <v>1199</v>
      </c>
      <c r="J108" s="286" t="s">
        <v>1312</v>
      </c>
      <c r="K108" s="286" t="s">
        <v>53</v>
      </c>
      <c r="L108" s="286" t="s">
        <v>53</v>
      </c>
      <c r="M108" s="286" t="s">
        <v>53</v>
      </c>
      <c r="N108" s="287">
        <v>24384.55</v>
      </c>
      <c r="O108" s="287"/>
      <c r="P108" s="286" t="s">
        <v>58</v>
      </c>
    </row>
    <row r="109" spans="1:16" hidden="1" x14ac:dyDescent="0.15">
      <c r="A109" s="286">
        <v>455146</v>
      </c>
      <c r="B109" s="288">
        <v>45310.510416666664</v>
      </c>
      <c r="C109" s="286" t="s">
        <v>1632</v>
      </c>
      <c r="D109" s="286" t="s">
        <v>1105</v>
      </c>
      <c r="E109" s="286" t="s">
        <v>1106</v>
      </c>
      <c r="F109" s="286" t="s">
        <v>1725</v>
      </c>
      <c r="G109" s="286" t="s">
        <v>1041</v>
      </c>
      <c r="H109" s="286" t="s">
        <v>1041</v>
      </c>
      <c r="I109" s="286" t="s">
        <v>1199</v>
      </c>
      <c r="J109" s="286" t="s">
        <v>1312</v>
      </c>
      <c r="K109" s="286" t="s">
        <v>53</v>
      </c>
      <c r="L109" s="286" t="s">
        <v>53</v>
      </c>
      <c r="M109" s="286" t="s">
        <v>53</v>
      </c>
      <c r="N109" s="287">
        <v>24384.55</v>
      </c>
      <c r="O109" s="287"/>
      <c r="P109" s="286" t="s">
        <v>58</v>
      </c>
    </row>
    <row r="110" spans="1:16" hidden="1" x14ac:dyDescent="0.15">
      <c r="A110" s="286">
        <v>278788</v>
      </c>
      <c r="B110" s="288">
        <v>45118.57708333333</v>
      </c>
      <c r="C110" s="286" t="s">
        <v>1649</v>
      </c>
      <c r="D110" s="286" t="s">
        <v>1105</v>
      </c>
      <c r="E110" s="286" t="s">
        <v>1106</v>
      </c>
      <c r="F110" s="286" t="s">
        <v>1712</v>
      </c>
      <c r="G110" s="286" t="s">
        <v>1023</v>
      </c>
      <c r="H110" s="286" t="s">
        <v>1023</v>
      </c>
      <c r="I110" s="286" t="s">
        <v>1152</v>
      </c>
      <c r="J110" s="286" t="s">
        <v>53</v>
      </c>
      <c r="K110" s="286" t="s">
        <v>53</v>
      </c>
      <c r="L110" s="286" t="s">
        <v>53</v>
      </c>
      <c r="M110" s="286" t="s">
        <v>53</v>
      </c>
      <c r="N110" s="287">
        <v>23927.68</v>
      </c>
      <c r="O110" s="287"/>
      <c r="P110" s="286" t="s">
        <v>58</v>
      </c>
    </row>
    <row r="111" spans="1:16" hidden="1" x14ac:dyDescent="0.15">
      <c r="A111" s="286">
        <v>284271</v>
      </c>
      <c r="B111" s="288">
        <v>45121.682638888888</v>
      </c>
      <c r="C111" s="286" t="s">
        <v>1636</v>
      </c>
      <c r="D111" s="286" t="s">
        <v>1105</v>
      </c>
      <c r="E111" s="286" t="s">
        <v>1106</v>
      </c>
      <c r="F111" s="286" t="s">
        <v>1713</v>
      </c>
      <c r="G111" s="286" t="s">
        <v>1023</v>
      </c>
      <c r="H111" s="286" t="s">
        <v>1023</v>
      </c>
      <c r="I111" s="286" t="s">
        <v>1152</v>
      </c>
      <c r="J111" s="286" t="s">
        <v>53</v>
      </c>
      <c r="K111" s="286" t="s">
        <v>53</v>
      </c>
      <c r="L111" s="286" t="s">
        <v>53</v>
      </c>
      <c r="M111" s="286" t="s">
        <v>53</v>
      </c>
      <c r="N111" s="287">
        <v>23927.68</v>
      </c>
      <c r="O111" s="287"/>
      <c r="P111" s="286" t="s">
        <v>58</v>
      </c>
    </row>
    <row r="112" spans="1:16" hidden="1" x14ac:dyDescent="0.15">
      <c r="A112" s="286">
        <v>161839</v>
      </c>
      <c r="B112" s="288">
        <v>44974.491666666669</v>
      </c>
      <c r="C112" s="286" t="s">
        <v>1638</v>
      </c>
      <c r="D112" s="286" t="s">
        <v>1105</v>
      </c>
      <c r="E112" s="286" t="s">
        <v>1106</v>
      </c>
      <c r="F112" s="286" t="s">
        <v>1675</v>
      </c>
      <c r="G112" s="286" t="s">
        <v>1080</v>
      </c>
      <c r="H112" s="286" t="s">
        <v>1080</v>
      </c>
      <c r="I112" s="286" t="s">
        <v>1230</v>
      </c>
      <c r="J112" s="286" t="s">
        <v>1312</v>
      </c>
      <c r="K112" s="286" t="s">
        <v>53</v>
      </c>
      <c r="L112" s="286" t="s">
        <v>53</v>
      </c>
      <c r="M112" s="286" t="s">
        <v>53</v>
      </c>
      <c r="N112" s="287">
        <v>23787</v>
      </c>
      <c r="O112" s="287"/>
      <c r="P112" s="286" t="s">
        <v>175</v>
      </c>
    </row>
    <row r="113" spans="1:17" hidden="1" x14ac:dyDescent="0.15">
      <c r="A113" s="286">
        <v>357978</v>
      </c>
      <c r="B113" s="288">
        <v>45195.408333333333</v>
      </c>
      <c r="C113" s="286" t="s">
        <v>1676</v>
      </c>
      <c r="D113" s="286" t="s">
        <v>1105</v>
      </c>
      <c r="E113" s="286" t="s">
        <v>1106</v>
      </c>
      <c r="F113" s="286" t="s">
        <v>1706</v>
      </c>
      <c r="G113" s="286" t="s">
        <v>324</v>
      </c>
      <c r="H113" s="286" t="s">
        <v>1041</v>
      </c>
      <c r="I113" s="286" t="s">
        <v>1112</v>
      </c>
      <c r="J113" s="286" t="s">
        <v>1312</v>
      </c>
      <c r="K113" s="286" t="s">
        <v>1732</v>
      </c>
      <c r="L113" s="286" t="s">
        <v>1733</v>
      </c>
      <c r="M113" s="286">
        <v>1</v>
      </c>
      <c r="N113" s="287">
        <v>23234.400000000001</v>
      </c>
      <c r="O113" s="287"/>
      <c r="P113" s="286" t="s">
        <v>175</v>
      </c>
    </row>
    <row r="114" spans="1:17" hidden="1" x14ac:dyDescent="0.15">
      <c r="A114" s="286">
        <v>357978</v>
      </c>
      <c r="B114" s="288">
        <v>45195.408333333333</v>
      </c>
      <c r="C114" s="286" t="s">
        <v>1676</v>
      </c>
      <c r="D114" s="286" t="s">
        <v>1105</v>
      </c>
      <c r="E114" s="286" t="s">
        <v>1106</v>
      </c>
      <c r="F114" s="286" t="s">
        <v>1706</v>
      </c>
      <c r="G114" s="286" t="s">
        <v>322</v>
      </c>
      <c r="H114" s="286" t="s">
        <v>1041</v>
      </c>
      <c r="I114" s="286" t="s">
        <v>1112</v>
      </c>
      <c r="J114" s="286" t="s">
        <v>1312</v>
      </c>
      <c r="K114" s="286" t="s">
        <v>1732</v>
      </c>
      <c r="L114" s="286" t="s">
        <v>1733</v>
      </c>
      <c r="M114" s="286">
        <v>1</v>
      </c>
      <c r="N114" s="287">
        <v>23234.400000000001</v>
      </c>
      <c r="O114" s="287"/>
      <c r="P114" s="286" t="s">
        <v>175</v>
      </c>
    </row>
    <row r="115" spans="1:17" hidden="1" x14ac:dyDescent="0.15">
      <c r="A115" s="286">
        <v>340890</v>
      </c>
      <c r="B115" s="288">
        <v>45177.598611111112</v>
      </c>
      <c r="C115" s="286" t="s">
        <v>1691</v>
      </c>
      <c r="D115" s="286" t="s">
        <v>1105</v>
      </c>
      <c r="E115" s="286" t="s">
        <v>1106</v>
      </c>
      <c r="F115" s="286" t="s">
        <v>1734</v>
      </c>
      <c r="G115" s="286" t="s">
        <v>1007</v>
      </c>
      <c r="H115" s="286" t="s">
        <v>1007</v>
      </c>
      <c r="I115" s="286" t="s">
        <v>1112</v>
      </c>
      <c r="J115" s="286" t="s">
        <v>1312</v>
      </c>
      <c r="K115" s="286" t="s">
        <v>53</v>
      </c>
      <c r="L115" s="286" t="s">
        <v>53</v>
      </c>
      <c r="M115" s="286" t="s">
        <v>53</v>
      </c>
      <c r="N115" s="287">
        <v>22414</v>
      </c>
      <c r="O115" s="287"/>
      <c r="P115" s="286" t="s">
        <v>175</v>
      </c>
    </row>
    <row r="116" spans="1:17" hidden="1" x14ac:dyDescent="0.15">
      <c r="A116" s="286">
        <v>214151</v>
      </c>
      <c r="B116" s="288">
        <v>45042.540277777778</v>
      </c>
      <c r="C116" s="286" t="s">
        <v>1657</v>
      </c>
      <c r="D116" s="286" t="s">
        <v>1309</v>
      </c>
      <c r="E116" s="286" t="s">
        <v>1310</v>
      </c>
      <c r="F116" s="286" t="s">
        <v>1658</v>
      </c>
      <c r="G116" s="286" t="s">
        <v>1011</v>
      </c>
      <c r="H116" s="286" t="s">
        <v>1011</v>
      </c>
      <c r="I116" s="286" t="s">
        <v>1301</v>
      </c>
      <c r="J116" s="286" t="s">
        <v>1312</v>
      </c>
      <c r="K116" s="286" t="s">
        <v>56</v>
      </c>
      <c r="L116" s="286" t="s">
        <v>71</v>
      </c>
      <c r="M116" s="286">
        <v>1</v>
      </c>
      <c r="N116" s="287">
        <v>22327</v>
      </c>
      <c r="O116" s="287"/>
      <c r="P116" s="286" t="s">
        <v>55</v>
      </c>
    </row>
    <row r="117" spans="1:17" hidden="1" x14ac:dyDescent="0.15">
      <c r="A117" s="286">
        <v>170399</v>
      </c>
      <c r="B117" s="288">
        <v>44986.614583333336</v>
      </c>
      <c r="C117" s="286" t="s">
        <v>1640</v>
      </c>
      <c r="D117" s="286" t="s">
        <v>1105</v>
      </c>
      <c r="E117" s="286" t="s">
        <v>1106</v>
      </c>
      <c r="F117" s="286" t="s">
        <v>1720</v>
      </c>
      <c r="G117" s="286" t="s">
        <v>1041</v>
      </c>
      <c r="H117" s="286" t="s">
        <v>1041</v>
      </c>
      <c r="I117" s="286" t="s">
        <v>1199</v>
      </c>
      <c r="J117" s="286" t="s">
        <v>1312</v>
      </c>
      <c r="K117" s="286" t="s">
        <v>53</v>
      </c>
      <c r="L117" s="286" t="s">
        <v>53</v>
      </c>
      <c r="M117" s="286" t="s">
        <v>53</v>
      </c>
      <c r="N117" s="287">
        <v>22022</v>
      </c>
      <c r="O117" s="287"/>
      <c r="P117" s="286" t="s">
        <v>58</v>
      </c>
    </row>
    <row r="118" spans="1:17" hidden="1" x14ac:dyDescent="0.15">
      <c r="A118" s="286">
        <v>170298</v>
      </c>
      <c r="B118" s="288">
        <v>44986.623611111114</v>
      </c>
      <c r="C118" s="286" t="s">
        <v>1638</v>
      </c>
      <c r="D118" s="286" t="s">
        <v>1105</v>
      </c>
      <c r="E118" s="286" t="s">
        <v>1106</v>
      </c>
      <c r="F118" s="286" t="s">
        <v>1721</v>
      </c>
      <c r="G118" s="286" t="s">
        <v>1041</v>
      </c>
      <c r="H118" s="286" t="s">
        <v>1041</v>
      </c>
      <c r="I118" s="286" t="s">
        <v>1199</v>
      </c>
      <c r="J118" s="286" t="s">
        <v>1312</v>
      </c>
      <c r="K118" s="286" t="s">
        <v>53</v>
      </c>
      <c r="L118" s="286" t="s">
        <v>53</v>
      </c>
      <c r="M118" s="286" t="s">
        <v>53</v>
      </c>
      <c r="N118" s="287">
        <v>22022</v>
      </c>
      <c r="O118" s="287"/>
      <c r="P118" s="286" t="s">
        <v>58</v>
      </c>
    </row>
    <row r="119" spans="1:17" hidden="1" x14ac:dyDescent="0.15">
      <c r="A119" s="286">
        <v>185846</v>
      </c>
      <c r="B119" s="288">
        <v>45005.724305555559</v>
      </c>
      <c r="C119" s="286" t="s">
        <v>1667</v>
      </c>
      <c r="D119" s="286" t="s">
        <v>1105</v>
      </c>
      <c r="E119" s="286" t="s">
        <v>1106</v>
      </c>
      <c r="F119" s="286" t="s">
        <v>1702</v>
      </c>
      <c r="G119" s="286" t="s">
        <v>1041</v>
      </c>
      <c r="H119" s="286" t="s">
        <v>1041</v>
      </c>
      <c r="I119" s="286" t="s">
        <v>1199</v>
      </c>
      <c r="J119" s="286" t="s">
        <v>1312</v>
      </c>
      <c r="K119" s="286" t="s">
        <v>53</v>
      </c>
      <c r="L119" s="286" t="s">
        <v>53</v>
      </c>
      <c r="M119" s="286" t="s">
        <v>53</v>
      </c>
      <c r="N119" s="287">
        <v>22022</v>
      </c>
      <c r="O119" s="287"/>
      <c r="P119" s="286" t="s">
        <v>58</v>
      </c>
    </row>
    <row r="120" spans="1:17" hidden="1" x14ac:dyDescent="0.15">
      <c r="A120" s="286">
        <v>201556</v>
      </c>
      <c r="B120" s="288">
        <v>45029.540972222225</v>
      </c>
      <c r="C120" s="286" t="s">
        <v>1657</v>
      </c>
      <c r="D120" s="286" t="s">
        <v>1105</v>
      </c>
      <c r="E120" s="286" t="s">
        <v>1106</v>
      </c>
      <c r="F120" s="286" t="s">
        <v>1722</v>
      </c>
      <c r="G120" s="286" t="s">
        <v>1041</v>
      </c>
      <c r="H120" s="286" t="s">
        <v>1041</v>
      </c>
      <c r="I120" s="286" t="s">
        <v>1199</v>
      </c>
      <c r="J120" s="286" t="s">
        <v>1312</v>
      </c>
      <c r="K120" s="286" t="s">
        <v>53</v>
      </c>
      <c r="L120" s="286" t="s">
        <v>53</v>
      </c>
      <c r="M120" s="286" t="s">
        <v>53</v>
      </c>
      <c r="N120" s="287">
        <v>22022</v>
      </c>
      <c r="O120" s="287"/>
      <c r="P120" s="286" t="s">
        <v>58</v>
      </c>
    </row>
    <row r="121" spans="1:17" hidden="1" x14ac:dyDescent="0.15">
      <c r="A121" s="286">
        <v>225409</v>
      </c>
      <c r="B121" s="288">
        <v>45058.522222222222</v>
      </c>
      <c r="C121" s="286" t="s">
        <v>1665</v>
      </c>
      <c r="D121" s="286" t="s">
        <v>1105</v>
      </c>
      <c r="E121" s="286" t="s">
        <v>1106</v>
      </c>
      <c r="F121" s="286" t="s">
        <v>1723</v>
      </c>
      <c r="G121" s="286" t="s">
        <v>1041</v>
      </c>
      <c r="H121" s="286" t="s">
        <v>1041</v>
      </c>
      <c r="I121" s="286" t="s">
        <v>1199</v>
      </c>
      <c r="J121" s="286" t="s">
        <v>1312</v>
      </c>
      <c r="K121" s="286" t="s">
        <v>53</v>
      </c>
      <c r="L121" s="286" t="s">
        <v>53</v>
      </c>
      <c r="M121" s="286" t="s">
        <v>53</v>
      </c>
      <c r="N121" s="287">
        <v>22022</v>
      </c>
      <c r="O121" s="287"/>
      <c r="P121" s="286" t="s">
        <v>58</v>
      </c>
    </row>
    <row r="122" spans="1:17" hidden="1" x14ac:dyDescent="0.15">
      <c r="A122" s="286">
        <v>237271</v>
      </c>
      <c r="B122" s="288">
        <v>45070.706250000003</v>
      </c>
      <c r="C122" s="286" t="s">
        <v>1665</v>
      </c>
      <c r="D122" s="286" t="s">
        <v>1105</v>
      </c>
      <c r="E122" s="286" t="s">
        <v>1106</v>
      </c>
      <c r="F122" s="286" t="s">
        <v>1666</v>
      </c>
      <c r="G122" s="286" t="s">
        <v>1064</v>
      </c>
      <c r="H122" s="286" t="s">
        <v>1064</v>
      </c>
      <c r="I122" s="286" t="s">
        <v>1112</v>
      </c>
      <c r="J122" s="286" t="s">
        <v>1312</v>
      </c>
      <c r="K122" s="286" t="s">
        <v>53</v>
      </c>
      <c r="L122" s="286" t="s">
        <v>53</v>
      </c>
      <c r="M122" s="286" t="s">
        <v>53</v>
      </c>
      <c r="N122" s="287">
        <v>21870</v>
      </c>
      <c r="O122" s="287"/>
      <c r="P122" s="286" t="s">
        <v>175</v>
      </c>
    </row>
    <row r="123" spans="1:17" hidden="1" x14ac:dyDescent="0.15">
      <c r="A123" s="286">
        <v>189237</v>
      </c>
      <c r="B123" s="288">
        <v>45012.618750000001</v>
      </c>
      <c r="C123" s="286" t="s">
        <v>1667</v>
      </c>
      <c r="D123" s="286" t="s">
        <v>1309</v>
      </c>
      <c r="E123" s="286" t="s">
        <v>1310</v>
      </c>
      <c r="F123" s="286" t="s">
        <v>1668</v>
      </c>
      <c r="G123" s="286" t="s">
        <v>1009</v>
      </c>
      <c r="H123" s="286" t="s">
        <v>1009</v>
      </c>
      <c r="I123" s="286" t="s">
        <v>1229</v>
      </c>
      <c r="J123" s="286" t="s">
        <v>1312</v>
      </c>
      <c r="K123" s="286" t="s">
        <v>1735</v>
      </c>
      <c r="L123" s="286" t="s">
        <v>551</v>
      </c>
      <c r="M123" s="286">
        <v>1</v>
      </c>
      <c r="N123" s="287">
        <v>21850</v>
      </c>
      <c r="O123" s="287"/>
      <c r="P123" s="286" t="s">
        <v>279</v>
      </c>
      <c r="Q123" s="286">
        <v>14641.9</v>
      </c>
    </row>
    <row r="124" spans="1:17" x14ac:dyDescent="0.15">
      <c r="A124" s="286">
        <v>145118</v>
      </c>
      <c r="B124" s="288">
        <v>44953.417361111111</v>
      </c>
      <c r="C124" s="286" t="s">
        <v>1640</v>
      </c>
      <c r="D124" s="286" t="s">
        <v>1309</v>
      </c>
      <c r="E124" s="286" t="s">
        <v>1310</v>
      </c>
      <c r="F124" s="286" t="s">
        <v>1660</v>
      </c>
      <c r="G124" s="286" t="s">
        <v>1608</v>
      </c>
      <c r="H124" s="286" t="s">
        <v>1608</v>
      </c>
      <c r="I124" s="286" t="s">
        <v>1108</v>
      </c>
      <c r="J124" s="286" t="s">
        <v>1312</v>
      </c>
      <c r="K124" s="286" t="s">
        <v>1590</v>
      </c>
      <c r="L124" s="286" t="s">
        <v>582</v>
      </c>
      <c r="M124" s="286">
        <v>1</v>
      </c>
      <c r="N124" s="287">
        <v>21564</v>
      </c>
      <c r="O124" s="305">
        <f>EOMONTH(B124,0)</f>
        <v>44957</v>
      </c>
      <c r="P124" s="286" t="s">
        <v>37</v>
      </c>
    </row>
    <row r="125" spans="1:17" hidden="1" x14ac:dyDescent="0.15">
      <c r="A125" s="286">
        <v>278260</v>
      </c>
      <c r="B125" s="288">
        <v>45118.491666666669</v>
      </c>
      <c r="C125" s="286" t="s">
        <v>1649</v>
      </c>
      <c r="D125" s="286" t="s">
        <v>1309</v>
      </c>
      <c r="E125" s="286" t="s">
        <v>1310</v>
      </c>
      <c r="F125" s="286" t="s">
        <v>1650</v>
      </c>
      <c r="G125" s="286" t="s">
        <v>1026</v>
      </c>
      <c r="H125" s="286" t="s">
        <v>1026</v>
      </c>
      <c r="I125" s="286" t="s">
        <v>1121</v>
      </c>
      <c r="J125" s="286" t="s">
        <v>1312</v>
      </c>
      <c r="K125" s="286" t="s">
        <v>917</v>
      </c>
      <c r="L125" s="286" t="s">
        <v>250</v>
      </c>
      <c r="M125" s="286">
        <v>1</v>
      </c>
      <c r="N125" s="287">
        <v>21239</v>
      </c>
      <c r="O125" s="287"/>
      <c r="P125" s="286" t="s">
        <v>248</v>
      </c>
    </row>
    <row r="126" spans="1:17" hidden="1" x14ac:dyDescent="0.15">
      <c r="A126" s="286">
        <v>340890</v>
      </c>
      <c r="B126" s="288">
        <v>45177.598611111112</v>
      </c>
      <c r="C126" s="286" t="s">
        <v>1691</v>
      </c>
      <c r="D126" s="286" t="s">
        <v>1105</v>
      </c>
      <c r="E126" s="286" t="s">
        <v>1106</v>
      </c>
      <c r="F126" s="286" t="s">
        <v>1734</v>
      </c>
      <c r="G126" s="286" t="s">
        <v>1021</v>
      </c>
      <c r="H126" s="286" t="s">
        <v>1021</v>
      </c>
      <c r="I126" s="286" t="s">
        <v>1112</v>
      </c>
      <c r="J126" s="286" t="s">
        <v>1312</v>
      </c>
      <c r="K126" s="286" t="s">
        <v>53</v>
      </c>
      <c r="L126" s="286" t="s">
        <v>53</v>
      </c>
      <c r="M126" s="286" t="s">
        <v>53</v>
      </c>
      <c r="N126" s="287">
        <v>21108</v>
      </c>
      <c r="O126" s="287"/>
      <c r="P126" s="286" t="s">
        <v>175</v>
      </c>
    </row>
    <row r="127" spans="1:17" hidden="1" x14ac:dyDescent="0.15">
      <c r="A127" s="286">
        <v>354635</v>
      </c>
      <c r="B127" s="288">
        <v>45190.588194444441</v>
      </c>
      <c r="C127" s="286" t="s">
        <v>1676</v>
      </c>
      <c r="D127" s="286" t="s">
        <v>1105</v>
      </c>
      <c r="E127" s="286" t="s">
        <v>1106</v>
      </c>
      <c r="F127" s="286" t="s">
        <v>1703</v>
      </c>
      <c r="G127" s="286" t="s">
        <v>1021</v>
      </c>
      <c r="H127" s="286" t="s">
        <v>1021</v>
      </c>
      <c r="I127" s="286" t="s">
        <v>1112</v>
      </c>
      <c r="J127" s="286" t="s">
        <v>1312</v>
      </c>
      <c r="K127" s="286" t="s">
        <v>53</v>
      </c>
      <c r="L127" s="286" t="s">
        <v>53</v>
      </c>
      <c r="M127" s="286" t="s">
        <v>53</v>
      </c>
      <c r="N127" s="287">
        <v>21108</v>
      </c>
      <c r="O127" s="287"/>
      <c r="P127" s="286" t="s">
        <v>175</v>
      </c>
    </row>
    <row r="128" spans="1:17" hidden="1" x14ac:dyDescent="0.15">
      <c r="A128" s="286">
        <v>292443</v>
      </c>
      <c r="B128" s="288">
        <v>45128.561111111114</v>
      </c>
      <c r="C128" s="286" t="s">
        <v>1636</v>
      </c>
      <c r="D128" s="286" t="s">
        <v>1105</v>
      </c>
      <c r="E128" s="286" t="s">
        <v>1106</v>
      </c>
      <c r="F128" s="286" t="s">
        <v>1736</v>
      </c>
      <c r="G128" s="286" t="s">
        <v>1079</v>
      </c>
      <c r="H128" s="286" t="s">
        <v>1079</v>
      </c>
      <c r="I128" s="286" t="s">
        <v>1112</v>
      </c>
      <c r="J128" s="286" t="s">
        <v>1312</v>
      </c>
      <c r="K128" s="286" t="s">
        <v>53</v>
      </c>
      <c r="L128" s="286" t="s">
        <v>53</v>
      </c>
      <c r="M128" s="286" t="s">
        <v>53</v>
      </c>
      <c r="N128" s="287">
        <v>21051</v>
      </c>
      <c r="O128" s="287"/>
      <c r="P128" s="286" t="s">
        <v>175</v>
      </c>
    </row>
    <row r="129" spans="1:16" hidden="1" x14ac:dyDescent="0.15">
      <c r="A129" s="286">
        <v>261837</v>
      </c>
      <c r="B129" s="288">
        <v>45099.665972222225</v>
      </c>
      <c r="C129" s="286" t="s">
        <v>1649</v>
      </c>
      <c r="D129" s="286" t="s">
        <v>1105</v>
      </c>
      <c r="E129" s="286" t="s">
        <v>1106</v>
      </c>
      <c r="F129" s="286" t="s">
        <v>1686</v>
      </c>
      <c r="G129" s="286" t="s">
        <v>1084</v>
      </c>
      <c r="H129" s="286" t="s">
        <v>1442</v>
      </c>
      <c r="I129" s="286" t="s">
        <v>1230</v>
      </c>
      <c r="J129" s="286" t="s">
        <v>1312</v>
      </c>
      <c r="K129" s="286" t="s">
        <v>53</v>
      </c>
      <c r="L129" s="286" t="s">
        <v>53</v>
      </c>
      <c r="M129" s="286" t="s">
        <v>53</v>
      </c>
      <c r="N129" s="287">
        <v>20992</v>
      </c>
      <c r="O129" s="287"/>
      <c r="P129" s="286" t="s">
        <v>175</v>
      </c>
    </row>
    <row r="130" spans="1:16" hidden="1" x14ac:dyDescent="0.15">
      <c r="A130" s="286">
        <v>422611</v>
      </c>
      <c r="B130" s="288">
        <v>45265.720833333333</v>
      </c>
      <c r="C130" s="286" t="s">
        <v>1654</v>
      </c>
      <c r="D130" s="286" t="s">
        <v>1105</v>
      </c>
      <c r="E130" s="286" t="s">
        <v>1106</v>
      </c>
      <c r="F130" s="286" t="s">
        <v>1683</v>
      </c>
      <c r="G130" s="286" t="s">
        <v>1017</v>
      </c>
      <c r="H130" s="286" t="s">
        <v>1017</v>
      </c>
      <c r="I130" s="286" t="s">
        <v>1230</v>
      </c>
      <c r="J130" s="286" t="s">
        <v>53</v>
      </c>
      <c r="K130" s="286" t="s">
        <v>53</v>
      </c>
      <c r="L130" s="286" t="s">
        <v>53</v>
      </c>
      <c r="M130" s="286" t="s">
        <v>53</v>
      </c>
      <c r="N130" s="287">
        <v>20831</v>
      </c>
      <c r="O130" s="287"/>
      <c r="P130" s="286" t="s">
        <v>175</v>
      </c>
    </row>
    <row r="131" spans="1:16" hidden="1" x14ac:dyDescent="0.15">
      <c r="A131" s="286">
        <v>437831</v>
      </c>
      <c r="B131" s="288">
        <v>45282.6</v>
      </c>
      <c r="C131" s="286" t="s">
        <v>1632</v>
      </c>
      <c r="D131" s="286" t="s">
        <v>1105</v>
      </c>
      <c r="E131" s="286" t="s">
        <v>1106</v>
      </c>
      <c r="F131" s="286" t="s">
        <v>1656</v>
      </c>
      <c r="G131" s="286" t="s">
        <v>1036</v>
      </c>
      <c r="H131" s="286" t="s">
        <v>1036</v>
      </c>
      <c r="I131" s="286" t="s">
        <v>1121</v>
      </c>
      <c r="J131" s="286" t="s">
        <v>1312</v>
      </c>
      <c r="K131" s="286" t="s">
        <v>917</v>
      </c>
      <c r="L131" s="286" t="s">
        <v>250</v>
      </c>
      <c r="M131" s="286">
        <v>1</v>
      </c>
      <c r="N131" s="287">
        <v>20563</v>
      </c>
      <c r="O131" s="287"/>
      <c r="P131" s="286" t="s">
        <v>248</v>
      </c>
    </row>
    <row r="132" spans="1:16" hidden="1" x14ac:dyDescent="0.15">
      <c r="A132" s="286">
        <v>354635</v>
      </c>
      <c r="B132" s="288">
        <v>45190.588194444441</v>
      </c>
      <c r="C132" s="286" t="s">
        <v>1676</v>
      </c>
      <c r="D132" s="286" t="s">
        <v>1105</v>
      </c>
      <c r="E132" s="286" t="s">
        <v>1106</v>
      </c>
      <c r="F132" s="286" t="s">
        <v>1703</v>
      </c>
      <c r="G132" s="286" t="s">
        <v>1028</v>
      </c>
      <c r="I132" s="286" t="s">
        <v>1230</v>
      </c>
      <c r="J132" s="286" t="s">
        <v>1312</v>
      </c>
      <c r="K132" s="286" t="s">
        <v>53</v>
      </c>
      <c r="L132" s="286" t="s">
        <v>53</v>
      </c>
      <c r="M132" s="286" t="s">
        <v>53</v>
      </c>
      <c r="N132" s="287">
        <v>20021</v>
      </c>
      <c r="O132" s="287"/>
      <c r="P132" s="286" t="s">
        <v>175</v>
      </c>
    </row>
    <row r="133" spans="1:16" hidden="1" x14ac:dyDescent="0.15">
      <c r="A133" s="286">
        <v>354836</v>
      </c>
      <c r="B133" s="288">
        <v>45190.591666666667</v>
      </c>
      <c r="C133" s="286" t="s">
        <v>1676</v>
      </c>
      <c r="D133" s="286" t="s">
        <v>1105</v>
      </c>
      <c r="E133" s="286" t="s">
        <v>1106</v>
      </c>
      <c r="F133" s="286" t="s">
        <v>1687</v>
      </c>
      <c r="G133" s="286" t="s">
        <v>1010</v>
      </c>
      <c r="H133" s="286" t="s">
        <v>1010</v>
      </c>
      <c r="I133" s="286" t="s">
        <v>1112</v>
      </c>
      <c r="J133" s="286" t="s">
        <v>1312</v>
      </c>
      <c r="K133" s="286" t="s">
        <v>53</v>
      </c>
      <c r="L133" s="286" t="s">
        <v>53</v>
      </c>
      <c r="M133" s="286" t="s">
        <v>53</v>
      </c>
      <c r="N133" s="287">
        <v>19848</v>
      </c>
      <c r="O133" s="287"/>
      <c r="P133" s="286" t="s">
        <v>175</v>
      </c>
    </row>
    <row r="134" spans="1:16" hidden="1" x14ac:dyDescent="0.15">
      <c r="A134" s="286">
        <v>418370</v>
      </c>
      <c r="B134" s="288">
        <v>45261.45416666667</v>
      </c>
      <c r="C134" s="286" t="s">
        <v>1654</v>
      </c>
      <c r="D134" s="286" t="s">
        <v>1105</v>
      </c>
      <c r="E134" s="286" t="s">
        <v>1106</v>
      </c>
      <c r="F134" s="286" t="s">
        <v>1655</v>
      </c>
      <c r="G134" s="286" t="s">
        <v>1034</v>
      </c>
      <c r="H134" s="286" t="s">
        <v>1034</v>
      </c>
      <c r="I134" s="286" t="s">
        <v>1301</v>
      </c>
      <c r="J134" s="286" t="s">
        <v>1312</v>
      </c>
      <c r="K134" s="286" t="s">
        <v>56</v>
      </c>
      <c r="L134" s="286" t="s">
        <v>71</v>
      </c>
      <c r="M134" s="286">
        <v>1</v>
      </c>
      <c r="N134" s="287">
        <v>19554</v>
      </c>
      <c r="O134" s="287"/>
      <c r="P134" s="286" t="s">
        <v>55</v>
      </c>
    </row>
    <row r="135" spans="1:16" hidden="1" x14ac:dyDescent="0.15">
      <c r="A135" s="286">
        <v>394428</v>
      </c>
      <c r="B135" s="288">
        <v>45233.712500000001</v>
      </c>
      <c r="C135" s="286" t="s">
        <v>1642</v>
      </c>
      <c r="D135" s="286" t="s">
        <v>1105</v>
      </c>
      <c r="E135" s="286" t="s">
        <v>1106</v>
      </c>
      <c r="F135" s="286" t="s">
        <v>1674</v>
      </c>
      <c r="G135" s="286" t="s">
        <v>1024</v>
      </c>
      <c r="H135" s="286" t="s">
        <v>1024</v>
      </c>
      <c r="I135" s="286" t="s">
        <v>1112</v>
      </c>
      <c r="J135" s="286" t="s">
        <v>1312</v>
      </c>
      <c r="K135" s="286" t="s">
        <v>53</v>
      </c>
      <c r="L135" s="286" t="s">
        <v>53</v>
      </c>
      <c r="M135" s="286" t="s">
        <v>53</v>
      </c>
      <c r="N135" s="287">
        <v>19551.8</v>
      </c>
      <c r="O135" s="287"/>
      <c r="P135" s="286" t="s">
        <v>175</v>
      </c>
    </row>
    <row r="136" spans="1:16" hidden="1" x14ac:dyDescent="0.15">
      <c r="A136" s="286">
        <v>278260</v>
      </c>
      <c r="B136" s="288">
        <v>45118.491666666669</v>
      </c>
      <c r="C136" s="286" t="s">
        <v>1649</v>
      </c>
      <c r="D136" s="286" t="s">
        <v>1309</v>
      </c>
      <c r="E136" s="286" t="s">
        <v>1310</v>
      </c>
      <c r="F136" s="286" t="s">
        <v>1650</v>
      </c>
      <c r="G136" s="286" t="s">
        <v>1026</v>
      </c>
      <c r="H136" s="286" t="s">
        <v>1026</v>
      </c>
      <c r="I136" s="286" t="s">
        <v>1204</v>
      </c>
      <c r="J136" s="286" t="s">
        <v>1312</v>
      </c>
      <c r="K136" s="286" t="s">
        <v>1737</v>
      </c>
      <c r="L136" s="286" t="s">
        <v>1738</v>
      </c>
      <c r="M136" s="286">
        <v>1</v>
      </c>
      <c r="N136" s="287">
        <v>19488</v>
      </c>
      <c r="O136" s="287"/>
      <c r="P136" s="286" t="s">
        <v>49</v>
      </c>
    </row>
    <row r="137" spans="1:16" hidden="1" x14ac:dyDescent="0.15">
      <c r="A137" s="286">
        <v>402221</v>
      </c>
      <c r="B137" s="288">
        <v>45243.579861111109</v>
      </c>
      <c r="C137" s="286" t="s">
        <v>1654</v>
      </c>
      <c r="D137" s="286" t="s">
        <v>1105</v>
      </c>
      <c r="E137" s="286" t="s">
        <v>1106</v>
      </c>
      <c r="F137" s="286" t="s">
        <v>1724</v>
      </c>
      <c r="G137" s="286" t="s">
        <v>1041</v>
      </c>
      <c r="H137" s="286" t="s">
        <v>1041</v>
      </c>
      <c r="I137" s="286" t="s">
        <v>1199</v>
      </c>
      <c r="J137" s="286" t="s">
        <v>53</v>
      </c>
      <c r="K137" s="286" t="s">
        <v>53</v>
      </c>
      <c r="L137" s="286" t="s">
        <v>53</v>
      </c>
      <c r="M137" s="286" t="s">
        <v>53</v>
      </c>
      <c r="N137" s="287">
        <v>19379.36</v>
      </c>
      <c r="O137" s="287"/>
      <c r="P137" s="286" t="s">
        <v>58</v>
      </c>
    </row>
    <row r="138" spans="1:16" hidden="1" x14ac:dyDescent="0.15">
      <c r="A138" s="286">
        <v>437831</v>
      </c>
      <c r="B138" s="288">
        <v>45282.6</v>
      </c>
      <c r="C138" s="286" t="s">
        <v>1632</v>
      </c>
      <c r="D138" s="286" t="s">
        <v>1105</v>
      </c>
      <c r="E138" s="286" t="s">
        <v>1106</v>
      </c>
      <c r="F138" s="286" t="s">
        <v>1656</v>
      </c>
      <c r="G138" s="286" t="s">
        <v>1079</v>
      </c>
      <c r="H138" s="286" t="s">
        <v>1079</v>
      </c>
      <c r="I138" s="286" t="s">
        <v>1204</v>
      </c>
      <c r="J138" s="286" t="s">
        <v>1312</v>
      </c>
      <c r="K138" s="286" t="s">
        <v>1739</v>
      </c>
      <c r="L138" s="286" t="s">
        <v>1740</v>
      </c>
      <c r="M138" s="286">
        <v>1</v>
      </c>
      <c r="N138" s="287">
        <v>19047</v>
      </c>
      <c r="O138" s="287"/>
      <c r="P138" s="286" t="s">
        <v>49</v>
      </c>
    </row>
    <row r="139" spans="1:16" hidden="1" x14ac:dyDescent="0.15">
      <c r="A139" s="286">
        <v>437581</v>
      </c>
      <c r="B139" s="288">
        <v>45281.44027777778</v>
      </c>
      <c r="C139" s="286" t="s">
        <v>1632</v>
      </c>
      <c r="D139" s="286" t="s">
        <v>1105</v>
      </c>
      <c r="E139" s="286" t="s">
        <v>1106</v>
      </c>
      <c r="F139" s="286" t="s">
        <v>1741</v>
      </c>
      <c r="G139" s="286" t="s">
        <v>1072</v>
      </c>
      <c r="H139" s="286" t="s">
        <v>1072</v>
      </c>
      <c r="I139" s="286" t="s">
        <v>1204</v>
      </c>
      <c r="J139" s="286" t="s">
        <v>1312</v>
      </c>
      <c r="K139" s="286" t="s">
        <v>1742</v>
      </c>
      <c r="L139" s="286" t="s">
        <v>1743</v>
      </c>
      <c r="M139" s="286">
        <v>1</v>
      </c>
      <c r="N139" s="287">
        <v>19046</v>
      </c>
      <c r="O139" s="287"/>
      <c r="P139" s="286" t="s">
        <v>49</v>
      </c>
    </row>
    <row r="140" spans="1:16" hidden="1" x14ac:dyDescent="0.15">
      <c r="A140" s="286">
        <v>437831</v>
      </c>
      <c r="B140" s="288">
        <v>45282.6</v>
      </c>
      <c r="C140" s="286" t="s">
        <v>1632</v>
      </c>
      <c r="D140" s="286" t="s">
        <v>1105</v>
      </c>
      <c r="E140" s="286" t="s">
        <v>1106</v>
      </c>
      <c r="F140" s="286" t="s">
        <v>1656</v>
      </c>
      <c r="G140" s="286" t="s">
        <v>1036</v>
      </c>
      <c r="H140" s="286" t="s">
        <v>1036</v>
      </c>
      <c r="I140" s="286" t="s">
        <v>1204</v>
      </c>
      <c r="J140" s="286" t="s">
        <v>1312</v>
      </c>
      <c r="K140" s="286" t="s">
        <v>1744</v>
      </c>
      <c r="L140" s="286" t="s">
        <v>691</v>
      </c>
      <c r="M140" s="286">
        <v>1</v>
      </c>
      <c r="N140" s="287">
        <v>19046</v>
      </c>
      <c r="O140" s="287"/>
      <c r="P140" s="286" t="s">
        <v>49</v>
      </c>
    </row>
    <row r="141" spans="1:16" hidden="1" x14ac:dyDescent="0.15">
      <c r="A141" s="286">
        <v>394327</v>
      </c>
      <c r="B141" s="288">
        <v>45233.704861111109</v>
      </c>
      <c r="C141" s="286" t="s">
        <v>1642</v>
      </c>
      <c r="D141" s="286" t="s">
        <v>1105</v>
      </c>
      <c r="E141" s="286" t="s">
        <v>1106</v>
      </c>
      <c r="F141" s="286" t="s">
        <v>1643</v>
      </c>
      <c r="G141" s="286" t="s">
        <v>1021</v>
      </c>
      <c r="H141" s="286" t="s">
        <v>1021</v>
      </c>
      <c r="I141" s="286" t="s">
        <v>1108</v>
      </c>
      <c r="J141" s="286" t="s">
        <v>1312</v>
      </c>
      <c r="K141" s="286" t="s">
        <v>1745</v>
      </c>
      <c r="L141" s="286" t="s">
        <v>439</v>
      </c>
      <c r="M141" s="286">
        <v>1</v>
      </c>
      <c r="N141" s="287">
        <v>19005</v>
      </c>
      <c r="O141" s="305">
        <f t="shared" ref="O141:O143" si="6">EOMONTH(B141,0)</f>
        <v>45260</v>
      </c>
      <c r="P141" s="286" t="s">
        <v>37</v>
      </c>
    </row>
    <row r="142" spans="1:16" hidden="1" x14ac:dyDescent="0.15">
      <c r="A142" s="286">
        <v>442744</v>
      </c>
      <c r="B142" s="288">
        <v>45300.341666666667</v>
      </c>
      <c r="C142" s="286" t="s">
        <v>1632</v>
      </c>
      <c r="D142" s="286" t="s">
        <v>1105</v>
      </c>
      <c r="E142" s="286" t="s">
        <v>1106</v>
      </c>
      <c r="F142" s="286" t="s">
        <v>1633</v>
      </c>
      <c r="G142" s="286" t="s">
        <v>1031</v>
      </c>
      <c r="H142" s="286" t="s">
        <v>1031</v>
      </c>
      <c r="I142" s="286" t="s">
        <v>1108</v>
      </c>
      <c r="J142" s="286" t="s">
        <v>1312</v>
      </c>
      <c r="K142" s="286" t="s">
        <v>1745</v>
      </c>
      <c r="L142" s="286" t="s">
        <v>439</v>
      </c>
      <c r="M142" s="286">
        <v>1</v>
      </c>
      <c r="N142" s="287">
        <v>19005</v>
      </c>
      <c r="O142" s="305">
        <f t="shared" si="6"/>
        <v>45322</v>
      </c>
      <c r="P142" s="286" t="s">
        <v>37</v>
      </c>
    </row>
    <row r="143" spans="1:16" hidden="1" x14ac:dyDescent="0.15">
      <c r="A143" s="286">
        <v>278260</v>
      </c>
      <c r="B143" s="288">
        <v>45118.491666666669</v>
      </c>
      <c r="C143" s="286" t="s">
        <v>1649</v>
      </c>
      <c r="D143" s="286" t="s">
        <v>1309</v>
      </c>
      <c r="E143" s="286" t="s">
        <v>1310</v>
      </c>
      <c r="F143" s="286" t="s">
        <v>1650</v>
      </c>
      <c r="G143" s="286" t="s">
        <v>1026</v>
      </c>
      <c r="H143" s="286" t="s">
        <v>1026</v>
      </c>
      <c r="I143" s="286" t="s">
        <v>1108</v>
      </c>
      <c r="J143" s="286" t="s">
        <v>1312</v>
      </c>
      <c r="K143" s="286" t="s">
        <v>1745</v>
      </c>
      <c r="L143" s="286" t="s">
        <v>439</v>
      </c>
      <c r="M143" s="286">
        <v>1</v>
      </c>
      <c r="N143" s="287">
        <v>19004.7</v>
      </c>
      <c r="O143" s="305">
        <f t="shared" si="6"/>
        <v>45138</v>
      </c>
      <c r="P143" s="286" t="s">
        <v>37</v>
      </c>
    </row>
    <row r="144" spans="1:16" hidden="1" x14ac:dyDescent="0.15">
      <c r="A144" s="286">
        <v>170297</v>
      </c>
      <c r="B144" s="288">
        <v>44986.611111111109</v>
      </c>
      <c r="C144" s="286" t="s">
        <v>1640</v>
      </c>
      <c r="D144" s="286" t="s">
        <v>1105</v>
      </c>
      <c r="E144" s="286" t="s">
        <v>1106</v>
      </c>
      <c r="F144" s="286" t="s">
        <v>1746</v>
      </c>
      <c r="G144" s="286" t="s">
        <v>1023</v>
      </c>
      <c r="H144" s="286" t="s">
        <v>1023</v>
      </c>
      <c r="I144" s="286" t="s">
        <v>1152</v>
      </c>
      <c r="J144" s="286" t="s">
        <v>1312</v>
      </c>
      <c r="K144" s="286" t="s">
        <v>53</v>
      </c>
      <c r="L144" s="286" t="s">
        <v>53</v>
      </c>
      <c r="M144" s="286" t="s">
        <v>53</v>
      </c>
      <c r="N144" s="287">
        <v>18828.330000000002</v>
      </c>
      <c r="O144" s="287"/>
      <c r="P144" s="286" t="s">
        <v>58</v>
      </c>
    </row>
    <row r="145" spans="1:16" hidden="1" x14ac:dyDescent="0.15">
      <c r="A145" s="286">
        <v>170298</v>
      </c>
      <c r="B145" s="288">
        <v>44986.623611111114</v>
      </c>
      <c r="C145" s="286" t="s">
        <v>1638</v>
      </c>
      <c r="D145" s="286" t="s">
        <v>1105</v>
      </c>
      <c r="E145" s="286" t="s">
        <v>1106</v>
      </c>
      <c r="F145" s="286" t="s">
        <v>1721</v>
      </c>
      <c r="G145" s="286" t="s">
        <v>1023</v>
      </c>
      <c r="H145" s="286" t="s">
        <v>1023</v>
      </c>
      <c r="I145" s="286" t="s">
        <v>1152</v>
      </c>
      <c r="J145" s="286" t="s">
        <v>1312</v>
      </c>
      <c r="K145" s="286" t="s">
        <v>53</v>
      </c>
      <c r="L145" s="286" t="s">
        <v>53</v>
      </c>
      <c r="M145" s="286" t="s">
        <v>53</v>
      </c>
      <c r="N145" s="287">
        <v>18828.330000000002</v>
      </c>
      <c r="O145" s="287"/>
      <c r="P145" s="286" t="s">
        <v>58</v>
      </c>
    </row>
    <row r="146" spans="1:16" hidden="1" x14ac:dyDescent="0.15">
      <c r="A146" s="286">
        <v>185846</v>
      </c>
      <c r="B146" s="288">
        <v>45005.724305555559</v>
      </c>
      <c r="C146" s="286" t="s">
        <v>1667</v>
      </c>
      <c r="D146" s="286" t="s">
        <v>1105</v>
      </c>
      <c r="E146" s="286" t="s">
        <v>1106</v>
      </c>
      <c r="F146" s="286" t="s">
        <v>1702</v>
      </c>
      <c r="G146" s="286" t="s">
        <v>1023</v>
      </c>
      <c r="H146" s="286" t="s">
        <v>1023</v>
      </c>
      <c r="I146" s="286" t="s">
        <v>1152</v>
      </c>
      <c r="J146" s="286" t="s">
        <v>1312</v>
      </c>
      <c r="K146" s="286" t="s">
        <v>53</v>
      </c>
      <c r="L146" s="286" t="s">
        <v>53</v>
      </c>
      <c r="M146" s="286" t="s">
        <v>53</v>
      </c>
      <c r="N146" s="287">
        <v>18828.330000000002</v>
      </c>
      <c r="O146" s="287"/>
      <c r="P146" s="286" t="s">
        <v>58</v>
      </c>
    </row>
    <row r="147" spans="1:16" hidden="1" x14ac:dyDescent="0.15">
      <c r="A147" s="286">
        <v>201556</v>
      </c>
      <c r="B147" s="288">
        <v>45029.540972222225</v>
      </c>
      <c r="C147" s="286" t="s">
        <v>1657</v>
      </c>
      <c r="D147" s="286" t="s">
        <v>1105</v>
      </c>
      <c r="E147" s="286" t="s">
        <v>1106</v>
      </c>
      <c r="F147" s="286" t="s">
        <v>1722</v>
      </c>
      <c r="G147" s="286" t="s">
        <v>1023</v>
      </c>
      <c r="H147" s="286" t="s">
        <v>1023</v>
      </c>
      <c r="I147" s="286" t="s">
        <v>1152</v>
      </c>
      <c r="J147" s="286" t="s">
        <v>1312</v>
      </c>
      <c r="K147" s="286" t="s">
        <v>53</v>
      </c>
      <c r="L147" s="286" t="s">
        <v>53</v>
      </c>
      <c r="M147" s="286" t="s">
        <v>53</v>
      </c>
      <c r="N147" s="287">
        <v>18828.330000000002</v>
      </c>
      <c r="O147" s="287"/>
      <c r="P147" s="286" t="s">
        <v>58</v>
      </c>
    </row>
    <row r="148" spans="1:16" hidden="1" x14ac:dyDescent="0.15">
      <c r="A148" s="286">
        <v>225409</v>
      </c>
      <c r="B148" s="288">
        <v>45058.522222222222</v>
      </c>
      <c r="C148" s="286" t="s">
        <v>1665</v>
      </c>
      <c r="D148" s="286" t="s">
        <v>1105</v>
      </c>
      <c r="E148" s="286" t="s">
        <v>1106</v>
      </c>
      <c r="F148" s="286" t="s">
        <v>1723</v>
      </c>
      <c r="G148" s="286" t="s">
        <v>1023</v>
      </c>
      <c r="H148" s="286" t="s">
        <v>1023</v>
      </c>
      <c r="I148" s="286" t="s">
        <v>1152</v>
      </c>
      <c r="J148" s="286" t="s">
        <v>1312</v>
      </c>
      <c r="K148" s="286" t="s">
        <v>53</v>
      </c>
      <c r="L148" s="286" t="s">
        <v>53</v>
      </c>
      <c r="M148" s="286" t="s">
        <v>53</v>
      </c>
      <c r="N148" s="287">
        <v>18828.330000000002</v>
      </c>
      <c r="O148" s="287"/>
      <c r="P148" s="286" t="s">
        <v>58</v>
      </c>
    </row>
    <row r="149" spans="1:16" hidden="1" x14ac:dyDescent="0.15">
      <c r="A149" s="286">
        <v>339870</v>
      </c>
      <c r="B149" s="288">
        <v>45177.481944444444</v>
      </c>
      <c r="C149" s="286" t="s">
        <v>1676</v>
      </c>
      <c r="D149" s="286" t="s">
        <v>1105</v>
      </c>
      <c r="E149" s="286" t="s">
        <v>1106</v>
      </c>
      <c r="F149" s="286" t="s">
        <v>1715</v>
      </c>
      <c r="G149" s="286" t="s">
        <v>1023</v>
      </c>
      <c r="H149" s="286" t="s">
        <v>1023</v>
      </c>
      <c r="I149" s="286" t="s">
        <v>1199</v>
      </c>
      <c r="J149" s="286" t="s">
        <v>53</v>
      </c>
      <c r="K149" s="286" t="s">
        <v>53</v>
      </c>
      <c r="L149" s="286" t="s">
        <v>53</v>
      </c>
      <c r="M149" s="286" t="s">
        <v>53</v>
      </c>
      <c r="N149" s="287">
        <v>18800.27</v>
      </c>
      <c r="O149" s="287"/>
      <c r="P149" s="286" t="s">
        <v>58</v>
      </c>
    </row>
    <row r="150" spans="1:16" hidden="1" x14ac:dyDescent="0.15">
      <c r="A150" s="286">
        <v>370270</v>
      </c>
      <c r="B150" s="288">
        <v>45208.668055555558</v>
      </c>
      <c r="C150" s="286" t="s">
        <v>1642</v>
      </c>
      <c r="D150" s="286" t="s">
        <v>1105</v>
      </c>
      <c r="E150" s="286" t="s">
        <v>1106</v>
      </c>
      <c r="F150" s="286" t="s">
        <v>1716</v>
      </c>
      <c r="G150" s="286" t="s">
        <v>1023</v>
      </c>
      <c r="H150" s="286" t="s">
        <v>1023</v>
      </c>
      <c r="I150" s="286" t="s">
        <v>1199</v>
      </c>
      <c r="J150" s="286" t="s">
        <v>53</v>
      </c>
      <c r="K150" s="286" t="s">
        <v>53</v>
      </c>
      <c r="L150" s="286" t="s">
        <v>53</v>
      </c>
      <c r="M150" s="286" t="s">
        <v>53</v>
      </c>
      <c r="N150" s="287">
        <v>18800.27</v>
      </c>
      <c r="O150" s="287"/>
      <c r="P150" s="286" t="s">
        <v>58</v>
      </c>
    </row>
    <row r="151" spans="1:16" hidden="1" x14ac:dyDescent="0.15">
      <c r="A151" s="286">
        <v>402221</v>
      </c>
      <c r="B151" s="288">
        <v>45243.579861111109</v>
      </c>
      <c r="C151" s="286" t="s">
        <v>1654</v>
      </c>
      <c r="D151" s="286" t="s">
        <v>1105</v>
      </c>
      <c r="E151" s="286" t="s">
        <v>1106</v>
      </c>
      <c r="F151" s="286" t="s">
        <v>1724</v>
      </c>
      <c r="G151" s="286" t="s">
        <v>1023</v>
      </c>
      <c r="H151" s="286" t="s">
        <v>1023</v>
      </c>
      <c r="I151" s="286" t="s">
        <v>1199</v>
      </c>
      <c r="J151" s="286" t="s">
        <v>53</v>
      </c>
      <c r="K151" s="286" t="s">
        <v>53</v>
      </c>
      <c r="L151" s="286" t="s">
        <v>53</v>
      </c>
      <c r="M151" s="286" t="s">
        <v>53</v>
      </c>
      <c r="N151" s="287">
        <v>18800.27</v>
      </c>
      <c r="O151" s="287"/>
      <c r="P151" s="286" t="s">
        <v>58</v>
      </c>
    </row>
    <row r="152" spans="1:16" hidden="1" x14ac:dyDescent="0.15">
      <c r="A152" s="286">
        <v>455146</v>
      </c>
      <c r="B152" s="288">
        <v>45310.510416666664</v>
      </c>
      <c r="C152" s="286" t="s">
        <v>1632</v>
      </c>
      <c r="D152" s="286" t="s">
        <v>1105</v>
      </c>
      <c r="E152" s="286" t="s">
        <v>1106</v>
      </c>
      <c r="F152" s="286" t="s">
        <v>1725</v>
      </c>
      <c r="G152" s="286" t="s">
        <v>1023</v>
      </c>
      <c r="H152" s="286" t="s">
        <v>1023</v>
      </c>
      <c r="I152" s="286" t="s">
        <v>1199</v>
      </c>
      <c r="J152" s="286" t="s">
        <v>53</v>
      </c>
      <c r="K152" s="286" t="s">
        <v>53</v>
      </c>
      <c r="L152" s="286" t="s">
        <v>53</v>
      </c>
      <c r="M152" s="286" t="s">
        <v>53</v>
      </c>
      <c r="N152" s="287">
        <v>18800.27</v>
      </c>
      <c r="O152" s="287"/>
      <c r="P152" s="286" t="s">
        <v>58</v>
      </c>
    </row>
    <row r="153" spans="1:16" hidden="1" x14ac:dyDescent="0.15">
      <c r="A153" s="286">
        <v>357978</v>
      </c>
      <c r="B153" s="288">
        <v>45195.408333333333</v>
      </c>
      <c r="C153" s="286" t="s">
        <v>1676</v>
      </c>
      <c r="D153" s="286" t="s">
        <v>1105</v>
      </c>
      <c r="E153" s="286" t="s">
        <v>1106</v>
      </c>
      <c r="F153" s="286" t="s">
        <v>1706</v>
      </c>
      <c r="G153" s="286" t="s">
        <v>322</v>
      </c>
      <c r="H153" s="286" t="s">
        <v>1041</v>
      </c>
      <c r="I153" s="286" t="s">
        <v>1112</v>
      </c>
      <c r="J153" s="286" t="s">
        <v>1312</v>
      </c>
      <c r="K153" s="286" t="s">
        <v>1707</v>
      </c>
      <c r="L153" s="286" t="s">
        <v>1708</v>
      </c>
      <c r="M153" s="286">
        <v>2</v>
      </c>
      <c r="N153" s="287">
        <v>18587.52</v>
      </c>
      <c r="O153" s="287"/>
      <c r="P153" s="286" t="s">
        <v>175</v>
      </c>
    </row>
    <row r="154" spans="1:16" hidden="1" x14ac:dyDescent="0.15">
      <c r="A154" s="286">
        <v>237271</v>
      </c>
      <c r="B154" s="288">
        <v>45070.706250000003</v>
      </c>
      <c r="C154" s="286" t="s">
        <v>1665</v>
      </c>
      <c r="D154" s="286" t="s">
        <v>1105</v>
      </c>
      <c r="E154" s="286" t="s">
        <v>1106</v>
      </c>
      <c r="F154" s="286" t="s">
        <v>1666</v>
      </c>
      <c r="G154" s="286" t="s">
        <v>1024</v>
      </c>
      <c r="H154" s="286" t="s">
        <v>1024</v>
      </c>
      <c r="I154" s="286" t="s">
        <v>1112</v>
      </c>
      <c r="J154" s="286" t="s">
        <v>1312</v>
      </c>
      <c r="K154" s="286" t="s">
        <v>53</v>
      </c>
      <c r="L154" s="286" t="s">
        <v>53</v>
      </c>
      <c r="M154" s="286" t="s">
        <v>53</v>
      </c>
      <c r="N154" s="287">
        <v>18472.34</v>
      </c>
      <c r="O154" s="287"/>
      <c r="P154" s="286" t="s">
        <v>175</v>
      </c>
    </row>
    <row r="155" spans="1:16" hidden="1" x14ac:dyDescent="0.15">
      <c r="A155" s="286">
        <v>142599</v>
      </c>
      <c r="B155" s="288">
        <v>44950.433333333334</v>
      </c>
      <c r="C155" s="286" t="s">
        <v>1640</v>
      </c>
      <c r="D155" s="286" t="s">
        <v>1105</v>
      </c>
      <c r="E155" s="286" t="s">
        <v>1106</v>
      </c>
      <c r="F155" s="286" t="s">
        <v>1747</v>
      </c>
      <c r="G155" s="286" t="s">
        <v>1024</v>
      </c>
      <c r="H155" s="286" t="s">
        <v>1024</v>
      </c>
      <c r="I155" s="286" t="s">
        <v>1112</v>
      </c>
      <c r="J155" s="286" t="s">
        <v>1312</v>
      </c>
      <c r="K155" s="286" t="s">
        <v>53</v>
      </c>
      <c r="L155" s="286" t="s">
        <v>53</v>
      </c>
      <c r="M155" s="286" t="s">
        <v>53</v>
      </c>
      <c r="N155" s="287">
        <v>18472.330000000002</v>
      </c>
      <c r="O155" s="287"/>
      <c r="P155" s="286" t="s">
        <v>175</v>
      </c>
    </row>
    <row r="156" spans="1:16" hidden="1" x14ac:dyDescent="0.15">
      <c r="A156" s="286">
        <v>307803</v>
      </c>
      <c r="B156" s="288">
        <v>45142.386805555558</v>
      </c>
      <c r="C156" s="286" t="s">
        <v>1636</v>
      </c>
      <c r="D156" s="286" t="s">
        <v>1105</v>
      </c>
      <c r="E156" s="286" t="s">
        <v>1106</v>
      </c>
      <c r="F156" s="286" t="s">
        <v>1645</v>
      </c>
      <c r="G156" s="286" t="s">
        <v>1048</v>
      </c>
      <c r="H156" s="286" t="s">
        <v>1048</v>
      </c>
      <c r="I156" s="286" t="s">
        <v>1301</v>
      </c>
      <c r="J156" s="286" t="s">
        <v>1312</v>
      </c>
      <c r="K156" s="286" t="s">
        <v>56</v>
      </c>
      <c r="L156" s="286" t="s">
        <v>71</v>
      </c>
      <c r="M156" s="286">
        <v>1</v>
      </c>
      <c r="N156" s="287">
        <v>18131</v>
      </c>
      <c r="O156" s="287"/>
      <c r="P156" s="286" t="s">
        <v>55</v>
      </c>
    </row>
    <row r="157" spans="1:16" hidden="1" x14ac:dyDescent="0.15">
      <c r="A157" s="286">
        <v>437581</v>
      </c>
      <c r="B157" s="288">
        <v>45281.44027777778</v>
      </c>
      <c r="C157" s="286" t="s">
        <v>1632</v>
      </c>
      <c r="D157" s="286" t="s">
        <v>1105</v>
      </c>
      <c r="E157" s="286" t="s">
        <v>1106</v>
      </c>
      <c r="F157" s="286" t="s">
        <v>1741</v>
      </c>
      <c r="G157" s="286" t="s">
        <v>1072</v>
      </c>
      <c r="H157" s="286" t="s">
        <v>1072</v>
      </c>
      <c r="I157" s="286" t="s">
        <v>1230</v>
      </c>
      <c r="J157" s="286" t="s">
        <v>1312</v>
      </c>
      <c r="K157" s="286" t="s">
        <v>1748</v>
      </c>
      <c r="L157" s="286" t="s">
        <v>1749</v>
      </c>
      <c r="M157" s="286">
        <v>1</v>
      </c>
      <c r="N157" s="287">
        <v>17723</v>
      </c>
      <c r="O157" s="287"/>
      <c r="P157" s="286" t="s">
        <v>175</v>
      </c>
    </row>
    <row r="158" spans="1:16" hidden="1" x14ac:dyDescent="0.15">
      <c r="A158" s="286">
        <v>437581</v>
      </c>
      <c r="B158" s="288">
        <v>45281.44027777778</v>
      </c>
      <c r="C158" s="286" t="s">
        <v>1632</v>
      </c>
      <c r="D158" s="286" t="s">
        <v>1105</v>
      </c>
      <c r="E158" s="286" t="s">
        <v>1106</v>
      </c>
      <c r="F158" s="286" t="s">
        <v>1741</v>
      </c>
      <c r="G158" s="286" t="s">
        <v>1072</v>
      </c>
      <c r="H158" s="286" t="s">
        <v>1072</v>
      </c>
      <c r="I158" s="286" t="s">
        <v>1230</v>
      </c>
      <c r="J158" s="286" t="s">
        <v>1312</v>
      </c>
      <c r="K158" s="286" t="s">
        <v>1748</v>
      </c>
      <c r="L158" s="286" t="s">
        <v>1749</v>
      </c>
      <c r="M158" s="286">
        <v>1</v>
      </c>
      <c r="N158" s="287">
        <v>17723</v>
      </c>
      <c r="O158" s="287"/>
      <c r="P158" s="286" t="s">
        <v>175</v>
      </c>
    </row>
    <row r="159" spans="1:16" hidden="1" x14ac:dyDescent="0.15">
      <c r="A159" s="286">
        <v>214151</v>
      </c>
      <c r="B159" s="288">
        <v>45042.540277777778</v>
      </c>
      <c r="C159" s="286" t="s">
        <v>1657</v>
      </c>
      <c r="D159" s="286" t="s">
        <v>1309</v>
      </c>
      <c r="E159" s="286" t="s">
        <v>1310</v>
      </c>
      <c r="F159" s="286" t="s">
        <v>1658</v>
      </c>
      <c r="G159" s="286" t="s">
        <v>1011</v>
      </c>
      <c r="H159" s="286" t="s">
        <v>1011</v>
      </c>
      <c r="I159" s="286" t="s">
        <v>1108</v>
      </c>
      <c r="J159" s="286" t="s">
        <v>1312</v>
      </c>
      <c r="K159" s="286" t="s">
        <v>1750</v>
      </c>
      <c r="L159" s="286" t="s">
        <v>439</v>
      </c>
      <c r="M159" s="286">
        <v>1</v>
      </c>
      <c r="N159" s="287">
        <v>17638</v>
      </c>
      <c r="O159" s="305">
        <f>EOMONTH(B159,0)</f>
        <v>45046</v>
      </c>
      <c r="P159" s="286" t="s">
        <v>37</v>
      </c>
    </row>
    <row r="160" spans="1:16" hidden="1" x14ac:dyDescent="0.15">
      <c r="A160" s="286">
        <v>298618</v>
      </c>
      <c r="B160" s="288">
        <v>45135.518750000003</v>
      </c>
      <c r="C160" s="286" t="s">
        <v>1636</v>
      </c>
      <c r="D160" s="286" t="s">
        <v>1105</v>
      </c>
      <c r="E160" s="286" t="s">
        <v>1106</v>
      </c>
      <c r="F160" s="286" t="s">
        <v>1672</v>
      </c>
      <c r="G160" s="286" t="s">
        <v>1041</v>
      </c>
      <c r="H160" s="286" t="s">
        <v>1041</v>
      </c>
      <c r="I160" s="286" t="s">
        <v>1228</v>
      </c>
      <c r="J160" s="286" t="s">
        <v>1312</v>
      </c>
      <c r="K160" s="286" t="s">
        <v>1673</v>
      </c>
      <c r="L160" s="286" t="s">
        <v>53</v>
      </c>
      <c r="M160" s="286">
        <v>1</v>
      </c>
      <c r="N160" s="287">
        <v>17225.189999999999</v>
      </c>
      <c r="O160" s="287"/>
      <c r="P160" s="286" t="s">
        <v>58</v>
      </c>
    </row>
    <row r="161" spans="1:16" hidden="1" x14ac:dyDescent="0.15">
      <c r="A161" s="286">
        <v>185851</v>
      </c>
      <c r="B161" s="288">
        <v>45005.741666666669</v>
      </c>
      <c r="C161" s="286" t="s">
        <v>1667</v>
      </c>
      <c r="D161" s="286" t="s">
        <v>1105</v>
      </c>
      <c r="E161" s="286" t="s">
        <v>1106</v>
      </c>
      <c r="F161" s="286" t="s">
        <v>1685</v>
      </c>
      <c r="G161" s="286" t="s">
        <v>1030</v>
      </c>
      <c r="H161" s="286" t="s">
        <v>1030</v>
      </c>
      <c r="I161" s="286" t="s">
        <v>1112</v>
      </c>
      <c r="J161" s="286" t="s">
        <v>1312</v>
      </c>
      <c r="K161" s="286" t="s">
        <v>53</v>
      </c>
      <c r="L161" s="286" t="s">
        <v>53</v>
      </c>
      <c r="M161" s="286" t="s">
        <v>53</v>
      </c>
      <c r="N161" s="287">
        <v>17017</v>
      </c>
      <c r="O161" s="287"/>
      <c r="P161" s="286" t="s">
        <v>175</v>
      </c>
    </row>
    <row r="162" spans="1:16" hidden="1" x14ac:dyDescent="0.15">
      <c r="A162" s="286">
        <v>437831</v>
      </c>
      <c r="B162" s="288">
        <v>45282.6</v>
      </c>
      <c r="C162" s="286" t="s">
        <v>1632</v>
      </c>
      <c r="D162" s="286" t="s">
        <v>1105</v>
      </c>
      <c r="E162" s="286" t="s">
        <v>1106</v>
      </c>
      <c r="F162" s="286" t="s">
        <v>1656</v>
      </c>
      <c r="G162" s="286" t="s">
        <v>1036</v>
      </c>
      <c r="H162" s="286" t="s">
        <v>1036</v>
      </c>
      <c r="I162" s="286" t="s">
        <v>1108</v>
      </c>
      <c r="J162" s="286" t="s">
        <v>1312</v>
      </c>
      <c r="K162" s="286" t="s">
        <v>1745</v>
      </c>
      <c r="L162" s="286" t="s">
        <v>439</v>
      </c>
      <c r="M162" s="286">
        <v>1</v>
      </c>
      <c r="N162" s="287">
        <v>16844</v>
      </c>
      <c r="O162" s="305">
        <f t="shared" ref="O162:O164" si="7">EOMONTH(B162,0)</f>
        <v>45291</v>
      </c>
      <c r="P162" s="286" t="s">
        <v>37</v>
      </c>
    </row>
    <row r="163" spans="1:16" hidden="1" x14ac:dyDescent="0.15">
      <c r="A163" s="286">
        <v>307803</v>
      </c>
      <c r="B163" s="288">
        <v>45142.386805555558</v>
      </c>
      <c r="C163" s="286" t="s">
        <v>1636</v>
      </c>
      <c r="D163" s="286" t="s">
        <v>1105</v>
      </c>
      <c r="E163" s="286" t="s">
        <v>1106</v>
      </c>
      <c r="F163" s="286" t="s">
        <v>1645</v>
      </c>
      <c r="G163" s="286" t="s">
        <v>1048</v>
      </c>
      <c r="H163" s="286" t="s">
        <v>1048</v>
      </c>
      <c r="I163" s="286" t="s">
        <v>1108</v>
      </c>
      <c r="J163" s="286" t="s">
        <v>1312</v>
      </c>
      <c r="K163" s="286" t="s">
        <v>1745</v>
      </c>
      <c r="L163" s="286" t="s">
        <v>439</v>
      </c>
      <c r="M163" s="286">
        <v>1</v>
      </c>
      <c r="N163" s="287">
        <v>16843.439999999999</v>
      </c>
      <c r="O163" s="305">
        <f t="shared" si="7"/>
        <v>45169</v>
      </c>
      <c r="P163" s="286" t="s">
        <v>37</v>
      </c>
    </row>
    <row r="164" spans="1:16" hidden="1" x14ac:dyDescent="0.15">
      <c r="A164" s="286">
        <v>418370</v>
      </c>
      <c r="B164" s="288">
        <v>45261.45416666667</v>
      </c>
      <c r="C164" s="286" t="s">
        <v>1654</v>
      </c>
      <c r="D164" s="286" t="s">
        <v>1105</v>
      </c>
      <c r="E164" s="286" t="s">
        <v>1106</v>
      </c>
      <c r="F164" s="286" t="s">
        <v>1655</v>
      </c>
      <c r="G164" s="286" t="s">
        <v>1034</v>
      </c>
      <c r="H164" s="286" t="s">
        <v>1034</v>
      </c>
      <c r="I164" s="286" t="s">
        <v>1108</v>
      </c>
      <c r="J164" s="286" t="s">
        <v>1312</v>
      </c>
      <c r="K164" s="286" t="s">
        <v>1745</v>
      </c>
      <c r="L164" s="286" t="s">
        <v>439</v>
      </c>
      <c r="M164" s="286">
        <v>1</v>
      </c>
      <c r="N164" s="287">
        <v>16843.439999999999</v>
      </c>
      <c r="O164" s="305">
        <f t="shared" si="7"/>
        <v>45291</v>
      </c>
      <c r="P164" s="286" t="s">
        <v>37</v>
      </c>
    </row>
    <row r="165" spans="1:16" hidden="1" x14ac:dyDescent="0.15">
      <c r="A165" s="286">
        <v>145112</v>
      </c>
      <c r="B165" s="288">
        <v>44953.381249999999</v>
      </c>
      <c r="C165" s="286" t="s">
        <v>1640</v>
      </c>
      <c r="D165" s="286" t="s">
        <v>1309</v>
      </c>
      <c r="E165" s="286" t="s">
        <v>1310</v>
      </c>
      <c r="F165" s="286" t="s">
        <v>1670</v>
      </c>
      <c r="G165" s="286" t="s">
        <v>1044</v>
      </c>
      <c r="H165" s="286" t="s">
        <v>1044</v>
      </c>
      <c r="I165" s="286" t="s">
        <v>1301</v>
      </c>
      <c r="J165" s="286" t="s">
        <v>1312</v>
      </c>
      <c r="K165" s="286" t="s">
        <v>56</v>
      </c>
      <c r="L165" s="286" t="s">
        <v>71</v>
      </c>
      <c r="M165" s="286">
        <v>1</v>
      </c>
      <c r="N165" s="287">
        <v>16750</v>
      </c>
      <c r="O165" s="287"/>
      <c r="P165" s="286" t="s">
        <v>55</v>
      </c>
    </row>
    <row r="166" spans="1:16" hidden="1" x14ac:dyDescent="0.15">
      <c r="A166" s="286">
        <v>214151</v>
      </c>
      <c r="B166" s="288">
        <v>45042.540277777778</v>
      </c>
      <c r="C166" s="286" t="s">
        <v>1657</v>
      </c>
      <c r="D166" s="286" t="s">
        <v>1309</v>
      </c>
      <c r="E166" s="286" t="s">
        <v>1310</v>
      </c>
      <c r="F166" s="286" t="s">
        <v>1658</v>
      </c>
      <c r="G166" s="286" t="s">
        <v>1011</v>
      </c>
      <c r="H166" s="286" t="s">
        <v>1011</v>
      </c>
      <c r="I166" s="286" t="s">
        <v>1108</v>
      </c>
      <c r="J166" s="286" t="s">
        <v>1312</v>
      </c>
      <c r="K166" s="286" t="s">
        <v>1751</v>
      </c>
      <c r="L166" s="286" t="s">
        <v>562</v>
      </c>
      <c r="M166" s="286">
        <v>1</v>
      </c>
      <c r="N166" s="287">
        <v>16525</v>
      </c>
      <c r="O166" s="305">
        <f>EOMONTH(B166,0)</f>
        <v>45046</v>
      </c>
      <c r="P166" s="286" t="s">
        <v>37</v>
      </c>
    </row>
    <row r="167" spans="1:16" hidden="1" x14ac:dyDescent="0.15">
      <c r="A167" s="286">
        <v>437831</v>
      </c>
      <c r="B167" s="288">
        <v>45282.6</v>
      </c>
      <c r="C167" s="286" t="s">
        <v>1632</v>
      </c>
      <c r="D167" s="286" t="s">
        <v>1105</v>
      </c>
      <c r="E167" s="286" t="s">
        <v>1106</v>
      </c>
      <c r="F167" s="286" t="s">
        <v>1656</v>
      </c>
      <c r="G167" s="286" t="s">
        <v>1036</v>
      </c>
      <c r="H167" s="286" t="s">
        <v>1036</v>
      </c>
      <c r="I167" s="286" t="s">
        <v>1301</v>
      </c>
      <c r="J167" s="286" t="s">
        <v>1312</v>
      </c>
      <c r="K167" s="286" t="s">
        <v>56</v>
      </c>
      <c r="L167" s="286" t="s">
        <v>71</v>
      </c>
      <c r="M167" s="286">
        <v>1</v>
      </c>
      <c r="N167" s="287">
        <v>16514</v>
      </c>
      <c r="O167" s="287"/>
      <c r="P167" s="286" t="s">
        <v>55</v>
      </c>
    </row>
    <row r="168" spans="1:16" hidden="1" x14ac:dyDescent="0.15">
      <c r="A168" s="286">
        <v>442744</v>
      </c>
      <c r="B168" s="288">
        <v>45300.341666666667</v>
      </c>
      <c r="C168" s="286" t="s">
        <v>1632</v>
      </c>
      <c r="D168" s="286" t="s">
        <v>1105</v>
      </c>
      <c r="E168" s="286" t="s">
        <v>1106</v>
      </c>
      <c r="F168" s="286" t="s">
        <v>1633</v>
      </c>
      <c r="G168" s="286" t="s">
        <v>1079</v>
      </c>
      <c r="H168" s="286" t="s">
        <v>1079</v>
      </c>
      <c r="I168" s="286" t="s">
        <v>1108</v>
      </c>
      <c r="J168" s="286" t="s">
        <v>1312</v>
      </c>
      <c r="K168" s="286" t="s">
        <v>1752</v>
      </c>
      <c r="L168" s="286" t="s">
        <v>693</v>
      </c>
      <c r="M168" s="286">
        <v>1</v>
      </c>
      <c r="N168" s="287">
        <v>16452</v>
      </c>
      <c r="O168" s="305">
        <f>EOMONTH(B168,0)</f>
        <v>45322</v>
      </c>
      <c r="P168" s="286" t="s">
        <v>37</v>
      </c>
    </row>
    <row r="169" spans="1:16" hidden="1" x14ac:dyDescent="0.15">
      <c r="A169" s="286">
        <v>170399</v>
      </c>
      <c r="B169" s="288">
        <v>44986.614583333336</v>
      </c>
      <c r="C169" s="286" t="s">
        <v>1640</v>
      </c>
      <c r="D169" s="286" t="s">
        <v>1105</v>
      </c>
      <c r="E169" s="286" t="s">
        <v>1106</v>
      </c>
      <c r="F169" s="286" t="s">
        <v>1720</v>
      </c>
      <c r="G169" s="286" t="s">
        <v>1079</v>
      </c>
      <c r="H169" s="286" t="s">
        <v>1079</v>
      </c>
      <c r="I169" s="286" t="s">
        <v>1199</v>
      </c>
      <c r="J169" s="286" t="s">
        <v>1312</v>
      </c>
      <c r="K169" s="286" t="s">
        <v>53</v>
      </c>
      <c r="L169" s="286" t="s">
        <v>53</v>
      </c>
      <c r="M169" s="286" t="s">
        <v>53</v>
      </c>
      <c r="N169" s="287">
        <v>16295.25</v>
      </c>
      <c r="O169" s="287"/>
      <c r="P169" s="286" t="s">
        <v>58</v>
      </c>
    </row>
    <row r="170" spans="1:16" hidden="1" x14ac:dyDescent="0.15">
      <c r="A170" s="286">
        <v>170298</v>
      </c>
      <c r="B170" s="288">
        <v>44986.623611111114</v>
      </c>
      <c r="C170" s="286" t="s">
        <v>1638</v>
      </c>
      <c r="D170" s="286" t="s">
        <v>1105</v>
      </c>
      <c r="E170" s="286" t="s">
        <v>1106</v>
      </c>
      <c r="F170" s="286" t="s">
        <v>1721</v>
      </c>
      <c r="G170" s="286" t="s">
        <v>1079</v>
      </c>
      <c r="H170" s="286" t="s">
        <v>1079</v>
      </c>
      <c r="I170" s="286" t="s">
        <v>1199</v>
      </c>
      <c r="J170" s="286" t="s">
        <v>1312</v>
      </c>
      <c r="K170" s="286" t="s">
        <v>53</v>
      </c>
      <c r="L170" s="286" t="s">
        <v>53</v>
      </c>
      <c r="M170" s="286" t="s">
        <v>53</v>
      </c>
      <c r="N170" s="287">
        <v>16295.25</v>
      </c>
      <c r="O170" s="287"/>
      <c r="P170" s="286" t="s">
        <v>58</v>
      </c>
    </row>
    <row r="171" spans="1:16" hidden="1" x14ac:dyDescent="0.15">
      <c r="A171" s="286">
        <v>185846</v>
      </c>
      <c r="B171" s="288">
        <v>45005.724305555559</v>
      </c>
      <c r="C171" s="286" t="s">
        <v>1667</v>
      </c>
      <c r="D171" s="286" t="s">
        <v>1105</v>
      </c>
      <c r="E171" s="286" t="s">
        <v>1106</v>
      </c>
      <c r="F171" s="286" t="s">
        <v>1702</v>
      </c>
      <c r="G171" s="286" t="s">
        <v>1079</v>
      </c>
      <c r="H171" s="286" t="s">
        <v>1079</v>
      </c>
      <c r="I171" s="286" t="s">
        <v>1199</v>
      </c>
      <c r="J171" s="286" t="s">
        <v>1312</v>
      </c>
      <c r="K171" s="286" t="s">
        <v>53</v>
      </c>
      <c r="L171" s="286" t="s">
        <v>53</v>
      </c>
      <c r="M171" s="286" t="s">
        <v>53</v>
      </c>
      <c r="N171" s="287">
        <v>16295.25</v>
      </c>
      <c r="O171" s="287"/>
      <c r="P171" s="286" t="s">
        <v>58</v>
      </c>
    </row>
    <row r="172" spans="1:16" hidden="1" x14ac:dyDescent="0.15">
      <c r="A172" s="286">
        <v>201556</v>
      </c>
      <c r="B172" s="288">
        <v>45029.540972222225</v>
      </c>
      <c r="C172" s="286" t="s">
        <v>1657</v>
      </c>
      <c r="D172" s="286" t="s">
        <v>1105</v>
      </c>
      <c r="E172" s="286" t="s">
        <v>1106</v>
      </c>
      <c r="F172" s="286" t="s">
        <v>1722</v>
      </c>
      <c r="G172" s="286" t="s">
        <v>1079</v>
      </c>
      <c r="H172" s="286" t="s">
        <v>1079</v>
      </c>
      <c r="I172" s="286" t="s">
        <v>1199</v>
      </c>
      <c r="J172" s="286" t="s">
        <v>1312</v>
      </c>
      <c r="K172" s="286" t="s">
        <v>53</v>
      </c>
      <c r="L172" s="286" t="s">
        <v>53</v>
      </c>
      <c r="M172" s="286" t="s">
        <v>53</v>
      </c>
      <c r="N172" s="287">
        <v>16295.25</v>
      </c>
      <c r="O172" s="287"/>
      <c r="P172" s="286" t="s">
        <v>58</v>
      </c>
    </row>
    <row r="173" spans="1:16" hidden="1" x14ac:dyDescent="0.15">
      <c r="A173" s="286">
        <v>225409</v>
      </c>
      <c r="B173" s="288">
        <v>45058.522222222222</v>
      </c>
      <c r="C173" s="286" t="s">
        <v>1665</v>
      </c>
      <c r="D173" s="286" t="s">
        <v>1105</v>
      </c>
      <c r="E173" s="286" t="s">
        <v>1106</v>
      </c>
      <c r="F173" s="286" t="s">
        <v>1723</v>
      </c>
      <c r="G173" s="286" t="s">
        <v>1079</v>
      </c>
      <c r="H173" s="286" t="s">
        <v>1079</v>
      </c>
      <c r="I173" s="286" t="s">
        <v>1199</v>
      </c>
      <c r="J173" s="286" t="s">
        <v>1312</v>
      </c>
      <c r="K173" s="286" t="s">
        <v>53</v>
      </c>
      <c r="L173" s="286" t="s">
        <v>53</v>
      </c>
      <c r="M173" s="286" t="s">
        <v>53</v>
      </c>
      <c r="N173" s="287">
        <v>16295.25</v>
      </c>
      <c r="O173" s="287"/>
      <c r="P173" s="286" t="s">
        <v>58</v>
      </c>
    </row>
    <row r="174" spans="1:16" hidden="1" x14ac:dyDescent="0.15">
      <c r="A174" s="286">
        <v>278788</v>
      </c>
      <c r="B174" s="288">
        <v>45118.57708333333</v>
      </c>
      <c r="C174" s="286" t="s">
        <v>1649</v>
      </c>
      <c r="D174" s="286" t="s">
        <v>1105</v>
      </c>
      <c r="E174" s="286" t="s">
        <v>1106</v>
      </c>
      <c r="F174" s="286" t="s">
        <v>1712</v>
      </c>
      <c r="G174" s="286" t="s">
        <v>1079</v>
      </c>
      <c r="H174" s="286" t="s">
        <v>1079</v>
      </c>
      <c r="I174" s="286" t="s">
        <v>1199</v>
      </c>
      <c r="J174" s="286" t="s">
        <v>53</v>
      </c>
      <c r="K174" s="286" t="s">
        <v>53</v>
      </c>
      <c r="L174" s="286" t="s">
        <v>53</v>
      </c>
      <c r="M174" s="286" t="s">
        <v>53</v>
      </c>
      <c r="N174" s="287">
        <v>16295.25</v>
      </c>
      <c r="O174" s="287"/>
      <c r="P174" s="286" t="s">
        <v>58</v>
      </c>
    </row>
    <row r="175" spans="1:16" hidden="1" x14ac:dyDescent="0.15">
      <c r="A175" s="286">
        <v>284271</v>
      </c>
      <c r="B175" s="288">
        <v>45121.682638888888</v>
      </c>
      <c r="C175" s="286" t="s">
        <v>1636</v>
      </c>
      <c r="D175" s="286" t="s">
        <v>1105</v>
      </c>
      <c r="E175" s="286" t="s">
        <v>1106</v>
      </c>
      <c r="F175" s="286" t="s">
        <v>1713</v>
      </c>
      <c r="G175" s="286" t="s">
        <v>1079</v>
      </c>
      <c r="H175" s="286" t="s">
        <v>1079</v>
      </c>
      <c r="I175" s="286" t="s">
        <v>1199</v>
      </c>
      <c r="J175" s="286" t="s">
        <v>53</v>
      </c>
      <c r="K175" s="286" t="s">
        <v>53</v>
      </c>
      <c r="L175" s="286" t="s">
        <v>53</v>
      </c>
      <c r="M175" s="286" t="s">
        <v>53</v>
      </c>
      <c r="N175" s="287">
        <v>16295.25</v>
      </c>
      <c r="O175" s="287"/>
      <c r="P175" s="286" t="s">
        <v>58</v>
      </c>
    </row>
    <row r="176" spans="1:16" hidden="1" x14ac:dyDescent="0.15">
      <c r="A176" s="286">
        <v>328287</v>
      </c>
      <c r="B176" s="288">
        <v>45161.62777777778</v>
      </c>
      <c r="C176" s="286" t="s">
        <v>1691</v>
      </c>
      <c r="D176" s="286" t="s">
        <v>1105</v>
      </c>
      <c r="E176" s="286" t="s">
        <v>1106</v>
      </c>
      <c r="F176" s="286" t="s">
        <v>1714</v>
      </c>
      <c r="G176" s="286" t="s">
        <v>1079</v>
      </c>
      <c r="H176" s="286" t="s">
        <v>1079</v>
      </c>
      <c r="I176" s="286" t="s">
        <v>1199</v>
      </c>
      <c r="J176" s="286" t="s">
        <v>53</v>
      </c>
      <c r="K176" s="286" t="s">
        <v>53</v>
      </c>
      <c r="L176" s="286" t="s">
        <v>53</v>
      </c>
      <c r="M176" s="286" t="s">
        <v>53</v>
      </c>
      <c r="N176" s="287">
        <v>16295.25</v>
      </c>
      <c r="O176" s="287"/>
      <c r="P176" s="286" t="s">
        <v>58</v>
      </c>
    </row>
    <row r="177" spans="1:16" hidden="1" x14ac:dyDescent="0.15">
      <c r="A177" s="286">
        <v>339870</v>
      </c>
      <c r="B177" s="288">
        <v>45177.481944444444</v>
      </c>
      <c r="C177" s="286" t="s">
        <v>1676</v>
      </c>
      <c r="D177" s="286" t="s">
        <v>1105</v>
      </c>
      <c r="E177" s="286" t="s">
        <v>1106</v>
      </c>
      <c r="F177" s="286" t="s">
        <v>1715</v>
      </c>
      <c r="G177" s="286" t="s">
        <v>1079</v>
      </c>
      <c r="H177" s="286" t="s">
        <v>1079</v>
      </c>
      <c r="I177" s="286" t="s">
        <v>1199</v>
      </c>
      <c r="J177" s="286" t="s">
        <v>53</v>
      </c>
      <c r="K177" s="286" t="s">
        <v>53</v>
      </c>
      <c r="L177" s="286" t="s">
        <v>53</v>
      </c>
      <c r="M177" s="286" t="s">
        <v>53</v>
      </c>
      <c r="N177" s="287">
        <v>16295.25</v>
      </c>
      <c r="O177" s="287"/>
      <c r="P177" s="286" t="s">
        <v>58</v>
      </c>
    </row>
    <row r="178" spans="1:16" hidden="1" x14ac:dyDescent="0.15">
      <c r="A178" s="286">
        <v>370270</v>
      </c>
      <c r="B178" s="288">
        <v>45208.668055555558</v>
      </c>
      <c r="C178" s="286" t="s">
        <v>1642</v>
      </c>
      <c r="D178" s="286" t="s">
        <v>1105</v>
      </c>
      <c r="E178" s="286" t="s">
        <v>1106</v>
      </c>
      <c r="F178" s="286" t="s">
        <v>1716</v>
      </c>
      <c r="G178" s="286" t="s">
        <v>1079</v>
      </c>
      <c r="H178" s="286" t="s">
        <v>1079</v>
      </c>
      <c r="I178" s="286" t="s">
        <v>1199</v>
      </c>
      <c r="J178" s="286" t="s">
        <v>53</v>
      </c>
      <c r="K178" s="286" t="s">
        <v>53</v>
      </c>
      <c r="L178" s="286" t="s">
        <v>53</v>
      </c>
      <c r="M178" s="286" t="s">
        <v>53</v>
      </c>
      <c r="N178" s="287">
        <v>16295.25</v>
      </c>
      <c r="O178" s="287"/>
      <c r="P178" s="286" t="s">
        <v>58</v>
      </c>
    </row>
    <row r="179" spans="1:16" hidden="1" x14ac:dyDescent="0.15">
      <c r="A179" s="286">
        <v>402221</v>
      </c>
      <c r="B179" s="288">
        <v>45243.579861111109</v>
      </c>
      <c r="C179" s="286" t="s">
        <v>1654</v>
      </c>
      <c r="D179" s="286" t="s">
        <v>1105</v>
      </c>
      <c r="E179" s="286" t="s">
        <v>1106</v>
      </c>
      <c r="F179" s="286" t="s">
        <v>1724</v>
      </c>
      <c r="G179" s="286" t="s">
        <v>1079</v>
      </c>
      <c r="H179" s="286" t="s">
        <v>1079</v>
      </c>
      <c r="I179" s="286" t="s">
        <v>1199</v>
      </c>
      <c r="J179" s="286" t="s">
        <v>53</v>
      </c>
      <c r="K179" s="286" t="s">
        <v>53</v>
      </c>
      <c r="L179" s="286" t="s">
        <v>53</v>
      </c>
      <c r="M179" s="286" t="s">
        <v>53</v>
      </c>
      <c r="N179" s="287">
        <v>16295.25</v>
      </c>
      <c r="O179" s="287"/>
      <c r="P179" s="286" t="s">
        <v>58</v>
      </c>
    </row>
    <row r="180" spans="1:16" hidden="1" x14ac:dyDescent="0.15">
      <c r="A180" s="286">
        <v>455146</v>
      </c>
      <c r="B180" s="288">
        <v>45310.510416666664</v>
      </c>
      <c r="C180" s="286" t="s">
        <v>1632</v>
      </c>
      <c r="D180" s="286" t="s">
        <v>1105</v>
      </c>
      <c r="E180" s="286" t="s">
        <v>1106</v>
      </c>
      <c r="F180" s="286" t="s">
        <v>1725</v>
      </c>
      <c r="G180" s="286" t="s">
        <v>1079</v>
      </c>
      <c r="H180" s="286" t="s">
        <v>1079</v>
      </c>
      <c r="I180" s="286" t="s">
        <v>1199</v>
      </c>
      <c r="J180" s="286" t="s">
        <v>53</v>
      </c>
      <c r="K180" s="286" t="s">
        <v>53</v>
      </c>
      <c r="L180" s="286" t="s">
        <v>53</v>
      </c>
      <c r="M180" s="286" t="s">
        <v>53</v>
      </c>
      <c r="N180" s="287">
        <v>16295.25</v>
      </c>
      <c r="O180" s="287"/>
      <c r="P180" s="286" t="s">
        <v>58</v>
      </c>
    </row>
    <row r="181" spans="1:16" hidden="1" x14ac:dyDescent="0.15">
      <c r="A181" s="286">
        <v>142599</v>
      </c>
      <c r="B181" s="288">
        <v>44950.433333333334</v>
      </c>
      <c r="C181" s="286" t="s">
        <v>1640</v>
      </c>
      <c r="D181" s="286" t="s">
        <v>1105</v>
      </c>
      <c r="E181" s="286" t="s">
        <v>1106</v>
      </c>
      <c r="F181" s="286" t="s">
        <v>1747</v>
      </c>
      <c r="G181" s="286" t="s">
        <v>1025</v>
      </c>
      <c r="H181" s="286" t="s">
        <v>1025</v>
      </c>
      <c r="I181" s="286" t="s">
        <v>1112</v>
      </c>
      <c r="J181" s="286" t="s">
        <v>1312</v>
      </c>
      <c r="K181" s="286" t="s">
        <v>53</v>
      </c>
      <c r="L181" s="286" t="s">
        <v>53</v>
      </c>
      <c r="M181" s="286" t="s">
        <v>53</v>
      </c>
      <c r="N181" s="287">
        <v>16272</v>
      </c>
      <c r="O181" s="287"/>
      <c r="P181" s="286" t="s">
        <v>175</v>
      </c>
    </row>
    <row r="182" spans="1:16" hidden="1" x14ac:dyDescent="0.15">
      <c r="A182" s="286">
        <v>290113</v>
      </c>
      <c r="B182" s="288">
        <v>45127.462500000001</v>
      </c>
      <c r="C182" s="286" t="s">
        <v>1636</v>
      </c>
      <c r="D182" s="286" t="s">
        <v>1105</v>
      </c>
      <c r="E182" s="286" t="s">
        <v>1106</v>
      </c>
      <c r="F182" s="286" t="s">
        <v>1753</v>
      </c>
      <c r="G182" s="286" t="s">
        <v>1073</v>
      </c>
      <c r="H182" s="286" t="s">
        <v>1073</v>
      </c>
      <c r="I182" s="286" t="s">
        <v>1199</v>
      </c>
      <c r="J182" s="286" t="s">
        <v>1312</v>
      </c>
      <c r="K182" s="286" t="s">
        <v>1754</v>
      </c>
      <c r="L182" s="286" t="s">
        <v>672</v>
      </c>
      <c r="M182" s="286">
        <v>1</v>
      </c>
      <c r="N182" s="287">
        <v>16252.95</v>
      </c>
      <c r="O182" s="287"/>
      <c r="P182" s="286" t="s">
        <v>58</v>
      </c>
    </row>
    <row r="183" spans="1:16" hidden="1" x14ac:dyDescent="0.15">
      <c r="A183" s="286">
        <v>328287</v>
      </c>
      <c r="B183" s="288">
        <v>45161.62777777778</v>
      </c>
      <c r="C183" s="286" t="s">
        <v>1691</v>
      </c>
      <c r="D183" s="286" t="s">
        <v>1105</v>
      </c>
      <c r="E183" s="286" t="s">
        <v>1106</v>
      </c>
      <c r="F183" s="286" t="s">
        <v>1714</v>
      </c>
      <c r="G183" s="286" t="s">
        <v>1073</v>
      </c>
      <c r="H183" s="286" t="s">
        <v>1073</v>
      </c>
      <c r="I183" s="286" t="s">
        <v>1199</v>
      </c>
      <c r="J183" s="286" t="s">
        <v>1312</v>
      </c>
      <c r="K183" s="286" t="s">
        <v>1754</v>
      </c>
      <c r="L183" s="286" t="s">
        <v>672</v>
      </c>
      <c r="M183" s="286">
        <v>1</v>
      </c>
      <c r="N183" s="287">
        <v>16252.95</v>
      </c>
      <c r="O183" s="287"/>
      <c r="P183" s="286" t="s">
        <v>58</v>
      </c>
    </row>
    <row r="184" spans="1:16" hidden="1" x14ac:dyDescent="0.15">
      <c r="A184" s="286">
        <v>339870</v>
      </c>
      <c r="B184" s="288">
        <v>45177.481944444444</v>
      </c>
      <c r="C184" s="286" t="s">
        <v>1676</v>
      </c>
      <c r="D184" s="286" t="s">
        <v>1105</v>
      </c>
      <c r="E184" s="286" t="s">
        <v>1106</v>
      </c>
      <c r="F184" s="286" t="s">
        <v>1715</v>
      </c>
      <c r="G184" s="286" t="s">
        <v>1073</v>
      </c>
      <c r="H184" s="286" t="s">
        <v>1073</v>
      </c>
      <c r="I184" s="286" t="s">
        <v>1199</v>
      </c>
      <c r="J184" s="286" t="s">
        <v>1312</v>
      </c>
      <c r="K184" s="286" t="s">
        <v>1754</v>
      </c>
      <c r="L184" s="286" t="s">
        <v>672</v>
      </c>
      <c r="M184" s="286">
        <v>1</v>
      </c>
      <c r="N184" s="287">
        <v>16252.95</v>
      </c>
      <c r="O184" s="287"/>
      <c r="P184" s="286" t="s">
        <v>58</v>
      </c>
    </row>
    <row r="185" spans="1:16" hidden="1" x14ac:dyDescent="0.15">
      <c r="A185" s="286">
        <v>370270</v>
      </c>
      <c r="B185" s="288">
        <v>45208.668055555558</v>
      </c>
      <c r="C185" s="286" t="s">
        <v>1642</v>
      </c>
      <c r="D185" s="286" t="s">
        <v>1105</v>
      </c>
      <c r="E185" s="286" t="s">
        <v>1106</v>
      </c>
      <c r="F185" s="286" t="s">
        <v>1716</v>
      </c>
      <c r="G185" s="286" t="s">
        <v>1073</v>
      </c>
      <c r="H185" s="286" t="s">
        <v>1073</v>
      </c>
      <c r="I185" s="286" t="s">
        <v>1199</v>
      </c>
      <c r="J185" s="286" t="s">
        <v>1312</v>
      </c>
      <c r="K185" s="286" t="s">
        <v>1754</v>
      </c>
      <c r="L185" s="286" t="s">
        <v>672</v>
      </c>
      <c r="M185" s="286">
        <v>1</v>
      </c>
      <c r="N185" s="287">
        <v>16252.95</v>
      </c>
      <c r="O185" s="287"/>
      <c r="P185" s="286" t="s">
        <v>58</v>
      </c>
    </row>
    <row r="186" spans="1:16" hidden="1" x14ac:dyDescent="0.15">
      <c r="A186" s="286">
        <v>402221</v>
      </c>
      <c r="B186" s="288">
        <v>45243.579861111109</v>
      </c>
      <c r="C186" s="286" t="s">
        <v>1654</v>
      </c>
      <c r="D186" s="286" t="s">
        <v>1105</v>
      </c>
      <c r="E186" s="286" t="s">
        <v>1106</v>
      </c>
      <c r="F186" s="286" t="s">
        <v>1724</v>
      </c>
      <c r="G186" s="286" t="s">
        <v>1073</v>
      </c>
      <c r="H186" s="286" t="s">
        <v>1073</v>
      </c>
      <c r="I186" s="286" t="s">
        <v>1199</v>
      </c>
      <c r="J186" s="286" t="s">
        <v>1312</v>
      </c>
      <c r="K186" s="286" t="s">
        <v>1754</v>
      </c>
      <c r="L186" s="286" t="s">
        <v>672</v>
      </c>
      <c r="M186" s="286">
        <v>1</v>
      </c>
      <c r="N186" s="287">
        <v>16252.95</v>
      </c>
      <c r="O186" s="287"/>
      <c r="P186" s="286" t="s">
        <v>58</v>
      </c>
    </row>
    <row r="187" spans="1:16" hidden="1" x14ac:dyDescent="0.15">
      <c r="A187" s="286">
        <v>455146</v>
      </c>
      <c r="B187" s="288">
        <v>45310.510416666664</v>
      </c>
      <c r="C187" s="286" t="s">
        <v>1632</v>
      </c>
      <c r="D187" s="286" t="s">
        <v>1105</v>
      </c>
      <c r="E187" s="286" t="s">
        <v>1106</v>
      </c>
      <c r="F187" s="286" t="s">
        <v>1725</v>
      </c>
      <c r="G187" s="286" t="s">
        <v>1073</v>
      </c>
      <c r="H187" s="286" t="s">
        <v>1073</v>
      </c>
      <c r="I187" s="286" t="s">
        <v>1199</v>
      </c>
      <c r="J187" s="286" t="s">
        <v>1312</v>
      </c>
      <c r="K187" s="286" t="s">
        <v>1754</v>
      </c>
      <c r="L187" s="286" t="s">
        <v>672</v>
      </c>
      <c r="M187" s="286">
        <v>1</v>
      </c>
      <c r="N187" s="287">
        <v>16252.95</v>
      </c>
      <c r="O187" s="287"/>
      <c r="P187" s="286" t="s">
        <v>58</v>
      </c>
    </row>
    <row r="188" spans="1:16" hidden="1" x14ac:dyDescent="0.15">
      <c r="A188" s="286">
        <v>418370</v>
      </c>
      <c r="B188" s="288">
        <v>45261.45416666667</v>
      </c>
      <c r="C188" s="286" t="s">
        <v>1654</v>
      </c>
      <c r="D188" s="286" t="s">
        <v>1105</v>
      </c>
      <c r="E188" s="286" t="s">
        <v>1106</v>
      </c>
      <c r="F188" s="286" t="s">
        <v>1655</v>
      </c>
      <c r="G188" s="286" t="s">
        <v>1034</v>
      </c>
      <c r="H188" s="286" t="s">
        <v>1034</v>
      </c>
      <c r="I188" s="286" t="s">
        <v>1121</v>
      </c>
      <c r="J188" s="286" t="s">
        <v>1312</v>
      </c>
      <c r="K188" s="286" t="s">
        <v>917</v>
      </c>
      <c r="L188" s="286" t="s">
        <v>250</v>
      </c>
      <c r="M188" s="286">
        <v>1</v>
      </c>
      <c r="N188" s="287">
        <v>16085</v>
      </c>
      <c r="O188" s="287"/>
      <c r="P188" s="286" t="s">
        <v>248</v>
      </c>
    </row>
    <row r="189" spans="1:16" hidden="1" x14ac:dyDescent="0.15">
      <c r="A189" s="286">
        <v>278788</v>
      </c>
      <c r="B189" s="288">
        <v>45118.57708333333</v>
      </c>
      <c r="C189" s="286" t="s">
        <v>1649</v>
      </c>
      <c r="D189" s="286" t="s">
        <v>1105</v>
      </c>
      <c r="E189" s="286" t="s">
        <v>1106</v>
      </c>
      <c r="F189" s="286" t="s">
        <v>1712</v>
      </c>
      <c r="G189" s="286" t="s">
        <v>1075</v>
      </c>
      <c r="H189" s="286" t="s">
        <v>1075</v>
      </c>
      <c r="I189" s="286" t="s">
        <v>1228</v>
      </c>
      <c r="J189" s="286" t="s">
        <v>53</v>
      </c>
      <c r="K189" s="286" t="s">
        <v>53</v>
      </c>
      <c r="L189" s="286" t="s">
        <v>53</v>
      </c>
      <c r="M189" s="286" t="s">
        <v>53</v>
      </c>
      <c r="N189" s="287">
        <v>15955.42</v>
      </c>
      <c r="O189" s="287"/>
      <c r="P189" s="286" t="s">
        <v>58</v>
      </c>
    </row>
    <row r="190" spans="1:16" hidden="1" x14ac:dyDescent="0.15">
      <c r="A190" s="286">
        <v>284271</v>
      </c>
      <c r="B190" s="288">
        <v>45121.682638888888</v>
      </c>
      <c r="C190" s="286" t="s">
        <v>1636</v>
      </c>
      <c r="D190" s="286" t="s">
        <v>1105</v>
      </c>
      <c r="E190" s="286" t="s">
        <v>1106</v>
      </c>
      <c r="F190" s="286" t="s">
        <v>1713</v>
      </c>
      <c r="G190" s="286" t="s">
        <v>1075</v>
      </c>
      <c r="H190" s="286" t="s">
        <v>1075</v>
      </c>
      <c r="I190" s="286" t="s">
        <v>1228</v>
      </c>
      <c r="J190" s="286" t="s">
        <v>53</v>
      </c>
      <c r="K190" s="286" t="s">
        <v>53</v>
      </c>
      <c r="L190" s="286" t="s">
        <v>53</v>
      </c>
      <c r="M190" s="286" t="s">
        <v>53</v>
      </c>
      <c r="N190" s="287">
        <v>15955.42</v>
      </c>
      <c r="O190" s="287"/>
      <c r="P190" s="286" t="s">
        <v>58</v>
      </c>
    </row>
    <row r="191" spans="1:16" hidden="1" x14ac:dyDescent="0.15">
      <c r="A191" s="286">
        <v>328287</v>
      </c>
      <c r="B191" s="288">
        <v>45161.62777777778</v>
      </c>
      <c r="C191" s="286" t="s">
        <v>1691</v>
      </c>
      <c r="D191" s="286" t="s">
        <v>1105</v>
      </c>
      <c r="E191" s="286" t="s">
        <v>1106</v>
      </c>
      <c r="F191" s="286" t="s">
        <v>1714</v>
      </c>
      <c r="G191" s="286" t="s">
        <v>1075</v>
      </c>
      <c r="H191" s="286" t="s">
        <v>1075</v>
      </c>
      <c r="I191" s="286" t="s">
        <v>1228</v>
      </c>
      <c r="J191" s="286" t="s">
        <v>53</v>
      </c>
      <c r="K191" s="286" t="s">
        <v>53</v>
      </c>
      <c r="L191" s="286" t="s">
        <v>53</v>
      </c>
      <c r="M191" s="286" t="s">
        <v>53</v>
      </c>
      <c r="N191" s="287">
        <v>15955.42</v>
      </c>
      <c r="O191" s="287"/>
      <c r="P191" s="286" t="s">
        <v>58</v>
      </c>
    </row>
    <row r="192" spans="1:16" hidden="1" x14ac:dyDescent="0.15">
      <c r="A192" s="286">
        <v>339870</v>
      </c>
      <c r="B192" s="288">
        <v>45177.481944444444</v>
      </c>
      <c r="C192" s="286" t="s">
        <v>1676</v>
      </c>
      <c r="D192" s="286" t="s">
        <v>1105</v>
      </c>
      <c r="E192" s="286" t="s">
        <v>1106</v>
      </c>
      <c r="F192" s="286" t="s">
        <v>1715</v>
      </c>
      <c r="G192" s="286" t="s">
        <v>1075</v>
      </c>
      <c r="H192" s="286" t="s">
        <v>1075</v>
      </c>
      <c r="I192" s="286" t="s">
        <v>1228</v>
      </c>
      <c r="J192" s="286" t="s">
        <v>53</v>
      </c>
      <c r="K192" s="286" t="s">
        <v>53</v>
      </c>
      <c r="L192" s="286" t="s">
        <v>53</v>
      </c>
      <c r="M192" s="286" t="s">
        <v>53</v>
      </c>
      <c r="N192" s="287">
        <v>15955.42</v>
      </c>
      <c r="O192" s="287"/>
      <c r="P192" s="286" t="s">
        <v>58</v>
      </c>
    </row>
    <row r="193" spans="1:16" hidden="1" x14ac:dyDescent="0.15">
      <c r="A193" s="286">
        <v>370270</v>
      </c>
      <c r="B193" s="288">
        <v>45208.668055555558</v>
      </c>
      <c r="C193" s="286" t="s">
        <v>1642</v>
      </c>
      <c r="D193" s="286" t="s">
        <v>1105</v>
      </c>
      <c r="E193" s="286" t="s">
        <v>1106</v>
      </c>
      <c r="F193" s="286" t="s">
        <v>1716</v>
      </c>
      <c r="G193" s="286" t="s">
        <v>1075</v>
      </c>
      <c r="H193" s="286" t="s">
        <v>1075</v>
      </c>
      <c r="I193" s="286" t="s">
        <v>1228</v>
      </c>
      <c r="J193" s="286" t="s">
        <v>53</v>
      </c>
      <c r="K193" s="286" t="s">
        <v>53</v>
      </c>
      <c r="L193" s="286" t="s">
        <v>53</v>
      </c>
      <c r="M193" s="286" t="s">
        <v>53</v>
      </c>
      <c r="N193" s="287">
        <v>15955.42</v>
      </c>
      <c r="O193" s="287"/>
      <c r="P193" s="286" t="s">
        <v>58</v>
      </c>
    </row>
    <row r="194" spans="1:16" hidden="1" x14ac:dyDescent="0.15">
      <c r="A194" s="286">
        <v>402221</v>
      </c>
      <c r="B194" s="288">
        <v>45243.579861111109</v>
      </c>
      <c r="C194" s="286" t="s">
        <v>1654</v>
      </c>
      <c r="D194" s="286" t="s">
        <v>1105</v>
      </c>
      <c r="E194" s="286" t="s">
        <v>1106</v>
      </c>
      <c r="F194" s="286" t="s">
        <v>1724</v>
      </c>
      <c r="G194" s="286" t="s">
        <v>1075</v>
      </c>
      <c r="H194" s="286" t="s">
        <v>1075</v>
      </c>
      <c r="I194" s="286" t="s">
        <v>1228</v>
      </c>
      <c r="J194" s="286" t="s">
        <v>53</v>
      </c>
      <c r="K194" s="286" t="s">
        <v>53</v>
      </c>
      <c r="L194" s="286" t="s">
        <v>53</v>
      </c>
      <c r="M194" s="286" t="s">
        <v>53</v>
      </c>
      <c r="N194" s="287">
        <v>15955.42</v>
      </c>
      <c r="O194" s="287"/>
      <c r="P194" s="286" t="s">
        <v>58</v>
      </c>
    </row>
    <row r="195" spans="1:16" hidden="1" x14ac:dyDescent="0.15">
      <c r="A195" s="286">
        <v>455146</v>
      </c>
      <c r="B195" s="288">
        <v>45310.510416666664</v>
      </c>
      <c r="C195" s="286" t="s">
        <v>1632</v>
      </c>
      <c r="D195" s="286" t="s">
        <v>1105</v>
      </c>
      <c r="E195" s="286" t="s">
        <v>1106</v>
      </c>
      <c r="F195" s="286" t="s">
        <v>1725</v>
      </c>
      <c r="G195" s="286" t="s">
        <v>1075</v>
      </c>
      <c r="H195" s="286" t="s">
        <v>1075</v>
      </c>
      <c r="I195" s="286" t="s">
        <v>1228</v>
      </c>
      <c r="J195" s="286" t="s">
        <v>53</v>
      </c>
      <c r="K195" s="286" t="s">
        <v>53</v>
      </c>
      <c r="L195" s="286" t="s">
        <v>53</v>
      </c>
      <c r="M195" s="286" t="s">
        <v>53</v>
      </c>
      <c r="N195" s="287">
        <v>15955.39</v>
      </c>
      <c r="O195" s="287"/>
      <c r="P195" s="286" t="s">
        <v>58</v>
      </c>
    </row>
    <row r="196" spans="1:16" hidden="1" x14ac:dyDescent="0.15">
      <c r="A196" s="286">
        <v>145112</v>
      </c>
      <c r="B196" s="288">
        <v>44953.381249999999</v>
      </c>
      <c r="C196" s="286" t="s">
        <v>1640</v>
      </c>
      <c r="D196" s="286" t="s">
        <v>1309</v>
      </c>
      <c r="E196" s="286" t="s">
        <v>1310</v>
      </c>
      <c r="F196" s="286" t="s">
        <v>1670</v>
      </c>
      <c r="G196" s="286" t="s">
        <v>1044</v>
      </c>
      <c r="H196" s="286" t="s">
        <v>1044</v>
      </c>
      <c r="I196" s="286" t="s">
        <v>1108</v>
      </c>
      <c r="J196" s="286" t="s">
        <v>1312</v>
      </c>
      <c r="K196" s="286" t="s">
        <v>1591</v>
      </c>
      <c r="L196" s="286" t="s">
        <v>439</v>
      </c>
      <c r="M196" s="286">
        <v>1</v>
      </c>
      <c r="N196" s="287">
        <v>15741.53</v>
      </c>
      <c r="O196" s="305">
        <f>EOMONTH(B196,0)</f>
        <v>44957</v>
      </c>
      <c r="P196" s="286" t="s">
        <v>37</v>
      </c>
    </row>
    <row r="197" spans="1:16" hidden="1" x14ac:dyDescent="0.15">
      <c r="A197" s="286">
        <v>455146</v>
      </c>
      <c r="B197" s="288">
        <v>45310.510416666664</v>
      </c>
      <c r="C197" s="286" t="s">
        <v>1632</v>
      </c>
      <c r="D197" s="286" t="s">
        <v>1105</v>
      </c>
      <c r="E197" s="286" t="s">
        <v>1106</v>
      </c>
      <c r="F197" s="286" t="s">
        <v>1725</v>
      </c>
      <c r="G197" s="286" t="s">
        <v>1075</v>
      </c>
      <c r="H197" s="286" t="s">
        <v>1075</v>
      </c>
      <c r="I197" s="286" t="s">
        <v>1228</v>
      </c>
      <c r="J197" s="286" t="s">
        <v>53</v>
      </c>
      <c r="K197" s="286" t="s">
        <v>53</v>
      </c>
      <c r="L197" s="286" t="s">
        <v>53</v>
      </c>
      <c r="M197" s="286" t="s">
        <v>53</v>
      </c>
      <c r="N197" s="287">
        <v>15224.61</v>
      </c>
      <c r="O197" s="287"/>
      <c r="P197" s="286" t="s">
        <v>58</v>
      </c>
    </row>
    <row r="198" spans="1:16" hidden="1" x14ac:dyDescent="0.15">
      <c r="A198" s="286">
        <v>170499</v>
      </c>
      <c r="B198" s="288">
        <v>44986.615972222222</v>
      </c>
      <c r="C198" s="286" t="s">
        <v>1640</v>
      </c>
      <c r="D198" s="286" t="s">
        <v>1105</v>
      </c>
      <c r="E198" s="286" t="s">
        <v>1106</v>
      </c>
      <c r="F198" s="286" t="s">
        <v>1755</v>
      </c>
      <c r="G198" s="286" t="s">
        <v>1075</v>
      </c>
      <c r="H198" s="286" t="s">
        <v>1075</v>
      </c>
      <c r="I198" s="286" t="s">
        <v>1228</v>
      </c>
      <c r="J198" s="286" t="s">
        <v>1312</v>
      </c>
      <c r="K198" s="286" t="s">
        <v>53</v>
      </c>
      <c r="L198" s="286" t="s">
        <v>53</v>
      </c>
      <c r="M198" s="286" t="s">
        <v>53</v>
      </c>
      <c r="N198" s="287">
        <v>15224.58</v>
      </c>
      <c r="O198" s="287"/>
      <c r="P198" s="286" t="s">
        <v>58</v>
      </c>
    </row>
    <row r="199" spans="1:16" hidden="1" x14ac:dyDescent="0.15">
      <c r="A199" s="286">
        <v>170298</v>
      </c>
      <c r="B199" s="288">
        <v>44986.623611111114</v>
      </c>
      <c r="C199" s="286" t="s">
        <v>1638</v>
      </c>
      <c r="D199" s="286" t="s">
        <v>1105</v>
      </c>
      <c r="E199" s="286" t="s">
        <v>1106</v>
      </c>
      <c r="F199" s="286" t="s">
        <v>1721</v>
      </c>
      <c r="G199" s="286" t="s">
        <v>1075</v>
      </c>
      <c r="H199" s="286" t="s">
        <v>1075</v>
      </c>
      <c r="I199" s="286" t="s">
        <v>1228</v>
      </c>
      <c r="J199" s="286" t="s">
        <v>1312</v>
      </c>
      <c r="K199" s="286" t="s">
        <v>53</v>
      </c>
      <c r="L199" s="286" t="s">
        <v>53</v>
      </c>
      <c r="M199" s="286" t="s">
        <v>53</v>
      </c>
      <c r="N199" s="287">
        <v>15224.58</v>
      </c>
      <c r="O199" s="287"/>
      <c r="P199" s="286" t="s">
        <v>58</v>
      </c>
    </row>
    <row r="200" spans="1:16" hidden="1" x14ac:dyDescent="0.15">
      <c r="A200" s="286">
        <v>185846</v>
      </c>
      <c r="B200" s="288">
        <v>45005.724305555559</v>
      </c>
      <c r="C200" s="286" t="s">
        <v>1667</v>
      </c>
      <c r="D200" s="286" t="s">
        <v>1105</v>
      </c>
      <c r="E200" s="286" t="s">
        <v>1106</v>
      </c>
      <c r="F200" s="286" t="s">
        <v>1702</v>
      </c>
      <c r="G200" s="286" t="s">
        <v>1075</v>
      </c>
      <c r="H200" s="286" t="s">
        <v>1075</v>
      </c>
      <c r="I200" s="286" t="s">
        <v>1228</v>
      </c>
      <c r="J200" s="286" t="s">
        <v>1312</v>
      </c>
      <c r="K200" s="286" t="s">
        <v>53</v>
      </c>
      <c r="L200" s="286" t="s">
        <v>53</v>
      </c>
      <c r="M200" s="286" t="s">
        <v>53</v>
      </c>
      <c r="N200" s="287">
        <v>15224.58</v>
      </c>
      <c r="O200" s="287"/>
      <c r="P200" s="286" t="s">
        <v>58</v>
      </c>
    </row>
    <row r="201" spans="1:16" hidden="1" x14ac:dyDescent="0.15">
      <c r="A201" s="286">
        <v>201556</v>
      </c>
      <c r="B201" s="288">
        <v>45029.540972222225</v>
      </c>
      <c r="C201" s="286" t="s">
        <v>1657</v>
      </c>
      <c r="D201" s="286" t="s">
        <v>1105</v>
      </c>
      <c r="E201" s="286" t="s">
        <v>1106</v>
      </c>
      <c r="F201" s="286" t="s">
        <v>1722</v>
      </c>
      <c r="G201" s="286" t="s">
        <v>1075</v>
      </c>
      <c r="H201" s="286" t="s">
        <v>1075</v>
      </c>
      <c r="I201" s="286" t="s">
        <v>1228</v>
      </c>
      <c r="J201" s="286" t="s">
        <v>1312</v>
      </c>
      <c r="K201" s="286" t="s">
        <v>53</v>
      </c>
      <c r="L201" s="286" t="s">
        <v>53</v>
      </c>
      <c r="M201" s="286" t="s">
        <v>53</v>
      </c>
      <c r="N201" s="287">
        <v>15224.58</v>
      </c>
      <c r="O201" s="287"/>
      <c r="P201" s="286" t="s">
        <v>58</v>
      </c>
    </row>
    <row r="202" spans="1:16" hidden="1" x14ac:dyDescent="0.15">
      <c r="A202" s="286">
        <v>225409</v>
      </c>
      <c r="B202" s="288">
        <v>45058.522222222222</v>
      </c>
      <c r="C202" s="286" t="s">
        <v>1665</v>
      </c>
      <c r="D202" s="286" t="s">
        <v>1105</v>
      </c>
      <c r="E202" s="286" t="s">
        <v>1106</v>
      </c>
      <c r="F202" s="286" t="s">
        <v>1723</v>
      </c>
      <c r="G202" s="286" t="s">
        <v>1075</v>
      </c>
      <c r="H202" s="286" t="s">
        <v>1075</v>
      </c>
      <c r="I202" s="286" t="s">
        <v>1228</v>
      </c>
      <c r="J202" s="286" t="s">
        <v>1312</v>
      </c>
      <c r="K202" s="286" t="s">
        <v>53</v>
      </c>
      <c r="L202" s="286" t="s">
        <v>53</v>
      </c>
      <c r="M202" s="286" t="s">
        <v>53</v>
      </c>
      <c r="N202" s="287">
        <v>15224.58</v>
      </c>
      <c r="O202" s="287"/>
      <c r="P202" s="286" t="s">
        <v>58</v>
      </c>
    </row>
    <row r="203" spans="1:16" hidden="1" x14ac:dyDescent="0.15">
      <c r="A203" s="286">
        <v>278788</v>
      </c>
      <c r="B203" s="288">
        <v>45118.57708333333</v>
      </c>
      <c r="C203" s="286" t="s">
        <v>1649</v>
      </c>
      <c r="D203" s="286" t="s">
        <v>1105</v>
      </c>
      <c r="E203" s="286" t="s">
        <v>1106</v>
      </c>
      <c r="F203" s="286" t="s">
        <v>1712</v>
      </c>
      <c r="G203" s="286" t="s">
        <v>1075</v>
      </c>
      <c r="H203" s="286" t="s">
        <v>1075</v>
      </c>
      <c r="I203" s="286" t="s">
        <v>1228</v>
      </c>
      <c r="J203" s="286" t="s">
        <v>53</v>
      </c>
      <c r="K203" s="286" t="s">
        <v>53</v>
      </c>
      <c r="L203" s="286" t="s">
        <v>53</v>
      </c>
      <c r="M203" s="286" t="s">
        <v>53</v>
      </c>
      <c r="N203" s="287">
        <v>15224.58</v>
      </c>
      <c r="O203" s="287"/>
      <c r="P203" s="286" t="s">
        <v>58</v>
      </c>
    </row>
    <row r="204" spans="1:16" hidden="1" x14ac:dyDescent="0.15">
      <c r="A204" s="286">
        <v>284271</v>
      </c>
      <c r="B204" s="288">
        <v>45121.682638888888</v>
      </c>
      <c r="C204" s="286" t="s">
        <v>1636</v>
      </c>
      <c r="D204" s="286" t="s">
        <v>1105</v>
      </c>
      <c r="E204" s="286" t="s">
        <v>1106</v>
      </c>
      <c r="F204" s="286" t="s">
        <v>1713</v>
      </c>
      <c r="G204" s="286" t="s">
        <v>1075</v>
      </c>
      <c r="H204" s="286" t="s">
        <v>1075</v>
      </c>
      <c r="I204" s="286" t="s">
        <v>1228</v>
      </c>
      <c r="J204" s="286" t="s">
        <v>53</v>
      </c>
      <c r="K204" s="286" t="s">
        <v>53</v>
      </c>
      <c r="L204" s="286" t="s">
        <v>53</v>
      </c>
      <c r="M204" s="286" t="s">
        <v>53</v>
      </c>
      <c r="N204" s="287">
        <v>15224.58</v>
      </c>
      <c r="O204" s="287"/>
      <c r="P204" s="286" t="s">
        <v>58</v>
      </c>
    </row>
    <row r="205" spans="1:16" hidden="1" x14ac:dyDescent="0.15">
      <c r="A205" s="286">
        <v>328287</v>
      </c>
      <c r="B205" s="288">
        <v>45161.62777777778</v>
      </c>
      <c r="C205" s="286" t="s">
        <v>1691</v>
      </c>
      <c r="D205" s="286" t="s">
        <v>1105</v>
      </c>
      <c r="E205" s="286" t="s">
        <v>1106</v>
      </c>
      <c r="F205" s="286" t="s">
        <v>1714</v>
      </c>
      <c r="G205" s="286" t="s">
        <v>1075</v>
      </c>
      <c r="H205" s="286" t="s">
        <v>1075</v>
      </c>
      <c r="I205" s="286" t="s">
        <v>1228</v>
      </c>
      <c r="J205" s="286" t="s">
        <v>53</v>
      </c>
      <c r="K205" s="286" t="s">
        <v>53</v>
      </c>
      <c r="L205" s="286" t="s">
        <v>53</v>
      </c>
      <c r="M205" s="286" t="s">
        <v>53</v>
      </c>
      <c r="N205" s="287">
        <v>15224.58</v>
      </c>
      <c r="O205" s="287"/>
      <c r="P205" s="286" t="s">
        <v>58</v>
      </c>
    </row>
    <row r="206" spans="1:16" hidden="1" x14ac:dyDescent="0.15">
      <c r="A206" s="286">
        <v>339870</v>
      </c>
      <c r="B206" s="288">
        <v>45177.481944444444</v>
      </c>
      <c r="C206" s="286" t="s">
        <v>1676</v>
      </c>
      <c r="D206" s="286" t="s">
        <v>1105</v>
      </c>
      <c r="E206" s="286" t="s">
        <v>1106</v>
      </c>
      <c r="F206" s="286" t="s">
        <v>1715</v>
      </c>
      <c r="G206" s="286" t="s">
        <v>1075</v>
      </c>
      <c r="H206" s="286" t="s">
        <v>1075</v>
      </c>
      <c r="I206" s="286" t="s">
        <v>1228</v>
      </c>
      <c r="J206" s="286" t="s">
        <v>53</v>
      </c>
      <c r="K206" s="286" t="s">
        <v>53</v>
      </c>
      <c r="L206" s="286" t="s">
        <v>53</v>
      </c>
      <c r="M206" s="286" t="s">
        <v>53</v>
      </c>
      <c r="N206" s="287">
        <v>15224.58</v>
      </c>
      <c r="O206" s="287"/>
      <c r="P206" s="286" t="s">
        <v>58</v>
      </c>
    </row>
    <row r="207" spans="1:16" hidden="1" x14ac:dyDescent="0.15">
      <c r="A207" s="286">
        <v>370270</v>
      </c>
      <c r="B207" s="288">
        <v>45208.668055555558</v>
      </c>
      <c r="C207" s="286" t="s">
        <v>1642</v>
      </c>
      <c r="D207" s="286" t="s">
        <v>1105</v>
      </c>
      <c r="E207" s="286" t="s">
        <v>1106</v>
      </c>
      <c r="F207" s="286" t="s">
        <v>1716</v>
      </c>
      <c r="G207" s="286" t="s">
        <v>1075</v>
      </c>
      <c r="H207" s="286" t="s">
        <v>1075</v>
      </c>
      <c r="I207" s="286" t="s">
        <v>1228</v>
      </c>
      <c r="J207" s="286" t="s">
        <v>53</v>
      </c>
      <c r="K207" s="286" t="s">
        <v>53</v>
      </c>
      <c r="L207" s="286" t="s">
        <v>53</v>
      </c>
      <c r="M207" s="286" t="s">
        <v>53</v>
      </c>
      <c r="N207" s="287">
        <v>15224.58</v>
      </c>
      <c r="O207" s="287"/>
      <c r="P207" s="286" t="s">
        <v>58</v>
      </c>
    </row>
    <row r="208" spans="1:16" hidden="1" x14ac:dyDescent="0.15">
      <c r="A208" s="286">
        <v>402221</v>
      </c>
      <c r="B208" s="288">
        <v>45243.579861111109</v>
      </c>
      <c r="C208" s="286" t="s">
        <v>1654</v>
      </c>
      <c r="D208" s="286" t="s">
        <v>1105</v>
      </c>
      <c r="E208" s="286" t="s">
        <v>1106</v>
      </c>
      <c r="F208" s="286" t="s">
        <v>1724</v>
      </c>
      <c r="G208" s="286" t="s">
        <v>1075</v>
      </c>
      <c r="H208" s="286" t="s">
        <v>1075</v>
      </c>
      <c r="I208" s="286" t="s">
        <v>1228</v>
      </c>
      <c r="J208" s="286" t="s">
        <v>53</v>
      </c>
      <c r="K208" s="286" t="s">
        <v>53</v>
      </c>
      <c r="L208" s="286" t="s">
        <v>53</v>
      </c>
      <c r="M208" s="286" t="s">
        <v>53</v>
      </c>
      <c r="N208" s="287">
        <v>15224.58</v>
      </c>
      <c r="O208" s="287"/>
      <c r="P208" s="286" t="s">
        <v>58</v>
      </c>
    </row>
    <row r="209" spans="1:16" hidden="1" x14ac:dyDescent="0.15">
      <c r="A209" s="286">
        <v>214151</v>
      </c>
      <c r="B209" s="288">
        <v>45042.540277777778</v>
      </c>
      <c r="C209" s="286" t="s">
        <v>1657</v>
      </c>
      <c r="D209" s="286" t="s">
        <v>1309</v>
      </c>
      <c r="E209" s="286" t="s">
        <v>1310</v>
      </c>
      <c r="F209" s="286" t="s">
        <v>1658</v>
      </c>
      <c r="G209" s="286" t="s">
        <v>1011</v>
      </c>
      <c r="H209" s="286" t="s">
        <v>1011</v>
      </c>
      <c r="I209" s="286" t="s">
        <v>1121</v>
      </c>
      <c r="J209" s="286" t="s">
        <v>1312</v>
      </c>
      <c r="K209" s="286" t="s">
        <v>1756</v>
      </c>
      <c r="L209" s="286" t="s">
        <v>250</v>
      </c>
      <c r="M209" s="286">
        <v>1</v>
      </c>
      <c r="N209" s="287">
        <v>15085</v>
      </c>
      <c r="O209" s="287"/>
      <c r="P209" s="286" t="s">
        <v>248</v>
      </c>
    </row>
    <row r="210" spans="1:16" hidden="1" x14ac:dyDescent="0.15">
      <c r="A210" s="286">
        <v>442744</v>
      </c>
      <c r="B210" s="288">
        <v>45300.341666666667</v>
      </c>
      <c r="C210" s="286" t="s">
        <v>1632</v>
      </c>
      <c r="D210" s="286" t="s">
        <v>1105</v>
      </c>
      <c r="E210" s="286" t="s">
        <v>1106</v>
      </c>
      <c r="F210" s="286" t="s">
        <v>1633</v>
      </c>
      <c r="G210" s="286" t="s">
        <v>1079</v>
      </c>
      <c r="H210" s="286" t="s">
        <v>1079</v>
      </c>
      <c r="I210" s="286" t="s">
        <v>1128</v>
      </c>
      <c r="J210" s="286" t="s">
        <v>1312</v>
      </c>
      <c r="K210" s="286" t="s">
        <v>1757</v>
      </c>
      <c r="L210" s="286" t="s">
        <v>694</v>
      </c>
      <c r="M210" s="286">
        <v>1</v>
      </c>
      <c r="N210" s="287">
        <v>14915</v>
      </c>
      <c r="O210" s="287"/>
      <c r="P210" s="286" t="s">
        <v>47</v>
      </c>
    </row>
    <row r="211" spans="1:16" x14ac:dyDescent="0.15">
      <c r="A211" s="286">
        <v>145118</v>
      </c>
      <c r="B211" s="288">
        <v>44953.417361111111</v>
      </c>
      <c r="C211" s="286" t="s">
        <v>1640</v>
      </c>
      <c r="D211" s="286" t="s">
        <v>1309</v>
      </c>
      <c r="E211" s="286" t="s">
        <v>1310</v>
      </c>
      <c r="F211" s="286" t="s">
        <v>1660</v>
      </c>
      <c r="G211" s="286" t="s">
        <v>1608</v>
      </c>
      <c r="H211" s="286" t="s">
        <v>1608</v>
      </c>
      <c r="I211" s="286" t="s">
        <v>1108</v>
      </c>
      <c r="J211" s="286" t="s">
        <v>1312</v>
      </c>
      <c r="K211" s="286" t="s">
        <v>1591</v>
      </c>
      <c r="L211" s="286" t="s">
        <v>439</v>
      </c>
      <c r="M211" s="286">
        <v>1</v>
      </c>
      <c r="N211" s="287">
        <v>14712</v>
      </c>
      <c r="O211" s="305">
        <f>EOMONTH(B211,0)</f>
        <v>44957</v>
      </c>
      <c r="P211" s="286" t="s">
        <v>37</v>
      </c>
    </row>
    <row r="212" spans="1:16" hidden="1" x14ac:dyDescent="0.15">
      <c r="A212" s="286">
        <v>307803</v>
      </c>
      <c r="B212" s="288">
        <v>45142.386805555558</v>
      </c>
      <c r="C212" s="286" t="s">
        <v>1636</v>
      </c>
      <c r="D212" s="286" t="s">
        <v>1105</v>
      </c>
      <c r="E212" s="286" t="s">
        <v>1106</v>
      </c>
      <c r="F212" s="286" t="s">
        <v>1645</v>
      </c>
      <c r="G212" s="286" t="s">
        <v>1048</v>
      </c>
      <c r="H212" s="286" t="s">
        <v>1048</v>
      </c>
      <c r="I212" s="286" t="s">
        <v>1121</v>
      </c>
      <c r="J212" s="286" t="s">
        <v>1312</v>
      </c>
      <c r="K212" s="286" t="s">
        <v>917</v>
      </c>
      <c r="L212" s="286" t="s">
        <v>250</v>
      </c>
      <c r="M212" s="286">
        <v>1</v>
      </c>
      <c r="N212" s="287">
        <v>14414</v>
      </c>
      <c r="O212" s="287"/>
      <c r="P212" s="286" t="s">
        <v>248</v>
      </c>
    </row>
    <row r="213" spans="1:16" hidden="1" x14ac:dyDescent="0.15">
      <c r="A213" s="286">
        <v>454084</v>
      </c>
      <c r="B213" s="288">
        <v>45309.677083333336</v>
      </c>
      <c r="C213" s="286" t="s">
        <v>1632</v>
      </c>
      <c r="D213" s="286" t="s">
        <v>1105</v>
      </c>
      <c r="E213" s="286" t="s">
        <v>1106</v>
      </c>
      <c r="F213" s="286" t="s">
        <v>1729</v>
      </c>
      <c r="G213" s="286" t="s">
        <v>1758</v>
      </c>
      <c r="H213" s="286" t="s">
        <v>1758</v>
      </c>
      <c r="I213" s="286" t="s">
        <v>1230</v>
      </c>
      <c r="J213" s="286" t="s">
        <v>1312</v>
      </c>
      <c r="K213" s="286" t="s">
        <v>53</v>
      </c>
      <c r="L213" s="286" t="s">
        <v>53</v>
      </c>
      <c r="M213" s="286" t="s">
        <v>53</v>
      </c>
      <c r="N213" s="287">
        <v>14360</v>
      </c>
      <c r="O213" s="287"/>
      <c r="P213" s="286" t="s">
        <v>175</v>
      </c>
    </row>
    <row r="214" spans="1:16" hidden="1" x14ac:dyDescent="0.15">
      <c r="A214" s="299">
        <v>237271</v>
      </c>
      <c r="B214" s="312">
        <v>45070.706250000003</v>
      </c>
      <c r="C214" s="299" t="s">
        <v>1665</v>
      </c>
      <c r="D214" s="299" t="s">
        <v>1105</v>
      </c>
      <c r="E214" s="299" t="s">
        <v>1106</v>
      </c>
      <c r="F214" s="299" t="s">
        <v>1666</v>
      </c>
      <c r="G214" s="299" t="s">
        <v>1042</v>
      </c>
      <c r="H214" s="299" t="s">
        <v>1042</v>
      </c>
      <c r="I214" s="299" t="s">
        <v>1230</v>
      </c>
      <c r="J214" s="299" t="s">
        <v>1312</v>
      </c>
      <c r="K214" s="299" t="s">
        <v>53</v>
      </c>
      <c r="L214" s="299" t="s">
        <v>53</v>
      </c>
      <c r="M214" s="299" t="s">
        <v>53</v>
      </c>
      <c r="N214" s="307">
        <v>14255</v>
      </c>
      <c r="O214" s="307"/>
      <c r="P214" s="299" t="s">
        <v>175</v>
      </c>
    </row>
    <row r="215" spans="1:16" hidden="1" x14ac:dyDescent="0.15">
      <c r="A215" s="286">
        <v>258870</v>
      </c>
      <c r="B215" s="288">
        <v>45097.521527777775</v>
      </c>
      <c r="C215" s="286" t="s">
        <v>1649</v>
      </c>
      <c r="D215" s="286" t="s">
        <v>1309</v>
      </c>
      <c r="E215" s="286" t="s">
        <v>1310</v>
      </c>
      <c r="F215" s="286" t="s">
        <v>1759</v>
      </c>
      <c r="G215" s="286" t="s">
        <v>1005</v>
      </c>
      <c r="H215" s="286" t="s">
        <v>1005</v>
      </c>
      <c r="I215" s="286" t="s">
        <v>1199</v>
      </c>
      <c r="J215" s="286" t="s">
        <v>1312</v>
      </c>
      <c r="K215" s="286" t="s">
        <v>1760</v>
      </c>
      <c r="L215" s="286" t="s">
        <v>672</v>
      </c>
      <c r="M215" s="286">
        <v>1</v>
      </c>
      <c r="N215" s="287">
        <v>13901</v>
      </c>
      <c r="O215" s="287"/>
      <c r="P215" s="286" t="s">
        <v>58</v>
      </c>
    </row>
    <row r="216" spans="1:16" hidden="1" x14ac:dyDescent="0.15">
      <c r="A216" s="286">
        <v>278260</v>
      </c>
      <c r="B216" s="288">
        <v>45118.491666666669</v>
      </c>
      <c r="C216" s="286" t="s">
        <v>1649</v>
      </c>
      <c r="D216" s="286" t="s">
        <v>1309</v>
      </c>
      <c r="E216" s="286" t="s">
        <v>1310</v>
      </c>
      <c r="F216" s="286" t="s">
        <v>1650</v>
      </c>
      <c r="G216" s="286" t="s">
        <v>1026</v>
      </c>
      <c r="H216" s="286" t="s">
        <v>1026</v>
      </c>
      <c r="I216" s="286" t="s">
        <v>1108</v>
      </c>
      <c r="J216" s="286" t="s">
        <v>1312</v>
      </c>
      <c r="K216" s="286" t="s">
        <v>1761</v>
      </c>
      <c r="L216" s="286" t="s">
        <v>583</v>
      </c>
      <c r="M216" s="286">
        <v>1</v>
      </c>
      <c r="N216" s="287">
        <v>13797.14</v>
      </c>
      <c r="O216" s="305">
        <f t="shared" ref="O216:O217" si="8">EOMONTH(B216,0)</f>
        <v>45138</v>
      </c>
      <c r="P216" s="286" t="s">
        <v>37</v>
      </c>
    </row>
    <row r="217" spans="1:16" hidden="1" x14ac:dyDescent="0.15">
      <c r="A217" s="286">
        <v>418370</v>
      </c>
      <c r="B217" s="288">
        <v>45261.45416666667</v>
      </c>
      <c r="C217" s="286" t="s">
        <v>1654</v>
      </c>
      <c r="D217" s="286" t="s">
        <v>1105</v>
      </c>
      <c r="E217" s="286" t="s">
        <v>1106</v>
      </c>
      <c r="F217" s="286" t="s">
        <v>1655</v>
      </c>
      <c r="G217" s="286" t="s">
        <v>1034</v>
      </c>
      <c r="H217" s="286" t="s">
        <v>1034</v>
      </c>
      <c r="I217" s="286" t="s">
        <v>1108</v>
      </c>
      <c r="J217" s="286" t="s">
        <v>1312</v>
      </c>
      <c r="K217" s="286" t="s">
        <v>1762</v>
      </c>
      <c r="L217" s="286" t="s">
        <v>1763</v>
      </c>
      <c r="M217" s="286">
        <v>1</v>
      </c>
      <c r="N217" s="287">
        <v>13797</v>
      </c>
      <c r="O217" s="305">
        <f t="shared" si="8"/>
        <v>45291</v>
      </c>
      <c r="P217" s="286" t="s">
        <v>37</v>
      </c>
    </row>
    <row r="218" spans="1:16" hidden="1" x14ac:dyDescent="0.15">
      <c r="A218" s="286">
        <v>170399</v>
      </c>
      <c r="B218" s="288">
        <v>44986.614583333336</v>
      </c>
      <c r="C218" s="286" t="s">
        <v>1640</v>
      </c>
      <c r="D218" s="286" t="s">
        <v>1105</v>
      </c>
      <c r="E218" s="286" t="s">
        <v>1106</v>
      </c>
      <c r="F218" s="286" t="s">
        <v>1720</v>
      </c>
      <c r="G218" s="286" t="s">
        <v>1056</v>
      </c>
      <c r="H218" s="286" t="s">
        <v>1056</v>
      </c>
      <c r="I218" s="286" t="s">
        <v>1199</v>
      </c>
      <c r="J218" s="286" t="s">
        <v>1312</v>
      </c>
      <c r="K218" s="286" t="s">
        <v>53</v>
      </c>
      <c r="L218" s="286" t="s">
        <v>53</v>
      </c>
      <c r="M218" s="286" t="s">
        <v>53</v>
      </c>
      <c r="N218" s="287">
        <v>13311.5</v>
      </c>
      <c r="O218" s="287"/>
      <c r="P218" s="286" t="s">
        <v>58</v>
      </c>
    </row>
    <row r="219" spans="1:16" hidden="1" x14ac:dyDescent="0.15">
      <c r="A219" s="286">
        <v>170298</v>
      </c>
      <c r="B219" s="288">
        <v>44986.623611111114</v>
      </c>
      <c r="C219" s="286" t="s">
        <v>1638</v>
      </c>
      <c r="D219" s="286" t="s">
        <v>1105</v>
      </c>
      <c r="E219" s="286" t="s">
        <v>1106</v>
      </c>
      <c r="F219" s="286" t="s">
        <v>1721</v>
      </c>
      <c r="G219" s="286" t="s">
        <v>1056</v>
      </c>
      <c r="H219" s="286" t="s">
        <v>1056</v>
      </c>
      <c r="I219" s="286" t="s">
        <v>1199</v>
      </c>
      <c r="J219" s="286" t="s">
        <v>1312</v>
      </c>
      <c r="K219" s="286" t="s">
        <v>53</v>
      </c>
      <c r="L219" s="286" t="s">
        <v>53</v>
      </c>
      <c r="M219" s="286" t="s">
        <v>53</v>
      </c>
      <c r="N219" s="287">
        <v>13311.5</v>
      </c>
      <c r="O219" s="287"/>
      <c r="P219" s="286" t="s">
        <v>58</v>
      </c>
    </row>
    <row r="220" spans="1:16" hidden="1" x14ac:dyDescent="0.15">
      <c r="A220" s="286">
        <v>185846</v>
      </c>
      <c r="B220" s="288">
        <v>45005.724305555559</v>
      </c>
      <c r="C220" s="286" t="s">
        <v>1667</v>
      </c>
      <c r="D220" s="286" t="s">
        <v>1105</v>
      </c>
      <c r="E220" s="286" t="s">
        <v>1106</v>
      </c>
      <c r="F220" s="286" t="s">
        <v>1702</v>
      </c>
      <c r="G220" s="286" t="s">
        <v>1056</v>
      </c>
      <c r="H220" s="286" t="s">
        <v>1056</v>
      </c>
      <c r="I220" s="286" t="s">
        <v>1199</v>
      </c>
      <c r="J220" s="286" t="s">
        <v>1312</v>
      </c>
      <c r="K220" s="286" t="s">
        <v>53</v>
      </c>
      <c r="L220" s="286" t="s">
        <v>53</v>
      </c>
      <c r="M220" s="286" t="s">
        <v>53</v>
      </c>
      <c r="N220" s="287">
        <v>13311.5</v>
      </c>
      <c r="O220" s="287"/>
      <c r="P220" s="286" t="s">
        <v>58</v>
      </c>
    </row>
    <row r="221" spans="1:16" hidden="1" x14ac:dyDescent="0.15">
      <c r="A221" s="286">
        <v>201556</v>
      </c>
      <c r="B221" s="288">
        <v>45029.540972222225</v>
      </c>
      <c r="C221" s="286" t="s">
        <v>1657</v>
      </c>
      <c r="D221" s="286" t="s">
        <v>1105</v>
      </c>
      <c r="E221" s="286" t="s">
        <v>1106</v>
      </c>
      <c r="F221" s="286" t="s">
        <v>1722</v>
      </c>
      <c r="G221" s="286" t="s">
        <v>1056</v>
      </c>
      <c r="H221" s="286" t="s">
        <v>1056</v>
      </c>
      <c r="I221" s="286" t="s">
        <v>1199</v>
      </c>
      <c r="J221" s="286" t="s">
        <v>1312</v>
      </c>
      <c r="K221" s="286" t="s">
        <v>53</v>
      </c>
      <c r="L221" s="286" t="s">
        <v>53</v>
      </c>
      <c r="M221" s="286" t="s">
        <v>53</v>
      </c>
      <c r="N221" s="287">
        <v>13311.5</v>
      </c>
      <c r="O221" s="287"/>
      <c r="P221" s="286" t="s">
        <v>58</v>
      </c>
    </row>
    <row r="222" spans="1:16" hidden="1" x14ac:dyDescent="0.15">
      <c r="A222" s="286">
        <v>225409</v>
      </c>
      <c r="B222" s="288">
        <v>45058.522222222222</v>
      </c>
      <c r="C222" s="286" t="s">
        <v>1665</v>
      </c>
      <c r="D222" s="286" t="s">
        <v>1105</v>
      </c>
      <c r="E222" s="286" t="s">
        <v>1106</v>
      </c>
      <c r="F222" s="286" t="s">
        <v>1723</v>
      </c>
      <c r="G222" s="286" t="s">
        <v>1056</v>
      </c>
      <c r="H222" s="286" t="s">
        <v>1056</v>
      </c>
      <c r="I222" s="286" t="s">
        <v>1199</v>
      </c>
      <c r="J222" s="286" t="s">
        <v>1312</v>
      </c>
      <c r="K222" s="286" t="s">
        <v>53</v>
      </c>
      <c r="L222" s="286" t="s">
        <v>53</v>
      </c>
      <c r="M222" s="286" t="s">
        <v>53</v>
      </c>
      <c r="N222" s="287">
        <v>13311.5</v>
      </c>
      <c r="O222" s="287"/>
      <c r="P222" s="286" t="s">
        <v>58</v>
      </c>
    </row>
    <row r="223" spans="1:16" hidden="1" x14ac:dyDescent="0.15">
      <c r="A223" s="286">
        <v>278788</v>
      </c>
      <c r="B223" s="288">
        <v>45118.57708333333</v>
      </c>
      <c r="C223" s="286" t="s">
        <v>1649</v>
      </c>
      <c r="D223" s="286" t="s">
        <v>1105</v>
      </c>
      <c r="E223" s="286" t="s">
        <v>1106</v>
      </c>
      <c r="F223" s="286" t="s">
        <v>1712</v>
      </c>
      <c r="G223" s="286" t="s">
        <v>1052</v>
      </c>
      <c r="H223" s="286" t="s">
        <v>1052</v>
      </c>
      <c r="I223" s="286" t="s">
        <v>1228</v>
      </c>
      <c r="J223" s="286" t="s">
        <v>53</v>
      </c>
      <c r="K223" s="286" t="s">
        <v>53</v>
      </c>
      <c r="L223" s="286" t="s">
        <v>53</v>
      </c>
      <c r="M223" s="286" t="s">
        <v>53</v>
      </c>
      <c r="N223" s="287">
        <v>13087.24</v>
      </c>
      <c r="O223" s="287"/>
      <c r="P223" s="286" t="s">
        <v>58</v>
      </c>
    </row>
    <row r="224" spans="1:16" hidden="1" x14ac:dyDescent="0.15">
      <c r="A224" s="286">
        <v>284271</v>
      </c>
      <c r="B224" s="288">
        <v>45121.682638888888</v>
      </c>
      <c r="C224" s="286" t="s">
        <v>1636</v>
      </c>
      <c r="D224" s="286" t="s">
        <v>1105</v>
      </c>
      <c r="E224" s="286" t="s">
        <v>1106</v>
      </c>
      <c r="F224" s="286" t="s">
        <v>1713</v>
      </c>
      <c r="G224" s="286" t="s">
        <v>1052</v>
      </c>
      <c r="H224" s="286" t="s">
        <v>1052</v>
      </c>
      <c r="I224" s="286" t="s">
        <v>1228</v>
      </c>
      <c r="J224" s="286" t="s">
        <v>53</v>
      </c>
      <c r="K224" s="286" t="s">
        <v>53</v>
      </c>
      <c r="L224" s="286" t="s">
        <v>53</v>
      </c>
      <c r="M224" s="286" t="s">
        <v>53</v>
      </c>
      <c r="N224" s="287">
        <v>13087.24</v>
      </c>
      <c r="O224" s="287"/>
      <c r="P224" s="286" t="s">
        <v>58</v>
      </c>
    </row>
    <row r="225" spans="1:16" hidden="1" x14ac:dyDescent="0.15">
      <c r="A225" s="286">
        <v>328287</v>
      </c>
      <c r="B225" s="288">
        <v>45161.62777777778</v>
      </c>
      <c r="C225" s="286" t="s">
        <v>1691</v>
      </c>
      <c r="D225" s="286" t="s">
        <v>1105</v>
      </c>
      <c r="E225" s="286" t="s">
        <v>1106</v>
      </c>
      <c r="F225" s="286" t="s">
        <v>1714</v>
      </c>
      <c r="G225" s="286" t="s">
        <v>1052</v>
      </c>
      <c r="H225" s="286" t="s">
        <v>1052</v>
      </c>
      <c r="I225" s="286" t="s">
        <v>1228</v>
      </c>
      <c r="J225" s="286" t="s">
        <v>53</v>
      </c>
      <c r="K225" s="286" t="s">
        <v>53</v>
      </c>
      <c r="L225" s="286" t="s">
        <v>53</v>
      </c>
      <c r="M225" s="286" t="s">
        <v>53</v>
      </c>
      <c r="N225" s="287">
        <v>13087.24</v>
      </c>
      <c r="O225" s="287"/>
      <c r="P225" s="286" t="s">
        <v>58</v>
      </c>
    </row>
    <row r="226" spans="1:16" hidden="1" x14ac:dyDescent="0.15">
      <c r="A226" s="286">
        <v>339870</v>
      </c>
      <c r="B226" s="288">
        <v>45177.481944444444</v>
      </c>
      <c r="C226" s="286" t="s">
        <v>1676</v>
      </c>
      <c r="D226" s="286" t="s">
        <v>1105</v>
      </c>
      <c r="E226" s="286" t="s">
        <v>1106</v>
      </c>
      <c r="F226" s="286" t="s">
        <v>1715</v>
      </c>
      <c r="G226" s="286" t="s">
        <v>1052</v>
      </c>
      <c r="H226" s="286" t="s">
        <v>1052</v>
      </c>
      <c r="I226" s="286" t="s">
        <v>1228</v>
      </c>
      <c r="J226" s="286" t="s">
        <v>53</v>
      </c>
      <c r="K226" s="286" t="s">
        <v>53</v>
      </c>
      <c r="L226" s="286" t="s">
        <v>53</v>
      </c>
      <c r="M226" s="286" t="s">
        <v>53</v>
      </c>
      <c r="N226" s="287">
        <v>13087.24</v>
      </c>
      <c r="O226" s="287"/>
      <c r="P226" s="286" t="s">
        <v>58</v>
      </c>
    </row>
    <row r="227" spans="1:16" hidden="1" x14ac:dyDescent="0.15">
      <c r="A227" s="286">
        <v>370270</v>
      </c>
      <c r="B227" s="288">
        <v>45208.668055555558</v>
      </c>
      <c r="C227" s="286" t="s">
        <v>1642</v>
      </c>
      <c r="D227" s="286" t="s">
        <v>1105</v>
      </c>
      <c r="E227" s="286" t="s">
        <v>1106</v>
      </c>
      <c r="F227" s="286" t="s">
        <v>1716</v>
      </c>
      <c r="G227" s="286" t="s">
        <v>1052</v>
      </c>
      <c r="H227" s="286" t="s">
        <v>1052</v>
      </c>
      <c r="I227" s="286" t="s">
        <v>1228</v>
      </c>
      <c r="J227" s="286" t="s">
        <v>53</v>
      </c>
      <c r="K227" s="286" t="s">
        <v>53</v>
      </c>
      <c r="L227" s="286" t="s">
        <v>53</v>
      </c>
      <c r="M227" s="286" t="s">
        <v>53</v>
      </c>
      <c r="N227" s="287">
        <v>13087.24</v>
      </c>
      <c r="O227" s="287"/>
      <c r="P227" s="286" t="s">
        <v>58</v>
      </c>
    </row>
    <row r="228" spans="1:16" hidden="1" x14ac:dyDescent="0.15">
      <c r="A228" s="286">
        <v>402221</v>
      </c>
      <c r="B228" s="288">
        <v>45243.579861111109</v>
      </c>
      <c r="C228" s="286" t="s">
        <v>1654</v>
      </c>
      <c r="D228" s="286" t="s">
        <v>1105</v>
      </c>
      <c r="E228" s="286" t="s">
        <v>1106</v>
      </c>
      <c r="F228" s="286" t="s">
        <v>1724</v>
      </c>
      <c r="G228" s="286" t="s">
        <v>1052</v>
      </c>
      <c r="H228" s="286" t="s">
        <v>1052</v>
      </c>
      <c r="I228" s="286" t="s">
        <v>1228</v>
      </c>
      <c r="J228" s="286" t="s">
        <v>53</v>
      </c>
      <c r="K228" s="286" t="s">
        <v>53</v>
      </c>
      <c r="L228" s="286" t="s">
        <v>53</v>
      </c>
      <c r="M228" s="286" t="s">
        <v>53</v>
      </c>
      <c r="N228" s="287">
        <v>13087.23</v>
      </c>
      <c r="O228" s="287"/>
      <c r="P228" s="286" t="s">
        <v>58</v>
      </c>
    </row>
    <row r="229" spans="1:16" hidden="1" x14ac:dyDescent="0.15">
      <c r="A229" s="286">
        <v>328287</v>
      </c>
      <c r="B229" s="288">
        <v>45161.62777777778</v>
      </c>
      <c r="C229" s="286" t="s">
        <v>1691</v>
      </c>
      <c r="D229" s="286" t="s">
        <v>1105</v>
      </c>
      <c r="E229" s="286" t="s">
        <v>1106</v>
      </c>
      <c r="F229" s="286" t="s">
        <v>1714</v>
      </c>
      <c r="G229" s="286" t="s">
        <v>1041</v>
      </c>
      <c r="H229" s="286" t="s">
        <v>1041</v>
      </c>
      <c r="I229" s="286" t="s">
        <v>1228</v>
      </c>
      <c r="J229" s="286" t="s">
        <v>1312</v>
      </c>
      <c r="K229" s="286" t="s">
        <v>1673</v>
      </c>
      <c r="L229" s="286" t="s">
        <v>53</v>
      </c>
      <c r="M229" s="286">
        <v>1</v>
      </c>
      <c r="N229" s="287">
        <v>13062.26</v>
      </c>
      <c r="O229" s="287"/>
      <c r="P229" s="286" t="s">
        <v>58</v>
      </c>
    </row>
    <row r="230" spans="1:16" hidden="1" x14ac:dyDescent="0.15">
      <c r="A230" s="286">
        <v>339870</v>
      </c>
      <c r="B230" s="288">
        <v>45177.481944444444</v>
      </c>
      <c r="C230" s="286" t="s">
        <v>1676</v>
      </c>
      <c r="D230" s="286" t="s">
        <v>1105</v>
      </c>
      <c r="E230" s="286" t="s">
        <v>1106</v>
      </c>
      <c r="F230" s="286" t="s">
        <v>1715</v>
      </c>
      <c r="G230" s="286" t="s">
        <v>1041</v>
      </c>
      <c r="H230" s="286" t="s">
        <v>1041</v>
      </c>
      <c r="I230" s="286" t="s">
        <v>1228</v>
      </c>
      <c r="J230" s="286" t="s">
        <v>1312</v>
      </c>
      <c r="K230" s="286" t="s">
        <v>1673</v>
      </c>
      <c r="L230" s="286" t="s">
        <v>53</v>
      </c>
      <c r="M230" s="286">
        <v>1</v>
      </c>
      <c r="N230" s="287">
        <v>13062.26</v>
      </c>
      <c r="O230" s="287"/>
      <c r="P230" s="286" t="s">
        <v>58</v>
      </c>
    </row>
    <row r="231" spans="1:16" hidden="1" x14ac:dyDescent="0.15">
      <c r="A231" s="286">
        <v>370270</v>
      </c>
      <c r="B231" s="288">
        <v>45208.668055555558</v>
      </c>
      <c r="C231" s="286" t="s">
        <v>1642</v>
      </c>
      <c r="D231" s="286" t="s">
        <v>1105</v>
      </c>
      <c r="E231" s="286" t="s">
        <v>1106</v>
      </c>
      <c r="F231" s="286" t="s">
        <v>1716</v>
      </c>
      <c r="G231" s="286" t="s">
        <v>1041</v>
      </c>
      <c r="H231" s="286" t="s">
        <v>1041</v>
      </c>
      <c r="I231" s="286" t="s">
        <v>1228</v>
      </c>
      <c r="J231" s="286" t="s">
        <v>1312</v>
      </c>
      <c r="K231" s="286" t="s">
        <v>1673</v>
      </c>
      <c r="L231" s="286" t="s">
        <v>53</v>
      </c>
      <c r="M231" s="286">
        <v>1</v>
      </c>
      <c r="N231" s="287">
        <v>13062.26</v>
      </c>
      <c r="O231" s="287"/>
      <c r="P231" s="286" t="s">
        <v>58</v>
      </c>
    </row>
    <row r="232" spans="1:16" hidden="1" x14ac:dyDescent="0.15">
      <c r="A232" s="286">
        <v>402221</v>
      </c>
      <c r="B232" s="288">
        <v>45243.579861111109</v>
      </c>
      <c r="C232" s="286" t="s">
        <v>1654</v>
      </c>
      <c r="D232" s="286" t="s">
        <v>1105</v>
      </c>
      <c r="E232" s="286" t="s">
        <v>1106</v>
      </c>
      <c r="F232" s="286" t="s">
        <v>1724</v>
      </c>
      <c r="G232" s="286" t="s">
        <v>1041</v>
      </c>
      <c r="H232" s="286" t="s">
        <v>1041</v>
      </c>
      <c r="I232" s="286" t="s">
        <v>1228</v>
      </c>
      <c r="J232" s="286" t="s">
        <v>1312</v>
      </c>
      <c r="K232" s="286" t="s">
        <v>1673</v>
      </c>
      <c r="L232" s="286" t="s">
        <v>53</v>
      </c>
      <c r="M232" s="286">
        <v>1</v>
      </c>
      <c r="N232" s="287">
        <v>13062.26</v>
      </c>
      <c r="O232" s="287"/>
      <c r="P232" s="286" t="s">
        <v>58</v>
      </c>
    </row>
    <row r="233" spans="1:16" hidden="1" x14ac:dyDescent="0.15">
      <c r="A233" s="286">
        <v>455146</v>
      </c>
      <c r="B233" s="288">
        <v>45310.510416666664</v>
      </c>
      <c r="C233" s="286" t="s">
        <v>1632</v>
      </c>
      <c r="D233" s="286" t="s">
        <v>1105</v>
      </c>
      <c r="E233" s="286" t="s">
        <v>1106</v>
      </c>
      <c r="F233" s="286" t="s">
        <v>1725</v>
      </c>
      <c r="G233" s="286" t="s">
        <v>1041</v>
      </c>
      <c r="H233" s="286" t="s">
        <v>1041</v>
      </c>
      <c r="I233" s="286" t="s">
        <v>1228</v>
      </c>
      <c r="J233" s="286" t="s">
        <v>1312</v>
      </c>
      <c r="K233" s="286" t="s">
        <v>1673</v>
      </c>
      <c r="L233" s="286" t="s">
        <v>53</v>
      </c>
      <c r="M233" s="286">
        <v>1</v>
      </c>
      <c r="N233" s="287">
        <v>13062.26</v>
      </c>
      <c r="O233" s="287"/>
      <c r="P233" s="286" t="s">
        <v>58</v>
      </c>
    </row>
    <row r="234" spans="1:16" x14ac:dyDescent="0.15">
      <c r="A234" s="286">
        <v>145118</v>
      </c>
      <c r="B234" s="288">
        <v>44953.417361111111</v>
      </c>
      <c r="C234" s="286" t="s">
        <v>1640</v>
      </c>
      <c r="D234" s="286" t="s">
        <v>1309</v>
      </c>
      <c r="E234" s="286" t="s">
        <v>1310</v>
      </c>
      <c r="F234" s="286" t="s">
        <v>1660</v>
      </c>
      <c r="G234" s="286" t="s">
        <v>1608</v>
      </c>
      <c r="H234" s="286" t="s">
        <v>1608</v>
      </c>
      <c r="I234" s="286" t="s">
        <v>1108</v>
      </c>
      <c r="J234" s="286" t="s">
        <v>1312</v>
      </c>
      <c r="K234" s="286" t="s">
        <v>1764</v>
      </c>
      <c r="L234" s="286" t="s">
        <v>1494</v>
      </c>
      <c r="M234" s="286">
        <v>1</v>
      </c>
      <c r="N234" s="287">
        <v>12896.33</v>
      </c>
      <c r="O234" s="305">
        <f>EOMONTH(B234,0)</f>
        <v>44957</v>
      </c>
      <c r="P234" s="286" t="s">
        <v>37</v>
      </c>
    </row>
    <row r="235" spans="1:16" hidden="1" x14ac:dyDescent="0.15">
      <c r="A235" s="286">
        <v>237271</v>
      </c>
      <c r="B235" s="288">
        <v>45070.706250000003</v>
      </c>
      <c r="C235" s="286" t="s">
        <v>1665</v>
      </c>
      <c r="D235" s="286" t="s">
        <v>1105</v>
      </c>
      <c r="E235" s="286" t="s">
        <v>1106</v>
      </c>
      <c r="F235" s="286" t="s">
        <v>1666</v>
      </c>
      <c r="G235" s="286" t="s">
        <v>1006</v>
      </c>
      <c r="H235" s="286" t="s">
        <v>1006</v>
      </c>
      <c r="I235" s="286" t="s">
        <v>1112</v>
      </c>
      <c r="J235" s="286" t="s">
        <v>1312</v>
      </c>
      <c r="K235" s="286" t="s">
        <v>53</v>
      </c>
      <c r="L235" s="286" t="s">
        <v>53</v>
      </c>
      <c r="M235" s="286" t="s">
        <v>53</v>
      </c>
      <c r="N235" s="287">
        <v>12749</v>
      </c>
      <c r="O235" s="287"/>
      <c r="P235" s="286" t="s">
        <v>175</v>
      </c>
    </row>
    <row r="236" spans="1:16" hidden="1" x14ac:dyDescent="0.15">
      <c r="A236" s="286">
        <v>278788</v>
      </c>
      <c r="B236" s="288">
        <v>45118.57708333333</v>
      </c>
      <c r="C236" s="286" t="s">
        <v>1649</v>
      </c>
      <c r="D236" s="286" t="s">
        <v>1105</v>
      </c>
      <c r="E236" s="286" t="s">
        <v>1106</v>
      </c>
      <c r="F236" s="286" t="s">
        <v>1712</v>
      </c>
      <c r="G236" s="286" t="s">
        <v>1056</v>
      </c>
      <c r="H236" s="286" t="s">
        <v>1056</v>
      </c>
      <c r="I236" s="286" t="s">
        <v>1199</v>
      </c>
      <c r="J236" s="286" t="s">
        <v>53</v>
      </c>
      <c r="K236" s="286" t="s">
        <v>53</v>
      </c>
      <c r="L236" s="286" t="s">
        <v>53</v>
      </c>
      <c r="M236" s="286" t="s">
        <v>53</v>
      </c>
      <c r="N236" s="287">
        <v>12687.52</v>
      </c>
      <c r="O236" s="287"/>
      <c r="P236" s="286" t="s">
        <v>58</v>
      </c>
    </row>
    <row r="237" spans="1:16" hidden="1" x14ac:dyDescent="0.15">
      <c r="A237" s="286">
        <v>284271</v>
      </c>
      <c r="B237" s="288">
        <v>45121.682638888888</v>
      </c>
      <c r="C237" s="286" t="s">
        <v>1636</v>
      </c>
      <c r="D237" s="286" t="s">
        <v>1105</v>
      </c>
      <c r="E237" s="286" t="s">
        <v>1106</v>
      </c>
      <c r="F237" s="286" t="s">
        <v>1713</v>
      </c>
      <c r="G237" s="286" t="s">
        <v>1056</v>
      </c>
      <c r="H237" s="286" t="s">
        <v>1056</v>
      </c>
      <c r="I237" s="286" t="s">
        <v>1199</v>
      </c>
      <c r="J237" s="286" t="s">
        <v>53</v>
      </c>
      <c r="K237" s="286" t="s">
        <v>53</v>
      </c>
      <c r="L237" s="286" t="s">
        <v>53</v>
      </c>
      <c r="M237" s="286" t="s">
        <v>53</v>
      </c>
      <c r="N237" s="287">
        <v>12687.52</v>
      </c>
      <c r="O237" s="287"/>
      <c r="P237" s="286" t="s">
        <v>58</v>
      </c>
    </row>
    <row r="238" spans="1:16" hidden="1" x14ac:dyDescent="0.15">
      <c r="A238" s="286">
        <v>328287</v>
      </c>
      <c r="B238" s="288">
        <v>45161.62777777778</v>
      </c>
      <c r="C238" s="286" t="s">
        <v>1691</v>
      </c>
      <c r="D238" s="286" t="s">
        <v>1105</v>
      </c>
      <c r="E238" s="286" t="s">
        <v>1106</v>
      </c>
      <c r="F238" s="286" t="s">
        <v>1714</v>
      </c>
      <c r="G238" s="286" t="s">
        <v>1056</v>
      </c>
      <c r="H238" s="286" t="s">
        <v>1056</v>
      </c>
      <c r="I238" s="286" t="s">
        <v>1199</v>
      </c>
      <c r="J238" s="286" t="s">
        <v>53</v>
      </c>
      <c r="K238" s="286" t="s">
        <v>53</v>
      </c>
      <c r="L238" s="286" t="s">
        <v>53</v>
      </c>
      <c r="M238" s="286" t="s">
        <v>53</v>
      </c>
      <c r="N238" s="287">
        <v>12687.52</v>
      </c>
      <c r="O238" s="287"/>
      <c r="P238" s="286" t="s">
        <v>58</v>
      </c>
    </row>
    <row r="239" spans="1:16" hidden="1" x14ac:dyDescent="0.15">
      <c r="A239" s="286">
        <v>339870</v>
      </c>
      <c r="B239" s="288">
        <v>45177.481944444444</v>
      </c>
      <c r="C239" s="286" t="s">
        <v>1676</v>
      </c>
      <c r="D239" s="286" t="s">
        <v>1105</v>
      </c>
      <c r="E239" s="286" t="s">
        <v>1106</v>
      </c>
      <c r="F239" s="286" t="s">
        <v>1715</v>
      </c>
      <c r="G239" s="286" t="s">
        <v>1056</v>
      </c>
      <c r="H239" s="286" t="s">
        <v>1056</v>
      </c>
      <c r="I239" s="286" t="s">
        <v>1199</v>
      </c>
      <c r="J239" s="286" t="s">
        <v>53</v>
      </c>
      <c r="K239" s="286" t="s">
        <v>53</v>
      </c>
      <c r="L239" s="286" t="s">
        <v>53</v>
      </c>
      <c r="M239" s="286" t="s">
        <v>53</v>
      </c>
      <c r="N239" s="287">
        <v>12687.52</v>
      </c>
      <c r="O239" s="287"/>
      <c r="P239" s="286" t="s">
        <v>58</v>
      </c>
    </row>
    <row r="240" spans="1:16" hidden="1" x14ac:dyDescent="0.15">
      <c r="A240" s="286">
        <v>370270</v>
      </c>
      <c r="B240" s="288">
        <v>45208.668055555558</v>
      </c>
      <c r="C240" s="286" t="s">
        <v>1642</v>
      </c>
      <c r="D240" s="286" t="s">
        <v>1105</v>
      </c>
      <c r="E240" s="286" t="s">
        <v>1106</v>
      </c>
      <c r="F240" s="286" t="s">
        <v>1716</v>
      </c>
      <c r="G240" s="286" t="s">
        <v>1056</v>
      </c>
      <c r="H240" s="286" t="s">
        <v>1056</v>
      </c>
      <c r="I240" s="286" t="s">
        <v>1199</v>
      </c>
      <c r="J240" s="286" t="s">
        <v>53</v>
      </c>
      <c r="K240" s="286" t="s">
        <v>53</v>
      </c>
      <c r="L240" s="286" t="s">
        <v>53</v>
      </c>
      <c r="M240" s="286" t="s">
        <v>53</v>
      </c>
      <c r="N240" s="287">
        <v>12687.52</v>
      </c>
      <c r="O240" s="287"/>
      <c r="P240" s="286" t="s">
        <v>58</v>
      </c>
    </row>
    <row r="241" spans="1:16" hidden="1" x14ac:dyDescent="0.15">
      <c r="A241" s="286">
        <v>402221</v>
      </c>
      <c r="B241" s="288">
        <v>45243.579861111109</v>
      </c>
      <c r="C241" s="286" t="s">
        <v>1654</v>
      </c>
      <c r="D241" s="286" t="s">
        <v>1105</v>
      </c>
      <c r="E241" s="286" t="s">
        <v>1106</v>
      </c>
      <c r="F241" s="286" t="s">
        <v>1724</v>
      </c>
      <c r="G241" s="286" t="s">
        <v>1056</v>
      </c>
      <c r="H241" s="286" t="s">
        <v>1056</v>
      </c>
      <c r="I241" s="286" t="s">
        <v>1199</v>
      </c>
      <c r="J241" s="286" t="s">
        <v>53</v>
      </c>
      <c r="K241" s="286" t="s">
        <v>53</v>
      </c>
      <c r="L241" s="286" t="s">
        <v>53</v>
      </c>
      <c r="M241" s="286" t="s">
        <v>53</v>
      </c>
      <c r="N241" s="287">
        <v>12687.52</v>
      </c>
      <c r="O241" s="287"/>
      <c r="P241" s="286" t="s">
        <v>58</v>
      </c>
    </row>
    <row r="242" spans="1:16" hidden="1" x14ac:dyDescent="0.15">
      <c r="A242" s="286">
        <v>455146</v>
      </c>
      <c r="B242" s="288">
        <v>45310.510416666664</v>
      </c>
      <c r="C242" s="286" t="s">
        <v>1632</v>
      </c>
      <c r="D242" s="286" t="s">
        <v>1105</v>
      </c>
      <c r="E242" s="286" t="s">
        <v>1106</v>
      </c>
      <c r="F242" s="286" t="s">
        <v>1725</v>
      </c>
      <c r="G242" s="286" t="s">
        <v>1056</v>
      </c>
      <c r="H242" s="286" t="s">
        <v>1056</v>
      </c>
      <c r="I242" s="286" t="s">
        <v>1199</v>
      </c>
      <c r="J242" s="286" t="s">
        <v>53</v>
      </c>
      <c r="K242" s="286" t="s">
        <v>53</v>
      </c>
      <c r="L242" s="286" t="s">
        <v>53</v>
      </c>
      <c r="M242" s="286" t="s">
        <v>53</v>
      </c>
      <c r="N242" s="287">
        <v>12687.52</v>
      </c>
      <c r="O242" s="287"/>
      <c r="P242" s="286" t="s">
        <v>58</v>
      </c>
    </row>
    <row r="243" spans="1:16" hidden="1" x14ac:dyDescent="0.15">
      <c r="A243" s="286">
        <v>394327</v>
      </c>
      <c r="B243" s="288">
        <v>45233.704861111109</v>
      </c>
      <c r="C243" s="286" t="s">
        <v>1642</v>
      </c>
      <c r="D243" s="286" t="s">
        <v>1105</v>
      </c>
      <c r="E243" s="286" t="s">
        <v>1106</v>
      </c>
      <c r="F243" s="286" t="s">
        <v>1643</v>
      </c>
      <c r="G243" s="286" t="s">
        <v>1021</v>
      </c>
      <c r="H243" s="286" t="s">
        <v>1021</v>
      </c>
      <c r="I243" s="286" t="s">
        <v>1108</v>
      </c>
      <c r="J243" s="286" t="s">
        <v>1312</v>
      </c>
      <c r="K243" s="286" t="s">
        <v>1765</v>
      </c>
      <c r="L243" s="286" t="s">
        <v>596</v>
      </c>
      <c r="M243" s="286">
        <v>1</v>
      </c>
      <c r="N243" s="287">
        <v>12470.14</v>
      </c>
      <c r="O243" s="305">
        <f t="shared" ref="O243:O246" si="9">EOMONTH(B243,0)</f>
        <v>45260</v>
      </c>
      <c r="P243" s="286" t="s">
        <v>37</v>
      </c>
    </row>
    <row r="244" spans="1:16" hidden="1" x14ac:dyDescent="0.15">
      <c r="A244" s="286">
        <v>307803</v>
      </c>
      <c r="B244" s="288">
        <v>45142.386805555558</v>
      </c>
      <c r="C244" s="286" t="s">
        <v>1636</v>
      </c>
      <c r="D244" s="286" t="s">
        <v>1105</v>
      </c>
      <c r="E244" s="286" t="s">
        <v>1106</v>
      </c>
      <c r="F244" s="286" t="s">
        <v>1645</v>
      </c>
      <c r="G244" s="286" t="s">
        <v>1048</v>
      </c>
      <c r="H244" s="286" t="s">
        <v>1048</v>
      </c>
      <c r="I244" s="286" t="s">
        <v>1108</v>
      </c>
      <c r="J244" s="286" t="s">
        <v>1312</v>
      </c>
      <c r="K244" s="286" t="s">
        <v>1765</v>
      </c>
      <c r="L244" s="286" t="s">
        <v>596</v>
      </c>
      <c r="M244" s="286">
        <v>1</v>
      </c>
      <c r="N244" s="287">
        <v>12470.13</v>
      </c>
      <c r="O244" s="305">
        <f t="shared" si="9"/>
        <v>45169</v>
      </c>
      <c r="P244" s="286" t="s">
        <v>37</v>
      </c>
    </row>
    <row r="245" spans="1:16" hidden="1" x14ac:dyDescent="0.15">
      <c r="A245" s="286">
        <v>437831</v>
      </c>
      <c r="B245" s="288">
        <v>45282.6</v>
      </c>
      <c r="C245" s="286" t="s">
        <v>1632</v>
      </c>
      <c r="D245" s="286" t="s">
        <v>1105</v>
      </c>
      <c r="E245" s="286" t="s">
        <v>1106</v>
      </c>
      <c r="F245" s="286" t="s">
        <v>1656</v>
      </c>
      <c r="G245" s="286" t="s">
        <v>1036</v>
      </c>
      <c r="H245" s="286" t="s">
        <v>1036</v>
      </c>
      <c r="I245" s="286" t="s">
        <v>1108</v>
      </c>
      <c r="J245" s="286" t="s">
        <v>1312</v>
      </c>
      <c r="K245" s="286" t="s">
        <v>1765</v>
      </c>
      <c r="L245" s="286" t="s">
        <v>596</v>
      </c>
      <c r="M245" s="286">
        <v>1</v>
      </c>
      <c r="N245" s="287">
        <v>12470</v>
      </c>
      <c r="O245" s="305">
        <f t="shared" si="9"/>
        <v>45291</v>
      </c>
      <c r="P245" s="286" t="s">
        <v>37</v>
      </c>
    </row>
    <row r="246" spans="1:16" hidden="1" x14ac:dyDescent="0.15">
      <c r="A246" s="286">
        <v>442744</v>
      </c>
      <c r="B246" s="288">
        <v>45300.341666666667</v>
      </c>
      <c r="C246" s="286" t="s">
        <v>1632</v>
      </c>
      <c r="D246" s="286" t="s">
        <v>1105</v>
      </c>
      <c r="E246" s="286" t="s">
        <v>1106</v>
      </c>
      <c r="F246" s="286" t="s">
        <v>1633</v>
      </c>
      <c r="G246" s="286" t="s">
        <v>1031</v>
      </c>
      <c r="H246" s="286" t="s">
        <v>1031</v>
      </c>
      <c r="I246" s="286" t="s">
        <v>1108</v>
      </c>
      <c r="J246" s="286" t="s">
        <v>1312</v>
      </c>
      <c r="K246" s="286" t="s">
        <v>1765</v>
      </c>
      <c r="L246" s="286" t="s">
        <v>596</v>
      </c>
      <c r="M246" s="286">
        <v>1</v>
      </c>
      <c r="N246" s="287">
        <v>12470</v>
      </c>
      <c r="O246" s="305">
        <f t="shared" si="9"/>
        <v>45322</v>
      </c>
      <c r="P246" s="286" t="s">
        <v>37</v>
      </c>
    </row>
    <row r="247" spans="1:16" hidden="1" x14ac:dyDescent="0.15">
      <c r="A247" s="286">
        <v>278260</v>
      </c>
      <c r="B247" s="288">
        <v>45118.491666666669</v>
      </c>
      <c r="C247" s="286" t="s">
        <v>1649</v>
      </c>
      <c r="D247" s="286" t="s">
        <v>1309</v>
      </c>
      <c r="E247" s="286" t="s">
        <v>1310</v>
      </c>
      <c r="F247" s="286" t="s">
        <v>1650</v>
      </c>
      <c r="G247" s="286" t="s">
        <v>1026</v>
      </c>
      <c r="H247" s="286" t="s">
        <v>1026</v>
      </c>
      <c r="I247" s="286" t="s">
        <v>1301</v>
      </c>
      <c r="J247" s="286" t="s">
        <v>1312</v>
      </c>
      <c r="K247" s="286" t="s">
        <v>56</v>
      </c>
      <c r="L247" s="286" t="s">
        <v>71</v>
      </c>
      <c r="M247" s="286">
        <v>1</v>
      </c>
      <c r="N247" s="287">
        <v>12368</v>
      </c>
      <c r="O247" s="287"/>
      <c r="P247" s="286" t="s">
        <v>55</v>
      </c>
    </row>
    <row r="248" spans="1:16" hidden="1" x14ac:dyDescent="0.15">
      <c r="A248" s="286">
        <v>332509</v>
      </c>
      <c r="B248" s="288">
        <v>45167.436111111114</v>
      </c>
      <c r="C248" s="286" t="s">
        <v>1691</v>
      </c>
      <c r="D248" s="286" t="s">
        <v>1105</v>
      </c>
      <c r="E248" s="286" t="s">
        <v>1106</v>
      </c>
      <c r="F248" s="286" t="s">
        <v>1692</v>
      </c>
      <c r="G248" s="286" t="s">
        <v>1055</v>
      </c>
      <c r="H248" s="286" t="s">
        <v>1055</v>
      </c>
      <c r="I248" s="286" t="s">
        <v>1230</v>
      </c>
      <c r="J248" s="286" t="s">
        <v>1312</v>
      </c>
      <c r="K248" s="286" t="s">
        <v>53</v>
      </c>
      <c r="L248" s="286" t="s">
        <v>53</v>
      </c>
      <c r="M248" s="286" t="s">
        <v>53</v>
      </c>
      <c r="N248" s="287">
        <v>12348</v>
      </c>
      <c r="O248" s="287"/>
      <c r="P248" s="286" t="s">
        <v>175</v>
      </c>
    </row>
    <row r="249" spans="1:16" hidden="1" x14ac:dyDescent="0.15">
      <c r="A249" s="286">
        <v>379134</v>
      </c>
      <c r="B249" s="288">
        <v>45218.479166666664</v>
      </c>
      <c r="C249" s="286" t="s">
        <v>1642</v>
      </c>
      <c r="D249" s="286" t="s">
        <v>1105</v>
      </c>
      <c r="E249" s="286" t="s">
        <v>1106</v>
      </c>
      <c r="F249" s="286" t="s">
        <v>1726</v>
      </c>
      <c r="H249" s="286" t="s">
        <v>1052</v>
      </c>
      <c r="I249" s="286" t="s">
        <v>1230</v>
      </c>
      <c r="J249" s="286" t="s">
        <v>1312</v>
      </c>
      <c r="K249" s="286" t="s">
        <v>1727</v>
      </c>
      <c r="L249" s="286" t="s">
        <v>1728</v>
      </c>
      <c r="M249" s="286">
        <v>1</v>
      </c>
      <c r="N249" s="287">
        <v>12348</v>
      </c>
      <c r="O249" s="287"/>
      <c r="P249" s="286" t="s">
        <v>175</v>
      </c>
    </row>
    <row r="250" spans="1:16" hidden="1" x14ac:dyDescent="0.15">
      <c r="A250" s="286">
        <v>328287</v>
      </c>
      <c r="B250" s="288">
        <v>45161.62777777778</v>
      </c>
      <c r="C250" s="286" t="s">
        <v>1691</v>
      </c>
      <c r="D250" s="286" t="s">
        <v>1105</v>
      </c>
      <c r="E250" s="286" t="s">
        <v>1106</v>
      </c>
      <c r="F250" s="286" t="s">
        <v>1714</v>
      </c>
      <c r="G250" s="286" t="s">
        <v>1023</v>
      </c>
      <c r="H250" s="286" t="s">
        <v>1023</v>
      </c>
      <c r="I250" s="286" t="s">
        <v>1199</v>
      </c>
      <c r="J250" s="286" t="s">
        <v>53</v>
      </c>
      <c r="K250" s="286" t="s">
        <v>53</v>
      </c>
      <c r="L250" s="286" t="s">
        <v>53</v>
      </c>
      <c r="M250" s="286" t="s">
        <v>53</v>
      </c>
      <c r="N250" s="287">
        <v>12346.45</v>
      </c>
      <c r="O250" s="287"/>
      <c r="P250" s="286" t="s">
        <v>58</v>
      </c>
    </row>
    <row r="251" spans="1:16" hidden="1" x14ac:dyDescent="0.15">
      <c r="A251" s="286">
        <v>170499</v>
      </c>
      <c r="B251" s="288">
        <v>44986.615972222222</v>
      </c>
      <c r="C251" s="286" t="s">
        <v>1640</v>
      </c>
      <c r="D251" s="286" t="s">
        <v>1105</v>
      </c>
      <c r="E251" s="286" t="s">
        <v>1106</v>
      </c>
      <c r="F251" s="286" t="s">
        <v>1755</v>
      </c>
      <c r="G251" s="286" t="s">
        <v>1052</v>
      </c>
      <c r="H251" s="286" t="s">
        <v>1052</v>
      </c>
      <c r="I251" s="286" t="s">
        <v>1228</v>
      </c>
      <c r="J251" s="286" t="s">
        <v>1312</v>
      </c>
      <c r="K251" s="286" t="s">
        <v>53</v>
      </c>
      <c r="L251" s="286" t="s">
        <v>53</v>
      </c>
      <c r="M251" s="286" t="s">
        <v>53</v>
      </c>
      <c r="N251" s="287">
        <v>12294.92</v>
      </c>
      <c r="O251" s="287"/>
      <c r="P251" s="286" t="s">
        <v>58</v>
      </c>
    </row>
    <row r="252" spans="1:16" hidden="1" x14ac:dyDescent="0.15">
      <c r="A252" s="286">
        <v>170298</v>
      </c>
      <c r="B252" s="288">
        <v>44986.623611111114</v>
      </c>
      <c r="C252" s="286" t="s">
        <v>1638</v>
      </c>
      <c r="D252" s="286" t="s">
        <v>1105</v>
      </c>
      <c r="E252" s="286" t="s">
        <v>1106</v>
      </c>
      <c r="F252" s="286" t="s">
        <v>1721</v>
      </c>
      <c r="G252" s="286" t="s">
        <v>1052</v>
      </c>
      <c r="H252" s="286" t="s">
        <v>1052</v>
      </c>
      <c r="I252" s="286" t="s">
        <v>1228</v>
      </c>
      <c r="J252" s="286" t="s">
        <v>1312</v>
      </c>
      <c r="K252" s="286" t="s">
        <v>53</v>
      </c>
      <c r="L252" s="286" t="s">
        <v>53</v>
      </c>
      <c r="M252" s="286" t="s">
        <v>53</v>
      </c>
      <c r="N252" s="287">
        <v>12294.92</v>
      </c>
      <c r="O252" s="287"/>
      <c r="P252" s="286" t="s">
        <v>58</v>
      </c>
    </row>
    <row r="253" spans="1:16" hidden="1" x14ac:dyDescent="0.15">
      <c r="A253" s="286">
        <v>185846</v>
      </c>
      <c r="B253" s="288">
        <v>45005.724305555559</v>
      </c>
      <c r="C253" s="286" t="s">
        <v>1667</v>
      </c>
      <c r="D253" s="286" t="s">
        <v>1105</v>
      </c>
      <c r="E253" s="286" t="s">
        <v>1106</v>
      </c>
      <c r="F253" s="286" t="s">
        <v>1702</v>
      </c>
      <c r="G253" s="286" t="s">
        <v>1052</v>
      </c>
      <c r="H253" s="286" t="s">
        <v>1052</v>
      </c>
      <c r="I253" s="286" t="s">
        <v>1228</v>
      </c>
      <c r="J253" s="286" t="s">
        <v>1312</v>
      </c>
      <c r="K253" s="286" t="s">
        <v>53</v>
      </c>
      <c r="L253" s="286" t="s">
        <v>53</v>
      </c>
      <c r="M253" s="286" t="s">
        <v>53</v>
      </c>
      <c r="N253" s="287">
        <v>12294.92</v>
      </c>
      <c r="O253" s="287"/>
      <c r="P253" s="286" t="s">
        <v>58</v>
      </c>
    </row>
    <row r="254" spans="1:16" hidden="1" x14ac:dyDescent="0.15">
      <c r="A254" s="286">
        <v>201556</v>
      </c>
      <c r="B254" s="288">
        <v>45029.540972222225</v>
      </c>
      <c r="C254" s="286" t="s">
        <v>1657</v>
      </c>
      <c r="D254" s="286" t="s">
        <v>1105</v>
      </c>
      <c r="E254" s="286" t="s">
        <v>1106</v>
      </c>
      <c r="F254" s="286" t="s">
        <v>1722</v>
      </c>
      <c r="G254" s="286" t="s">
        <v>1052</v>
      </c>
      <c r="H254" s="286" t="s">
        <v>1052</v>
      </c>
      <c r="I254" s="286" t="s">
        <v>1228</v>
      </c>
      <c r="J254" s="286" t="s">
        <v>1312</v>
      </c>
      <c r="K254" s="286" t="s">
        <v>53</v>
      </c>
      <c r="L254" s="286" t="s">
        <v>53</v>
      </c>
      <c r="M254" s="286" t="s">
        <v>53</v>
      </c>
      <c r="N254" s="287">
        <v>12294.92</v>
      </c>
      <c r="O254" s="287"/>
      <c r="P254" s="286" t="s">
        <v>58</v>
      </c>
    </row>
    <row r="255" spans="1:16" hidden="1" x14ac:dyDescent="0.15">
      <c r="A255" s="286">
        <v>225409</v>
      </c>
      <c r="B255" s="288">
        <v>45058.522222222222</v>
      </c>
      <c r="C255" s="286" t="s">
        <v>1665</v>
      </c>
      <c r="D255" s="286" t="s">
        <v>1105</v>
      </c>
      <c r="E255" s="286" t="s">
        <v>1106</v>
      </c>
      <c r="F255" s="286" t="s">
        <v>1723</v>
      </c>
      <c r="G255" s="286" t="s">
        <v>1052</v>
      </c>
      <c r="H255" s="286" t="s">
        <v>1052</v>
      </c>
      <c r="I255" s="286" t="s">
        <v>1228</v>
      </c>
      <c r="J255" s="286" t="s">
        <v>1312</v>
      </c>
      <c r="K255" s="286" t="s">
        <v>53</v>
      </c>
      <c r="L255" s="286" t="s">
        <v>53</v>
      </c>
      <c r="M255" s="286" t="s">
        <v>53</v>
      </c>
      <c r="N255" s="287">
        <v>12294.92</v>
      </c>
      <c r="O255" s="287"/>
      <c r="P255" s="286" t="s">
        <v>58</v>
      </c>
    </row>
    <row r="256" spans="1:16" hidden="1" x14ac:dyDescent="0.15">
      <c r="A256" s="286">
        <v>370270</v>
      </c>
      <c r="B256" s="288">
        <v>45208.668055555558</v>
      </c>
      <c r="C256" s="286" t="s">
        <v>1642</v>
      </c>
      <c r="D256" s="286" t="s">
        <v>1105</v>
      </c>
      <c r="E256" s="286" t="s">
        <v>1106</v>
      </c>
      <c r="F256" s="286" t="s">
        <v>1716</v>
      </c>
      <c r="G256" s="286" t="s">
        <v>1766</v>
      </c>
      <c r="H256" s="286" t="s">
        <v>1766</v>
      </c>
      <c r="I256" s="286" t="s">
        <v>1199</v>
      </c>
      <c r="J256" s="286" t="s">
        <v>1312</v>
      </c>
      <c r="K256" s="286" t="s">
        <v>1767</v>
      </c>
      <c r="L256" s="286" t="s">
        <v>53</v>
      </c>
      <c r="M256" s="286">
        <v>1</v>
      </c>
      <c r="N256" s="287">
        <v>12119.79</v>
      </c>
      <c r="O256" s="287"/>
      <c r="P256" s="286" t="s">
        <v>58</v>
      </c>
    </row>
    <row r="257" spans="1:16" hidden="1" x14ac:dyDescent="0.15">
      <c r="A257" s="286">
        <v>402221</v>
      </c>
      <c r="B257" s="288">
        <v>45243.579861111109</v>
      </c>
      <c r="C257" s="286" t="s">
        <v>1654</v>
      </c>
      <c r="D257" s="286" t="s">
        <v>1105</v>
      </c>
      <c r="E257" s="286" t="s">
        <v>1106</v>
      </c>
      <c r="F257" s="286" t="s">
        <v>1724</v>
      </c>
      <c r="G257" s="286" t="s">
        <v>1766</v>
      </c>
      <c r="H257" s="286" t="s">
        <v>1766</v>
      </c>
      <c r="I257" s="286" t="s">
        <v>1199</v>
      </c>
      <c r="J257" s="286" t="s">
        <v>1312</v>
      </c>
      <c r="K257" s="286" t="s">
        <v>1767</v>
      </c>
      <c r="L257" s="286" t="s">
        <v>53</v>
      </c>
      <c r="M257" s="286">
        <v>1</v>
      </c>
      <c r="N257" s="287">
        <v>12119.79</v>
      </c>
      <c r="O257" s="287"/>
      <c r="P257" s="286" t="s">
        <v>58</v>
      </c>
    </row>
    <row r="258" spans="1:16" hidden="1" x14ac:dyDescent="0.15">
      <c r="A258" s="286">
        <v>455146</v>
      </c>
      <c r="B258" s="288">
        <v>45310.510416666664</v>
      </c>
      <c r="C258" s="286" t="s">
        <v>1632</v>
      </c>
      <c r="D258" s="286" t="s">
        <v>1105</v>
      </c>
      <c r="E258" s="286" t="s">
        <v>1106</v>
      </c>
      <c r="F258" s="286" t="s">
        <v>1725</v>
      </c>
      <c r="G258" s="286" t="s">
        <v>1766</v>
      </c>
      <c r="H258" s="286" t="s">
        <v>1766</v>
      </c>
      <c r="I258" s="286" t="s">
        <v>1199</v>
      </c>
      <c r="J258" s="286" t="s">
        <v>1312</v>
      </c>
      <c r="K258" s="286" t="s">
        <v>1767</v>
      </c>
      <c r="L258" s="286" t="s">
        <v>53</v>
      </c>
      <c r="M258" s="286">
        <v>1</v>
      </c>
      <c r="N258" s="287">
        <v>12119.79</v>
      </c>
      <c r="O258" s="287"/>
      <c r="P258" s="286" t="s">
        <v>58</v>
      </c>
    </row>
    <row r="259" spans="1:16" hidden="1" x14ac:dyDescent="0.15">
      <c r="A259" s="286">
        <v>339870</v>
      </c>
      <c r="B259" s="288">
        <v>45177.481944444444</v>
      </c>
      <c r="C259" s="286" t="s">
        <v>1676</v>
      </c>
      <c r="D259" s="286" t="s">
        <v>1105</v>
      </c>
      <c r="E259" s="286" t="s">
        <v>1106</v>
      </c>
      <c r="F259" s="286" t="s">
        <v>1715</v>
      </c>
      <c r="G259" s="286" t="s">
        <v>1007</v>
      </c>
      <c r="H259" s="286" t="s">
        <v>1007</v>
      </c>
      <c r="I259" s="286" t="s">
        <v>1199</v>
      </c>
      <c r="J259" s="286" t="s">
        <v>1312</v>
      </c>
      <c r="K259" s="286" t="s">
        <v>1768</v>
      </c>
      <c r="L259" s="286" t="s">
        <v>672</v>
      </c>
      <c r="M259" s="286">
        <v>1</v>
      </c>
      <c r="N259" s="287">
        <v>12083.71</v>
      </c>
      <c r="O259" s="287"/>
      <c r="P259" s="286" t="s">
        <v>58</v>
      </c>
    </row>
    <row r="260" spans="1:16" hidden="1" x14ac:dyDescent="0.15">
      <c r="A260" s="286">
        <v>370270</v>
      </c>
      <c r="B260" s="288">
        <v>45208.668055555558</v>
      </c>
      <c r="C260" s="286" t="s">
        <v>1642</v>
      </c>
      <c r="D260" s="286" t="s">
        <v>1105</v>
      </c>
      <c r="E260" s="286" t="s">
        <v>1106</v>
      </c>
      <c r="F260" s="286" t="s">
        <v>1716</v>
      </c>
      <c r="G260" s="286" t="s">
        <v>1007</v>
      </c>
      <c r="H260" s="286" t="s">
        <v>1007</v>
      </c>
      <c r="I260" s="286" t="s">
        <v>1199</v>
      </c>
      <c r="J260" s="286" t="s">
        <v>1312</v>
      </c>
      <c r="K260" s="286" t="s">
        <v>1768</v>
      </c>
      <c r="L260" s="286" t="s">
        <v>672</v>
      </c>
      <c r="M260" s="286">
        <v>1</v>
      </c>
      <c r="N260" s="287">
        <v>12083.71</v>
      </c>
      <c r="O260" s="287"/>
      <c r="P260" s="286" t="s">
        <v>58</v>
      </c>
    </row>
    <row r="261" spans="1:16" hidden="1" x14ac:dyDescent="0.15">
      <c r="A261" s="286">
        <v>402221</v>
      </c>
      <c r="B261" s="288">
        <v>45243.579861111109</v>
      </c>
      <c r="C261" s="286" t="s">
        <v>1654</v>
      </c>
      <c r="D261" s="286" t="s">
        <v>1105</v>
      </c>
      <c r="E261" s="286" t="s">
        <v>1106</v>
      </c>
      <c r="F261" s="286" t="s">
        <v>1724</v>
      </c>
      <c r="G261" s="286" t="s">
        <v>1007</v>
      </c>
      <c r="H261" s="286" t="s">
        <v>1007</v>
      </c>
      <c r="I261" s="286" t="s">
        <v>1199</v>
      </c>
      <c r="J261" s="286" t="s">
        <v>1312</v>
      </c>
      <c r="K261" s="286" t="s">
        <v>1768</v>
      </c>
      <c r="L261" s="286" t="s">
        <v>672</v>
      </c>
      <c r="M261" s="286">
        <v>1</v>
      </c>
      <c r="N261" s="287">
        <v>12083.71</v>
      </c>
      <c r="O261" s="287"/>
      <c r="P261" s="286" t="s">
        <v>58</v>
      </c>
    </row>
    <row r="262" spans="1:16" hidden="1" x14ac:dyDescent="0.15">
      <c r="A262" s="286">
        <v>455146</v>
      </c>
      <c r="B262" s="288">
        <v>45310.510416666664</v>
      </c>
      <c r="C262" s="286" t="s">
        <v>1632</v>
      </c>
      <c r="D262" s="286" t="s">
        <v>1105</v>
      </c>
      <c r="E262" s="286" t="s">
        <v>1106</v>
      </c>
      <c r="F262" s="286" t="s">
        <v>1725</v>
      </c>
      <c r="G262" s="286" t="s">
        <v>1007</v>
      </c>
      <c r="H262" s="286" t="s">
        <v>1007</v>
      </c>
      <c r="I262" s="286" t="s">
        <v>1199</v>
      </c>
      <c r="J262" s="286" t="s">
        <v>1312</v>
      </c>
      <c r="K262" s="286" t="s">
        <v>1768</v>
      </c>
      <c r="L262" s="286" t="s">
        <v>672</v>
      </c>
      <c r="M262" s="286">
        <v>1</v>
      </c>
      <c r="N262" s="287">
        <v>12083.71</v>
      </c>
      <c r="O262" s="287"/>
      <c r="P262" s="286" t="s">
        <v>58</v>
      </c>
    </row>
    <row r="263" spans="1:16" hidden="1" x14ac:dyDescent="0.15">
      <c r="A263" s="286">
        <v>261837</v>
      </c>
      <c r="B263" s="288">
        <v>45099.665972222225</v>
      </c>
      <c r="C263" s="286" t="s">
        <v>1649</v>
      </c>
      <c r="D263" s="286" t="s">
        <v>1105</v>
      </c>
      <c r="E263" s="286" t="s">
        <v>1106</v>
      </c>
      <c r="F263" s="286" t="s">
        <v>1686</v>
      </c>
      <c r="G263" s="286" t="s">
        <v>1058</v>
      </c>
      <c r="H263" s="286" t="s">
        <v>1058</v>
      </c>
      <c r="I263" s="286" t="s">
        <v>1230</v>
      </c>
      <c r="J263" s="286" t="s">
        <v>1312</v>
      </c>
      <c r="K263" s="286" t="s">
        <v>53</v>
      </c>
      <c r="L263" s="286" t="s">
        <v>53</v>
      </c>
      <c r="M263" s="286" t="s">
        <v>53</v>
      </c>
      <c r="N263" s="287">
        <v>12062</v>
      </c>
      <c r="O263" s="287"/>
      <c r="P263" s="286" t="s">
        <v>175</v>
      </c>
    </row>
    <row r="264" spans="1:16" hidden="1" x14ac:dyDescent="0.15">
      <c r="A264" s="286">
        <v>354836</v>
      </c>
      <c r="B264" s="288">
        <v>45190.591666666667</v>
      </c>
      <c r="C264" s="286" t="s">
        <v>1676</v>
      </c>
      <c r="D264" s="286" t="s">
        <v>1105</v>
      </c>
      <c r="E264" s="286" t="s">
        <v>1106</v>
      </c>
      <c r="F264" s="286" t="s">
        <v>1687</v>
      </c>
      <c r="G264" s="286" t="s">
        <v>1083</v>
      </c>
      <c r="H264" s="286" t="s">
        <v>1083</v>
      </c>
      <c r="I264" s="286" t="s">
        <v>1112</v>
      </c>
      <c r="J264" s="286" t="s">
        <v>1312</v>
      </c>
      <c r="K264" s="286" t="s">
        <v>53</v>
      </c>
      <c r="L264" s="286" t="s">
        <v>53</v>
      </c>
      <c r="M264" s="286" t="s">
        <v>53</v>
      </c>
      <c r="N264" s="287">
        <v>11810</v>
      </c>
      <c r="O264" s="287"/>
      <c r="P264" s="286" t="s">
        <v>175</v>
      </c>
    </row>
    <row r="265" spans="1:16" hidden="1" x14ac:dyDescent="0.15">
      <c r="A265" s="286">
        <v>185851</v>
      </c>
      <c r="B265" s="288">
        <v>45005.741666666669</v>
      </c>
      <c r="C265" s="286" t="s">
        <v>1667</v>
      </c>
      <c r="D265" s="286" t="s">
        <v>1105</v>
      </c>
      <c r="E265" s="286" t="s">
        <v>1106</v>
      </c>
      <c r="F265" s="286" t="s">
        <v>1685</v>
      </c>
      <c r="G265" s="286" t="s">
        <v>1067</v>
      </c>
      <c r="H265" s="286" t="s">
        <v>1067</v>
      </c>
      <c r="I265" s="286" t="s">
        <v>1112</v>
      </c>
      <c r="J265" s="286" t="s">
        <v>1312</v>
      </c>
      <c r="K265" s="286" t="s">
        <v>53</v>
      </c>
      <c r="L265" s="286" t="s">
        <v>53</v>
      </c>
      <c r="M265" s="286" t="s">
        <v>53</v>
      </c>
      <c r="N265" s="287">
        <v>11554</v>
      </c>
      <c r="O265" s="287"/>
      <c r="P265" s="286" t="s">
        <v>175</v>
      </c>
    </row>
    <row r="266" spans="1:16" hidden="1" x14ac:dyDescent="0.15">
      <c r="A266" s="286">
        <v>437581</v>
      </c>
      <c r="B266" s="288">
        <v>45281.44027777778</v>
      </c>
      <c r="C266" s="286" t="s">
        <v>1632</v>
      </c>
      <c r="D266" s="286" t="s">
        <v>1105</v>
      </c>
      <c r="E266" s="286" t="s">
        <v>1106</v>
      </c>
      <c r="F266" s="286" t="s">
        <v>1741</v>
      </c>
      <c r="G266" s="286" t="s">
        <v>1072</v>
      </c>
      <c r="H266" s="286" t="s">
        <v>1072</v>
      </c>
      <c r="I266" s="286" t="s">
        <v>1229</v>
      </c>
      <c r="J266" s="286" t="s">
        <v>1312</v>
      </c>
      <c r="K266" s="286" t="s">
        <v>916</v>
      </c>
      <c r="L266" s="286" t="s">
        <v>1769</v>
      </c>
      <c r="M266" s="286">
        <v>1</v>
      </c>
      <c r="N266" s="287">
        <v>11517</v>
      </c>
      <c r="O266" s="287"/>
      <c r="P266" s="286" t="s">
        <v>47</v>
      </c>
    </row>
    <row r="267" spans="1:16" hidden="1" x14ac:dyDescent="0.15">
      <c r="A267" s="286">
        <v>328287</v>
      </c>
      <c r="B267" s="288">
        <v>45161.62777777778</v>
      </c>
      <c r="C267" s="286" t="s">
        <v>1691</v>
      </c>
      <c r="D267" s="286" t="s">
        <v>1105</v>
      </c>
      <c r="E267" s="286" t="s">
        <v>1106</v>
      </c>
      <c r="F267" s="286" t="s">
        <v>1714</v>
      </c>
      <c r="G267" s="286" t="s">
        <v>1041</v>
      </c>
      <c r="H267" s="286" t="s">
        <v>1041</v>
      </c>
      <c r="I267" s="286" t="s">
        <v>1228</v>
      </c>
      <c r="J267" s="286" t="s">
        <v>1312</v>
      </c>
      <c r="K267" s="286" t="s">
        <v>1770</v>
      </c>
      <c r="L267" s="286" t="s">
        <v>672</v>
      </c>
      <c r="M267" s="286">
        <v>1</v>
      </c>
      <c r="N267" s="287">
        <v>11358.69</v>
      </c>
      <c r="O267" s="287"/>
      <c r="P267" s="286" t="s">
        <v>58</v>
      </c>
    </row>
    <row r="268" spans="1:16" hidden="1" x14ac:dyDescent="0.15">
      <c r="A268" s="286">
        <v>339870</v>
      </c>
      <c r="B268" s="288">
        <v>45177.481944444444</v>
      </c>
      <c r="C268" s="286" t="s">
        <v>1676</v>
      </c>
      <c r="D268" s="286" t="s">
        <v>1105</v>
      </c>
      <c r="E268" s="286" t="s">
        <v>1106</v>
      </c>
      <c r="F268" s="286" t="s">
        <v>1715</v>
      </c>
      <c r="G268" s="286" t="s">
        <v>1041</v>
      </c>
      <c r="H268" s="286" t="s">
        <v>1041</v>
      </c>
      <c r="I268" s="286" t="s">
        <v>1228</v>
      </c>
      <c r="J268" s="286" t="s">
        <v>1312</v>
      </c>
      <c r="K268" s="286" t="s">
        <v>1770</v>
      </c>
      <c r="L268" s="286" t="s">
        <v>672</v>
      </c>
      <c r="M268" s="286">
        <v>1</v>
      </c>
      <c r="N268" s="287">
        <v>11358.69</v>
      </c>
      <c r="O268" s="287"/>
      <c r="P268" s="286" t="s">
        <v>58</v>
      </c>
    </row>
    <row r="269" spans="1:16" hidden="1" x14ac:dyDescent="0.15">
      <c r="A269" s="286">
        <v>370270</v>
      </c>
      <c r="B269" s="288">
        <v>45208.668055555558</v>
      </c>
      <c r="C269" s="286" t="s">
        <v>1642</v>
      </c>
      <c r="D269" s="286" t="s">
        <v>1105</v>
      </c>
      <c r="E269" s="286" t="s">
        <v>1106</v>
      </c>
      <c r="F269" s="286" t="s">
        <v>1716</v>
      </c>
      <c r="G269" s="286" t="s">
        <v>1041</v>
      </c>
      <c r="H269" s="286" t="s">
        <v>1041</v>
      </c>
      <c r="I269" s="286" t="s">
        <v>1228</v>
      </c>
      <c r="J269" s="286" t="s">
        <v>1312</v>
      </c>
      <c r="K269" s="286" t="s">
        <v>1770</v>
      </c>
      <c r="L269" s="286" t="s">
        <v>672</v>
      </c>
      <c r="M269" s="286">
        <v>1</v>
      </c>
      <c r="N269" s="287">
        <v>11358.69</v>
      </c>
      <c r="O269" s="287"/>
      <c r="P269" s="286" t="s">
        <v>58</v>
      </c>
    </row>
    <row r="270" spans="1:16" hidden="1" x14ac:dyDescent="0.15">
      <c r="A270" s="286">
        <v>402221</v>
      </c>
      <c r="B270" s="288">
        <v>45243.579861111109</v>
      </c>
      <c r="C270" s="286" t="s">
        <v>1654</v>
      </c>
      <c r="D270" s="286" t="s">
        <v>1105</v>
      </c>
      <c r="E270" s="286" t="s">
        <v>1106</v>
      </c>
      <c r="F270" s="286" t="s">
        <v>1724</v>
      </c>
      <c r="G270" s="286" t="s">
        <v>1041</v>
      </c>
      <c r="H270" s="286" t="s">
        <v>1041</v>
      </c>
      <c r="I270" s="286" t="s">
        <v>1228</v>
      </c>
      <c r="J270" s="286" t="s">
        <v>1312</v>
      </c>
      <c r="K270" s="286" t="s">
        <v>1770</v>
      </c>
      <c r="L270" s="286" t="s">
        <v>672</v>
      </c>
      <c r="M270" s="286">
        <v>1</v>
      </c>
      <c r="N270" s="287">
        <v>11358.69</v>
      </c>
      <c r="O270" s="287"/>
      <c r="P270" s="286" t="s">
        <v>58</v>
      </c>
    </row>
    <row r="271" spans="1:16" hidden="1" x14ac:dyDescent="0.15">
      <c r="A271" s="286">
        <v>455146</v>
      </c>
      <c r="B271" s="288">
        <v>45310.510416666664</v>
      </c>
      <c r="C271" s="286" t="s">
        <v>1632</v>
      </c>
      <c r="D271" s="286" t="s">
        <v>1105</v>
      </c>
      <c r="E271" s="286" t="s">
        <v>1106</v>
      </c>
      <c r="F271" s="286" t="s">
        <v>1725</v>
      </c>
      <c r="G271" s="286" t="s">
        <v>1041</v>
      </c>
      <c r="H271" s="286" t="s">
        <v>1041</v>
      </c>
      <c r="I271" s="286" t="s">
        <v>1228</v>
      </c>
      <c r="J271" s="286" t="s">
        <v>1312</v>
      </c>
      <c r="K271" s="286" t="s">
        <v>1770</v>
      </c>
      <c r="L271" s="286" t="s">
        <v>672</v>
      </c>
      <c r="M271" s="286">
        <v>1</v>
      </c>
      <c r="N271" s="287">
        <v>11358.69</v>
      </c>
      <c r="O271" s="287"/>
      <c r="P271" s="286" t="s">
        <v>58</v>
      </c>
    </row>
    <row r="272" spans="1:16" hidden="1" x14ac:dyDescent="0.15">
      <c r="A272" s="286">
        <v>332509</v>
      </c>
      <c r="B272" s="288">
        <v>45167.436111111114</v>
      </c>
      <c r="C272" s="286" t="s">
        <v>1691</v>
      </c>
      <c r="D272" s="286" t="s">
        <v>1105</v>
      </c>
      <c r="E272" s="286" t="s">
        <v>1106</v>
      </c>
      <c r="F272" s="286" t="s">
        <v>1692</v>
      </c>
      <c r="G272" s="286" t="s">
        <v>1071</v>
      </c>
      <c r="H272" s="286" t="s">
        <v>1071</v>
      </c>
      <c r="I272" s="286" t="s">
        <v>1112</v>
      </c>
      <c r="J272" s="286" t="s">
        <v>1312</v>
      </c>
      <c r="K272" s="286" t="s">
        <v>53</v>
      </c>
      <c r="L272" s="286" t="s">
        <v>53</v>
      </c>
      <c r="M272" s="286" t="s">
        <v>53</v>
      </c>
      <c r="N272" s="287">
        <v>11345</v>
      </c>
      <c r="O272" s="287"/>
      <c r="P272" s="286" t="s">
        <v>175</v>
      </c>
    </row>
    <row r="273" spans="1:16" hidden="1" x14ac:dyDescent="0.15">
      <c r="A273" s="286">
        <v>170298</v>
      </c>
      <c r="B273" s="288">
        <v>44986.623611111114</v>
      </c>
      <c r="C273" s="286" t="s">
        <v>1638</v>
      </c>
      <c r="D273" s="286" t="s">
        <v>1105</v>
      </c>
      <c r="E273" s="286" t="s">
        <v>1106</v>
      </c>
      <c r="F273" s="286" t="s">
        <v>1721</v>
      </c>
      <c r="G273" s="286" t="s">
        <v>1028</v>
      </c>
      <c r="H273" s="286" t="s">
        <v>1028</v>
      </c>
      <c r="I273" s="286" t="s">
        <v>1199</v>
      </c>
      <c r="J273" s="286" t="s">
        <v>1312</v>
      </c>
      <c r="K273" s="286" t="s">
        <v>53</v>
      </c>
      <c r="L273" s="286" t="s">
        <v>53</v>
      </c>
      <c r="M273" s="286" t="s">
        <v>53</v>
      </c>
      <c r="N273" s="287">
        <v>11339.49</v>
      </c>
      <c r="O273" s="287"/>
      <c r="P273" s="286" t="s">
        <v>58</v>
      </c>
    </row>
    <row r="274" spans="1:16" hidden="1" x14ac:dyDescent="0.15">
      <c r="A274" s="286">
        <v>278788</v>
      </c>
      <c r="B274" s="288">
        <v>45118.57708333333</v>
      </c>
      <c r="C274" s="286" t="s">
        <v>1649</v>
      </c>
      <c r="D274" s="286" t="s">
        <v>1105</v>
      </c>
      <c r="E274" s="286" t="s">
        <v>1106</v>
      </c>
      <c r="F274" s="286" t="s">
        <v>1712</v>
      </c>
      <c r="G274" s="286" t="s">
        <v>1028</v>
      </c>
      <c r="H274" s="286" t="s">
        <v>1028</v>
      </c>
      <c r="I274" s="286" t="s">
        <v>1199</v>
      </c>
      <c r="J274" s="286" t="s">
        <v>53</v>
      </c>
      <c r="K274" s="286" t="s">
        <v>53</v>
      </c>
      <c r="L274" s="286" t="s">
        <v>53</v>
      </c>
      <c r="M274" s="286" t="s">
        <v>53</v>
      </c>
      <c r="N274" s="287">
        <v>11332.71</v>
      </c>
      <c r="O274" s="287"/>
      <c r="P274" s="286" t="s">
        <v>58</v>
      </c>
    </row>
    <row r="275" spans="1:16" hidden="1" x14ac:dyDescent="0.15">
      <c r="A275" s="286">
        <v>284271</v>
      </c>
      <c r="B275" s="288">
        <v>45121.682638888888</v>
      </c>
      <c r="C275" s="286" t="s">
        <v>1636</v>
      </c>
      <c r="D275" s="286" t="s">
        <v>1105</v>
      </c>
      <c r="E275" s="286" t="s">
        <v>1106</v>
      </c>
      <c r="F275" s="286" t="s">
        <v>1713</v>
      </c>
      <c r="G275" s="286" t="s">
        <v>1028</v>
      </c>
      <c r="H275" s="286" t="s">
        <v>1028</v>
      </c>
      <c r="I275" s="286" t="s">
        <v>1199</v>
      </c>
      <c r="J275" s="286" t="s">
        <v>53</v>
      </c>
      <c r="K275" s="286" t="s">
        <v>53</v>
      </c>
      <c r="L275" s="286" t="s">
        <v>53</v>
      </c>
      <c r="M275" s="286" t="s">
        <v>53</v>
      </c>
      <c r="N275" s="287">
        <v>11332.71</v>
      </c>
      <c r="O275" s="287"/>
      <c r="P275" s="286" t="s">
        <v>58</v>
      </c>
    </row>
    <row r="276" spans="1:16" hidden="1" x14ac:dyDescent="0.15">
      <c r="A276" s="286">
        <v>328287</v>
      </c>
      <c r="B276" s="288">
        <v>45161.62777777778</v>
      </c>
      <c r="C276" s="286" t="s">
        <v>1691</v>
      </c>
      <c r="D276" s="286" t="s">
        <v>1105</v>
      </c>
      <c r="E276" s="286" t="s">
        <v>1106</v>
      </c>
      <c r="F276" s="286" t="s">
        <v>1714</v>
      </c>
      <c r="G276" s="286" t="s">
        <v>1028</v>
      </c>
      <c r="H276" s="286" t="s">
        <v>1028</v>
      </c>
      <c r="I276" s="286" t="s">
        <v>1199</v>
      </c>
      <c r="J276" s="286" t="s">
        <v>53</v>
      </c>
      <c r="K276" s="286" t="s">
        <v>53</v>
      </c>
      <c r="L276" s="286" t="s">
        <v>53</v>
      </c>
      <c r="M276" s="286" t="s">
        <v>53</v>
      </c>
      <c r="N276" s="287">
        <v>11332.71</v>
      </c>
      <c r="O276" s="287"/>
      <c r="P276" s="286" t="s">
        <v>58</v>
      </c>
    </row>
    <row r="277" spans="1:16" hidden="1" x14ac:dyDescent="0.15">
      <c r="A277" s="286">
        <v>339870</v>
      </c>
      <c r="B277" s="288">
        <v>45177.481944444444</v>
      </c>
      <c r="C277" s="286" t="s">
        <v>1676</v>
      </c>
      <c r="D277" s="286" t="s">
        <v>1105</v>
      </c>
      <c r="E277" s="286" t="s">
        <v>1106</v>
      </c>
      <c r="F277" s="286" t="s">
        <v>1715</v>
      </c>
      <c r="G277" s="286" t="s">
        <v>1028</v>
      </c>
      <c r="H277" s="286" t="s">
        <v>1028</v>
      </c>
      <c r="I277" s="286" t="s">
        <v>1199</v>
      </c>
      <c r="J277" s="286" t="s">
        <v>53</v>
      </c>
      <c r="K277" s="286" t="s">
        <v>53</v>
      </c>
      <c r="L277" s="286" t="s">
        <v>53</v>
      </c>
      <c r="M277" s="286" t="s">
        <v>53</v>
      </c>
      <c r="N277" s="287">
        <v>11332.71</v>
      </c>
      <c r="O277" s="287"/>
      <c r="P277" s="286" t="s">
        <v>58</v>
      </c>
    </row>
    <row r="278" spans="1:16" hidden="1" x14ac:dyDescent="0.15">
      <c r="A278" s="286">
        <v>370270</v>
      </c>
      <c r="B278" s="288">
        <v>45208.668055555558</v>
      </c>
      <c r="C278" s="286" t="s">
        <v>1642</v>
      </c>
      <c r="D278" s="286" t="s">
        <v>1105</v>
      </c>
      <c r="E278" s="286" t="s">
        <v>1106</v>
      </c>
      <c r="F278" s="286" t="s">
        <v>1716</v>
      </c>
      <c r="G278" s="286" t="s">
        <v>1028</v>
      </c>
      <c r="H278" s="286" t="s">
        <v>1028</v>
      </c>
      <c r="I278" s="286" t="s">
        <v>1199</v>
      </c>
      <c r="J278" s="286" t="s">
        <v>53</v>
      </c>
      <c r="K278" s="286" t="s">
        <v>53</v>
      </c>
      <c r="L278" s="286" t="s">
        <v>53</v>
      </c>
      <c r="M278" s="286" t="s">
        <v>53</v>
      </c>
      <c r="N278" s="287">
        <v>11332.71</v>
      </c>
      <c r="O278" s="287"/>
      <c r="P278" s="286" t="s">
        <v>58</v>
      </c>
    </row>
    <row r="279" spans="1:16" hidden="1" x14ac:dyDescent="0.15">
      <c r="A279" s="286">
        <v>402221</v>
      </c>
      <c r="B279" s="288">
        <v>45243.579861111109</v>
      </c>
      <c r="C279" s="286" t="s">
        <v>1654</v>
      </c>
      <c r="D279" s="286" t="s">
        <v>1105</v>
      </c>
      <c r="E279" s="286" t="s">
        <v>1106</v>
      </c>
      <c r="F279" s="286" t="s">
        <v>1724</v>
      </c>
      <c r="G279" s="286" t="s">
        <v>1028</v>
      </c>
      <c r="H279" s="286" t="s">
        <v>1028</v>
      </c>
      <c r="I279" s="286" t="s">
        <v>1199</v>
      </c>
      <c r="J279" s="286" t="s">
        <v>53</v>
      </c>
      <c r="K279" s="286" t="s">
        <v>53</v>
      </c>
      <c r="L279" s="286" t="s">
        <v>53</v>
      </c>
      <c r="M279" s="286" t="s">
        <v>53</v>
      </c>
      <c r="N279" s="287">
        <v>11332.71</v>
      </c>
      <c r="O279" s="287"/>
      <c r="P279" s="286" t="s">
        <v>58</v>
      </c>
    </row>
    <row r="280" spans="1:16" hidden="1" x14ac:dyDescent="0.15">
      <c r="A280" s="286">
        <v>455146</v>
      </c>
      <c r="B280" s="288">
        <v>45310.510416666664</v>
      </c>
      <c r="C280" s="286" t="s">
        <v>1632</v>
      </c>
      <c r="D280" s="286" t="s">
        <v>1105</v>
      </c>
      <c r="E280" s="286" t="s">
        <v>1106</v>
      </c>
      <c r="F280" s="286" t="s">
        <v>1725</v>
      </c>
      <c r="G280" s="286" t="s">
        <v>1028</v>
      </c>
      <c r="H280" s="286" t="s">
        <v>1028</v>
      </c>
      <c r="I280" s="286" t="s">
        <v>1199</v>
      </c>
      <c r="J280" s="286" t="s">
        <v>53</v>
      </c>
      <c r="K280" s="286" t="s">
        <v>53</v>
      </c>
      <c r="L280" s="286" t="s">
        <v>53</v>
      </c>
      <c r="M280" s="286" t="s">
        <v>53</v>
      </c>
      <c r="N280" s="287">
        <v>11332.71</v>
      </c>
      <c r="O280" s="287"/>
      <c r="P280" s="286" t="s">
        <v>58</v>
      </c>
    </row>
    <row r="281" spans="1:16" hidden="1" x14ac:dyDescent="0.15">
      <c r="A281" s="286">
        <v>170399</v>
      </c>
      <c r="B281" s="288">
        <v>44986.614583333336</v>
      </c>
      <c r="C281" s="286" t="s">
        <v>1640</v>
      </c>
      <c r="D281" s="286" t="s">
        <v>1105</v>
      </c>
      <c r="E281" s="286" t="s">
        <v>1106</v>
      </c>
      <c r="F281" s="286" t="s">
        <v>1720</v>
      </c>
      <c r="G281" s="286" t="s">
        <v>1028</v>
      </c>
      <c r="H281" s="286" t="s">
        <v>1028</v>
      </c>
      <c r="I281" s="286" t="s">
        <v>1199</v>
      </c>
      <c r="J281" s="286" t="s">
        <v>1312</v>
      </c>
      <c r="K281" s="286" t="s">
        <v>53</v>
      </c>
      <c r="L281" s="286" t="s">
        <v>53</v>
      </c>
      <c r="M281" s="286" t="s">
        <v>53</v>
      </c>
      <c r="N281" s="287">
        <v>11183.67</v>
      </c>
      <c r="O281" s="287"/>
      <c r="P281" s="286" t="s">
        <v>58</v>
      </c>
    </row>
    <row r="282" spans="1:16" hidden="1" x14ac:dyDescent="0.15">
      <c r="A282" s="286">
        <v>185846</v>
      </c>
      <c r="B282" s="288">
        <v>45005.724305555559</v>
      </c>
      <c r="C282" s="286" t="s">
        <v>1667</v>
      </c>
      <c r="D282" s="286" t="s">
        <v>1105</v>
      </c>
      <c r="E282" s="286" t="s">
        <v>1106</v>
      </c>
      <c r="F282" s="286" t="s">
        <v>1702</v>
      </c>
      <c r="G282" s="286" t="s">
        <v>1028</v>
      </c>
      <c r="H282" s="286" t="s">
        <v>1028</v>
      </c>
      <c r="I282" s="286" t="s">
        <v>1199</v>
      </c>
      <c r="J282" s="286" t="s">
        <v>1312</v>
      </c>
      <c r="K282" s="286" t="s">
        <v>53</v>
      </c>
      <c r="L282" s="286" t="s">
        <v>53</v>
      </c>
      <c r="M282" s="286" t="s">
        <v>53</v>
      </c>
      <c r="N282" s="287">
        <v>11183.67</v>
      </c>
      <c r="O282" s="287"/>
      <c r="P282" s="286" t="s">
        <v>58</v>
      </c>
    </row>
    <row r="283" spans="1:16" hidden="1" x14ac:dyDescent="0.15">
      <c r="A283" s="286">
        <v>201556</v>
      </c>
      <c r="B283" s="288">
        <v>45029.540972222225</v>
      </c>
      <c r="C283" s="286" t="s">
        <v>1657</v>
      </c>
      <c r="D283" s="286" t="s">
        <v>1105</v>
      </c>
      <c r="E283" s="286" t="s">
        <v>1106</v>
      </c>
      <c r="F283" s="286" t="s">
        <v>1722</v>
      </c>
      <c r="G283" s="286" t="s">
        <v>1028</v>
      </c>
      <c r="H283" s="286" t="s">
        <v>1028</v>
      </c>
      <c r="I283" s="286" t="s">
        <v>1199</v>
      </c>
      <c r="J283" s="286" t="s">
        <v>1312</v>
      </c>
      <c r="K283" s="286" t="s">
        <v>53</v>
      </c>
      <c r="L283" s="286" t="s">
        <v>53</v>
      </c>
      <c r="M283" s="286" t="s">
        <v>53</v>
      </c>
      <c r="N283" s="287">
        <v>11183.67</v>
      </c>
      <c r="O283" s="287"/>
      <c r="P283" s="286" t="s">
        <v>58</v>
      </c>
    </row>
    <row r="284" spans="1:16" hidden="1" x14ac:dyDescent="0.15">
      <c r="A284" s="286">
        <v>225409</v>
      </c>
      <c r="B284" s="288">
        <v>45058.522222222222</v>
      </c>
      <c r="C284" s="286" t="s">
        <v>1665</v>
      </c>
      <c r="D284" s="286" t="s">
        <v>1105</v>
      </c>
      <c r="E284" s="286" t="s">
        <v>1106</v>
      </c>
      <c r="F284" s="286" t="s">
        <v>1723</v>
      </c>
      <c r="G284" s="286" t="s">
        <v>1028</v>
      </c>
      <c r="H284" s="286" t="s">
        <v>1028</v>
      </c>
      <c r="I284" s="286" t="s">
        <v>1199</v>
      </c>
      <c r="J284" s="286" t="s">
        <v>1312</v>
      </c>
      <c r="K284" s="286" t="s">
        <v>53</v>
      </c>
      <c r="L284" s="286" t="s">
        <v>53</v>
      </c>
      <c r="M284" s="286" t="s">
        <v>53</v>
      </c>
      <c r="N284" s="287">
        <v>11183.67</v>
      </c>
      <c r="O284" s="287"/>
      <c r="P284" s="286" t="s">
        <v>58</v>
      </c>
    </row>
    <row r="285" spans="1:16" hidden="1" x14ac:dyDescent="0.15">
      <c r="A285" s="286">
        <v>237271</v>
      </c>
      <c r="B285" s="288">
        <v>45070.706250000003</v>
      </c>
      <c r="C285" s="286" t="s">
        <v>1665</v>
      </c>
      <c r="D285" s="286" t="s">
        <v>1105</v>
      </c>
      <c r="E285" s="286" t="s">
        <v>1106</v>
      </c>
      <c r="F285" s="286" t="s">
        <v>1666</v>
      </c>
      <c r="G285" s="286" t="s">
        <v>1061</v>
      </c>
      <c r="H285" s="286" t="s">
        <v>1061</v>
      </c>
      <c r="I285" s="286" t="s">
        <v>1230</v>
      </c>
      <c r="J285" s="286" t="s">
        <v>1312</v>
      </c>
      <c r="K285" s="286" t="s">
        <v>53</v>
      </c>
      <c r="L285" s="286" t="s">
        <v>53</v>
      </c>
      <c r="M285" s="286" t="s">
        <v>53</v>
      </c>
      <c r="N285" s="287">
        <v>11101</v>
      </c>
      <c r="O285" s="287"/>
      <c r="P285" s="286" t="s">
        <v>175</v>
      </c>
    </row>
    <row r="286" spans="1:16" hidden="1" x14ac:dyDescent="0.15">
      <c r="A286" s="286">
        <v>278260</v>
      </c>
      <c r="B286" s="288">
        <v>45118.491666666669</v>
      </c>
      <c r="C286" s="286" t="s">
        <v>1649</v>
      </c>
      <c r="D286" s="286" t="s">
        <v>1309</v>
      </c>
      <c r="E286" s="286" t="s">
        <v>1310</v>
      </c>
      <c r="F286" s="286" t="s">
        <v>1650</v>
      </c>
      <c r="G286" s="286" t="s">
        <v>1026</v>
      </c>
      <c r="H286" s="286" t="s">
        <v>1026</v>
      </c>
      <c r="I286" s="286" t="s">
        <v>1112</v>
      </c>
      <c r="J286" s="286" t="s">
        <v>1312</v>
      </c>
      <c r="K286" s="286" t="s">
        <v>1771</v>
      </c>
      <c r="L286" s="286" t="s">
        <v>1772</v>
      </c>
      <c r="M286" s="286">
        <v>1</v>
      </c>
      <c r="N286" s="287">
        <v>10672</v>
      </c>
      <c r="O286" s="287"/>
      <c r="P286" s="286" t="s">
        <v>175</v>
      </c>
    </row>
    <row r="287" spans="1:16" hidden="1" x14ac:dyDescent="0.15">
      <c r="A287" s="286">
        <v>278260</v>
      </c>
      <c r="B287" s="288">
        <v>45118.491666666669</v>
      </c>
      <c r="C287" s="286" t="s">
        <v>1649</v>
      </c>
      <c r="D287" s="286" t="s">
        <v>1309</v>
      </c>
      <c r="E287" s="286" t="s">
        <v>1310</v>
      </c>
      <c r="F287" s="286" t="s">
        <v>1650</v>
      </c>
      <c r="G287" s="286" t="s">
        <v>1026</v>
      </c>
      <c r="H287" s="286" t="s">
        <v>1026</v>
      </c>
      <c r="I287" s="286" t="s">
        <v>1112</v>
      </c>
      <c r="J287" s="286" t="s">
        <v>1312</v>
      </c>
      <c r="K287" s="286" t="s">
        <v>1773</v>
      </c>
      <c r="L287" s="286" t="s">
        <v>1774</v>
      </c>
      <c r="M287" s="286">
        <v>1</v>
      </c>
      <c r="N287" s="287">
        <v>10672</v>
      </c>
      <c r="O287" s="287"/>
      <c r="P287" s="286" t="s">
        <v>175</v>
      </c>
    </row>
    <row r="288" spans="1:16" hidden="1" x14ac:dyDescent="0.15">
      <c r="A288" s="286">
        <v>278260</v>
      </c>
      <c r="B288" s="288">
        <v>45118.491666666669</v>
      </c>
      <c r="C288" s="286" t="s">
        <v>1649</v>
      </c>
      <c r="D288" s="286" t="s">
        <v>1309</v>
      </c>
      <c r="E288" s="286" t="s">
        <v>1310</v>
      </c>
      <c r="F288" s="286" t="s">
        <v>1650</v>
      </c>
      <c r="G288" s="286" t="s">
        <v>1026</v>
      </c>
      <c r="H288" s="286" t="s">
        <v>1026</v>
      </c>
      <c r="I288" s="286" t="s">
        <v>1112</v>
      </c>
      <c r="J288" s="286" t="s">
        <v>1312</v>
      </c>
      <c r="K288" s="286" t="s">
        <v>1771</v>
      </c>
      <c r="L288" s="286" t="s">
        <v>1772</v>
      </c>
      <c r="M288" s="286">
        <v>1</v>
      </c>
      <c r="N288" s="287">
        <v>10672</v>
      </c>
      <c r="O288" s="287"/>
      <c r="P288" s="286" t="s">
        <v>175</v>
      </c>
    </row>
    <row r="289" spans="1:16" hidden="1" x14ac:dyDescent="0.15">
      <c r="A289" s="286">
        <v>278260</v>
      </c>
      <c r="B289" s="288">
        <v>45118.491666666669</v>
      </c>
      <c r="C289" s="286" t="s">
        <v>1649</v>
      </c>
      <c r="D289" s="286" t="s">
        <v>1309</v>
      </c>
      <c r="E289" s="286" t="s">
        <v>1310</v>
      </c>
      <c r="F289" s="286" t="s">
        <v>1650</v>
      </c>
      <c r="G289" s="286" t="s">
        <v>1026</v>
      </c>
      <c r="H289" s="286" t="s">
        <v>1026</v>
      </c>
      <c r="I289" s="286" t="s">
        <v>1112</v>
      </c>
      <c r="J289" s="286" t="s">
        <v>1312</v>
      </c>
      <c r="K289" s="286" t="s">
        <v>1773</v>
      </c>
      <c r="L289" s="286" t="s">
        <v>1774</v>
      </c>
      <c r="M289" s="286">
        <v>1</v>
      </c>
      <c r="N289" s="287">
        <v>10672</v>
      </c>
      <c r="O289" s="287"/>
      <c r="P289" s="286" t="s">
        <v>175</v>
      </c>
    </row>
    <row r="290" spans="1:16" hidden="1" x14ac:dyDescent="0.15">
      <c r="A290" s="286">
        <v>278260</v>
      </c>
      <c r="B290" s="288">
        <v>45118.491666666669</v>
      </c>
      <c r="C290" s="286" t="s">
        <v>1649</v>
      </c>
      <c r="D290" s="286" t="s">
        <v>1309</v>
      </c>
      <c r="E290" s="286" t="s">
        <v>1310</v>
      </c>
      <c r="F290" s="286" t="s">
        <v>1650</v>
      </c>
      <c r="G290" s="286" t="s">
        <v>1026</v>
      </c>
      <c r="H290" s="286" t="s">
        <v>1026</v>
      </c>
      <c r="I290" s="286" t="s">
        <v>1112</v>
      </c>
      <c r="J290" s="286" t="s">
        <v>1312</v>
      </c>
      <c r="K290" s="286" t="s">
        <v>1771</v>
      </c>
      <c r="L290" s="286" t="s">
        <v>1772</v>
      </c>
      <c r="M290" s="286">
        <v>1</v>
      </c>
      <c r="N290" s="287">
        <v>10672</v>
      </c>
      <c r="O290" s="287"/>
      <c r="P290" s="286" t="s">
        <v>175</v>
      </c>
    </row>
    <row r="291" spans="1:16" hidden="1" x14ac:dyDescent="0.15">
      <c r="A291" s="286">
        <v>278260</v>
      </c>
      <c r="B291" s="288">
        <v>45118.491666666669</v>
      </c>
      <c r="C291" s="286" t="s">
        <v>1649</v>
      </c>
      <c r="D291" s="286" t="s">
        <v>1309</v>
      </c>
      <c r="E291" s="286" t="s">
        <v>1310</v>
      </c>
      <c r="F291" s="286" t="s">
        <v>1650</v>
      </c>
      <c r="G291" s="286" t="s">
        <v>1026</v>
      </c>
      <c r="H291" s="286" t="s">
        <v>1026</v>
      </c>
      <c r="I291" s="286" t="s">
        <v>1112</v>
      </c>
      <c r="J291" s="286" t="s">
        <v>1312</v>
      </c>
      <c r="K291" s="286" t="s">
        <v>1773</v>
      </c>
      <c r="L291" s="286" t="s">
        <v>1774</v>
      </c>
      <c r="M291" s="286">
        <v>1</v>
      </c>
      <c r="N291" s="287">
        <v>10672</v>
      </c>
      <c r="O291" s="287"/>
      <c r="P291" s="286" t="s">
        <v>175</v>
      </c>
    </row>
    <row r="292" spans="1:16" hidden="1" x14ac:dyDescent="0.15">
      <c r="A292" s="286">
        <v>278260</v>
      </c>
      <c r="B292" s="288">
        <v>45118.491666666669</v>
      </c>
      <c r="C292" s="286" t="s">
        <v>1649</v>
      </c>
      <c r="D292" s="286" t="s">
        <v>1309</v>
      </c>
      <c r="E292" s="286" t="s">
        <v>1310</v>
      </c>
      <c r="F292" s="286" t="s">
        <v>1650</v>
      </c>
      <c r="G292" s="286" t="s">
        <v>1026</v>
      </c>
      <c r="H292" s="286" t="s">
        <v>1026</v>
      </c>
      <c r="I292" s="286" t="s">
        <v>1112</v>
      </c>
      <c r="J292" s="286" t="s">
        <v>1312</v>
      </c>
      <c r="K292" s="286" t="s">
        <v>1771</v>
      </c>
      <c r="L292" s="286" t="s">
        <v>1772</v>
      </c>
      <c r="M292" s="286">
        <v>1</v>
      </c>
      <c r="N292" s="287">
        <v>10672</v>
      </c>
      <c r="O292" s="287"/>
      <c r="P292" s="286" t="s">
        <v>175</v>
      </c>
    </row>
    <row r="293" spans="1:16" hidden="1" x14ac:dyDescent="0.15">
      <c r="A293" s="286">
        <v>278260</v>
      </c>
      <c r="B293" s="288">
        <v>45118.491666666669</v>
      </c>
      <c r="C293" s="286" t="s">
        <v>1649</v>
      </c>
      <c r="D293" s="286" t="s">
        <v>1309</v>
      </c>
      <c r="E293" s="286" t="s">
        <v>1310</v>
      </c>
      <c r="F293" s="286" t="s">
        <v>1650</v>
      </c>
      <c r="G293" s="286" t="s">
        <v>1026</v>
      </c>
      <c r="H293" s="286" t="s">
        <v>1026</v>
      </c>
      <c r="I293" s="286" t="s">
        <v>1112</v>
      </c>
      <c r="J293" s="286" t="s">
        <v>1312</v>
      </c>
      <c r="K293" s="286" t="s">
        <v>1773</v>
      </c>
      <c r="L293" s="286" t="s">
        <v>1774</v>
      </c>
      <c r="M293" s="286">
        <v>1</v>
      </c>
      <c r="N293" s="287">
        <v>10672</v>
      </c>
      <c r="O293" s="287"/>
      <c r="P293" s="286" t="s">
        <v>175</v>
      </c>
    </row>
    <row r="294" spans="1:16" hidden="1" x14ac:dyDescent="0.15">
      <c r="A294" s="286">
        <v>357978</v>
      </c>
      <c r="B294" s="288">
        <v>45195.408333333333</v>
      </c>
      <c r="C294" s="286" t="s">
        <v>1676</v>
      </c>
      <c r="D294" s="286" t="s">
        <v>1105</v>
      </c>
      <c r="E294" s="286" t="s">
        <v>1106</v>
      </c>
      <c r="F294" s="286" t="s">
        <v>1706</v>
      </c>
      <c r="H294" s="286" t="s">
        <v>1078</v>
      </c>
      <c r="I294" s="286" t="s">
        <v>1112</v>
      </c>
      <c r="J294" s="286" t="s">
        <v>1312</v>
      </c>
      <c r="K294" s="286" t="s">
        <v>1773</v>
      </c>
      <c r="L294" s="286" t="s">
        <v>1774</v>
      </c>
      <c r="M294" s="286">
        <v>1</v>
      </c>
      <c r="N294" s="287">
        <v>10471</v>
      </c>
      <c r="O294" s="287"/>
      <c r="P294" s="286" t="s">
        <v>175</v>
      </c>
    </row>
    <row r="295" spans="1:16" hidden="1" x14ac:dyDescent="0.15">
      <c r="A295" s="286">
        <v>365030</v>
      </c>
      <c r="B295" s="288">
        <v>45201.558333333334</v>
      </c>
      <c r="C295" s="286" t="s">
        <v>1676</v>
      </c>
      <c r="D295" s="286" t="s">
        <v>1105</v>
      </c>
      <c r="E295" s="286" t="s">
        <v>1106</v>
      </c>
      <c r="F295" s="286" t="s">
        <v>1775</v>
      </c>
      <c r="G295" s="286" t="s">
        <v>1083</v>
      </c>
      <c r="H295" s="286" t="s">
        <v>1083</v>
      </c>
      <c r="I295" s="286" t="s">
        <v>1112</v>
      </c>
      <c r="J295" s="286" t="s">
        <v>1312</v>
      </c>
      <c r="K295" s="286" t="s">
        <v>1776</v>
      </c>
      <c r="L295" s="286" t="s">
        <v>1679</v>
      </c>
      <c r="M295" s="286">
        <v>1</v>
      </c>
      <c r="N295" s="287">
        <v>10290</v>
      </c>
      <c r="O295" s="287"/>
      <c r="P295" s="286" t="s">
        <v>175</v>
      </c>
    </row>
    <row r="296" spans="1:16" hidden="1" x14ac:dyDescent="0.15">
      <c r="A296" s="286">
        <v>454075</v>
      </c>
      <c r="B296" s="288">
        <v>45309.638888888891</v>
      </c>
      <c r="C296" s="286" t="s">
        <v>1632</v>
      </c>
      <c r="D296" s="286" t="s">
        <v>1105</v>
      </c>
      <c r="E296" s="286" t="s">
        <v>1106</v>
      </c>
      <c r="F296" s="286" t="s">
        <v>1777</v>
      </c>
      <c r="G296" s="286" t="s">
        <v>1069</v>
      </c>
      <c r="H296" s="286" t="s">
        <v>1069</v>
      </c>
      <c r="I296" s="286" t="s">
        <v>1230</v>
      </c>
      <c r="J296" s="286" t="s">
        <v>1312</v>
      </c>
      <c r="K296" s="286" t="s">
        <v>53</v>
      </c>
      <c r="L296" s="286" t="s">
        <v>53</v>
      </c>
      <c r="M296" s="286" t="s">
        <v>53</v>
      </c>
      <c r="N296" s="287">
        <v>10290</v>
      </c>
      <c r="O296" s="287"/>
      <c r="P296" s="286" t="s">
        <v>175</v>
      </c>
    </row>
    <row r="297" spans="1:16" hidden="1" x14ac:dyDescent="0.15">
      <c r="A297" s="286">
        <v>394327</v>
      </c>
      <c r="B297" s="288">
        <v>45233.704861111109</v>
      </c>
      <c r="C297" s="286" t="s">
        <v>1642</v>
      </c>
      <c r="D297" s="286" t="s">
        <v>1105</v>
      </c>
      <c r="E297" s="286" t="s">
        <v>1106</v>
      </c>
      <c r="F297" s="286" t="s">
        <v>1643</v>
      </c>
      <c r="G297" s="286" t="s">
        <v>1059</v>
      </c>
      <c r="H297" s="286" t="s">
        <v>1059</v>
      </c>
      <c r="I297" s="286" t="s">
        <v>1112</v>
      </c>
      <c r="J297" s="286" t="s">
        <v>1312</v>
      </c>
      <c r="K297" s="286" t="s">
        <v>1773</v>
      </c>
      <c r="L297" s="286" t="s">
        <v>1774</v>
      </c>
      <c r="M297" s="286">
        <v>1</v>
      </c>
      <c r="N297" s="287">
        <v>10165</v>
      </c>
      <c r="O297" s="287"/>
      <c r="P297" s="286" t="s">
        <v>175</v>
      </c>
    </row>
    <row r="298" spans="1:16" hidden="1" x14ac:dyDescent="0.15">
      <c r="A298" s="286">
        <v>332509</v>
      </c>
      <c r="B298" s="288">
        <v>45167.436111111114</v>
      </c>
      <c r="C298" s="286" t="s">
        <v>1691</v>
      </c>
      <c r="D298" s="286" t="s">
        <v>1105</v>
      </c>
      <c r="E298" s="286" t="s">
        <v>1106</v>
      </c>
      <c r="F298" s="286" t="s">
        <v>1692</v>
      </c>
      <c r="G298" s="286" t="s">
        <v>1039</v>
      </c>
      <c r="H298" s="286" t="s">
        <v>1039</v>
      </c>
      <c r="I298" s="286" t="s">
        <v>1230</v>
      </c>
      <c r="J298" s="286" t="s">
        <v>1312</v>
      </c>
      <c r="K298" s="286" t="s">
        <v>53</v>
      </c>
      <c r="L298" s="286" t="s">
        <v>53</v>
      </c>
      <c r="M298" s="286" t="s">
        <v>53</v>
      </c>
      <c r="N298" s="287">
        <v>10051</v>
      </c>
      <c r="O298" s="287"/>
      <c r="P298" s="286" t="s">
        <v>175</v>
      </c>
    </row>
    <row r="299" spans="1:16" hidden="1" x14ac:dyDescent="0.15">
      <c r="A299" s="286">
        <v>455146</v>
      </c>
      <c r="B299" s="288">
        <v>45310.510416666664</v>
      </c>
      <c r="C299" s="286" t="s">
        <v>1632</v>
      </c>
      <c r="D299" s="286" t="s">
        <v>1105</v>
      </c>
      <c r="E299" s="286" t="s">
        <v>1106</v>
      </c>
      <c r="F299" s="286" t="s">
        <v>1725</v>
      </c>
      <c r="G299" s="286" t="s">
        <v>1052</v>
      </c>
      <c r="H299" s="286" t="s">
        <v>1052</v>
      </c>
      <c r="I299" s="286" t="s">
        <v>1228</v>
      </c>
      <c r="J299" s="286" t="s">
        <v>53</v>
      </c>
      <c r="K299" s="286" t="s">
        <v>53</v>
      </c>
      <c r="L299" s="286" t="s">
        <v>53</v>
      </c>
      <c r="M299" s="286" t="s">
        <v>53</v>
      </c>
      <c r="N299" s="287">
        <v>9869.07</v>
      </c>
      <c r="O299" s="287"/>
      <c r="P299" s="286" t="s">
        <v>58</v>
      </c>
    </row>
    <row r="300" spans="1:16" hidden="1" x14ac:dyDescent="0.15">
      <c r="A300" s="286">
        <v>237271</v>
      </c>
      <c r="B300" s="288">
        <v>45070.706250000003</v>
      </c>
      <c r="C300" s="286" t="s">
        <v>1665</v>
      </c>
      <c r="D300" s="286" t="s">
        <v>1105</v>
      </c>
      <c r="E300" s="286" t="s">
        <v>1106</v>
      </c>
      <c r="F300" s="286" t="s">
        <v>1666</v>
      </c>
      <c r="G300" s="286" t="s">
        <v>1004</v>
      </c>
      <c r="H300" s="286" t="s">
        <v>1004</v>
      </c>
      <c r="I300" s="286" t="s">
        <v>1112</v>
      </c>
      <c r="J300" s="286" t="s">
        <v>1312</v>
      </c>
      <c r="K300" s="286" t="s">
        <v>53</v>
      </c>
      <c r="L300" s="286" t="s">
        <v>53</v>
      </c>
      <c r="M300" s="286" t="s">
        <v>53</v>
      </c>
      <c r="N300" s="287">
        <v>9680</v>
      </c>
      <c r="O300" s="287"/>
      <c r="P300" s="286" t="s">
        <v>175</v>
      </c>
    </row>
    <row r="301" spans="1:16" hidden="1" x14ac:dyDescent="0.15">
      <c r="A301" s="286">
        <v>261837</v>
      </c>
      <c r="B301" s="288">
        <v>45099.665972222225</v>
      </c>
      <c r="C301" s="286" t="s">
        <v>1649</v>
      </c>
      <c r="D301" s="286" t="s">
        <v>1105</v>
      </c>
      <c r="E301" s="286" t="s">
        <v>1106</v>
      </c>
      <c r="F301" s="286" t="s">
        <v>1686</v>
      </c>
      <c r="G301" s="286" t="s">
        <v>1045</v>
      </c>
      <c r="H301" s="286" t="s">
        <v>1045</v>
      </c>
      <c r="I301" s="286" t="s">
        <v>1112</v>
      </c>
      <c r="J301" s="286" t="s">
        <v>1312</v>
      </c>
      <c r="K301" s="286" t="s">
        <v>53</v>
      </c>
      <c r="L301" s="286" t="s">
        <v>53</v>
      </c>
      <c r="M301" s="286" t="s">
        <v>53</v>
      </c>
      <c r="N301" s="287">
        <v>9680</v>
      </c>
      <c r="O301" s="287"/>
      <c r="P301" s="286" t="s">
        <v>175</v>
      </c>
    </row>
    <row r="302" spans="1:16" hidden="1" x14ac:dyDescent="0.15">
      <c r="A302" s="286">
        <v>237271</v>
      </c>
      <c r="B302" s="288">
        <v>45070.706250000003</v>
      </c>
      <c r="C302" s="286" t="s">
        <v>1665</v>
      </c>
      <c r="D302" s="286" t="s">
        <v>1105</v>
      </c>
      <c r="E302" s="286" t="s">
        <v>1106</v>
      </c>
      <c r="F302" s="286" t="s">
        <v>1666</v>
      </c>
      <c r="G302" s="286" t="s">
        <v>1035</v>
      </c>
      <c r="H302" s="286" t="s">
        <v>1035</v>
      </c>
      <c r="I302" s="286" t="s">
        <v>1112</v>
      </c>
      <c r="J302" s="286" t="s">
        <v>1312</v>
      </c>
      <c r="K302" s="286" t="s">
        <v>53</v>
      </c>
      <c r="L302" s="286" t="s">
        <v>53</v>
      </c>
      <c r="M302" s="286" t="s">
        <v>53</v>
      </c>
      <c r="N302" s="287">
        <v>9671</v>
      </c>
      <c r="O302" s="287"/>
      <c r="P302" s="286" t="s">
        <v>175</v>
      </c>
    </row>
    <row r="303" spans="1:16" hidden="1" x14ac:dyDescent="0.15">
      <c r="A303" s="286">
        <v>237271</v>
      </c>
      <c r="B303" s="288">
        <v>45070.706250000003</v>
      </c>
      <c r="C303" s="286" t="s">
        <v>1665</v>
      </c>
      <c r="D303" s="286" t="s">
        <v>1105</v>
      </c>
      <c r="E303" s="286" t="s">
        <v>1106</v>
      </c>
      <c r="F303" s="286" t="s">
        <v>1666</v>
      </c>
      <c r="H303" s="286" t="s">
        <v>1006</v>
      </c>
      <c r="I303" s="286" t="s">
        <v>1112</v>
      </c>
      <c r="J303" s="286" t="s">
        <v>1312</v>
      </c>
      <c r="K303" s="286" t="s">
        <v>53</v>
      </c>
      <c r="L303" s="286" t="s">
        <v>53</v>
      </c>
      <c r="M303" s="286" t="s">
        <v>53</v>
      </c>
      <c r="N303" s="287">
        <v>9572</v>
      </c>
      <c r="O303" s="287"/>
      <c r="P303" s="286" t="s">
        <v>175</v>
      </c>
    </row>
    <row r="304" spans="1:16" hidden="1" x14ac:dyDescent="0.15">
      <c r="A304" s="286">
        <v>454084</v>
      </c>
      <c r="B304" s="288">
        <v>45309.677083333336</v>
      </c>
      <c r="C304" s="286" t="s">
        <v>1632</v>
      </c>
      <c r="D304" s="286" t="s">
        <v>1105</v>
      </c>
      <c r="E304" s="286" t="s">
        <v>1106</v>
      </c>
      <c r="F304" s="286" t="s">
        <v>1729</v>
      </c>
      <c r="G304" s="286" t="s">
        <v>1078</v>
      </c>
      <c r="H304" s="286" t="s">
        <v>1078</v>
      </c>
      <c r="I304" s="286" t="s">
        <v>1230</v>
      </c>
      <c r="J304" s="286" t="s">
        <v>1312</v>
      </c>
      <c r="K304" s="286" t="s">
        <v>53</v>
      </c>
      <c r="L304" s="286" t="s">
        <v>53</v>
      </c>
      <c r="M304" s="286" t="s">
        <v>53</v>
      </c>
      <c r="N304" s="287">
        <v>9572</v>
      </c>
      <c r="O304" s="287"/>
      <c r="P304" s="286" t="s">
        <v>175</v>
      </c>
    </row>
    <row r="305" spans="1:16" hidden="1" x14ac:dyDescent="0.15">
      <c r="A305" s="286">
        <v>214151</v>
      </c>
      <c r="B305" s="288">
        <v>45042.540277777778</v>
      </c>
      <c r="C305" s="286" t="s">
        <v>1657</v>
      </c>
      <c r="D305" s="286" t="s">
        <v>1309</v>
      </c>
      <c r="E305" s="286" t="s">
        <v>1310</v>
      </c>
      <c r="F305" s="286" t="s">
        <v>1658</v>
      </c>
      <c r="G305" s="286" t="s">
        <v>1011</v>
      </c>
      <c r="H305" s="286" t="s">
        <v>1011</v>
      </c>
      <c r="I305" s="286" t="s">
        <v>1204</v>
      </c>
      <c r="J305" s="286" t="s">
        <v>1312</v>
      </c>
      <c r="K305" s="286" t="s">
        <v>1778</v>
      </c>
      <c r="L305" s="286" t="s">
        <v>493</v>
      </c>
      <c r="M305" s="286">
        <v>1</v>
      </c>
      <c r="N305" s="287">
        <v>9523</v>
      </c>
      <c r="O305" s="287"/>
      <c r="P305" s="286" t="s">
        <v>49</v>
      </c>
    </row>
    <row r="306" spans="1:16" hidden="1" x14ac:dyDescent="0.15">
      <c r="A306" s="286">
        <v>292545</v>
      </c>
      <c r="B306" s="288">
        <v>45128.580555555556</v>
      </c>
      <c r="C306" s="286" t="s">
        <v>1649</v>
      </c>
      <c r="D306" s="286" t="s">
        <v>1105</v>
      </c>
      <c r="E306" s="286" t="s">
        <v>1106</v>
      </c>
      <c r="F306" s="286" t="s">
        <v>1779</v>
      </c>
      <c r="G306" s="286" t="s">
        <v>1058</v>
      </c>
      <c r="H306" s="286" t="s">
        <v>1058</v>
      </c>
      <c r="I306" s="286" t="s">
        <v>1211</v>
      </c>
      <c r="J306" s="286" t="s">
        <v>1312</v>
      </c>
      <c r="K306" s="286" t="s">
        <v>53</v>
      </c>
      <c r="L306" s="286" t="s">
        <v>53</v>
      </c>
      <c r="M306" s="286" t="s">
        <v>53</v>
      </c>
      <c r="N306" s="287">
        <v>9523</v>
      </c>
      <c r="O306" s="287"/>
      <c r="P306" s="286" t="s">
        <v>452</v>
      </c>
    </row>
    <row r="307" spans="1:16" hidden="1" x14ac:dyDescent="0.15">
      <c r="A307" s="286">
        <v>307803</v>
      </c>
      <c r="B307" s="288">
        <v>45142.386805555558</v>
      </c>
      <c r="C307" s="286" t="s">
        <v>1636</v>
      </c>
      <c r="D307" s="286" t="s">
        <v>1105</v>
      </c>
      <c r="E307" s="286" t="s">
        <v>1106</v>
      </c>
      <c r="F307" s="286" t="s">
        <v>1645</v>
      </c>
      <c r="G307" s="286" t="s">
        <v>1048</v>
      </c>
      <c r="H307" s="286" t="s">
        <v>1048</v>
      </c>
      <c r="I307" s="286" t="s">
        <v>1204</v>
      </c>
      <c r="J307" s="286" t="s">
        <v>1312</v>
      </c>
      <c r="K307" s="286" t="s">
        <v>1780</v>
      </c>
      <c r="L307" s="286" t="s">
        <v>444</v>
      </c>
      <c r="M307" s="286">
        <v>1</v>
      </c>
      <c r="N307" s="287">
        <v>9523</v>
      </c>
      <c r="O307" s="287"/>
      <c r="P307" s="286" t="s">
        <v>49</v>
      </c>
    </row>
    <row r="308" spans="1:16" hidden="1" x14ac:dyDescent="0.15">
      <c r="A308" s="286">
        <v>418370</v>
      </c>
      <c r="B308" s="288">
        <v>45261.45416666667</v>
      </c>
      <c r="C308" s="286" t="s">
        <v>1654</v>
      </c>
      <c r="D308" s="286" t="s">
        <v>1105</v>
      </c>
      <c r="E308" s="286" t="s">
        <v>1106</v>
      </c>
      <c r="F308" s="286" t="s">
        <v>1655</v>
      </c>
      <c r="G308" s="286" t="s">
        <v>1034</v>
      </c>
      <c r="H308" s="286" t="s">
        <v>1034</v>
      </c>
      <c r="I308" s="286" t="s">
        <v>1204</v>
      </c>
      <c r="J308" s="286" t="s">
        <v>1312</v>
      </c>
      <c r="K308" s="286" t="s">
        <v>1781</v>
      </c>
      <c r="L308" s="286" t="s">
        <v>453</v>
      </c>
      <c r="M308" s="286">
        <v>1</v>
      </c>
      <c r="N308" s="287">
        <v>9523</v>
      </c>
      <c r="O308" s="287"/>
      <c r="P308" s="286" t="s">
        <v>49</v>
      </c>
    </row>
    <row r="309" spans="1:16" hidden="1" x14ac:dyDescent="0.15">
      <c r="A309" s="286">
        <v>142599</v>
      </c>
      <c r="B309" s="288">
        <v>44950.433333333334</v>
      </c>
      <c r="C309" s="286" t="s">
        <v>1640</v>
      </c>
      <c r="D309" s="286" t="s">
        <v>1105</v>
      </c>
      <c r="E309" s="286" t="s">
        <v>1106</v>
      </c>
      <c r="F309" s="286" t="s">
        <v>1747</v>
      </c>
      <c r="G309" s="286" t="s">
        <v>1005</v>
      </c>
      <c r="H309" s="286" t="s">
        <v>1005</v>
      </c>
      <c r="I309" s="286" t="s">
        <v>1112</v>
      </c>
      <c r="J309" s="286" t="s">
        <v>1312</v>
      </c>
      <c r="K309" s="286" t="s">
        <v>53</v>
      </c>
      <c r="L309" s="286" t="s">
        <v>53</v>
      </c>
      <c r="M309" s="286" t="s">
        <v>53</v>
      </c>
      <c r="N309" s="287">
        <v>9353</v>
      </c>
      <c r="O309" s="287"/>
      <c r="P309" s="286" t="s">
        <v>175</v>
      </c>
    </row>
    <row r="310" spans="1:16" hidden="1" x14ac:dyDescent="0.15">
      <c r="A310" s="286">
        <v>258870</v>
      </c>
      <c r="B310" s="288">
        <v>45097.521527777775</v>
      </c>
      <c r="C310" s="286" t="s">
        <v>1649</v>
      </c>
      <c r="D310" s="286" t="s">
        <v>1309</v>
      </c>
      <c r="E310" s="286" t="s">
        <v>1310</v>
      </c>
      <c r="F310" s="286" t="s">
        <v>1759</v>
      </c>
      <c r="G310" s="286" t="s">
        <v>1005</v>
      </c>
      <c r="H310" s="286" t="s">
        <v>1005</v>
      </c>
      <c r="I310" s="286" t="s">
        <v>1112</v>
      </c>
      <c r="J310" s="286" t="s">
        <v>1312</v>
      </c>
      <c r="K310" s="286" t="s">
        <v>1782</v>
      </c>
      <c r="L310" s="286" t="s">
        <v>1783</v>
      </c>
      <c r="M310" s="286">
        <v>1</v>
      </c>
      <c r="N310" s="287">
        <v>9353</v>
      </c>
      <c r="O310" s="287"/>
      <c r="P310" s="286" t="s">
        <v>175</v>
      </c>
    </row>
    <row r="311" spans="1:16" hidden="1" x14ac:dyDescent="0.15">
      <c r="A311" s="286">
        <v>261837</v>
      </c>
      <c r="B311" s="288">
        <v>45099.665972222225</v>
      </c>
      <c r="C311" s="286" t="s">
        <v>1649</v>
      </c>
      <c r="D311" s="286" t="s">
        <v>1105</v>
      </c>
      <c r="E311" s="286" t="s">
        <v>1106</v>
      </c>
      <c r="F311" s="286" t="s">
        <v>1686</v>
      </c>
      <c r="G311" s="286" t="s">
        <v>1068</v>
      </c>
      <c r="H311" s="286" t="s">
        <v>1068</v>
      </c>
      <c r="I311" s="286" t="s">
        <v>1112</v>
      </c>
      <c r="J311" s="286" t="s">
        <v>1312</v>
      </c>
      <c r="K311" s="286" t="s">
        <v>53</v>
      </c>
      <c r="L311" s="286" t="s">
        <v>53</v>
      </c>
      <c r="M311" s="286" t="s">
        <v>53</v>
      </c>
      <c r="N311" s="287">
        <v>9213</v>
      </c>
      <c r="O311" s="287"/>
      <c r="P311" s="286" t="s">
        <v>175</v>
      </c>
    </row>
    <row r="312" spans="1:16" hidden="1" x14ac:dyDescent="0.15">
      <c r="A312" s="286">
        <v>408089</v>
      </c>
      <c r="B312" s="288">
        <v>45246.672222222223</v>
      </c>
      <c r="C312" s="286" t="s">
        <v>1642</v>
      </c>
      <c r="D312" s="286" t="s">
        <v>1105</v>
      </c>
      <c r="E312" s="286" t="s">
        <v>1106</v>
      </c>
      <c r="F312" s="286" t="s">
        <v>1784</v>
      </c>
      <c r="G312" s="286" t="s">
        <v>1016</v>
      </c>
      <c r="H312" s="286" t="s">
        <v>1016</v>
      </c>
      <c r="I312" s="286" t="s">
        <v>1199</v>
      </c>
      <c r="J312" s="286" t="s">
        <v>1312</v>
      </c>
      <c r="K312" s="286" t="s">
        <v>53</v>
      </c>
      <c r="L312" s="286" t="s">
        <v>53</v>
      </c>
      <c r="M312" s="286" t="s">
        <v>53</v>
      </c>
      <c r="N312" s="287">
        <v>9002.6200000000008</v>
      </c>
      <c r="O312" s="287"/>
      <c r="P312" s="286" t="s">
        <v>58</v>
      </c>
    </row>
    <row r="313" spans="1:16" hidden="1" x14ac:dyDescent="0.15">
      <c r="A313" s="286">
        <v>408189</v>
      </c>
      <c r="B313" s="288">
        <v>45246.67291666667</v>
      </c>
      <c r="C313" s="286" t="s">
        <v>1654</v>
      </c>
      <c r="D313" s="286" t="s">
        <v>1105</v>
      </c>
      <c r="E313" s="286" t="s">
        <v>1106</v>
      </c>
      <c r="F313" s="286" t="s">
        <v>1785</v>
      </c>
      <c r="G313" s="286" t="s">
        <v>1016</v>
      </c>
      <c r="H313" s="286" t="s">
        <v>1016</v>
      </c>
      <c r="I313" s="286" t="s">
        <v>1199</v>
      </c>
      <c r="J313" s="286" t="s">
        <v>1312</v>
      </c>
      <c r="K313" s="286" t="s">
        <v>53</v>
      </c>
      <c r="L313" s="286" t="s">
        <v>53</v>
      </c>
      <c r="M313" s="286" t="s">
        <v>53</v>
      </c>
      <c r="N313" s="287">
        <v>9002.6200000000008</v>
      </c>
      <c r="O313" s="287"/>
      <c r="P313" s="286" t="s">
        <v>58</v>
      </c>
    </row>
    <row r="314" spans="1:16" hidden="1" x14ac:dyDescent="0.15">
      <c r="A314" s="286">
        <v>455146</v>
      </c>
      <c r="B314" s="288">
        <v>45310.510416666664</v>
      </c>
      <c r="C314" s="286" t="s">
        <v>1632</v>
      </c>
      <c r="D314" s="286" t="s">
        <v>1105</v>
      </c>
      <c r="E314" s="286" t="s">
        <v>1106</v>
      </c>
      <c r="F314" s="286" t="s">
        <v>1725</v>
      </c>
      <c r="G314" s="286" t="s">
        <v>1016</v>
      </c>
      <c r="H314" s="286" t="s">
        <v>1016</v>
      </c>
      <c r="I314" s="286" t="s">
        <v>1199</v>
      </c>
      <c r="J314" s="286" t="s">
        <v>1312</v>
      </c>
      <c r="K314" s="286" t="s">
        <v>53</v>
      </c>
      <c r="L314" s="286" t="s">
        <v>53</v>
      </c>
      <c r="M314" s="286" t="s">
        <v>53</v>
      </c>
      <c r="N314" s="287">
        <v>9002.6200000000008</v>
      </c>
      <c r="O314" s="287"/>
      <c r="P314" s="286" t="s">
        <v>58</v>
      </c>
    </row>
    <row r="315" spans="1:16" hidden="1" x14ac:dyDescent="0.15">
      <c r="A315" s="286">
        <v>170399</v>
      </c>
      <c r="B315" s="288">
        <v>44986.614583333336</v>
      </c>
      <c r="C315" s="286" t="s">
        <v>1640</v>
      </c>
      <c r="D315" s="286" t="s">
        <v>1105</v>
      </c>
      <c r="E315" s="286" t="s">
        <v>1106</v>
      </c>
      <c r="F315" s="286" t="s">
        <v>1720</v>
      </c>
      <c r="G315" s="286" t="s">
        <v>1786</v>
      </c>
      <c r="H315" s="286" t="s">
        <v>1786</v>
      </c>
      <c r="I315" s="286" t="s">
        <v>1199</v>
      </c>
      <c r="J315" s="286" t="s">
        <v>1312</v>
      </c>
      <c r="K315" s="286" t="s">
        <v>53</v>
      </c>
      <c r="L315" s="286" t="s">
        <v>53</v>
      </c>
      <c r="M315" s="286" t="s">
        <v>53</v>
      </c>
      <c r="N315" s="287">
        <v>8814.6299999999992</v>
      </c>
      <c r="O315" s="287"/>
      <c r="P315" s="286" t="s">
        <v>58</v>
      </c>
    </row>
    <row r="316" spans="1:16" hidden="1" x14ac:dyDescent="0.15">
      <c r="A316" s="286">
        <v>170298</v>
      </c>
      <c r="B316" s="288">
        <v>44986.623611111114</v>
      </c>
      <c r="C316" s="286" t="s">
        <v>1638</v>
      </c>
      <c r="D316" s="286" t="s">
        <v>1105</v>
      </c>
      <c r="E316" s="286" t="s">
        <v>1106</v>
      </c>
      <c r="F316" s="286" t="s">
        <v>1721</v>
      </c>
      <c r="G316" s="286" t="s">
        <v>1786</v>
      </c>
      <c r="H316" s="286" t="s">
        <v>1786</v>
      </c>
      <c r="I316" s="286" t="s">
        <v>1199</v>
      </c>
      <c r="J316" s="286" t="s">
        <v>1312</v>
      </c>
      <c r="K316" s="286" t="s">
        <v>53</v>
      </c>
      <c r="L316" s="286" t="s">
        <v>53</v>
      </c>
      <c r="M316" s="286" t="s">
        <v>53</v>
      </c>
      <c r="N316" s="287">
        <v>8814.6299999999992</v>
      </c>
      <c r="O316" s="287"/>
      <c r="P316" s="286" t="s">
        <v>58</v>
      </c>
    </row>
    <row r="317" spans="1:16" hidden="1" x14ac:dyDescent="0.15">
      <c r="A317" s="286">
        <v>185846</v>
      </c>
      <c r="B317" s="288">
        <v>45005.724305555559</v>
      </c>
      <c r="C317" s="286" t="s">
        <v>1667</v>
      </c>
      <c r="D317" s="286" t="s">
        <v>1105</v>
      </c>
      <c r="E317" s="286" t="s">
        <v>1106</v>
      </c>
      <c r="F317" s="286" t="s">
        <v>1702</v>
      </c>
      <c r="G317" s="286" t="s">
        <v>1786</v>
      </c>
      <c r="H317" s="286" t="s">
        <v>1786</v>
      </c>
      <c r="I317" s="286" t="s">
        <v>1199</v>
      </c>
      <c r="J317" s="286" t="s">
        <v>1312</v>
      </c>
      <c r="K317" s="286" t="s">
        <v>53</v>
      </c>
      <c r="L317" s="286" t="s">
        <v>53</v>
      </c>
      <c r="M317" s="286" t="s">
        <v>53</v>
      </c>
      <c r="N317" s="287">
        <v>8814.6299999999992</v>
      </c>
      <c r="O317" s="287"/>
      <c r="P317" s="286" t="s">
        <v>58</v>
      </c>
    </row>
    <row r="318" spans="1:16" hidden="1" x14ac:dyDescent="0.15">
      <c r="A318" s="286">
        <v>201556</v>
      </c>
      <c r="B318" s="288">
        <v>45029.540972222225</v>
      </c>
      <c r="C318" s="286" t="s">
        <v>1657</v>
      </c>
      <c r="D318" s="286" t="s">
        <v>1105</v>
      </c>
      <c r="E318" s="286" t="s">
        <v>1106</v>
      </c>
      <c r="F318" s="286" t="s">
        <v>1722</v>
      </c>
      <c r="G318" s="286" t="s">
        <v>1786</v>
      </c>
      <c r="H318" s="286" t="s">
        <v>1786</v>
      </c>
      <c r="I318" s="286" t="s">
        <v>1199</v>
      </c>
      <c r="J318" s="286" t="s">
        <v>1312</v>
      </c>
      <c r="K318" s="286" t="s">
        <v>53</v>
      </c>
      <c r="L318" s="286" t="s">
        <v>53</v>
      </c>
      <c r="M318" s="286" t="s">
        <v>53</v>
      </c>
      <c r="N318" s="287">
        <v>8814.6299999999992</v>
      </c>
      <c r="O318" s="287"/>
      <c r="P318" s="286" t="s">
        <v>58</v>
      </c>
    </row>
    <row r="319" spans="1:16" hidden="1" x14ac:dyDescent="0.15">
      <c r="A319" s="286">
        <v>225409</v>
      </c>
      <c r="B319" s="288">
        <v>45058.522222222222</v>
      </c>
      <c r="C319" s="286" t="s">
        <v>1665</v>
      </c>
      <c r="D319" s="286" t="s">
        <v>1105</v>
      </c>
      <c r="E319" s="286" t="s">
        <v>1106</v>
      </c>
      <c r="F319" s="286" t="s">
        <v>1723</v>
      </c>
      <c r="G319" s="286" t="s">
        <v>1786</v>
      </c>
      <c r="H319" s="286" t="s">
        <v>1786</v>
      </c>
      <c r="I319" s="286" t="s">
        <v>1199</v>
      </c>
      <c r="J319" s="286" t="s">
        <v>1312</v>
      </c>
      <c r="K319" s="286" t="s">
        <v>53</v>
      </c>
      <c r="L319" s="286" t="s">
        <v>53</v>
      </c>
      <c r="M319" s="286" t="s">
        <v>53</v>
      </c>
      <c r="N319" s="287">
        <v>8814.6299999999992</v>
      </c>
      <c r="O319" s="287"/>
      <c r="P319" s="286" t="s">
        <v>58</v>
      </c>
    </row>
    <row r="320" spans="1:16" hidden="1" x14ac:dyDescent="0.15">
      <c r="A320" s="286">
        <v>328287</v>
      </c>
      <c r="B320" s="288">
        <v>45161.62777777778</v>
      </c>
      <c r="C320" s="286" t="s">
        <v>1691</v>
      </c>
      <c r="D320" s="286" t="s">
        <v>1105</v>
      </c>
      <c r="E320" s="286" t="s">
        <v>1106</v>
      </c>
      <c r="F320" s="286" t="s">
        <v>1714</v>
      </c>
      <c r="G320" s="286" t="s">
        <v>1786</v>
      </c>
      <c r="H320" s="286" t="s">
        <v>1786</v>
      </c>
      <c r="I320" s="286" t="s">
        <v>1199</v>
      </c>
      <c r="J320" s="286" t="s">
        <v>53</v>
      </c>
      <c r="K320" s="286" t="s">
        <v>53</v>
      </c>
      <c r="L320" s="286" t="s">
        <v>53</v>
      </c>
      <c r="M320" s="286" t="s">
        <v>53</v>
      </c>
      <c r="N320" s="287">
        <v>8801.49</v>
      </c>
      <c r="O320" s="287"/>
      <c r="P320" s="286" t="s">
        <v>58</v>
      </c>
    </row>
    <row r="321" spans="1:16" hidden="1" x14ac:dyDescent="0.15">
      <c r="A321" s="286">
        <v>339870</v>
      </c>
      <c r="B321" s="288">
        <v>45177.481944444444</v>
      </c>
      <c r="C321" s="286" t="s">
        <v>1676</v>
      </c>
      <c r="D321" s="286" t="s">
        <v>1105</v>
      </c>
      <c r="E321" s="286" t="s">
        <v>1106</v>
      </c>
      <c r="F321" s="286" t="s">
        <v>1715</v>
      </c>
      <c r="G321" s="286" t="s">
        <v>1786</v>
      </c>
      <c r="H321" s="286" t="s">
        <v>1786</v>
      </c>
      <c r="I321" s="286" t="s">
        <v>1199</v>
      </c>
      <c r="J321" s="286" t="s">
        <v>53</v>
      </c>
      <c r="K321" s="286" t="s">
        <v>53</v>
      </c>
      <c r="L321" s="286" t="s">
        <v>53</v>
      </c>
      <c r="M321" s="286" t="s">
        <v>53</v>
      </c>
      <c r="N321" s="287">
        <v>8801.49</v>
      </c>
      <c r="O321" s="287"/>
      <c r="P321" s="286" t="s">
        <v>58</v>
      </c>
    </row>
    <row r="322" spans="1:16" hidden="1" x14ac:dyDescent="0.15">
      <c r="A322" s="286">
        <v>370270</v>
      </c>
      <c r="B322" s="288">
        <v>45208.668055555558</v>
      </c>
      <c r="C322" s="286" t="s">
        <v>1642</v>
      </c>
      <c r="D322" s="286" t="s">
        <v>1105</v>
      </c>
      <c r="E322" s="286" t="s">
        <v>1106</v>
      </c>
      <c r="F322" s="286" t="s">
        <v>1716</v>
      </c>
      <c r="G322" s="286" t="s">
        <v>1786</v>
      </c>
      <c r="H322" s="286" t="s">
        <v>1786</v>
      </c>
      <c r="I322" s="286" t="s">
        <v>1199</v>
      </c>
      <c r="J322" s="286" t="s">
        <v>53</v>
      </c>
      <c r="K322" s="286" t="s">
        <v>53</v>
      </c>
      <c r="L322" s="286" t="s">
        <v>53</v>
      </c>
      <c r="M322" s="286" t="s">
        <v>53</v>
      </c>
      <c r="N322" s="287">
        <v>8801.49</v>
      </c>
      <c r="O322" s="287"/>
      <c r="P322" s="286" t="s">
        <v>58</v>
      </c>
    </row>
    <row r="323" spans="1:16" hidden="1" x14ac:dyDescent="0.15">
      <c r="A323" s="286">
        <v>402221</v>
      </c>
      <c r="B323" s="288">
        <v>45243.579861111109</v>
      </c>
      <c r="C323" s="286" t="s">
        <v>1654</v>
      </c>
      <c r="D323" s="286" t="s">
        <v>1105</v>
      </c>
      <c r="E323" s="286" t="s">
        <v>1106</v>
      </c>
      <c r="F323" s="286" t="s">
        <v>1724</v>
      </c>
      <c r="G323" s="286" t="s">
        <v>1786</v>
      </c>
      <c r="H323" s="286" t="s">
        <v>1786</v>
      </c>
      <c r="I323" s="286" t="s">
        <v>1199</v>
      </c>
      <c r="J323" s="286" t="s">
        <v>53</v>
      </c>
      <c r="K323" s="286" t="s">
        <v>53</v>
      </c>
      <c r="L323" s="286" t="s">
        <v>53</v>
      </c>
      <c r="M323" s="286" t="s">
        <v>53</v>
      </c>
      <c r="N323" s="287">
        <v>8801.49</v>
      </c>
      <c r="O323" s="287"/>
      <c r="P323" s="286" t="s">
        <v>58</v>
      </c>
    </row>
    <row r="324" spans="1:16" hidden="1" x14ac:dyDescent="0.15">
      <c r="A324" s="286">
        <v>455146</v>
      </c>
      <c r="B324" s="288">
        <v>45310.510416666664</v>
      </c>
      <c r="C324" s="286" t="s">
        <v>1632</v>
      </c>
      <c r="D324" s="286" t="s">
        <v>1105</v>
      </c>
      <c r="E324" s="286" t="s">
        <v>1106</v>
      </c>
      <c r="F324" s="286" t="s">
        <v>1725</v>
      </c>
      <c r="G324" s="286" t="s">
        <v>1786</v>
      </c>
      <c r="H324" s="286" t="s">
        <v>1786</v>
      </c>
      <c r="I324" s="286" t="s">
        <v>1199</v>
      </c>
      <c r="J324" s="286" t="s">
        <v>53</v>
      </c>
      <c r="K324" s="286" t="s">
        <v>53</v>
      </c>
      <c r="L324" s="286" t="s">
        <v>53</v>
      </c>
      <c r="M324" s="286" t="s">
        <v>53</v>
      </c>
      <c r="N324" s="287">
        <v>8801.49</v>
      </c>
      <c r="O324" s="287"/>
      <c r="P324" s="286" t="s">
        <v>58</v>
      </c>
    </row>
    <row r="325" spans="1:16" hidden="1" x14ac:dyDescent="0.15">
      <c r="A325" s="286">
        <v>278788</v>
      </c>
      <c r="B325" s="288">
        <v>45118.57708333333</v>
      </c>
      <c r="C325" s="286" t="s">
        <v>1649</v>
      </c>
      <c r="D325" s="286" t="s">
        <v>1105</v>
      </c>
      <c r="E325" s="286" t="s">
        <v>1106</v>
      </c>
      <c r="F325" s="286" t="s">
        <v>1712</v>
      </c>
      <c r="G325" s="286" t="s">
        <v>1080</v>
      </c>
      <c r="H325" s="286" t="s">
        <v>1080</v>
      </c>
      <c r="I325" s="286" t="s">
        <v>1228</v>
      </c>
      <c r="J325" s="286" t="s">
        <v>53</v>
      </c>
      <c r="K325" s="286" t="s">
        <v>53</v>
      </c>
      <c r="L325" s="286" t="s">
        <v>53</v>
      </c>
      <c r="M325" s="286" t="s">
        <v>53</v>
      </c>
      <c r="N325" s="287">
        <v>8769.48</v>
      </c>
      <c r="O325" s="287"/>
      <c r="P325" s="286" t="s">
        <v>58</v>
      </c>
    </row>
    <row r="326" spans="1:16" hidden="1" x14ac:dyDescent="0.15">
      <c r="A326" s="286">
        <v>455146</v>
      </c>
      <c r="B326" s="288">
        <v>45310.510416666664</v>
      </c>
      <c r="C326" s="286" t="s">
        <v>1632</v>
      </c>
      <c r="D326" s="286" t="s">
        <v>1105</v>
      </c>
      <c r="E326" s="286" t="s">
        <v>1106</v>
      </c>
      <c r="F326" s="286" t="s">
        <v>1725</v>
      </c>
      <c r="G326" s="286" t="s">
        <v>1052</v>
      </c>
      <c r="H326" s="286" t="s">
        <v>1052</v>
      </c>
      <c r="I326" s="286" t="s">
        <v>1228</v>
      </c>
      <c r="J326" s="286" t="s">
        <v>1312</v>
      </c>
      <c r="K326" s="286" t="s">
        <v>1770</v>
      </c>
      <c r="L326" s="286" t="s">
        <v>672</v>
      </c>
      <c r="M326" s="286">
        <v>1</v>
      </c>
      <c r="N326" s="287">
        <v>8735.3799999999992</v>
      </c>
      <c r="O326" s="287"/>
      <c r="P326" s="286" t="s">
        <v>58</v>
      </c>
    </row>
    <row r="327" spans="1:16" hidden="1" x14ac:dyDescent="0.15">
      <c r="A327" s="286">
        <v>189237</v>
      </c>
      <c r="B327" s="288">
        <v>45012.618750000001</v>
      </c>
      <c r="C327" s="286" t="s">
        <v>1667</v>
      </c>
      <c r="D327" s="286" t="s">
        <v>1309</v>
      </c>
      <c r="E327" s="286" t="s">
        <v>1310</v>
      </c>
      <c r="F327" s="286" t="s">
        <v>1668</v>
      </c>
      <c r="G327" s="286" t="s">
        <v>1009</v>
      </c>
      <c r="H327" s="286" t="s">
        <v>1009</v>
      </c>
      <c r="I327" s="286" t="s">
        <v>1121</v>
      </c>
      <c r="J327" s="286" t="s">
        <v>1312</v>
      </c>
      <c r="K327" s="286" t="s">
        <v>1422</v>
      </c>
      <c r="L327" s="286" t="s">
        <v>250</v>
      </c>
      <c r="M327" s="286">
        <v>1</v>
      </c>
      <c r="N327" s="287">
        <v>8670</v>
      </c>
      <c r="O327" s="287"/>
      <c r="P327" s="286" t="s">
        <v>248</v>
      </c>
    </row>
    <row r="328" spans="1:16" hidden="1" x14ac:dyDescent="0.15">
      <c r="A328" s="286">
        <v>328287</v>
      </c>
      <c r="B328" s="288">
        <v>45161.62777777778</v>
      </c>
      <c r="C328" s="286" t="s">
        <v>1691</v>
      </c>
      <c r="D328" s="286" t="s">
        <v>1105</v>
      </c>
      <c r="E328" s="286" t="s">
        <v>1106</v>
      </c>
      <c r="F328" s="286" t="s">
        <v>1714</v>
      </c>
      <c r="G328" s="286" t="s">
        <v>1023</v>
      </c>
      <c r="H328" s="286" t="s">
        <v>1023</v>
      </c>
      <c r="I328" s="286" t="s">
        <v>1152</v>
      </c>
      <c r="J328" s="286" t="s">
        <v>53</v>
      </c>
      <c r="K328" s="286" t="s">
        <v>53</v>
      </c>
      <c r="L328" s="286" t="s">
        <v>53</v>
      </c>
      <c r="M328" s="286" t="s">
        <v>53</v>
      </c>
      <c r="N328" s="287">
        <v>8629.65</v>
      </c>
      <c r="O328" s="287"/>
      <c r="P328" s="286" t="s">
        <v>58</v>
      </c>
    </row>
    <row r="329" spans="1:16" hidden="1" x14ac:dyDescent="0.15">
      <c r="A329" s="286">
        <v>442744</v>
      </c>
      <c r="B329" s="288">
        <v>45300.341666666667</v>
      </c>
      <c r="C329" s="286" t="s">
        <v>1632</v>
      </c>
      <c r="D329" s="286" t="s">
        <v>1105</v>
      </c>
      <c r="E329" s="286" t="s">
        <v>1106</v>
      </c>
      <c r="F329" s="286" t="s">
        <v>1633</v>
      </c>
      <c r="G329" s="286" t="s">
        <v>1079</v>
      </c>
      <c r="H329" s="286" t="s">
        <v>1079</v>
      </c>
      <c r="I329" s="286" t="s">
        <v>1301</v>
      </c>
      <c r="J329" s="286" t="s">
        <v>1312</v>
      </c>
      <c r="K329" s="286" t="s">
        <v>56</v>
      </c>
      <c r="L329" s="286" t="s">
        <v>71</v>
      </c>
      <c r="M329" s="286">
        <v>1</v>
      </c>
      <c r="N329" s="287">
        <v>8546</v>
      </c>
      <c r="O329" s="287"/>
      <c r="P329" s="286" t="s">
        <v>55</v>
      </c>
    </row>
    <row r="330" spans="1:16" hidden="1" x14ac:dyDescent="0.15">
      <c r="A330" s="286">
        <v>339870</v>
      </c>
      <c r="B330" s="288">
        <v>45177.481944444444</v>
      </c>
      <c r="C330" s="286" t="s">
        <v>1676</v>
      </c>
      <c r="D330" s="286" t="s">
        <v>1105</v>
      </c>
      <c r="E330" s="286" t="s">
        <v>1106</v>
      </c>
      <c r="F330" s="286" t="s">
        <v>1715</v>
      </c>
      <c r="G330" s="286" t="s">
        <v>1007</v>
      </c>
      <c r="H330" s="286" t="s">
        <v>1007</v>
      </c>
      <c r="I330" s="286" t="s">
        <v>1199</v>
      </c>
      <c r="J330" s="286" t="s">
        <v>1312</v>
      </c>
      <c r="K330" s="286" t="s">
        <v>1787</v>
      </c>
      <c r="L330" s="286" t="s">
        <v>672</v>
      </c>
      <c r="M330" s="286">
        <v>1</v>
      </c>
      <c r="N330" s="287">
        <v>8320.41</v>
      </c>
      <c r="O330" s="287"/>
      <c r="P330" s="286" t="s">
        <v>58</v>
      </c>
    </row>
    <row r="331" spans="1:16" hidden="1" x14ac:dyDescent="0.15">
      <c r="A331" s="286">
        <v>370270</v>
      </c>
      <c r="B331" s="288">
        <v>45208.668055555558</v>
      </c>
      <c r="C331" s="286" t="s">
        <v>1642</v>
      </c>
      <c r="D331" s="286" t="s">
        <v>1105</v>
      </c>
      <c r="E331" s="286" t="s">
        <v>1106</v>
      </c>
      <c r="F331" s="286" t="s">
        <v>1716</v>
      </c>
      <c r="G331" s="286" t="s">
        <v>1007</v>
      </c>
      <c r="H331" s="286" t="s">
        <v>1007</v>
      </c>
      <c r="I331" s="286" t="s">
        <v>1199</v>
      </c>
      <c r="J331" s="286" t="s">
        <v>1312</v>
      </c>
      <c r="K331" s="286" t="s">
        <v>1787</v>
      </c>
      <c r="L331" s="286" t="s">
        <v>672</v>
      </c>
      <c r="M331" s="286">
        <v>1</v>
      </c>
      <c r="N331" s="287">
        <v>8320.41</v>
      </c>
      <c r="O331" s="287"/>
      <c r="P331" s="286" t="s">
        <v>58</v>
      </c>
    </row>
    <row r="332" spans="1:16" hidden="1" x14ac:dyDescent="0.15">
      <c r="A332" s="286">
        <v>402221</v>
      </c>
      <c r="B332" s="288">
        <v>45243.579861111109</v>
      </c>
      <c r="C332" s="286" t="s">
        <v>1654</v>
      </c>
      <c r="D332" s="286" t="s">
        <v>1105</v>
      </c>
      <c r="E332" s="286" t="s">
        <v>1106</v>
      </c>
      <c r="F332" s="286" t="s">
        <v>1724</v>
      </c>
      <c r="G332" s="286" t="s">
        <v>1007</v>
      </c>
      <c r="H332" s="286" t="s">
        <v>1007</v>
      </c>
      <c r="I332" s="286" t="s">
        <v>1199</v>
      </c>
      <c r="J332" s="286" t="s">
        <v>1312</v>
      </c>
      <c r="K332" s="286" t="s">
        <v>1787</v>
      </c>
      <c r="L332" s="286" t="s">
        <v>672</v>
      </c>
      <c r="M332" s="286">
        <v>1</v>
      </c>
      <c r="N332" s="287">
        <v>8320.41</v>
      </c>
      <c r="O332" s="287"/>
      <c r="P332" s="286" t="s">
        <v>58</v>
      </c>
    </row>
    <row r="333" spans="1:16" hidden="1" x14ac:dyDescent="0.15">
      <c r="A333" s="286">
        <v>455146</v>
      </c>
      <c r="B333" s="288">
        <v>45310.510416666664</v>
      </c>
      <c r="C333" s="286" t="s">
        <v>1632</v>
      </c>
      <c r="D333" s="286" t="s">
        <v>1105</v>
      </c>
      <c r="E333" s="286" t="s">
        <v>1106</v>
      </c>
      <c r="F333" s="286" t="s">
        <v>1725</v>
      </c>
      <c r="G333" s="286" t="s">
        <v>1007</v>
      </c>
      <c r="H333" s="286" t="s">
        <v>1007</v>
      </c>
      <c r="I333" s="286" t="s">
        <v>1199</v>
      </c>
      <c r="J333" s="286" t="s">
        <v>1312</v>
      </c>
      <c r="K333" s="286" t="s">
        <v>1787</v>
      </c>
      <c r="L333" s="286" t="s">
        <v>672</v>
      </c>
      <c r="M333" s="286">
        <v>1</v>
      </c>
      <c r="N333" s="287">
        <v>8320.41</v>
      </c>
      <c r="O333" s="287"/>
      <c r="P333" s="286" t="s">
        <v>58</v>
      </c>
    </row>
    <row r="334" spans="1:16" hidden="1" x14ac:dyDescent="0.15">
      <c r="A334" s="286">
        <v>170499</v>
      </c>
      <c r="B334" s="288">
        <v>44986.615972222222</v>
      </c>
      <c r="C334" s="286" t="s">
        <v>1640</v>
      </c>
      <c r="D334" s="286" t="s">
        <v>1105</v>
      </c>
      <c r="E334" s="286" t="s">
        <v>1106</v>
      </c>
      <c r="F334" s="286" t="s">
        <v>1755</v>
      </c>
      <c r="G334" s="286" t="s">
        <v>1017</v>
      </c>
      <c r="H334" s="286" t="s">
        <v>1017</v>
      </c>
      <c r="I334" s="286" t="s">
        <v>1228</v>
      </c>
      <c r="J334" s="286" t="s">
        <v>1312</v>
      </c>
      <c r="K334" s="286" t="s">
        <v>53</v>
      </c>
      <c r="L334" s="286" t="s">
        <v>53</v>
      </c>
      <c r="M334" s="286" t="s">
        <v>53</v>
      </c>
      <c r="N334" s="287">
        <v>8304.33</v>
      </c>
      <c r="O334" s="287"/>
      <c r="P334" s="286" t="s">
        <v>58</v>
      </c>
    </row>
    <row r="335" spans="1:16" hidden="1" x14ac:dyDescent="0.15">
      <c r="A335" s="286">
        <v>170298</v>
      </c>
      <c r="B335" s="288">
        <v>44986.623611111114</v>
      </c>
      <c r="C335" s="286" t="s">
        <v>1638</v>
      </c>
      <c r="D335" s="286" t="s">
        <v>1105</v>
      </c>
      <c r="E335" s="286" t="s">
        <v>1106</v>
      </c>
      <c r="F335" s="286" t="s">
        <v>1721</v>
      </c>
      <c r="G335" s="286" t="s">
        <v>1017</v>
      </c>
      <c r="H335" s="286" t="s">
        <v>1017</v>
      </c>
      <c r="I335" s="286" t="s">
        <v>1228</v>
      </c>
      <c r="J335" s="286" t="s">
        <v>1312</v>
      </c>
      <c r="K335" s="286" t="s">
        <v>53</v>
      </c>
      <c r="L335" s="286" t="s">
        <v>53</v>
      </c>
      <c r="M335" s="286" t="s">
        <v>53</v>
      </c>
      <c r="N335" s="287">
        <v>8304.33</v>
      </c>
      <c r="O335" s="287"/>
      <c r="P335" s="286" t="s">
        <v>58</v>
      </c>
    </row>
    <row r="336" spans="1:16" hidden="1" x14ac:dyDescent="0.15">
      <c r="A336" s="286">
        <v>185846</v>
      </c>
      <c r="B336" s="288">
        <v>45005.724305555559</v>
      </c>
      <c r="C336" s="286" t="s">
        <v>1667</v>
      </c>
      <c r="D336" s="286" t="s">
        <v>1105</v>
      </c>
      <c r="E336" s="286" t="s">
        <v>1106</v>
      </c>
      <c r="F336" s="286" t="s">
        <v>1702</v>
      </c>
      <c r="G336" s="286" t="s">
        <v>1017</v>
      </c>
      <c r="H336" s="286" t="s">
        <v>1017</v>
      </c>
      <c r="I336" s="286" t="s">
        <v>1228</v>
      </c>
      <c r="J336" s="286" t="s">
        <v>1312</v>
      </c>
      <c r="K336" s="286" t="s">
        <v>53</v>
      </c>
      <c r="L336" s="286" t="s">
        <v>53</v>
      </c>
      <c r="M336" s="286" t="s">
        <v>53</v>
      </c>
      <c r="N336" s="287">
        <v>8304.33</v>
      </c>
      <c r="O336" s="287"/>
      <c r="P336" s="286" t="s">
        <v>58</v>
      </c>
    </row>
    <row r="337" spans="1:16" hidden="1" x14ac:dyDescent="0.15">
      <c r="A337" s="286">
        <v>201556</v>
      </c>
      <c r="B337" s="288">
        <v>45029.540972222225</v>
      </c>
      <c r="C337" s="286" t="s">
        <v>1657</v>
      </c>
      <c r="D337" s="286" t="s">
        <v>1105</v>
      </c>
      <c r="E337" s="286" t="s">
        <v>1106</v>
      </c>
      <c r="F337" s="286" t="s">
        <v>1722</v>
      </c>
      <c r="G337" s="286" t="s">
        <v>1017</v>
      </c>
      <c r="H337" s="286" t="s">
        <v>1017</v>
      </c>
      <c r="I337" s="286" t="s">
        <v>1228</v>
      </c>
      <c r="J337" s="286" t="s">
        <v>1312</v>
      </c>
      <c r="K337" s="286" t="s">
        <v>53</v>
      </c>
      <c r="L337" s="286" t="s">
        <v>53</v>
      </c>
      <c r="M337" s="286" t="s">
        <v>53</v>
      </c>
      <c r="N337" s="287">
        <v>8304.33</v>
      </c>
      <c r="O337" s="287"/>
      <c r="P337" s="286" t="s">
        <v>58</v>
      </c>
    </row>
    <row r="338" spans="1:16" hidden="1" x14ac:dyDescent="0.15">
      <c r="A338" s="286">
        <v>225409</v>
      </c>
      <c r="B338" s="288">
        <v>45058.522222222222</v>
      </c>
      <c r="C338" s="286" t="s">
        <v>1665</v>
      </c>
      <c r="D338" s="286" t="s">
        <v>1105</v>
      </c>
      <c r="E338" s="286" t="s">
        <v>1106</v>
      </c>
      <c r="F338" s="286" t="s">
        <v>1723</v>
      </c>
      <c r="G338" s="286" t="s">
        <v>1017</v>
      </c>
      <c r="H338" s="286" t="s">
        <v>1017</v>
      </c>
      <c r="I338" s="286" t="s">
        <v>1228</v>
      </c>
      <c r="J338" s="286" t="s">
        <v>1312</v>
      </c>
      <c r="K338" s="286" t="s">
        <v>53</v>
      </c>
      <c r="L338" s="286" t="s">
        <v>53</v>
      </c>
      <c r="M338" s="286" t="s">
        <v>53</v>
      </c>
      <c r="N338" s="287">
        <v>8304.33</v>
      </c>
      <c r="O338" s="287"/>
      <c r="P338" s="286" t="s">
        <v>58</v>
      </c>
    </row>
    <row r="339" spans="1:16" hidden="1" x14ac:dyDescent="0.15">
      <c r="A339" s="286">
        <v>170499</v>
      </c>
      <c r="B339" s="288">
        <v>44986.615972222222</v>
      </c>
      <c r="C339" s="286" t="s">
        <v>1640</v>
      </c>
      <c r="D339" s="286" t="s">
        <v>1105</v>
      </c>
      <c r="E339" s="286" t="s">
        <v>1106</v>
      </c>
      <c r="F339" s="286" t="s">
        <v>1755</v>
      </c>
      <c r="G339" s="286" t="s">
        <v>1080</v>
      </c>
      <c r="H339" s="286" t="s">
        <v>1080</v>
      </c>
      <c r="I339" s="286" t="s">
        <v>1228</v>
      </c>
      <c r="J339" s="286" t="s">
        <v>1312</v>
      </c>
      <c r="K339" s="286" t="s">
        <v>53</v>
      </c>
      <c r="L339" s="286" t="s">
        <v>53</v>
      </c>
      <c r="M339" s="286" t="s">
        <v>53</v>
      </c>
      <c r="N339" s="287">
        <v>8147.77</v>
      </c>
      <c r="O339" s="287"/>
      <c r="P339" s="286" t="s">
        <v>58</v>
      </c>
    </row>
    <row r="340" spans="1:16" hidden="1" x14ac:dyDescent="0.15">
      <c r="A340" s="286">
        <v>170298</v>
      </c>
      <c r="B340" s="288">
        <v>44986.623611111114</v>
      </c>
      <c r="C340" s="286" t="s">
        <v>1638</v>
      </c>
      <c r="D340" s="286" t="s">
        <v>1105</v>
      </c>
      <c r="E340" s="286" t="s">
        <v>1106</v>
      </c>
      <c r="F340" s="286" t="s">
        <v>1721</v>
      </c>
      <c r="G340" s="286" t="s">
        <v>1080</v>
      </c>
      <c r="H340" s="286" t="s">
        <v>1080</v>
      </c>
      <c r="I340" s="286" t="s">
        <v>1228</v>
      </c>
      <c r="J340" s="286" t="s">
        <v>1312</v>
      </c>
      <c r="K340" s="286" t="s">
        <v>53</v>
      </c>
      <c r="L340" s="286" t="s">
        <v>53</v>
      </c>
      <c r="M340" s="286" t="s">
        <v>53</v>
      </c>
      <c r="N340" s="287">
        <v>8147.77</v>
      </c>
      <c r="O340" s="287"/>
      <c r="P340" s="286" t="s">
        <v>58</v>
      </c>
    </row>
    <row r="341" spans="1:16" hidden="1" x14ac:dyDescent="0.15">
      <c r="A341" s="286">
        <v>185846</v>
      </c>
      <c r="B341" s="288">
        <v>45005.724305555559</v>
      </c>
      <c r="C341" s="286" t="s">
        <v>1667</v>
      </c>
      <c r="D341" s="286" t="s">
        <v>1105</v>
      </c>
      <c r="E341" s="286" t="s">
        <v>1106</v>
      </c>
      <c r="F341" s="286" t="s">
        <v>1702</v>
      </c>
      <c r="G341" s="286" t="s">
        <v>1080</v>
      </c>
      <c r="H341" s="286" t="s">
        <v>1080</v>
      </c>
      <c r="I341" s="286" t="s">
        <v>1228</v>
      </c>
      <c r="J341" s="286" t="s">
        <v>1312</v>
      </c>
      <c r="K341" s="286" t="s">
        <v>53</v>
      </c>
      <c r="L341" s="286" t="s">
        <v>53</v>
      </c>
      <c r="M341" s="286" t="s">
        <v>53</v>
      </c>
      <c r="N341" s="287">
        <v>8147.77</v>
      </c>
      <c r="O341" s="287"/>
      <c r="P341" s="286" t="s">
        <v>58</v>
      </c>
    </row>
    <row r="342" spans="1:16" hidden="1" x14ac:dyDescent="0.15">
      <c r="A342" s="286">
        <v>201556</v>
      </c>
      <c r="B342" s="288">
        <v>45029.540972222225</v>
      </c>
      <c r="C342" s="286" t="s">
        <v>1657</v>
      </c>
      <c r="D342" s="286" t="s">
        <v>1105</v>
      </c>
      <c r="E342" s="286" t="s">
        <v>1106</v>
      </c>
      <c r="F342" s="286" t="s">
        <v>1722</v>
      </c>
      <c r="G342" s="286" t="s">
        <v>1080</v>
      </c>
      <c r="H342" s="286" t="s">
        <v>1080</v>
      </c>
      <c r="I342" s="286" t="s">
        <v>1228</v>
      </c>
      <c r="J342" s="286" t="s">
        <v>1312</v>
      </c>
      <c r="K342" s="286" t="s">
        <v>53</v>
      </c>
      <c r="L342" s="286" t="s">
        <v>53</v>
      </c>
      <c r="M342" s="286" t="s">
        <v>53</v>
      </c>
      <c r="N342" s="287">
        <v>8147.77</v>
      </c>
      <c r="O342" s="287"/>
      <c r="P342" s="286" t="s">
        <v>58</v>
      </c>
    </row>
    <row r="343" spans="1:16" hidden="1" x14ac:dyDescent="0.15">
      <c r="A343" s="286">
        <v>225409</v>
      </c>
      <c r="B343" s="288">
        <v>45058.522222222222</v>
      </c>
      <c r="C343" s="286" t="s">
        <v>1665</v>
      </c>
      <c r="D343" s="286" t="s">
        <v>1105</v>
      </c>
      <c r="E343" s="286" t="s">
        <v>1106</v>
      </c>
      <c r="F343" s="286" t="s">
        <v>1723</v>
      </c>
      <c r="G343" s="286" t="s">
        <v>1080</v>
      </c>
      <c r="H343" s="286" t="s">
        <v>1080</v>
      </c>
      <c r="I343" s="286" t="s">
        <v>1228</v>
      </c>
      <c r="J343" s="286" t="s">
        <v>1312</v>
      </c>
      <c r="K343" s="286" t="s">
        <v>53</v>
      </c>
      <c r="L343" s="286" t="s">
        <v>53</v>
      </c>
      <c r="M343" s="286" t="s">
        <v>53</v>
      </c>
      <c r="N343" s="287">
        <v>8147.77</v>
      </c>
      <c r="O343" s="287"/>
      <c r="P343" s="286" t="s">
        <v>58</v>
      </c>
    </row>
    <row r="344" spans="1:16" hidden="1" x14ac:dyDescent="0.15">
      <c r="A344" s="286">
        <v>402221</v>
      </c>
      <c r="B344" s="288">
        <v>45243.579861111109</v>
      </c>
      <c r="C344" s="286" t="s">
        <v>1654</v>
      </c>
      <c r="D344" s="286" t="s">
        <v>1105</v>
      </c>
      <c r="E344" s="286" t="s">
        <v>1106</v>
      </c>
      <c r="F344" s="286" t="s">
        <v>1724</v>
      </c>
      <c r="G344" s="286" t="s">
        <v>1064</v>
      </c>
      <c r="H344" s="286" t="s">
        <v>1064</v>
      </c>
      <c r="I344" s="286" t="s">
        <v>1228</v>
      </c>
      <c r="J344" s="286" t="s">
        <v>53</v>
      </c>
      <c r="K344" s="286" t="s">
        <v>53</v>
      </c>
      <c r="L344" s="286" t="s">
        <v>53</v>
      </c>
      <c r="M344" s="286" t="s">
        <v>53</v>
      </c>
      <c r="N344" s="287">
        <v>8058.64</v>
      </c>
      <c r="O344" s="287"/>
      <c r="P344" s="286" t="s">
        <v>58</v>
      </c>
    </row>
    <row r="345" spans="1:16" hidden="1" x14ac:dyDescent="0.15">
      <c r="A345" s="286">
        <v>407372</v>
      </c>
      <c r="B345" s="288">
        <v>45246.521527777775</v>
      </c>
      <c r="C345" s="286" t="s">
        <v>1654</v>
      </c>
      <c r="D345" s="286" t="s">
        <v>1105</v>
      </c>
      <c r="E345" s="286" t="s">
        <v>1106</v>
      </c>
      <c r="F345" s="286" t="s">
        <v>1788</v>
      </c>
      <c r="G345" s="286" t="s">
        <v>1064</v>
      </c>
      <c r="H345" s="286" t="s">
        <v>1064</v>
      </c>
      <c r="I345" s="286" t="s">
        <v>1199</v>
      </c>
      <c r="J345" s="286" t="s">
        <v>1312</v>
      </c>
      <c r="K345" s="286" t="s">
        <v>53</v>
      </c>
      <c r="L345" s="286" t="s">
        <v>53</v>
      </c>
      <c r="M345" s="286" t="s">
        <v>53</v>
      </c>
      <c r="N345" s="287">
        <v>8058.64</v>
      </c>
      <c r="O345" s="287"/>
      <c r="P345" s="286" t="s">
        <v>58</v>
      </c>
    </row>
    <row r="346" spans="1:16" hidden="1" x14ac:dyDescent="0.15">
      <c r="A346" s="286">
        <v>455146</v>
      </c>
      <c r="B346" s="288">
        <v>45310.510416666664</v>
      </c>
      <c r="C346" s="286" t="s">
        <v>1632</v>
      </c>
      <c r="D346" s="286" t="s">
        <v>1105</v>
      </c>
      <c r="E346" s="286" t="s">
        <v>1106</v>
      </c>
      <c r="F346" s="286" t="s">
        <v>1725</v>
      </c>
      <c r="G346" s="286" t="s">
        <v>1064</v>
      </c>
      <c r="H346" s="286" t="s">
        <v>1064</v>
      </c>
      <c r="I346" s="286" t="s">
        <v>1199</v>
      </c>
      <c r="J346" s="286" t="s">
        <v>1312</v>
      </c>
      <c r="K346" s="286" t="s">
        <v>53</v>
      </c>
      <c r="L346" s="286" t="s">
        <v>53</v>
      </c>
      <c r="M346" s="286" t="s">
        <v>53</v>
      </c>
      <c r="N346" s="287">
        <v>8058.64</v>
      </c>
      <c r="O346" s="287"/>
      <c r="P346" s="286" t="s">
        <v>58</v>
      </c>
    </row>
    <row r="347" spans="1:16" hidden="1" x14ac:dyDescent="0.15">
      <c r="A347" s="286">
        <v>455146</v>
      </c>
      <c r="B347" s="288">
        <v>45310.510416666664</v>
      </c>
      <c r="C347" s="286" t="s">
        <v>1632</v>
      </c>
      <c r="D347" s="286" t="s">
        <v>1105</v>
      </c>
      <c r="E347" s="286" t="s">
        <v>1106</v>
      </c>
      <c r="F347" s="286" t="s">
        <v>1725</v>
      </c>
      <c r="G347" s="286" t="s">
        <v>1064</v>
      </c>
      <c r="H347" s="286" t="s">
        <v>1064</v>
      </c>
      <c r="I347" s="286" t="s">
        <v>1228</v>
      </c>
      <c r="J347" s="286" t="s">
        <v>53</v>
      </c>
      <c r="K347" s="286" t="s">
        <v>53</v>
      </c>
      <c r="L347" s="286" t="s">
        <v>53</v>
      </c>
      <c r="M347" s="286" t="s">
        <v>53</v>
      </c>
      <c r="N347" s="287">
        <v>8058.64</v>
      </c>
      <c r="O347" s="287"/>
      <c r="P347" s="286" t="s">
        <v>58</v>
      </c>
    </row>
    <row r="348" spans="1:16" hidden="1" x14ac:dyDescent="0.15">
      <c r="A348" s="286">
        <v>285250</v>
      </c>
      <c r="B348" s="288">
        <v>45124.582638888889</v>
      </c>
      <c r="C348" s="286" t="s">
        <v>1636</v>
      </c>
      <c r="D348" s="286" t="s">
        <v>1105</v>
      </c>
      <c r="E348" s="286" t="s">
        <v>1106</v>
      </c>
      <c r="F348" s="286" t="s">
        <v>1789</v>
      </c>
      <c r="G348" s="286" t="s">
        <v>1086</v>
      </c>
      <c r="H348" s="286" t="s">
        <v>1086</v>
      </c>
      <c r="I348" s="286" t="s">
        <v>1230</v>
      </c>
      <c r="J348" s="286" t="s">
        <v>1312</v>
      </c>
      <c r="K348" s="286" t="s">
        <v>53</v>
      </c>
      <c r="L348" s="286" t="s">
        <v>53</v>
      </c>
      <c r="M348" s="286" t="s">
        <v>53</v>
      </c>
      <c r="N348" s="287">
        <v>8054</v>
      </c>
      <c r="O348" s="287"/>
      <c r="P348" s="286" t="s">
        <v>175</v>
      </c>
    </row>
    <row r="349" spans="1:16" hidden="1" x14ac:dyDescent="0.15">
      <c r="A349" s="286">
        <v>285250</v>
      </c>
      <c r="B349" s="288">
        <v>45124.582638888889</v>
      </c>
      <c r="C349" s="286" t="s">
        <v>1636</v>
      </c>
      <c r="D349" s="286" t="s">
        <v>1105</v>
      </c>
      <c r="E349" s="286" t="s">
        <v>1106</v>
      </c>
      <c r="F349" s="286" t="s">
        <v>1789</v>
      </c>
      <c r="G349" s="286" t="s">
        <v>1038</v>
      </c>
      <c r="H349" s="286" t="s">
        <v>1038</v>
      </c>
      <c r="I349" s="286" t="s">
        <v>1230</v>
      </c>
      <c r="J349" s="286" t="s">
        <v>1312</v>
      </c>
      <c r="K349" s="286" t="s">
        <v>53</v>
      </c>
      <c r="L349" s="286" t="s">
        <v>53</v>
      </c>
      <c r="M349" s="286" t="s">
        <v>53</v>
      </c>
      <c r="N349" s="287">
        <v>8054</v>
      </c>
      <c r="O349" s="287"/>
      <c r="P349" s="286" t="s">
        <v>175</v>
      </c>
    </row>
    <row r="350" spans="1:16" hidden="1" x14ac:dyDescent="0.15">
      <c r="A350" s="286">
        <v>237271</v>
      </c>
      <c r="B350" s="288">
        <v>45070.706250000003</v>
      </c>
      <c r="C350" s="286" t="s">
        <v>1665</v>
      </c>
      <c r="D350" s="286" t="s">
        <v>1105</v>
      </c>
      <c r="E350" s="286" t="s">
        <v>1106</v>
      </c>
      <c r="F350" s="286" t="s">
        <v>1666</v>
      </c>
      <c r="G350" s="286" t="s">
        <v>1043</v>
      </c>
      <c r="H350" s="286" t="s">
        <v>1043</v>
      </c>
      <c r="I350" s="286" t="s">
        <v>1112</v>
      </c>
      <c r="J350" s="286" t="s">
        <v>1312</v>
      </c>
      <c r="K350" s="286" t="s">
        <v>53</v>
      </c>
      <c r="L350" s="286" t="s">
        <v>53</v>
      </c>
      <c r="M350" s="286" t="s">
        <v>53</v>
      </c>
      <c r="N350" s="287">
        <v>7870</v>
      </c>
      <c r="O350" s="287"/>
      <c r="P350" s="286" t="s">
        <v>175</v>
      </c>
    </row>
    <row r="351" spans="1:16" hidden="1" x14ac:dyDescent="0.15">
      <c r="A351" s="286">
        <v>278788</v>
      </c>
      <c r="B351" s="288">
        <v>45118.57708333333</v>
      </c>
      <c r="C351" s="286" t="s">
        <v>1649</v>
      </c>
      <c r="D351" s="286" t="s">
        <v>1105</v>
      </c>
      <c r="E351" s="286" t="s">
        <v>1106</v>
      </c>
      <c r="F351" s="286" t="s">
        <v>1712</v>
      </c>
      <c r="G351" s="286" t="s">
        <v>1017</v>
      </c>
      <c r="H351" s="286" t="s">
        <v>1017</v>
      </c>
      <c r="I351" s="286" t="s">
        <v>1228</v>
      </c>
      <c r="J351" s="286" t="s">
        <v>53</v>
      </c>
      <c r="K351" s="286" t="s">
        <v>53</v>
      </c>
      <c r="L351" s="286" t="s">
        <v>53</v>
      </c>
      <c r="M351" s="286" t="s">
        <v>53</v>
      </c>
      <c r="N351" s="287">
        <v>7833.47</v>
      </c>
      <c r="O351" s="287"/>
      <c r="P351" s="286" t="s">
        <v>58</v>
      </c>
    </row>
    <row r="352" spans="1:16" hidden="1" x14ac:dyDescent="0.15">
      <c r="A352" s="286">
        <v>284271</v>
      </c>
      <c r="B352" s="288">
        <v>45121.682638888888</v>
      </c>
      <c r="C352" s="286" t="s">
        <v>1636</v>
      </c>
      <c r="D352" s="286" t="s">
        <v>1105</v>
      </c>
      <c r="E352" s="286" t="s">
        <v>1106</v>
      </c>
      <c r="F352" s="286" t="s">
        <v>1713</v>
      </c>
      <c r="G352" s="286" t="s">
        <v>1017</v>
      </c>
      <c r="H352" s="286" t="s">
        <v>1017</v>
      </c>
      <c r="I352" s="286" t="s">
        <v>1228</v>
      </c>
      <c r="J352" s="286" t="s">
        <v>53</v>
      </c>
      <c r="K352" s="286" t="s">
        <v>53</v>
      </c>
      <c r="L352" s="286" t="s">
        <v>53</v>
      </c>
      <c r="M352" s="286" t="s">
        <v>53</v>
      </c>
      <c r="N352" s="287">
        <v>7833.47</v>
      </c>
      <c r="O352" s="287"/>
      <c r="P352" s="286" t="s">
        <v>58</v>
      </c>
    </row>
    <row r="353" spans="1:16" hidden="1" x14ac:dyDescent="0.15">
      <c r="A353" s="286">
        <v>328287</v>
      </c>
      <c r="B353" s="288">
        <v>45161.62777777778</v>
      </c>
      <c r="C353" s="286" t="s">
        <v>1691</v>
      </c>
      <c r="D353" s="286" t="s">
        <v>1105</v>
      </c>
      <c r="E353" s="286" t="s">
        <v>1106</v>
      </c>
      <c r="F353" s="286" t="s">
        <v>1714</v>
      </c>
      <c r="G353" s="286" t="s">
        <v>1017</v>
      </c>
      <c r="H353" s="286" t="s">
        <v>1017</v>
      </c>
      <c r="I353" s="286" t="s">
        <v>1228</v>
      </c>
      <c r="J353" s="286" t="s">
        <v>53</v>
      </c>
      <c r="K353" s="286" t="s">
        <v>53</v>
      </c>
      <c r="L353" s="286" t="s">
        <v>53</v>
      </c>
      <c r="M353" s="286" t="s">
        <v>53</v>
      </c>
      <c r="N353" s="287">
        <v>7833.47</v>
      </c>
      <c r="O353" s="287"/>
      <c r="P353" s="286" t="s">
        <v>58</v>
      </c>
    </row>
    <row r="354" spans="1:16" hidden="1" x14ac:dyDescent="0.15">
      <c r="A354" s="286">
        <v>339870</v>
      </c>
      <c r="B354" s="288">
        <v>45177.481944444444</v>
      </c>
      <c r="C354" s="286" t="s">
        <v>1676</v>
      </c>
      <c r="D354" s="286" t="s">
        <v>1105</v>
      </c>
      <c r="E354" s="286" t="s">
        <v>1106</v>
      </c>
      <c r="F354" s="286" t="s">
        <v>1715</v>
      </c>
      <c r="G354" s="286" t="s">
        <v>1017</v>
      </c>
      <c r="H354" s="286" t="s">
        <v>1017</v>
      </c>
      <c r="I354" s="286" t="s">
        <v>1228</v>
      </c>
      <c r="J354" s="286" t="s">
        <v>53</v>
      </c>
      <c r="K354" s="286" t="s">
        <v>53</v>
      </c>
      <c r="L354" s="286" t="s">
        <v>53</v>
      </c>
      <c r="M354" s="286" t="s">
        <v>53</v>
      </c>
      <c r="N354" s="287">
        <v>7833.47</v>
      </c>
      <c r="O354" s="287"/>
      <c r="P354" s="286" t="s">
        <v>58</v>
      </c>
    </row>
    <row r="355" spans="1:16" hidden="1" x14ac:dyDescent="0.15">
      <c r="A355" s="286">
        <v>370270</v>
      </c>
      <c r="B355" s="288">
        <v>45208.668055555558</v>
      </c>
      <c r="C355" s="286" t="s">
        <v>1642</v>
      </c>
      <c r="D355" s="286" t="s">
        <v>1105</v>
      </c>
      <c r="E355" s="286" t="s">
        <v>1106</v>
      </c>
      <c r="F355" s="286" t="s">
        <v>1716</v>
      </c>
      <c r="G355" s="286" t="s">
        <v>1017</v>
      </c>
      <c r="H355" s="286" t="s">
        <v>1017</v>
      </c>
      <c r="I355" s="286" t="s">
        <v>1228</v>
      </c>
      <c r="J355" s="286" t="s">
        <v>53</v>
      </c>
      <c r="K355" s="286" t="s">
        <v>53</v>
      </c>
      <c r="L355" s="286" t="s">
        <v>53</v>
      </c>
      <c r="M355" s="286" t="s">
        <v>53</v>
      </c>
      <c r="N355" s="287">
        <v>7833.47</v>
      </c>
      <c r="O355" s="287"/>
      <c r="P355" s="286" t="s">
        <v>58</v>
      </c>
    </row>
    <row r="356" spans="1:16" hidden="1" x14ac:dyDescent="0.15">
      <c r="A356" s="286">
        <v>402221</v>
      </c>
      <c r="B356" s="288">
        <v>45243.579861111109</v>
      </c>
      <c r="C356" s="286" t="s">
        <v>1654</v>
      </c>
      <c r="D356" s="286" t="s">
        <v>1105</v>
      </c>
      <c r="E356" s="286" t="s">
        <v>1106</v>
      </c>
      <c r="F356" s="286" t="s">
        <v>1724</v>
      </c>
      <c r="G356" s="286" t="s">
        <v>1017</v>
      </c>
      <c r="H356" s="286" t="s">
        <v>1017</v>
      </c>
      <c r="I356" s="286" t="s">
        <v>1228</v>
      </c>
      <c r="J356" s="286" t="s">
        <v>53</v>
      </c>
      <c r="K356" s="286" t="s">
        <v>53</v>
      </c>
      <c r="L356" s="286" t="s">
        <v>53</v>
      </c>
      <c r="M356" s="286" t="s">
        <v>53</v>
      </c>
      <c r="N356" s="287">
        <v>7833.46</v>
      </c>
      <c r="O356" s="287"/>
      <c r="P356" s="286" t="s">
        <v>58</v>
      </c>
    </row>
    <row r="357" spans="1:16" hidden="1" x14ac:dyDescent="0.15">
      <c r="A357" s="286">
        <v>394327</v>
      </c>
      <c r="B357" s="288">
        <v>45233.704861111109</v>
      </c>
      <c r="C357" s="286" t="s">
        <v>1642</v>
      </c>
      <c r="D357" s="286" t="s">
        <v>1105</v>
      </c>
      <c r="E357" s="286" t="s">
        <v>1106</v>
      </c>
      <c r="F357" s="286" t="s">
        <v>1643</v>
      </c>
      <c r="G357" s="286" t="s">
        <v>1066</v>
      </c>
      <c r="H357" s="286" t="s">
        <v>1066</v>
      </c>
      <c r="I357" s="286" t="s">
        <v>1282</v>
      </c>
      <c r="J357" s="286" t="s">
        <v>1312</v>
      </c>
      <c r="K357" s="286" t="s">
        <v>202</v>
      </c>
      <c r="L357" s="286" t="s">
        <v>203</v>
      </c>
      <c r="M357" s="286">
        <v>1</v>
      </c>
      <c r="N357" s="287">
        <v>7707.15</v>
      </c>
      <c r="O357" s="287"/>
      <c r="P357" s="286" t="s">
        <v>201</v>
      </c>
    </row>
    <row r="358" spans="1:16" hidden="1" x14ac:dyDescent="0.15">
      <c r="A358" s="286">
        <v>284271</v>
      </c>
      <c r="B358" s="288">
        <v>45121.682638888888</v>
      </c>
      <c r="C358" s="286" t="s">
        <v>1636</v>
      </c>
      <c r="D358" s="286" t="s">
        <v>1105</v>
      </c>
      <c r="E358" s="286" t="s">
        <v>1106</v>
      </c>
      <c r="F358" s="286" t="s">
        <v>1713</v>
      </c>
      <c r="G358" s="286" t="s">
        <v>1073</v>
      </c>
      <c r="H358" s="286" t="s">
        <v>1073</v>
      </c>
      <c r="I358" s="286" t="s">
        <v>1199</v>
      </c>
      <c r="J358" s="286" t="s">
        <v>1312</v>
      </c>
      <c r="K358" s="286" t="s">
        <v>1754</v>
      </c>
      <c r="L358" s="286" t="s">
        <v>672</v>
      </c>
      <c r="M358" s="286">
        <v>1</v>
      </c>
      <c r="N358" s="287">
        <v>7399.13</v>
      </c>
      <c r="O358" s="287"/>
      <c r="P358" s="286" t="s">
        <v>58</v>
      </c>
    </row>
    <row r="359" spans="1:16" hidden="1" x14ac:dyDescent="0.15">
      <c r="A359" s="286">
        <v>328287</v>
      </c>
      <c r="B359" s="288">
        <v>45161.62777777778</v>
      </c>
      <c r="C359" s="286" t="s">
        <v>1691</v>
      </c>
      <c r="D359" s="286" t="s">
        <v>1105</v>
      </c>
      <c r="E359" s="286" t="s">
        <v>1106</v>
      </c>
      <c r="F359" s="286" t="s">
        <v>1714</v>
      </c>
      <c r="G359" s="286" t="s">
        <v>1073</v>
      </c>
      <c r="H359" s="286" t="s">
        <v>1073</v>
      </c>
      <c r="I359" s="286" t="s">
        <v>1199</v>
      </c>
      <c r="J359" s="286" t="s">
        <v>1312</v>
      </c>
      <c r="K359" s="286" t="s">
        <v>1754</v>
      </c>
      <c r="L359" s="286" t="s">
        <v>672</v>
      </c>
      <c r="M359" s="286">
        <v>1</v>
      </c>
      <c r="N359" s="287">
        <v>7399.13</v>
      </c>
      <c r="O359" s="287"/>
      <c r="P359" s="286" t="s">
        <v>58</v>
      </c>
    </row>
    <row r="360" spans="1:16" hidden="1" x14ac:dyDescent="0.15">
      <c r="A360" s="286">
        <v>339870</v>
      </c>
      <c r="B360" s="288">
        <v>45177.481944444444</v>
      </c>
      <c r="C360" s="286" t="s">
        <v>1676</v>
      </c>
      <c r="D360" s="286" t="s">
        <v>1105</v>
      </c>
      <c r="E360" s="286" t="s">
        <v>1106</v>
      </c>
      <c r="F360" s="286" t="s">
        <v>1715</v>
      </c>
      <c r="G360" s="286" t="s">
        <v>1073</v>
      </c>
      <c r="H360" s="286" t="s">
        <v>1073</v>
      </c>
      <c r="I360" s="286" t="s">
        <v>1199</v>
      </c>
      <c r="J360" s="286" t="s">
        <v>1312</v>
      </c>
      <c r="K360" s="286" t="s">
        <v>1754</v>
      </c>
      <c r="L360" s="286" t="s">
        <v>672</v>
      </c>
      <c r="M360" s="286">
        <v>1</v>
      </c>
      <c r="N360" s="287">
        <v>7399.13</v>
      </c>
      <c r="O360" s="287"/>
      <c r="P360" s="286" t="s">
        <v>58</v>
      </c>
    </row>
    <row r="361" spans="1:16" hidden="1" x14ac:dyDescent="0.15">
      <c r="A361" s="286">
        <v>370270</v>
      </c>
      <c r="B361" s="288">
        <v>45208.668055555558</v>
      </c>
      <c r="C361" s="286" t="s">
        <v>1642</v>
      </c>
      <c r="D361" s="286" t="s">
        <v>1105</v>
      </c>
      <c r="E361" s="286" t="s">
        <v>1106</v>
      </c>
      <c r="F361" s="286" t="s">
        <v>1716</v>
      </c>
      <c r="G361" s="286" t="s">
        <v>1073</v>
      </c>
      <c r="H361" s="286" t="s">
        <v>1073</v>
      </c>
      <c r="I361" s="286" t="s">
        <v>1199</v>
      </c>
      <c r="J361" s="286" t="s">
        <v>1312</v>
      </c>
      <c r="K361" s="286" t="s">
        <v>1754</v>
      </c>
      <c r="L361" s="286" t="s">
        <v>672</v>
      </c>
      <c r="M361" s="286">
        <v>1</v>
      </c>
      <c r="N361" s="287">
        <v>7399.13</v>
      </c>
      <c r="O361" s="287"/>
      <c r="P361" s="286" t="s">
        <v>58</v>
      </c>
    </row>
    <row r="362" spans="1:16" hidden="1" x14ac:dyDescent="0.15">
      <c r="A362" s="286">
        <v>402221</v>
      </c>
      <c r="B362" s="288">
        <v>45243.579861111109</v>
      </c>
      <c r="C362" s="286" t="s">
        <v>1654</v>
      </c>
      <c r="D362" s="286" t="s">
        <v>1105</v>
      </c>
      <c r="E362" s="286" t="s">
        <v>1106</v>
      </c>
      <c r="F362" s="286" t="s">
        <v>1724</v>
      </c>
      <c r="G362" s="286" t="s">
        <v>1073</v>
      </c>
      <c r="H362" s="286" t="s">
        <v>1073</v>
      </c>
      <c r="I362" s="286" t="s">
        <v>1199</v>
      </c>
      <c r="J362" s="286" t="s">
        <v>1312</v>
      </c>
      <c r="K362" s="286" t="s">
        <v>1754</v>
      </c>
      <c r="L362" s="286" t="s">
        <v>672</v>
      </c>
      <c r="M362" s="286">
        <v>1</v>
      </c>
      <c r="N362" s="287">
        <v>7399.13</v>
      </c>
      <c r="O362" s="287"/>
      <c r="P362" s="286" t="s">
        <v>58</v>
      </c>
    </row>
    <row r="363" spans="1:16" hidden="1" x14ac:dyDescent="0.15">
      <c r="A363" s="286">
        <v>455146</v>
      </c>
      <c r="B363" s="288">
        <v>45310.510416666664</v>
      </c>
      <c r="C363" s="286" t="s">
        <v>1632</v>
      </c>
      <c r="D363" s="286" t="s">
        <v>1105</v>
      </c>
      <c r="E363" s="286" t="s">
        <v>1106</v>
      </c>
      <c r="F363" s="286" t="s">
        <v>1725</v>
      </c>
      <c r="G363" s="286" t="s">
        <v>1073</v>
      </c>
      <c r="H363" s="286" t="s">
        <v>1073</v>
      </c>
      <c r="I363" s="286" t="s">
        <v>1199</v>
      </c>
      <c r="J363" s="286" t="s">
        <v>1312</v>
      </c>
      <c r="K363" s="286" t="s">
        <v>1754</v>
      </c>
      <c r="L363" s="286" t="s">
        <v>672</v>
      </c>
      <c r="M363" s="286">
        <v>1</v>
      </c>
      <c r="N363" s="287">
        <v>7399.13</v>
      </c>
      <c r="O363" s="287"/>
      <c r="P363" s="286" t="s">
        <v>58</v>
      </c>
    </row>
    <row r="364" spans="1:16" hidden="1" x14ac:dyDescent="0.15">
      <c r="A364" s="286">
        <v>158751</v>
      </c>
      <c r="B364" s="288">
        <v>44972.606944444444</v>
      </c>
      <c r="C364" s="286" t="s">
        <v>1638</v>
      </c>
      <c r="D364" s="286" t="s">
        <v>1309</v>
      </c>
      <c r="E364" s="286" t="s">
        <v>1310</v>
      </c>
      <c r="F364" s="286" t="s">
        <v>1704</v>
      </c>
      <c r="G364" s="286" t="s">
        <v>1044</v>
      </c>
      <c r="H364" s="286" t="s">
        <v>1044</v>
      </c>
      <c r="I364" s="286" t="s">
        <v>1121</v>
      </c>
      <c r="J364" s="286" t="s">
        <v>1312</v>
      </c>
      <c r="K364" s="286" t="s">
        <v>1503</v>
      </c>
      <c r="L364" s="286" t="s">
        <v>250</v>
      </c>
      <c r="M364" s="286">
        <v>1</v>
      </c>
      <c r="N364" s="287">
        <v>7153</v>
      </c>
      <c r="O364" s="287"/>
      <c r="P364" s="286" t="s">
        <v>248</v>
      </c>
    </row>
    <row r="365" spans="1:16" hidden="1" x14ac:dyDescent="0.15">
      <c r="A365" s="286">
        <v>437581</v>
      </c>
      <c r="B365" s="288">
        <v>45281.44027777778</v>
      </c>
      <c r="C365" s="286" t="s">
        <v>1632</v>
      </c>
      <c r="D365" s="286" t="s">
        <v>1105</v>
      </c>
      <c r="E365" s="286" t="s">
        <v>1106</v>
      </c>
      <c r="F365" s="286" t="s">
        <v>1741</v>
      </c>
      <c r="G365" s="286" t="s">
        <v>1072</v>
      </c>
      <c r="H365" s="286" t="s">
        <v>1072</v>
      </c>
      <c r="I365" s="286" t="s">
        <v>1121</v>
      </c>
      <c r="J365" s="286" t="s">
        <v>1312</v>
      </c>
      <c r="K365" s="286" t="s">
        <v>917</v>
      </c>
      <c r="L365" s="286" t="s">
        <v>250</v>
      </c>
      <c r="M365" s="286">
        <v>1</v>
      </c>
      <c r="N365" s="287">
        <v>7043</v>
      </c>
      <c r="O365" s="287"/>
      <c r="P365" s="286" t="s">
        <v>248</v>
      </c>
    </row>
    <row r="366" spans="1:16" hidden="1" x14ac:dyDescent="0.15">
      <c r="A366" s="286">
        <v>158751</v>
      </c>
      <c r="B366" s="288">
        <v>44972.606944444444</v>
      </c>
      <c r="C366" s="286" t="s">
        <v>1638</v>
      </c>
      <c r="D366" s="286" t="s">
        <v>1309</v>
      </c>
      <c r="E366" s="286" t="s">
        <v>1310</v>
      </c>
      <c r="F366" s="286" t="s">
        <v>1704</v>
      </c>
      <c r="G366" s="286" t="s">
        <v>1044</v>
      </c>
      <c r="H366" s="286" t="s">
        <v>1044</v>
      </c>
      <c r="I366" s="286" t="s">
        <v>1204</v>
      </c>
      <c r="J366" s="286" t="s">
        <v>1312</v>
      </c>
      <c r="K366" s="286" t="s">
        <v>1790</v>
      </c>
      <c r="L366" s="286" t="s">
        <v>444</v>
      </c>
      <c r="M366" s="286">
        <v>1</v>
      </c>
      <c r="N366" s="287">
        <v>7037</v>
      </c>
      <c r="O366" s="287"/>
      <c r="P366" s="286" t="s">
        <v>49</v>
      </c>
    </row>
    <row r="367" spans="1:16" x14ac:dyDescent="0.15">
      <c r="A367" s="286">
        <v>145118</v>
      </c>
      <c r="B367" s="288">
        <v>44953.417361111111</v>
      </c>
      <c r="C367" s="286" t="s">
        <v>1640</v>
      </c>
      <c r="D367" s="286" t="s">
        <v>1309</v>
      </c>
      <c r="E367" s="286" t="s">
        <v>1310</v>
      </c>
      <c r="F367" s="286" t="s">
        <v>1660</v>
      </c>
      <c r="G367" s="286" t="s">
        <v>1608</v>
      </c>
      <c r="H367" s="286" t="s">
        <v>1608</v>
      </c>
      <c r="I367" s="286" t="s">
        <v>1301</v>
      </c>
      <c r="J367" s="286" t="s">
        <v>1312</v>
      </c>
      <c r="K367" s="286" t="s">
        <v>56</v>
      </c>
      <c r="L367" s="286" t="s">
        <v>71</v>
      </c>
      <c r="M367" s="286">
        <v>1</v>
      </c>
      <c r="N367" s="287">
        <v>6994</v>
      </c>
      <c r="O367" s="287"/>
      <c r="P367" s="286" t="s">
        <v>55</v>
      </c>
    </row>
    <row r="368" spans="1:16" hidden="1" x14ac:dyDescent="0.15">
      <c r="A368" s="286">
        <v>402221</v>
      </c>
      <c r="B368" s="288">
        <v>45243.579861111109</v>
      </c>
      <c r="C368" s="286" t="s">
        <v>1654</v>
      </c>
      <c r="D368" s="286" t="s">
        <v>1105</v>
      </c>
      <c r="E368" s="286" t="s">
        <v>1106</v>
      </c>
      <c r="F368" s="286" t="s">
        <v>1724</v>
      </c>
      <c r="G368" s="286" t="s">
        <v>1010</v>
      </c>
      <c r="H368" s="286" t="s">
        <v>1010</v>
      </c>
      <c r="I368" s="286" t="s">
        <v>1199</v>
      </c>
      <c r="J368" s="286" t="s">
        <v>53</v>
      </c>
      <c r="K368" s="286" t="s">
        <v>53</v>
      </c>
      <c r="L368" s="286" t="s">
        <v>53</v>
      </c>
      <c r="M368" s="286" t="s">
        <v>53</v>
      </c>
      <c r="N368" s="287">
        <v>6899.29</v>
      </c>
      <c r="O368" s="287"/>
      <c r="P368" s="286" t="s">
        <v>58</v>
      </c>
    </row>
    <row r="369" spans="1:16" hidden="1" x14ac:dyDescent="0.15">
      <c r="A369" s="286">
        <v>455146</v>
      </c>
      <c r="B369" s="288">
        <v>45310.510416666664</v>
      </c>
      <c r="C369" s="286" t="s">
        <v>1632</v>
      </c>
      <c r="D369" s="286" t="s">
        <v>1105</v>
      </c>
      <c r="E369" s="286" t="s">
        <v>1106</v>
      </c>
      <c r="F369" s="286" t="s">
        <v>1725</v>
      </c>
      <c r="G369" s="286" t="s">
        <v>1010</v>
      </c>
      <c r="H369" s="286" t="s">
        <v>1010</v>
      </c>
      <c r="I369" s="286" t="s">
        <v>1199</v>
      </c>
      <c r="J369" s="286" t="s">
        <v>53</v>
      </c>
      <c r="K369" s="286" t="s">
        <v>53</v>
      </c>
      <c r="L369" s="286" t="s">
        <v>53</v>
      </c>
      <c r="M369" s="286" t="s">
        <v>53</v>
      </c>
      <c r="N369" s="287">
        <v>6899.29</v>
      </c>
      <c r="O369" s="287"/>
      <c r="P369" s="286" t="s">
        <v>58</v>
      </c>
    </row>
    <row r="370" spans="1:16" hidden="1" x14ac:dyDescent="0.15">
      <c r="A370" s="286">
        <v>328287</v>
      </c>
      <c r="B370" s="288">
        <v>45161.62777777778</v>
      </c>
      <c r="C370" s="286" t="s">
        <v>1691</v>
      </c>
      <c r="D370" s="286" t="s">
        <v>1105</v>
      </c>
      <c r="E370" s="286" t="s">
        <v>1106</v>
      </c>
      <c r="F370" s="286" t="s">
        <v>1714</v>
      </c>
      <c r="G370" s="286" t="s">
        <v>1766</v>
      </c>
      <c r="H370" s="286" t="s">
        <v>1766</v>
      </c>
      <c r="I370" s="286" t="s">
        <v>1129</v>
      </c>
      <c r="J370" s="286" t="s">
        <v>1312</v>
      </c>
      <c r="K370" s="286" t="s">
        <v>610</v>
      </c>
      <c r="L370" s="286" t="s">
        <v>611</v>
      </c>
      <c r="M370" s="286">
        <v>2</v>
      </c>
      <c r="N370" s="287">
        <v>6626.5</v>
      </c>
      <c r="O370" s="287"/>
      <c r="P370" s="286" t="s">
        <v>164</v>
      </c>
    </row>
    <row r="371" spans="1:16" hidden="1" x14ac:dyDescent="0.15">
      <c r="A371" s="286">
        <v>328287</v>
      </c>
      <c r="B371" s="288">
        <v>45161.62777777778</v>
      </c>
      <c r="C371" s="286" t="s">
        <v>1691</v>
      </c>
      <c r="D371" s="286" t="s">
        <v>1105</v>
      </c>
      <c r="E371" s="286" t="s">
        <v>1106</v>
      </c>
      <c r="F371" s="286" t="s">
        <v>1714</v>
      </c>
      <c r="G371" s="286" t="s">
        <v>1766</v>
      </c>
      <c r="H371" s="286" t="s">
        <v>1766</v>
      </c>
      <c r="I371" s="286" t="s">
        <v>1129</v>
      </c>
      <c r="J371" s="286" t="s">
        <v>1312</v>
      </c>
      <c r="K371" s="286" t="s">
        <v>610</v>
      </c>
      <c r="L371" s="286" t="s">
        <v>611</v>
      </c>
      <c r="M371" s="286">
        <v>2</v>
      </c>
      <c r="N371" s="287">
        <v>6626.5</v>
      </c>
      <c r="O371" s="287"/>
      <c r="P371" s="286" t="s">
        <v>164</v>
      </c>
    </row>
    <row r="372" spans="1:16" hidden="1" x14ac:dyDescent="0.15">
      <c r="A372" s="286">
        <v>339870</v>
      </c>
      <c r="B372" s="288">
        <v>45177.481944444444</v>
      </c>
      <c r="C372" s="286" t="s">
        <v>1676</v>
      </c>
      <c r="D372" s="286" t="s">
        <v>1105</v>
      </c>
      <c r="E372" s="286" t="s">
        <v>1106</v>
      </c>
      <c r="F372" s="286" t="s">
        <v>1715</v>
      </c>
      <c r="G372" s="286" t="s">
        <v>1766</v>
      </c>
      <c r="H372" s="286" t="s">
        <v>1766</v>
      </c>
      <c r="I372" s="286" t="s">
        <v>1199</v>
      </c>
      <c r="J372" s="286" t="s">
        <v>1312</v>
      </c>
      <c r="K372" s="286" t="s">
        <v>1767</v>
      </c>
      <c r="L372" s="286" t="s">
        <v>53</v>
      </c>
      <c r="M372" s="286">
        <v>1</v>
      </c>
      <c r="N372" s="287">
        <v>6348.46</v>
      </c>
      <c r="O372" s="287"/>
      <c r="P372" s="286" t="s">
        <v>58</v>
      </c>
    </row>
    <row r="373" spans="1:16" hidden="1" x14ac:dyDescent="0.15">
      <c r="A373" s="286">
        <v>341543</v>
      </c>
      <c r="B373" s="288">
        <v>45177.90902777778</v>
      </c>
      <c r="C373" s="286" t="s">
        <v>1691</v>
      </c>
      <c r="D373" s="286" t="s">
        <v>1105</v>
      </c>
      <c r="E373" s="286" t="s">
        <v>1106</v>
      </c>
      <c r="F373" s="286" t="s">
        <v>1791</v>
      </c>
      <c r="G373" s="286" t="s">
        <v>1016</v>
      </c>
      <c r="H373" s="286" t="s">
        <v>1016</v>
      </c>
      <c r="I373" s="286" t="s">
        <v>1199</v>
      </c>
      <c r="J373" s="286" t="s">
        <v>1312</v>
      </c>
      <c r="K373" s="286" t="s">
        <v>53</v>
      </c>
      <c r="L373" s="286" t="s">
        <v>53</v>
      </c>
      <c r="M373" s="286" t="s">
        <v>53</v>
      </c>
      <c r="N373" s="287">
        <v>6243.32</v>
      </c>
      <c r="O373" s="287"/>
      <c r="P373" s="286" t="s">
        <v>58</v>
      </c>
    </row>
    <row r="374" spans="1:16" hidden="1" x14ac:dyDescent="0.15">
      <c r="A374" s="286">
        <v>370370</v>
      </c>
      <c r="B374" s="288">
        <v>45208.676388888889</v>
      </c>
      <c r="C374" s="286" t="s">
        <v>1676</v>
      </c>
      <c r="D374" s="286" t="s">
        <v>1105</v>
      </c>
      <c r="E374" s="286" t="s">
        <v>1106</v>
      </c>
      <c r="F374" s="286" t="s">
        <v>1792</v>
      </c>
      <c r="G374" s="286" t="s">
        <v>1016</v>
      </c>
      <c r="H374" s="286" t="s">
        <v>1016</v>
      </c>
      <c r="I374" s="286" t="s">
        <v>1199</v>
      </c>
      <c r="J374" s="286" t="s">
        <v>1312</v>
      </c>
      <c r="K374" s="286" t="s">
        <v>53</v>
      </c>
      <c r="L374" s="286" t="s">
        <v>53</v>
      </c>
      <c r="M374" s="286" t="s">
        <v>53</v>
      </c>
      <c r="N374" s="287">
        <v>6243.32</v>
      </c>
      <c r="O374" s="287"/>
      <c r="P374" s="286" t="s">
        <v>58</v>
      </c>
    </row>
    <row r="375" spans="1:16" hidden="1" x14ac:dyDescent="0.15">
      <c r="A375" s="286">
        <v>161839</v>
      </c>
      <c r="B375" s="288">
        <v>44974.491666666669</v>
      </c>
      <c r="C375" s="286" t="s">
        <v>1638</v>
      </c>
      <c r="D375" s="286" t="s">
        <v>1105</v>
      </c>
      <c r="E375" s="286" t="s">
        <v>1106</v>
      </c>
      <c r="F375" s="286" t="s">
        <v>1675</v>
      </c>
      <c r="G375" s="286" t="s">
        <v>1013</v>
      </c>
      <c r="H375" s="286" t="s">
        <v>1013</v>
      </c>
      <c r="I375" s="286" t="s">
        <v>1230</v>
      </c>
      <c r="J375" s="286" t="s">
        <v>1312</v>
      </c>
      <c r="K375" s="286" t="s">
        <v>53</v>
      </c>
      <c r="L375" s="286" t="s">
        <v>53</v>
      </c>
      <c r="M375" s="286" t="s">
        <v>53</v>
      </c>
      <c r="N375" s="287">
        <v>6188</v>
      </c>
      <c r="O375" s="287"/>
      <c r="P375" s="286" t="s">
        <v>175</v>
      </c>
    </row>
    <row r="376" spans="1:16" hidden="1" x14ac:dyDescent="0.15">
      <c r="A376" s="286">
        <v>407784</v>
      </c>
      <c r="B376" s="288">
        <v>45246.633333333331</v>
      </c>
      <c r="C376" s="286" t="s">
        <v>1642</v>
      </c>
      <c r="D376" s="286" t="s">
        <v>1105</v>
      </c>
      <c r="E376" s="286" t="s">
        <v>1106</v>
      </c>
      <c r="F376" s="286" t="s">
        <v>1793</v>
      </c>
      <c r="G376" s="286" t="s">
        <v>1021</v>
      </c>
      <c r="H376" s="286" t="s">
        <v>1021</v>
      </c>
      <c r="I376" s="286" t="s">
        <v>1199</v>
      </c>
      <c r="J376" s="286" t="s">
        <v>1312</v>
      </c>
      <c r="K376" s="286" t="s">
        <v>53</v>
      </c>
      <c r="L376" s="286" t="s">
        <v>53</v>
      </c>
      <c r="M376" s="286" t="s">
        <v>53</v>
      </c>
      <c r="N376" s="287">
        <v>6159.28</v>
      </c>
      <c r="O376" s="287"/>
      <c r="P376" s="286" t="s">
        <v>58</v>
      </c>
    </row>
    <row r="377" spans="1:16" hidden="1" x14ac:dyDescent="0.15">
      <c r="A377" s="286">
        <v>340890</v>
      </c>
      <c r="B377" s="288">
        <v>45177.598611111112</v>
      </c>
      <c r="C377" s="286" t="s">
        <v>1691</v>
      </c>
      <c r="D377" s="286" t="s">
        <v>1105</v>
      </c>
      <c r="E377" s="286" t="s">
        <v>1106</v>
      </c>
      <c r="F377" s="286" t="s">
        <v>1734</v>
      </c>
      <c r="G377" s="286" t="s">
        <v>1075</v>
      </c>
      <c r="H377" s="286" t="s">
        <v>1075</v>
      </c>
      <c r="I377" s="286" t="s">
        <v>1230</v>
      </c>
      <c r="J377" s="286" t="s">
        <v>1312</v>
      </c>
      <c r="K377" s="286" t="s">
        <v>53</v>
      </c>
      <c r="L377" s="286" t="s">
        <v>53</v>
      </c>
      <c r="M377" s="286" t="s">
        <v>53</v>
      </c>
      <c r="N377" s="287">
        <v>6127</v>
      </c>
      <c r="O377" s="287"/>
      <c r="P377" s="286" t="s">
        <v>175</v>
      </c>
    </row>
    <row r="378" spans="1:16" hidden="1" x14ac:dyDescent="0.15">
      <c r="A378" s="299">
        <v>161839</v>
      </c>
      <c r="B378" s="312">
        <v>44974.491666666669</v>
      </c>
      <c r="C378" s="299" t="s">
        <v>1638</v>
      </c>
      <c r="D378" s="299" t="s">
        <v>1105</v>
      </c>
      <c r="E378" s="299" t="s">
        <v>1106</v>
      </c>
      <c r="F378" s="299" t="s">
        <v>1675</v>
      </c>
      <c r="G378" s="299" t="s">
        <v>1022</v>
      </c>
      <c r="H378" s="299" t="s">
        <v>1022</v>
      </c>
      <c r="I378" s="299" t="s">
        <v>1230</v>
      </c>
      <c r="J378" s="299" t="s">
        <v>1312</v>
      </c>
      <c r="K378" s="299" t="s">
        <v>53</v>
      </c>
      <c r="L378" s="299" t="s">
        <v>53</v>
      </c>
      <c r="M378" s="299" t="s">
        <v>53</v>
      </c>
      <c r="N378" s="307">
        <v>6044</v>
      </c>
      <c r="O378" s="307"/>
      <c r="P378" s="299" t="s">
        <v>175</v>
      </c>
    </row>
    <row r="379" spans="1:16" hidden="1" x14ac:dyDescent="0.15">
      <c r="A379" s="286">
        <v>278788</v>
      </c>
      <c r="B379" s="288">
        <v>45118.57708333333</v>
      </c>
      <c r="C379" s="286" t="s">
        <v>1649</v>
      </c>
      <c r="D379" s="286" t="s">
        <v>1105</v>
      </c>
      <c r="E379" s="286" t="s">
        <v>1106</v>
      </c>
      <c r="F379" s="286" t="s">
        <v>1712</v>
      </c>
      <c r="G379" s="286" t="s">
        <v>1786</v>
      </c>
      <c r="H379" s="286" t="s">
        <v>1786</v>
      </c>
      <c r="I379" s="286" t="s">
        <v>1199</v>
      </c>
      <c r="J379" s="286" t="s">
        <v>53</v>
      </c>
      <c r="K379" s="286" t="s">
        <v>53</v>
      </c>
      <c r="L379" s="286" t="s">
        <v>53</v>
      </c>
      <c r="M379" s="286" t="s">
        <v>53</v>
      </c>
      <c r="N379" s="287">
        <v>6009.97</v>
      </c>
      <c r="O379" s="287"/>
      <c r="P379" s="286" t="s">
        <v>58</v>
      </c>
    </row>
    <row r="380" spans="1:16" hidden="1" x14ac:dyDescent="0.15">
      <c r="A380" s="286">
        <v>278788</v>
      </c>
      <c r="B380" s="288">
        <v>45118.57708333333</v>
      </c>
      <c r="C380" s="286" t="s">
        <v>1649</v>
      </c>
      <c r="D380" s="286" t="s">
        <v>1105</v>
      </c>
      <c r="E380" s="286" t="s">
        <v>1106</v>
      </c>
      <c r="F380" s="286" t="s">
        <v>1712</v>
      </c>
      <c r="G380" s="286" t="s">
        <v>1007</v>
      </c>
      <c r="H380" s="286" t="s">
        <v>1007</v>
      </c>
      <c r="I380" s="286" t="s">
        <v>1152</v>
      </c>
      <c r="J380" s="286" t="s">
        <v>53</v>
      </c>
      <c r="K380" s="286" t="s">
        <v>53</v>
      </c>
      <c r="L380" s="286" t="s">
        <v>53</v>
      </c>
      <c r="M380" s="286" t="s">
        <v>53</v>
      </c>
      <c r="N380" s="287">
        <v>5981.48</v>
      </c>
      <c r="O380" s="287"/>
      <c r="P380" s="286" t="s">
        <v>58</v>
      </c>
    </row>
    <row r="381" spans="1:16" hidden="1" x14ac:dyDescent="0.15">
      <c r="A381" s="286">
        <v>284271</v>
      </c>
      <c r="B381" s="288">
        <v>45121.682638888888</v>
      </c>
      <c r="C381" s="286" t="s">
        <v>1636</v>
      </c>
      <c r="D381" s="286" t="s">
        <v>1105</v>
      </c>
      <c r="E381" s="286" t="s">
        <v>1106</v>
      </c>
      <c r="F381" s="286" t="s">
        <v>1713</v>
      </c>
      <c r="G381" s="286" t="s">
        <v>1007</v>
      </c>
      <c r="H381" s="286" t="s">
        <v>1007</v>
      </c>
      <c r="I381" s="286" t="s">
        <v>1152</v>
      </c>
      <c r="J381" s="286" t="s">
        <v>53</v>
      </c>
      <c r="K381" s="286" t="s">
        <v>53</v>
      </c>
      <c r="L381" s="286" t="s">
        <v>53</v>
      </c>
      <c r="M381" s="286" t="s">
        <v>53</v>
      </c>
      <c r="N381" s="287">
        <v>5981.48</v>
      </c>
      <c r="O381" s="287"/>
      <c r="P381" s="286" t="s">
        <v>58</v>
      </c>
    </row>
    <row r="382" spans="1:16" hidden="1" x14ac:dyDescent="0.15">
      <c r="A382" s="286">
        <v>394327</v>
      </c>
      <c r="B382" s="288">
        <v>45233.704861111109</v>
      </c>
      <c r="C382" s="286" t="s">
        <v>1642</v>
      </c>
      <c r="D382" s="286" t="s">
        <v>1105</v>
      </c>
      <c r="E382" s="286" t="s">
        <v>1106</v>
      </c>
      <c r="F382" s="286" t="s">
        <v>1643</v>
      </c>
      <c r="G382" s="286" t="s">
        <v>1021</v>
      </c>
      <c r="H382" s="286" t="s">
        <v>1021</v>
      </c>
      <c r="I382" s="286" t="s">
        <v>1108</v>
      </c>
      <c r="J382" s="286" t="s">
        <v>1312</v>
      </c>
      <c r="K382" s="286" t="s">
        <v>1794</v>
      </c>
      <c r="L382" s="286" t="s">
        <v>642</v>
      </c>
      <c r="M382" s="286">
        <v>1</v>
      </c>
      <c r="N382" s="287">
        <v>5715</v>
      </c>
      <c r="O382" s="305">
        <f>EOMONTH(B382,0)</f>
        <v>45260</v>
      </c>
      <c r="P382" s="286" t="s">
        <v>37</v>
      </c>
    </row>
    <row r="383" spans="1:16" hidden="1" x14ac:dyDescent="0.15">
      <c r="A383" s="286">
        <v>370270</v>
      </c>
      <c r="B383" s="288">
        <v>45208.668055555558</v>
      </c>
      <c r="C383" s="286" t="s">
        <v>1642</v>
      </c>
      <c r="D383" s="286" t="s">
        <v>1105</v>
      </c>
      <c r="E383" s="286" t="s">
        <v>1106</v>
      </c>
      <c r="F383" s="286" t="s">
        <v>1716</v>
      </c>
      <c r="G383" s="286" t="s">
        <v>1002</v>
      </c>
      <c r="H383" s="286" t="s">
        <v>1002</v>
      </c>
      <c r="I383" s="286" t="s">
        <v>1199</v>
      </c>
      <c r="J383" s="286" t="s">
        <v>53</v>
      </c>
      <c r="K383" s="286" t="s">
        <v>53</v>
      </c>
      <c r="L383" s="286" t="s">
        <v>53</v>
      </c>
      <c r="M383" s="286" t="s">
        <v>53</v>
      </c>
      <c r="N383" s="287">
        <v>5678.2</v>
      </c>
      <c r="O383" s="287"/>
      <c r="P383" s="286" t="s">
        <v>58</v>
      </c>
    </row>
    <row r="384" spans="1:16" hidden="1" x14ac:dyDescent="0.15">
      <c r="A384" s="286">
        <v>402221</v>
      </c>
      <c r="B384" s="288">
        <v>45243.579861111109</v>
      </c>
      <c r="C384" s="286" t="s">
        <v>1654</v>
      </c>
      <c r="D384" s="286" t="s">
        <v>1105</v>
      </c>
      <c r="E384" s="286" t="s">
        <v>1106</v>
      </c>
      <c r="F384" s="286" t="s">
        <v>1724</v>
      </c>
      <c r="G384" s="286" t="s">
        <v>1002</v>
      </c>
      <c r="H384" s="286" t="s">
        <v>1002</v>
      </c>
      <c r="I384" s="286" t="s">
        <v>1199</v>
      </c>
      <c r="J384" s="286" t="s">
        <v>53</v>
      </c>
      <c r="K384" s="286" t="s">
        <v>53</v>
      </c>
      <c r="L384" s="286" t="s">
        <v>53</v>
      </c>
      <c r="M384" s="286" t="s">
        <v>53</v>
      </c>
      <c r="N384" s="287">
        <v>5678.2</v>
      </c>
      <c r="O384" s="287"/>
      <c r="P384" s="286" t="s">
        <v>58</v>
      </c>
    </row>
    <row r="385" spans="1:16" hidden="1" x14ac:dyDescent="0.15">
      <c r="A385" s="286">
        <v>455146</v>
      </c>
      <c r="B385" s="288">
        <v>45310.510416666664</v>
      </c>
      <c r="C385" s="286" t="s">
        <v>1632</v>
      </c>
      <c r="D385" s="286" t="s">
        <v>1105</v>
      </c>
      <c r="E385" s="286" t="s">
        <v>1106</v>
      </c>
      <c r="F385" s="286" t="s">
        <v>1725</v>
      </c>
      <c r="G385" s="286" t="s">
        <v>1002</v>
      </c>
      <c r="H385" s="286" t="s">
        <v>1002</v>
      </c>
      <c r="I385" s="286" t="s">
        <v>1199</v>
      </c>
      <c r="J385" s="286" t="s">
        <v>53</v>
      </c>
      <c r="K385" s="286" t="s">
        <v>53</v>
      </c>
      <c r="L385" s="286" t="s">
        <v>53</v>
      </c>
      <c r="M385" s="286" t="s">
        <v>53</v>
      </c>
      <c r="N385" s="287">
        <v>5678.2</v>
      </c>
      <c r="O385" s="287"/>
      <c r="P385" s="286" t="s">
        <v>58</v>
      </c>
    </row>
    <row r="386" spans="1:16" hidden="1" x14ac:dyDescent="0.15">
      <c r="A386" s="286">
        <v>308650</v>
      </c>
      <c r="B386" s="288">
        <v>45142.698611111111</v>
      </c>
      <c r="C386" s="286" t="s">
        <v>1636</v>
      </c>
      <c r="D386" s="286" t="s">
        <v>1105</v>
      </c>
      <c r="E386" s="286" t="s">
        <v>1106</v>
      </c>
      <c r="F386" s="286" t="s">
        <v>1795</v>
      </c>
      <c r="G386" s="286" t="s">
        <v>1027</v>
      </c>
      <c r="H386" s="286" t="s">
        <v>1027</v>
      </c>
      <c r="I386" s="286" t="s">
        <v>1230</v>
      </c>
      <c r="J386" s="286" t="s">
        <v>1312</v>
      </c>
      <c r="K386" s="286" t="s">
        <v>53</v>
      </c>
      <c r="L386" s="286" t="s">
        <v>53</v>
      </c>
      <c r="M386" s="286" t="s">
        <v>53</v>
      </c>
      <c r="N386" s="287">
        <v>5612</v>
      </c>
      <c r="O386" s="287"/>
      <c r="P386" s="286" t="s">
        <v>175</v>
      </c>
    </row>
    <row r="387" spans="1:16" hidden="1" x14ac:dyDescent="0.15">
      <c r="A387" s="286">
        <v>170399</v>
      </c>
      <c r="B387" s="288">
        <v>44986.614583333336</v>
      </c>
      <c r="C387" s="286" t="s">
        <v>1640</v>
      </c>
      <c r="D387" s="286" t="s">
        <v>1105</v>
      </c>
      <c r="E387" s="286" t="s">
        <v>1106</v>
      </c>
      <c r="F387" s="286" t="s">
        <v>1720</v>
      </c>
      <c r="G387" s="286" t="s">
        <v>1008</v>
      </c>
      <c r="H387" s="286" t="s">
        <v>1008</v>
      </c>
      <c r="I387" s="286" t="s">
        <v>1199</v>
      </c>
      <c r="J387" s="286" t="s">
        <v>1312</v>
      </c>
      <c r="K387" s="286" t="s">
        <v>53</v>
      </c>
      <c r="L387" s="286" t="s">
        <v>53</v>
      </c>
      <c r="M387" s="286" t="s">
        <v>53</v>
      </c>
      <c r="N387" s="287">
        <v>5603.5</v>
      </c>
      <c r="O387" s="287"/>
      <c r="P387" s="286" t="s">
        <v>58</v>
      </c>
    </row>
    <row r="388" spans="1:16" hidden="1" x14ac:dyDescent="0.15">
      <c r="A388" s="286">
        <v>170298</v>
      </c>
      <c r="B388" s="288">
        <v>44986.623611111114</v>
      </c>
      <c r="C388" s="286" t="s">
        <v>1638</v>
      </c>
      <c r="D388" s="286" t="s">
        <v>1105</v>
      </c>
      <c r="E388" s="286" t="s">
        <v>1106</v>
      </c>
      <c r="F388" s="286" t="s">
        <v>1721</v>
      </c>
      <c r="G388" s="286" t="s">
        <v>1008</v>
      </c>
      <c r="H388" s="286" t="s">
        <v>1008</v>
      </c>
      <c r="I388" s="286" t="s">
        <v>1199</v>
      </c>
      <c r="J388" s="286" t="s">
        <v>1312</v>
      </c>
      <c r="K388" s="286" t="s">
        <v>53</v>
      </c>
      <c r="L388" s="286" t="s">
        <v>53</v>
      </c>
      <c r="M388" s="286" t="s">
        <v>53</v>
      </c>
      <c r="N388" s="287">
        <v>5603.5</v>
      </c>
      <c r="O388" s="287"/>
      <c r="P388" s="286" t="s">
        <v>58</v>
      </c>
    </row>
    <row r="389" spans="1:16" hidden="1" x14ac:dyDescent="0.15">
      <c r="A389" s="286">
        <v>185846</v>
      </c>
      <c r="B389" s="288">
        <v>45005.724305555559</v>
      </c>
      <c r="C389" s="286" t="s">
        <v>1667</v>
      </c>
      <c r="D389" s="286" t="s">
        <v>1105</v>
      </c>
      <c r="E389" s="286" t="s">
        <v>1106</v>
      </c>
      <c r="F389" s="286" t="s">
        <v>1702</v>
      </c>
      <c r="G389" s="286" t="s">
        <v>1008</v>
      </c>
      <c r="H389" s="286" t="s">
        <v>1008</v>
      </c>
      <c r="I389" s="286" t="s">
        <v>1199</v>
      </c>
      <c r="J389" s="286" t="s">
        <v>1312</v>
      </c>
      <c r="K389" s="286" t="s">
        <v>53</v>
      </c>
      <c r="L389" s="286" t="s">
        <v>53</v>
      </c>
      <c r="M389" s="286" t="s">
        <v>53</v>
      </c>
      <c r="N389" s="287">
        <v>5603.5</v>
      </c>
      <c r="O389" s="287"/>
      <c r="P389" s="286" t="s">
        <v>58</v>
      </c>
    </row>
    <row r="390" spans="1:16" hidden="1" x14ac:dyDescent="0.15">
      <c r="A390" s="286">
        <v>402221</v>
      </c>
      <c r="B390" s="288">
        <v>45243.579861111109</v>
      </c>
      <c r="C390" s="286" t="s">
        <v>1654</v>
      </c>
      <c r="D390" s="286" t="s">
        <v>1105</v>
      </c>
      <c r="E390" s="286" t="s">
        <v>1106</v>
      </c>
      <c r="F390" s="286" t="s">
        <v>1724</v>
      </c>
      <c r="G390" s="286" t="s">
        <v>1010</v>
      </c>
      <c r="H390" s="286" t="s">
        <v>1010</v>
      </c>
      <c r="I390" s="286" t="s">
        <v>1199</v>
      </c>
      <c r="J390" s="286" t="s">
        <v>1312</v>
      </c>
      <c r="K390" s="286" t="s">
        <v>1796</v>
      </c>
      <c r="L390" s="286" t="s">
        <v>672</v>
      </c>
      <c r="M390" s="286">
        <v>1</v>
      </c>
      <c r="N390" s="287">
        <v>5556.46</v>
      </c>
      <c r="O390" s="287"/>
      <c r="P390" s="286" t="s">
        <v>58</v>
      </c>
    </row>
    <row r="391" spans="1:16" hidden="1" x14ac:dyDescent="0.15">
      <c r="A391" s="286">
        <v>402221</v>
      </c>
      <c r="B391" s="288">
        <v>45243.579861111109</v>
      </c>
      <c r="C391" s="286" t="s">
        <v>1654</v>
      </c>
      <c r="D391" s="286" t="s">
        <v>1105</v>
      </c>
      <c r="E391" s="286" t="s">
        <v>1106</v>
      </c>
      <c r="F391" s="286" t="s">
        <v>1724</v>
      </c>
      <c r="G391" s="286" t="s">
        <v>1010</v>
      </c>
      <c r="H391" s="286" t="s">
        <v>1010</v>
      </c>
      <c r="I391" s="286" t="s">
        <v>1199</v>
      </c>
      <c r="J391" s="286" t="s">
        <v>1312</v>
      </c>
      <c r="K391" s="286" t="s">
        <v>1797</v>
      </c>
      <c r="L391" s="286" t="s">
        <v>672</v>
      </c>
      <c r="M391" s="286">
        <v>1</v>
      </c>
      <c r="N391" s="287">
        <v>5556.46</v>
      </c>
      <c r="O391" s="287"/>
      <c r="P391" s="286" t="s">
        <v>58</v>
      </c>
    </row>
    <row r="392" spans="1:16" hidden="1" x14ac:dyDescent="0.15">
      <c r="A392" s="286">
        <v>455146</v>
      </c>
      <c r="B392" s="288">
        <v>45310.510416666664</v>
      </c>
      <c r="C392" s="286" t="s">
        <v>1632</v>
      </c>
      <c r="D392" s="286" t="s">
        <v>1105</v>
      </c>
      <c r="E392" s="286" t="s">
        <v>1106</v>
      </c>
      <c r="F392" s="286" t="s">
        <v>1725</v>
      </c>
      <c r="G392" s="286" t="s">
        <v>1010</v>
      </c>
      <c r="H392" s="286" t="s">
        <v>1010</v>
      </c>
      <c r="I392" s="286" t="s">
        <v>1199</v>
      </c>
      <c r="J392" s="286" t="s">
        <v>1312</v>
      </c>
      <c r="K392" s="286" t="s">
        <v>1796</v>
      </c>
      <c r="L392" s="286" t="s">
        <v>672</v>
      </c>
      <c r="M392" s="286">
        <v>1</v>
      </c>
      <c r="N392" s="287">
        <v>5556.46</v>
      </c>
      <c r="O392" s="287"/>
      <c r="P392" s="286" t="s">
        <v>58</v>
      </c>
    </row>
    <row r="393" spans="1:16" hidden="1" x14ac:dyDescent="0.15">
      <c r="A393" s="286">
        <v>455146</v>
      </c>
      <c r="B393" s="288">
        <v>45310.510416666664</v>
      </c>
      <c r="C393" s="286" t="s">
        <v>1632</v>
      </c>
      <c r="D393" s="286" t="s">
        <v>1105</v>
      </c>
      <c r="E393" s="286" t="s">
        <v>1106</v>
      </c>
      <c r="F393" s="286" t="s">
        <v>1725</v>
      </c>
      <c r="G393" s="286" t="s">
        <v>1010</v>
      </c>
      <c r="H393" s="286" t="s">
        <v>1010</v>
      </c>
      <c r="I393" s="286" t="s">
        <v>1199</v>
      </c>
      <c r="J393" s="286" t="s">
        <v>1312</v>
      </c>
      <c r="K393" s="286" t="s">
        <v>1797</v>
      </c>
      <c r="L393" s="286" t="s">
        <v>672</v>
      </c>
      <c r="M393" s="286">
        <v>1</v>
      </c>
      <c r="N393" s="287">
        <v>5556.46</v>
      </c>
      <c r="O393" s="287"/>
      <c r="P393" s="286" t="s">
        <v>58</v>
      </c>
    </row>
    <row r="394" spans="1:16" hidden="1" x14ac:dyDescent="0.15">
      <c r="A394" s="286">
        <v>357978</v>
      </c>
      <c r="B394" s="288">
        <v>45195.408333333333</v>
      </c>
      <c r="C394" s="286" t="s">
        <v>1676</v>
      </c>
      <c r="D394" s="286" t="s">
        <v>1105</v>
      </c>
      <c r="E394" s="286" t="s">
        <v>1106</v>
      </c>
      <c r="F394" s="286" t="s">
        <v>1706</v>
      </c>
      <c r="G394" s="286" t="s">
        <v>1766</v>
      </c>
      <c r="H394" s="286" t="s">
        <v>1766</v>
      </c>
      <c r="I394" s="286" t="s">
        <v>1282</v>
      </c>
      <c r="J394" s="286" t="s">
        <v>1312</v>
      </c>
      <c r="K394" s="286" t="s">
        <v>202</v>
      </c>
      <c r="L394" s="286" t="s">
        <v>203</v>
      </c>
      <c r="M394" s="286">
        <v>1</v>
      </c>
      <c r="N394" s="287">
        <v>5379</v>
      </c>
      <c r="O394" s="287"/>
      <c r="P394" s="286" t="s">
        <v>201</v>
      </c>
    </row>
    <row r="395" spans="1:16" hidden="1" x14ac:dyDescent="0.15">
      <c r="A395" s="286">
        <v>170399</v>
      </c>
      <c r="B395" s="288">
        <v>44986.614583333336</v>
      </c>
      <c r="C395" s="286" t="s">
        <v>1640</v>
      </c>
      <c r="D395" s="286" t="s">
        <v>1105</v>
      </c>
      <c r="E395" s="286" t="s">
        <v>1106</v>
      </c>
      <c r="F395" s="286" t="s">
        <v>1720</v>
      </c>
      <c r="G395" s="286" t="s">
        <v>1002</v>
      </c>
      <c r="H395" s="286" t="s">
        <v>1002</v>
      </c>
      <c r="I395" s="286" t="s">
        <v>1199</v>
      </c>
      <c r="J395" s="286" t="s">
        <v>1312</v>
      </c>
      <c r="K395" s="286" t="s">
        <v>53</v>
      </c>
      <c r="L395" s="286" t="s">
        <v>53</v>
      </c>
      <c r="M395" s="286" t="s">
        <v>53</v>
      </c>
      <c r="N395" s="287">
        <v>5348.83</v>
      </c>
      <c r="O395" s="287"/>
      <c r="P395" s="286" t="s">
        <v>58</v>
      </c>
    </row>
    <row r="396" spans="1:16" hidden="1" x14ac:dyDescent="0.15">
      <c r="A396" s="286">
        <v>170298</v>
      </c>
      <c r="B396" s="288">
        <v>44986.623611111114</v>
      </c>
      <c r="C396" s="286" t="s">
        <v>1638</v>
      </c>
      <c r="D396" s="286" t="s">
        <v>1105</v>
      </c>
      <c r="E396" s="286" t="s">
        <v>1106</v>
      </c>
      <c r="F396" s="286" t="s">
        <v>1721</v>
      </c>
      <c r="G396" s="286" t="s">
        <v>1002</v>
      </c>
      <c r="H396" s="286" t="s">
        <v>1002</v>
      </c>
      <c r="I396" s="286" t="s">
        <v>1199</v>
      </c>
      <c r="J396" s="286" t="s">
        <v>1312</v>
      </c>
      <c r="K396" s="286" t="s">
        <v>53</v>
      </c>
      <c r="L396" s="286" t="s">
        <v>53</v>
      </c>
      <c r="M396" s="286" t="s">
        <v>53</v>
      </c>
      <c r="N396" s="287">
        <v>5348.83</v>
      </c>
      <c r="O396" s="287"/>
      <c r="P396" s="286" t="s">
        <v>58</v>
      </c>
    </row>
    <row r="397" spans="1:16" hidden="1" x14ac:dyDescent="0.15">
      <c r="A397" s="286">
        <v>185846</v>
      </c>
      <c r="B397" s="288">
        <v>45005.724305555559</v>
      </c>
      <c r="C397" s="286" t="s">
        <v>1667</v>
      </c>
      <c r="D397" s="286" t="s">
        <v>1105</v>
      </c>
      <c r="E397" s="286" t="s">
        <v>1106</v>
      </c>
      <c r="F397" s="286" t="s">
        <v>1702</v>
      </c>
      <c r="G397" s="286" t="s">
        <v>1002</v>
      </c>
      <c r="H397" s="286" t="s">
        <v>1002</v>
      </c>
      <c r="I397" s="286" t="s">
        <v>1199</v>
      </c>
      <c r="J397" s="286" t="s">
        <v>1312</v>
      </c>
      <c r="K397" s="286" t="s">
        <v>53</v>
      </c>
      <c r="L397" s="286" t="s">
        <v>53</v>
      </c>
      <c r="M397" s="286" t="s">
        <v>53</v>
      </c>
      <c r="N397" s="287">
        <v>5348.83</v>
      </c>
      <c r="O397" s="287"/>
      <c r="P397" s="286" t="s">
        <v>58</v>
      </c>
    </row>
    <row r="398" spans="1:16" hidden="1" x14ac:dyDescent="0.15">
      <c r="A398" s="286">
        <v>201556</v>
      </c>
      <c r="B398" s="288">
        <v>45029.540972222225</v>
      </c>
      <c r="C398" s="286" t="s">
        <v>1657</v>
      </c>
      <c r="D398" s="286" t="s">
        <v>1105</v>
      </c>
      <c r="E398" s="286" t="s">
        <v>1106</v>
      </c>
      <c r="F398" s="286" t="s">
        <v>1722</v>
      </c>
      <c r="G398" s="286" t="s">
        <v>1002</v>
      </c>
      <c r="H398" s="286" t="s">
        <v>1002</v>
      </c>
      <c r="I398" s="286" t="s">
        <v>1199</v>
      </c>
      <c r="J398" s="286" t="s">
        <v>1312</v>
      </c>
      <c r="K398" s="286" t="s">
        <v>53</v>
      </c>
      <c r="L398" s="286" t="s">
        <v>53</v>
      </c>
      <c r="M398" s="286" t="s">
        <v>53</v>
      </c>
      <c r="N398" s="287">
        <v>5348.83</v>
      </c>
      <c r="O398" s="287"/>
      <c r="P398" s="286" t="s">
        <v>58</v>
      </c>
    </row>
    <row r="399" spans="1:16" hidden="1" x14ac:dyDescent="0.15">
      <c r="A399" s="286">
        <v>225409</v>
      </c>
      <c r="B399" s="288">
        <v>45058.522222222222</v>
      </c>
      <c r="C399" s="286" t="s">
        <v>1665</v>
      </c>
      <c r="D399" s="286" t="s">
        <v>1105</v>
      </c>
      <c r="E399" s="286" t="s">
        <v>1106</v>
      </c>
      <c r="F399" s="286" t="s">
        <v>1723</v>
      </c>
      <c r="G399" s="286" t="s">
        <v>1002</v>
      </c>
      <c r="H399" s="286" t="s">
        <v>1002</v>
      </c>
      <c r="I399" s="286" t="s">
        <v>1199</v>
      </c>
      <c r="J399" s="286" t="s">
        <v>1312</v>
      </c>
      <c r="K399" s="286" t="s">
        <v>53</v>
      </c>
      <c r="L399" s="286" t="s">
        <v>53</v>
      </c>
      <c r="M399" s="286" t="s">
        <v>53</v>
      </c>
      <c r="N399" s="287">
        <v>5348.83</v>
      </c>
      <c r="O399" s="287"/>
      <c r="P399" s="286" t="s">
        <v>58</v>
      </c>
    </row>
    <row r="400" spans="1:16" hidden="1" x14ac:dyDescent="0.15">
      <c r="A400" s="286">
        <v>339870</v>
      </c>
      <c r="B400" s="288">
        <v>45177.481944444444</v>
      </c>
      <c r="C400" s="286" t="s">
        <v>1676</v>
      </c>
      <c r="D400" s="286" t="s">
        <v>1105</v>
      </c>
      <c r="E400" s="286" t="s">
        <v>1106</v>
      </c>
      <c r="F400" s="286" t="s">
        <v>1715</v>
      </c>
      <c r="G400" s="286" t="s">
        <v>1007</v>
      </c>
      <c r="H400" s="286" t="s">
        <v>1007</v>
      </c>
      <c r="I400" s="286" t="s">
        <v>1228</v>
      </c>
      <c r="J400" s="286" t="s">
        <v>53</v>
      </c>
      <c r="K400" s="286" t="s">
        <v>53</v>
      </c>
      <c r="L400" s="286" t="s">
        <v>53</v>
      </c>
      <c r="M400" s="286" t="s">
        <v>53</v>
      </c>
      <c r="N400" s="287">
        <v>5311.34</v>
      </c>
      <c r="O400" s="287"/>
      <c r="P400" s="286" t="s">
        <v>58</v>
      </c>
    </row>
    <row r="401" spans="1:16" hidden="1" x14ac:dyDescent="0.15">
      <c r="A401" s="286">
        <v>370270</v>
      </c>
      <c r="B401" s="288">
        <v>45208.668055555558</v>
      </c>
      <c r="C401" s="286" t="s">
        <v>1642</v>
      </c>
      <c r="D401" s="286" t="s">
        <v>1105</v>
      </c>
      <c r="E401" s="286" t="s">
        <v>1106</v>
      </c>
      <c r="F401" s="286" t="s">
        <v>1716</v>
      </c>
      <c r="G401" s="286" t="s">
        <v>1007</v>
      </c>
      <c r="H401" s="286" t="s">
        <v>1007</v>
      </c>
      <c r="I401" s="286" t="s">
        <v>1228</v>
      </c>
      <c r="J401" s="286" t="s">
        <v>53</v>
      </c>
      <c r="K401" s="286" t="s">
        <v>53</v>
      </c>
      <c r="L401" s="286" t="s">
        <v>53</v>
      </c>
      <c r="M401" s="286" t="s">
        <v>53</v>
      </c>
      <c r="N401" s="287">
        <v>5311.34</v>
      </c>
      <c r="O401" s="287"/>
      <c r="P401" s="286" t="s">
        <v>58</v>
      </c>
    </row>
    <row r="402" spans="1:16" hidden="1" x14ac:dyDescent="0.15">
      <c r="A402" s="286">
        <v>402221</v>
      </c>
      <c r="B402" s="288">
        <v>45243.579861111109</v>
      </c>
      <c r="C402" s="286" t="s">
        <v>1654</v>
      </c>
      <c r="D402" s="286" t="s">
        <v>1105</v>
      </c>
      <c r="E402" s="286" t="s">
        <v>1106</v>
      </c>
      <c r="F402" s="286" t="s">
        <v>1724</v>
      </c>
      <c r="G402" s="286" t="s">
        <v>1007</v>
      </c>
      <c r="H402" s="286" t="s">
        <v>1007</v>
      </c>
      <c r="I402" s="286" t="s">
        <v>1228</v>
      </c>
      <c r="J402" s="286" t="s">
        <v>53</v>
      </c>
      <c r="K402" s="286" t="s">
        <v>53</v>
      </c>
      <c r="L402" s="286" t="s">
        <v>53</v>
      </c>
      <c r="M402" s="286" t="s">
        <v>53</v>
      </c>
      <c r="N402" s="287">
        <v>5311.34</v>
      </c>
      <c r="O402" s="287"/>
      <c r="P402" s="286" t="s">
        <v>58</v>
      </c>
    </row>
    <row r="403" spans="1:16" hidden="1" x14ac:dyDescent="0.15">
      <c r="A403" s="286">
        <v>455146</v>
      </c>
      <c r="B403" s="288">
        <v>45310.510416666664</v>
      </c>
      <c r="C403" s="286" t="s">
        <v>1632</v>
      </c>
      <c r="D403" s="286" t="s">
        <v>1105</v>
      </c>
      <c r="E403" s="286" t="s">
        <v>1106</v>
      </c>
      <c r="F403" s="286" t="s">
        <v>1725</v>
      </c>
      <c r="G403" s="286" t="s">
        <v>1007</v>
      </c>
      <c r="H403" s="286" t="s">
        <v>1007</v>
      </c>
      <c r="I403" s="286" t="s">
        <v>1228</v>
      </c>
      <c r="J403" s="286" t="s">
        <v>53</v>
      </c>
      <c r="K403" s="286" t="s">
        <v>53</v>
      </c>
      <c r="L403" s="286" t="s">
        <v>53</v>
      </c>
      <c r="M403" s="286" t="s">
        <v>53</v>
      </c>
      <c r="N403" s="287">
        <v>5311.34</v>
      </c>
      <c r="O403" s="287"/>
      <c r="P403" s="286" t="s">
        <v>58</v>
      </c>
    </row>
    <row r="404" spans="1:16" hidden="1" x14ac:dyDescent="0.15">
      <c r="A404" s="286">
        <v>354635</v>
      </c>
      <c r="B404" s="288">
        <v>45190.588194444441</v>
      </c>
      <c r="C404" s="286" t="s">
        <v>1676</v>
      </c>
      <c r="D404" s="286" t="s">
        <v>1105</v>
      </c>
      <c r="E404" s="286" t="s">
        <v>1106</v>
      </c>
      <c r="F404" s="286" t="s">
        <v>1703</v>
      </c>
      <c r="G404" s="286" t="s">
        <v>1062</v>
      </c>
      <c r="H404" s="286" t="s">
        <v>1062</v>
      </c>
      <c r="I404" s="286" t="s">
        <v>1230</v>
      </c>
      <c r="J404" s="286" t="s">
        <v>1312</v>
      </c>
      <c r="K404" s="286" t="s">
        <v>53</v>
      </c>
      <c r="L404" s="286" t="s">
        <v>53</v>
      </c>
      <c r="M404" s="286" t="s">
        <v>53</v>
      </c>
      <c r="N404" s="287">
        <v>5196</v>
      </c>
      <c r="O404" s="287"/>
      <c r="P404" s="286" t="s">
        <v>175</v>
      </c>
    </row>
    <row r="405" spans="1:16" hidden="1" x14ac:dyDescent="0.15">
      <c r="A405" s="286">
        <v>170297</v>
      </c>
      <c r="B405" s="288">
        <v>44986.611111111109</v>
      </c>
      <c r="C405" s="286" t="s">
        <v>1640</v>
      </c>
      <c r="D405" s="286" t="s">
        <v>1105</v>
      </c>
      <c r="E405" s="286" t="s">
        <v>1106</v>
      </c>
      <c r="F405" s="286" t="s">
        <v>1746</v>
      </c>
      <c r="G405" s="286" t="s">
        <v>1007</v>
      </c>
      <c r="H405" s="286" t="s">
        <v>1007</v>
      </c>
      <c r="I405" s="286" t="s">
        <v>1152</v>
      </c>
      <c r="J405" s="286" t="s">
        <v>1312</v>
      </c>
      <c r="K405" s="286" t="s">
        <v>53</v>
      </c>
      <c r="L405" s="286" t="s">
        <v>53</v>
      </c>
      <c r="M405" s="286" t="s">
        <v>53</v>
      </c>
      <c r="N405" s="287">
        <v>5164.33</v>
      </c>
      <c r="O405" s="287"/>
      <c r="P405" s="286" t="s">
        <v>58</v>
      </c>
    </row>
    <row r="406" spans="1:16" hidden="1" x14ac:dyDescent="0.15">
      <c r="A406" s="286">
        <v>170298</v>
      </c>
      <c r="B406" s="288">
        <v>44986.623611111114</v>
      </c>
      <c r="C406" s="286" t="s">
        <v>1638</v>
      </c>
      <c r="D406" s="286" t="s">
        <v>1105</v>
      </c>
      <c r="E406" s="286" t="s">
        <v>1106</v>
      </c>
      <c r="F406" s="286" t="s">
        <v>1721</v>
      </c>
      <c r="G406" s="286" t="s">
        <v>1007</v>
      </c>
      <c r="H406" s="286" t="s">
        <v>1007</v>
      </c>
      <c r="I406" s="286" t="s">
        <v>1152</v>
      </c>
      <c r="J406" s="286" t="s">
        <v>1312</v>
      </c>
      <c r="K406" s="286" t="s">
        <v>53</v>
      </c>
      <c r="L406" s="286" t="s">
        <v>53</v>
      </c>
      <c r="M406" s="286" t="s">
        <v>53</v>
      </c>
      <c r="N406" s="287">
        <v>5164.33</v>
      </c>
      <c r="O406" s="287"/>
      <c r="P406" s="286" t="s">
        <v>58</v>
      </c>
    </row>
    <row r="407" spans="1:16" hidden="1" x14ac:dyDescent="0.15">
      <c r="A407" s="286">
        <v>185846</v>
      </c>
      <c r="B407" s="288">
        <v>45005.724305555559</v>
      </c>
      <c r="C407" s="286" t="s">
        <v>1667</v>
      </c>
      <c r="D407" s="286" t="s">
        <v>1105</v>
      </c>
      <c r="E407" s="286" t="s">
        <v>1106</v>
      </c>
      <c r="F407" s="286" t="s">
        <v>1702</v>
      </c>
      <c r="G407" s="286" t="s">
        <v>1007</v>
      </c>
      <c r="H407" s="286" t="s">
        <v>1007</v>
      </c>
      <c r="I407" s="286" t="s">
        <v>1152</v>
      </c>
      <c r="J407" s="286" t="s">
        <v>1312</v>
      </c>
      <c r="K407" s="286" t="s">
        <v>53</v>
      </c>
      <c r="L407" s="286" t="s">
        <v>53</v>
      </c>
      <c r="M407" s="286" t="s">
        <v>53</v>
      </c>
      <c r="N407" s="287">
        <v>5164.33</v>
      </c>
      <c r="O407" s="287"/>
      <c r="P407" s="286" t="s">
        <v>58</v>
      </c>
    </row>
    <row r="408" spans="1:16" hidden="1" x14ac:dyDescent="0.15">
      <c r="A408" s="286">
        <v>201556</v>
      </c>
      <c r="B408" s="288">
        <v>45029.540972222225</v>
      </c>
      <c r="C408" s="286" t="s">
        <v>1657</v>
      </c>
      <c r="D408" s="286" t="s">
        <v>1105</v>
      </c>
      <c r="E408" s="286" t="s">
        <v>1106</v>
      </c>
      <c r="F408" s="286" t="s">
        <v>1722</v>
      </c>
      <c r="G408" s="286" t="s">
        <v>1007</v>
      </c>
      <c r="H408" s="286" t="s">
        <v>1007</v>
      </c>
      <c r="I408" s="286" t="s">
        <v>1152</v>
      </c>
      <c r="J408" s="286" t="s">
        <v>1312</v>
      </c>
      <c r="K408" s="286" t="s">
        <v>53</v>
      </c>
      <c r="L408" s="286" t="s">
        <v>53</v>
      </c>
      <c r="M408" s="286" t="s">
        <v>53</v>
      </c>
      <c r="N408" s="287">
        <v>5164.33</v>
      </c>
      <c r="O408" s="287"/>
      <c r="P408" s="286" t="s">
        <v>58</v>
      </c>
    </row>
    <row r="409" spans="1:16" hidden="1" x14ac:dyDescent="0.15">
      <c r="A409" s="286">
        <v>225409</v>
      </c>
      <c r="B409" s="288">
        <v>45058.522222222222</v>
      </c>
      <c r="C409" s="286" t="s">
        <v>1665</v>
      </c>
      <c r="D409" s="286" t="s">
        <v>1105</v>
      </c>
      <c r="E409" s="286" t="s">
        <v>1106</v>
      </c>
      <c r="F409" s="286" t="s">
        <v>1723</v>
      </c>
      <c r="G409" s="286" t="s">
        <v>1007</v>
      </c>
      <c r="H409" s="286" t="s">
        <v>1007</v>
      </c>
      <c r="I409" s="286" t="s">
        <v>1152</v>
      </c>
      <c r="J409" s="286" t="s">
        <v>1312</v>
      </c>
      <c r="K409" s="286" t="s">
        <v>53</v>
      </c>
      <c r="L409" s="286" t="s">
        <v>53</v>
      </c>
      <c r="M409" s="286" t="s">
        <v>53</v>
      </c>
      <c r="N409" s="287">
        <v>5164.33</v>
      </c>
      <c r="O409" s="287"/>
      <c r="P409" s="286" t="s">
        <v>58</v>
      </c>
    </row>
    <row r="410" spans="1:16" hidden="1" x14ac:dyDescent="0.15">
      <c r="A410" s="286">
        <v>328287</v>
      </c>
      <c r="B410" s="288">
        <v>45161.62777777778</v>
      </c>
      <c r="C410" s="286" t="s">
        <v>1691</v>
      </c>
      <c r="D410" s="286" t="s">
        <v>1105</v>
      </c>
      <c r="E410" s="286" t="s">
        <v>1106</v>
      </c>
      <c r="F410" s="286" t="s">
        <v>1714</v>
      </c>
      <c r="G410" s="286" t="s">
        <v>1007</v>
      </c>
      <c r="H410" s="286" t="s">
        <v>1007</v>
      </c>
      <c r="I410" s="286" t="s">
        <v>1199</v>
      </c>
      <c r="J410" s="286" t="s">
        <v>1312</v>
      </c>
      <c r="K410" s="286" t="s">
        <v>1768</v>
      </c>
      <c r="L410" s="286" t="s">
        <v>672</v>
      </c>
      <c r="M410" s="286">
        <v>1</v>
      </c>
      <c r="N410" s="287">
        <v>5158.12</v>
      </c>
      <c r="O410" s="287"/>
      <c r="P410" s="286" t="s">
        <v>58</v>
      </c>
    </row>
    <row r="411" spans="1:16" hidden="1" x14ac:dyDescent="0.15">
      <c r="A411" s="286">
        <v>408189</v>
      </c>
      <c r="B411" s="288">
        <v>45246.67291666667</v>
      </c>
      <c r="C411" s="286" t="s">
        <v>1654</v>
      </c>
      <c r="D411" s="286" t="s">
        <v>1105</v>
      </c>
      <c r="E411" s="286" t="s">
        <v>1106</v>
      </c>
      <c r="F411" s="286" t="s">
        <v>1785</v>
      </c>
      <c r="G411" s="286" t="s">
        <v>1021</v>
      </c>
      <c r="H411" s="286" t="s">
        <v>1021</v>
      </c>
      <c r="I411" s="286" t="s">
        <v>1199</v>
      </c>
      <c r="J411" s="286" t="s">
        <v>1312</v>
      </c>
      <c r="K411" s="286" t="s">
        <v>53</v>
      </c>
      <c r="L411" s="286" t="s">
        <v>53</v>
      </c>
      <c r="M411" s="286" t="s">
        <v>53</v>
      </c>
      <c r="N411" s="287">
        <v>5122.5</v>
      </c>
      <c r="O411" s="287"/>
      <c r="P411" s="286" t="s">
        <v>58</v>
      </c>
    </row>
    <row r="412" spans="1:16" hidden="1" x14ac:dyDescent="0.15">
      <c r="A412" s="286">
        <v>455146</v>
      </c>
      <c r="B412" s="288">
        <v>45310.510416666664</v>
      </c>
      <c r="C412" s="286" t="s">
        <v>1632</v>
      </c>
      <c r="D412" s="286" t="s">
        <v>1105</v>
      </c>
      <c r="E412" s="286" t="s">
        <v>1106</v>
      </c>
      <c r="F412" s="286" t="s">
        <v>1725</v>
      </c>
      <c r="G412" s="286" t="s">
        <v>1021</v>
      </c>
      <c r="H412" s="286" t="s">
        <v>1021</v>
      </c>
      <c r="I412" s="286" t="s">
        <v>1199</v>
      </c>
      <c r="J412" s="286" t="s">
        <v>1312</v>
      </c>
      <c r="K412" s="286" t="s">
        <v>53</v>
      </c>
      <c r="L412" s="286" t="s">
        <v>53</v>
      </c>
      <c r="M412" s="286" t="s">
        <v>53</v>
      </c>
      <c r="N412" s="287">
        <v>5122.5</v>
      </c>
      <c r="O412" s="287"/>
      <c r="P412" s="286" t="s">
        <v>58</v>
      </c>
    </row>
    <row r="413" spans="1:16" hidden="1" x14ac:dyDescent="0.15">
      <c r="A413" s="286">
        <v>170399</v>
      </c>
      <c r="B413" s="288">
        <v>44986.614583333336</v>
      </c>
      <c r="C413" s="286" t="s">
        <v>1640</v>
      </c>
      <c r="D413" s="286" t="s">
        <v>1105</v>
      </c>
      <c r="E413" s="286" t="s">
        <v>1106</v>
      </c>
      <c r="F413" s="286" t="s">
        <v>1720</v>
      </c>
      <c r="G413" s="286" t="s">
        <v>1067</v>
      </c>
      <c r="H413" s="286" t="s">
        <v>1067</v>
      </c>
      <c r="I413" s="286" t="s">
        <v>1199</v>
      </c>
      <c r="J413" s="286" t="s">
        <v>1312</v>
      </c>
      <c r="K413" s="286" t="s">
        <v>53</v>
      </c>
      <c r="L413" s="286" t="s">
        <v>53</v>
      </c>
      <c r="M413" s="286" t="s">
        <v>53</v>
      </c>
      <c r="N413" s="287">
        <v>5080.83</v>
      </c>
      <c r="O413" s="287"/>
      <c r="P413" s="286" t="s">
        <v>58</v>
      </c>
    </row>
    <row r="414" spans="1:16" hidden="1" x14ac:dyDescent="0.15">
      <c r="A414" s="286">
        <v>170298</v>
      </c>
      <c r="B414" s="288">
        <v>44986.623611111114</v>
      </c>
      <c r="C414" s="286" t="s">
        <v>1638</v>
      </c>
      <c r="D414" s="286" t="s">
        <v>1105</v>
      </c>
      <c r="E414" s="286" t="s">
        <v>1106</v>
      </c>
      <c r="F414" s="286" t="s">
        <v>1721</v>
      </c>
      <c r="G414" s="286" t="s">
        <v>1067</v>
      </c>
      <c r="H414" s="286" t="s">
        <v>1067</v>
      </c>
      <c r="I414" s="286" t="s">
        <v>1199</v>
      </c>
      <c r="J414" s="286" t="s">
        <v>1312</v>
      </c>
      <c r="K414" s="286" t="s">
        <v>53</v>
      </c>
      <c r="L414" s="286" t="s">
        <v>53</v>
      </c>
      <c r="M414" s="286" t="s">
        <v>53</v>
      </c>
      <c r="N414" s="287">
        <v>5080.83</v>
      </c>
      <c r="O414" s="287"/>
      <c r="P414" s="286" t="s">
        <v>58</v>
      </c>
    </row>
    <row r="415" spans="1:16" hidden="1" x14ac:dyDescent="0.15">
      <c r="A415" s="286">
        <v>278788</v>
      </c>
      <c r="B415" s="288">
        <v>45118.57708333333</v>
      </c>
      <c r="C415" s="286" t="s">
        <v>1649</v>
      </c>
      <c r="D415" s="286" t="s">
        <v>1105</v>
      </c>
      <c r="E415" s="286" t="s">
        <v>1106</v>
      </c>
      <c r="F415" s="286" t="s">
        <v>1712</v>
      </c>
      <c r="G415" s="286" t="s">
        <v>1002</v>
      </c>
      <c r="H415" s="286" t="s">
        <v>1002</v>
      </c>
      <c r="I415" s="286" t="s">
        <v>1199</v>
      </c>
      <c r="J415" s="286" t="s">
        <v>53</v>
      </c>
      <c r="K415" s="286" t="s">
        <v>53</v>
      </c>
      <c r="L415" s="286" t="s">
        <v>53</v>
      </c>
      <c r="M415" s="286" t="s">
        <v>53</v>
      </c>
      <c r="N415" s="287">
        <v>5073.12</v>
      </c>
      <c r="O415" s="287"/>
      <c r="P415" s="286" t="s">
        <v>58</v>
      </c>
    </row>
    <row r="416" spans="1:16" hidden="1" x14ac:dyDescent="0.15">
      <c r="A416" s="286">
        <v>284271</v>
      </c>
      <c r="B416" s="288">
        <v>45121.682638888888</v>
      </c>
      <c r="C416" s="286" t="s">
        <v>1636</v>
      </c>
      <c r="D416" s="286" t="s">
        <v>1105</v>
      </c>
      <c r="E416" s="286" t="s">
        <v>1106</v>
      </c>
      <c r="F416" s="286" t="s">
        <v>1713</v>
      </c>
      <c r="G416" s="286" t="s">
        <v>1002</v>
      </c>
      <c r="H416" s="286" t="s">
        <v>1002</v>
      </c>
      <c r="I416" s="286" t="s">
        <v>1199</v>
      </c>
      <c r="J416" s="286" t="s">
        <v>53</v>
      </c>
      <c r="K416" s="286" t="s">
        <v>53</v>
      </c>
      <c r="L416" s="286" t="s">
        <v>53</v>
      </c>
      <c r="M416" s="286" t="s">
        <v>53</v>
      </c>
      <c r="N416" s="287">
        <v>5073.12</v>
      </c>
      <c r="O416" s="287"/>
      <c r="P416" s="286" t="s">
        <v>58</v>
      </c>
    </row>
    <row r="417" spans="1:16" hidden="1" x14ac:dyDescent="0.15">
      <c r="A417" s="286">
        <v>328287</v>
      </c>
      <c r="B417" s="288">
        <v>45161.62777777778</v>
      </c>
      <c r="C417" s="286" t="s">
        <v>1691</v>
      </c>
      <c r="D417" s="286" t="s">
        <v>1105</v>
      </c>
      <c r="E417" s="286" t="s">
        <v>1106</v>
      </c>
      <c r="F417" s="286" t="s">
        <v>1714</v>
      </c>
      <c r="G417" s="286" t="s">
        <v>1002</v>
      </c>
      <c r="H417" s="286" t="s">
        <v>1002</v>
      </c>
      <c r="I417" s="286" t="s">
        <v>1199</v>
      </c>
      <c r="J417" s="286" t="s">
        <v>53</v>
      </c>
      <c r="K417" s="286" t="s">
        <v>53</v>
      </c>
      <c r="L417" s="286" t="s">
        <v>53</v>
      </c>
      <c r="M417" s="286" t="s">
        <v>53</v>
      </c>
      <c r="N417" s="287">
        <v>5073.12</v>
      </c>
      <c r="O417" s="287"/>
      <c r="P417" s="286" t="s">
        <v>58</v>
      </c>
    </row>
    <row r="418" spans="1:16" hidden="1" x14ac:dyDescent="0.15">
      <c r="A418" s="286">
        <v>308652</v>
      </c>
      <c r="B418" s="288">
        <v>45142.773611111108</v>
      </c>
      <c r="C418" s="286" t="s">
        <v>1636</v>
      </c>
      <c r="D418" s="286" t="s">
        <v>1105</v>
      </c>
      <c r="E418" s="286" t="s">
        <v>1106</v>
      </c>
      <c r="F418" s="286" t="s">
        <v>1798</v>
      </c>
      <c r="G418" s="286" t="s">
        <v>1766</v>
      </c>
      <c r="H418" s="286" t="s">
        <v>1766</v>
      </c>
      <c r="I418" s="286" t="s">
        <v>1112</v>
      </c>
      <c r="J418" s="286" t="s">
        <v>1312</v>
      </c>
      <c r="K418" s="286" t="s">
        <v>53</v>
      </c>
      <c r="L418" s="286" t="s">
        <v>53</v>
      </c>
      <c r="M418" s="286" t="s">
        <v>53</v>
      </c>
      <c r="N418" s="287">
        <v>5026</v>
      </c>
      <c r="O418" s="287"/>
      <c r="P418" s="286" t="s">
        <v>175</v>
      </c>
    </row>
    <row r="419" spans="1:16" hidden="1" x14ac:dyDescent="0.15">
      <c r="A419" s="286">
        <v>308652</v>
      </c>
      <c r="B419" s="288">
        <v>45142.773611111108</v>
      </c>
      <c r="C419" s="286" t="s">
        <v>1636</v>
      </c>
      <c r="D419" s="286" t="s">
        <v>1105</v>
      </c>
      <c r="E419" s="286" t="s">
        <v>1106</v>
      </c>
      <c r="F419" s="286" t="s">
        <v>1798</v>
      </c>
      <c r="G419" s="286" t="s">
        <v>1016</v>
      </c>
      <c r="H419" s="286" t="s">
        <v>1016</v>
      </c>
      <c r="I419" s="286" t="s">
        <v>1112</v>
      </c>
      <c r="J419" s="286" t="s">
        <v>1312</v>
      </c>
      <c r="K419" s="286" t="s">
        <v>53</v>
      </c>
      <c r="L419" s="286" t="s">
        <v>53</v>
      </c>
      <c r="M419" s="286" t="s">
        <v>53</v>
      </c>
      <c r="N419" s="287">
        <v>5026</v>
      </c>
      <c r="O419" s="287"/>
      <c r="P419" s="286" t="s">
        <v>175</v>
      </c>
    </row>
    <row r="420" spans="1:16" hidden="1" x14ac:dyDescent="0.15">
      <c r="A420" s="286">
        <v>278788</v>
      </c>
      <c r="B420" s="288">
        <v>45118.57708333333</v>
      </c>
      <c r="C420" s="286" t="s">
        <v>1649</v>
      </c>
      <c r="D420" s="286" t="s">
        <v>1105</v>
      </c>
      <c r="E420" s="286" t="s">
        <v>1106</v>
      </c>
      <c r="F420" s="286" t="s">
        <v>1712</v>
      </c>
      <c r="G420" s="286" t="s">
        <v>1010</v>
      </c>
      <c r="H420" s="286" t="s">
        <v>1010</v>
      </c>
      <c r="I420" s="286" t="s">
        <v>1199</v>
      </c>
      <c r="J420" s="286" t="s">
        <v>53</v>
      </c>
      <c r="K420" s="286" t="s">
        <v>53</v>
      </c>
      <c r="L420" s="286" t="s">
        <v>53</v>
      </c>
      <c r="M420" s="286" t="s">
        <v>53</v>
      </c>
      <c r="N420" s="287">
        <v>4957.2299999999996</v>
      </c>
      <c r="O420" s="287"/>
      <c r="P420" s="286" t="s">
        <v>58</v>
      </c>
    </row>
    <row r="421" spans="1:16" hidden="1" x14ac:dyDescent="0.15">
      <c r="A421" s="286">
        <v>284271</v>
      </c>
      <c r="B421" s="288">
        <v>45121.682638888888</v>
      </c>
      <c r="C421" s="286" t="s">
        <v>1636</v>
      </c>
      <c r="D421" s="286" t="s">
        <v>1105</v>
      </c>
      <c r="E421" s="286" t="s">
        <v>1106</v>
      </c>
      <c r="F421" s="286" t="s">
        <v>1713</v>
      </c>
      <c r="G421" s="286" t="s">
        <v>1010</v>
      </c>
      <c r="H421" s="286" t="s">
        <v>1010</v>
      </c>
      <c r="I421" s="286" t="s">
        <v>1199</v>
      </c>
      <c r="J421" s="286" t="s">
        <v>53</v>
      </c>
      <c r="K421" s="286" t="s">
        <v>53</v>
      </c>
      <c r="L421" s="286" t="s">
        <v>53</v>
      </c>
      <c r="M421" s="286" t="s">
        <v>53</v>
      </c>
      <c r="N421" s="287">
        <v>4957.2299999999996</v>
      </c>
      <c r="O421" s="287"/>
      <c r="P421" s="286" t="s">
        <v>58</v>
      </c>
    </row>
    <row r="422" spans="1:16" hidden="1" x14ac:dyDescent="0.15">
      <c r="A422" s="286">
        <v>328287</v>
      </c>
      <c r="B422" s="288">
        <v>45161.62777777778</v>
      </c>
      <c r="C422" s="286" t="s">
        <v>1691</v>
      </c>
      <c r="D422" s="286" t="s">
        <v>1105</v>
      </c>
      <c r="E422" s="286" t="s">
        <v>1106</v>
      </c>
      <c r="F422" s="286" t="s">
        <v>1714</v>
      </c>
      <c r="G422" s="286" t="s">
        <v>1010</v>
      </c>
      <c r="H422" s="286" t="s">
        <v>1010</v>
      </c>
      <c r="I422" s="286" t="s">
        <v>1199</v>
      </c>
      <c r="J422" s="286" t="s">
        <v>53</v>
      </c>
      <c r="K422" s="286" t="s">
        <v>53</v>
      </c>
      <c r="L422" s="286" t="s">
        <v>53</v>
      </c>
      <c r="M422" s="286" t="s">
        <v>53</v>
      </c>
      <c r="N422" s="287">
        <v>4957.2299999999996</v>
      </c>
      <c r="O422" s="287"/>
      <c r="P422" s="286" t="s">
        <v>58</v>
      </c>
    </row>
    <row r="423" spans="1:16" hidden="1" x14ac:dyDescent="0.15">
      <c r="A423" s="286">
        <v>339870</v>
      </c>
      <c r="B423" s="288">
        <v>45177.481944444444</v>
      </c>
      <c r="C423" s="286" t="s">
        <v>1676</v>
      </c>
      <c r="D423" s="286" t="s">
        <v>1105</v>
      </c>
      <c r="E423" s="286" t="s">
        <v>1106</v>
      </c>
      <c r="F423" s="286" t="s">
        <v>1715</v>
      </c>
      <c r="G423" s="286" t="s">
        <v>1010</v>
      </c>
      <c r="H423" s="286" t="s">
        <v>1010</v>
      </c>
      <c r="I423" s="286" t="s">
        <v>1199</v>
      </c>
      <c r="J423" s="286" t="s">
        <v>53</v>
      </c>
      <c r="K423" s="286" t="s">
        <v>53</v>
      </c>
      <c r="L423" s="286" t="s">
        <v>53</v>
      </c>
      <c r="M423" s="286" t="s">
        <v>53</v>
      </c>
      <c r="N423" s="287">
        <v>4957.2299999999996</v>
      </c>
      <c r="O423" s="287"/>
      <c r="P423" s="286" t="s">
        <v>58</v>
      </c>
    </row>
    <row r="424" spans="1:16" hidden="1" x14ac:dyDescent="0.15">
      <c r="A424" s="286">
        <v>284271</v>
      </c>
      <c r="B424" s="288">
        <v>45121.682638888888</v>
      </c>
      <c r="C424" s="286" t="s">
        <v>1636</v>
      </c>
      <c r="D424" s="286" t="s">
        <v>1105</v>
      </c>
      <c r="E424" s="286" t="s">
        <v>1106</v>
      </c>
      <c r="F424" s="286" t="s">
        <v>1713</v>
      </c>
      <c r="G424" s="286" t="s">
        <v>1786</v>
      </c>
      <c r="H424" s="286" t="s">
        <v>1786</v>
      </c>
      <c r="I424" s="286" t="s">
        <v>1199</v>
      </c>
      <c r="J424" s="286" t="s">
        <v>53</v>
      </c>
      <c r="K424" s="286" t="s">
        <v>53</v>
      </c>
      <c r="L424" s="286" t="s">
        <v>53</v>
      </c>
      <c r="M424" s="286" t="s">
        <v>53</v>
      </c>
      <c r="N424" s="287">
        <v>4913.07</v>
      </c>
      <c r="O424" s="287"/>
      <c r="P424" s="286" t="s">
        <v>58</v>
      </c>
    </row>
    <row r="425" spans="1:16" hidden="1" x14ac:dyDescent="0.15">
      <c r="A425" s="286">
        <v>332508</v>
      </c>
      <c r="B425" s="288">
        <v>45167.431944444441</v>
      </c>
      <c r="C425" s="286" t="s">
        <v>1691</v>
      </c>
      <c r="D425" s="286" t="s">
        <v>1105</v>
      </c>
      <c r="E425" s="286" t="s">
        <v>1106</v>
      </c>
      <c r="F425" s="286" t="s">
        <v>1799</v>
      </c>
      <c r="G425" s="286" t="s">
        <v>1014</v>
      </c>
      <c r="H425" s="286" t="s">
        <v>1014</v>
      </c>
      <c r="I425" s="286" t="s">
        <v>1230</v>
      </c>
      <c r="J425" s="286" t="s">
        <v>1312</v>
      </c>
      <c r="K425" s="286" t="s">
        <v>53</v>
      </c>
      <c r="L425" s="286" t="s">
        <v>53</v>
      </c>
      <c r="M425" s="286" t="s">
        <v>53</v>
      </c>
      <c r="N425" s="287">
        <v>4832</v>
      </c>
      <c r="O425" s="287"/>
      <c r="P425" s="286" t="s">
        <v>175</v>
      </c>
    </row>
    <row r="426" spans="1:16" hidden="1" x14ac:dyDescent="0.15">
      <c r="A426" s="286">
        <v>278788</v>
      </c>
      <c r="B426" s="288">
        <v>45118.57708333333</v>
      </c>
      <c r="C426" s="286" t="s">
        <v>1649</v>
      </c>
      <c r="D426" s="286" t="s">
        <v>1105</v>
      </c>
      <c r="E426" s="286" t="s">
        <v>1106</v>
      </c>
      <c r="F426" s="286" t="s">
        <v>1712</v>
      </c>
      <c r="G426" s="286" t="s">
        <v>1008</v>
      </c>
      <c r="H426" s="286" t="s">
        <v>1008</v>
      </c>
      <c r="I426" s="286" t="s">
        <v>1228</v>
      </c>
      <c r="J426" s="286" t="s">
        <v>53</v>
      </c>
      <c r="K426" s="286" t="s">
        <v>53</v>
      </c>
      <c r="L426" s="286" t="s">
        <v>53</v>
      </c>
      <c r="M426" s="286" t="s">
        <v>53</v>
      </c>
      <c r="N426" s="287">
        <v>4762.92</v>
      </c>
      <c r="O426" s="287"/>
      <c r="P426" s="286" t="s">
        <v>58</v>
      </c>
    </row>
    <row r="427" spans="1:16" hidden="1" x14ac:dyDescent="0.15">
      <c r="A427" s="286">
        <v>283634</v>
      </c>
      <c r="B427" s="288">
        <v>45121.515972222223</v>
      </c>
      <c r="C427" s="286" t="s">
        <v>1649</v>
      </c>
      <c r="D427" s="286" t="s">
        <v>1105</v>
      </c>
      <c r="E427" s="286" t="s">
        <v>1106</v>
      </c>
      <c r="F427" s="286" t="s">
        <v>1800</v>
      </c>
      <c r="G427" s="286" t="s">
        <v>1008</v>
      </c>
      <c r="H427" s="286" t="s">
        <v>1008</v>
      </c>
      <c r="I427" s="286" t="s">
        <v>1199</v>
      </c>
      <c r="J427" s="286" t="s">
        <v>1312</v>
      </c>
      <c r="K427" s="286" t="s">
        <v>53</v>
      </c>
      <c r="L427" s="286" t="s">
        <v>53</v>
      </c>
      <c r="M427" s="286" t="s">
        <v>53</v>
      </c>
      <c r="N427" s="287">
        <v>4762.92</v>
      </c>
      <c r="O427" s="287"/>
      <c r="P427" s="286" t="s">
        <v>58</v>
      </c>
    </row>
    <row r="428" spans="1:16" hidden="1" x14ac:dyDescent="0.15">
      <c r="A428" s="286">
        <v>284271</v>
      </c>
      <c r="B428" s="288">
        <v>45121.682638888888</v>
      </c>
      <c r="C428" s="286" t="s">
        <v>1636</v>
      </c>
      <c r="D428" s="286" t="s">
        <v>1105</v>
      </c>
      <c r="E428" s="286" t="s">
        <v>1106</v>
      </c>
      <c r="F428" s="286" t="s">
        <v>1713</v>
      </c>
      <c r="G428" s="286" t="s">
        <v>1008</v>
      </c>
      <c r="H428" s="286" t="s">
        <v>1008</v>
      </c>
      <c r="I428" s="286" t="s">
        <v>1199</v>
      </c>
      <c r="J428" s="286" t="s">
        <v>1312</v>
      </c>
      <c r="K428" s="286" t="s">
        <v>53</v>
      </c>
      <c r="L428" s="286" t="s">
        <v>53</v>
      </c>
      <c r="M428" s="286" t="s">
        <v>53</v>
      </c>
      <c r="N428" s="287">
        <v>4762.92</v>
      </c>
      <c r="O428" s="287"/>
      <c r="P428" s="286" t="s">
        <v>58</v>
      </c>
    </row>
    <row r="429" spans="1:16" hidden="1" x14ac:dyDescent="0.15">
      <c r="A429" s="286">
        <v>284271</v>
      </c>
      <c r="B429" s="288">
        <v>45121.682638888888</v>
      </c>
      <c r="C429" s="286" t="s">
        <v>1636</v>
      </c>
      <c r="D429" s="286" t="s">
        <v>1105</v>
      </c>
      <c r="E429" s="286" t="s">
        <v>1106</v>
      </c>
      <c r="F429" s="286" t="s">
        <v>1713</v>
      </c>
      <c r="G429" s="286" t="s">
        <v>1008</v>
      </c>
      <c r="H429" s="286" t="s">
        <v>1008</v>
      </c>
      <c r="I429" s="286" t="s">
        <v>1228</v>
      </c>
      <c r="J429" s="286" t="s">
        <v>53</v>
      </c>
      <c r="K429" s="286" t="s">
        <v>53</v>
      </c>
      <c r="L429" s="286" t="s">
        <v>53</v>
      </c>
      <c r="M429" s="286" t="s">
        <v>53</v>
      </c>
      <c r="N429" s="287">
        <v>4762.92</v>
      </c>
      <c r="O429" s="287"/>
      <c r="P429" s="286" t="s">
        <v>58</v>
      </c>
    </row>
    <row r="430" spans="1:16" hidden="1" x14ac:dyDescent="0.15">
      <c r="A430" s="286">
        <v>328287</v>
      </c>
      <c r="B430" s="288">
        <v>45161.62777777778</v>
      </c>
      <c r="C430" s="286" t="s">
        <v>1691</v>
      </c>
      <c r="D430" s="286" t="s">
        <v>1105</v>
      </c>
      <c r="E430" s="286" t="s">
        <v>1106</v>
      </c>
      <c r="F430" s="286" t="s">
        <v>1714</v>
      </c>
      <c r="G430" s="286" t="s">
        <v>1008</v>
      </c>
      <c r="H430" s="286" t="s">
        <v>1008</v>
      </c>
      <c r="I430" s="286" t="s">
        <v>1199</v>
      </c>
      <c r="J430" s="286" t="s">
        <v>1312</v>
      </c>
      <c r="K430" s="286" t="s">
        <v>53</v>
      </c>
      <c r="L430" s="286" t="s">
        <v>53</v>
      </c>
      <c r="M430" s="286" t="s">
        <v>53</v>
      </c>
      <c r="N430" s="287">
        <v>4762.92</v>
      </c>
      <c r="O430" s="287"/>
      <c r="P430" s="286" t="s">
        <v>58</v>
      </c>
    </row>
    <row r="431" spans="1:16" hidden="1" x14ac:dyDescent="0.15">
      <c r="A431" s="286">
        <v>328287</v>
      </c>
      <c r="B431" s="288">
        <v>45161.62777777778</v>
      </c>
      <c r="C431" s="286" t="s">
        <v>1691</v>
      </c>
      <c r="D431" s="286" t="s">
        <v>1105</v>
      </c>
      <c r="E431" s="286" t="s">
        <v>1106</v>
      </c>
      <c r="F431" s="286" t="s">
        <v>1714</v>
      </c>
      <c r="G431" s="286" t="s">
        <v>1008</v>
      </c>
      <c r="H431" s="286" t="s">
        <v>1008</v>
      </c>
      <c r="I431" s="286" t="s">
        <v>1228</v>
      </c>
      <c r="J431" s="286" t="s">
        <v>53</v>
      </c>
      <c r="K431" s="286" t="s">
        <v>53</v>
      </c>
      <c r="L431" s="286" t="s">
        <v>53</v>
      </c>
      <c r="M431" s="286" t="s">
        <v>53</v>
      </c>
      <c r="N431" s="287">
        <v>4762.92</v>
      </c>
      <c r="O431" s="287"/>
      <c r="P431" s="286" t="s">
        <v>58</v>
      </c>
    </row>
    <row r="432" spans="1:16" hidden="1" x14ac:dyDescent="0.15">
      <c r="A432" s="286">
        <v>339870</v>
      </c>
      <c r="B432" s="288">
        <v>45177.481944444444</v>
      </c>
      <c r="C432" s="286" t="s">
        <v>1676</v>
      </c>
      <c r="D432" s="286" t="s">
        <v>1105</v>
      </c>
      <c r="E432" s="286" t="s">
        <v>1106</v>
      </c>
      <c r="F432" s="286" t="s">
        <v>1715</v>
      </c>
      <c r="G432" s="286" t="s">
        <v>1008</v>
      </c>
      <c r="H432" s="286" t="s">
        <v>1008</v>
      </c>
      <c r="I432" s="286" t="s">
        <v>1199</v>
      </c>
      <c r="J432" s="286" t="s">
        <v>1312</v>
      </c>
      <c r="K432" s="286" t="s">
        <v>53</v>
      </c>
      <c r="L432" s="286" t="s">
        <v>53</v>
      </c>
      <c r="M432" s="286" t="s">
        <v>53</v>
      </c>
      <c r="N432" s="287">
        <v>4762.92</v>
      </c>
      <c r="O432" s="287"/>
      <c r="P432" s="286" t="s">
        <v>58</v>
      </c>
    </row>
    <row r="433" spans="1:16" hidden="1" x14ac:dyDescent="0.15">
      <c r="A433" s="286">
        <v>339870</v>
      </c>
      <c r="B433" s="288">
        <v>45177.481944444444</v>
      </c>
      <c r="C433" s="286" t="s">
        <v>1676</v>
      </c>
      <c r="D433" s="286" t="s">
        <v>1105</v>
      </c>
      <c r="E433" s="286" t="s">
        <v>1106</v>
      </c>
      <c r="F433" s="286" t="s">
        <v>1715</v>
      </c>
      <c r="G433" s="286" t="s">
        <v>1008</v>
      </c>
      <c r="H433" s="286" t="s">
        <v>1008</v>
      </c>
      <c r="I433" s="286" t="s">
        <v>1228</v>
      </c>
      <c r="J433" s="286" t="s">
        <v>53</v>
      </c>
      <c r="K433" s="286" t="s">
        <v>53</v>
      </c>
      <c r="L433" s="286" t="s">
        <v>53</v>
      </c>
      <c r="M433" s="286" t="s">
        <v>53</v>
      </c>
      <c r="N433" s="287">
        <v>4762.92</v>
      </c>
      <c r="O433" s="287"/>
      <c r="P433" s="286" t="s">
        <v>58</v>
      </c>
    </row>
    <row r="434" spans="1:16" hidden="1" x14ac:dyDescent="0.15">
      <c r="A434" s="286">
        <v>370270</v>
      </c>
      <c r="B434" s="288">
        <v>45208.668055555558</v>
      </c>
      <c r="C434" s="286" t="s">
        <v>1642</v>
      </c>
      <c r="D434" s="286" t="s">
        <v>1105</v>
      </c>
      <c r="E434" s="286" t="s">
        <v>1106</v>
      </c>
      <c r="F434" s="286" t="s">
        <v>1716</v>
      </c>
      <c r="G434" s="286" t="s">
        <v>1008</v>
      </c>
      <c r="H434" s="286" t="s">
        <v>1008</v>
      </c>
      <c r="I434" s="286" t="s">
        <v>1199</v>
      </c>
      <c r="J434" s="286" t="s">
        <v>1312</v>
      </c>
      <c r="K434" s="286" t="s">
        <v>53</v>
      </c>
      <c r="L434" s="286" t="s">
        <v>53</v>
      </c>
      <c r="M434" s="286" t="s">
        <v>53</v>
      </c>
      <c r="N434" s="287">
        <v>4762.92</v>
      </c>
      <c r="O434" s="287"/>
      <c r="P434" s="286" t="s">
        <v>58</v>
      </c>
    </row>
    <row r="435" spans="1:16" hidden="1" x14ac:dyDescent="0.15">
      <c r="A435" s="286">
        <v>370270</v>
      </c>
      <c r="B435" s="288">
        <v>45208.668055555558</v>
      </c>
      <c r="C435" s="286" t="s">
        <v>1642</v>
      </c>
      <c r="D435" s="286" t="s">
        <v>1105</v>
      </c>
      <c r="E435" s="286" t="s">
        <v>1106</v>
      </c>
      <c r="F435" s="286" t="s">
        <v>1716</v>
      </c>
      <c r="G435" s="286" t="s">
        <v>1008</v>
      </c>
      <c r="H435" s="286" t="s">
        <v>1008</v>
      </c>
      <c r="I435" s="286" t="s">
        <v>1228</v>
      </c>
      <c r="J435" s="286" t="s">
        <v>53</v>
      </c>
      <c r="K435" s="286" t="s">
        <v>53</v>
      </c>
      <c r="L435" s="286" t="s">
        <v>53</v>
      </c>
      <c r="M435" s="286" t="s">
        <v>53</v>
      </c>
      <c r="N435" s="287">
        <v>4762.92</v>
      </c>
      <c r="O435" s="287"/>
      <c r="P435" s="286" t="s">
        <v>58</v>
      </c>
    </row>
    <row r="436" spans="1:16" hidden="1" x14ac:dyDescent="0.15">
      <c r="A436" s="286">
        <v>402221</v>
      </c>
      <c r="B436" s="288">
        <v>45243.579861111109</v>
      </c>
      <c r="C436" s="286" t="s">
        <v>1654</v>
      </c>
      <c r="D436" s="286" t="s">
        <v>1105</v>
      </c>
      <c r="E436" s="286" t="s">
        <v>1106</v>
      </c>
      <c r="F436" s="286" t="s">
        <v>1724</v>
      </c>
      <c r="G436" s="286" t="s">
        <v>1008</v>
      </c>
      <c r="H436" s="286" t="s">
        <v>1008</v>
      </c>
      <c r="I436" s="286" t="s">
        <v>1199</v>
      </c>
      <c r="J436" s="286" t="s">
        <v>1312</v>
      </c>
      <c r="K436" s="286" t="s">
        <v>53</v>
      </c>
      <c r="L436" s="286" t="s">
        <v>53</v>
      </c>
      <c r="M436" s="286" t="s">
        <v>53</v>
      </c>
      <c r="N436" s="287">
        <v>4762.92</v>
      </c>
      <c r="O436" s="287"/>
      <c r="P436" s="286" t="s">
        <v>58</v>
      </c>
    </row>
    <row r="437" spans="1:16" hidden="1" x14ac:dyDescent="0.15">
      <c r="A437" s="286">
        <v>402221</v>
      </c>
      <c r="B437" s="288">
        <v>45243.579861111109</v>
      </c>
      <c r="C437" s="286" t="s">
        <v>1654</v>
      </c>
      <c r="D437" s="286" t="s">
        <v>1105</v>
      </c>
      <c r="E437" s="286" t="s">
        <v>1106</v>
      </c>
      <c r="F437" s="286" t="s">
        <v>1724</v>
      </c>
      <c r="G437" s="286" t="s">
        <v>1008</v>
      </c>
      <c r="H437" s="286" t="s">
        <v>1008</v>
      </c>
      <c r="I437" s="286" t="s">
        <v>1228</v>
      </c>
      <c r="J437" s="286" t="s">
        <v>53</v>
      </c>
      <c r="K437" s="286" t="s">
        <v>53</v>
      </c>
      <c r="L437" s="286" t="s">
        <v>53</v>
      </c>
      <c r="M437" s="286" t="s">
        <v>53</v>
      </c>
      <c r="N437" s="287">
        <v>4762.92</v>
      </c>
      <c r="O437" s="287"/>
      <c r="P437" s="286" t="s">
        <v>58</v>
      </c>
    </row>
    <row r="438" spans="1:16" hidden="1" x14ac:dyDescent="0.15">
      <c r="A438" s="286">
        <v>455146</v>
      </c>
      <c r="B438" s="288">
        <v>45310.510416666664</v>
      </c>
      <c r="C438" s="286" t="s">
        <v>1632</v>
      </c>
      <c r="D438" s="286" t="s">
        <v>1105</v>
      </c>
      <c r="E438" s="286" t="s">
        <v>1106</v>
      </c>
      <c r="F438" s="286" t="s">
        <v>1725</v>
      </c>
      <c r="G438" s="286" t="s">
        <v>1008</v>
      </c>
      <c r="H438" s="286" t="s">
        <v>1008</v>
      </c>
      <c r="I438" s="286" t="s">
        <v>1199</v>
      </c>
      <c r="J438" s="286" t="s">
        <v>1312</v>
      </c>
      <c r="K438" s="286" t="s">
        <v>53</v>
      </c>
      <c r="L438" s="286" t="s">
        <v>53</v>
      </c>
      <c r="M438" s="286" t="s">
        <v>53</v>
      </c>
      <c r="N438" s="287">
        <v>4762.92</v>
      </c>
      <c r="O438" s="287"/>
      <c r="P438" s="286" t="s">
        <v>58</v>
      </c>
    </row>
    <row r="439" spans="1:16" hidden="1" x14ac:dyDescent="0.15">
      <c r="A439" s="286">
        <v>455146</v>
      </c>
      <c r="B439" s="288">
        <v>45310.510416666664</v>
      </c>
      <c r="C439" s="286" t="s">
        <v>1632</v>
      </c>
      <c r="D439" s="286" t="s">
        <v>1105</v>
      </c>
      <c r="E439" s="286" t="s">
        <v>1106</v>
      </c>
      <c r="F439" s="286" t="s">
        <v>1725</v>
      </c>
      <c r="G439" s="286" t="s">
        <v>1008</v>
      </c>
      <c r="H439" s="286" t="s">
        <v>1008</v>
      </c>
      <c r="I439" s="286" t="s">
        <v>1228</v>
      </c>
      <c r="J439" s="286" t="s">
        <v>53</v>
      </c>
      <c r="K439" s="286" t="s">
        <v>53</v>
      </c>
      <c r="L439" s="286" t="s">
        <v>53</v>
      </c>
      <c r="M439" s="286" t="s">
        <v>53</v>
      </c>
      <c r="N439" s="287">
        <v>4762.92</v>
      </c>
      <c r="O439" s="287"/>
      <c r="P439" s="286" t="s">
        <v>58</v>
      </c>
    </row>
    <row r="440" spans="1:16" hidden="1" x14ac:dyDescent="0.15">
      <c r="A440" s="286">
        <v>328287</v>
      </c>
      <c r="B440" s="288">
        <v>45161.62777777778</v>
      </c>
      <c r="C440" s="286" t="s">
        <v>1691</v>
      </c>
      <c r="D440" s="286" t="s">
        <v>1105</v>
      </c>
      <c r="E440" s="286" t="s">
        <v>1106</v>
      </c>
      <c r="F440" s="286" t="s">
        <v>1714</v>
      </c>
      <c r="G440" s="286" t="s">
        <v>1078</v>
      </c>
      <c r="H440" s="286" t="s">
        <v>1078</v>
      </c>
      <c r="I440" s="286" t="s">
        <v>1199</v>
      </c>
      <c r="J440" s="286" t="s">
        <v>1312</v>
      </c>
      <c r="K440" s="286" t="s">
        <v>1797</v>
      </c>
      <c r="L440" s="286" t="s">
        <v>672</v>
      </c>
      <c r="M440" s="286">
        <v>1</v>
      </c>
      <c r="N440" s="287">
        <v>4762.5600000000004</v>
      </c>
      <c r="O440" s="287"/>
      <c r="P440" s="286" t="s">
        <v>58</v>
      </c>
    </row>
    <row r="441" spans="1:16" hidden="1" x14ac:dyDescent="0.15">
      <c r="A441" s="286">
        <v>339870</v>
      </c>
      <c r="B441" s="288">
        <v>45177.481944444444</v>
      </c>
      <c r="C441" s="286" t="s">
        <v>1676</v>
      </c>
      <c r="D441" s="286" t="s">
        <v>1105</v>
      </c>
      <c r="E441" s="286" t="s">
        <v>1106</v>
      </c>
      <c r="F441" s="286" t="s">
        <v>1715</v>
      </c>
      <c r="G441" s="286" t="s">
        <v>1078</v>
      </c>
      <c r="H441" s="286" t="s">
        <v>1078</v>
      </c>
      <c r="I441" s="286" t="s">
        <v>1199</v>
      </c>
      <c r="J441" s="286" t="s">
        <v>1312</v>
      </c>
      <c r="K441" s="286" t="s">
        <v>1797</v>
      </c>
      <c r="L441" s="286" t="s">
        <v>672</v>
      </c>
      <c r="M441" s="286">
        <v>1</v>
      </c>
      <c r="N441" s="287">
        <v>4762.5600000000004</v>
      </c>
      <c r="O441" s="287"/>
      <c r="P441" s="286" t="s">
        <v>58</v>
      </c>
    </row>
    <row r="442" spans="1:16" hidden="1" x14ac:dyDescent="0.15">
      <c r="A442" s="286">
        <v>370270</v>
      </c>
      <c r="B442" s="288">
        <v>45208.668055555558</v>
      </c>
      <c r="C442" s="286" t="s">
        <v>1642</v>
      </c>
      <c r="D442" s="286" t="s">
        <v>1105</v>
      </c>
      <c r="E442" s="286" t="s">
        <v>1106</v>
      </c>
      <c r="F442" s="286" t="s">
        <v>1716</v>
      </c>
      <c r="G442" s="286" t="s">
        <v>1078</v>
      </c>
      <c r="H442" s="286" t="s">
        <v>1078</v>
      </c>
      <c r="I442" s="286" t="s">
        <v>1199</v>
      </c>
      <c r="J442" s="286" t="s">
        <v>1312</v>
      </c>
      <c r="K442" s="286" t="s">
        <v>1797</v>
      </c>
      <c r="L442" s="286" t="s">
        <v>672</v>
      </c>
      <c r="M442" s="286">
        <v>1</v>
      </c>
      <c r="N442" s="287">
        <v>4762.5600000000004</v>
      </c>
      <c r="O442" s="287"/>
      <c r="P442" s="286" t="s">
        <v>58</v>
      </c>
    </row>
    <row r="443" spans="1:16" hidden="1" x14ac:dyDescent="0.15">
      <c r="A443" s="286">
        <v>402221</v>
      </c>
      <c r="B443" s="288">
        <v>45243.579861111109</v>
      </c>
      <c r="C443" s="286" t="s">
        <v>1654</v>
      </c>
      <c r="D443" s="286" t="s">
        <v>1105</v>
      </c>
      <c r="E443" s="286" t="s">
        <v>1106</v>
      </c>
      <c r="F443" s="286" t="s">
        <v>1724</v>
      </c>
      <c r="G443" s="286" t="s">
        <v>1078</v>
      </c>
      <c r="H443" s="286" t="s">
        <v>1078</v>
      </c>
      <c r="I443" s="286" t="s">
        <v>1199</v>
      </c>
      <c r="J443" s="286" t="s">
        <v>1312</v>
      </c>
      <c r="K443" s="286" t="s">
        <v>1797</v>
      </c>
      <c r="L443" s="286" t="s">
        <v>672</v>
      </c>
      <c r="M443" s="286">
        <v>1</v>
      </c>
      <c r="N443" s="287">
        <v>4762.5600000000004</v>
      </c>
      <c r="O443" s="287"/>
      <c r="P443" s="286" t="s">
        <v>58</v>
      </c>
    </row>
    <row r="444" spans="1:16" hidden="1" x14ac:dyDescent="0.15">
      <c r="A444" s="286">
        <v>455146</v>
      </c>
      <c r="B444" s="288">
        <v>45310.510416666664</v>
      </c>
      <c r="C444" s="286" t="s">
        <v>1632</v>
      </c>
      <c r="D444" s="286" t="s">
        <v>1105</v>
      </c>
      <c r="E444" s="286" t="s">
        <v>1106</v>
      </c>
      <c r="F444" s="286" t="s">
        <v>1725</v>
      </c>
      <c r="G444" s="286" t="s">
        <v>1078</v>
      </c>
      <c r="H444" s="286" t="s">
        <v>1078</v>
      </c>
      <c r="I444" s="286" t="s">
        <v>1199</v>
      </c>
      <c r="J444" s="286" t="s">
        <v>1312</v>
      </c>
      <c r="K444" s="286" t="s">
        <v>1797</v>
      </c>
      <c r="L444" s="286" t="s">
        <v>672</v>
      </c>
      <c r="M444" s="286">
        <v>1</v>
      </c>
      <c r="N444" s="287">
        <v>4762.5600000000004</v>
      </c>
      <c r="O444" s="287"/>
      <c r="P444" s="286" t="s">
        <v>58</v>
      </c>
    </row>
    <row r="445" spans="1:16" hidden="1" x14ac:dyDescent="0.15">
      <c r="A445" s="286">
        <v>185846</v>
      </c>
      <c r="B445" s="288">
        <v>45005.724305555559</v>
      </c>
      <c r="C445" s="286" t="s">
        <v>1667</v>
      </c>
      <c r="D445" s="286" t="s">
        <v>1105</v>
      </c>
      <c r="E445" s="286" t="s">
        <v>1106</v>
      </c>
      <c r="F445" s="286" t="s">
        <v>1702</v>
      </c>
      <c r="G445" s="286" t="s">
        <v>1067</v>
      </c>
      <c r="H445" s="286" t="s">
        <v>1067</v>
      </c>
      <c r="I445" s="286" t="s">
        <v>1199</v>
      </c>
      <c r="J445" s="286" t="s">
        <v>1312</v>
      </c>
      <c r="K445" s="286" t="s">
        <v>53</v>
      </c>
      <c r="L445" s="286" t="s">
        <v>53</v>
      </c>
      <c r="M445" s="286" t="s">
        <v>53</v>
      </c>
      <c r="N445" s="287">
        <v>4747.83</v>
      </c>
      <c r="O445" s="287"/>
      <c r="P445" s="286" t="s">
        <v>58</v>
      </c>
    </row>
    <row r="446" spans="1:16" hidden="1" x14ac:dyDescent="0.15">
      <c r="A446" s="286">
        <v>201556</v>
      </c>
      <c r="B446" s="288">
        <v>45029.540972222225</v>
      </c>
      <c r="C446" s="286" t="s">
        <v>1657</v>
      </c>
      <c r="D446" s="286" t="s">
        <v>1105</v>
      </c>
      <c r="E446" s="286" t="s">
        <v>1106</v>
      </c>
      <c r="F446" s="286" t="s">
        <v>1722</v>
      </c>
      <c r="G446" s="286" t="s">
        <v>1067</v>
      </c>
      <c r="H446" s="286" t="s">
        <v>1067</v>
      </c>
      <c r="I446" s="286" t="s">
        <v>1199</v>
      </c>
      <c r="J446" s="286" t="s">
        <v>1312</v>
      </c>
      <c r="K446" s="286" t="s">
        <v>53</v>
      </c>
      <c r="L446" s="286" t="s">
        <v>53</v>
      </c>
      <c r="M446" s="286" t="s">
        <v>53</v>
      </c>
      <c r="N446" s="287">
        <v>4747.83</v>
      </c>
      <c r="O446" s="287"/>
      <c r="P446" s="286" t="s">
        <v>58</v>
      </c>
    </row>
    <row r="447" spans="1:16" hidden="1" x14ac:dyDescent="0.15">
      <c r="A447" s="286">
        <v>225409</v>
      </c>
      <c r="B447" s="288">
        <v>45058.522222222222</v>
      </c>
      <c r="C447" s="286" t="s">
        <v>1665</v>
      </c>
      <c r="D447" s="286" t="s">
        <v>1105</v>
      </c>
      <c r="E447" s="286" t="s">
        <v>1106</v>
      </c>
      <c r="F447" s="286" t="s">
        <v>1723</v>
      </c>
      <c r="G447" s="286" t="s">
        <v>1067</v>
      </c>
      <c r="H447" s="286" t="s">
        <v>1067</v>
      </c>
      <c r="I447" s="286" t="s">
        <v>1199</v>
      </c>
      <c r="J447" s="286" t="s">
        <v>1312</v>
      </c>
      <c r="K447" s="286" t="s">
        <v>53</v>
      </c>
      <c r="L447" s="286" t="s">
        <v>53</v>
      </c>
      <c r="M447" s="286" t="s">
        <v>53</v>
      </c>
      <c r="N447" s="287">
        <v>4747.83</v>
      </c>
      <c r="O447" s="287"/>
      <c r="P447" s="286" t="s">
        <v>58</v>
      </c>
    </row>
    <row r="448" spans="1:16" hidden="1" x14ac:dyDescent="0.15">
      <c r="A448" s="286">
        <v>433764</v>
      </c>
      <c r="B448" s="288">
        <v>45278.734722222223</v>
      </c>
      <c r="C448" s="286" t="s">
        <v>1632</v>
      </c>
      <c r="D448" s="286" t="s">
        <v>1105</v>
      </c>
      <c r="E448" s="286" t="s">
        <v>1106</v>
      </c>
      <c r="F448" s="286" t="s">
        <v>1801</v>
      </c>
      <c r="G448" s="286" t="s">
        <v>1047</v>
      </c>
      <c r="H448" s="286" t="s">
        <v>1047</v>
      </c>
      <c r="I448" s="286" t="s">
        <v>1129</v>
      </c>
      <c r="J448" s="286" t="s">
        <v>1312</v>
      </c>
      <c r="K448" s="286" t="s">
        <v>720</v>
      </c>
      <c r="L448" s="286" t="s">
        <v>857</v>
      </c>
      <c r="M448" s="286">
        <v>1</v>
      </c>
      <c r="N448" s="287">
        <v>4709</v>
      </c>
      <c r="O448" s="287"/>
      <c r="P448" s="286" t="s">
        <v>164</v>
      </c>
    </row>
    <row r="449" spans="1:16" hidden="1" x14ac:dyDescent="0.15">
      <c r="A449" s="286">
        <v>379034</v>
      </c>
      <c r="B449" s="288">
        <v>45218.477083333331</v>
      </c>
      <c r="C449" s="286" t="s">
        <v>1676</v>
      </c>
      <c r="D449" s="286" t="s">
        <v>1105</v>
      </c>
      <c r="E449" s="286" t="s">
        <v>1106</v>
      </c>
      <c r="F449" s="286" t="s">
        <v>1802</v>
      </c>
      <c r="G449" s="286" t="s">
        <v>1014</v>
      </c>
      <c r="H449" s="286" t="s">
        <v>1014</v>
      </c>
      <c r="I449" s="286" t="s">
        <v>1229</v>
      </c>
      <c r="J449" s="286" t="s">
        <v>1312</v>
      </c>
      <c r="K449" s="286" t="s">
        <v>1803</v>
      </c>
      <c r="L449" s="286" t="s">
        <v>628</v>
      </c>
      <c r="M449" s="286">
        <v>1</v>
      </c>
      <c r="N449" s="287">
        <v>4693</v>
      </c>
      <c r="O449" s="287"/>
      <c r="P449" s="286" t="s">
        <v>47</v>
      </c>
    </row>
    <row r="450" spans="1:16" hidden="1" x14ac:dyDescent="0.15">
      <c r="A450" s="286">
        <v>339870</v>
      </c>
      <c r="B450" s="288">
        <v>45177.481944444444</v>
      </c>
      <c r="C450" s="286" t="s">
        <v>1676</v>
      </c>
      <c r="D450" s="286" t="s">
        <v>1105</v>
      </c>
      <c r="E450" s="286" t="s">
        <v>1106</v>
      </c>
      <c r="F450" s="286" t="s">
        <v>1715</v>
      </c>
      <c r="G450" s="286" t="s">
        <v>1002</v>
      </c>
      <c r="H450" s="286" t="s">
        <v>1002</v>
      </c>
      <c r="I450" s="286" t="s">
        <v>1199</v>
      </c>
      <c r="J450" s="286" t="s">
        <v>53</v>
      </c>
      <c r="K450" s="286" t="s">
        <v>53</v>
      </c>
      <c r="L450" s="286" t="s">
        <v>53</v>
      </c>
      <c r="M450" s="286" t="s">
        <v>53</v>
      </c>
      <c r="N450" s="287">
        <v>4647.34</v>
      </c>
      <c r="O450" s="287"/>
      <c r="P450" s="286" t="s">
        <v>58</v>
      </c>
    </row>
    <row r="451" spans="1:16" hidden="1" x14ac:dyDescent="0.15">
      <c r="A451" s="286">
        <v>170399</v>
      </c>
      <c r="B451" s="288">
        <v>44986.614583333336</v>
      </c>
      <c r="C451" s="286" t="s">
        <v>1640</v>
      </c>
      <c r="D451" s="286" t="s">
        <v>1105</v>
      </c>
      <c r="E451" s="286" t="s">
        <v>1106</v>
      </c>
      <c r="F451" s="286" t="s">
        <v>1720</v>
      </c>
      <c r="G451" s="286" t="s">
        <v>1010</v>
      </c>
      <c r="H451" s="286" t="s">
        <v>1010</v>
      </c>
      <c r="I451" s="286" t="s">
        <v>1199</v>
      </c>
      <c r="J451" s="286" t="s">
        <v>1312</v>
      </c>
      <c r="K451" s="286" t="s">
        <v>53</v>
      </c>
      <c r="L451" s="286" t="s">
        <v>53</v>
      </c>
      <c r="M451" s="286" t="s">
        <v>53</v>
      </c>
      <c r="N451" s="287">
        <v>4615.92</v>
      </c>
      <c r="O451" s="287"/>
      <c r="P451" s="286" t="s">
        <v>58</v>
      </c>
    </row>
    <row r="452" spans="1:16" hidden="1" x14ac:dyDescent="0.15">
      <c r="A452" s="286">
        <v>170298</v>
      </c>
      <c r="B452" s="288">
        <v>44986.623611111114</v>
      </c>
      <c r="C452" s="286" t="s">
        <v>1638</v>
      </c>
      <c r="D452" s="286" t="s">
        <v>1105</v>
      </c>
      <c r="E452" s="286" t="s">
        <v>1106</v>
      </c>
      <c r="F452" s="286" t="s">
        <v>1721</v>
      </c>
      <c r="G452" s="286" t="s">
        <v>1010</v>
      </c>
      <c r="H452" s="286" t="s">
        <v>1010</v>
      </c>
      <c r="I452" s="286" t="s">
        <v>1199</v>
      </c>
      <c r="J452" s="286" t="s">
        <v>1312</v>
      </c>
      <c r="K452" s="286" t="s">
        <v>53</v>
      </c>
      <c r="L452" s="286" t="s">
        <v>53</v>
      </c>
      <c r="M452" s="286" t="s">
        <v>53</v>
      </c>
      <c r="N452" s="287">
        <v>4615.92</v>
      </c>
      <c r="O452" s="287"/>
      <c r="P452" s="286" t="s">
        <v>58</v>
      </c>
    </row>
    <row r="453" spans="1:16" hidden="1" x14ac:dyDescent="0.15">
      <c r="A453" s="286">
        <v>185846</v>
      </c>
      <c r="B453" s="288">
        <v>45005.724305555559</v>
      </c>
      <c r="C453" s="286" t="s">
        <v>1667</v>
      </c>
      <c r="D453" s="286" t="s">
        <v>1105</v>
      </c>
      <c r="E453" s="286" t="s">
        <v>1106</v>
      </c>
      <c r="F453" s="286" t="s">
        <v>1702</v>
      </c>
      <c r="G453" s="286" t="s">
        <v>1010</v>
      </c>
      <c r="H453" s="286" t="s">
        <v>1010</v>
      </c>
      <c r="I453" s="286" t="s">
        <v>1199</v>
      </c>
      <c r="J453" s="286" t="s">
        <v>1312</v>
      </c>
      <c r="K453" s="286" t="s">
        <v>53</v>
      </c>
      <c r="L453" s="286" t="s">
        <v>53</v>
      </c>
      <c r="M453" s="286" t="s">
        <v>53</v>
      </c>
      <c r="N453" s="287">
        <v>4615.92</v>
      </c>
      <c r="O453" s="287"/>
      <c r="P453" s="286" t="s">
        <v>58</v>
      </c>
    </row>
    <row r="454" spans="1:16" hidden="1" x14ac:dyDescent="0.15">
      <c r="A454" s="286">
        <v>201556</v>
      </c>
      <c r="B454" s="288">
        <v>45029.540972222225</v>
      </c>
      <c r="C454" s="286" t="s">
        <v>1657</v>
      </c>
      <c r="D454" s="286" t="s">
        <v>1105</v>
      </c>
      <c r="E454" s="286" t="s">
        <v>1106</v>
      </c>
      <c r="F454" s="286" t="s">
        <v>1722</v>
      </c>
      <c r="G454" s="286" t="s">
        <v>1010</v>
      </c>
      <c r="H454" s="286" t="s">
        <v>1010</v>
      </c>
      <c r="I454" s="286" t="s">
        <v>1199</v>
      </c>
      <c r="J454" s="286" t="s">
        <v>1312</v>
      </c>
      <c r="K454" s="286" t="s">
        <v>53</v>
      </c>
      <c r="L454" s="286" t="s">
        <v>53</v>
      </c>
      <c r="M454" s="286" t="s">
        <v>53</v>
      </c>
      <c r="N454" s="287">
        <v>4615.92</v>
      </c>
      <c r="O454" s="287"/>
      <c r="P454" s="286" t="s">
        <v>58</v>
      </c>
    </row>
    <row r="455" spans="1:16" hidden="1" x14ac:dyDescent="0.15">
      <c r="A455" s="286">
        <v>225409</v>
      </c>
      <c r="B455" s="288">
        <v>45058.522222222222</v>
      </c>
      <c r="C455" s="286" t="s">
        <v>1665</v>
      </c>
      <c r="D455" s="286" t="s">
        <v>1105</v>
      </c>
      <c r="E455" s="286" t="s">
        <v>1106</v>
      </c>
      <c r="F455" s="286" t="s">
        <v>1723</v>
      </c>
      <c r="G455" s="286" t="s">
        <v>1010</v>
      </c>
      <c r="H455" s="286" t="s">
        <v>1010</v>
      </c>
      <c r="I455" s="286" t="s">
        <v>1199</v>
      </c>
      <c r="J455" s="286" t="s">
        <v>1312</v>
      </c>
      <c r="K455" s="286" t="s">
        <v>53</v>
      </c>
      <c r="L455" s="286" t="s">
        <v>53</v>
      </c>
      <c r="M455" s="286" t="s">
        <v>53</v>
      </c>
      <c r="N455" s="287">
        <v>4615.92</v>
      </c>
      <c r="O455" s="287"/>
      <c r="P455" s="286" t="s">
        <v>58</v>
      </c>
    </row>
    <row r="456" spans="1:16" hidden="1" x14ac:dyDescent="0.15">
      <c r="A456" s="286">
        <v>284271</v>
      </c>
      <c r="B456" s="288">
        <v>45121.682638888888</v>
      </c>
      <c r="C456" s="286" t="s">
        <v>1636</v>
      </c>
      <c r="D456" s="286" t="s">
        <v>1105</v>
      </c>
      <c r="E456" s="286" t="s">
        <v>1106</v>
      </c>
      <c r="F456" s="286" t="s">
        <v>1713</v>
      </c>
      <c r="G456" s="286" t="s">
        <v>1082</v>
      </c>
      <c r="H456" s="286" t="s">
        <v>1082</v>
      </c>
      <c r="I456" s="286" t="s">
        <v>1199</v>
      </c>
      <c r="J456" s="286" t="s">
        <v>53</v>
      </c>
      <c r="K456" s="286" t="s">
        <v>53</v>
      </c>
      <c r="L456" s="286" t="s">
        <v>53</v>
      </c>
      <c r="M456" s="286" t="s">
        <v>53</v>
      </c>
      <c r="N456" s="287">
        <v>4605.1899999999996</v>
      </c>
      <c r="O456" s="287"/>
      <c r="P456" s="286" t="s">
        <v>58</v>
      </c>
    </row>
    <row r="457" spans="1:16" hidden="1" x14ac:dyDescent="0.15">
      <c r="A457" s="286">
        <v>328287</v>
      </c>
      <c r="B457" s="288">
        <v>45161.62777777778</v>
      </c>
      <c r="C457" s="286" t="s">
        <v>1691</v>
      </c>
      <c r="D457" s="286" t="s">
        <v>1105</v>
      </c>
      <c r="E457" s="286" t="s">
        <v>1106</v>
      </c>
      <c r="F457" s="286" t="s">
        <v>1714</v>
      </c>
      <c r="G457" s="286" t="s">
        <v>1082</v>
      </c>
      <c r="H457" s="286" t="s">
        <v>1082</v>
      </c>
      <c r="I457" s="286" t="s">
        <v>1199</v>
      </c>
      <c r="J457" s="286" t="s">
        <v>53</v>
      </c>
      <c r="K457" s="286" t="s">
        <v>53</v>
      </c>
      <c r="L457" s="286" t="s">
        <v>53</v>
      </c>
      <c r="M457" s="286" t="s">
        <v>53</v>
      </c>
      <c r="N457" s="287">
        <v>4605.1899999999996</v>
      </c>
      <c r="O457" s="287"/>
      <c r="P457" s="286" t="s">
        <v>58</v>
      </c>
    </row>
    <row r="458" spans="1:16" hidden="1" x14ac:dyDescent="0.15">
      <c r="A458" s="286">
        <v>339870</v>
      </c>
      <c r="B458" s="288">
        <v>45177.481944444444</v>
      </c>
      <c r="C458" s="286" t="s">
        <v>1676</v>
      </c>
      <c r="D458" s="286" t="s">
        <v>1105</v>
      </c>
      <c r="E458" s="286" t="s">
        <v>1106</v>
      </c>
      <c r="F458" s="286" t="s">
        <v>1715</v>
      </c>
      <c r="G458" s="286" t="s">
        <v>1082</v>
      </c>
      <c r="H458" s="286" t="s">
        <v>1082</v>
      </c>
      <c r="I458" s="286" t="s">
        <v>1199</v>
      </c>
      <c r="J458" s="286" t="s">
        <v>53</v>
      </c>
      <c r="K458" s="286" t="s">
        <v>53</v>
      </c>
      <c r="L458" s="286" t="s">
        <v>53</v>
      </c>
      <c r="M458" s="286" t="s">
        <v>53</v>
      </c>
      <c r="N458" s="287">
        <v>4605.1899999999996</v>
      </c>
      <c r="O458" s="287"/>
      <c r="P458" s="286" t="s">
        <v>58</v>
      </c>
    </row>
    <row r="459" spans="1:16" hidden="1" x14ac:dyDescent="0.15">
      <c r="A459" s="286">
        <v>370270</v>
      </c>
      <c r="B459" s="288">
        <v>45208.668055555558</v>
      </c>
      <c r="C459" s="286" t="s">
        <v>1642</v>
      </c>
      <c r="D459" s="286" t="s">
        <v>1105</v>
      </c>
      <c r="E459" s="286" t="s">
        <v>1106</v>
      </c>
      <c r="F459" s="286" t="s">
        <v>1716</v>
      </c>
      <c r="G459" s="286" t="s">
        <v>1082</v>
      </c>
      <c r="H459" s="286" t="s">
        <v>1082</v>
      </c>
      <c r="I459" s="286" t="s">
        <v>1199</v>
      </c>
      <c r="J459" s="286" t="s">
        <v>53</v>
      </c>
      <c r="K459" s="286" t="s">
        <v>53</v>
      </c>
      <c r="L459" s="286" t="s">
        <v>53</v>
      </c>
      <c r="M459" s="286" t="s">
        <v>53</v>
      </c>
      <c r="N459" s="287">
        <v>4605.1899999999996</v>
      </c>
      <c r="O459" s="287"/>
      <c r="P459" s="286" t="s">
        <v>58</v>
      </c>
    </row>
    <row r="460" spans="1:16" hidden="1" x14ac:dyDescent="0.15">
      <c r="A460" s="286">
        <v>402221</v>
      </c>
      <c r="B460" s="288">
        <v>45243.579861111109</v>
      </c>
      <c r="C460" s="286" t="s">
        <v>1654</v>
      </c>
      <c r="D460" s="286" t="s">
        <v>1105</v>
      </c>
      <c r="E460" s="286" t="s">
        <v>1106</v>
      </c>
      <c r="F460" s="286" t="s">
        <v>1724</v>
      </c>
      <c r="G460" s="286" t="s">
        <v>1082</v>
      </c>
      <c r="H460" s="286" t="s">
        <v>1082</v>
      </c>
      <c r="I460" s="286" t="s">
        <v>1199</v>
      </c>
      <c r="J460" s="286" t="s">
        <v>53</v>
      </c>
      <c r="K460" s="286" t="s">
        <v>53</v>
      </c>
      <c r="L460" s="286" t="s">
        <v>53</v>
      </c>
      <c r="M460" s="286" t="s">
        <v>53</v>
      </c>
      <c r="N460" s="287">
        <v>4605.1899999999996</v>
      </c>
      <c r="O460" s="287"/>
      <c r="P460" s="286" t="s">
        <v>58</v>
      </c>
    </row>
    <row r="461" spans="1:16" hidden="1" x14ac:dyDescent="0.15">
      <c r="A461" s="286">
        <v>455146</v>
      </c>
      <c r="B461" s="288">
        <v>45310.510416666664</v>
      </c>
      <c r="C461" s="286" t="s">
        <v>1632</v>
      </c>
      <c r="D461" s="286" t="s">
        <v>1105</v>
      </c>
      <c r="E461" s="286" t="s">
        <v>1106</v>
      </c>
      <c r="F461" s="286" t="s">
        <v>1725</v>
      </c>
      <c r="G461" s="286" t="s">
        <v>1082</v>
      </c>
      <c r="H461" s="286" t="s">
        <v>1082</v>
      </c>
      <c r="I461" s="286" t="s">
        <v>1199</v>
      </c>
      <c r="J461" s="286" t="s">
        <v>53</v>
      </c>
      <c r="K461" s="286" t="s">
        <v>53</v>
      </c>
      <c r="L461" s="286" t="s">
        <v>53</v>
      </c>
      <c r="M461" s="286" t="s">
        <v>53</v>
      </c>
      <c r="N461" s="287">
        <v>4605.1899999999996</v>
      </c>
      <c r="O461" s="287"/>
      <c r="P461" s="286" t="s">
        <v>58</v>
      </c>
    </row>
    <row r="462" spans="1:16" hidden="1" x14ac:dyDescent="0.15">
      <c r="A462" s="286">
        <v>278788</v>
      </c>
      <c r="B462" s="288">
        <v>45118.57708333333</v>
      </c>
      <c r="C462" s="286" t="s">
        <v>1649</v>
      </c>
      <c r="D462" s="286" t="s">
        <v>1105</v>
      </c>
      <c r="E462" s="286" t="s">
        <v>1106</v>
      </c>
      <c r="F462" s="286" t="s">
        <v>1712</v>
      </c>
      <c r="G462" s="286" t="s">
        <v>1082</v>
      </c>
      <c r="H462" s="286" t="s">
        <v>1082</v>
      </c>
      <c r="I462" s="286" t="s">
        <v>1199</v>
      </c>
      <c r="J462" s="286" t="s">
        <v>53</v>
      </c>
      <c r="K462" s="286" t="s">
        <v>53</v>
      </c>
      <c r="L462" s="286" t="s">
        <v>53</v>
      </c>
      <c r="M462" s="286" t="s">
        <v>53</v>
      </c>
      <c r="N462" s="287">
        <v>4598.34</v>
      </c>
      <c r="O462" s="287"/>
      <c r="P462" s="286" t="s">
        <v>58</v>
      </c>
    </row>
    <row r="463" spans="1:16" hidden="1" x14ac:dyDescent="0.15">
      <c r="A463" s="286">
        <v>170399</v>
      </c>
      <c r="B463" s="288">
        <v>44986.614583333336</v>
      </c>
      <c r="C463" s="286" t="s">
        <v>1640</v>
      </c>
      <c r="D463" s="286" t="s">
        <v>1105</v>
      </c>
      <c r="E463" s="286" t="s">
        <v>1106</v>
      </c>
      <c r="F463" s="286" t="s">
        <v>1720</v>
      </c>
      <c r="G463" s="286" t="s">
        <v>1082</v>
      </c>
      <c r="H463" s="286" t="s">
        <v>1082</v>
      </c>
      <c r="I463" s="286" t="s">
        <v>1199</v>
      </c>
      <c r="J463" s="286" t="s">
        <v>1312</v>
      </c>
      <c r="K463" s="286" t="s">
        <v>53</v>
      </c>
      <c r="L463" s="286" t="s">
        <v>53</v>
      </c>
      <c r="M463" s="286" t="s">
        <v>53</v>
      </c>
      <c r="N463" s="287">
        <v>4598.33</v>
      </c>
      <c r="O463" s="287"/>
      <c r="P463" s="286" t="s">
        <v>58</v>
      </c>
    </row>
    <row r="464" spans="1:16" hidden="1" x14ac:dyDescent="0.15">
      <c r="A464" s="286">
        <v>170298</v>
      </c>
      <c r="B464" s="288">
        <v>44986.623611111114</v>
      </c>
      <c r="C464" s="286" t="s">
        <v>1638</v>
      </c>
      <c r="D464" s="286" t="s">
        <v>1105</v>
      </c>
      <c r="E464" s="286" t="s">
        <v>1106</v>
      </c>
      <c r="F464" s="286" t="s">
        <v>1721</v>
      </c>
      <c r="G464" s="286" t="s">
        <v>1082</v>
      </c>
      <c r="H464" s="286" t="s">
        <v>1082</v>
      </c>
      <c r="I464" s="286" t="s">
        <v>1199</v>
      </c>
      <c r="J464" s="286" t="s">
        <v>1312</v>
      </c>
      <c r="K464" s="286" t="s">
        <v>53</v>
      </c>
      <c r="L464" s="286" t="s">
        <v>53</v>
      </c>
      <c r="M464" s="286" t="s">
        <v>53</v>
      </c>
      <c r="N464" s="287">
        <v>4598.33</v>
      </c>
      <c r="O464" s="287"/>
      <c r="P464" s="286" t="s">
        <v>58</v>
      </c>
    </row>
    <row r="465" spans="1:16" hidden="1" x14ac:dyDescent="0.15">
      <c r="A465" s="286">
        <v>185846</v>
      </c>
      <c r="B465" s="288">
        <v>45005.724305555559</v>
      </c>
      <c r="C465" s="286" t="s">
        <v>1667</v>
      </c>
      <c r="D465" s="286" t="s">
        <v>1105</v>
      </c>
      <c r="E465" s="286" t="s">
        <v>1106</v>
      </c>
      <c r="F465" s="286" t="s">
        <v>1702</v>
      </c>
      <c r="G465" s="286" t="s">
        <v>1082</v>
      </c>
      <c r="H465" s="286" t="s">
        <v>1082</v>
      </c>
      <c r="I465" s="286" t="s">
        <v>1199</v>
      </c>
      <c r="J465" s="286" t="s">
        <v>1312</v>
      </c>
      <c r="K465" s="286" t="s">
        <v>53</v>
      </c>
      <c r="L465" s="286" t="s">
        <v>53</v>
      </c>
      <c r="M465" s="286" t="s">
        <v>53</v>
      </c>
      <c r="N465" s="287">
        <v>4598.33</v>
      </c>
      <c r="O465" s="287"/>
      <c r="P465" s="286" t="s">
        <v>58</v>
      </c>
    </row>
    <row r="466" spans="1:16" hidden="1" x14ac:dyDescent="0.15">
      <c r="A466" s="286">
        <v>201556</v>
      </c>
      <c r="B466" s="288">
        <v>45029.540972222225</v>
      </c>
      <c r="C466" s="286" t="s">
        <v>1657</v>
      </c>
      <c r="D466" s="286" t="s">
        <v>1105</v>
      </c>
      <c r="E466" s="286" t="s">
        <v>1106</v>
      </c>
      <c r="F466" s="286" t="s">
        <v>1722</v>
      </c>
      <c r="G466" s="286" t="s">
        <v>1082</v>
      </c>
      <c r="H466" s="286" t="s">
        <v>1082</v>
      </c>
      <c r="I466" s="286" t="s">
        <v>1199</v>
      </c>
      <c r="J466" s="286" t="s">
        <v>1312</v>
      </c>
      <c r="K466" s="286" t="s">
        <v>53</v>
      </c>
      <c r="L466" s="286" t="s">
        <v>53</v>
      </c>
      <c r="M466" s="286" t="s">
        <v>53</v>
      </c>
      <c r="N466" s="287">
        <v>4598.33</v>
      </c>
      <c r="O466" s="287"/>
      <c r="P466" s="286" t="s">
        <v>58</v>
      </c>
    </row>
    <row r="467" spans="1:16" hidden="1" x14ac:dyDescent="0.15">
      <c r="A467" s="286">
        <v>225409</v>
      </c>
      <c r="B467" s="288">
        <v>45058.522222222222</v>
      </c>
      <c r="C467" s="286" t="s">
        <v>1665</v>
      </c>
      <c r="D467" s="286" t="s">
        <v>1105</v>
      </c>
      <c r="E467" s="286" t="s">
        <v>1106</v>
      </c>
      <c r="F467" s="286" t="s">
        <v>1723</v>
      </c>
      <c r="G467" s="286" t="s">
        <v>1082</v>
      </c>
      <c r="H467" s="286" t="s">
        <v>1082</v>
      </c>
      <c r="I467" s="286" t="s">
        <v>1199</v>
      </c>
      <c r="J467" s="286" t="s">
        <v>1312</v>
      </c>
      <c r="K467" s="286" t="s">
        <v>53</v>
      </c>
      <c r="L467" s="286" t="s">
        <v>53</v>
      </c>
      <c r="M467" s="286" t="s">
        <v>53</v>
      </c>
      <c r="N467" s="287">
        <v>4598.33</v>
      </c>
      <c r="O467" s="287"/>
      <c r="P467" s="286" t="s">
        <v>58</v>
      </c>
    </row>
    <row r="468" spans="1:16" hidden="1" x14ac:dyDescent="0.15">
      <c r="A468" s="286">
        <v>201556</v>
      </c>
      <c r="B468" s="288">
        <v>45029.540972222225</v>
      </c>
      <c r="C468" s="286" t="s">
        <v>1657</v>
      </c>
      <c r="D468" s="286" t="s">
        <v>1105</v>
      </c>
      <c r="E468" s="286" t="s">
        <v>1106</v>
      </c>
      <c r="F468" s="286" t="s">
        <v>1722</v>
      </c>
      <c r="G468" s="286" t="s">
        <v>1008</v>
      </c>
      <c r="H468" s="286" t="s">
        <v>1008</v>
      </c>
      <c r="I468" s="286" t="s">
        <v>1199</v>
      </c>
      <c r="J468" s="286" t="s">
        <v>1312</v>
      </c>
      <c r="K468" s="286" t="s">
        <v>53</v>
      </c>
      <c r="L468" s="286" t="s">
        <v>53</v>
      </c>
      <c r="M468" s="286" t="s">
        <v>53</v>
      </c>
      <c r="N468" s="287">
        <v>4552.58</v>
      </c>
      <c r="O468" s="287"/>
      <c r="P468" s="286" t="s">
        <v>58</v>
      </c>
    </row>
    <row r="469" spans="1:16" hidden="1" x14ac:dyDescent="0.15">
      <c r="A469" s="286">
        <v>225409</v>
      </c>
      <c r="B469" s="288">
        <v>45058.522222222222</v>
      </c>
      <c r="C469" s="286" t="s">
        <v>1665</v>
      </c>
      <c r="D469" s="286" t="s">
        <v>1105</v>
      </c>
      <c r="E469" s="286" t="s">
        <v>1106</v>
      </c>
      <c r="F469" s="286" t="s">
        <v>1723</v>
      </c>
      <c r="G469" s="286" t="s">
        <v>1008</v>
      </c>
      <c r="H469" s="286" t="s">
        <v>1008</v>
      </c>
      <c r="I469" s="286" t="s">
        <v>1199</v>
      </c>
      <c r="J469" s="286" t="s">
        <v>1312</v>
      </c>
      <c r="K469" s="286" t="s">
        <v>53</v>
      </c>
      <c r="L469" s="286" t="s">
        <v>53</v>
      </c>
      <c r="M469" s="286" t="s">
        <v>53</v>
      </c>
      <c r="N469" s="287">
        <v>4552.58</v>
      </c>
      <c r="O469" s="287"/>
      <c r="P469" s="286" t="s">
        <v>58</v>
      </c>
    </row>
    <row r="470" spans="1:16" hidden="1" x14ac:dyDescent="0.15">
      <c r="A470" s="286">
        <v>278788</v>
      </c>
      <c r="B470" s="288">
        <v>45118.57708333333</v>
      </c>
      <c r="C470" s="286" t="s">
        <v>1649</v>
      </c>
      <c r="D470" s="286" t="s">
        <v>1105</v>
      </c>
      <c r="E470" s="286" t="s">
        <v>1106</v>
      </c>
      <c r="F470" s="286" t="s">
        <v>1712</v>
      </c>
      <c r="G470" s="286" t="s">
        <v>1067</v>
      </c>
      <c r="H470" s="286" t="s">
        <v>1067</v>
      </c>
      <c r="I470" s="286" t="s">
        <v>1199</v>
      </c>
      <c r="J470" s="286" t="s">
        <v>53</v>
      </c>
      <c r="K470" s="286" t="s">
        <v>53</v>
      </c>
      <c r="L470" s="286" t="s">
        <v>53</v>
      </c>
      <c r="M470" s="286" t="s">
        <v>53</v>
      </c>
      <c r="N470" s="287">
        <v>4501.41</v>
      </c>
      <c r="O470" s="287"/>
      <c r="P470" s="286" t="s">
        <v>58</v>
      </c>
    </row>
    <row r="471" spans="1:16" hidden="1" x14ac:dyDescent="0.15">
      <c r="A471" s="286">
        <v>284271</v>
      </c>
      <c r="B471" s="288">
        <v>45121.682638888888</v>
      </c>
      <c r="C471" s="286" t="s">
        <v>1636</v>
      </c>
      <c r="D471" s="286" t="s">
        <v>1105</v>
      </c>
      <c r="E471" s="286" t="s">
        <v>1106</v>
      </c>
      <c r="F471" s="286" t="s">
        <v>1713</v>
      </c>
      <c r="G471" s="286" t="s">
        <v>1067</v>
      </c>
      <c r="H471" s="286" t="s">
        <v>1067</v>
      </c>
      <c r="I471" s="286" t="s">
        <v>1199</v>
      </c>
      <c r="J471" s="286" t="s">
        <v>53</v>
      </c>
      <c r="K471" s="286" t="s">
        <v>53</v>
      </c>
      <c r="L471" s="286" t="s">
        <v>53</v>
      </c>
      <c r="M471" s="286" t="s">
        <v>53</v>
      </c>
      <c r="N471" s="287">
        <v>4501.41</v>
      </c>
      <c r="O471" s="287"/>
      <c r="P471" s="286" t="s">
        <v>58</v>
      </c>
    </row>
    <row r="472" spans="1:16" hidden="1" x14ac:dyDescent="0.15">
      <c r="A472" s="286">
        <v>328287</v>
      </c>
      <c r="B472" s="288">
        <v>45161.62777777778</v>
      </c>
      <c r="C472" s="286" t="s">
        <v>1691</v>
      </c>
      <c r="D472" s="286" t="s">
        <v>1105</v>
      </c>
      <c r="E472" s="286" t="s">
        <v>1106</v>
      </c>
      <c r="F472" s="286" t="s">
        <v>1714</v>
      </c>
      <c r="G472" s="286" t="s">
        <v>1067</v>
      </c>
      <c r="H472" s="286" t="s">
        <v>1067</v>
      </c>
      <c r="I472" s="286" t="s">
        <v>1199</v>
      </c>
      <c r="J472" s="286" t="s">
        <v>53</v>
      </c>
      <c r="K472" s="286" t="s">
        <v>53</v>
      </c>
      <c r="L472" s="286" t="s">
        <v>53</v>
      </c>
      <c r="M472" s="286" t="s">
        <v>53</v>
      </c>
      <c r="N472" s="287">
        <v>4501.41</v>
      </c>
      <c r="O472" s="287"/>
      <c r="P472" s="286" t="s">
        <v>58</v>
      </c>
    </row>
    <row r="473" spans="1:16" hidden="1" x14ac:dyDescent="0.15">
      <c r="A473" s="286">
        <v>339870</v>
      </c>
      <c r="B473" s="288">
        <v>45177.481944444444</v>
      </c>
      <c r="C473" s="286" t="s">
        <v>1676</v>
      </c>
      <c r="D473" s="286" t="s">
        <v>1105</v>
      </c>
      <c r="E473" s="286" t="s">
        <v>1106</v>
      </c>
      <c r="F473" s="286" t="s">
        <v>1715</v>
      </c>
      <c r="G473" s="286" t="s">
        <v>1067</v>
      </c>
      <c r="H473" s="286" t="s">
        <v>1067</v>
      </c>
      <c r="I473" s="286" t="s">
        <v>1199</v>
      </c>
      <c r="J473" s="286" t="s">
        <v>53</v>
      </c>
      <c r="K473" s="286" t="s">
        <v>53</v>
      </c>
      <c r="L473" s="286" t="s">
        <v>53</v>
      </c>
      <c r="M473" s="286" t="s">
        <v>53</v>
      </c>
      <c r="N473" s="287">
        <v>4501.41</v>
      </c>
      <c r="O473" s="287"/>
      <c r="P473" s="286" t="s">
        <v>58</v>
      </c>
    </row>
    <row r="474" spans="1:16" hidden="1" x14ac:dyDescent="0.15">
      <c r="A474" s="286">
        <v>370270</v>
      </c>
      <c r="B474" s="288">
        <v>45208.668055555558</v>
      </c>
      <c r="C474" s="286" t="s">
        <v>1642</v>
      </c>
      <c r="D474" s="286" t="s">
        <v>1105</v>
      </c>
      <c r="E474" s="286" t="s">
        <v>1106</v>
      </c>
      <c r="F474" s="286" t="s">
        <v>1716</v>
      </c>
      <c r="G474" s="286" t="s">
        <v>1067</v>
      </c>
      <c r="H474" s="286" t="s">
        <v>1067</v>
      </c>
      <c r="I474" s="286" t="s">
        <v>1199</v>
      </c>
      <c r="J474" s="286" t="s">
        <v>53</v>
      </c>
      <c r="K474" s="286" t="s">
        <v>53</v>
      </c>
      <c r="L474" s="286" t="s">
        <v>53</v>
      </c>
      <c r="M474" s="286" t="s">
        <v>53</v>
      </c>
      <c r="N474" s="287">
        <v>4501.41</v>
      </c>
      <c r="O474" s="287"/>
      <c r="P474" s="286" t="s">
        <v>58</v>
      </c>
    </row>
    <row r="475" spans="1:16" hidden="1" x14ac:dyDescent="0.15">
      <c r="A475" s="286">
        <v>402221</v>
      </c>
      <c r="B475" s="288">
        <v>45243.579861111109</v>
      </c>
      <c r="C475" s="286" t="s">
        <v>1654</v>
      </c>
      <c r="D475" s="286" t="s">
        <v>1105</v>
      </c>
      <c r="E475" s="286" t="s">
        <v>1106</v>
      </c>
      <c r="F475" s="286" t="s">
        <v>1724</v>
      </c>
      <c r="G475" s="286" t="s">
        <v>1067</v>
      </c>
      <c r="H475" s="286" t="s">
        <v>1067</v>
      </c>
      <c r="I475" s="286" t="s">
        <v>1199</v>
      </c>
      <c r="J475" s="286" t="s">
        <v>53</v>
      </c>
      <c r="K475" s="286" t="s">
        <v>53</v>
      </c>
      <c r="L475" s="286" t="s">
        <v>53</v>
      </c>
      <c r="M475" s="286" t="s">
        <v>53</v>
      </c>
      <c r="N475" s="287">
        <v>4501.41</v>
      </c>
      <c r="O475" s="287"/>
      <c r="P475" s="286" t="s">
        <v>58</v>
      </c>
    </row>
    <row r="476" spans="1:16" hidden="1" x14ac:dyDescent="0.15">
      <c r="A476" s="286">
        <v>455146</v>
      </c>
      <c r="B476" s="288">
        <v>45310.510416666664</v>
      </c>
      <c r="C476" s="286" t="s">
        <v>1632</v>
      </c>
      <c r="D476" s="286" t="s">
        <v>1105</v>
      </c>
      <c r="E476" s="286" t="s">
        <v>1106</v>
      </c>
      <c r="F476" s="286" t="s">
        <v>1725</v>
      </c>
      <c r="G476" s="286" t="s">
        <v>1067</v>
      </c>
      <c r="H476" s="286" t="s">
        <v>1067</v>
      </c>
      <c r="I476" s="286" t="s">
        <v>1199</v>
      </c>
      <c r="J476" s="286" t="s">
        <v>53</v>
      </c>
      <c r="K476" s="286" t="s">
        <v>53</v>
      </c>
      <c r="L476" s="286" t="s">
        <v>53</v>
      </c>
      <c r="M476" s="286" t="s">
        <v>53</v>
      </c>
      <c r="N476" s="287">
        <v>4501.41</v>
      </c>
      <c r="O476" s="287"/>
      <c r="P476" s="286" t="s">
        <v>58</v>
      </c>
    </row>
    <row r="477" spans="1:16" hidden="1" x14ac:dyDescent="0.15">
      <c r="A477" s="286">
        <v>308651</v>
      </c>
      <c r="B477" s="288">
        <v>45142.732638888891</v>
      </c>
      <c r="C477" s="286" t="s">
        <v>1636</v>
      </c>
      <c r="D477" s="286" t="s">
        <v>1105</v>
      </c>
      <c r="E477" s="286" t="s">
        <v>1106</v>
      </c>
      <c r="F477" s="286" t="s">
        <v>1804</v>
      </c>
      <c r="G477" s="286" t="s">
        <v>1033</v>
      </c>
      <c r="H477" s="286" t="s">
        <v>1033</v>
      </c>
      <c r="I477" s="286" t="s">
        <v>1211</v>
      </c>
      <c r="J477" s="286" t="s">
        <v>1312</v>
      </c>
      <c r="K477" s="286" t="s">
        <v>53</v>
      </c>
      <c r="L477" s="286" t="s">
        <v>53</v>
      </c>
      <c r="M477" s="286" t="s">
        <v>53</v>
      </c>
      <c r="N477" s="287">
        <v>4500</v>
      </c>
      <c r="O477" s="287"/>
      <c r="P477" s="286" t="s">
        <v>452</v>
      </c>
    </row>
    <row r="478" spans="1:16" hidden="1" x14ac:dyDescent="0.15">
      <c r="A478" s="286">
        <v>437581</v>
      </c>
      <c r="B478" s="288">
        <v>45281.44027777778</v>
      </c>
      <c r="C478" s="286" t="s">
        <v>1632</v>
      </c>
      <c r="D478" s="286" t="s">
        <v>1105</v>
      </c>
      <c r="E478" s="286" t="s">
        <v>1106</v>
      </c>
      <c r="F478" s="286" t="s">
        <v>1741</v>
      </c>
      <c r="G478" s="286" t="s">
        <v>1039</v>
      </c>
      <c r="H478" s="286" t="s">
        <v>1039</v>
      </c>
      <c r="I478" s="286" t="s">
        <v>1228</v>
      </c>
      <c r="J478" s="286" t="s">
        <v>1312</v>
      </c>
      <c r="K478" s="286" t="s">
        <v>1805</v>
      </c>
      <c r="L478" s="286" t="s">
        <v>672</v>
      </c>
      <c r="M478" s="286">
        <v>1</v>
      </c>
      <c r="N478" s="287">
        <v>4485.67</v>
      </c>
      <c r="O478" s="287"/>
      <c r="P478" s="286" t="s">
        <v>58</v>
      </c>
    </row>
    <row r="479" spans="1:16" hidden="1" x14ac:dyDescent="0.15">
      <c r="A479" s="286">
        <v>437581</v>
      </c>
      <c r="B479" s="288">
        <v>45281.44027777778</v>
      </c>
      <c r="C479" s="286" t="s">
        <v>1632</v>
      </c>
      <c r="D479" s="286" t="s">
        <v>1105</v>
      </c>
      <c r="E479" s="286" t="s">
        <v>1106</v>
      </c>
      <c r="F479" s="286" t="s">
        <v>1741</v>
      </c>
      <c r="G479" s="286" t="s">
        <v>1039</v>
      </c>
      <c r="H479" s="286" t="s">
        <v>1039</v>
      </c>
      <c r="I479" s="286" t="s">
        <v>1228</v>
      </c>
      <c r="J479" s="286" t="s">
        <v>1312</v>
      </c>
      <c r="K479" s="286" t="s">
        <v>1805</v>
      </c>
      <c r="L479" s="286" t="s">
        <v>672</v>
      </c>
      <c r="M479" s="286">
        <v>1</v>
      </c>
      <c r="N479" s="287">
        <v>4485.67</v>
      </c>
      <c r="O479" s="287"/>
      <c r="P479" s="286" t="s">
        <v>58</v>
      </c>
    </row>
    <row r="480" spans="1:16" hidden="1" x14ac:dyDescent="0.15">
      <c r="A480" s="286">
        <v>437581</v>
      </c>
      <c r="B480" s="288">
        <v>45281.44027777778</v>
      </c>
      <c r="C480" s="286" t="s">
        <v>1632</v>
      </c>
      <c r="D480" s="286" t="s">
        <v>1105</v>
      </c>
      <c r="E480" s="286" t="s">
        <v>1106</v>
      </c>
      <c r="F480" s="286" t="s">
        <v>1741</v>
      </c>
      <c r="G480" s="286" t="s">
        <v>1039</v>
      </c>
      <c r="H480" s="286" t="s">
        <v>1039</v>
      </c>
      <c r="I480" s="286" t="s">
        <v>1228</v>
      </c>
      <c r="J480" s="286" t="s">
        <v>1312</v>
      </c>
      <c r="K480" s="286" t="s">
        <v>1805</v>
      </c>
      <c r="L480" s="286" t="s">
        <v>672</v>
      </c>
      <c r="M480" s="286">
        <v>1</v>
      </c>
      <c r="N480" s="287">
        <v>4485.67</v>
      </c>
      <c r="O480" s="287"/>
      <c r="P480" s="286" t="s">
        <v>58</v>
      </c>
    </row>
    <row r="481" spans="1:16" hidden="1" x14ac:dyDescent="0.15">
      <c r="A481" s="286">
        <v>437581</v>
      </c>
      <c r="B481" s="288">
        <v>45281.44027777778</v>
      </c>
      <c r="C481" s="286" t="s">
        <v>1632</v>
      </c>
      <c r="D481" s="286" t="s">
        <v>1105</v>
      </c>
      <c r="E481" s="286" t="s">
        <v>1106</v>
      </c>
      <c r="F481" s="286" t="s">
        <v>1741</v>
      </c>
      <c r="G481" s="286" t="s">
        <v>1039</v>
      </c>
      <c r="H481" s="286" t="s">
        <v>1039</v>
      </c>
      <c r="I481" s="286" t="s">
        <v>1228</v>
      </c>
      <c r="J481" s="286" t="s">
        <v>1312</v>
      </c>
      <c r="K481" s="286" t="s">
        <v>1805</v>
      </c>
      <c r="L481" s="286" t="s">
        <v>672</v>
      </c>
      <c r="M481" s="286">
        <v>1</v>
      </c>
      <c r="N481" s="287">
        <v>4485.67</v>
      </c>
      <c r="O481" s="287"/>
      <c r="P481" s="286" t="s">
        <v>58</v>
      </c>
    </row>
    <row r="482" spans="1:16" hidden="1" x14ac:dyDescent="0.15">
      <c r="A482" s="286">
        <v>437581</v>
      </c>
      <c r="B482" s="288">
        <v>45281.44027777778</v>
      </c>
      <c r="C482" s="286" t="s">
        <v>1632</v>
      </c>
      <c r="D482" s="286" t="s">
        <v>1105</v>
      </c>
      <c r="E482" s="286" t="s">
        <v>1106</v>
      </c>
      <c r="F482" s="286" t="s">
        <v>1741</v>
      </c>
      <c r="G482" s="286" t="s">
        <v>1039</v>
      </c>
      <c r="H482" s="286" t="s">
        <v>1039</v>
      </c>
      <c r="I482" s="286" t="s">
        <v>1228</v>
      </c>
      <c r="J482" s="286" t="s">
        <v>1312</v>
      </c>
      <c r="K482" s="286" t="s">
        <v>1805</v>
      </c>
      <c r="L482" s="286" t="s">
        <v>672</v>
      </c>
      <c r="M482" s="286">
        <v>1</v>
      </c>
      <c r="N482" s="287">
        <v>4485.67</v>
      </c>
      <c r="O482" s="287"/>
      <c r="P482" s="286" t="s">
        <v>58</v>
      </c>
    </row>
    <row r="483" spans="1:16" hidden="1" x14ac:dyDescent="0.15">
      <c r="A483" s="286">
        <v>437581</v>
      </c>
      <c r="B483" s="288">
        <v>45281.44027777778</v>
      </c>
      <c r="C483" s="286" t="s">
        <v>1632</v>
      </c>
      <c r="D483" s="286" t="s">
        <v>1105</v>
      </c>
      <c r="E483" s="286" t="s">
        <v>1106</v>
      </c>
      <c r="F483" s="286" t="s">
        <v>1741</v>
      </c>
      <c r="G483" s="286" t="s">
        <v>1039</v>
      </c>
      <c r="H483" s="286" t="s">
        <v>1039</v>
      </c>
      <c r="I483" s="286" t="s">
        <v>1228</v>
      </c>
      <c r="J483" s="286" t="s">
        <v>1312</v>
      </c>
      <c r="K483" s="286" t="s">
        <v>1805</v>
      </c>
      <c r="L483" s="286" t="s">
        <v>672</v>
      </c>
      <c r="M483" s="286">
        <v>1</v>
      </c>
      <c r="N483" s="287">
        <v>4485.67</v>
      </c>
      <c r="O483" s="287"/>
      <c r="P483" s="286" t="s">
        <v>58</v>
      </c>
    </row>
    <row r="484" spans="1:16" hidden="1" x14ac:dyDescent="0.15">
      <c r="A484" s="286">
        <v>455146</v>
      </c>
      <c r="B484" s="288">
        <v>45310.510416666664</v>
      </c>
      <c r="C484" s="286" t="s">
        <v>1632</v>
      </c>
      <c r="D484" s="286" t="s">
        <v>1105</v>
      </c>
      <c r="E484" s="286" t="s">
        <v>1106</v>
      </c>
      <c r="F484" s="286" t="s">
        <v>1725</v>
      </c>
      <c r="G484" s="286" t="s">
        <v>1057</v>
      </c>
      <c r="H484" s="286" t="s">
        <v>1057</v>
      </c>
      <c r="I484" s="286" t="s">
        <v>1199</v>
      </c>
      <c r="J484" s="286" t="s">
        <v>1312</v>
      </c>
      <c r="K484" s="286" t="s">
        <v>1806</v>
      </c>
      <c r="L484" s="286" t="s">
        <v>672</v>
      </c>
      <c r="M484" s="286">
        <v>1</v>
      </c>
      <c r="N484" s="287">
        <v>4467.92</v>
      </c>
      <c r="O484" s="287"/>
      <c r="P484" s="286" t="s">
        <v>58</v>
      </c>
    </row>
    <row r="485" spans="1:16" hidden="1" x14ac:dyDescent="0.15">
      <c r="A485" s="286">
        <v>379034</v>
      </c>
      <c r="B485" s="288">
        <v>45218.477083333331</v>
      </c>
      <c r="C485" s="286" t="s">
        <v>1676</v>
      </c>
      <c r="D485" s="286" t="s">
        <v>1105</v>
      </c>
      <c r="E485" s="286" t="s">
        <v>1106</v>
      </c>
      <c r="F485" s="286" t="s">
        <v>1802</v>
      </c>
      <c r="G485" s="286" t="s">
        <v>1014</v>
      </c>
      <c r="H485" s="286" t="s">
        <v>1014</v>
      </c>
      <c r="I485" s="286" t="s">
        <v>1235</v>
      </c>
      <c r="J485" s="286" t="s">
        <v>1312</v>
      </c>
      <c r="K485" s="286" t="s">
        <v>1807</v>
      </c>
      <c r="L485" s="286" t="s">
        <v>626</v>
      </c>
      <c r="M485" s="286">
        <v>1</v>
      </c>
      <c r="N485" s="287">
        <v>4435</v>
      </c>
      <c r="O485" s="287"/>
      <c r="P485" s="286" t="s">
        <v>180</v>
      </c>
    </row>
    <row r="486" spans="1:16" hidden="1" x14ac:dyDescent="0.15">
      <c r="A486" s="286">
        <v>284271</v>
      </c>
      <c r="B486" s="288">
        <v>45121.682638888888</v>
      </c>
      <c r="C486" s="286" t="s">
        <v>1636</v>
      </c>
      <c r="D486" s="286" t="s">
        <v>1105</v>
      </c>
      <c r="E486" s="286" t="s">
        <v>1106</v>
      </c>
      <c r="F486" s="286" t="s">
        <v>1713</v>
      </c>
      <c r="G486" s="286" t="s">
        <v>1026</v>
      </c>
      <c r="H486" s="286" t="s">
        <v>1026</v>
      </c>
      <c r="I486" s="286" t="s">
        <v>1152</v>
      </c>
      <c r="J486" s="286" t="s">
        <v>1312</v>
      </c>
      <c r="K486" s="286" t="s">
        <v>53</v>
      </c>
      <c r="L486" s="286" t="s">
        <v>53</v>
      </c>
      <c r="M486" s="286" t="s">
        <v>53</v>
      </c>
      <c r="N486" s="287">
        <v>4377.1000000000004</v>
      </c>
      <c r="O486" s="287"/>
      <c r="P486" s="286" t="s">
        <v>58</v>
      </c>
    </row>
    <row r="487" spans="1:16" hidden="1" x14ac:dyDescent="0.15">
      <c r="A487" s="286">
        <v>328287</v>
      </c>
      <c r="B487" s="288">
        <v>45161.62777777778</v>
      </c>
      <c r="C487" s="286" t="s">
        <v>1691</v>
      </c>
      <c r="D487" s="286" t="s">
        <v>1105</v>
      </c>
      <c r="E487" s="286" t="s">
        <v>1106</v>
      </c>
      <c r="F487" s="286" t="s">
        <v>1714</v>
      </c>
      <c r="G487" s="286" t="s">
        <v>1026</v>
      </c>
      <c r="H487" s="286" t="s">
        <v>1026</v>
      </c>
      <c r="I487" s="286" t="s">
        <v>1152</v>
      </c>
      <c r="J487" s="286" t="s">
        <v>1312</v>
      </c>
      <c r="K487" s="286" t="s">
        <v>53</v>
      </c>
      <c r="L487" s="286" t="s">
        <v>53</v>
      </c>
      <c r="M487" s="286" t="s">
        <v>53</v>
      </c>
      <c r="N487" s="287">
        <v>4377.1000000000004</v>
      </c>
      <c r="O487" s="287"/>
      <c r="P487" s="286" t="s">
        <v>58</v>
      </c>
    </row>
    <row r="488" spans="1:16" hidden="1" x14ac:dyDescent="0.15">
      <c r="A488" s="286">
        <v>339870</v>
      </c>
      <c r="B488" s="288">
        <v>45177.481944444444</v>
      </c>
      <c r="C488" s="286" t="s">
        <v>1676</v>
      </c>
      <c r="D488" s="286" t="s">
        <v>1105</v>
      </c>
      <c r="E488" s="286" t="s">
        <v>1106</v>
      </c>
      <c r="F488" s="286" t="s">
        <v>1715</v>
      </c>
      <c r="G488" s="286" t="s">
        <v>1026</v>
      </c>
      <c r="H488" s="286" t="s">
        <v>1026</v>
      </c>
      <c r="I488" s="286" t="s">
        <v>1152</v>
      </c>
      <c r="J488" s="286" t="s">
        <v>1312</v>
      </c>
      <c r="K488" s="286" t="s">
        <v>53</v>
      </c>
      <c r="L488" s="286" t="s">
        <v>53</v>
      </c>
      <c r="M488" s="286" t="s">
        <v>53</v>
      </c>
      <c r="N488" s="287">
        <v>4377.1000000000004</v>
      </c>
      <c r="O488" s="287"/>
      <c r="P488" s="286" t="s">
        <v>58</v>
      </c>
    </row>
    <row r="489" spans="1:16" hidden="1" x14ac:dyDescent="0.15">
      <c r="A489" s="286">
        <v>370270</v>
      </c>
      <c r="B489" s="288">
        <v>45208.668055555558</v>
      </c>
      <c r="C489" s="286" t="s">
        <v>1642</v>
      </c>
      <c r="D489" s="286" t="s">
        <v>1105</v>
      </c>
      <c r="E489" s="286" t="s">
        <v>1106</v>
      </c>
      <c r="F489" s="286" t="s">
        <v>1716</v>
      </c>
      <c r="G489" s="286" t="s">
        <v>1026</v>
      </c>
      <c r="H489" s="286" t="s">
        <v>1026</v>
      </c>
      <c r="I489" s="286" t="s">
        <v>1152</v>
      </c>
      <c r="J489" s="286" t="s">
        <v>1312</v>
      </c>
      <c r="K489" s="286" t="s">
        <v>53</v>
      </c>
      <c r="L489" s="286" t="s">
        <v>53</v>
      </c>
      <c r="M489" s="286" t="s">
        <v>53</v>
      </c>
      <c r="N489" s="287">
        <v>4377.1000000000004</v>
      </c>
      <c r="O489" s="287"/>
      <c r="P489" s="286" t="s">
        <v>58</v>
      </c>
    </row>
    <row r="490" spans="1:16" hidden="1" x14ac:dyDescent="0.15">
      <c r="A490" s="286">
        <v>402221</v>
      </c>
      <c r="B490" s="288">
        <v>45243.579861111109</v>
      </c>
      <c r="C490" s="286" t="s">
        <v>1654</v>
      </c>
      <c r="D490" s="286" t="s">
        <v>1105</v>
      </c>
      <c r="E490" s="286" t="s">
        <v>1106</v>
      </c>
      <c r="F490" s="286" t="s">
        <v>1724</v>
      </c>
      <c r="G490" s="286" t="s">
        <v>1026</v>
      </c>
      <c r="H490" s="286" t="s">
        <v>1026</v>
      </c>
      <c r="I490" s="286" t="s">
        <v>1152</v>
      </c>
      <c r="J490" s="286" t="s">
        <v>1312</v>
      </c>
      <c r="K490" s="286" t="s">
        <v>53</v>
      </c>
      <c r="L490" s="286" t="s">
        <v>53</v>
      </c>
      <c r="M490" s="286" t="s">
        <v>53</v>
      </c>
      <c r="N490" s="287">
        <v>4377.1000000000004</v>
      </c>
      <c r="O490" s="287"/>
      <c r="P490" s="286" t="s">
        <v>58</v>
      </c>
    </row>
    <row r="491" spans="1:16" hidden="1" x14ac:dyDescent="0.15">
      <c r="A491" s="286">
        <v>455146</v>
      </c>
      <c r="B491" s="288">
        <v>45310.510416666664</v>
      </c>
      <c r="C491" s="286" t="s">
        <v>1632</v>
      </c>
      <c r="D491" s="286" t="s">
        <v>1105</v>
      </c>
      <c r="E491" s="286" t="s">
        <v>1106</v>
      </c>
      <c r="F491" s="286" t="s">
        <v>1725</v>
      </c>
      <c r="G491" s="286" t="s">
        <v>1026</v>
      </c>
      <c r="H491" s="286" t="s">
        <v>1026</v>
      </c>
      <c r="I491" s="286" t="s">
        <v>1152</v>
      </c>
      <c r="J491" s="286" t="s">
        <v>1312</v>
      </c>
      <c r="K491" s="286" t="s">
        <v>53</v>
      </c>
      <c r="L491" s="286" t="s">
        <v>53</v>
      </c>
      <c r="M491" s="286" t="s">
        <v>53</v>
      </c>
      <c r="N491" s="287">
        <v>4377.1000000000004</v>
      </c>
      <c r="O491" s="287"/>
      <c r="P491" s="286" t="s">
        <v>58</v>
      </c>
    </row>
    <row r="492" spans="1:16" hidden="1" x14ac:dyDescent="0.15">
      <c r="A492" s="286">
        <v>455146</v>
      </c>
      <c r="B492" s="288">
        <v>45310.510416666664</v>
      </c>
      <c r="C492" s="286" t="s">
        <v>1632</v>
      </c>
      <c r="D492" s="286" t="s">
        <v>1105</v>
      </c>
      <c r="E492" s="286" t="s">
        <v>1106</v>
      </c>
      <c r="F492" s="286" t="s">
        <v>1725</v>
      </c>
      <c r="G492" s="286" t="s">
        <v>1052</v>
      </c>
      <c r="H492" s="286" t="s">
        <v>1052</v>
      </c>
      <c r="I492" s="286" t="s">
        <v>1228</v>
      </c>
      <c r="J492" s="286" t="s">
        <v>1312</v>
      </c>
      <c r="K492" s="286" t="s">
        <v>1808</v>
      </c>
      <c r="L492" s="286" t="s">
        <v>53</v>
      </c>
      <c r="M492" s="286">
        <v>1</v>
      </c>
      <c r="N492" s="287">
        <v>4367.6899999999996</v>
      </c>
      <c r="O492" s="287"/>
      <c r="P492" s="286" t="s">
        <v>58</v>
      </c>
    </row>
    <row r="493" spans="1:16" hidden="1" x14ac:dyDescent="0.15">
      <c r="A493" s="286">
        <v>437581</v>
      </c>
      <c r="B493" s="288">
        <v>45281.44027777778</v>
      </c>
      <c r="C493" s="286" t="s">
        <v>1632</v>
      </c>
      <c r="D493" s="286" t="s">
        <v>1105</v>
      </c>
      <c r="E493" s="286" t="s">
        <v>1106</v>
      </c>
      <c r="F493" s="286" t="s">
        <v>1741</v>
      </c>
      <c r="G493" s="286" t="s">
        <v>1072</v>
      </c>
      <c r="H493" s="286" t="s">
        <v>1072</v>
      </c>
      <c r="I493" s="286" t="s">
        <v>1108</v>
      </c>
      <c r="J493" s="286" t="s">
        <v>1312</v>
      </c>
      <c r="K493" s="286" t="s">
        <v>1809</v>
      </c>
      <c r="L493" s="286" t="s">
        <v>1810</v>
      </c>
      <c r="M493" s="286">
        <v>1</v>
      </c>
      <c r="N493" s="287">
        <v>4333</v>
      </c>
      <c r="O493" s="305">
        <f>EOMONTH(B493,0)</f>
        <v>45291</v>
      </c>
      <c r="P493" s="286" t="s">
        <v>37</v>
      </c>
    </row>
    <row r="494" spans="1:16" hidden="1" x14ac:dyDescent="0.15">
      <c r="A494" s="286">
        <v>328287</v>
      </c>
      <c r="B494" s="288">
        <v>45161.62777777778</v>
      </c>
      <c r="C494" s="286" t="s">
        <v>1691</v>
      </c>
      <c r="D494" s="286" t="s">
        <v>1105</v>
      </c>
      <c r="E494" s="286" t="s">
        <v>1106</v>
      </c>
      <c r="F494" s="286" t="s">
        <v>1714</v>
      </c>
      <c r="G494" s="286" t="s">
        <v>1078</v>
      </c>
      <c r="H494" s="286" t="s">
        <v>1078</v>
      </c>
      <c r="I494" s="286" t="s">
        <v>1228</v>
      </c>
      <c r="J494" s="286" t="s">
        <v>53</v>
      </c>
      <c r="K494" s="286" t="s">
        <v>53</v>
      </c>
      <c r="L494" s="286" t="s">
        <v>53</v>
      </c>
      <c r="M494" s="286" t="s">
        <v>53</v>
      </c>
      <c r="N494" s="287">
        <v>4256.3100000000004</v>
      </c>
      <c r="O494" s="287"/>
      <c r="P494" s="286" t="s">
        <v>58</v>
      </c>
    </row>
    <row r="495" spans="1:16" hidden="1" x14ac:dyDescent="0.15">
      <c r="A495" s="286">
        <v>339870</v>
      </c>
      <c r="B495" s="288">
        <v>45177.481944444444</v>
      </c>
      <c r="C495" s="286" t="s">
        <v>1676</v>
      </c>
      <c r="D495" s="286" t="s">
        <v>1105</v>
      </c>
      <c r="E495" s="286" t="s">
        <v>1106</v>
      </c>
      <c r="F495" s="286" t="s">
        <v>1715</v>
      </c>
      <c r="G495" s="286" t="s">
        <v>1078</v>
      </c>
      <c r="H495" s="286" t="s">
        <v>1078</v>
      </c>
      <c r="I495" s="286" t="s">
        <v>1228</v>
      </c>
      <c r="J495" s="286" t="s">
        <v>53</v>
      </c>
      <c r="K495" s="286" t="s">
        <v>53</v>
      </c>
      <c r="L495" s="286" t="s">
        <v>53</v>
      </c>
      <c r="M495" s="286" t="s">
        <v>53</v>
      </c>
      <c r="N495" s="287">
        <v>4256.3100000000004</v>
      </c>
      <c r="O495" s="287"/>
      <c r="P495" s="286" t="s">
        <v>58</v>
      </c>
    </row>
    <row r="496" spans="1:16" hidden="1" x14ac:dyDescent="0.15">
      <c r="A496" s="286">
        <v>370270</v>
      </c>
      <c r="B496" s="288">
        <v>45208.668055555558</v>
      </c>
      <c r="C496" s="286" t="s">
        <v>1642</v>
      </c>
      <c r="D496" s="286" t="s">
        <v>1105</v>
      </c>
      <c r="E496" s="286" t="s">
        <v>1106</v>
      </c>
      <c r="F496" s="286" t="s">
        <v>1716</v>
      </c>
      <c r="G496" s="286" t="s">
        <v>1078</v>
      </c>
      <c r="H496" s="286" t="s">
        <v>1078</v>
      </c>
      <c r="I496" s="286" t="s">
        <v>1228</v>
      </c>
      <c r="J496" s="286" t="s">
        <v>53</v>
      </c>
      <c r="K496" s="286" t="s">
        <v>53</v>
      </c>
      <c r="L496" s="286" t="s">
        <v>53</v>
      </c>
      <c r="M496" s="286" t="s">
        <v>53</v>
      </c>
      <c r="N496" s="287">
        <v>4256.3100000000004</v>
      </c>
      <c r="O496" s="287"/>
      <c r="P496" s="286" t="s">
        <v>58</v>
      </c>
    </row>
    <row r="497" spans="1:16" hidden="1" x14ac:dyDescent="0.15">
      <c r="A497" s="286">
        <v>402221</v>
      </c>
      <c r="B497" s="288">
        <v>45243.579861111109</v>
      </c>
      <c r="C497" s="286" t="s">
        <v>1654</v>
      </c>
      <c r="D497" s="286" t="s">
        <v>1105</v>
      </c>
      <c r="E497" s="286" t="s">
        <v>1106</v>
      </c>
      <c r="F497" s="286" t="s">
        <v>1724</v>
      </c>
      <c r="G497" s="286" t="s">
        <v>1078</v>
      </c>
      <c r="H497" s="286" t="s">
        <v>1078</v>
      </c>
      <c r="I497" s="286" t="s">
        <v>1228</v>
      </c>
      <c r="J497" s="286" t="s">
        <v>53</v>
      </c>
      <c r="K497" s="286" t="s">
        <v>53</v>
      </c>
      <c r="L497" s="286" t="s">
        <v>53</v>
      </c>
      <c r="M497" s="286" t="s">
        <v>53</v>
      </c>
      <c r="N497" s="287">
        <v>4256.3100000000004</v>
      </c>
      <c r="O497" s="287"/>
      <c r="P497" s="286" t="s">
        <v>58</v>
      </c>
    </row>
    <row r="498" spans="1:16" hidden="1" x14ac:dyDescent="0.15">
      <c r="A498" s="286">
        <v>455146</v>
      </c>
      <c r="B498" s="288">
        <v>45310.510416666664</v>
      </c>
      <c r="C498" s="286" t="s">
        <v>1632</v>
      </c>
      <c r="D498" s="286" t="s">
        <v>1105</v>
      </c>
      <c r="E498" s="286" t="s">
        <v>1106</v>
      </c>
      <c r="F498" s="286" t="s">
        <v>1725</v>
      </c>
      <c r="G498" s="286" t="s">
        <v>1078</v>
      </c>
      <c r="H498" s="286" t="s">
        <v>1078</v>
      </c>
      <c r="I498" s="286" t="s">
        <v>1228</v>
      </c>
      <c r="J498" s="286" t="s">
        <v>53</v>
      </c>
      <c r="K498" s="286" t="s">
        <v>53</v>
      </c>
      <c r="L498" s="286" t="s">
        <v>53</v>
      </c>
      <c r="M498" s="286" t="s">
        <v>53</v>
      </c>
      <c r="N498" s="287">
        <v>4256.3100000000004</v>
      </c>
      <c r="O498" s="287"/>
      <c r="P498" s="286" t="s">
        <v>58</v>
      </c>
    </row>
    <row r="499" spans="1:16" hidden="1" x14ac:dyDescent="0.15">
      <c r="A499" s="286">
        <v>278788</v>
      </c>
      <c r="B499" s="288">
        <v>45118.57708333333</v>
      </c>
      <c r="C499" s="286" t="s">
        <v>1649</v>
      </c>
      <c r="D499" s="286" t="s">
        <v>1105</v>
      </c>
      <c r="E499" s="286" t="s">
        <v>1106</v>
      </c>
      <c r="F499" s="286" t="s">
        <v>1712</v>
      </c>
      <c r="G499" s="286" t="s">
        <v>1025</v>
      </c>
      <c r="H499" s="286" t="s">
        <v>1025</v>
      </c>
      <c r="I499" s="286" t="s">
        <v>1199</v>
      </c>
      <c r="J499" s="286" t="s">
        <v>53</v>
      </c>
      <c r="K499" s="286" t="s">
        <v>53</v>
      </c>
      <c r="L499" s="286" t="s">
        <v>53</v>
      </c>
      <c r="M499" s="286" t="s">
        <v>53</v>
      </c>
      <c r="N499" s="287">
        <v>4201.03</v>
      </c>
      <c r="O499" s="287"/>
      <c r="P499" s="286" t="s">
        <v>58</v>
      </c>
    </row>
    <row r="500" spans="1:16" hidden="1" x14ac:dyDescent="0.15">
      <c r="A500" s="286">
        <v>284271</v>
      </c>
      <c r="B500" s="288">
        <v>45121.682638888888</v>
      </c>
      <c r="C500" s="286" t="s">
        <v>1636</v>
      </c>
      <c r="D500" s="286" t="s">
        <v>1105</v>
      </c>
      <c r="E500" s="286" t="s">
        <v>1106</v>
      </c>
      <c r="F500" s="286" t="s">
        <v>1713</v>
      </c>
      <c r="G500" s="286" t="s">
        <v>1025</v>
      </c>
      <c r="H500" s="286" t="s">
        <v>1025</v>
      </c>
      <c r="I500" s="286" t="s">
        <v>1199</v>
      </c>
      <c r="J500" s="286" t="s">
        <v>53</v>
      </c>
      <c r="K500" s="286" t="s">
        <v>53</v>
      </c>
      <c r="L500" s="286" t="s">
        <v>53</v>
      </c>
      <c r="M500" s="286" t="s">
        <v>53</v>
      </c>
      <c r="N500" s="287">
        <v>4201.03</v>
      </c>
      <c r="O500" s="287"/>
      <c r="P500" s="286" t="s">
        <v>58</v>
      </c>
    </row>
    <row r="501" spans="1:16" hidden="1" x14ac:dyDescent="0.15">
      <c r="A501" s="286">
        <v>328287</v>
      </c>
      <c r="B501" s="288">
        <v>45161.62777777778</v>
      </c>
      <c r="C501" s="286" t="s">
        <v>1691</v>
      </c>
      <c r="D501" s="286" t="s">
        <v>1105</v>
      </c>
      <c r="E501" s="286" t="s">
        <v>1106</v>
      </c>
      <c r="F501" s="286" t="s">
        <v>1714</v>
      </c>
      <c r="G501" s="286" t="s">
        <v>1025</v>
      </c>
      <c r="H501" s="286" t="s">
        <v>1025</v>
      </c>
      <c r="I501" s="286" t="s">
        <v>1199</v>
      </c>
      <c r="J501" s="286" t="s">
        <v>53</v>
      </c>
      <c r="K501" s="286" t="s">
        <v>53</v>
      </c>
      <c r="L501" s="286" t="s">
        <v>53</v>
      </c>
      <c r="M501" s="286" t="s">
        <v>53</v>
      </c>
      <c r="N501" s="287">
        <v>4201.03</v>
      </c>
      <c r="O501" s="287"/>
      <c r="P501" s="286" t="s">
        <v>58</v>
      </c>
    </row>
    <row r="502" spans="1:16" hidden="1" x14ac:dyDescent="0.15">
      <c r="A502" s="286">
        <v>339870</v>
      </c>
      <c r="B502" s="288">
        <v>45177.481944444444</v>
      </c>
      <c r="C502" s="286" t="s">
        <v>1676</v>
      </c>
      <c r="D502" s="286" t="s">
        <v>1105</v>
      </c>
      <c r="E502" s="286" t="s">
        <v>1106</v>
      </c>
      <c r="F502" s="286" t="s">
        <v>1715</v>
      </c>
      <c r="G502" s="286" t="s">
        <v>1025</v>
      </c>
      <c r="H502" s="286" t="s">
        <v>1025</v>
      </c>
      <c r="I502" s="286" t="s">
        <v>1199</v>
      </c>
      <c r="J502" s="286" t="s">
        <v>53</v>
      </c>
      <c r="K502" s="286" t="s">
        <v>53</v>
      </c>
      <c r="L502" s="286" t="s">
        <v>53</v>
      </c>
      <c r="M502" s="286" t="s">
        <v>53</v>
      </c>
      <c r="N502" s="287">
        <v>4201.03</v>
      </c>
      <c r="O502" s="287"/>
      <c r="P502" s="286" t="s">
        <v>58</v>
      </c>
    </row>
    <row r="503" spans="1:16" hidden="1" x14ac:dyDescent="0.15">
      <c r="A503" s="286">
        <v>370270</v>
      </c>
      <c r="B503" s="288">
        <v>45208.668055555558</v>
      </c>
      <c r="C503" s="286" t="s">
        <v>1642</v>
      </c>
      <c r="D503" s="286" t="s">
        <v>1105</v>
      </c>
      <c r="E503" s="286" t="s">
        <v>1106</v>
      </c>
      <c r="F503" s="286" t="s">
        <v>1716</v>
      </c>
      <c r="G503" s="286" t="s">
        <v>1025</v>
      </c>
      <c r="H503" s="286" t="s">
        <v>1025</v>
      </c>
      <c r="I503" s="286" t="s">
        <v>1199</v>
      </c>
      <c r="J503" s="286" t="s">
        <v>53</v>
      </c>
      <c r="K503" s="286" t="s">
        <v>53</v>
      </c>
      <c r="L503" s="286" t="s">
        <v>53</v>
      </c>
      <c r="M503" s="286" t="s">
        <v>53</v>
      </c>
      <c r="N503" s="287">
        <v>4201.03</v>
      </c>
      <c r="O503" s="287"/>
      <c r="P503" s="286" t="s">
        <v>58</v>
      </c>
    </row>
    <row r="504" spans="1:16" hidden="1" x14ac:dyDescent="0.15">
      <c r="A504" s="286">
        <v>402221</v>
      </c>
      <c r="B504" s="288">
        <v>45243.579861111109</v>
      </c>
      <c r="C504" s="286" t="s">
        <v>1654</v>
      </c>
      <c r="D504" s="286" t="s">
        <v>1105</v>
      </c>
      <c r="E504" s="286" t="s">
        <v>1106</v>
      </c>
      <c r="F504" s="286" t="s">
        <v>1724</v>
      </c>
      <c r="G504" s="286" t="s">
        <v>1025</v>
      </c>
      <c r="H504" s="286" t="s">
        <v>1025</v>
      </c>
      <c r="I504" s="286" t="s">
        <v>1199</v>
      </c>
      <c r="J504" s="286" t="s">
        <v>53</v>
      </c>
      <c r="K504" s="286" t="s">
        <v>53</v>
      </c>
      <c r="L504" s="286" t="s">
        <v>53</v>
      </c>
      <c r="M504" s="286" t="s">
        <v>53</v>
      </c>
      <c r="N504" s="287">
        <v>4201.03</v>
      </c>
      <c r="O504" s="287"/>
      <c r="P504" s="286" t="s">
        <v>58</v>
      </c>
    </row>
    <row r="505" spans="1:16" hidden="1" x14ac:dyDescent="0.15">
      <c r="A505" s="286">
        <v>455146</v>
      </c>
      <c r="B505" s="288">
        <v>45310.510416666664</v>
      </c>
      <c r="C505" s="286" t="s">
        <v>1632</v>
      </c>
      <c r="D505" s="286" t="s">
        <v>1105</v>
      </c>
      <c r="E505" s="286" t="s">
        <v>1106</v>
      </c>
      <c r="F505" s="286" t="s">
        <v>1725</v>
      </c>
      <c r="G505" s="286" t="s">
        <v>1025</v>
      </c>
      <c r="H505" s="286" t="s">
        <v>1025</v>
      </c>
      <c r="I505" s="286" t="s">
        <v>1199</v>
      </c>
      <c r="J505" s="286" t="s">
        <v>53</v>
      </c>
      <c r="K505" s="286" t="s">
        <v>53</v>
      </c>
      <c r="L505" s="286" t="s">
        <v>53</v>
      </c>
      <c r="M505" s="286" t="s">
        <v>53</v>
      </c>
      <c r="N505" s="287">
        <v>4201.03</v>
      </c>
      <c r="O505" s="287"/>
      <c r="P505" s="286" t="s">
        <v>58</v>
      </c>
    </row>
    <row r="506" spans="1:16" hidden="1" x14ac:dyDescent="0.15">
      <c r="A506" s="286">
        <v>370270</v>
      </c>
      <c r="B506" s="288">
        <v>45208.668055555558</v>
      </c>
      <c r="C506" s="286" t="s">
        <v>1642</v>
      </c>
      <c r="D506" s="286" t="s">
        <v>1105</v>
      </c>
      <c r="E506" s="286" t="s">
        <v>1106</v>
      </c>
      <c r="F506" s="286" t="s">
        <v>1716</v>
      </c>
      <c r="G506" s="286" t="s">
        <v>1766</v>
      </c>
      <c r="H506" s="286" t="s">
        <v>1766</v>
      </c>
      <c r="I506" s="286" t="s">
        <v>1199</v>
      </c>
      <c r="J506" s="286" t="s">
        <v>1312</v>
      </c>
      <c r="K506" s="286" t="s">
        <v>1690</v>
      </c>
      <c r="L506" s="286" t="s">
        <v>672</v>
      </c>
      <c r="M506" s="286">
        <v>1</v>
      </c>
      <c r="N506" s="287">
        <v>4172.63</v>
      </c>
      <c r="O506" s="287"/>
      <c r="P506" s="286" t="s">
        <v>58</v>
      </c>
    </row>
    <row r="507" spans="1:16" hidden="1" x14ac:dyDescent="0.15">
      <c r="A507" s="286">
        <v>402221</v>
      </c>
      <c r="B507" s="288">
        <v>45243.579861111109</v>
      </c>
      <c r="C507" s="286" t="s">
        <v>1654</v>
      </c>
      <c r="D507" s="286" t="s">
        <v>1105</v>
      </c>
      <c r="E507" s="286" t="s">
        <v>1106</v>
      </c>
      <c r="F507" s="286" t="s">
        <v>1724</v>
      </c>
      <c r="G507" s="286" t="s">
        <v>1766</v>
      </c>
      <c r="H507" s="286" t="s">
        <v>1766</v>
      </c>
      <c r="I507" s="286" t="s">
        <v>1199</v>
      </c>
      <c r="J507" s="286" t="s">
        <v>1312</v>
      </c>
      <c r="K507" s="286" t="s">
        <v>1690</v>
      </c>
      <c r="L507" s="286" t="s">
        <v>672</v>
      </c>
      <c r="M507" s="286">
        <v>1</v>
      </c>
      <c r="N507" s="287">
        <v>4172.63</v>
      </c>
      <c r="O507" s="287"/>
      <c r="P507" s="286" t="s">
        <v>58</v>
      </c>
    </row>
    <row r="508" spans="1:16" hidden="1" x14ac:dyDescent="0.15">
      <c r="A508" s="286">
        <v>455146</v>
      </c>
      <c r="B508" s="288">
        <v>45310.510416666664</v>
      </c>
      <c r="C508" s="286" t="s">
        <v>1632</v>
      </c>
      <c r="D508" s="286" t="s">
        <v>1105</v>
      </c>
      <c r="E508" s="286" t="s">
        <v>1106</v>
      </c>
      <c r="F508" s="286" t="s">
        <v>1725</v>
      </c>
      <c r="G508" s="286" t="s">
        <v>1034</v>
      </c>
      <c r="H508" s="286" t="s">
        <v>1034</v>
      </c>
      <c r="I508" s="286" t="s">
        <v>1152</v>
      </c>
      <c r="J508" s="286" t="s">
        <v>1312</v>
      </c>
      <c r="K508" s="286" t="s">
        <v>1811</v>
      </c>
      <c r="L508" s="286" t="s">
        <v>672</v>
      </c>
      <c r="M508" s="286">
        <v>1</v>
      </c>
      <c r="N508" s="287">
        <v>4172.63</v>
      </c>
      <c r="O508" s="287"/>
      <c r="P508" s="286" t="s">
        <v>58</v>
      </c>
    </row>
    <row r="509" spans="1:16" hidden="1" x14ac:dyDescent="0.15">
      <c r="A509" s="286">
        <v>455146</v>
      </c>
      <c r="B509" s="288">
        <v>45310.510416666664</v>
      </c>
      <c r="C509" s="286" t="s">
        <v>1632</v>
      </c>
      <c r="D509" s="286" t="s">
        <v>1105</v>
      </c>
      <c r="E509" s="286" t="s">
        <v>1106</v>
      </c>
      <c r="F509" s="286" t="s">
        <v>1725</v>
      </c>
      <c r="G509" s="286" t="s">
        <v>1766</v>
      </c>
      <c r="H509" s="286" t="s">
        <v>1766</v>
      </c>
      <c r="I509" s="286" t="s">
        <v>1199</v>
      </c>
      <c r="J509" s="286" t="s">
        <v>1312</v>
      </c>
      <c r="K509" s="286" t="s">
        <v>1690</v>
      </c>
      <c r="L509" s="286" t="s">
        <v>672</v>
      </c>
      <c r="M509" s="286">
        <v>1</v>
      </c>
      <c r="N509" s="287">
        <v>4172.63</v>
      </c>
      <c r="O509" s="287"/>
      <c r="P509" s="286" t="s">
        <v>58</v>
      </c>
    </row>
    <row r="510" spans="1:16" hidden="1" x14ac:dyDescent="0.15">
      <c r="A510" s="286">
        <v>339870</v>
      </c>
      <c r="B510" s="288">
        <v>45177.481944444444</v>
      </c>
      <c r="C510" s="286" t="s">
        <v>1676</v>
      </c>
      <c r="D510" s="286" t="s">
        <v>1105</v>
      </c>
      <c r="E510" s="286" t="s">
        <v>1106</v>
      </c>
      <c r="F510" s="286" t="s">
        <v>1715</v>
      </c>
      <c r="G510" s="286" t="s">
        <v>1007</v>
      </c>
      <c r="H510" s="286" t="s">
        <v>1007</v>
      </c>
      <c r="I510" s="286" t="s">
        <v>1199</v>
      </c>
      <c r="J510" s="286" t="s">
        <v>1312</v>
      </c>
      <c r="K510" s="286" t="s">
        <v>1787</v>
      </c>
      <c r="L510" s="286" t="s">
        <v>672</v>
      </c>
      <c r="M510" s="286">
        <v>1</v>
      </c>
      <c r="N510" s="287">
        <v>4160.21</v>
      </c>
      <c r="O510" s="287"/>
      <c r="P510" s="286" t="s">
        <v>58</v>
      </c>
    </row>
    <row r="511" spans="1:16" hidden="1" x14ac:dyDescent="0.15">
      <c r="A511" s="286">
        <v>339870</v>
      </c>
      <c r="B511" s="288">
        <v>45177.481944444444</v>
      </c>
      <c r="C511" s="286" t="s">
        <v>1676</v>
      </c>
      <c r="D511" s="286" t="s">
        <v>1105</v>
      </c>
      <c r="E511" s="286" t="s">
        <v>1106</v>
      </c>
      <c r="F511" s="286" t="s">
        <v>1715</v>
      </c>
      <c r="G511" s="286" t="s">
        <v>1007</v>
      </c>
      <c r="H511" s="286" t="s">
        <v>1007</v>
      </c>
      <c r="I511" s="286" t="s">
        <v>1199</v>
      </c>
      <c r="J511" s="286" t="s">
        <v>1312</v>
      </c>
      <c r="K511" s="286" t="s">
        <v>1812</v>
      </c>
      <c r="L511" s="286" t="s">
        <v>672</v>
      </c>
      <c r="M511" s="286">
        <v>1</v>
      </c>
      <c r="N511" s="287">
        <v>4160.21</v>
      </c>
      <c r="O511" s="287"/>
      <c r="P511" s="286" t="s">
        <v>58</v>
      </c>
    </row>
    <row r="512" spans="1:16" hidden="1" x14ac:dyDescent="0.15">
      <c r="A512" s="286">
        <v>370270</v>
      </c>
      <c r="B512" s="288">
        <v>45208.668055555558</v>
      </c>
      <c r="C512" s="286" t="s">
        <v>1642</v>
      </c>
      <c r="D512" s="286" t="s">
        <v>1105</v>
      </c>
      <c r="E512" s="286" t="s">
        <v>1106</v>
      </c>
      <c r="F512" s="286" t="s">
        <v>1716</v>
      </c>
      <c r="G512" s="286" t="s">
        <v>1007</v>
      </c>
      <c r="H512" s="286" t="s">
        <v>1007</v>
      </c>
      <c r="I512" s="286" t="s">
        <v>1199</v>
      </c>
      <c r="J512" s="286" t="s">
        <v>1312</v>
      </c>
      <c r="K512" s="286" t="s">
        <v>1812</v>
      </c>
      <c r="L512" s="286" t="s">
        <v>672</v>
      </c>
      <c r="M512" s="286">
        <v>1</v>
      </c>
      <c r="N512" s="287">
        <v>4160.21</v>
      </c>
      <c r="O512" s="287"/>
      <c r="P512" s="286" t="s">
        <v>58</v>
      </c>
    </row>
    <row r="513" spans="1:16" hidden="1" x14ac:dyDescent="0.15">
      <c r="A513" s="286">
        <v>370270</v>
      </c>
      <c r="B513" s="288">
        <v>45208.668055555558</v>
      </c>
      <c r="C513" s="286" t="s">
        <v>1642</v>
      </c>
      <c r="D513" s="286" t="s">
        <v>1105</v>
      </c>
      <c r="E513" s="286" t="s">
        <v>1106</v>
      </c>
      <c r="F513" s="286" t="s">
        <v>1716</v>
      </c>
      <c r="G513" s="286" t="s">
        <v>1007</v>
      </c>
      <c r="H513" s="286" t="s">
        <v>1007</v>
      </c>
      <c r="I513" s="286" t="s">
        <v>1199</v>
      </c>
      <c r="J513" s="286" t="s">
        <v>1312</v>
      </c>
      <c r="K513" s="286" t="s">
        <v>1787</v>
      </c>
      <c r="L513" s="286" t="s">
        <v>672</v>
      </c>
      <c r="M513" s="286">
        <v>1</v>
      </c>
      <c r="N513" s="287">
        <v>4160.21</v>
      </c>
      <c r="O513" s="287"/>
      <c r="P513" s="286" t="s">
        <v>58</v>
      </c>
    </row>
    <row r="514" spans="1:16" hidden="1" x14ac:dyDescent="0.15">
      <c r="A514" s="286">
        <v>402221</v>
      </c>
      <c r="B514" s="288">
        <v>45243.579861111109</v>
      </c>
      <c r="C514" s="286" t="s">
        <v>1654</v>
      </c>
      <c r="D514" s="286" t="s">
        <v>1105</v>
      </c>
      <c r="E514" s="286" t="s">
        <v>1106</v>
      </c>
      <c r="F514" s="286" t="s">
        <v>1724</v>
      </c>
      <c r="G514" s="286" t="s">
        <v>1007</v>
      </c>
      <c r="H514" s="286" t="s">
        <v>1007</v>
      </c>
      <c r="I514" s="286" t="s">
        <v>1199</v>
      </c>
      <c r="J514" s="286" t="s">
        <v>1312</v>
      </c>
      <c r="K514" s="286" t="s">
        <v>1812</v>
      </c>
      <c r="L514" s="286" t="s">
        <v>672</v>
      </c>
      <c r="M514" s="286">
        <v>1</v>
      </c>
      <c r="N514" s="287">
        <v>4160.21</v>
      </c>
      <c r="O514" s="287"/>
      <c r="P514" s="286" t="s">
        <v>58</v>
      </c>
    </row>
    <row r="515" spans="1:16" hidden="1" x14ac:dyDescent="0.15">
      <c r="A515" s="286">
        <v>402221</v>
      </c>
      <c r="B515" s="288">
        <v>45243.579861111109</v>
      </c>
      <c r="C515" s="286" t="s">
        <v>1654</v>
      </c>
      <c r="D515" s="286" t="s">
        <v>1105</v>
      </c>
      <c r="E515" s="286" t="s">
        <v>1106</v>
      </c>
      <c r="F515" s="286" t="s">
        <v>1724</v>
      </c>
      <c r="G515" s="286" t="s">
        <v>1007</v>
      </c>
      <c r="H515" s="286" t="s">
        <v>1007</v>
      </c>
      <c r="I515" s="286" t="s">
        <v>1199</v>
      </c>
      <c r="J515" s="286" t="s">
        <v>1312</v>
      </c>
      <c r="K515" s="286" t="s">
        <v>1787</v>
      </c>
      <c r="L515" s="286" t="s">
        <v>672</v>
      </c>
      <c r="M515" s="286">
        <v>1</v>
      </c>
      <c r="N515" s="287">
        <v>4160.21</v>
      </c>
      <c r="O515" s="287"/>
      <c r="P515" s="286" t="s">
        <v>58</v>
      </c>
    </row>
    <row r="516" spans="1:16" hidden="1" x14ac:dyDescent="0.15">
      <c r="A516" s="286">
        <v>455146</v>
      </c>
      <c r="B516" s="288">
        <v>45310.510416666664</v>
      </c>
      <c r="C516" s="286" t="s">
        <v>1632</v>
      </c>
      <c r="D516" s="286" t="s">
        <v>1105</v>
      </c>
      <c r="E516" s="286" t="s">
        <v>1106</v>
      </c>
      <c r="F516" s="286" t="s">
        <v>1725</v>
      </c>
      <c r="G516" s="286" t="s">
        <v>1007</v>
      </c>
      <c r="H516" s="286" t="s">
        <v>1007</v>
      </c>
      <c r="I516" s="286" t="s">
        <v>1199</v>
      </c>
      <c r="J516" s="286" t="s">
        <v>1312</v>
      </c>
      <c r="K516" s="286" t="s">
        <v>1787</v>
      </c>
      <c r="L516" s="286" t="s">
        <v>672</v>
      </c>
      <c r="M516" s="286">
        <v>1</v>
      </c>
      <c r="N516" s="287">
        <v>4160.21</v>
      </c>
      <c r="O516" s="287"/>
      <c r="P516" s="286" t="s">
        <v>58</v>
      </c>
    </row>
    <row r="517" spans="1:16" hidden="1" x14ac:dyDescent="0.15">
      <c r="A517" s="286">
        <v>455146</v>
      </c>
      <c r="B517" s="288">
        <v>45310.510416666664</v>
      </c>
      <c r="C517" s="286" t="s">
        <v>1632</v>
      </c>
      <c r="D517" s="286" t="s">
        <v>1105</v>
      </c>
      <c r="E517" s="286" t="s">
        <v>1106</v>
      </c>
      <c r="F517" s="286" t="s">
        <v>1725</v>
      </c>
      <c r="G517" s="286" t="s">
        <v>1007</v>
      </c>
      <c r="H517" s="286" t="s">
        <v>1007</v>
      </c>
      <c r="I517" s="286" t="s">
        <v>1199</v>
      </c>
      <c r="J517" s="286" t="s">
        <v>1312</v>
      </c>
      <c r="K517" s="286" t="s">
        <v>1812</v>
      </c>
      <c r="L517" s="286" t="s">
        <v>672</v>
      </c>
      <c r="M517" s="286">
        <v>1</v>
      </c>
      <c r="N517" s="287">
        <v>4160.21</v>
      </c>
      <c r="O517" s="287"/>
      <c r="P517" s="286" t="s">
        <v>58</v>
      </c>
    </row>
    <row r="518" spans="1:16" hidden="1" x14ac:dyDescent="0.15">
      <c r="A518" s="286">
        <v>278788</v>
      </c>
      <c r="B518" s="288">
        <v>45118.57708333333</v>
      </c>
      <c r="C518" s="286" t="s">
        <v>1649</v>
      </c>
      <c r="D518" s="286" t="s">
        <v>1105</v>
      </c>
      <c r="E518" s="286" t="s">
        <v>1106</v>
      </c>
      <c r="F518" s="286" t="s">
        <v>1712</v>
      </c>
      <c r="G518" s="286" t="s">
        <v>1078</v>
      </c>
      <c r="H518" s="286" t="s">
        <v>1078</v>
      </c>
      <c r="I518" s="286" t="s">
        <v>1228</v>
      </c>
      <c r="J518" s="286" t="s">
        <v>53</v>
      </c>
      <c r="K518" s="286" t="s">
        <v>53</v>
      </c>
      <c r="L518" s="286" t="s">
        <v>53</v>
      </c>
      <c r="M518" s="286" t="s">
        <v>53</v>
      </c>
      <c r="N518" s="287">
        <v>4079.47</v>
      </c>
      <c r="O518" s="287"/>
      <c r="P518" s="286" t="s">
        <v>58</v>
      </c>
    </row>
    <row r="519" spans="1:16" hidden="1" x14ac:dyDescent="0.15">
      <c r="A519" s="286">
        <v>170399</v>
      </c>
      <c r="B519" s="288">
        <v>44986.614583333336</v>
      </c>
      <c r="C519" s="286" t="s">
        <v>1640</v>
      </c>
      <c r="D519" s="286" t="s">
        <v>1105</v>
      </c>
      <c r="E519" s="286" t="s">
        <v>1106</v>
      </c>
      <c r="F519" s="286" t="s">
        <v>1720</v>
      </c>
      <c r="G519" s="286" t="s">
        <v>1016</v>
      </c>
      <c r="H519" s="286" t="s">
        <v>1016</v>
      </c>
      <c r="I519" s="286" t="s">
        <v>1199</v>
      </c>
      <c r="J519" s="286" t="s">
        <v>1312</v>
      </c>
      <c r="K519" s="286" t="s">
        <v>53</v>
      </c>
      <c r="L519" s="286" t="s">
        <v>53</v>
      </c>
      <c r="M519" s="286" t="s">
        <v>53</v>
      </c>
      <c r="N519" s="287">
        <v>4072.18</v>
      </c>
      <c r="O519" s="287"/>
      <c r="P519" s="286" t="s">
        <v>58</v>
      </c>
    </row>
    <row r="520" spans="1:16" hidden="1" x14ac:dyDescent="0.15">
      <c r="A520" s="286">
        <v>170298</v>
      </c>
      <c r="B520" s="288">
        <v>44986.623611111114</v>
      </c>
      <c r="C520" s="286" t="s">
        <v>1638</v>
      </c>
      <c r="D520" s="286" t="s">
        <v>1105</v>
      </c>
      <c r="E520" s="286" t="s">
        <v>1106</v>
      </c>
      <c r="F520" s="286" t="s">
        <v>1721</v>
      </c>
      <c r="G520" s="286" t="s">
        <v>1016</v>
      </c>
      <c r="H520" s="286" t="s">
        <v>1016</v>
      </c>
      <c r="I520" s="286" t="s">
        <v>1199</v>
      </c>
      <c r="J520" s="286" t="s">
        <v>1312</v>
      </c>
      <c r="K520" s="286" t="s">
        <v>53</v>
      </c>
      <c r="L520" s="286" t="s">
        <v>53</v>
      </c>
      <c r="M520" s="286" t="s">
        <v>53</v>
      </c>
      <c r="N520" s="287">
        <v>4072.18</v>
      </c>
      <c r="O520" s="287"/>
      <c r="P520" s="286" t="s">
        <v>58</v>
      </c>
    </row>
    <row r="521" spans="1:16" hidden="1" x14ac:dyDescent="0.15">
      <c r="A521" s="286">
        <v>185846</v>
      </c>
      <c r="B521" s="288">
        <v>45005.724305555559</v>
      </c>
      <c r="C521" s="286" t="s">
        <v>1667</v>
      </c>
      <c r="D521" s="286" t="s">
        <v>1105</v>
      </c>
      <c r="E521" s="286" t="s">
        <v>1106</v>
      </c>
      <c r="F521" s="286" t="s">
        <v>1702</v>
      </c>
      <c r="G521" s="286" t="s">
        <v>1016</v>
      </c>
      <c r="H521" s="286" t="s">
        <v>1016</v>
      </c>
      <c r="I521" s="286" t="s">
        <v>1199</v>
      </c>
      <c r="J521" s="286" t="s">
        <v>1312</v>
      </c>
      <c r="K521" s="286" t="s">
        <v>53</v>
      </c>
      <c r="L521" s="286" t="s">
        <v>53</v>
      </c>
      <c r="M521" s="286" t="s">
        <v>53</v>
      </c>
      <c r="N521" s="287">
        <v>4072.18</v>
      </c>
      <c r="O521" s="287"/>
      <c r="P521" s="286" t="s">
        <v>58</v>
      </c>
    </row>
    <row r="522" spans="1:16" hidden="1" x14ac:dyDescent="0.15">
      <c r="A522" s="286">
        <v>201556</v>
      </c>
      <c r="B522" s="288">
        <v>45029.540972222225</v>
      </c>
      <c r="C522" s="286" t="s">
        <v>1657</v>
      </c>
      <c r="D522" s="286" t="s">
        <v>1105</v>
      </c>
      <c r="E522" s="286" t="s">
        <v>1106</v>
      </c>
      <c r="F522" s="286" t="s">
        <v>1722</v>
      </c>
      <c r="G522" s="286" t="s">
        <v>1016</v>
      </c>
      <c r="H522" s="286" t="s">
        <v>1016</v>
      </c>
      <c r="I522" s="286" t="s">
        <v>1199</v>
      </c>
      <c r="J522" s="286" t="s">
        <v>1312</v>
      </c>
      <c r="K522" s="286" t="s">
        <v>53</v>
      </c>
      <c r="L522" s="286" t="s">
        <v>53</v>
      </c>
      <c r="M522" s="286" t="s">
        <v>53</v>
      </c>
      <c r="N522" s="287">
        <v>4072.18</v>
      </c>
      <c r="O522" s="287"/>
      <c r="P522" s="286" t="s">
        <v>58</v>
      </c>
    </row>
    <row r="523" spans="1:16" hidden="1" x14ac:dyDescent="0.15">
      <c r="A523" s="286">
        <v>225409</v>
      </c>
      <c r="B523" s="288">
        <v>45058.522222222222</v>
      </c>
      <c r="C523" s="286" t="s">
        <v>1665</v>
      </c>
      <c r="D523" s="286" t="s">
        <v>1105</v>
      </c>
      <c r="E523" s="286" t="s">
        <v>1106</v>
      </c>
      <c r="F523" s="286" t="s">
        <v>1723</v>
      </c>
      <c r="G523" s="286" t="s">
        <v>1016</v>
      </c>
      <c r="H523" s="286" t="s">
        <v>1016</v>
      </c>
      <c r="I523" s="286" t="s">
        <v>1199</v>
      </c>
      <c r="J523" s="286" t="s">
        <v>1312</v>
      </c>
      <c r="K523" s="286" t="s">
        <v>53</v>
      </c>
      <c r="L523" s="286" t="s">
        <v>53</v>
      </c>
      <c r="M523" s="286" t="s">
        <v>53</v>
      </c>
      <c r="N523" s="287">
        <v>4072.18</v>
      </c>
      <c r="O523" s="287"/>
      <c r="P523" s="286" t="s">
        <v>58</v>
      </c>
    </row>
    <row r="524" spans="1:16" hidden="1" x14ac:dyDescent="0.15">
      <c r="A524" s="286">
        <v>278788</v>
      </c>
      <c r="B524" s="288">
        <v>45118.57708333333</v>
      </c>
      <c r="C524" s="286" t="s">
        <v>1649</v>
      </c>
      <c r="D524" s="286" t="s">
        <v>1105</v>
      </c>
      <c r="E524" s="286" t="s">
        <v>1106</v>
      </c>
      <c r="F524" s="286" t="s">
        <v>1712</v>
      </c>
      <c r="G524" s="286" t="s">
        <v>1016</v>
      </c>
      <c r="H524" s="286" t="s">
        <v>1016</v>
      </c>
      <c r="I524" s="286" t="s">
        <v>1199</v>
      </c>
      <c r="J524" s="286" t="s">
        <v>53</v>
      </c>
      <c r="K524" s="286" t="s">
        <v>53</v>
      </c>
      <c r="L524" s="286" t="s">
        <v>53</v>
      </c>
      <c r="M524" s="286" t="s">
        <v>53</v>
      </c>
      <c r="N524" s="287">
        <v>4072.18</v>
      </c>
      <c r="O524" s="287"/>
      <c r="P524" s="286" t="s">
        <v>58</v>
      </c>
    </row>
    <row r="525" spans="1:16" hidden="1" x14ac:dyDescent="0.15">
      <c r="A525" s="286">
        <v>284271</v>
      </c>
      <c r="B525" s="288">
        <v>45121.682638888888</v>
      </c>
      <c r="C525" s="286" t="s">
        <v>1636</v>
      </c>
      <c r="D525" s="286" t="s">
        <v>1105</v>
      </c>
      <c r="E525" s="286" t="s">
        <v>1106</v>
      </c>
      <c r="F525" s="286" t="s">
        <v>1713</v>
      </c>
      <c r="G525" s="286" t="s">
        <v>1016</v>
      </c>
      <c r="H525" s="286" t="s">
        <v>1016</v>
      </c>
      <c r="I525" s="286" t="s">
        <v>1199</v>
      </c>
      <c r="J525" s="286" t="s">
        <v>53</v>
      </c>
      <c r="K525" s="286" t="s">
        <v>53</v>
      </c>
      <c r="L525" s="286" t="s">
        <v>53</v>
      </c>
      <c r="M525" s="286" t="s">
        <v>53</v>
      </c>
      <c r="N525" s="287">
        <v>4072.18</v>
      </c>
      <c r="O525" s="287"/>
      <c r="P525" s="286" t="s">
        <v>58</v>
      </c>
    </row>
    <row r="526" spans="1:16" hidden="1" x14ac:dyDescent="0.15">
      <c r="A526" s="286">
        <v>328287</v>
      </c>
      <c r="B526" s="288">
        <v>45161.62777777778</v>
      </c>
      <c r="C526" s="286" t="s">
        <v>1691</v>
      </c>
      <c r="D526" s="286" t="s">
        <v>1105</v>
      </c>
      <c r="E526" s="286" t="s">
        <v>1106</v>
      </c>
      <c r="F526" s="286" t="s">
        <v>1714</v>
      </c>
      <c r="G526" s="286" t="s">
        <v>1016</v>
      </c>
      <c r="H526" s="286" t="s">
        <v>1016</v>
      </c>
      <c r="I526" s="286" t="s">
        <v>1199</v>
      </c>
      <c r="J526" s="286" t="s">
        <v>53</v>
      </c>
      <c r="K526" s="286" t="s">
        <v>53</v>
      </c>
      <c r="L526" s="286" t="s">
        <v>53</v>
      </c>
      <c r="M526" s="286" t="s">
        <v>53</v>
      </c>
      <c r="N526" s="287">
        <v>4072.18</v>
      </c>
      <c r="O526" s="287"/>
      <c r="P526" s="286" t="s">
        <v>58</v>
      </c>
    </row>
    <row r="527" spans="1:16" hidden="1" x14ac:dyDescent="0.15">
      <c r="A527" s="286">
        <v>339870</v>
      </c>
      <c r="B527" s="288">
        <v>45177.481944444444</v>
      </c>
      <c r="C527" s="286" t="s">
        <v>1676</v>
      </c>
      <c r="D527" s="286" t="s">
        <v>1105</v>
      </c>
      <c r="E527" s="286" t="s">
        <v>1106</v>
      </c>
      <c r="F527" s="286" t="s">
        <v>1715</v>
      </c>
      <c r="G527" s="286" t="s">
        <v>1016</v>
      </c>
      <c r="H527" s="286" t="s">
        <v>1016</v>
      </c>
      <c r="I527" s="286" t="s">
        <v>1199</v>
      </c>
      <c r="J527" s="286" t="s">
        <v>53</v>
      </c>
      <c r="K527" s="286" t="s">
        <v>53</v>
      </c>
      <c r="L527" s="286" t="s">
        <v>53</v>
      </c>
      <c r="M527" s="286" t="s">
        <v>53</v>
      </c>
      <c r="N527" s="287">
        <v>4072.18</v>
      </c>
      <c r="O527" s="287"/>
      <c r="P527" s="286" t="s">
        <v>58</v>
      </c>
    </row>
    <row r="528" spans="1:16" hidden="1" x14ac:dyDescent="0.15">
      <c r="A528" s="286">
        <v>370270</v>
      </c>
      <c r="B528" s="288">
        <v>45208.668055555558</v>
      </c>
      <c r="C528" s="286" t="s">
        <v>1642</v>
      </c>
      <c r="D528" s="286" t="s">
        <v>1105</v>
      </c>
      <c r="E528" s="286" t="s">
        <v>1106</v>
      </c>
      <c r="F528" s="286" t="s">
        <v>1716</v>
      </c>
      <c r="G528" s="286" t="s">
        <v>1016</v>
      </c>
      <c r="H528" s="286" t="s">
        <v>1016</v>
      </c>
      <c r="I528" s="286" t="s">
        <v>1199</v>
      </c>
      <c r="J528" s="286" t="s">
        <v>53</v>
      </c>
      <c r="K528" s="286" t="s">
        <v>53</v>
      </c>
      <c r="L528" s="286" t="s">
        <v>53</v>
      </c>
      <c r="M528" s="286" t="s">
        <v>53</v>
      </c>
      <c r="N528" s="287">
        <v>4072.18</v>
      </c>
      <c r="O528" s="287"/>
      <c r="P528" s="286" t="s">
        <v>58</v>
      </c>
    </row>
    <row r="529" spans="1:16" hidden="1" x14ac:dyDescent="0.15">
      <c r="A529" s="286">
        <v>455146</v>
      </c>
      <c r="B529" s="288">
        <v>45310.510416666664</v>
      </c>
      <c r="C529" s="286" t="s">
        <v>1632</v>
      </c>
      <c r="D529" s="286" t="s">
        <v>1105</v>
      </c>
      <c r="E529" s="286" t="s">
        <v>1106</v>
      </c>
      <c r="F529" s="286" t="s">
        <v>1725</v>
      </c>
      <c r="G529" s="286" t="s">
        <v>1016</v>
      </c>
      <c r="H529" s="286" t="s">
        <v>1016</v>
      </c>
      <c r="I529" s="286" t="s">
        <v>1199</v>
      </c>
      <c r="J529" s="286" t="s">
        <v>53</v>
      </c>
      <c r="K529" s="286" t="s">
        <v>53</v>
      </c>
      <c r="L529" s="286" t="s">
        <v>53</v>
      </c>
      <c r="M529" s="286" t="s">
        <v>53</v>
      </c>
      <c r="N529" s="287">
        <v>4072.18</v>
      </c>
      <c r="O529" s="287"/>
      <c r="P529" s="286" t="s">
        <v>58</v>
      </c>
    </row>
    <row r="530" spans="1:16" hidden="1" x14ac:dyDescent="0.15">
      <c r="A530" s="286">
        <v>402221</v>
      </c>
      <c r="B530" s="288">
        <v>45243.579861111109</v>
      </c>
      <c r="C530" s="286" t="s">
        <v>1654</v>
      </c>
      <c r="D530" s="286" t="s">
        <v>1105</v>
      </c>
      <c r="E530" s="286" t="s">
        <v>1106</v>
      </c>
      <c r="F530" s="286" t="s">
        <v>1724</v>
      </c>
      <c r="G530" s="286" t="s">
        <v>1016</v>
      </c>
      <c r="H530" s="286" t="s">
        <v>1016</v>
      </c>
      <c r="I530" s="286" t="s">
        <v>1199</v>
      </c>
      <c r="J530" s="286" t="s">
        <v>53</v>
      </c>
      <c r="K530" s="286" t="s">
        <v>53</v>
      </c>
      <c r="L530" s="286" t="s">
        <v>53</v>
      </c>
      <c r="M530" s="286" t="s">
        <v>53</v>
      </c>
      <c r="N530" s="287">
        <v>4072.15</v>
      </c>
      <c r="O530" s="287"/>
      <c r="P530" s="286" t="s">
        <v>58</v>
      </c>
    </row>
    <row r="531" spans="1:16" hidden="1" x14ac:dyDescent="0.15">
      <c r="A531" s="286">
        <v>170399</v>
      </c>
      <c r="B531" s="288">
        <v>44986.614583333336</v>
      </c>
      <c r="C531" s="286" t="s">
        <v>1640</v>
      </c>
      <c r="D531" s="286" t="s">
        <v>1105</v>
      </c>
      <c r="E531" s="286" t="s">
        <v>1106</v>
      </c>
      <c r="F531" s="286" t="s">
        <v>1720</v>
      </c>
      <c r="G531" s="286" t="s">
        <v>1029</v>
      </c>
      <c r="H531" s="286" t="s">
        <v>1029</v>
      </c>
      <c r="I531" s="286" t="s">
        <v>1199</v>
      </c>
      <c r="J531" s="286" t="s">
        <v>1312</v>
      </c>
      <c r="K531" s="286" t="s">
        <v>53</v>
      </c>
      <c r="L531" s="286" t="s">
        <v>53</v>
      </c>
      <c r="M531" s="286" t="s">
        <v>53</v>
      </c>
      <c r="N531" s="287">
        <v>4051</v>
      </c>
      <c r="O531" s="287"/>
      <c r="P531" s="286" t="s">
        <v>58</v>
      </c>
    </row>
    <row r="532" spans="1:16" hidden="1" x14ac:dyDescent="0.15">
      <c r="A532" s="286">
        <v>170298</v>
      </c>
      <c r="B532" s="288">
        <v>44986.623611111114</v>
      </c>
      <c r="C532" s="286" t="s">
        <v>1638</v>
      </c>
      <c r="D532" s="286" t="s">
        <v>1105</v>
      </c>
      <c r="E532" s="286" t="s">
        <v>1106</v>
      </c>
      <c r="F532" s="286" t="s">
        <v>1721</v>
      </c>
      <c r="G532" s="286" t="s">
        <v>1029</v>
      </c>
      <c r="H532" s="286" t="s">
        <v>1029</v>
      </c>
      <c r="I532" s="286" t="s">
        <v>1199</v>
      </c>
      <c r="J532" s="286" t="s">
        <v>1312</v>
      </c>
      <c r="K532" s="286" t="s">
        <v>53</v>
      </c>
      <c r="L532" s="286" t="s">
        <v>53</v>
      </c>
      <c r="M532" s="286" t="s">
        <v>53</v>
      </c>
      <c r="N532" s="287">
        <v>4051</v>
      </c>
      <c r="O532" s="287"/>
      <c r="P532" s="286" t="s">
        <v>58</v>
      </c>
    </row>
    <row r="533" spans="1:16" hidden="1" x14ac:dyDescent="0.15">
      <c r="A533" s="286">
        <v>185846</v>
      </c>
      <c r="B533" s="288">
        <v>45005.724305555559</v>
      </c>
      <c r="C533" s="286" t="s">
        <v>1667</v>
      </c>
      <c r="D533" s="286" t="s">
        <v>1105</v>
      </c>
      <c r="E533" s="286" t="s">
        <v>1106</v>
      </c>
      <c r="F533" s="286" t="s">
        <v>1702</v>
      </c>
      <c r="G533" s="286" t="s">
        <v>1029</v>
      </c>
      <c r="H533" s="286" t="s">
        <v>1029</v>
      </c>
      <c r="I533" s="286" t="s">
        <v>1199</v>
      </c>
      <c r="J533" s="286" t="s">
        <v>1312</v>
      </c>
      <c r="K533" s="286" t="s">
        <v>53</v>
      </c>
      <c r="L533" s="286" t="s">
        <v>53</v>
      </c>
      <c r="M533" s="286" t="s">
        <v>53</v>
      </c>
      <c r="N533" s="287">
        <v>4051</v>
      </c>
      <c r="O533" s="287"/>
      <c r="P533" s="286" t="s">
        <v>58</v>
      </c>
    </row>
    <row r="534" spans="1:16" hidden="1" x14ac:dyDescent="0.15">
      <c r="A534" s="286">
        <v>201556</v>
      </c>
      <c r="B534" s="288">
        <v>45029.540972222225</v>
      </c>
      <c r="C534" s="286" t="s">
        <v>1657</v>
      </c>
      <c r="D534" s="286" t="s">
        <v>1105</v>
      </c>
      <c r="E534" s="286" t="s">
        <v>1106</v>
      </c>
      <c r="F534" s="286" t="s">
        <v>1722</v>
      </c>
      <c r="G534" s="286" t="s">
        <v>1029</v>
      </c>
      <c r="H534" s="286" t="s">
        <v>1029</v>
      </c>
      <c r="I534" s="286" t="s">
        <v>1199</v>
      </c>
      <c r="J534" s="286" t="s">
        <v>1312</v>
      </c>
      <c r="K534" s="286" t="s">
        <v>53</v>
      </c>
      <c r="L534" s="286" t="s">
        <v>53</v>
      </c>
      <c r="M534" s="286" t="s">
        <v>53</v>
      </c>
      <c r="N534" s="287">
        <v>4051</v>
      </c>
      <c r="O534" s="287"/>
      <c r="P534" s="286" t="s">
        <v>58</v>
      </c>
    </row>
    <row r="535" spans="1:16" hidden="1" x14ac:dyDescent="0.15">
      <c r="A535" s="286">
        <v>225409</v>
      </c>
      <c r="B535" s="288">
        <v>45058.522222222222</v>
      </c>
      <c r="C535" s="286" t="s">
        <v>1665</v>
      </c>
      <c r="D535" s="286" t="s">
        <v>1105</v>
      </c>
      <c r="E535" s="286" t="s">
        <v>1106</v>
      </c>
      <c r="F535" s="286" t="s">
        <v>1723</v>
      </c>
      <c r="G535" s="286" t="s">
        <v>1029</v>
      </c>
      <c r="H535" s="286" t="s">
        <v>1029</v>
      </c>
      <c r="I535" s="286" t="s">
        <v>1199</v>
      </c>
      <c r="J535" s="286" t="s">
        <v>1312</v>
      </c>
      <c r="K535" s="286" t="s">
        <v>53</v>
      </c>
      <c r="L535" s="286" t="s">
        <v>53</v>
      </c>
      <c r="M535" s="286" t="s">
        <v>53</v>
      </c>
      <c r="N535" s="287">
        <v>4051</v>
      </c>
      <c r="O535" s="287"/>
      <c r="P535" s="286" t="s">
        <v>58</v>
      </c>
    </row>
    <row r="536" spans="1:16" hidden="1" x14ac:dyDescent="0.15">
      <c r="A536" s="286">
        <v>339870</v>
      </c>
      <c r="B536" s="288">
        <v>45177.481944444444</v>
      </c>
      <c r="C536" s="286" t="s">
        <v>1676</v>
      </c>
      <c r="D536" s="286" t="s">
        <v>1105</v>
      </c>
      <c r="E536" s="286" t="s">
        <v>1106</v>
      </c>
      <c r="F536" s="286" t="s">
        <v>1715</v>
      </c>
      <c r="G536" s="286" t="s">
        <v>1029</v>
      </c>
      <c r="H536" s="286" t="s">
        <v>1029</v>
      </c>
      <c r="I536" s="286" t="s">
        <v>1199</v>
      </c>
      <c r="J536" s="286" t="s">
        <v>53</v>
      </c>
      <c r="K536" s="286" t="s">
        <v>53</v>
      </c>
      <c r="L536" s="286" t="s">
        <v>53</v>
      </c>
      <c r="M536" s="286" t="s">
        <v>53</v>
      </c>
      <c r="N536" s="287">
        <v>4044.96</v>
      </c>
      <c r="O536" s="287"/>
      <c r="P536" s="286" t="s">
        <v>58</v>
      </c>
    </row>
    <row r="537" spans="1:16" hidden="1" x14ac:dyDescent="0.15">
      <c r="A537" s="286">
        <v>370270</v>
      </c>
      <c r="B537" s="288">
        <v>45208.668055555558</v>
      </c>
      <c r="C537" s="286" t="s">
        <v>1642</v>
      </c>
      <c r="D537" s="286" t="s">
        <v>1105</v>
      </c>
      <c r="E537" s="286" t="s">
        <v>1106</v>
      </c>
      <c r="F537" s="286" t="s">
        <v>1716</v>
      </c>
      <c r="G537" s="286" t="s">
        <v>1029</v>
      </c>
      <c r="H537" s="286" t="s">
        <v>1029</v>
      </c>
      <c r="I537" s="286" t="s">
        <v>1199</v>
      </c>
      <c r="J537" s="286" t="s">
        <v>53</v>
      </c>
      <c r="K537" s="286" t="s">
        <v>53</v>
      </c>
      <c r="L537" s="286" t="s">
        <v>53</v>
      </c>
      <c r="M537" s="286" t="s">
        <v>53</v>
      </c>
      <c r="N537" s="287">
        <v>4044.96</v>
      </c>
      <c r="O537" s="287"/>
      <c r="P537" s="286" t="s">
        <v>58</v>
      </c>
    </row>
    <row r="538" spans="1:16" hidden="1" x14ac:dyDescent="0.15">
      <c r="A538" s="286">
        <v>402221</v>
      </c>
      <c r="B538" s="288">
        <v>45243.579861111109</v>
      </c>
      <c r="C538" s="286" t="s">
        <v>1654</v>
      </c>
      <c r="D538" s="286" t="s">
        <v>1105</v>
      </c>
      <c r="E538" s="286" t="s">
        <v>1106</v>
      </c>
      <c r="F538" s="286" t="s">
        <v>1724</v>
      </c>
      <c r="G538" s="286" t="s">
        <v>1029</v>
      </c>
      <c r="H538" s="286" t="s">
        <v>1029</v>
      </c>
      <c r="I538" s="286" t="s">
        <v>1199</v>
      </c>
      <c r="J538" s="286" t="s">
        <v>53</v>
      </c>
      <c r="K538" s="286" t="s">
        <v>53</v>
      </c>
      <c r="L538" s="286" t="s">
        <v>53</v>
      </c>
      <c r="M538" s="286" t="s">
        <v>53</v>
      </c>
      <c r="N538" s="287">
        <v>4044.96</v>
      </c>
      <c r="O538" s="287"/>
      <c r="P538" s="286" t="s">
        <v>58</v>
      </c>
    </row>
    <row r="539" spans="1:16" hidden="1" x14ac:dyDescent="0.15">
      <c r="A539" s="286">
        <v>455146</v>
      </c>
      <c r="B539" s="288">
        <v>45310.510416666664</v>
      </c>
      <c r="C539" s="286" t="s">
        <v>1632</v>
      </c>
      <c r="D539" s="286" t="s">
        <v>1105</v>
      </c>
      <c r="E539" s="286" t="s">
        <v>1106</v>
      </c>
      <c r="F539" s="286" t="s">
        <v>1725</v>
      </c>
      <c r="G539" s="286" t="s">
        <v>1029</v>
      </c>
      <c r="H539" s="286" t="s">
        <v>1029</v>
      </c>
      <c r="I539" s="286" t="s">
        <v>1199</v>
      </c>
      <c r="J539" s="286" t="s">
        <v>53</v>
      </c>
      <c r="K539" s="286" t="s">
        <v>53</v>
      </c>
      <c r="L539" s="286" t="s">
        <v>53</v>
      </c>
      <c r="M539" s="286" t="s">
        <v>53</v>
      </c>
      <c r="N539" s="287">
        <v>4044.96</v>
      </c>
      <c r="O539" s="287"/>
      <c r="P539" s="286" t="s">
        <v>58</v>
      </c>
    </row>
    <row r="540" spans="1:16" hidden="1" x14ac:dyDescent="0.15">
      <c r="A540" s="286">
        <v>328287</v>
      </c>
      <c r="B540" s="288">
        <v>45161.62777777778</v>
      </c>
      <c r="C540" s="286" t="s">
        <v>1691</v>
      </c>
      <c r="D540" s="286" t="s">
        <v>1105</v>
      </c>
      <c r="E540" s="286" t="s">
        <v>1106</v>
      </c>
      <c r="F540" s="286" t="s">
        <v>1714</v>
      </c>
      <c r="G540" s="286" t="s">
        <v>1035</v>
      </c>
      <c r="H540" s="286" t="s">
        <v>1035</v>
      </c>
      <c r="I540" s="286" t="s">
        <v>1199</v>
      </c>
      <c r="J540" s="286" t="s">
        <v>53</v>
      </c>
      <c r="K540" s="286" t="s">
        <v>53</v>
      </c>
      <c r="L540" s="286" t="s">
        <v>53</v>
      </c>
      <c r="M540" s="286" t="s">
        <v>53</v>
      </c>
      <c r="N540" s="287">
        <v>4028.15</v>
      </c>
      <c r="O540" s="287"/>
      <c r="P540" s="286" t="s">
        <v>58</v>
      </c>
    </row>
    <row r="541" spans="1:16" hidden="1" x14ac:dyDescent="0.15">
      <c r="A541" s="286">
        <v>339870</v>
      </c>
      <c r="B541" s="288">
        <v>45177.481944444444</v>
      </c>
      <c r="C541" s="286" t="s">
        <v>1676</v>
      </c>
      <c r="D541" s="286" t="s">
        <v>1105</v>
      </c>
      <c r="E541" s="286" t="s">
        <v>1106</v>
      </c>
      <c r="F541" s="286" t="s">
        <v>1715</v>
      </c>
      <c r="G541" s="286" t="s">
        <v>1035</v>
      </c>
      <c r="H541" s="286" t="s">
        <v>1035</v>
      </c>
      <c r="I541" s="286" t="s">
        <v>1199</v>
      </c>
      <c r="J541" s="286" t="s">
        <v>53</v>
      </c>
      <c r="K541" s="286" t="s">
        <v>53</v>
      </c>
      <c r="L541" s="286" t="s">
        <v>53</v>
      </c>
      <c r="M541" s="286" t="s">
        <v>53</v>
      </c>
      <c r="N541" s="287">
        <v>4028.15</v>
      </c>
      <c r="O541" s="287"/>
      <c r="P541" s="286" t="s">
        <v>58</v>
      </c>
    </row>
    <row r="542" spans="1:16" hidden="1" x14ac:dyDescent="0.15">
      <c r="A542" s="286">
        <v>370270</v>
      </c>
      <c r="B542" s="288">
        <v>45208.668055555558</v>
      </c>
      <c r="C542" s="286" t="s">
        <v>1642</v>
      </c>
      <c r="D542" s="286" t="s">
        <v>1105</v>
      </c>
      <c r="E542" s="286" t="s">
        <v>1106</v>
      </c>
      <c r="F542" s="286" t="s">
        <v>1716</v>
      </c>
      <c r="G542" s="286" t="s">
        <v>1035</v>
      </c>
      <c r="H542" s="286" t="s">
        <v>1035</v>
      </c>
      <c r="I542" s="286" t="s">
        <v>1199</v>
      </c>
      <c r="J542" s="286" t="s">
        <v>53</v>
      </c>
      <c r="K542" s="286" t="s">
        <v>53</v>
      </c>
      <c r="L542" s="286" t="s">
        <v>53</v>
      </c>
      <c r="M542" s="286" t="s">
        <v>53</v>
      </c>
      <c r="N542" s="287">
        <v>4028.15</v>
      </c>
      <c r="O542" s="287"/>
      <c r="P542" s="286" t="s">
        <v>58</v>
      </c>
    </row>
    <row r="543" spans="1:16" hidden="1" x14ac:dyDescent="0.15">
      <c r="A543" s="286">
        <v>402221</v>
      </c>
      <c r="B543" s="288">
        <v>45243.579861111109</v>
      </c>
      <c r="C543" s="286" t="s">
        <v>1654</v>
      </c>
      <c r="D543" s="286" t="s">
        <v>1105</v>
      </c>
      <c r="E543" s="286" t="s">
        <v>1106</v>
      </c>
      <c r="F543" s="286" t="s">
        <v>1724</v>
      </c>
      <c r="G543" s="286" t="s">
        <v>1035</v>
      </c>
      <c r="H543" s="286" t="s">
        <v>1035</v>
      </c>
      <c r="I543" s="286" t="s">
        <v>1199</v>
      </c>
      <c r="J543" s="286" t="s">
        <v>53</v>
      </c>
      <c r="K543" s="286" t="s">
        <v>53</v>
      </c>
      <c r="L543" s="286" t="s">
        <v>53</v>
      </c>
      <c r="M543" s="286" t="s">
        <v>53</v>
      </c>
      <c r="N543" s="287">
        <v>4028.15</v>
      </c>
      <c r="O543" s="287"/>
      <c r="P543" s="286" t="s">
        <v>58</v>
      </c>
    </row>
    <row r="544" spans="1:16" hidden="1" x14ac:dyDescent="0.15">
      <c r="A544" s="286">
        <v>455146</v>
      </c>
      <c r="B544" s="288">
        <v>45310.510416666664</v>
      </c>
      <c r="C544" s="286" t="s">
        <v>1632</v>
      </c>
      <c r="D544" s="286" t="s">
        <v>1105</v>
      </c>
      <c r="E544" s="286" t="s">
        <v>1106</v>
      </c>
      <c r="F544" s="286" t="s">
        <v>1725</v>
      </c>
      <c r="G544" s="286" t="s">
        <v>1035</v>
      </c>
      <c r="H544" s="286" t="s">
        <v>1035</v>
      </c>
      <c r="I544" s="286" t="s">
        <v>1199</v>
      </c>
      <c r="J544" s="286" t="s">
        <v>53</v>
      </c>
      <c r="K544" s="286" t="s">
        <v>53</v>
      </c>
      <c r="L544" s="286" t="s">
        <v>53</v>
      </c>
      <c r="M544" s="286" t="s">
        <v>53</v>
      </c>
      <c r="N544" s="287">
        <v>4028.15</v>
      </c>
      <c r="O544" s="287"/>
      <c r="P544" s="286" t="s">
        <v>58</v>
      </c>
    </row>
    <row r="545" spans="1:16" hidden="1" x14ac:dyDescent="0.15">
      <c r="A545" s="286">
        <v>437581</v>
      </c>
      <c r="B545" s="288">
        <v>45281.44027777778</v>
      </c>
      <c r="C545" s="286" t="s">
        <v>1632</v>
      </c>
      <c r="D545" s="286" t="s">
        <v>1105</v>
      </c>
      <c r="E545" s="286" t="s">
        <v>1106</v>
      </c>
      <c r="F545" s="286" t="s">
        <v>1741</v>
      </c>
      <c r="G545" s="286" t="s">
        <v>1039</v>
      </c>
      <c r="H545" s="286" t="s">
        <v>1039</v>
      </c>
      <c r="I545" s="286" t="s">
        <v>1228</v>
      </c>
      <c r="J545" s="286" t="s">
        <v>1312</v>
      </c>
      <c r="K545" s="286" t="s">
        <v>1805</v>
      </c>
      <c r="L545" s="286" t="s">
        <v>672</v>
      </c>
      <c r="M545" s="286">
        <v>1</v>
      </c>
      <c r="N545" s="287">
        <v>3965.02</v>
      </c>
      <c r="O545" s="287"/>
      <c r="P545" s="286" t="s">
        <v>58</v>
      </c>
    </row>
    <row r="546" spans="1:16" hidden="1" x14ac:dyDescent="0.15">
      <c r="A546" s="286">
        <v>225409</v>
      </c>
      <c r="B546" s="288">
        <v>45058.522222222222</v>
      </c>
      <c r="C546" s="286" t="s">
        <v>1665</v>
      </c>
      <c r="D546" s="286" t="s">
        <v>1105</v>
      </c>
      <c r="E546" s="286" t="s">
        <v>1106</v>
      </c>
      <c r="F546" s="286" t="s">
        <v>1723</v>
      </c>
      <c r="G546" s="286" t="s">
        <v>1025</v>
      </c>
      <c r="H546" s="286" t="s">
        <v>1025</v>
      </c>
      <c r="I546" s="286" t="s">
        <v>1199</v>
      </c>
      <c r="J546" s="286" t="s">
        <v>1312</v>
      </c>
      <c r="K546" s="286" t="s">
        <v>53</v>
      </c>
      <c r="L546" s="286" t="s">
        <v>53</v>
      </c>
      <c r="M546" s="286" t="s">
        <v>53</v>
      </c>
      <c r="N546" s="287">
        <v>3944.33</v>
      </c>
      <c r="O546" s="287"/>
      <c r="P546" s="286" t="s">
        <v>58</v>
      </c>
    </row>
    <row r="547" spans="1:16" hidden="1" x14ac:dyDescent="0.15">
      <c r="A547" s="286">
        <v>170499</v>
      </c>
      <c r="B547" s="288">
        <v>44986.615972222222</v>
      </c>
      <c r="C547" s="286" t="s">
        <v>1640</v>
      </c>
      <c r="D547" s="286" t="s">
        <v>1105</v>
      </c>
      <c r="E547" s="286" t="s">
        <v>1106</v>
      </c>
      <c r="F547" s="286" t="s">
        <v>1755</v>
      </c>
      <c r="G547" s="286" t="s">
        <v>1078</v>
      </c>
      <c r="H547" s="286" t="s">
        <v>1078</v>
      </c>
      <c r="I547" s="286" t="s">
        <v>1228</v>
      </c>
      <c r="J547" s="286" t="s">
        <v>1312</v>
      </c>
      <c r="K547" s="286" t="s">
        <v>53</v>
      </c>
      <c r="L547" s="286" t="s">
        <v>53</v>
      </c>
      <c r="M547" s="286" t="s">
        <v>53</v>
      </c>
      <c r="N547" s="287">
        <v>3875.5</v>
      </c>
      <c r="O547" s="287"/>
      <c r="P547" s="286" t="s">
        <v>58</v>
      </c>
    </row>
    <row r="548" spans="1:16" hidden="1" x14ac:dyDescent="0.15">
      <c r="A548" s="286">
        <v>170298</v>
      </c>
      <c r="B548" s="288">
        <v>44986.623611111114</v>
      </c>
      <c r="C548" s="286" t="s">
        <v>1638</v>
      </c>
      <c r="D548" s="286" t="s">
        <v>1105</v>
      </c>
      <c r="E548" s="286" t="s">
        <v>1106</v>
      </c>
      <c r="F548" s="286" t="s">
        <v>1721</v>
      </c>
      <c r="G548" s="286" t="s">
        <v>1078</v>
      </c>
      <c r="H548" s="286" t="s">
        <v>1078</v>
      </c>
      <c r="I548" s="286" t="s">
        <v>1228</v>
      </c>
      <c r="J548" s="286" t="s">
        <v>1312</v>
      </c>
      <c r="K548" s="286" t="s">
        <v>53</v>
      </c>
      <c r="L548" s="286" t="s">
        <v>53</v>
      </c>
      <c r="M548" s="286" t="s">
        <v>53</v>
      </c>
      <c r="N548" s="287">
        <v>3875.5</v>
      </c>
      <c r="O548" s="287"/>
      <c r="P548" s="286" t="s">
        <v>58</v>
      </c>
    </row>
    <row r="549" spans="1:16" hidden="1" x14ac:dyDescent="0.15">
      <c r="A549" s="286">
        <v>185846</v>
      </c>
      <c r="B549" s="288">
        <v>45005.724305555559</v>
      </c>
      <c r="C549" s="286" t="s">
        <v>1667</v>
      </c>
      <c r="D549" s="286" t="s">
        <v>1105</v>
      </c>
      <c r="E549" s="286" t="s">
        <v>1106</v>
      </c>
      <c r="F549" s="286" t="s">
        <v>1702</v>
      </c>
      <c r="G549" s="286" t="s">
        <v>1078</v>
      </c>
      <c r="H549" s="286" t="s">
        <v>1078</v>
      </c>
      <c r="I549" s="286" t="s">
        <v>1228</v>
      </c>
      <c r="J549" s="286" t="s">
        <v>1312</v>
      </c>
      <c r="K549" s="286" t="s">
        <v>53</v>
      </c>
      <c r="L549" s="286" t="s">
        <v>53</v>
      </c>
      <c r="M549" s="286" t="s">
        <v>53</v>
      </c>
      <c r="N549" s="287">
        <v>3875.5</v>
      </c>
      <c r="O549" s="287"/>
      <c r="P549" s="286" t="s">
        <v>58</v>
      </c>
    </row>
    <row r="550" spans="1:16" hidden="1" x14ac:dyDescent="0.15">
      <c r="A550" s="286">
        <v>201556</v>
      </c>
      <c r="B550" s="288">
        <v>45029.540972222225</v>
      </c>
      <c r="C550" s="286" t="s">
        <v>1657</v>
      </c>
      <c r="D550" s="286" t="s">
        <v>1105</v>
      </c>
      <c r="E550" s="286" t="s">
        <v>1106</v>
      </c>
      <c r="F550" s="286" t="s">
        <v>1722</v>
      </c>
      <c r="G550" s="286" t="s">
        <v>1078</v>
      </c>
      <c r="H550" s="286" t="s">
        <v>1078</v>
      </c>
      <c r="I550" s="286" t="s">
        <v>1228</v>
      </c>
      <c r="J550" s="286" t="s">
        <v>1312</v>
      </c>
      <c r="K550" s="286" t="s">
        <v>53</v>
      </c>
      <c r="L550" s="286" t="s">
        <v>53</v>
      </c>
      <c r="M550" s="286" t="s">
        <v>53</v>
      </c>
      <c r="N550" s="287">
        <v>3875.5</v>
      </c>
      <c r="O550" s="287"/>
      <c r="P550" s="286" t="s">
        <v>58</v>
      </c>
    </row>
    <row r="551" spans="1:16" hidden="1" x14ac:dyDescent="0.15">
      <c r="A551" s="286">
        <v>225409</v>
      </c>
      <c r="B551" s="288">
        <v>45058.522222222222</v>
      </c>
      <c r="C551" s="286" t="s">
        <v>1665</v>
      </c>
      <c r="D551" s="286" t="s">
        <v>1105</v>
      </c>
      <c r="E551" s="286" t="s">
        <v>1106</v>
      </c>
      <c r="F551" s="286" t="s">
        <v>1723</v>
      </c>
      <c r="G551" s="286" t="s">
        <v>1078</v>
      </c>
      <c r="H551" s="286" t="s">
        <v>1078</v>
      </c>
      <c r="I551" s="286" t="s">
        <v>1228</v>
      </c>
      <c r="J551" s="286" t="s">
        <v>1312</v>
      </c>
      <c r="K551" s="286" t="s">
        <v>53</v>
      </c>
      <c r="L551" s="286" t="s">
        <v>53</v>
      </c>
      <c r="M551" s="286" t="s">
        <v>53</v>
      </c>
      <c r="N551" s="287">
        <v>3875.5</v>
      </c>
      <c r="O551" s="287"/>
      <c r="P551" s="286" t="s">
        <v>58</v>
      </c>
    </row>
    <row r="552" spans="1:16" hidden="1" x14ac:dyDescent="0.15">
      <c r="A552" s="286">
        <v>455146</v>
      </c>
      <c r="B552" s="288">
        <v>45310.510416666664</v>
      </c>
      <c r="C552" s="286" t="s">
        <v>1632</v>
      </c>
      <c r="D552" s="286" t="s">
        <v>1105</v>
      </c>
      <c r="E552" s="286" t="s">
        <v>1106</v>
      </c>
      <c r="F552" s="286" t="s">
        <v>1725</v>
      </c>
      <c r="G552" s="286" t="s">
        <v>1069</v>
      </c>
      <c r="H552" s="286" t="s">
        <v>1069</v>
      </c>
      <c r="I552" s="286" t="s">
        <v>1228</v>
      </c>
      <c r="J552" s="286" t="s">
        <v>1312</v>
      </c>
      <c r="K552" s="286" t="s">
        <v>1813</v>
      </c>
      <c r="L552" s="286" t="s">
        <v>672</v>
      </c>
      <c r="M552" s="286">
        <v>1</v>
      </c>
      <c r="N552" s="287">
        <v>3845.92</v>
      </c>
      <c r="O552" s="287"/>
      <c r="P552" s="286" t="s">
        <v>58</v>
      </c>
    </row>
    <row r="553" spans="1:16" hidden="1" x14ac:dyDescent="0.15">
      <c r="A553" s="286">
        <v>170399</v>
      </c>
      <c r="B553" s="288">
        <v>44986.614583333336</v>
      </c>
      <c r="C553" s="286" t="s">
        <v>1640</v>
      </c>
      <c r="D553" s="286" t="s">
        <v>1105</v>
      </c>
      <c r="E553" s="286" t="s">
        <v>1106</v>
      </c>
      <c r="F553" s="286" t="s">
        <v>1720</v>
      </c>
      <c r="G553" s="286" t="s">
        <v>1035</v>
      </c>
      <c r="H553" s="286" t="s">
        <v>1035</v>
      </c>
      <c r="I553" s="286" t="s">
        <v>1199</v>
      </c>
      <c r="J553" s="286" t="s">
        <v>1312</v>
      </c>
      <c r="K553" s="286" t="s">
        <v>53</v>
      </c>
      <c r="L553" s="286" t="s">
        <v>53</v>
      </c>
      <c r="M553" s="286" t="s">
        <v>53</v>
      </c>
      <c r="N553" s="287">
        <v>3770.25</v>
      </c>
      <c r="O553" s="287"/>
      <c r="P553" s="286" t="s">
        <v>58</v>
      </c>
    </row>
    <row r="554" spans="1:16" hidden="1" x14ac:dyDescent="0.15">
      <c r="A554" s="286">
        <v>170298</v>
      </c>
      <c r="B554" s="288">
        <v>44986.623611111114</v>
      </c>
      <c r="C554" s="286" t="s">
        <v>1638</v>
      </c>
      <c r="D554" s="286" t="s">
        <v>1105</v>
      </c>
      <c r="E554" s="286" t="s">
        <v>1106</v>
      </c>
      <c r="F554" s="286" t="s">
        <v>1721</v>
      </c>
      <c r="G554" s="286" t="s">
        <v>1035</v>
      </c>
      <c r="H554" s="286" t="s">
        <v>1035</v>
      </c>
      <c r="I554" s="286" t="s">
        <v>1199</v>
      </c>
      <c r="J554" s="286" t="s">
        <v>1312</v>
      </c>
      <c r="K554" s="286" t="s">
        <v>53</v>
      </c>
      <c r="L554" s="286" t="s">
        <v>53</v>
      </c>
      <c r="M554" s="286" t="s">
        <v>53</v>
      </c>
      <c r="N554" s="287">
        <v>3770.25</v>
      </c>
      <c r="O554" s="287"/>
      <c r="P554" s="286" t="s">
        <v>58</v>
      </c>
    </row>
    <row r="555" spans="1:16" hidden="1" x14ac:dyDescent="0.15">
      <c r="A555" s="286">
        <v>185846</v>
      </c>
      <c r="B555" s="288">
        <v>45005.724305555559</v>
      </c>
      <c r="C555" s="286" t="s">
        <v>1667</v>
      </c>
      <c r="D555" s="286" t="s">
        <v>1105</v>
      </c>
      <c r="E555" s="286" t="s">
        <v>1106</v>
      </c>
      <c r="F555" s="286" t="s">
        <v>1702</v>
      </c>
      <c r="G555" s="286" t="s">
        <v>1035</v>
      </c>
      <c r="H555" s="286" t="s">
        <v>1035</v>
      </c>
      <c r="I555" s="286" t="s">
        <v>1199</v>
      </c>
      <c r="J555" s="286" t="s">
        <v>1312</v>
      </c>
      <c r="K555" s="286" t="s">
        <v>53</v>
      </c>
      <c r="L555" s="286" t="s">
        <v>53</v>
      </c>
      <c r="M555" s="286" t="s">
        <v>53</v>
      </c>
      <c r="N555" s="287">
        <v>3770.25</v>
      </c>
      <c r="O555" s="287"/>
      <c r="P555" s="286" t="s">
        <v>58</v>
      </c>
    </row>
    <row r="556" spans="1:16" hidden="1" x14ac:dyDescent="0.15">
      <c r="A556" s="286">
        <v>201556</v>
      </c>
      <c r="B556" s="288">
        <v>45029.540972222225</v>
      </c>
      <c r="C556" s="286" t="s">
        <v>1657</v>
      </c>
      <c r="D556" s="286" t="s">
        <v>1105</v>
      </c>
      <c r="E556" s="286" t="s">
        <v>1106</v>
      </c>
      <c r="F556" s="286" t="s">
        <v>1722</v>
      </c>
      <c r="G556" s="286" t="s">
        <v>1035</v>
      </c>
      <c r="H556" s="286" t="s">
        <v>1035</v>
      </c>
      <c r="I556" s="286" t="s">
        <v>1199</v>
      </c>
      <c r="J556" s="286" t="s">
        <v>1312</v>
      </c>
      <c r="K556" s="286" t="s">
        <v>53</v>
      </c>
      <c r="L556" s="286" t="s">
        <v>53</v>
      </c>
      <c r="M556" s="286" t="s">
        <v>53</v>
      </c>
      <c r="N556" s="287">
        <v>3770.25</v>
      </c>
      <c r="O556" s="287"/>
      <c r="P556" s="286" t="s">
        <v>58</v>
      </c>
    </row>
    <row r="557" spans="1:16" hidden="1" x14ac:dyDescent="0.15">
      <c r="A557" s="286">
        <v>225409</v>
      </c>
      <c r="B557" s="288">
        <v>45058.522222222222</v>
      </c>
      <c r="C557" s="286" t="s">
        <v>1665</v>
      </c>
      <c r="D557" s="286" t="s">
        <v>1105</v>
      </c>
      <c r="E557" s="286" t="s">
        <v>1106</v>
      </c>
      <c r="F557" s="286" t="s">
        <v>1723</v>
      </c>
      <c r="G557" s="286" t="s">
        <v>1035</v>
      </c>
      <c r="H557" s="286" t="s">
        <v>1035</v>
      </c>
      <c r="I557" s="286" t="s">
        <v>1199</v>
      </c>
      <c r="J557" s="286" t="s">
        <v>1312</v>
      </c>
      <c r="K557" s="286" t="s">
        <v>53</v>
      </c>
      <c r="L557" s="286" t="s">
        <v>53</v>
      </c>
      <c r="M557" s="286" t="s">
        <v>53</v>
      </c>
      <c r="N557" s="287">
        <v>3770.25</v>
      </c>
      <c r="O557" s="287"/>
      <c r="P557" s="286" t="s">
        <v>58</v>
      </c>
    </row>
    <row r="558" spans="1:16" hidden="1" x14ac:dyDescent="0.15">
      <c r="A558" s="286">
        <v>278788</v>
      </c>
      <c r="B558" s="288">
        <v>45118.57708333333</v>
      </c>
      <c r="C558" s="286" t="s">
        <v>1649</v>
      </c>
      <c r="D558" s="286" t="s">
        <v>1105</v>
      </c>
      <c r="E558" s="286" t="s">
        <v>1106</v>
      </c>
      <c r="F558" s="286" t="s">
        <v>1712</v>
      </c>
      <c r="G558" s="286" t="s">
        <v>1029</v>
      </c>
      <c r="H558" s="286" t="s">
        <v>1029</v>
      </c>
      <c r="I558" s="286" t="s">
        <v>1199</v>
      </c>
      <c r="J558" s="286" t="s">
        <v>53</v>
      </c>
      <c r="K558" s="286" t="s">
        <v>53</v>
      </c>
      <c r="L558" s="286" t="s">
        <v>53</v>
      </c>
      <c r="M558" s="286" t="s">
        <v>53</v>
      </c>
      <c r="N558" s="287">
        <v>3744.11</v>
      </c>
      <c r="O558" s="287"/>
      <c r="P558" s="286" t="s">
        <v>58</v>
      </c>
    </row>
    <row r="559" spans="1:16" hidden="1" x14ac:dyDescent="0.15">
      <c r="A559" s="286">
        <v>284271</v>
      </c>
      <c r="B559" s="288">
        <v>45121.682638888888</v>
      </c>
      <c r="C559" s="286" t="s">
        <v>1636</v>
      </c>
      <c r="D559" s="286" t="s">
        <v>1105</v>
      </c>
      <c r="E559" s="286" t="s">
        <v>1106</v>
      </c>
      <c r="F559" s="286" t="s">
        <v>1713</v>
      </c>
      <c r="G559" s="286" t="s">
        <v>1029</v>
      </c>
      <c r="H559" s="286" t="s">
        <v>1029</v>
      </c>
      <c r="I559" s="286" t="s">
        <v>1199</v>
      </c>
      <c r="J559" s="286" t="s">
        <v>53</v>
      </c>
      <c r="K559" s="286" t="s">
        <v>53</v>
      </c>
      <c r="L559" s="286" t="s">
        <v>53</v>
      </c>
      <c r="M559" s="286" t="s">
        <v>53</v>
      </c>
      <c r="N559" s="287">
        <v>3744.1</v>
      </c>
      <c r="O559" s="287"/>
      <c r="P559" s="286" t="s">
        <v>58</v>
      </c>
    </row>
    <row r="560" spans="1:16" hidden="1" x14ac:dyDescent="0.15">
      <c r="A560" s="286">
        <v>278788</v>
      </c>
      <c r="B560" s="288">
        <v>45118.57708333333</v>
      </c>
      <c r="C560" s="286" t="s">
        <v>1649</v>
      </c>
      <c r="D560" s="286" t="s">
        <v>1105</v>
      </c>
      <c r="E560" s="286" t="s">
        <v>1106</v>
      </c>
      <c r="F560" s="286" t="s">
        <v>1712</v>
      </c>
      <c r="G560" s="286" t="s">
        <v>1058</v>
      </c>
      <c r="H560" s="286" t="s">
        <v>1058</v>
      </c>
      <c r="I560" s="286" t="s">
        <v>1152</v>
      </c>
      <c r="J560" s="286" t="s">
        <v>53</v>
      </c>
      <c r="K560" s="286" t="s">
        <v>53</v>
      </c>
      <c r="L560" s="286" t="s">
        <v>53</v>
      </c>
      <c r="M560" s="286" t="s">
        <v>53</v>
      </c>
      <c r="N560" s="287">
        <v>3689.51</v>
      </c>
      <c r="O560" s="287"/>
      <c r="P560" s="286" t="s">
        <v>58</v>
      </c>
    </row>
    <row r="561" spans="1:16" hidden="1" x14ac:dyDescent="0.15">
      <c r="A561" s="286">
        <v>284271</v>
      </c>
      <c r="B561" s="288">
        <v>45121.682638888888</v>
      </c>
      <c r="C561" s="286" t="s">
        <v>1636</v>
      </c>
      <c r="D561" s="286" t="s">
        <v>1105</v>
      </c>
      <c r="E561" s="286" t="s">
        <v>1106</v>
      </c>
      <c r="F561" s="286" t="s">
        <v>1713</v>
      </c>
      <c r="G561" s="286" t="s">
        <v>1078</v>
      </c>
      <c r="H561" s="286" t="s">
        <v>1078</v>
      </c>
      <c r="I561" s="286" t="s">
        <v>1228</v>
      </c>
      <c r="J561" s="286" t="s">
        <v>53</v>
      </c>
      <c r="K561" s="286" t="s">
        <v>53</v>
      </c>
      <c r="L561" s="286" t="s">
        <v>53</v>
      </c>
      <c r="M561" s="286" t="s">
        <v>53</v>
      </c>
      <c r="N561" s="287">
        <v>3671.53</v>
      </c>
      <c r="O561" s="287"/>
      <c r="P561" s="286" t="s">
        <v>58</v>
      </c>
    </row>
    <row r="562" spans="1:16" hidden="1" x14ac:dyDescent="0.15">
      <c r="A562" s="286">
        <v>157971</v>
      </c>
      <c r="B562" s="288">
        <v>44971.615277777775</v>
      </c>
      <c r="C562" s="286" t="s">
        <v>1638</v>
      </c>
      <c r="D562" s="286" t="s">
        <v>1309</v>
      </c>
      <c r="E562" s="286" t="s">
        <v>1310</v>
      </c>
      <c r="F562" s="286" t="s">
        <v>1814</v>
      </c>
      <c r="G562" s="286" t="s">
        <v>1349</v>
      </c>
      <c r="H562" s="286" t="s">
        <v>1349</v>
      </c>
      <c r="I562" s="286" t="s">
        <v>1129</v>
      </c>
      <c r="J562" s="286" t="s">
        <v>1312</v>
      </c>
      <c r="K562" s="286" t="s">
        <v>1815</v>
      </c>
      <c r="L562" s="286" t="s">
        <v>1816</v>
      </c>
      <c r="M562" s="286">
        <v>4</v>
      </c>
      <c r="N562" s="287">
        <v>3653.68</v>
      </c>
      <c r="O562" s="287"/>
      <c r="P562" s="286" t="s">
        <v>164</v>
      </c>
    </row>
    <row r="563" spans="1:16" hidden="1" x14ac:dyDescent="0.15">
      <c r="A563" s="286">
        <v>166114</v>
      </c>
      <c r="B563" s="288">
        <v>44979.682638888888</v>
      </c>
      <c r="C563" s="286" t="s">
        <v>1638</v>
      </c>
      <c r="D563" s="286" t="s">
        <v>1309</v>
      </c>
      <c r="E563" s="286" t="s">
        <v>1310</v>
      </c>
      <c r="F563" s="286" t="s">
        <v>1817</v>
      </c>
      <c r="G563" s="286" t="s">
        <v>1349</v>
      </c>
      <c r="H563" s="286" t="s">
        <v>1349</v>
      </c>
      <c r="I563" s="286" t="s">
        <v>1129</v>
      </c>
      <c r="J563" s="286" t="s">
        <v>1312</v>
      </c>
      <c r="K563" s="286" t="s">
        <v>1815</v>
      </c>
      <c r="L563" s="286" t="s">
        <v>1816</v>
      </c>
      <c r="M563" s="286">
        <v>4</v>
      </c>
      <c r="N563" s="287">
        <v>3653.68</v>
      </c>
      <c r="O563" s="287"/>
      <c r="P563" s="286" t="s">
        <v>164</v>
      </c>
    </row>
    <row r="564" spans="1:16" hidden="1" x14ac:dyDescent="0.15">
      <c r="A564" s="286">
        <v>170399</v>
      </c>
      <c r="B564" s="288">
        <v>44986.614583333336</v>
      </c>
      <c r="C564" s="286" t="s">
        <v>1640</v>
      </c>
      <c r="D564" s="286" t="s">
        <v>1105</v>
      </c>
      <c r="E564" s="286" t="s">
        <v>1106</v>
      </c>
      <c r="F564" s="286" t="s">
        <v>1720</v>
      </c>
      <c r="G564" s="286" t="s">
        <v>1025</v>
      </c>
      <c r="H564" s="286" t="s">
        <v>1025</v>
      </c>
      <c r="I564" s="286" t="s">
        <v>1199</v>
      </c>
      <c r="J564" s="286" t="s">
        <v>1312</v>
      </c>
      <c r="K564" s="286" t="s">
        <v>53</v>
      </c>
      <c r="L564" s="286" t="s">
        <v>53</v>
      </c>
      <c r="M564" s="286" t="s">
        <v>53</v>
      </c>
      <c r="N564" s="287">
        <v>3630.25</v>
      </c>
      <c r="O564" s="287"/>
      <c r="P564" s="286" t="s">
        <v>58</v>
      </c>
    </row>
    <row r="565" spans="1:16" hidden="1" x14ac:dyDescent="0.15">
      <c r="A565" s="286">
        <v>170298</v>
      </c>
      <c r="B565" s="288">
        <v>44986.623611111114</v>
      </c>
      <c r="C565" s="286" t="s">
        <v>1638</v>
      </c>
      <c r="D565" s="286" t="s">
        <v>1105</v>
      </c>
      <c r="E565" s="286" t="s">
        <v>1106</v>
      </c>
      <c r="F565" s="286" t="s">
        <v>1721</v>
      </c>
      <c r="G565" s="286" t="s">
        <v>1025</v>
      </c>
      <c r="H565" s="286" t="s">
        <v>1025</v>
      </c>
      <c r="I565" s="286" t="s">
        <v>1199</v>
      </c>
      <c r="J565" s="286" t="s">
        <v>1312</v>
      </c>
      <c r="K565" s="286" t="s">
        <v>53</v>
      </c>
      <c r="L565" s="286" t="s">
        <v>53</v>
      </c>
      <c r="M565" s="286" t="s">
        <v>53</v>
      </c>
      <c r="N565" s="287">
        <v>3630.25</v>
      </c>
      <c r="O565" s="287"/>
      <c r="P565" s="286" t="s">
        <v>58</v>
      </c>
    </row>
    <row r="566" spans="1:16" hidden="1" x14ac:dyDescent="0.15">
      <c r="A566" s="286">
        <v>185846</v>
      </c>
      <c r="B566" s="288">
        <v>45005.724305555559</v>
      </c>
      <c r="C566" s="286" t="s">
        <v>1667</v>
      </c>
      <c r="D566" s="286" t="s">
        <v>1105</v>
      </c>
      <c r="E566" s="286" t="s">
        <v>1106</v>
      </c>
      <c r="F566" s="286" t="s">
        <v>1702</v>
      </c>
      <c r="G566" s="286" t="s">
        <v>1025</v>
      </c>
      <c r="H566" s="286" t="s">
        <v>1025</v>
      </c>
      <c r="I566" s="286" t="s">
        <v>1199</v>
      </c>
      <c r="J566" s="286" t="s">
        <v>1312</v>
      </c>
      <c r="K566" s="286" t="s">
        <v>53</v>
      </c>
      <c r="L566" s="286" t="s">
        <v>53</v>
      </c>
      <c r="M566" s="286" t="s">
        <v>53</v>
      </c>
      <c r="N566" s="287">
        <v>3630.25</v>
      </c>
      <c r="O566" s="287"/>
      <c r="P566" s="286" t="s">
        <v>58</v>
      </c>
    </row>
    <row r="567" spans="1:16" hidden="1" x14ac:dyDescent="0.15">
      <c r="A567" s="286">
        <v>201556</v>
      </c>
      <c r="B567" s="288">
        <v>45029.540972222225</v>
      </c>
      <c r="C567" s="286" t="s">
        <v>1657</v>
      </c>
      <c r="D567" s="286" t="s">
        <v>1105</v>
      </c>
      <c r="E567" s="286" t="s">
        <v>1106</v>
      </c>
      <c r="F567" s="286" t="s">
        <v>1722</v>
      </c>
      <c r="G567" s="286" t="s">
        <v>1025</v>
      </c>
      <c r="H567" s="286" t="s">
        <v>1025</v>
      </c>
      <c r="I567" s="286" t="s">
        <v>1199</v>
      </c>
      <c r="J567" s="286" t="s">
        <v>1312</v>
      </c>
      <c r="K567" s="286" t="s">
        <v>53</v>
      </c>
      <c r="L567" s="286" t="s">
        <v>53</v>
      </c>
      <c r="M567" s="286" t="s">
        <v>53</v>
      </c>
      <c r="N567" s="287">
        <v>3630.25</v>
      </c>
      <c r="O567" s="287"/>
      <c r="P567" s="286" t="s">
        <v>58</v>
      </c>
    </row>
    <row r="568" spans="1:16" hidden="1" x14ac:dyDescent="0.15">
      <c r="A568" s="286">
        <v>244277</v>
      </c>
      <c r="B568" s="288">
        <v>45079.719444444447</v>
      </c>
      <c r="C568" s="286" t="s">
        <v>1649</v>
      </c>
      <c r="D568" s="286" t="s">
        <v>1309</v>
      </c>
      <c r="E568" s="286" t="s">
        <v>1310</v>
      </c>
      <c r="F568" s="286" t="s">
        <v>1818</v>
      </c>
      <c r="G568" s="286" t="s">
        <v>1012</v>
      </c>
      <c r="H568" s="286" t="s">
        <v>1012</v>
      </c>
      <c r="I568" s="286" t="s">
        <v>1129</v>
      </c>
      <c r="J568" s="286" t="s">
        <v>1312</v>
      </c>
      <c r="K568" s="286" t="s">
        <v>1819</v>
      </c>
      <c r="L568" s="286" t="s">
        <v>1820</v>
      </c>
      <c r="M568" s="286">
        <v>1</v>
      </c>
      <c r="N568" s="287">
        <v>3578</v>
      </c>
      <c r="O568" s="287"/>
      <c r="P568" s="286" t="s">
        <v>164</v>
      </c>
    </row>
    <row r="569" spans="1:16" hidden="1" x14ac:dyDescent="0.15">
      <c r="A569" s="286">
        <v>328287</v>
      </c>
      <c r="B569" s="288">
        <v>45161.62777777778</v>
      </c>
      <c r="C569" s="286" t="s">
        <v>1691</v>
      </c>
      <c r="D569" s="286" t="s">
        <v>1105</v>
      </c>
      <c r="E569" s="286" t="s">
        <v>1106</v>
      </c>
      <c r="F569" s="286" t="s">
        <v>1714</v>
      </c>
      <c r="G569" s="286" t="s">
        <v>1007</v>
      </c>
      <c r="H569" s="286" t="s">
        <v>1007</v>
      </c>
      <c r="I569" s="286" t="s">
        <v>1199</v>
      </c>
      <c r="J569" s="286" t="s">
        <v>1312</v>
      </c>
      <c r="K569" s="286" t="s">
        <v>1787</v>
      </c>
      <c r="L569" s="286" t="s">
        <v>672</v>
      </c>
      <c r="M569" s="286">
        <v>1</v>
      </c>
      <c r="N569" s="287">
        <v>3551.7</v>
      </c>
      <c r="O569" s="287"/>
      <c r="P569" s="286" t="s">
        <v>58</v>
      </c>
    </row>
    <row r="570" spans="1:16" hidden="1" x14ac:dyDescent="0.15">
      <c r="A570" s="286">
        <v>328287</v>
      </c>
      <c r="B570" s="288">
        <v>45161.62777777778</v>
      </c>
      <c r="C570" s="286" t="s">
        <v>1691</v>
      </c>
      <c r="D570" s="286" t="s">
        <v>1105</v>
      </c>
      <c r="E570" s="286" t="s">
        <v>1106</v>
      </c>
      <c r="F570" s="286" t="s">
        <v>1714</v>
      </c>
      <c r="G570" s="286" t="s">
        <v>1007</v>
      </c>
      <c r="H570" s="286" t="s">
        <v>1007</v>
      </c>
      <c r="I570" s="286" t="s">
        <v>1152</v>
      </c>
      <c r="J570" s="286" t="s">
        <v>53</v>
      </c>
      <c r="K570" s="286" t="s">
        <v>53</v>
      </c>
      <c r="L570" s="286" t="s">
        <v>53</v>
      </c>
      <c r="M570" s="286" t="s">
        <v>53</v>
      </c>
      <c r="N570" s="287">
        <v>3530.05</v>
      </c>
      <c r="O570" s="287"/>
      <c r="P570" s="286" t="s">
        <v>58</v>
      </c>
    </row>
    <row r="571" spans="1:16" hidden="1" x14ac:dyDescent="0.15">
      <c r="A571" s="286">
        <v>278788</v>
      </c>
      <c r="B571" s="288">
        <v>45118.57708333333</v>
      </c>
      <c r="C571" s="286" t="s">
        <v>1649</v>
      </c>
      <c r="D571" s="286" t="s">
        <v>1105</v>
      </c>
      <c r="E571" s="286" t="s">
        <v>1106</v>
      </c>
      <c r="F571" s="286" t="s">
        <v>1712</v>
      </c>
      <c r="G571" s="286" t="s">
        <v>1027</v>
      </c>
      <c r="H571" s="286" t="s">
        <v>1027</v>
      </c>
      <c r="I571" s="286" t="s">
        <v>1228</v>
      </c>
      <c r="J571" s="286" t="s">
        <v>53</v>
      </c>
      <c r="K571" s="286" t="s">
        <v>53</v>
      </c>
      <c r="L571" s="286" t="s">
        <v>53</v>
      </c>
      <c r="M571" s="286" t="s">
        <v>53</v>
      </c>
      <c r="N571" s="287">
        <v>3473.07</v>
      </c>
      <c r="O571" s="287"/>
      <c r="P571" s="286" t="s">
        <v>58</v>
      </c>
    </row>
    <row r="572" spans="1:16" hidden="1" x14ac:dyDescent="0.15">
      <c r="A572" s="286">
        <v>284271</v>
      </c>
      <c r="B572" s="288">
        <v>45121.682638888888</v>
      </c>
      <c r="C572" s="286" t="s">
        <v>1636</v>
      </c>
      <c r="D572" s="286" t="s">
        <v>1105</v>
      </c>
      <c r="E572" s="286" t="s">
        <v>1106</v>
      </c>
      <c r="F572" s="286" t="s">
        <v>1713</v>
      </c>
      <c r="G572" s="286" t="s">
        <v>1027</v>
      </c>
      <c r="H572" s="286" t="s">
        <v>1027</v>
      </c>
      <c r="I572" s="286" t="s">
        <v>1228</v>
      </c>
      <c r="J572" s="286" t="s">
        <v>53</v>
      </c>
      <c r="K572" s="286" t="s">
        <v>53</v>
      </c>
      <c r="L572" s="286" t="s">
        <v>53</v>
      </c>
      <c r="M572" s="286" t="s">
        <v>53</v>
      </c>
      <c r="N572" s="287">
        <v>3473.07</v>
      </c>
      <c r="O572" s="287"/>
      <c r="P572" s="286" t="s">
        <v>58</v>
      </c>
    </row>
    <row r="573" spans="1:16" hidden="1" x14ac:dyDescent="0.15">
      <c r="A573" s="286">
        <v>328287</v>
      </c>
      <c r="B573" s="288">
        <v>45161.62777777778</v>
      </c>
      <c r="C573" s="286" t="s">
        <v>1691</v>
      </c>
      <c r="D573" s="286" t="s">
        <v>1105</v>
      </c>
      <c r="E573" s="286" t="s">
        <v>1106</v>
      </c>
      <c r="F573" s="286" t="s">
        <v>1714</v>
      </c>
      <c r="G573" s="286" t="s">
        <v>1027</v>
      </c>
      <c r="H573" s="286" t="s">
        <v>1027</v>
      </c>
      <c r="I573" s="286" t="s">
        <v>1228</v>
      </c>
      <c r="J573" s="286" t="s">
        <v>53</v>
      </c>
      <c r="K573" s="286" t="s">
        <v>53</v>
      </c>
      <c r="L573" s="286" t="s">
        <v>53</v>
      </c>
      <c r="M573" s="286" t="s">
        <v>53</v>
      </c>
      <c r="N573" s="287">
        <v>3473.07</v>
      </c>
      <c r="O573" s="287"/>
      <c r="P573" s="286" t="s">
        <v>58</v>
      </c>
    </row>
    <row r="574" spans="1:16" hidden="1" x14ac:dyDescent="0.15">
      <c r="A574" s="286">
        <v>339870</v>
      </c>
      <c r="B574" s="288">
        <v>45177.481944444444</v>
      </c>
      <c r="C574" s="286" t="s">
        <v>1676</v>
      </c>
      <c r="D574" s="286" t="s">
        <v>1105</v>
      </c>
      <c r="E574" s="286" t="s">
        <v>1106</v>
      </c>
      <c r="F574" s="286" t="s">
        <v>1715</v>
      </c>
      <c r="G574" s="286" t="s">
        <v>1027</v>
      </c>
      <c r="H574" s="286" t="s">
        <v>1027</v>
      </c>
      <c r="I574" s="286" t="s">
        <v>1228</v>
      </c>
      <c r="J574" s="286" t="s">
        <v>53</v>
      </c>
      <c r="K574" s="286" t="s">
        <v>53</v>
      </c>
      <c r="L574" s="286" t="s">
        <v>53</v>
      </c>
      <c r="M574" s="286" t="s">
        <v>53</v>
      </c>
      <c r="N574" s="287">
        <v>3473.07</v>
      </c>
      <c r="O574" s="287"/>
      <c r="P574" s="286" t="s">
        <v>58</v>
      </c>
    </row>
    <row r="575" spans="1:16" hidden="1" x14ac:dyDescent="0.15">
      <c r="A575" s="286">
        <v>370270</v>
      </c>
      <c r="B575" s="288">
        <v>45208.668055555558</v>
      </c>
      <c r="C575" s="286" t="s">
        <v>1642</v>
      </c>
      <c r="D575" s="286" t="s">
        <v>1105</v>
      </c>
      <c r="E575" s="286" t="s">
        <v>1106</v>
      </c>
      <c r="F575" s="286" t="s">
        <v>1716</v>
      </c>
      <c r="G575" s="286" t="s">
        <v>1027</v>
      </c>
      <c r="H575" s="286" t="s">
        <v>1027</v>
      </c>
      <c r="I575" s="286" t="s">
        <v>1228</v>
      </c>
      <c r="J575" s="286" t="s">
        <v>53</v>
      </c>
      <c r="K575" s="286" t="s">
        <v>53</v>
      </c>
      <c r="L575" s="286" t="s">
        <v>53</v>
      </c>
      <c r="M575" s="286" t="s">
        <v>53</v>
      </c>
      <c r="N575" s="287">
        <v>3473.07</v>
      </c>
      <c r="O575" s="287"/>
      <c r="P575" s="286" t="s">
        <v>58</v>
      </c>
    </row>
    <row r="576" spans="1:16" hidden="1" x14ac:dyDescent="0.15">
      <c r="A576" s="286">
        <v>402221</v>
      </c>
      <c r="B576" s="288">
        <v>45243.579861111109</v>
      </c>
      <c r="C576" s="286" t="s">
        <v>1654</v>
      </c>
      <c r="D576" s="286" t="s">
        <v>1105</v>
      </c>
      <c r="E576" s="286" t="s">
        <v>1106</v>
      </c>
      <c r="F576" s="286" t="s">
        <v>1724</v>
      </c>
      <c r="G576" s="286" t="s">
        <v>1027</v>
      </c>
      <c r="H576" s="286" t="s">
        <v>1027</v>
      </c>
      <c r="I576" s="286" t="s">
        <v>1228</v>
      </c>
      <c r="J576" s="286" t="s">
        <v>53</v>
      </c>
      <c r="K576" s="286" t="s">
        <v>53</v>
      </c>
      <c r="L576" s="286" t="s">
        <v>53</v>
      </c>
      <c r="M576" s="286" t="s">
        <v>53</v>
      </c>
      <c r="N576" s="287">
        <v>3473.07</v>
      </c>
      <c r="O576" s="287"/>
      <c r="P576" s="286" t="s">
        <v>58</v>
      </c>
    </row>
    <row r="577" spans="1:16" hidden="1" x14ac:dyDescent="0.15">
      <c r="A577" s="286">
        <v>455146</v>
      </c>
      <c r="B577" s="288">
        <v>45310.510416666664</v>
      </c>
      <c r="C577" s="286" t="s">
        <v>1632</v>
      </c>
      <c r="D577" s="286" t="s">
        <v>1105</v>
      </c>
      <c r="E577" s="286" t="s">
        <v>1106</v>
      </c>
      <c r="F577" s="286" t="s">
        <v>1725</v>
      </c>
      <c r="G577" s="286" t="s">
        <v>1027</v>
      </c>
      <c r="H577" s="286" t="s">
        <v>1027</v>
      </c>
      <c r="I577" s="286" t="s">
        <v>1228</v>
      </c>
      <c r="J577" s="286" t="s">
        <v>53</v>
      </c>
      <c r="K577" s="286" t="s">
        <v>53</v>
      </c>
      <c r="L577" s="286" t="s">
        <v>53</v>
      </c>
      <c r="M577" s="286" t="s">
        <v>53</v>
      </c>
      <c r="N577" s="287">
        <v>3473.04</v>
      </c>
      <c r="O577" s="287"/>
      <c r="P577" s="286" t="s">
        <v>58</v>
      </c>
    </row>
    <row r="578" spans="1:16" hidden="1" x14ac:dyDescent="0.15">
      <c r="A578" s="286">
        <v>328287</v>
      </c>
      <c r="B578" s="288">
        <v>45161.62777777778</v>
      </c>
      <c r="C578" s="286" t="s">
        <v>1691</v>
      </c>
      <c r="D578" s="286" t="s">
        <v>1105</v>
      </c>
      <c r="E578" s="286" t="s">
        <v>1106</v>
      </c>
      <c r="F578" s="286" t="s">
        <v>1714</v>
      </c>
      <c r="G578" s="286" t="s">
        <v>1029</v>
      </c>
      <c r="H578" s="286" t="s">
        <v>1029</v>
      </c>
      <c r="I578" s="286" t="s">
        <v>1199</v>
      </c>
      <c r="J578" s="286" t="s">
        <v>53</v>
      </c>
      <c r="K578" s="286" t="s">
        <v>53</v>
      </c>
      <c r="L578" s="286" t="s">
        <v>53</v>
      </c>
      <c r="M578" s="286" t="s">
        <v>53</v>
      </c>
      <c r="N578" s="287">
        <v>3453.31</v>
      </c>
      <c r="O578" s="287"/>
      <c r="P578" s="286" t="s">
        <v>58</v>
      </c>
    </row>
    <row r="579" spans="1:16" hidden="1" x14ac:dyDescent="0.15">
      <c r="A579" s="286">
        <v>170298</v>
      </c>
      <c r="B579" s="288">
        <v>44986.623611111114</v>
      </c>
      <c r="C579" s="286" t="s">
        <v>1638</v>
      </c>
      <c r="D579" s="286" t="s">
        <v>1105</v>
      </c>
      <c r="E579" s="286" t="s">
        <v>1106</v>
      </c>
      <c r="F579" s="286" t="s">
        <v>1721</v>
      </c>
      <c r="G579" s="286" t="s">
        <v>1027</v>
      </c>
      <c r="H579" s="286" t="s">
        <v>1027</v>
      </c>
      <c r="I579" s="286" t="s">
        <v>1228</v>
      </c>
      <c r="J579" s="286" t="s">
        <v>1312</v>
      </c>
      <c r="K579" s="286" t="s">
        <v>53</v>
      </c>
      <c r="L579" s="286" t="s">
        <v>53</v>
      </c>
      <c r="M579" s="286" t="s">
        <v>53</v>
      </c>
      <c r="N579" s="287">
        <v>3450.75</v>
      </c>
      <c r="O579" s="287"/>
      <c r="P579" s="286" t="s">
        <v>58</v>
      </c>
    </row>
    <row r="580" spans="1:16" hidden="1" x14ac:dyDescent="0.15">
      <c r="A580" s="286">
        <v>185846</v>
      </c>
      <c r="B580" s="288">
        <v>45005.724305555559</v>
      </c>
      <c r="C580" s="286" t="s">
        <v>1667</v>
      </c>
      <c r="D580" s="286" t="s">
        <v>1105</v>
      </c>
      <c r="E580" s="286" t="s">
        <v>1106</v>
      </c>
      <c r="F580" s="286" t="s">
        <v>1702</v>
      </c>
      <c r="G580" s="286" t="s">
        <v>1027</v>
      </c>
      <c r="H580" s="286" t="s">
        <v>1027</v>
      </c>
      <c r="I580" s="286" t="s">
        <v>1228</v>
      </c>
      <c r="J580" s="286" t="s">
        <v>1312</v>
      </c>
      <c r="K580" s="286" t="s">
        <v>53</v>
      </c>
      <c r="L580" s="286" t="s">
        <v>53</v>
      </c>
      <c r="M580" s="286" t="s">
        <v>53</v>
      </c>
      <c r="N580" s="287">
        <v>3450.75</v>
      </c>
      <c r="O580" s="287"/>
      <c r="P580" s="286" t="s">
        <v>58</v>
      </c>
    </row>
    <row r="581" spans="1:16" hidden="1" x14ac:dyDescent="0.15">
      <c r="A581" s="286">
        <v>201556</v>
      </c>
      <c r="B581" s="288">
        <v>45029.540972222225</v>
      </c>
      <c r="C581" s="286" t="s">
        <v>1657</v>
      </c>
      <c r="D581" s="286" t="s">
        <v>1105</v>
      </c>
      <c r="E581" s="286" t="s">
        <v>1106</v>
      </c>
      <c r="F581" s="286" t="s">
        <v>1722</v>
      </c>
      <c r="G581" s="286" t="s">
        <v>1027</v>
      </c>
      <c r="H581" s="286" t="s">
        <v>1027</v>
      </c>
      <c r="I581" s="286" t="s">
        <v>1228</v>
      </c>
      <c r="J581" s="286" t="s">
        <v>1312</v>
      </c>
      <c r="K581" s="286" t="s">
        <v>53</v>
      </c>
      <c r="L581" s="286" t="s">
        <v>53</v>
      </c>
      <c r="M581" s="286" t="s">
        <v>53</v>
      </c>
      <c r="N581" s="287">
        <v>3450.75</v>
      </c>
      <c r="O581" s="287"/>
      <c r="P581" s="286" t="s">
        <v>58</v>
      </c>
    </row>
    <row r="582" spans="1:16" hidden="1" x14ac:dyDescent="0.15">
      <c r="A582" s="286">
        <v>225409</v>
      </c>
      <c r="B582" s="288">
        <v>45058.522222222222</v>
      </c>
      <c r="C582" s="286" t="s">
        <v>1665</v>
      </c>
      <c r="D582" s="286" t="s">
        <v>1105</v>
      </c>
      <c r="E582" s="286" t="s">
        <v>1106</v>
      </c>
      <c r="F582" s="286" t="s">
        <v>1723</v>
      </c>
      <c r="G582" s="286" t="s">
        <v>1027</v>
      </c>
      <c r="H582" s="286" t="s">
        <v>1027</v>
      </c>
      <c r="I582" s="286" t="s">
        <v>1228</v>
      </c>
      <c r="J582" s="286" t="s">
        <v>1312</v>
      </c>
      <c r="K582" s="286" t="s">
        <v>53</v>
      </c>
      <c r="L582" s="286" t="s">
        <v>53</v>
      </c>
      <c r="M582" s="286" t="s">
        <v>53</v>
      </c>
      <c r="N582" s="287">
        <v>3450.75</v>
      </c>
      <c r="O582" s="287"/>
      <c r="P582" s="286" t="s">
        <v>58</v>
      </c>
    </row>
    <row r="583" spans="1:16" hidden="1" x14ac:dyDescent="0.15">
      <c r="A583" s="286">
        <v>278788</v>
      </c>
      <c r="B583" s="288">
        <v>45118.57708333333</v>
      </c>
      <c r="C583" s="286" t="s">
        <v>1649</v>
      </c>
      <c r="D583" s="286" t="s">
        <v>1105</v>
      </c>
      <c r="E583" s="286" t="s">
        <v>1106</v>
      </c>
      <c r="F583" s="286" t="s">
        <v>1712</v>
      </c>
      <c r="G583" s="286" t="s">
        <v>1040</v>
      </c>
      <c r="H583" s="286" t="s">
        <v>1040</v>
      </c>
      <c r="I583" s="286" t="s">
        <v>1228</v>
      </c>
      <c r="J583" s="286" t="s">
        <v>53</v>
      </c>
      <c r="K583" s="286" t="s">
        <v>53</v>
      </c>
      <c r="L583" s="286" t="s">
        <v>53</v>
      </c>
      <c r="M583" s="286" t="s">
        <v>53</v>
      </c>
      <c r="N583" s="287">
        <v>3312.18</v>
      </c>
      <c r="O583" s="287"/>
      <c r="P583" s="286" t="s">
        <v>58</v>
      </c>
    </row>
    <row r="584" spans="1:16" hidden="1" x14ac:dyDescent="0.15">
      <c r="A584" s="286">
        <v>284271</v>
      </c>
      <c r="B584" s="288">
        <v>45121.682638888888</v>
      </c>
      <c r="C584" s="286" t="s">
        <v>1636</v>
      </c>
      <c r="D584" s="286" t="s">
        <v>1105</v>
      </c>
      <c r="E584" s="286" t="s">
        <v>1106</v>
      </c>
      <c r="F584" s="286" t="s">
        <v>1713</v>
      </c>
      <c r="G584" s="286" t="s">
        <v>1040</v>
      </c>
      <c r="H584" s="286" t="s">
        <v>1040</v>
      </c>
      <c r="I584" s="286" t="s">
        <v>1228</v>
      </c>
      <c r="J584" s="286" t="s">
        <v>53</v>
      </c>
      <c r="K584" s="286" t="s">
        <v>53</v>
      </c>
      <c r="L584" s="286" t="s">
        <v>53</v>
      </c>
      <c r="M584" s="286" t="s">
        <v>53</v>
      </c>
      <c r="N584" s="287">
        <v>3312.18</v>
      </c>
      <c r="O584" s="287"/>
      <c r="P584" s="286" t="s">
        <v>58</v>
      </c>
    </row>
    <row r="585" spans="1:16" hidden="1" x14ac:dyDescent="0.15">
      <c r="A585" s="286">
        <v>328287</v>
      </c>
      <c r="B585" s="288">
        <v>45161.62777777778</v>
      </c>
      <c r="C585" s="286" t="s">
        <v>1691</v>
      </c>
      <c r="D585" s="286" t="s">
        <v>1105</v>
      </c>
      <c r="E585" s="286" t="s">
        <v>1106</v>
      </c>
      <c r="F585" s="286" t="s">
        <v>1714</v>
      </c>
      <c r="G585" s="286" t="s">
        <v>1040</v>
      </c>
      <c r="H585" s="286" t="s">
        <v>1040</v>
      </c>
      <c r="I585" s="286" t="s">
        <v>1228</v>
      </c>
      <c r="J585" s="286" t="s">
        <v>53</v>
      </c>
      <c r="K585" s="286" t="s">
        <v>53</v>
      </c>
      <c r="L585" s="286" t="s">
        <v>53</v>
      </c>
      <c r="M585" s="286" t="s">
        <v>53</v>
      </c>
      <c r="N585" s="287">
        <v>3312.18</v>
      </c>
      <c r="O585" s="287"/>
      <c r="P585" s="286" t="s">
        <v>58</v>
      </c>
    </row>
    <row r="586" spans="1:16" hidden="1" x14ac:dyDescent="0.15">
      <c r="A586" s="286">
        <v>339870</v>
      </c>
      <c r="B586" s="288">
        <v>45177.481944444444</v>
      </c>
      <c r="C586" s="286" t="s">
        <v>1676</v>
      </c>
      <c r="D586" s="286" t="s">
        <v>1105</v>
      </c>
      <c r="E586" s="286" t="s">
        <v>1106</v>
      </c>
      <c r="F586" s="286" t="s">
        <v>1715</v>
      </c>
      <c r="G586" s="286" t="s">
        <v>1040</v>
      </c>
      <c r="H586" s="286" t="s">
        <v>1040</v>
      </c>
      <c r="I586" s="286" t="s">
        <v>1228</v>
      </c>
      <c r="J586" s="286" t="s">
        <v>53</v>
      </c>
      <c r="K586" s="286" t="s">
        <v>53</v>
      </c>
      <c r="L586" s="286" t="s">
        <v>53</v>
      </c>
      <c r="M586" s="286" t="s">
        <v>53</v>
      </c>
      <c r="N586" s="287">
        <v>3312.18</v>
      </c>
      <c r="O586" s="287"/>
      <c r="P586" s="286" t="s">
        <v>58</v>
      </c>
    </row>
    <row r="587" spans="1:16" hidden="1" x14ac:dyDescent="0.15">
      <c r="A587" s="286">
        <v>370270</v>
      </c>
      <c r="B587" s="288">
        <v>45208.668055555558</v>
      </c>
      <c r="C587" s="286" t="s">
        <v>1642</v>
      </c>
      <c r="D587" s="286" t="s">
        <v>1105</v>
      </c>
      <c r="E587" s="286" t="s">
        <v>1106</v>
      </c>
      <c r="F587" s="286" t="s">
        <v>1716</v>
      </c>
      <c r="G587" s="286" t="s">
        <v>1040</v>
      </c>
      <c r="H587" s="286" t="s">
        <v>1040</v>
      </c>
      <c r="I587" s="286" t="s">
        <v>1228</v>
      </c>
      <c r="J587" s="286" t="s">
        <v>53</v>
      </c>
      <c r="K587" s="286" t="s">
        <v>53</v>
      </c>
      <c r="L587" s="286" t="s">
        <v>53</v>
      </c>
      <c r="M587" s="286" t="s">
        <v>53</v>
      </c>
      <c r="N587" s="287">
        <v>3312.18</v>
      </c>
      <c r="O587" s="287"/>
      <c r="P587" s="286" t="s">
        <v>58</v>
      </c>
    </row>
    <row r="588" spans="1:16" hidden="1" x14ac:dyDescent="0.15">
      <c r="A588" s="286">
        <v>402221</v>
      </c>
      <c r="B588" s="288">
        <v>45243.579861111109</v>
      </c>
      <c r="C588" s="286" t="s">
        <v>1654</v>
      </c>
      <c r="D588" s="286" t="s">
        <v>1105</v>
      </c>
      <c r="E588" s="286" t="s">
        <v>1106</v>
      </c>
      <c r="F588" s="286" t="s">
        <v>1724</v>
      </c>
      <c r="G588" s="286" t="s">
        <v>1040</v>
      </c>
      <c r="H588" s="286" t="s">
        <v>1040</v>
      </c>
      <c r="I588" s="286" t="s">
        <v>1228</v>
      </c>
      <c r="J588" s="286" t="s">
        <v>53</v>
      </c>
      <c r="K588" s="286" t="s">
        <v>53</v>
      </c>
      <c r="L588" s="286" t="s">
        <v>53</v>
      </c>
      <c r="M588" s="286" t="s">
        <v>53</v>
      </c>
      <c r="N588" s="287">
        <v>3312.18</v>
      </c>
      <c r="O588" s="287"/>
      <c r="P588" s="286" t="s">
        <v>58</v>
      </c>
    </row>
    <row r="589" spans="1:16" hidden="1" x14ac:dyDescent="0.15">
      <c r="A589" s="286">
        <v>455146</v>
      </c>
      <c r="B589" s="288">
        <v>45310.510416666664</v>
      </c>
      <c r="C589" s="286" t="s">
        <v>1632</v>
      </c>
      <c r="D589" s="286" t="s">
        <v>1105</v>
      </c>
      <c r="E589" s="286" t="s">
        <v>1106</v>
      </c>
      <c r="F589" s="286" t="s">
        <v>1725</v>
      </c>
      <c r="G589" s="286" t="s">
        <v>1040</v>
      </c>
      <c r="H589" s="286" t="s">
        <v>1040</v>
      </c>
      <c r="I589" s="286" t="s">
        <v>1228</v>
      </c>
      <c r="J589" s="286" t="s">
        <v>53</v>
      </c>
      <c r="K589" s="286" t="s">
        <v>53</v>
      </c>
      <c r="L589" s="286" t="s">
        <v>53</v>
      </c>
      <c r="M589" s="286" t="s">
        <v>53</v>
      </c>
      <c r="N589" s="287">
        <v>3312.18</v>
      </c>
      <c r="O589" s="287"/>
      <c r="P589" s="286" t="s">
        <v>58</v>
      </c>
    </row>
    <row r="590" spans="1:16" hidden="1" x14ac:dyDescent="0.15">
      <c r="A590" s="286">
        <v>278788</v>
      </c>
      <c r="B590" s="288">
        <v>45118.57708333333</v>
      </c>
      <c r="C590" s="286" t="s">
        <v>1649</v>
      </c>
      <c r="D590" s="286" t="s">
        <v>1105</v>
      </c>
      <c r="E590" s="286" t="s">
        <v>1106</v>
      </c>
      <c r="F590" s="286" t="s">
        <v>1712</v>
      </c>
      <c r="G590" s="286" t="s">
        <v>1011</v>
      </c>
      <c r="H590" s="286" t="s">
        <v>1011</v>
      </c>
      <c r="I590" s="286" t="s">
        <v>1152</v>
      </c>
      <c r="J590" s="286" t="s">
        <v>53</v>
      </c>
      <c r="K590" s="286" t="s">
        <v>53</v>
      </c>
      <c r="L590" s="286" t="s">
        <v>53</v>
      </c>
      <c r="M590" s="286" t="s">
        <v>53</v>
      </c>
      <c r="N590" s="287">
        <v>3255.73</v>
      </c>
      <c r="O590" s="287"/>
      <c r="P590" s="286" t="s">
        <v>58</v>
      </c>
    </row>
    <row r="591" spans="1:16" hidden="1" x14ac:dyDescent="0.15">
      <c r="A591" s="286">
        <v>284271</v>
      </c>
      <c r="B591" s="288">
        <v>45121.682638888888</v>
      </c>
      <c r="C591" s="286" t="s">
        <v>1636</v>
      </c>
      <c r="D591" s="286" t="s">
        <v>1105</v>
      </c>
      <c r="E591" s="286" t="s">
        <v>1106</v>
      </c>
      <c r="F591" s="286" t="s">
        <v>1713</v>
      </c>
      <c r="G591" s="286" t="s">
        <v>1011</v>
      </c>
      <c r="H591" s="286" t="s">
        <v>1011</v>
      </c>
      <c r="I591" s="286" t="s">
        <v>1152</v>
      </c>
      <c r="J591" s="286" t="s">
        <v>53</v>
      </c>
      <c r="K591" s="286" t="s">
        <v>53</v>
      </c>
      <c r="L591" s="286" t="s">
        <v>53</v>
      </c>
      <c r="M591" s="286" t="s">
        <v>53</v>
      </c>
      <c r="N591" s="287">
        <v>3255.73</v>
      </c>
      <c r="O591" s="287"/>
      <c r="P591" s="286" t="s">
        <v>58</v>
      </c>
    </row>
    <row r="592" spans="1:16" hidden="1" x14ac:dyDescent="0.15">
      <c r="A592" s="286">
        <v>328287</v>
      </c>
      <c r="B592" s="288">
        <v>45161.62777777778</v>
      </c>
      <c r="C592" s="286" t="s">
        <v>1691</v>
      </c>
      <c r="D592" s="286" t="s">
        <v>1105</v>
      </c>
      <c r="E592" s="286" t="s">
        <v>1106</v>
      </c>
      <c r="F592" s="286" t="s">
        <v>1714</v>
      </c>
      <c r="G592" s="286" t="s">
        <v>1011</v>
      </c>
      <c r="H592" s="286" t="s">
        <v>1011</v>
      </c>
      <c r="I592" s="286" t="s">
        <v>1152</v>
      </c>
      <c r="J592" s="286" t="s">
        <v>53</v>
      </c>
      <c r="K592" s="286" t="s">
        <v>53</v>
      </c>
      <c r="L592" s="286" t="s">
        <v>53</v>
      </c>
      <c r="M592" s="286" t="s">
        <v>53</v>
      </c>
      <c r="N592" s="287">
        <v>3255.73</v>
      </c>
      <c r="O592" s="287"/>
      <c r="P592" s="286" t="s">
        <v>58</v>
      </c>
    </row>
    <row r="593" spans="1:16" hidden="1" x14ac:dyDescent="0.15">
      <c r="A593" s="286">
        <v>339870</v>
      </c>
      <c r="B593" s="288">
        <v>45177.481944444444</v>
      </c>
      <c r="C593" s="286" t="s">
        <v>1676</v>
      </c>
      <c r="D593" s="286" t="s">
        <v>1105</v>
      </c>
      <c r="E593" s="286" t="s">
        <v>1106</v>
      </c>
      <c r="F593" s="286" t="s">
        <v>1715</v>
      </c>
      <c r="G593" s="286" t="s">
        <v>1011</v>
      </c>
      <c r="H593" s="286" t="s">
        <v>1011</v>
      </c>
      <c r="I593" s="286" t="s">
        <v>1152</v>
      </c>
      <c r="J593" s="286" t="s">
        <v>53</v>
      </c>
      <c r="K593" s="286" t="s">
        <v>53</v>
      </c>
      <c r="L593" s="286" t="s">
        <v>53</v>
      </c>
      <c r="M593" s="286" t="s">
        <v>53</v>
      </c>
      <c r="N593" s="287">
        <v>3255.73</v>
      </c>
      <c r="O593" s="287"/>
      <c r="P593" s="286" t="s">
        <v>58</v>
      </c>
    </row>
    <row r="594" spans="1:16" hidden="1" x14ac:dyDescent="0.15">
      <c r="A594" s="286">
        <v>370270</v>
      </c>
      <c r="B594" s="288">
        <v>45208.668055555558</v>
      </c>
      <c r="C594" s="286" t="s">
        <v>1642</v>
      </c>
      <c r="D594" s="286" t="s">
        <v>1105</v>
      </c>
      <c r="E594" s="286" t="s">
        <v>1106</v>
      </c>
      <c r="F594" s="286" t="s">
        <v>1716</v>
      </c>
      <c r="G594" s="286" t="s">
        <v>1011</v>
      </c>
      <c r="H594" s="286" t="s">
        <v>1011</v>
      </c>
      <c r="I594" s="286" t="s">
        <v>1152</v>
      </c>
      <c r="J594" s="286" t="s">
        <v>53</v>
      </c>
      <c r="K594" s="286" t="s">
        <v>53</v>
      </c>
      <c r="L594" s="286" t="s">
        <v>53</v>
      </c>
      <c r="M594" s="286" t="s">
        <v>53</v>
      </c>
      <c r="N594" s="287">
        <v>3255.73</v>
      </c>
      <c r="O594" s="287"/>
      <c r="P594" s="286" t="s">
        <v>58</v>
      </c>
    </row>
    <row r="595" spans="1:16" hidden="1" x14ac:dyDescent="0.15">
      <c r="A595" s="286">
        <v>402221</v>
      </c>
      <c r="B595" s="288">
        <v>45243.579861111109</v>
      </c>
      <c r="C595" s="286" t="s">
        <v>1654</v>
      </c>
      <c r="D595" s="286" t="s">
        <v>1105</v>
      </c>
      <c r="E595" s="286" t="s">
        <v>1106</v>
      </c>
      <c r="F595" s="286" t="s">
        <v>1724</v>
      </c>
      <c r="G595" s="286" t="s">
        <v>1011</v>
      </c>
      <c r="H595" s="286" t="s">
        <v>1011</v>
      </c>
      <c r="I595" s="286" t="s">
        <v>1152</v>
      </c>
      <c r="J595" s="286" t="s">
        <v>53</v>
      </c>
      <c r="K595" s="286" t="s">
        <v>53</v>
      </c>
      <c r="L595" s="286" t="s">
        <v>53</v>
      </c>
      <c r="M595" s="286" t="s">
        <v>53</v>
      </c>
      <c r="N595" s="287">
        <v>3255.73</v>
      </c>
      <c r="O595" s="287"/>
      <c r="P595" s="286" t="s">
        <v>58</v>
      </c>
    </row>
    <row r="596" spans="1:16" hidden="1" x14ac:dyDescent="0.15">
      <c r="A596" s="286">
        <v>455146</v>
      </c>
      <c r="B596" s="288">
        <v>45310.510416666664</v>
      </c>
      <c r="C596" s="286" t="s">
        <v>1632</v>
      </c>
      <c r="D596" s="286" t="s">
        <v>1105</v>
      </c>
      <c r="E596" s="286" t="s">
        <v>1106</v>
      </c>
      <c r="F596" s="286" t="s">
        <v>1725</v>
      </c>
      <c r="G596" s="286" t="s">
        <v>1011</v>
      </c>
      <c r="H596" s="286" t="s">
        <v>1011</v>
      </c>
      <c r="I596" s="286" t="s">
        <v>1152</v>
      </c>
      <c r="J596" s="286" t="s">
        <v>53</v>
      </c>
      <c r="K596" s="286" t="s">
        <v>53</v>
      </c>
      <c r="L596" s="286" t="s">
        <v>53</v>
      </c>
      <c r="M596" s="286" t="s">
        <v>53</v>
      </c>
      <c r="N596" s="287">
        <v>3255.73</v>
      </c>
      <c r="O596" s="287"/>
      <c r="P596" s="286" t="s">
        <v>58</v>
      </c>
    </row>
    <row r="597" spans="1:16" hidden="1" x14ac:dyDescent="0.15">
      <c r="A597" s="286">
        <v>370270</v>
      </c>
      <c r="B597" s="288">
        <v>45208.668055555558</v>
      </c>
      <c r="C597" s="286" t="s">
        <v>1642</v>
      </c>
      <c r="D597" s="286" t="s">
        <v>1105</v>
      </c>
      <c r="E597" s="286" t="s">
        <v>1106</v>
      </c>
      <c r="F597" s="286" t="s">
        <v>1716</v>
      </c>
      <c r="G597" s="286" t="s">
        <v>1010</v>
      </c>
      <c r="H597" s="286" t="s">
        <v>1010</v>
      </c>
      <c r="I597" s="286" t="s">
        <v>1199</v>
      </c>
      <c r="J597" s="286" t="s">
        <v>53</v>
      </c>
      <c r="K597" s="286" t="s">
        <v>53</v>
      </c>
      <c r="L597" s="286" t="s">
        <v>53</v>
      </c>
      <c r="M597" s="286" t="s">
        <v>53</v>
      </c>
      <c r="N597" s="287">
        <v>3250.66</v>
      </c>
      <c r="O597" s="287"/>
      <c r="P597" s="286" t="s">
        <v>58</v>
      </c>
    </row>
    <row r="598" spans="1:16" hidden="1" x14ac:dyDescent="0.15">
      <c r="A598" s="286">
        <v>225409</v>
      </c>
      <c r="B598" s="288">
        <v>45058.522222222222</v>
      </c>
      <c r="C598" s="286" t="s">
        <v>1665</v>
      </c>
      <c r="D598" s="286" t="s">
        <v>1105</v>
      </c>
      <c r="E598" s="286" t="s">
        <v>1106</v>
      </c>
      <c r="F598" s="286" t="s">
        <v>1723</v>
      </c>
      <c r="G598" s="286" t="s">
        <v>1011</v>
      </c>
      <c r="H598" s="286" t="s">
        <v>1011</v>
      </c>
      <c r="I598" s="286" t="s">
        <v>1152</v>
      </c>
      <c r="J598" s="286" t="s">
        <v>1312</v>
      </c>
      <c r="K598" s="286" t="s">
        <v>53</v>
      </c>
      <c r="L598" s="286" t="s">
        <v>53</v>
      </c>
      <c r="M598" s="286" t="s">
        <v>53</v>
      </c>
      <c r="N598" s="287">
        <v>3243.42</v>
      </c>
      <c r="O598" s="287"/>
      <c r="P598" s="286" t="s">
        <v>58</v>
      </c>
    </row>
    <row r="599" spans="1:16" hidden="1" x14ac:dyDescent="0.15">
      <c r="A599" s="286">
        <v>341101</v>
      </c>
      <c r="B599" s="288">
        <v>45177.685416666667</v>
      </c>
      <c r="C599" s="286" t="s">
        <v>1691</v>
      </c>
      <c r="D599" s="286" t="s">
        <v>1105</v>
      </c>
      <c r="E599" s="286" t="s">
        <v>1106</v>
      </c>
      <c r="F599" s="286" t="s">
        <v>1730</v>
      </c>
      <c r="G599" s="286" t="s">
        <v>1041</v>
      </c>
      <c r="H599" s="286" t="s">
        <v>1041</v>
      </c>
      <c r="I599" s="286" t="s">
        <v>1199</v>
      </c>
      <c r="J599" s="286" t="s">
        <v>1312</v>
      </c>
      <c r="K599" s="286" t="s">
        <v>53</v>
      </c>
      <c r="L599" s="286" t="s">
        <v>53</v>
      </c>
      <c r="M599" s="286" t="s">
        <v>53</v>
      </c>
      <c r="N599" s="287">
        <v>3202.75</v>
      </c>
      <c r="O599" s="287"/>
      <c r="P599" s="286" t="s">
        <v>58</v>
      </c>
    </row>
    <row r="600" spans="1:16" hidden="1" x14ac:dyDescent="0.15">
      <c r="A600" s="286">
        <v>170399</v>
      </c>
      <c r="B600" s="288">
        <v>44986.614583333336</v>
      </c>
      <c r="C600" s="286" t="s">
        <v>1640</v>
      </c>
      <c r="D600" s="286" t="s">
        <v>1105</v>
      </c>
      <c r="E600" s="286" t="s">
        <v>1106</v>
      </c>
      <c r="F600" s="286" t="s">
        <v>1720</v>
      </c>
      <c r="G600" s="286" t="s">
        <v>1316</v>
      </c>
      <c r="H600" s="286" t="s">
        <v>1316</v>
      </c>
      <c r="I600" s="286" t="s">
        <v>1199</v>
      </c>
      <c r="J600" s="286" t="s">
        <v>1312</v>
      </c>
      <c r="K600" s="286" t="s">
        <v>53</v>
      </c>
      <c r="L600" s="286" t="s">
        <v>53</v>
      </c>
      <c r="M600" s="286" t="s">
        <v>53</v>
      </c>
      <c r="N600" s="287">
        <v>3195</v>
      </c>
      <c r="O600" s="287"/>
      <c r="P600" s="286" t="s">
        <v>58</v>
      </c>
    </row>
    <row r="601" spans="1:16" hidden="1" x14ac:dyDescent="0.15">
      <c r="A601" s="286">
        <v>170298</v>
      </c>
      <c r="B601" s="288">
        <v>44986.623611111114</v>
      </c>
      <c r="C601" s="286" t="s">
        <v>1638</v>
      </c>
      <c r="D601" s="286" t="s">
        <v>1105</v>
      </c>
      <c r="E601" s="286" t="s">
        <v>1106</v>
      </c>
      <c r="F601" s="286" t="s">
        <v>1721</v>
      </c>
      <c r="G601" s="286" t="s">
        <v>1316</v>
      </c>
      <c r="H601" s="286" t="s">
        <v>1316</v>
      </c>
      <c r="I601" s="286" t="s">
        <v>1199</v>
      </c>
      <c r="J601" s="286" t="s">
        <v>1312</v>
      </c>
      <c r="K601" s="286" t="s">
        <v>53</v>
      </c>
      <c r="L601" s="286" t="s">
        <v>53</v>
      </c>
      <c r="M601" s="286" t="s">
        <v>53</v>
      </c>
      <c r="N601" s="287">
        <v>3195</v>
      </c>
      <c r="O601" s="287"/>
      <c r="P601" s="286" t="s">
        <v>58</v>
      </c>
    </row>
    <row r="602" spans="1:16" hidden="1" x14ac:dyDescent="0.15">
      <c r="A602" s="286">
        <v>185846</v>
      </c>
      <c r="B602" s="288">
        <v>45005.724305555559</v>
      </c>
      <c r="C602" s="286" t="s">
        <v>1667</v>
      </c>
      <c r="D602" s="286" t="s">
        <v>1105</v>
      </c>
      <c r="E602" s="286" t="s">
        <v>1106</v>
      </c>
      <c r="F602" s="286" t="s">
        <v>1702</v>
      </c>
      <c r="G602" s="286" t="s">
        <v>1316</v>
      </c>
      <c r="H602" s="286" t="s">
        <v>1316</v>
      </c>
      <c r="I602" s="286" t="s">
        <v>1199</v>
      </c>
      <c r="J602" s="286" t="s">
        <v>1312</v>
      </c>
      <c r="K602" s="286" t="s">
        <v>53</v>
      </c>
      <c r="L602" s="286" t="s">
        <v>53</v>
      </c>
      <c r="M602" s="286" t="s">
        <v>53</v>
      </c>
      <c r="N602" s="287">
        <v>3195</v>
      </c>
      <c r="O602" s="287"/>
      <c r="P602" s="286" t="s">
        <v>58</v>
      </c>
    </row>
    <row r="603" spans="1:16" hidden="1" x14ac:dyDescent="0.15">
      <c r="A603" s="286">
        <v>201556</v>
      </c>
      <c r="B603" s="288">
        <v>45029.540972222225</v>
      </c>
      <c r="C603" s="286" t="s">
        <v>1657</v>
      </c>
      <c r="D603" s="286" t="s">
        <v>1105</v>
      </c>
      <c r="E603" s="286" t="s">
        <v>1106</v>
      </c>
      <c r="F603" s="286" t="s">
        <v>1722</v>
      </c>
      <c r="G603" s="286" t="s">
        <v>1316</v>
      </c>
      <c r="H603" s="286" t="s">
        <v>1316</v>
      </c>
      <c r="I603" s="286" t="s">
        <v>1199</v>
      </c>
      <c r="J603" s="286" t="s">
        <v>1312</v>
      </c>
      <c r="K603" s="286" t="s">
        <v>53</v>
      </c>
      <c r="L603" s="286" t="s">
        <v>53</v>
      </c>
      <c r="M603" s="286" t="s">
        <v>53</v>
      </c>
      <c r="N603" s="287">
        <v>3195</v>
      </c>
      <c r="O603" s="287"/>
      <c r="P603" s="286" t="s">
        <v>58</v>
      </c>
    </row>
    <row r="604" spans="1:16" hidden="1" x14ac:dyDescent="0.15">
      <c r="A604" s="286">
        <v>225409</v>
      </c>
      <c r="B604" s="288">
        <v>45058.522222222222</v>
      </c>
      <c r="C604" s="286" t="s">
        <v>1665</v>
      </c>
      <c r="D604" s="286" t="s">
        <v>1105</v>
      </c>
      <c r="E604" s="286" t="s">
        <v>1106</v>
      </c>
      <c r="F604" s="286" t="s">
        <v>1723</v>
      </c>
      <c r="G604" s="286" t="s">
        <v>1316</v>
      </c>
      <c r="H604" s="286" t="s">
        <v>1316</v>
      </c>
      <c r="I604" s="286" t="s">
        <v>1199</v>
      </c>
      <c r="J604" s="286" t="s">
        <v>1312</v>
      </c>
      <c r="K604" s="286" t="s">
        <v>53</v>
      </c>
      <c r="L604" s="286" t="s">
        <v>53</v>
      </c>
      <c r="M604" s="286" t="s">
        <v>53</v>
      </c>
      <c r="N604" s="287">
        <v>3195</v>
      </c>
      <c r="O604" s="287"/>
      <c r="P604" s="286" t="s">
        <v>58</v>
      </c>
    </row>
    <row r="605" spans="1:16" hidden="1" x14ac:dyDescent="0.15">
      <c r="A605" s="286">
        <v>284271</v>
      </c>
      <c r="B605" s="288">
        <v>45121.682638888888</v>
      </c>
      <c r="C605" s="286" t="s">
        <v>1636</v>
      </c>
      <c r="D605" s="286" t="s">
        <v>1105</v>
      </c>
      <c r="E605" s="286" t="s">
        <v>1106</v>
      </c>
      <c r="F605" s="286" t="s">
        <v>1713</v>
      </c>
      <c r="G605" s="286" t="s">
        <v>1084</v>
      </c>
      <c r="H605" s="286" t="s">
        <v>1442</v>
      </c>
      <c r="I605" s="286" t="s">
        <v>1228</v>
      </c>
      <c r="J605" s="286" t="s">
        <v>53</v>
      </c>
      <c r="K605" s="286" t="s">
        <v>53</v>
      </c>
      <c r="L605" s="286" t="s">
        <v>53</v>
      </c>
      <c r="M605" s="286" t="s">
        <v>53</v>
      </c>
      <c r="N605" s="287">
        <v>3178.48</v>
      </c>
      <c r="O605" s="287"/>
      <c r="P605" s="286" t="s">
        <v>58</v>
      </c>
    </row>
    <row r="606" spans="1:16" hidden="1" x14ac:dyDescent="0.15">
      <c r="A606" s="286">
        <v>328287</v>
      </c>
      <c r="B606" s="288">
        <v>45161.62777777778</v>
      </c>
      <c r="C606" s="286" t="s">
        <v>1691</v>
      </c>
      <c r="D606" s="286" t="s">
        <v>1105</v>
      </c>
      <c r="E606" s="286" t="s">
        <v>1106</v>
      </c>
      <c r="F606" s="286" t="s">
        <v>1714</v>
      </c>
      <c r="G606" s="286" t="s">
        <v>1084</v>
      </c>
      <c r="H606" s="286" t="s">
        <v>1442</v>
      </c>
      <c r="I606" s="286" t="s">
        <v>1228</v>
      </c>
      <c r="J606" s="286" t="s">
        <v>53</v>
      </c>
      <c r="K606" s="286" t="s">
        <v>53</v>
      </c>
      <c r="L606" s="286" t="s">
        <v>53</v>
      </c>
      <c r="M606" s="286" t="s">
        <v>53</v>
      </c>
      <c r="N606" s="287">
        <v>3178.48</v>
      </c>
      <c r="O606" s="287"/>
      <c r="P606" s="286" t="s">
        <v>58</v>
      </c>
    </row>
    <row r="607" spans="1:16" hidden="1" x14ac:dyDescent="0.15">
      <c r="A607" s="286">
        <v>339870</v>
      </c>
      <c r="B607" s="288">
        <v>45177.481944444444</v>
      </c>
      <c r="C607" s="286" t="s">
        <v>1676</v>
      </c>
      <c r="D607" s="286" t="s">
        <v>1105</v>
      </c>
      <c r="E607" s="286" t="s">
        <v>1106</v>
      </c>
      <c r="F607" s="286" t="s">
        <v>1715</v>
      </c>
      <c r="G607" s="286" t="s">
        <v>1084</v>
      </c>
      <c r="H607" s="286" t="s">
        <v>1442</v>
      </c>
      <c r="I607" s="286" t="s">
        <v>1228</v>
      </c>
      <c r="J607" s="286" t="s">
        <v>53</v>
      </c>
      <c r="K607" s="286" t="s">
        <v>53</v>
      </c>
      <c r="L607" s="286" t="s">
        <v>53</v>
      </c>
      <c r="M607" s="286" t="s">
        <v>53</v>
      </c>
      <c r="N607" s="287">
        <v>3178.48</v>
      </c>
      <c r="O607" s="287"/>
      <c r="P607" s="286" t="s">
        <v>58</v>
      </c>
    </row>
    <row r="608" spans="1:16" hidden="1" x14ac:dyDescent="0.15">
      <c r="A608" s="286">
        <v>370270</v>
      </c>
      <c r="B608" s="288">
        <v>45208.668055555558</v>
      </c>
      <c r="C608" s="286" t="s">
        <v>1642</v>
      </c>
      <c r="D608" s="286" t="s">
        <v>1105</v>
      </c>
      <c r="E608" s="286" t="s">
        <v>1106</v>
      </c>
      <c r="F608" s="286" t="s">
        <v>1716</v>
      </c>
      <c r="G608" s="286" t="s">
        <v>1084</v>
      </c>
      <c r="H608" s="286" t="s">
        <v>1442</v>
      </c>
      <c r="I608" s="286" t="s">
        <v>1228</v>
      </c>
      <c r="J608" s="286" t="s">
        <v>53</v>
      </c>
      <c r="K608" s="286" t="s">
        <v>53</v>
      </c>
      <c r="L608" s="286" t="s">
        <v>53</v>
      </c>
      <c r="M608" s="286" t="s">
        <v>53</v>
      </c>
      <c r="N608" s="287">
        <v>3178.48</v>
      </c>
      <c r="O608" s="287"/>
      <c r="P608" s="286" t="s">
        <v>58</v>
      </c>
    </row>
    <row r="609" spans="1:16" hidden="1" x14ac:dyDescent="0.15">
      <c r="A609" s="286">
        <v>402221</v>
      </c>
      <c r="B609" s="288">
        <v>45243.579861111109</v>
      </c>
      <c r="C609" s="286" t="s">
        <v>1654</v>
      </c>
      <c r="D609" s="286" t="s">
        <v>1105</v>
      </c>
      <c r="E609" s="286" t="s">
        <v>1106</v>
      </c>
      <c r="F609" s="286" t="s">
        <v>1724</v>
      </c>
      <c r="G609" s="286" t="s">
        <v>1084</v>
      </c>
      <c r="H609" s="286" t="s">
        <v>1442</v>
      </c>
      <c r="I609" s="286" t="s">
        <v>1228</v>
      </c>
      <c r="J609" s="286" t="s">
        <v>53</v>
      </c>
      <c r="K609" s="286" t="s">
        <v>53</v>
      </c>
      <c r="L609" s="286" t="s">
        <v>53</v>
      </c>
      <c r="M609" s="286" t="s">
        <v>53</v>
      </c>
      <c r="N609" s="287">
        <v>3178.48</v>
      </c>
      <c r="O609" s="287"/>
      <c r="P609" s="286" t="s">
        <v>58</v>
      </c>
    </row>
    <row r="610" spans="1:16" hidden="1" x14ac:dyDescent="0.15">
      <c r="A610" s="286">
        <v>455146</v>
      </c>
      <c r="B610" s="288">
        <v>45310.510416666664</v>
      </c>
      <c r="C610" s="286" t="s">
        <v>1632</v>
      </c>
      <c r="D610" s="286" t="s">
        <v>1105</v>
      </c>
      <c r="E610" s="286" t="s">
        <v>1106</v>
      </c>
      <c r="F610" s="286" t="s">
        <v>1725</v>
      </c>
      <c r="G610" s="286" t="s">
        <v>1084</v>
      </c>
      <c r="H610" s="286" t="s">
        <v>1442</v>
      </c>
      <c r="I610" s="286" t="s">
        <v>1228</v>
      </c>
      <c r="J610" s="286" t="s">
        <v>53</v>
      </c>
      <c r="K610" s="286" t="s">
        <v>53</v>
      </c>
      <c r="L610" s="286" t="s">
        <v>53</v>
      </c>
      <c r="M610" s="286" t="s">
        <v>53</v>
      </c>
      <c r="N610" s="287">
        <v>3178.48</v>
      </c>
      <c r="O610" s="287"/>
      <c r="P610" s="286" t="s">
        <v>58</v>
      </c>
    </row>
    <row r="611" spans="1:16" hidden="1" x14ac:dyDescent="0.15">
      <c r="A611" s="286">
        <v>284271</v>
      </c>
      <c r="B611" s="288">
        <v>45121.682638888888</v>
      </c>
      <c r="C611" s="286" t="s">
        <v>1636</v>
      </c>
      <c r="D611" s="286" t="s">
        <v>1105</v>
      </c>
      <c r="E611" s="286" t="s">
        <v>1106</v>
      </c>
      <c r="F611" s="286" t="s">
        <v>1713</v>
      </c>
      <c r="G611" s="286" t="s">
        <v>1080</v>
      </c>
      <c r="H611" s="286" t="s">
        <v>1080</v>
      </c>
      <c r="I611" s="286" t="s">
        <v>1228</v>
      </c>
      <c r="J611" s="286" t="s">
        <v>1312</v>
      </c>
      <c r="K611" s="286" t="s">
        <v>1821</v>
      </c>
      <c r="L611" s="286" t="s">
        <v>53</v>
      </c>
      <c r="M611" s="286">
        <v>1</v>
      </c>
      <c r="N611" s="287">
        <v>3174.42</v>
      </c>
      <c r="O611" s="287"/>
      <c r="P611" s="286" t="s">
        <v>58</v>
      </c>
    </row>
    <row r="612" spans="1:16" hidden="1" x14ac:dyDescent="0.15">
      <c r="A612" s="286">
        <v>284271</v>
      </c>
      <c r="B612" s="288">
        <v>45121.682638888888</v>
      </c>
      <c r="C612" s="286" t="s">
        <v>1636</v>
      </c>
      <c r="D612" s="286" t="s">
        <v>1105</v>
      </c>
      <c r="E612" s="286" t="s">
        <v>1106</v>
      </c>
      <c r="F612" s="286" t="s">
        <v>1713</v>
      </c>
      <c r="G612" s="286" t="s">
        <v>1080</v>
      </c>
      <c r="H612" s="286" t="s">
        <v>1080</v>
      </c>
      <c r="I612" s="286" t="s">
        <v>1228</v>
      </c>
      <c r="J612" s="286" t="s">
        <v>1312</v>
      </c>
      <c r="K612" s="286" t="s">
        <v>1808</v>
      </c>
      <c r="L612" s="286" t="s">
        <v>53</v>
      </c>
      <c r="M612" s="286">
        <v>1</v>
      </c>
      <c r="N612" s="287">
        <v>3174.42</v>
      </c>
      <c r="O612" s="287"/>
      <c r="P612" s="286" t="s">
        <v>58</v>
      </c>
    </row>
    <row r="613" spans="1:16" hidden="1" x14ac:dyDescent="0.15">
      <c r="A613" s="286">
        <v>284271</v>
      </c>
      <c r="B613" s="288">
        <v>45121.682638888888</v>
      </c>
      <c r="C613" s="286" t="s">
        <v>1636</v>
      </c>
      <c r="D613" s="286" t="s">
        <v>1105</v>
      </c>
      <c r="E613" s="286" t="s">
        <v>1106</v>
      </c>
      <c r="F613" s="286" t="s">
        <v>1713</v>
      </c>
      <c r="G613" s="286" t="s">
        <v>1080</v>
      </c>
      <c r="H613" s="286" t="s">
        <v>1080</v>
      </c>
      <c r="I613" s="286" t="s">
        <v>1228</v>
      </c>
      <c r="J613" s="286" t="s">
        <v>1312</v>
      </c>
      <c r="K613" s="286" t="s">
        <v>1770</v>
      </c>
      <c r="L613" s="286" t="s">
        <v>672</v>
      </c>
      <c r="M613" s="286">
        <v>1</v>
      </c>
      <c r="N613" s="287">
        <v>3174.42</v>
      </c>
      <c r="O613" s="287"/>
      <c r="P613" s="286" t="s">
        <v>58</v>
      </c>
    </row>
    <row r="614" spans="1:16" hidden="1" x14ac:dyDescent="0.15">
      <c r="A614" s="286">
        <v>170499</v>
      </c>
      <c r="B614" s="288">
        <v>44986.615972222222</v>
      </c>
      <c r="C614" s="286" t="s">
        <v>1640</v>
      </c>
      <c r="D614" s="286" t="s">
        <v>1105</v>
      </c>
      <c r="E614" s="286" t="s">
        <v>1106</v>
      </c>
      <c r="F614" s="286" t="s">
        <v>1755</v>
      </c>
      <c r="G614" s="286" t="s">
        <v>1062</v>
      </c>
      <c r="H614" s="286" t="s">
        <v>1062</v>
      </c>
      <c r="I614" s="286" t="s">
        <v>1228</v>
      </c>
      <c r="J614" s="286" t="s">
        <v>1312</v>
      </c>
      <c r="K614" s="286" t="s">
        <v>53</v>
      </c>
      <c r="L614" s="286" t="s">
        <v>53</v>
      </c>
      <c r="M614" s="286" t="s">
        <v>53</v>
      </c>
      <c r="N614" s="287">
        <v>3143.25</v>
      </c>
      <c r="O614" s="287"/>
      <c r="P614" s="286" t="s">
        <v>58</v>
      </c>
    </row>
    <row r="615" spans="1:16" hidden="1" x14ac:dyDescent="0.15">
      <c r="A615" s="286">
        <v>170298</v>
      </c>
      <c r="B615" s="288">
        <v>44986.623611111114</v>
      </c>
      <c r="C615" s="286" t="s">
        <v>1638</v>
      </c>
      <c r="D615" s="286" t="s">
        <v>1105</v>
      </c>
      <c r="E615" s="286" t="s">
        <v>1106</v>
      </c>
      <c r="F615" s="286" t="s">
        <v>1721</v>
      </c>
      <c r="G615" s="286" t="s">
        <v>1062</v>
      </c>
      <c r="H615" s="286" t="s">
        <v>1062</v>
      </c>
      <c r="I615" s="286" t="s">
        <v>1228</v>
      </c>
      <c r="J615" s="286" t="s">
        <v>1312</v>
      </c>
      <c r="K615" s="286" t="s">
        <v>53</v>
      </c>
      <c r="L615" s="286" t="s">
        <v>53</v>
      </c>
      <c r="M615" s="286" t="s">
        <v>53</v>
      </c>
      <c r="N615" s="287">
        <v>3143.25</v>
      </c>
      <c r="O615" s="287"/>
      <c r="P615" s="286" t="s">
        <v>58</v>
      </c>
    </row>
    <row r="616" spans="1:16" hidden="1" x14ac:dyDescent="0.15">
      <c r="A616" s="286">
        <v>185846</v>
      </c>
      <c r="B616" s="288">
        <v>45005.724305555559</v>
      </c>
      <c r="C616" s="286" t="s">
        <v>1667</v>
      </c>
      <c r="D616" s="286" t="s">
        <v>1105</v>
      </c>
      <c r="E616" s="286" t="s">
        <v>1106</v>
      </c>
      <c r="F616" s="286" t="s">
        <v>1702</v>
      </c>
      <c r="G616" s="286" t="s">
        <v>1062</v>
      </c>
      <c r="H616" s="286" t="s">
        <v>1062</v>
      </c>
      <c r="I616" s="286" t="s">
        <v>1228</v>
      </c>
      <c r="J616" s="286" t="s">
        <v>1312</v>
      </c>
      <c r="K616" s="286" t="s">
        <v>53</v>
      </c>
      <c r="L616" s="286" t="s">
        <v>53</v>
      </c>
      <c r="M616" s="286" t="s">
        <v>53</v>
      </c>
      <c r="N616" s="287">
        <v>3143.25</v>
      </c>
      <c r="O616" s="287"/>
      <c r="P616" s="286" t="s">
        <v>58</v>
      </c>
    </row>
    <row r="617" spans="1:16" hidden="1" x14ac:dyDescent="0.15">
      <c r="A617" s="286">
        <v>201556</v>
      </c>
      <c r="B617" s="288">
        <v>45029.540972222225</v>
      </c>
      <c r="C617" s="286" t="s">
        <v>1657</v>
      </c>
      <c r="D617" s="286" t="s">
        <v>1105</v>
      </c>
      <c r="E617" s="286" t="s">
        <v>1106</v>
      </c>
      <c r="F617" s="286" t="s">
        <v>1722</v>
      </c>
      <c r="G617" s="286" t="s">
        <v>1062</v>
      </c>
      <c r="H617" s="286" t="s">
        <v>1062</v>
      </c>
      <c r="I617" s="286" t="s">
        <v>1228</v>
      </c>
      <c r="J617" s="286" t="s">
        <v>1312</v>
      </c>
      <c r="K617" s="286" t="s">
        <v>53</v>
      </c>
      <c r="L617" s="286" t="s">
        <v>53</v>
      </c>
      <c r="M617" s="286" t="s">
        <v>53</v>
      </c>
      <c r="N617" s="287">
        <v>3143.25</v>
      </c>
      <c r="O617" s="287"/>
      <c r="P617" s="286" t="s">
        <v>58</v>
      </c>
    </row>
    <row r="618" spans="1:16" hidden="1" x14ac:dyDescent="0.15">
      <c r="A618" s="286">
        <v>225409</v>
      </c>
      <c r="B618" s="288">
        <v>45058.522222222222</v>
      </c>
      <c r="C618" s="286" t="s">
        <v>1665</v>
      </c>
      <c r="D618" s="286" t="s">
        <v>1105</v>
      </c>
      <c r="E618" s="286" t="s">
        <v>1106</v>
      </c>
      <c r="F618" s="286" t="s">
        <v>1723</v>
      </c>
      <c r="G618" s="286" t="s">
        <v>1062</v>
      </c>
      <c r="H618" s="286" t="s">
        <v>1062</v>
      </c>
      <c r="I618" s="286" t="s">
        <v>1228</v>
      </c>
      <c r="J618" s="286" t="s">
        <v>1312</v>
      </c>
      <c r="K618" s="286" t="s">
        <v>53</v>
      </c>
      <c r="L618" s="286" t="s">
        <v>53</v>
      </c>
      <c r="M618" s="286" t="s">
        <v>53</v>
      </c>
      <c r="N618" s="287">
        <v>3143.25</v>
      </c>
      <c r="O618" s="287"/>
      <c r="P618" s="286" t="s">
        <v>58</v>
      </c>
    </row>
    <row r="619" spans="1:16" hidden="1" x14ac:dyDescent="0.15">
      <c r="A619" s="286">
        <v>278788</v>
      </c>
      <c r="B619" s="288">
        <v>45118.57708333333</v>
      </c>
      <c r="C619" s="286" t="s">
        <v>1649</v>
      </c>
      <c r="D619" s="286" t="s">
        <v>1105</v>
      </c>
      <c r="E619" s="286" t="s">
        <v>1106</v>
      </c>
      <c r="F619" s="286" t="s">
        <v>1712</v>
      </c>
      <c r="G619" s="286" t="s">
        <v>1062</v>
      </c>
      <c r="H619" s="286" t="s">
        <v>1062</v>
      </c>
      <c r="I619" s="286" t="s">
        <v>1228</v>
      </c>
      <c r="J619" s="286" t="s">
        <v>53</v>
      </c>
      <c r="K619" s="286" t="s">
        <v>53</v>
      </c>
      <c r="L619" s="286" t="s">
        <v>53</v>
      </c>
      <c r="M619" s="286" t="s">
        <v>53</v>
      </c>
      <c r="N619" s="287">
        <v>3143.25</v>
      </c>
      <c r="O619" s="287"/>
      <c r="P619" s="286" t="s">
        <v>58</v>
      </c>
    </row>
    <row r="620" spans="1:16" hidden="1" x14ac:dyDescent="0.15">
      <c r="A620" s="286">
        <v>284271</v>
      </c>
      <c r="B620" s="288">
        <v>45121.682638888888</v>
      </c>
      <c r="C620" s="286" t="s">
        <v>1636</v>
      </c>
      <c r="D620" s="286" t="s">
        <v>1105</v>
      </c>
      <c r="E620" s="286" t="s">
        <v>1106</v>
      </c>
      <c r="F620" s="286" t="s">
        <v>1713</v>
      </c>
      <c r="G620" s="286" t="s">
        <v>1062</v>
      </c>
      <c r="H620" s="286" t="s">
        <v>1062</v>
      </c>
      <c r="I620" s="286" t="s">
        <v>1228</v>
      </c>
      <c r="J620" s="286" t="s">
        <v>53</v>
      </c>
      <c r="K620" s="286" t="s">
        <v>53</v>
      </c>
      <c r="L620" s="286" t="s">
        <v>53</v>
      </c>
      <c r="M620" s="286" t="s">
        <v>53</v>
      </c>
      <c r="N620" s="287">
        <v>3143.25</v>
      </c>
      <c r="O620" s="287"/>
      <c r="P620" s="286" t="s">
        <v>58</v>
      </c>
    </row>
    <row r="621" spans="1:16" hidden="1" x14ac:dyDescent="0.15">
      <c r="A621" s="286">
        <v>328287</v>
      </c>
      <c r="B621" s="288">
        <v>45161.62777777778</v>
      </c>
      <c r="C621" s="286" t="s">
        <v>1691</v>
      </c>
      <c r="D621" s="286" t="s">
        <v>1105</v>
      </c>
      <c r="E621" s="286" t="s">
        <v>1106</v>
      </c>
      <c r="F621" s="286" t="s">
        <v>1714</v>
      </c>
      <c r="G621" s="286" t="s">
        <v>1062</v>
      </c>
      <c r="H621" s="286" t="s">
        <v>1062</v>
      </c>
      <c r="I621" s="286" t="s">
        <v>1228</v>
      </c>
      <c r="J621" s="286" t="s">
        <v>53</v>
      </c>
      <c r="K621" s="286" t="s">
        <v>53</v>
      </c>
      <c r="L621" s="286" t="s">
        <v>53</v>
      </c>
      <c r="M621" s="286" t="s">
        <v>53</v>
      </c>
      <c r="N621" s="287">
        <v>3143.25</v>
      </c>
      <c r="O621" s="287"/>
      <c r="P621" s="286" t="s">
        <v>58</v>
      </c>
    </row>
    <row r="622" spans="1:16" hidden="1" x14ac:dyDescent="0.15">
      <c r="A622" s="286">
        <v>339870</v>
      </c>
      <c r="B622" s="288">
        <v>45177.481944444444</v>
      </c>
      <c r="C622" s="286" t="s">
        <v>1676</v>
      </c>
      <c r="D622" s="286" t="s">
        <v>1105</v>
      </c>
      <c r="E622" s="286" t="s">
        <v>1106</v>
      </c>
      <c r="F622" s="286" t="s">
        <v>1715</v>
      </c>
      <c r="G622" s="286" t="s">
        <v>1062</v>
      </c>
      <c r="H622" s="286" t="s">
        <v>1062</v>
      </c>
      <c r="I622" s="286" t="s">
        <v>1228</v>
      </c>
      <c r="J622" s="286" t="s">
        <v>53</v>
      </c>
      <c r="K622" s="286" t="s">
        <v>53</v>
      </c>
      <c r="L622" s="286" t="s">
        <v>53</v>
      </c>
      <c r="M622" s="286" t="s">
        <v>53</v>
      </c>
      <c r="N622" s="287">
        <v>3143.25</v>
      </c>
      <c r="O622" s="287"/>
      <c r="P622" s="286" t="s">
        <v>58</v>
      </c>
    </row>
    <row r="623" spans="1:16" hidden="1" x14ac:dyDescent="0.15">
      <c r="A623" s="286">
        <v>370270</v>
      </c>
      <c r="B623" s="288">
        <v>45208.668055555558</v>
      </c>
      <c r="C623" s="286" t="s">
        <v>1642</v>
      </c>
      <c r="D623" s="286" t="s">
        <v>1105</v>
      </c>
      <c r="E623" s="286" t="s">
        <v>1106</v>
      </c>
      <c r="F623" s="286" t="s">
        <v>1716</v>
      </c>
      <c r="G623" s="286" t="s">
        <v>1062</v>
      </c>
      <c r="H623" s="286" t="s">
        <v>1062</v>
      </c>
      <c r="I623" s="286" t="s">
        <v>1228</v>
      </c>
      <c r="J623" s="286" t="s">
        <v>53</v>
      </c>
      <c r="K623" s="286" t="s">
        <v>53</v>
      </c>
      <c r="L623" s="286" t="s">
        <v>53</v>
      </c>
      <c r="M623" s="286" t="s">
        <v>53</v>
      </c>
      <c r="N623" s="287">
        <v>3143.25</v>
      </c>
      <c r="O623" s="287"/>
      <c r="P623" s="286" t="s">
        <v>58</v>
      </c>
    </row>
    <row r="624" spans="1:16" hidden="1" x14ac:dyDescent="0.15">
      <c r="A624" s="286">
        <v>402221</v>
      </c>
      <c r="B624" s="288">
        <v>45243.579861111109</v>
      </c>
      <c r="C624" s="286" t="s">
        <v>1654</v>
      </c>
      <c r="D624" s="286" t="s">
        <v>1105</v>
      </c>
      <c r="E624" s="286" t="s">
        <v>1106</v>
      </c>
      <c r="F624" s="286" t="s">
        <v>1724</v>
      </c>
      <c r="G624" s="286" t="s">
        <v>1062</v>
      </c>
      <c r="H624" s="286" t="s">
        <v>1062</v>
      </c>
      <c r="I624" s="286" t="s">
        <v>1228</v>
      </c>
      <c r="J624" s="286" t="s">
        <v>53</v>
      </c>
      <c r="K624" s="286" t="s">
        <v>53</v>
      </c>
      <c r="L624" s="286" t="s">
        <v>53</v>
      </c>
      <c r="M624" s="286" t="s">
        <v>53</v>
      </c>
      <c r="N624" s="287">
        <v>3143.25</v>
      </c>
      <c r="O624" s="287"/>
      <c r="P624" s="286" t="s">
        <v>58</v>
      </c>
    </row>
    <row r="625" spans="1:16" hidden="1" x14ac:dyDescent="0.15">
      <c r="A625" s="286">
        <v>455146</v>
      </c>
      <c r="B625" s="288">
        <v>45310.510416666664</v>
      </c>
      <c r="C625" s="286" t="s">
        <v>1632</v>
      </c>
      <c r="D625" s="286" t="s">
        <v>1105</v>
      </c>
      <c r="E625" s="286" t="s">
        <v>1106</v>
      </c>
      <c r="F625" s="286" t="s">
        <v>1725</v>
      </c>
      <c r="G625" s="286" t="s">
        <v>1062</v>
      </c>
      <c r="H625" s="286" t="s">
        <v>1062</v>
      </c>
      <c r="I625" s="286" t="s">
        <v>1228</v>
      </c>
      <c r="J625" s="286" t="s">
        <v>53</v>
      </c>
      <c r="K625" s="286" t="s">
        <v>53</v>
      </c>
      <c r="L625" s="286" t="s">
        <v>53</v>
      </c>
      <c r="M625" s="286" t="s">
        <v>53</v>
      </c>
      <c r="N625" s="287">
        <v>3143.25</v>
      </c>
      <c r="O625" s="287"/>
      <c r="P625" s="286" t="s">
        <v>58</v>
      </c>
    </row>
    <row r="626" spans="1:16" hidden="1" x14ac:dyDescent="0.15">
      <c r="A626" s="286">
        <v>170499</v>
      </c>
      <c r="B626" s="288">
        <v>44986.615972222222</v>
      </c>
      <c r="C626" s="286" t="s">
        <v>1640</v>
      </c>
      <c r="D626" s="286" t="s">
        <v>1105</v>
      </c>
      <c r="E626" s="286" t="s">
        <v>1106</v>
      </c>
      <c r="F626" s="286" t="s">
        <v>1755</v>
      </c>
      <c r="G626" s="286" t="s">
        <v>1027</v>
      </c>
      <c r="H626" s="286" t="s">
        <v>1027</v>
      </c>
      <c r="I626" s="286" t="s">
        <v>1228</v>
      </c>
      <c r="J626" s="286" t="s">
        <v>1312</v>
      </c>
      <c r="K626" s="286" t="s">
        <v>53</v>
      </c>
      <c r="L626" s="286" t="s">
        <v>53</v>
      </c>
      <c r="M626" s="286" t="s">
        <v>53</v>
      </c>
      <c r="N626" s="287">
        <v>3138.64</v>
      </c>
      <c r="O626" s="287"/>
      <c r="P626" s="286" t="s">
        <v>58</v>
      </c>
    </row>
    <row r="627" spans="1:16" hidden="1" x14ac:dyDescent="0.15">
      <c r="A627" s="286">
        <v>278788</v>
      </c>
      <c r="B627" s="288">
        <v>45118.57708333333</v>
      </c>
      <c r="C627" s="286" t="s">
        <v>1649</v>
      </c>
      <c r="D627" s="286" t="s">
        <v>1105</v>
      </c>
      <c r="E627" s="286" t="s">
        <v>1106</v>
      </c>
      <c r="F627" s="286" t="s">
        <v>1712</v>
      </c>
      <c r="G627" s="286" t="s">
        <v>1044</v>
      </c>
      <c r="H627" s="286" t="s">
        <v>1044</v>
      </c>
      <c r="I627" s="286" t="s">
        <v>1152</v>
      </c>
      <c r="J627" s="286" t="s">
        <v>53</v>
      </c>
      <c r="K627" s="286" t="s">
        <v>53</v>
      </c>
      <c r="L627" s="286" t="s">
        <v>53</v>
      </c>
      <c r="M627" s="286" t="s">
        <v>53</v>
      </c>
      <c r="N627" s="287">
        <v>3112.77</v>
      </c>
      <c r="O627" s="287"/>
      <c r="P627" s="286" t="s">
        <v>58</v>
      </c>
    </row>
    <row r="628" spans="1:16" hidden="1" x14ac:dyDescent="0.15">
      <c r="A628" s="286">
        <v>284271</v>
      </c>
      <c r="B628" s="288">
        <v>45121.682638888888</v>
      </c>
      <c r="C628" s="286" t="s">
        <v>1636</v>
      </c>
      <c r="D628" s="286" t="s">
        <v>1105</v>
      </c>
      <c r="E628" s="286" t="s">
        <v>1106</v>
      </c>
      <c r="F628" s="286" t="s">
        <v>1713</v>
      </c>
      <c r="G628" s="286" t="s">
        <v>1044</v>
      </c>
      <c r="H628" s="286" t="s">
        <v>1044</v>
      </c>
      <c r="I628" s="286" t="s">
        <v>1152</v>
      </c>
      <c r="J628" s="286" t="s">
        <v>53</v>
      </c>
      <c r="K628" s="286" t="s">
        <v>53</v>
      </c>
      <c r="L628" s="286" t="s">
        <v>53</v>
      </c>
      <c r="M628" s="286" t="s">
        <v>53</v>
      </c>
      <c r="N628" s="287">
        <v>3112.77</v>
      </c>
      <c r="O628" s="287"/>
      <c r="P628" s="286" t="s">
        <v>58</v>
      </c>
    </row>
    <row r="629" spans="1:16" hidden="1" x14ac:dyDescent="0.15">
      <c r="A629" s="286">
        <v>328287</v>
      </c>
      <c r="B629" s="288">
        <v>45161.62777777778</v>
      </c>
      <c r="C629" s="286" t="s">
        <v>1691</v>
      </c>
      <c r="D629" s="286" t="s">
        <v>1105</v>
      </c>
      <c r="E629" s="286" t="s">
        <v>1106</v>
      </c>
      <c r="F629" s="286" t="s">
        <v>1714</v>
      </c>
      <c r="G629" s="286" t="s">
        <v>1044</v>
      </c>
      <c r="H629" s="286" t="s">
        <v>1044</v>
      </c>
      <c r="I629" s="286" t="s">
        <v>1152</v>
      </c>
      <c r="J629" s="286" t="s">
        <v>53</v>
      </c>
      <c r="K629" s="286" t="s">
        <v>53</v>
      </c>
      <c r="L629" s="286" t="s">
        <v>53</v>
      </c>
      <c r="M629" s="286" t="s">
        <v>53</v>
      </c>
      <c r="N629" s="287">
        <v>3112.77</v>
      </c>
      <c r="O629" s="287"/>
      <c r="P629" s="286" t="s">
        <v>58</v>
      </c>
    </row>
    <row r="630" spans="1:16" hidden="1" x14ac:dyDescent="0.15">
      <c r="A630" s="286">
        <v>339870</v>
      </c>
      <c r="B630" s="288">
        <v>45177.481944444444</v>
      </c>
      <c r="C630" s="286" t="s">
        <v>1676</v>
      </c>
      <c r="D630" s="286" t="s">
        <v>1105</v>
      </c>
      <c r="E630" s="286" t="s">
        <v>1106</v>
      </c>
      <c r="F630" s="286" t="s">
        <v>1715</v>
      </c>
      <c r="G630" s="286" t="s">
        <v>1044</v>
      </c>
      <c r="H630" s="286" t="s">
        <v>1044</v>
      </c>
      <c r="I630" s="286" t="s">
        <v>1152</v>
      </c>
      <c r="J630" s="286" t="s">
        <v>53</v>
      </c>
      <c r="K630" s="286" t="s">
        <v>53</v>
      </c>
      <c r="L630" s="286" t="s">
        <v>53</v>
      </c>
      <c r="M630" s="286" t="s">
        <v>53</v>
      </c>
      <c r="N630" s="287">
        <v>3112.77</v>
      </c>
      <c r="O630" s="287"/>
      <c r="P630" s="286" t="s">
        <v>58</v>
      </c>
    </row>
    <row r="631" spans="1:16" hidden="1" x14ac:dyDescent="0.15">
      <c r="A631" s="286">
        <v>370270</v>
      </c>
      <c r="B631" s="288">
        <v>45208.668055555558</v>
      </c>
      <c r="C631" s="286" t="s">
        <v>1642</v>
      </c>
      <c r="D631" s="286" t="s">
        <v>1105</v>
      </c>
      <c r="E631" s="286" t="s">
        <v>1106</v>
      </c>
      <c r="F631" s="286" t="s">
        <v>1716</v>
      </c>
      <c r="G631" s="286" t="s">
        <v>1044</v>
      </c>
      <c r="H631" s="286" t="s">
        <v>1044</v>
      </c>
      <c r="I631" s="286" t="s">
        <v>1152</v>
      </c>
      <c r="J631" s="286" t="s">
        <v>53</v>
      </c>
      <c r="K631" s="286" t="s">
        <v>53</v>
      </c>
      <c r="L631" s="286" t="s">
        <v>53</v>
      </c>
      <c r="M631" s="286" t="s">
        <v>53</v>
      </c>
      <c r="N631" s="287">
        <v>3112.77</v>
      </c>
      <c r="O631" s="287"/>
      <c r="P631" s="286" t="s">
        <v>58</v>
      </c>
    </row>
    <row r="632" spans="1:16" hidden="1" x14ac:dyDescent="0.15">
      <c r="A632" s="286">
        <v>402221</v>
      </c>
      <c r="B632" s="288">
        <v>45243.579861111109</v>
      </c>
      <c r="C632" s="286" t="s">
        <v>1654</v>
      </c>
      <c r="D632" s="286" t="s">
        <v>1105</v>
      </c>
      <c r="E632" s="286" t="s">
        <v>1106</v>
      </c>
      <c r="F632" s="286" t="s">
        <v>1724</v>
      </c>
      <c r="G632" s="286" t="s">
        <v>1044</v>
      </c>
      <c r="H632" s="286" t="s">
        <v>1044</v>
      </c>
      <c r="I632" s="286" t="s">
        <v>1152</v>
      </c>
      <c r="J632" s="286" t="s">
        <v>53</v>
      </c>
      <c r="K632" s="286" t="s">
        <v>53</v>
      </c>
      <c r="L632" s="286" t="s">
        <v>53</v>
      </c>
      <c r="M632" s="286" t="s">
        <v>53</v>
      </c>
      <c r="N632" s="287">
        <v>3112.77</v>
      </c>
      <c r="O632" s="287"/>
      <c r="P632" s="286" t="s">
        <v>58</v>
      </c>
    </row>
    <row r="633" spans="1:16" hidden="1" x14ac:dyDescent="0.15">
      <c r="A633" s="286">
        <v>455146</v>
      </c>
      <c r="B633" s="288">
        <v>45310.510416666664</v>
      </c>
      <c r="C633" s="286" t="s">
        <v>1632</v>
      </c>
      <c r="D633" s="286" t="s">
        <v>1105</v>
      </c>
      <c r="E633" s="286" t="s">
        <v>1106</v>
      </c>
      <c r="F633" s="286" t="s">
        <v>1725</v>
      </c>
      <c r="G633" s="286" t="s">
        <v>1044</v>
      </c>
      <c r="H633" s="286" t="s">
        <v>1044</v>
      </c>
      <c r="I633" s="286" t="s">
        <v>1152</v>
      </c>
      <c r="J633" s="286" t="s">
        <v>53</v>
      </c>
      <c r="K633" s="286" t="s">
        <v>53</v>
      </c>
      <c r="L633" s="286" t="s">
        <v>53</v>
      </c>
      <c r="M633" s="286" t="s">
        <v>53</v>
      </c>
      <c r="N633" s="287">
        <v>3112.77</v>
      </c>
      <c r="O633" s="287"/>
      <c r="P633" s="286" t="s">
        <v>58</v>
      </c>
    </row>
    <row r="634" spans="1:16" hidden="1" x14ac:dyDescent="0.15">
      <c r="A634" s="286">
        <v>354635</v>
      </c>
      <c r="B634" s="288">
        <v>45190.588194444441</v>
      </c>
      <c r="C634" s="286" t="s">
        <v>1676</v>
      </c>
      <c r="D634" s="286" t="s">
        <v>1105</v>
      </c>
      <c r="E634" s="286" t="s">
        <v>1106</v>
      </c>
      <c r="F634" s="286" t="s">
        <v>1703</v>
      </c>
      <c r="G634" s="286" t="s">
        <v>1025</v>
      </c>
      <c r="H634" s="286" t="s">
        <v>1025</v>
      </c>
      <c r="I634" s="286" t="s">
        <v>1112</v>
      </c>
      <c r="J634" s="286" t="s">
        <v>1312</v>
      </c>
      <c r="K634" s="286" t="s">
        <v>53</v>
      </c>
      <c r="L634" s="286" t="s">
        <v>53</v>
      </c>
      <c r="M634" s="286" t="s">
        <v>53</v>
      </c>
      <c r="N634" s="287">
        <v>3015</v>
      </c>
      <c r="O634" s="287"/>
      <c r="P634" s="286" t="s">
        <v>175</v>
      </c>
    </row>
    <row r="635" spans="1:16" hidden="1" x14ac:dyDescent="0.15">
      <c r="A635" s="286">
        <v>407270</v>
      </c>
      <c r="B635" s="288">
        <v>45246.513888888891</v>
      </c>
      <c r="C635" s="286" t="s">
        <v>1642</v>
      </c>
      <c r="D635" s="286" t="s">
        <v>1105</v>
      </c>
      <c r="E635" s="286" t="s">
        <v>1106</v>
      </c>
      <c r="F635" s="286" t="s">
        <v>1822</v>
      </c>
      <c r="G635" s="286" t="s">
        <v>1064</v>
      </c>
      <c r="H635" s="286" t="s">
        <v>1064</v>
      </c>
      <c r="I635" s="286" t="s">
        <v>1199</v>
      </c>
      <c r="J635" s="286" t="s">
        <v>1312</v>
      </c>
      <c r="K635" s="286" t="s">
        <v>53</v>
      </c>
      <c r="L635" s="286" t="s">
        <v>53</v>
      </c>
      <c r="M635" s="286" t="s">
        <v>53</v>
      </c>
      <c r="N635" s="287">
        <v>2958.58</v>
      </c>
      <c r="O635" s="287"/>
      <c r="P635" s="286" t="s">
        <v>58</v>
      </c>
    </row>
    <row r="636" spans="1:16" hidden="1" x14ac:dyDescent="0.15">
      <c r="A636" s="286">
        <v>278788</v>
      </c>
      <c r="B636" s="288">
        <v>45118.57708333333</v>
      </c>
      <c r="C636" s="286" t="s">
        <v>1649</v>
      </c>
      <c r="D636" s="286" t="s">
        <v>1105</v>
      </c>
      <c r="E636" s="286" t="s">
        <v>1106</v>
      </c>
      <c r="F636" s="286" t="s">
        <v>1712</v>
      </c>
      <c r="G636" s="286" t="s">
        <v>1084</v>
      </c>
      <c r="H636" s="286" t="s">
        <v>1442</v>
      </c>
      <c r="I636" s="286" t="s">
        <v>1228</v>
      </c>
      <c r="J636" s="286" t="s">
        <v>53</v>
      </c>
      <c r="K636" s="286" t="s">
        <v>53</v>
      </c>
      <c r="L636" s="286" t="s">
        <v>53</v>
      </c>
      <c r="M636" s="286" t="s">
        <v>53</v>
      </c>
      <c r="N636" s="287">
        <v>2953.59</v>
      </c>
      <c r="O636" s="287"/>
      <c r="P636" s="286" t="s">
        <v>58</v>
      </c>
    </row>
    <row r="637" spans="1:16" hidden="1" x14ac:dyDescent="0.15">
      <c r="A637" s="286">
        <v>170499</v>
      </c>
      <c r="B637" s="288">
        <v>44986.615972222222</v>
      </c>
      <c r="C637" s="286" t="s">
        <v>1640</v>
      </c>
      <c r="D637" s="286" t="s">
        <v>1105</v>
      </c>
      <c r="E637" s="286" t="s">
        <v>1106</v>
      </c>
      <c r="F637" s="286" t="s">
        <v>1755</v>
      </c>
      <c r="G637" s="286" t="s">
        <v>1084</v>
      </c>
      <c r="H637" s="286" t="s">
        <v>1442</v>
      </c>
      <c r="I637" s="286" t="s">
        <v>1228</v>
      </c>
      <c r="J637" s="286" t="s">
        <v>1312</v>
      </c>
      <c r="K637" s="286" t="s">
        <v>53</v>
      </c>
      <c r="L637" s="286" t="s">
        <v>53</v>
      </c>
      <c r="M637" s="286" t="s">
        <v>53</v>
      </c>
      <c r="N637" s="287">
        <v>2953.58</v>
      </c>
      <c r="O637" s="287"/>
      <c r="P637" s="286" t="s">
        <v>58</v>
      </c>
    </row>
    <row r="638" spans="1:16" hidden="1" x14ac:dyDescent="0.15">
      <c r="A638" s="286">
        <v>170298</v>
      </c>
      <c r="B638" s="288">
        <v>44986.623611111114</v>
      </c>
      <c r="C638" s="286" t="s">
        <v>1638</v>
      </c>
      <c r="D638" s="286" t="s">
        <v>1105</v>
      </c>
      <c r="E638" s="286" t="s">
        <v>1106</v>
      </c>
      <c r="F638" s="286" t="s">
        <v>1721</v>
      </c>
      <c r="G638" s="286" t="s">
        <v>1084</v>
      </c>
      <c r="H638" s="286" t="s">
        <v>1442</v>
      </c>
      <c r="I638" s="286" t="s">
        <v>1228</v>
      </c>
      <c r="J638" s="286" t="s">
        <v>1312</v>
      </c>
      <c r="K638" s="286" t="s">
        <v>53</v>
      </c>
      <c r="L638" s="286" t="s">
        <v>53</v>
      </c>
      <c r="M638" s="286" t="s">
        <v>53</v>
      </c>
      <c r="N638" s="287">
        <v>2953.58</v>
      </c>
      <c r="O638" s="287"/>
      <c r="P638" s="286" t="s">
        <v>58</v>
      </c>
    </row>
    <row r="639" spans="1:16" hidden="1" x14ac:dyDescent="0.15">
      <c r="A639" s="286">
        <v>185846</v>
      </c>
      <c r="B639" s="288">
        <v>45005.724305555559</v>
      </c>
      <c r="C639" s="286" t="s">
        <v>1667</v>
      </c>
      <c r="D639" s="286" t="s">
        <v>1105</v>
      </c>
      <c r="E639" s="286" t="s">
        <v>1106</v>
      </c>
      <c r="F639" s="286" t="s">
        <v>1702</v>
      </c>
      <c r="G639" s="286" t="s">
        <v>1084</v>
      </c>
      <c r="H639" s="286" t="s">
        <v>1442</v>
      </c>
      <c r="I639" s="286" t="s">
        <v>1228</v>
      </c>
      <c r="J639" s="286" t="s">
        <v>1312</v>
      </c>
      <c r="K639" s="286" t="s">
        <v>53</v>
      </c>
      <c r="L639" s="286" t="s">
        <v>53</v>
      </c>
      <c r="M639" s="286" t="s">
        <v>53</v>
      </c>
      <c r="N639" s="287">
        <v>2953.58</v>
      </c>
      <c r="O639" s="287"/>
      <c r="P639" s="286" t="s">
        <v>58</v>
      </c>
    </row>
    <row r="640" spans="1:16" hidden="1" x14ac:dyDescent="0.15">
      <c r="A640" s="286">
        <v>185846</v>
      </c>
      <c r="B640" s="288">
        <v>45005.724305555559</v>
      </c>
      <c r="C640" s="286" t="s">
        <v>1667</v>
      </c>
      <c r="D640" s="286" t="s">
        <v>1105</v>
      </c>
      <c r="E640" s="286" t="s">
        <v>1106</v>
      </c>
      <c r="F640" s="286" t="s">
        <v>1702</v>
      </c>
      <c r="G640" s="286" t="s">
        <v>1044</v>
      </c>
      <c r="H640" s="286" t="s">
        <v>1044</v>
      </c>
      <c r="I640" s="286" t="s">
        <v>1152</v>
      </c>
      <c r="J640" s="286" t="s">
        <v>1312</v>
      </c>
      <c r="K640" s="286" t="s">
        <v>53</v>
      </c>
      <c r="L640" s="286" t="s">
        <v>53</v>
      </c>
      <c r="M640" s="286" t="s">
        <v>53</v>
      </c>
      <c r="N640" s="287">
        <v>2953.58</v>
      </c>
      <c r="O640" s="287"/>
      <c r="P640" s="286" t="s">
        <v>58</v>
      </c>
    </row>
    <row r="641" spans="1:16" hidden="1" x14ac:dyDescent="0.15">
      <c r="A641" s="286">
        <v>201556</v>
      </c>
      <c r="B641" s="288">
        <v>45029.540972222225</v>
      </c>
      <c r="C641" s="286" t="s">
        <v>1657</v>
      </c>
      <c r="D641" s="286" t="s">
        <v>1105</v>
      </c>
      <c r="E641" s="286" t="s">
        <v>1106</v>
      </c>
      <c r="F641" s="286" t="s">
        <v>1722</v>
      </c>
      <c r="G641" s="286" t="s">
        <v>1084</v>
      </c>
      <c r="H641" s="286" t="s">
        <v>1442</v>
      </c>
      <c r="I641" s="286" t="s">
        <v>1228</v>
      </c>
      <c r="J641" s="286" t="s">
        <v>1312</v>
      </c>
      <c r="K641" s="286" t="s">
        <v>53</v>
      </c>
      <c r="L641" s="286" t="s">
        <v>53</v>
      </c>
      <c r="M641" s="286" t="s">
        <v>53</v>
      </c>
      <c r="N641" s="287">
        <v>2953.58</v>
      </c>
      <c r="O641" s="287"/>
      <c r="P641" s="286" t="s">
        <v>58</v>
      </c>
    </row>
    <row r="642" spans="1:16" hidden="1" x14ac:dyDescent="0.15">
      <c r="A642" s="286">
        <v>201556</v>
      </c>
      <c r="B642" s="288">
        <v>45029.540972222225</v>
      </c>
      <c r="C642" s="286" t="s">
        <v>1657</v>
      </c>
      <c r="D642" s="286" t="s">
        <v>1105</v>
      </c>
      <c r="E642" s="286" t="s">
        <v>1106</v>
      </c>
      <c r="F642" s="286" t="s">
        <v>1722</v>
      </c>
      <c r="G642" s="286" t="s">
        <v>1044</v>
      </c>
      <c r="H642" s="286" t="s">
        <v>1044</v>
      </c>
      <c r="I642" s="286" t="s">
        <v>1152</v>
      </c>
      <c r="J642" s="286" t="s">
        <v>1312</v>
      </c>
      <c r="K642" s="286" t="s">
        <v>53</v>
      </c>
      <c r="L642" s="286" t="s">
        <v>53</v>
      </c>
      <c r="M642" s="286" t="s">
        <v>53</v>
      </c>
      <c r="N642" s="287">
        <v>2953.58</v>
      </c>
      <c r="O642" s="287"/>
      <c r="P642" s="286" t="s">
        <v>58</v>
      </c>
    </row>
    <row r="643" spans="1:16" hidden="1" x14ac:dyDescent="0.15">
      <c r="A643" s="286">
        <v>225409</v>
      </c>
      <c r="B643" s="288">
        <v>45058.522222222222</v>
      </c>
      <c r="C643" s="286" t="s">
        <v>1665</v>
      </c>
      <c r="D643" s="286" t="s">
        <v>1105</v>
      </c>
      <c r="E643" s="286" t="s">
        <v>1106</v>
      </c>
      <c r="F643" s="286" t="s">
        <v>1723</v>
      </c>
      <c r="G643" s="286" t="s">
        <v>1084</v>
      </c>
      <c r="H643" s="286" t="s">
        <v>1442</v>
      </c>
      <c r="I643" s="286" t="s">
        <v>1228</v>
      </c>
      <c r="J643" s="286" t="s">
        <v>1312</v>
      </c>
      <c r="K643" s="286" t="s">
        <v>53</v>
      </c>
      <c r="L643" s="286" t="s">
        <v>53</v>
      </c>
      <c r="M643" s="286" t="s">
        <v>53</v>
      </c>
      <c r="N643" s="287">
        <v>2953.58</v>
      </c>
      <c r="O643" s="287"/>
      <c r="P643" s="286" t="s">
        <v>58</v>
      </c>
    </row>
    <row r="644" spans="1:16" hidden="1" x14ac:dyDescent="0.15">
      <c r="A644" s="286">
        <v>225409</v>
      </c>
      <c r="B644" s="288">
        <v>45058.522222222222</v>
      </c>
      <c r="C644" s="286" t="s">
        <v>1665</v>
      </c>
      <c r="D644" s="286" t="s">
        <v>1105</v>
      </c>
      <c r="E644" s="286" t="s">
        <v>1106</v>
      </c>
      <c r="F644" s="286" t="s">
        <v>1723</v>
      </c>
      <c r="G644" s="286" t="s">
        <v>1044</v>
      </c>
      <c r="H644" s="286" t="s">
        <v>1044</v>
      </c>
      <c r="I644" s="286" t="s">
        <v>1152</v>
      </c>
      <c r="J644" s="286" t="s">
        <v>1312</v>
      </c>
      <c r="K644" s="286" t="s">
        <v>53</v>
      </c>
      <c r="L644" s="286" t="s">
        <v>53</v>
      </c>
      <c r="M644" s="286" t="s">
        <v>53</v>
      </c>
      <c r="N644" s="287">
        <v>2953.58</v>
      </c>
      <c r="O644" s="287"/>
      <c r="P644" s="286" t="s">
        <v>58</v>
      </c>
    </row>
    <row r="645" spans="1:16" hidden="1" x14ac:dyDescent="0.15">
      <c r="A645" s="286">
        <v>278788</v>
      </c>
      <c r="B645" s="288">
        <v>45118.57708333333</v>
      </c>
      <c r="C645" s="286" t="s">
        <v>1649</v>
      </c>
      <c r="D645" s="286" t="s">
        <v>1105</v>
      </c>
      <c r="E645" s="286" t="s">
        <v>1106</v>
      </c>
      <c r="F645" s="286" t="s">
        <v>1712</v>
      </c>
      <c r="G645" s="286" t="s">
        <v>1316</v>
      </c>
      <c r="H645" s="286" t="s">
        <v>1316</v>
      </c>
      <c r="I645" s="286" t="s">
        <v>1199</v>
      </c>
      <c r="J645" s="286" t="s">
        <v>53</v>
      </c>
      <c r="K645" s="286" t="s">
        <v>53</v>
      </c>
      <c r="L645" s="286" t="s">
        <v>53</v>
      </c>
      <c r="M645" s="286" t="s">
        <v>53</v>
      </c>
      <c r="N645" s="287">
        <v>2952.96</v>
      </c>
      <c r="O645" s="287"/>
      <c r="P645" s="286" t="s">
        <v>58</v>
      </c>
    </row>
    <row r="646" spans="1:16" hidden="1" x14ac:dyDescent="0.15">
      <c r="A646" s="286">
        <v>284271</v>
      </c>
      <c r="B646" s="288">
        <v>45121.682638888888</v>
      </c>
      <c r="C646" s="286" t="s">
        <v>1636</v>
      </c>
      <c r="D646" s="286" t="s">
        <v>1105</v>
      </c>
      <c r="E646" s="286" t="s">
        <v>1106</v>
      </c>
      <c r="F646" s="286" t="s">
        <v>1713</v>
      </c>
      <c r="G646" s="286" t="s">
        <v>1316</v>
      </c>
      <c r="H646" s="286" t="s">
        <v>1316</v>
      </c>
      <c r="I646" s="286" t="s">
        <v>1199</v>
      </c>
      <c r="J646" s="286" t="s">
        <v>53</v>
      </c>
      <c r="K646" s="286" t="s">
        <v>53</v>
      </c>
      <c r="L646" s="286" t="s">
        <v>53</v>
      </c>
      <c r="M646" s="286" t="s">
        <v>53</v>
      </c>
      <c r="N646" s="287">
        <v>2952.96</v>
      </c>
      <c r="O646" s="287"/>
      <c r="P646" s="286" t="s">
        <v>58</v>
      </c>
    </row>
    <row r="647" spans="1:16" hidden="1" x14ac:dyDescent="0.15">
      <c r="A647" s="286">
        <v>328287</v>
      </c>
      <c r="B647" s="288">
        <v>45161.62777777778</v>
      </c>
      <c r="C647" s="286" t="s">
        <v>1691</v>
      </c>
      <c r="D647" s="286" t="s">
        <v>1105</v>
      </c>
      <c r="E647" s="286" t="s">
        <v>1106</v>
      </c>
      <c r="F647" s="286" t="s">
        <v>1714</v>
      </c>
      <c r="G647" s="286" t="s">
        <v>1316</v>
      </c>
      <c r="H647" s="286" t="s">
        <v>1316</v>
      </c>
      <c r="I647" s="286" t="s">
        <v>1199</v>
      </c>
      <c r="J647" s="286" t="s">
        <v>53</v>
      </c>
      <c r="K647" s="286" t="s">
        <v>53</v>
      </c>
      <c r="L647" s="286" t="s">
        <v>53</v>
      </c>
      <c r="M647" s="286" t="s">
        <v>53</v>
      </c>
      <c r="N647" s="287">
        <v>2952.96</v>
      </c>
      <c r="O647" s="287"/>
      <c r="P647" s="286" t="s">
        <v>58</v>
      </c>
    </row>
    <row r="648" spans="1:16" hidden="1" x14ac:dyDescent="0.15">
      <c r="A648" s="286">
        <v>339870</v>
      </c>
      <c r="B648" s="288">
        <v>45177.481944444444</v>
      </c>
      <c r="C648" s="286" t="s">
        <v>1676</v>
      </c>
      <c r="D648" s="286" t="s">
        <v>1105</v>
      </c>
      <c r="E648" s="286" t="s">
        <v>1106</v>
      </c>
      <c r="F648" s="286" t="s">
        <v>1715</v>
      </c>
      <c r="G648" s="286" t="s">
        <v>1316</v>
      </c>
      <c r="H648" s="286" t="s">
        <v>1316</v>
      </c>
      <c r="I648" s="286" t="s">
        <v>1199</v>
      </c>
      <c r="J648" s="286" t="s">
        <v>53</v>
      </c>
      <c r="K648" s="286" t="s">
        <v>53</v>
      </c>
      <c r="L648" s="286" t="s">
        <v>53</v>
      </c>
      <c r="M648" s="286" t="s">
        <v>53</v>
      </c>
      <c r="N648" s="287">
        <v>2952.96</v>
      </c>
      <c r="O648" s="287"/>
      <c r="P648" s="286" t="s">
        <v>58</v>
      </c>
    </row>
    <row r="649" spans="1:16" hidden="1" x14ac:dyDescent="0.15">
      <c r="A649" s="286">
        <v>370270</v>
      </c>
      <c r="B649" s="288">
        <v>45208.668055555558</v>
      </c>
      <c r="C649" s="286" t="s">
        <v>1642</v>
      </c>
      <c r="D649" s="286" t="s">
        <v>1105</v>
      </c>
      <c r="E649" s="286" t="s">
        <v>1106</v>
      </c>
      <c r="F649" s="286" t="s">
        <v>1716</v>
      </c>
      <c r="G649" s="286" t="s">
        <v>1316</v>
      </c>
      <c r="H649" s="286" t="s">
        <v>1316</v>
      </c>
      <c r="I649" s="286" t="s">
        <v>1199</v>
      </c>
      <c r="J649" s="286" t="s">
        <v>53</v>
      </c>
      <c r="K649" s="286" t="s">
        <v>53</v>
      </c>
      <c r="L649" s="286" t="s">
        <v>53</v>
      </c>
      <c r="M649" s="286" t="s">
        <v>53</v>
      </c>
      <c r="N649" s="287">
        <v>2952.96</v>
      </c>
      <c r="O649" s="287"/>
      <c r="P649" s="286" t="s">
        <v>58</v>
      </c>
    </row>
    <row r="650" spans="1:16" hidden="1" x14ac:dyDescent="0.15">
      <c r="A650" s="286">
        <v>402221</v>
      </c>
      <c r="B650" s="288">
        <v>45243.579861111109</v>
      </c>
      <c r="C650" s="286" t="s">
        <v>1654</v>
      </c>
      <c r="D650" s="286" t="s">
        <v>1105</v>
      </c>
      <c r="E650" s="286" t="s">
        <v>1106</v>
      </c>
      <c r="F650" s="286" t="s">
        <v>1724</v>
      </c>
      <c r="G650" s="286" t="s">
        <v>1316</v>
      </c>
      <c r="H650" s="286" t="s">
        <v>1316</v>
      </c>
      <c r="I650" s="286" t="s">
        <v>1199</v>
      </c>
      <c r="J650" s="286" t="s">
        <v>53</v>
      </c>
      <c r="K650" s="286" t="s">
        <v>53</v>
      </c>
      <c r="L650" s="286" t="s">
        <v>53</v>
      </c>
      <c r="M650" s="286" t="s">
        <v>53</v>
      </c>
      <c r="N650" s="287">
        <v>2952.93</v>
      </c>
      <c r="O650" s="287"/>
      <c r="P650" s="286" t="s">
        <v>58</v>
      </c>
    </row>
    <row r="651" spans="1:16" hidden="1" x14ac:dyDescent="0.15">
      <c r="A651" s="286">
        <v>455146</v>
      </c>
      <c r="B651" s="288">
        <v>45310.510416666664</v>
      </c>
      <c r="C651" s="286" t="s">
        <v>1632</v>
      </c>
      <c r="D651" s="286" t="s">
        <v>1105</v>
      </c>
      <c r="E651" s="286" t="s">
        <v>1106</v>
      </c>
      <c r="F651" s="286" t="s">
        <v>1725</v>
      </c>
      <c r="G651" s="286" t="s">
        <v>1316</v>
      </c>
      <c r="H651" s="286" t="s">
        <v>1316</v>
      </c>
      <c r="I651" s="286" t="s">
        <v>1199</v>
      </c>
      <c r="J651" s="286" t="s">
        <v>1312</v>
      </c>
      <c r="K651" s="286" t="s">
        <v>1690</v>
      </c>
      <c r="L651" s="286" t="s">
        <v>53</v>
      </c>
      <c r="M651" s="286">
        <v>1</v>
      </c>
      <c r="N651" s="287">
        <v>2949.23</v>
      </c>
      <c r="O651" s="287"/>
      <c r="P651" s="286" t="s">
        <v>58</v>
      </c>
    </row>
    <row r="652" spans="1:16" hidden="1" x14ac:dyDescent="0.15">
      <c r="A652" s="286">
        <v>278788</v>
      </c>
      <c r="B652" s="288">
        <v>45118.57708333333</v>
      </c>
      <c r="C652" s="286" t="s">
        <v>1649</v>
      </c>
      <c r="D652" s="286" t="s">
        <v>1105</v>
      </c>
      <c r="E652" s="286" t="s">
        <v>1106</v>
      </c>
      <c r="F652" s="286" t="s">
        <v>1712</v>
      </c>
      <c r="G652" s="286" t="s">
        <v>1089</v>
      </c>
      <c r="H652" s="286" t="s">
        <v>1089</v>
      </c>
      <c r="I652" s="286" t="s">
        <v>1228</v>
      </c>
      <c r="J652" s="286" t="s">
        <v>53</v>
      </c>
      <c r="K652" s="286" t="s">
        <v>53</v>
      </c>
      <c r="L652" s="286" t="s">
        <v>53</v>
      </c>
      <c r="M652" s="286" t="s">
        <v>53</v>
      </c>
      <c r="N652" s="287">
        <v>2944.58</v>
      </c>
      <c r="O652" s="287"/>
      <c r="P652" s="286" t="s">
        <v>58</v>
      </c>
    </row>
    <row r="653" spans="1:16" hidden="1" x14ac:dyDescent="0.15">
      <c r="A653" s="286">
        <v>284271</v>
      </c>
      <c r="B653" s="288">
        <v>45121.682638888888</v>
      </c>
      <c r="C653" s="286" t="s">
        <v>1636</v>
      </c>
      <c r="D653" s="286" t="s">
        <v>1105</v>
      </c>
      <c r="E653" s="286" t="s">
        <v>1106</v>
      </c>
      <c r="F653" s="286" t="s">
        <v>1713</v>
      </c>
      <c r="G653" s="286" t="s">
        <v>1089</v>
      </c>
      <c r="H653" s="286" t="s">
        <v>1089</v>
      </c>
      <c r="I653" s="286" t="s">
        <v>1228</v>
      </c>
      <c r="J653" s="286" t="s">
        <v>53</v>
      </c>
      <c r="K653" s="286" t="s">
        <v>53</v>
      </c>
      <c r="L653" s="286" t="s">
        <v>53</v>
      </c>
      <c r="M653" s="286" t="s">
        <v>53</v>
      </c>
      <c r="N653" s="287">
        <v>2944.58</v>
      </c>
      <c r="O653" s="287"/>
      <c r="P653" s="286" t="s">
        <v>58</v>
      </c>
    </row>
    <row r="654" spans="1:16" hidden="1" x14ac:dyDescent="0.15">
      <c r="A654" s="286">
        <v>328287</v>
      </c>
      <c r="B654" s="288">
        <v>45161.62777777778</v>
      </c>
      <c r="C654" s="286" t="s">
        <v>1691</v>
      </c>
      <c r="D654" s="286" t="s">
        <v>1105</v>
      </c>
      <c r="E654" s="286" t="s">
        <v>1106</v>
      </c>
      <c r="F654" s="286" t="s">
        <v>1714</v>
      </c>
      <c r="G654" s="286" t="s">
        <v>1089</v>
      </c>
      <c r="H654" s="286" t="s">
        <v>1089</v>
      </c>
      <c r="I654" s="286" t="s">
        <v>1228</v>
      </c>
      <c r="J654" s="286" t="s">
        <v>53</v>
      </c>
      <c r="K654" s="286" t="s">
        <v>53</v>
      </c>
      <c r="L654" s="286" t="s">
        <v>53</v>
      </c>
      <c r="M654" s="286" t="s">
        <v>53</v>
      </c>
      <c r="N654" s="287">
        <v>2944.58</v>
      </c>
      <c r="O654" s="287"/>
      <c r="P654" s="286" t="s">
        <v>58</v>
      </c>
    </row>
    <row r="655" spans="1:16" hidden="1" x14ac:dyDescent="0.15">
      <c r="A655" s="286">
        <v>339870</v>
      </c>
      <c r="B655" s="288">
        <v>45177.481944444444</v>
      </c>
      <c r="C655" s="286" t="s">
        <v>1676</v>
      </c>
      <c r="D655" s="286" t="s">
        <v>1105</v>
      </c>
      <c r="E655" s="286" t="s">
        <v>1106</v>
      </c>
      <c r="F655" s="286" t="s">
        <v>1715</v>
      </c>
      <c r="G655" s="286" t="s">
        <v>1089</v>
      </c>
      <c r="H655" s="286" t="s">
        <v>1089</v>
      </c>
      <c r="I655" s="286" t="s">
        <v>1228</v>
      </c>
      <c r="J655" s="286" t="s">
        <v>53</v>
      </c>
      <c r="K655" s="286" t="s">
        <v>53</v>
      </c>
      <c r="L655" s="286" t="s">
        <v>53</v>
      </c>
      <c r="M655" s="286" t="s">
        <v>53</v>
      </c>
      <c r="N655" s="287">
        <v>2944.58</v>
      </c>
      <c r="O655" s="287"/>
      <c r="P655" s="286" t="s">
        <v>58</v>
      </c>
    </row>
    <row r="656" spans="1:16" hidden="1" x14ac:dyDescent="0.15">
      <c r="A656" s="286">
        <v>370270</v>
      </c>
      <c r="B656" s="288">
        <v>45208.668055555558</v>
      </c>
      <c r="C656" s="286" t="s">
        <v>1642</v>
      </c>
      <c r="D656" s="286" t="s">
        <v>1105</v>
      </c>
      <c r="E656" s="286" t="s">
        <v>1106</v>
      </c>
      <c r="F656" s="286" t="s">
        <v>1716</v>
      </c>
      <c r="G656" s="286" t="s">
        <v>1089</v>
      </c>
      <c r="H656" s="286" t="s">
        <v>1089</v>
      </c>
      <c r="I656" s="286" t="s">
        <v>1228</v>
      </c>
      <c r="J656" s="286" t="s">
        <v>53</v>
      </c>
      <c r="K656" s="286" t="s">
        <v>53</v>
      </c>
      <c r="L656" s="286" t="s">
        <v>53</v>
      </c>
      <c r="M656" s="286" t="s">
        <v>53</v>
      </c>
      <c r="N656" s="287">
        <v>2944.58</v>
      </c>
      <c r="O656" s="287"/>
      <c r="P656" s="286" t="s">
        <v>58</v>
      </c>
    </row>
    <row r="657" spans="1:16" hidden="1" x14ac:dyDescent="0.15">
      <c r="A657" s="286">
        <v>402221</v>
      </c>
      <c r="B657" s="288">
        <v>45243.579861111109</v>
      </c>
      <c r="C657" s="286" t="s">
        <v>1654</v>
      </c>
      <c r="D657" s="286" t="s">
        <v>1105</v>
      </c>
      <c r="E657" s="286" t="s">
        <v>1106</v>
      </c>
      <c r="F657" s="286" t="s">
        <v>1724</v>
      </c>
      <c r="G657" s="286" t="s">
        <v>1089</v>
      </c>
      <c r="H657" s="286" t="s">
        <v>1089</v>
      </c>
      <c r="I657" s="286" t="s">
        <v>1228</v>
      </c>
      <c r="J657" s="286" t="s">
        <v>53</v>
      </c>
      <c r="K657" s="286" t="s">
        <v>53</v>
      </c>
      <c r="L657" s="286" t="s">
        <v>53</v>
      </c>
      <c r="M657" s="286" t="s">
        <v>53</v>
      </c>
      <c r="N657" s="287">
        <v>2944.58</v>
      </c>
      <c r="O657" s="287"/>
      <c r="P657" s="286" t="s">
        <v>58</v>
      </c>
    </row>
    <row r="658" spans="1:16" hidden="1" x14ac:dyDescent="0.15">
      <c r="A658" s="286">
        <v>455146</v>
      </c>
      <c r="B658" s="288">
        <v>45310.510416666664</v>
      </c>
      <c r="C658" s="286" t="s">
        <v>1632</v>
      </c>
      <c r="D658" s="286" t="s">
        <v>1105</v>
      </c>
      <c r="E658" s="286" t="s">
        <v>1106</v>
      </c>
      <c r="F658" s="286" t="s">
        <v>1725</v>
      </c>
      <c r="G658" s="286" t="s">
        <v>1089</v>
      </c>
      <c r="H658" s="286" t="s">
        <v>1089</v>
      </c>
      <c r="I658" s="286" t="s">
        <v>1228</v>
      </c>
      <c r="J658" s="286" t="s">
        <v>53</v>
      </c>
      <c r="K658" s="286" t="s">
        <v>53</v>
      </c>
      <c r="L658" s="286" t="s">
        <v>53</v>
      </c>
      <c r="M658" s="286" t="s">
        <v>53</v>
      </c>
      <c r="N658" s="287">
        <v>2944.58</v>
      </c>
      <c r="O658" s="287"/>
      <c r="P658" s="286" t="s">
        <v>58</v>
      </c>
    </row>
    <row r="659" spans="1:16" hidden="1" x14ac:dyDescent="0.15">
      <c r="A659" s="286">
        <v>284271</v>
      </c>
      <c r="B659" s="288">
        <v>45121.682638888888</v>
      </c>
      <c r="C659" s="286" t="s">
        <v>1636</v>
      </c>
      <c r="D659" s="286" t="s">
        <v>1105</v>
      </c>
      <c r="E659" s="286" t="s">
        <v>1106</v>
      </c>
      <c r="F659" s="286" t="s">
        <v>1713</v>
      </c>
      <c r="G659" s="286" t="s">
        <v>1035</v>
      </c>
      <c r="H659" s="286" t="s">
        <v>1035</v>
      </c>
      <c r="I659" s="286" t="s">
        <v>1199</v>
      </c>
      <c r="J659" s="286" t="s">
        <v>53</v>
      </c>
      <c r="K659" s="286" t="s">
        <v>53</v>
      </c>
      <c r="L659" s="286" t="s">
        <v>53</v>
      </c>
      <c r="M659" s="286" t="s">
        <v>53</v>
      </c>
      <c r="N659" s="287">
        <v>2909.89</v>
      </c>
      <c r="O659" s="287"/>
      <c r="P659" s="286" t="s">
        <v>58</v>
      </c>
    </row>
    <row r="660" spans="1:16" hidden="1" x14ac:dyDescent="0.15">
      <c r="A660" s="286">
        <v>278788</v>
      </c>
      <c r="B660" s="288">
        <v>45118.57708333333</v>
      </c>
      <c r="C660" s="286" t="s">
        <v>1649</v>
      </c>
      <c r="D660" s="286" t="s">
        <v>1105</v>
      </c>
      <c r="E660" s="286" t="s">
        <v>1106</v>
      </c>
      <c r="F660" s="286" t="s">
        <v>1712</v>
      </c>
      <c r="G660" s="286" t="s">
        <v>1035</v>
      </c>
      <c r="H660" s="286" t="s">
        <v>1035</v>
      </c>
      <c r="I660" s="286" t="s">
        <v>1199</v>
      </c>
      <c r="J660" s="286" t="s">
        <v>53</v>
      </c>
      <c r="K660" s="286" t="s">
        <v>53</v>
      </c>
      <c r="L660" s="286" t="s">
        <v>53</v>
      </c>
      <c r="M660" s="286" t="s">
        <v>53</v>
      </c>
      <c r="N660" s="287">
        <v>2900.19</v>
      </c>
      <c r="O660" s="287"/>
      <c r="P660" s="286" t="s">
        <v>58</v>
      </c>
    </row>
    <row r="661" spans="1:16" hidden="1" x14ac:dyDescent="0.15">
      <c r="A661" s="286">
        <v>185846</v>
      </c>
      <c r="B661" s="288">
        <v>45005.724305555559</v>
      </c>
      <c r="C661" s="286" t="s">
        <v>1667</v>
      </c>
      <c r="D661" s="286" t="s">
        <v>1105</v>
      </c>
      <c r="E661" s="286" t="s">
        <v>1106</v>
      </c>
      <c r="F661" s="286" t="s">
        <v>1702</v>
      </c>
      <c r="G661" s="286" t="s">
        <v>1089</v>
      </c>
      <c r="H661" s="286" t="s">
        <v>1089</v>
      </c>
      <c r="I661" s="286" t="s">
        <v>1228</v>
      </c>
      <c r="J661" s="286" t="s">
        <v>1312</v>
      </c>
      <c r="K661" s="286" t="s">
        <v>53</v>
      </c>
      <c r="L661" s="286" t="s">
        <v>53</v>
      </c>
      <c r="M661" s="286" t="s">
        <v>53</v>
      </c>
      <c r="N661" s="287">
        <v>2841.75</v>
      </c>
      <c r="O661" s="287"/>
      <c r="P661" s="286" t="s">
        <v>58</v>
      </c>
    </row>
    <row r="662" spans="1:16" hidden="1" x14ac:dyDescent="0.15">
      <c r="A662" s="286">
        <v>201556</v>
      </c>
      <c r="B662" s="288">
        <v>45029.540972222225</v>
      </c>
      <c r="C662" s="286" t="s">
        <v>1657</v>
      </c>
      <c r="D662" s="286" t="s">
        <v>1105</v>
      </c>
      <c r="E662" s="286" t="s">
        <v>1106</v>
      </c>
      <c r="F662" s="286" t="s">
        <v>1722</v>
      </c>
      <c r="G662" s="286" t="s">
        <v>1089</v>
      </c>
      <c r="H662" s="286" t="s">
        <v>1089</v>
      </c>
      <c r="I662" s="286" t="s">
        <v>1228</v>
      </c>
      <c r="J662" s="286" t="s">
        <v>1312</v>
      </c>
      <c r="K662" s="286" t="s">
        <v>53</v>
      </c>
      <c r="L662" s="286" t="s">
        <v>53</v>
      </c>
      <c r="M662" s="286" t="s">
        <v>53</v>
      </c>
      <c r="N662" s="287">
        <v>2841.75</v>
      </c>
      <c r="O662" s="287"/>
      <c r="P662" s="286" t="s">
        <v>58</v>
      </c>
    </row>
    <row r="663" spans="1:16" hidden="1" x14ac:dyDescent="0.15">
      <c r="A663" s="286">
        <v>225409</v>
      </c>
      <c r="B663" s="288">
        <v>45058.522222222222</v>
      </c>
      <c r="C663" s="286" t="s">
        <v>1665</v>
      </c>
      <c r="D663" s="286" t="s">
        <v>1105</v>
      </c>
      <c r="E663" s="286" t="s">
        <v>1106</v>
      </c>
      <c r="F663" s="286" t="s">
        <v>1723</v>
      </c>
      <c r="G663" s="286" t="s">
        <v>1089</v>
      </c>
      <c r="H663" s="286" t="s">
        <v>1089</v>
      </c>
      <c r="I663" s="286" t="s">
        <v>1228</v>
      </c>
      <c r="J663" s="286" t="s">
        <v>1312</v>
      </c>
      <c r="K663" s="286" t="s">
        <v>53</v>
      </c>
      <c r="L663" s="286" t="s">
        <v>53</v>
      </c>
      <c r="M663" s="286" t="s">
        <v>53</v>
      </c>
      <c r="N663" s="287">
        <v>2841.75</v>
      </c>
      <c r="O663" s="287"/>
      <c r="P663" s="286" t="s">
        <v>58</v>
      </c>
    </row>
    <row r="664" spans="1:16" hidden="1" x14ac:dyDescent="0.15">
      <c r="A664" s="286">
        <v>455146</v>
      </c>
      <c r="B664" s="288">
        <v>45310.510416666664</v>
      </c>
      <c r="C664" s="286" t="s">
        <v>1632</v>
      </c>
      <c r="D664" s="286" t="s">
        <v>1105</v>
      </c>
      <c r="E664" s="286" t="s">
        <v>1106</v>
      </c>
      <c r="F664" s="286" t="s">
        <v>1725</v>
      </c>
      <c r="G664" s="286" t="s">
        <v>1017</v>
      </c>
      <c r="H664" s="286" t="s">
        <v>1017</v>
      </c>
      <c r="I664" s="286" t="s">
        <v>1228</v>
      </c>
      <c r="J664" s="286" t="s">
        <v>53</v>
      </c>
      <c r="K664" s="286" t="s">
        <v>53</v>
      </c>
      <c r="L664" s="286" t="s">
        <v>53</v>
      </c>
      <c r="M664" s="286" t="s">
        <v>53</v>
      </c>
      <c r="N664" s="287">
        <v>2825.19</v>
      </c>
      <c r="O664" s="287"/>
      <c r="P664" s="286" t="s">
        <v>58</v>
      </c>
    </row>
    <row r="665" spans="1:16" hidden="1" x14ac:dyDescent="0.15">
      <c r="A665" s="286">
        <v>284271</v>
      </c>
      <c r="B665" s="288">
        <v>45121.682638888888</v>
      </c>
      <c r="C665" s="286" t="s">
        <v>1636</v>
      </c>
      <c r="D665" s="286" t="s">
        <v>1105</v>
      </c>
      <c r="E665" s="286" t="s">
        <v>1106</v>
      </c>
      <c r="F665" s="286" t="s">
        <v>1713</v>
      </c>
      <c r="G665" s="286" t="s">
        <v>1786</v>
      </c>
      <c r="H665" s="286" t="s">
        <v>1786</v>
      </c>
      <c r="I665" s="286" t="s">
        <v>1199</v>
      </c>
      <c r="J665" s="286" t="s">
        <v>53</v>
      </c>
      <c r="K665" s="286" t="s">
        <v>53</v>
      </c>
      <c r="L665" s="286" t="s">
        <v>53</v>
      </c>
      <c r="M665" s="286" t="s">
        <v>53</v>
      </c>
      <c r="N665" s="287">
        <v>2804.65</v>
      </c>
      <c r="O665" s="287"/>
      <c r="P665" s="286" t="s">
        <v>58</v>
      </c>
    </row>
    <row r="666" spans="1:16" hidden="1" x14ac:dyDescent="0.15">
      <c r="A666" s="286">
        <v>402221</v>
      </c>
      <c r="B666" s="288">
        <v>45243.579861111109</v>
      </c>
      <c r="C666" s="286" t="s">
        <v>1654</v>
      </c>
      <c r="D666" s="286" t="s">
        <v>1105</v>
      </c>
      <c r="E666" s="286" t="s">
        <v>1106</v>
      </c>
      <c r="F666" s="286" t="s">
        <v>1724</v>
      </c>
      <c r="G666" s="286" t="s">
        <v>1024</v>
      </c>
      <c r="H666" s="286" t="s">
        <v>1024</v>
      </c>
      <c r="I666" s="286" t="s">
        <v>1199</v>
      </c>
      <c r="J666" s="286" t="s">
        <v>53</v>
      </c>
      <c r="K666" s="286" t="s">
        <v>53</v>
      </c>
      <c r="L666" s="286" t="s">
        <v>53</v>
      </c>
      <c r="M666" s="286" t="s">
        <v>53</v>
      </c>
      <c r="N666" s="287">
        <v>2781.47</v>
      </c>
      <c r="O666" s="287"/>
      <c r="P666" s="286" t="s">
        <v>58</v>
      </c>
    </row>
    <row r="667" spans="1:16" hidden="1" x14ac:dyDescent="0.15">
      <c r="A667" s="286">
        <v>455146</v>
      </c>
      <c r="B667" s="288">
        <v>45310.510416666664</v>
      </c>
      <c r="C667" s="286" t="s">
        <v>1632</v>
      </c>
      <c r="D667" s="286" t="s">
        <v>1105</v>
      </c>
      <c r="E667" s="286" t="s">
        <v>1106</v>
      </c>
      <c r="F667" s="286" t="s">
        <v>1725</v>
      </c>
      <c r="G667" s="286" t="s">
        <v>1024</v>
      </c>
      <c r="H667" s="286" t="s">
        <v>1024</v>
      </c>
      <c r="I667" s="286" t="s">
        <v>1199</v>
      </c>
      <c r="J667" s="286" t="s">
        <v>53</v>
      </c>
      <c r="K667" s="286" t="s">
        <v>53</v>
      </c>
      <c r="L667" s="286" t="s">
        <v>53</v>
      </c>
      <c r="M667" s="286" t="s">
        <v>53</v>
      </c>
      <c r="N667" s="287">
        <v>2781.47</v>
      </c>
      <c r="O667" s="287"/>
      <c r="P667" s="286" t="s">
        <v>58</v>
      </c>
    </row>
    <row r="668" spans="1:16" hidden="1" x14ac:dyDescent="0.15">
      <c r="A668" s="286">
        <v>437581</v>
      </c>
      <c r="B668" s="288">
        <v>45281.44027777778</v>
      </c>
      <c r="C668" s="286" t="s">
        <v>1632</v>
      </c>
      <c r="D668" s="286" t="s">
        <v>1105</v>
      </c>
      <c r="E668" s="286" t="s">
        <v>1106</v>
      </c>
      <c r="F668" s="286" t="s">
        <v>1741</v>
      </c>
      <c r="G668" s="286" t="s">
        <v>1072</v>
      </c>
      <c r="H668" s="286" t="s">
        <v>1072</v>
      </c>
      <c r="I668" s="286" t="s">
        <v>1108</v>
      </c>
      <c r="J668" s="286" t="s">
        <v>1312</v>
      </c>
      <c r="K668" s="286" t="s">
        <v>1823</v>
      </c>
      <c r="L668" s="286" t="s">
        <v>1824</v>
      </c>
      <c r="M668" s="286">
        <v>1</v>
      </c>
      <c r="N668" s="287">
        <v>2697</v>
      </c>
      <c r="O668" s="305">
        <f>EOMONTH(B668,0)</f>
        <v>45291</v>
      </c>
      <c r="P668" s="286" t="s">
        <v>37</v>
      </c>
    </row>
    <row r="669" spans="1:16" hidden="1" x14ac:dyDescent="0.15">
      <c r="A669" s="286">
        <v>170399</v>
      </c>
      <c r="B669" s="288">
        <v>44986.614583333336</v>
      </c>
      <c r="C669" s="286" t="s">
        <v>1640</v>
      </c>
      <c r="D669" s="286" t="s">
        <v>1105</v>
      </c>
      <c r="E669" s="286" t="s">
        <v>1106</v>
      </c>
      <c r="F669" s="286" t="s">
        <v>1720</v>
      </c>
      <c r="G669" s="286" t="s">
        <v>1024</v>
      </c>
      <c r="H669" s="286" t="s">
        <v>1024</v>
      </c>
      <c r="I669" s="286" t="s">
        <v>1199</v>
      </c>
      <c r="J669" s="286" t="s">
        <v>1312</v>
      </c>
      <c r="K669" s="286" t="s">
        <v>53</v>
      </c>
      <c r="L669" s="286" t="s">
        <v>53</v>
      </c>
      <c r="M669" s="286" t="s">
        <v>53</v>
      </c>
      <c r="N669" s="287">
        <v>2683.17</v>
      </c>
      <c r="O669" s="287"/>
      <c r="P669" s="286" t="s">
        <v>58</v>
      </c>
    </row>
    <row r="670" spans="1:16" hidden="1" x14ac:dyDescent="0.15">
      <c r="A670" s="286">
        <v>170298</v>
      </c>
      <c r="B670" s="288">
        <v>44986.623611111114</v>
      </c>
      <c r="C670" s="286" t="s">
        <v>1638</v>
      </c>
      <c r="D670" s="286" t="s">
        <v>1105</v>
      </c>
      <c r="E670" s="286" t="s">
        <v>1106</v>
      </c>
      <c r="F670" s="286" t="s">
        <v>1721</v>
      </c>
      <c r="G670" s="286" t="s">
        <v>1024</v>
      </c>
      <c r="H670" s="286" t="s">
        <v>1024</v>
      </c>
      <c r="I670" s="286" t="s">
        <v>1199</v>
      </c>
      <c r="J670" s="286" t="s">
        <v>1312</v>
      </c>
      <c r="K670" s="286" t="s">
        <v>53</v>
      </c>
      <c r="L670" s="286" t="s">
        <v>53</v>
      </c>
      <c r="M670" s="286" t="s">
        <v>53</v>
      </c>
      <c r="N670" s="287">
        <v>2683.17</v>
      </c>
      <c r="O670" s="287"/>
      <c r="P670" s="286" t="s">
        <v>58</v>
      </c>
    </row>
    <row r="671" spans="1:16" hidden="1" x14ac:dyDescent="0.15">
      <c r="A671" s="286">
        <v>185846</v>
      </c>
      <c r="B671" s="288">
        <v>45005.724305555559</v>
      </c>
      <c r="C671" s="286" t="s">
        <v>1667</v>
      </c>
      <c r="D671" s="286" t="s">
        <v>1105</v>
      </c>
      <c r="E671" s="286" t="s">
        <v>1106</v>
      </c>
      <c r="F671" s="286" t="s">
        <v>1702</v>
      </c>
      <c r="G671" s="286" t="s">
        <v>1024</v>
      </c>
      <c r="H671" s="286" t="s">
        <v>1024</v>
      </c>
      <c r="I671" s="286" t="s">
        <v>1199</v>
      </c>
      <c r="J671" s="286" t="s">
        <v>1312</v>
      </c>
      <c r="K671" s="286" t="s">
        <v>53</v>
      </c>
      <c r="L671" s="286" t="s">
        <v>53</v>
      </c>
      <c r="M671" s="286" t="s">
        <v>53</v>
      </c>
      <c r="N671" s="287">
        <v>2683.17</v>
      </c>
      <c r="O671" s="287"/>
      <c r="P671" s="286" t="s">
        <v>58</v>
      </c>
    </row>
    <row r="672" spans="1:16" hidden="1" x14ac:dyDescent="0.15">
      <c r="A672" s="286">
        <v>201556</v>
      </c>
      <c r="B672" s="288">
        <v>45029.540972222225</v>
      </c>
      <c r="C672" s="286" t="s">
        <v>1657</v>
      </c>
      <c r="D672" s="286" t="s">
        <v>1105</v>
      </c>
      <c r="E672" s="286" t="s">
        <v>1106</v>
      </c>
      <c r="F672" s="286" t="s">
        <v>1722</v>
      </c>
      <c r="G672" s="286" t="s">
        <v>1024</v>
      </c>
      <c r="H672" s="286" t="s">
        <v>1024</v>
      </c>
      <c r="I672" s="286" t="s">
        <v>1199</v>
      </c>
      <c r="J672" s="286" t="s">
        <v>1312</v>
      </c>
      <c r="K672" s="286" t="s">
        <v>53</v>
      </c>
      <c r="L672" s="286" t="s">
        <v>53</v>
      </c>
      <c r="M672" s="286" t="s">
        <v>53</v>
      </c>
      <c r="N672" s="287">
        <v>2683.17</v>
      </c>
      <c r="O672" s="287"/>
      <c r="P672" s="286" t="s">
        <v>58</v>
      </c>
    </row>
    <row r="673" spans="1:16" hidden="1" x14ac:dyDescent="0.15">
      <c r="A673" s="286">
        <v>225409</v>
      </c>
      <c r="B673" s="288">
        <v>45058.522222222222</v>
      </c>
      <c r="C673" s="286" t="s">
        <v>1665</v>
      </c>
      <c r="D673" s="286" t="s">
        <v>1105</v>
      </c>
      <c r="E673" s="286" t="s">
        <v>1106</v>
      </c>
      <c r="F673" s="286" t="s">
        <v>1723</v>
      </c>
      <c r="G673" s="286" t="s">
        <v>1024</v>
      </c>
      <c r="H673" s="286" t="s">
        <v>1024</v>
      </c>
      <c r="I673" s="286" t="s">
        <v>1199</v>
      </c>
      <c r="J673" s="286" t="s">
        <v>1312</v>
      </c>
      <c r="K673" s="286" t="s">
        <v>53</v>
      </c>
      <c r="L673" s="286" t="s">
        <v>53</v>
      </c>
      <c r="M673" s="286" t="s">
        <v>53</v>
      </c>
      <c r="N673" s="287">
        <v>2683.17</v>
      </c>
      <c r="O673" s="287"/>
      <c r="P673" s="286" t="s">
        <v>58</v>
      </c>
    </row>
    <row r="674" spans="1:16" hidden="1" x14ac:dyDescent="0.15">
      <c r="A674" s="286">
        <v>278788</v>
      </c>
      <c r="B674" s="288">
        <v>45118.57708333333</v>
      </c>
      <c r="C674" s="286" t="s">
        <v>1649</v>
      </c>
      <c r="D674" s="286" t="s">
        <v>1105</v>
      </c>
      <c r="E674" s="286" t="s">
        <v>1106</v>
      </c>
      <c r="F674" s="286" t="s">
        <v>1712</v>
      </c>
      <c r="G674" s="286" t="s">
        <v>1024</v>
      </c>
      <c r="H674" s="286" t="s">
        <v>1024</v>
      </c>
      <c r="I674" s="286" t="s">
        <v>1199</v>
      </c>
      <c r="J674" s="286" t="s">
        <v>53</v>
      </c>
      <c r="K674" s="286" t="s">
        <v>53</v>
      </c>
      <c r="L674" s="286" t="s">
        <v>53</v>
      </c>
      <c r="M674" s="286" t="s">
        <v>53</v>
      </c>
      <c r="N674" s="287">
        <v>2683.17</v>
      </c>
      <c r="O674" s="287"/>
      <c r="P674" s="286" t="s">
        <v>58</v>
      </c>
    </row>
    <row r="675" spans="1:16" hidden="1" x14ac:dyDescent="0.15">
      <c r="A675" s="286">
        <v>284271</v>
      </c>
      <c r="B675" s="288">
        <v>45121.682638888888</v>
      </c>
      <c r="C675" s="286" t="s">
        <v>1636</v>
      </c>
      <c r="D675" s="286" t="s">
        <v>1105</v>
      </c>
      <c r="E675" s="286" t="s">
        <v>1106</v>
      </c>
      <c r="F675" s="286" t="s">
        <v>1713</v>
      </c>
      <c r="G675" s="286" t="s">
        <v>1024</v>
      </c>
      <c r="H675" s="286" t="s">
        <v>1024</v>
      </c>
      <c r="I675" s="286" t="s">
        <v>1199</v>
      </c>
      <c r="J675" s="286" t="s">
        <v>53</v>
      </c>
      <c r="K675" s="286" t="s">
        <v>53</v>
      </c>
      <c r="L675" s="286" t="s">
        <v>53</v>
      </c>
      <c r="M675" s="286" t="s">
        <v>53</v>
      </c>
      <c r="N675" s="287">
        <v>2683.17</v>
      </c>
      <c r="O675" s="287"/>
      <c r="P675" s="286" t="s">
        <v>58</v>
      </c>
    </row>
    <row r="676" spans="1:16" hidden="1" x14ac:dyDescent="0.15">
      <c r="A676" s="286">
        <v>328287</v>
      </c>
      <c r="B676" s="288">
        <v>45161.62777777778</v>
      </c>
      <c r="C676" s="286" t="s">
        <v>1691</v>
      </c>
      <c r="D676" s="286" t="s">
        <v>1105</v>
      </c>
      <c r="E676" s="286" t="s">
        <v>1106</v>
      </c>
      <c r="F676" s="286" t="s">
        <v>1714</v>
      </c>
      <c r="G676" s="286" t="s">
        <v>1024</v>
      </c>
      <c r="H676" s="286" t="s">
        <v>1024</v>
      </c>
      <c r="I676" s="286" t="s">
        <v>1199</v>
      </c>
      <c r="J676" s="286" t="s">
        <v>53</v>
      </c>
      <c r="K676" s="286" t="s">
        <v>53</v>
      </c>
      <c r="L676" s="286" t="s">
        <v>53</v>
      </c>
      <c r="M676" s="286" t="s">
        <v>53</v>
      </c>
      <c r="N676" s="287">
        <v>2683.17</v>
      </c>
      <c r="O676" s="287"/>
      <c r="P676" s="286" t="s">
        <v>58</v>
      </c>
    </row>
    <row r="677" spans="1:16" hidden="1" x14ac:dyDescent="0.15">
      <c r="A677" s="286">
        <v>339870</v>
      </c>
      <c r="B677" s="288">
        <v>45177.481944444444</v>
      </c>
      <c r="C677" s="286" t="s">
        <v>1676</v>
      </c>
      <c r="D677" s="286" t="s">
        <v>1105</v>
      </c>
      <c r="E677" s="286" t="s">
        <v>1106</v>
      </c>
      <c r="F677" s="286" t="s">
        <v>1715</v>
      </c>
      <c r="G677" s="286" t="s">
        <v>1024</v>
      </c>
      <c r="H677" s="286" t="s">
        <v>1024</v>
      </c>
      <c r="I677" s="286" t="s">
        <v>1199</v>
      </c>
      <c r="J677" s="286" t="s">
        <v>53</v>
      </c>
      <c r="K677" s="286" t="s">
        <v>53</v>
      </c>
      <c r="L677" s="286" t="s">
        <v>53</v>
      </c>
      <c r="M677" s="286" t="s">
        <v>53</v>
      </c>
      <c r="N677" s="287">
        <v>2683.17</v>
      </c>
      <c r="O677" s="287"/>
      <c r="P677" s="286" t="s">
        <v>58</v>
      </c>
    </row>
    <row r="678" spans="1:16" hidden="1" x14ac:dyDescent="0.15">
      <c r="A678" s="286">
        <v>370270</v>
      </c>
      <c r="B678" s="288">
        <v>45208.668055555558</v>
      </c>
      <c r="C678" s="286" t="s">
        <v>1642</v>
      </c>
      <c r="D678" s="286" t="s">
        <v>1105</v>
      </c>
      <c r="E678" s="286" t="s">
        <v>1106</v>
      </c>
      <c r="F678" s="286" t="s">
        <v>1716</v>
      </c>
      <c r="G678" s="286" t="s">
        <v>1024</v>
      </c>
      <c r="H678" s="286" t="s">
        <v>1024</v>
      </c>
      <c r="I678" s="286" t="s">
        <v>1199</v>
      </c>
      <c r="J678" s="286" t="s">
        <v>53</v>
      </c>
      <c r="K678" s="286" t="s">
        <v>53</v>
      </c>
      <c r="L678" s="286" t="s">
        <v>53</v>
      </c>
      <c r="M678" s="286" t="s">
        <v>53</v>
      </c>
      <c r="N678" s="287">
        <v>2683.15</v>
      </c>
      <c r="O678" s="287"/>
      <c r="P678" s="286" t="s">
        <v>58</v>
      </c>
    </row>
    <row r="679" spans="1:16" hidden="1" x14ac:dyDescent="0.15">
      <c r="A679" s="286">
        <v>430974</v>
      </c>
      <c r="B679" s="288">
        <v>45274.409722222219</v>
      </c>
      <c r="C679" s="286" t="s">
        <v>1632</v>
      </c>
      <c r="D679" s="286" t="s">
        <v>1105</v>
      </c>
      <c r="E679" s="286" t="s">
        <v>1106</v>
      </c>
      <c r="F679" s="286" t="s">
        <v>1825</v>
      </c>
      <c r="G679" s="286" t="s">
        <v>1786</v>
      </c>
      <c r="H679" s="286" t="s">
        <v>1786</v>
      </c>
      <c r="I679" s="286" t="s">
        <v>1152</v>
      </c>
      <c r="J679" s="286" t="s">
        <v>1312</v>
      </c>
      <c r="K679" s="286" t="s">
        <v>1826</v>
      </c>
      <c r="L679" s="286" t="s">
        <v>1827</v>
      </c>
      <c r="M679" s="286">
        <v>1</v>
      </c>
      <c r="N679" s="287">
        <v>2563.11</v>
      </c>
      <c r="O679" s="287"/>
      <c r="P679" s="286" t="s">
        <v>58</v>
      </c>
    </row>
    <row r="680" spans="1:16" hidden="1" x14ac:dyDescent="0.15">
      <c r="A680" s="286">
        <v>455146</v>
      </c>
      <c r="B680" s="288">
        <v>45310.510416666664</v>
      </c>
      <c r="C680" s="286" t="s">
        <v>1632</v>
      </c>
      <c r="D680" s="286" t="s">
        <v>1105</v>
      </c>
      <c r="E680" s="286" t="s">
        <v>1106</v>
      </c>
      <c r="F680" s="286" t="s">
        <v>1725</v>
      </c>
      <c r="G680" s="286" t="s">
        <v>1083</v>
      </c>
      <c r="H680" s="286" t="s">
        <v>1083</v>
      </c>
      <c r="I680" s="286" t="s">
        <v>1199</v>
      </c>
      <c r="J680" s="286" t="s">
        <v>1312</v>
      </c>
      <c r="K680" s="286" t="s">
        <v>1828</v>
      </c>
      <c r="L680" s="286" t="s">
        <v>672</v>
      </c>
      <c r="M680" s="286">
        <v>1</v>
      </c>
      <c r="N680" s="287">
        <v>2534.1999999999998</v>
      </c>
      <c r="O680" s="287"/>
      <c r="P680" s="286" t="s">
        <v>58</v>
      </c>
    </row>
    <row r="681" spans="1:16" hidden="1" x14ac:dyDescent="0.15">
      <c r="A681" s="286">
        <v>454716</v>
      </c>
      <c r="B681" s="288">
        <v>45310.413888888892</v>
      </c>
      <c r="C681" s="286" t="s">
        <v>1632</v>
      </c>
      <c r="D681" s="286" t="s">
        <v>1105</v>
      </c>
      <c r="E681" s="286" t="s">
        <v>1106</v>
      </c>
      <c r="F681" s="286" t="s">
        <v>1829</v>
      </c>
      <c r="G681" s="286" t="s">
        <v>53</v>
      </c>
      <c r="H681" s="286" t="s">
        <v>53</v>
      </c>
      <c r="I681" s="286" t="s">
        <v>1199</v>
      </c>
      <c r="J681" s="286" t="s">
        <v>53</v>
      </c>
      <c r="K681" s="286" t="s">
        <v>53</v>
      </c>
      <c r="L681" s="286" t="s">
        <v>53</v>
      </c>
      <c r="M681" s="286" t="s">
        <v>53</v>
      </c>
      <c r="N681" s="287">
        <v>2527.31</v>
      </c>
      <c r="O681" s="287"/>
      <c r="P681" s="286" t="s">
        <v>58</v>
      </c>
    </row>
    <row r="682" spans="1:16" hidden="1" x14ac:dyDescent="0.15">
      <c r="A682" s="286">
        <v>495391</v>
      </c>
      <c r="B682" s="288">
        <v>45351.402777777781</v>
      </c>
      <c r="C682" s="286" t="s">
        <v>1632</v>
      </c>
      <c r="D682" s="286" t="s">
        <v>1105</v>
      </c>
      <c r="E682" s="286" t="s">
        <v>1106</v>
      </c>
      <c r="F682" s="286" t="s">
        <v>1830</v>
      </c>
      <c r="G682" s="286" t="s">
        <v>53</v>
      </c>
      <c r="H682" s="286" t="s">
        <v>53</v>
      </c>
      <c r="I682" s="286" t="s">
        <v>1152</v>
      </c>
      <c r="J682" s="286" t="s">
        <v>53</v>
      </c>
      <c r="K682" s="286" t="s">
        <v>53</v>
      </c>
      <c r="L682" s="286" t="s">
        <v>53</v>
      </c>
      <c r="M682" s="286" t="s">
        <v>53</v>
      </c>
      <c r="N682" s="287">
        <v>2527.31</v>
      </c>
      <c r="O682" s="287"/>
      <c r="P682" s="286" t="s">
        <v>58</v>
      </c>
    </row>
    <row r="683" spans="1:16" hidden="1" x14ac:dyDescent="0.15">
      <c r="A683" s="286">
        <v>495391</v>
      </c>
      <c r="B683" s="288">
        <v>45351.402777777781</v>
      </c>
      <c r="C683" s="286" t="s">
        <v>1632</v>
      </c>
      <c r="D683" s="286" t="s">
        <v>1105</v>
      </c>
      <c r="E683" s="286" t="s">
        <v>1106</v>
      </c>
      <c r="F683" s="286" t="s">
        <v>1830</v>
      </c>
      <c r="G683" s="286" t="s">
        <v>1036</v>
      </c>
      <c r="H683" s="286" t="s">
        <v>1036</v>
      </c>
      <c r="I683" s="286" t="s">
        <v>1199</v>
      </c>
      <c r="J683" s="286" t="s">
        <v>53</v>
      </c>
      <c r="K683" s="286" t="s">
        <v>53</v>
      </c>
      <c r="L683" s="286" t="s">
        <v>53</v>
      </c>
      <c r="M683" s="286" t="s">
        <v>53</v>
      </c>
      <c r="N683" s="287">
        <v>2527.31</v>
      </c>
      <c r="O683" s="287"/>
      <c r="P683" s="286" t="s">
        <v>58</v>
      </c>
    </row>
    <row r="684" spans="1:16" hidden="1" x14ac:dyDescent="0.15">
      <c r="A684" s="286">
        <v>370270</v>
      </c>
      <c r="B684" s="288">
        <v>45208.668055555558</v>
      </c>
      <c r="C684" s="286" t="s">
        <v>1642</v>
      </c>
      <c r="D684" s="286" t="s">
        <v>1105</v>
      </c>
      <c r="E684" s="286" t="s">
        <v>1106</v>
      </c>
      <c r="F684" s="286" t="s">
        <v>1716</v>
      </c>
      <c r="G684" s="286" t="s">
        <v>1010</v>
      </c>
      <c r="H684" s="286" t="s">
        <v>1010</v>
      </c>
      <c r="I684" s="286" t="s">
        <v>1199</v>
      </c>
      <c r="J684" s="286" t="s">
        <v>53</v>
      </c>
      <c r="K684" s="286" t="s">
        <v>53</v>
      </c>
      <c r="L684" s="286" t="s">
        <v>53</v>
      </c>
      <c r="M684" s="286" t="s">
        <v>53</v>
      </c>
      <c r="N684" s="287">
        <v>2491.98</v>
      </c>
      <c r="O684" s="287"/>
      <c r="P684" s="286" t="s">
        <v>58</v>
      </c>
    </row>
    <row r="685" spans="1:16" hidden="1" x14ac:dyDescent="0.15">
      <c r="A685" s="286">
        <v>370270</v>
      </c>
      <c r="B685" s="288">
        <v>45208.668055555558</v>
      </c>
      <c r="C685" s="286" t="s">
        <v>1642</v>
      </c>
      <c r="D685" s="286" t="s">
        <v>1105</v>
      </c>
      <c r="E685" s="286" t="s">
        <v>1106</v>
      </c>
      <c r="F685" s="286" t="s">
        <v>1716</v>
      </c>
      <c r="G685" s="286" t="s">
        <v>1831</v>
      </c>
      <c r="H685" s="286" t="s">
        <v>1831</v>
      </c>
      <c r="I685" s="286" t="s">
        <v>1129</v>
      </c>
      <c r="J685" s="286" t="s">
        <v>1312</v>
      </c>
      <c r="K685" s="286" t="s">
        <v>1832</v>
      </c>
      <c r="L685" s="286" t="s">
        <v>1833</v>
      </c>
      <c r="M685" s="286">
        <v>11</v>
      </c>
      <c r="N685" s="287">
        <v>2378.5300000000002</v>
      </c>
      <c r="O685" s="287"/>
      <c r="P685" s="286" t="s">
        <v>164</v>
      </c>
    </row>
    <row r="686" spans="1:16" hidden="1" x14ac:dyDescent="0.15">
      <c r="A686" s="286">
        <v>278788</v>
      </c>
      <c r="B686" s="288">
        <v>45118.57708333333</v>
      </c>
      <c r="C686" s="286" t="s">
        <v>1649</v>
      </c>
      <c r="D686" s="286" t="s">
        <v>1105</v>
      </c>
      <c r="E686" s="286" t="s">
        <v>1106</v>
      </c>
      <c r="F686" s="286" t="s">
        <v>1712</v>
      </c>
      <c r="G686" s="286" t="s">
        <v>1004</v>
      </c>
      <c r="H686" s="286" t="s">
        <v>1004</v>
      </c>
      <c r="I686" s="286" t="s">
        <v>1199</v>
      </c>
      <c r="J686" s="286" t="s">
        <v>53</v>
      </c>
      <c r="K686" s="286" t="s">
        <v>53</v>
      </c>
      <c r="L686" s="286" t="s">
        <v>53</v>
      </c>
      <c r="M686" s="286" t="s">
        <v>53</v>
      </c>
      <c r="N686" s="287">
        <v>2358.19</v>
      </c>
      <c r="O686" s="287"/>
      <c r="P686" s="286" t="s">
        <v>58</v>
      </c>
    </row>
    <row r="687" spans="1:16" hidden="1" x14ac:dyDescent="0.15">
      <c r="A687" s="286">
        <v>284271</v>
      </c>
      <c r="B687" s="288">
        <v>45121.682638888888</v>
      </c>
      <c r="C687" s="286" t="s">
        <v>1636</v>
      </c>
      <c r="D687" s="286" t="s">
        <v>1105</v>
      </c>
      <c r="E687" s="286" t="s">
        <v>1106</v>
      </c>
      <c r="F687" s="286" t="s">
        <v>1713</v>
      </c>
      <c r="G687" s="286" t="s">
        <v>1004</v>
      </c>
      <c r="H687" s="286" t="s">
        <v>1004</v>
      </c>
      <c r="I687" s="286" t="s">
        <v>1199</v>
      </c>
      <c r="J687" s="286" t="s">
        <v>53</v>
      </c>
      <c r="K687" s="286" t="s">
        <v>53</v>
      </c>
      <c r="L687" s="286" t="s">
        <v>53</v>
      </c>
      <c r="M687" s="286" t="s">
        <v>53</v>
      </c>
      <c r="N687" s="287">
        <v>2358.19</v>
      </c>
      <c r="O687" s="287"/>
      <c r="P687" s="286" t="s">
        <v>58</v>
      </c>
    </row>
    <row r="688" spans="1:16" hidden="1" x14ac:dyDescent="0.15">
      <c r="A688" s="286">
        <v>328287</v>
      </c>
      <c r="B688" s="288">
        <v>45161.62777777778</v>
      </c>
      <c r="C688" s="286" t="s">
        <v>1691</v>
      </c>
      <c r="D688" s="286" t="s">
        <v>1105</v>
      </c>
      <c r="E688" s="286" t="s">
        <v>1106</v>
      </c>
      <c r="F688" s="286" t="s">
        <v>1714</v>
      </c>
      <c r="G688" s="286" t="s">
        <v>1004</v>
      </c>
      <c r="H688" s="286" t="s">
        <v>1004</v>
      </c>
      <c r="I688" s="286" t="s">
        <v>1199</v>
      </c>
      <c r="J688" s="286" t="s">
        <v>53</v>
      </c>
      <c r="K688" s="286" t="s">
        <v>53</v>
      </c>
      <c r="L688" s="286" t="s">
        <v>53</v>
      </c>
      <c r="M688" s="286" t="s">
        <v>53</v>
      </c>
      <c r="N688" s="287">
        <v>2358.19</v>
      </c>
      <c r="O688" s="287"/>
      <c r="P688" s="286" t="s">
        <v>58</v>
      </c>
    </row>
    <row r="689" spans="1:16" hidden="1" x14ac:dyDescent="0.15">
      <c r="A689" s="286">
        <v>339870</v>
      </c>
      <c r="B689" s="288">
        <v>45177.481944444444</v>
      </c>
      <c r="C689" s="286" t="s">
        <v>1676</v>
      </c>
      <c r="D689" s="286" t="s">
        <v>1105</v>
      </c>
      <c r="E689" s="286" t="s">
        <v>1106</v>
      </c>
      <c r="F689" s="286" t="s">
        <v>1715</v>
      </c>
      <c r="G689" s="286" t="s">
        <v>1004</v>
      </c>
      <c r="H689" s="286" t="s">
        <v>1004</v>
      </c>
      <c r="I689" s="286" t="s">
        <v>1199</v>
      </c>
      <c r="J689" s="286" t="s">
        <v>53</v>
      </c>
      <c r="K689" s="286" t="s">
        <v>53</v>
      </c>
      <c r="L689" s="286" t="s">
        <v>53</v>
      </c>
      <c r="M689" s="286" t="s">
        <v>53</v>
      </c>
      <c r="N689" s="287">
        <v>2358.19</v>
      </c>
      <c r="O689" s="287"/>
      <c r="P689" s="286" t="s">
        <v>58</v>
      </c>
    </row>
    <row r="690" spans="1:16" hidden="1" x14ac:dyDescent="0.15">
      <c r="A690" s="286">
        <v>370270</v>
      </c>
      <c r="B690" s="288">
        <v>45208.668055555558</v>
      </c>
      <c r="C690" s="286" t="s">
        <v>1642</v>
      </c>
      <c r="D690" s="286" t="s">
        <v>1105</v>
      </c>
      <c r="E690" s="286" t="s">
        <v>1106</v>
      </c>
      <c r="F690" s="286" t="s">
        <v>1716</v>
      </c>
      <c r="G690" s="286" t="s">
        <v>1004</v>
      </c>
      <c r="H690" s="286" t="s">
        <v>1004</v>
      </c>
      <c r="I690" s="286" t="s">
        <v>1199</v>
      </c>
      <c r="J690" s="286" t="s">
        <v>53</v>
      </c>
      <c r="K690" s="286" t="s">
        <v>53</v>
      </c>
      <c r="L690" s="286" t="s">
        <v>53</v>
      </c>
      <c r="M690" s="286" t="s">
        <v>53</v>
      </c>
      <c r="N690" s="287">
        <v>2358.19</v>
      </c>
      <c r="O690" s="287"/>
      <c r="P690" s="286" t="s">
        <v>58</v>
      </c>
    </row>
    <row r="691" spans="1:16" hidden="1" x14ac:dyDescent="0.15">
      <c r="A691" s="286">
        <v>402221</v>
      </c>
      <c r="B691" s="288">
        <v>45243.579861111109</v>
      </c>
      <c r="C691" s="286" t="s">
        <v>1654</v>
      </c>
      <c r="D691" s="286" t="s">
        <v>1105</v>
      </c>
      <c r="E691" s="286" t="s">
        <v>1106</v>
      </c>
      <c r="F691" s="286" t="s">
        <v>1724</v>
      </c>
      <c r="G691" s="286" t="s">
        <v>1004</v>
      </c>
      <c r="H691" s="286" t="s">
        <v>1004</v>
      </c>
      <c r="I691" s="286" t="s">
        <v>1199</v>
      </c>
      <c r="J691" s="286" t="s">
        <v>53</v>
      </c>
      <c r="K691" s="286" t="s">
        <v>53</v>
      </c>
      <c r="L691" s="286" t="s">
        <v>53</v>
      </c>
      <c r="M691" s="286" t="s">
        <v>53</v>
      </c>
      <c r="N691" s="287">
        <v>2358.19</v>
      </c>
      <c r="O691" s="287"/>
      <c r="P691" s="286" t="s">
        <v>58</v>
      </c>
    </row>
    <row r="692" spans="1:16" hidden="1" x14ac:dyDescent="0.15">
      <c r="A692" s="286">
        <v>455146</v>
      </c>
      <c r="B692" s="288">
        <v>45310.510416666664</v>
      </c>
      <c r="C692" s="286" t="s">
        <v>1632</v>
      </c>
      <c r="D692" s="286" t="s">
        <v>1105</v>
      </c>
      <c r="E692" s="286" t="s">
        <v>1106</v>
      </c>
      <c r="F692" s="286" t="s">
        <v>1725</v>
      </c>
      <c r="G692" s="286" t="s">
        <v>1004</v>
      </c>
      <c r="H692" s="286" t="s">
        <v>1004</v>
      </c>
      <c r="I692" s="286" t="s">
        <v>1199</v>
      </c>
      <c r="J692" s="286" t="s">
        <v>53</v>
      </c>
      <c r="K692" s="286" t="s">
        <v>53</v>
      </c>
      <c r="L692" s="286" t="s">
        <v>53</v>
      </c>
      <c r="M692" s="286" t="s">
        <v>53</v>
      </c>
      <c r="N692" s="287">
        <v>2358.19</v>
      </c>
      <c r="O692" s="287"/>
      <c r="P692" s="286" t="s">
        <v>58</v>
      </c>
    </row>
    <row r="693" spans="1:16" hidden="1" x14ac:dyDescent="0.15">
      <c r="A693" s="286">
        <v>189237</v>
      </c>
      <c r="B693" s="288">
        <v>45012.618750000001</v>
      </c>
      <c r="C693" s="286" t="s">
        <v>1667</v>
      </c>
      <c r="D693" s="286" t="s">
        <v>1309</v>
      </c>
      <c r="E693" s="286" t="s">
        <v>1310</v>
      </c>
      <c r="F693" s="286" t="s">
        <v>1668</v>
      </c>
      <c r="G693" s="286" t="s">
        <v>1009</v>
      </c>
      <c r="H693" s="286" t="s">
        <v>1009</v>
      </c>
      <c r="I693" s="286" t="s">
        <v>1204</v>
      </c>
      <c r="J693" s="286" t="s">
        <v>1312</v>
      </c>
      <c r="K693" s="286" t="s">
        <v>1834</v>
      </c>
      <c r="L693" s="286" t="s">
        <v>553</v>
      </c>
      <c r="M693" s="286">
        <v>1</v>
      </c>
      <c r="N693" s="287">
        <v>2300</v>
      </c>
      <c r="O693" s="287"/>
      <c r="P693" s="286" t="s">
        <v>49</v>
      </c>
    </row>
    <row r="694" spans="1:16" hidden="1" x14ac:dyDescent="0.15">
      <c r="A694" s="286">
        <v>328287</v>
      </c>
      <c r="B694" s="288">
        <v>45161.62777777778</v>
      </c>
      <c r="C694" s="286" t="s">
        <v>1691</v>
      </c>
      <c r="D694" s="286" t="s">
        <v>1105</v>
      </c>
      <c r="E694" s="286" t="s">
        <v>1106</v>
      </c>
      <c r="F694" s="286" t="s">
        <v>1714</v>
      </c>
      <c r="G694" s="286" t="s">
        <v>1007</v>
      </c>
      <c r="H694" s="286" t="s">
        <v>1007</v>
      </c>
      <c r="I694" s="286" t="s">
        <v>1228</v>
      </c>
      <c r="J694" s="286" t="s">
        <v>53</v>
      </c>
      <c r="K694" s="286" t="s">
        <v>53</v>
      </c>
      <c r="L694" s="286" t="s">
        <v>53</v>
      </c>
      <c r="M694" s="286" t="s">
        <v>53</v>
      </c>
      <c r="N694" s="287">
        <v>2267.23</v>
      </c>
      <c r="O694" s="287"/>
      <c r="P694" s="286" t="s">
        <v>58</v>
      </c>
    </row>
    <row r="695" spans="1:16" hidden="1" x14ac:dyDescent="0.15">
      <c r="A695" s="286">
        <v>328287</v>
      </c>
      <c r="B695" s="288">
        <v>45161.62777777778</v>
      </c>
      <c r="C695" s="286" t="s">
        <v>1691</v>
      </c>
      <c r="D695" s="286" t="s">
        <v>1105</v>
      </c>
      <c r="E695" s="286" t="s">
        <v>1106</v>
      </c>
      <c r="F695" s="286" t="s">
        <v>1714</v>
      </c>
      <c r="G695" s="286" t="s">
        <v>1080</v>
      </c>
      <c r="H695" s="286" t="s">
        <v>1080</v>
      </c>
      <c r="I695" s="286" t="s">
        <v>1228</v>
      </c>
      <c r="J695" s="286" t="s">
        <v>1312</v>
      </c>
      <c r="K695" s="286" t="s">
        <v>1808</v>
      </c>
      <c r="L695" s="286" t="s">
        <v>53</v>
      </c>
      <c r="M695" s="286">
        <v>1</v>
      </c>
      <c r="N695" s="287">
        <v>2252.81</v>
      </c>
      <c r="O695" s="287"/>
      <c r="P695" s="286" t="s">
        <v>58</v>
      </c>
    </row>
    <row r="696" spans="1:16" hidden="1" x14ac:dyDescent="0.15">
      <c r="A696" s="286">
        <v>328287</v>
      </c>
      <c r="B696" s="288">
        <v>45161.62777777778</v>
      </c>
      <c r="C696" s="286" t="s">
        <v>1691</v>
      </c>
      <c r="D696" s="286" t="s">
        <v>1105</v>
      </c>
      <c r="E696" s="286" t="s">
        <v>1106</v>
      </c>
      <c r="F696" s="286" t="s">
        <v>1714</v>
      </c>
      <c r="G696" s="286" t="s">
        <v>1080</v>
      </c>
      <c r="H696" s="286" t="s">
        <v>1080</v>
      </c>
      <c r="I696" s="286" t="s">
        <v>1228</v>
      </c>
      <c r="J696" s="286" t="s">
        <v>1312</v>
      </c>
      <c r="K696" s="286" t="s">
        <v>1770</v>
      </c>
      <c r="L696" s="286" t="s">
        <v>672</v>
      </c>
      <c r="M696" s="286">
        <v>1</v>
      </c>
      <c r="N696" s="287">
        <v>2252.81</v>
      </c>
      <c r="O696" s="287"/>
      <c r="P696" s="286" t="s">
        <v>58</v>
      </c>
    </row>
    <row r="697" spans="1:16" hidden="1" x14ac:dyDescent="0.15">
      <c r="A697" s="286">
        <v>328287</v>
      </c>
      <c r="B697" s="288">
        <v>45161.62777777778</v>
      </c>
      <c r="C697" s="286" t="s">
        <v>1691</v>
      </c>
      <c r="D697" s="286" t="s">
        <v>1105</v>
      </c>
      <c r="E697" s="286" t="s">
        <v>1106</v>
      </c>
      <c r="F697" s="286" t="s">
        <v>1714</v>
      </c>
      <c r="G697" s="286" t="s">
        <v>1080</v>
      </c>
      <c r="H697" s="286" t="s">
        <v>1080</v>
      </c>
      <c r="I697" s="286" t="s">
        <v>1228</v>
      </c>
      <c r="J697" s="286" t="s">
        <v>1312</v>
      </c>
      <c r="K697" s="286" t="s">
        <v>1821</v>
      </c>
      <c r="L697" s="286" t="s">
        <v>53</v>
      </c>
      <c r="M697" s="286">
        <v>1</v>
      </c>
      <c r="N697" s="287">
        <v>2252.81</v>
      </c>
      <c r="O697" s="287"/>
      <c r="P697" s="286" t="s">
        <v>58</v>
      </c>
    </row>
    <row r="698" spans="1:16" hidden="1" x14ac:dyDescent="0.15">
      <c r="A698" s="286">
        <v>370270</v>
      </c>
      <c r="B698" s="288">
        <v>45208.668055555558</v>
      </c>
      <c r="C698" s="286" t="s">
        <v>1642</v>
      </c>
      <c r="D698" s="286" t="s">
        <v>1105</v>
      </c>
      <c r="E698" s="286" t="s">
        <v>1106</v>
      </c>
      <c r="F698" s="286" t="s">
        <v>1716</v>
      </c>
      <c r="G698" s="286" t="s">
        <v>1080</v>
      </c>
      <c r="H698" s="286" t="s">
        <v>1080</v>
      </c>
      <c r="I698" s="286" t="s">
        <v>1228</v>
      </c>
      <c r="J698" s="286" t="s">
        <v>1312</v>
      </c>
      <c r="K698" s="286" t="s">
        <v>1808</v>
      </c>
      <c r="L698" s="286" t="s">
        <v>53</v>
      </c>
      <c r="M698" s="286">
        <v>1</v>
      </c>
      <c r="N698" s="287">
        <v>2252.81</v>
      </c>
      <c r="O698" s="287"/>
      <c r="P698" s="286" t="s">
        <v>58</v>
      </c>
    </row>
    <row r="699" spans="1:16" hidden="1" x14ac:dyDescent="0.15">
      <c r="A699" s="286">
        <v>370270</v>
      </c>
      <c r="B699" s="288">
        <v>45208.668055555558</v>
      </c>
      <c r="C699" s="286" t="s">
        <v>1642</v>
      </c>
      <c r="D699" s="286" t="s">
        <v>1105</v>
      </c>
      <c r="E699" s="286" t="s">
        <v>1106</v>
      </c>
      <c r="F699" s="286" t="s">
        <v>1716</v>
      </c>
      <c r="G699" s="286" t="s">
        <v>1080</v>
      </c>
      <c r="H699" s="286" t="s">
        <v>1080</v>
      </c>
      <c r="I699" s="286" t="s">
        <v>1228</v>
      </c>
      <c r="J699" s="286" t="s">
        <v>1312</v>
      </c>
      <c r="K699" s="286" t="s">
        <v>1821</v>
      </c>
      <c r="L699" s="286" t="s">
        <v>53</v>
      </c>
      <c r="M699" s="286">
        <v>1</v>
      </c>
      <c r="N699" s="287">
        <v>2252.81</v>
      </c>
      <c r="O699" s="287"/>
      <c r="P699" s="286" t="s">
        <v>58</v>
      </c>
    </row>
    <row r="700" spans="1:16" hidden="1" x14ac:dyDescent="0.15">
      <c r="A700" s="286">
        <v>370270</v>
      </c>
      <c r="B700" s="288">
        <v>45208.668055555558</v>
      </c>
      <c r="C700" s="286" t="s">
        <v>1642</v>
      </c>
      <c r="D700" s="286" t="s">
        <v>1105</v>
      </c>
      <c r="E700" s="286" t="s">
        <v>1106</v>
      </c>
      <c r="F700" s="286" t="s">
        <v>1716</v>
      </c>
      <c r="G700" s="286" t="s">
        <v>1080</v>
      </c>
      <c r="H700" s="286" t="s">
        <v>1080</v>
      </c>
      <c r="I700" s="286" t="s">
        <v>1228</v>
      </c>
      <c r="J700" s="286" t="s">
        <v>1312</v>
      </c>
      <c r="K700" s="286" t="s">
        <v>1770</v>
      </c>
      <c r="L700" s="286" t="s">
        <v>672</v>
      </c>
      <c r="M700" s="286">
        <v>1</v>
      </c>
      <c r="N700" s="287">
        <v>2252.81</v>
      </c>
      <c r="O700" s="287"/>
      <c r="P700" s="286" t="s">
        <v>58</v>
      </c>
    </row>
    <row r="701" spans="1:16" hidden="1" x14ac:dyDescent="0.15">
      <c r="A701" s="286">
        <v>455349</v>
      </c>
      <c r="B701" s="288">
        <v>45310.529166666667</v>
      </c>
      <c r="C701" s="286" t="s">
        <v>1632</v>
      </c>
      <c r="D701" s="286" t="s">
        <v>1105</v>
      </c>
      <c r="E701" s="286" t="s">
        <v>1106</v>
      </c>
      <c r="F701" s="286" t="s">
        <v>1835</v>
      </c>
      <c r="G701" s="286" t="s">
        <v>1080</v>
      </c>
      <c r="H701" s="286" t="s">
        <v>1080</v>
      </c>
      <c r="I701" s="286" t="s">
        <v>1228</v>
      </c>
      <c r="J701" s="286" t="s">
        <v>1312</v>
      </c>
      <c r="K701" s="286" t="s">
        <v>1770</v>
      </c>
      <c r="L701" s="286" t="s">
        <v>672</v>
      </c>
      <c r="M701" s="286">
        <v>1</v>
      </c>
      <c r="N701" s="287">
        <v>2252.81</v>
      </c>
      <c r="O701" s="287"/>
      <c r="P701" s="286" t="s">
        <v>58</v>
      </c>
    </row>
    <row r="702" spans="1:16" hidden="1" x14ac:dyDescent="0.15">
      <c r="A702" s="286">
        <v>455349</v>
      </c>
      <c r="B702" s="288">
        <v>45310.529166666667</v>
      </c>
      <c r="C702" s="286" t="s">
        <v>1632</v>
      </c>
      <c r="D702" s="286" t="s">
        <v>1105</v>
      </c>
      <c r="E702" s="286" t="s">
        <v>1106</v>
      </c>
      <c r="F702" s="286" t="s">
        <v>1835</v>
      </c>
      <c r="G702" s="286" t="s">
        <v>1080</v>
      </c>
      <c r="H702" s="286" t="s">
        <v>1080</v>
      </c>
      <c r="I702" s="286" t="s">
        <v>1228</v>
      </c>
      <c r="J702" s="286" t="s">
        <v>1312</v>
      </c>
      <c r="K702" s="286" t="s">
        <v>1808</v>
      </c>
      <c r="L702" s="286" t="s">
        <v>53</v>
      </c>
      <c r="M702" s="286">
        <v>1</v>
      </c>
      <c r="N702" s="287">
        <v>2252.81</v>
      </c>
      <c r="O702" s="287"/>
      <c r="P702" s="286" t="s">
        <v>58</v>
      </c>
    </row>
    <row r="703" spans="1:16" hidden="1" x14ac:dyDescent="0.15">
      <c r="A703" s="286">
        <v>455349</v>
      </c>
      <c r="B703" s="288">
        <v>45310.529166666667</v>
      </c>
      <c r="C703" s="286" t="s">
        <v>1632</v>
      </c>
      <c r="D703" s="286" t="s">
        <v>1105</v>
      </c>
      <c r="E703" s="286" t="s">
        <v>1106</v>
      </c>
      <c r="F703" s="286" t="s">
        <v>1835</v>
      </c>
      <c r="G703" s="286" t="s">
        <v>1080</v>
      </c>
      <c r="H703" s="286" t="s">
        <v>1080</v>
      </c>
      <c r="I703" s="286" t="s">
        <v>1228</v>
      </c>
      <c r="J703" s="286" t="s">
        <v>1312</v>
      </c>
      <c r="K703" s="286" t="s">
        <v>1821</v>
      </c>
      <c r="L703" s="286" t="s">
        <v>53</v>
      </c>
      <c r="M703" s="286">
        <v>1</v>
      </c>
      <c r="N703" s="287">
        <v>2252.81</v>
      </c>
      <c r="O703" s="287"/>
      <c r="P703" s="286" t="s">
        <v>58</v>
      </c>
    </row>
    <row r="704" spans="1:16" hidden="1" x14ac:dyDescent="0.15">
      <c r="A704" s="286">
        <v>339870</v>
      </c>
      <c r="B704" s="288">
        <v>45177.481944444444</v>
      </c>
      <c r="C704" s="286" t="s">
        <v>1676</v>
      </c>
      <c r="D704" s="286" t="s">
        <v>1105</v>
      </c>
      <c r="E704" s="286" t="s">
        <v>1106</v>
      </c>
      <c r="F704" s="286" t="s">
        <v>1715</v>
      </c>
      <c r="G704" s="286" t="s">
        <v>1080</v>
      </c>
      <c r="H704" s="286" t="s">
        <v>1080</v>
      </c>
      <c r="I704" s="286" t="s">
        <v>1228</v>
      </c>
      <c r="J704" s="286" t="s">
        <v>1312</v>
      </c>
      <c r="K704" s="286" t="s">
        <v>1808</v>
      </c>
      <c r="L704" s="286" t="s">
        <v>53</v>
      </c>
      <c r="M704" s="286">
        <v>1</v>
      </c>
      <c r="N704" s="287">
        <v>2222.09</v>
      </c>
      <c r="O704" s="287"/>
      <c r="P704" s="286" t="s">
        <v>58</v>
      </c>
    </row>
    <row r="705" spans="1:16" hidden="1" x14ac:dyDescent="0.15">
      <c r="A705" s="286">
        <v>339870</v>
      </c>
      <c r="B705" s="288">
        <v>45177.481944444444</v>
      </c>
      <c r="C705" s="286" t="s">
        <v>1676</v>
      </c>
      <c r="D705" s="286" t="s">
        <v>1105</v>
      </c>
      <c r="E705" s="286" t="s">
        <v>1106</v>
      </c>
      <c r="F705" s="286" t="s">
        <v>1715</v>
      </c>
      <c r="G705" s="286" t="s">
        <v>1080</v>
      </c>
      <c r="H705" s="286" t="s">
        <v>1080</v>
      </c>
      <c r="I705" s="286" t="s">
        <v>1228</v>
      </c>
      <c r="J705" s="286" t="s">
        <v>1312</v>
      </c>
      <c r="K705" s="286" t="s">
        <v>1770</v>
      </c>
      <c r="L705" s="286" t="s">
        <v>672</v>
      </c>
      <c r="M705" s="286">
        <v>1</v>
      </c>
      <c r="N705" s="287">
        <v>2222.09</v>
      </c>
      <c r="O705" s="287"/>
      <c r="P705" s="286" t="s">
        <v>58</v>
      </c>
    </row>
    <row r="706" spans="1:16" hidden="1" x14ac:dyDescent="0.15">
      <c r="A706" s="286">
        <v>339870</v>
      </c>
      <c r="B706" s="288">
        <v>45177.481944444444</v>
      </c>
      <c r="C706" s="286" t="s">
        <v>1676</v>
      </c>
      <c r="D706" s="286" t="s">
        <v>1105</v>
      </c>
      <c r="E706" s="286" t="s">
        <v>1106</v>
      </c>
      <c r="F706" s="286" t="s">
        <v>1715</v>
      </c>
      <c r="G706" s="286" t="s">
        <v>1080</v>
      </c>
      <c r="H706" s="286" t="s">
        <v>1080</v>
      </c>
      <c r="I706" s="286" t="s">
        <v>1228</v>
      </c>
      <c r="J706" s="286" t="s">
        <v>1312</v>
      </c>
      <c r="K706" s="286" t="s">
        <v>1821</v>
      </c>
      <c r="L706" s="286" t="s">
        <v>53</v>
      </c>
      <c r="M706" s="286">
        <v>1</v>
      </c>
      <c r="N706" s="287">
        <v>2222.09</v>
      </c>
      <c r="O706" s="287"/>
      <c r="P706" s="286" t="s">
        <v>58</v>
      </c>
    </row>
    <row r="707" spans="1:16" hidden="1" x14ac:dyDescent="0.15">
      <c r="A707" s="286">
        <v>402221</v>
      </c>
      <c r="B707" s="288">
        <v>45243.579861111109</v>
      </c>
      <c r="C707" s="286" t="s">
        <v>1654</v>
      </c>
      <c r="D707" s="286" t="s">
        <v>1105</v>
      </c>
      <c r="E707" s="286" t="s">
        <v>1106</v>
      </c>
      <c r="F707" s="286" t="s">
        <v>1724</v>
      </c>
      <c r="G707" s="286" t="s">
        <v>1080</v>
      </c>
      <c r="H707" s="286" t="s">
        <v>1080</v>
      </c>
      <c r="I707" s="286" t="s">
        <v>1228</v>
      </c>
      <c r="J707" s="286" t="s">
        <v>1312</v>
      </c>
      <c r="K707" s="286" t="s">
        <v>1821</v>
      </c>
      <c r="L707" s="286" t="s">
        <v>53</v>
      </c>
      <c r="M707" s="286">
        <v>1</v>
      </c>
      <c r="N707" s="287">
        <v>2222.09</v>
      </c>
      <c r="O707" s="287"/>
      <c r="P707" s="286" t="s">
        <v>58</v>
      </c>
    </row>
    <row r="708" spans="1:16" hidden="1" x14ac:dyDescent="0.15">
      <c r="A708" s="286">
        <v>402221</v>
      </c>
      <c r="B708" s="288">
        <v>45243.579861111109</v>
      </c>
      <c r="C708" s="286" t="s">
        <v>1654</v>
      </c>
      <c r="D708" s="286" t="s">
        <v>1105</v>
      </c>
      <c r="E708" s="286" t="s">
        <v>1106</v>
      </c>
      <c r="F708" s="286" t="s">
        <v>1724</v>
      </c>
      <c r="G708" s="286" t="s">
        <v>1080</v>
      </c>
      <c r="H708" s="286" t="s">
        <v>1080</v>
      </c>
      <c r="I708" s="286" t="s">
        <v>1228</v>
      </c>
      <c r="J708" s="286" t="s">
        <v>1312</v>
      </c>
      <c r="K708" s="286" t="s">
        <v>1770</v>
      </c>
      <c r="L708" s="286" t="s">
        <v>672</v>
      </c>
      <c r="M708" s="286">
        <v>1</v>
      </c>
      <c r="N708" s="287">
        <v>2222.09</v>
      </c>
      <c r="O708" s="287"/>
      <c r="P708" s="286" t="s">
        <v>58</v>
      </c>
    </row>
    <row r="709" spans="1:16" hidden="1" x14ac:dyDescent="0.15">
      <c r="A709" s="286">
        <v>402221</v>
      </c>
      <c r="B709" s="288">
        <v>45243.579861111109</v>
      </c>
      <c r="C709" s="286" t="s">
        <v>1654</v>
      </c>
      <c r="D709" s="286" t="s">
        <v>1105</v>
      </c>
      <c r="E709" s="286" t="s">
        <v>1106</v>
      </c>
      <c r="F709" s="286" t="s">
        <v>1724</v>
      </c>
      <c r="G709" s="286" t="s">
        <v>1080</v>
      </c>
      <c r="H709" s="286" t="s">
        <v>1080</v>
      </c>
      <c r="I709" s="286" t="s">
        <v>1228</v>
      </c>
      <c r="J709" s="286" t="s">
        <v>1312</v>
      </c>
      <c r="K709" s="286" t="s">
        <v>1808</v>
      </c>
      <c r="L709" s="286" t="s">
        <v>53</v>
      </c>
      <c r="M709" s="286">
        <v>1</v>
      </c>
      <c r="N709" s="287">
        <v>2222.09</v>
      </c>
      <c r="O709" s="287"/>
      <c r="P709" s="286" t="s">
        <v>58</v>
      </c>
    </row>
    <row r="710" spans="1:16" hidden="1" x14ac:dyDescent="0.15">
      <c r="A710" s="286">
        <v>370270</v>
      </c>
      <c r="B710" s="288">
        <v>45208.668055555558</v>
      </c>
      <c r="C710" s="286" t="s">
        <v>1642</v>
      </c>
      <c r="D710" s="286" t="s">
        <v>1105</v>
      </c>
      <c r="E710" s="286" t="s">
        <v>1106</v>
      </c>
      <c r="F710" s="286" t="s">
        <v>1716</v>
      </c>
      <c r="G710" s="286" t="s">
        <v>1010</v>
      </c>
      <c r="H710" s="286" t="s">
        <v>1010</v>
      </c>
      <c r="I710" s="286" t="s">
        <v>1199</v>
      </c>
      <c r="J710" s="286" t="s">
        <v>1312</v>
      </c>
      <c r="K710" s="286" t="s">
        <v>1797</v>
      </c>
      <c r="L710" s="286" t="s">
        <v>672</v>
      </c>
      <c r="M710" s="286">
        <v>1</v>
      </c>
      <c r="N710" s="287">
        <v>2189.41</v>
      </c>
      <c r="O710" s="287"/>
      <c r="P710" s="286" t="s">
        <v>58</v>
      </c>
    </row>
    <row r="711" spans="1:16" hidden="1" x14ac:dyDescent="0.15">
      <c r="A711" s="286">
        <v>370270</v>
      </c>
      <c r="B711" s="288">
        <v>45208.668055555558</v>
      </c>
      <c r="C711" s="286" t="s">
        <v>1642</v>
      </c>
      <c r="D711" s="286" t="s">
        <v>1105</v>
      </c>
      <c r="E711" s="286" t="s">
        <v>1106</v>
      </c>
      <c r="F711" s="286" t="s">
        <v>1716</v>
      </c>
      <c r="G711" s="286" t="s">
        <v>1010</v>
      </c>
      <c r="H711" s="286" t="s">
        <v>1010</v>
      </c>
      <c r="I711" s="286" t="s">
        <v>1199</v>
      </c>
      <c r="J711" s="286" t="s">
        <v>1312</v>
      </c>
      <c r="K711" s="286" t="s">
        <v>1796</v>
      </c>
      <c r="L711" s="286" t="s">
        <v>672</v>
      </c>
      <c r="M711" s="286">
        <v>1</v>
      </c>
      <c r="N711" s="287">
        <v>2189.41</v>
      </c>
      <c r="O711" s="287"/>
      <c r="P711" s="286" t="s">
        <v>58</v>
      </c>
    </row>
    <row r="712" spans="1:16" hidden="1" x14ac:dyDescent="0.15">
      <c r="A712" s="286">
        <v>339870</v>
      </c>
      <c r="B712" s="288">
        <v>45177.481944444444</v>
      </c>
      <c r="C712" s="286" t="s">
        <v>1676</v>
      </c>
      <c r="D712" s="286" t="s">
        <v>1105</v>
      </c>
      <c r="E712" s="286" t="s">
        <v>1106</v>
      </c>
      <c r="F712" s="286" t="s">
        <v>1715</v>
      </c>
      <c r="G712" s="286" t="s">
        <v>1766</v>
      </c>
      <c r="H712" s="286" t="s">
        <v>1766</v>
      </c>
      <c r="I712" s="286" t="s">
        <v>1199</v>
      </c>
      <c r="J712" s="286" t="s">
        <v>1312</v>
      </c>
      <c r="K712" s="286" t="s">
        <v>1690</v>
      </c>
      <c r="L712" s="286" t="s">
        <v>672</v>
      </c>
      <c r="M712" s="286">
        <v>1</v>
      </c>
      <c r="N712" s="287">
        <v>2185.66</v>
      </c>
      <c r="O712" s="287"/>
      <c r="P712" s="286" t="s">
        <v>58</v>
      </c>
    </row>
    <row r="713" spans="1:16" hidden="1" x14ac:dyDescent="0.15">
      <c r="A713" s="286">
        <v>284271</v>
      </c>
      <c r="B713" s="288">
        <v>45121.682638888888</v>
      </c>
      <c r="C713" s="286" t="s">
        <v>1636</v>
      </c>
      <c r="D713" s="286" t="s">
        <v>1105</v>
      </c>
      <c r="E713" s="286" t="s">
        <v>1106</v>
      </c>
      <c r="F713" s="286" t="s">
        <v>1713</v>
      </c>
      <c r="G713" s="286" t="s">
        <v>1058</v>
      </c>
      <c r="H713" s="286" t="s">
        <v>1058</v>
      </c>
      <c r="I713" s="286" t="s">
        <v>1228</v>
      </c>
      <c r="J713" s="286" t="s">
        <v>53</v>
      </c>
      <c r="K713" s="286" t="s">
        <v>53</v>
      </c>
      <c r="L713" s="286" t="s">
        <v>53</v>
      </c>
      <c r="M713" s="286" t="s">
        <v>53</v>
      </c>
      <c r="N713" s="287">
        <v>2178.96</v>
      </c>
      <c r="O713" s="287"/>
      <c r="P713" s="286" t="s">
        <v>58</v>
      </c>
    </row>
    <row r="714" spans="1:16" hidden="1" x14ac:dyDescent="0.15">
      <c r="A714" s="286">
        <v>328287</v>
      </c>
      <c r="B714" s="288">
        <v>45161.62777777778</v>
      </c>
      <c r="C714" s="286" t="s">
        <v>1691</v>
      </c>
      <c r="D714" s="286" t="s">
        <v>1105</v>
      </c>
      <c r="E714" s="286" t="s">
        <v>1106</v>
      </c>
      <c r="F714" s="286" t="s">
        <v>1714</v>
      </c>
      <c r="G714" s="286" t="s">
        <v>1058</v>
      </c>
      <c r="H714" s="286" t="s">
        <v>1058</v>
      </c>
      <c r="I714" s="286" t="s">
        <v>1228</v>
      </c>
      <c r="J714" s="286" t="s">
        <v>53</v>
      </c>
      <c r="K714" s="286" t="s">
        <v>53</v>
      </c>
      <c r="L714" s="286" t="s">
        <v>53</v>
      </c>
      <c r="M714" s="286" t="s">
        <v>53</v>
      </c>
      <c r="N714" s="287">
        <v>2178.96</v>
      </c>
      <c r="O714" s="287"/>
      <c r="P714" s="286" t="s">
        <v>58</v>
      </c>
    </row>
    <row r="715" spans="1:16" hidden="1" x14ac:dyDescent="0.15">
      <c r="A715" s="286">
        <v>339870</v>
      </c>
      <c r="B715" s="288">
        <v>45177.481944444444</v>
      </c>
      <c r="C715" s="286" t="s">
        <v>1676</v>
      </c>
      <c r="D715" s="286" t="s">
        <v>1105</v>
      </c>
      <c r="E715" s="286" t="s">
        <v>1106</v>
      </c>
      <c r="F715" s="286" t="s">
        <v>1715</v>
      </c>
      <c r="G715" s="286" t="s">
        <v>1058</v>
      </c>
      <c r="H715" s="286" t="s">
        <v>1058</v>
      </c>
      <c r="I715" s="286" t="s">
        <v>1228</v>
      </c>
      <c r="J715" s="286" t="s">
        <v>53</v>
      </c>
      <c r="K715" s="286" t="s">
        <v>53</v>
      </c>
      <c r="L715" s="286" t="s">
        <v>53</v>
      </c>
      <c r="M715" s="286" t="s">
        <v>53</v>
      </c>
      <c r="N715" s="287">
        <v>2178.96</v>
      </c>
      <c r="O715" s="287"/>
      <c r="P715" s="286" t="s">
        <v>58</v>
      </c>
    </row>
    <row r="716" spans="1:16" hidden="1" x14ac:dyDescent="0.15">
      <c r="A716" s="286">
        <v>370270</v>
      </c>
      <c r="B716" s="288">
        <v>45208.668055555558</v>
      </c>
      <c r="C716" s="286" t="s">
        <v>1642</v>
      </c>
      <c r="D716" s="286" t="s">
        <v>1105</v>
      </c>
      <c r="E716" s="286" t="s">
        <v>1106</v>
      </c>
      <c r="F716" s="286" t="s">
        <v>1716</v>
      </c>
      <c r="G716" s="286" t="s">
        <v>1058</v>
      </c>
      <c r="H716" s="286" t="s">
        <v>1058</v>
      </c>
      <c r="I716" s="286" t="s">
        <v>1228</v>
      </c>
      <c r="J716" s="286" t="s">
        <v>53</v>
      </c>
      <c r="K716" s="286" t="s">
        <v>53</v>
      </c>
      <c r="L716" s="286" t="s">
        <v>53</v>
      </c>
      <c r="M716" s="286" t="s">
        <v>53</v>
      </c>
      <c r="N716" s="287">
        <v>2178.96</v>
      </c>
      <c r="O716" s="287"/>
      <c r="P716" s="286" t="s">
        <v>58</v>
      </c>
    </row>
    <row r="717" spans="1:16" hidden="1" x14ac:dyDescent="0.15">
      <c r="A717" s="286">
        <v>402221</v>
      </c>
      <c r="B717" s="288">
        <v>45243.579861111109</v>
      </c>
      <c r="C717" s="286" t="s">
        <v>1654</v>
      </c>
      <c r="D717" s="286" t="s">
        <v>1105</v>
      </c>
      <c r="E717" s="286" t="s">
        <v>1106</v>
      </c>
      <c r="F717" s="286" t="s">
        <v>1724</v>
      </c>
      <c r="G717" s="286" t="s">
        <v>1058</v>
      </c>
      <c r="H717" s="286" t="s">
        <v>1058</v>
      </c>
      <c r="I717" s="286" t="s">
        <v>1228</v>
      </c>
      <c r="J717" s="286" t="s">
        <v>53</v>
      </c>
      <c r="K717" s="286" t="s">
        <v>53</v>
      </c>
      <c r="L717" s="286" t="s">
        <v>53</v>
      </c>
      <c r="M717" s="286" t="s">
        <v>53</v>
      </c>
      <c r="N717" s="287">
        <v>2178.96</v>
      </c>
      <c r="O717" s="287"/>
      <c r="P717" s="286" t="s">
        <v>58</v>
      </c>
    </row>
    <row r="718" spans="1:16" hidden="1" x14ac:dyDescent="0.15">
      <c r="A718" s="286">
        <v>455146</v>
      </c>
      <c r="B718" s="288">
        <v>45310.510416666664</v>
      </c>
      <c r="C718" s="286" t="s">
        <v>1632</v>
      </c>
      <c r="D718" s="286" t="s">
        <v>1105</v>
      </c>
      <c r="E718" s="286" t="s">
        <v>1106</v>
      </c>
      <c r="F718" s="286" t="s">
        <v>1725</v>
      </c>
      <c r="G718" s="286" t="s">
        <v>1058</v>
      </c>
      <c r="H718" s="286" t="s">
        <v>1058</v>
      </c>
      <c r="I718" s="286" t="s">
        <v>1228</v>
      </c>
      <c r="J718" s="286" t="s">
        <v>53</v>
      </c>
      <c r="K718" s="286" t="s">
        <v>53</v>
      </c>
      <c r="L718" s="286" t="s">
        <v>53</v>
      </c>
      <c r="M718" s="286" t="s">
        <v>53</v>
      </c>
      <c r="N718" s="287">
        <v>2178.96</v>
      </c>
      <c r="O718" s="287"/>
      <c r="P718" s="286" t="s">
        <v>58</v>
      </c>
    </row>
    <row r="719" spans="1:16" hidden="1" x14ac:dyDescent="0.15">
      <c r="A719" s="286">
        <v>328287</v>
      </c>
      <c r="B719" s="288">
        <v>45161.62777777778</v>
      </c>
      <c r="C719" s="286" t="s">
        <v>1691</v>
      </c>
      <c r="D719" s="286" t="s">
        <v>1105</v>
      </c>
      <c r="E719" s="286" t="s">
        <v>1106</v>
      </c>
      <c r="F719" s="286" t="s">
        <v>1714</v>
      </c>
      <c r="G719" s="286" t="s">
        <v>1048</v>
      </c>
      <c r="H719" s="286" t="s">
        <v>1048</v>
      </c>
      <c r="I719" s="286" t="s">
        <v>1152</v>
      </c>
      <c r="J719" s="286" t="s">
        <v>1312</v>
      </c>
      <c r="K719" s="286" t="s">
        <v>1652</v>
      </c>
      <c r="L719" s="286" t="s">
        <v>1653</v>
      </c>
      <c r="M719" s="286">
        <v>1</v>
      </c>
      <c r="N719" s="287">
        <v>2178.17</v>
      </c>
      <c r="O719" s="287"/>
      <c r="P719" s="286" t="s">
        <v>58</v>
      </c>
    </row>
    <row r="720" spans="1:16" hidden="1" x14ac:dyDescent="0.15">
      <c r="A720" s="286">
        <v>339870</v>
      </c>
      <c r="B720" s="288">
        <v>45177.481944444444</v>
      </c>
      <c r="C720" s="286" t="s">
        <v>1676</v>
      </c>
      <c r="D720" s="286" t="s">
        <v>1105</v>
      </c>
      <c r="E720" s="286" t="s">
        <v>1106</v>
      </c>
      <c r="F720" s="286" t="s">
        <v>1715</v>
      </c>
      <c r="G720" s="286" t="s">
        <v>1048</v>
      </c>
      <c r="H720" s="286" t="s">
        <v>1048</v>
      </c>
      <c r="I720" s="286" t="s">
        <v>1152</v>
      </c>
      <c r="J720" s="286" t="s">
        <v>1312</v>
      </c>
      <c r="K720" s="286" t="s">
        <v>1652</v>
      </c>
      <c r="L720" s="286" t="s">
        <v>1653</v>
      </c>
      <c r="M720" s="286">
        <v>1</v>
      </c>
      <c r="N720" s="287">
        <v>2178.17</v>
      </c>
      <c r="O720" s="287"/>
      <c r="P720" s="286" t="s">
        <v>58</v>
      </c>
    </row>
    <row r="721" spans="1:16" hidden="1" x14ac:dyDescent="0.15">
      <c r="A721" s="286">
        <v>370270</v>
      </c>
      <c r="B721" s="288">
        <v>45208.668055555558</v>
      </c>
      <c r="C721" s="286" t="s">
        <v>1642</v>
      </c>
      <c r="D721" s="286" t="s">
        <v>1105</v>
      </c>
      <c r="E721" s="286" t="s">
        <v>1106</v>
      </c>
      <c r="F721" s="286" t="s">
        <v>1716</v>
      </c>
      <c r="G721" s="286" t="s">
        <v>1048</v>
      </c>
      <c r="H721" s="286" t="s">
        <v>1048</v>
      </c>
      <c r="I721" s="286" t="s">
        <v>1152</v>
      </c>
      <c r="J721" s="286" t="s">
        <v>1312</v>
      </c>
      <c r="K721" s="286" t="s">
        <v>1652</v>
      </c>
      <c r="L721" s="286" t="s">
        <v>1653</v>
      </c>
      <c r="M721" s="286">
        <v>1</v>
      </c>
      <c r="N721" s="287">
        <v>2178.17</v>
      </c>
      <c r="O721" s="287"/>
      <c r="P721" s="286" t="s">
        <v>58</v>
      </c>
    </row>
    <row r="722" spans="1:16" hidden="1" x14ac:dyDescent="0.15">
      <c r="A722" s="286">
        <v>402221</v>
      </c>
      <c r="B722" s="288">
        <v>45243.579861111109</v>
      </c>
      <c r="C722" s="286" t="s">
        <v>1654</v>
      </c>
      <c r="D722" s="286" t="s">
        <v>1105</v>
      </c>
      <c r="E722" s="286" t="s">
        <v>1106</v>
      </c>
      <c r="F722" s="286" t="s">
        <v>1724</v>
      </c>
      <c r="G722" s="286" t="s">
        <v>1048</v>
      </c>
      <c r="H722" s="286" t="s">
        <v>1048</v>
      </c>
      <c r="I722" s="286" t="s">
        <v>1152</v>
      </c>
      <c r="J722" s="286" t="s">
        <v>1312</v>
      </c>
      <c r="K722" s="286" t="s">
        <v>1652</v>
      </c>
      <c r="L722" s="286" t="s">
        <v>1653</v>
      </c>
      <c r="M722" s="286">
        <v>1</v>
      </c>
      <c r="N722" s="287">
        <v>2178.17</v>
      </c>
      <c r="O722" s="287"/>
      <c r="P722" s="286" t="s">
        <v>58</v>
      </c>
    </row>
    <row r="723" spans="1:16" hidden="1" x14ac:dyDescent="0.15">
      <c r="A723" s="286">
        <v>455146</v>
      </c>
      <c r="B723" s="288">
        <v>45310.510416666664</v>
      </c>
      <c r="C723" s="286" t="s">
        <v>1632</v>
      </c>
      <c r="D723" s="286" t="s">
        <v>1105</v>
      </c>
      <c r="E723" s="286" t="s">
        <v>1106</v>
      </c>
      <c r="F723" s="286" t="s">
        <v>1725</v>
      </c>
      <c r="G723" s="286" t="s">
        <v>1048</v>
      </c>
      <c r="H723" s="286" t="s">
        <v>1048</v>
      </c>
      <c r="I723" s="286" t="s">
        <v>1152</v>
      </c>
      <c r="J723" s="286" t="s">
        <v>1312</v>
      </c>
      <c r="K723" s="286" t="s">
        <v>1652</v>
      </c>
      <c r="L723" s="286" t="s">
        <v>1653</v>
      </c>
      <c r="M723" s="286">
        <v>1</v>
      </c>
      <c r="N723" s="287">
        <v>2178.17</v>
      </c>
      <c r="O723" s="287"/>
      <c r="P723" s="286" t="s">
        <v>58</v>
      </c>
    </row>
    <row r="724" spans="1:16" hidden="1" x14ac:dyDescent="0.15">
      <c r="A724" s="286">
        <v>278788</v>
      </c>
      <c r="B724" s="288">
        <v>45118.57708333333</v>
      </c>
      <c r="C724" s="286" t="s">
        <v>1649</v>
      </c>
      <c r="D724" s="286" t="s">
        <v>1105</v>
      </c>
      <c r="E724" s="286" t="s">
        <v>1106</v>
      </c>
      <c r="F724" s="286" t="s">
        <v>1712</v>
      </c>
      <c r="G724" s="286" t="s">
        <v>1057</v>
      </c>
      <c r="H724" s="286" t="s">
        <v>1057</v>
      </c>
      <c r="I724" s="286" t="s">
        <v>1228</v>
      </c>
      <c r="J724" s="286" t="s">
        <v>53</v>
      </c>
      <c r="K724" s="286" t="s">
        <v>53</v>
      </c>
      <c r="L724" s="286" t="s">
        <v>53</v>
      </c>
      <c r="M724" s="286" t="s">
        <v>53</v>
      </c>
      <c r="N724" s="287">
        <v>2177.02</v>
      </c>
      <c r="O724" s="287"/>
      <c r="P724" s="286" t="s">
        <v>58</v>
      </c>
    </row>
    <row r="725" spans="1:16" hidden="1" x14ac:dyDescent="0.15">
      <c r="A725" s="286">
        <v>284271</v>
      </c>
      <c r="B725" s="288">
        <v>45121.682638888888</v>
      </c>
      <c r="C725" s="286" t="s">
        <v>1636</v>
      </c>
      <c r="D725" s="286" t="s">
        <v>1105</v>
      </c>
      <c r="E725" s="286" t="s">
        <v>1106</v>
      </c>
      <c r="F725" s="286" t="s">
        <v>1713</v>
      </c>
      <c r="G725" s="286" t="s">
        <v>1057</v>
      </c>
      <c r="H725" s="286" t="s">
        <v>1057</v>
      </c>
      <c r="I725" s="286" t="s">
        <v>1228</v>
      </c>
      <c r="J725" s="286" t="s">
        <v>53</v>
      </c>
      <c r="K725" s="286" t="s">
        <v>53</v>
      </c>
      <c r="L725" s="286" t="s">
        <v>53</v>
      </c>
      <c r="M725" s="286" t="s">
        <v>53</v>
      </c>
      <c r="N725" s="287">
        <v>2177.02</v>
      </c>
      <c r="O725" s="287"/>
      <c r="P725" s="286" t="s">
        <v>58</v>
      </c>
    </row>
    <row r="726" spans="1:16" hidden="1" x14ac:dyDescent="0.15">
      <c r="A726" s="286">
        <v>328287</v>
      </c>
      <c r="B726" s="288">
        <v>45161.62777777778</v>
      </c>
      <c r="C726" s="286" t="s">
        <v>1691</v>
      </c>
      <c r="D726" s="286" t="s">
        <v>1105</v>
      </c>
      <c r="E726" s="286" t="s">
        <v>1106</v>
      </c>
      <c r="F726" s="286" t="s">
        <v>1714</v>
      </c>
      <c r="G726" s="286" t="s">
        <v>1057</v>
      </c>
      <c r="H726" s="286" t="s">
        <v>1057</v>
      </c>
      <c r="I726" s="286" t="s">
        <v>1228</v>
      </c>
      <c r="J726" s="286" t="s">
        <v>53</v>
      </c>
      <c r="K726" s="286" t="s">
        <v>53</v>
      </c>
      <c r="L726" s="286" t="s">
        <v>53</v>
      </c>
      <c r="M726" s="286" t="s">
        <v>53</v>
      </c>
      <c r="N726" s="287">
        <v>2177.02</v>
      </c>
      <c r="O726" s="287"/>
      <c r="P726" s="286" t="s">
        <v>58</v>
      </c>
    </row>
    <row r="727" spans="1:16" hidden="1" x14ac:dyDescent="0.15">
      <c r="A727" s="286">
        <v>339870</v>
      </c>
      <c r="B727" s="288">
        <v>45177.481944444444</v>
      </c>
      <c r="C727" s="286" t="s">
        <v>1676</v>
      </c>
      <c r="D727" s="286" t="s">
        <v>1105</v>
      </c>
      <c r="E727" s="286" t="s">
        <v>1106</v>
      </c>
      <c r="F727" s="286" t="s">
        <v>1715</v>
      </c>
      <c r="G727" s="286" t="s">
        <v>1057</v>
      </c>
      <c r="H727" s="286" t="s">
        <v>1057</v>
      </c>
      <c r="I727" s="286" t="s">
        <v>1228</v>
      </c>
      <c r="J727" s="286" t="s">
        <v>53</v>
      </c>
      <c r="K727" s="286" t="s">
        <v>53</v>
      </c>
      <c r="L727" s="286" t="s">
        <v>53</v>
      </c>
      <c r="M727" s="286" t="s">
        <v>53</v>
      </c>
      <c r="N727" s="287">
        <v>2177.02</v>
      </c>
      <c r="O727" s="287"/>
      <c r="P727" s="286" t="s">
        <v>58</v>
      </c>
    </row>
    <row r="728" spans="1:16" hidden="1" x14ac:dyDescent="0.15">
      <c r="A728" s="286">
        <v>370270</v>
      </c>
      <c r="B728" s="288">
        <v>45208.668055555558</v>
      </c>
      <c r="C728" s="286" t="s">
        <v>1642</v>
      </c>
      <c r="D728" s="286" t="s">
        <v>1105</v>
      </c>
      <c r="E728" s="286" t="s">
        <v>1106</v>
      </c>
      <c r="F728" s="286" t="s">
        <v>1716</v>
      </c>
      <c r="G728" s="286" t="s">
        <v>1057</v>
      </c>
      <c r="H728" s="286" t="s">
        <v>1057</v>
      </c>
      <c r="I728" s="286" t="s">
        <v>1228</v>
      </c>
      <c r="J728" s="286" t="s">
        <v>53</v>
      </c>
      <c r="K728" s="286" t="s">
        <v>53</v>
      </c>
      <c r="L728" s="286" t="s">
        <v>53</v>
      </c>
      <c r="M728" s="286" t="s">
        <v>53</v>
      </c>
      <c r="N728" s="287">
        <v>2177.02</v>
      </c>
      <c r="O728" s="287"/>
      <c r="P728" s="286" t="s">
        <v>58</v>
      </c>
    </row>
    <row r="729" spans="1:16" hidden="1" x14ac:dyDescent="0.15">
      <c r="A729" s="286">
        <v>402221</v>
      </c>
      <c r="B729" s="288">
        <v>45243.579861111109</v>
      </c>
      <c r="C729" s="286" t="s">
        <v>1654</v>
      </c>
      <c r="D729" s="286" t="s">
        <v>1105</v>
      </c>
      <c r="E729" s="286" t="s">
        <v>1106</v>
      </c>
      <c r="F729" s="286" t="s">
        <v>1724</v>
      </c>
      <c r="G729" s="286" t="s">
        <v>1057</v>
      </c>
      <c r="H729" s="286" t="s">
        <v>1057</v>
      </c>
      <c r="I729" s="286" t="s">
        <v>1228</v>
      </c>
      <c r="J729" s="286" t="s">
        <v>53</v>
      </c>
      <c r="K729" s="286" t="s">
        <v>53</v>
      </c>
      <c r="L729" s="286" t="s">
        <v>53</v>
      </c>
      <c r="M729" s="286" t="s">
        <v>53</v>
      </c>
      <c r="N729" s="287">
        <v>2177.02</v>
      </c>
      <c r="O729" s="287"/>
      <c r="P729" s="286" t="s">
        <v>58</v>
      </c>
    </row>
    <row r="730" spans="1:16" hidden="1" x14ac:dyDescent="0.15">
      <c r="A730" s="286">
        <v>278788</v>
      </c>
      <c r="B730" s="288">
        <v>45118.57708333333</v>
      </c>
      <c r="C730" s="286" t="s">
        <v>1649</v>
      </c>
      <c r="D730" s="286" t="s">
        <v>1105</v>
      </c>
      <c r="E730" s="286" t="s">
        <v>1106</v>
      </c>
      <c r="F730" s="286" t="s">
        <v>1712</v>
      </c>
      <c r="G730" s="286" t="s">
        <v>1012</v>
      </c>
      <c r="H730" s="286" t="s">
        <v>1012</v>
      </c>
      <c r="I730" s="286" t="s">
        <v>1199</v>
      </c>
      <c r="J730" s="286" t="s">
        <v>53</v>
      </c>
      <c r="K730" s="286" t="s">
        <v>53</v>
      </c>
      <c r="L730" s="286" t="s">
        <v>53</v>
      </c>
      <c r="M730" s="286" t="s">
        <v>53</v>
      </c>
      <c r="N730" s="287">
        <v>2136.23</v>
      </c>
      <c r="O730" s="287"/>
      <c r="P730" s="286" t="s">
        <v>58</v>
      </c>
    </row>
    <row r="731" spans="1:16" hidden="1" x14ac:dyDescent="0.15">
      <c r="A731" s="286">
        <v>284271</v>
      </c>
      <c r="B731" s="288">
        <v>45121.682638888888</v>
      </c>
      <c r="C731" s="286" t="s">
        <v>1636</v>
      </c>
      <c r="D731" s="286" t="s">
        <v>1105</v>
      </c>
      <c r="E731" s="286" t="s">
        <v>1106</v>
      </c>
      <c r="F731" s="286" t="s">
        <v>1713</v>
      </c>
      <c r="G731" s="286" t="s">
        <v>1012</v>
      </c>
      <c r="H731" s="286" t="s">
        <v>1012</v>
      </c>
      <c r="I731" s="286" t="s">
        <v>1199</v>
      </c>
      <c r="J731" s="286" t="s">
        <v>53</v>
      </c>
      <c r="K731" s="286" t="s">
        <v>53</v>
      </c>
      <c r="L731" s="286" t="s">
        <v>53</v>
      </c>
      <c r="M731" s="286" t="s">
        <v>53</v>
      </c>
      <c r="N731" s="287">
        <v>2136.23</v>
      </c>
      <c r="O731" s="287"/>
      <c r="P731" s="286" t="s">
        <v>58</v>
      </c>
    </row>
    <row r="732" spans="1:16" hidden="1" x14ac:dyDescent="0.15">
      <c r="A732" s="286">
        <v>328287</v>
      </c>
      <c r="B732" s="288">
        <v>45161.62777777778</v>
      </c>
      <c r="C732" s="286" t="s">
        <v>1691</v>
      </c>
      <c r="D732" s="286" t="s">
        <v>1105</v>
      </c>
      <c r="E732" s="286" t="s">
        <v>1106</v>
      </c>
      <c r="F732" s="286" t="s">
        <v>1714</v>
      </c>
      <c r="G732" s="286" t="s">
        <v>1012</v>
      </c>
      <c r="H732" s="286" t="s">
        <v>1012</v>
      </c>
      <c r="I732" s="286" t="s">
        <v>1199</v>
      </c>
      <c r="J732" s="286" t="s">
        <v>53</v>
      </c>
      <c r="K732" s="286" t="s">
        <v>53</v>
      </c>
      <c r="L732" s="286" t="s">
        <v>53</v>
      </c>
      <c r="M732" s="286" t="s">
        <v>53</v>
      </c>
      <c r="N732" s="287">
        <v>2136.23</v>
      </c>
      <c r="O732" s="287"/>
      <c r="P732" s="286" t="s">
        <v>58</v>
      </c>
    </row>
    <row r="733" spans="1:16" hidden="1" x14ac:dyDescent="0.15">
      <c r="A733" s="286">
        <v>339870</v>
      </c>
      <c r="B733" s="288">
        <v>45177.481944444444</v>
      </c>
      <c r="C733" s="286" t="s">
        <v>1676</v>
      </c>
      <c r="D733" s="286" t="s">
        <v>1105</v>
      </c>
      <c r="E733" s="286" t="s">
        <v>1106</v>
      </c>
      <c r="F733" s="286" t="s">
        <v>1715</v>
      </c>
      <c r="G733" s="286" t="s">
        <v>1012</v>
      </c>
      <c r="H733" s="286" t="s">
        <v>1012</v>
      </c>
      <c r="I733" s="286" t="s">
        <v>1199</v>
      </c>
      <c r="J733" s="286" t="s">
        <v>53</v>
      </c>
      <c r="K733" s="286" t="s">
        <v>53</v>
      </c>
      <c r="L733" s="286" t="s">
        <v>53</v>
      </c>
      <c r="M733" s="286" t="s">
        <v>53</v>
      </c>
      <c r="N733" s="287">
        <v>2136.23</v>
      </c>
      <c r="O733" s="287"/>
      <c r="P733" s="286" t="s">
        <v>58</v>
      </c>
    </row>
    <row r="734" spans="1:16" hidden="1" x14ac:dyDescent="0.15">
      <c r="A734" s="286">
        <v>370270</v>
      </c>
      <c r="B734" s="288">
        <v>45208.668055555558</v>
      </c>
      <c r="C734" s="286" t="s">
        <v>1642</v>
      </c>
      <c r="D734" s="286" t="s">
        <v>1105</v>
      </c>
      <c r="E734" s="286" t="s">
        <v>1106</v>
      </c>
      <c r="F734" s="286" t="s">
        <v>1716</v>
      </c>
      <c r="G734" s="286" t="s">
        <v>1012</v>
      </c>
      <c r="H734" s="286" t="s">
        <v>1012</v>
      </c>
      <c r="I734" s="286" t="s">
        <v>1199</v>
      </c>
      <c r="J734" s="286" t="s">
        <v>53</v>
      </c>
      <c r="K734" s="286" t="s">
        <v>53</v>
      </c>
      <c r="L734" s="286" t="s">
        <v>53</v>
      </c>
      <c r="M734" s="286" t="s">
        <v>53</v>
      </c>
      <c r="N734" s="287">
        <v>2136.23</v>
      </c>
      <c r="O734" s="287"/>
      <c r="P734" s="286" t="s">
        <v>58</v>
      </c>
    </row>
    <row r="735" spans="1:16" hidden="1" x14ac:dyDescent="0.15">
      <c r="A735" s="286">
        <v>402221</v>
      </c>
      <c r="B735" s="288">
        <v>45243.579861111109</v>
      </c>
      <c r="C735" s="286" t="s">
        <v>1654</v>
      </c>
      <c r="D735" s="286" t="s">
        <v>1105</v>
      </c>
      <c r="E735" s="286" t="s">
        <v>1106</v>
      </c>
      <c r="F735" s="286" t="s">
        <v>1724</v>
      </c>
      <c r="G735" s="286" t="s">
        <v>1012</v>
      </c>
      <c r="H735" s="286" t="s">
        <v>1012</v>
      </c>
      <c r="I735" s="286" t="s">
        <v>1199</v>
      </c>
      <c r="J735" s="286" t="s">
        <v>53</v>
      </c>
      <c r="K735" s="286" t="s">
        <v>53</v>
      </c>
      <c r="L735" s="286" t="s">
        <v>53</v>
      </c>
      <c r="M735" s="286" t="s">
        <v>53</v>
      </c>
      <c r="N735" s="287">
        <v>2136.23</v>
      </c>
      <c r="O735" s="287"/>
      <c r="P735" s="286" t="s">
        <v>58</v>
      </c>
    </row>
    <row r="736" spans="1:16" hidden="1" x14ac:dyDescent="0.15">
      <c r="A736" s="286">
        <v>455146</v>
      </c>
      <c r="B736" s="288">
        <v>45310.510416666664</v>
      </c>
      <c r="C736" s="286" t="s">
        <v>1632</v>
      </c>
      <c r="D736" s="286" t="s">
        <v>1105</v>
      </c>
      <c r="E736" s="286" t="s">
        <v>1106</v>
      </c>
      <c r="F736" s="286" t="s">
        <v>1725</v>
      </c>
      <c r="G736" s="286" t="s">
        <v>1012</v>
      </c>
      <c r="H736" s="286" t="s">
        <v>1012</v>
      </c>
      <c r="I736" s="286" t="s">
        <v>1199</v>
      </c>
      <c r="J736" s="286" t="s">
        <v>53</v>
      </c>
      <c r="K736" s="286" t="s">
        <v>53</v>
      </c>
      <c r="L736" s="286" t="s">
        <v>53</v>
      </c>
      <c r="M736" s="286" t="s">
        <v>53</v>
      </c>
      <c r="N736" s="287">
        <v>2136.23</v>
      </c>
      <c r="O736" s="287"/>
      <c r="P736" s="286" t="s">
        <v>58</v>
      </c>
    </row>
    <row r="737" spans="1:16" hidden="1" x14ac:dyDescent="0.15">
      <c r="A737" s="286">
        <v>170297</v>
      </c>
      <c r="B737" s="288">
        <v>44986.611111111109</v>
      </c>
      <c r="C737" s="286" t="s">
        <v>1640</v>
      </c>
      <c r="D737" s="286" t="s">
        <v>1105</v>
      </c>
      <c r="E737" s="286" t="s">
        <v>1106</v>
      </c>
      <c r="F737" s="286" t="s">
        <v>1746</v>
      </c>
      <c r="G737" s="286" t="s">
        <v>1004</v>
      </c>
      <c r="H737" s="286" t="s">
        <v>1004</v>
      </c>
      <c r="I737" s="286" t="s">
        <v>1152</v>
      </c>
      <c r="J737" s="286" t="s">
        <v>1312</v>
      </c>
      <c r="K737" s="286" t="s">
        <v>53</v>
      </c>
      <c r="L737" s="286" t="s">
        <v>53</v>
      </c>
      <c r="M737" s="286" t="s">
        <v>53</v>
      </c>
      <c r="N737" s="287">
        <v>2121.83</v>
      </c>
      <c r="O737" s="287"/>
      <c r="P737" s="286" t="s">
        <v>58</v>
      </c>
    </row>
    <row r="738" spans="1:16" hidden="1" x14ac:dyDescent="0.15">
      <c r="A738" s="286">
        <v>170399</v>
      </c>
      <c r="B738" s="288">
        <v>44986.614583333336</v>
      </c>
      <c r="C738" s="286" t="s">
        <v>1640</v>
      </c>
      <c r="D738" s="286" t="s">
        <v>1105</v>
      </c>
      <c r="E738" s="286" t="s">
        <v>1106</v>
      </c>
      <c r="F738" s="286" t="s">
        <v>1720</v>
      </c>
      <c r="G738" s="286" t="s">
        <v>1045</v>
      </c>
      <c r="H738" s="286" t="s">
        <v>1045</v>
      </c>
      <c r="I738" s="286" t="s">
        <v>1199</v>
      </c>
      <c r="J738" s="286" t="s">
        <v>1312</v>
      </c>
      <c r="K738" s="286" t="s">
        <v>53</v>
      </c>
      <c r="L738" s="286" t="s">
        <v>53</v>
      </c>
      <c r="M738" s="286" t="s">
        <v>53</v>
      </c>
      <c r="N738" s="287">
        <v>2121.83</v>
      </c>
      <c r="O738" s="287"/>
      <c r="P738" s="286" t="s">
        <v>58</v>
      </c>
    </row>
    <row r="739" spans="1:16" hidden="1" x14ac:dyDescent="0.15">
      <c r="A739" s="286">
        <v>170298</v>
      </c>
      <c r="B739" s="288">
        <v>44986.623611111114</v>
      </c>
      <c r="C739" s="286" t="s">
        <v>1638</v>
      </c>
      <c r="D739" s="286" t="s">
        <v>1105</v>
      </c>
      <c r="E739" s="286" t="s">
        <v>1106</v>
      </c>
      <c r="F739" s="286" t="s">
        <v>1721</v>
      </c>
      <c r="G739" s="286" t="s">
        <v>1045</v>
      </c>
      <c r="H739" s="286" t="s">
        <v>1045</v>
      </c>
      <c r="I739" s="286" t="s">
        <v>1199</v>
      </c>
      <c r="J739" s="286" t="s">
        <v>1312</v>
      </c>
      <c r="K739" s="286" t="s">
        <v>53</v>
      </c>
      <c r="L739" s="286" t="s">
        <v>53</v>
      </c>
      <c r="M739" s="286" t="s">
        <v>53</v>
      </c>
      <c r="N739" s="287">
        <v>2121.83</v>
      </c>
      <c r="O739" s="287"/>
      <c r="P739" s="286" t="s">
        <v>58</v>
      </c>
    </row>
    <row r="740" spans="1:16" hidden="1" x14ac:dyDescent="0.15">
      <c r="A740" s="286">
        <v>170298</v>
      </c>
      <c r="B740" s="288">
        <v>44986.623611111114</v>
      </c>
      <c r="C740" s="286" t="s">
        <v>1638</v>
      </c>
      <c r="D740" s="286" t="s">
        <v>1105</v>
      </c>
      <c r="E740" s="286" t="s">
        <v>1106</v>
      </c>
      <c r="F740" s="286" t="s">
        <v>1721</v>
      </c>
      <c r="G740" s="286" t="s">
        <v>1004</v>
      </c>
      <c r="H740" s="286" t="s">
        <v>1004</v>
      </c>
      <c r="I740" s="286" t="s">
        <v>1152</v>
      </c>
      <c r="J740" s="286" t="s">
        <v>1312</v>
      </c>
      <c r="K740" s="286" t="s">
        <v>53</v>
      </c>
      <c r="L740" s="286" t="s">
        <v>53</v>
      </c>
      <c r="M740" s="286" t="s">
        <v>53</v>
      </c>
      <c r="N740" s="287">
        <v>2121.83</v>
      </c>
      <c r="O740" s="287"/>
      <c r="P740" s="286" t="s">
        <v>58</v>
      </c>
    </row>
    <row r="741" spans="1:16" hidden="1" x14ac:dyDescent="0.15">
      <c r="A741" s="286">
        <v>185846</v>
      </c>
      <c r="B741" s="288">
        <v>45005.724305555559</v>
      </c>
      <c r="C741" s="286" t="s">
        <v>1667</v>
      </c>
      <c r="D741" s="286" t="s">
        <v>1105</v>
      </c>
      <c r="E741" s="286" t="s">
        <v>1106</v>
      </c>
      <c r="F741" s="286" t="s">
        <v>1702</v>
      </c>
      <c r="G741" s="286" t="s">
        <v>1004</v>
      </c>
      <c r="H741" s="286" t="s">
        <v>1004</v>
      </c>
      <c r="I741" s="286" t="s">
        <v>1199</v>
      </c>
      <c r="J741" s="286" t="s">
        <v>1312</v>
      </c>
      <c r="K741" s="286" t="s">
        <v>53</v>
      </c>
      <c r="L741" s="286" t="s">
        <v>53</v>
      </c>
      <c r="M741" s="286" t="s">
        <v>53</v>
      </c>
      <c r="N741" s="287">
        <v>2121.83</v>
      </c>
      <c r="O741" s="287"/>
      <c r="P741" s="286" t="s">
        <v>58</v>
      </c>
    </row>
    <row r="742" spans="1:16" hidden="1" x14ac:dyDescent="0.15">
      <c r="A742" s="286">
        <v>185846</v>
      </c>
      <c r="B742" s="288">
        <v>45005.724305555559</v>
      </c>
      <c r="C742" s="286" t="s">
        <v>1667</v>
      </c>
      <c r="D742" s="286" t="s">
        <v>1105</v>
      </c>
      <c r="E742" s="286" t="s">
        <v>1106</v>
      </c>
      <c r="F742" s="286" t="s">
        <v>1702</v>
      </c>
      <c r="G742" s="286" t="s">
        <v>1045</v>
      </c>
      <c r="H742" s="286" t="s">
        <v>1045</v>
      </c>
      <c r="I742" s="286" t="s">
        <v>1199</v>
      </c>
      <c r="J742" s="286" t="s">
        <v>1312</v>
      </c>
      <c r="K742" s="286" t="s">
        <v>53</v>
      </c>
      <c r="L742" s="286" t="s">
        <v>53</v>
      </c>
      <c r="M742" s="286" t="s">
        <v>53</v>
      </c>
      <c r="N742" s="287">
        <v>2121.83</v>
      </c>
      <c r="O742" s="287"/>
      <c r="P742" s="286" t="s">
        <v>58</v>
      </c>
    </row>
    <row r="743" spans="1:16" hidden="1" x14ac:dyDescent="0.15">
      <c r="A743" s="286">
        <v>201556</v>
      </c>
      <c r="B743" s="288">
        <v>45029.540972222225</v>
      </c>
      <c r="C743" s="286" t="s">
        <v>1657</v>
      </c>
      <c r="D743" s="286" t="s">
        <v>1105</v>
      </c>
      <c r="E743" s="286" t="s">
        <v>1106</v>
      </c>
      <c r="F743" s="286" t="s">
        <v>1722</v>
      </c>
      <c r="G743" s="286" t="s">
        <v>1004</v>
      </c>
      <c r="H743" s="286" t="s">
        <v>1004</v>
      </c>
      <c r="I743" s="286" t="s">
        <v>1199</v>
      </c>
      <c r="J743" s="286" t="s">
        <v>1312</v>
      </c>
      <c r="K743" s="286" t="s">
        <v>53</v>
      </c>
      <c r="L743" s="286" t="s">
        <v>53</v>
      </c>
      <c r="M743" s="286" t="s">
        <v>53</v>
      </c>
      <c r="N743" s="287">
        <v>2121.83</v>
      </c>
      <c r="O743" s="287"/>
      <c r="P743" s="286" t="s">
        <v>58</v>
      </c>
    </row>
    <row r="744" spans="1:16" hidden="1" x14ac:dyDescent="0.15">
      <c r="A744" s="286">
        <v>201556</v>
      </c>
      <c r="B744" s="288">
        <v>45029.540972222225</v>
      </c>
      <c r="C744" s="286" t="s">
        <v>1657</v>
      </c>
      <c r="D744" s="286" t="s">
        <v>1105</v>
      </c>
      <c r="E744" s="286" t="s">
        <v>1106</v>
      </c>
      <c r="F744" s="286" t="s">
        <v>1722</v>
      </c>
      <c r="G744" s="286" t="s">
        <v>1045</v>
      </c>
      <c r="H744" s="286" t="s">
        <v>1045</v>
      </c>
      <c r="I744" s="286" t="s">
        <v>1199</v>
      </c>
      <c r="J744" s="286" t="s">
        <v>1312</v>
      </c>
      <c r="K744" s="286" t="s">
        <v>53</v>
      </c>
      <c r="L744" s="286" t="s">
        <v>53</v>
      </c>
      <c r="M744" s="286" t="s">
        <v>53</v>
      </c>
      <c r="N744" s="287">
        <v>2121.83</v>
      </c>
      <c r="O744" s="287"/>
      <c r="P744" s="286" t="s">
        <v>58</v>
      </c>
    </row>
    <row r="745" spans="1:16" hidden="1" x14ac:dyDescent="0.15">
      <c r="A745" s="286">
        <v>225409</v>
      </c>
      <c r="B745" s="288">
        <v>45058.522222222222</v>
      </c>
      <c r="C745" s="286" t="s">
        <v>1665</v>
      </c>
      <c r="D745" s="286" t="s">
        <v>1105</v>
      </c>
      <c r="E745" s="286" t="s">
        <v>1106</v>
      </c>
      <c r="F745" s="286" t="s">
        <v>1723</v>
      </c>
      <c r="G745" s="286" t="s">
        <v>1004</v>
      </c>
      <c r="H745" s="286" t="s">
        <v>1004</v>
      </c>
      <c r="I745" s="286" t="s">
        <v>1199</v>
      </c>
      <c r="J745" s="286" t="s">
        <v>1312</v>
      </c>
      <c r="K745" s="286" t="s">
        <v>53</v>
      </c>
      <c r="L745" s="286" t="s">
        <v>53</v>
      </c>
      <c r="M745" s="286" t="s">
        <v>53</v>
      </c>
      <c r="N745" s="287">
        <v>2121.83</v>
      </c>
      <c r="O745" s="287"/>
      <c r="P745" s="286" t="s">
        <v>58</v>
      </c>
    </row>
    <row r="746" spans="1:16" hidden="1" x14ac:dyDescent="0.15">
      <c r="A746" s="286">
        <v>225409</v>
      </c>
      <c r="B746" s="288">
        <v>45058.522222222222</v>
      </c>
      <c r="C746" s="286" t="s">
        <v>1665</v>
      </c>
      <c r="D746" s="286" t="s">
        <v>1105</v>
      </c>
      <c r="E746" s="286" t="s">
        <v>1106</v>
      </c>
      <c r="F746" s="286" t="s">
        <v>1723</v>
      </c>
      <c r="G746" s="286" t="s">
        <v>1045</v>
      </c>
      <c r="H746" s="286" t="s">
        <v>1045</v>
      </c>
      <c r="I746" s="286" t="s">
        <v>1199</v>
      </c>
      <c r="J746" s="286" t="s">
        <v>1312</v>
      </c>
      <c r="K746" s="286" t="s">
        <v>53</v>
      </c>
      <c r="L746" s="286" t="s">
        <v>53</v>
      </c>
      <c r="M746" s="286" t="s">
        <v>53</v>
      </c>
      <c r="N746" s="287">
        <v>2121.83</v>
      </c>
      <c r="O746" s="287"/>
      <c r="P746" s="286" t="s">
        <v>58</v>
      </c>
    </row>
    <row r="747" spans="1:16" hidden="1" x14ac:dyDescent="0.15">
      <c r="A747" s="286">
        <v>278788</v>
      </c>
      <c r="B747" s="288">
        <v>45118.57708333333</v>
      </c>
      <c r="C747" s="286" t="s">
        <v>1649</v>
      </c>
      <c r="D747" s="286" t="s">
        <v>1105</v>
      </c>
      <c r="E747" s="286" t="s">
        <v>1106</v>
      </c>
      <c r="F747" s="286" t="s">
        <v>1712</v>
      </c>
      <c r="G747" s="286" t="s">
        <v>1090</v>
      </c>
      <c r="H747" s="286" t="s">
        <v>1090</v>
      </c>
      <c r="I747" s="286" t="s">
        <v>1199</v>
      </c>
      <c r="J747" s="286" t="s">
        <v>53</v>
      </c>
      <c r="K747" s="286" t="s">
        <v>53</v>
      </c>
      <c r="L747" s="286" t="s">
        <v>53</v>
      </c>
      <c r="M747" s="286" t="s">
        <v>53</v>
      </c>
      <c r="N747" s="287">
        <v>2090.37</v>
      </c>
      <c r="O747" s="287"/>
      <c r="P747" s="286" t="s">
        <v>58</v>
      </c>
    </row>
    <row r="748" spans="1:16" hidden="1" x14ac:dyDescent="0.15">
      <c r="A748" s="286">
        <v>284271</v>
      </c>
      <c r="B748" s="288">
        <v>45121.682638888888</v>
      </c>
      <c r="C748" s="286" t="s">
        <v>1636</v>
      </c>
      <c r="D748" s="286" t="s">
        <v>1105</v>
      </c>
      <c r="E748" s="286" t="s">
        <v>1106</v>
      </c>
      <c r="F748" s="286" t="s">
        <v>1713</v>
      </c>
      <c r="G748" s="286" t="s">
        <v>1090</v>
      </c>
      <c r="H748" s="286" t="s">
        <v>1090</v>
      </c>
      <c r="I748" s="286" t="s">
        <v>1199</v>
      </c>
      <c r="J748" s="286" t="s">
        <v>53</v>
      </c>
      <c r="K748" s="286" t="s">
        <v>53</v>
      </c>
      <c r="L748" s="286" t="s">
        <v>53</v>
      </c>
      <c r="M748" s="286" t="s">
        <v>53</v>
      </c>
      <c r="N748" s="287">
        <v>2090.37</v>
      </c>
      <c r="O748" s="287"/>
      <c r="P748" s="286" t="s">
        <v>58</v>
      </c>
    </row>
    <row r="749" spans="1:16" hidden="1" x14ac:dyDescent="0.15">
      <c r="A749" s="286">
        <v>328287</v>
      </c>
      <c r="B749" s="288">
        <v>45161.62777777778</v>
      </c>
      <c r="C749" s="286" t="s">
        <v>1691</v>
      </c>
      <c r="D749" s="286" t="s">
        <v>1105</v>
      </c>
      <c r="E749" s="286" t="s">
        <v>1106</v>
      </c>
      <c r="F749" s="286" t="s">
        <v>1714</v>
      </c>
      <c r="G749" s="286" t="s">
        <v>1090</v>
      </c>
      <c r="H749" s="286" t="s">
        <v>1090</v>
      </c>
      <c r="I749" s="286" t="s">
        <v>1199</v>
      </c>
      <c r="J749" s="286" t="s">
        <v>53</v>
      </c>
      <c r="K749" s="286" t="s">
        <v>53</v>
      </c>
      <c r="L749" s="286" t="s">
        <v>53</v>
      </c>
      <c r="M749" s="286" t="s">
        <v>53</v>
      </c>
      <c r="N749" s="287">
        <v>2090.37</v>
      </c>
      <c r="O749" s="287"/>
      <c r="P749" s="286" t="s">
        <v>58</v>
      </c>
    </row>
    <row r="750" spans="1:16" hidden="1" x14ac:dyDescent="0.15">
      <c r="A750" s="286">
        <v>339870</v>
      </c>
      <c r="B750" s="288">
        <v>45177.481944444444</v>
      </c>
      <c r="C750" s="286" t="s">
        <v>1676</v>
      </c>
      <c r="D750" s="286" t="s">
        <v>1105</v>
      </c>
      <c r="E750" s="286" t="s">
        <v>1106</v>
      </c>
      <c r="F750" s="286" t="s">
        <v>1715</v>
      </c>
      <c r="G750" s="286" t="s">
        <v>1090</v>
      </c>
      <c r="H750" s="286" t="s">
        <v>1090</v>
      </c>
      <c r="I750" s="286" t="s">
        <v>1199</v>
      </c>
      <c r="J750" s="286" t="s">
        <v>53</v>
      </c>
      <c r="K750" s="286" t="s">
        <v>53</v>
      </c>
      <c r="L750" s="286" t="s">
        <v>53</v>
      </c>
      <c r="M750" s="286" t="s">
        <v>53</v>
      </c>
      <c r="N750" s="287">
        <v>2090.37</v>
      </c>
      <c r="O750" s="287"/>
      <c r="P750" s="286" t="s">
        <v>58</v>
      </c>
    </row>
    <row r="751" spans="1:16" hidden="1" x14ac:dyDescent="0.15">
      <c r="A751" s="286">
        <v>370270</v>
      </c>
      <c r="B751" s="288">
        <v>45208.668055555558</v>
      </c>
      <c r="C751" s="286" t="s">
        <v>1642</v>
      </c>
      <c r="D751" s="286" t="s">
        <v>1105</v>
      </c>
      <c r="E751" s="286" t="s">
        <v>1106</v>
      </c>
      <c r="F751" s="286" t="s">
        <v>1716</v>
      </c>
      <c r="G751" s="286" t="s">
        <v>1090</v>
      </c>
      <c r="H751" s="286" t="s">
        <v>1090</v>
      </c>
      <c r="I751" s="286" t="s">
        <v>1199</v>
      </c>
      <c r="J751" s="286" t="s">
        <v>53</v>
      </c>
      <c r="K751" s="286" t="s">
        <v>53</v>
      </c>
      <c r="L751" s="286" t="s">
        <v>53</v>
      </c>
      <c r="M751" s="286" t="s">
        <v>53</v>
      </c>
      <c r="N751" s="287">
        <v>2090.37</v>
      </c>
      <c r="O751" s="287"/>
      <c r="P751" s="286" t="s">
        <v>58</v>
      </c>
    </row>
    <row r="752" spans="1:16" hidden="1" x14ac:dyDescent="0.15">
      <c r="A752" s="286">
        <v>402221</v>
      </c>
      <c r="B752" s="288">
        <v>45243.579861111109</v>
      </c>
      <c r="C752" s="286" t="s">
        <v>1654</v>
      </c>
      <c r="D752" s="286" t="s">
        <v>1105</v>
      </c>
      <c r="E752" s="286" t="s">
        <v>1106</v>
      </c>
      <c r="F752" s="286" t="s">
        <v>1724</v>
      </c>
      <c r="G752" s="286" t="s">
        <v>1090</v>
      </c>
      <c r="H752" s="286" t="s">
        <v>1090</v>
      </c>
      <c r="I752" s="286" t="s">
        <v>1199</v>
      </c>
      <c r="J752" s="286" t="s">
        <v>53</v>
      </c>
      <c r="K752" s="286" t="s">
        <v>53</v>
      </c>
      <c r="L752" s="286" t="s">
        <v>53</v>
      </c>
      <c r="M752" s="286" t="s">
        <v>53</v>
      </c>
      <c r="N752" s="287">
        <v>2090.37</v>
      </c>
      <c r="O752" s="287"/>
      <c r="P752" s="286" t="s">
        <v>58</v>
      </c>
    </row>
    <row r="753" spans="1:16" hidden="1" x14ac:dyDescent="0.15">
      <c r="A753" s="286">
        <v>455146</v>
      </c>
      <c r="B753" s="288">
        <v>45310.510416666664</v>
      </c>
      <c r="C753" s="286" t="s">
        <v>1632</v>
      </c>
      <c r="D753" s="286" t="s">
        <v>1105</v>
      </c>
      <c r="E753" s="286" t="s">
        <v>1106</v>
      </c>
      <c r="F753" s="286" t="s">
        <v>1725</v>
      </c>
      <c r="G753" s="286" t="s">
        <v>1090</v>
      </c>
      <c r="H753" s="286" t="s">
        <v>1090</v>
      </c>
      <c r="I753" s="286" t="s">
        <v>1199</v>
      </c>
      <c r="J753" s="286" t="s">
        <v>53</v>
      </c>
      <c r="K753" s="286" t="s">
        <v>53</v>
      </c>
      <c r="L753" s="286" t="s">
        <v>53</v>
      </c>
      <c r="M753" s="286" t="s">
        <v>53</v>
      </c>
      <c r="N753" s="287">
        <v>2090.37</v>
      </c>
      <c r="O753" s="287"/>
      <c r="P753" s="286" t="s">
        <v>58</v>
      </c>
    </row>
    <row r="754" spans="1:16" hidden="1" x14ac:dyDescent="0.15">
      <c r="A754" s="286">
        <v>170499</v>
      </c>
      <c r="B754" s="288">
        <v>44986.615972222222</v>
      </c>
      <c r="C754" s="286" t="s">
        <v>1640</v>
      </c>
      <c r="D754" s="286" t="s">
        <v>1105</v>
      </c>
      <c r="E754" s="286" t="s">
        <v>1106</v>
      </c>
      <c r="F754" s="286" t="s">
        <v>1755</v>
      </c>
      <c r="G754" s="286" t="s">
        <v>1057</v>
      </c>
      <c r="H754" s="286" t="s">
        <v>1057</v>
      </c>
      <c r="I754" s="286" t="s">
        <v>1228</v>
      </c>
      <c r="J754" s="286" t="s">
        <v>1312</v>
      </c>
      <c r="K754" s="286" t="s">
        <v>53</v>
      </c>
      <c r="L754" s="286" t="s">
        <v>53</v>
      </c>
      <c r="M754" s="286" t="s">
        <v>53</v>
      </c>
      <c r="N754" s="287">
        <v>2029.17</v>
      </c>
      <c r="O754" s="287"/>
      <c r="P754" s="286" t="s">
        <v>58</v>
      </c>
    </row>
    <row r="755" spans="1:16" hidden="1" x14ac:dyDescent="0.15">
      <c r="A755" s="286">
        <v>170298</v>
      </c>
      <c r="B755" s="288">
        <v>44986.623611111114</v>
      </c>
      <c r="C755" s="286" t="s">
        <v>1638</v>
      </c>
      <c r="D755" s="286" t="s">
        <v>1105</v>
      </c>
      <c r="E755" s="286" t="s">
        <v>1106</v>
      </c>
      <c r="F755" s="286" t="s">
        <v>1721</v>
      </c>
      <c r="G755" s="286" t="s">
        <v>1057</v>
      </c>
      <c r="H755" s="286" t="s">
        <v>1057</v>
      </c>
      <c r="I755" s="286" t="s">
        <v>1228</v>
      </c>
      <c r="J755" s="286" t="s">
        <v>1312</v>
      </c>
      <c r="K755" s="286" t="s">
        <v>53</v>
      </c>
      <c r="L755" s="286" t="s">
        <v>53</v>
      </c>
      <c r="M755" s="286" t="s">
        <v>53</v>
      </c>
      <c r="N755" s="287">
        <v>2029.17</v>
      </c>
      <c r="O755" s="287"/>
      <c r="P755" s="286" t="s">
        <v>58</v>
      </c>
    </row>
    <row r="756" spans="1:16" hidden="1" x14ac:dyDescent="0.15">
      <c r="A756" s="286">
        <v>185846</v>
      </c>
      <c r="B756" s="288">
        <v>45005.724305555559</v>
      </c>
      <c r="C756" s="286" t="s">
        <v>1667</v>
      </c>
      <c r="D756" s="286" t="s">
        <v>1105</v>
      </c>
      <c r="E756" s="286" t="s">
        <v>1106</v>
      </c>
      <c r="F756" s="286" t="s">
        <v>1702</v>
      </c>
      <c r="G756" s="286" t="s">
        <v>1057</v>
      </c>
      <c r="H756" s="286" t="s">
        <v>1057</v>
      </c>
      <c r="I756" s="286" t="s">
        <v>1228</v>
      </c>
      <c r="J756" s="286" t="s">
        <v>1312</v>
      </c>
      <c r="K756" s="286" t="s">
        <v>53</v>
      </c>
      <c r="L756" s="286" t="s">
        <v>53</v>
      </c>
      <c r="M756" s="286" t="s">
        <v>53</v>
      </c>
      <c r="N756" s="287">
        <v>2029.17</v>
      </c>
      <c r="O756" s="287"/>
      <c r="P756" s="286" t="s">
        <v>58</v>
      </c>
    </row>
    <row r="757" spans="1:16" hidden="1" x14ac:dyDescent="0.15">
      <c r="A757" s="286">
        <v>201556</v>
      </c>
      <c r="B757" s="288">
        <v>45029.540972222225</v>
      </c>
      <c r="C757" s="286" t="s">
        <v>1657</v>
      </c>
      <c r="D757" s="286" t="s">
        <v>1105</v>
      </c>
      <c r="E757" s="286" t="s">
        <v>1106</v>
      </c>
      <c r="F757" s="286" t="s">
        <v>1722</v>
      </c>
      <c r="G757" s="286" t="s">
        <v>1057</v>
      </c>
      <c r="H757" s="286" t="s">
        <v>1057</v>
      </c>
      <c r="I757" s="286" t="s">
        <v>1228</v>
      </c>
      <c r="J757" s="286" t="s">
        <v>1312</v>
      </c>
      <c r="K757" s="286" t="s">
        <v>53</v>
      </c>
      <c r="L757" s="286" t="s">
        <v>53</v>
      </c>
      <c r="M757" s="286" t="s">
        <v>53</v>
      </c>
      <c r="N757" s="287">
        <v>2029.17</v>
      </c>
      <c r="O757" s="287"/>
      <c r="P757" s="286" t="s">
        <v>58</v>
      </c>
    </row>
    <row r="758" spans="1:16" hidden="1" x14ac:dyDescent="0.15">
      <c r="A758" s="286">
        <v>225409</v>
      </c>
      <c r="B758" s="288">
        <v>45058.522222222222</v>
      </c>
      <c r="C758" s="286" t="s">
        <v>1665</v>
      </c>
      <c r="D758" s="286" t="s">
        <v>1105</v>
      </c>
      <c r="E758" s="286" t="s">
        <v>1106</v>
      </c>
      <c r="F758" s="286" t="s">
        <v>1723</v>
      </c>
      <c r="G758" s="286" t="s">
        <v>1057</v>
      </c>
      <c r="H758" s="286" t="s">
        <v>1057</v>
      </c>
      <c r="I758" s="286" t="s">
        <v>1228</v>
      </c>
      <c r="J758" s="286" t="s">
        <v>1312</v>
      </c>
      <c r="K758" s="286" t="s">
        <v>53</v>
      </c>
      <c r="L758" s="286" t="s">
        <v>53</v>
      </c>
      <c r="M758" s="286" t="s">
        <v>53</v>
      </c>
      <c r="N758" s="287">
        <v>2029.17</v>
      </c>
      <c r="O758" s="287"/>
      <c r="P758" s="286" t="s">
        <v>58</v>
      </c>
    </row>
    <row r="759" spans="1:16" hidden="1" x14ac:dyDescent="0.15">
      <c r="A759" s="286">
        <v>278788</v>
      </c>
      <c r="B759" s="288">
        <v>45118.57708333333</v>
      </c>
      <c r="C759" s="286" t="s">
        <v>1649</v>
      </c>
      <c r="D759" s="286" t="s">
        <v>1105</v>
      </c>
      <c r="E759" s="286" t="s">
        <v>1106</v>
      </c>
      <c r="F759" s="286" t="s">
        <v>1712</v>
      </c>
      <c r="G759" s="286" t="s">
        <v>1083</v>
      </c>
      <c r="H759" s="286" t="s">
        <v>1083</v>
      </c>
      <c r="I759" s="286" t="s">
        <v>1228</v>
      </c>
      <c r="J759" s="286" t="s">
        <v>53</v>
      </c>
      <c r="K759" s="286" t="s">
        <v>53</v>
      </c>
      <c r="L759" s="286" t="s">
        <v>53</v>
      </c>
      <c r="M759" s="286" t="s">
        <v>53</v>
      </c>
      <c r="N759" s="287">
        <v>2029.17</v>
      </c>
      <c r="O759" s="287"/>
      <c r="P759" s="286" t="s">
        <v>58</v>
      </c>
    </row>
    <row r="760" spans="1:16" hidden="1" x14ac:dyDescent="0.15">
      <c r="A760" s="286">
        <v>284271</v>
      </c>
      <c r="B760" s="288">
        <v>45121.682638888888</v>
      </c>
      <c r="C760" s="286" t="s">
        <v>1636</v>
      </c>
      <c r="D760" s="286" t="s">
        <v>1105</v>
      </c>
      <c r="E760" s="286" t="s">
        <v>1106</v>
      </c>
      <c r="F760" s="286" t="s">
        <v>1713</v>
      </c>
      <c r="G760" s="286" t="s">
        <v>1083</v>
      </c>
      <c r="H760" s="286" t="s">
        <v>1083</v>
      </c>
      <c r="I760" s="286" t="s">
        <v>1228</v>
      </c>
      <c r="J760" s="286" t="s">
        <v>53</v>
      </c>
      <c r="K760" s="286" t="s">
        <v>53</v>
      </c>
      <c r="L760" s="286" t="s">
        <v>53</v>
      </c>
      <c r="M760" s="286" t="s">
        <v>53</v>
      </c>
      <c r="N760" s="287">
        <v>2029.17</v>
      </c>
      <c r="O760" s="287"/>
      <c r="P760" s="286" t="s">
        <v>58</v>
      </c>
    </row>
    <row r="761" spans="1:16" hidden="1" x14ac:dyDescent="0.15">
      <c r="A761" s="286">
        <v>328287</v>
      </c>
      <c r="B761" s="288">
        <v>45161.62777777778</v>
      </c>
      <c r="C761" s="286" t="s">
        <v>1691</v>
      </c>
      <c r="D761" s="286" t="s">
        <v>1105</v>
      </c>
      <c r="E761" s="286" t="s">
        <v>1106</v>
      </c>
      <c r="F761" s="286" t="s">
        <v>1714</v>
      </c>
      <c r="G761" s="286" t="s">
        <v>1083</v>
      </c>
      <c r="H761" s="286" t="s">
        <v>1083</v>
      </c>
      <c r="I761" s="286" t="s">
        <v>1228</v>
      </c>
      <c r="J761" s="286" t="s">
        <v>53</v>
      </c>
      <c r="K761" s="286" t="s">
        <v>53</v>
      </c>
      <c r="L761" s="286" t="s">
        <v>53</v>
      </c>
      <c r="M761" s="286" t="s">
        <v>53</v>
      </c>
      <c r="N761" s="287">
        <v>2029.17</v>
      </c>
      <c r="O761" s="287"/>
      <c r="P761" s="286" t="s">
        <v>58</v>
      </c>
    </row>
    <row r="762" spans="1:16" hidden="1" x14ac:dyDescent="0.15">
      <c r="A762" s="286">
        <v>339870</v>
      </c>
      <c r="B762" s="288">
        <v>45177.481944444444</v>
      </c>
      <c r="C762" s="286" t="s">
        <v>1676</v>
      </c>
      <c r="D762" s="286" t="s">
        <v>1105</v>
      </c>
      <c r="E762" s="286" t="s">
        <v>1106</v>
      </c>
      <c r="F762" s="286" t="s">
        <v>1715</v>
      </c>
      <c r="G762" s="286" t="s">
        <v>1083</v>
      </c>
      <c r="H762" s="286" t="s">
        <v>1083</v>
      </c>
      <c r="I762" s="286" t="s">
        <v>1228</v>
      </c>
      <c r="J762" s="286" t="s">
        <v>53</v>
      </c>
      <c r="K762" s="286" t="s">
        <v>53</v>
      </c>
      <c r="L762" s="286" t="s">
        <v>53</v>
      </c>
      <c r="M762" s="286" t="s">
        <v>53</v>
      </c>
      <c r="N762" s="287">
        <v>2029.17</v>
      </c>
      <c r="O762" s="287"/>
      <c r="P762" s="286" t="s">
        <v>58</v>
      </c>
    </row>
    <row r="763" spans="1:16" hidden="1" x14ac:dyDescent="0.15">
      <c r="A763" s="286">
        <v>370270</v>
      </c>
      <c r="B763" s="288">
        <v>45208.668055555558</v>
      </c>
      <c r="C763" s="286" t="s">
        <v>1642</v>
      </c>
      <c r="D763" s="286" t="s">
        <v>1105</v>
      </c>
      <c r="E763" s="286" t="s">
        <v>1106</v>
      </c>
      <c r="F763" s="286" t="s">
        <v>1716</v>
      </c>
      <c r="G763" s="286" t="s">
        <v>1083</v>
      </c>
      <c r="H763" s="286" t="s">
        <v>1083</v>
      </c>
      <c r="I763" s="286" t="s">
        <v>1228</v>
      </c>
      <c r="J763" s="286" t="s">
        <v>53</v>
      </c>
      <c r="K763" s="286" t="s">
        <v>53</v>
      </c>
      <c r="L763" s="286" t="s">
        <v>53</v>
      </c>
      <c r="M763" s="286" t="s">
        <v>53</v>
      </c>
      <c r="N763" s="287">
        <v>2029.17</v>
      </c>
      <c r="O763" s="287"/>
      <c r="P763" s="286" t="s">
        <v>58</v>
      </c>
    </row>
    <row r="764" spans="1:16" hidden="1" x14ac:dyDescent="0.15">
      <c r="A764" s="286">
        <v>402221</v>
      </c>
      <c r="B764" s="288">
        <v>45243.579861111109</v>
      </c>
      <c r="C764" s="286" t="s">
        <v>1654</v>
      </c>
      <c r="D764" s="286" t="s">
        <v>1105</v>
      </c>
      <c r="E764" s="286" t="s">
        <v>1106</v>
      </c>
      <c r="F764" s="286" t="s">
        <v>1724</v>
      </c>
      <c r="G764" s="286" t="s">
        <v>1083</v>
      </c>
      <c r="H764" s="286" t="s">
        <v>1083</v>
      </c>
      <c r="I764" s="286" t="s">
        <v>1228</v>
      </c>
      <c r="J764" s="286" t="s">
        <v>53</v>
      </c>
      <c r="K764" s="286" t="s">
        <v>53</v>
      </c>
      <c r="L764" s="286" t="s">
        <v>53</v>
      </c>
      <c r="M764" s="286" t="s">
        <v>53</v>
      </c>
      <c r="N764" s="287">
        <v>2029.15</v>
      </c>
      <c r="O764" s="287"/>
      <c r="P764" s="286" t="s">
        <v>58</v>
      </c>
    </row>
    <row r="765" spans="1:16" hidden="1" x14ac:dyDescent="0.15">
      <c r="A765" s="286">
        <v>402221</v>
      </c>
      <c r="B765" s="288">
        <v>45243.579861111109</v>
      </c>
      <c r="C765" s="286" t="s">
        <v>1654</v>
      </c>
      <c r="D765" s="286" t="s">
        <v>1105</v>
      </c>
      <c r="E765" s="286" t="s">
        <v>1106</v>
      </c>
      <c r="F765" s="286" t="s">
        <v>1724</v>
      </c>
      <c r="G765" s="286" t="s">
        <v>1064</v>
      </c>
      <c r="H765" s="286" t="s">
        <v>1064</v>
      </c>
      <c r="I765" s="286" t="s">
        <v>1199</v>
      </c>
      <c r="J765" s="286" t="s">
        <v>1312</v>
      </c>
      <c r="K765" s="286" t="s">
        <v>53</v>
      </c>
      <c r="L765" s="286" t="s">
        <v>53</v>
      </c>
      <c r="M765" s="286" t="s">
        <v>53</v>
      </c>
      <c r="N765" s="287">
        <v>2016.87</v>
      </c>
      <c r="O765" s="287"/>
      <c r="P765" s="286" t="s">
        <v>58</v>
      </c>
    </row>
    <row r="766" spans="1:16" hidden="1" x14ac:dyDescent="0.15">
      <c r="A766" s="286">
        <v>455146</v>
      </c>
      <c r="B766" s="288">
        <v>45310.510416666664</v>
      </c>
      <c r="C766" s="286" t="s">
        <v>1632</v>
      </c>
      <c r="D766" s="286" t="s">
        <v>1105</v>
      </c>
      <c r="E766" s="286" t="s">
        <v>1106</v>
      </c>
      <c r="F766" s="286" t="s">
        <v>1725</v>
      </c>
      <c r="G766" s="286" t="s">
        <v>1064</v>
      </c>
      <c r="H766" s="286" t="s">
        <v>1064</v>
      </c>
      <c r="I766" s="286" t="s">
        <v>1199</v>
      </c>
      <c r="J766" s="286" t="s">
        <v>1312</v>
      </c>
      <c r="K766" s="286" t="s">
        <v>53</v>
      </c>
      <c r="L766" s="286" t="s">
        <v>53</v>
      </c>
      <c r="M766" s="286" t="s">
        <v>53</v>
      </c>
      <c r="N766" s="287">
        <v>2016.87</v>
      </c>
      <c r="O766" s="287"/>
      <c r="P766" s="286" t="s">
        <v>58</v>
      </c>
    </row>
    <row r="767" spans="1:16" hidden="1" x14ac:dyDescent="0.15">
      <c r="A767" s="286">
        <v>170399</v>
      </c>
      <c r="B767" s="288">
        <v>44986.614583333336</v>
      </c>
      <c r="C767" s="286" t="s">
        <v>1640</v>
      </c>
      <c r="D767" s="286" t="s">
        <v>1105</v>
      </c>
      <c r="E767" s="286" t="s">
        <v>1106</v>
      </c>
      <c r="F767" s="286" t="s">
        <v>1720</v>
      </c>
      <c r="G767" s="286" t="s">
        <v>1040</v>
      </c>
      <c r="H767" s="286" t="s">
        <v>1040</v>
      </c>
      <c r="I767" s="286" t="s">
        <v>1199</v>
      </c>
      <c r="J767" s="286" t="s">
        <v>1312</v>
      </c>
      <c r="K767" s="286" t="s">
        <v>53</v>
      </c>
      <c r="L767" s="286" t="s">
        <v>53</v>
      </c>
      <c r="M767" s="286" t="s">
        <v>53</v>
      </c>
      <c r="N767" s="287">
        <v>2011.5</v>
      </c>
      <c r="O767" s="287"/>
      <c r="P767" s="286" t="s">
        <v>58</v>
      </c>
    </row>
    <row r="768" spans="1:16" hidden="1" x14ac:dyDescent="0.15">
      <c r="A768" s="286">
        <v>170298</v>
      </c>
      <c r="B768" s="288">
        <v>44986.623611111114</v>
      </c>
      <c r="C768" s="286" t="s">
        <v>1638</v>
      </c>
      <c r="D768" s="286" t="s">
        <v>1105</v>
      </c>
      <c r="E768" s="286" t="s">
        <v>1106</v>
      </c>
      <c r="F768" s="286" t="s">
        <v>1721</v>
      </c>
      <c r="G768" s="286" t="s">
        <v>1040</v>
      </c>
      <c r="H768" s="286" t="s">
        <v>1040</v>
      </c>
      <c r="I768" s="286" t="s">
        <v>1199</v>
      </c>
      <c r="J768" s="286" t="s">
        <v>1312</v>
      </c>
      <c r="K768" s="286" t="s">
        <v>53</v>
      </c>
      <c r="L768" s="286" t="s">
        <v>53</v>
      </c>
      <c r="M768" s="286" t="s">
        <v>53</v>
      </c>
      <c r="N768" s="287">
        <v>2011.5</v>
      </c>
      <c r="O768" s="287"/>
      <c r="P768" s="286" t="s">
        <v>58</v>
      </c>
    </row>
    <row r="769" spans="1:16" hidden="1" x14ac:dyDescent="0.15">
      <c r="A769" s="286">
        <v>185846</v>
      </c>
      <c r="B769" s="288">
        <v>45005.724305555559</v>
      </c>
      <c r="C769" s="286" t="s">
        <v>1667</v>
      </c>
      <c r="D769" s="286" t="s">
        <v>1105</v>
      </c>
      <c r="E769" s="286" t="s">
        <v>1106</v>
      </c>
      <c r="F769" s="286" t="s">
        <v>1702</v>
      </c>
      <c r="G769" s="286" t="s">
        <v>1040</v>
      </c>
      <c r="H769" s="286" t="s">
        <v>1040</v>
      </c>
      <c r="I769" s="286" t="s">
        <v>1199</v>
      </c>
      <c r="J769" s="286" t="s">
        <v>1312</v>
      </c>
      <c r="K769" s="286" t="s">
        <v>53</v>
      </c>
      <c r="L769" s="286" t="s">
        <v>53</v>
      </c>
      <c r="M769" s="286" t="s">
        <v>53</v>
      </c>
      <c r="N769" s="287">
        <v>2011.5</v>
      </c>
      <c r="O769" s="287"/>
      <c r="P769" s="286" t="s">
        <v>58</v>
      </c>
    </row>
    <row r="770" spans="1:16" hidden="1" x14ac:dyDescent="0.15">
      <c r="A770" s="286">
        <v>201556</v>
      </c>
      <c r="B770" s="288">
        <v>45029.540972222225</v>
      </c>
      <c r="C770" s="286" t="s">
        <v>1657</v>
      </c>
      <c r="D770" s="286" t="s">
        <v>1105</v>
      </c>
      <c r="E770" s="286" t="s">
        <v>1106</v>
      </c>
      <c r="F770" s="286" t="s">
        <v>1722</v>
      </c>
      <c r="G770" s="286" t="s">
        <v>1040</v>
      </c>
      <c r="H770" s="286" t="s">
        <v>1040</v>
      </c>
      <c r="I770" s="286" t="s">
        <v>1199</v>
      </c>
      <c r="J770" s="286" t="s">
        <v>1312</v>
      </c>
      <c r="K770" s="286" t="s">
        <v>53</v>
      </c>
      <c r="L770" s="286" t="s">
        <v>53</v>
      </c>
      <c r="M770" s="286" t="s">
        <v>53</v>
      </c>
      <c r="N770" s="287">
        <v>2011.5</v>
      </c>
      <c r="O770" s="287"/>
      <c r="P770" s="286" t="s">
        <v>58</v>
      </c>
    </row>
    <row r="771" spans="1:16" hidden="1" x14ac:dyDescent="0.15">
      <c r="A771" s="286">
        <v>225409</v>
      </c>
      <c r="B771" s="288">
        <v>45058.522222222222</v>
      </c>
      <c r="C771" s="286" t="s">
        <v>1665</v>
      </c>
      <c r="D771" s="286" t="s">
        <v>1105</v>
      </c>
      <c r="E771" s="286" t="s">
        <v>1106</v>
      </c>
      <c r="F771" s="286" t="s">
        <v>1723</v>
      </c>
      <c r="G771" s="286" t="s">
        <v>1040</v>
      </c>
      <c r="H771" s="286" t="s">
        <v>1040</v>
      </c>
      <c r="I771" s="286" t="s">
        <v>1199</v>
      </c>
      <c r="J771" s="286" t="s">
        <v>1312</v>
      </c>
      <c r="K771" s="286" t="s">
        <v>53</v>
      </c>
      <c r="L771" s="286" t="s">
        <v>53</v>
      </c>
      <c r="M771" s="286" t="s">
        <v>53</v>
      </c>
      <c r="N771" s="287">
        <v>2011.5</v>
      </c>
      <c r="O771" s="287"/>
      <c r="P771" s="286" t="s">
        <v>58</v>
      </c>
    </row>
    <row r="772" spans="1:16" hidden="1" x14ac:dyDescent="0.15">
      <c r="A772" s="286">
        <v>170399</v>
      </c>
      <c r="B772" s="288">
        <v>44986.614583333336</v>
      </c>
      <c r="C772" s="286" t="s">
        <v>1640</v>
      </c>
      <c r="D772" s="286" t="s">
        <v>1105</v>
      </c>
      <c r="E772" s="286" t="s">
        <v>1106</v>
      </c>
      <c r="F772" s="286" t="s">
        <v>1720</v>
      </c>
      <c r="G772" s="286" t="s">
        <v>1090</v>
      </c>
      <c r="H772" s="286" t="s">
        <v>1090</v>
      </c>
      <c r="I772" s="286" t="s">
        <v>1199</v>
      </c>
      <c r="J772" s="286" t="s">
        <v>1312</v>
      </c>
      <c r="K772" s="286" t="s">
        <v>53</v>
      </c>
      <c r="L772" s="286" t="s">
        <v>53</v>
      </c>
      <c r="M772" s="286" t="s">
        <v>53</v>
      </c>
      <c r="N772" s="287">
        <v>1996.25</v>
      </c>
      <c r="O772" s="287"/>
      <c r="P772" s="286" t="s">
        <v>58</v>
      </c>
    </row>
    <row r="773" spans="1:16" hidden="1" x14ac:dyDescent="0.15">
      <c r="A773" s="286">
        <v>170298</v>
      </c>
      <c r="B773" s="288">
        <v>44986.623611111114</v>
      </c>
      <c r="C773" s="286" t="s">
        <v>1638</v>
      </c>
      <c r="D773" s="286" t="s">
        <v>1105</v>
      </c>
      <c r="E773" s="286" t="s">
        <v>1106</v>
      </c>
      <c r="F773" s="286" t="s">
        <v>1721</v>
      </c>
      <c r="G773" s="286" t="s">
        <v>1090</v>
      </c>
      <c r="H773" s="286" t="s">
        <v>1090</v>
      </c>
      <c r="I773" s="286" t="s">
        <v>1199</v>
      </c>
      <c r="J773" s="286" t="s">
        <v>1312</v>
      </c>
      <c r="K773" s="286" t="s">
        <v>53</v>
      </c>
      <c r="L773" s="286" t="s">
        <v>53</v>
      </c>
      <c r="M773" s="286" t="s">
        <v>53</v>
      </c>
      <c r="N773" s="287">
        <v>1996.25</v>
      </c>
      <c r="O773" s="287"/>
      <c r="P773" s="286" t="s">
        <v>58</v>
      </c>
    </row>
    <row r="774" spans="1:16" hidden="1" x14ac:dyDescent="0.15">
      <c r="A774" s="286">
        <v>185846</v>
      </c>
      <c r="B774" s="288">
        <v>45005.724305555559</v>
      </c>
      <c r="C774" s="286" t="s">
        <v>1667</v>
      </c>
      <c r="D774" s="286" t="s">
        <v>1105</v>
      </c>
      <c r="E774" s="286" t="s">
        <v>1106</v>
      </c>
      <c r="F774" s="286" t="s">
        <v>1702</v>
      </c>
      <c r="G774" s="286" t="s">
        <v>1090</v>
      </c>
      <c r="H774" s="286" t="s">
        <v>1090</v>
      </c>
      <c r="I774" s="286" t="s">
        <v>1199</v>
      </c>
      <c r="J774" s="286" t="s">
        <v>1312</v>
      </c>
      <c r="K774" s="286" t="s">
        <v>53</v>
      </c>
      <c r="L774" s="286" t="s">
        <v>53</v>
      </c>
      <c r="M774" s="286" t="s">
        <v>53</v>
      </c>
      <c r="N774" s="287">
        <v>1996.25</v>
      </c>
      <c r="O774" s="287"/>
      <c r="P774" s="286" t="s">
        <v>58</v>
      </c>
    </row>
    <row r="775" spans="1:16" hidden="1" x14ac:dyDescent="0.15">
      <c r="A775" s="286">
        <v>201556</v>
      </c>
      <c r="B775" s="288">
        <v>45029.540972222225</v>
      </c>
      <c r="C775" s="286" t="s">
        <v>1657</v>
      </c>
      <c r="D775" s="286" t="s">
        <v>1105</v>
      </c>
      <c r="E775" s="286" t="s">
        <v>1106</v>
      </c>
      <c r="F775" s="286" t="s">
        <v>1722</v>
      </c>
      <c r="G775" s="286" t="s">
        <v>1090</v>
      </c>
      <c r="H775" s="286" t="s">
        <v>1090</v>
      </c>
      <c r="I775" s="286" t="s">
        <v>1199</v>
      </c>
      <c r="J775" s="286" t="s">
        <v>1312</v>
      </c>
      <c r="K775" s="286" t="s">
        <v>53</v>
      </c>
      <c r="L775" s="286" t="s">
        <v>53</v>
      </c>
      <c r="M775" s="286" t="s">
        <v>53</v>
      </c>
      <c r="N775" s="287">
        <v>1996.25</v>
      </c>
      <c r="O775" s="287"/>
      <c r="P775" s="286" t="s">
        <v>58</v>
      </c>
    </row>
    <row r="776" spans="1:16" hidden="1" x14ac:dyDescent="0.15">
      <c r="A776" s="286">
        <v>225409</v>
      </c>
      <c r="B776" s="288">
        <v>45058.522222222222</v>
      </c>
      <c r="C776" s="286" t="s">
        <v>1665</v>
      </c>
      <c r="D776" s="286" t="s">
        <v>1105</v>
      </c>
      <c r="E776" s="286" t="s">
        <v>1106</v>
      </c>
      <c r="F776" s="286" t="s">
        <v>1723</v>
      </c>
      <c r="G776" s="286" t="s">
        <v>1090</v>
      </c>
      <c r="H776" s="286" t="s">
        <v>1090</v>
      </c>
      <c r="I776" s="286" t="s">
        <v>1199</v>
      </c>
      <c r="J776" s="286" t="s">
        <v>1312</v>
      </c>
      <c r="K776" s="286" t="s">
        <v>53</v>
      </c>
      <c r="L776" s="286" t="s">
        <v>53</v>
      </c>
      <c r="M776" s="286" t="s">
        <v>53</v>
      </c>
      <c r="N776" s="287">
        <v>1996.25</v>
      </c>
      <c r="O776" s="287"/>
      <c r="P776" s="286" t="s">
        <v>58</v>
      </c>
    </row>
    <row r="777" spans="1:16" hidden="1" x14ac:dyDescent="0.15">
      <c r="A777" s="286">
        <v>170399</v>
      </c>
      <c r="B777" s="288">
        <v>44986.614583333336</v>
      </c>
      <c r="C777" s="286" t="s">
        <v>1640</v>
      </c>
      <c r="D777" s="286" t="s">
        <v>1105</v>
      </c>
      <c r="E777" s="286" t="s">
        <v>1106</v>
      </c>
      <c r="F777" s="286" t="s">
        <v>1720</v>
      </c>
      <c r="G777" s="286" t="s">
        <v>1089</v>
      </c>
      <c r="H777" s="286" t="s">
        <v>1089</v>
      </c>
      <c r="I777" s="286" t="s">
        <v>1199</v>
      </c>
      <c r="J777" s="286" t="s">
        <v>1312</v>
      </c>
      <c r="K777" s="286" t="s">
        <v>53</v>
      </c>
      <c r="L777" s="286" t="s">
        <v>53</v>
      </c>
      <c r="M777" s="286" t="s">
        <v>53</v>
      </c>
      <c r="N777" s="287">
        <v>1992.08</v>
      </c>
      <c r="O777" s="287"/>
      <c r="P777" s="286" t="s">
        <v>58</v>
      </c>
    </row>
    <row r="778" spans="1:16" hidden="1" x14ac:dyDescent="0.15">
      <c r="A778" s="286">
        <v>170298</v>
      </c>
      <c r="B778" s="288">
        <v>44986.623611111114</v>
      </c>
      <c r="C778" s="286" t="s">
        <v>1638</v>
      </c>
      <c r="D778" s="286" t="s">
        <v>1105</v>
      </c>
      <c r="E778" s="286" t="s">
        <v>1106</v>
      </c>
      <c r="F778" s="286" t="s">
        <v>1721</v>
      </c>
      <c r="G778" s="286" t="s">
        <v>1089</v>
      </c>
      <c r="H778" s="286" t="s">
        <v>1089</v>
      </c>
      <c r="I778" s="286" t="s">
        <v>1199</v>
      </c>
      <c r="J778" s="286" t="s">
        <v>1312</v>
      </c>
      <c r="K778" s="286" t="s">
        <v>53</v>
      </c>
      <c r="L778" s="286" t="s">
        <v>53</v>
      </c>
      <c r="M778" s="286" t="s">
        <v>53</v>
      </c>
      <c r="N778" s="287">
        <v>1992.08</v>
      </c>
      <c r="O778" s="287"/>
      <c r="P778" s="286" t="s">
        <v>58</v>
      </c>
    </row>
    <row r="779" spans="1:16" hidden="1" x14ac:dyDescent="0.15">
      <c r="A779" s="286">
        <v>402221</v>
      </c>
      <c r="B779" s="288">
        <v>45243.579861111109</v>
      </c>
      <c r="C779" s="286" t="s">
        <v>1654</v>
      </c>
      <c r="D779" s="286" t="s">
        <v>1105</v>
      </c>
      <c r="E779" s="286" t="s">
        <v>1106</v>
      </c>
      <c r="F779" s="286" t="s">
        <v>1724</v>
      </c>
      <c r="G779" s="286" t="s">
        <v>1042</v>
      </c>
      <c r="H779" s="286" t="s">
        <v>1042</v>
      </c>
      <c r="I779" s="286" t="s">
        <v>1228</v>
      </c>
      <c r="J779" s="286" t="s">
        <v>53</v>
      </c>
      <c r="K779" s="286" t="s">
        <v>53</v>
      </c>
      <c r="L779" s="286" t="s">
        <v>53</v>
      </c>
      <c r="M779" s="286" t="s">
        <v>53</v>
      </c>
      <c r="N779" s="287">
        <v>1980.46</v>
      </c>
      <c r="O779" s="287"/>
      <c r="P779" s="286" t="s">
        <v>58</v>
      </c>
    </row>
    <row r="780" spans="1:16" hidden="1" x14ac:dyDescent="0.15">
      <c r="A780" s="286">
        <v>455146</v>
      </c>
      <c r="B780" s="288">
        <v>45310.510416666664</v>
      </c>
      <c r="C780" s="286" t="s">
        <v>1632</v>
      </c>
      <c r="D780" s="286" t="s">
        <v>1105</v>
      </c>
      <c r="E780" s="286" t="s">
        <v>1106</v>
      </c>
      <c r="F780" s="286" t="s">
        <v>1725</v>
      </c>
      <c r="G780" s="286" t="s">
        <v>1042</v>
      </c>
      <c r="H780" s="286" t="s">
        <v>1042</v>
      </c>
      <c r="I780" s="286" t="s">
        <v>1228</v>
      </c>
      <c r="J780" s="286" t="s">
        <v>53</v>
      </c>
      <c r="K780" s="286" t="s">
        <v>53</v>
      </c>
      <c r="L780" s="286" t="s">
        <v>53</v>
      </c>
      <c r="M780" s="286" t="s">
        <v>53</v>
      </c>
      <c r="N780" s="287">
        <v>1980.46</v>
      </c>
      <c r="O780" s="287"/>
      <c r="P780" s="286" t="s">
        <v>58</v>
      </c>
    </row>
    <row r="781" spans="1:16" hidden="1" x14ac:dyDescent="0.15">
      <c r="A781" s="286">
        <v>278788</v>
      </c>
      <c r="B781" s="288">
        <v>45118.57708333333</v>
      </c>
      <c r="C781" s="286" t="s">
        <v>1649</v>
      </c>
      <c r="D781" s="286" t="s">
        <v>1105</v>
      </c>
      <c r="E781" s="286" t="s">
        <v>1106</v>
      </c>
      <c r="F781" s="286" t="s">
        <v>1712</v>
      </c>
      <c r="G781" s="286" t="s">
        <v>1045</v>
      </c>
      <c r="H781" s="286" t="s">
        <v>1045</v>
      </c>
      <c r="I781" s="286" t="s">
        <v>1199</v>
      </c>
      <c r="J781" s="286" t="s">
        <v>53</v>
      </c>
      <c r="K781" s="286" t="s">
        <v>53</v>
      </c>
      <c r="L781" s="286" t="s">
        <v>53</v>
      </c>
      <c r="M781" s="286" t="s">
        <v>53</v>
      </c>
      <c r="N781" s="287">
        <v>1969.13</v>
      </c>
      <c r="O781" s="287"/>
      <c r="P781" s="286" t="s">
        <v>58</v>
      </c>
    </row>
    <row r="782" spans="1:16" hidden="1" x14ac:dyDescent="0.15">
      <c r="A782" s="286">
        <v>284271</v>
      </c>
      <c r="B782" s="288">
        <v>45121.682638888888</v>
      </c>
      <c r="C782" s="286" t="s">
        <v>1636</v>
      </c>
      <c r="D782" s="286" t="s">
        <v>1105</v>
      </c>
      <c r="E782" s="286" t="s">
        <v>1106</v>
      </c>
      <c r="F782" s="286" t="s">
        <v>1713</v>
      </c>
      <c r="G782" s="286" t="s">
        <v>1045</v>
      </c>
      <c r="H782" s="286" t="s">
        <v>1045</v>
      </c>
      <c r="I782" s="286" t="s">
        <v>1199</v>
      </c>
      <c r="J782" s="286" t="s">
        <v>53</v>
      </c>
      <c r="K782" s="286" t="s">
        <v>53</v>
      </c>
      <c r="L782" s="286" t="s">
        <v>53</v>
      </c>
      <c r="M782" s="286" t="s">
        <v>53</v>
      </c>
      <c r="N782" s="287">
        <v>1969.13</v>
      </c>
      <c r="O782" s="287"/>
      <c r="P782" s="286" t="s">
        <v>58</v>
      </c>
    </row>
    <row r="783" spans="1:16" hidden="1" x14ac:dyDescent="0.15">
      <c r="A783" s="286">
        <v>328287</v>
      </c>
      <c r="B783" s="288">
        <v>45161.62777777778</v>
      </c>
      <c r="C783" s="286" t="s">
        <v>1691</v>
      </c>
      <c r="D783" s="286" t="s">
        <v>1105</v>
      </c>
      <c r="E783" s="286" t="s">
        <v>1106</v>
      </c>
      <c r="F783" s="286" t="s">
        <v>1714</v>
      </c>
      <c r="G783" s="286" t="s">
        <v>1045</v>
      </c>
      <c r="H783" s="286" t="s">
        <v>1045</v>
      </c>
      <c r="I783" s="286" t="s">
        <v>1199</v>
      </c>
      <c r="J783" s="286" t="s">
        <v>53</v>
      </c>
      <c r="K783" s="286" t="s">
        <v>53</v>
      </c>
      <c r="L783" s="286" t="s">
        <v>53</v>
      </c>
      <c r="M783" s="286" t="s">
        <v>53</v>
      </c>
      <c r="N783" s="287">
        <v>1969.13</v>
      </c>
      <c r="O783" s="287"/>
      <c r="P783" s="286" t="s">
        <v>58</v>
      </c>
    </row>
    <row r="784" spans="1:16" hidden="1" x14ac:dyDescent="0.15">
      <c r="A784" s="286">
        <v>339870</v>
      </c>
      <c r="B784" s="288">
        <v>45177.481944444444</v>
      </c>
      <c r="C784" s="286" t="s">
        <v>1676</v>
      </c>
      <c r="D784" s="286" t="s">
        <v>1105</v>
      </c>
      <c r="E784" s="286" t="s">
        <v>1106</v>
      </c>
      <c r="F784" s="286" t="s">
        <v>1715</v>
      </c>
      <c r="G784" s="286" t="s">
        <v>1045</v>
      </c>
      <c r="H784" s="286" t="s">
        <v>1045</v>
      </c>
      <c r="I784" s="286" t="s">
        <v>1199</v>
      </c>
      <c r="J784" s="286" t="s">
        <v>53</v>
      </c>
      <c r="K784" s="286" t="s">
        <v>53</v>
      </c>
      <c r="L784" s="286" t="s">
        <v>53</v>
      </c>
      <c r="M784" s="286" t="s">
        <v>53</v>
      </c>
      <c r="N784" s="287">
        <v>1969.13</v>
      </c>
      <c r="O784" s="287"/>
      <c r="P784" s="286" t="s">
        <v>58</v>
      </c>
    </row>
    <row r="785" spans="1:16" hidden="1" x14ac:dyDescent="0.15">
      <c r="A785" s="286">
        <v>370270</v>
      </c>
      <c r="B785" s="288">
        <v>45208.668055555558</v>
      </c>
      <c r="C785" s="286" t="s">
        <v>1642</v>
      </c>
      <c r="D785" s="286" t="s">
        <v>1105</v>
      </c>
      <c r="E785" s="286" t="s">
        <v>1106</v>
      </c>
      <c r="F785" s="286" t="s">
        <v>1716</v>
      </c>
      <c r="G785" s="286" t="s">
        <v>1045</v>
      </c>
      <c r="H785" s="286" t="s">
        <v>1045</v>
      </c>
      <c r="I785" s="286" t="s">
        <v>1199</v>
      </c>
      <c r="J785" s="286" t="s">
        <v>53</v>
      </c>
      <c r="K785" s="286" t="s">
        <v>53</v>
      </c>
      <c r="L785" s="286" t="s">
        <v>53</v>
      </c>
      <c r="M785" s="286" t="s">
        <v>53</v>
      </c>
      <c r="N785" s="287">
        <v>1969.13</v>
      </c>
      <c r="O785" s="287"/>
      <c r="P785" s="286" t="s">
        <v>58</v>
      </c>
    </row>
    <row r="786" spans="1:16" hidden="1" x14ac:dyDescent="0.15">
      <c r="A786" s="286">
        <v>402221</v>
      </c>
      <c r="B786" s="288">
        <v>45243.579861111109</v>
      </c>
      <c r="C786" s="286" t="s">
        <v>1654</v>
      </c>
      <c r="D786" s="286" t="s">
        <v>1105</v>
      </c>
      <c r="E786" s="286" t="s">
        <v>1106</v>
      </c>
      <c r="F786" s="286" t="s">
        <v>1724</v>
      </c>
      <c r="G786" s="286" t="s">
        <v>1045</v>
      </c>
      <c r="H786" s="286" t="s">
        <v>1045</v>
      </c>
      <c r="I786" s="286" t="s">
        <v>1199</v>
      </c>
      <c r="J786" s="286" t="s">
        <v>53</v>
      </c>
      <c r="K786" s="286" t="s">
        <v>53</v>
      </c>
      <c r="L786" s="286" t="s">
        <v>53</v>
      </c>
      <c r="M786" s="286" t="s">
        <v>53</v>
      </c>
      <c r="N786" s="287">
        <v>1969.13</v>
      </c>
      <c r="O786" s="287"/>
      <c r="P786" s="286" t="s">
        <v>58</v>
      </c>
    </row>
    <row r="787" spans="1:16" hidden="1" x14ac:dyDescent="0.15">
      <c r="A787" s="286">
        <v>455146</v>
      </c>
      <c r="B787" s="288">
        <v>45310.510416666664</v>
      </c>
      <c r="C787" s="286" t="s">
        <v>1632</v>
      </c>
      <c r="D787" s="286" t="s">
        <v>1105</v>
      </c>
      <c r="E787" s="286" t="s">
        <v>1106</v>
      </c>
      <c r="F787" s="286" t="s">
        <v>1725</v>
      </c>
      <c r="G787" s="286" t="s">
        <v>1045</v>
      </c>
      <c r="H787" s="286" t="s">
        <v>1045</v>
      </c>
      <c r="I787" s="286" t="s">
        <v>1199</v>
      </c>
      <c r="J787" s="286" t="s">
        <v>53</v>
      </c>
      <c r="K787" s="286" t="s">
        <v>53</v>
      </c>
      <c r="L787" s="286" t="s">
        <v>53</v>
      </c>
      <c r="M787" s="286" t="s">
        <v>53</v>
      </c>
      <c r="N787" s="287">
        <v>1969.13</v>
      </c>
      <c r="O787" s="287"/>
      <c r="P787" s="286" t="s">
        <v>58</v>
      </c>
    </row>
    <row r="788" spans="1:16" hidden="1" x14ac:dyDescent="0.15">
      <c r="A788" s="286">
        <v>201556</v>
      </c>
      <c r="B788" s="288">
        <v>45029.540972222225</v>
      </c>
      <c r="C788" s="286" t="s">
        <v>1657</v>
      </c>
      <c r="D788" s="286" t="s">
        <v>1105</v>
      </c>
      <c r="E788" s="286" t="s">
        <v>1106</v>
      </c>
      <c r="F788" s="286" t="s">
        <v>1722</v>
      </c>
      <c r="G788" s="286" t="s">
        <v>1011</v>
      </c>
      <c r="H788" s="286" t="s">
        <v>1011</v>
      </c>
      <c r="I788" s="286" t="s">
        <v>1152</v>
      </c>
      <c r="J788" s="286" t="s">
        <v>1312</v>
      </c>
      <c r="K788" s="286" t="s">
        <v>53</v>
      </c>
      <c r="L788" s="286" t="s">
        <v>53</v>
      </c>
      <c r="M788" s="286" t="s">
        <v>53</v>
      </c>
      <c r="N788" s="287">
        <v>1946.05</v>
      </c>
      <c r="O788" s="287"/>
      <c r="P788" s="286" t="s">
        <v>58</v>
      </c>
    </row>
    <row r="789" spans="1:16" hidden="1" x14ac:dyDescent="0.15">
      <c r="A789" s="286">
        <v>455146</v>
      </c>
      <c r="B789" s="288">
        <v>45310.510416666664</v>
      </c>
      <c r="C789" s="286" t="s">
        <v>1632</v>
      </c>
      <c r="D789" s="286" t="s">
        <v>1105</v>
      </c>
      <c r="E789" s="286" t="s">
        <v>1106</v>
      </c>
      <c r="F789" s="286" t="s">
        <v>1725</v>
      </c>
      <c r="G789" s="286" t="s">
        <v>1068</v>
      </c>
      <c r="H789" s="286" t="s">
        <v>1068</v>
      </c>
      <c r="I789" s="286" t="s">
        <v>1199</v>
      </c>
      <c r="J789" s="286" t="s">
        <v>53</v>
      </c>
      <c r="K789" s="286" t="s">
        <v>53</v>
      </c>
      <c r="L789" s="286" t="s">
        <v>53</v>
      </c>
      <c r="M789" s="286" t="s">
        <v>53</v>
      </c>
      <c r="N789" s="287">
        <v>1944.89</v>
      </c>
      <c r="O789" s="287"/>
      <c r="P789" s="286" t="s">
        <v>58</v>
      </c>
    </row>
    <row r="790" spans="1:16" hidden="1" x14ac:dyDescent="0.15">
      <c r="A790" s="286">
        <v>433764</v>
      </c>
      <c r="B790" s="288">
        <v>45278.734722222223</v>
      </c>
      <c r="C790" s="286" t="s">
        <v>1632</v>
      </c>
      <c r="D790" s="286" t="s">
        <v>1105</v>
      </c>
      <c r="E790" s="286" t="s">
        <v>1106</v>
      </c>
      <c r="F790" s="286" t="s">
        <v>1801</v>
      </c>
      <c r="G790" s="286" t="s">
        <v>1036</v>
      </c>
      <c r="H790" s="286" t="s">
        <v>1036</v>
      </c>
      <c r="I790" s="286" t="s">
        <v>1152</v>
      </c>
      <c r="J790" s="286" t="s">
        <v>1312</v>
      </c>
      <c r="K790" s="286" t="s">
        <v>1836</v>
      </c>
      <c r="L790" s="286" t="s">
        <v>672</v>
      </c>
      <c r="M790" s="286">
        <v>1</v>
      </c>
      <c r="N790" s="287">
        <v>1912.45</v>
      </c>
      <c r="O790" s="287"/>
      <c r="P790" s="286" t="s">
        <v>58</v>
      </c>
    </row>
    <row r="791" spans="1:16" hidden="1" x14ac:dyDescent="0.15">
      <c r="A791" s="286">
        <v>379134</v>
      </c>
      <c r="B791" s="288">
        <v>45218.479166666664</v>
      </c>
      <c r="C791" s="286" t="s">
        <v>1642</v>
      </c>
      <c r="D791" s="286" t="s">
        <v>1105</v>
      </c>
      <c r="E791" s="286" t="s">
        <v>1106</v>
      </c>
      <c r="F791" s="286" t="s">
        <v>1726</v>
      </c>
      <c r="G791" s="286" t="s">
        <v>1056</v>
      </c>
      <c r="H791" s="286" t="s">
        <v>1056</v>
      </c>
      <c r="I791" s="286" t="s">
        <v>1129</v>
      </c>
      <c r="J791" s="286" t="s">
        <v>1312</v>
      </c>
      <c r="K791" s="286" t="s">
        <v>960</v>
      </c>
      <c r="L791" s="286" t="s">
        <v>1461</v>
      </c>
      <c r="M791" s="286">
        <v>1</v>
      </c>
      <c r="N791" s="287">
        <v>1897.65</v>
      </c>
      <c r="O791" s="287"/>
      <c r="P791" s="286" t="s">
        <v>164</v>
      </c>
    </row>
    <row r="792" spans="1:16" hidden="1" x14ac:dyDescent="0.15">
      <c r="A792" s="286">
        <v>170499</v>
      </c>
      <c r="B792" s="288">
        <v>44986.615972222222</v>
      </c>
      <c r="C792" s="286" t="s">
        <v>1640</v>
      </c>
      <c r="D792" s="286" t="s">
        <v>1105</v>
      </c>
      <c r="E792" s="286" t="s">
        <v>1106</v>
      </c>
      <c r="F792" s="286" t="s">
        <v>1755</v>
      </c>
      <c r="G792" s="286" t="s">
        <v>1083</v>
      </c>
      <c r="H792" s="286" t="s">
        <v>1083</v>
      </c>
      <c r="I792" s="286" t="s">
        <v>1228</v>
      </c>
      <c r="J792" s="286" t="s">
        <v>1312</v>
      </c>
      <c r="K792" s="286" t="s">
        <v>53</v>
      </c>
      <c r="L792" s="286" t="s">
        <v>53</v>
      </c>
      <c r="M792" s="286" t="s">
        <v>53</v>
      </c>
      <c r="N792" s="287">
        <v>1894.63</v>
      </c>
      <c r="O792" s="287"/>
      <c r="P792" s="286" t="s">
        <v>58</v>
      </c>
    </row>
    <row r="793" spans="1:16" hidden="1" x14ac:dyDescent="0.15">
      <c r="A793" s="286">
        <v>170298</v>
      </c>
      <c r="B793" s="288">
        <v>44986.623611111114</v>
      </c>
      <c r="C793" s="286" t="s">
        <v>1638</v>
      </c>
      <c r="D793" s="286" t="s">
        <v>1105</v>
      </c>
      <c r="E793" s="286" t="s">
        <v>1106</v>
      </c>
      <c r="F793" s="286" t="s">
        <v>1721</v>
      </c>
      <c r="G793" s="286" t="s">
        <v>1083</v>
      </c>
      <c r="H793" s="286" t="s">
        <v>1083</v>
      </c>
      <c r="I793" s="286" t="s">
        <v>1228</v>
      </c>
      <c r="J793" s="286" t="s">
        <v>1312</v>
      </c>
      <c r="K793" s="286" t="s">
        <v>53</v>
      </c>
      <c r="L793" s="286" t="s">
        <v>53</v>
      </c>
      <c r="M793" s="286" t="s">
        <v>53</v>
      </c>
      <c r="N793" s="287">
        <v>1894.63</v>
      </c>
      <c r="O793" s="287"/>
      <c r="P793" s="286" t="s">
        <v>58</v>
      </c>
    </row>
    <row r="794" spans="1:16" hidden="1" x14ac:dyDescent="0.15">
      <c r="A794" s="286">
        <v>185846</v>
      </c>
      <c r="B794" s="288">
        <v>45005.724305555559</v>
      </c>
      <c r="C794" s="286" t="s">
        <v>1667</v>
      </c>
      <c r="D794" s="286" t="s">
        <v>1105</v>
      </c>
      <c r="E794" s="286" t="s">
        <v>1106</v>
      </c>
      <c r="F794" s="286" t="s">
        <v>1702</v>
      </c>
      <c r="G794" s="286" t="s">
        <v>1083</v>
      </c>
      <c r="H794" s="286" t="s">
        <v>1083</v>
      </c>
      <c r="I794" s="286" t="s">
        <v>1228</v>
      </c>
      <c r="J794" s="286" t="s">
        <v>1312</v>
      </c>
      <c r="K794" s="286" t="s">
        <v>53</v>
      </c>
      <c r="L794" s="286" t="s">
        <v>53</v>
      </c>
      <c r="M794" s="286" t="s">
        <v>53</v>
      </c>
      <c r="N794" s="287">
        <v>1894.63</v>
      </c>
      <c r="O794" s="287"/>
      <c r="P794" s="286" t="s">
        <v>58</v>
      </c>
    </row>
    <row r="795" spans="1:16" hidden="1" x14ac:dyDescent="0.15">
      <c r="A795" s="286">
        <v>201556</v>
      </c>
      <c r="B795" s="288">
        <v>45029.540972222225</v>
      </c>
      <c r="C795" s="286" t="s">
        <v>1657</v>
      </c>
      <c r="D795" s="286" t="s">
        <v>1105</v>
      </c>
      <c r="E795" s="286" t="s">
        <v>1106</v>
      </c>
      <c r="F795" s="286" t="s">
        <v>1722</v>
      </c>
      <c r="G795" s="286" t="s">
        <v>1083</v>
      </c>
      <c r="H795" s="286" t="s">
        <v>1083</v>
      </c>
      <c r="I795" s="286" t="s">
        <v>1228</v>
      </c>
      <c r="J795" s="286" t="s">
        <v>1312</v>
      </c>
      <c r="K795" s="286" t="s">
        <v>53</v>
      </c>
      <c r="L795" s="286" t="s">
        <v>53</v>
      </c>
      <c r="M795" s="286" t="s">
        <v>53</v>
      </c>
      <c r="N795" s="287">
        <v>1894.63</v>
      </c>
      <c r="O795" s="287"/>
      <c r="P795" s="286" t="s">
        <v>58</v>
      </c>
    </row>
    <row r="796" spans="1:16" hidden="1" x14ac:dyDescent="0.15">
      <c r="A796" s="286">
        <v>225409</v>
      </c>
      <c r="B796" s="288">
        <v>45058.522222222222</v>
      </c>
      <c r="C796" s="286" t="s">
        <v>1665</v>
      </c>
      <c r="D796" s="286" t="s">
        <v>1105</v>
      </c>
      <c r="E796" s="286" t="s">
        <v>1106</v>
      </c>
      <c r="F796" s="286" t="s">
        <v>1723</v>
      </c>
      <c r="G796" s="286" t="s">
        <v>1083</v>
      </c>
      <c r="H796" s="286" t="s">
        <v>1083</v>
      </c>
      <c r="I796" s="286" t="s">
        <v>1228</v>
      </c>
      <c r="J796" s="286" t="s">
        <v>1312</v>
      </c>
      <c r="K796" s="286" t="s">
        <v>53</v>
      </c>
      <c r="L796" s="286" t="s">
        <v>53</v>
      </c>
      <c r="M796" s="286" t="s">
        <v>53</v>
      </c>
      <c r="N796" s="287">
        <v>1894.63</v>
      </c>
      <c r="O796" s="287"/>
      <c r="P796" s="286" t="s">
        <v>58</v>
      </c>
    </row>
    <row r="797" spans="1:16" hidden="1" x14ac:dyDescent="0.15">
      <c r="A797" s="286">
        <v>454084</v>
      </c>
      <c r="B797" s="288">
        <v>45309.677083333336</v>
      </c>
      <c r="C797" s="286" t="s">
        <v>1632</v>
      </c>
      <c r="D797" s="286" t="s">
        <v>1105</v>
      </c>
      <c r="E797" s="286" t="s">
        <v>1106</v>
      </c>
      <c r="F797" s="286" t="s">
        <v>1729</v>
      </c>
      <c r="G797" s="286" t="s">
        <v>1028</v>
      </c>
      <c r="H797" s="286" t="s">
        <v>1028</v>
      </c>
      <c r="I797" s="286" t="s">
        <v>1112</v>
      </c>
      <c r="J797" s="286" t="s">
        <v>1312</v>
      </c>
      <c r="K797" s="286" t="s">
        <v>53</v>
      </c>
      <c r="L797" s="286" t="s">
        <v>53</v>
      </c>
      <c r="M797" s="286" t="s">
        <v>53</v>
      </c>
      <c r="N797" s="287">
        <v>1878.11</v>
      </c>
      <c r="O797" s="287"/>
      <c r="P797" s="286" t="s">
        <v>175</v>
      </c>
    </row>
    <row r="798" spans="1:16" hidden="1" x14ac:dyDescent="0.15">
      <c r="A798" s="286">
        <v>370270</v>
      </c>
      <c r="B798" s="288">
        <v>45208.668055555558</v>
      </c>
      <c r="C798" s="286" t="s">
        <v>1642</v>
      </c>
      <c r="D798" s="286" t="s">
        <v>1105</v>
      </c>
      <c r="E798" s="286" t="s">
        <v>1106</v>
      </c>
      <c r="F798" s="286" t="s">
        <v>1716</v>
      </c>
      <c r="G798" s="286" t="s">
        <v>1064</v>
      </c>
      <c r="H798" s="286" t="s">
        <v>1064</v>
      </c>
      <c r="I798" s="286" t="s">
        <v>1228</v>
      </c>
      <c r="J798" s="286" t="s">
        <v>53</v>
      </c>
      <c r="K798" s="286" t="s">
        <v>53</v>
      </c>
      <c r="L798" s="286" t="s">
        <v>53</v>
      </c>
      <c r="M798" s="286" t="s">
        <v>53</v>
      </c>
      <c r="N798" s="287">
        <v>1852.28</v>
      </c>
      <c r="O798" s="287"/>
      <c r="P798" s="286" t="s">
        <v>58</v>
      </c>
    </row>
    <row r="799" spans="1:16" hidden="1" x14ac:dyDescent="0.15">
      <c r="A799" s="286">
        <v>170399</v>
      </c>
      <c r="B799" s="288">
        <v>44986.614583333336</v>
      </c>
      <c r="C799" s="286" t="s">
        <v>1640</v>
      </c>
      <c r="D799" s="286" t="s">
        <v>1105</v>
      </c>
      <c r="E799" s="286" t="s">
        <v>1106</v>
      </c>
      <c r="F799" s="286" t="s">
        <v>1720</v>
      </c>
      <c r="G799" s="286" t="s">
        <v>1068</v>
      </c>
      <c r="H799" s="286" t="s">
        <v>1068</v>
      </c>
      <c r="I799" s="286" t="s">
        <v>1199</v>
      </c>
      <c r="J799" s="286" t="s">
        <v>1312</v>
      </c>
      <c r="K799" s="286" t="s">
        <v>53</v>
      </c>
      <c r="L799" s="286" t="s">
        <v>53</v>
      </c>
      <c r="M799" s="286" t="s">
        <v>53</v>
      </c>
      <c r="N799" s="287">
        <v>1849.5</v>
      </c>
      <c r="O799" s="287"/>
      <c r="P799" s="286" t="s">
        <v>58</v>
      </c>
    </row>
    <row r="800" spans="1:16" hidden="1" x14ac:dyDescent="0.15">
      <c r="A800" s="286">
        <v>170298</v>
      </c>
      <c r="B800" s="288">
        <v>44986.623611111114</v>
      </c>
      <c r="C800" s="286" t="s">
        <v>1638</v>
      </c>
      <c r="D800" s="286" t="s">
        <v>1105</v>
      </c>
      <c r="E800" s="286" t="s">
        <v>1106</v>
      </c>
      <c r="F800" s="286" t="s">
        <v>1721</v>
      </c>
      <c r="G800" s="286" t="s">
        <v>1068</v>
      </c>
      <c r="H800" s="286" t="s">
        <v>1068</v>
      </c>
      <c r="I800" s="286" t="s">
        <v>1199</v>
      </c>
      <c r="J800" s="286" t="s">
        <v>1312</v>
      </c>
      <c r="K800" s="286" t="s">
        <v>53</v>
      </c>
      <c r="L800" s="286" t="s">
        <v>53</v>
      </c>
      <c r="M800" s="286" t="s">
        <v>53</v>
      </c>
      <c r="N800" s="287">
        <v>1849.5</v>
      </c>
      <c r="O800" s="287"/>
      <c r="P800" s="286" t="s">
        <v>58</v>
      </c>
    </row>
    <row r="801" spans="1:16" hidden="1" x14ac:dyDescent="0.15">
      <c r="A801" s="286">
        <v>185846</v>
      </c>
      <c r="B801" s="288">
        <v>45005.724305555559</v>
      </c>
      <c r="C801" s="286" t="s">
        <v>1667</v>
      </c>
      <c r="D801" s="286" t="s">
        <v>1105</v>
      </c>
      <c r="E801" s="286" t="s">
        <v>1106</v>
      </c>
      <c r="F801" s="286" t="s">
        <v>1702</v>
      </c>
      <c r="G801" s="286" t="s">
        <v>1068</v>
      </c>
      <c r="H801" s="286" t="s">
        <v>1068</v>
      </c>
      <c r="I801" s="286" t="s">
        <v>1199</v>
      </c>
      <c r="J801" s="286" t="s">
        <v>1312</v>
      </c>
      <c r="K801" s="286" t="s">
        <v>53</v>
      </c>
      <c r="L801" s="286" t="s">
        <v>53</v>
      </c>
      <c r="M801" s="286" t="s">
        <v>53</v>
      </c>
      <c r="N801" s="287">
        <v>1849.5</v>
      </c>
      <c r="O801" s="287"/>
      <c r="P801" s="286" t="s">
        <v>58</v>
      </c>
    </row>
    <row r="802" spans="1:16" hidden="1" x14ac:dyDescent="0.15">
      <c r="A802" s="286">
        <v>201556</v>
      </c>
      <c r="B802" s="288">
        <v>45029.540972222225</v>
      </c>
      <c r="C802" s="286" t="s">
        <v>1657</v>
      </c>
      <c r="D802" s="286" t="s">
        <v>1105</v>
      </c>
      <c r="E802" s="286" t="s">
        <v>1106</v>
      </c>
      <c r="F802" s="286" t="s">
        <v>1722</v>
      </c>
      <c r="G802" s="286" t="s">
        <v>1068</v>
      </c>
      <c r="H802" s="286" t="s">
        <v>1068</v>
      </c>
      <c r="I802" s="286" t="s">
        <v>1199</v>
      </c>
      <c r="J802" s="286" t="s">
        <v>1312</v>
      </c>
      <c r="K802" s="286" t="s">
        <v>53</v>
      </c>
      <c r="L802" s="286" t="s">
        <v>53</v>
      </c>
      <c r="M802" s="286" t="s">
        <v>53</v>
      </c>
      <c r="N802" s="287">
        <v>1849.5</v>
      </c>
      <c r="O802" s="287"/>
      <c r="P802" s="286" t="s">
        <v>58</v>
      </c>
    </row>
    <row r="803" spans="1:16" hidden="1" x14ac:dyDescent="0.15">
      <c r="A803" s="286">
        <v>225409</v>
      </c>
      <c r="B803" s="288">
        <v>45058.522222222222</v>
      </c>
      <c r="C803" s="286" t="s">
        <v>1665</v>
      </c>
      <c r="D803" s="286" t="s">
        <v>1105</v>
      </c>
      <c r="E803" s="286" t="s">
        <v>1106</v>
      </c>
      <c r="F803" s="286" t="s">
        <v>1723</v>
      </c>
      <c r="G803" s="286" t="s">
        <v>1068</v>
      </c>
      <c r="H803" s="286" t="s">
        <v>1068</v>
      </c>
      <c r="I803" s="286" t="s">
        <v>1199</v>
      </c>
      <c r="J803" s="286" t="s">
        <v>1312</v>
      </c>
      <c r="K803" s="286" t="s">
        <v>53</v>
      </c>
      <c r="L803" s="286" t="s">
        <v>53</v>
      </c>
      <c r="M803" s="286" t="s">
        <v>53</v>
      </c>
      <c r="N803" s="287">
        <v>1849.5</v>
      </c>
      <c r="O803" s="287"/>
      <c r="P803" s="286" t="s">
        <v>58</v>
      </c>
    </row>
    <row r="804" spans="1:16" hidden="1" x14ac:dyDescent="0.15">
      <c r="A804" s="286">
        <v>170297</v>
      </c>
      <c r="B804" s="288">
        <v>44986.611111111109</v>
      </c>
      <c r="C804" s="286" t="s">
        <v>1640</v>
      </c>
      <c r="D804" s="286" t="s">
        <v>1105</v>
      </c>
      <c r="E804" s="286" t="s">
        <v>1106</v>
      </c>
      <c r="F804" s="286" t="s">
        <v>1746</v>
      </c>
      <c r="G804" s="286" t="s">
        <v>1058</v>
      </c>
      <c r="H804" s="286" t="s">
        <v>1058</v>
      </c>
      <c r="I804" s="286" t="s">
        <v>1152</v>
      </c>
      <c r="J804" s="286" t="s">
        <v>1312</v>
      </c>
      <c r="K804" s="286" t="s">
        <v>53</v>
      </c>
      <c r="L804" s="286" t="s">
        <v>53</v>
      </c>
      <c r="M804" s="286" t="s">
        <v>53</v>
      </c>
      <c r="N804" s="287">
        <v>1844.75</v>
      </c>
      <c r="O804" s="287"/>
      <c r="P804" s="286" t="s">
        <v>58</v>
      </c>
    </row>
    <row r="805" spans="1:16" hidden="1" x14ac:dyDescent="0.15">
      <c r="A805" s="286">
        <v>170298</v>
      </c>
      <c r="B805" s="288">
        <v>44986.623611111114</v>
      </c>
      <c r="C805" s="286" t="s">
        <v>1638</v>
      </c>
      <c r="D805" s="286" t="s">
        <v>1105</v>
      </c>
      <c r="E805" s="286" t="s">
        <v>1106</v>
      </c>
      <c r="F805" s="286" t="s">
        <v>1721</v>
      </c>
      <c r="G805" s="286" t="s">
        <v>1058</v>
      </c>
      <c r="H805" s="286" t="s">
        <v>1058</v>
      </c>
      <c r="I805" s="286" t="s">
        <v>1152</v>
      </c>
      <c r="J805" s="286" t="s">
        <v>1312</v>
      </c>
      <c r="K805" s="286" t="s">
        <v>53</v>
      </c>
      <c r="L805" s="286" t="s">
        <v>53</v>
      </c>
      <c r="M805" s="286" t="s">
        <v>53</v>
      </c>
      <c r="N805" s="287">
        <v>1844.75</v>
      </c>
      <c r="O805" s="287"/>
      <c r="P805" s="286" t="s">
        <v>58</v>
      </c>
    </row>
    <row r="806" spans="1:16" hidden="1" x14ac:dyDescent="0.15">
      <c r="A806" s="286">
        <v>185846</v>
      </c>
      <c r="B806" s="288">
        <v>45005.724305555559</v>
      </c>
      <c r="C806" s="286" t="s">
        <v>1667</v>
      </c>
      <c r="D806" s="286" t="s">
        <v>1105</v>
      </c>
      <c r="E806" s="286" t="s">
        <v>1106</v>
      </c>
      <c r="F806" s="286" t="s">
        <v>1702</v>
      </c>
      <c r="G806" s="286" t="s">
        <v>1058</v>
      </c>
      <c r="H806" s="286" t="s">
        <v>1058</v>
      </c>
      <c r="I806" s="286" t="s">
        <v>1152</v>
      </c>
      <c r="J806" s="286" t="s">
        <v>1312</v>
      </c>
      <c r="K806" s="286" t="s">
        <v>53</v>
      </c>
      <c r="L806" s="286" t="s">
        <v>53</v>
      </c>
      <c r="M806" s="286" t="s">
        <v>53</v>
      </c>
      <c r="N806" s="287">
        <v>1844.75</v>
      </c>
      <c r="O806" s="287"/>
      <c r="P806" s="286" t="s">
        <v>58</v>
      </c>
    </row>
    <row r="807" spans="1:16" hidden="1" x14ac:dyDescent="0.15">
      <c r="A807" s="286">
        <v>201556</v>
      </c>
      <c r="B807" s="288">
        <v>45029.540972222225</v>
      </c>
      <c r="C807" s="286" t="s">
        <v>1657</v>
      </c>
      <c r="D807" s="286" t="s">
        <v>1105</v>
      </c>
      <c r="E807" s="286" t="s">
        <v>1106</v>
      </c>
      <c r="F807" s="286" t="s">
        <v>1722</v>
      </c>
      <c r="G807" s="286" t="s">
        <v>1058</v>
      </c>
      <c r="H807" s="286" t="s">
        <v>1058</v>
      </c>
      <c r="I807" s="286" t="s">
        <v>1152</v>
      </c>
      <c r="J807" s="286" t="s">
        <v>1312</v>
      </c>
      <c r="K807" s="286" t="s">
        <v>53</v>
      </c>
      <c r="L807" s="286" t="s">
        <v>53</v>
      </c>
      <c r="M807" s="286" t="s">
        <v>53</v>
      </c>
      <c r="N807" s="287">
        <v>1844.75</v>
      </c>
      <c r="O807" s="287"/>
      <c r="P807" s="286" t="s">
        <v>58</v>
      </c>
    </row>
    <row r="808" spans="1:16" hidden="1" x14ac:dyDescent="0.15">
      <c r="A808" s="286">
        <v>225409</v>
      </c>
      <c r="B808" s="288">
        <v>45058.522222222222</v>
      </c>
      <c r="C808" s="286" t="s">
        <v>1665</v>
      </c>
      <c r="D808" s="286" t="s">
        <v>1105</v>
      </c>
      <c r="E808" s="286" t="s">
        <v>1106</v>
      </c>
      <c r="F808" s="286" t="s">
        <v>1723</v>
      </c>
      <c r="G808" s="286" t="s">
        <v>1058</v>
      </c>
      <c r="H808" s="286" t="s">
        <v>1058</v>
      </c>
      <c r="I808" s="286" t="s">
        <v>1152</v>
      </c>
      <c r="J808" s="286" t="s">
        <v>1312</v>
      </c>
      <c r="K808" s="286" t="s">
        <v>53</v>
      </c>
      <c r="L808" s="286" t="s">
        <v>53</v>
      </c>
      <c r="M808" s="286" t="s">
        <v>53</v>
      </c>
      <c r="N808" s="287">
        <v>1844.75</v>
      </c>
      <c r="O808" s="287"/>
      <c r="P808" s="286" t="s">
        <v>58</v>
      </c>
    </row>
    <row r="809" spans="1:16" hidden="1" x14ac:dyDescent="0.15">
      <c r="A809" s="286">
        <v>328287</v>
      </c>
      <c r="B809" s="288">
        <v>45161.62777777778</v>
      </c>
      <c r="C809" s="286" t="s">
        <v>1691</v>
      </c>
      <c r="D809" s="286" t="s">
        <v>1105</v>
      </c>
      <c r="E809" s="286" t="s">
        <v>1106</v>
      </c>
      <c r="F809" s="286" t="s">
        <v>1714</v>
      </c>
      <c r="G809" s="286" t="s">
        <v>1007</v>
      </c>
      <c r="H809" s="286" t="s">
        <v>1007</v>
      </c>
      <c r="I809" s="286" t="s">
        <v>1199</v>
      </c>
      <c r="J809" s="286" t="s">
        <v>1312</v>
      </c>
      <c r="K809" s="286" t="s">
        <v>1812</v>
      </c>
      <c r="L809" s="286" t="s">
        <v>672</v>
      </c>
      <c r="M809" s="286">
        <v>1</v>
      </c>
      <c r="N809" s="287">
        <v>1775.85</v>
      </c>
      <c r="O809" s="287"/>
      <c r="P809" s="286" t="s">
        <v>58</v>
      </c>
    </row>
    <row r="810" spans="1:16" hidden="1" x14ac:dyDescent="0.15">
      <c r="A810" s="286">
        <v>328287</v>
      </c>
      <c r="B810" s="288">
        <v>45161.62777777778</v>
      </c>
      <c r="C810" s="286" t="s">
        <v>1691</v>
      </c>
      <c r="D810" s="286" t="s">
        <v>1105</v>
      </c>
      <c r="E810" s="286" t="s">
        <v>1106</v>
      </c>
      <c r="F810" s="286" t="s">
        <v>1714</v>
      </c>
      <c r="G810" s="286" t="s">
        <v>1007</v>
      </c>
      <c r="H810" s="286" t="s">
        <v>1007</v>
      </c>
      <c r="I810" s="286" t="s">
        <v>1199</v>
      </c>
      <c r="J810" s="286" t="s">
        <v>1312</v>
      </c>
      <c r="K810" s="286" t="s">
        <v>1787</v>
      </c>
      <c r="L810" s="286" t="s">
        <v>672</v>
      </c>
      <c r="M810" s="286">
        <v>1</v>
      </c>
      <c r="N810" s="287">
        <v>1775.85</v>
      </c>
      <c r="O810" s="287"/>
      <c r="P810" s="286" t="s">
        <v>58</v>
      </c>
    </row>
    <row r="811" spans="1:16" hidden="1" x14ac:dyDescent="0.15">
      <c r="A811" s="286">
        <v>170499</v>
      </c>
      <c r="B811" s="288">
        <v>44986.615972222222</v>
      </c>
      <c r="C811" s="286" t="s">
        <v>1640</v>
      </c>
      <c r="D811" s="286" t="s">
        <v>1105</v>
      </c>
      <c r="E811" s="286" t="s">
        <v>1106</v>
      </c>
      <c r="F811" s="286" t="s">
        <v>1755</v>
      </c>
      <c r="G811" s="286" t="s">
        <v>1042</v>
      </c>
      <c r="H811" s="286" t="s">
        <v>1042</v>
      </c>
      <c r="I811" s="286" t="s">
        <v>1228</v>
      </c>
      <c r="J811" s="286" t="s">
        <v>1312</v>
      </c>
      <c r="K811" s="286" t="s">
        <v>53</v>
      </c>
      <c r="L811" s="286" t="s">
        <v>53</v>
      </c>
      <c r="M811" s="286" t="s">
        <v>53</v>
      </c>
      <c r="N811" s="287">
        <v>1761.83</v>
      </c>
      <c r="O811" s="287"/>
      <c r="P811" s="286" t="s">
        <v>58</v>
      </c>
    </row>
    <row r="812" spans="1:16" hidden="1" x14ac:dyDescent="0.15">
      <c r="A812" s="286">
        <v>170298</v>
      </c>
      <c r="B812" s="288">
        <v>44986.623611111114</v>
      </c>
      <c r="C812" s="286" t="s">
        <v>1638</v>
      </c>
      <c r="D812" s="286" t="s">
        <v>1105</v>
      </c>
      <c r="E812" s="286" t="s">
        <v>1106</v>
      </c>
      <c r="F812" s="286" t="s">
        <v>1721</v>
      </c>
      <c r="G812" s="286" t="s">
        <v>1042</v>
      </c>
      <c r="H812" s="286" t="s">
        <v>1042</v>
      </c>
      <c r="I812" s="286" t="s">
        <v>1228</v>
      </c>
      <c r="J812" s="286" t="s">
        <v>1312</v>
      </c>
      <c r="K812" s="286" t="s">
        <v>53</v>
      </c>
      <c r="L812" s="286" t="s">
        <v>53</v>
      </c>
      <c r="M812" s="286" t="s">
        <v>53</v>
      </c>
      <c r="N812" s="287">
        <v>1761.83</v>
      </c>
      <c r="O812" s="287"/>
      <c r="P812" s="286" t="s">
        <v>58</v>
      </c>
    </row>
    <row r="813" spans="1:16" hidden="1" x14ac:dyDescent="0.15">
      <c r="A813" s="286">
        <v>185846</v>
      </c>
      <c r="B813" s="288">
        <v>45005.724305555559</v>
      </c>
      <c r="C813" s="286" t="s">
        <v>1667</v>
      </c>
      <c r="D813" s="286" t="s">
        <v>1105</v>
      </c>
      <c r="E813" s="286" t="s">
        <v>1106</v>
      </c>
      <c r="F813" s="286" t="s">
        <v>1702</v>
      </c>
      <c r="G813" s="286" t="s">
        <v>1042</v>
      </c>
      <c r="H813" s="286" t="s">
        <v>1042</v>
      </c>
      <c r="I813" s="286" t="s">
        <v>1228</v>
      </c>
      <c r="J813" s="286" t="s">
        <v>1312</v>
      </c>
      <c r="K813" s="286" t="s">
        <v>53</v>
      </c>
      <c r="L813" s="286" t="s">
        <v>53</v>
      </c>
      <c r="M813" s="286" t="s">
        <v>53</v>
      </c>
      <c r="N813" s="287">
        <v>1761.83</v>
      </c>
      <c r="O813" s="287"/>
      <c r="P813" s="286" t="s">
        <v>58</v>
      </c>
    </row>
    <row r="814" spans="1:16" hidden="1" x14ac:dyDescent="0.15">
      <c r="A814" s="286">
        <v>201556</v>
      </c>
      <c r="B814" s="288">
        <v>45029.540972222225</v>
      </c>
      <c r="C814" s="286" t="s">
        <v>1657</v>
      </c>
      <c r="D814" s="286" t="s">
        <v>1105</v>
      </c>
      <c r="E814" s="286" t="s">
        <v>1106</v>
      </c>
      <c r="F814" s="286" t="s">
        <v>1722</v>
      </c>
      <c r="G814" s="286" t="s">
        <v>1042</v>
      </c>
      <c r="H814" s="286" t="s">
        <v>1042</v>
      </c>
      <c r="I814" s="286" t="s">
        <v>1228</v>
      </c>
      <c r="J814" s="286" t="s">
        <v>1312</v>
      </c>
      <c r="K814" s="286" t="s">
        <v>53</v>
      </c>
      <c r="L814" s="286" t="s">
        <v>53</v>
      </c>
      <c r="M814" s="286" t="s">
        <v>53</v>
      </c>
      <c r="N814" s="287">
        <v>1761.83</v>
      </c>
      <c r="O814" s="287"/>
      <c r="P814" s="286" t="s">
        <v>58</v>
      </c>
    </row>
    <row r="815" spans="1:16" hidden="1" x14ac:dyDescent="0.15">
      <c r="A815" s="286">
        <v>225409</v>
      </c>
      <c r="B815" s="288">
        <v>45058.522222222222</v>
      </c>
      <c r="C815" s="286" t="s">
        <v>1665</v>
      </c>
      <c r="D815" s="286" t="s">
        <v>1105</v>
      </c>
      <c r="E815" s="286" t="s">
        <v>1106</v>
      </c>
      <c r="F815" s="286" t="s">
        <v>1723</v>
      </c>
      <c r="G815" s="286" t="s">
        <v>1042</v>
      </c>
      <c r="H815" s="286" t="s">
        <v>1042</v>
      </c>
      <c r="I815" s="286" t="s">
        <v>1228</v>
      </c>
      <c r="J815" s="286" t="s">
        <v>1312</v>
      </c>
      <c r="K815" s="286" t="s">
        <v>53</v>
      </c>
      <c r="L815" s="286" t="s">
        <v>53</v>
      </c>
      <c r="M815" s="286" t="s">
        <v>53</v>
      </c>
      <c r="N815" s="287">
        <v>1761.83</v>
      </c>
      <c r="O815" s="287"/>
      <c r="P815" s="286" t="s">
        <v>58</v>
      </c>
    </row>
    <row r="816" spans="1:16" hidden="1" x14ac:dyDescent="0.15">
      <c r="A816" s="286">
        <v>170399</v>
      </c>
      <c r="B816" s="288">
        <v>44986.614583333336</v>
      </c>
      <c r="C816" s="286" t="s">
        <v>1640</v>
      </c>
      <c r="D816" s="286" t="s">
        <v>1105</v>
      </c>
      <c r="E816" s="286" t="s">
        <v>1106</v>
      </c>
      <c r="F816" s="286" t="s">
        <v>1720</v>
      </c>
      <c r="G816" s="286" t="s">
        <v>1012</v>
      </c>
      <c r="H816" s="286" t="s">
        <v>1012</v>
      </c>
      <c r="I816" s="286" t="s">
        <v>1199</v>
      </c>
      <c r="J816" s="286" t="s">
        <v>1312</v>
      </c>
      <c r="K816" s="286" t="s">
        <v>53</v>
      </c>
      <c r="L816" s="286" t="s">
        <v>53</v>
      </c>
      <c r="M816" s="286" t="s">
        <v>53</v>
      </c>
      <c r="N816" s="287">
        <v>1760.58</v>
      </c>
      <c r="O816" s="287"/>
      <c r="P816" s="286" t="s">
        <v>58</v>
      </c>
    </row>
    <row r="817" spans="1:16" hidden="1" x14ac:dyDescent="0.15">
      <c r="A817" s="286">
        <v>170298</v>
      </c>
      <c r="B817" s="288">
        <v>44986.623611111114</v>
      </c>
      <c r="C817" s="286" t="s">
        <v>1638</v>
      </c>
      <c r="D817" s="286" t="s">
        <v>1105</v>
      </c>
      <c r="E817" s="286" t="s">
        <v>1106</v>
      </c>
      <c r="F817" s="286" t="s">
        <v>1721</v>
      </c>
      <c r="G817" s="286" t="s">
        <v>1012</v>
      </c>
      <c r="H817" s="286" t="s">
        <v>1012</v>
      </c>
      <c r="I817" s="286" t="s">
        <v>1199</v>
      </c>
      <c r="J817" s="286" t="s">
        <v>1312</v>
      </c>
      <c r="K817" s="286" t="s">
        <v>53</v>
      </c>
      <c r="L817" s="286" t="s">
        <v>53</v>
      </c>
      <c r="M817" s="286" t="s">
        <v>53</v>
      </c>
      <c r="N817" s="287">
        <v>1760.58</v>
      </c>
      <c r="O817" s="287"/>
      <c r="P817" s="286" t="s">
        <v>58</v>
      </c>
    </row>
    <row r="818" spans="1:16" hidden="1" x14ac:dyDescent="0.15">
      <c r="A818" s="286">
        <v>185846</v>
      </c>
      <c r="B818" s="288">
        <v>45005.724305555559</v>
      </c>
      <c r="C818" s="286" t="s">
        <v>1667</v>
      </c>
      <c r="D818" s="286" t="s">
        <v>1105</v>
      </c>
      <c r="E818" s="286" t="s">
        <v>1106</v>
      </c>
      <c r="F818" s="286" t="s">
        <v>1702</v>
      </c>
      <c r="G818" s="286" t="s">
        <v>1012</v>
      </c>
      <c r="H818" s="286" t="s">
        <v>1012</v>
      </c>
      <c r="I818" s="286" t="s">
        <v>1199</v>
      </c>
      <c r="J818" s="286" t="s">
        <v>1312</v>
      </c>
      <c r="K818" s="286" t="s">
        <v>53</v>
      </c>
      <c r="L818" s="286" t="s">
        <v>53</v>
      </c>
      <c r="M818" s="286" t="s">
        <v>53</v>
      </c>
      <c r="N818" s="287">
        <v>1760.58</v>
      </c>
      <c r="O818" s="287"/>
      <c r="P818" s="286" t="s">
        <v>58</v>
      </c>
    </row>
    <row r="819" spans="1:16" hidden="1" x14ac:dyDescent="0.15">
      <c r="A819" s="286">
        <v>201556</v>
      </c>
      <c r="B819" s="288">
        <v>45029.540972222225</v>
      </c>
      <c r="C819" s="286" t="s">
        <v>1657</v>
      </c>
      <c r="D819" s="286" t="s">
        <v>1105</v>
      </c>
      <c r="E819" s="286" t="s">
        <v>1106</v>
      </c>
      <c r="F819" s="286" t="s">
        <v>1722</v>
      </c>
      <c r="G819" s="286" t="s">
        <v>1012</v>
      </c>
      <c r="H819" s="286" t="s">
        <v>1012</v>
      </c>
      <c r="I819" s="286" t="s">
        <v>1199</v>
      </c>
      <c r="J819" s="286" t="s">
        <v>1312</v>
      </c>
      <c r="K819" s="286" t="s">
        <v>53</v>
      </c>
      <c r="L819" s="286" t="s">
        <v>53</v>
      </c>
      <c r="M819" s="286" t="s">
        <v>53</v>
      </c>
      <c r="N819" s="287">
        <v>1760.58</v>
      </c>
      <c r="O819" s="287"/>
      <c r="P819" s="286" t="s">
        <v>58</v>
      </c>
    </row>
    <row r="820" spans="1:16" hidden="1" x14ac:dyDescent="0.15">
      <c r="A820" s="286">
        <v>225409</v>
      </c>
      <c r="B820" s="288">
        <v>45058.522222222222</v>
      </c>
      <c r="C820" s="286" t="s">
        <v>1665</v>
      </c>
      <c r="D820" s="286" t="s">
        <v>1105</v>
      </c>
      <c r="E820" s="286" t="s">
        <v>1106</v>
      </c>
      <c r="F820" s="286" t="s">
        <v>1723</v>
      </c>
      <c r="G820" s="286" t="s">
        <v>1012</v>
      </c>
      <c r="H820" s="286" t="s">
        <v>1012</v>
      </c>
      <c r="I820" s="286" t="s">
        <v>1199</v>
      </c>
      <c r="J820" s="286" t="s">
        <v>1312</v>
      </c>
      <c r="K820" s="286" t="s">
        <v>53</v>
      </c>
      <c r="L820" s="286" t="s">
        <v>53</v>
      </c>
      <c r="M820" s="286" t="s">
        <v>53</v>
      </c>
      <c r="N820" s="287">
        <v>1760.58</v>
      </c>
      <c r="O820" s="287"/>
      <c r="P820" s="286" t="s">
        <v>58</v>
      </c>
    </row>
    <row r="821" spans="1:16" hidden="1" x14ac:dyDescent="0.15">
      <c r="A821" s="286">
        <v>223494</v>
      </c>
      <c r="B821" s="288">
        <v>45056.619444444441</v>
      </c>
      <c r="C821" s="286" t="s">
        <v>1665</v>
      </c>
      <c r="D821" s="286" t="s">
        <v>1309</v>
      </c>
      <c r="E821" s="286" t="s">
        <v>1310</v>
      </c>
      <c r="F821" s="286" t="s">
        <v>1837</v>
      </c>
      <c r="G821" s="286" t="s">
        <v>1838</v>
      </c>
      <c r="H821" s="286" t="s">
        <v>1838</v>
      </c>
      <c r="I821" s="286" t="s">
        <v>1109</v>
      </c>
      <c r="J821" s="286" t="s">
        <v>1312</v>
      </c>
      <c r="K821" s="286" t="s">
        <v>1680</v>
      </c>
      <c r="L821" s="286" t="s">
        <v>53</v>
      </c>
      <c r="M821" s="286">
        <v>1</v>
      </c>
      <c r="N821" s="287">
        <v>1749</v>
      </c>
      <c r="O821" s="287"/>
      <c r="P821" s="286" t="s">
        <v>600</v>
      </c>
    </row>
    <row r="822" spans="1:16" hidden="1" x14ac:dyDescent="0.15">
      <c r="A822" s="286">
        <v>278788</v>
      </c>
      <c r="B822" s="288">
        <v>45118.57708333333</v>
      </c>
      <c r="C822" s="286" t="s">
        <v>1649</v>
      </c>
      <c r="D822" s="286" t="s">
        <v>1105</v>
      </c>
      <c r="E822" s="286" t="s">
        <v>1106</v>
      </c>
      <c r="F822" s="286" t="s">
        <v>1712</v>
      </c>
      <c r="G822" s="286" t="s">
        <v>1015</v>
      </c>
      <c r="H822" s="286" t="s">
        <v>1015</v>
      </c>
      <c r="I822" s="286" t="s">
        <v>1228</v>
      </c>
      <c r="J822" s="286" t="s">
        <v>53</v>
      </c>
      <c r="K822" s="286" t="s">
        <v>53</v>
      </c>
      <c r="L822" s="286" t="s">
        <v>53</v>
      </c>
      <c r="M822" s="286" t="s">
        <v>53</v>
      </c>
      <c r="N822" s="287">
        <v>1710.96</v>
      </c>
      <c r="O822" s="287"/>
      <c r="P822" s="286" t="s">
        <v>58</v>
      </c>
    </row>
    <row r="823" spans="1:16" hidden="1" x14ac:dyDescent="0.15">
      <c r="A823" s="286">
        <v>284271</v>
      </c>
      <c r="B823" s="288">
        <v>45121.682638888888</v>
      </c>
      <c r="C823" s="286" t="s">
        <v>1636</v>
      </c>
      <c r="D823" s="286" t="s">
        <v>1105</v>
      </c>
      <c r="E823" s="286" t="s">
        <v>1106</v>
      </c>
      <c r="F823" s="286" t="s">
        <v>1713</v>
      </c>
      <c r="G823" s="286" t="s">
        <v>1015</v>
      </c>
      <c r="H823" s="286" t="s">
        <v>1015</v>
      </c>
      <c r="I823" s="286" t="s">
        <v>1228</v>
      </c>
      <c r="J823" s="286" t="s">
        <v>53</v>
      </c>
      <c r="K823" s="286" t="s">
        <v>53</v>
      </c>
      <c r="L823" s="286" t="s">
        <v>53</v>
      </c>
      <c r="M823" s="286" t="s">
        <v>53</v>
      </c>
      <c r="N823" s="287">
        <v>1710.96</v>
      </c>
      <c r="O823" s="287"/>
      <c r="P823" s="286" t="s">
        <v>58</v>
      </c>
    </row>
    <row r="824" spans="1:16" hidden="1" x14ac:dyDescent="0.15">
      <c r="A824" s="286">
        <v>328287</v>
      </c>
      <c r="B824" s="288">
        <v>45161.62777777778</v>
      </c>
      <c r="C824" s="286" t="s">
        <v>1691</v>
      </c>
      <c r="D824" s="286" t="s">
        <v>1105</v>
      </c>
      <c r="E824" s="286" t="s">
        <v>1106</v>
      </c>
      <c r="F824" s="286" t="s">
        <v>1714</v>
      </c>
      <c r="G824" s="286" t="s">
        <v>1015</v>
      </c>
      <c r="H824" s="286" t="s">
        <v>1015</v>
      </c>
      <c r="I824" s="286" t="s">
        <v>1228</v>
      </c>
      <c r="J824" s="286" t="s">
        <v>53</v>
      </c>
      <c r="K824" s="286" t="s">
        <v>53</v>
      </c>
      <c r="L824" s="286" t="s">
        <v>53</v>
      </c>
      <c r="M824" s="286" t="s">
        <v>53</v>
      </c>
      <c r="N824" s="287">
        <v>1710.96</v>
      </c>
      <c r="O824" s="287"/>
      <c r="P824" s="286" t="s">
        <v>58</v>
      </c>
    </row>
    <row r="825" spans="1:16" hidden="1" x14ac:dyDescent="0.15">
      <c r="A825" s="286">
        <v>339870</v>
      </c>
      <c r="B825" s="288">
        <v>45177.481944444444</v>
      </c>
      <c r="C825" s="286" t="s">
        <v>1676</v>
      </c>
      <c r="D825" s="286" t="s">
        <v>1105</v>
      </c>
      <c r="E825" s="286" t="s">
        <v>1106</v>
      </c>
      <c r="F825" s="286" t="s">
        <v>1715</v>
      </c>
      <c r="G825" s="286" t="s">
        <v>1015</v>
      </c>
      <c r="H825" s="286" t="s">
        <v>1015</v>
      </c>
      <c r="I825" s="286" t="s">
        <v>1228</v>
      </c>
      <c r="J825" s="286" t="s">
        <v>53</v>
      </c>
      <c r="K825" s="286" t="s">
        <v>53</v>
      </c>
      <c r="L825" s="286" t="s">
        <v>53</v>
      </c>
      <c r="M825" s="286" t="s">
        <v>53</v>
      </c>
      <c r="N825" s="287">
        <v>1710.96</v>
      </c>
      <c r="O825" s="287"/>
      <c r="P825" s="286" t="s">
        <v>58</v>
      </c>
    </row>
    <row r="826" spans="1:16" hidden="1" x14ac:dyDescent="0.15">
      <c r="A826" s="286">
        <v>370270</v>
      </c>
      <c r="B826" s="288">
        <v>45208.668055555558</v>
      </c>
      <c r="C826" s="286" t="s">
        <v>1642</v>
      </c>
      <c r="D826" s="286" t="s">
        <v>1105</v>
      </c>
      <c r="E826" s="286" t="s">
        <v>1106</v>
      </c>
      <c r="F826" s="286" t="s">
        <v>1716</v>
      </c>
      <c r="G826" s="286" t="s">
        <v>1015</v>
      </c>
      <c r="H826" s="286" t="s">
        <v>1015</v>
      </c>
      <c r="I826" s="286" t="s">
        <v>1228</v>
      </c>
      <c r="J826" s="286" t="s">
        <v>53</v>
      </c>
      <c r="K826" s="286" t="s">
        <v>53</v>
      </c>
      <c r="L826" s="286" t="s">
        <v>53</v>
      </c>
      <c r="M826" s="286" t="s">
        <v>53</v>
      </c>
      <c r="N826" s="287">
        <v>1710.94</v>
      </c>
      <c r="O826" s="287"/>
      <c r="P826" s="286" t="s">
        <v>58</v>
      </c>
    </row>
    <row r="827" spans="1:16" hidden="1" x14ac:dyDescent="0.15">
      <c r="A827" s="286">
        <v>278788</v>
      </c>
      <c r="B827" s="288">
        <v>45118.57708333333</v>
      </c>
      <c r="C827" s="286" t="s">
        <v>1649</v>
      </c>
      <c r="D827" s="286" t="s">
        <v>1105</v>
      </c>
      <c r="E827" s="286" t="s">
        <v>1106</v>
      </c>
      <c r="F827" s="286" t="s">
        <v>1712</v>
      </c>
      <c r="G827" s="286" t="s">
        <v>1064</v>
      </c>
      <c r="H827" s="286" t="s">
        <v>1064</v>
      </c>
      <c r="I827" s="286" t="s">
        <v>1228</v>
      </c>
      <c r="J827" s="286" t="s">
        <v>53</v>
      </c>
      <c r="K827" s="286" t="s">
        <v>53</v>
      </c>
      <c r="L827" s="286" t="s">
        <v>53</v>
      </c>
      <c r="M827" s="286" t="s">
        <v>53</v>
      </c>
      <c r="N827" s="287">
        <v>1695.47</v>
      </c>
      <c r="O827" s="287"/>
      <c r="P827" s="286" t="s">
        <v>58</v>
      </c>
    </row>
    <row r="828" spans="1:16" hidden="1" x14ac:dyDescent="0.15">
      <c r="A828" s="286">
        <v>284271</v>
      </c>
      <c r="B828" s="288">
        <v>45121.682638888888</v>
      </c>
      <c r="C828" s="286" t="s">
        <v>1636</v>
      </c>
      <c r="D828" s="286" t="s">
        <v>1105</v>
      </c>
      <c r="E828" s="286" t="s">
        <v>1106</v>
      </c>
      <c r="F828" s="286" t="s">
        <v>1713</v>
      </c>
      <c r="G828" s="286" t="s">
        <v>1064</v>
      </c>
      <c r="H828" s="286" t="s">
        <v>1064</v>
      </c>
      <c r="I828" s="286" t="s">
        <v>1228</v>
      </c>
      <c r="J828" s="286" t="s">
        <v>53</v>
      </c>
      <c r="K828" s="286" t="s">
        <v>53</v>
      </c>
      <c r="L828" s="286" t="s">
        <v>53</v>
      </c>
      <c r="M828" s="286" t="s">
        <v>53</v>
      </c>
      <c r="N828" s="287">
        <v>1695.47</v>
      </c>
      <c r="O828" s="287"/>
      <c r="P828" s="286" t="s">
        <v>58</v>
      </c>
    </row>
    <row r="829" spans="1:16" hidden="1" x14ac:dyDescent="0.15">
      <c r="A829" s="286">
        <v>328287</v>
      </c>
      <c r="B829" s="288">
        <v>45161.62777777778</v>
      </c>
      <c r="C829" s="286" t="s">
        <v>1691</v>
      </c>
      <c r="D829" s="286" t="s">
        <v>1105</v>
      </c>
      <c r="E829" s="286" t="s">
        <v>1106</v>
      </c>
      <c r="F829" s="286" t="s">
        <v>1714</v>
      </c>
      <c r="G829" s="286" t="s">
        <v>1064</v>
      </c>
      <c r="H829" s="286" t="s">
        <v>1064</v>
      </c>
      <c r="I829" s="286" t="s">
        <v>1228</v>
      </c>
      <c r="J829" s="286" t="s">
        <v>53</v>
      </c>
      <c r="K829" s="286" t="s">
        <v>53</v>
      </c>
      <c r="L829" s="286" t="s">
        <v>53</v>
      </c>
      <c r="M829" s="286" t="s">
        <v>53</v>
      </c>
      <c r="N829" s="287">
        <v>1695.47</v>
      </c>
      <c r="O829" s="287"/>
      <c r="P829" s="286" t="s">
        <v>58</v>
      </c>
    </row>
    <row r="830" spans="1:16" hidden="1" x14ac:dyDescent="0.15">
      <c r="A830" s="286">
        <v>339870</v>
      </c>
      <c r="B830" s="288">
        <v>45177.481944444444</v>
      </c>
      <c r="C830" s="286" t="s">
        <v>1676</v>
      </c>
      <c r="D830" s="286" t="s">
        <v>1105</v>
      </c>
      <c r="E830" s="286" t="s">
        <v>1106</v>
      </c>
      <c r="F830" s="286" t="s">
        <v>1715</v>
      </c>
      <c r="G830" s="286" t="s">
        <v>1064</v>
      </c>
      <c r="H830" s="286" t="s">
        <v>1064</v>
      </c>
      <c r="I830" s="286" t="s">
        <v>1228</v>
      </c>
      <c r="J830" s="286" t="s">
        <v>53</v>
      </c>
      <c r="K830" s="286" t="s">
        <v>53</v>
      </c>
      <c r="L830" s="286" t="s">
        <v>53</v>
      </c>
      <c r="M830" s="286" t="s">
        <v>53</v>
      </c>
      <c r="N830" s="287">
        <v>1695.45</v>
      </c>
      <c r="O830" s="287"/>
      <c r="P830" s="286" t="s">
        <v>58</v>
      </c>
    </row>
    <row r="831" spans="1:16" hidden="1" x14ac:dyDescent="0.15">
      <c r="A831" s="286">
        <v>170499</v>
      </c>
      <c r="B831" s="288">
        <v>44986.615972222222</v>
      </c>
      <c r="C831" s="286" t="s">
        <v>1640</v>
      </c>
      <c r="D831" s="286" t="s">
        <v>1105</v>
      </c>
      <c r="E831" s="286" t="s">
        <v>1106</v>
      </c>
      <c r="F831" s="286" t="s">
        <v>1755</v>
      </c>
      <c r="G831" s="286" t="s">
        <v>1064</v>
      </c>
      <c r="H831" s="286" t="s">
        <v>1064</v>
      </c>
      <c r="I831" s="286" t="s">
        <v>1228</v>
      </c>
      <c r="J831" s="286" t="s">
        <v>1312</v>
      </c>
      <c r="K831" s="286" t="s">
        <v>53</v>
      </c>
      <c r="L831" s="286" t="s">
        <v>53</v>
      </c>
      <c r="M831" s="286" t="s">
        <v>53</v>
      </c>
      <c r="N831" s="287">
        <v>1682.5</v>
      </c>
      <c r="O831" s="287"/>
      <c r="P831" s="286" t="s">
        <v>58</v>
      </c>
    </row>
    <row r="832" spans="1:16" hidden="1" x14ac:dyDescent="0.15">
      <c r="A832" s="286">
        <v>170298</v>
      </c>
      <c r="B832" s="288">
        <v>44986.623611111114</v>
      </c>
      <c r="C832" s="286" t="s">
        <v>1638</v>
      </c>
      <c r="D832" s="286" t="s">
        <v>1105</v>
      </c>
      <c r="E832" s="286" t="s">
        <v>1106</v>
      </c>
      <c r="F832" s="286" t="s">
        <v>1721</v>
      </c>
      <c r="G832" s="286" t="s">
        <v>1064</v>
      </c>
      <c r="H832" s="286" t="s">
        <v>1064</v>
      </c>
      <c r="I832" s="286" t="s">
        <v>1228</v>
      </c>
      <c r="J832" s="286" t="s">
        <v>1312</v>
      </c>
      <c r="K832" s="286" t="s">
        <v>53</v>
      </c>
      <c r="L832" s="286" t="s">
        <v>53</v>
      </c>
      <c r="M832" s="286" t="s">
        <v>53</v>
      </c>
      <c r="N832" s="287">
        <v>1682.5</v>
      </c>
      <c r="O832" s="287"/>
      <c r="P832" s="286" t="s">
        <v>58</v>
      </c>
    </row>
    <row r="833" spans="1:16" hidden="1" x14ac:dyDescent="0.15">
      <c r="A833" s="286">
        <v>185846</v>
      </c>
      <c r="B833" s="288">
        <v>45005.724305555559</v>
      </c>
      <c r="C833" s="286" t="s">
        <v>1667</v>
      </c>
      <c r="D833" s="286" t="s">
        <v>1105</v>
      </c>
      <c r="E833" s="286" t="s">
        <v>1106</v>
      </c>
      <c r="F833" s="286" t="s">
        <v>1702</v>
      </c>
      <c r="G833" s="286" t="s">
        <v>1064</v>
      </c>
      <c r="H833" s="286" t="s">
        <v>1064</v>
      </c>
      <c r="I833" s="286" t="s">
        <v>1228</v>
      </c>
      <c r="J833" s="286" t="s">
        <v>1312</v>
      </c>
      <c r="K833" s="286" t="s">
        <v>53</v>
      </c>
      <c r="L833" s="286" t="s">
        <v>53</v>
      </c>
      <c r="M833" s="286" t="s">
        <v>53</v>
      </c>
      <c r="N833" s="287">
        <v>1682.5</v>
      </c>
      <c r="O833" s="287"/>
      <c r="P833" s="286" t="s">
        <v>58</v>
      </c>
    </row>
    <row r="834" spans="1:16" hidden="1" x14ac:dyDescent="0.15">
      <c r="A834" s="286">
        <v>201556</v>
      </c>
      <c r="B834" s="288">
        <v>45029.540972222225</v>
      </c>
      <c r="C834" s="286" t="s">
        <v>1657</v>
      </c>
      <c r="D834" s="286" t="s">
        <v>1105</v>
      </c>
      <c r="E834" s="286" t="s">
        <v>1106</v>
      </c>
      <c r="F834" s="286" t="s">
        <v>1722</v>
      </c>
      <c r="G834" s="286" t="s">
        <v>1064</v>
      </c>
      <c r="H834" s="286" t="s">
        <v>1064</v>
      </c>
      <c r="I834" s="286" t="s">
        <v>1228</v>
      </c>
      <c r="J834" s="286" t="s">
        <v>1312</v>
      </c>
      <c r="K834" s="286" t="s">
        <v>53</v>
      </c>
      <c r="L834" s="286" t="s">
        <v>53</v>
      </c>
      <c r="M834" s="286" t="s">
        <v>53</v>
      </c>
      <c r="N834" s="287">
        <v>1682.5</v>
      </c>
      <c r="O834" s="287"/>
      <c r="P834" s="286" t="s">
        <v>58</v>
      </c>
    </row>
    <row r="835" spans="1:16" hidden="1" x14ac:dyDescent="0.15">
      <c r="A835" s="286">
        <v>225409</v>
      </c>
      <c r="B835" s="288">
        <v>45058.522222222222</v>
      </c>
      <c r="C835" s="286" t="s">
        <v>1665</v>
      </c>
      <c r="D835" s="286" t="s">
        <v>1105</v>
      </c>
      <c r="E835" s="286" t="s">
        <v>1106</v>
      </c>
      <c r="F835" s="286" t="s">
        <v>1723</v>
      </c>
      <c r="G835" s="286" t="s">
        <v>1064</v>
      </c>
      <c r="H835" s="286" t="s">
        <v>1064</v>
      </c>
      <c r="I835" s="286" t="s">
        <v>1228</v>
      </c>
      <c r="J835" s="286" t="s">
        <v>1312</v>
      </c>
      <c r="K835" s="286" t="s">
        <v>53</v>
      </c>
      <c r="L835" s="286" t="s">
        <v>53</v>
      </c>
      <c r="M835" s="286" t="s">
        <v>53</v>
      </c>
      <c r="N835" s="287">
        <v>1682.5</v>
      </c>
      <c r="O835" s="287"/>
      <c r="P835" s="286" t="s">
        <v>58</v>
      </c>
    </row>
    <row r="836" spans="1:16" hidden="1" x14ac:dyDescent="0.15">
      <c r="A836" s="286">
        <v>455146</v>
      </c>
      <c r="B836" s="288">
        <v>45310.510416666664</v>
      </c>
      <c r="C836" s="286" t="s">
        <v>1632</v>
      </c>
      <c r="D836" s="286" t="s">
        <v>1105</v>
      </c>
      <c r="E836" s="286" t="s">
        <v>1106</v>
      </c>
      <c r="F836" s="286" t="s">
        <v>1725</v>
      </c>
      <c r="G836" s="286" t="s">
        <v>1015</v>
      </c>
      <c r="H836" s="286" t="s">
        <v>1015</v>
      </c>
      <c r="I836" s="286" t="s">
        <v>1228</v>
      </c>
      <c r="J836" s="286" t="s">
        <v>53</v>
      </c>
      <c r="K836" s="286" t="s">
        <v>53</v>
      </c>
      <c r="L836" s="286" t="s">
        <v>53</v>
      </c>
      <c r="M836" s="286" t="s">
        <v>53</v>
      </c>
      <c r="N836" s="287">
        <v>1667.24</v>
      </c>
      <c r="O836" s="287"/>
      <c r="P836" s="286" t="s">
        <v>58</v>
      </c>
    </row>
    <row r="837" spans="1:16" hidden="1" x14ac:dyDescent="0.15">
      <c r="A837" s="286">
        <v>278788</v>
      </c>
      <c r="B837" s="288">
        <v>45118.57708333333</v>
      </c>
      <c r="C837" s="286" t="s">
        <v>1649</v>
      </c>
      <c r="D837" s="286" t="s">
        <v>1105</v>
      </c>
      <c r="E837" s="286" t="s">
        <v>1106</v>
      </c>
      <c r="F837" s="286" t="s">
        <v>1712</v>
      </c>
      <c r="G837" s="286" t="s">
        <v>1042</v>
      </c>
      <c r="H837" s="286" t="s">
        <v>1042</v>
      </c>
      <c r="I837" s="286" t="s">
        <v>1228</v>
      </c>
      <c r="J837" s="286" t="s">
        <v>53</v>
      </c>
      <c r="K837" s="286" t="s">
        <v>53</v>
      </c>
      <c r="L837" s="286" t="s">
        <v>53</v>
      </c>
      <c r="M837" s="286" t="s">
        <v>53</v>
      </c>
      <c r="N837" s="287">
        <v>1640.79</v>
      </c>
      <c r="O837" s="287"/>
      <c r="P837" s="286" t="s">
        <v>58</v>
      </c>
    </row>
    <row r="838" spans="1:16" hidden="1" x14ac:dyDescent="0.15">
      <c r="A838" s="286">
        <v>284271</v>
      </c>
      <c r="B838" s="288">
        <v>45121.682638888888</v>
      </c>
      <c r="C838" s="286" t="s">
        <v>1636</v>
      </c>
      <c r="D838" s="286" t="s">
        <v>1105</v>
      </c>
      <c r="E838" s="286" t="s">
        <v>1106</v>
      </c>
      <c r="F838" s="286" t="s">
        <v>1713</v>
      </c>
      <c r="G838" s="286" t="s">
        <v>1042</v>
      </c>
      <c r="H838" s="286" t="s">
        <v>1042</v>
      </c>
      <c r="I838" s="286" t="s">
        <v>1228</v>
      </c>
      <c r="J838" s="286" t="s">
        <v>53</v>
      </c>
      <c r="K838" s="286" t="s">
        <v>53</v>
      </c>
      <c r="L838" s="286" t="s">
        <v>53</v>
      </c>
      <c r="M838" s="286" t="s">
        <v>53</v>
      </c>
      <c r="N838" s="287">
        <v>1640.79</v>
      </c>
      <c r="O838" s="287"/>
      <c r="P838" s="286" t="s">
        <v>58</v>
      </c>
    </row>
    <row r="839" spans="1:16" hidden="1" x14ac:dyDescent="0.15">
      <c r="A839" s="286">
        <v>328287</v>
      </c>
      <c r="B839" s="288">
        <v>45161.62777777778</v>
      </c>
      <c r="C839" s="286" t="s">
        <v>1691</v>
      </c>
      <c r="D839" s="286" t="s">
        <v>1105</v>
      </c>
      <c r="E839" s="286" t="s">
        <v>1106</v>
      </c>
      <c r="F839" s="286" t="s">
        <v>1714</v>
      </c>
      <c r="G839" s="286" t="s">
        <v>1042</v>
      </c>
      <c r="H839" s="286" t="s">
        <v>1042</v>
      </c>
      <c r="I839" s="286" t="s">
        <v>1228</v>
      </c>
      <c r="J839" s="286" t="s">
        <v>53</v>
      </c>
      <c r="K839" s="286" t="s">
        <v>53</v>
      </c>
      <c r="L839" s="286" t="s">
        <v>53</v>
      </c>
      <c r="M839" s="286" t="s">
        <v>53</v>
      </c>
      <c r="N839" s="287">
        <v>1640.79</v>
      </c>
      <c r="O839" s="287"/>
      <c r="P839" s="286" t="s">
        <v>58</v>
      </c>
    </row>
    <row r="840" spans="1:16" hidden="1" x14ac:dyDescent="0.15">
      <c r="A840" s="286">
        <v>339870</v>
      </c>
      <c r="B840" s="288">
        <v>45177.481944444444</v>
      </c>
      <c r="C840" s="286" t="s">
        <v>1676</v>
      </c>
      <c r="D840" s="286" t="s">
        <v>1105</v>
      </c>
      <c r="E840" s="286" t="s">
        <v>1106</v>
      </c>
      <c r="F840" s="286" t="s">
        <v>1715</v>
      </c>
      <c r="G840" s="286" t="s">
        <v>1042</v>
      </c>
      <c r="H840" s="286" t="s">
        <v>1042</v>
      </c>
      <c r="I840" s="286" t="s">
        <v>1228</v>
      </c>
      <c r="J840" s="286" t="s">
        <v>53</v>
      </c>
      <c r="K840" s="286" t="s">
        <v>53</v>
      </c>
      <c r="L840" s="286" t="s">
        <v>53</v>
      </c>
      <c r="M840" s="286" t="s">
        <v>53</v>
      </c>
      <c r="N840" s="287">
        <v>1640.79</v>
      </c>
      <c r="O840" s="287"/>
      <c r="P840" s="286" t="s">
        <v>58</v>
      </c>
    </row>
    <row r="841" spans="1:16" hidden="1" x14ac:dyDescent="0.15">
      <c r="A841" s="286">
        <v>278788</v>
      </c>
      <c r="B841" s="288">
        <v>45118.57708333333</v>
      </c>
      <c r="C841" s="286" t="s">
        <v>1649</v>
      </c>
      <c r="D841" s="286" t="s">
        <v>1105</v>
      </c>
      <c r="E841" s="286" t="s">
        <v>1106</v>
      </c>
      <c r="F841" s="286" t="s">
        <v>1712</v>
      </c>
      <c r="G841" s="286" t="s">
        <v>1068</v>
      </c>
      <c r="H841" s="286" t="s">
        <v>1068</v>
      </c>
      <c r="I841" s="286" t="s">
        <v>1199</v>
      </c>
      <c r="J841" s="286" t="s">
        <v>53</v>
      </c>
      <c r="K841" s="286" t="s">
        <v>53</v>
      </c>
      <c r="L841" s="286" t="s">
        <v>53</v>
      </c>
      <c r="M841" s="286" t="s">
        <v>53</v>
      </c>
      <c r="N841" s="287">
        <v>1607.8</v>
      </c>
      <c r="O841" s="287"/>
      <c r="P841" s="286" t="s">
        <v>58</v>
      </c>
    </row>
    <row r="842" spans="1:16" hidden="1" x14ac:dyDescent="0.15">
      <c r="A842" s="286">
        <v>284271</v>
      </c>
      <c r="B842" s="288">
        <v>45121.682638888888</v>
      </c>
      <c r="C842" s="286" t="s">
        <v>1636</v>
      </c>
      <c r="D842" s="286" t="s">
        <v>1105</v>
      </c>
      <c r="E842" s="286" t="s">
        <v>1106</v>
      </c>
      <c r="F842" s="286" t="s">
        <v>1713</v>
      </c>
      <c r="G842" s="286" t="s">
        <v>1068</v>
      </c>
      <c r="H842" s="286" t="s">
        <v>1068</v>
      </c>
      <c r="I842" s="286" t="s">
        <v>1199</v>
      </c>
      <c r="J842" s="286" t="s">
        <v>53</v>
      </c>
      <c r="K842" s="286" t="s">
        <v>53</v>
      </c>
      <c r="L842" s="286" t="s">
        <v>53</v>
      </c>
      <c r="M842" s="286" t="s">
        <v>53</v>
      </c>
      <c r="N842" s="287">
        <v>1607.8</v>
      </c>
      <c r="O842" s="287"/>
      <c r="P842" s="286" t="s">
        <v>58</v>
      </c>
    </row>
    <row r="843" spans="1:16" hidden="1" x14ac:dyDescent="0.15">
      <c r="A843" s="286">
        <v>328287</v>
      </c>
      <c r="B843" s="288">
        <v>45161.62777777778</v>
      </c>
      <c r="C843" s="286" t="s">
        <v>1691</v>
      </c>
      <c r="D843" s="286" t="s">
        <v>1105</v>
      </c>
      <c r="E843" s="286" t="s">
        <v>1106</v>
      </c>
      <c r="F843" s="286" t="s">
        <v>1714</v>
      </c>
      <c r="G843" s="286" t="s">
        <v>1068</v>
      </c>
      <c r="H843" s="286" t="s">
        <v>1068</v>
      </c>
      <c r="I843" s="286" t="s">
        <v>1199</v>
      </c>
      <c r="J843" s="286" t="s">
        <v>53</v>
      </c>
      <c r="K843" s="286" t="s">
        <v>53</v>
      </c>
      <c r="L843" s="286" t="s">
        <v>53</v>
      </c>
      <c r="M843" s="286" t="s">
        <v>53</v>
      </c>
      <c r="N843" s="287">
        <v>1607.8</v>
      </c>
      <c r="O843" s="287"/>
      <c r="P843" s="286" t="s">
        <v>58</v>
      </c>
    </row>
    <row r="844" spans="1:16" hidden="1" x14ac:dyDescent="0.15">
      <c r="A844" s="286">
        <v>339870</v>
      </c>
      <c r="B844" s="288">
        <v>45177.481944444444</v>
      </c>
      <c r="C844" s="286" t="s">
        <v>1676</v>
      </c>
      <c r="D844" s="286" t="s">
        <v>1105</v>
      </c>
      <c r="E844" s="286" t="s">
        <v>1106</v>
      </c>
      <c r="F844" s="286" t="s">
        <v>1715</v>
      </c>
      <c r="G844" s="286" t="s">
        <v>1068</v>
      </c>
      <c r="H844" s="286" t="s">
        <v>1068</v>
      </c>
      <c r="I844" s="286" t="s">
        <v>1199</v>
      </c>
      <c r="J844" s="286" t="s">
        <v>53</v>
      </c>
      <c r="K844" s="286" t="s">
        <v>53</v>
      </c>
      <c r="L844" s="286" t="s">
        <v>53</v>
      </c>
      <c r="M844" s="286" t="s">
        <v>53</v>
      </c>
      <c r="N844" s="287">
        <v>1607.8</v>
      </c>
      <c r="O844" s="287"/>
      <c r="P844" s="286" t="s">
        <v>58</v>
      </c>
    </row>
    <row r="845" spans="1:16" hidden="1" x14ac:dyDescent="0.15">
      <c r="A845" s="286">
        <v>370270</v>
      </c>
      <c r="B845" s="288">
        <v>45208.668055555558</v>
      </c>
      <c r="C845" s="286" t="s">
        <v>1642</v>
      </c>
      <c r="D845" s="286" t="s">
        <v>1105</v>
      </c>
      <c r="E845" s="286" t="s">
        <v>1106</v>
      </c>
      <c r="F845" s="286" t="s">
        <v>1716</v>
      </c>
      <c r="G845" s="286" t="s">
        <v>1068</v>
      </c>
      <c r="H845" s="286" t="s">
        <v>1068</v>
      </c>
      <c r="I845" s="286" t="s">
        <v>1199</v>
      </c>
      <c r="J845" s="286" t="s">
        <v>53</v>
      </c>
      <c r="K845" s="286" t="s">
        <v>53</v>
      </c>
      <c r="L845" s="286" t="s">
        <v>53</v>
      </c>
      <c r="M845" s="286" t="s">
        <v>53</v>
      </c>
      <c r="N845" s="287">
        <v>1607.8</v>
      </c>
      <c r="O845" s="287"/>
      <c r="P845" s="286" t="s">
        <v>58</v>
      </c>
    </row>
    <row r="846" spans="1:16" hidden="1" x14ac:dyDescent="0.15">
      <c r="A846" s="286">
        <v>170499</v>
      </c>
      <c r="B846" s="288">
        <v>44986.615972222222</v>
      </c>
      <c r="C846" s="286" t="s">
        <v>1640</v>
      </c>
      <c r="D846" s="286" t="s">
        <v>1105</v>
      </c>
      <c r="E846" s="286" t="s">
        <v>1106</v>
      </c>
      <c r="F846" s="286" t="s">
        <v>1755</v>
      </c>
      <c r="G846" s="286" t="s">
        <v>1015</v>
      </c>
      <c r="H846" s="286" t="s">
        <v>1015</v>
      </c>
      <c r="I846" s="286" t="s">
        <v>1228</v>
      </c>
      <c r="J846" s="286" t="s">
        <v>1312</v>
      </c>
      <c r="K846" s="286" t="s">
        <v>53</v>
      </c>
      <c r="L846" s="286" t="s">
        <v>53</v>
      </c>
      <c r="M846" s="286" t="s">
        <v>53</v>
      </c>
      <c r="N846" s="287">
        <v>1509.67</v>
      </c>
      <c r="O846" s="287"/>
      <c r="P846" s="286" t="s">
        <v>58</v>
      </c>
    </row>
    <row r="847" spans="1:16" hidden="1" x14ac:dyDescent="0.15">
      <c r="A847" s="286">
        <v>170298</v>
      </c>
      <c r="B847" s="288">
        <v>44986.623611111114</v>
      </c>
      <c r="C847" s="286" t="s">
        <v>1638</v>
      </c>
      <c r="D847" s="286" t="s">
        <v>1105</v>
      </c>
      <c r="E847" s="286" t="s">
        <v>1106</v>
      </c>
      <c r="F847" s="286" t="s">
        <v>1721</v>
      </c>
      <c r="G847" s="286" t="s">
        <v>1015</v>
      </c>
      <c r="H847" s="286" t="s">
        <v>1015</v>
      </c>
      <c r="I847" s="286" t="s">
        <v>1228</v>
      </c>
      <c r="J847" s="286" t="s">
        <v>1312</v>
      </c>
      <c r="K847" s="286" t="s">
        <v>53</v>
      </c>
      <c r="L847" s="286" t="s">
        <v>53</v>
      </c>
      <c r="M847" s="286" t="s">
        <v>53</v>
      </c>
      <c r="N847" s="287">
        <v>1509.67</v>
      </c>
      <c r="O847" s="287"/>
      <c r="P847" s="286" t="s">
        <v>58</v>
      </c>
    </row>
    <row r="848" spans="1:16" hidden="1" x14ac:dyDescent="0.15">
      <c r="A848" s="286">
        <v>185846</v>
      </c>
      <c r="B848" s="288">
        <v>45005.724305555559</v>
      </c>
      <c r="C848" s="286" t="s">
        <v>1667</v>
      </c>
      <c r="D848" s="286" t="s">
        <v>1105</v>
      </c>
      <c r="E848" s="286" t="s">
        <v>1106</v>
      </c>
      <c r="F848" s="286" t="s">
        <v>1702</v>
      </c>
      <c r="G848" s="286" t="s">
        <v>1015</v>
      </c>
      <c r="H848" s="286" t="s">
        <v>1015</v>
      </c>
      <c r="I848" s="286" t="s">
        <v>1228</v>
      </c>
      <c r="J848" s="286" t="s">
        <v>1312</v>
      </c>
      <c r="K848" s="286" t="s">
        <v>53</v>
      </c>
      <c r="L848" s="286" t="s">
        <v>53</v>
      </c>
      <c r="M848" s="286" t="s">
        <v>53</v>
      </c>
      <c r="N848" s="287">
        <v>1509.67</v>
      </c>
      <c r="O848" s="287"/>
      <c r="P848" s="286" t="s">
        <v>58</v>
      </c>
    </row>
    <row r="849" spans="1:16" hidden="1" x14ac:dyDescent="0.15">
      <c r="A849" s="286">
        <v>201556</v>
      </c>
      <c r="B849" s="288">
        <v>45029.540972222225</v>
      </c>
      <c r="C849" s="286" t="s">
        <v>1657</v>
      </c>
      <c r="D849" s="286" t="s">
        <v>1105</v>
      </c>
      <c r="E849" s="286" t="s">
        <v>1106</v>
      </c>
      <c r="F849" s="286" t="s">
        <v>1722</v>
      </c>
      <c r="G849" s="286" t="s">
        <v>1015</v>
      </c>
      <c r="H849" s="286" t="s">
        <v>1015</v>
      </c>
      <c r="I849" s="286" t="s">
        <v>1228</v>
      </c>
      <c r="J849" s="286" t="s">
        <v>1312</v>
      </c>
      <c r="K849" s="286" t="s">
        <v>53</v>
      </c>
      <c r="L849" s="286" t="s">
        <v>53</v>
      </c>
      <c r="M849" s="286" t="s">
        <v>53</v>
      </c>
      <c r="N849" s="287">
        <v>1509.67</v>
      </c>
      <c r="O849" s="287"/>
      <c r="P849" s="286" t="s">
        <v>58</v>
      </c>
    </row>
    <row r="850" spans="1:16" hidden="1" x14ac:dyDescent="0.15">
      <c r="A850" s="286">
        <v>225409</v>
      </c>
      <c r="B850" s="288">
        <v>45058.522222222222</v>
      </c>
      <c r="C850" s="286" t="s">
        <v>1665</v>
      </c>
      <c r="D850" s="286" t="s">
        <v>1105</v>
      </c>
      <c r="E850" s="286" t="s">
        <v>1106</v>
      </c>
      <c r="F850" s="286" t="s">
        <v>1723</v>
      </c>
      <c r="G850" s="286" t="s">
        <v>1015</v>
      </c>
      <c r="H850" s="286" t="s">
        <v>1015</v>
      </c>
      <c r="I850" s="286" t="s">
        <v>1228</v>
      </c>
      <c r="J850" s="286" t="s">
        <v>1312</v>
      </c>
      <c r="K850" s="286" t="s">
        <v>53</v>
      </c>
      <c r="L850" s="286" t="s">
        <v>53</v>
      </c>
      <c r="M850" s="286" t="s">
        <v>53</v>
      </c>
      <c r="N850" s="287">
        <v>1509.67</v>
      </c>
      <c r="O850" s="287"/>
      <c r="P850" s="286" t="s">
        <v>58</v>
      </c>
    </row>
    <row r="851" spans="1:16" hidden="1" x14ac:dyDescent="0.15">
      <c r="A851" s="286">
        <v>170298</v>
      </c>
      <c r="B851" s="288">
        <v>44986.623611111114</v>
      </c>
      <c r="C851" s="286" t="s">
        <v>1638</v>
      </c>
      <c r="D851" s="286" t="s">
        <v>1105</v>
      </c>
      <c r="E851" s="286" t="s">
        <v>1106</v>
      </c>
      <c r="F851" s="286" t="s">
        <v>1721</v>
      </c>
      <c r="G851" s="286" t="s">
        <v>1044</v>
      </c>
      <c r="H851" s="286" t="s">
        <v>1044</v>
      </c>
      <c r="I851" s="286" t="s">
        <v>1152</v>
      </c>
      <c r="J851" s="286" t="s">
        <v>1312</v>
      </c>
      <c r="K851" s="286" t="s">
        <v>53</v>
      </c>
      <c r="L851" s="286" t="s">
        <v>53</v>
      </c>
      <c r="M851" s="286" t="s">
        <v>53</v>
      </c>
      <c r="N851" s="287">
        <v>1476.79</v>
      </c>
      <c r="O851" s="287"/>
      <c r="P851" s="286" t="s">
        <v>58</v>
      </c>
    </row>
    <row r="852" spans="1:16" hidden="1" x14ac:dyDescent="0.15">
      <c r="A852" s="286">
        <v>433764</v>
      </c>
      <c r="B852" s="288">
        <v>45278.734722222223</v>
      </c>
      <c r="C852" s="286" t="s">
        <v>1632</v>
      </c>
      <c r="D852" s="286" t="s">
        <v>1105</v>
      </c>
      <c r="E852" s="286" t="s">
        <v>1106</v>
      </c>
      <c r="F852" s="286" t="s">
        <v>1801</v>
      </c>
      <c r="G852" s="286" t="s">
        <v>1036</v>
      </c>
      <c r="H852" s="286" t="s">
        <v>1036</v>
      </c>
      <c r="I852" s="286" t="s">
        <v>1152</v>
      </c>
      <c r="J852" s="286" t="s">
        <v>1312</v>
      </c>
      <c r="K852" s="286" t="s">
        <v>1839</v>
      </c>
      <c r="L852" s="286" t="s">
        <v>672</v>
      </c>
      <c r="M852" s="286">
        <v>1</v>
      </c>
      <c r="N852" s="287">
        <v>1457.11</v>
      </c>
      <c r="O852" s="287"/>
      <c r="P852" s="286" t="s">
        <v>58</v>
      </c>
    </row>
    <row r="853" spans="1:16" hidden="1" x14ac:dyDescent="0.15">
      <c r="A853" s="286">
        <v>455146</v>
      </c>
      <c r="B853" s="288">
        <v>45310.510416666664</v>
      </c>
      <c r="C853" s="286" t="s">
        <v>1632</v>
      </c>
      <c r="D853" s="286" t="s">
        <v>1105</v>
      </c>
      <c r="E853" s="286" t="s">
        <v>1106</v>
      </c>
      <c r="F853" s="286" t="s">
        <v>1725</v>
      </c>
      <c r="G853" s="286" t="s">
        <v>1316</v>
      </c>
      <c r="H853" s="286" t="s">
        <v>1316</v>
      </c>
      <c r="I853" s="286" t="s">
        <v>1199</v>
      </c>
      <c r="J853" s="286" t="s">
        <v>53</v>
      </c>
      <c r="K853" s="286" t="s">
        <v>53</v>
      </c>
      <c r="L853" s="286" t="s">
        <v>53</v>
      </c>
      <c r="M853" s="286" t="s">
        <v>53</v>
      </c>
      <c r="N853" s="287">
        <v>1452.27</v>
      </c>
      <c r="O853" s="287"/>
      <c r="P853" s="286" t="s">
        <v>58</v>
      </c>
    </row>
    <row r="854" spans="1:16" hidden="1" x14ac:dyDescent="0.15">
      <c r="A854" s="286">
        <v>370270</v>
      </c>
      <c r="B854" s="288">
        <v>45208.668055555558</v>
      </c>
      <c r="C854" s="286" t="s">
        <v>1642</v>
      </c>
      <c r="D854" s="286" t="s">
        <v>1105</v>
      </c>
      <c r="E854" s="286" t="s">
        <v>1106</v>
      </c>
      <c r="F854" s="286" t="s">
        <v>1716</v>
      </c>
      <c r="G854" s="286" t="s">
        <v>1042</v>
      </c>
      <c r="H854" s="286" t="s">
        <v>1042</v>
      </c>
      <c r="I854" s="286" t="s">
        <v>1228</v>
      </c>
      <c r="J854" s="286" t="s">
        <v>53</v>
      </c>
      <c r="K854" s="286" t="s">
        <v>53</v>
      </c>
      <c r="L854" s="286" t="s">
        <v>53</v>
      </c>
      <c r="M854" s="286" t="s">
        <v>53</v>
      </c>
      <c r="N854" s="287">
        <v>1430.66</v>
      </c>
      <c r="O854" s="287"/>
      <c r="P854" s="286" t="s">
        <v>58</v>
      </c>
    </row>
    <row r="855" spans="1:16" hidden="1" x14ac:dyDescent="0.15">
      <c r="A855" s="286">
        <v>278788</v>
      </c>
      <c r="B855" s="288">
        <v>45118.57708333333</v>
      </c>
      <c r="C855" s="286" t="s">
        <v>1649</v>
      </c>
      <c r="D855" s="286" t="s">
        <v>1105</v>
      </c>
      <c r="E855" s="286" t="s">
        <v>1106</v>
      </c>
      <c r="F855" s="286" t="s">
        <v>1712</v>
      </c>
      <c r="G855" s="286" t="s">
        <v>1064</v>
      </c>
      <c r="H855" s="286" t="s">
        <v>1064</v>
      </c>
      <c r="I855" s="286" t="s">
        <v>1228</v>
      </c>
      <c r="J855" s="286" t="s">
        <v>53</v>
      </c>
      <c r="K855" s="286" t="s">
        <v>53</v>
      </c>
      <c r="L855" s="286" t="s">
        <v>53</v>
      </c>
      <c r="M855" s="286" t="s">
        <v>53</v>
      </c>
      <c r="N855" s="287">
        <v>1405.93</v>
      </c>
      <c r="O855" s="287"/>
      <c r="P855" s="286" t="s">
        <v>58</v>
      </c>
    </row>
    <row r="856" spans="1:16" hidden="1" x14ac:dyDescent="0.15">
      <c r="A856" s="286">
        <v>284271</v>
      </c>
      <c r="B856" s="288">
        <v>45121.682638888888</v>
      </c>
      <c r="C856" s="286" t="s">
        <v>1636</v>
      </c>
      <c r="D856" s="286" t="s">
        <v>1105</v>
      </c>
      <c r="E856" s="286" t="s">
        <v>1106</v>
      </c>
      <c r="F856" s="286" t="s">
        <v>1713</v>
      </c>
      <c r="G856" s="286" t="s">
        <v>1064</v>
      </c>
      <c r="H856" s="286" t="s">
        <v>1064</v>
      </c>
      <c r="I856" s="286" t="s">
        <v>1228</v>
      </c>
      <c r="J856" s="286" t="s">
        <v>53</v>
      </c>
      <c r="K856" s="286" t="s">
        <v>53</v>
      </c>
      <c r="L856" s="286" t="s">
        <v>53</v>
      </c>
      <c r="M856" s="286" t="s">
        <v>53</v>
      </c>
      <c r="N856" s="287">
        <v>1405.93</v>
      </c>
      <c r="O856" s="287"/>
      <c r="P856" s="286" t="s">
        <v>58</v>
      </c>
    </row>
    <row r="857" spans="1:16" hidden="1" x14ac:dyDescent="0.15">
      <c r="A857" s="286">
        <v>328287</v>
      </c>
      <c r="B857" s="288">
        <v>45161.62777777778</v>
      </c>
      <c r="C857" s="286" t="s">
        <v>1691</v>
      </c>
      <c r="D857" s="286" t="s">
        <v>1105</v>
      </c>
      <c r="E857" s="286" t="s">
        <v>1106</v>
      </c>
      <c r="F857" s="286" t="s">
        <v>1714</v>
      </c>
      <c r="G857" s="286" t="s">
        <v>1064</v>
      </c>
      <c r="H857" s="286" t="s">
        <v>1064</v>
      </c>
      <c r="I857" s="286" t="s">
        <v>1228</v>
      </c>
      <c r="J857" s="286" t="s">
        <v>53</v>
      </c>
      <c r="K857" s="286" t="s">
        <v>53</v>
      </c>
      <c r="L857" s="286" t="s">
        <v>53</v>
      </c>
      <c r="M857" s="286" t="s">
        <v>53</v>
      </c>
      <c r="N857" s="287">
        <v>1405.93</v>
      </c>
      <c r="O857" s="287"/>
      <c r="P857" s="286" t="s">
        <v>58</v>
      </c>
    </row>
    <row r="858" spans="1:16" hidden="1" x14ac:dyDescent="0.15">
      <c r="A858" s="286">
        <v>339870</v>
      </c>
      <c r="B858" s="288">
        <v>45177.481944444444</v>
      </c>
      <c r="C858" s="286" t="s">
        <v>1676</v>
      </c>
      <c r="D858" s="286" t="s">
        <v>1105</v>
      </c>
      <c r="E858" s="286" t="s">
        <v>1106</v>
      </c>
      <c r="F858" s="286" t="s">
        <v>1715</v>
      </c>
      <c r="G858" s="286" t="s">
        <v>1064</v>
      </c>
      <c r="H858" s="286" t="s">
        <v>1064</v>
      </c>
      <c r="I858" s="286" t="s">
        <v>1228</v>
      </c>
      <c r="J858" s="286" t="s">
        <v>53</v>
      </c>
      <c r="K858" s="286" t="s">
        <v>53</v>
      </c>
      <c r="L858" s="286" t="s">
        <v>53</v>
      </c>
      <c r="M858" s="286" t="s">
        <v>53</v>
      </c>
      <c r="N858" s="287">
        <v>1405.91</v>
      </c>
      <c r="O858" s="287"/>
      <c r="P858" s="286" t="s">
        <v>58</v>
      </c>
    </row>
    <row r="859" spans="1:16" hidden="1" x14ac:dyDescent="0.15">
      <c r="A859" s="286">
        <v>328287</v>
      </c>
      <c r="B859" s="288">
        <v>45161.62777777778</v>
      </c>
      <c r="C859" s="286" t="s">
        <v>1691</v>
      </c>
      <c r="D859" s="286" t="s">
        <v>1105</v>
      </c>
      <c r="E859" s="286" t="s">
        <v>1106</v>
      </c>
      <c r="F859" s="286" t="s">
        <v>1714</v>
      </c>
      <c r="G859" s="286" t="s">
        <v>1002</v>
      </c>
      <c r="H859" s="286" t="s">
        <v>1002</v>
      </c>
      <c r="I859" s="286" t="s">
        <v>1129</v>
      </c>
      <c r="J859" s="286" t="s">
        <v>1312</v>
      </c>
      <c r="K859" s="286" t="s">
        <v>380</v>
      </c>
      <c r="L859" s="286" t="s">
        <v>1579</v>
      </c>
      <c r="M859" s="286">
        <v>1</v>
      </c>
      <c r="N859" s="287">
        <v>1360.2</v>
      </c>
      <c r="O859" s="287"/>
      <c r="P859" s="286" t="s">
        <v>164</v>
      </c>
    </row>
    <row r="860" spans="1:16" hidden="1" x14ac:dyDescent="0.15">
      <c r="A860" s="286">
        <v>370270</v>
      </c>
      <c r="B860" s="288">
        <v>45208.668055555558</v>
      </c>
      <c r="C860" s="286" t="s">
        <v>1642</v>
      </c>
      <c r="D860" s="286" t="s">
        <v>1105</v>
      </c>
      <c r="E860" s="286" t="s">
        <v>1106</v>
      </c>
      <c r="F860" s="286" t="s">
        <v>1716</v>
      </c>
      <c r="G860" s="286" t="s">
        <v>1064</v>
      </c>
      <c r="H860" s="286" t="s">
        <v>1064</v>
      </c>
      <c r="I860" s="286" t="s">
        <v>1228</v>
      </c>
      <c r="J860" s="286" t="s">
        <v>53</v>
      </c>
      <c r="K860" s="286" t="s">
        <v>53</v>
      </c>
      <c r="L860" s="286" t="s">
        <v>53</v>
      </c>
      <c r="M860" s="286" t="s">
        <v>53</v>
      </c>
      <c r="N860" s="287">
        <v>1334.14</v>
      </c>
      <c r="O860" s="287"/>
      <c r="P860" s="286" t="s">
        <v>58</v>
      </c>
    </row>
    <row r="861" spans="1:16" hidden="1" x14ac:dyDescent="0.15">
      <c r="A861" s="286">
        <v>437581</v>
      </c>
      <c r="B861" s="288">
        <v>45281.44027777778</v>
      </c>
      <c r="C861" s="286" t="s">
        <v>1632</v>
      </c>
      <c r="D861" s="286" t="s">
        <v>1105</v>
      </c>
      <c r="E861" s="286" t="s">
        <v>1106</v>
      </c>
      <c r="F861" s="286" t="s">
        <v>1741</v>
      </c>
      <c r="G861" s="286" t="s">
        <v>1072</v>
      </c>
      <c r="H861" s="286" t="s">
        <v>1072</v>
      </c>
      <c r="I861" s="286" t="s">
        <v>1301</v>
      </c>
      <c r="J861" s="286" t="s">
        <v>1312</v>
      </c>
      <c r="K861" s="286" t="s">
        <v>56</v>
      </c>
      <c r="L861" s="286" t="s">
        <v>71</v>
      </c>
      <c r="M861" s="286">
        <v>1</v>
      </c>
      <c r="N861" s="287">
        <v>1311</v>
      </c>
      <c r="O861" s="287"/>
      <c r="P861" s="286" t="s">
        <v>55</v>
      </c>
    </row>
    <row r="862" spans="1:16" hidden="1" x14ac:dyDescent="0.15">
      <c r="A862" s="286">
        <v>284271</v>
      </c>
      <c r="B862" s="288">
        <v>45121.682638888888</v>
      </c>
      <c r="C862" s="286" t="s">
        <v>1636</v>
      </c>
      <c r="D862" s="286" t="s">
        <v>1105</v>
      </c>
      <c r="E862" s="286" t="s">
        <v>1106</v>
      </c>
      <c r="F862" s="286" t="s">
        <v>1713</v>
      </c>
      <c r="G862" s="286" t="s">
        <v>1061</v>
      </c>
      <c r="H862" s="286" t="s">
        <v>1061</v>
      </c>
      <c r="I862" s="286" t="s">
        <v>1228</v>
      </c>
      <c r="J862" s="286" t="s">
        <v>53</v>
      </c>
      <c r="K862" s="286" t="s">
        <v>53</v>
      </c>
      <c r="L862" s="286" t="s">
        <v>53</v>
      </c>
      <c r="M862" s="286" t="s">
        <v>53</v>
      </c>
      <c r="N862" s="287">
        <v>1220.1500000000001</v>
      </c>
      <c r="O862" s="287"/>
      <c r="P862" s="286" t="s">
        <v>58</v>
      </c>
    </row>
    <row r="863" spans="1:16" hidden="1" x14ac:dyDescent="0.15">
      <c r="A863" s="286">
        <v>284271</v>
      </c>
      <c r="B863" s="288">
        <v>45121.682638888888</v>
      </c>
      <c r="C863" s="286" t="s">
        <v>1636</v>
      </c>
      <c r="D863" s="286" t="s">
        <v>1105</v>
      </c>
      <c r="E863" s="286" t="s">
        <v>1106</v>
      </c>
      <c r="F863" s="286" t="s">
        <v>1713</v>
      </c>
      <c r="G863" s="286" t="s">
        <v>1039</v>
      </c>
      <c r="H863" s="286" t="s">
        <v>1039</v>
      </c>
      <c r="I863" s="286" t="s">
        <v>1228</v>
      </c>
      <c r="J863" s="286" t="s">
        <v>53</v>
      </c>
      <c r="K863" s="286" t="s">
        <v>53</v>
      </c>
      <c r="L863" s="286" t="s">
        <v>53</v>
      </c>
      <c r="M863" s="286" t="s">
        <v>53</v>
      </c>
      <c r="N863" s="287">
        <v>1220.1500000000001</v>
      </c>
      <c r="O863" s="287"/>
      <c r="P863" s="286" t="s">
        <v>58</v>
      </c>
    </row>
    <row r="864" spans="1:16" hidden="1" x14ac:dyDescent="0.15">
      <c r="A864" s="286">
        <v>328287</v>
      </c>
      <c r="B864" s="288">
        <v>45161.62777777778</v>
      </c>
      <c r="C864" s="286" t="s">
        <v>1691</v>
      </c>
      <c r="D864" s="286" t="s">
        <v>1105</v>
      </c>
      <c r="E864" s="286" t="s">
        <v>1106</v>
      </c>
      <c r="F864" s="286" t="s">
        <v>1714</v>
      </c>
      <c r="G864" s="286" t="s">
        <v>1061</v>
      </c>
      <c r="H864" s="286" t="s">
        <v>1061</v>
      </c>
      <c r="I864" s="286" t="s">
        <v>1228</v>
      </c>
      <c r="J864" s="286" t="s">
        <v>53</v>
      </c>
      <c r="K864" s="286" t="s">
        <v>53</v>
      </c>
      <c r="L864" s="286" t="s">
        <v>53</v>
      </c>
      <c r="M864" s="286" t="s">
        <v>53</v>
      </c>
      <c r="N864" s="287">
        <v>1220.1500000000001</v>
      </c>
      <c r="O864" s="287"/>
      <c r="P864" s="286" t="s">
        <v>58</v>
      </c>
    </row>
    <row r="865" spans="1:16" hidden="1" x14ac:dyDescent="0.15">
      <c r="A865" s="286">
        <v>328287</v>
      </c>
      <c r="B865" s="288">
        <v>45161.62777777778</v>
      </c>
      <c r="C865" s="286" t="s">
        <v>1691</v>
      </c>
      <c r="D865" s="286" t="s">
        <v>1105</v>
      </c>
      <c r="E865" s="286" t="s">
        <v>1106</v>
      </c>
      <c r="F865" s="286" t="s">
        <v>1714</v>
      </c>
      <c r="G865" s="286" t="s">
        <v>1039</v>
      </c>
      <c r="H865" s="286" t="s">
        <v>1039</v>
      </c>
      <c r="I865" s="286" t="s">
        <v>1228</v>
      </c>
      <c r="J865" s="286" t="s">
        <v>53</v>
      </c>
      <c r="K865" s="286" t="s">
        <v>53</v>
      </c>
      <c r="L865" s="286" t="s">
        <v>53</v>
      </c>
      <c r="M865" s="286" t="s">
        <v>53</v>
      </c>
      <c r="N865" s="287">
        <v>1220.1500000000001</v>
      </c>
      <c r="O865" s="287"/>
      <c r="P865" s="286" t="s">
        <v>58</v>
      </c>
    </row>
    <row r="866" spans="1:16" hidden="1" x14ac:dyDescent="0.15">
      <c r="A866" s="286">
        <v>339870</v>
      </c>
      <c r="B866" s="288">
        <v>45177.481944444444</v>
      </c>
      <c r="C866" s="286" t="s">
        <v>1676</v>
      </c>
      <c r="D866" s="286" t="s">
        <v>1105</v>
      </c>
      <c r="E866" s="286" t="s">
        <v>1106</v>
      </c>
      <c r="F866" s="286" t="s">
        <v>1715</v>
      </c>
      <c r="G866" s="286" t="s">
        <v>1061</v>
      </c>
      <c r="H866" s="286" t="s">
        <v>1061</v>
      </c>
      <c r="I866" s="286" t="s">
        <v>1228</v>
      </c>
      <c r="J866" s="286" t="s">
        <v>53</v>
      </c>
      <c r="K866" s="286" t="s">
        <v>53</v>
      </c>
      <c r="L866" s="286" t="s">
        <v>53</v>
      </c>
      <c r="M866" s="286" t="s">
        <v>53</v>
      </c>
      <c r="N866" s="287">
        <v>1220.1500000000001</v>
      </c>
      <c r="O866" s="287"/>
      <c r="P866" s="286" t="s">
        <v>58</v>
      </c>
    </row>
    <row r="867" spans="1:16" hidden="1" x14ac:dyDescent="0.15">
      <c r="A867" s="286">
        <v>339870</v>
      </c>
      <c r="B867" s="288">
        <v>45177.481944444444</v>
      </c>
      <c r="C867" s="286" t="s">
        <v>1676</v>
      </c>
      <c r="D867" s="286" t="s">
        <v>1105</v>
      </c>
      <c r="E867" s="286" t="s">
        <v>1106</v>
      </c>
      <c r="F867" s="286" t="s">
        <v>1715</v>
      </c>
      <c r="G867" s="286" t="s">
        <v>1039</v>
      </c>
      <c r="H867" s="286" t="s">
        <v>1039</v>
      </c>
      <c r="I867" s="286" t="s">
        <v>1228</v>
      </c>
      <c r="J867" s="286" t="s">
        <v>53</v>
      </c>
      <c r="K867" s="286" t="s">
        <v>53</v>
      </c>
      <c r="L867" s="286" t="s">
        <v>53</v>
      </c>
      <c r="M867" s="286" t="s">
        <v>53</v>
      </c>
      <c r="N867" s="287">
        <v>1220.1500000000001</v>
      </c>
      <c r="O867" s="287"/>
      <c r="P867" s="286" t="s">
        <v>58</v>
      </c>
    </row>
    <row r="868" spans="1:16" hidden="1" x14ac:dyDescent="0.15">
      <c r="A868" s="286">
        <v>370270</v>
      </c>
      <c r="B868" s="288">
        <v>45208.668055555558</v>
      </c>
      <c r="C868" s="286" t="s">
        <v>1642</v>
      </c>
      <c r="D868" s="286" t="s">
        <v>1105</v>
      </c>
      <c r="E868" s="286" t="s">
        <v>1106</v>
      </c>
      <c r="F868" s="286" t="s">
        <v>1716</v>
      </c>
      <c r="G868" s="286" t="s">
        <v>1039</v>
      </c>
      <c r="H868" s="286" t="s">
        <v>1039</v>
      </c>
      <c r="I868" s="286" t="s">
        <v>1228</v>
      </c>
      <c r="J868" s="286" t="s">
        <v>53</v>
      </c>
      <c r="K868" s="286" t="s">
        <v>53</v>
      </c>
      <c r="L868" s="286" t="s">
        <v>53</v>
      </c>
      <c r="M868" s="286" t="s">
        <v>53</v>
      </c>
      <c r="N868" s="287">
        <v>1220.1500000000001</v>
      </c>
      <c r="O868" s="287"/>
      <c r="P868" s="286" t="s">
        <v>58</v>
      </c>
    </row>
    <row r="869" spans="1:16" hidden="1" x14ac:dyDescent="0.15">
      <c r="A869" s="286">
        <v>370270</v>
      </c>
      <c r="B869" s="288">
        <v>45208.668055555558</v>
      </c>
      <c r="C869" s="286" t="s">
        <v>1642</v>
      </c>
      <c r="D869" s="286" t="s">
        <v>1105</v>
      </c>
      <c r="E869" s="286" t="s">
        <v>1106</v>
      </c>
      <c r="F869" s="286" t="s">
        <v>1716</v>
      </c>
      <c r="G869" s="286" t="s">
        <v>1061</v>
      </c>
      <c r="H869" s="286" t="s">
        <v>1061</v>
      </c>
      <c r="I869" s="286" t="s">
        <v>1228</v>
      </c>
      <c r="J869" s="286" t="s">
        <v>53</v>
      </c>
      <c r="K869" s="286" t="s">
        <v>53</v>
      </c>
      <c r="L869" s="286" t="s">
        <v>53</v>
      </c>
      <c r="M869" s="286" t="s">
        <v>53</v>
      </c>
      <c r="N869" s="287">
        <v>1220.1500000000001</v>
      </c>
      <c r="O869" s="287"/>
      <c r="P869" s="286" t="s">
        <v>58</v>
      </c>
    </row>
    <row r="870" spans="1:16" hidden="1" x14ac:dyDescent="0.15">
      <c r="A870" s="286">
        <v>402221</v>
      </c>
      <c r="B870" s="288">
        <v>45243.579861111109</v>
      </c>
      <c r="C870" s="286" t="s">
        <v>1654</v>
      </c>
      <c r="D870" s="286" t="s">
        <v>1105</v>
      </c>
      <c r="E870" s="286" t="s">
        <v>1106</v>
      </c>
      <c r="F870" s="286" t="s">
        <v>1724</v>
      </c>
      <c r="G870" s="286" t="s">
        <v>1061</v>
      </c>
      <c r="H870" s="286" t="s">
        <v>1061</v>
      </c>
      <c r="I870" s="286" t="s">
        <v>1228</v>
      </c>
      <c r="J870" s="286" t="s">
        <v>53</v>
      </c>
      <c r="K870" s="286" t="s">
        <v>53</v>
      </c>
      <c r="L870" s="286" t="s">
        <v>53</v>
      </c>
      <c r="M870" s="286" t="s">
        <v>53</v>
      </c>
      <c r="N870" s="287">
        <v>1220.1500000000001</v>
      </c>
      <c r="O870" s="287"/>
      <c r="P870" s="286" t="s">
        <v>58</v>
      </c>
    </row>
    <row r="871" spans="1:16" hidden="1" x14ac:dyDescent="0.15">
      <c r="A871" s="286">
        <v>402221</v>
      </c>
      <c r="B871" s="288">
        <v>45243.579861111109</v>
      </c>
      <c r="C871" s="286" t="s">
        <v>1654</v>
      </c>
      <c r="D871" s="286" t="s">
        <v>1105</v>
      </c>
      <c r="E871" s="286" t="s">
        <v>1106</v>
      </c>
      <c r="F871" s="286" t="s">
        <v>1724</v>
      </c>
      <c r="G871" s="286" t="s">
        <v>1039</v>
      </c>
      <c r="H871" s="286" t="s">
        <v>1039</v>
      </c>
      <c r="I871" s="286" t="s">
        <v>1228</v>
      </c>
      <c r="J871" s="286" t="s">
        <v>53</v>
      </c>
      <c r="K871" s="286" t="s">
        <v>53</v>
      </c>
      <c r="L871" s="286" t="s">
        <v>53</v>
      </c>
      <c r="M871" s="286" t="s">
        <v>53</v>
      </c>
      <c r="N871" s="287">
        <v>1220.1500000000001</v>
      </c>
      <c r="O871" s="287"/>
      <c r="P871" s="286" t="s">
        <v>58</v>
      </c>
    </row>
    <row r="872" spans="1:16" hidden="1" x14ac:dyDescent="0.15">
      <c r="A872" s="286">
        <v>455146</v>
      </c>
      <c r="B872" s="288">
        <v>45310.510416666664</v>
      </c>
      <c r="C872" s="286" t="s">
        <v>1632</v>
      </c>
      <c r="D872" s="286" t="s">
        <v>1105</v>
      </c>
      <c r="E872" s="286" t="s">
        <v>1106</v>
      </c>
      <c r="F872" s="286" t="s">
        <v>1725</v>
      </c>
      <c r="G872" s="286" t="s">
        <v>1061</v>
      </c>
      <c r="H872" s="286" t="s">
        <v>1061</v>
      </c>
      <c r="I872" s="286" t="s">
        <v>1228</v>
      </c>
      <c r="J872" s="286" t="s">
        <v>53</v>
      </c>
      <c r="K872" s="286" t="s">
        <v>53</v>
      </c>
      <c r="L872" s="286" t="s">
        <v>53</v>
      </c>
      <c r="M872" s="286" t="s">
        <v>53</v>
      </c>
      <c r="N872" s="287">
        <v>1220.1500000000001</v>
      </c>
      <c r="O872" s="287"/>
      <c r="P872" s="286" t="s">
        <v>58</v>
      </c>
    </row>
    <row r="873" spans="1:16" hidden="1" x14ac:dyDescent="0.15">
      <c r="A873" s="286">
        <v>455146</v>
      </c>
      <c r="B873" s="288">
        <v>45310.510416666664</v>
      </c>
      <c r="C873" s="286" t="s">
        <v>1632</v>
      </c>
      <c r="D873" s="286" t="s">
        <v>1105</v>
      </c>
      <c r="E873" s="286" t="s">
        <v>1106</v>
      </c>
      <c r="F873" s="286" t="s">
        <v>1725</v>
      </c>
      <c r="G873" s="286" t="s">
        <v>1039</v>
      </c>
      <c r="H873" s="286" t="s">
        <v>1039</v>
      </c>
      <c r="I873" s="286" t="s">
        <v>1228</v>
      </c>
      <c r="J873" s="286" t="s">
        <v>53</v>
      </c>
      <c r="K873" s="286" t="s">
        <v>53</v>
      </c>
      <c r="L873" s="286" t="s">
        <v>53</v>
      </c>
      <c r="M873" s="286" t="s">
        <v>53</v>
      </c>
      <c r="N873" s="287">
        <v>1220.1500000000001</v>
      </c>
      <c r="O873" s="287"/>
      <c r="P873" s="286" t="s">
        <v>58</v>
      </c>
    </row>
    <row r="874" spans="1:16" hidden="1" x14ac:dyDescent="0.15">
      <c r="A874" s="286">
        <v>284271</v>
      </c>
      <c r="B874" s="288">
        <v>45121.682638888888</v>
      </c>
      <c r="C874" s="286" t="s">
        <v>1636</v>
      </c>
      <c r="D874" s="286" t="s">
        <v>1105</v>
      </c>
      <c r="E874" s="286" t="s">
        <v>1106</v>
      </c>
      <c r="F874" s="286" t="s">
        <v>1713</v>
      </c>
      <c r="G874" s="286" t="s">
        <v>1840</v>
      </c>
      <c r="H874" s="286" t="s">
        <v>1840</v>
      </c>
      <c r="I874" s="286" t="s">
        <v>1228</v>
      </c>
      <c r="J874" s="286" t="s">
        <v>53</v>
      </c>
      <c r="K874" s="286" t="s">
        <v>53</v>
      </c>
      <c r="L874" s="286" t="s">
        <v>53</v>
      </c>
      <c r="M874" s="286" t="s">
        <v>53</v>
      </c>
      <c r="N874" s="287">
        <v>1219.73</v>
      </c>
      <c r="O874" s="287"/>
      <c r="P874" s="286" t="s">
        <v>58</v>
      </c>
    </row>
    <row r="875" spans="1:16" hidden="1" x14ac:dyDescent="0.15">
      <c r="A875" s="286">
        <v>328287</v>
      </c>
      <c r="B875" s="288">
        <v>45161.62777777778</v>
      </c>
      <c r="C875" s="286" t="s">
        <v>1691</v>
      </c>
      <c r="D875" s="286" t="s">
        <v>1105</v>
      </c>
      <c r="E875" s="286" t="s">
        <v>1106</v>
      </c>
      <c r="F875" s="286" t="s">
        <v>1714</v>
      </c>
      <c r="G875" s="286" t="s">
        <v>1840</v>
      </c>
      <c r="H875" s="286" t="s">
        <v>1840</v>
      </c>
      <c r="I875" s="286" t="s">
        <v>1228</v>
      </c>
      <c r="J875" s="286" t="s">
        <v>53</v>
      </c>
      <c r="K875" s="286" t="s">
        <v>53</v>
      </c>
      <c r="L875" s="286" t="s">
        <v>53</v>
      </c>
      <c r="M875" s="286" t="s">
        <v>53</v>
      </c>
      <c r="N875" s="287">
        <v>1219.73</v>
      </c>
      <c r="O875" s="287"/>
      <c r="P875" s="286" t="s">
        <v>58</v>
      </c>
    </row>
    <row r="876" spans="1:16" hidden="1" x14ac:dyDescent="0.15">
      <c r="A876" s="286">
        <v>339870</v>
      </c>
      <c r="B876" s="288">
        <v>45177.481944444444</v>
      </c>
      <c r="C876" s="286" t="s">
        <v>1676</v>
      </c>
      <c r="D876" s="286" t="s">
        <v>1105</v>
      </c>
      <c r="E876" s="286" t="s">
        <v>1106</v>
      </c>
      <c r="F876" s="286" t="s">
        <v>1715</v>
      </c>
      <c r="G876" s="286" t="s">
        <v>1840</v>
      </c>
      <c r="H876" s="286" t="s">
        <v>1840</v>
      </c>
      <c r="I876" s="286" t="s">
        <v>1228</v>
      </c>
      <c r="J876" s="286" t="s">
        <v>53</v>
      </c>
      <c r="K876" s="286" t="s">
        <v>53</v>
      </c>
      <c r="L876" s="286" t="s">
        <v>53</v>
      </c>
      <c r="M876" s="286" t="s">
        <v>53</v>
      </c>
      <c r="N876" s="287">
        <v>1219.73</v>
      </c>
      <c r="O876" s="287"/>
      <c r="P876" s="286" t="s">
        <v>58</v>
      </c>
    </row>
    <row r="877" spans="1:16" hidden="1" x14ac:dyDescent="0.15">
      <c r="A877" s="286">
        <v>370270</v>
      </c>
      <c r="B877" s="288">
        <v>45208.668055555558</v>
      </c>
      <c r="C877" s="286" t="s">
        <v>1642</v>
      </c>
      <c r="D877" s="286" t="s">
        <v>1105</v>
      </c>
      <c r="E877" s="286" t="s">
        <v>1106</v>
      </c>
      <c r="F877" s="286" t="s">
        <v>1716</v>
      </c>
      <c r="G877" s="286" t="s">
        <v>1840</v>
      </c>
      <c r="H877" s="286" t="s">
        <v>1840</v>
      </c>
      <c r="I877" s="286" t="s">
        <v>1228</v>
      </c>
      <c r="J877" s="286" t="s">
        <v>53</v>
      </c>
      <c r="K877" s="286" t="s">
        <v>53</v>
      </c>
      <c r="L877" s="286" t="s">
        <v>53</v>
      </c>
      <c r="M877" s="286" t="s">
        <v>53</v>
      </c>
      <c r="N877" s="287">
        <v>1219.73</v>
      </c>
      <c r="O877" s="287"/>
      <c r="P877" s="286" t="s">
        <v>58</v>
      </c>
    </row>
    <row r="878" spans="1:16" hidden="1" x14ac:dyDescent="0.15">
      <c r="A878" s="286">
        <v>402221</v>
      </c>
      <c r="B878" s="288">
        <v>45243.579861111109</v>
      </c>
      <c r="C878" s="286" t="s">
        <v>1654</v>
      </c>
      <c r="D878" s="286" t="s">
        <v>1105</v>
      </c>
      <c r="E878" s="286" t="s">
        <v>1106</v>
      </c>
      <c r="F878" s="286" t="s">
        <v>1724</v>
      </c>
      <c r="G878" s="286" t="s">
        <v>1840</v>
      </c>
      <c r="H878" s="286" t="s">
        <v>1840</v>
      </c>
      <c r="I878" s="286" t="s">
        <v>1228</v>
      </c>
      <c r="J878" s="286" t="s">
        <v>53</v>
      </c>
      <c r="K878" s="286" t="s">
        <v>53</v>
      </c>
      <c r="L878" s="286" t="s">
        <v>53</v>
      </c>
      <c r="M878" s="286" t="s">
        <v>53</v>
      </c>
      <c r="N878" s="287">
        <v>1219.73</v>
      </c>
      <c r="O878" s="287"/>
      <c r="P878" s="286" t="s">
        <v>58</v>
      </c>
    </row>
    <row r="879" spans="1:16" hidden="1" x14ac:dyDescent="0.15">
      <c r="A879" s="286">
        <v>455146</v>
      </c>
      <c r="B879" s="288">
        <v>45310.510416666664</v>
      </c>
      <c r="C879" s="286" t="s">
        <v>1632</v>
      </c>
      <c r="D879" s="286" t="s">
        <v>1105</v>
      </c>
      <c r="E879" s="286" t="s">
        <v>1106</v>
      </c>
      <c r="F879" s="286" t="s">
        <v>1725</v>
      </c>
      <c r="G879" s="286" t="s">
        <v>1840</v>
      </c>
      <c r="H879" s="286" t="s">
        <v>1840</v>
      </c>
      <c r="I879" s="286" t="s">
        <v>1228</v>
      </c>
      <c r="J879" s="286" t="s">
        <v>53</v>
      </c>
      <c r="K879" s="286" t="s">
        <v>53</v>
      </c>
      <c r="L879" s="286" t="s">
        <v>53</v>
      </c>
      <c r="M879" s="286" t="s">
        <v>53</v>
      </c>
      <c r="N879" s="287">
        <v>1219.73</v>
      </c>
      <c r="O879" s="287"/>
      <c r="P879" s="286" t="s">
        <v>58</v>
      </c>
    </row>
    <row r="880" spans="1:16" hidden="1" x14ac:dyDescent="0.15">
      <c r="A880" s="286">
        <v>402221</v>
      </c>
      <c r="B880" s="288">
        <v>45243.579861111109</v>
      </c>
      <c r="C880" s="286" t="s">
        <v>1654</v>
      </c>
      <c r="D880" s="286" t="s">
        <v>1105</v>
      </c>
      <c r="E880" s="286" t="s">
        <v>1106</v>
      </c>
      <c r="F880" s="286" t="s">
        <v>1724</v>
      </c>
      <c r="G880" s="286" t="s">
        <v>1068</v>
      </c>
      <c r="H880" s="286" t="s">
        <v>1068</v>
      </c>
      <c r="I880" s="286" t="s">
        <v>1199</v>
      </c>
      <c r="J880" s="286" t="s">
        <v>53</v>
      </c>
      <c r="K880" s="286" t="s">
        <v>53</v>
      </c>
      <c r="L880" s="286" t="s">
        <v>53</v>
      </c>
      <c r="M880" s="286" t="s">
        <v>53</v>
      </c>
      <c r="N880" s="287">
        <v>1208.5</v>
      </c>
      <c r="O880" s="287"/>
      <c r="P880" s="286" t="s">
        <v>58</v>
      </c>
    </row>
    <row r="881" spans="1:16" hidden="1" x14ac:dyDescent="0.15">
      <c r="A881" s="286">
        <v>328287</v>
      </c>
      <c r="B881" s="288">
        <v>45161.62777777778</v>
      </c>
      <c r="C881" s="286" t="s">
        <v>1691</v>
      </c>
      <c r="D881" s="286" t="s">
        <v>1105</v>
      </c>
      <c r="E881" s="286" t="s">
        <v>1106</v>
      </c>
      <c r="F881" s="286" t="s">
        <v>1714</v>
      </c>
      <c r="G881" s="286" t="s">
        <v>1055</v>
      </c>
      <c r="H881" s="286" t="s">
        <v>1055</v>
      </c>
      <c r="I881" s="286" t="s">
        <v>1228</v>
      </c>
      <c r="J881" s="286" t="s">
        <v>53</v>
      </c>
      <c r="K881" s="286" t="s">
        <v>53</v>
      </c>
      <c r="L881" s="286" t="s">
        <v>53</v>
      </c>
      <c r="M881" s="286" t="s">
        <v>53</v>
      </c>
      <c r="N881" s="287">
        <v>1188.98</v>
      </c>
      <c r="O881" s="287"/>
      <c r="P881" s="286" t="s">
        <v>58</v>
      </c>
    </row>
    <row r="882" spans="1:16" hidden="1" x14ac:dyDescent="0.15">
      <c r="A882" s="286">
        <v>339870</v>
      </c>
      <c r="B882" s="288">
        <v>45177.481944444444</v>
      </c>
      <c r="C882" s="286" t="s">
        <v>1676</v>
      </c>
      <c r="D882" s="286" t="s">
        <v>1105</v>
      </c>
      <c r="E882" s="286" t="s">
        <v>1106</v>
      </c>
      <c r="F882" s="286" t="s">
        <v>1715</v>
      </c>
      <c r="G882" s="286" t="s">
        <v>1055</v>
      </c>
      <c r="H882" s="286" t="s">
        <v>1055</v>
      </c>
      <c r="I882" s="286" t="s">
        <v>1228</v>
      </c>
      <c r="J882" s="286" t="s">
        <v>53</v>
      </c>
      <c r="K882" s="286" t="s">
        <v>53</v>
      </c>
      <c r="L882" s="286" t="s">
        <v>53</v>
      </c>
      <c r="M882" s="286" t="s">
        <v>53</v>
      </c>
      <c r="N882" s="287">
        <v>1188.98</v>
      </c>
      <c r="O882" s="287"/>
      <c r="P882" s="286" t="s">
        <v>58</v>
      </c>
    </row>
    <row r="883" spans="1:16" hidden="1" x14ac:dyDescent="0.15">
      <c r="A883" s="286">
        <v>339870</v>
      </c>
      <c r="B883" s="288">
        <v>45177.481944444444</v>
      </c>
      <c r="C883" s="286" t="s">
        <v>1676</v>
      </c>
      <c r="D883" s="286" t="s">
        <v>1105</v>
      </c>
      <c r="E883" s="286" t="s">
        <v>1106</v>
      </c>
      <c r="F883" s="286" t="s">
        <v>1715</v>
      </c>
      <c r="G883" s="286" t="s">
        <v>1841</v>
      </c>
      <c r="H883" s="286" t="s">
        <v>1841</v>
      </c>
      <c r="I883" s="286" t="s">
        <v>1228</v>
      </c>
      <c r="J883" s="286" t="s">
        <v>53</v>
      </c>
      <c r="K883" s="286" t="s">
        <v>53</v>
      </c>
      <c r="L883" s="286" t="s">
        <v>53</v>
      </c>
      <c r="M883" s="286" t="s">
        <v>53</v>
      </c>
      <c r="N883" s="287">
        <v>1188.98</v>
      </c>
      <c r="O883" s="287"/>
      <c r="P883" s="286" t="s">
        <v>58</v>
      </c>
    </row>
    <row r="884" spans="1:16" hidden="1" x14ac:dyDescent="0.15">
      <c r="A884" s="286">
        <v>370270</v>
      </c>
      <c r="B884" s="288">
        <v>45208.668055555558</v>
      </c>
      <c r="C884" s="286" t="s">
        <v>1642</v>
      </c>
      <c r="D884" s="286" t="s">
        <v>1105</v>
      </c>
      <c r="E884" s="286" t="s">
        <v>1106</v>
      </c>
      <c r="F884" s="286" t="s">
        <v>1716</v>
      </c>
      <c r="G884" s="286" t="s">
        <v>1841</v>
      </c>
      <c r="H884" s="286" t="s">
        <v>1841</v>
      </c>
      <c r="I884" s="286" t="s">
        <v>1228</v>
      </c>
      <c r="J884" s="286" t="s">
        <v>53</v>
      </c>
      <c r="K884" s="286" t="s">
        <v>53</v>
      </c>
      <c r="L884" s="286" t="s">
        <v>53</v>
      </c>
      <c r="M884" s="286" t="s">
        <v>53</v>
      </c>
      <c r="N884" s="287">
        <v>1188.98</v>
      </c>
      <c r="O884" s="287"/>
      <c r="P884" s="286" t="s">
        <v>58</v>
      </c>
    </row>
    <row r="885" spans="1:16" hidden="1" x14ac:dyDescent="0.15">
      <c r="A885" s="286">
        <v>370270</v>
      </c>
      <c r="B885" s="288">
        <v>45208.668055555558</v>
      </c>
      <c r="C885" s="286" t="s">
        <v>1642</v>
      </c>
      <c r="D885" s="286" t="s">
        <v>1105</v>
      </c>
      <c r="E885" s="286" t="s">
        <v>1106</v>
      </c>
      <c r="F885" s="286" t="s">
        <v>1716</v>
      </c>
      <c r="G885" s="286" t="s">
        <v>1055</v>
      </c>
      <c r="H885" s="286" t="s">
        <v>1055</v>
      </c>
      <c r="I885" s="286" t="s">
        <v>1228</v>
      </c>
      <c r="J885" s="286" t="s">
        <v>53</v>
      </c>
      <c r="K885" s="286" t="s">
        <v>53</v>
      </c>
      <c r="L885" s="286" t="s">
        <v>53</v>
      </c>
      <c r="M885" s="286" t="s">
        <v>53</v>
      </c>
      <c r="N885" s="287">
        <v>1188.98</v>
      </c>
      <c r="O885" s="287"/>
      <c r="P885" s="286" t="s">
        <v>58</v>
      </c>
    </row>
    <row r="886" spans="1:16" hidden="1" x14ac:dyDescent="0.15">
      <c r="A886" s="286">
        <v>402221</v>
      </c>
      <c r="B886" s="288">
        <v>45243.579861111109</v>
      </c>
      <c r="C886" s="286" t="s">
        <v>1654</v>
      </c>
      <c r="D886" s="286" t="s">
        <v>1105</v>
      </c>
      <c r="E886" s="286" t="s">
        <v>1106</v>
      </c>
      <c r="F886" s="286" t="s">
        <v>1724</v>
      </c>
      <c r="G886" s="286" t="s">
        <v>1055</v>
      </c>
      <c r="H886" s="286" t="s">
        <v>1055</v>
      </c>
      <c r="I886" s="286" t="s">
        <v>1228</v>
      </c>
      <c r="J886" s="286" t="s">
        <v>53</v>
      </c>
      <c r="K886" s="286" t="s">
        <v>53</v>
      </c>
      <c r="L886" s="286" t="s">
        <v>53</v>
      </c>
      <c r="M886" s="286" t="s">
        <v>53</v>
      </c>
      <c r="N886" s="287">
        <v>1188.98</v>
      </c>
      <c r="O886" s="287"/>
      <c r="P886" s="286" t="s">
        <v>58</v>
      </c>
    </row>
    <row r="887" spans="1:16" hidden="1" x14ac:dyDescent="0.15">
      <c r="A887" s="286">
        <v>402221</v>
      </c>
      <c r="B887" s="288">
        <v>45243.579861111109</v>
      </c>
      <c r="C887" s="286" t="s">
        <v>1654</v>
      </c>
      <c r="D887" s="286" t="s">
        <v>1105</v>
      </c>
      <c r="E887" s="286" t="s">
        <v>1106</v>
      </c>
      <c r="F887" s="286" t="s">
        <v>1724</v>
      </c>
      <c r="G887" s="286" t="s">
        <v>1841</v>
      </c>
      <c r="H887" s="286" t="s">
        <v>1841</v>
      </c>
      <c r="I887" s="286" t="s">
        <v>1228</v>
      </c>
      <c r="J887" s="286" t="s">
        <v>53</v>
      </c>
      <c r="K887" s="286" t="s">
        <v>53</v>
      </c>
      <c r="L887" s="286" t="s">
        <v>53</v>
      </c>
      <c r="M887" s="286" t="s">
        <v>53</v>
      </c>
      <c r="N887" s="287">
        <v>1188.98</v>
      </c>
      <c r="O887" s="287"/>
      <c r="P887" s="286" t="s">
        <v>58</v>
      </c>
    </row>
    <row r="888" spans="1:16" hidden="1" x14ac:dyDescent="0.15">
      <c r="A888" s="286">
        <v>455146</v>
      </c>
      <c r="B888" s="288">
        <v>45310.510416666664</v>
      </c>
      <c r="C888" s="286" t="s">
        <v>1632</v>
      </c>
      <c r="D888" s="286" t="s">
        <v>1105</v>
      </c>
      <c r="E888" s="286" t="s">
        <v>1106</v>
      </c>
      <c r="F888" s="286" t="s">
        <v>1725</v>
      </c>
      <c r="G888" s="286" t="s">
        <v>1055</v>
      </c>
      <c r="H888" s="286" t="s">
        <v>1055</v>
      </c>
      <c r="I888" s="286" t="s">
        <v>1228</v>
      </c>
      <c r="J888" s="286" t="s">
        <v>53</v>
      </c>
      <c r="K888" s="286" t="s">
        <v>53</v>
      </c>
      <c r="L888" s="286" t="s">
        <v>53</v>
      </c>
      <c r="M888" s="286" t="s">
        <v>53</v>
      </c>
      <c r="N888" s="287">
        <v>1188.98</v>
      </c>
      <c r="O888" s="287"/>
      <c r="P888" s="286" t="s">
        <v>58</v>
      </c>
    </row>
    <row r="889" spans="1:16" hidden="1" x14ac:dyDescent="0.15">
      <c r="A889" s="286">
        <v>455146</v>
      </c>
      <c r="B889" s="288">
        <v>45310.510416666664</v>
      </c>
      <c r="C889" s="286" t="s">
        <v>1632</v>
      </c>
      <c r="D889" s="286" t="s">
        <v>1105</v>
      </c>
      <c r="E889" s="286" t="s">
        <v>1106</v>
      </c>
      <c r="F889" s="286" t="s">
        <v>1725</v>
      </c>
      <c r="G889" s="286" t="s">
        <v>1841</v>
      </c>
      <c r="H889" s="286" t="s">
        <v>1841</v>
      </c>
      <c r="I889" s="286" t="s">
        <v>1228</v>
      </c>
      <c r="J889" s="286" t="s">
        <v>53</v>
      </c>
      <c r="K889" s="286" t="s">
        <v>53</v>
      </c>
      <c r="L889" s="286" t="s">
        <v>53</v>
      </c>
      <c r="M889" s="286" t="s">
        <v>53</v>
      </c>
      <c r="N889" s="287">
        <v>1188.98</v>
      </c>
      <c r="O889" s="287"/>
      <c r="P889" s="286" t="s">
        <v>58</v>
      </c>
    </row>
    <row r="890" spans="1:16" hidden="1" x14ac:dyDescent="0.15">
      <c r="A890" s="286">
        <v>170399</v>
      </c>
      <c r="B890" s="288">
        <v>44986.614583333336</v>
      </c>
      <c r="C890" s="286" t="s">
        <v>1640</v>
      </c>
      <c r="D890" s="286" t="s">
        <v>1105</v>
      </c>
      <c r="E890" s="286" t="s">
        <v>1106</v>
      </c>
      <c r="F890" s="286" t="s">
        <v>1720</v>
      </c>
      <c r="G890" s="286" t="s">
        <v>1005</v>
      </c>
      <c r="H890" s="286" t="s">
        <v>1005</v>
      </c>
      <c r="I890" s="286" t="s">
        <v>1199</v>
      </c>
      <c r="J890" s="286" t="s">
        <v>1312</v>
      </c>
      <c r="K890" s="286" t="s">
        <v>53</v>
      </c>
      <c r="L890" s="286" t="s">
        <v>53</v>
      </c>
      <c r="M890" s="286" t="s">
        <v>53</v>
      </c>
      <c r="N890" s="287">
        <v>1158.42</v>
      </c>
      <c r="O890" s="287"/>
      <c r="P890" s="286" t="s">
        <v>58</v>
      </c>
    </row>
    <row r="891" spans="1:16" hidden="1" x14ac:dyDescent="0.15">
      <c r="A891" s="286">
        <v>170399</v>
      </c>
      <c r="B891" s="288">
        <v>44986.614583333336</v>
      </c>
      <c r="C891" s="286" t="s">
        <v>1640</v>
      </c>
      <c r="D891" s="286" t="s">
        <v>1105</v>
      </c>
      <c r="E891" s="286" t="s">
        <v>1106</v>
      </c>
      <c r="F891" s="286" t="s">
        <v>1720</v>
      </c>
      <c r="G891" s="286" t="s">
        <v>1030</v>
      </c>
      <c r="H891" s="286" t="s">
        <v>1030</v>
      </c>
      <c r="I891" s="286" t="s">
        <v>1199</v>
      </c>
      <c r="J891" s="286" t="s">
        <v>1312</v>
      </c>
      <c r="K891" s="286" t="s">
        <v>53</v>
      </c>
      <c r="L891" s="286" t="s">
        <v>53</v>
      </c>
      <c r="M891" s="286" t="s">
        <v>53</v>
      </c>
      <c r="N891" s="287">
        <v>1158.42</v>
      </c>
      <c r="O891" s="287"/>
      <c r="P891" s="286" t="s">
        <v>58</v>
      </c>
    </row>
    <row r="892" spans="1:16" hidden="1" x14ac:dyDescent="0.15">
      <c r="A892" s="286">
        <v>170298</v>
      </c>
      <c r="B892" s="288">
        <v>44986.623611111114</v>
      </c>
      <c r="C892" s="286" t="s">
        <v>1638</v>
      </c>
      <c r="D892" s="286" t="s">
        <v>1105</v>
      </c>
      <c r="E892" s="286" t="s">
        <v>1106</v>
      </c>
      <c r="F892" s="286" t="s">
        <v>1721</v>
      </c>
      <c r="G892" s="286" t="s">
        <v>1005</v>
      </c>
      <c r="H892" s="286" t="s">
        <v>1005</v>
      </c>
      <c r="I892" s="286" t="s">
        <v>1199</v>
      </c>
      <c r="J892" s="286" t="s">
        <v>1312</v>
      </c>
      <c r="K892" s="286" t="s">
        <v>53</v>
      </c>
      <c r="L892" s="286" t="s">
        <v>53</v>
      </c>
      <c r="M892" s="286" t="s">
        <v>53</v>
      </c>
      <c r="N892" s="287">
        <v>1158.42</v>
      </c>
      <c r="O892" s="287"/>
      <c r="P892" s="286" t="s">
        <v>58</v>
      </c>
    </row>
    <row r="893" spans="1:16" hidden="1" x14ac:dyDescent="0.15">
      <c r="A893" s="286">
        <v>170298</v>
      </c>
      <c r="B893" s="288">
        <v>44986.623611111114</v>
      </c>
      <c r="C893" s="286" t="s">
        <v>1638</v>
      </c>
      <c r="D893" s="286" t="s">
        <v>1105</v>
      </c>
      <c r="E893" s="286" t="s">
        <v>1106</v>
      </c>
      <c r="F893" s="286" t="s">
        <v>1721</v>
      </c>
      <c r="G893" s="286" t="s">
        <v>1030</v>
      </c>
      <c r="H893" s="286" t="s">
        <v>1030</v>
      </c>
      <c r="I893" s="286" t="s">
        <v>1199</v>
      </c>
      <c r="J893" s="286" t="s">
        <v>1312</v>
      </c>
      <c r="K893" s="286" t="s">
        <v>53</v>
      </c>
      <c r="L893" s="286" t="s">
        <v>53</v>
      </c>
      <c r="M893" s="286" t="s">
        <v>53</v>
      </c>
      <c r="N893" s="287">
        <v>1158.42</v>
      </c>
      <c r="O893" s="287"/>
      <c r="P893" s="286" t="s">
        <v>58</v>
      </c>
    </row>
    <row r="894" spans="1:16" hidden="1" x14ac:dyDescent="0.15">
      <c r="A894" s="286">
        <v>185846</v>
      </c>
      <c r="B894" s="288">
        <v>45005.724305555559</v>
      </c>
      <c r="C894" s="286" t="s">
        <v>1667</v>
      </c>
      <c r="D894" s="286" t="s">
        <v>1105</v>
      </c>
      <c r="E894" s="286" t="s">
        <v>1106</v>
      </c>
      <c r="F894" s="286" t="s">
        <v>1702</v>
      </c>
      <c r="G894" s="286" t="s">
        <v>1005</v>
      </c>
      <c r="H894" s="286" t="s">
        <v>1005</v>
      </c>
      <c r="I894" s="286" t="s">
        <v>1199</v>
      </c>
      <c r="J894" s="286" t="s">
        <v>1312</v>
      </c>
      <c r="K894" s="286" t="s">
        <v>53</v>
      </c>
      <c r="L894" s="286" t="s">
        <v>53</v>
      </c>
      <c r="M894" s="286" t="s">
        <v>53</v>
      </c>
      <c r="N894" s="287">
        <v>1158.42</v>
      </c>
      <c r="O894" s="287"/>
      <c r="P894" s="286" t="s">
        <v>58</v>
      </c>
    </row>
    <row r="895" spans="1:16" hidden="1" x14ac:dyDescent="0.15">
      <c r="A895" s="286">
        <v>185846</v>
      </c>
      <c r="B895" s="288">
        <v>45005.724305555559</v>
      </c>
      <c r="C895" s="286" t="s">
        <v>1667</v>
      </c>
      <c r="D895" s="286" t="s">
        <v>1105</v>
      </c>
      <c r="E895" s="286" t="s">
        <v>1106</v>
      </c>
      <c r="F895" s="286" t="s">
        <v>1702</v>
      </c>
      <c r="G895" s="286" t="s">
        <v>1030</v>
      </c>
      <c r="H895" s="286" t="s">
        <v>1030</v>
      </c>
      <c r="I895" s="286" t="s">
        <v>1199</v>
      </c>
      <c r="J895" s="286" t="s">
        <v>1312</v>
      </c>
      <c r="K895" s="286" t="s">
        <v>53</v>
      </c>
      <c r="L895" s="286" t="s">
        <v>53</v>
      </c>
      <c r="M895" s="286" t="s">
        <v>53</v>
      </c>
      <c r="N895" s="287">
        <v>1158.42</v>
      </c>
      <c r="O895" s="287"/>
      <c r="P895" s="286" t="s">
        <v>58</v>
      </c>
    </row>
    <row r="896" spans="1:16" hidden="1" x14ac:dyDescent="0.15">
      <c r="A896" s="286">
        <v>201556</v>
      </c>
      <c r="B896" s="288">
        <v>45029.540972222225</v>
      </c>
      <c r="C896" s="286" t="s">
        <v>1657</v>
      </c>
      <c r="D896" s="286" t="s">
        <v>1105</v>
      </c>
      <c r="E896" s="286" t="s">
        <v>1106</v>
      </c>
      <c r="F896" s="286" t="s">
        <v>1722</v>
      </c>
      <c r="G896" s="286" t="s">
        <v>1005</v>
      </c>
      <c r="H896" s="286" t="s">
        <v>1005</v>
      </c>
      <c r="I896" s="286" t="s">
        <v>1199</v>
      </c>
      <c r="J896" s="286" t="s">
        <v>1312</v>
      </c>
      <c r="K896" s="286" t="s">
        <v>53</v>
      </c>
      <c r="L896" s="286" t="s">
        <v>53</v>
      </c>
      <c r="M896" s="286" t="s">
        <v>53</v>
      </c>
      <c r="N896" s="287">
        <v>1158.42</v>
      </c>
      <c r="O896" s="287"/>
      <c r="P896" s="286" t="s">
        <v>58</v>
      </c>
    </row>
    <row r="897" spans="1:16" hidden="1" x14ac:dyDescent="0.15">
      <c r="A897" s="286">
        <v>201556</v>
      </c>
      <c r="B897" s="288">
        <v>45029.540972222225</v>
      </c>
      <c r="C897" s="286" t="s">
        <v>1657</v>
      </c>
      <c r="D897" s="286" t="s">
        <v>1105</v>
      </c>
      <c r="E897" s="286" t="s">
        <v>1106</v>
      </c>
      <c r="F897" s="286" t="s">
        <v>1722</v>
      </c>
      <c r="G897" s="286" t="s">
        <v>1030</v>
      </c>
      <c r="H897" s="286" t="s">
        <v>1030</v>
      </c>
      <c r="I897" s="286" t="s">
        <v>1199</v>
      </c>
      <c r="J897" s="286" t="s">
        <v>1312</v>
      </c>
      <c r="K897" s="286" t="s">
        <v>53</v>
      </c>
      <c r="L897" s="286" t="s">
        <v>53</v>
      </c>
      <c r="M897" s="286" t="s">
        <v>53</v>
      </c>
      <c r="N897" s="287">
        <v>1158.42</v>
      </c>
      <c r="O897" s="287"/>
      <c r="P897" s="286" t="s">
        <v>58</v>
      </c>
    </row>
    <row r="898" spans="1:16" hidden="1" x14ac:dyDescent="0.15">
      <c r="A898" s="286">
        <v>225409</v>
      </c>
      <c r="B898" s="288">
        <v>45058.522222222222</v>
      </c>
      <c r="C898" s="286" t="s">
        <v>1665</v>
      </c>
      <c r="D898" s="286" t="s">
        <v>1105</v>
      </c>
      <c r="E898" s="286" t="s">
        <v>1106</v>
      </c>
      <c r="F898" s="286" t="s">
        <v>1723</v>
      </c>
      <c r="G898" s="286" t="s">
        <v>1005</v>
      </c>
      <c r="H898" s="286" t="s">
        <v>1005</v>
      </c>
      <c r="I898" s="286" t="s">
        <v>1199</v>
      </c>
      <c r="J898" s="286" t="s">
        <v>1312</v>
      </c>
      <c r="K898" s="286" t="s">
        <v>53</v>
      </c>
      <c r="L898" s="286" t="s">
        <v>53</v>
      </c>
      <c r="M898" s="286" t="s">
        <v>53</v>
      </c>
      <c r="N898" s="287">
        <v>1158.42</v>
      </c>
      <c r="O898" s="287"/>
      <c r="P898" s="286" t="s">
        <v>58</v>
      </c>
    </row>
    <row r="899" spans="1:16" hidden="1" x14ac:dyDescent="0.15">
      <c r="A899" s="286">
        <v>225409</v>
      </c>
      <c r="B899" s="288">
        <v>45058.522222222222</v>
      </c>
      <c r="C899" s="286" t="s">
        <v>1665</v>
      </c>
      <c r="D899" s="286" t="s">
        <v>1105</v>
      </c>
      <c r="E899" s="286" t="s">
        <v>1106</v>
      </c>
      <c r="F899" s="286" t="s">
        <v>1723</v>
      </c>
      <c r="G899" s="286" t="s">
        <v>1030</v>
      </c>
      <c r="H899" s="286" t="s">
        <v>1030</v>
      </c>
      <c r="I899" s="286" t="s">
        <v>1199</v>
      </c>
      <c r="J899" s="286" t="s">
        <v>1312</v>
      </c>
      <c r="K899" s="286" t="s">
        <v>53</v>
      </c>
      <c r="L899" s="286" t="s">
        <v>53</v>
      </c>
      <c r="M899" s="286" t="s">
        <v>53</v>
      </c>
      <c r="N899" s="287">
        <v>1158.42</v>
      </c>
      <c r="O899" s="287"/>
      <c r="P899" s="286" t="s">
        <v>58</v>
      </c>
    </row>
    <row r="900" spans="1:16" hidden="1" x14ac:dyDescent="0.15">
      <c r="A900" s="286">
        <v>402221</v>
      </c>
      <c r="B900" s="288">
        <v>45243.579861111109</v>
      </c>
      <c r="C900" s="286" t="s">
        <v>1654</v>
      </c>
      <c r="D900" s="286" t="s">
        <v>1105</v>
      </c>
      <c r="E900" s="286" t="s">
        <v>1106</v>
      </c>
      <c r="F900" s="286" t="s">
        <v>1724</v>
      </c>
      <c r="G900" s="286" t="s">
        <v>1015</v>
      </c>
      <c r="H900" s="286" t="s">
        <v>1015</v>
      </c>
      <c r="I900" s="286" t="s">
        <v>1228</v>
      </c>
      <c r="J900" s="286" t="s">
        <v>53</v>
      </c>
      <c r="K900" s="286" t="s">
        <v>53</v>
      </c>
      <c r="L900" s="286" t="s">
        <v>53</v>
      </c>
      <c r="M900" s="286" t="s">
        <v>53</v>
      </c>
      <c r="N900" s="287">
        <v>1146.23</v>
      </c>
      <c r="O900" s="287"/>
      <c r="P900" s="286" t="s">
        <v>58</v>
      </c>
    </row>
    <row r="901" spans="1:16" hidden="1" x14ac:dyDescent="0.15">
      <c r="A901" s="286">
        <v>455146</v>
      </c>
      <c r="B901" s="288">
        <v>45310.510416666664</v>
      </c>
      <c r="C901" s="286" t="s">
        <v>1632</v>
      </c>
      <c r="D901" s="286" t="s">
        <v>1105</v>
      </c>
      <c r="E901" s="286" t="s">
        <v>1106</v>
      </c>
      <c r="F901" s="286" t="s">
        <v>1725</v>
      </c>
      <c r="G901" s="286" t="s">
        <v>1057</v>
      </c>
      <c r="H901" s="286" t="s">
        <v>1057</v>
      </c>
      <c r="I901" s="286" t="s">
        <v>1228</v>
      </c>
      <c r="J901" s="286" t="s">
        <v>53</v>
      </c>
      <c r="K901" s="286" t="s">
        <v>53</v>
      </c>
      <c r="L901" s="286" t="s">
        <v>53</v>
      </c>
      <c r="M901" s="286" t="s">
        <v>53</v>
      </c>
      <c r="N901" s="287">
        <v>1142.04</v>
      </c>
      <c r="O901" s="287"/>
      <c r="P901" s="286" t="s">
        <v>58</v>
      </c>
    </row>
    <row r="902" spans="1:16" hidden="1" x14ac:dyDescent="0.15">
      <c r="A902" s="286">
        <v>145112</v>
      </c>
      <c r="B902" s="288">
        <v>44953.381249999999</v>
      </c>
      <c r="C902" s="286" t="s">
        <v>1640</v>
      </c>
      <c r="D902" s="286" t="s">
        <v>1309</v>
      </c>
      <c r="E902" s="286" t="s">
        <v>1310</v>
      </c>
      <c r="F902" s="286" t="s">
        <v>1670</v>
      </c>
      <c r="G902" s="286" t="s">
        <v>1044</v>
      </c>
      <c r="H902" s="286" t="s">
        <v>1044</v>
      </c>
      <c r="I902" s="286" t="s">
        <v>1108</v>
      </c>
      <c r="J902" s="286" t="s">
        <v>1312</v>
      </c>
      <c r="K902" s="286" t="s">
        <v>1842</v>
      </c>
      <c r="L902" s="286" t="s">
        <v>1843</v>
      </c>
      <c r="M902" s="286">
        <v>1</v>
      </c>
      <c r="N902" s="287">
        <v>1142</v>
      </c>
      <c r="O902" s="305">
        <f>EOMONTH(B902,0)</f>
        <v>44957</v>
      </c>
      <c r="P902" s="286" t="s">
        <v>37</v>
      </c>
    </row>
    <row r="903" spans="1:16" hidden="1" x14ac:dyDescent="0.15">
      <c r="A903" s="286">
        <v>284271</v>
      </c>
      <c r="B903" s="288">
        <v>45121.682638888888</v>
      </c>
      <c r="C903" s="286" t="s">
        <v>1636</v>
      </c>
      <c r="D903" s="286" t="s">
        <v>1105</v>
      </c>
      <c r="E903" s="286" t="s">
        <v>1106</v>
      </c>
      <c r="F903" s="286" t="s">
        <v>1713</v>
      </c>
      <c r="G903" s="286" t="s">
        <v>1073</v>
      </c>
      <c r="H903" s="286" t="s">
        <v>1073</v>
      </c>
      <c r="I903" s="286" t="s">
        <v>1199</v>
      </c>
      <c r="J903" s="286" t="s">
        <v>1312</v>
      </c>
      <c r="K903" s="286" t="s">
        <v>1754</v>
      </c>
      <c r="L903" s="286" t="s">
        <v>672</v>
      </c>
      <c r="M903" s="286">
        <v>1</v>
      </c>
      <c r="N903" s="287">
        <v>1121.27</v>
      </c>
      <c r="O903" s="287"/>
      <c r="P903" s="286" t="s">
        <v>58</v>
      </c>
    </row>
    <row r="904" spans="1:16" hidden="1" x14ac:dyDescent="0.15">
      <c r="A904" s="286">
        <v>328287</v>
      </c>
      <c r="B904" s="288">
        <v>45161.62777777778</v>
      </c>
      <c r="C904" s="286" t="s">
        <v>1691</v>
      </c>
      <c r="D904" s="286" t="s">
        <v>1105</v>
      </c>
      <c r="E904" s="286" t="s">
        <v>1106</v>
      </c>
      <c r="F904" s="286" t="s">
        <v>1714</v>
      </c>
      <c r="G904" s="286" t="s">
        <v>1073</v>
      </c>
      <c r="H904" s="286" t="s">
        <v>1073</v>
      </c>
      <c r="I904" s="286" t="s">
        <v>1199</v>
      </c>
      <c r="J904" s="286" t="s">
        <v>1312</v>
      </c>
      <c r="K904" s="286" t="s">
        <v>1754</v>
      </c>
      <c r="L904" s="286" t="s">
        <v>672</v>
      </c>
      <c r="M904" s="286">
        <v>1</v>
      </c>
      <c r="N904" s="287">
        <v>1121.27</v>
      </c>
      <c r="O904" s="287"/>
      <c r="P904" s="286" t="s">
        <v>58</v>
      </c>
    </row>
    <row r="905" spans="1:16" hidden="1" x14ac:dyDescent="0.15">
      <c r="A905" s="286">
        <v>339870</v>
      </c>
      <c r="B905" s="288">
        <v>45177.481944444444</v>
      </c>
      <c r="C905" s="286" t="s">
        <v>1676</v>
      </c>
      <c r="D905" s="286" t="s">
        <v>1105</v>
      </c>
      <c r="E905" s="286" t="s">
        <v>1106</v>
      </c>
      <c r="F905" s="286" t="s">
        <v>1715</v>
      </c>
      <c r="G905" s="286" t="s">
        <v>1073</v>
      </c>
      <c r="H905" s="286" t="s">
        <v>1073</v>
      </c>
      <c r="I905" s="286" t="s">
        <v>1199</v>
      </c>
      <c r="J905" s="286" t="s">
        <v>1312</v>
      </c>
      <c r="K905" s="286" t="s">
        <v>1754</v>
      </c>
      <c r="L905" s="286" t="s">
        <v>672</v>
      </c>
      <c r="M905" s="286">
        <v>1</v>
      </c>
      <c r="N905" s="287">
        <v>1121.27</v>
      </c>
      <c r="O905" s="287"/>
      <c r="P905" s="286" t="s">
        <v>58</v>
      </c>
    </row>
    <row r="906" spans="1:16" hidden="1" x14ac:dyDescent="0.15">
      <c r="A906" s="286">
        <v>370270</v>
      </c>
      <c r="B906" s="288">
        <v>45208.668055555558</v>
      </c>
      <c r="C906" s="286" t="s">
        <v>1642</v>
      </c>
      <c r="D906" s="286" t="s">
        <v>1105</v>
      </c>
      <c r="E906" s="286" t="s">
        <v>1106</v>
      </c>
      <c r="F906" s="286" t="s">
        <v>1716</v>
      </c>
      <c r="G906" s="286" t="s">
        <v>1073</v>
      </c>
      <c r="H906" s="286" t="s">
        <v>1073</v>
      </c>
      <c r="I906" s="286" t="s">
        <v>1199</v>
      </c>
      <c r="J906" s="286" t="s">
        <v>1312</v>
      </c>
      <c r="K906" s="286" t="s">
        <v>1754</v>
      </c>
      <c r="L906" s="286" t="s">
        <v>672</v>
      </c>
      <c r="M906" s="286">
        <v>1</v>
      </c>
      <c r="N906" s="287">
        <v>1121.27</v>
      </c>
      <c r="O906" s="287"/>
      <c r="P906" s="286" t="s">
        <v>58</v>
      </c>
    </row>
    <row r="907" spans="1:16" hidden="1" x14ac:dyDescent="0.15">
      <c r="A907" s="286">
        <v>402221</v>
      </c>
      <c r="B907" s="288">
        <v>45243.579861111109</v>
      </c>
      <c r="C907" s="286" t="s">
        <v>1654</v>
      </c>
      <c r="D907" s="286" t="s">
        <v>1105</v>
      </c>
      <c r="E907" s="286" t="s">
        <v>1106</v>
      </c>
      <c r="F907" s="286" t="s">
        <v>1724</v>
      </c>
      <c r="G907" s="286" t="s">
        <v>1073</v>
      </c>
      <c r="H907" s="286" t="s">
        <v>1073</v>
      </c>
      <c r="I907" s="286" t="s">
        <v>1199</v>
      </c>
      <c r="J907" s="286" t="s">
        <v>1312</v>
      </c>
      <c r="K907" s="286" t="s">
        <v>1754</v>
      </c>
      <c r="L907" s="286" t="s">
        <v>672</v>
      </c>
      <c r="M907" s="286">
        <v>1</v>
      </c>
      <c r="N907" s="287">
        <v>1121.27</v>
      </c>
      <c r="O907" s="287"/>
      <c r="P907" s="286" t="s">
        <v>58</v>
      </c>
    </row>
    <row r="908" spans="1:16" hidden="1" x14ac:dyDescent="0.15">
      <c r="A908" s="286">
        <v>455146</v>
      </c>
      <c r="B908" s="288">
        <v>45310.510416666664</v>
      </c>
      <c r="C908" s="286" t="s">
        <v>1632</v>
      </c>
      <c r="D908" s="286" t="s">
        <v>1105</v>
      </c>
      <c r="E908" s="286" t="s">
        <v>1106</v>
      </c>
      <c r="F908" s="286" t="s">
        <v>1725</v>
      </c>
      <c r="G908" s="286" t="s">
        <v>1073</v>
      </c>
      <c r="H908" s="286" t="s">
        <v>1073</v>
      </c>
      <c r="I908" s="286" t="s">
        <v>1199</v>
      </c>
      <c r="J908" s="286" t="s">
        <v>1312</v>
      </c>
      <c r="K908" s="286" t="s">
        <v>1754</v>
      </c>
      <c r="L908" s="286" t="s">
        <v>672</v>
      </c>
      <c r="M908" s="286">
        <v>1</v>
      </c>
      <c r="N908" s="287">
        <v>1121.27</v>
      </c>
      <c r="O908" s="287"/>
      <c r="P908" s="286" t="s">
        <v>58</v>
      </c>
    </row>
    <row r="909" spans="1:16" hidden="1" x14ac:dyDescent="0.15">
      <c r="A909" s="286">
        <v>170297</v>
      </c>
      <c r="B909" s="288">
        <v>44986.611111111109</v>
      </c>
      <c r="C909" s="286" t="s">
        <v>1640</v>
      </c>
      <c r="D909" s="286" t="s">
        <v>1105</v>
      </c>
      <c r="E909" s="286" t="s">
        <v>1106</v>
      </c>
      <c r="F909" s="286" t="s">
        <v>1746</v>
      </c>
      <c r="G909" s="286" t="s">
        <v>1039</v>
      </c>
      <c r="H909" s="286" t="s">
        <v>1039</v>
      </c>
      <c r="I909" s="286" t="s">
        <v>1152</v>
      </c>
      <c r="J909" s="286" t="s">
        <v>1312</v>
      </c>
      <c r="K909" s="286" t="s">
        <v>53</v>
      </c>
      <c r="L909" s="286" t="s">
        <v>53</v>
      </c>
      <c r="M909" s="286" t="s">
        <v>53</v>
      </c>
      <c r="N909" s="287">
        <v>1107.5</v>
      </c>
      <c r="O909" s="287"/>
      <c r="P909" s="286" t="s">
        <v>58</v>
      </c>
    </row>
    <row r="910" spans="1:16" hidden="1" x14ac:dyDescent="0.15">
      <c r="A910" s="286">
        <v>170499</v>
      </c>
      <c r="B910" s="288">
        <v>44986.615972222222</v>
      </c>
      <c r="C910" s="286" t="s">
        <v>1640</v>
      </c>
      <c r="D910" s="286" t="s">
        <v>1105</v>
      </c>
      <c r="E910" s="286" t="s">
        <v>1106</v>
      </c>
      <c r="F910" s="286" t="s">
        <v>1755</v>
      </c>
      <c r="G910" s="286" t="s">
        <v>1061</v>
      </c>
      <c r="H910" s="286" t="s">
        <v>1061</v>
      </c>
      <c r="I910" s="286" t="s">
        <v>1228</v>
      </c>
      <c r="J910" s="286" t="s">
        <v>1312</v>
      </c>
      <c r="K910" s="286" t="s">
        <v>53</v>
      </c>
      <c r="L910" s="286" t="s">
        <v>53</v>
      </c>
      <c r="M910" s="286" t="s">
        <v>53</v>
      </c>
      <c r="N910" s="287">
        <v>1107.5</v>
      </c>
      <c r="O910" s="287"/>
      <c r="P910" s="286" t="s">
        <v>58</v>
      </c>
    </row>
    <row r="911" spans="1:16" hidden="1" x14ac:dyDescent="0.15">
      <c r="A911" s="286">
        <v>170499</v>
      </c>
      <c r="B911" s="288">
        <v>44986.615972222222</v>
      </c>
      <c r="C911" s="286" t="s">
        <v>1640</v>
      </c>
      <c r="D911" s="286" t="s">
        <v>1105</v>
      </c>
      <c r="E911" s="286" t="s">
        <v>1106</v>
      </c>
      <c r="F911" s="286" t="s">
        <v>1755</v>
      </c>
      <c r="G911" s="286" t="s">
        <v>1841</v>
      </c>
      <c r="H911" s="286" t="s">
        <v>1841</v>
      </c>
      <c r="I911" s="286" t="s">
        <v>1228</v>
      </c>
      <c r="J911" s="286" t="s">
        <v>1312</v>
      </c>
      <c r="K911" s="286" t="s">
        <v>53</v>
      </c>
      <c r="L911" s="286" t="s">
        <v>53</v>
      </c>
      <c r="M911" s="286" t="s">
        <v>53</v>
      </c>
      <c r="N911" s="287">
        <v>1107.5</v>
      </c>
      <c r="O911" s="287"/>
      <c r="P911" s="286" t="s">
        <v>58</v>
      </c>
    </row>
    <row r="912" spans="1:16" hidden="1" x14ac:dyDescent="0.15">
      <c r="A912" s="286">
        <v>170298</v>
      </c>
      <c r="B912" s="288">
        <v>44986.623611111114</v>
      </c>
      <c r="C912" s="286" t="s">
        <v>1638</v>
      </c>
      <c r="D912" s="286" t="s">
        <v>1105</v>
      </c>
      <c r="E912" s="286" t="s">
        <v>1106</v>
      </c>
      <c r="F912" s="286" t="s">
        <v>1721</v>
      </c>
      <c r="G912" s="286" t="s">
        <v>1061</v>
      </c>
      <c r="H912" s="286" t="s">
        <v>1061</v>
      </c>
      <c r="I912" s="286" t="s">
        <v>1228</v>
      </c>
      <c r="J912" s="286" t="s">
        <v>1312</v>
      </c>
      <c r="K912" s="286" t="s">
        <v>53</v>
      </c>
      <c r="L912" s="286" t="s">
        <v>53</v>
      </c>
      <c r="M912" s="286" t="s">
        <v>53</v>
      </c>
      <c r="N912" s="287">
        <v>1107.5</v>
      </c>
      <c r="O912" s="287"/>
      <c r="P912" s="286" t="s">
        <v>58</v>
      </c>
    </row>
    <row r="913" spans="1:16" hidden="1" x14ac:dyDescent="0.15">
      <c r="A913" s="286">
        <v>170298</v>
      </c>
      <c r="B913" s="288">
        <v>44986.623611111114</v>
      </c>
      <c r="C913" s="286" t="s">
        <v>1638</v>
      </c>
      <c r="D913" s="286" t="s">
        <v>1105</v>
      </c>
      <c r="E913" s="286" t="s">
        <v>1106</v>
      </c>
      <c r="F913" s="286" t="s">
        <v>1721</v>
      </c>
      <c r="G913" s="286" t="s">
        <v>1841</v>
      </c>
      <c r="H913" s="286" t="s">
        <v>1841</v>
      </c>
      <c r="I913" s="286" t="s">
        <v>1228</v>
      </c>
      <c r="J913" s="286" t="s">
        <v>1312</v>
      </c>
      <c r="K913" s="286" t="s">
        <v>53</v>
      </c>
      <c r="L913" s="286" t="s">
        <v>53</v>
      </c>
      <c r="M913" s="286" t="s">
        <v>53</v>
      </c>
      <c r="N913" s="287">
        <v>1107.5</v>
      </c>
      <c r="O913" s="287"/>
      <c r="P913" s="286" t="s">
        <v>58</v>
      </c>
    </row>
    <row r="914" spans="1:16" hidden="1" x14ac:dyDescent="0.15">
      <c r="A914" s="286">
        <v>170298</v>
      </c>
      <c r="B914" s="288">
        <v>44986.623611111114</v>
      </c>
      <c r="C914" s="286" t="s">
        <v>1638</v>
      </c>
      <c r="D914" s="286" t="s">
        <v>1105</v>
      </c>
      <c r="E914" s="286" t="s">
        <v>1106</v>
      </c>
      <c r="F914" s="286" t="s">
        <v>1721</v>
      </c>
      <c r="G914" s="286" t="s">
        <v>1039</v>
      </c>
      <c r="H914" s="286" t="s">
        <v>1039</v>
      </c>
      <c r="I914" s="286" t="s">
        <v>1152</v>
      </c>
      <c r="J914" s="286" t="s">
        <v>1312</v>
      </c>
      <c r="K914" s="286" t="s">
        <v>53</v>
      </c>
      <c r="L914" s="286" t="s">
        <v>53</v>
      </c>
      <c r="M914" s="286" t="s">
        <v>53</v>
      </c>
      <c r="N914" s="287">
        <v>1107.5</v>
      </c>
      <c r="O914" s="287"/>
      <c r="P914" s="286" t="s">
        <v>58</v>
      </c>
    </row>
    <row r="915" spans="1:16" hidden="1" x14ac:dyDescent="0.15">
      <c r="A915" s="286">
        <v>185846</v>
      </c>
      <c r="B915" s="288">
        <v>45005.724305555559</v>
      </c>
      <c r="C915" s="286" t="s">
        <v>1667</v>
      </c>
      <c r="D915" s="286" t="s">
        <v>1105</v>
      </c>
      <c r="E915" s="286" t="s">
        <v>1106</v>
      </c>
      <c r="F915" s="286" t="s">
        <v>1702</v>
      </c>
      <c r="G915" s="286" t="s">
        <v>1061</v>
      </c>
      <c r="H915" s="286" t="s">
        <v>1061</v>
      </c>
      <c r="I915" s="286" t="s">
        <v>1228</v>
      </c>
      <c r="J915" s="286" t="s">
        <v>1312</v>
      </c>
      <c r="K915" s="286" t="s">
        <v>53</v>
      </c>
      <c r="L915" s="286" t="s">
        <v>53</v>
      </c>
      <c r="M915" s="286" t="s">
        <v>53</v>
      </c>
      <c r="N915" s="287">
        <v>1107.5</v>
      </c>
      <c r="O915" s="287"/>
      <c r="P915" s="286" t="s">
        <v>58</v>
      </c>
    </row>
    <row r="916" spans="1:16" hidden="1" x14ac:dyDescent="0.15">
      <c r="A916" s="286">
        <v>185846</v>
      </c>
      <c r="B916" s="288">
        <v>45005.724305555559</v>
      </c>
      <c r="C916" s="286" t="s">
        <v>1667</v>
      </c>
      <c r="D916" s="286" t="s">
        <v>1105</v>
      </c>
      <c r="E916" s="286" t="s">
        <v>1106</v>
      </c>
      <c r="F916" s="286" t="s">
        <v>1702</v>
      </c>
      <c r="G916" s="286" t="s">
        <v>1841</v>
      </c>
      <c r="H916" s="286" t="s">
        <v>1841</v>
      </c>
      <c r="I916" s="286" t="s">
        <v>1228</v>
      </c>
      <c r="J916" s="286" t="s">
        <v>1312</v>
      </c>
      <c r="K916" s="286" t="s">
        <v>53</v>
      </c>
      <c r="L916" s="286" t="s">
        <v>53</v>
      </c>
      <c r="M916" s="286" t="s">
        <v>53</v>
      </c>
      <c r="N916" s="287">
        <v>1107.5</v>
      </c>
      <c r="O916" s="287"/>
      <c r="P916" s="286" t="s">
        <v>58</v>
      </c>
    </row>
    <row r="917" spans="1:16" hidden="1" x14ac:dyDescent="0.15">
      <c r="A917" s="286">
        <v>185846</v>
      </c>
      <c r="B917" s="288">
        <v>45005.724305555559</v>
      </c>
      <c r="C917" s="286" t="s">
        <v>1667</v>
      </c>
      <c r="D917" s="286" t="s">
        <v>1105</v>
      </c>
      <c r="E917" s="286" t="s">
        <v>1106</v>
      </c>
      <c r="F917" s="286" t="s">
        <v>1702</v>
      </c>
      <c r="G917" s="286" t="s">
        <v>1039</v>
      </c>
      <c r="H917" s="286" t="s">
        <v>1039</v>
      </c>
      <c r="I917" s="286" t="s">
        <v>1152</v>
      </c>
      <c r="J917" s="286" t="s">
        <v>1312</v>
      </c>
      <c r="K917" s="286" t="s">
        <v>53</v>
      </c>
      <c r="L917" s="286" t="s">
        <v>53</v>
      </c>
      <c r="M917" s="286" t="s">
        <v>53</v>
      </c>
      <c r="N917" s="287">
        <v>1107.5</v>
      </c>
      <c r="O917" s="287"/>
      <c r="P917" s="286" t="s">
        <v>58</v>
      </c>
    </row>
    <row r="918" spans="1:16" hidden="1" x14ac:dyDescent="0.15">
      <c r="A918" s="286">
        <v>201556</v>
      </c>
      <c r="B918" s="288">
        <v>45029.540972222225</v>
      </c>
      <c r="C918" s="286" t="s">
        <v>1657</v>
      </c>
      <c r="D918" s="286" t="s">
        <v>1105</v>
      </c>
      <c r="E918" s="286" t="s">
        <v>1106</v>
      </c>
      <c r="F918" s="286" t="s">
        <v>1722</v>
      </c>
      <c r="G918" s="286" t="s">
        <v>1061</v>
      </c>
      <c r="H918" s="286" t="s">
        <v>1061</v>
      </c>
      <c r="I918" s="286" t="s">
        <v>1228</v>
      </c>
      <c r="J918" s="286" t="s">
        <v>1312</v>
      </c>
      <c r="K918" s="286" t="s">
        <v>53</v>
      </c>
      <c r="L918" s="286" t="s">
        <v>53</v>
      </c>
      <c r="M918" s="286" t="s">
        <v>53</v>
      </c>
      <c r="N918" s="287">
        <v>1107.5</v>
      </c>
      <c r="O918" s="287"/>
      <c r="P918" s="286" t="s">
        <v>58</v>
      </c>
    </row>
    <row r="919" spans="1:16" hidden="1" x14ac:dyDescent="0.15">
      <c r="A919" s="286">
        <v>201556</v>
      </c>
      <c r="B919" s="288">
        <v>45029.540972222225</v>
      </c>
      <c r="C919" s="286" t="s">
        <v>1657</v>
      </c>
      <c r="D919" s="286" t="s">
        <v>1105</v>
      </c>
      <c r="E919" s="286" t="s">
        <v>1106</v>
      </c>
      <c r="F919" s="286" t="s">
        <v>1722</v>
      </c>
      <c r="G919" s="286" t="s">
        <v>1841</v>
      </c>
      <c r="H919" s="286" t="s">
        <v>1841</v>
      </c>
      <c r="I919" s="286" t="s">
        <v>1228</v>
      </c>
      <c r="J919" s="286" t="s">
        <v>1312</v>
      </c>
      <c r="K919" s="286" t="s">
        <v>53</v>
      </c>
      <c r="L919" s="286" t="s">
        <v>53</v>
      </c>
      <c r="M919" s="286" t="s">
        <v>53</v>
      </c>
      <c r="N919" s="287">
        <v>1107.5</v>
      </c>
      <c r="O919" s="287"/>
      <c r="P919" s="286" t="s">
        <v>58</v>
      </c>
    </row>
    <row r="920" spans="1:16" hidden="1" x14ac:dyDescent="0.15">
      <c r="A920" s="286">
        <v>201556</v>
      </c>
      <c r="B920" s="288">
        <v>45029.540972222225</v>
      </c>
      <c r="C920" s="286" t="s">
        <v>1657</v>
      </c>
      <c r="D920" s="286" t="s">
        <v>1105</v>
      </c>
      <c r="E920" s="286" t="s">
        <v>1106</v>
      </c>
      <c r="F920" s="286" t="s">
        <v>1722</v>
      </c>
      <c r="G920" s="286" t="s">
        <v>1039</v>
      </c>
      <c r="H920" s="286" t="s">
        <v>1039</v>
      </c>
      <c r="I920" s="286" t="s">
        <v>1152</v>
      </c>
      <c r="J920" s="286" t="s">
        <v>1312</v>
      </c>
      <c r="K920" s="286" t="s">
        <v>53</v>
      </c>
      <c r="L920" s="286" t="s">
        <v>53</v>
      </c>
      <c r="M920" s="286" t="s">
        <v>53</v>
      </c>
      <c r="N920" s="287">
        <v>1107.5</v>
      </c>
      <c r="O920" s="287"/>
      <c r="P920" s="286" t="s">
        <v>58</v>
      </c>
    </row>
    <row r="921" spans="1:16" hidden="1" x14ac:dyDescent="0.15">
      <c r="A921" s="286">
        <v>225409</v>
      </c>
      <c r="B921" s="288">
        <v>45058.522222222222</v>
      </c>
      <c r="C921" s="286" t="s">
        <v>1665</v>
      </c>
      <c r="D921" s="286" t="s">
        <v>1105</v>
      </c>
      <c r="E921" s="286" t="s">
        <v>1106</v>
      </c>
      <c r="F921" s="286" t="s">
        <v>1723</v>
      </c>
      <c r="G921" s="286" t="s">
        <v>1061</v>
      </c>
      <c r="H921" s="286" t="s">
        <v>1061</v>
      </c>
      <c r="I921" s="286" t="s">
        <v>1228</v>
      </c>
      <c r="J921" s="286" t="s">
        <v>1312</v>
      </c>
      <c r="K921" s="286" t="s">
        <v>53</v>
      </c>
      <c r="L921" s="286" t="s">
        <v>53</v>
      </c>
      <c r="M921" s="286" t="s">
        <v>53</v>
      </c>
      <c r="N921" s="287">
        <v>1107.5</v>
      </c>
      <c r="O921" s="287"/>
      <c r="P921" s="286" t="s">
        <v>58</v>
      </c>
    </row>
    <row r="922" spans="1:16" hidden="1" x14ac:dyDescent="0.15">
      <c r="A922" s="286">
        <v>225409</v>
      </c>
      <c r="B922" s="288">
        <v>45058.522222222222</v>
      </c>
      <c r="C922" s="286" t="s">
        <v>1665</v>
      </c>
      <c r="D922" s="286" t="s">
        <v>1105</v>
      </c>
      <c r="E922" s="286" t="s">
        <v>1106</v>
      </c>
      <c r="F922" s="286" t="s">
        <v>1723</v>
      </c>
      <c r="G922" s="286" t="s">
        <v>1841</v>
      </c>
      <c r="H922" s="286" t="s">
        <v>1841</v>
      </c>
      <c r="I922" s="286" t="s">
        <v>1228</v>
      </c>
      <c r="J922" s="286" t="s">
        <v>1312</v>
      </c>
      <c r="K922" s="286" t="s">
        <v>53</v>
      </c>
      <c r="L922" s="286" t="s">
        <v>53</v>
      </c>
      <c r="M922" s="286" t="s">
        <v>53</v>
      </c>
      <c r="N922" s="287">
        <v>1107.5</v>
      </c>
      <c r="O922" s="287"/>
      <c r="P922" s="286" t="s">
        <v>58</v>
      </c>
    </row>
    <row r="923" spans="1:16" hidden="1" x14ac:dyDescent="0.15">
      <c r="A923" s="286">
        <v>225409</v>
      </c>
      <c r="B923" s="288">
        <v>45058.522222222222</v>
      </c>
      <c r="C923" s="286" t="s">
        <v>1665</v>
      </c>
      <c r="D923" s="286" t="s">
        <v>1105</v>
      </c>
      <c r="E923" s="286" t="s">
        <v>1106</v>
      </c>
      <c r="F923" s="286" t="s">
        <v>1723</v>
      </c>
      <c r="G923" s="286" t="s">
        <v>1039</v>
      </c>
      <c r="H923" s="286" t="s">
        <v>1039</v>
      </c>
      <c r="I923" s="286" t="s">
        <v>1152</v>
      </c>
      <c r="J923" s="286" t="s">
        <v>1312</v>
      </c>
      <c r="K923" s="286" t="s">
        <v>53</v>
      </c>
      <c r="L923" s="286" t="s">
        <v>53</v>
      </c>
      <c r="M923" s="286" t="s">
        <v>53</v>
      </c>
      <c r="N923" s="287">
        <v>1107.5</v>
      </c>
      <c r="O923" s="287"/>
      <c r="P923" s="286" t="s">
        <v>58</v>
      </c>
    </row>
    <row r="924" spans="1:16" hidden="1" x14ac:dyDescent="0.15">
      <c r="A924" s="286">
        <v>278788</v>
      </c>
      <c r="B924" s="288">
        <v>45118.57708333333</v>
      </c>
      <c r="C924" s="286" t="s">
        <v>1649</v>
      </c>
      <c r="D924" s="286" t="s">
        <v>1105</v>
      </c>
      <c r="E924" s="286" t="s">
        <v>1106</v>
      </c>
      <c r="F924" s="286" t="s">
        <v>1712</v>
      </c>
      <c r="G924" s="286" t="s">
        <v>1061</v>
      </c>
      <c r="H924" s="286" t="s">
        <v>1061</v>
      </c>
      <c r="I924" s="286" t="s">
        <v>1228</v>
      </c>
      <c r="J924" s="286" t="s">
        <v>53</v>
      </c>
      <c r="K924" s="286" t="s">
        <v>53</v>
      </c>
      <c r="L924" s="286" t="s">
        <v>53</v>
      </c>
      <c r="M924" s="286" t="s">
        <v>53</v>
      </c>
      <c r="N924" s="287">
        <v>1107.5</v>
      </c>
      <c r="O924" s="287"/>
      <c r="P924" s="286" t="s">
        <v>58</v>
      </c>
    </row>
    <row r="925" spans="1:16" hidden="1" x14ac:dyDescent="0.15">
      <c r="A925" s="286">
        <v>170499</v>
      </c>
      <c r="B925" s="288">
        <v>44986.615972222222</v>
      </c>
      <c r="C925" s="286" t="s">
        <v>1640</v>
      </c>
      <c r="D925" s="286" t="s">
        <v>1105</v>
      </c>
      <c r="E925" s="286" t="s">
        <v>1106</v>
      </c>
      <c r="F925" s="286" t="s">
        <v>1755</v>
      </c>
      <c r="G925" s="286" t="s">
        <v>1840</v>
      </c>
      <c r="H925" s="286" t="s">
        <v>1840</v>
      </c>
      <c r="I925" s="286" t="s">
        <v>1228</v>
      </c>
      <c r="J925" s="286" t="s">
        <v>1312</v>
      </c>
      <c r="K925" s="286" t="s">
        <v>53</v>
      </c>
      <c r="L925" s="286" t="s">
        <v>53</v>
      </c>
      <c r="M925" s="286" t="s">
        <v>53</v>
      </c>
      <c r="N925" s="287">
        <v>1107.25</v>
      </c>
      <c r="O925" s="287"/>
      <c r="P925" s="286" t="s">
        <v>58</v>
      </c>
    </row>
    <row r="926" spans="1:16" hidden="1" x14ac:dyDescent="0.15">
      <c r="A926" s="286">
        <v>170298</v>
      </c>
      <c r="B926" s="288">
        <v>44986.623611111114</v>
      </c>
      <c r="C926" s="286" t="s">
        <v>1638</v>
      </c>
      <c r="D926" s="286" t="s">
        <v>1105</v>
      </c>
      <c r="E926" s="286" t="s">
        <v>1106</v>
      </c>
      <c r="F926" s="286" t="s">
        <v>1721</v>
      </c>
      <c r="G926" s="286" t="s">
        <v>1840</v>
      </c>
      <c r="H926" s="286" t="s">
        <v>1840</v>
      </c>
      <c r="I926" s="286" t="s">
        <v>1228</v>
      </c>
      <c r="J926" s="286" t="s">
        <v>1312</v>
      </c>
      <c r="K926" s="286" t="s">
        <v>53</v>
      </c>
      <c r="L926" s="286" t="s">
        <v>53</v>
      </c>
      <c r="M926" s="286" t="s">
        <v>53</v>
      </c>
      <c r="N926" s="287">
        <v>1107.25</v>
      </c>
      <c r="O926" s="287"/>
      <c r="P926" s="286" t="s">
        <v>58</v>
      </c>
    </row>
    <row r="927" spans="1:16" hidden="1" x14ac:dyDescent="0.15">
      <c r="A927" s="286">
        <v>185846</v>
      </c>
      <c r="B927" s="288">
        <v>45005.724305555559</v>
      </c>
      <c r="C927" s="286" t="s">
        <v>1667</v>
      </c>
      <c r="D927" s="286" t="s">
        <v>1105</v>
      </c>
      <c r="E927" s="286" t="s">
        <v>1106</v>
      </c>
      <c r="F927" s="286" t="s">
        <v>1702</v>
      </c>
      <c r="G927" s="286" t="s">
        <v>1840</v>
      </c>
      <c r="H927" s="286" t="s">
        <v>1840</v>
      </c>
      <c r="I927" s="286" t="s">
        <v>1228</v>
      </c>
      <c r="J927" s="286" t="s">
        <v>1312</v>
      </c>
      <c r="K927" s="286" t="s">
        <v>53</v>
      </c>
      <c r="L927" s="286" t="s">
        <v>53</v>
      </c>
      <c r="M927" s="286" t="s">
        <v>53</v>
      </c>
      <c r="N927" s="287">
        <v>1107.25</v>
      </c>
      <c r="O927" s="287"/>
      <c r="P927" s="286" t="s">
        <v>58</v>
      </c>
    </row>
    <row r="928" spans="1:16" hidden="1" x14ac:dyDescent="0.15">
      <c r="A928" s="286">
        <v>201556</v>
      </c>
      <c r="B928" s="288">
        <v>45029.540972222225</v>
      </c>
      <c r="C928" s="286" t="s">
        <v>1657</v>
      </c>
      <c r="D928" s="286" t="s">
        <v>1105</v>
      </c>
      <c r="E928" s="286" t="s">
        <v>1106</v>
      </c>
      <c r="F928" s="286" t="s">
        <v>1722</v>
      </c>
      <c r="G928" s="286" t="s">
        <v>1840</v>
      </c>
      <c r="H928" s="286" t="s">
        <v>1840</v>
      </c>
      <c r="I928" s="286" t="s">
        <v>1228</v>
      </c>
      <c r="J928" s="286" t="s">
        <v>1312</v>
      </c>
      <c r="K928" s="286" t="s">
        <v>53</v>
      </c>
      <c r="L928" s="286" t="s">
        <v>53</v>
      </c>
      <c r="M928" s="286" t="s">
        <v>53</v>
      </c>
      <c r="N928" s="287">
        <v>1107.25</v>
      </c>
      <c r="O928" s="287"/>
      <c r="P928" s="286" t="s">
        <v>58</v>
      </c>
    </row>
    <row r="929" spans="1:16" hidden="1" x14ac:dyDescent="0.15">
      <c r="A929" s="286">
        <v>225409</v>
      </c>
      <c r="B929" s="288">
        <v>45058.522222222222</v>
      </c>
      <c r="C929" s="286" t="s">
        <v>1665</v>
      </c>
      <c r="D929" s="286" t="s">
        <v>1105</v>
      </c>
      <c r="E929" s="286" t="s">
        <v>1106</v>
      </c>
      <c r="F929" s="286" t="s">
        <v>1723</v>
      </c>
      <c r="G929" s="286" t="s">
        <v>1840</v>
      </c>
      <c r="H929" s="286" t="s">
        <v>1840</v>
      </c>
      <c r="I929" s="286" t="s">
        <v>1228</v>
      </c>
      <c r="J929" s="286" t="s">
        <v>1312</v>
      </c>
      <c r="K929" s="286" t="s">
        <v>53</v>
      </c>
      <c r="L929" s="286" t="s">
        <v>53</v>
      </c>
      <c r="M929" s="286" t="s">
        <v>53</v>
      </c>
      <c r="N929" s="287">
        <v>1107.25</v>
      </c>
      <c r="O929" s="287"/>
      <c r="P929" s="286" t="s">
        <v>58</v>
      </c>
    </row>
    <row r="930" spans="1:16" hidden="1" x14ac:dyDescent="0.15">
      <c r="A930" s="286">
        <v>370270</v>
      </c>
      <c r="B930" s="288">
        <v>45208.668055555558</v>
      </c>
      <c r="C930" s="286" t="s">
        <v>1642</v>
      </c>
      <c r="D930" s="286" t="s">
        <v>1105</v>
      </c>
      <c r="E930" s="286" t="s">
        <v>1106</v>
      </c>
      <c r="F930" s="286" t="s">
        <v>1716</v>
      </c>
      <c r="G930" s="286" t="s">
        <v>1064</v>
      </c>
      <c r="H930" s="286" t="s">
        <v>1064</v>
      </c>
      <c r="I930" s="286" t="s">
        <v>1228</v>
      </c>
      <c r="J930" s="286" t="s">
        <v>53</v>
      </c>
      <c r="K930" s="286" t="s">
        <v>53</v>
      </c>
      <c r="L930" s="286" t="s">
        <v>53</v>
      </c>
      <c r="M930" s="286" t="s">
        <v>53</v>
      </c>
      <c r="N930" s="287">
        <v>1106.3</v>
      </c>
      <c r="O930" s="287"/>
      <c r="P930" s="286" t="s">
        <v>58</v>
      </c>
    </row>
    <row r="931" spans="1:16" hidden="1" x14ac:dyDescent="0.15">
      <c r="A931" s="286">
        <v>189237</v>
      </c>
      <c r="B931" s="288">
        <v>45012.618750000001</v>
      </c>
      <c r="C931" s="286" t="s">
        <v>1667</v>
      </c>
      <c r="D931" s="286" t="s">
        <v>1309</v>
      </c>
      <c r="E931" s="286" t="s">
        <v>1310</v>
      </c>
      <c r="F931" s="286" t="s">
        <v>1668</v>
      </c>
      <c r="G931" s="286" t="s">
        <v>1009</v>
      </c>
      <c r="H931" s="286" t="s">
        <v>1009</v>
      </c>
      <c r="I931" s="286" t="s">
        <v>1301</v>
      </c>
      <c r="J931" s="286" t="s">
        <v>1312</v>
      </c>
      <c r="K931" s="286" t="s">
        <v>56</v>
      </c>
      <c r="L931" s="286" t="s">
        <v>71</v>
      </c>
      <c r="M931" s="286">
        <v>1</v>
      </c>
      <c r="N931" s="287">
        <v>1098</v>
      </c>
      <c r="O931" s="287"/>
      <c r="P931" s="286" t="s">
        <v>55</v>
      </c>
    </row>
    <row r="932" spans="1:16" hidden="1" x14ac:dyDescent="0.15">
      <c r="A932" s="286">
        <v>278788</v>
      </c>
      <c r="B932" s="288">
        <v>45118.57708333333</v>
      </c>
      <c r="C932" s="286" t="s">
        <v>1649</v>
      </c>
      <c r="D932" s="286" t="s">
        <v>1105</v>
      </c>
      <c r="E932" s="286" t="s">
        <v>1106</v>
      </c>
      <c r="F932" s="286" t="s">
        <v>1712</v>
      </c>
      <c r="G932" s="286" t="s">
        <v>1039</v>
      </c>
      <c r="H932" s="286" t="s">
        <v>1039</v>
      </c>
      <c r="I932" s="286" t="s">
        <v>1228</v>
      </c>
      <c r="J932" s="286" t="s">
        <v>53</v>
      </c>
      <c r="K932" s="286" t="s">
        <v>53</v>
      </c>
      <c r="L932" s="286" t="s">
        <v>53</v>
      </c>
      <c r="M932" s="286" t="s">
        <v>53</v>
      </c>
      <c r="N932" s="287">
        <v>1078.52</v>
      </c>
      <c r="O932" s="287"/>
      <c r="P932" s="286" t="s">
        <v>58</v>
      </c>
    </row>
    <row r="933" spans="1:16" hidden="1" x14ac:dyDescent="0.15">
      <c r="A933" s="286">
        <v>278788</v>
      </c>
      <c r="B933" s="288">
        <v>45118.57708333333</v>
      </c>
      <c r="C933" s="286" t="s">
        <v>1649</v>
      </c>
      <c r="D933" s="286" t="s">
        <v>1105</v>
      </c>
      <c r="E933" s="286" t="s">
        <v>1106</v>
      </c>
      <c r="F933" s="286" t="s">
        <v>1712</v>
      </c>
      <c r="G933" s="286" t="s">
        <v>1058</v>
      </c>
      <c r="H933" s="286" t="s">
        <v>1058</v>
      </c>
      <c r="I933" s="286" t="s">
        <v>1228</v>
      </c>
      <c r="J933" s="286" t="s">
        <v>53</v>
      </c>
      <c r="K933" s="286" t="s">
        <v>53</v>
      </c>
      <c r="L933" s="286" t="s">
        <v>53</v>
      </c>
      <c r="M933" s="286" t="s">
        <v>53</v>
      </c>
      <c r="N933" s="287">
        <v>1070.03</v>
      </c>
      <c r="O933" s="287"/>
      <c r="P933" s="286" t="s">
        <v>58</v>
      </c>
    </row>
    <row r="934" spans="1:16" hidden="1" x14ac:dyDescent="0.15">
      <c r="A934" s="286">
        <v>278788</v>
      </c>
      <c r="B934" s="288">
        <v>45118.57708333333</v>
      </c>
      <c r="C934" s="286" t="s">
        <v>1649</v>
      </c>
      <c r="D934" s="286" t="s">
        <v>1105</v>
      </c>
      <c r="E934" s="286" t="s">
        <v>1106</v>
      </c>
      <c r="F934" s="286" t="s">
        <v>1712</v>
      </c>
      <c r="G934" s="286" t="s">
        <v>1030</v>
      </c>
      <c r="H934" s="286" t="s">
        <v>1030</v>
      </c>
      <c r="I934" s="286" t="s">
        <v>1199</v>
      </c>
      <c r="J934" s="286" t="s">
        <v>53</v>
      </c>
      <c r="K934" s="286" t="s">
        <v>53</v>
      </c>
      <c r="L934" s="286" t="s">
        <v>53</v>
      </c>
      <c r="M934" s="286" t="s">
        <v>53</v>
      </c>
      <c r="N934" s="287">
        <v>1059.4100000000001</v>
      </c>
      <c r="O934" s="287"/>
      <c r="P934" s="286" t="s">
        <v>58</v>
      </c>
    </row>
    <row r="935" spans="1:16" hidden="1" x14ac:dyDescent="0.15">
      <c r="A935" s="286">
        <v>284271</v>
      </c>
      <c r="B935" s="288">
        <v>45121.682638888888</v>
      </c>
      <c r="C935" s="286" t="s">
        <v>1636</v>
      </c>
      <c r="D935" s="286" t="s">
        <v>1105</v>
      </c>
      <c r="E935" s="286" t="s">
        <v>1106</v>
      </c>
      <c r="F935" s="286" t="s">
        <v>1713</v>
      </c>
      <c r="G935" s="286" t="s">
        <v>1030</v>
      </c>
      <c r="H935" s="286" t="s">
        <v>1030</v>
      </c>
      <c r="I935" s="286" t="s">
        <v>1199</v>
      </c>
      <c r="J935" s="286" t="s">
        <v>53</v>
      </c>
      <c r="K935" s="286" t="s">
        <v>53</v>
      </c>
      <c r="L935" s="286" t="s">
        <v>53</v>
      </c>
      <c r="M935" s="286" t="s">
        <v>53</v>
      </c>
      <c r="N935" s="287">
        <v>1059.4100000000001</v>
      </c>
      <c r="O935" s="287"/>
      <c r="P935" s="286" t="s">
        <v>58</v>
      </c>
    </row>
    <row r="936" spans="1:16" hidden="1" x14ac:dyDescent="0.15">
      <c r="A936" s="286">
        <v>328287</v>
      </c>
      <c r="B936" s="288">
        <v>45161.62777777778</v>
      </c>
      <c r="C936" s="286" t="s">
        <v>1691</v>
      </c>
      <c r="D936" s="286" t="s">
        <v>1105</v>
      </c>
      <c r="E936" s="286" t="s">
        <v>1106</v>
      </c>
      <c r="F936" s="286" t="s">
        <v>1714</v>
      </c>
      <c r="G936" s="286" t="s">
        <v>1030</v>
      </c>
      <c r="H936" s="286" t="s">
        <v>1030</v>
      </c>
      <c r="I936" s="286" t="s">
        <v>1199</v>
      </c>
      <c r="J936" s="286" t="s">
        <v>53</v>
      </c>
      <c r="K936" s="286" t="s">
        <v>53</v>
      </c>
      <c r="L936" s="286" t="s">
        <v>53</v>
      </c>
      <c r="M936" s="286" t="s">
        <v>53</v>
      </c>
      <c r="N936" s="287">
        <v>1059.4100000000001</v>
      </c>
      <c r="O936" s="287"/>
      <c r="P936" s="286" t="s">
        <v>58</v>
      </c>
    </row>
    <row r="937" spans="1:16" hidden="1" x14ac:dyDescent="0.15">
      <c r="A937" s="286">
        <v>339870</v>
      </c>
      <c r="B937" s="288">
        <v>45177.481944444444</v>
      </c>
      <c r="C937" s="286" t="s">
        <v>1676</v>
      </c>
      <c r="D937" s="286" t="s">
        <v>1105</v>
      </c>
      <c r="E937" s="286" t="s">
        <v>1106</v>
      </c>
      <c r="F937" s="286" t="s">
        <v>1715</v>
      </c>
      <c r="G937" s="286" t="s">
        <v>1030</v>
      </c>
      <c r="H937" s="286" t="s">
        <v>1030</v>
      </c>
      <c r="I937" s="286" t="s">
        <v>1199</v>
      </c>
      <c r="J937" s="286" t="s">
        <v>53</v>
      </c>
      <c r="K937" s="286" t="s">
        <v>53</v>
      </c>
      <c r="L937" s="286" t="s">
        <v>53</v>
      </c>
      <c r="M937" s="286" t="s">
        <v>53</v>
      </c>
      <c r="N937" s="287">
        <v>1059.4100000000001</v>
      </c>
      <c r="O937" s="287"/>
      <c r="P937" s="286" t="s">
        <v>58</v>
      </c>
    </row>
    <row r="938" spans="1:16" hidden="1" x14ac:dyDescent="0.15">
      <c r="A938" s="286">
        <v>370270</v>
      </c>
      <c r="B938" s="288">
        <v>45208.668055555558</v>
      </c>
      <c r="C938" s="286" t="s">
        <v>1642</v>
      </c>
      <c r="D938" s="286" t="s">
        <v>1105</v>
      </c>
      <c r="E938" s="286" t="s">
        <v>1106</v>
      </c>
      <c r="F938" s="286" t="s">
        <v>1716</v>
      </c>
      <c r="G938" s="286" t="s">
        <v>1030</v>
      </c>
      <c r="H938" s="286" t="s">
        <v>1030</v>
      </c>
      <c r="I938" s="286" t="s">
        <v>1199</v>
      </c>
      <c r="J938" s="286" t="s">
        <v>53</v>
      </c>
      <c r="K938" s="286" t="s">
        <v>53</v>
      </c>
      <c r="L938" s="286" t="s">
        <v>53</v>
      </c>
      <c r="M938" s="286" t="s">
        <v>53</v>
      </c>
      <c r="N938" s="287">
        <v>1059.4100000000001</v>
      </c>
      <c r="O938" s="287"/>
      <c r="P938" s="286" t="s">
        <v>58</v>
      </c>
    </row>
    <row r="939" spans="1:16" hidden="1" x14ac:dyDescent="0.15">
      <c r="A939" s="286">
        <v>402221</v>
      </c>
      <c r="B939" s="288">
        <v>45243.579861111109</v>
      </c>
      <c r="C939" s="286" t="s">
        <v>1654</v>
      </c>
      <c r="D939" s="286" t="s">
        <v>1105</v>
      </c>
      <c r="E939" s="286" t="s">
        <v>1106</v>
      </c>
      <c r="F939" s="286" t="s">
        <v>1724</v>
      </c>
      <c r="G939" s="286" t="s">
        <v>1030</v>
      </c>
      <c r="H939" s="286" t="s">
        <v>1030</v>
      </c>
      <c r="I939" s="286" t="s">
        <v>1199</v>
      </c>
      <c r="J939" s="286" t="s">
        <v>53</v>
      </c>
      <c r="K939" s="286" t="s">
        <v>53</v>
      </c>
      <c r="L939" s="286" t="s">
        <v>53</v>
      </c>
      <c r="M939" s="286" t="s">
        <v>53</v>
      </c>
      <c r="N939" s="287">
        <v>1059.4100000000001</v>
      </c>
      <c r="O939" s="287"/>
      <c r="P939" s="286" t="s">
        <v>58</v>
      </c>
    </row>
    <row r="940" spans="1:16" hidden="1" x14ac:dyDescent="0.15">
      <c r="A940" s="286">
        <v>455146</v>
      </c>
      <c r="B940" s="288">
        <v>45310.510416666664</v>
      </c>
      <c r="C940" s="286" t="s">
        <v>1632</v>
      </c>
      <c r="D940" s="286" t="s">
        <v>1105</v>
      </c>
      <c r="E940" s="286" t="s">
        <v>1106</v>
      </c>
      <c r="F940" s="286" t="s">
        <v>1725</v>
      </c>
      <c r="G940" s="286" t="s">
        <v>1030</v>
      </c>
      <c r="H940" s="286" t="s">
        <v>1030</v>
      </c>
      <c r="I940" s="286" t="s">
        <v>1199</v>
      </c>
      <c r="J940" s="286" t="s">
        <v>53</v>
      </c>
      <c r="K940" s="286" t="s">
        <v>53</v>
      </c>
      <c r="L940" s="286" t="s">
        <v>53</v>
      </c>
      <c r="M940" s="286" t="s">
        <v>53</v>
      </c>
      <c r="N940" s="287">
        <v>1059.3800000000001</v>
      </c>
      <c r="O940" s="287"/>
      <c r="P940" s="286" t="s">
        <v>58</v>
      </c>
    </row>
    <row r="941" spans="1:16" hidden="1" x14ac:dyDescent="0.15">
      <c r="A941" s="286">
        <v>328287</v>
      </c>
      <c r="B941" s="288">
        <v>45161.62777777778</v>
      </c>
      <c r="C941" s="286" t="s">
        <v>1691</v>
      </c>
      <c r="D941" s="286" t="s">
        <v>1105</v>
      </c>
      <c r="E941" s="286" t="s">
        <v>1106</v>
      </c>
      <c r="F941" s="286" t="s">
        <v>1714</v>
      </c>
      <c r="G941" s="286" t="s">
        <v>1071</v>
      </c>
      <c r="H941" s="286" t="s">
        <v>1071</v>
      </c>
      <c r="I941" s="286" t="s">
        <v>1199</v>
      </c>
      <c r="J941" s="286" t="s">
        <v>53</v>
      </c>
      <c r="K941" s="286" t="s">
        <v>53</v>
      </c>
      <c r="L941" s="286" t="s">
        <v>53</v>
      </c>
      <c r="M941" s="286" t="s">
        <v>53</v>
      </c>
      <c r="N941" s="287">
        <v>1058.67</v>
      </c>
      <c r="O941" s="287"/>
      <c r="P941" s="286" t="s">
        <v>58</v>
      </c>
    </row>
    <row r="942" spans="1:16" hidden="1" x14ac:dyDescent="0.15">
      <c r="A942" s="286">
        <v>339870</v>
      </c>
      <c r="B942" s="288">
        <v>45177.481944444444</v>
      </c>
      <c r="C942" s="286" t="s">
        <v>1676</v>
      </c>
      <c r="D942" s="286" t="s">
        <v>1105</v>
      </c>
      <c r="E942" s="286" t="s">
        <v>1106</v>
      </c>
      <c r="F942" s="286" t="s">
        <v>1715</v>
      </c>
      <c r="G942" s="286" t="s">
        <v>1071</v>
      </c>
      <c r="H942" s="286" t="s">
        <v>1071</v>
      </c>
      <c r="I942" s="286" t="s">
        <v>1199</v>
      </c>
      <c r="J942" s="286" t="s">
        <v>53</v>
      </c>
      <c r="K942" s="286" t="s">
        <v>53</v>
      </c>
      <c r="L942" s="286" t="s">
        <v>53</v>
      </c>
      <c r="M942" s="286" t="s">
        <v>53</v>
      </c>
      <c r="N942" s="287">
        <v>1058.67</v>
      </c>
      <c r="O942" s="287"/>
      <c r="P942" s="286" t="s">
        <v>58</v>
      </c>
    </row>
    <row r="943" spans="1:16" hidden="1" x14ac:dyDescent="0.15">
      <c r="A943" s="286">
        <v>370270</v>
      </c>
      <c r="B943" s="288">
        <v>45208.668055555558</v>
      </c>
      <c r="C943" s="286" t="s">
        <v>1642</v>
      </c>
      <c r="D943" s="286" t="s">
        <v>1105</v>
      </c>
      <c r="E943" s="286" t="s">
        <v>1106</v>
      </c>
      <c r="F943" s="286" t="s">
        <v>1716</v>
      </c>
      <c r="G943" s="286" t="s">
        <v>1071</v>
      </c>
      <c r="H943" s="286" t="s">
        <v>1071</v>
      </c>
      <c r="I943" s="286" t="s">
        <v>1199</v>
      </c>
      <c r="J943" s="286" t="s">
        <v>53</v>
      </c>
      <c r="K943" s="286" t="s">
        <v>53</v>
      </c>
      <c r="L943" s="286" t="s">
        <v>53</v>
      </c>
      <c r="M943" s="286" t="s">
        <v>53</v>
      </c>
      <c r="N943" s="287">
        <v>1058.67</v>
      </c>
      <c r="O943" s="287"/>
      <c r="P943" s="286" t="s">
        <v>58</v>
      </c>
    </row>
    <row r="944" spans="1:16" hidden="1" x14ac:dyDescent="0.15">
      <c r="A944" s="286">
        <v>402221</v>
      </c>
      <c r="B944" s="288">
        <v>45243.579861111109</v>
      </c>
      <c r="C944" s="286" t="s">
        <v>1654</v>
      </c>
      <c r="D944" s="286" t="s">
        <v>1105</v>
      </c>
      <c r="E944" s="286" t="s">
        <v>1106</v>
      </c>
      <c r="F944" s="286" t="s">
        <v>1724</v>
      </c>
      <c r="G944" s="286" t="s">
        <v>1071</v>
      </c>
      <c r="H944" s="286" t="s">
        <v>1071</v>
      </c>
      <c r="I944" s="286" t="s">
        <v>1199</v>
      </c>
      <c r="J944" s="286" t="s">
        <v>53</v>
      </c>
      <c r="K944" s="286" t="s">
        <v>53</v>
      </c>
      <c r="L944" s="286" t="s">
        <v>53</v>
      </c>
      <c r="M944" s="286" t="s">
        <v>53</v>
      </c>
      <c r="N944" s="287">
        <v>1058.67</v>
      </c>
      <c r="O944" s="287"/>
      <c r="P944" s="286" t="s">
        <v>58</v>
      </c>
    </row>
    <row r="945" spans="1:16" hidden="1" x14ac:dyDescent="0.15">
      <c r="A945" s="286">
        <v>455146</v>
      </c>
      <c r="B945" s="288">
        <v>45310.510416666664</v>
      </c>
      <c r="C945" s="286" t="s">
        <v>1632</v>
      </c>
      <c r="D945" s="286" t="s">
        <v>1105</v>
      </c>
      <c r="E945" s="286" t="s">
        <v>1106</v>
      </c>
      <c r="F945" s="286" t="s">
        <v>1725</v>
      </c>
      <c r="G945" s="286" t="s">
        <v>1071</v>
      </c>
      <c r="H945" s="286" t="s">
        <v>1071</v>
      </c>
      <c r="I945" s="286" t="s">
        <v>1199</v>
      </c>
      <c r="J945" s="286" t="s">
        <v>53</v>
      </c>
      <c r="K945" s="286" t="s">
        <v>53</v>
      </c>
      <c r="L945" s="286" t="s">
        <v>53</v>
      </c>
      <c r="M945" s="286" t="s">
        <v>53</v>
      </c>
      <c r="N945" s="287">
        <v>1058.67</v>
      </c>
      <c r="O945" s="287"/>
      <c r="P945" s="286" t="s">
        <v>58</v>
      </c>
    </row>
    <row r="946" spans="1:16" hidden="1" x14ac:dyDescent="0.15">
      <c r="A946" s="286">
        <v>328287</v>
      </c>
      <c r="B946" s="288">
        <v>45161.62777777778</v>
      </c>
      <c r="C946" s="286" t="s">
        <v>1691</v>
      </c>
      <c r="D946" s="286" t="s">
        <v>1105</v>
      </c>
      <c r="E946" s="286" t="s">
        <v>1106</v>
      </c>
      <c r="F946" s="286" t="s">
        <v>1714</v>
      </c>
      <c r="G946" s="286" t="s">
        <v>1002</v>
      </c>
      <c r="H946" s="286" t="s">
        <v>1002</v>
      </c>
      <c r="I946" s="286" t="s">
        <v>1129</v>
      </c>
      <c r="J946" s="286" t="s">
        <v>1312</v>
      </c>
      <c r="K946" s="286" t="s">
        <v>1844</v>
      </c>
      <c r="L946" s="286" t="s">
        <v>1845</v>
      </c>
      <c r="M946" s="286">
        <v>1</v>
      </c>
      <c r="N946" s="287">
        <v>1046.1400000000001</v>
      </c>
      <c r="O946" s="287"/>
      <c r="P946" s="286" t="s">
        <v>164</v>
      </c>
    </row>
    <row r="947" spans="1:16" hidden="1" x14ac:dyDescent="0.15">
      <c r="A947" s="286">
        <v>278788</v>
      </c>
      <c r="B947" s="288">
        <v>45118.57708333333</v>
      </c>
      <c r="C947" s="286" t="s">
        <v>1649</v>
      </c>
      <c r="D947" s="286" t="s">
        <v>1105</v>
      </c>
      <c r="E947" s="286" t="s">
        <v>1106</v>
      </c>
      <c r="F947" s="286" t="s">
        <v>1712</v>
      </c>
      <c r="G947" s="286" t="s">
        <v>1055</v>
      </c>
      <c r="H947" s="286" t="s">
        <v>1055</v>
      </c>
      <c r="I947" s="286" t="s">
        <v>1152</v>
      </c>
      <c r="J947" s="286" t="s">
        <v>53</v>
      </c>
      <c r="K947" s="286" t="s">
        <v>53</v>
      </c>
      <c r="L947" s="286" t="s">
        <v>53</v>
      </c>
      <c r="M947" s="286" t="s">
        <v>53</v>
      </c>
      <c r="N947" s="287">
        <v>1041.81</v>
      </c>
      <c r="O947" s="287"/>
      <c r="P947" s="286" t="s">
        <v>58</v>
      </c>
    </row>
    <row r="948" spans="1:16" hidden="1" x14ac:dyDescent="0.15">
      <c r="A948" s="286">
        <v>433557</v>
      </c>
      <c r="B948" s="288">
        <v>45278.675694444442</v>
      </c>
      <c r="C948" s="286" t="s">
        <v>1654</v>
      </c>
      <c r="D948" s="286" t="s">
        <v>1105</v>
      </c>
      <c r="E948" s="286" t="s">
        <v>1106</v>
      </c>
      <c r="F948" s="286" t="s">
        <v>1846</v>
      </c>
      <c r="G948" s="286" t="s">
        <v>1021</v>
      </c>
      <c r="H948" s="286" t="s">
        <v>1021</v>
      </c>
      <c r="I948" s="286" t="s">
        <v>1199</v>
      </c>
      <c r="J948" s="286" t="s">
        <v>1312</v>
      </c>
      <c r="K948" s="286" t="s">
        <v>53</v>
      </c>
      <c r="L948" s="286" t="s">
        <v>53</v>
      </c>
      <c r="M948" s="286" t="s">
        <v>53</v>
      </c>
      <c r="N948" s="287">
        <v>1036.78</v>
      </c>
      <c r="O948" s="287"/>
      <c r="P948" s="286" t="s">
        <v>58</v>
      </c>
    </row>
    <row r="949" spans="1:16" hidden="1" x14ac:dyDescent="0.15">
      <c r="A949" s="286">
        <v>455246</v>
      </c>
      <c r="B949" s="288">
        <v>45310.520138888889</v>
      </c>
      <c r="C949" s="286" t="s">
        <v>1632</v>
      </c>
      <c r="D949" s="286" t="s">
        <v>1105</v>
      </c>
      <c r="E949" s="286" t="s">
        <v>1106</v>
      </c>
      <c r="F949" s="286" t="s">
        <v>1847</v>
      </c>
      <c r="G949" s="286" t="s">
        <v>1021</v>
      </c>
      <c r="H949" s="286" t="s">
        <v>1021</v>
      </c>
      <c r="I949" s="286" t="s">
        <v>1199</v>
      </c>
      <c r="J949" s="286" t="s">
        <v>53</v>
      </c>
      <c r="K949" s="286" t="s">
        <v>53</v>
      </c>
      <c r="L949" s="286" t="s">
        <v>53</v>
      </c>
      <c r="M949" s="286" t="s">
        <v>53</v>
      </c>
      <c r="N949" s="287">
        <v>1036.78</v>
      </c>
      <c r="O949" s="287"/>
      <c r="P949" s="286" t="s">
        <v>58</v>
      </c>
    </row>
    <row r="950" spans="1:16" hidden="1" x14ac:dyDescent="0.15">
      <c r="A950" s="286">
        <v>170399</v>
      </c>
      <c r="B950" s="288">
        <v>44986.614583333336</v>
      </c>
      <c r="C950" s="286" t="s">
        <v>1640</v>
      </c>
      <c r="D950" s="286" t="s">
        <v>1105</v>
      </c>
      <c r="E950" s="286" t="s">
        <v>1106</v>
      </c>
      <c r="F950" s="286" t="s">
        <v>1720</v>
      </c>
      <c r="G950" s="286" t="s">
        <v>1071</v>
      </c>
      <c r="H950" s="286" t="s">
        <v>1071</v>
      </c>
      <c r="I950" s="286" t="s">
        <v>1199</v>
      </c>
      <c r="J950" s="286" t="s">
        <v>1312</v>
      </c>
      <c r="K950" s="286" t="s">
        <v>53</v>
      </c>
      <c r="L950" s="286" t="s">
        <v>53</v>
      </c>
      <c r="M950" s="286" t="s">
        <v>53</v>
      </c>
      <c r="N950" s="287">
        <v>1009.83</v>
      </c>
      <c r="O950" s="287"/>
      <c r="P950" s="286" t="s">
        <v>58</v>
      </c>
    </row>
    <row r="951" spans="1:16" hidden="1" x14ac:dyDescent="0.15">
      <c r="A951" s="286">
        <v>170298</v>
      </c>
      <c r="B951" s="288">
        <v>44986.623611111114</v>
      </c>
      <c r="C951" s="286" t="s">
        <v>1638</v>
      </c>
      <c r="D951" s="286" t="s">
        <v>1105</v>
      </c>
      <c r="E951" s="286" t="s">
        <v>1106</v>
      </c>
      <c r="F951" s="286" t="s">
        <v>1721</v>
      </c>
      <c r="G951" s="286" t="s">
        <v>1071</v>
      </c>
      <c r="H951" s="286" t="s">
        <v>1071</v>
      </c>
      <c r="I951" s="286" t="s">
        <v>1199</v>
      </c>
      <c r="J951" s="286" t="s">
        <v>1312</v>
      </c>
      <c r="K951" s="286" t="s">
        <v>53</v>
      </c>
      <c r="L951" s="286" t="s">
        <v>53</v>
      </c>
      <c r="M951" s="286" t="s">
        <v>53</v>
      </c>
      <c r="N951" s="287">
        <v>1009.83</v>
      </c>
      <c r="O951" s="287"/>
      <c r="P951" s="286" t="s">
        <v>58</v>
      </c>
    </row>
    <row r="952" spans="1:16" hidden="1" x14ac:dyDescent="0.15">
      <c r="A952" s="286">
        <v>185846</v>
      </c>
      <c r="B952" s="288">
        <v>45005.724305555559</v>
      </c>
      <c r="C952" s="286" t="s">
        <v>1667</v>
      </c>
      <c r="D952" s="286" t="s">
        <v>1105</v>
      </c>
      <c r="E952" s="286" t="s">
        <v>1106</v>
      </c>
      <c r="F952" s="286" t="s">
        <v>1702</v>
      </c>
      <c r="G952" s="286" t="s">
        <v>1071</v>
      </c>
      <c r="H952" s="286" t="s">
        <v>1071</v>
      </c>
      <c r="I952" s="286" t="s">
        <v>1199</v>
      </c>
      <c r="J952" s="286" t="s">
        <v>1312</v>
      </c>
      <c r="K952" s="286" t="s">
        <v>53</v>
      </c>
      <c r="L952" s="286" t="s">
        <v>53</v>
      </c>
      <c r="M952" s="286" t="s">
        <v>53</v>
      </c>
      <c r="N952" s="287">
        <v>1009.83</v>
      </c>
      <c r="O952" s="287"/>
      <c r="P952" s="286" t="s">
        <v>58</v>
      </c>
    </row>
    <row r="953" spans="1:16" hidden="1" x14ac:dyDescent="0.15">
      <c r="A953" s="286">
        <v>201556</v>
      </c>
      <c r="B953" s="288">
        <v>45029.540972222225</v>
      </c>
      <c r="C953" s="286" t="s">
        <v>1657</v>
      </c>
      <c r="D953" s="286" t="s">
        <v>1105</v>
      </c>
      <c r="E953" s="286" t="s">
        <v>1106</v>
      </c>
      <c r="F953" s="286" t="s">
        <v>1722</v>
      </c>
      <c r="G953" s="286" t="s">
        <v>1071</v>
      </c>
      <c r="H953" s="286" t="s">
        <v>1071</v>
      </c>
      <c r="I953" s="286" t="s">
        <v>1199</v>
      </c>
      <c r="J953" s="286" t="s">
        <v>1312</v>
      </c>
      <c r="K953" s="286" t="s">
        <v>53</v>
      </c>
      <c r="L953" s="286" t="s">
        <v>53</v>
      </c>
      <c r="M953" s="286" t="s">
        <v>53</v>
      </c>
      <c r="N953" s="287">
        <v>1009.83</v>
      </c>
      <c r="O953" s="287"/>
      <c r="P953" s="286" t="s">
        <v>58</v>
      </c>
    </row>
    <row r="954" spans="1:16" hidden="1" x14ac:dyDescent="0.15">
      <c r="A954" s="286">
        <v>225409</v>
      </c>
      <c r="B954" s="288">
        <v>45058.522222222222</v>
      </c>
      <c r="C954" s="286" t="s">
        <v>1665</v>
      </c>
      <c r="D954" s="286" t="s">
        <v>1105</v>
      </c>
      <c r="E954" s="286" t="s">
        <v>1106</v>
      </c>
      <c r="F954" s="286" t="s">
        <v>1723</v>
      </c>
      <c r="G954" s="286" t="s">
        <v>1071</v>
      </c>
      <c r="H954" s="286" t="s">
        <v>1071</v>
      </c>
      <c r="I954" s="286" t="s">
        <v>1199</v>
      </c>
      <c r="J954" s="286" t="s">
        <v>1312</v>
      </c>
      <c r="K954" s="286" t="s">
        <v>53</v>
      </c>
      <c r="L954" s="286" t="s">
        <v>53</v>
      </c>
      <c r="M954" s="286" t="s">
        <v>53</v>
      </c>
      <c r="N954" s="287">
        <v>1009.83</v>
      </c>
      <c r="O954" s="287"/>
      <c r="P954" s="286" t="s">
        <v>58</v>
      </c>
    </row>
    <row r="955" spans="1:16" hidden="1" x14ac:dyDescent="0.15">
      <c r="A955" s="286">
        <v>170297</v>
      </c>
      <c r="B955" s="288">
        <v>44986.611111111109</v>
      </c>
      <c r="C955" s="286" t="s">
        <v>1640</v>
      </c>
      <c r="D955" s="286" t="s">
        <v>1105</v>
      </c>
      <c r="E955" s="286" t="s">
        <v>1106</v>
      </c>
      <c r="F955" s="286" t="s">
        <v>1746</v>
      </c>
      <c r="G955" s="286" t="s">
        <v>1055</v>
      </c>
      <c r="H955" s="286" t="s">
        <v>1055</v>
      </c>
      <c r="I955" s="286" t="s">
        <v>1152</v>
      </c>
      <c r="J955" s="286" t="s">
        <v>1312</v>
      </c>
      <c r="K955" s="286" t="s">
        <v>53</v>
      </c>
      <c r="L955" s="286" t="s">
        <v>53</v>
      </c>
      <c r="M955" s="286" t="s">
        <v>53</v>
      </c>
      <c r="N955" s="287">
        <v>1007.08</v>
      </c>
      <c r="O955" s="287"/>
      <c r="P955" s="286" t="s">
        <v>58</v>
      </c>
    </row>
    <row r="956" spans="1:16" hidden="1" x14ac:dyDescent="0.15">
      <c r="A956" s="286">
        <v>170298</v>
      </c>
      <c r="B956" s="288">
        <v>44986.623611111114</v>
      </c>
      <c r="C956" s="286" t="s">
        <v>1638</v>
      </c>
      <c r="D956" s="286" t="s">
        <v>1105</v>
      </c>
      <c r="E956" s="286" t="s">
        <v>1106</v>
      </c>
      <c r="F956" s="286" t="s">
        <v>1721</v>
      </c>
      <c r="G956" s="286" t="s">
        <v>1055</v>
      </c>
      <c r="H956" s="286" t="s">
        <v>1055</v>
      </c>
      <c r="I956" s="286" t="s">
        <v>1152</v>
      </c>
      <c r="J956" s="286" t="s">
        <v>1312</v>
      </c>
      <c r="K956" s="286" t="s">
        <v>53</v>
      </c>
      <c r="L956" s="286" t="s">
        <v>53</v>
      </c>
      <c r="M956" s="286" t="s">
        <v>53</v>
      </c>
      <c r="N956" s="287">
        <v>1007.08</v>
      </c>
      <c r="O956" s="287"/>
      <c r="P956" s="286" t="s">
        <v>58</v>
      </c>
    </row>
    <row r="957" spans="1:16" hidden="1" x14ac:dyDescent="0.15">
      <c r="A957" s="286">
        <v>185846</v>
      </c>
      <c r="B957" s="288">
        <v>45005.724305555559</v>
      </c>
      <c r="C957" s="286" t="s">
        <v>1667</v>
      </c>
      <c r="D957" s="286" t="s">
        <v>1105</v>
      </c>
      <c r="E957" s="286" t="s">
        <v>1106</v>
      </c>
      <c r="F957" s="286" t="s">
        <v>1702</v>
      </c>
      <c r="G957" s="286" t="s">
        <v>1055</v>
      </c>
      <c r="H957" s="286" t="s">
        <v>1055</v>
      </c>
      <c r="I957" s="286" t="s">
        <v>1152</v>
      </c>
      <c r="J957" s="286" t="s">
        <v>1312</v>
      </c>
      <c r="K957" s="286" t="s">
        <v>53</v>
      </c>
      <c r="L957" s="286" t="s">
        <v>53</v>
      </c>
      <c r="M957" s="286" t="s">
        <v>53</v>
      </c>
      <c r="N957" s="287">
        <v>1007.08</v>
      </c>
      <c r="O957" s="287"/>
      <c r="P957" s="286" t="s">
        <v>58</v>
      </c>
    </row>
    <row r="958" spans="1:16" hidden="1" x14ac:dyDescent="0.15">
      <c r="A958" s="286">
        <v>201556</v>
      </c>
      <c r="B958" s="288">
        <v>45029.540972222225</v>
      </c>
      <c r="C958" s="286" t="s">
        <v>1657</v>
      </c>
      <c r="D958" s="286" t="s">
        <v>1105</v>
      </c>
      <c r="E958" s="286" t="s">
        <v>1106</v>
      </c>
      <c r="F958" s="286" t="s">
        <v>1722</v>
      </c>
      <c r="G958" s="286" t="s">
        <v>1055</v>
      </c>
      <c r="H958" s="286" t="s">
        <v>1055</v>
      </c>
      <c r="I958" s="286" t="s">
        <v>1152</v>
      </c>
      <c r="J958" s="286" t="s">
        <v>1312</v>
      </c>
      <c r="K958" s="286" t="s">
        <v>53</v>
      </c>
      <c r="L958" s="286" t="s">
        <v>53</v>
      </c>
      <c r="M958" s="286" t="s">
        <v>53</v>
      </c>
      <c r="N958" s="287">
        <v>1007.08</v>
      </c>
      <c r="O958" s="287"/>
      <c r="P958" s="286" t="s">
        <v>58</v>
      </c>
    </row>
    <row r="959" spans="1:16" hidden="1" x14ac:dyDescent="0.15">
      <c r="A959" s="286">
        <v>225409</v>
      </c>
      <c r="B959" s="288">
        <v>45058.522222222222</v>
      </c>
      <c r="C959" s="286" t="s">
        <v>1665</v>
      </c>
      <c r="D959" s="286" t="s">
        <v>1105</v>
      </c>
      <c r="E959" s="286" t="s">
        <v>1106</v>
      </c>
      <c r="F959" s="286" t="s">
        <v>1723</v>
      </c>
      <c r="G959" s="286" t="s">
        <v>1055</v>
      </c>
      <c r="H959" s="286" t="s">
        <v>1055</v>
      </c>
      <c r="I959" s="286" t="s">
        <v>1152</v>
      </c>
      <c r="J959" s="286" t="s">
        <v>1312</v>
      </c>
      <c r="K959" s="286" t="s">
        <v>53</v>
      </c>
      <c r="L959" s="286" t="s">
        <v>53</v>
      </c>
      <c r="M959" s="286" t="s">
        <v>53</v>
      </c>
      <c r="N959" s="287">
        <v>1007.08</v>
      </c>
      <c r="O959" s="287"/>
      <c r="P959" s="286" t="s">
        <v>58</v>
      </c>
    </row>
    <row r="960" spans="1:16" hidden="1" x14ac:dyDescent="0.15">
      <c r="A960" s="286">
        <v>278788</v>
      </c>
      <c r="B960" s="288">
        <v>45118.57708333333</v>
      </c>
      <c r="C960" s="286" t="s">
        <v>1649</v>
      </c>
      <c r="D960" s="286" t="s">
        <v>1105</v>
      </c>
      <c r="E960" s="286" t="s">
        <v>1106</v>
      </c>
      <c r="F960" s="286" t="s">
        <v>1712</v>
      </c>
      <c r="G960" s="286" t="s">
        <v>1841</v>
      </c>
      <c r="H960" s="286" t="s">
        <v>1841</v>
      </c>
      <c r="I960" s="286" t="s">
        <v>1228</v>
      </c>
      <c r="J960" s="286" t="s">
        <v>53</v>
      </c>
      <c r="K960" s="286" t="s">
        <v>53</v>
      </c>
      <c r="L960" s="286" t="s">
        <v>53</v>
      </c>
      <c r="M960" s="286" t="s">
        <v>53</v>
      </c>
      <c r="N960" s="287">
        <v>979.1</v>
      </c>
      <c r="O960" s="287"/>
      <c r="P960" s="286" t="s">
        <v>58</v>
      </c>
    </row>
    <row r="961" spans="1:16" hidden="1" x14ac:dyDescent="0.15">
      <c r="A961" s="286">
        <v>284271</v>
      </c>
      <c r="B961" s="288">
        <v>45121.682638888888</v>
      </c>
      <c r="C961" s="286" t="s">
        <v>1636</v>
      </c>
      <c r="D961" s="286" t="s">
        <v>1105</v>
      </c>
      <c r="E961" s="286" t="s">
        <v>1106</v>
      </c>
      <c r="F961" s="286" t="s">
        <v>1713</v>
      </c>
      <c r="G961" s="286" t="s">
        <v>1841</v>
      </c>
      <c r="H961" s="286" t="s">
        <v>1841</v>
      </c>
      <c r="I961" s="286" t="s">
        <v>1228</v>
      </c>
      <c r="J961" s="286" t="s">
        <v>53</v>
      </c>
      <c r="K961" s="286" t="s">
        <v>53</v>
      </c>
      <c r="L961" s="286" t="s">
        <v>53</v>
      </c>
      <c r="M961" s="286" t="s">
        <v>53</v>
      </c>
      <c r="N961" s="287">
        <v>979.09</v>
      </c>
      <c r="O961" s="287"/>
      <c r="P961" s="286" t="s">
        <v>58</v>
      </c>
    </row>
    <row r="962" spans="1:16" hidden="1" x14ac:dyDescent="0.15">
      <c r="A962" s="286">
        <v>278788</v>
      </c>
      <c r="B962" s="288">
        <v>45118.57708333333</v>
      </c>
      <c r="C962" s="286" t="s">
        <v>1649</v>
      </c>
      <c r="D962" s="286" t="s">
        <v>1105</v>
      </c>
      <c r="E962" s="286" t="s">
        <v>1106</v>
      </c>
      <c r="F962" s="286" t="s">
        <v>1712</v>
      </c>
      <c r="G962" s="286" t="s">
        <v>1063</v>
      </c>
      <c r="H962" s="286" t="s">
        <v>1063</v>
      </c>
      <c r="I962" s="286" t="s">
        <v>1228</v>
      </c>
      <c r="J962" s="286" t="s">
        <v>53</v>
      </c>
      <c r="K962" s="286" t="s">
        <v>53</v>
      </c>
      <c r="L962" s="286" t="s">
        <v>53</v>
      </c>
      <c r="M962" s="286" t="s">
        <v>53</v>
      </c>
      <c r="N962" s="287">
        <v>976.4</v>
      </c>
      <c r="O962" s="287"/>
      <c r="P962" s="286" t="s">
        <v>58</v>
      </c>
    </row>
    <row r="963" spans="1:16" hidden="1" x14ac:dyDescent="0.15">
      <c r="A963" s="286">
        <v>284271</v>
      </c>
      <c r="B963" s="288">
        <v>45121.682638888888</v>
      </c>
      <c r="C963" s="286" t="s">
        <v>1636</v>
      </c>
      <c r="D963" s="286" t="s">
        <v>1105</v>
      </c>
      <c r="E963" s="286" t="s">
        <v>1106</v>
      </c>
      <c r="F963" s="286" t="s">
        <v>1713</v>
      </c>
      <c r="G963" s="286" t="s">
        <v>1063</v>
      </c>
      <c r="H963" s="286" t="s">
        <v>1063</v>
      </c>
      <c r="I963" s="286" t="s">
        <v>1228</v>
      </c>
      <c r="J963" s="286" t="s">
        <v>53</v>
      </c>
      <c r="K963" s="286" t="s">
        <v>53</v>
      </c>
      <c r="L963" s="286" t="s">
        <v>53</v>
      </c>
      <c r="M963" s="286" t="s">
        <v>53</v>
      </c>
      <c r="N963" s="287">
        <v>976.4</v>
      </c>
      <c r="O963" s="287"/>
      <c r="P963" s="286" t="s">
        <v>58</v>
      </c>
    </row>
    <row r="964" spans="1:16" hidden="1" x14ac:dyDescent="0.15">
      <c r="A964" s="286">
        <v>328287</v>
      </c>
      <c r="B964" s="288">
        <v>45161.62777777778</v>
      </c>
      <c r="C964" s="286" t="s">
        <v>1691</v>
      </c>
      <c r="D964" s="286" t="s">
        <v>1105</v>
      </c>
      <c r="E964" s="286" t="s">
        <v>1106</v>
      </c>
      <c r="F964" s="286" t="s">
        <v>1714</v>
      </c>
      <c r="G964" s="286" t="s">
        <v>1063</v>
      </c>
      <c r="H964" s="286" t="s">
        <v>1063</v>
      </c>
      <c r="I964" s="286" t="s">
        <v>1228</v>
      </c>
      <c r="J964" s="286" t="s">
        <v>53</v>
      </c>
      <c r="K964" s="286" t="s">
        <v>53</v>
      </c>
      <c r="L964" s="286" t="s">
        <v>53</v>
      </c>
      <c r="M964" s="286" t="s">
        <v>53</v>
      </c>
      <c r="N964" s="287">
        <v>976.4</v>
      </c>
      <c r="O964" s="287"/>
      <c r="P964" s="286" t="s">
        <v>58</v>
      </c>
    </row>
    <row r="965" spans="1:16" hidden="1" x14ac:dyDescent="0.15">
      <c r="A965" s="286">
        <v>339870</v>
      </c>
      <c r="B965" s="288">
        <v>45177.481944444444</v>
      </c>
      <c r="C965" s="286" t="s">
        <v>1676</v>
      </c>
      <c r="D965" s="286" t="s">
        <v>1105</v>
      </c>
      <c r="E965" s="286" t="s">
        <v>1106</v>
      </c>
      <c r="F965" s="286" t="s">
        <v>1715</v>
      </c>
      <c r="G965" s="286" t="s">
        <v>1063</v>
      </c>
      <c r="H965" s="286" t="s">
        <v>1063</v>
      </c>
      <c r="I965" s="286" t="s">
        <v>1228</v>
      </c>
      <c r="J965" s="286" t="s">
        <v>53</v>
      </c>
      <c r="K965" s="286" t="s">
        <v>53</v>
      </c>
      <c r="L965" s="286" t="s">
        <v>53</v>
      </c>
      <c r="M965" s="286" t="s">
        <v>53</v>
      </c>
      <c r="N965" s="287">
        <v>976.4</v>
      </c>
      <c r="O965" s="287"/>
      <c r="P965" s="286" t="s">
        <v>58</v>
      </c>
    </row>
    <row r="966" spans="1:16" hidden="1" x14ac:dyDescent="0.15">
      <c r="A966" s="286">
        <v>370270</v>
      </c>
      <c r="B966" s="288">
        <v>45208.668055555558</v>
      </c>
      <c r="C966" s="286" t="s">
        <v>1642</v>
      </c>
      <c r="D966" s="286" t="s">
        <v>1105</v>
      </c>
      <c r="E966" s="286" t="s">
        <v>1106</v>
      </c>
      <c r="F966" s="286" t="s">
        <v>1716</v>
      </c>
      <c r="G966" s="286" t="s">
        <v>1063</v>
      </c>
      <c r="H966" s="286" t="s">
        <v>1063</v>
      </c>
      <c r="I966" s="286" t="s">
        <v>1228</v>
      </c>
      <c r="J966" s="286" t="s">
        <v>53</v>
      </c>
      <c r="K966" s="286" t="s">
        <v>53</v>
      </c>
      <c r="L966" s="286" t="s">
        <v>53</v>
      </c>
      <c r="M966" s="286" t="s">
        <v>53</v>
      </c>
      <c r="N966" s="287">
        <v>976.4</v>
      </c>
      <c r="O966" s="287"/>
      <c r="P966" s="286" t="s">
        <v>58</v>
      </c>
    </row>
    <row r="967" spans="1:16" hidden="1" x14ac:dyDescent="0.15">
      <c r="A967" s="286">
        <v>402221</v>
      </c>
      <c r="B967" s="288">
        <v>45243.579861111109</v>
      </c>
      <c r="C967" s="286" t="s">
        <v>1654</v>
      </c>
      <c r="D967" s="286" t="s">
        <v>1105</v>
      </c>
      <c r="E967" s="286" t="s">
        <v>1106</v>
      </c>
      <c r="F967" s="286" t="s">
        <v>1724</v>
      </c>
      <c r="G967" s="286" t="s">
        <v>1063</v>
      </c>
      <c r="H967" s="286" t="s">
        <v>1063</v>
      </c>
      <c r="I967" s="286" t="s">
        <v>1228</v>
      </c>
      <c r="J967" s="286" t="s">
        <v>53</v>
      </c>
      <c r="K967" s="286" t="s">
        <v>53</v>
      </c>
      <c r="L967" s="286" t="s">
        <v>53</v>
      </c>
      <c r="M967" s="286" t="s">
        <v>53</v>
      </c>
      <c r="N967" s="287">
        <v>976.4</v>
      </c>
      <c r="O967" s="287"/>
      <c r="P967" s="286" t="s">
        <v>58</v>
      </c>
    </row>
    <row r="968" spans="1:16" hidden="1" x14ac:dyDescent="0.15">
      <c r="A968" s="286">
        <v>455146</v>
      </c>
      <c r="B968" s="288">
        <v>45310.510416666664</v>
      </c>
      <c r="C968" s="286" t="s">
        <v>1632</v>
      </c>
      <c r="D968" s="286" t="s">
        <v>1105</v>
      </c>
      <c r="E968" s="286" t="s">
        <v>1106</v>
      </c>
      <c r="F968" s="286" t="s">
        <v>1725</v>
      </c>
      <c r="G968" s="286" t="s">
        <v>1063</v>
      </c>
      <c r="H968" s="286" t="s">
        <v>1063</v>
      </c>
      <c r="I968" s="286" t="s">
        <v>1228</v>
      </c>
      <c r="J968" s="286" t="s">
        <v>53</v>
      </c>
      <c r="K968" s="286" t="s">
        <v>53</v>
      </c>
      <c r="L968" s="286" t="s">
        <v>53</v>
      </c>
      <c r="M968" s="286" t="s">
        <v>53</v>
      </c>
      <c r="N968" s="287">
        <v>976.4</v>
      </c>
      <c r="O968" s="287"/>
      <c r="P968" s="286" t="s">
        <v>58</v>
      </c>
    </row>
    <row r="969" spans="1:16" hidden="1" x14ac:dyDescent="0.15">
      <c r="A969" s="286">
        <v>284271</v>
      </c>
      <c r="B969" s="288">
        <v>45121.682638888888</v>
      </c>
      <c r="C969" s="286" t="s">
        <v>1636</v>
      </c>
      <c r="D969" s="286" t="s">
        <v>1105</v>
      </c>
      <c r="E969" s="286" t="s">
        <v>1106</v>
      </c>
      <c r="F969" s="286" t="s">
        <v>1713</v>
      </c>
      <c r="G969" s="286" t="s">
        <v>1055</v>
      </c>
      <c r="H969" s="286" t="s">
        <v>1055</v>
      </c>
      <c r="I969" s="286" t="s">
        <v>1152</v>
      </c>
      <c r="J969" s="286" t="s">
        <v>53</v>
      </c>
      <c r="K969" s="286" t="s">
        <v>53</v>
      </c>
      <c r="L969" s="286" t="s">
        <v>53</v>
      </c>
      <c r="M969" s="286" t="s">
        <v>53</v>
      </c>
      <c r="N969" s="287">
        <v>972.36</v>
      </c>
      <c r="O969" s="287"/>
      <c r="P969" s="286" t="s">
        <v>58</v>
      </c>
    </row>
    <row r="970" spans="1:16" hidden="1" x14ac:dyDescent="0.15">
      <c r="A970" s="286">
        <v>370270</v>
      </c>
      <c r="B970" s="288">
        <v>45208.668055555558</v>
      </c>
      <c r="C970" s="286" t="s">
        <v>1642</v>
      </c>
      <c r="D970" s="286" t="s">
        <v>1105</v>
      </c>
      <c r="E970" s="286" t="s">
        <v>1106</v>
      </c>
      <c r="F970" s="286" t="s">
        <v>1716</v>
      </c>
      <c r="G970" s="286" t="s">
        <v>1080</v>
      </c>
      <c r="H970" s="286" t="s">
        <v>1080</v>
      </c>
      <c r="I970" s="286" t="s">
        <v>1228</v>
      </c>
      <c r="J970" s="286" t="s">
        <v>1312</v>
      </c>
      <c r="K970" s="286" t="s">
        <v>1770</v>
      </c>
      <c r="L970" s="286" t="s">
        <v>672</v>
      </c>
      <c r="M970" s="286">
        <v>1</v>
      </c>
      <c r="N970" s="287">
        <v>952.33</v>
      </c>
      <c r="O970" s="287"/>
      <c r="P970" s="286" t="s">
        <v>58</v>
      </c>
    </row>
    <row r="971" spans="1:16" hidden="1" x14ac:dyDescent="0.15">
      <c r="A971" s="286">
        <v>370270</v>
      </c>
      <c r="B971" s="288">
        <v>45208.668055555558</v>
      </c>
      <c r="C971" s="286" t="s">
        <v>1642</v>
      </c>
      <c r="D971" s="286" t="s">
        <v>1105</v>
      </c>
      <c r="E971" s="286" t="s">
        <v>1106</v>
      </c>
      <c r="F971" s="286" t="s">
        <v>1716</v>
      </c>
      <c r="G971" s="286" t="s">
        <v>1080</v>
      </c>
      <c r="H971" s="286" t="s">
        <v>1080</v>
      </c>
      <c r="I971" s="286" t="s">
        <v>1228</v>
      </c>
      <c r="J971" s="286" t="s">
        <v>1312</v>
      </c>
      <c r="K971" s="286" t="s">
        <v>1808</v>
      </c>
      <c r="L971" s="286" t="s">
        <v>53</v>
      </c>
      <c r="M971" s="286">
        <v>1</v>
      </c>
      <c r="N971" s="287">
        <v>952.33</v>
      </c>
      <c r="O971" s="287"/>
      <c r="P971" s="286" t="s">
        <v>58</v>
      </c>
    </row>
    <row r="972" spans="1:16" hidden="1" x14ac:dyDescent="0.15">
      <c r="A972" s="286">
        <v>370270</v>
      </c>
      <c r="B972" s="288">
        <v>45208.668055555558</v>
      </c>
      <c r="C972" s="286" t="s">
        <v>1642</v>
      </c>
      <c r="D972" s="286" t="s">
        <v>1105</v>
      </c>
      <c r="E972" s="286" t="s">
        <v>1106</v>
      </c>
      <c r="F972" s="286" t="s">
        <v>1716</v>
      </c>
      <c r="G972" s="286" t="s">
        <v>1080</v>
      </c>
      <c r="H972" s="286" t="s">
        <v>1080</v>
      </c>
      <c r="I972" s="286" t="s">
        <v>1228</v>
      </c>
      <c r="J972" s="286" t="s">
        <v>1312</v>
      </c>
      <c r="K972" s="286" t="s">
        <v>1821</v>
      </c>
      <c r="L972" s="286" t="s">
        <v>53</v>
      </c>
      <c r="M972" s="286">
        <v>1</v>
      </c>
      <c r="N972" s="287">
        <v>952.33</v>
      </c>
      <c r="O972" s="287"/>
      <c r="P972" s="286" t="s">
        <v>58</v>
      </c>
    </row>
    <row r="973" spans="1:16" hidden="1" x14ac:dyDescent="0.15">
      <c r="A973" s="286">
        <v>455146</v>
      </c>
      <c r="B973" s="288">
        <v>45310.510416666664</v>
      </c>
      <c r="C973" s="286" t="s">
        <v>1632</v>
      </c>
      <c r="D973" s="286" t="s">
        <v>1105</v>
      </c>
      <c r="E973" s="286" t="s">
        <v>1106</v>
      </c>
      <c r="F973" s="286" t="s">
        <v>1725</v>
      </c>
      <c r="G973" s="286" t="s">
        <v>1080</v>
      </c>
      <c r="H973" s="286" t="s">
        <v>1080</v>
      </c>
      <c r="I973" s="286" t="s">
        <v>1228</v>
      </c>
      <c r="J973" s="286" t="s">
        <v>1312</v>
      </c>
      <c r="K973" s="286" t="s">
        <v>1770</v>
      </c>
      <c r="L973" s="286" t="s">
        <v>672</v>
      </c>
      <c r="M973" s="286">
        <v>1</v>
      </c>
      <c r="N973" s="287">
        <v>952.33</v>
      </c>
      <c r="O973" s="287"/>
      <c r="P973" s="286" t="s">
        <v>58</v>
      </c>
    </row>
    <row r="974" spans="1:16" hidden="1" x14ac:dyDescent="0.15">
      <c r="A974" s="286">
        <v>455146</v>
      </c>
      <c r="B974" s="288">
        <v>45310.510416666664</v>
      </c>
      <c r="C974" s="286" t="s">
        <v>1632</v>
      </c>
      <c r="D974" s="286" t="s">
        <v>1105</v>
      </c>
      <c r="E974" s="286" t="s">
        <v>1106</v>
      </c>
      <c r="F974" s="286" t="s">
        <v>1725</v>
      </c>
      <c r="G974" s="286" t="s">
        <v>1080</v>
      </c>
      <c r="H974" s="286" t="s">
        <v>1080</v>
      </c>
      <c r="I974" s="286" t="s">
        <v>1228</v>
      </c>
      <c r="J974" s="286" t="s">
        <v>1312</v>
      </c>
      <c r="K974" s="286" t="s">
        <v>1808</v>
      </c>
      <c r="L974" s="286" t="s">
        <v>53</v>
      </c>
      <c r="M974" s="286">
        <v>1</v>
      </c>
      <c r="N974" s="287">
        <v>952.33</v>
      </c>
      <c r="O974" s="287"/>
      <c r="P974" s="286" t="s">
        <v>58</v>
      </c>
    </row>
    <row r="975" spans="1:16" hidden="1" x14ac:dyDescent="0.15">
      <c r="A975" s="286">
        <v>455146</v>
      </c>
      <c r="B975" s="288">
        <v>45310.510416666664</v>
      </c>
      <c r="C975" s="286" t="s">
        <v>1632</v>
      </c>
      <c r="D975" s="286" t="s">
        <v>1105</v>
      </c>
      <c r="E975" s="286" t="s">
        <v>1106</v>
      </c>
      <c r="F975" s="286" t="s">
        <v>1725</v>
      </c>
      <c r="G975" s="286" t="s">
        <v>1080</v>
      </c>
      <c r="H975" s="286" t="s">
        <v>1080</v>
      </c>
      <c r="I975" s="286" t="s">
        <v>1228</v>
      </c>
      <c r="J975" s="286" t="s">
        <v>1312</v>
      </c>
      <c r="K975" s="286" t="s">
        <v>1821</v>
      </c>
      <c r="L975" s="286" t="s">
        <v>53</v>
      </c>
      <c r="M975" s="286">
        <v>1</v>
      </c>
      <c r="N975" s="287">
        <v>952.33</v>
      </c>
      <c r="O975" s="287"/>
      <c r="P975" s="286" t="s">
        <v>58</v>
      </c>
    </row>
    <row r="976" spans="1:16" hidden="1" x14ac:dyDescent="0.15">
      <c r="A976" s="286">
        <v>339870</v>
      </c>
      <c r="B976" s="288">
        <v>45177.481944444444</v>
      </c>
      <c r="C976" s="286" t="s">
        <v>1676</v>
      </c>
      <c r="D976" s="286" t="s">
        <v>1105</v>
      </c>
      <c r="E976" s="286" t="s">
        <v>1106</v>
      </c>
      <c r="F976" s="286" t="s">
        <v>1715</v>
      </c>
      <c r="G976" s="286" t="s">
        <v>1080</v>
      </c>
      <c r="H976" s="286" t="s">
        <v>1080</v>
      </c>
      <c r="I976" s="286" t="s">
        <v>1228</v>
      </c>
      <c r="J976" s="286" t="s">
        <v>1312</v>
      </c>
      <c r="K976" s="286" t="s">
        <v>1770</v>
      </c>
      <c r="L976" s="286" t="s">
        <v>672</v>
      </c>
      <c r="M976" s="286">
        <v>1</v>
      </c>
      <c r="N976" s="287">
        <v>921.61</v>
      </c>
      <c r="O976" s="287"/>
      <c r="P976" s="286" t="s">
        <v>58</v>
      </c>
    </row>
    <row r="977" spans="1:16" hidden="1" x14ac:dyDescent="0.15">
      <c r="A977" s="286">
        <v>339870</v>
      </c>
      <c r="B977" s="288">
        <v>45177.481944444444</v>
      </c>
      <c r="C977" s="286" t="s">
        <v>1676</v>
      </c>
      <c r="D977" s="286" t="s">
        <v>1105</v>
      </c>
      <c r="E977" s="286" t="s">
        <v>1106</v>
      </c>
      <c r="F977" s="286" t="s">
        <v>1715</v>
      </c>
      <c r="G977" s="286" t="s">
        <v>1080</v>
      </c>
      <c r="H977" s="286" t="s">
        <v>1080</v>
      </c>
      <c r="I977" s="286" t="s">
        <v>1228</v>
      </c>
      <c r="J977" s="286" t="s">
        <v>1312</v>
      </c>
      <c r="K977" s="286" t="s">
        <v>1808</v>
      </c>
      <c r="L977" s="286" t="s">
        <v>53</v>
      </c>
      <c r="M977" s="286">
        <v>1</v>
      </c>
      <c r="N977" s="287">
        <v>921.61</v>
      </c>
      <c r="O977" s="287"/>
      <c r="P977" s="286" t="s">
        <v>58</v>
      </c>
    </row>
    <row r="978" spans="1:16" hidden="1" x14ac:dyDescent="0.15">
      <c r="A978" s="286">
        <v>339870</v>
      </c>
      <c r="B978" s="288">
        <v>45177.481944444444</v>
      </c>
      <c r="C978" s="286" t="s">
        <v>1676</v>
      </c>
      <c r="D978" s="286" t="s">
        <v>1105</v>
      </c>
      <c r="E978" s="286" t="s">
        <v>1106</v>
      </c>
      <c r="F978" s="286" t="s">
        <v>1715</v>
      </c>
      <c r="G978" s="286" t="s">
        <v>1080</v>
      </c>
      <c r="H978" s="286" t="s">
        <v>1080</v>
      </c>
      <c r="I978" s="286" t="s">
        <v>1228</v>
      </c>
      <c r="J978" s="286" t="s">
        <v>1312</v>
      </c>
      <c r="K978" s="286" t="s">
        <v>1821</v>
      </c>
      <c r="L978" s="286" t="s">
        <v>53</v>
      </c>
      <c r="M978" s="286">
        <v>1</v>
      </c>
      <c r="N978" s="287">
        <v>921.61</v>
      </c>
      <c r="O978" s="287"/>
      <c r="P978" s="286" t="s">
        <v>58</v>
      </c>
    </row>
    <row r="979" spans="1:16" hidden="1" x14ac:dyDescent="0.15">
      <c r="A979" s="286">
        <v>402221</v>
      </c>
      <c r="B979" s="288">
        <v>45243.579861111109</v>
      </c>
      <c r="C979" s="286" t="s">
        <v>1654</v>
      </c>
      <c r="D979" s="286" t="s">
        <v>1105</v>
      </c>
      <c r="E979" s="286" t="s">
        <v>1106</v>
      </c>
      <c r="F979" s="286" t="s">
        <v>1724</v>
      </c>
      <c r="G979" s="286" t="s">
        <v>1080</v>
      </c>
      <c r="H979" s="286" t="s">
        <v>1080</v>
      </c>
      <c r="I979" s="286" t="s">
        <v>1228</v>
      </c>
      <c r="J979" s="286" t="s">
        <v>1312</v>
      </c>
      <c r="K979" s="286" t="s">
        <v>1770</v>
      </c>
      <c r="L979" s="286" t="s">
        <v>672</v>
      </c>
      <c r="M979" s="286">
        <v>1</v>
      </c>
      <c r="N979" s="287">
        <v>921.61</v>
      </c>
      <c r="O979" s="287"/>
      <c r="P979" s="286" t="s">
        <v>58</v>
      </c>
    </row>
    <row r="980" spans="1:16" hidden="1" x14ac:dyDescent="0.15">
      <c r="A980" s="286">
        <v>402221</v>
      </c>
      <c r="B980" s="288">
        <v>45243.579861111109</v>
      </c>
      <c r="C980" s="286" t="s">
        <v>1654</v>
      </c>
      <c r="D980" s="286" t="s">
        <v>1105</v>
      </c>
      <c r="E980" s="286" t="s">
        <v>1106</v>
      </c>
      <c r="F980" s="286" t="s">
        <v>1724</v>
      </c>
      <c r="G980" s="286" t="s">
        <v>1080</v>
      </c>
      <c r="H980" s="286" t="s">
        <v>1080</v>
      </c>
      <c r="I980" s="286" t="s">
        <v>1228</v>
      </c>
      <c r="J980" s="286" t="s">
        <v>1312</v>
      </c>
      <c r="K980" s="286" t="s">
        <v>1808</v>
      </c>
      <c r="L980" s="286" t="s">
        <v>53</v>
      </c>
      <c r="M980" s="286">
        <v>1</v>
      </c>
      <c r="N980" s="287">
        <v>921.61</v>
      </c>
      <c r="O980" s="287"/>
      <c r="P980" s="286" t="s">
        <v>58</v>
      </c>
    </row>
    <row r="981" spans="1:16" hidden="1" x14ac:dyDescent="0.15">
      <c r="A981" s="286">
        <v>402221</v>
      </c>
      <c r="B981" s="288">
        <v>45243.579861111109</v>
      </c>
      <c r="C981" s="286" t="s">
        <v>1654</v>
      </c>
      <c r="D981" s="286" t="s">
        <v>1105</v>
      </c>
      <c r="E981" s="286" t="s">
        <v>1106</v>
      </c>
      <c r="F981" s="286" t="s">
        <v>1724</v>
      </c>
      <c r="G981" s="286" t="s">
        <v>1080</v>
      </c>
      <c r="H981" s="286" t="s">
        <v>1080</v>
      </c>
      <c r="I981" s="286" t="s">
        <v>1228</v>
      </c>
      <c r="J981" s="286" t="s">
        <v>1312</v>
      </c>
      <c r="K981" s="286" t="s">
        <v>1821</v>
      </c>
      <c r="L981" s="286" t="s">
        <v>53</v>
      </c>
      <c r="M981" s="286">
        <v>1</v>
      </c>
      <c r="N981" s="287">
        <v>921.61</v>
      </c>
      <c r="O981" s="287"/>
      <c r="P981" s="286" t="s">
        <v>58</v>
      </c>
    </row>
    <row r="982" spans="1:16" hidden="1" x14ac:dyDescent="0.15">
      <c r="A982" s="286">
        <v>284271</v>
      </c>
      <c r="B982" s="288">
        <v>45121.682638888888</v>
      </c>
      <c r="C982" s="286" t="s">
        <v>1636</v>
      </c>
      <c r="D982" s="286" t="s">
        <v>1105</v>
      </c>
      <c r="E982" s="286" t="s">
        <v>1106</v>
      </c>
      <c r="F982" s="286" t="s">
        <v>1713</v>
      </c>
      <c r="G982" s="286" t="s">
        <v>1066</v>
      </c>
      <c r="H982" s="286" t="s">
        <v>1066</v>
      </c>
      <c r="I982" s="286" t="s">
        <v>1129</v>
      </c>
      <c r="J982" s="286" t="s">
        <v>1312</v>
      </c>
      <c r="K982" s="286" t="s">
        <v>380</v>
      </c>
      <c r="L982" s="286" t="s">
        <v>1579</v>
      </c>
      <c r="M982" s="286">
        <v>1</v>
      </c>
      <c r="N982" s="287">
        <v>914.4</v>
      </c>
      <c r="O982" s="287"/>
      <c r="P982" s="286" t="s">
        <v>164</v>
      </c>
    </row>
    <row r="983" spans="1:16" hidden="1" x14ac:dyDescent="0.15">
      <c r="A983" s="286">
        <v>328287</v>
      </c>
      <c r="B983" s="288">
        <v>45161.62777777778</v>
      </c>
      <c r="C983" s="286" t="s">
        <v>1691</v>
      </c>
      <c r="D983" s="286" t="s">
        <v>1105</v>
      </c>
      <c r="E983" s="286" t="s">
        <v>1106</v>
      </c>
      <c r="F983" s="286" t="s">
        <v>1714</v>
      </c>
      <c r="G983" s="286" t="s">
        <v>1841</v>
      </c>
      <c r="H983" s="286" t="s">
        <v>1841</v>
      </c>
      <c r="I983" s="286" t="s">
        <v>1228</v>
      </c>
      <c r="J983" s="286" t="s">
        <v>53</v>
      </c>
      <c r="K983" s="286" t="s">
        <v>53</v>
      </c>
      <c r="L983" s="286" t="s">
        <v>53</v>
      </c>
      <c r="M983" s="286" t="s">
        <v>53</v>
      </c>
      <c r="N983" s="287">
        <v>897.94</v>
      </c>
      <c r="O983" s="287"/>
      <c r="P983" s="286" t="s">
        <v>58</v>
      </c>
    </row>
    <row r="984" spans="1:16" hidden="1" x14ac:dyDescent="0.15">
      <c r="A984" s="286">
        <v>170297</v>
      </c>
      <c r="B984" s="288">
        <v>44986.611111111109</v>
      </c>
      <c r="C984" s="286" t="s">
        <v>1640</v>
      </c>
      <c r="D984" s="286" t="s">
        <v>1105</v>
      </c>
      <c r="E984" s="286" t="s">
        <v>1106</v>
      </c>
      <c r="F984" s="286" t="s">
        <v>1746</v>
      </c>
      <c r="G984" s="286" t="s">
        <v>1063</v>
      </c>
      <c r="H984" s="286" t="s">
        <v>1063</v>
      </c>
      <c r="I984" s="286" t="s">
        <v>1152</v>
      </c>
      <c r="J984" s="286" t="s">
        <v>1312</v>
      </c>
      <c r="K984" s="286" t="s">
        <v>53</v>
      </c>
      <c r="L984" s="286" t="s">
        <v>53</v>
      </c>
      <c r="M984" s="286" t="s">
        <v>53</v>
      </c>
      <c r="N984" s="287">
        <v>876.75</v>
      </c>
      <c r="O984" s="287"/>
      <c r="P984" s="286" t="s">
        <v>58</v>
      </c>
    </row>
    <row r="985" spans="1:16" hidden="1" x14ac:dyDescent="0.15">
      <c r="A985" s="286">
        <v>170298</v>
      </c>
      <c r="B985" s="288">
        <v>44986.623611111114</v>
      </c>
      <c r="C985" s="286" t="s">
        <v>1638</v>
      </c>
      <c r="D985" s="286" t="s">
        <v>1105</v>
      </c>
      <c r="E985" s="286" t="s">
        <v>1106</v>
      </c>
      <c r="F985" s="286" t="s">
        <v>1721</v>
      </c>
      <c r="G985" s="286" t="s">
        <v>1063</v>
      </c>
      <c r="H985" s="286" t="s">
        <v>1063</v>
      </c>
      <c r="I985" s="286" t="s">
        <v>1152</v>
      </c>
      <c r="J985" s="286" t="s">
        <v>1312</v>
      </c>
      <c r="K985" s="286" t="s">
        <v>53</v>
      </c>
      <c r="L985" s="286" t="s">
        <v>53</v>
      </c>
      <c r="M985" s="286" t="s">
        <v>53</v>
      </c>
      <c r="N985" s="287">
        <v>876.75</v>
      </c>
      <c r="O985" s="287"/>
      <c r="P985" s="286" t="s">
        <v>58</v>
      </c>
    </row>
    <row r="986" spans="1:16" hidden="1" x14ac:dyDescent="0.15">
      <c r="A986" s="286">
        <v>185846</v>
      </c>
      <c r="B986" s="288">
        <v>45005.724305555559</v>
      </c>
      <c r="C986" s="286" t="s">
        <v>1667</v>
      </c>
      <c r="D986" s="286" t="s">
        <v>1105</v>
      </c>
      <c r="E986" s="286" t="s">
        <v>1106</v>
      </c>
      <c r="F986" s="286" t="s">
        <v>1702</v>
      </c>
      <c r="G986" s="286" t="s">
        <v>1063</v>
      </c>
      <c r="H986" s="286" t="s">
        <v>1063</v>
      </c>
      <c r="I986" s="286" t="s">
        <v>1152</v>
      </c>
      <c r="J986" s="286" t="s">
        <v>1312</v>
      </c>
      <c r="K986" s="286" t="s">
        <v>53</v>
      </c>
      <c r="L986" s="286" t="s">
        <v>53</v>
      </c>
      <c r="M986" s="286" t="s">
        <v>53</v>
      </c>
      <c r="N986" s="287">
        <v>876.75</v>
      </c>
      <c r="O986" s="287"/>
      <c r="P986" s="286" t="s">
        <v>58</v>
      </c>
    </row>
    <row r="987" spans="1:16" hidden="1" x14ac:dyDescent="0.15">
      <c r="A987" s="286">
        <v>201556</v>
      </c>
      <c r="B987" s="288">
        <v>45029.540972222225</v>
      </c>
      <c r="C987" s="286" t="s">
        <v>1657</v>
      </c>
      <c r="D987" s="286" t="s">
        <v>1105</v>
      </c>
      <c r="E987" s="286" t="s">
        <v>1106</v>
      </c>
      <c r="F987" s="286" t="s">
        <v>1722</v>
      </c>
      <c r="G987" s="286" t="s">
        <v>1063</v>
      </c>
      <c r="H987" s="286" t="s">
        <v>1063</v>
      </c>
      <c r="I987" s="286" t="s">
        <v>1152</v>
      </c>
      <c r="J987" s="286" t="s">
        <v>1312</v>
      </c>
      <c r="K987" s="286" t="s">
        <v>53</v>
      </c>
      <c r="L987" s="286" t="s">
        <v>53</v>
      </c>
      <c r="M987" s="286" t="s">
        <v>53</v>
      </c>
      <c r="N987" s="287">
        <v>876.75</v>
      </c>
      <c r="O987" s="287"/>
      <c r="P987" s="286" t="s">
        <v>58</v>
      </c>
    </row>
    <row r="988" spans="1:16" hidden="1" x14ac:dyDescent="0.15">
      <c r="A988" s="286">
        <v>225409</v>
      </c>
      <c r="B988" s="288">
        <v>45058.522222222222</v>
      </c>
      <c r="C988" s="286" t="s">
        <v>1665</v>
      </c>
      <c r="D988" s="286" t="s">
        <v>1105</v>
      </c>
      <c r="E988" s="286" t="s">
        <v>1106</v>
      </c>
      <c r="F988" s="286" t="s">
        <v>1723</v>
      </c>
      <c r="G988" s="286" t="s">
        <v>1063</v>
      </c>
      <c r="H988" s="286" t="s">
        <v>1063</v>
      </c>
      <c r="I988" s="286" t="s">
        <v>1152</v>
      </c>
      <c r="J988" s="286" t="s">
        <v>1312</v>
      </c>
      <c r="K988" s="286" t="s">
        <v>53</v>
      </c>
      <c r="L988" s="286" t="s">
        <v>53</v>
      </c>
      <c r="M988" s="286" t="s">
        <v>53</v>
      </c>
      <c r="N988" s="287">
        <v>876.75</v>
      </c>
      <c r="O988" s="287"/>
      <c r="P988" s="286" t="s">
        <v>58</v>
      </c>
    </row>
    <row r="989" spans="1:16" hidden="1" x14ac:dyDescent="0.15">
      <c r="A989" s="286">
        <v>278788</v>
      </c>
      <c r="B989" s="288">
        <v>45118.57708333333</v>
      </c>
      <c r="C989" s="286" t="s">
        <v>1649</v>
      </c>
      <c r="D989" s="286" t="s">
        <v>1105</v>
      </c>
      <c r="E989" s="286" t="s">
        <v>1106</v>
      </c>
      <c r="F989" s="286" t="s">
        <v>1712</v>
      </c>
      <c r="G989" s="286" t="s">
        <v>1063</v>
      </c>
      <c r="H989" s="286" t="s">
        <v>1063</v>
      </c>
      <c r="I989" s="286" t="s">
        <v>1152</v>
      </c>
      <c r="J989" s="286" t="s">
        <v>53</v>
      </c>
      <c r="K989" s="286" t="s">
        <v>53</v>
      </c>
      <c r="L989" s="286" t="s">
        <v>53</v>
      </c>
      <c r="M989" s="286" t="s">
        <v>53</v>
      </c>
      <c r="N989" s="287">
        <v>876.75</v>
      </c>
      <c r="O989" s="287"/>
      <c r="P989" s="286" t="s">
        <v>58</v>
      </c>
    </row>
    <row r="990" spans="1:16" hidden="1" x14ac:dyDescent="0.15">
      <c r="A990" s="286">
        <v>284271</v>
      </c>
      <c r="B990" s="288">
        <v>45121.682638888888</v>
      </c>
      <c r="C990" s="286" t="s">
        <v>1636</v>
      </c>
      <c r="D990" s="286" t="s">
        <v>1105</v>
      </c>
      <c r="E990" s="286" t="s">
        <v>1106</v>
      </c>
      <c r="F990" s="286" t="s">
        <v>1713</v>
      </c>
      <c r="G990" s="286" t="s">
        <v>1035</v>
      </c>
      <c r="H990" s="286" t="s">
        <v>1035</v>
      </c>
      <c r="I990" s="286" t="s">
        <v>1199</v>
      </c>
      <c r="J990" s="286" t="s">
        <v>53</v>
      </c>
      <c r="K990" s="286" t="s">
        <v>53</v>
      </c>
      <c r="L990" s="286" t="s">
        <v>53</v>
      </c>
      <c r="M990" s="286" t="s">
        <v>53</v>
      </c>
      <c r="N990" s="287">
        <v>870.06</v>
      </c>
      <c r="O990" s="287"/>
      <c r="P990" s="286" t="s">
        <v>58</v>
      </c>
    </row>
    <row r="991" spans="1:16" hidden="1" x14ac:dyDescent="0.15">
      <c r="A991" s="286">
        <v>284271</v>
      </c>
      <c r="B991" s="288">
        <v>45121.682638888888</v>
      </c>
      <c r="C991" s="286" t="s">
        <v>1636</v>
      </c>
      <c r="D991" s="286" t="s">
        <v>1105</v>
      </c>
      <c r="E991" s="286" t="s">
        <v>1106</v>
      </c>
      <c r="F991" s="286" t="s">
        <v>1713</v>
      </c>
      <c r="G991" s="286" t="s">
        <v>1071</v>
      </c>
      <c r="H991" s="286" t="s">
        <v>1071</v>
      </c>
      <c r="I991" s="286" t="s">
        <v>1199</v>
      </c>
      <c r="J991" s="286" t="s">
        <v>53</v>
      </c>
      <c r="K991" s="286" t="s">
        <v>53</v>
      </c>
      <c r="L991" s="286" t="s">
        <v>53</v>
      </c>
      <c r="M991" s="286" t="s">
        <v>53</v>
      </c>
      <c r="N991" s="287">
        <v>834.3</v>
      </c>
      <c r="O991" s="287"/>
      <c r="P991" s="286" t="s">
        <v>58</v>
      </c>
    </row>
    <row r="992" spans="1:16" hidden="1" x14ac:dyDescent="0.15">
      <c r="A992" s="286">
        <v>339870</v>
      </c>
      <c r="B992" s="288">
        <v>45177.481944444444</v>
      </c>
      <c r="C992" s="286" t="s">
        <v>1676</v>
      </c>
      <c r="D992" s="286" t="s">
        <v>1105</v>
      </c>
      <c r="E992" s="286" t="s">
        <v>1106</v>
      </c>
      <c r="F992" s="286" t="s">
        <v>1715</v>
      </c>
      <c r="G992" s="286" t="s">
        <v>1002</v>
      </c>
      <c r="H992" s="286" t="s">
        <v>1002</v>
      </c>
      <c r="I992" s="286" t="s">
        <v>1199</v>
      </c>
      <c r="J992" s="286" t="s">
        <v>53</v>
      </c>
      <c r="K992" s="286" t="s">
        <v>53</v>
      </c>
      <c r="L992" s="286" t="s">
        <v>53</v>
      </c>
      <c r="M992" s="286" t="s">
        <v>53</v>
      </c>
      <c r="N992" s="287">
        <v>827.15</v>
      </c>
      <c r="O992" s="287"/>
      <c r="P992" s="286" t="s">
        <v>58</v>
      </c>
    </row>
    <row r="993" spans="1:16" hidden="1" x14ac:dyDescent="0.15">
      <c r="A993" s="286">
        <v>278788</v>
      </c>
      <c r="B993" s="288">
        <v>45118.57708333333</v>
      </c>
      <c r="C993" s="286" t="s">
        <v>1649</v>
      </c>
      <c r="D993" s="286" t="s">
        <v>1105</v>
      </c>
      <c r="E993" s="286" t="s">
        <v>1106</v>
      </c>
      <c r="F993" s="286" t="s">
        <v>1712</v>
      </c>
      <c r="G993" s="286" t="s">
        <v>1071</v>
      </c>
      <c r="H993" s="286" t="s">
        <v>1071</v>
      </c>
      <c r="I993" s="286" t="s">
        <v>1199</v>
      </c>
      <c r="J993" s="286" t="s">
        <v>53</v>
      </c>
      <c r="K993" s="286" t="s">
        <v>53</v>
      </c>
      <c r="L993" s="286" t="s">
        <v>53</v>
      </c>
      <c r="M993" s="286" t="s">
        <v>53</v>
      </c>
      <c r="N993" s="287">
        <v>818.79</v>
      </c>
      <c r="O993" s="287"/>
      <c r="P993" s="286" t="s">
        <v>58</v>
      </c>
    </row>
    <row r="994" spans="1:16" hidden="1" x14ac:dyDescent="0.15">
      <c r="A994" s="286">
        <v>407061</v>
      </c>
      <c r="B994" s="288">
        <v>45246.459722222222</v>
      </c>
      <c r="C994" s="286" t="s">
        <v>1654</v>
      </c>
      <c r="D994" s="286" t="s">
        <v>1105</v>
      </c>
      <c r="E994" s="286" t="s">
        <v>1106</v>
      </c>
      <c r="F994" s="286" t="s">
        <v>1848</v>
      </c>
      <c r="G994" s="286" t="s">
        <v>1048</v>
      </c>
      <c r="H994" s="286" t="s">
        <v>1048</v>
      </c>
      <c r="I994" s="286" t="s">
        <v>1129</v>
      </c>
      <c r="J994" s="286" t="s">
        <v>1312</v>
      </c>
      <c r="K994" s="286" t="s">
        <v>1849</v>
      </c>
      <c r="L994" s="286" t="s">
        <v>1850</v>
      </c>
      <c r="M994" s="286">
        <v>4</v>
      </c>
      <c r="N994" s="287">
        <v>813.6</v>
      </c>
      <c r="O994" s="287"/>
      <c r="P994" s="286" t="s">
        <v>164</v>
      </c>
    </row>
    <row r="995" spans="1:16" hidden="1" x14ac:dyDescent="0.15">
      <c r="A995" s="286">
        <v>408296</v>
      </c>
      <c r="B995" s="288">
        <v>45246.692361111112</v>
      </c>
      <c r="C995" s="286" t="s">
        <v>1642</v>
      </c>
      <c r="D995" s="286" t="s">
        <v>1105</v>
      </c>
      <c r="E995" s="286" t="s">
        <v>1106</v>
      </c>
      <c r="F995" s="286" t="s">
        <v>1851</v>
      </c>
      <c r="G995" s="286" t="s">
        <v>1016</v>
      </c>
      <c r="H995" s="286" t="s">
        <v>1016</v>
      </c>
      <c r="I995" s="286" t="s">
        <v>1199</v>
      </c>
      <c r="J995" s="286" t="s">
        <v>1312</v>
      </c>
      <c r="K995" s="286" t="s">
        <v>53</v>
      </c>
      <c r="L995" s="286" t="s">
        <v>53</v>
      </c>
      <c r="M995" s="286" t="s">
        <v>53</v>
      </c>
      <c r="N995" s="287">
        <v>808.88</v>
      </c>
      <c r="O995" s="287"/>
      <c r="P995" s="286" t="s">
        <v>58</v>
      </c>
    </row>
    <row r="996" spans="1:16" hidden="1" x14ac:dyDescent="0.15">
      <c r="A996" s="286">
        <v>278788</v>
      </c>
      <c r="B996" s="288">
        <v>45118.57708333333</v>
      </c>
      <c r="C996" s="286" t="s">
        <v>1649</v>
      </c>
      <c r="D996" s="286" t="s">
        <v>1105</v>
      </c>
      <c r="E996" s="286" t="s">
        <v>1106</v>
      </c>
      <c r="F996" s="286" t="s">
        <v>1712</v>
      </c>
      <c r="G996" s="286" t="s">
        <v>1005</v>
      </c>
      <c r="H996" s="286" t="s">
        <v>1005</v>
      </c>
      <c r="I996" s="286" t="s">
        <v>1199</v>
      </c>
      <c r="J996" s="286" t="s">
        <v>53</v>
      </c>
      <c r="K996" s="286" t="s">
        <v>53</v>
      </c>
      <c r="L996" s="286" t="s">
        <v>53</v>
      </c>
      <c r="M996" s="286" t="s">
        <v>53</v>
      </c>
      <c r="N996" s="287">
        <v>808.55</v>
      </c>
      <c r="O996" s="287"/>
      <c r="P996" s="286" t="s">
        <v>58</v>
      </c>
    </row>
    <row r="997" spans="1:16" hidden="1" x14ac:dyDescent="0.15">
      <c r="A997" s="286">
        <v>284271</v>
      </c>
      <c r="B997" s="288">
        <v>45121.682638888888</v>
      </c>
      <c r="C997" s="286" t="s">
        <v>1636</v>
      </c>
      <c r="D997" s="286" t="s">
        <v>1105</v>
      </c>
      <c r="E997" s="286" t="s">
        <v>1106</v>
      </c>
      <c r="F997" s="286" t="s">
        <v>1713</v>
      </c>
      <c r="G997" s="286" t="s">
        <v>1005</v>
      </c>
      <c r="H997" s="286" t="s">
        <v>1005</v>
      </c>
      <c r="I997" s="286" t="s">
        <v>1199</v>
      </c>
      <c r="J997" s="286" t="s">
        <v>53</v>
      </c>
      <c r="K997" s="286" t="s">
        <v>53</v>
      </c>
      <c r="L997" s="286" t="s">
        <v>53</v>
      </c>
      <c r="M997" s="286" t="s">
        <v>53</v>
      </c>
      <c r="N997" s="287">
        <v>808.55</v>
      </c>
      <c r="O997" s="287"/>
      <c r="P997" s="286" t="s">
        <v>58</v>
      </c>
    </row>
    <row r="998" spans="1:16" hidden="1" x14ac:dyDescent="0.15">
      <c r="A998" s="286">
        <v>328287</v>
      </c>
      <c r="B998" s="288">
        <v>45161.62777777778</v>
      </c>
      <c r="C998" s="286" t="s">
        <v>1691</v>
      </c>
      <c r="D998" s="286" t="s">
        <v>1105</v>
      </c>
      <c r="E998" s="286" t="s">
        <v>1106</v>
      </c>
      <c r="F998" s="286" t="s">
        <v>1714</v>
      </c>
      <c r="G998" s="286" t="s">
        <v>1005</v>
      </c>
      <c r="H998" s="286" t="s">
        <v>1005</v>
      </c>
      <c r="I998" s="286" t="s">
        <v>1199</v>
      </c>
      <c r="J998" s="286" t="s">
        <v>53</v>
      </c>
      <c r="K998" s="286" t="s">
        <v>53</v>
      </c>
      <c r="L998" s="286" t="s">
        <v>53</v>
      </c>
      <c r="M998" s="286" t="s">
        <v>53</v>
      </c>
      <c r="N998" s="287">
        <v>808.55</v>
      </c>
      <c r="O998" s="287"/>
      <c r="P998" s="286" t="s">
        <v>58</v>
      </c>
    </row>
    <row r="999" spans="1:16" hidden="1" x14ac:dyDescent="0.15">
      <c r="A999" s="286">
        <v>339870</v>
      </c>
      <c r="B999" s="288">
        <v>45177.481944444444</v>
      </c>
      <c r="C999" s="286" t="s">
        <v>1676</v>
      </c>
      <c r="D999" s="286" t="s">
        <v>1105</v>
      </c>
      <c r="E999" s="286" t="s">
        <v>1106</v>
      </c>
      <c r="F999" s="286" t="s">
        <v>1715</v>
      </c>
      <c r="G999" s="286" t="s">
        <v>1005</v>
      </c>
      <c r="H999" s="286" t="s">
        <v>1005</v>
      </c>
      <c r="I999" s="286" t="s">
        <v>1199</v>
      </c>
      <c r="J999" s="286" t="s">
        <v>53</v>
      </c>
      <c r="K999" s="286" t="s">
        <v>53</v>
      </c>
      <c r="L999" s="286" t="s">
        <v>53</v>
      </c>
      <c r="M999" s="286" t="s">
        <v>53</v>
      </c>
      <c r="N999" s="287">
        <v>808.55</v>
      </c>
      <c r="O999" s="287"/>
      <c r="P999" s="286" t="s">
        <v>58</v>
      </c>
    </row>
    <row r="1000" spans="1:16" hidden="1" x14ac:dyDescent="0.15">
      <c r="A1000" s="286">
        <v>370270</v>
      </c>
      <c r="B1000" s="288">
        <v>45208.668055555558</v>
      </c>
      <c r="C1000" s="286" t="s">
        <v>1642</v>
      </c>
      <c r="D1000" s="286" t="s">
        <v>1105</v>
      </c>
      <c r="E1000" s="286" t="s">
        <v>1106</v>
      </c>
      <c r="F1000" s="286" t="s">
        <v>1716</v>
      </c>
      <c r="G1000" s="286" t="s">
        <v>1005</v>
      </c>
      <c r="H1000" s="286" t="s">
        <v>1005</v>
      </c>
      <c r="I1000" s="286" t="s">
        <v>1199</v>
      </c>
      <c r="J1000" s="286" t="s">
        <v>53</v>
      </c>
      <c r="K1000" s="286" t="s">
        <v>53</v>
      </c>
      <c r="L1000" s="286" t="s">
        <v>53</v>
      </c>
      <c r="M1000" s="286" t="s">
        <v>53</v>
      </c>
      <c r="N1000" s="287">
        <v>808.55</v>
      </c>
      <c r="O1000" s="287"/>
      <c r="P1000" s="286" t="s">
        <v>58</v>
      </c>
    </row>
    <row r="1001" spans="1:16" hidden="1" x14ac:dyDescent="0.15">
      <c r="A1001" s="286">
        <v>402221</v>
      </c>
      <c r="B1001" s="288">
        <v>45243.579861111109</v>
      </c>
      <c r="C1001" s="286" t="s">
        <v>1654</v>
      </c>
      <c r="D1001" s="286" t="s">
        <v>1105</v>
      </c>
      <c r="E1001" s="286" t="s">
        <v>1106</v>
      </c>
      <c r="F1001" s="286" t="s">
        <v>1724</v>
      </c>
      <c r="G1001" s="286" t="s">
        <v>1005</v>
      </c>
      <c r="H1001" s="286" t="s">
        <v>1005</v>
      </c>
      <c r="I1001" s="286" t="s">
        <v>1199</v>
      </c>
      <c r="J1001" s="286" t="s">
        <v>53</v>
      </c>
      <c r="K1001" s="286" t="s">
        <v>53</v>
      </c>
      <c r="L1001" s="286" t="s">
        <v>53</v>
      </c>
      <c r="M1001" s="286" t="s">
        <v>53</v>
      </c>
      <c r="N1001" s="287">
        <v>808.55</v>
      </c>
      <c r="O1001" s="287"/>
      <c r="P1001" s="286" t="s">
        <v>58</v>
      </c>
    </row>
    <row r="1002" spans="1:16" hidden="1" x14ac:dyDescent="0.15">
      <c r="A1002" s="286">
        <v>455146</v>
      </c>
      <c r="B1002" s="288">
        <v>45310.510416666664</v>
      </c>
      <c r="C1002" s="286" t="s">
        <v>1632</v>
      </c>
      <c r="D1002" s="286" t="s">
        <v>1105</v>
      </c>
      <c r="E1002" s="286" t="s">
        <v>1106</v>
      </c>
      <c r="F1002" s="286" t="s">
        <v>1725</v>
      </c>
      <c r="G1002" s="286" t="s">
        <v>1005</v>
      </c>
      <c r="H1002" s="286" t="s">
        <v>1005</v>
      </c>
      <c r="I1002" s="286" t="s">
        <v>1199</v>
      </c>
      <c r="J1002" s="286" t="s">
        <v>53</v>
      </c>
      <c r="K1002" s="286" t="s">
        <v>53</v>
      </c>
      <c r="L1002" s="286" t="s">
        <v>53</v>
      </c>
      <c r="M1002" s="286" t="s">
        <v>53</v>
      </c>
      <c r="N1002" s="287">
        <v>808.54</v>
      </c>
      <c r="O1002" s="287"/>
      <c r="P1002" s="286" t="s">
        <v>58</v>
      </c>
    </row>
    <row r="1003" spans="1:16" hidden="1" x14ac:dyDescent="0.15">
      <c r="A1003" s="286">
        <v>188236</v>
      </c>
      <c r="B1003" s="288">
        <v>45009.703472222223</v>
      </c>
      <c r="C1003" s="286" t="s">
        <v>1667</v>
      </c>
      <c r="D1003" s="286" t="s">
        <v>1309</v>
      </c>
      <c r="E1003" s="286" t="s">
        <v>1310</v>
      </c>
      <c r="F1003" s="286" t="s">
        <v>1852</v>
      </c>
      <c r="G1003" s="286" t="s">
        <v>1025</v>
      </c>
      <c r="H1003" s="286" t="s">
        <v>1025</v>
      </c>
      <c r="I1003" s="286" t="s">
        <v>1152</v>
      </c>
      <c r="J1003" s="286" t="s">
        <v>1312</v>
      </c>
      <c r="K1003" s="286" t="s">
        <v>1853</v>
      </c>
      <c r="L1003" s="286" t="s">
        <v>1854</v>
      </c>
      <c r="M1003" s="286">
        <v>2</v>
      </c>
      <c r="N1003" s="287">
        <v>807.8</v>
      </c>
      <c r="O1003" s="287"/>
      <c r="P1003" s="286" t="s">
        <v>58</v>
      </c>
    </row>
    <row r="1004" spans="1:16" hidden="1" x14ac:dyDescent="0.15">
      <c r="A1004" s="286">
        <v>201562</v>
      </c>
      <c r="B1004" s="288">
        <v>45029.571527777778</v>
      </c>
      <c r="C1004" s="286" t="s">
        <v>1667</v>
      </c>
      <c r="D1004" s="286" t="s">
        <v>1105</v>
      </c>
      <c r="E1004" s="286" t="s">
        <v>1106</v>
      </c>
      <c r="F1004" s="286" t="s">
        <v>1855</v>
      </c>
      <c r="G1004" s="286" t="s">
        <v>1025</v>
      </c>
      <c r="H1004" s="286" t="s">
        <v>1025</v>
      </c>
      <c r="I1004" s="286" t="s">
        <v>1129</v>
      </c>
      <c r="J1004" s="286" t="s">
        <v>1312</v>
      </c>
      <c r="K1004" s="286" t="s">
        <v>53</v>
      </c>
      <c r="L1004" s="286" t="s">
        <v>53</v>
      </c>
      <c r="M1004" s="286" t="s">
        <v>53</v>
      </c>
      <c r="N1004" s="287">
        <v>807.8</v>
      </c>
      <c r="O1004" s="287"/>
      <c r="P1004" s="286" t="s">
        <v>164</v>
      </c>
    </row>
    <row r="1005" spans="1:16" hidden="1" x14ac:dyDescent="0.15">
      <c r="A1005" s="286">
        <v>278788</v>
      </c>
      <c r="B1005" s="288">
        <v>45118.57708333333</v>
      </c>
      <c r="C1005" s="286" t="s">
        <v>1649</v>
      </c>
      <c r="D1005" s="286" t="s">
        <v>1105</v>
      </c>
      <c r="E1005" s="286" t="s">
        <v>1106</v>
      </c>
      <c r="F1005" s="286" t="s">
        <v>1712</v>
      </c>
      <c r="G1005" s="286" t="s">
        <v>1069</v>
      </c>
      <c r="H1005" s="286" t="s">
        <v>1069</v>
      </c>
      <c r="I1005" s="286" t="s">
        <v>1228</v>
      </c>
      <c r="J1005" s="286" t="s">
        <v>53</v>
      </c>
      <c r="K1005" s="286" t="s">
        <v>53</v>
      </c>
      <c r="L1005" s="286" t="s">
        <v>53</v>
      </c>
      <c r="M1005" s="286" t="s">
        <v>53</v>
      </c>
      <c r="N1005" s="287">
        <v>795.23</v>
      </c>
      <c r="O1005" s="287"/>
      <c r="P1005" s="286" t="s">
        <v>58</v>
      </c>
    </row>
    <row r="1006" spans="1:16" hidden="1" x14ac:dyDescent="0.15">
      <c r="A1006" s="286">
        <v>284271</v>
      </c>
      <c r="B1006" s="288">
        <v>45121.682638888888</v>
      </c>
      <c r="C1006" s="286" t="s">
        <v>1636</v>
      </c>
      <c r="D1006" s="286" t="s">
        <v>1105</v>
      </c>
      <c r="E1006" s="286" t="s">
        <v>1106</v>
      </c>
      <c r="F1006" s="286" t="s">
        <v>1713</v>
      </c>
      <c r="G1006" s="286" t="s">
        <v>1069</v>
      </c>
      <c r="H1006" s="286" t="s">
        <v>1069</v>
      </c>
      <c r="I1006" s="286" t="s">
        <v>1228</v>
      </c>
      <c r="J1006" s="286" t="s">
        <v>53</v>
      </c>
      <c r="K1006" s="286" t="s">
        <v>53</v>
      </c>
      <c r="L1006" s="286" t="s">
        <v>53</v>
      </c>
      <c r="M1006" s="286" t="s">
        <v>53</v>
      </c>
      <c r="N1006" s="287">
        <v>795.23</v>
      </c>
      <c r="O1006" s="287"/>
      <c r="P1006" s="286" t="s">
        <v>58</v>
      </c>
    </row>
    <row r="1007" spans="1:16" hidden="1" x14ac:dyDescent="0.15">
      <c r="A1007" s="286">
        <v>328287</v>
      </c>
      <c r="B1007" s="288">
        <v>45161.62777777778</v>
      </c>
      <c r="C1007" s="286" t="s">
        <v>1691</v>
      </c>
      <c r="D1007" s="286" t="s">
        <v>1105</v>
      </c>
      <c r="E1007" s="286" t="s">
        <v>1106</v>
      </c>
      <c r="F1007" s="286" t="s">
        <v>1714</v>
      </c>
      <c r="G1007" s="286" t="s">
        <v>1069</v>
      </c>
      <c r="H1007" s="286" t="s">
        <v>1069</v>
      </c>
      <c r="I1007" s="286" t="s">
        <v>1228</v>
      </c>
      <c r="J1007" s="286" t="s">
        <v>53</v>
      </c>
      <c r="K1007" s="286" t="s">
        <v>53</v>
      </c>
      <c r="L1007" s="286" t="s">
        <v>53</v>
      </c>
      <c r="M1007" s="286" t="s">
        <v>53</v>
      </c>
      <c r="N1007" s="287">
        <v>795.23</v>
      </c>
      <c r="O1007" s="287"/>
      <c r="P1007" s="286" t="s">
        <v>58</v>
      </c>
    </row>
    <row r="1008" spans="1:16" hidden="1" x14ac:dyDescent="0.15">
      <c r="A1008" s="286">
        <v>339870</v>
      </c>
      <c r="B1008" s="288">
        <v>45177.481944444444</v>
      </c>
      <c r="C1008" s="286" t="s">
        <v>1676</v>
      </c>
      <c r="D1008" s="286" t="s">
        <v>1105</v>
      </c>
      <c r="E1008" s="286" t="s">
        <v>1106</v>
      </c>
      <c r="F1008" s="286" t="s">
        <v>1715</v>
      </c>
      <c r="G1008" s="286" t="s">
        <v>1069</v>
      </c>
      <c r="H1008" s="286" t="s">
        <v>1069</v>
      </c>
      <c r="I1008" s="286" t="s">
        <v>1228</v>
      </c>
      <c r="J1008" s="286" t="s">
        <v>53</v>
      </c>
      <c r="K1008" s="286" t="s">
        <v>53</v>
      </c>
      <c r="L1008" s="286" t="s">
        <v>53</v>
      </c>
      <c r="M1008" s="286" t="s">
        <v>53</v>
      </c>
      <c r="N1008" s="287">
        <v>795.23</v>
      </c>
      <c r="O1008" s="287"/>
      <c r="P1008" s="286" t="s">
        <v>58</v>
      </c>
    </row>
    <row r="1009" spans="1:16" hidden="1" x14ac:dyDescent="0.15">
      <c r="A1009" s="286">
        <v>370270</v>
      </c>
      <c r="B1009" s="288">
        <v>45208.668055555558</v>
      </c>
      <c r="C1009" s="286" t="s">
        <v>1642</v>
      </c>
      <c r="D1009" s="286" t="s">
        <v>1105</v>
      </c>
      <c r="E1009" s="286" t="s">
        <v>1106</v>
      </c>
      <c r="F1009" s="286" t="s">
        <v>1716</v>
      </c>
      <c r="G1009" s="286" t="s">
        <v>1069</v>
      </c>
      <c r="H1009" s="286" t="s">
        <v>1069</v>
      </c>
      <c r="I1009" s="286" t="s">
        <v>1228</v>
      </c>
      <c r="J1009" s="286" t="s">
        <v>53</v>
      </c>
      <c r="K1009" s="286" t="s">
        <v>53</v>
      </c>
      <c r="L1009" s="286" t="s">
        <v>53</v>
      </c>
      <c r="M1009" s="286" t="s">
        <v>53</v>
      </c>
      <c r="N1009" s="287">
        <v>795.23</v>
      </c>
      <c r="O1009" s="287"/>
      <c r="P1009" s="286" t="s">
        <v>58</v>
      </c>
    </row>
    <row r="1010" spans="1:16" hidden="1" x14ac:dyDescent="0.15">
      <c r="A1010" s="286">
        <v>402221</v>
      </c>
      <c r="B1010" s="288">
        <v>45243.579861111109</v>
      </c>
      <c r="C1010" s="286" t="s">
        <v>1654</v>
      </c>
      <c r="D1010" s="286" t="s">
        <v>1105</v>
      </c>
      <c r="E1010" s="286" t="s">
        <v>1106</v>
      </c>
      <c r="F1010" s="286" t="s">
        <v>1724</v>
      </c>
      <c r="G1010" s="286" t="s">
        <v>1069</v>
      </c>
      <c r="H1010" s="286" t="s">
        <v>1069</v>
      </c>
      <c r="I1010" s="286" t="s">
        <v>1228</v>
      </c>
      <c r="J1010" s="286" t="s">
        <v>53</v>
      </c>
      <c r="K1010" s="286" t="s">
        <v>53</v>
      </c>
      <c r="L1010" s="286" t="s">
        <v>53</v>
      </c>
      <c r="M1010" s="286" t="s">
        <v>53</v>
      </c>
      <c r="N1010" s="287">
        <v>795.23</v>
      </c>
      <c r="O1010" s="287"/>
      <c r="P1010" s="286" t="s">
        <v>58</v>
      </c>
    </row>
    <row r="1011" spans="1:16" hidden="1" x14ac:dyDescent="0.15">
      <c r="A1011" s="286">
        <v>328287</v>
      </c>
      <c r="B1011" s="288">
        <v>45161.62777777778</v>
      </c>
      <c r="C1011" s="286" t="s">
        <v>1691</v>
      </c>
      <c r="D1011" s="286" t="s">
        <v>1105</v>
      </c>
      <c r="E1011" s="286" t="s">
        <v>1106</v>
      </c>
      <c r="F1011" s="286" t="s">
        <v>1714</v>
      </c>
      <c r="G1011" s="286" t="s">
        <v>1856</v>
      </c>
      <c r="H1011" s="286" t="s">
        <v>1856</v>
      </c>
      <c r="I1011" s="286" t="s">
        <v>1228</v>
      </c>
      <c r="J1011" s="286" t="s">
        <v>53</v>
      </c>
      <c r="K1011" s="286" t="s">
        <v>53</v>
      </c>
      <c r="L1011" s="286" t="s">
        <v>53</v>
      </c>
      <c r="M1011" s="286" t="s">
        <v>53</v>
      </c>
      <c r="N1011" s="287">
        <v>791.57</v>
      </c>
      <c r="O1011" s="287"/>
      <c r="P1011" s="286" t="s">
        <v>58</v>
      </c>
    </row>
    <row r="1012" spans="1:16" hidden="1" x14ac:dyDescent="0.15">
      <c r="A1012" s="286">
        <v>339870</v>
      </c>
      <c r="B1012" s="288">
        <v>45177.481944444444</v>
      </c>
      <c r="C1012" s="286" t="s">
        <v>1676</v>
      </c>
      <c r="D1012" s="286" t="s">
        <v>1105</v>
      </c>
      <c r="E1012" s="286" t="s">
        <v>1106</v>
      </c>
      <c r="F1012" s="286" t="s">
        <v>1715</v>
      </c>
      <c r="G1012" s="286" t="s">
        <v>1856</v>
      </c>
      <c r="H1012" s="286" t="s">
        <v>1856</v>
      </c>
      <c r="I1012" s="286" t="s">
        <v>1228</v>
      </c>
      <c r="J1012" s="286" t="s">
        <v>53</v>
      </c>
      <c r="K1012" s="286" t="s">
        <v>53</v>
      </c>
      <c r="L1012" s="286" t="s">
        <v>53</v>
      </c>
      <c r="M1012" s="286" t="s">
        <v>53</v>
      </c>
      <c r="N1012" s="287">
        <v>791.57</v>
      </c>
      <c r="O1012" s="287"/>
      <c r="P1012" s="286" t="s">
        <v>58</v>
      </c>
    </row>
    <row r="1013" spans="1:16" hidden="1" x14ac:dyDescent="0.15">
      <c r="A1013" s="286">
        <v>370270</v>
      </c>
      <c r="B1013" s="288">
        <v>45208.668055555558</v>
      </c>
      <c r="C1013" s="286" t="s">
        <v>1642</v>
      </c>
      <c r="D1013" s="286" t="s">
        <v>1105</v>
      </c>
      <c r="E1013" s="286" t="s">
        <v>1106</v>
      </c>
      <c r="F1013" s="286" t="s">
        <v>1716</v>
      </c>
      <c r="G1013" s="286" t="s">
        <v>1856</v>
      </c>
      <c r="H1013" s="286" t="s">
        <v>1856</v>
      </c>
      <c r="I1013" s="286" t="s">
        <v>1228</v>
      </c>
      <c r="J1013" s="286" t="s">
        <v>53</v>
      </c>
      <c r="K1013" s="286" t="s">
        <v>53</v>
      </c>
      <c r="L1013" s="286" t="s">
        <v>53</v>
      </c>
      <c r="M1013" s="286" t="s">
        <v>53</v>
      </c>
      <c r="N1013" s="287">
        <v>791.57</v>
      </c>
      <c r="O1013" s="287"/>
      <c r="P1013" s="286" t="s">
        <v>58</v>
      </c>
    </row>
    <row r="1014" spans="1:16" hidden="1" x14ac:dyDescent="0.15">
      <c r="A1014" s="286">
        <v>402221</v>
      </c>
      <c r="B1014" s="288">
        <v>45243.579861111109</v>
      </c>
      <c r="C1014" s="286" t="s">
        <v>1654</v>
      </c>
      <c r="D1014" s="286" t="s">
        <v>1105</v>
      </c>
      <c r="E1014" s="286" t="s">
        <v>1106</v>
      </c>
      <c r="F1014" s="286" t="s">
        <v>1724</v>
      </c>
      <c r="G1014" s="286" t="s">
        <v>1856</v>
      </c>
      <c r="H1014" s="286" t="s">
        <v>1856</v>
      </c>
      <c r="I1014" s="286" t="s">
        <v>1228</v>
      </c>
      <c r="J1014" s="286" t="s">
        <v>53</v>
      </c>
      <c r="K1014" s="286" t="s">
        <v>53</v>
      </c>
      <c r="L1014" s="286" t="s">
        <v>53</v>
      </c>
      <c r="M1014" s="286" t="s">
        <v>53</v>
      </c>
      <c r="N1014" s="287">
        <v>791.57</v>
      </c>
      <c r="O1014" s="287"/>
      <c r="P1014" s="286" t="s">
        <v>58</v>
      </c>
    </row>
    <row r="1015" spans="1:16" hidden="1" x14ac:dyDescent="0.15">
      <c r="A1015" s="286">
        <v>455146</v>
      </c>
      <c r="B1015" s="288">
        <v>45310.510416666664</v>
      </c>
      <c r="C1015" s="286" t="s">
        <v>1632</v>
      </c>
      <c r="D1015" s="286" t="s">
        <v>1105</v>
      </c>
      <c r="E1015" s="286" t="s">
        <v>1106</v>
      </c>
      <c r="F1015" s="286" t="s">
        <v>1725</v>
      </c>
      <c r="G1015" s="286" t="s">
        <v>1856</v>
      </c>
      <c r="H1015" s="286" t="s">
        <v>1856</v>
      </c>
      <c r="I1015" s="286" t="s">
        <v>1228</v>
      </c>
      <c r="J1015" s="286" t="s">
        <v>53</v>
      </c>
      <c r="K1015" s="286" t="s">
        <v>53</v>
      </c>
      <c r="L1015" s="286" t="s">
        <v>53</v>
      </c>
      <c r="M1015" s="286" t="s">
        <v>53</v>
      </c>
      <c r="N1015" s="287">
        <v>791.57</v>
      </c>
      <c r="O1015" s="287"/>
      <c r="P1015" s="286" t="s">
        <v>58</v>
      </c>
    </row>
    <row r="1016" spans="1:16" hidden="1" x14ac:dyDescent="0.15">
      <c r="A1016" s="286">
        <v>328287</v>
      </c>
      <c r="B1016" s="288">
        <v>45161.62777777778</v>
      </c>
      <c r="C1016" s="286" t="s">
        <v>1691</v>
      </c>
      <c r="D1016" s="286" t="s">
        <v>1105</v>
      </c>
      <c r="E1016" s="286" t="s">
        <v>1106</v>
      </c>
      <c r="F1016" s="286" t="s">
        <v>1714</v>
      </c>
      <c r="G1016" s="286" t="s">
        <v>1002</v>
      </c>
      <c r="H1016" s="286" t="s">
        <v>1002</v>
      </c>
      <c r="I1016" s="286" t="s">
        <v>1129</v>
      </c>
      <c r="J1016" s="286" t="s">
        <v>1312</v>
      </c>
      <c r="K1016" s="286" t="s">
        <v>1857</v>
      </c>
      <c r="L1016" s="286" t="s">
        <v>1858</v>
      </c>
      <c r="M1016" s="286">
        <v>1</v>
      </c>
      <c r="N1016" s="287">
        <v>785</v>
      </c>
      <c r="O1016" s="287"/>
      <c r="P1016" s="286" t="s">
        <v>164</v>
      </c>
    </row>
    <row r="1017" spans="1:16" hidden="1" x14ac:dyDescent="0.15">
      <c r="A1017" s="286">
        <v>328186</v>
      </c>
      <c r="B1017" s="288">
        <v>45161.625</v>
      </c>
      <c r="C1017" s="286" t="s">
        <v>1636</v>
      </c>
      <c r="D1017" s="286" t="s">
        <v>1105</v>
      </c>
      <c r="E1017" s="286" t="s">
        <v>1106</v>
      </c>
      <c r="F1017" s="286" t="s">
        <v>1859</v>
      </c>
      <c r="G1017" s="286" t="s">
        <v>1078</v>
      </c>
      <c r="H1017" s="286" t="s">
        <v>1078</v>
      </c>
      <c r="I1017" s="286" t="s">
        <v>1199</v>
      </c>
      <c r="J1017" s="286" t="s">
        <v>1312</v>
      </c>
      <c r="K1017" s="286" t="s">
        <v>1797</v>
      </c>
      <c r="L1017" s="286" t="s">
        <v>672</v>
      </c>
      <c r="M1017" s="286">
        <v>1</v>
      </c>
      <c r="N1017" s="287">
        <v>781.91</v>
      </c>
      <c r="O1017" s="287"/>
      <c r="P1017" s="286" t="s">
        <v>58</v>
      </c>
    </row>
    <row r="1018" spans="1:16" hidden="1" x14ac:dyDescent="0.15">
      <c r="A1018" s="286">
        <v>278788</v>
      </c>
      <c r="B1018" s="288">
        <v>45118.57708333333</v>
      </c>
      <c r="C1018" s="286" t="s">
        <v>1649</v>
      </c>
      <c r="D1018" s="286" t="s">
        <v>1105</v>
      </c>
      <c r="E1018" s="286" t="s">
        <v>1106</v>
      </c>
      <c r="F1018" s="286" t="s">
        <v>1712</v>
      </c>
      <c r="G1018" s="286" t="s">
        <v>1860</v>
      </c>
      <c r="H1018" s="286" t="s">
        <v>1860</v>
      </c>
      <c r="I1018" s="286" t="s">
        <v>1228</v>
      </c>
      <c r="J1018" s="286" t="s">
        <v>53</v>
      </c>
      <c r="K1018" s="286" t="s">
        <v>53</v>
      </c>
      <c r="L1018" s="286" t="s">
        <v>53</v>
      </c>
      <c r="M1018" s="286" t="s">
        <v>53</v>
      </c>
      <c r="N1018" s="287">
        <v>751.77</v>
      </c>
      <c r="O1018" s="287"/>
      <c r="P1018" s="286" t="s">
        <v>58</v>
      </c>
    </row>
    <row r="1019" spans="1:16" hidden="1" x14ac:dyDescent="0.15">
      <c r="A1019" s="286">
        <v>284271</v>
      </c>
      <c r="B1019" s="288">
        <v>45121.682638888888</v>
      </c>
      <c r="C1019" s="286" t="s">
        <v>1636</v>
      </c>
      <c r="D1019" s="286" t="s">
        <v>1105</v>
      </c>
      <c r="E1019" s="286" t="s">
        <v>1106</v>
      </c>
      <c r="F1019" s="286" t="s">
        <v>1713</v>
      </c>
      <c r="G1019" s="286" t="s">
        <v>1860</v>
      </c>
      <c r="H1019" s="286" t="s">
        <v>1860</v>
      </c>
      <c r="I1019" s="286" t="s">
        <v>1228</v>
      </c>
      <c r="J1019" s="286" t="s">
        <v>53</v>
      </c>
      <c r="K1019" s="286" t="s">
        <v>53</v>
      </c>
      <c r="L1019" s="286" t="s">
        <v>53</v>
      </c>
      <c r="M1019" s="286" t="s">
        <v>53</v>
      </c>
      <c r="N1019" s="287">
        <v>751.77</v>
      </c>
      <c r="O1019" s="287"/>
      <c r="P1019" s="286" t="s">
        <v>58</v>
      </c>
    </row>
    <row r="1020" spans="1:16" hidden="1" x14ac:dyDescent="0.15">
      <c r="A1020" s="286">
        <v>407061</v>
      </c>
      <c r="B1020" s="288">
        <v>45246.459722222222</v>
      </c>
      <c r="C1020" s="286" t="s">
        <v>1654</v>
      </c>
      <c r="D1020" s="286" t="s">
        <v>1105</v>
      </c>
      <c r="E1020" s="286" t="s">
        <v>1106</v>
      </c>
      <c r="F1020" s="286" t="s">
        <v>1848</v>
      </c>
      <c r="G1020" s="286" t="s">
        <v>1048</v>
      </c>
      <c r="H1020" s="286" t="s">
        <v>1048</v>
      </c>
      <c r="I1020" s="286" t="s">
        <v>1129</v>
      </c>
      <c r="J1020" s="286" t="s">
        <v>1312</v>
      </c>
      <c r="K1020" s="286" t="s">
        <v>1861</v>
      </c>
      <c r="L1020" s="286" t="s">
        <v>1862</v>
      </c>
      <c r="M1020" s="286">
        <v>12</v>
      </c>
      <c r="N1020" s="287">
        <v>745.68</v>
      </c>
      <c r="O1020" s="287"/>
      <c r="P1020" s="286" t="s">
        <v>164</v>
      </c>
    </row>
    <row r="1021" spans="1:16" hidden="1" x14ac:dyDescent="0.15">
      <c r="A1021" s="286">
        <v>170499</v>
      </c>
      <c r="B1021" s="288">
        <v>44986.615972222222</v>
      </c>
      <c r="C1021" s="286" t="s">
        <v>1640</v>
      </c>
      <c r="D1021" s="286" t="s">
        <v>1105</v>
      </c>
      <c r="E1021" s="286" t="s">
        <v>1106</v>
      </c>
      <c r="F1021" s="286" t="s">
        <v>1755</v>
      </c>
      <c r="G1021" s="286" t="s">
        <v>1069</v>
      </c>
      <c r="H1021" s="286" t="s">
        <v>1069</v>
      </c>
      <c r="I1021" s="286" t="s">
        <v>1228</v>
      </c>
      <c r="J1021" s="286" t="s">
        <v>1312</v>
      </c>
      <c r="K1021" s="286" t="s">
        <v>53</v>
      </c>
      <c r="L1021" s="286" t="s">
        <v>53</v>
      </c>
      <c r="M1021" s="286" t="s">
        <v>53</v>
      </c>
      <c r="N1021" s="287">
        <v>737.5</v>
      </c>
      <c r="O1021" s="287"/>
      <c r="P1021" s="286" t="s">
        <v>58</v>
      </c>
    </row>
    <row r="1022" spans="1:16" hidden="1" x14ac:dyDescent="0.15">
      <c r="A1022" s="286">
        <v>170298</v>
      </c>
      <c r="B1022" s="288">
        <v>44986.623611111114</v>
      </c>
      <c r="C1022" s="286" t="s">
        <v>1638</v>
      </c>
      <c r="D1022" s="286" t="s">
        <v>1105</v>
      </c>
      <c r="E1022" s="286" t="s">
        <v>1106</v>
      </c>
      <c r="F1022" s="286" t="s">
        <v>1721</v>
      </c>
      <c r="G1022" s="286" t="s">
        <v>1069</v>
      </c>
      <c r="H1022" s="286" t="s">
        <v>1069</v>
      </c>
      <c r="I1022" s="286" t="s">
        <v>1228</v>
      </c>
      <c r="J1022" s="286" t="s">
        <v>1312</v>
      </c>
      <c r="K1022" s="286" t="s">
        <v>53</v>
      </c>
      <c r="L1022" s="286" t="s">
        <v>53</v>
      </c>
      <c r="M1022" s="286" t="s">
        <v>53</v>
      </c>
      <c r="N1022" s="287">
        <v>737.5</v>
      </c>
      <c r="O1022" s="287"/>
      <c r="P1022" s="286" t="s">
        <v>58</v>
      </c>
    </row>
    <row r="1023" spans="1:16" hidden="1" x14ac:dyDescent="0.15">
      <c r="A1023" s="286">
        <v>185846</v>
      </c>
      <c r="B1023" s="288">
        <v>45005.724305555559</v>
      </c>
      <c r="C1023" s="286" t="s">
        <v>1667</v>
      </c>
      <c r="D1023" s="286" t="s">
        <v>1105</v>
      </c>
      <c r="E1023" s="286" t="s">
        <v>1106</v>
      </c>
      <c r="F1023" s="286" t="s">
        <v>1702</v>
      </c>
      <c r="G1023" s="286" t="s">
        <v>1069</v>
      </c>
      <c r="H1023" s="286" t="s">
        <v>1069</v>
      </c>
      <c r="I1023" s="286" t="s">
        <v>1228</v>
      </c>
      <c r="J1023" s="286" t="s">
        <v>1312</v>
      </c>
      <c r="K1023" s="286" t="s">
        <v>53</v>
      </c>
      <c r="L1023" s="286" t="s">
        <v>53</v>
      </c>
      <c r="M1023" s="286" t="s">
        <v>53</v>
      </c>
      <c r="N1023" s="287">
        <v>737.5</v>
      </c>
      <c r="O1023" s="287"/>
      <c r="P1023" s="286" t="s">
        <v>58</v>
      </c>
    </row>
    <row r="1024" spans="1:16" hidden="1" x14ac:dyDescent="0.15">
      <c r="A1024" s="286">
        <v>201556</v>
      </c>
      <c r="B1024" s="288">
        <v>45029.540972222225</v>
      </c>
      <c r="C1024" s="286" t="s">
        <v>1657</v>
      </c>
      <c r="D1024" s="286" t="s">
        <v>1105</v>
      </c>
      <c r="E1024" s="286" t="s">
        <v>1106</v>
      </c>
      <c r="F1024" s="286" t="s">
        <v>1722</v>
      </c>
      <c r="G1024" s="286" t="s">
        <v>1069</v>
      </c>
      <c r="H1024" s="286" t="s">
        <v>1069</v>
      </c>
      <c r="I1024" s="286" t="s">
        <v>1228</v>
      </c>
      <c r="J1024" s="286" t="s">
        <v>1312</v>
      </c>
      <c r="K1024" s="286" t="s">
        <v>53</v>
      </c>
      <c r="L1024" s="286" t="s">
        <v>53</v>
      </c>
      <c r="M1024" s="286" t="s">
        <v>53</v>
      </c>
      <c r="N1024" s="287">
        <v>737.5</v>
      </c>
      <c r="O1024" s="287"/>
      <c r="P1024" s="286" t="s">
        <v>58</v>
      </c>
    </row>
    <row r="1025" spans="1:16" hidden="1" x14ac:dyDescent="0.15">
      <c r="A1025" s="286">
        <v>225409</v>
      </c>
      <c r="B1025" s="288">
        <v>45058.522222222222</v>
      </c>
      <c r="C1025" s="286" t="s">
        <v>1665</v>
      </c>
      <c r="D1025" s="286" t="s">
        <v>1105</v>
      </c>
      <c r="E1025" s="286" t="s">
        <v>1106</v>
      </c>
      <c r="F1025" s="286" t="s">
        <v>1723</v>
      </c>
      <c r="G1025" s="286" t="s">
        <v>1069</v>
      </c>
      <c r="H1025" s="286" t="s">
        <v>1069</v>
      </c>
      <c r="I1025" s="286" t="s">
        <v>1228</v>
      </c>
      <c r="J1025" s="286" t="s">
        <v>1312</v>
      </c>
      <c r="K1025" s="286" t="s">
        <v>53</v>
      </c>
      <c r="L1025" s="286" t="s">
        <v>53</v>
      </c>
      <c r="M1025" s="286" t="s">
        <v>53</v>
      </c>
      <c r="N1025" s="287">
        <v>737.5</v>
      </c>
      <c r="O1025" s="287"/>
      <c r="P1025" s="286" t="s">
        <v>58</v>
      </c>
    </row>
    <row r="1026" spans="1:16" hidden="1" x14ac:dyDescent="0.15">
      <c r="A1026" s="286">
        <v>339870</v>
      </c>
      <c r="B1026" s="288">
        <v>45177.481944444444</v>
      </c>
      <c r="C1026" s="286" t="s">
        <v>1676</v>
      </c>
      <c r="D1026" s="286" t="s">
        <v>1105</v>
      </c>
      <c r="E1026" s="286" t="s">
        <v>1106</v>
      </c>
      <c r="F1026" s="286" t="s">
        <v>1715</v>
      </c>
      <c r="G1026" s="286" t="s">
        <v>1860</v>
      </c>
      <c r="H1026" s="286" t="s">
        <v>1860</v>
      </c>
      <c r="I1026" s="286" t="s">
        <v>1228</v>
      </c>
      <c r="J1026" s="286" t="s">
        <v>53</v>
      </c>
      <c r="K1026" s="286" t="s">
        <v>53</v>
      </c>
      <c r="L1026" s="286" t="s">
        <v>53</v>
      </c>
      <c r="M1026" s="286" t="s">
        <v>53</v>
      </c>
      <c r="N1026" s="287">
        <v>714.43</v>
      </c>
      <c r="O1026" s="287"/>
      <c r="P1026" s="286" t="s">
        <v>58</v>
      </c>
    </row>
    <row r="1027" spans="1:16" hidden="1" x14ac:dyDescent="0.15">
      <c r="A1027" s="286">
        <v>370270</v>
      </c>
      <c r="B1027" s="288">
        <v>45208.668055555558</v>
      </c>
      <c r="C1027" s="286" t="s">
        <v>1642</v>
      </c>
      <c r="D1027" s="286" t="s">
        <v>1105</v>
      </c>
      <c r="E1027" s="286" t="s">
        <v>1106</v>
      </c>
      <c r="F1027" s="286" t="s">
        <v>1716</v>
      </c>
      <c r="G1027" s="286" t="s">
        <v>1860</v>
      </c>
      <c r="H1027" s="286" t="s">
        <v>1860</v>
      </c>
      <c r="I1027" s="286" t="s">
        <v>1228</v>
      </c>
      <c r="J1027" s="286" t="s">
        <v>53</v>
      </c>
      <c r="K1027" s="286" t="s">
        <v>53</v>
      </c>
      <c r="L1027" s="286" t="s">
        <v>53</v>
      </c>
      <c r="M1027" s="286" t="s">
        <v>53</v>
      </c>
      <c r="N1027" s="287">
        <v>714.43</v>
      </c>
      <c r="O1027" s="287"/>
      <c r="P1027" s="286" t="s">
        <v>58</v>
      </c>
    </row>
    <row r="1028" spans="1:16" hidden="1" x14ac:dyDescent="0.15">
      <c r="A1028" s="286">
        <v>402221</v>
      </c>
      <c r="B1028" s="288">
        <v>45243.579861111109</v>
      </c>
      <c r="C1028" s="286" t="s">
        <v>1654</v>
      </c>
      <c r="D1028" s="286" t="s">
        <v>1105</v>
      </c>
      <c r="E1028" s="286" t="s">
        <v>1106</v>
      </c>
      <c r="F1028" s="286" t="s">
        <v>1724</v>
      </c>
      <c r="G1028" s="286" t="s">
        <v>1860</v>
      </c>
      <c r="H1028" s="286" t="s">
        <v>1860</v>
      </c>
      <c r="I1028" s="286" t="s">
        <v>1228</v>
      </c>
      <c r="J1028" s="286" t="s">
        <v>53</v>
      </c>
      <c r="K1028" s="286" t="s">
        <v>53</v>
      </c>
      <c r="L1028" s="286" t="s">
        <v>53</v>
      </c>
      <c r="M1028" s="286" t="s">
        <v>53</v>
      </c>
      <c r="N1028" s="287">
        <v>714.43</v>
      </c>
      <c r="O1028" s="287"/>
      <c r="P1028" s="286" t="s">
        <v>58</v>
      </c>
    </row>
    <row r="1029" spans="1:16" hidden="1" x14ac:dyDescent="0.15">
      <c r="A1029" s="286">
        <v>455146</v>
      </c>
      <c r="B1029" s="288">
        <v>45310.510416666664</v>
      </c>
      <c r="C1029" s="286" t="s">
        <v>1632</v>
      </c>
      <c r="D1029" s="286" t="s">
        <v>1105</v>
      </c>
      <c r="E1029" s="286" t="s">
        <v>1106</v>
      </c>
      <c r="F1029" s="286" t="s">
        <v>1725</v>
      </c>
      <c r="G1029" s="286" t="s">
        <v>1860</v>
      </c>
      <c r="H1029" s="286" t="s">
        <v>1860</v>
      </c>
      <c r="I1029" s="286" t="s">
        <v>1228</v>
      </c>
      <c r="J1029" s="286" t="s">
        <v>53</v>
      </c>
      <c r="K1029" s="286" t="s">
        <v>53</v>
      </c>
      <c r="L1029" s="286" t="s">
        <v>53</v>
      </c>
      <c r="M1029" s="286" t="s">
        <v>53</v>
      </c>
      <c r="N1029" s="287">
        <v>714.43</v>
      </c>
      <c r="O1029" s="287"/>
      <c r="P1029" s="286" t="s">
        <v>58</v>
      </c>
    </row>
    <row r="1030" spans="1:16" hidden="1" x14ac:dyDescent="0.15">
      <c r="A1030" s="286">
        <v>170499</v>
      </c>
      <c r="B1030" s="288">
        <v>44986.615972222222</v>
      </c>
      <c r="C1030" s="286" t="s">
        <v>1640</v>
      </c>
      <c r="D1030" s="286" t="s">
        <v>1105</v>
      </c>
      <c r="E1030" s="286" t="s">
        <v>1106</v>
      </c>
      <c r="F1030" s="286" t="s">
        <v>1755</v>
      </c>
      <c r="G1030" s="286" t="s">
        <v>1860</v>
      </c>
      <c r="H1030" s="286" t="s">
        <v>1860</v>
      </c>
      <c r="I1030" s="286" t="s">
        <v>1228</v>
      </c>
      <c r="J1030" s="286" t="s">
        <v>1312</v>
      </c>
      <c r="K1030" s="286" t="s">
        <v>53</v>
      </c>
      <c r="L1030" s="286" t="s">
        <v>53</v>
      </c>
      <c r="M1030" s="286" t="s">
        <v>53</v>
      </c>
      <c r="N1030" s="287">
        <v>665.5</v>
      </c>
      <c r="O1030" s="287"/>
      <c r="P1030" s="286" t="s">
        <v>58</v>
      </c>
    </row>
    <row r="1031" spans="1:16" hidden="1" x14ac:dyDescent="0.15">
      <c r="A1031" s="286">
        <v>170298</v>
      </c>
      <c r="B1031" s="288">
        <v>44986.623611111114</v>
      </c>
      <c r="C1031" s="286" t="s">
        <v>1638</v>
      </c>
      <c r="D1031" s="286" t="s">
        <v>1105</v>
      </c>
      <c r="E1031" s="286" t="s">
        <v>1106</v>
      </c>
      <c r="F1031" s="286" t="s">
        <v>1721</v>
      </c>
      <c r="G1031" s="286" t="s">
        <v>1860</v>
      </c>
      <c r="H1031" s="286" t="s">
        <v>1860</v>
      </c>
      <c r="I1031" s="286" t="s">
        <v>1228</v>
      </c>
      <c r="J1031" s="286" t="s">
        <v>1312</v>
      </c>
      <c r="K1031" s="286" t="s">
        <v>53</v>
      </c>
      <c r="L1031" s="286" t="s">
        <v>53</v>
      </c>
      <c r="M1031" s="286" t="s">
        <v>53</v>
      </c>
      <c r="N1031" s="287">
        <v>665.5</v>
      </c>
      <c r="O1031" s="287"/>
      <c r="P1031" s="286" t="s">
        <v>58</v>
      </c>
    </row>
    <row r="1032" spans="1:16" hidden="1" x14ac:dyDescent="0.15">
      <c r="A1032" s="286">
        <v>185846</v>
      </c>
      <c r="B1032" s="288">
        <v>45005.724305555559</v>
      </c>
      <c r="C1032" s="286" t="s">
        <v>1667</v>
      </c>
      <c r="D1032" s="286" t="s">
        <v>1105</v>
      </c>
      <c r="E1032" s="286" t="s">
        <v>1106</v>
      </c>
      <c r="F1032" s="286" t="s">
        <v>1702</v>
      </c>
      <c r="G1032" s="286" t="s">
        <v>1860</v>
      </c>
      <c r="H1032" s="286" t="s">
        <v>1860</v>
      </c>
      <c r="I1032" s="286" t="s">
        <v>1228</v>
      </c>
      <c r="J1032" s="286" t="s">
        <v>1312</v>
      </c>
      <c r="K1032" s="286" t="s">
        <v>53</v>
      </c>
      <c r="L1032" s="286" t="s">
        <v>53</v>
      </c>
      <c r="M1032" s="286" t="s">
        <v>53</v>
      </c>
      <c r="N1032" s="287">
        <v>665.5</v>
      </c>
      <c r="O1032" s="287"/>
      <c r="P1032" s="286" t="s">
        <v>58</v>
      </c>
    </row>
    <row r="1033" spans="1:16" hidden="1" x14ac:dyDescent="0.15">
      <c r="A1033" s="286">
        <v>201556</v>
      </c>
      <c r="B1033" s="288">
        <v>45029.540972222225</v>
      </c>
      <c r="C1033" s="286" t="s">
        <v>1657</v>
      </c>
      <c r="D1033" s="286" t="s">
        <v>1105</v>
      </c>
      <c r="E1033" s="286" t="s">
        <v>1106</v>
      </c>
      <c r="F1033" s="286" t="s">
        <v>1722</v>
      </c>
      <c r="G1033" s="286" t="s">
        <v>1860</v>
      </c>
      <c r="H1033" s="286" t="s">
        <v>1860</v>
      </c>
      <c r="I1033" s="286" t="s">
        <v>1228</v>
      </c>
      <c r="J1033" s="286" t="s">
        <v>1312</v>
      </c>
      <c r="K1033" s="286" t="s">
        <v>53</v>
      </c>
      <c r="L1033" s="286" t="s">
        <v>53</v>
      </c>
      <c r="M1033" s="286" t="s">
        <v>53</v>
      </c>
      <c r="N1033" s="287">
        <v>665.5</v>
      </c>
      <c r="O1033" s="287"/>
      <c r="P1033" s="286" t="s">
        <v>58</v>
      </c>
    </row>
    <row r="1034" spans="1:16" hidden="1" x14ac:dyDescent="0.15">
      <c r="A1034" s="286">
        <v>225409</v>
      </c>
      <c r="B1034" s="288">
        <v>45058.522222222222</v>
      </c>
      <c r="C1034" s="286" t="s">
        <v>1665</v>
      </c>
      <c r="D1034" s="286" t="s">
        <v>1105</v>
      </c>
      <c r="E1034" s="286" t="s">
        <v>1106</v>
      </c>
      <c r="F1034" s="286" t="s">
        <v>1723</v>
      </c>
      <c r="G1034" s="286" t="s">
        <v>1860</v>
      </c>
      <c r="H1034" s="286" t="s">
        <v>1860</v>
      </c>
      <c r="I1034" s="286" t="s">
        <v>1228</v>
      </c>
      <c r="J1034" s="286" t="s">
        <v>1312</v>
      </c>
      <c r="K1034" s="286" t="s">
        <v>53</v>
      </c>
      <c r="L1034" s="286" t="s">
        <v>53</v>
      </c>
      <c r="M1034" s="286" t="s">
        <v>53</v>
      </c>
      <c r="N1034" s="287">
        <v>665.5</v>
      </c>
      <c r="O1034" s="287"/>
      <c r="P1034" s="286" t="s">
        <v>58</v>
      </c>
    </row>
    <row r="1035" spans="1:16" hidden="1" x14ac:dyDescent="0.15">
      <c r="A1035" s="286">
        <v>455146</v>
      </c>
      <c r="B1035" s="288">
        <v>45310.510416666664</v>
      </c>
      <c r="C1035" s="286" t="s">
        <v>1632</v>
      </c>
      <c r="D1035" s="286" t="s">
        <v>1105</v>
      </c>
      <c r="E1035" s="286" t="s">
        <v>1106</v>
      </c>
      <c r="F1035" s="286" t="s">
        <v>1725</v>
      </c>
      <c r="G1035" s="286" t="s">
        <v>1080</v>
      </c>
      <c r="H1035" s="286" t="s">
        <v>1080</v>
      </c>
      <c r="I1035" s="286" t="s">
        <v>1228</v>
      </c>
      <c r="J1035" s="286" t="s">
        <v>1312</v>
      </c>
      <c r="K1035" s="286" t="s">
        <v>1770</v>
      </c>
      <c r="L1035" s="286" t="s">
        <v>672</v>
      </c>
      <c r="M1035" s="286">
        <v>1</v>
      </c>
      <c r="N1035" s="287">
        <v>660.9</v>
      </c>
      <c r="O1035" s="287"/>
      <c r="P1035" s="286" t="s">
        <v>58</v>
      </c>
    </row>
    <row r="1036" spans="1:16" hidden="1" x14ac:dyDescent="0.15">
      <c r="A1036" s="286">
        <v>455146</v>
      </c>
      <c r="B1036" s="288">
        <v>45310.510416666664</v>
      </c>
      <c r="C1036" s="286" t="s">
        <v>1632</v>
      </c>
      <c r="D1036" s="286" t="s">
        <v>1105</v>
      </c>
      <c r="E1036" s="286" t="s">
        <v>1106</v>
      </c>
      <c r="F1036" s="286" t="s">
        <v>1725</v>
      </c>
      <c r="G1036" s="286" t="s">
        <v>1080</v>
      </c>
      <c r="H1036" s="286" t="s">
        <v>1080</v>
      </c>
      <c r="I1036" s="286" t="s">
        <v>1228</v>
      </c>
      <c r="J1036" s="286" t="s">
        <v>1312</v>
      </c>
      <c r="K1036" s="286" t="s">
        <v>1808</v>
      </c>
      <c r="L1036" s="286" t="s">
        <v>53</v>
      </c>
      <c r="M1036" s="286">
        <v>1</v>
      </c>
      <c r="N1036" s="287">
        <v>660.9</v>
      </c>
      <c r="O1036" s="287"/>
      <c r="P1036" s="286" t="s">
        <v>58</v>
      </c>
    </row>
    <row r="1037" spans="1:16" hidden="1" x14ac:dyDescent="0.15">
      <c r="A1037" s="286">
        <v>455146</v>
      </c>
      <c r="B1037" s="288">
        <v>45310.510416666664</v>
      </c>
      <c r="C1037" s="286" t="s">
        <v>1632</v>
      </c>
      <c r="D1037" s="286" t="s">
        <v>1105</v>
      </c>
      <c r="E1037" s="286" t="s">
        <v>1106</v>
      </c>
      <c r="F1037" s="286" t="s">
        <v>1725</v>
      </c>
      <c r="G1037" s="286" t="s">
        <v>1080</v>
      </c>
      <c r="H1037" s="286" t="s">
        <v>1080</v>
      </c>
      <c r="I1037" s="286" t="s">
        <v>1228</v>
      </c>
      <c r="J1037" s="286" t="s">
        <v>1312</v>
      </c>
      <c r="K1037" s="286" t="s">
        <v>1821</v>
      </c>
      <c r="L1037" s="286" t="s">
        <v>53</v>
      </c>
      <c r="M1037" s="286">
        <v>1</v>
      </c>
      <c r="N1037" s="287">
        <v>660.9</v>
      </c>
      <c r="O1037" s="287"/>
      <c r="P1037" s="286" t="s">
        <v>58</v>
      </c>
    </row>
    <row r="1038" spans="1:16" hidden="1" x14ac:dyDescent="0.15">
      <c r="A1038" s="286">
        <v>284271</v>
      </c>
      <c r="B1038" s="288">
        <v>45121.682638888888</v>
      </c>
      <c r="C1038" s="286" t="s">
        <v>1636</v>
      </c>
      <c r="D1038" s="286" t="s">
        <v>1105</v>
      </c>
      <c r="E1038" s="286" t="s">
        <v>1106</v>
      </c>
      <c r="F1038" s="286" t="s">
        <v>1713</v>
      </c>
      <c r="G1038" s="286" t="s">
        <v>1022</v>
      </c>
      <c r="H1038" s="286" t="s">
        <v>1022</v>
      </c>
      <c r="I1038" s="286" t="s">
        <v>1228</v>
      </c>
      <c r="J1038" s="286" t="s">
        <v>53</v>
      </c>
      <c r="K1038" s="286" t="s">
        <v>53</v>
      </c>
      <c r="L1038" s="286" t="s">
        <v>53</v>
      </c>
      <c r="M1038" s="286" t="s">
        <v>53</v>
      </c>
      <c r="N1038" s="287">
        <v>660.73</v>
      </c>
      <c r="O1038" s="287"/>
      <c r="P1038" s="286" t="s">
        <v>58</v>
      </c>
    </row>
    <row r="1039" spans="1:16" hidden="1" x14ac:dyDescent="0.15">
      <c r="A1039" s="286">
        <v>328287</v>
      </c>
      <c r="B1039" s="288">
        <v>45161.62777777778</v>
      </c>
      <c r="C1039" s="286" t="s">
        <v>1691</v>
      </c>
      <c r="D1039" s="286" t="s">
        <v>1105</v>
      </c>
      <c r="E1039" s="286" t="s">
        <v>1106</v>
      </c>
      <c r="F1039" s="286" t="s">
        <v>1714</v>
      </c>
      <c r="G1039" s="286" t="s">
        <v>1022</v>
      </c>
      <c r="H1039" s="286" t="s">
        <v>1022</v>
      </c>
      <c r="I1039" s="286" t="s">
        <v>1228</v>
      </c>
      <c r="J1039" s="286" t="s">
        <v>53</v>
      </c>
      <c r="K1039" s="286" t="s">
        <v>53</v>
      </c>
      <c r="L1039" s="286" t="s">
        <v>53</v>
      </c>
      <c r="M1039" s="286" t="s">
        <v>53</v>
      </c>
      <c r="N1039" s="287">
        <v>660.73</v>
      </c>
      <c r="O1039" s="287"/>
      <c r="P1039" s="286" t="s">
        <v>58</v>
      </c>
    </row>
    <row r="1040" spans="1:16" hidden="1" x14ac:dyDescent="0.15">
      <c r="A1040" s="286">
        <v>339870</v>
      </c>
      <c r="B1040" s="288">
        <v>45177.481944444444</v>
      </c>
      <c r="C1040" s="286" t="s">
        <v>1676</v>
      </c>
      <c r="D1040" s="286" t="s">
        <v>1105</v>
      </c>
      <c r="E1040" s="286" t="s">
        <v>1106</v>
      </c>
      <c r="F1040" s="286" t="s">
        <v>1715</v>
      </c>
      <c r="G1040" s="286" t="s">
        <v>1022</v>
      </c>
      <c r="H1040" s="286" t="s">
        <v>1022</v>
      </c>
      <c r="I1040" s="286" t="s">
        <v>1228</v>
      </c>
      <c r="J1040" s="286" t="s">
        <v>53</v>
      </c>
      <c r="K1040" s="286" t="s">
        <v>53</v>
      </c>
      <c r="L1040" s="286" t="s">
        <v>53</v>
      </c>
      <c r="M1040" s="286" t="s">
        <v>53</v>
      </c>
      <c r="N1040" s="287">
        <v>660.73</v>
      </c>
      <c r="O1040" s="287"/>
      <c r="P1040" s="286" t="s">
        <v>58</v>
      </c>
    </row>
    <row r="1041" spans="1:16" hidden="1" x14ac:dyDescent="0.15">
      <c r="A1041" s="286">
        <v>370270</v>
      </c>
      <c r="B1041" s="288">
        <v>45208.668055555558</v>
      </c>
      <c r="C1041" s="286" t="s">
        <v>1642</v>
      </c>
      <c r="D1041" s="286" t="s">
        <v>1105</v>
      </c>
      <c r="E1041" s="286" t="s">
        <v>1106</v>
      </c>
      <c r="F1041" s="286" t="s">
        <v>1716</v>
      </c>
      <c r="G1041" s="286" t="s">
        <v>1022</v>
      </c>
      <c r="H1041" s="286" t="s">
        <v>1022</v>
      </c>
      <c r="I1041" s="286" t="s">
        <v>1228</v>
      </c>
      <c r="J1041" s="286" t="s">
        <v>53</v>
      </c>
      <c r="K1041" s="286" t="s">
        <v>53</v>
      </c>
      <c r="L1041" s="286" t="s">
        <v>53</v>
      </c>
      <c r="M1041" s="286" t="s">
        <v>53</v>
      </c>
      <c r="N1041" s="287">
        <v>660.73</v>
      </c>
      <c r="O1041" s="287"/>
      <c r="P1041" s="286" t="s">
        <v>58</v>
      </c>
    </row>
    <row r="1042" spans="1:16" hidden="1" x14ac:dyDescent="0.15">
      <c r="A1042" s="286">
        <v>402221</v>
      </c>
      <c r="B1042" s="288">
        <v>45243.579861111109</v>
      </c>
      <c r="C1042" s="286" t="s">
        <v>1654</v>
      </c>
      <c r="D1042" s="286" t="s">
        <v>1105</v>
      </c>
      <c r="E1042" s="286" t="s">
        <v>1106</v>
      </c>
      <c r="F1042" s="286" t="s">
        <v>1724</v>
      </c>
      <c r="G1042" s="286" t="s">
        <v>1022</v>
      </c>
      <c r="H1042" s="286" t="s">
        <v>1022</v>
      </c>
      <c r="I1042" s="286" t="s">
        <v>1228</v>
      </c>
      <c r="J1042" s="286" t="s">
        <v>53</v>
      </c>
      <c r="K1042" s="286" t="s">
        <v>53</v>
      </c>
      <c r="L1042" s="286" t="s">
        <v>53</v>
      </c>
      <c r="M1042" s="286" t="s">
        <v>53</v>
      </c>
      <c r="N1042" s="287">
        <v>660.73</v>
      </c>
      <c r="O1042" s="287"/>
      <c r="P1042" s="286" t="s">
        <v>58</v>
      </c>
    </row>
    <row r="1043" spans="1:16" hidden="1" x14ac:dyDescent="0.15">
      <c r="A1043" s="286">
        <v>455146</v>
      </c>
      <c r="B1043" s="288">
        <v>45310.510416666664</v>
      </c>
      <c r="C1043" s="286" t="s">
        <v>1632</v>
      </c>
      <c r="D1043" s="286" t="s">
        <v>1105</v>
      </c>
      <c r="E1043" s="286" t="s">
        <v>1106</v>
      </c>
      <c r="F1043" s="286" t="s">
        <v>1725</v>
      </c>
      <c r="G1043" s="286" t="s">
        <v>1022</v>
      </c>
      <c r="H1043" s="286" t="s">
        <v>1022</v>
      </c>
      <c r="I1043" s="286" t="s">
        <v>1228</v>
      </c>
      <c r="J1043" s="286" t="s">
        <v>53</v>
      </c>
      <c r="K1043" s="286" t="s">
        <v>53</v>
      </c>
      <c r="L1043" s="286" t="s">
        <v>53</v>
      </c>
      <c r="M1043" s="286" t="s">
        <v>53</v>
      </c>
      <c r="N1043" s="287">
        <v>660.73</v>
      </c>
      <c r="O1043" s="287"/>
      <c r="P1043" s="286" t="s">
        <v>58</v>
      </c>
    </row>
    <row r="1044" spans="1:16" hidden="1" x14ac:dyDescent="0.15">
      <c r="A1044" s="286">
        <v>433764</v>
      </c>
      <c r="B1044" s="288">
        <v>45278.734722222223</v>
      </c>
      <c r="C1044" s="286" t="s">
        <v>1632</v>
      </c>
      <c r="D1044" s="286" t="s">
        <v>1105</v>
      </c>
      <c r="E1044" s="286" t="s">
        <v>1106</v>
      </c>
      <c r="F1044" s="286" t="s">
        <v>1801</v>
      </c>
      <c r="G1044" s="286" t="s">
        <v>1075</v>
      </c>
      <c r="H1044" s="286" t="s">
        <v>1075</v>
      </c>
      <c r="I1044" s="286" t="s">
        <v>1129</v>
      </c>
      <c r="J1044" s="286" t="s">
        <v>1312</v>
      </c>
      <c r="K1044" s="286" t="s">
        <v>1318</v>
      </c>
      <c r="L1044" s="286" t="s">
        <v>1319</v>
      </c>
      <c r="M1044" s="286">
        <v>1</v>
      </c>
      <c r="N1044" s="287">
        <v>644.02</v>
      </c>
      <c r="O1044" s="287"/>
      <c r="P1044" s="286" t="s">
        <v>164</v>
      </c>
    </row>
    <row r="1045" spans="1:16" hidden="1" x14ac:dyDescent="0.15">
      <c r="A1045" s="286">
        <v>407061</v>
      </c>
      <c r="B1045" s="288">
        <v>45246.459722222222</v>
      </c>
      <c r="C1045" s="286" t="s">
        <v>1654</v>
      </c>
      <c r="D1045" s="286" t="s">
        <v>1105</v>
      </c>
      <c r="E1045" s="286" t="s">
        <v>1106</v>
      </c>
      <c r="F1045" s="286" t="s">
        <v>1848</v>
      </c>
      <c r="G1045" s="286" t="s">
        <v>1048</v>
      </c>
      <c r="H1045" s="286" t="s">
        <v>1048</v>
      </c>
      <c r="I1045" s="286" t="s">
        <v>1129</v>
      </c>
      <c r="J1045" s="286" t="s">
        <v>1312</v>
      </c>
      <c r="K1045" s="286" t="s">
        <v>1863</v>
      </c>
      <c r="L1045" s="286" t="s">
        <v>1864</v>
      </c>
      <c r="M1045" s="286">
        <v>22</v>
      </c>
      <c r="N1045" s="287">
        <v>618.41999999999996</v>
      </c>
      <c r="O1045" s="287"/>
      <c r="P1045" s="286" t="s">
        <v>164</v>
      </c>
    </row>
    <row r="1046" spans="1:16" hidden="1" x14ac:dyDescent="0.15">
      <c r="A1046" s="286">
        <v>328287</v>
      </c>
      <c r="B1046" s="288">
        <v>45161.62777777778</v>
      </c>
      <c r="C1046" s="286" t="s">
        <v>1691</v>
      </c>
      <c r="D1046" s="286" t="s">
        <v>1105</v>
      </c>
      <c r="E1046" s="286" t="s">
        <v>1106</v>
      </c>
      <c r="F1046" s="286" t="s">
        <v>1714</v>
      </c>
      <c r="G1046" s="286" t="s">
        <v>1029</v>
      </c>
      <c r="H1046" s="286" t="s">
        <v>1029</v>
      </c>
      <c r="I1046" s="286" t="s">
        <v>1199</v>
      </c>
      <c r="J1046" s="286" t="s">
        <v>53</v>
      </c>
      <c r="K1046" s="286" t="s">
        <v>53</v>
      </c>
      <c r="L1046" s="286" t="s">
        <v>53</v>
      </c>
      <c r="M1046" s="286" t="s">
        <v>53</v>
      </c>
      <c r="N1046" s="287">
        <v>613.79</v>
      </c>
      <c r="O1046" s="287"/>
      <c r="P1046" s="286" t="s">
        <v>58</v>
      </c>
    </row>
    <row r="1047" spans="1:16" hidden="1" x14ac:dyDescent="0.15">
      <c r="A1047" s="286">
        <v>278788</v>
      </c>
      <c r="B1047" s="288">
        <v>45118.57708333333</v>
      </c>
      <c r="C1047" s="286" t="s">
        <v>1649</v>
      </c>
      <c r="D1047" s="286" t="s">
        <v>1105</v>
      </c>
      <c r="E1047" s="286" t="s">
        <v>1106</v>
      </c>
      <c r="F1047" s="286" t="s">
        <v>1712</v>
      </c>
      <c r="G1047" s="286" t="s">
        <v>1082</v>
      </c>
      <c r="H1047" s="286" t="s">
        <v>1082</v>
      </c>
      <c r="I1047" s="286" t="s">
        <v>1199</v>
      </c>
      <c r="J1047" s="286" t="s">
        <v>53</v>
      </c>
      <c r="K1047" s="286" t="s">
        <v>53</v>
      </c>
      <c r="L1047" s="286" t="s">
        <v>53</v>
      </c>
      <c r="M1047" s="286" t="s">
        <v>53</v>
      </c>
      <c r="N1047" s="287">
        <v>603.05999999999995</v>
      </c>
      <c r="O1047" s="287"/>
      <c r="P1047" s="286" t="s">
        <v>58</v>
      </c>
    </row>
    <row r="1048" spans="1:16" hidden="1" x14ac:dyDescent="0.15">
      <c r="A1048" s="286">
        <v>170499</v>
      </c>
      <c r="B1048" s="288">
        <v>44986.615972222222</v>
      </c>
      <c r="C1048" s="286" t="s">
        <v>1640</v>
      </c>
      <c r="D1048" s="286" t="s">
        <v>1105</v>
      </c>
      <c r="E1048" s="286" t="s">
        <v>1106</v>
      </c>
      <c r="F1048" s="286" t="s">
        <v>1755</v>
      </c>
      <c r="G1048" s="286" t="s">
        <v>1022</v>
      </c>
      <c r="H1048" s="286" t="s">
        <v>1022</v>
      </c>
      <c r="I1048" s="286" t="s">
        <v>1228</v>
      </c>
      <c r="J1048" s="286" t="s">
        <v>1312</v>
      </c>
      <c r="K1048" s="286" t="s">
        <v>53</v>
      </c>
      <c r="L1048" s="286" t="s">
        <v>53</v>
      </c>
      <c r="M1048" s="286" t="s">
        <v>53</v>
      </c>
      <c r="N1048" s="287">
        <v>599.25</v>
      </c>
      <c r="O1048" s="287"/>
      <c r="P1048" s="286" t="s">
        <v>58</v>
      </c>
    </row>
    <row r="1049" spans="1:16" hidden="1" x14ac:dyDescent="0.15">
      <c r="A1049" s="286">
        <v>170298</v>
      </c>
      <c r="B1049" s="288">
        <v>44986.623611111114</v>
      </c>
      <c r="C1049" s="286" t="s">
        <v>1638</v>
      </c>
      <c r="D1049" s="286" t="s">
        <v>1105</v>
      </c>
      <c r="E1049" s="286" t="s">
        <v>1106</v>
      </c>
      <c r="F1049" s="286" t="s">
        <v>1721</v>
      </c>
      <c r="G1049" s="286" t="s">
        <v>1022</v>
      </c>
      <c r="H1049" s="286" t="s">
        <v>1022</v>
      </c>
      <c r="I1049" s="286" t="s">
        <v>1228</v>
      </c>
      <c r="J1049" s="286" t="s">
        <v>1312</v>
      </c>
      <c r="K1049" s="286" t="s">
        <v>53</v>
      </c>
      <c r="L1049" s="286" t="s">
        <v>53</v>
      </c>
      <c r="M1049" s="286" t="s">
        <v>53</v>
      </c>
      <c r="N1049" s="287">
        <v>599.25</v>
      </c>
      <c r="O1049" s="287"/>
      <c r="P1049" s="286" t="s">
        <v>58</v>
      </c>
    </row>
    <row r="1050" spans="1:16" hidden="1" x14ac:dyDescent="0.15">
      <c r="A1050" s="286">
        <v>185846</v>
      </c>
      <c r="B1050" s="288">
        <v>45005.724305555559</v>
      </c>
      <c r="C1050" s="286" t="s">
        <v>1667</v>
      </c>
      <c r="D1050" s="286" t="s">
        <v>1105</v>
      </c>
      <c r="E1050" s="286" t="s">
        <v>1106</v>
      </c>
      <c r="F1050" s="286" t="s">
        <v>1702</v>
      </c>
      <c r="G1050" s="286" t="s">
        <v>1022</v>
      </c>
      <c r="H1050" s="286" t="s">
        <v>1022</v>
      </c>
      <c r="I1050" s="286" t="s">
        <v>1228</v>
      </c>
      <c r="J1050" s="286" t="s">
        <v>1312</v>
      </c>
      <c r="K1050" s="286" t="s">
        <v>53</v>
      </c>
      <c r="L1050" s="286" t="s">
        <v>53</v>
      </c>
      <c r="M1050" s="286" t="s">
        <v>53</v>
      </c>
      <c r="N1050" s="287">
        <v>599.25</v>
      </c>
      <c r="O1050" s="287"/>
      <c r="P1050" s="286" t="s">
        <v>58</v>
      </c>
    </row>
    <row r="1051" spans="1:16" hidden="1" x14ac:dyDescent="0.15">
      <c r="A1051" s="286">
        <v>201556</v>
      </c>
      <c r="B1051" s="288">
        <v>45029.540972222225</v>
      </c>
      <c r="C1051" s="286" t="s">
        <v>1657</v>
      </c>
      <c r="D1051" s="286" t="s">
        <v>1105</v>
      </c>
      <c r="E1051" s="286" t="s">
        <v>1106</v>
      </c>
      <c r="F1051" s="286" t="s">
        <v>1722</v>
      </c>
      <c r="G1051" s="286" t="s">
        <v>1022</v>
      </c>
      <c r="H1051" s="286" t="s">
        <v>1022</v>
      </c>
      <c r="I1051" s="286" t="s">
        <v>1228</v>
      </c>
      <c r="J1051" s="286" t="s">
        <v>1312</v>
      </c>
      <c r="K1051" s="286" t="s">
        <v>53</v>
      </c>
      <c r="L1051" s="286" t="s">
        <v>53</v>
      </c>
      <c r="M1051" s="286" t="s">
        <v>53</v>
      </c>
      <c r="N1051" s="287">
        <v>599.25</v>
      </c>
      <c r="O1051" s="287"/>
      <c r="P1051" s="286" t="s">
        <v>58</v>
      </c>
    </row>
    <row r="1052" spans="1:16" hidden="1" x14ac:dyDescent="0.15">
      <c r="A1052" s="286">
        <v>225409</v>
      </c>
      <c r="B1052" s="288">
        <v>45058.522222222222</v>
      </c>
      <c r="C1052" s="286" t="s">
        <v>1665</v>
      </c>
      <c r="D1052" s="286" t="s">
        <v>1105</v>
      </c>
      <c r="E1052" s="286" t="s">
        <v>1106</v>
      </c>
      <c r="F1052" s="286" t="s">
        <v>1723</v>
      </c>
      <c r="G1052" s="286" t="s">
        <v>1022</v>
      </c>
      <c r="H1052" s="286" t="s">
        <v>1022</v>
      </c>
      <c r="I1052" s="286" t="s">
        <v>1228</v>
      </c>
      <c r="J1052" s="286" t="s">
        <v>1312</v>
      </c>
      <c r="K1052" s="286" t="s">
        <v>53</v>
      </c>
      <c r="L1052" s="286" t="s">
        <v>53</v>
      </c>
      <c r="M1052" s="286" t="s">
        <v>53</v>
      </c>
      <c r="N1052" s="287">
        <v>599.25</v>
      </c>
      <c r="O1052" s="287"/>
      <c r="P1052" s="286" t="s">
        <v>58</v>
      </c>
    </row>
    <row r="1053" spans="1:16" hidden="1" x14ac:dyDescent="0.15">
      <c r="A1053" s="286">
        <v>433764</v>
      </c>
      <c r="B1053" s="288">
        <v>45278.734722222223</v>
      </c>
      <c r="C1053" s="286" t="s">
        <v>1632</v>
      </c>
      <c r="D1053" s="286" t="s">
        <v>1105</v>
      </c>
      <c r="E1053" s="286" t="s">
        <v>1106</v>
      </c>
      <c r="F1053" s="286" t="s">
        <v>1801</v>
      </c>
      <c r="G1053" s="286" t="s">
        <v>1047</v>
      </c>
      <c r="H1053" s="286" t="s">
        <v>1047</v>
      </c>
      <c r="I1053" s="286" t="s">
        <v>1129</v>
      </c>
      <c r="J1053" s="286" t="s">
        <v>1312</v>
      </c>
      <c r="K1053" s="286" t="s">
        <v>734</v>
      </c>
      <c r="L1053" s="286" t="s">
        <v>1385</v>
      </c>
      <c r="M1053" s="286">
        <v>1</v>
      </c>
      <c r="N1053" s="287">
        <v>590</v>
      </c>
      <c r="O1053" s="287"/>
      <c r="P1053" s="286" t="s">
        <v>164</v>
      </c>
    </row>
    <row r="1054" spans="1:16" hidden="1" x14ac:dyDescent="0.15">
      <c r="A1054" s="286">
        <v>284271</v>
      </c>
      <c r="B1054" s="288">
        <v>45121.682638888888</v>
      </c>
      <c r="C1054" s="286" t="s">
        <v>1636</v>
      </c>
      <c r="D1054" s="286" t="s">
        <v>1105</v>
      </c>
      <c r="E1054" s="286" t="s">
        <v>1106</v>
      </c>
      <c r="F1054" s="286" t="s">
        <v>1713</v>
      </c>
      <c r="G1054" s="286" t="s">
        <v>1078</v>
      </c>
      <c r="H1054" s="286" t="s">
        <v>1078</v>
      </c>
      <c r="I1054" s="286" t="s">
        <v>1228</v>
      </c>
      <c r="J1054" s="286" t="s">
        <v>53</v>
      </c>
      <c r="K1054" s="286" t="s">
        <v>53</v>
      </c>
      <c r="L1054" s="286" t="s">
        <v>53</v>
      </c>
      <c r="M1054" s="286" t="s">
        <v>53</v>
      </c>
      <c r="N1054" s="287">
        <v>559.04</v>
      </c>
      <c r="O1054" s="287"/>
      <c r="P1054" s="286" t="s">
        <v>58</v>
      </c>
    </row>
    <row r="1055" spans="1:16" hidden="1" x14ac:dyDescent="0.15">
      <c r="A1055" s="286">
        <v>418370</v>
      </c>
      <c r="B1055" s="288">
        <v>45261.45416666667</v>
      </c>
      <c r="C1055" s="286" t="s">
        <v>1654</v>
      </c>
      <c r="D1055" s="286" t="s">
        <v>1105</v>
      </c>
      <c r="E1055" s="286" t="s">
        <v>1106</v>
      </c>
      <c r="F1055" s="286" t="s">
        <v>1655</v>
      </c>
      <c r="G1055" s="286" t="s">
        <v>1034</v>
      </c>
      <c r="H1055" s="286" t="s">
        <v>1034</v>
      </c>
      <c r="I1055" s="286" t="s">
        <v>1152</v>
      </c>
      <c r="J1055" s="286" t="s">
        <v>1312</v>
      </c>
      <c r="K1055" s="286" t="s">
        <v>1811</v>
      </c>
      <c r="L1055" s="286" t="s">
        <v>672</v>
      </c>
      <c r="M1055" s="286">
        <v>1</v>
      </c>
      <c r="N1055" s="287">
        <v>546.41999999999996</v>
      </c>
      <c r="O1055" s="287"/>
      <c r="P1055" s="286" t="s">
        <v>58</v>
      </c>
    </row>
    <row r="1056" spans="1:16" hidden="1" x14ac:dyDescent="0.15">
      <c r="A1056" s="286">
        <v>131067</v>
      </c>
      <c r="B1056" s="288">
        <v>44935.645138888889</v>
      </c>
      <c r="C1056" s="286" t="s">
        <v>1640</v>
      </c>
      <c r="D1056" s="286" t="s">
        <v>1309</v>
      </c>
      <c r="E1056" s="286" t="s">
        <v>1310</v>
      </c>
      <c r="F1056" s="286" t="s">
        <v>1865</v>
      </c>
      <c r="G1056" s="286" t="s">
        <v>1866</v>
      </c>
      <c r="H1056" s="286" t="s">
        <v>1866</v>
      </c>
      <c r="I1056" s="286" t="s">
        <v>1129</v>
      </c>
      <c r="J1056" s="286" t="s">
        <v>1312</v>
      </c>
      <c r="K1056" s="286" t="s">
        <v>1867</v>
      </c>
      <c r="L1056" s="286" t="s">
        <v>1868</v>
      </c>
      <c r="M1056" s="286">
        <v>12</v>
      </c>
      <c r="N1056" s="287">
        <v>540</v>
      </c>
      <c r="O1056" s="287"/>
      <c r="P1056" s="286" t="s">
        <v>164</v>
      </c>
    </row>
    <row r="1057" spans="1:16" hidden="1" x14ac:dyDescent="0.15">
      <c r="A1057" s="286">
        <v>278788</v>
      </c>
      <c r="B1057" s="288">
        <v>45118.57708333333</v>
      </c>
      <c r="C1057" s="286" t="s">
        <v>1649</v>
      </c>
      <c r="D1057" s="286" t="s">
        <v>1105</v>
      </c>
      <c r="E1057" s="286" t="s">
        <v>1106</v>
      </c>
      <c r="F1057" s="286" t="s">
        <v>1712</v>
      </c>
      <c r="G1057" s="286" t="s">
        <v>1840</v>
      </c>
      <c r="H1057" s="286" t="s">
        <v>1840</v>
      </c>
      <c r="I1057" s="286" t="s">
        <v>1228</v>
      </c>
      <c r="J1057" s="286" t="s">
        <v>53</v>
      </c>
      <c r="K1057" s="286" t="s">
        <v>53</v>
      </c>
      <c r="L1057" s="286" t="s">
        <v>53</v>
      </c>
      <c r="M1057" s="286" t="s">
        <v>53</v>
      </c>
      <c r="N1057" s="287">
        <v>519.11</v>
      </c>
      <c r="O1057" s="287"/>
      <c r="P1057" s="286" t="s">
        <v>58</v>
      </c>
    </row>
    <row r="1058" spans="1:16" hidden="1" x14ac:dyDescent="0.15">
      <c r="A1058" s="286">
        <v>284271</v>
      </c>
      <c r="B1058" s="288">
        <v>45121.682638888888</v>
      </c>
      <c r="C1058" s="286" t="s">
        <v>1636</v>
      </c>
      <c r="D1058" s="286" t="s">
        <v>1105</v>
      </c>
      <c r="E1058" s="286" t="s">
        <v>1106</v>
      </c>
      <c r="F1058" s="286" t="s">
        <v>1713</v>
      </c>
      <c r="G1058" s="286" t="s">
        <v>1073</v>
      </c>
      <c r="H1058" s="286" t="s">
        <v>1073</v>
      </c>
      <c r="I1058" s="286" t="s">
        <v>1199</v>
      </c>
      <c r="J1058" s="286" t="s">
        <v>1312</v>
      </c>
      <c r="K1058" s="286" t="s">
        <v>1754</v>
      </c>
      <c r="L1058" s="286" t="s">
        <v>672</v>
      </c>
      <c r="M1058" s="286">
        <v>1</v>
      </c>
      <c r="N1058" s="287">
        <v>510.45</v>
      </c>
      <c r="O1058" s="287"/>
      <c r="P1058" s="286" t="s">
        <v>58</v>
      </c>
    </row>
    <row r="1059" spans="1:16" hidden="1" x14ac:dyDescent="0.15">
      <c r="A1059" s="286">
        <v>328287</v>
      </c>
      <c r="B1059" s="288">
        <v>45161.62777777778</v>
      </c>
      <c r="C1059" s="286" t="s">
        <v>1691</v>
      </c>
      <c r="D1059" s="286" t="s">
        <v>1105</v>
      </c>
      <c r="E1059" s="286" t="s">
        <v>1106</v>
      </c>
      <c r="F1059" s="286" t="s">
        <v>1714</v>
      </c>
      <c r="G1059" s="286" t="s">
        <v>1073</v>
      </c>
      <c r="H1059" s="286" t="s">
        <v>1073</v>
      </c>
      <c r="I1059" s="286" t="s">
        <v>1199</v>
      </c>
      <c r="J1059" s="286" t="s">
        <v>1312</v>
      </c>
      <c r="K1059" s="286" t="s">
        <v>1754</v>
      </c>
      <c r="L1059" s="286" t="s">
        <v>672</v>
      </c>
      <c r="M1059" s="286">
        <v>1</v>
      </c>
      <c r="N1059" s="287">
        <v>510.45</v>
      </c>
      <c r="O1059" s="287"/>
      <c r="P1059" s="286" t="s">
        <v>58</v>
      </c>
    </row>
    <row r="1060" spans="1:16" hidden="1" x14ac:dyDescent="0.15">
      <c r="A1060" s="286">
        <v>339870</v>
      </c>
      <c r="B1060" s="288">
        <v>45177.481944444444</v>
      </c>
      <c r="C1060" s="286" t="s">
        <v>1676</v>
      </c>
      <c r="D1060" s="286" t="s">
        <v>1105</v>
      </c>
      <c r="E1060" s="286" t="s">
        <v>1106</v>
      </c>
      <c r="F1060" s="286" t="s">
        <v>1715</v>
      </c>
      <c r="G1060" s="286" t="s">
        <v>1073</v>
      </c>
      <c r="H1060" s="286" t="s">
        <v>1073</v>
      </c>
      <c r="I1060" s="286" t="s">
        <v>1199</v>
      </c>
      <c r="J1060" s="286" t="s">
        <v>1312</v>
      </c>
      <c r="K1060" s="286" t="s">
        <v>1754</v>
      </c>
      <c r="L1060" s="286" t="s">
        <v>672</v>
      </c>
      <c r="M1060" s="286">
        <v>1</v>
      </c>
      <c r="N1060" s="287">
        <v>510.45</v>
      </c>
      <c r="O1060" s="287"/>
      <c r="P1060" s="286" t="s">
        <v>58</v>
      </c>
    </row>
    <row r="1061" spans="1:16" hidden="1" x14ac:dyDescent="0.15">
      <c r="A1061" s="286">
        <v>370270</v>
      </c>
      <c r="B1061" s="288">
        <v>45208.668055555558</v>
      </c>
      <c r="C1061" s="286" t="s">
        <v>1642</v>
      </c>
      <c r="D1061" s="286" t="s">
        <v>1105</v>
      </c>
      <c r="E1061" s="286" t="s">
        <v>1106</v>
      </c>
      <c r="F1061" s="286" t="s">
        <v>1716</v>
      </c>
      <c r="G1061" s="286" t="s">
        <v>1073</v>
      </c>
      <c r="H1061" s="286" t="s">
        <v>1073</v>
      </c>
      <c r="I1061" s="286" t="s">
        <v>1199</v>
      </c>
      <c r="J1061" s="286" t="s">
        <v>1312</v>
      </c>
      <c r="K1061" s="286" t="s">
        <v>1754</v>
      </c>
      <c r="L1061" s="286" t="s">
        <v>672</v>
      </c>
      <c r="M1061" s="286">
        <v>1</v>
      </c>
      <c r="N1061" s="287">
        <v>510.45</v>
      </c>
      <c r="O1061" s="287"/>
      <c r="P1061" s="286" t="s">
        <v>58</v>
      </c>
    </row>
    <row r="1062" spans="1:16" hidden="1" x14ac:dyDescent="0.15">
      <c r="A1062" s="286">
        <v>402221</v>
      </c>
      <c r="B1062" s="288">
        <v>45243.579861111109</v>
      </c>
      <c r="C1062" s="286" t="s">
        <v>1654</v>
      </c>
      <c r="D1062" s="286" t="s">
        <v>1105</v>
      </c>
      <c r="E1062" s="286" t="s">
        <v>1106</v>
      </c>
      <c r="F1062" s="286" t="s">
        <v>1724</v>
      </c>
      <c r="G1062" s="286" t="s">
        <v>1073</v>
      </c>
      <c r="H1062" s="286" t="s">
        <v>1073</v>
      </c>
      <c r="I1062" s="286" t="s">
        <v>1199</v>
      </c>
      <c r="J1062" s="286" t="s">
        <v>1312</v>
      </c>
      <c r="K1062" s="286" t="s">
        <v>1754</v>
      </c>
      <c r="L1062" s="286" t="s">
        <v>672</v>
      </c>
      <c r="M1062" s="286">
        <v>1</v>
      </c>
      <c r="N1062" s="287">
        <v>510.45</v>
      </c>
      <c r="O1062" s="287"/>
      <c r="P1062" s="286" t="s">
        <v>58</v>
      </c>
    </row>
    <row r="1063" spans="1:16" hidden="1" x14ac:dyDescent="0.15">
      <c r="A1063" s="286">
        <v>455146</v>
      </c>
      <c r="B1063" s="288">
        <v>45310.510416666664</v>
      </c>
      <c r="C1063" s="286" t="s">
        <v>1632</v>
      </c>
      <c r="D1063" s="286" t="s">
        <v>1105</v>
      </c>
      <c r="E1063" s="286" t="s">
        <v>1106</v>
      </c>
      <c r="F1063" s="286" t="s">
        <v>1725</v>
      </c>
      <c r="G1063" s="286" t="s">
        <v>1073</v>
      </c>
      <c r="H1063" s="286" t="s">
        <v>1073</v>
      </c>
      <c r="I1063" s="286" t="s">
        <v>1199</v>
      </c>
      <c r="J1063" s="286" t="s">
        <v>1312</v>
      </c>
      <c r="K1063" s="286" t="s">
        <v>1754</v>
      </c>
      <c r="L1063" s="286" t="s">
        <v>672</v>
      </c>
      <c r="M1063" s="286">
        <v>1</v>
      </c>
      <c r="N1063" s="287">
        <v>510.45</v>
      </c>
      <c r="O1063" s="287"/>
      <c r="P1063" s="286" t="s">
        <v>58</v>
      </c>
    </row>
    <row r="1064" spans="1:16" hidden="1" x14ac:dyDescent="0.15">
      <c r="A1064" s="286">
        <v>402221</v>
      </c>
      <c r="B1064" s="288">
        <v>45243.579861111109</v>
      </c>
      <c r="C1064" s="286" t="s">
        <v>1654</v>
      </c>
      <c r="D1064" s="286" t="s">
        <v>1105</v>
      </c>
      <c r="E1064" s="286" t="s">
        <v>1106</v>
      </c>
      <c r="F1064" s="286" t="s">
        <v>1724</v>
      </c>
      <c r="G1064" s="286" t="s">
        <v>1015</v>
      </c>
      <c r="H1064" s="286" t="s">
        <v>1015</v>
      </c>
      <c r="I1064" s="286" t="s">
        <v>1228</v>
      </c>
      <c r="J1064" s="286" t="s">
        <v>53</v>
      </c>
      <c r="K1064" s="286" t="s">
        <v>53</v>
      </c>
      <c r="L1064" s="286" t="s">
        <v>53</v>
      </c>
      <c r="M1064" s="286" t="s">
        <v>53</v>
      </c>
      <c r="N1064" s="287">
        <v>503.22</v>
      </c>
      <c r="O1064" s="287"/>
      <c r="P1064" s="286" t="s">
        <v>58</v>
      </c>
    </row>
    <row r="1065" spans="1:16" hidden="1" x14ac:dyDescent="0.15">
      <c r="A1065" s="286">
        <v>170399</v>
      </c>
      <c r="B1065" s="288">
        <v>44986.614583333336</v>
      </c>
      <c r="C1065" s="286" t="s">
        <v>1640</v>
      </c>
      <c r="D1065" s="286" t="s">
        <v>1105</v>
      </c>
      <c r="E1065" s="286" t="s">
        <v>1106</v>
      </c>
      <c r="F1065" s="286" t="s">
        <v>1720</v>
      </c>
      <c r="G1065" s="286" t="s">
        <v>1856</v>
      </c>
      <c r="H1065" s="286" t="s">
        <v>1856</v>
      </c>
      <c r="I1065" s="286" t="s">
        <v>1199</v>
      </c>
      <c r="J1065" s="286" t="s">
        <v>1312</v>
      </c>
      <c r="K1065" s="286" t="s">
        <v>53</v>
      </c>
      <c r="L1065" s="286" t="s">
        <v>53</v>
      </c>
      <c r="M1065" s="286" t="s">
        <v>53</v>
      </c>
      <c r="N1065" s="287">
        <v>500</v>
      </c>
      <c r="O1065" s="287"/>
      <c r="P1065" s="286" t="s">
        <v>58</v>
      </c>
    </row>
    <row r="1066" spans="1:16" hidden="1" x14ac:dyDescent="0.15">
      <c r="A1066" s="286">
        <v>170298</v>
      </c>
      <c r="B1066" s="288">
        <v>44986.623611111114</v>
      </c>
      <c r="C1066" s="286" t="s">
        <v>1638</v>
      </c>
      <c r="D1066" s="286" t="s">
        <v>1105</v>
      </c>
      <c r="E1066" s="286" t="s">
        <v>1106</v>
      </c>
      <c r="F1066" s="286" t="s">
        <v>1721</v>
      </c>
      <c r="G1066" s="286" t="s">
        <v>1856</v>
      </c>
      <c r="H1066" s="286" t="s">
        <v>1856</v>
      </c>
      <c r="I1066" s="286" t="s">
        <v>1199</v>
      </c>
      <c r="J1066" s="286" t="s">
        <v>1312</v>
      </c>
      <c r="K1066" s="286" t="s">
        <v>53</v>
      </c>
      <c r="L1066" s="286" t="s">
        <v>53</v>
      </c>
      <c r="M1066" s="286" t="s">
        <v>53</v>
      </c>
      <c r="N1066" s="287">
        <v>500</v>
      </c>
      <c r="O1066" s="287"/>
      <c r="P1066" s="286" t="s">
        <v>58</v>
      </c>
    </row>
    <row r="1067" spans="1:16" hidden="1" x14ac:dyDescent="0.15">
      <c r="A1067" s="286">
        <v>185846</v>
      </c>
      <c r="B1067" s="288">
        <v>45005.724305555559</v>
      </c>
      <c r="C1067" s="286" t="s">
        <v>1667</v>
      </c>
      <c r="D1067" s="286" t="s">
        <v>1105</v>
      </c>
      <c r="E1067" s="286" t="s">
        <v>1106</v>
      </c>
      <c r="F1067" s="286" t="s">
        <v>1702</v>
      </c>
      <c r="G1067" s="286" t="s">
        <v>1856</v>
      </c>
      <c r="H1067" s="286" t="s">
        <v>1856</v>
      </c>
      <c r="I1067" s="286" t="s">
        <v>1199</v>
      </c>
      <c r="J1067" s="286" t="s">
        <v>1312</v>
      </c>
      <c r="K1067" s="286" t="s">
        <v>53</v>
      </c>
      <c r="L1067" s="286" t="s">
        <v>53</v>
      </c>
      <c r="M1067" s="286" t="s">
        <v>53</v>
      </c>
      <c r="N1067" s="287">
        <v>500</v>
      </c>
      <c r="O1067" s="287"/>
      <c r="P1067" s="286" t="s">
        <v>58</v>
      </c>
    </row>
    <row r="1068" spans="1:16" hidden="1" x14ac:dyDescent="0.15">
      <c r="A1068" s="286">
        <v>201556</v>
      </c>
      <c r="B1068" s="288">
        <v>45029.540972222225</v>
      </c>
      <c r="C1068" s="286" t="s">
        <v>1657</v>
      </c>
      <c r="D1068" s="286" t="s">
        <v>1105</v>
      </c>
      <c r="E1068" s="286" t="s">
        <v>1106</v>
      </c>
      <c r="F1068" s="286" t="s">
        <v>1722</v>
      </c>
      <c r="G1068" s="286" t="s">
        <v>1856</v>
      </c>
      <c r="H1068" s="286" t="s">
        <v>1856</v>
      </c>
      <c r="I1068" s="286" t="s">
        <v>1199</v>
      </c>
      <c r="J1068" s="286" t="s">
        <v>1312</v>
      </c>
      <c r="K1068" s="286" t="s">
        <v>53</v>
      </c>
      <c r="L1068" s="286" t="s">
        <v>53</v>
      </c>
      <c r="M1068" s="286" t="s">
        <v>53</v>
      </c>
      <c r="N1068" s="287">
        <v>500</v>
      </c>
      <c r="O1068" s="287"/>
      <c r="P1068" s="286" t="s">
        <v>58</v>
      </c>
    </row>
    <row r="1069" spans="1:16" hidden="1" x14ac:dyDescent="0.15">
      <c r="A1069" s="286">
        <v>225409</v>
      </c>
      <c r="B1069" s="288">
        <v>45058.522222222222</v>
      </c>
      <c r="C1069" s="286" t="s">
        <v>1665</v>
      </c>
      <c r="D1069" s="286" t="s">
        <v>1105</v>
      </c>
      <c r="E1069" s="286" t="s">
        <v>1106</v>
      </c>
      <c r="F1069" s="286" t="s">
        <v>1723</v>
      </c>
      <c r="G1069" s="286" t="s">
        <v>1856</v>
      </c>
      <c r="H1069" s="286" t="s">
        <v>1856</v>
      </c>
      <c r="I1069" s="286" t="s">
        <v>1199</v>
      </c>
      <c r="J1069" s="286" t="s">
        <v>1312</v>
      </c>
      <c r="K1069" s="286" t="s">
        <v>53</v>
      </c>
      <c r="L1069" s="286" t="s">
        <v>53</v>
      </c>
      <c r="M1069" s="286" t="s">
        <v>53</v>
      </c>
      <c r="N1069" s="287">
        <v>500</v>
      </c>
      <c r="O1069" s="287"/>
      <c r="P1069" s="286" t="s">
        <v>58</v>
      </c>
    </row>
    <row r="1070" spans="1:16" hidden="1" x14ac:dyDescent="0.15">
      <c r="A1070" s="286">
        <v>328287</v>
      </c>
      <c r="B1070" s="288">
        <v>45161.62777777778</v>
      </c>
      <c r="C1070" s="286" t="s">
        <v>1691</v>
      </c>
      <c r="D1070" s="286" t="s">
        <v>1105</v>
      </c>
      <c r="E1070" s="286" t="s">
        <v>1106</v>
      </c>
      <c r="F1070" s="286" t="s">
        <v>1714</v>
      </c>
      <c r="G1070" s="286" t="s">
        <v>1860</v>
      </c>
      <c r="H1070" s="286" t="s">
        <v>1860</v>
      </c>
      <c r="I1070" s="286" t="s">
        <v>1228</v>
      </c>
      <c r="J1070" s="286" t="s">
        <v>53</v>
      </c>
      <c r="K1070" s="286" t="s">
        <v>53</v>
      </c>
      <c r="L1070" s="286" t="s">
        <v>53</v>
      </c>
      <c r="M1070" s="286" t="s">
        <v>53</v>
      </c>
      <c r="N1070" s="287">
        <v>492.96</v>
      </c>
      <c r="O1070" s="287"/>
      <c r="P1070" s="286" t="s">
        <v>58</v>
      </c>
    </row>
    <row r="1071" spans="1:16" hidden="1" x14ac:dyDescent="0.15">
      <c r="A1071" s="286">
        <v>370270</v>
      </c>
      <c r="B1071" s="288">
        <v>45208.668055555558</v>
      </c>
      <c r="C1071" s="286" t="s">
        <v>1642</v>
      </c>
      <c r="D1071" s="286" t="s">
        <v>1105</v>
      </c>
      <c r="E1071" s="286" t="s">
        <v>1106</v>
      </c>
      <c r="F1071" s="286" t="s">
        <v>1716</v>
      </c>
      <c r="G1071" s="286" t="s">
        <v>1042</v>
      </c>
      <c r="H1071" s="286" t="s">
        <v>1042</v>
      </c>
      <c r="I1071" s="286" t="s">
        <v>1228</v>
      </c>
      <c r="J1071" s="286" t="s">
        <v>53</v>
      </c>
      <c r="K1071" s="286" t="s">
        <v>53</v>
      </c>
      <c r="L1071" s="286" t="s">
        <v>53</v>
      </c>
      <c r="M1071" s="286" t="s">
        <v>53</v>
      </c>
      <c r="N1071" s="287">
        <v>484.18</v>
      </c>
      <c r="O1071" s="287"/>
      <c r="P1071" s="286" t="s">
        <v>58</v>
      </c>
    </row>
    <row r="1072" spans="1:16" hidden="1" x14ac:dyDescent="0.15">
      <c r="A1072" s="286">
        <v>407061</v>
      </c>
      <c r="B1072" s="288">
        <v>45246.459722222222</v>
      </c>
      <c r="C1072" s="286" t="s">
        <v>1654</v>
      </c>
      <c r="D1072" s="286" t="s">
        <v>1105</v>
      </c>
      <c r="E1072" s="286" t="s">
        <v>1106</v>
      </c>
      <c r="F1072" s="286" t="s">
        <v>1848</v>
      </c>
      <c r="G1072" s="286" t="s">
        <v>1048</v>
      </c>
      <c r="H1072" s="286" t="s">
        <v>1048</v>
      </c>
      <c r="I1072" s="286" t="s">
        <v>1129</v>
      </c>
      <c r="J1072" s="286" t="s">
        <v>1312</v>
      </c>
      <c r="K1072" s="286" t="s">
        <v>1366</v>
      </c>
      <c r="L1072" s="286" t="s">
        <v>1367</v>
      </c>
      <c r="M1072" s="286">
        <v>9</v>
      </c>
      <c r="N1072" s="287">
        <v>477</v>
      </c>
      <c r="O1072" s="287"/>
      <c r="P1072" s="286" t="s">
        <v>164</v>
      </c>
    </row>
    <row r="1073" spans="1:16" hidden="1" x14ac:dyDescent="0.15">
      <c r="A1073" s="286">
        <v>284271</v>
      </c>
      <c r="B1073" s="288">
        <v>45121.682638888888</v>
      </c>
      <c r="C1073" s="286" t="s">
        <v>1636</v>
      </c>
      <c r="D1073" s="286" t="s">
        <v>1105</v>
      </c>
      <c r="E1073" s="286" t="s">
        <v>1106</v>
      </c>
      <c r="F1073" s="286" t="s">
        <v>1713</v>
      </c>
      <c r="G1073" s="286" t="s">
        <v>1856</v>
      </c>
      <c r="H1073" s="286" t="s">
        <v>1856</v>
      </c>
      <c r="I1073" s="286" t="s">
        <v>1228</v>
      </c>
      <c r="J1073" s="286" t="s">
        <v>53</v>
      </c>
      <c r="K1073" s="286" t="s">
        <v>53</v>
      </c>
      <c r="L1073" s="286" t="s">
        <v>53</v>
      </c>
      <c r="M1073" s="286" t="s">
        <v>53</v>
      </c>
      <c r="N1073" s="287">
        <v>467.85</v>
      </c>
      <c r="O1073" s="287"/>
      <c r="P1073" s="286" t="s">
        <v>58</v>
      </c>
    </row>
    <row r="1074" spans="1:16" hidden="1" x14ac:dyDescent="0.15">
      <c r="A1074" s="286">
        <v>386787</v>
      </c>
      <c r="B1074" s="288">
        <v>45229.685416666667</v>
      </c>
      <c r="C1074" s="286" t="s">
        <v>1642</v>
      </c>
      <c r="D1074" s="286" t="s">
        <v>1105</v>
      </c>
      <c r="E1074" s="286" t="s">
        <v>1106</v>
      </c>
      <c r="F1074" s="286" t="s">
        <v>1869</v>
      </c>
      <c r="G1074" s="286" t="s">
        <v>1870</v>
      </c>
      <c r="H1074" s="286" t="s">
        <v>1871</v>
      </c>
      <c r="I1074" s="286" t="s">
        <v>1129</v>
      </c>
      <c r="J1074" s="286" t="s">
        <v>1629</v>
      </c>
      <c r="K1074" s="286" t="s">
        <v>1872</v>
      </c>
      <c r="L1074" s="286" t="s">
        <v>1873</v>
      </c>
      <c r="M1074" s="286">
        <v>1</v>
      </c>
      <c r="N1074" s="287">
        <v>466.38</v>
      </c>
      <c r="O1074" s="287"/>
      <c r="P1074" s="286" t="s">
        <v>164</v>
      </c>
    </row>
    <row r="1075" spans="1:16" hidden="1" x14ac:dyDescent="0.15">
      <c r="A1075" s="286">
        <v>386787</v>
      </c>
      <c r="B1075" s="288">
        <v>45229.685416666667</v>
      </c>
      <c r="C1075" s="286" t="s">
        <v>1642</v>
      </c>
      <c r="D1075" s="286" t="s">
        <v>1105</v>
      </c>
      <c r="E1075" s="286" t="s">
        <v>1106</v>
      </c>
      <c r="F1075" s="286" t="s">
        <v>1869</v>
      </c>
      <c r="G1075" s="286" t="s">
        <v>1064</v>
      </c>
      <c r="H1075" s="286" t="s">
        <v>1064</v>
      </c>
      <c r="I1075" s="286" t="s">
        <v>1199</v>
      </c>
      <c r="J1075" s="286" t="s">
        <v>1312</v>
      </c>
      <c r="K1075" s="286" t="s">
        <v>53</v>
      </c>
      <c r="L1075" s="286" t="s">
        <v>53</v>
      </c>
      <c r="M1075" s="286" t="s">
        <v>53</v>
      </c>
      <c r="N1075" s="287">
        <v>464.02</v>
      </c>
      <c r="O1075" s="287"/>
      <c r="P1075" s="286" t="s">
        <v>58</v>
      </c>
    </row>
    <row r="1076" spans="1:16" hidden="1" x14ac:dyDescent="0.15">
      <c r="A1076" s="286">
        <v>402221</v>
      </c>
      <c r="B1076" s="288">
        <v>45243.579861111109</v>
      </c>
      <c r="C1076" s="286" t="s">
        <v>1654</v>
      </c>
      <c r="D1076" s="286" t="s">
        <v>1105</v>
      </c>
      <c r="E1076" s="286" t="s">
        <v>1106</v>
      </c>
      <c r="F1076" s="286" t="s">
        <v>1724</v>
      </c>
      <c r="G1076" s="286" t="s">
        <v>1068</v>
      </c>
      <c r="H1076" s="286" t="s">
        <v>1068</v>
      </c>
      <c r="I1076" s="286" t="s">
        <v>1199</v>
      </c>
      <c r="J1076" s="286" t="s">
        <v>53</v>
      </c>
      <c r="K1076" s="286" t="s">
        <v>53</v>
      </c>
      <c r="L1076" s="286" t="s">
        <v>53</v>
      </c>
      <c r="M1076" s="286" t="s">
        <v>53</v>
      </c>
      <c r="N1076" s="287">
        <v>445.7</v>
      </c>
      <c r="O1076" s="287"/>
      <c r="P1076" s="286" t="s">
        <v>58</v>
      </c>
    </row>
    <row r="1077" spans="1:16" hidden="1" x14ac:dyDescent="0.15">
      <c r="A1077" s="286">
        <v>328287</v>
      </c>
      <c r="B1077" s="288">
        <v>45161.62777777778</v>
      </c>
      <c r="C1077" s="286" t="s">
        <v>1691</v>
      </c>
      <c r="D1077" s="286" t="s">
        <v>1105</v>
      </c>
      <c r="E1077" s="286" t="s">
        <v>1106</v>
      </c>
      <c r="F1077" s="286" t="s">
        <v>1714</v>
      </c>
      <c r="G1077" s="286" t="s">
        <v>1029</v>
      </c>
      <c r="H1077" s="286" t="s">
        <v>1029</v>
      </c>
      <c r="I1077" s="286" t="s">
        <v>1129</v>
      </c>
      <c r="J1077" s="286" t="s">
        <v>1312</v>
      </c>
      <c r="K1077" s="286" t="s">
        <v>1874</v>
      </c>
      <c r="L1077" s="286" t="s">
        <v>1875</v>
      </c>
      <c r="M1077" s="286">
        <v>1</v>
      </c>
      <c r="N1077" s="287">
        <v>442.86</v>
      </c>
      <c r="O1077" s="287"/>
      <c r="P1077" s="286" t="s">
        <v>164</v>
      </c>
    </row>
    <row r="1078" spans="1:16" hidden="1" x14ac:dyDescent="0.15">
      <c r="A1078" s="286">
        <v>328186</v>
      </c>
      <c r="B1078" s="288">
        <v>45161.625</v>
      </c>
      <c r="C1078" s="286" t="s">
        <v>1636</v>
      </c>
      <c r="D1078" s="286" t="s">
        <v>1105</v>
      </c>
      <c r="E1078" s="286" t="s">
        <v>1106</v>
      </c>
      <c r="F1078" s="286" t="s">
        <v>1859</v>
      </c>
      <c r="G1078" s="286" t="s">
        <v>1048</v>
      </c>
      <c r="H1078" s="286" t="s">
        <v>1048</v>
      </c>
      <c r="I1078" s="286" t="s">
        <v>1152</v>
      </c>
      <c r="J1078" s="286" t="s">
        <v>1312</v>
      </c>
      <c r="K1078" s="286" t="s">
        <v>1652</v>
      </c>
      <c r="L1078" s="286" t="s">
        <v>1653</v>
      </c>
      <c r="M1078" s="286">
        <v>1</v>
      </c>
      <c r="N1078" s="287">
        <v>429.13</v>
      </c>
      <c r="O1078" s="287"/>
      <c r="P1078" s="286" t="s">
        <v>58</v>
      </c>
    </row>
    <row r="1079" spans="1:16" hidden="1" x14ac:dyDescent="0.15">
      <c r="A1079" s="286">
        <v>370370</v>
      </c>
      <c r="B1079" s="288">
        <v>45208.676388888889</v>
      </c>
      <c r="C1079" s="286" t="s">
        <v>1676</v>
      </c>
      <c r="D1079" s="286" t="s">
        <v>1105</v>
      </c>
      <c r="E1079" s="286" t="s">
        <v>1106</v>
      </c>
      <c r="F1079" s="286" t="s">
        <v>1792</v>
      </c>
      <c r="G1079" s="286" t="s">
        <v>1021</v>
      </c>
      <c r="H1079" s="286" t="s">
        <v>1021</v>
      </c>
      <c r="I1079" s="286" t="s">
        <v>1199</v>
      </c>
      <c r="J1079" s="286" t="s">
        <v>1312</v>
      </c>
      <c r="K1079" s="286" t="s">
        <v>53</v>
      </c>
      <c r="L1079" s="286" t="s">
        <v>53</v>
      </c>
      <c r="M1079" s="286" t="s">
        <v>53</v>
      </c>
      <c r="N1079" s="287">
        <v>404.45</v>
      </c>
      <c r="O1079" s="287"/>
      <c r="P1079" s="286" t="s">
        <v>58</v>
      </c>
    </row>
    <row r="1080" spans="1:16" hidden="1" x14ac:dyDescent="0.15">
      <c r="A1080" s="286">
        <v>455146</v>
      </c>
      <c r="B1080" s="288">
        <v>45310.510416666664</v>
      </c>
      <c r="C1080" s="286" t="s">
        <v>1632</v>
      </c>
      <c r="D1080" s="286" t="s">
        <v>1105</v>
      </c>
      <c r="E1080" s="286" t="s">
        <v>1106</v>
      </c>
      <c r="F1080" s="286" t="s">
        <v>1725</v>
      </c>
      <c r="G1080" s="286" t="s">
        <v>1069</v>
      </c>
      <c r="H1080" s="286" t="s">
        <v>1069</v>
      </c>
      <c r="I1080" s="286" t="s">
        <v>1228</v>
      </c>
      <c r="J1080" s="286" t="s">
        <v>53</v>
      </c>
      <c r="K1080" s="286" t="s">
        <v>53</v>
      </c>
      <c r="L1080" s="286" t="s">
        <v>53</v>
      </c>
      <c r="M1080" s="286" t="s">
        <v>53</v>
      </c>
      <c r="N1080" s="287">
        <v>391.12</v>
      </c>
      <c r="O1080" s="287"/>
      <c r="P1080" s="286" t="s">
        <v>58</v>
      </c>
    </row>
    <row r="1081" spans="1:16" hidden="1" x14ac:dyDescent="0.15">
      <c r="A1081" s="286">
        <v>379034</v>
      </c>
      <c r="B1081" s="288">
        <v>45218.477083333331</v>
      </c>
      <c r="C1081" s="286" t="s">
        <v>1676</v>
      </c>
      <c r="D1081" s="286" t="s">
        <v>1105</v>
      </c>
      <c r="E1081" s="286" t="s">
        <v>1106</v>
      </c>
      <c r="F1081" s="286" t="s">
        <v>1802</v>
      </c>
      <c r="G1081" s="286" t="s">
        <v>1014</v>
      </c>
      <c r="H1081" s="286" t="s">
        <v>1014</v>
      </c>
      <c r="I1081" s="286" t="s">
        <v>1301</v>
      </c>
      <c r="J1081" s="286" t="s">
        <v>1312</v>
      </c>
      <c r="K1081" s="286" t="s">
        <v>56</v>
      </c>
      <c r="L1081" s="286" t="s">
        <v>71</v>
      </c>
      <c r="M1081" s="286">
        <v>1</v>
      </c>
      <c r="N1081" s="287">
        <v>350</v>
      </c>
      <c r="O1081" s="287"/>
      <c r="P1081" s="286" t="s">
        <v>55</v>
      </c>
    </row>
    <row r="1082" spans="1:16" hidden="1" x14ac:dyDescent="0.15">
      <c r="A1082" s="286">
        <v>278788</v>
      </c>
      <c r="B1082" s="288">
        <v>45118.57708333333</v>
      </c>
      <c r="C1082" s="286" t="s">
        <v>1649</v>
      </c>
      <c r="D1082" s="286" t="s">
        <v>1105</v>
      </c>
      <c r="E1082" s="286" t="s">
        <v>1106</v>
      </c>
      <c r="F1082" s="286" t="s">
        <v>1712</v>
      </c>
      <c r="G1082" s="286" t="s">
        <v>1856</v>
      </c>
      <c r="H1082" s="286" t="s">
        <v>1856</v>
      </c>
      <c r="I1082" s="286" t="s">
        <v>1199</v>
      </c>
      <c r="J1082" s="286" t="s">
        <v>53</v>
      </c>
      <c r="K1082" s="286" t="s">
        <v>53</v>
      </c>
      <c r="L1082" s="286" t="s">
        <v>53</v>
      </c>
      <c r="M1082" s="286" t="s">
        <v>53</v>
      </c>
      <c r="N1082" s="287">
        <v>348.84</v>
      </c>
      <c r="O1082" s="287"/>
      <c r="P1082" s="286" t="s">
        <v>58</v>
      </c>
    </row>
    <row r="1083" spans="1:16" hidden="1" x14ac:dyDescent="0.15">
      <c r="A1083" s="286">
        <v>407061</v>
      </c>
      <c r="B1083" s="288">
        <v>45246.459722222222</v>
      </c>
      <c r="C1083" s="286" t="s">
        <v>1654</v>
      </c>
      <c r="D1083" s="286" t="s">
        <v>1105</v>
      </c>
      <c r="E1083" s="286" t="s">
        <v>1106</v>
      </c>
      <c r="F1083" s="286" t="s">
        <v>1848</v>
      </c>
      <c r="G1083" s="286" t="s">
        <v>1048</v>
      </c>
      <c r="H1083" s="286" t="s">
        <v>1048</v>
      </c>
      <c r="I1083" s="286" t="s">
        <v>1129</v>
      </c>
      <c r="J1083" s="286" t="s">
        <v>1312</v>
      </c>
      <c r="K1083" s="286" t="s">
        <v>1876</v>
      </c>
      <c r="L1083" s="286" t="s">
        <v>1877</v>
      </c>
      <c r="M1083" s="286">
        <v>2</v>
      </c>
      <c r="N1083" s="287">
        <v>342.28</v>
      </c>
      <c r="O1083" s="287"/>
      <c r="P1083" s="286" t="s">
        <v>164</v>
      </c>
    </row>
    <row r="1084" spans="1:16" hidden="1" x14ac:dyDescent="0.15">
      <c r="A1084" s="286">
        <v>407061</v>
      </c>
      <c r="B1084" s="288">
        <v>45246.459722222222</v>
      </c>
      <c r="C1084" s="286" t="s">
        <v>1654</v>
      </c>
      <c r="D1084" s="286" t="s">
        <v>1105</v>
      </c>
      <c r="E1084" s="286" t="s">
        <v>1106</v>
      </c>
      <c r="F1084" s="286" t="s">
        <v>1848</v>
      </c>
      <c r="G1084" s="286" t="s">
        <v>1048</v>
      </c>
      <c r="H1084" s="286" t="s">
        <v>1048</v>
      </c>
      <c r="I1084" s="286" t="s">
        <v>1129</v>
      </c>
      <c r="J1084" s="286" t="s">
        <v>1312</v>
      </c>
      <c r="K1084" s="286" t="s">
        <v>1878</v>
      </c>
      <c r="L1084" s="286" t="s">
        <v>1879</v>
      </c>
      <c r="M1084" s="286">
        <v>12</v>
      </c>
      <c r="N1084" s="287">
        <v>320.88</v>
      </c>
      <c r="O1084" s="287"/>
      <c r="P1084" s="286" t="s">
        <v>164</v>
      </c>
    </row>
    <row r="1085" spans="1:16" hidden="1" x14ac:dyDescent="0.15">
      <c r="A1085" s="286">
        <v>430974</v>
      </c>
      <c r="B1085" s="288">
        <v>45274.409722222219</v>
      </c>
      <c r="C1085" s="286" t="s">
        <v>1632</v>
      </c>
      <c r="D1085" s="286" t="s">
        <v>1105</v>
      </c>
      <c r="E1085" s="286" t="s">
        <v>1106</v>
      </c>
      <c r="F1085" s="286" t="s">
        <v>1825</v>
      </c>
      <c r="G1085" s="286" t="s">
        <v>1041</v>
      </c>
      <c r="H1085" s="286" t="s">
        <v>1041</v>
      </c>
      <c r="I1085" s="286" t="s">
        <v>1129</v>
      </c>
      <c r="J1085" s="286" t="s">
        <v>1312</v>
      </c>
      <c r="K1085" s="286" t="s">
        <v>716</v>
      </c>
      <c r="L1085" s="286" t="s">
        <v>1880</v>
      </c>
      <c r="M1085" s="286">
        <v>1</v>
      </c>
      <c r="N1085" s="287">
        <v>302.86</v>
      </c>
      <c r="O1085" s="287"/>
      <c r="P1085" s="286" t="s">
        <v>164</v>
      </c>
    </row>
    <row r="1086" spans="1:16" hidden="1" x14ac:dyDescent="0.15">
      <c r="A1086" s="286">
        <v>430974</v>
      </c>
      <c r="B1086" s="288">
        <v>45274.409722222219</v>
      </c>
      <c r="C1086" s="286" t="s">
        <v>1632</v>
      </c>
      <c r="D1086" s="286" t="s">
        <v>1105</v>
      </c>
      <c r="E1086" s="286" t="s">
        <v>1106</v>
      </c>
      <c r="F1086" s="286" t="s">
        <v>1825</v>
      </c>
      <c r="G1086" s="286" t="s">
        <v>1041</v>
      </c>
      <c r="H1086" s="286" t="s">
        <v>1041</v>
      </c>
      <c r="I1086" s="286" t="s">
        <v>1129</v>
      </c>
      <c r="J1086" s="286" t="s">
        <v>1312</v>
      </c>
      <c r="K1086" s="286" t="s">
        <v>714</v>
      </c>
      <c r="L1086" s="286" t="s">
        <v>1881</v>
      </c>
      <c r="M1086" s="286">
        <v>2</v>
      </c>
      <c r="N1086" s="287">
        <v>291.42</v>
      </c>
      <c r="O1086" s="287"/>
      <c r="P1086" s="286" t="s">
        <v>164</v>
      </c>
    </row>
    <row r="1087" spans="1:16" hidden="1" x14ac:dyDescent="0.15">
      <c r="A1087" s="286">
        <v>278788</v>
      </c>
      <c r="B1087" s="288">
        <v>45118.57708333333</v>
      </c>
      <c r="C1087" s="286" t="s">
        <v>1649</v>
      </c>
      <c r="D1087" s="286" t="s">
        <v>1105</v>
      </c>
      <c r="E1087" s="286" t="s">
        <v>1106</v>
      </c>
      <c r="F1087" s="286" t="s">
        <v>1712</v>
      </c>
      <c r="G1087" s="286" t="s">
        <v>1061</v>
      </c>
      <c r="H1087" s="286" t="s">
        <v>1061</v>
      </c>
      <c r="I1087" s="286" t="s">
        <v>1228</v>
      </c>
      <c r="J1087" s="286" t="s">
        <v>53</v>
      </c>
      <c r="K1087" s="286" t="s">
        <v>53</v>
      </c>
      <c r="L1087" s="286" t="s">
        <v>53</v>
      </c>
      <c r="M1087" s="286" t="s">
        <v>53</v>
      </c>
      <c r="N1087" s="287">
        <v>279.62</v>
      </c>
      <c r="O1087" s="287"/>
      <c r="P1087" s="286" t="s">
        <v>58</v>
      </c>
    </row>
    <row r="1088" spans="1:16" hidden="1" x14ac:dyDescent="0.15">
      <c r="A1088" s="286">
        <v>433764</v>
      </c>
      <c r="B1088" s="288">
        <v>45278.734722222223</v>
      </c>
      <c r="C1088" s="286" t="s">
        <v>1632</v>
      </c>
      <c r="D1088" s="286" t="s">
        <v>1105</v>
      </c>
      <c r="E1088" s="286" t="s">
        <v>1106</v>
      </c>
      <c r="F1088" s="286" t="s">
        <v>1801</v>
      </c>
      <c r="G1088" s="286" t="s">
        <v>1011</v>
      </c>
      <c r="H1088" s="286" t="s">
        <v>1011</v>
      </c>
      <c r="I1088" s="286" t="s">
        <v>1129</v>
      </c>
      <c r="J1088" s="286" t="s">
        <v>1312</v>
      </c>
      <c r="K1088" s="286" t="s">
        <v>1321</v>
      </c>
      <c r="L1088" s="286" t="s">
        <v>1322</v>
      </c>
      <c r="M1088" s="286">
        <v>24</v>
      </c>
      <c r="N1088" s="287">
        <v>274.56</v>
      </c>
      <c r="O1088" s="287"/>
      <c r="P1088" s="286" t="s">
        <v>164</v>
      </c>
    </row>
    <row r="1089" spans="1:16" hidden="1" x14ac:dyDescent="0.15">
      <c r="A1089" s="286">
        <v>433764</v>
      </c>
      <c r="B1089" s="288">
        <v>45278.734722222223</v>
      </c>
      <c r="C1089" s="286" t="s">
        <v>1632</v>
      </c>
      <c r="D1089" s="286" t="s">
        <v>1105</v>
      </c>
      <c r="E1089" s="286" t="s">
        <v>1106</v>
      </c>
      <c r="F1089" s="286" t="s">
        <v>1801</v>
      </c>
      <c r="G1089" s="286" t="s">
        <v>1011</v>
      </c>
      <c r="H1089" s="286" t="s">
        <v>1011</v>
      </c>
      <c r="I1089" s="286" t="s">
        <v>1129</v>
      </c>
      <c r="J1089" s="286" t="s">
        <v>1312</v>
      </c>
      <c r="K1089" s="286" t="s">
        <v>1402</v>
      </c>
      <c r="L1089" s="286" t="s">
        <v>1403</v>
      </c>
      <c r="M1089" s="286">
        <v>1</v>
      </c>
      <c r="N1089" s="287">
        <v>259.26</v>
      </c>
      <c r="O1089" s="287"/>
      <c r="P1089" s="286" t="s">
        <v>164</v>
      </c>
    </row>
    <row r="1090" spans="1:16" hidden="1" x14ac:dyDescent="0.15">
      <c r="A1090" s="286">
        <v>455146</v>
      </c>
      <c r="B1090" s="288">
        <v>45310.510416666664</v>
      </c>
      <c r="C1090" s="286" t="s">
        <v>1632</v>
      </c>
      <c r="D1090" s="286" t="s">
        <v>1105</v>
      </c>
      <c r="E1090" s="286" t="s">
        <v>1106</v>
      </c>
      <c r="F1090" s="286" t="s">
        <v>1725</v>
      </c>
      <c r="G1090" s="286" t="s">
        <v>1007</v>
      </c>
      <c r="H1090" s="286" t="s">
        <v>1007</v>
      </c>
      <c r="I1090" s="286" t="s">
        <v>1129</v>
      </c>
      <c r="J1090" s="286" t="s">
        <v>1312</v>
      </c>
      <c r="K1090" s="286" t="s">
        <v>1402</v>
      </c>
      <c r="L1090" s="286" t="s">
        <v>1403</v>
      </c>
      <c r="M1090" s="286">
        <v>1</v>
      </c>
      <c r="N1090" s="287">
        <v>259.25</v>
      </c>
      <c r="O1090" s="287"/>
      <c r="P1090" s="286" t="s">
        <v>164</v>
      </c>
    </row>
    <row r="1091" spans="1:16" hidden="1" x14ac:dyDescent="0.15">
      <c r="A1091" s="286">
        <v>328287</v>
      </c>
      <c r="B1091" s="288">
        <v>45161.62777777778</v>
      </c>
      <c r="C1091" s="286" t="s">
        <v>1691</v>
      </c>
      <c r="D1091" s="286" t="s">
        <v>1105</v>
      </c>
      <c r="E1091" s="286" t="s">
        <v>1106</v>
      </c>
      <c r="F1091" s="286" t="s">
        <v>1714</v>
      </c>
      <c r="G1091" s="286" t="s">
        <v>1860</v>
      </c>
      <c r="H1091" s="286" t="s">
        <v>1860</v>
      </c>
      <c r="I1091" s="286" t="s">
        <v>1228</v>
      </c>
      <c r="J1091" s="286" t="s">
        <v>53</v>
      </c>
      <c r="K1091" s="286" t="s">
        <v>53</v>
      </c>
      <c r="L1091" s="286" t="s">
        <v>53</v>
      </c>
      <c r="M1091" s="286" t="s">
        <v>53</v>
      </c>
      <c r="N1091" s="287">
        <v>258.05</v>
      </c>
      <c r="O1091" s="287"/>
      <c r="P1091" s="286" t="s">
        <v>58</v>
      </c>
    </row>
    <row r="1092" spans="1:16" hidden="1" x14ac:dyDescent="0.15">
      <c r="A1092" s="286">
        <v>328287</v>
      </c>
      <c r="B1092" s="288">
        <v>45161.62777777778</v>
      </c>
      <c r="C1092" s="286" t="s">
        <v>1691</v>
      </c>
      <c r="D1092" s="286" t="s">
        <v>1105</v>
      </c>
      <c r="E1092" s="286" t="s">
        <v>1106</v>
      </c>
      <c r="F1092" s="286" t="s">
        <v>1714</v>
      </c>
      <c r="G1092" s="286" t="s">
        <v>1841</v>
      </c>
      <c r="H1092" s="286" t="s">
        <v>1841</v>
      </c>
      <c r="I1092" s="286" t="s">
        <v>1228</v>
      </c>
      <c r="J1092" s="286" t="s">
        <v>53</v>
      </c>
      <c r="K1092" s="286" t="s">
        <v>53</v>
      </c>
      <c r="L1092" s="286" t="s">
        <v>53</v>
      </c>
      <c r="M1092" s="286" t="s">
        <v>53</v>
      </c>
      <c r="N1092" s="287">
        <v>256.81</v>
      </c>
      <c r="O1092" s="287"/>
      <c r="P1092" s="286" t="s">
        <v>58</v>
      </c>
    </row>
    <row r="1093" spans="1:16" hidden="1" x14ac:dyDescent="0.15">
      <c r="A1093" s="286">
        <v>453875</v>
      </c>
      <c r="B1093" s="288">
        <v>45309.634722222225</v>
      </c>
      <c r="C1093" s="286" t="s">
        <v>1632</v>
      </c>
      <c r="D1093" s="286" t="s">
        <v>1105</v>
      </c>
      <c r="E1093" s="286" t="s">
        <v>1106</v>
      </c>
      <c r="F1093" s="286" t="s">
        <v>1882</v>
      </c>
      <c r="G1093" s="286" t="s">
        <v>1072</v>
      </c>
      <c r="H1093" s="286" t="s">
        <v>1072</v>
      </c>
      <c r="I1093" s="286" t="s">
        <v>1129</v>
      </c>
      <c r="J1093" s="286" t="s">
        <v>1312</v>
      </c>
      <c r="K1093" s="286" t="s">
        <v>1878</v>
      </c>
      <c r="L1093" s="286" t="s">
        <v>1879</v>
      </c>
      <c r="M1093" s="286">
        <v>9</v>
      </c>
      <c r="N1093" s="287">
        <v>248.13</v>
      </c>
      <c r="O1093" s="287"/>
      <c r="P1093" s="286" t="s">
        <v>164</v>
      </c>
    </row>
    <row r="1094" spans="1:16" hidden="1" x14ac:dyDescent="0.15">
      <c r="A1094" s="286">
        <v>354736</v>
      </c>
      <c r="B1094" s="288">
        <v>45190.590277777781</v>
      </c>
      <c r="C1094" s="286" t="s">
        <v>1676</v>
      </c>
      <c r="D1094" s="286" t="s">
        <v>1105</v>
      </c>
      <c r="E1094" s="286" t="s">
        <v>1106</v>
      </c>
      <c r="F1094" s="286" t="s">
        <v>1731</v>
      </c>
      <c r="G1094" s="286" t="s">
        <v>1831</v>
      </c>
      <c r="H1094" s="286" t="s">
        <v>1831</v>
      </c>
      <c r="I1094" s="286" t="s">
        <v>1129</v>
      </c>
      <c r="J1094" s="286" t="s">
        <v>1312</v>
      </c>
      <c r="K1094" s="286" t="s">
        <v>1883</v>
      </c>
      <c r="L1094" s="286" t="s">
        <v>1884</v>
      </c>
      <c r="M1094" s="286">
        <v>10</v>
      </c>
      <c r="N1094" s="287">
        <v>245</v>
      </c>
      <c r="O1094" s="287"/>
      <c r="P1094" s="286" t="s">
        <v>164</v>
      </c>
    </row>
    <row r="1095" spans="1:16" hidden="1" x14ac:dyDescent="0.15">
      <c r="A1095" s="286">
        <v>278788</v>
      </c>
      <c r="B1095" s="288">
        <v>45118.57708333333</v>
      </c>
      <c r="C1095" s="286" t="s">
        <v>1649</v>
      </c>
      <c r="D1095" s="286" t="s">
        <v>1105</v>
      </c>
      <c r="E1095" s="286" t="s">
        <v>1106</v>
      </c>
      <c r="F1095" s="286" t="s">
        <v>1712</v>
      </c>
      <c r="G1095" s="286" t="s">
        <v>1022</v>
      </c>
      <c r="H1095" s="286" t="s">
        <v>1022</v>
      </c>
      <c r="I1095" s="286" t="s">
        <v>1228</v>
      </c>
      <c r="J1095" s="286" t="s">
        <v>53</v>
      </c>
      <c r="K1095" s="286" t="s">
        <v>53</v>
      </c>
      <c r="L1095" s="286" t="s">
        <v>53</v>
      </c>
      <c r="M1095" s="286" t="s">
        <v>53</v>
      </c>
      <c r="N1095" s="287">
        <v>237.94</v>
      </c>
      <c r="O1095" s="287"/>
      <c r="P1095" s="286" t="s">
        <v>58</v>
      </c>
    </row>
    <row r="1096" spans="1:16" hidden="1" x14ac:dyDescent="0.15">
      <c r="A1096" s="286">
        <v>455146</v>
      </c>
      <c r="B1096" s="288">
        <v>45310.510416666664</v>
      </c>
      <c r="C1096" s="286" t="s">
        <v>1632</v>
      </c>
      <c r="D1096" s="286" t="s">
        <v>1105</v>
      </c>
      <c r="E1096" s="286" t="s">
        <v>1106</v>
      </c>
      <c r="F1096" s="286" t="s">
        <v>1725</v>
      </c>
      <c r="G1096" s="286" t="s">
        <v>1007</v>
      </c>
      <c r="H1096" s="286" t="s">
        <v>1007</v>
      </c>
      <c r="I1096" s="286" t="s">
        <v>1129</v>
      </c>
      <c r="J1096" s="286" t="s">
        <v>1312</v>
      </c>
      <c r="K1096" s="286" t="s">
        <v>1514</v>
      </c>
      <c r="L1096" s="286" t="s">
        <v>1515</v>
      </c>
      <c r="M1096" s="286">
        <v>1</v>
      </c>
      <c r="N1096" s="287">
        <v>235.25</v>
      </c>
      <c r="O1096" s="287"/>
      <c r="P1096" s="286" t="s">
        <v>164</v>
      </c>
    </row>
    <row r="1097" spans="1:16" hidden="1" x14ac:dyDescent="0.15">
      <c r="A1097" s="286">
        <v>370270</v>
      </c>
      <c r="B1097" s="288">
        <v>45208.668055555558</v>
      </c>
      <c r="C1097" s="286" t="s">
        <v>1642</v>
      </c>
      <c r="D1097" s="286" t="s">
        <v>1105</v>
      </c>
      <c r="E1097" s="286" t="s">
        <v>1106</v>
      </c>
      <c r="F1097" s="286" t="s">
        <v>1716</v>
      </c>
      <c r="G1097" s="286" t="s">
        <v>1343</v>
      </c>
      <c r="H1097" s="286" t="s">
        <v>1343</v>
      </c>
      <c r="I1097" s="286" t="s">
        <v>1129</v>
      </c>
      <c r="J1097" s="286" t="s">
        <v>1312</v>
      </c>
      <c r="K1097" s="286" t="s">
        <v>660</v>
      </c>
      <c r="L1097" s="286" t="s">
        <v>1384</v>
      </c>
      <c r="M1097" s="286">
        <v>1</v>
      </c>
      <c r="N1097" s="287">
        <v>222.88</v>
      </c>
      <c r="O1097" s="287"/>
      <c r="P1097" s="286" t="s">
        <v>164</v>
      </c>
    </row>
    <row r="1098" spans="1:16" hidden="1" x14ac:dyDescent="0.15">
      <c r="A1098" s="286">
        <v>354736</v>
      </c>
      <c r="B1098" s="288">
        <v>45190.590277777781</v>
      </c>
      <c r="C1098" s="286" t="s">
        <v>1676</v>
      </c>
      <c r="D1098" s="286" t="s">
        <v>1105</v>
      </c>
      <c r="E1098" s="286" t="s">
        <v>1106</v>
      </c>
      <c r="F1098" s="286" t="s">
        <v>1731</v>
      </c>
      <c r="G1098" s="286" t="s">
        <v>1066</v>
      </c>
      <c r="H1098" s="286" t="s">
        <v>1066</v>
      </c>
      <c r="I1098" s="286" t="s">
        <v>1129</v>
      </c>
      <c r="J1098" s="286" t="s">
        <v>1312</v>
      </c>
      <c r="K1098" s="286" t="s">
        <v>660</v>
      </c>
      <c r="L1098" s="286" t="s">
        <v>1384</v>
      </c>
      <c r="M1098" s="286">
        <v>1</v>
      </c>
      <c r="N1098" s="287">
        <v>220.16</v>
      </c>
      <c r="O1098" s="287"/>
      <c r="P1098" s="286" t="s">
        <v>164</v>
      </c>
    </row>
    <row r="1099" spans="1:16" hidden="1" x14ac:dyDescent="0.15">
      <c r="A1099" s="286">
        <v>407061</v>
      </c>
      <c r="B1099" s="288">
        <v>45246.459722222222</v>
      </c>
      <c r="C1099" s="286" t="s">
        <v>1654</v>
      </c>
      <c r="D1099" s="286" t="s">
        <v>1105</v>
      </c>
      <c r="E1099" s="286" t="s">
        <v>1106</v>
      </c>
      <c r="F1099" s="286" t="s">
        <v>1848</v>
      </c>
      <c r="G1099" s="286" t="s">
        <v>1048</v>
      </c>
      <c r="H1099" s="286" t="s">
        <v>1048</v>
      </c>
      <c r="I1099" s="286" t="s">
        <v>1129</v>
      </c>
      <c r="J1099" s="286" t="s">
        <v>1312</v>
      </c>
      <c r="K1099" s="286" t="s">
        <v>1885</v>
      </c>
      <c r="L1099" s="286" t="s">
        <v>1886</v>
      </c>
      <c r="M1099" s="286">
        <v>24</v>
      </c>
      <c r="N1099" s="287">
        <v>216.72</v>
      </c>
      <c r="O1099" s="287"/>
      <c r="P1099" s="286" t="s">
        <v>164</v>
      </c>
    </row>
    <row r="1100" spans="1:16" hidden="1" x14ac:dyDescent="0.15">
      <c r="A1100" s="286">
        <v>386787</v>
      </c>
      <c r="B1100" s="288">
        <v>45229.685416666667</v>
      </c>
      <c r="C1100" s="286" t="s">
        <v>1642</v>
      </c>
      <c r="D1100" s="286" t="s">
        <v>1105</v>
      </c>
      <c r="E1100" s="286" t="s">
        <v>1106</v>
      </c>
      <c r="F1100" s="286" t="s">
        <v>1869</v>
      </c>
      <c r="G1100" s="286" t="s">
        <v>1831</v>
      </c>
      <c r="H1100" s="286" t="s">
        <v>1831</v>
      </c>
      <c r="I1100" s="286" t="s">
        <v>1129</v>
      </c>
      <c r="J1100" s="286" t="s">
        <v>1312</v>
      </c>
      <c r="K1100" s="286" t="s">
        <v>1832</v>
      </c>
      <c r="L1100" s="286" t="s">
        <v>1833</v>
      </c>
      <c r="M1100" s="286">
        <v>1</v>
      </c>
      <c r="N1100" s="287">
        <v>216.23</v>
      </c>
      <c r="O1100" s="287"/>
      <c r="P1100" s="286" t="s">
        <v>164</v>
      </c>
    </row>
    <row r="1101" spans="1:16" hidden="1" x14ac:dyDescent="0.15">
      <c r="A1101" s="286">
        <v>278788</v>
      </c>
      <c r="B1101" s="288">
        <v>45118.57708333333</v>
      </c>
      <c r="C1101" s="286" t="s">
        <v>1649</v>
      </c>
      <c r="D1101" s="286" t="s">
        <v>1105</v>
      </c>
      <c r="E1101" s="286" t="s">
        <v>1106</v>
      </c>
      <c r="F1101" s="286" t="s">
        <v>1712</v>
      </c>
      <c r="G1101" s="286" t="s">
        <v>1049</v>
      </c>
      <c r="H1101" s="286" t="s">
        <v>1049</v>
      </c>
      <c r="I1101" s="286" t="s">
        <v>1199</v>
      </c>
      <c r="J1101" s="286" t="s">
        <v>53</v>
      </c>
      <c r="K1101" s="286" t="s">
        <v>53</v>
      </c>
      <c r="L1101" s="286" t="s">
        <v>53</v>
      </c>
      <c r="M1101" s="286" t="s">
        <v>53</v>
      </c>
      <c r="N1101" s="287">
        <v>209.27</v>
      </c>
      <c r="O1101" s="287"/>
      <c r="P1101" s="286" t="s">
        <v>58</v>
      </c>
    </row>
    <row r="1102" spans="1:16" hidden="1" x14ac:dyDescent="0.15">
      <c r="A1102" s="286">
        <v>284271</v>
      </c>
      <c r="B1102" s="288">
        <v>45121.682638888888</v>
      </c>
      <c r="C1102" s="286" t="s">
        <v>1636</v>
      </c>
      <c r="D1102" s="286" t="s">
        <v>1105</v>
      </c>
      <c r="E1102" s="286" t="s">
        <v>1106</v>
      </c>
      <c r="F1102" s="286" t="s">
        <v>1713</v>
      </c>
      <c r="G1102" s="286" t="s">
        <v>1049</v>
      </c>
      <c r="H1102" s="286" t="s">
        <v>1049</v>
      </c>
      <c r="I1102" s="286" t="s">
        <v>1199</v>
      </c>
      <c r="J1102" s="286" t="s">
        <v>53</v>
      </c>
      <c r="K1102" s="286" t="s">
        <v>53</v>
      </c>
      <c r="L1102" s="286" t="s">
        <v>53</v>
      </c>
      <c r="M1102" s="286" t="s">
        <v>53</v>
      </c>
      <c r="N1102" s="287">
        <v>209.27</v>
      </c>
      <c r="O1102" s="287"/>
      <c r="P1102" s="286" t="s">
        <v>58</v>
      </c>
    </row>
    <row r="1103" spans="1:16" hidden="1" x14ac:dyDescent="0.15">
      <c r="A1103" s="286">
        <v>328287</v>
      </c>
      <c r="B1103" s="288">
        <v>45161.62777777778</v>
      </c>
      <c r="C1103" s="286" t="s">
        <v>1691</v>
      </c>
      <c r="D1103" s="286" t="s">
        <v>1105</v>
      </c>
      <c r="E1103" s="286" t="s">
        <v>1106</v>
      </c>
      <c r="F1103" s="286" t="s">
        <v>1714</v>
      </c>
      <c r="G1103" s="286" t="s">
        <v>1049</v>
      </c>
      <c r="H1103" s="286" t="s">
        <v>1049</v>
      </c>
      <c r="I1103" s="286" t="s">
        <v>1199</v>
      </c>
      <c r="J1103" s="286" t="s">
        <v>53</v>
      </c>
      <c r="K1103" s="286" t="s">
        <v>53</v>
      </c>
      <c r="L1103" s="286" t="s">
        <v>53</v>
      </c>
      <c r="M1103" s="286" t="s">
        <v>53</v>
      </c>
      <c r="N1103" s="287">
        <v>209.27</v>
      </c>
      <c r="O1103" s="287"/>
      <c r="P1103" s="286" t="s">
        <v>58</v>
      </c>
    </row>
    <row r="1104" spans="1:16" hidden="1" x14ac:dyDescent="0.15">
      <c r="A1104" s="286">
        <v>339870</v>
      </c>
      <c r="B1104" s="288">
        <v>45177.481944444444</v>
      </c>
      <c r="C1104" s="286" t="s">
        <v>1676</v>
      </c>
      <c r="D1104" s="286" t="s">
        <v>1105</v>
      </c>
      <c r="E1104" s="286" t="s">
        <v>1106</v>
      </c>
      <c r="F1104" s="286" t="s">
        <v>1715</v>
      </c>
      <c r="G1104" s="286" t="s">
        <v>1049</v>
      </c>
      <c r="H1104" s="286" t="s">
        <v>1049</v>
      </c>
      <c r="I1104" s="286" t="s">
        <v>1199</v>
      </c>
      <c r="J1104" s="286" t="s">
        <v>53</v>
      </c>
      <c r="K1104" s="286" t="s">
        <v>53</v>
      </c>
      <c r="L1104" s="286" t="s">
        <v>53</v>
      </c>
      <c r="M1104" s="286" t="s">
        <v>53</v>
      </c>
      <c r="N1104" s="287">
        <v>209.27</v>
      </c>
      <c r="O1104" s="287"/>
      <c r="P1104" s="286" t="s">
        <v>58</v>
      </c>
    </row>
    <row r="1105" spans="1:16" hidden="1" x14ac:dyDescent="0.15">
      <c r="A1105" s="286">
        <v>370270</v>
      </c>
      <c r="B1105" s="288">
        <v>45208.668055555558</v>
      </c>
      <c r="C1105" s="286" t="s">
        <v>1642</v>
      </c>
      <c r="D1105" s="286" t="s">
        <v>1105</v>
      </c>
      <c r="E1105" s="286" t="s">
        <v>1106</v>
      </c>
      <c r="F1105" s="286" t="s">
        <v>1716</v>
      </c>
      <c r="G1105" s="286" t="s">
        <v>1049</v>
      </c>
      <c r="H1105" s="286" t="s">
        <v>1049</v>
      </c>
      <c r="I1105" s="286" t="s">
        <v>1199</v>
      </c>
      <c r="J1105" s="286" t="s">
        <v>53</v>
      </c>
      <c r="K1105" s="286" t="s">
        <v>53</v>
      </c>
      <c r="L1105" s="286" t="s">
        <v>53</v>
      </c>
      <c r="M1105" s="286" t="s">
        <v>53</v>
      </c>
      <c r="N1105" s="287">
        <v>209.27</v>
      </c>
      <c r="O1105" s="287"/>
      <c r="P1105" s="286" t="s">
        <v>58</v>
      </c>
    </row>
    <row r="1106" spans="1:16" hidden="1" x14ac:dyDescent="0.15">
      <c r="A1106" s="286">
        <v>402221</v>
      </c>
      <c r="B1106" s="288">
        <v>45243.579861111109</v>
      </c>
      <c r="C1106" s="286" t="s">
        <v>1654</v>
      </c>
      <c r="D1106" s="286" t="s">
        <v>1105</v>
      </c>
      <c r="E1106" s="286" t="s">
        <v>1106</v>
      </c>
      <c r="F1106" s="286" t="s">
        <v>1724</v>
      </c>
      <c r="G1106" s="286" t="s">
        <v>1049</v>
      </c>
      <c r="H1106" s="286" t="s">
        <v>1049</v>
      </c>
      <c r="I1106" s="286" t="s">
        <v>1199</v>
      </c>
      <c r="J1106" s="286" t="s">
        <v>53</v>
      </c>
      <c r="K1106" s="286" t="s">
        <v>53</v>
      </c>
      <c r="L1106" s="286" t="s">
        <v>53</v>
      </c>
      <c r="M1106" s="286" t="s">
        <v>53</v>
      </c>
      <c r="N1106" s="287">
        <v>209.27</v>
      </c>
      <c r="O1106" s="287"/>
      <c r="P1106" s="286" t="s">
        <v>58</v>
      </c>
    </row>
    <row r="1107" spans="1:16" hidden="1" x14ac:dyDescent="0.15">
      <c r="A1107" s="286">
        <v>455146</v>
      </c>
      <c r="B1107" s="288">
        <v>45310.510416666664</v>
      </c>
      <c r="C1107" s="286" t="s">
        <v>1632</v>
      </c>
      <c r="D1107" s="286" t="s">
        <v>1105</v>
      </c>
      <c r="E1107" s="286" t="s">
        <v>1106</v>
      </c>
      <c r="F1107" s="286" t="s">
        <v>1725</v>
      </c>
      <c r="G1107" s="286" t="s">
        <v>1049</v>
      </c>
      <c r="H1107" s="286" t="s">
        <v>1049</v>
      </c>
      <c r="I1107" s="286" t="s">
        <v>1199</v>
      </c>
      <c r="J1107" s="286" t="s">
        <v>53</v>
      </c>
      <c r="K1107" s="286" t="s">
        <v>53</v>
      </c>
      <c r="L1107" s="286" t="s">
        <v>53</v>
      </c>
      <c r="M1107" s="286" t="s">
        <v>53</v>
      </c>
      <c r="N1107" s="287">
        <v>209.27</v>
      </c>
      <c r="O1107" s="287"/>
      <c r="P1107" s="286" t="s">
        <v>58</v>
      </c>
    </row>
    <row r="1108" spans="1:16" hidden="1" x14ac:dyDescent="0.15">
      <c r="A1108" s="286">
        <v>170399</v>
      </c>
      <c r="B1108" s="288">
        <v>44986.614583333336</v>
      </c>
      <c r="C1108" s="286" t="s">
        <v>1640</v>
      </c>
      <c r="D1108" s="286" t="s">
        <v>1105</v>
      </c>
      <c r="E1108" s="286" t="s">
        <v>1106</v>
      </c>
      <c r="F1108" s="286" t="s">
        <v>1720</v>
      </c>
      <c r="G1108" s="286" t="s">
        <v>1049</v>
      </c>
      <c r="H1108" s="286" t="s">
        <v>1049</v>
      </c>
      <c r="I1108" s="286" t="s">
        <v>1199</v>
      </c>
      <c r="J1108" s="286" t="s">
        <v>1312</v>
      </c>
      <c r="K1108" s="286" t="s">
        <v>53</v>
      </c>
      <c r="L1108" s="286" t="s">
        <v>53</v>
      </c>
      <c r="M1108" s="286" t="s">
        <v>53</v>
      </c>
      <c r="N1108" s="287">
        <v>208.33</v>
      </c>
      <c r="O1108" s="287"/>
      <c r="P1108" s="286" t="s">
        <v>58</v>
      </c>
    </row>
    <row r="1109" spans="1:16" hidden="1" x14ac:dyDescent="0.15">
      <c r="A1109" s="286">
        <v>170298</v>
      </c>
      <c r="B1109" s="288">
        <v>44986.623611111114</v>
      </c>
      <c r="C1109" s="286" t="s">
        <v>1638</v>
      </c>
      <c r="D1109" s="286" t="s">
        <v>1105</v>
      </c>
      <c r="E1109" s="286" t="s">
        <v>1106</v>
      </c>
      <c r="F1109" s="286" t="s">
        <v>1721</v>
      </c>
      <c r="G1109" s="286" t="s">
        <v>1049</v>
      </c>
      <c r="H1109" s="286" t="s">
        <v>1049</v>
      </c>
      <c r="I1109" s="286" t="s">
        <v>1199</v>
      </c>
      <c r="J1109" s="286" t="s">
        <v>1312</v>
      </c>
      <c r="K1109" s="286" t="s">
        <v>53</v>
      </c>
      <c r="L1109" s="286" t="s">
        <v>53</v>
      </c>
      <c r="M1109" s="286" t="s">
        <v>53</v>
      </c>
      <c r="N1109" s="287">
        <v>208.33</v>
      </c>
      <c r="O1109" s="287"/>
      <c r="P1109" s="286" t="s">
        <v>58</v>
      </c>
    </row>
    <row r="1110" spans="1:16" hidden="1" x14ac:dyDescent="0.15">
      <c r="A1110" s="286">
        <v>185846</v>
      </c>
      <c r="B1110" s="288">
        <v>45005.724305555559</v>
      </c>
      <c r="C1110" s="286" t="s">
        <v>1667</v>
      </c>
      <c r="D1110" s="286" t="s">
        <v>1105</v>
      </c>
      <c r="E1110" s="286" t="s">
        <v>1106</v>
      </c>
      <c r="F1110" s="286" t="s">
        <v>1702</v>
      </c>
      <c r="G1110" s="286" t="s">
        <v>1049</v>
      </c>
      <c r="H1110" s="286" t="s">
        <v>1049</v>
      </c>
      <c r="I1110" s="286" t="s">
        <v>1199</v>
      </c>
      <c r="J1110" s="286" t="s">
        <v>1312</v>
      </c>
      <c r="K1110" s="286" t="s">
        <v>53</v>
      </c>
      <c r="L1110" s="286" t="s">
        <v>53</v>
      </c>
      <c r="M1110" s="286" t="s">
        <v>53</v>
      </c>
      <c r="N1110" s="287">
        <v>208.33</v>
      </c>
      <c r="O1110" s="287"/>
      <c r="P1110" s="286" t="s">
        <v>58</v>
      </c>
    </row>
    <row r="1111" spans="1:16" hidden="1" x14ac:dyDescent="0.15">
      <c r="A1111" s="286">
        <v>201556</v>
      </c>
      <c r="B1111" s="288">
        <v>45029.540972222225</v>
      </c>
      <c r="C1111" s="286" t="s">
        <v>1657</v>
      </c>
      <c r="D1111" s="286" t="s">
        <v>1105</v>
      </c>
      <c r="E1111" s="286" t="s">
        <v>1106</v>
      </c>
      <c r="F1111" s="286" t="s">
        <v>1722</v>
      </c>
      <c r="G1111" s="286" t="s">
        <v>1049</v>
      </c>
      <c r="H1111" s="286" t="s">
        <v>1049</v>
      </c>
      <c r="I1111" s="286" t="s">
        <v>1199</v>
      </c>
      <c r="J1111" s="286" t="s">
        <v>1312</v>
      </c>
      <c r="K1111" s="286" t="s">
        <v>53</v>
      </c>
      <c r="L1111" s="286" t="s">
        <v>53</v>
      </c>
      <c r="M1111" s="286" t="s">
        <v>53</v>
      </c>
      <c r="N1111" s="287">
        <v>208.33</v>
      </c>
      <c r="O1111" s="287"/>
      <c r="P1111" s="286" t="s">
        <v>58</v>
      </c>
    </row>
    <row r="1112" spans="1:16" hidden="1" x14ac:dyDescent="0.15">
      <c r="A1112" s="286">
        <v>225409</v>
      </c>
      <c r="B1112" s="288">
        <v>45058.522222222222</v>
      </c>
      <c r="C1112" s="286" t="s">
        <v>1665</v>
      </c>
      <c r="D1112" s="286" t="s">
        <v>1105</v>
      </c>
      <c r="E1112" s="286" t="s">
        <v>1106</v>
      </c>
      <c r="F1112" s="286" t="s">
        <v>1723</v>
      </c>
      <c r="G1112" s="286" t="s">
        <v>1049</v>
      </c>
      <c r="H1112" s="286" t="s">
        <v>1049</v>
      </c>
      <c r="I1112" s="286" t="s">
        <v>1199</v>
      </c>
      <c r="J1112" s="286" t="s">
        <v>1312</v>
      </c>
      <c r="K1112" s="286" t="s">
        <v>53</v>
      </c>
      <c r="L1112" s="286" t="s">
        <v>53</v>
      </c>
      <c r="M1112" s="286" t="s">
        <v>53</v>
      </c>
      <c r="N1112" s="287">
        <v>208.33</v>
      </c>
      <c r="O1112" s="287"/>
      <c r="P1112" s="286" t="s">
        <v>58</v>
      </c>
    </row>
    <row r="1113" spans="1:16" hidden="1" x14ac:dyDescent="0.15">
      <c r="A1113" s="286">
        <v>354736</v>
      </c>
      <c r="B1113" s="288">
        <v>45190.590277777781</v>
      </c>
      <c r="C1113" s="286" t="s">
        <v>1676</v>
      </c>
      <c r="D1113" s="286" t="s">
        <v>1105</v>
      </c>
      <c r="E1113" s="286" t="s">
        <v>1106</v>
      </c>
      <c r="F1113" s="286" t="s">
        <v>1731</v>
      </c>
      <c r="G1113" s="286" t="s">
        <v>1078</v>
      </c>
      <c r="H1113" s="286" t="s">
        <v>1078</v>
      </c>
      <c r="I1113" s="286" t="s">
        <v>1129</v>
      </c>
      <c r="J1113" s="286" t="s">
        <v>1312</v>
      </c>
      <c r="K1113" s="286" t="s">
        <v>1887</v>
      </c>
      <c r="L1113" s="286" t="s">
        <v>1888</v>
      </c>
      <c r="M1113" s="286">
        <v>1</v>
      </c>
      <c r="N1113" s="287">
        <v>201.14</v>
      </c>
      <c r="O1113" s="287"/>
      <c r="P1113" s="286" t="s">
        <v>164</v>
      </c>
    </row>
    <row r="1114" spans="1:16" hidden="1" x14ac:dyDescent="0.15">
      <c r="A1114" s="286">
        <v>284271</v>
      </c>
      <c r="B1114" s="288">
        <v>45121.682638888888</v>
      </c>
      <c r="C1114" s="286" t="s">
        <v>1636</v>
      </c>
      <c r="D1114" s="286" t="s">
        <v>1105</v>
      </c>
      <c r="E1114" s="286" t="s">
        <v>1106</v>
      </c>
      <c r="F1114" s="286" t="s">
        <v>1713</v>
      </c>
      <c r="G1114" s="286" t="s">
        <v>1071</v>
      </c>
      <c r="H1114" s="286" t="s">
        <v>1071</v>
      </c>
      <c r="I1114" s="286" t="s">
        <v>1199</v>
      </c>
      <c r="J1114" s="286" t="s">
        <v>53</v>
      </c>
      <c r="K1114" s="286" t="s">
        <v>53</v>
      </c>
      <c r="L1114" s="286" t="s">
        <v>53</v>
      </c>
      <c r="M1114" s="286" t="s">
        <v>53</v>
      </c>
      <c r="N1114" s="287">
        <v>191.05</v>
      </c>
      <c r="O1114" s="287"/>
      <c r="P1114" s="286" t="s">
        <v>58</v>
      </c>
    </row>
    <row r="1115" spans="1:16" hidden="1" x14ac:dyDescent="0.15">
      <c r="A1115" s="286">
        <v>328287</v>
      </c>
      <c r="B1115" s="288">
        <v>45161.62777777778</v>
      </c>
      <c r="C1115" s="286" t="s">
        <v>1691</v>
      </c>
      <c r="D1115" s="286" t="s">
        <v>1105</v>
      </c>
      <c r="E1115" s="286" t="s">
        <v>1106</v>
      </c>
      <c r="F1115" s="286" t="s">
        <v>1714</v>
      </c>
      <c r="G1115" s="286" t="s">
        <v>1002</v>
      </c>
      <c r="H1115" s="286" t="s">
        <v>1002</v>
      </c>
      <c r="I1115" s="286" t="s">
        <v>1129</v>
      </c>
      <c r="J1115" s="286" t="s">
        <v>1312</v>
      </c>
      <c r="K1115" s="286" t="s">
        <v>1889</v>
      </c>
      <c r="L1115" s="286" t="s">
        <v>1890</v>
      </c>
      <c r="M1115" s="286">
        <v>1</v>
      </c>
      <c r="N1115" s="287">
        <v>171.42</v>
      </c>
      <c r="O1115" s="287"/>
      <c r="P1115" s="286" t="s">
        <v>164</v>
      </c>
    </row>
    <row r="1116" spans="1:16" hidden="1" x14ac:dyDescent="0.15">
      <c r="A1116" s="286">
        <v>354736</v>
      </c>
      <c r="B1116" s="288">
        <v>45190.590277777781</v>
      </c>
      <c r="C1116" s="286" t="s">
        <v>1676</v>
      </c>
      <c r="D1116" s="286" t="s">
        <v>1105</v>
      </c>
      <c r="E1116" s="286" t="s">
        <v>1106</v>
      </c>
      <c r="F1116" s="286" t="s">
        <v>1731</v>
      </c>
      <c r="G1116" s="286" t="s">
        <v>1066</v>
      </c>
      <c r="H1116" s="286" t="s">
        <v>1066</v>
      </c>
      <c r="I1116" s="286" t="s">
        <v>1129</v>
      </c>
      <c r="J1116" s="286" t="s">
        <v>1312</v>
      </c>
      <c r="K1116" s="286" t="s">
        <v>658</v>
      </c>
      <c r="L1116" s="286" t="s">
        <v>659</v>
      </c>
      <c r="M1116" s="286">
        <v>1</v>
      </c>
      <c r="N1116" s="287">
        <v>171.42</v>
      </c>
      <c r="O1116" s="287"/>
      <c r="P1116" s="286" t="s">
        <v>164</v>
      </c>
    </row>
    <row r="1117" spans="1:16" hidden="1" x14ac:dyDescent="0.15">
      <c r="A1117" s="286">
        <v>455146</v>
      </c>
      <c r="B1117" s="288">
        <v>45310.510416666664</v>
      </c>
      <c r="C1117" s="286" t="s">
        <v>1632</v>
      </c>
      <c r="D1117" s="286" t="s">
        <v>1105</v>
      </c>
      <c r="E1117" s="286" t="s">
        <v>1106</v>
      </c>
      <c r="F1117" s="286" t="s">
        <v>1725</v>
      </c>
      <c r="G1117" s="286" t="s">
        <v>1080</v>
      </c>
      <c r="H1117" s="286" t="s">
        <v>1080</v>
      </c>
      <c r="I1117" s="286" t="s">
        <v>1228</v>
      </c>
      <c r="J1117" s="286" t="s">
        <v>1312</v>
      </c>
      <c r="K1117" s="286" t="s">
        <v>1770</v>
      </c>
      <c r="L1117" s="286" t="s">
        <v>53</v>
      </c>
      <c r="M1117" s="286">
        <v>1</v>
      </c>
      <c r="N1117" s="287">
        <v>162.07</v>
      </c>
      <c r="O1117" s="287"/>
      <c r="P1117" s="286" t="s">
        <v>58</v>
      </c>
    </row>
    <row r="1118" spans="1:16" hidden="1" x14ac:dyDescent="0.15">
      <c r="A1118" s="286">
        <v>284271</v>
      </c>
      <c r="B1118" s="288">
        <v>45121.682638888888</v>
      </c>
      <c r="C1118" s="286" t="s">
        <v>1636</v>
      </c>
      <c r="D1118" s="286" t="s">
        <v>1105</v>
      </c>
      <c r="E1118" s="286" t="s">
        <v>1106</v>
      </c>
      <c r="F1118" s="286" t="s">
        <v>1713</v>
      </c>
      <c r="G1118" s="286" t="s">
        <v>1838</v>
      </c>
      <c r="H1118" s="286" t="s">
        <v>1838</v>
      </c>
      <c r="I1118" s="286" t="s">
        <v>1228</v>
      </c>
      <c r="J1118" s="286" t="s">
        <v>53</v>
      </c>
      <c r="K1118" s="286" t="s">
        <v>53</v>
      </c>
      <c r="L1118" s="286" t="s">
        <v>53</v>
      </c>
      <c r="M1118" s="286" t="s">
        <v>53</v>
      </c>
      <c r="N1118" s="287">
        <v>161.32</v>
      </c>
      <c r="O1118" s="287"/>
      <c r="P1118" s="286" t="s">
        <v>58</v>
      </c>
    </row>
    <row r="1119" spans="1:16" hidden="1" x14ac:dyDescent="0.15">
      <c r="A1119" s="286">
        <v>328287</v>
      </c>
      <c r="B1119" s="288">
        <v>45161.62777777778</v>
      </c>
      <c r="C1119" s="286" t="s">
        <v>1691</v>
      </c>
      <c r="D1119" s="286" t="s">
        <v>1105</v>
      </c>
      <c r="E1119" s="286" t="s">
        <v>1106</v>
      </c>
      <c r="F1119" s="286" t="s">
        <v>1714</v>
      </c>
      <c r="G1119" s="286" t="s">
        <v>1838</v>
      </c>
      <c r="H1119" s="286" t="s">
        <v>1838</v>
      </c>
      <c r="I1119" s="286" t="s">
        <v>1228</v>
      </c>
      <c r="J1119" s="286" t="s">
        <v>53</v>
      </c>
      <c r="K1119" s="286" t="s">
        <v>53</v>
      </c>
      <c r="L1119" s="286" t="s">
        <v>53</v>
      </c>
      <c r="M1119" s="286" t="s">
        <v>53</v>
      </c>
      <c r="N1119" s="287">
        <v>161.32</v>
      </c>
      <c r="O1119" s="287"/>
      <c r="P1119" s="286" t="s">
        <v>58</v>
      </c>
    </row>
    <row r="1120" spans="1:16" hidden="1" x14ac:dyDescent="0.15">
      <c r="A1120" s="286">
        <v>339870</v>
      </c>
      <c r="B1120" s="288">
        <v>45177.481944444444</v>
      </c>
      <c r="C1120" s="286" t="s">
        <v>1676</v>
      </c>
      <c r="D1120" s="286" t="s">
        <v>1105</v>
      </c>
      <c r="E1120" s="286" t="s">
        <v>1106</v>
      </c>
      <c r="F1120" s="286" t="s">
        <v>1715</v>
      </c>
      <c r="G1120" s="286" t="s">
        <v>1838</v>
      </c>
      <c r="H1120" s="286" t="s">
        <v>1838</v>
      </c>
      <c r="I1120" s="286" t="s">
        <v>1228</v>
      </c>
      <c r="J1120" s="286" t="s">
        <v>53</v>
      </c>
      <c r="K1120" s="286" t="s">
        <v>53</v>
      </c>
      <c r="L1120" s="286" t="s">
        <v>53</v>
      </c>
      <c r="M1120" s="286" t="s">
        <v>53</v>
      </c>
      <c r="N1120" s="287">
        <v>161.32</v>
      </c>
      <c r="O1120" s="287"/>
      <c r="P1120" s="286" t="s">
        <v>58</v>
      </c>
    </row>
    <row r="1121" spans="1:16" hidden="1" x14ac:dyDescent="0.15">
      <c r="A1121" s="286">
        <v>370270</v>
      </c>
      <c r="B1121" s="288">
        <v>45208.668055555558</v>
      </c>
      <c r="C1121" s="286" t="s">
        <v>1642</v>
      </c>
      <c r="D1121" s="286" t="s">
        <v>1105</v>
      </c>
      <c r="E1121" s="286" t="s">
        <v>1106</v>
      </c>
      <c r="F1121" s="286" t="s">
        <v>1716</v>
      </c>
      <c r="G1121" s="286" t="s">
        <v>1838</v>
      </c>
      <c r="H1121" s="286" t="s">
        <v>1838</v>
      </c>
      <c r="I1121" s="286" t="s">
        <v>1228</v>
      </c>
      <c r="J1121" s="286" t="s">
        <v>53</v>
      </c>
      <c r="K1121" s="286" t="s">
        <v>53</v>
      </c>
      <c r="L1121" s="286" t="s">
        <v>53</v>
      </c>
      <c r="M1121" s="286" t="s">
        <v>53</v>
      </c>
      <c r="N1121" s="287">
        <v>161.32</v>
      </c>
      <c r="O1121" s="287"/>
      <c r="P1121" s="286" t="s">
        <v>58</v>
      </c>
    </row>
    <row r="1122" spans="1:16" hidden="1" x14ac:dyDescent="0.15">
      <c r="A1122" s="286">
        <v>402221</v>
      </c>
      <c r="B1122" s="288">
        <v>45243.579861111109</v>
      </c>
      <c r="C1122" s="286" t="s">
        <v>1654</v>
      </c>
      <c r="D1122" s="286" t="s">
        <v>1105</v>
      </c>
      <c r="E1122" s="286" t="s">
        <v>1106</v>
      </c>
      <c r="F1122" s="286" t="s">
        <v>1724</v>
      </c>
      <c r="G1122" s="286" t="s">
        <v>1838</v>
      </c>
      <c r="H1122" s="286" t="s">
        <v>1838</v>
      </c>
      <c r="I1122" s="286" t="s">
        <v>1228</v>
      </c>
      <c r="J1122" s="286" t="s">
        <v>53</v>
      </c>
      <c r="K1122" s="286" t="s">
        <v>53</v>
      </c>
      <c r="L1122" s="286" t="s">
        <v>53</v>
      </c>
      <c r="M1122" s="286" t="s">
        <v>53</v>
      </c>
      <c r="N1122" s="287">
        <v>161.32</v>
      </c>
      <c r="O1122" s="287"/>
      <c r="P1122" s="286" t="s">
        <v>58</v>
      </c>
    </row>
    <row r="1123" spans="1:16" hidden="1" x14ac:dyDescent="0.15">
      <c r="A1123" s="286">
        <v>455146</v>
      </c>
      <c r="B1123" s="288">
        <v>45310.510416666664</v>
      </c>
      <c r="C1123" s="286" t="s">
        <v>1632</v>
      </c>
      <c r="D1123" s="286" t="s">
        <v>1105</v>
      </c>
      <c r="E1123" s="286" t="s">
        <v>1106</v>
      </c>
      <c r="F1123" s="286" t="s">
        <v>1725</v>
      </c>
      <c r="G1123" s="286" t="s">
        <v>1838</v>
      </c>
      <c r="H1123" s="286" t="s">
        <v>1838</v>
      </c>
      <c r="I1123" s="286" t="s">
        <v>1228</v>
      </c>
      <c r="J1123" s="286" t="s">
        <v>53</v>
      </c>
      <c r="K1123" s="286" t="s">
        <v>53</v>
      </c>
      <c r="L1123" s="286" t="s">
        <v>53</v>
      </c>
      <c r="M1123" s="286" t="s">
        <v>53</v>
      </c>
      <c r="N1123" s="287">
        <v>161.32</v>
      </c>
      <c r="O1123" s="287"/>
      <c r="P1123" s="286" t="s">
        <v>58</v>
      </c>
    </row>
    <row r="1124" spans="1:16" hidden="1" x14ac:dyDescent="0.15">
      <c r="A1124" s="286">
        <v>241519</v>
      </c>
      <c r="B1124" s="288">
        <v>45076.732638888891</v>
      </c>
      <c r="C1124" s="286" t="s">
        <v>1665</v>
      </c>
      <c r="D1124" s="286" t="s">
        <v>1309</v>
      </c>
      <c r="E1124" s="286" t="s">
        <v>1310</v>
      </c>
      <c r="F1124" s="286" t="s">
        <v>1891</v>
      </c>
      <c r="G1124" s="286" t="s">
        <v>1006</v>
      </c>
      <c r="H1124" s="286" t="s">
        <v>1006</v>
      </c>
      <c r="I1124" s="286" t="s">
        <v>1129</v>
      </c>
      <c r="J1124" s="286" t="s">
        <v>1312</v>
      </c>
      <c r="K1124" s="286" t="s">
        <v>1892</v>
      </c>
      <c r="L1124" s="286" t="s">
        <v>1893</v>
      </c>
      <c r="M1124" s="286">
        <v>10</v>
      </c>
      <c r="N1124" s="287">
        <v>158.9</v>
      </c>
      <c r="O1124" s="287"/>
      <c r="P1124" s="286" t="s">
        <v>164</v>
      </c>
    </row>
    <row r="1125" spans="1:16" hidden="1" x14ac:dyDescent="0.15">
      <c r="A1125" s="286">
        <v>284271</v>
      </c>
      <c r="B1125" s="288">
        <v>45121.682638888888</v>
      </c>
      <c r="C1125" s="286" t="s">
        <v>1636</v>
      </c>
      <c r="D1125" s="286" t="s">
        <v>1105</v>
      </c>
      <c r="E1125" s="286" t="s">
        <v>1106</v>
      </c>
      <c r="F1125" s="286" t="s">
        <v>1713</v>
      </c>
      <c r="G1125" s="286" t="s">
        <v>1856</v>
      </c>
      <c r="H1125" s="286" t="s">
        <v>1856</v>
      </c>
      <c r="I1125" s="286" t="s">
        <v>1199</v>
      </c>
      <c r="J1125" s="286" t="s">
        <v>53</v>
      </c>
      <c r="K1125" s="286" t="s">
        <v>53</v>
      </c>
      <c r="L1125" s="286" t="s">
        <v>53</v>
      </c>
      <c r="M1125" s="286" t="s">
        <v>53</v>
      </c>
      <c r="N1125" s="287">
        <v>151.16</v>
      </c>
      <c r="O1125" s="287"/>
      <c r="P1125" s="286" t="s">
        <v>58</v>
      </c>
    </row>
    <row r="1126" spans="1:16" hidden="1" x14ac:dyDescent="0.15">
      <c r="A1126" s="286">
        <v>278788</v>
      </c>
      <c r="B1126" s="288">
        <v>45118.57708333333</v>
      </c>
      <c r="C1126" s="286" t="s">
        <v>1649</v>
      </c>
      <c r="D1126" s="286" t="s">
        <v>1105</v>
      </c>
      <c r="E1126" s="286" t="s">
        <v>1106</v>
      </c>
      <c r="F1126" s="286" t="s">
        <v>1712</v>
      </c>
      <c r="G1126" s="286" t="s">
        <v>1026</v>
      </c>
      <c r="H1126" s="286" t="s">
        <v>1026</v>
      </c>
      <c r="I1126" s="286" t="s">
        <v>1152</v>
      </c>
      <c r="J1126" s="286" t="s">
        <v>1312</v>
      </c>
      <c r="K1126" s="286" t="s">
        <v>53</v>
      </c>
      <c r="L1126" s="286" t="s">
        <v>53</v>
      </c>
      <c r="M1126" s="286" t="s">
        <v>53</v>
      </c>
      <c r="N1126" s="287">
        <v>143.71</v>
      </c>
      <c r="O1126" s="287"/>
      <c r="P1126" s="286" t="s">
        <v>58</v>
      </c>
    </row>
    <row r="1127" spans="1:16" hidden="1" x14ac:dyDescent="0.15">
      <c r="A1127" s="286">
        <v>379134</v>
      </c>
      <c r="B1127" s="288">
        <v>45218.479166666664</v>
      </c>
      <c r="C1127" s="286" t="s">
        <v>1642</v>
      </c>
      <c r="D1127" s="286" t="s">
        <v>1105</v>
      </c>
      <c r="E1127" s="286" t="s">
        <v>1106</v>
      </c>
      <c r="F1127" s="286" t="s">
        <v>1726</v>
      </c>
      <c r="G1127" s="286" t="s">
        <v>1056</v>
      </c>
      <c r="H1127" s="286" t="s">
        <v>1056</v>
      </c>
      <c r="I1127" s="286" t="s">
        <v>1129</v>
      </c>
      <c r="J1127" s="286" t="s">
        <v>1312</v>
      </c>
      <c r="K1127" s="286" t="s">
        <v>1321</v>
      </c>
      <c r="L1127" s="286" t="s">
        <v>1322</v>
      </c>
      <c r="M1127" s="286">
        <v>12</v>
      </c>
      <c r="N1127" s="287">
        <v>137.28</v>
      </c>
      <c r="O1127" s="287"/>
      <c r="P1127" s="286" t="s">
        <v>164</v>
      </c>
    </row>
    <row r="1128" spans="1:16" hidden="1" x14ac:dyDescent="0.15">
      <c r="A1128" s="286">
        <v>170499</v>
      </c>
      <c r="B1128" s="288">
        <v>44986.615972222222</v>
      </c>
      <c r="C1128" s="286" t="s">
        <v>1640</v>
      </c>
      <c r="D1128" s="286" t="s">
        <v>1105</v>
      </c>
      <c r="E1128" s="286" t="s">
        <v>1106</v>
      </c>
      <c r="F1128" s="286" t="s">
        <v>1755</v>
      </c>
      <c r="G1128" s="286" t="s">
        <v>1838</v>
      </c>
      <c r="H1128" s="286" t="s">
        <v>1838</v>
      </c>
      <c r="I1128" s="286" t="s">
        <v>1228</v>
      </c>
      <c r="J1128" s="286" t="s">
        <v>1312</v>
      </c>
      <c r="K1128" s="286" t="s">
        <v>53</v>
      </c>
      <c r="L1128" s="286" t="s">
        <v>53</v>
      </c>
      <c r="M1128" s="286" t="s">
        <v>53</v>
      </c>
      <c r="N1128" s="287">
        <v>134.21</v>
      </c>
      <c r="O1128" s="287"/>
      <c r="P1128" s="286" t="s">
        <v>58</v>
      </c>
    </row>
    <row r="1129" spans="1:16" hidden="1" x14ac:dyDescent="0.15">
      <c r="A1129" s="286">
        <v>170298</v>
      </c>
      <c r="B1129" s="288">
        <v>44986.623611111114</v>
      </c>
      <c r="C1129" s="286" t="s">
        <v>1638</v>
      </c>
      <c r="D1129" s="286" t="s">
        <v>1105</v>
      </c>
      <c r="E1129" s="286" t="s">
        <v>1106</v>
      </c>
      <c r="F1129" s="286" t="s">
        <v>1721</v>
      </c>
      <c r="G1129" s="286" t="s">
        <v>1838</v>
      </c>
      <c r="H1129" s="286" t="s">
        <v>1838</v>
      </c>
      <c r="I1129" s="286" t="s">
        <v>1228</v>
      </c>
      <c r="J1129" s="286" t="s">
        <v>1312</v>
      </c>
      <c r="K1129" s="286" t="s">
        <v>53</v>
      </c>
      <c r="L1129" s="286" t="s">
        <v>53</v>
      </c>
      <c r="M1129" s="286" t="s">
        <v>53</v>
      </c>
      <c r="N1129" s="287">
        <v>134.21</v>
      </c>
      <c r="O1129" s="287"/>
      <c r="P1129" s="286" t="s">
        <v>58</v>
      </c>
    </row>
    <row r="1130" spans="1:16" hidden="1" x14ac:dyDescent="0.15">
      <c r="A1130" s="286">
        <v>185846</v>
      </c>
      <c r="B1130" s="288">
        <v>45005.724305555559</v>
      </c>
      <c r="C1130" s="286" t="s">
        <v>1667</v>
      </c>
      <c r="D1130" s="286" t="s">
        <v>1105</v>
      </c>
      <c r="E1130" s="286" t="s">
        <v>1106</v>
      </c>
      <c r="F1130" s="286" t="s">
        <v>1702</v>
      </c>
      <c r="G1130" s="286" t="s">
        <v>1838</v>
      </c>
      <c r="H1130" s="286" t="s">
        <v>1838</v>
      </c>
      <c r="I1130" s="286" t="s">
        <v>1228</v>
      </c>
      <c r="J1130" s="286" t="s">
        <v>1312</v>
      </c>
      <c r="K1130" s="286" t="s">
        <v>53</v>
      </c>
      <c r="L1130" s="286" t="s">
        <v>53</v>
      </c>
      <c r="M1130" s="286" t="s">
        <v>53</v>
      </c>
      <c r="N1130" s="287">
        <v>134.21</v>
      </c>
      <c r="O1130" s="287"/>
      <c r="P1130" s="286" t="s">
        <v>58</v>
      </c>
    </row>
    <row r="1131" spans="1:16" hidden="1" x14ac:dyDescent="0.15">
      <c r="A1131" s="286">
        <v>201556</v>
      </c>
      <c r="B1131" s="288">
        <v>45029.540972222225</v>
      </c>
      <c r="C1131" s="286" t="s">
        <v>1657</v>
      </c>
      <c r="D1131" s="286" t="s">
        <v>1105</v>
      </c>
      <c r="E1131" s="286" t="s">
        <v>1106</v>
      </c>
      <c r="F1131" s="286" t="s">
        <v>1722</v>
      </c>
      <c r="G1131" s="286" t="s">
        <v>1838</v>
      </c>
      <c r="H1131" s="286" t="s">
        <v>1838</v>
      </c>
      <c r="I1131" s="286" t="s">
        <v>1228</v>
      </c>
      <c r="J1131" s="286" t="s">
        <v>1312</v>
      </c>
      <c r="K1131" s="286" t="s">
        <v>53</v>
      </c>
      <c r="L1131" s="286" t="s">
        <v>53</v>
      </c>
      <c r="M1131" s="286" t="s">
        <v>53</v>
      </c>
      <c r="N1131" s="287">
        <v>134.21</v>
      </c>
      <c r="O1131" s="287"/>
      <c r="P1131" s="286" t="s">
        <v>58</v>
      </c>
    </row>
    <row r="1132" spans="1:16" hidden="1" x14ac:dyDescent="0.15">
      <c r="A1132" s="286">
        <v>225409</v>
      </c>
      <c r="B1132" s="288">
        <v>45058.522222222222</v>
      </c>
      <c r="C1132" s="286" t="s">
        <v>1665</v>
      </c>
      <c r="D1132" s="286" t="s">
        <v>1105</v>
      </c>
      <c r="E1132" s="286" t="s">
        <v>1106</v>
      </c>
      <c r="F1132" s="286" t="s">
        <v>1723</v>
      </c>
      <c r="G1132" s="286" t="s">
        <v>1838</v>
      </c>
      <c r="H1132" s="286" t="s">
        <v>1838</v>
      </c>
      <c r="I1132" s="286" t="s">
        <v>1228</v>
      </c>
      <c r="J1132" s="286" t="s">
        <v>1312</v>
      </c>
      <c r="K1132" s="286" t="s">
        <v>53</v>
      </c>
      <c r="L1132" s="286" t="s">
        <v>53</v>
      </c>
      <c r="M1132" s="286" t="s">
        <v>53</v>
      </c>
      <c r="N1132" s="287">
        <v>134.21</v>
      </c>
      <c r="O1132" s="287"/>
      <c r="P1132" s="286" t="s">
        <v>58</v>
      </c>
    </row>
    <row r="1133" spans="1:16" hidden="1" x14ac:dyDescent="0.15">
      <c r="A1133" s="286">
        <v>278788</v>
      </c>
      <c r="B1133" s="288">
        <v>45118.57708333333</v>
      </c>
      <c r="C1133" s="286" t="s">
        <v>1649</v>
      </c>
      <c r="D1133" s="286" t="s">
        <v>1105</v>
      </c>
      <c r="E1133" s="286" t="s">
        <v>1106</v>
      </c>
      <c r="F1133" s="286" t="s">
        <v>1712</v>
      </c>
      <c r="G1133" s="286" t="s">
        <v>1838</v>
      </c>
      <c r="H1133" s="286" t="s">
        <v>1838</v>
      </c>
      <c r="I1133" s="286" t="s">
        <v>1228</v>
      </c>
      <c r="J1133" s="286" t="s">
        <v>53</v>
      </c>
      <c r="K1133" s="286" t="s">
        <v>53</v>
      </c>
      <c r="L1133" s="286" t="s">
        <v>53</v>
      </c>
      <c r="M1133" s="286" t="s">
        <v>53</v>
      </c>
      <c r="N1133" s="287">
        <v>134.21</v>
      </c>
      <c r="O1133" s="287"/>
      <c r="P1133" s="286" t="s">
        <v>58</v>
      </c>
    </row>
    <row r="1134" spans="1:16" hidden="1" x14ac:dyDescent="0.15">
      <c r="A1134" s="286">
        <v>135760</v>
      </c>
      <c r="B1134" s="288">
        <v>44939.620833333334</v>
      </c>
      <c r="C1134" s="286" t="s">
        <v>1640</v>
      </c>
      <c r="D1134" s="286" t="s">
        <v>1309</v>
      </c>
      <c r="E1134" s="286" t="s">
        <v>1310</v>
      </c>
      <c r="F1134" s="286" t="s">
        <v>1894</v>
      </c>
      <c r="G1134" s="286" t="s">
        <v>1085</v>
      </c>
      <c r="H1134" s="286" t="s">
        <v>1085</v>
      </c>
      <c r="I1134" s="286" t="s">
        <v>1129</v>
      </c>
      <c r="J1134" s="286" t="s">
        <v>1312</v>
      </c>
      <c r="K1134" s="286" t="s">
        <v>1366</v>
      </c>
      <c r="L1134" s="286" t="s">
        <v>1367</v>
      </c>
      <c r="M1134" s="286">
        <v>2</v>
      </c>
      <c r="N1134" s="287">
        <v>126.34</v>
      </c>
      <c r="O1134" s="287"/>
      <c r="P1134" s="286" t="s">
        <v>164</v>
      </c>
    </row>
    <row r="1135" spans="1:16" hidden="1" x14ac:dyDescent="0.15">
      <c r="A1135" s="286">
        <v>135760</v>
      </c>
      <c r="B1135" s="288">
        <v>44939.620833333334</v>
      </c>
      <c r="C1135" s="286" t="s">
        <v>1640</v>
      </c>
      <c r="D1135" s="286" t="s">
        <v>1309</v>
      </c>
      <c r="E1135" s="286" t="s">
        <v>1310</v>
      </c>
      <c r="F1135" s="286" t="s">
        <v>1894</v>
      </c>
      <c r="G1135" s="286" t="s">
        <v>1085</v>
      </c>
      <c r="H1135" s="286" t="s">
        <v>1085</v>
      </c>
      <c r="I1135" s="286" t="s">
        <v>1129</v>
      </c>
      <c r="J1135" s="286" t="s">
        <v>1312</v>
      </c>
      <c r="K1135" s="286" t="s">
        <v>1861</v>
      </c>
      <c r="L1135" s="286" t="s">
        <v>1862</v>
      </c>
      <c r="M1135" s="286">
        <v>2</v>
      </c>
      <c r="N1135" s="287">
        <v>125.42</v>
      </c>
      <c r="O1135" s="287"/>
      <c r="P1135" s="286" t="s">
        <v>164</v>
      </c>
    </row>
    <row r="1136" spans="1:16" hidden="1" x14ac:dyDescent="0.15">
      <c r="A1136" s="286">
        <v>135760</v>
      </c>
      <c r="B1136" s="288">
        <v>44939.620833333334</v>
      </c>
      <c r="C1136" s="286" t="s">
        <v>1640</v>
      </c>
      <c r="D1136" s="286" t="s">
        <v>1309</v>
      </c>
      <c r="E1136" s="286" t="s">
        <v>1310</v>
      </c>
      <c r="F1136" s="286" t="s">
        <v>1894</v>
      </c>
      <c r="G1136" s="286" t="s">
        <v>1085</v>
      </c>
      <c r="H1136" s="286" t="s">
        <v>1085</v>
      </c>
      <c r="I1136" s="286" t="s">
        <v>1129</v>
      </c>
      <c r="J1136" s="286" t="s">
        <v>1312</v>
      </c>
      <c r="K1136" s="286" t="s">
        <v>1895</v>
      </c>
      <c r="L1136" s="286" t="s">
        <v>1896</v>
      </c>
      <c r="M1136" s="286">
        <v>2</v>
      </c>
      <c r="N1136" s="287">
        <v>123.2</v>
      </c>
      <c r="O1136" s="287"/>
      <c r="P1136" s="286" t="s">
        <v>164</v>
      </c>
    </row>
    <row r="1137" spans="1:16" hidden="1" x14ac:dyDescent="0.15">
      <c r="A1137" s="286">
        <v>423657</v>
      </c>
      <c r="B1137" s="288">
        <v>45266.464583333334</v>
      </c>
      <c r="C1137" s="286" t="s">
        <v>1632</v>
      </c>
      <c r="D1137" s="286" t="s">
        <v>1105</v>
      </c>
      <c r="E1137" s="286" t="s">
        <v>1106</v>
      </c>
      <c r="F1137" s="286" t="s">
        <v>1897</v>
      </c>
      <c r="G1137" s="286" t="s">
        <v>1898</v>
      </c>
      <c r="H1137" s="286" t="s">
        <v>1898</v>
      </c>
      <c r="I1137" s="286" t="s">
        <v>1129</v>
      </c>
      <c r="J1137" s="286" t="s">
        <v>1312</v>
      </c>
      <c r="K1137" s="286" t="s">
        <v>167</v>
      </c>
      <c r="L1137" s="286" t="s">
        <v>1328</v>
      </c>
      <c r="M1137" s="286">
        <v>1</v>
      </c>
      <c r="N1137" s="287">
        <v>117.56</v>
      </c>
      <c r="O1137" s="287"/>
      <c r="P1137" s="286" t="s">
        <v>164</v>
      </c>
    </row>
    <row r="1138" spans="1:16" hidden="1" x14ac:dyDescent="0.15">
      <c r="A1138" s="286">
        <v>284271</v>
      </c>
      <c r="B1138" s="288">
        <v>45121.682638888888</v>
      </c>
      <c r="C1138" s="286" t="s">
        <v>1636</v>
      </c>
      <c r="D1138" s="286" t="s">
        <v>1105</v>
      </c>
      <c r="E1138" s="286" t="s">
        <v>1106</v>
      </c>
      <c r="F1138" s="286" t="s">
        <v>1713</v>
      </c>
      <c r="G1138" s="286" t="s">
        <v>1055</v>
      </c>
      <c r="H1138" s="286" t="s">
        <v>1055</v>
      </c>
      <c r="I1138" s="286" t="s">
        <v>1228</v>
      </c>
      <c r="J1138" s="286" t="s">
        <v>53</v>
      </c>
      <c r="K1138" s="286" t="s">
        <v>53</v>
      </c>
      <c r="L1138" s="286" t="s">
        <v>53</v>
      </c>
      <c r="M1138" s="286" t="s">
        <v>53</v>
      </c>
      <c r="N1138" s="287">
        <v>117.12</v>
      </c>
      <c r="O1138" s="287"/>
      <c r="P1138" s="286" t="s">
        <v>58</v>
      </c>
    </row>
    <row r="1139" spans="1:16" hidden="1" x14ac:dyDescent="0.15">
      <c r="A1139" s="286">
        <v>433764</v>
      </c>
      <c r="B1139" s="288">
        <v>45278.734722222223</v>
      </c>
      <c r="C1139" s="286" t="s">
        <v>1632</v>
      </c>
      <c r="D1139" s="286" t="s">
        <v>1105</v>
      </c>
      <c r="E1139" s="286" t="s">
        <v>1106</v>
      </c>
      <c r="F1139" s="286" t="s">
        <v>1801</v>
      </c>
      <c r="G1139" s="286" t="s">
        <v>1047</v>
      </c>
      <c r="H1139" s="286" t="s">
        <v>1047</v>
      </c>
      <c r="I1139" s="286" t="s">
        <v>1129</v>
      </c>
      <c r="J1139" s="286" t="s">
        <v>1312</v>
      </c>
      <c r="K1139" s="286" t="s">
        <v>722</v>
      </c>
      <c r="L1139" s="286" t="s">
        <v>1899</v>
      </c>
      <c r="M1139" s="286">
        <v>2</v>
      </c>
      <c r="N1139" s="287">
        <v>114</v>
      </c>
      <c r="O1139" s="287"/>
      <c r="P1139" s="286" t="s">
        <v>164</v>
      </c>
    </row>
    <row r="1140" spans="1:16" hidden="1" x14ac:dyDescent="0.15">
      <c r="A1140" s="286">
        <v>221306</v>
      </c>
      <c r="B1140" s="288">
        <v>45051.623611111114</v>
      </c>
      <c r="C1140" s="286" t="s">
        <v>1665</v>
      </c>
      <c r="D1140" s="286" t="s">
        <v>1309</v>
      </c>
      <c r="E1140" s="286" t="s">
        <v>1310</v>
      </c>
      <c r="F1140" s="286" t="s">
        <v>1900</v>
      </c>
      <c r="G1140" s="286" t="s">
        <v>1831</v>
      </c>
      <c r="H1140" s="286" t="s">
        <v>1831</v>
      </c>
      <c r="I1140" s="286" t="s">
        <v>1129</v>
      </c>
      <c r="J1140" s="286" t="s">
        <v>1312</v>
      </c>
      <c r="K1140" s="286" t="s">
        <v>1901</v>
      </c>
      <c r="L1140" s="286" t="s">
        <v>1902</v>
      </c>
      <c r="M1140" s="286">
        <v>2</v>
      </c>
      <c r="N1140" s="287">
        <v>112.2</v>
      </c>
      <c r="O1140" s="287"/>
      <c r="P1140" s="286" t="s">
        <v>164</v>
      </c>
    </row>
    <row r="1141" spans="1:16" hidden="1" x14ac:dyDescent="0.15">
      <c r="A1141" s="286">
        <v>214173</v>
      </c>
      <c r="B1141" s="288">
        <v>45042.720138888886</v>
      </c>
      <c r="C1141" s="286" t="s">
        <v>1657</v>
      </c>
      <c r="D1141" s="286" t="s">
        <v>1309</v>
      </c>
      <c r="E1141" s="286" t="s">
        <v>1310</v>
      </c>
      <c r="F1141" s="286" t="s">
        <v>1903</v>
      </c>
      <c r="G1141" s="286" t="s">
        <v>1013</v>
      </c>
      <c r="H1141" s="286" t="s">
        <v>1013</v>
      </c>
      <c r="I1141" s="286" t="s">
        <v>1129</v>
      </c>
      <c r="J1141" s="286" t="s">
        <v>1312</v>
      </c>
      <c r="K1141" s="286" t="s">
        <v>528</v>
      </c>
      <c r="L1141" s="286" t="s">
        <v>529</v>
      </c>
      <c r="M1141" s="286">
        <v>20</v>
      </c>
      <c r="N1141" s="287">
        <v>111.4</v>
      </c>
      <c r="O1141" s="287"/>
      <c r="P1141" s="286" t="s">
        <v>164</v>
      </c>
    </row>
    <row r="1142" spans="1:16" hidden="1" x14ac:dyDescent="0.15">
      <c r="A1142" s="286">
        <v>241519</v>
      </c>
      <c r="B1142" s="288">
        <v>45076.732638888891</v>
      </c>
      <c r="C1142" s="286" t="s">
        <v>1665</v>
      </c>
      <c r="D1142" s="286" t="s">
        <v>1309</v>
      </c>
      <c r="E1142" s="286" t="s">
        <v>1310</v>
      </c>
      <c r="F1142" s="286" t="s">
        <v>1891</v>
      </c>
      <c r="G1142" s="286" t="s">
        <v>1006</v>
      </c>
      <c r="H1142" s="286" t="s">
        <v>1006</v>
      </c>
      <c r="I1142" s="286" t="s">
        <v>1129</v>
      </c>
      <c r="J1142" s="286" t="s">
        <v>1312</v>
      </c>
      <c r="K1142" s="286" t="s">
        <v>1861</v>
      </c>
      <c r="L1142" s="286" t="s">
        <v>1862</v>
      </c>
      <c r="M1142" s="286">
        <v>2</v>
      </c>
      <c r="N1142" s="287">
        <v>107.66</v>
      </c>
      <c r="O1142" s="287"/>
      <c r="P1142" s="286" t="s">
        <v>164</v>
      </c>
    </row>
    <row r="1143" spans="1:16" hidden="1" x14ac:dyDescent="0.15">
      <c r="A1143" s="286">
        <v>430974</v>
      </c>
      <c r="B1143" s="288">
        <v>45274.409722222219</v>
      </c>
      <c r="C1143" s="286" t="s">
        <v>1632</v>
      </c>
      <c r="D1143" s="286" t="s">
        <v>1105</v>
      </c>
      <c r="E1143" s="286" t="s">
        <v>1106</v>
      </c>
      <c r="F1143" s="286" t="s">
        <v>1825</v>
      </c>
      <c r="G1143" s="286" t="s">
        <v>1831</v>
      </c>
      <c r="H1143" s="286" t="s">
        <v>1831</v>
      </c>
      <c r="I1143" s="286" t="s">
        <v>1129</v>
      </c>
      <c r="J1143" s="286" t="s">
        <v>1312</v>
      </c>
      <c r="K1143" s="286" t="s">
        <v>1904</v>
      </c>
      <c r="L1143" s="286" t="s">
        <v>1905</v>
      </c>
      <c r="M1143" s="286">
        <v>3</v>
      </c>
      <c r="N1143" s="287">
        <v>106.8</v>
      </c>
      <c r="O1143" s="287"/>
      <c r="P1143" s="286" t="s">
        <v>164</v>
      </c>
    </row>
    <row r="1144" spans="1:16" hidden="1" x14ac:dyDescent="0.15">
      <c r="A1144" s="286">
        <v>455146</v>
      </c>
      <c r="B1144" s="288">
        <v>45310.510416666664</v>
      </c>
      <c r="C1144" s="286" t="s">
        <v>1632</v>
      </c>
      <c r="D1144" s="286" t="s">
        <v>1105</v>
      </c>
      <c r="E1144" s="286" t="s">
        <v>1106</v>
      </c>
      <c r="F1144" s="286" t="s">
        <v>1725</v>
      </c>
      <c r="G1144" s="286" t="s">
        <v>1080</v>
      </c>
      <c r="H1144" s="286" t="s">
        <v>1080</v>
      </c>
      <c r="I1144" s="286" t="s">
        <v>1228</v>
      </c>
      <c r="J1144" s="286" t="s">
        <v>1312</v>
      </c>
      <c r="K1144" s="286" t="s">
        <v>1770</v>
      </c>
      <c r="L1144" s="286" t="s">
        <v>53</v>
      </c>
      <c r="M1144" s="286">
        <v>1</v>
      </c>
      <c r="N1144" s="287">
        <v>105.86</v>
      </c>
      <c r="O1144" s="287"/>
      <c r="P1144" s="286" t="s">
        <v>58</v>
      </c>
    </row>
    <row r="1145" spans="1:16" hidden="1" x14ac:dyDescent="0.15">
      <c r="A1145" s="286">
        <v>278788</v>
      </c>
      <c r="B1145" s="288">
        <v>45118.57708333333</v>
      </c>
      <c r="C1145" s="286" t="s">
        <v>1649</v>
      </c>
      <c r="D1145" s="286" t="s">
        <v>1105</v>
      </c>
      <c r="E1145" s="286" t="s">
        <v>1106</v>
      </c>
      <c r="F1145" s="286" t="s">
        <v>1712</v>
      </c>
      <c r="G1145" s="286" t="s">
        <v>1084</v>
      </c>
      <c r="H1145" s="286" t="s">
        <v>1442</v>
      </c>
      <c r="I1145" s="286" t="s">
        <v>1228</v>
      </c>
      <c r="J1145" s="286" t="s">
        <v>53</v>
      </c>
      <c r="K1145" s="286" t="s">
        <v>53</v>
      </c>
      <c r="L1145" s="286" t="s">
        <v>53</v>
      </c>
      <c r="M1145" s="286" t="s">
        <v>53</v>
      </c>
      <c r="N1145" s="287">
        <v>104.06</v>
      </c>
      <c r="O1145" s="287"/>
      <c r="P1145" s="286" t="s">
        <v>58</v>
      </c>
    </row>
    <row r="1146" spans="1:16" hidden="1" x14ac:dyDescent="0.15">
      <c r="A1146" s="286">
        <v>239064</v>
      </c>
      <c r="B1146" s="288">
        <v>45071.767361111109</v>
      </c>
      <c r="C1146" s="286" t="s">
        <v>1665</v>
      </c>
      <c r="D1146" s="286" t="s">
        <v>1309</v>
      </c>
      <c r="E1146" s="286" t="s">
        <v>1310</v>
      </c>
      <c r="F1146" s="286" t="s">
        <v>1906</v>
      </c>
      <c r="G1146" s="286" t="s">
        <v>1907</v>
      </c>
      <c r="H1146" s="286" t="s">
        <v>1907</v>
      </c>
      <c r="I1146" s="286" t="s">
        <v>1129</v>
      </c>
      <c r="J1146" s="286" t="s">
        <v>1312</v>
      </c>
      <c r="K1146" s="286" t="s">
        <v>167</v>
      </c>
      <c r="L1146" s="286" t="s">
        <v>1328</v>
      </c>
      <c r="M1146" s="286">
        <v>1</v>
      </c>
      <c r="N1146" s="287">
        <v>101.18</v>
      </c>
      <c r="O1146" s="287"/>
      <c r="P1146" s="286" t="s">
        <v>164</v>
      </c>
    </row>
    <row r="1147" spans="1:16" hidden="1" x14ac:dyDescent="0.15">
      <c r="A1147" s="286">
        <v>264374</v>
      </c>
      <c r="B1147" s="288">
        <v>45103.729166666664</v>
      </c>
      <c r="C1147" s="286" t="s">
        <v>1649</v>
      </c>
      <c r="D1147" s="286" t="s">
        <v>1309</v>
      </c>
      <c r="E1147" s="286" t="s">
        <v>1310</v>
      </c>
      <c r="F1147" s="286" t="s">
        <v>1908</v>
      </c>
      <c r="G1147" s="286" t="s">
        <v>1003</v>
      </c>
      <c r="H1147" s="286" t="s">
        <v>1003</v>
      </c>
      <c r="I1147" s="286" t="s">
        <v>1129</v>
      </c>
      <c r="J1147" s="286" t="s">
        <v>1312</v>
      </c>
      <c r="K1147" s="286" t="s">
        <v>167</v>
      </c>
      <c r="L1147" s="286" t="s">
        <v>1328</v>
      </c>
      <c r="M1147" s="286">
        <v>1</v>
      </c>
      <c r="N1147" s="287">
        <v>101.18</v>
      </c>
      <c r="O1147" s="287"/>
      <c r="P1147" s="286" t="s">
        <v>164</v>
      </c>
    </row>
    <row r="1148" spans="1:16" hidden="1" x14ac:dyDescent="0.15">
      <c r="A1148" s="286">
        <v>284271</v>
      </c>
      <c r="B1148" s="288">
        <v>45121.682638888888</v>
      </c>
      <c r="C1148" s="286" t="s">
        <v>1636</v>
      </c>
      <c r="D1148" s="286" t="s">
        <v>1105</v>
      </c>
      <c r="E1148" s="286" t="s">
        <v>1106</v>
      </c>
      <c r="F1148" s="286" t="s">
        <v>1713</v>
      </c>
      <c r="G1148" s="286" t="s">
        <v>1909</v>
      </c>
      <c r="H1148" s="286" t="s">
        <v>1909</v>
      </c>
      <c r="I1148" s="286" t="s">
        <v>1129</v>
      </c>
      <c r="J1148" s="286" t="s">
        <v>1312</v>
      </c>
      <c r="K1148" s="286" t="s">
        <v>167</v>
      </c>
      <c r="L1148" s="286" t="s">
        <v>1328</v>
      </c>
      <c r="M1148" s="286">
        <v>1</v>
      </c>
      <c r="N1148" s="287">
        <v>101.18</v>
      </c>
      <c r="O1148" s="287"/>
      <c r="P1148" s="286" t="s">
        <v>164</v>
      </c>
    </row>
    <row r="1149" spans="1:16" hidden="1" x14ac:dyDescent="0.15">
      <c r="A1149" s="286">
        <v>423657</v>
      </c>
      <c r="B1149" s="288">
        <v>45266.464583333334</v>
      </c>
      <c r="C1149" s="286" t="s">
        <v>1632</v>
      </c>
      <c r="D1149" s="286" t="s">
        <v>1105</v>
      </c>
      <c r="E1149" s="286" t="s">
        <v>1106</v>
      </c>
      <c r="F1149" s="286" t="s">
        <v>1897</v>
      </c>
      <c r="G1149" s="286" t="s">
        <v>1898</v>
      </c>
      <c r="H1149" s="286" t="s">
        <v>1898</v>
      </c>
      <c r="I1149" s="286" t="s">
        <v>1129</v>
      </c>
      <c r="J1149" s="286" t="s">
        <v>1312</v>
      </c>
      <c r="K1149" s="286" t="s">
        <v>165</v>
      </c>
      <c r="L1149" s="286" t="s">
        <v>1329</v>
      </c>
      <c r="M1149" s="286">
        <v>1</v>
      </c>
      <c r="N1149" s="287">
        <v>98.75</v>
      </c>
      <c r="O1149" s="287"/>
      <c r="P1149" s="286" t="s">
        <v>164</v>
      </c>
    </row>
    <row r="1150" spans="1:16" hidden="1" x14ac:dyDescent="0.15">
      <c r="A1150" s="286">
        <v>241519</v>
      </c>
      <c r="B1150" s="288">
        <v>45076.732638888891</v>
      </c>
      <c r="C1150" s="286" t="s">
        <v>1665</v>
      </c>
      <c r="D1150" s="286" t="s">
        <v>1309</v>
      </c>
      <c r="E1150" s="286" t="s">
        <v>1310</v>
      </c>
      <c r="F1150" s="286" t="s">
        <v>1891</v>
      </c>
      <c r="G1150" s="286" t="s">
        <v>1006</v>
      </c>
      <c r="H1150" s="286" t="s">
        <v>1006</v>
      </c>
      <c r="I1150" s="286" t="s">
        <v>1129</v>
      </c>
      <c r="J1150" s="286" t="s">
        <v>1312</v>
      </c>
      <c r="K1150" s="286" t="s">
        <v>526</v>
      </c>
      <c r="L1150" s="286" t="s">
        <v>1360</v>
      </c>
      <c r="M1150" s="286">
        <v>20</v>
      </c>
      <c r="N1150" s="287">
        <v>97.8</v>
      </c>
      <c r="O1150" s="287"/>
      <c r="P1150" s="286" t="s">
        <v>164</v>
      </c>
    </row>
    <row r="1151" spans="1:16" hidden="1" x14ac:dyDescent="0.15">
      <c r="A1151" s="286">
        <v>155506</v>
      </c>
      <c r="B1151" s="288">
        <v>44967.934027777781</v>
      </c>
      <c r="C1151" s="286" t="s">
        <v>1638</v>
      </c>
      <c r="D1151" s="286" t="s">
        <v>1309</v>
      </c>
      <c r="E1151" s="286" t="s">
        <v>1310</v>
      </c>
      <c r="F1151" s="286" t="s">
        <v>1910</v>
      </c>
      <c r="G1151" s="286" t="s">
        <v>1911</v>
      </c>
      <c r="H1151" s="286" t="s">
        <v>1911</v>
      </c>
      <c r="I1151" s="286" t="s">
        <v>1129</v>
      </c>
      <c r="J1151" s="286" t="s">
        <v>1312</v>
      </c>
      <c r="K1151" s="286" t="s">
        <v>167</v>
      </c>
      <c r="L1151" s="286" t="s">
        <v>1328</v>
      </c>
      <c r="M1151" s="286">
        <v>1</v>
      </c>
      <c r="N1151" s="287">
        <v>92.5</v>
      </c>
      <c r="O1151" s="287"/>
      <c r="P1151" s="286" t="s">
        <v>164</v>
      </c>
    </row>
    <row r="1152" spans="1:16" hidden="1" x14ac:dyDescent="0.15">
      <c r="A1152" s="286">
        <v>303342</v>
      </c>
      <c r="B1152" s="288">
        <v>45139.736805555556</v>
      </c>
      <c r="C1152" s="286" t="s">
        <v>1636</v>
      </c>
      <c r="D1152" s="286" t="s">
        <v>1105</v>
      </c>
      <c r="E1152" s="286" t="s">
        <v>1106</v>
      </c>
      <c r="F1152" s="286" t="s">
        <v>1912</v>
      </c>
      <c r="G1152" s="286" t="s">
        <v>1913</v>
      </c>
      <c r="H1152" s="286" t="s">
        <v>1913</v>
      </c>
      <c r="I1152" s="286" t="s">
        <v>1129</v>
      </c>
      <c r="J1152" s="286" t="s">
        <v>1312</v>
      </c>
      <c r="K1152" s="286" t="s">
        <v>1914</v>
      </c>
      <c r="L1152" s="286" t="s">
        <v>1915</v>
      </c>
      <c r="M1152" s="286">
        <v>4</v>
      </c>
      <c r="N1152" s="287">
        <v>90.04</v>
      </c>
      <c r="O1152" s="287"/>
      <c r="P1152" s="286" t="s">
        <v>164</v>
      </c>
    </row>
    <row r="1153" spans="1:16" hidden="1" x14ac:dyDescent="0.15">
      <c r="A1153" s="286">
        <v>433764</v>
      </c>
      <c r="B1153" s="288">
        <v>45278.734722222223</v>
      </c>
      <c r="C1153" s="286" t="s">
        <v>1632</v>
      </c>
      <c r="D1153" s="286" t="s">
        <v>1105</v>
      </c>
      <c r="E1153" s="286" t="s">
        <v>1106</v>
      </c>
      <c r="F1153" s="286" t="s">
        <v>1801</v>
      </c>
      <c r="G1153" s="286" t="s">
        <v>1011</v>
      </c>
      <c r="H1153" s="286" t="s">
        <v>1011</v>
      </c>
      <c r="I1153" s="286" t="s">
        <v>1129</v>
      </c>
      <c r="J1153" s="286" t="s">
        <v>1312</v>
      </c>
      <c r="K1153" s="286" t="s">
        <v>528</v>
      </c>
      <c r="L1153" s="286" t="s">
        <v>529</v>
      </c>
      <c r="M1153" s="286">
        <v>24</v>
      </c>
      <c r="N1153" s="287">
        <v>86.4</v>
      </c>
      <c r="O1153" s="287"/>
      <c r="P1153" s="286" t="s">
        <v>164</v>
      </c>
    </row>
    <row r="1154" spans="1:16" hidden="1" x14ac:dyDescent="0.15">
      <c r="A1154" s="286">
        <v>433764</v>
      </c>
      <c r="B1154" s="288">
        <v>45278.734722222223</v>
      </c>
      <c r="C1154" s="286" t="s">
        <v>1632</v>
      </c>
      <c r="D1154" s="286" t="s">
        <v>1105</v>
      </c>
      <c r="E1154" s="286" t="s">
        <v>1106</v>
      </c>
      <c r="F1154" s="286" t="s">
        <v>1801</v>
      </c>
      <c r="G1154" s="286" t="s">
        <v>1011</v>
      </c>
      <c r="H1154" s="286" t="s">
        <v>1011</v>
      </c>
      <c r="I1154" s="286" t="s">
        <v>1129</v>
      </c>
      <c r="J1154" s="286" t="s">
        <v>1312</v>
      </c>
      <c r="K1154" s="286" t="s">
        <v>526</v>
      </c>
      <c r="L1154" s="286" t="s">
        <v>1360</v>
      </c>
      <c r="M1154" s="286">
        <v>24</v>
      </c>
      <c r="N1154" s="287">
        <v>85.44</v>
      </c>
      <c r="O1154" s="287"/>
      <c r="P1154" s="286" t="s">
        <v>164</v>
      </c>
    </row>
    <row r="1155" spans="1:16" hidden="1" x14ac:dyDescent="0.15">
      <c r="A1155" s="286">
        <v>155506</v>
      </c>
      <c r="B1155" s="288">
        <v>44967.934027777781</v>
      </c>
      <c r="C1155" s="286" t="s">
        <v>1638</v>
      </c>
      <c r="D1155" s="286" t="s">
        <v>1309</v>
      </c>
      <c r="E1155" s="286" t="s">
        <v>1310</v>
      </c>
      <c r="F1155" s="286" t="s">
        <v>1910</v>
      </c>
      <c r="G1155" s="286" t="s">
        <v>1911</v>
      </c>
      <c r="H1155" s="286" t="s">
        <v>1911</v>
      </c>
      <c r="I1155" s="286" t="s">
        <v>1129</v>
      </c>
      <c r="J1155" s="286" t="s">
        <v>1312</v>
      </c>
      <c r="K1155" s="286" t="s">
        <v>165</v>
      </c>
      <c r="L1155" s="286" t="s">
        <v>1329</v>
      </c>
      <c r="M1155" s="286">
        <v>1</v>
      </c>
      <c r="N1155" s="287">
        <v>85.25</v>
      </c>
      <c r="O1155" s="287"/>
      <c r="P1155" s="286" t="s">
        <v>164</v>
      </c>
    </row>
    <row r="1156" spans="1:16" hidden="1" x14ac:dyDescent="0.15">
      <c r="A1156" s="286">
        <v>239064</v>
      </c>
      <c r="B1156" s="288">
        <v>45071.767361111109</v>
      </c>
      <c r="C1156" s="286" t="s">
        <v>1665</v>
      </c>
      <c r="D1156" s="286" t="s">
        <v>1309</v>
      </c>
      <c r="E1156" s="286" t="s">
        <v>1310</v>
      </c>
      <c r="F1156" s="286" t="s">
        <v>1906</v>
      </c>
      <c r="G1156" s="286" t="s">
        <v>1907</v>
      </c>
      <c r="H1156" s="286" t="s">
        <v>1907</v>
      </c>
      <c r="I1156" s="286" t="s">
        <v>1129</v>
      </c>
      <c r="J1156" s="286" t="s">
        <v>1312</v>
      </c>
      <c r="K1156" s="286" t="s">
        <v>165</v>
      </c>
      <c r="L1156" s="286" t="s">
        <v>1329</v>
      </c>
      <c r="M1156" s="286">
        <v>1</v>
      </c>
      <c r="N1156" s="287">
        <v>85.25</v>
      </c>
      <c r="O1156" s="287"/>
      <c r="P1156" s="286" t="s">
        <v>164</v>
      </c>
    </row>
    <row r="1157" spans="1:16" hidden="1" x14ac:dyDescent="0.15">
      <c r="A1157" s="286">
        <v>264374</v>
      </c>
      <c r="B1157" s="288">
        <v>45103.729166666664</v>
      </c>
      <c r="C1157" s="286" t="s">
        <v>1649</v>
      </c>
      <c r="D1157" s="286" t="s">
        <v>1309</v>
      </c>
      <c r="E1157" s="286" t="s">
        <v>1310</v>
      </c>
      <c r="F1157" s="286" t="s">
        <v>1908</v>
      </c>
      <c r="G1157" s="286" t="s">
        <v>1003</v>
      </c>
      <c r="H1157" s="286" t="s">
        <v>1003</v>
      </c>
      <c r="I1157" s="286" t="s">
        <v>1129</v>
      </c>
      <c r="J1157" s="286" t="s">
        <v>1312</v>
      </c>
      <c r="K1157" s="286" t="s">
        <v>165</v>
      </c>
      <c r="L1157" s="286" t="s">
        <v>1329</v>
      </c>
      <c r="M1157" s="286">
        <v>1</v>
      </c>
      <c r="N1157" s="287">
        <v>85.25</v>
      </c>
      <c r="O1157" s="287"/>
      <c r="P1157" s="286" t="s">
        <v>164</v>
      </c>
    </row>
    <row r="1158" spans="1:16" hidden="1" x14ac:dyDescent="0.15">
      <c r="A1158" s="286">
        <v>284271</v>
      </c>
      <c r="B1158" s="288">
        <v>45121.682638888888</v>
      </c>
      <c r="C1158" s="286" t="s">
        <v>1636</v>
      </c>
      <c r="D1158" s="286" t="s">
        <v>1105</v>
      </c>
      <c r="E1158" s="286" t="s">
        <v>1106</v>
      </c>
      <c r="F1158" s="286" t="s">
        <v>1713</v>
      </c>
      <c r="G1158" s="286" t="s">
        <v>1909</v>
      </c>
      <c r="H1158" s="286" t="s">
        <v>1909</v>
      </c>
      <c r="I1158" s="286" t="s">
        <v>1129</v>
      </c>
      <c r="J1158" s="286" t="s">
        <v>1312</v>
      </c>
      <c r="K1158" s="286" t="s">
        <v>165</v>
      </c>
      <c r="L1158" s="286" t="s">
        <v>1329</v>
      </c>
      <c r="M1158" s="286">
        <v>1</v>
      </c>
      <c r="N1158" s="287">
        <v>85.25</v>
      </c>
      <c r="O1158" s="287"/>
      <c r="P1158" s="286" t="s">
        <v>164</v>
      </c>
    </row>
    <row r="1159" spans="1:16" hidden="1" x14ac:dyDescent="0.15">
      <c r="A1159" s="286">
        <v>433764</v>
      </c>
      <c r="B1159" s="288">
        <v>45278.734722222223</v>
      </c>
      <c r="C1159" s="286" t="s">
        <v>1632</v>
      </c>
      <c r="D1159" s="286" t="s">
        <v>1105</v>
      </c>
      <c r="E1159" s="286" t="s">
        <v>1106</v>
      </c>
      <c r="F1159" s="286" t="s">
        <v>1801</v>
      </c>
      <c r="G1159" s="286" t="s">
        <v>1011</v>
      </c>
      <c r="H1159" s="286" t="s">
        <v>1011</v>
      </c>
      <c r="I1159" s="286" t="s">
        <v>1129</v>
      </c>
      <c r="J1159" s="286" t="s">
        <v>1312</v>
      </c>
      <c r="K1159" s="286" t="s">
        <v>524</v>
      </c>
      <c r="L1159" s="286" t="s">
        <v>1346</v>
      </c>
      <c r="M1159" s="286">
        <v>24</v>
      </c>
      <c r="N1159" s="287">
        <v>83.04</v>
      </c>
      <c r="O1159" s="287"/>
      <c r="P1159" s="286" t="s">
        <v>164</v>
      </c>
    </row>
    <row r="1160" spans="1:16" hidden="1" x14ac:dyDescent="0.15">
      <c r="A1160" s="286">
        <v>433764</v>
      </c>
      <c r="B1160" s="288">
        <v>45278.734722222223</v>
      </c>
      <c r="C1160" s="286" t="s">
        <v>1632</v>
      </c>
      <c r="D1160" s="286" t="s">
        <v>1105</v>
      </c>
      <c r="E1160" s="286" t="s">
        <v>1106</v>
      </c>
      <c r="F1160" s="286" t="s">
        <v>1801</v>
      </c>
      <c r="G1160" s="286" t="s">
        <v>1011</v>
      </c>
      <c r="H1160" s="286" t="s">
        <v>1011</v>
      </c>
      <c r="I1160" s="286" t="s">
        <v>1129</v>
      </c>
      <c r="J1160" s="286" t="s">
        <v>1312</v>
      </c>
      <c r="K1160" s="286" t="s">
        <v>530</v>
      </c>
      <c r="L1160" s="286" t="s">
        <v>531</v>
      </c>
      <c r="M1160" s="286">
        <v>24</v>
      </c>
      <c r="N1160" s="287">
        <v>81.12</v>
      </c>
      <c r="O1160" s="287"/>
      <c r="P1160" s="286" t="s">
        <v>164</v>
      </c>
    </row>
    <row r="1161" spans="1:16" hidden="1" x14ac:dyDescent="0.15">
      <c r="A1161" s="286">
        <v>241619</v>
      </c>
      <c r="B1161" s="288">
        <v>45076.734027777777</v>
      </c>
      <c r="C1161" s="286" t="s">
        <v>1665</v>
      </c>
      <c r="D1161" s="286" t="s">
        <v>1309</v>
      </c>
      <c r="E1161" s="286" t="s">
        <v>1310</v>
      </c>
      <c r="F1161" s="286" t="s">
        <v>1916</v>
      </c>
      <c r="G1161" s="286" t="s">
        <v>1917</v>
      </c>
      <c r="H1161" s="286" t="s">
        <v>1917</v>
      </c>
      <c r="I1161" s="286" t="s">
        <v>1129</v>
      </c>
      <c r="J1161" s="286" t="s">
        <v>1350</v>
      </c>
      <c r="K1161" s="286" t="s">
        <v>1918</v>
      </c>
      <c r="L1161" s="286" t="s">
        <v>1919</v>
      </c>
      <c r="M1161" s="286">
        <v>4</v>
      </c>
      <c r="N1161" s="287">
        <v>80.16</v>
      </c>
      <c r="O1161" s="287"/>
      <c r="P1161" s="286" t="s">
        <v>164</v>
      </c>
    </row>
    <row r="1162" spans="1:16" hidden="1" x14ac:dyDescent="0.15">
      <c r="A1162" s="286">
        <v>241619</v>
      </c>
      <c r="B1162" s="288">
        <v>45076.734027777777</v>
      </c>
      <c r="C1162" s="286" t="s">
        <v>1665</v>
      </c>
      <c r="D1162" s="286" t="s">
        <v>1309</v>
      </c>
      <c r="E1162" s="286" t="s">
        <v>1310</v>
      </c>
      <c r="F1162" s="286" t="s">
        <v>1916</v>
      </c>
      <c r="G1162" s="286" t="s">
        <v>1917</v>
      </c>
      <c r="H1162" s="286" t="s">
        <v>1917</v>
      </c>
      <c r="I1162" s="286" t="s">
        <v>1129</v>
      </c>
      <c r="J1162" s="286" t="s">
        <v>1350</v>
      </c>
      <c r="K1162" s="286" t="s">
        <v>1918</v>
      </c>
      <c r="L1162" s="286" t="s">
        <v>1919</v>
      </c>
      <c r="M1162" s="286">
        <v>4</v>
      </c>
      <c r="N1162" s="287">
        <v>80.16</v>
      </c>
      <c r="O1162" s="287"/>
      <c r="P1162" s="286" t="s">
        <v>164</v>
      </c>
    </row>
    <row r="1163" spans="1:16" hidden="1" x14ac:dyDescent="0.15">
      <c r="A1163" s="286">
        <v>241619</v>
      </c>
      <c r="B1163" s="288">
        <v>45076.734027777777</v>
      </c>
      <c r="C1163" s="286" t="s">
        <v>1665</v>
      </c>
      <c r="D1163" s="286" t="s">
        <v>1309</v>
      </c>
      <c r="E1163" s="286" t="s">
        <v>1310</v>
      </c>
      <c r="F1163" s="286" t="s">
        <v>1916</v>
      </c>
      <c r="G1163" s="286" t="s">
        <v>1917</v>
      </c>
      <c r="H1163" s="286" t="s">
        <v>1917</v>
      </c>
      <c r="I1163" s="286" t="s">
        <v>1129</v>
      </c>
      <c r="J1163" s="286" t="s">
        <v>1312</v>
      </c>
      <c r="K1163" s="286" t="s">
        <v>1920</v>
      </c>
      <c r="L1163" s="286" t="s">
        <v>1921</v>
      </c>
      <c r="M1163" s="286">
        <v>4</v>
      </c>
      <c r="N1163" s="287">
        <v>78.319999999999993</v>
      </c>
      <c r="O1163" s="287"/>
      <c r="P1163" s="286" t="s">
        <v>164</v>
      </c>
    </row>
    <row r="1164" spans="1:16" hidden="1" x14ac:dyDescent="0.15">
      <c r="A1164" s="286">
        <v>241619</v>
      </c>
      <c r="B1164" s="288">
        <v>45076.734027777777</v>
      </c>
      <c r="C1164" s="286" t="s">
        <v>1665</v>
      </c>
      <c r="D1164" s="286" t="s">
        <v>1309</v>
      </c>
      <c r="E1164" s="286" t="s">
        <v>1310</v>
      </c>
      <c r="F1164" s="286" t="s">
        <v>1916</v>
      </c>
      <c r="G1164" s="286" t="s">
        <v>1917</v>
      </c>
      <c r="H1164" s="286" t="s">
        <v>1917</v>
      </c>
      <c r="I1164" s="286" t="s">
        <v>1129</v>
      </c>
      <c r="J1164" s="286" t="s">
        <v>1312</v>
      </c>
      <c r="K1164" s="286" t="s">
        <v>1920</v>
      </c>
      <c r="L1164" s="286" t="s">
        <v>1921</v>
      </c>
      <c r="M1164" s="286">
        <v>4</v>
      </c>
      <c r="N1164" s="287">
        <v>78.319999999999993</v>
      </c>
      <c r="O1164" s="287"/>
      <c r="P1164" s="286" t="s">
        <v>164</v>
      </c>
    </row>
    <row r="1165" spans="1:16" hidden="1" x14ac:dyDescent="0.15">
      <c r="A1165" s="286">
        <v>379134</v>
      </c>
      <c r="B1165" s="288">
        <v>45218.479166666664</v>
      </c>
      <c r="C1165" s="286" t="s">
        <v>1642</v>
      </c>
      <c r="D1165" s="286" t="s">
        <v>1105</v>
      </c>
      <c r="E1165" s="286" t="s">
        <v>1106</v>
      </c>
      <c r="F1165" s="286" t="s">
        <v>1726</v>
      </c>
      <c r="G1165" s="286" t="s">
        <v>1056</v>
      </c>
      <c r="H1165" s="286" t="s">
        <v>1056</v>
      </c>
      <c r="I1165" s="286" t="s">
        <v>1129</v>
      </c>
      <c r="J1165" s="286" t="s">
        <v>1312</v>
      </c>
      <c r="K1165" s="286" t="s">
        <v>1922</v>
      </c>
      <c r="L1165" s="286" t="s">
        <v>1923</v>
      </c>
      <c r="M1165" s="286">
        <v>1</v>
      </c>
      <c r="N1165" s="287">
        <v>78.099999999999994</v>
      </c>
      <c r="O1165" s="287"/>
      <c r="P1165" s="286" t="s">
        <v>164</v>
      </c>
    </row>
    <row r="1166" spans="1:16" hidden="1" x14ac:dyDescent="0.15">
      <c r="A1166" s="286">
        <v>407061</v>
      </c>
      <c r="B1166" s="288">
        <v>45246.459722222222</v>
      </c>
      <c r="C1166" s="286" t="s">
        <v>1654</v>
      </c>
      <c r="D1166" s="286" t="s">
        <v>1105</v>
      </c>
      <c r="E1166" s="286" t="s">
        <v>1106</v>
      </c>
      <c r="F1166" s="286" t="s">
        <v>1848</v>
      </c>
      <c r="G1166" s="286" t="s">
        <v>1048</v>
      </c>
      <c r="H1166" s="286" t="s">
        <v>1048</v>
      </c>
      <c r="I1166" s="286" t="s">
        <v>1129</v>
      </c>
      <c r="J1166" s="286" t="s">
        <v>1312</v>
      </c>
      <c r="K1166" s="286" t="s">
        <v>1924</v>
      </c>
      <c r="L1166" s="286" t="s">
        <v>1925</v>
      </c>
      <c r="M1166" s="286">
        <v>2</v>
      </c>
      <c r="N1166" s="287">
        <v>76.34</v>
      </c>
      <c r="O1166" s="287"/>
      <c r="P1166" s="286" t="s">
        <v>164</v>
      </c>
    </row>
    <row r="1167" spans="1:16" hidden="1" x14ac:dyDescent="0.15">
      <c r="A1167" s="286">
        <v>214173</v>
      </c>
      <c r="B1167" s="288">
        <v>45042.720138888886</v>
      </c>
      <c r="C1167" s="286" t="s">
        <v>1657</v>
      </c>
      <c r="D1167" s="286" t="s">
        <v>1309</v>
      </c>
      <c r="E1167" s="286" t="s">
        <v>1310</v>
      </c>
      <c r="F1167" s="286" t="s">
        <v>1903</v>
      </c>
      <c r="G1167" s="286" t="s">
        <v>1013</v>
      </c>
      <c r="H1167" s="286" t="s">
        <v>1013</v>
      </c>
      <c r="I1167" s="286" t="s">
        <v>1129</v>
      </c>
      <c r="J1167" s="286" t="s">
        <v>1312</v>
      </c>
      <c r="K1167" s="286" t="s">
        <v>530</v>
      </c>
      <c r="L1167" s="286" t="s">
        <v>531</v>
      </c>
      <c r="M1167" s="286">
        <v>20</v>
      </c>
      <c r="N1167" s="287">
        <v>75</v>
      </c>
      <c r="O1167" s="287"/>
      <c r="P1167" s="286" t="s">
        <v>164</v>
      </c>
    </row>
    <row r="1168" spans="1:16" hidden="1" x14ac:dyDescent="0.15">
      <c r="A1168" s="286">
        <v>407061</v>
      </c>
      <c r="B1168" s="288">
        <v>45246.459722222222</v>
      </c>
      <c r="C1168" s="286" t="s">
        <v>1654</v>
      </c>
      <c r="D1168" s="286" t="s">
        <v>1105</v>
      </c>
      <c r="E1168" s="286" t="s">
        <v>1106</v>
      </c>
      <c r="F1168" s="286" t="s">
        <v>1848</v>
      </c>
      <c r="G1168" s="286" t="s">
        <v>1048</v>
      </c>
      <c r="H1168" s="286" t="s">
        <v>1048</v>
      </c>
      <c r="I1168" s="286" t="s">
        <v>1129</v>
      </c>
      <c r="J1168" s="286" t="s">
        <v>1312</v>
      </c>
      <c r="K1168" s="286" t="s">
        <v>1926</v>
      </c>
      <c r="L1168" s="286" t="s">
        <v>1927</v>
      </c>
      <c r="M1168" s="286">
        <v>2</v>
      </c>
      <c r="N1168" s="287">
        <v>74.06</v>
      </c>
      <c r="O1168" s="287"/>
      <c r="P1168" s="286" t="s">
        <v>164</v>
      </c>
    </row>
    <row r="1169" spans="1:16" hidden="1" x14ac:dyDescent="0.15">
      <c r="A1169" s="286">
        <v>433764</v>
      </c>
      <c r="B1169" s="288">
        <v>45278.734722222223</v>
      </c>
      <c r="C1169" s="286" t="s">
        <v>1632</v>
      </c>
      <c r="D1169" s="286" t="s">
        <v>1105</v>
      </c>
      <c r="E1169" s="286" t="s">
        <v>1106</v>
      </c>
      <c r="F1169" s="286" t="s">
        <v>1801</v>
      </c>
      <c r="G1169" s="286" t="s">
        <v>1047</v>
      </c>
      <c r="H1169" s="286" t="s">
        <v>1047</v>
      </c>
      <c r="I1169" s="286" t="s">
        <v>1129</v>
      </c>
      <c r="J1169" s="286" t="s">
        <v>1312</v>
      </c>
      <c r="K1169" s="286" t="s">
        <v>726</v>
      </c>
      <c r="L1169" s="286" t="s">
        <v>751</v>
      </c>
      <c r="M1169" s="286">
        <v>7</v>
      </c>
      <c r="N1169" s="287">
        <v>70</v>
      </c>
      <c r="O1169" s="287"/>
      <c r="P1169" s="286" t="s">
        <v>164</v>
      </c>
    </row>
    <row r="1170" spans="1:16" hidden="1" x14ac:dyDescent="0.15">
      <c r="A1170" s="286">
        <v>407061</v>
      </c>
      <c r="B1170" s="288">
        <v>45246.459722222222</v>
      </c>
      <c r="C1170" s="286" t="s">
        <v>1654</v>
      </c>
      <c r="D1170" s="286" t="s">
        <v>1105</v>
      </c>
      <c r="E1170" s="286" t="s">
        <v>1106</v>
      </c>
      <c r="F1170" s="286" t="s">
        <v>1848</v>
      </c>
      <c r="G1170" s="286" t="s">
        <v>1048</v>
      </c>
      <c r="H1170" s="286" t="s">
        <v>1048</v>
      </c>
      <c r="I1170" s="286" t="s">
        <v>1129</v>
      </c>
      <c r="J1170" s="286" t="s">
        <v>1312</v>
      </c>
      <c r="K1170" s="286" t="s">
        <v>1928</v>
      </c>
      <c r="L1170" s="286" t="s">
        <v>1929</v>
      </c>
      <c r="M1170" s="286">
        <v>2</v>
      </c>
      <c r="N1170" s="287">
        <v>68.58</v>
      </c>
      <c r="O1170" s="287"/>
      <c r="P1170" s="286" t="s">
        <v>164</v>
      </c>
    </row>
    <row r="1171" spans="1:16" hidden="1" x14ac:dyDescent="0.15">
      <c r="A1171" s="286">
        <v>135760</v>
      </c>
      <c r="B1171" s="288">
        <v>44939.620833333334</v>
      </c>
      <c r="C1171" s="286" t="s">
        <v>1640</v>
      </c>
      <c r="D1171" s="286" t="s">
        <v>1309</v>
      </c>
      <c r="E1171" s="286" t="s">
        <v>1310</v>
      </c>
      <c r="F1171" s="286" t="s">
        <v>1894</v>
      </c>
      <c r="G1171" s="286" t="s">
        <v>1085</v>
      </c>
      <c r="H1171" s="286" t="s">
        <v>1085</v>
      </c>
      <c r="I1171" s="286" t="s">
        <v>1129</v>
      </c>
      <c r="J1171" s="286" t="s">
        <v>1312</v>
      </c>
      <c r="K1171" s="286" t="s">
        <v>1313</v>
      </c>
      <c r="L1171" s="286" t="s">
        <v>1314</v>
      </c>
      <c r="M1171" s="286">
        <v>2</v>
      </c>
      <c r="N1171" s="287">
        <v>67.819999999999993</v>
      </c>
      <c r="O1171" s="287"/>
      <c r="P1171" s="286" t="s">
        <v>164</v>
      </c>
    </row>
    <row r="1172" spans="1:16" hidden="1" x14ac:dyDescent="0.15">
      <c r="A1172" s="286">
        <v>328287</v>
      </c>
      <c r="B1172" s="288">
        <v>45161.62777777778</v>
      </c>
      <c r="C1172" s="286" t="s">
        <v>1691</v>
      </c>
      <c r="D1172" s="286" t="s">
        <v>1105</v>
      </c>
      <c r="E1172" s="286" t="s">
        <v>1106</v>
      </c>
      <c r="F1172" s="286" t="s">
        <v>1714</v>
      </c>
      <c r="G1172" s="286" t="s">
        <v>1766</v>
      </c>
      <c r="H1172" s="286" t="s">
        <v>1766</v>
      </c>
      <c r="I1172" s="286" t="s">
        <v>1301</v>
      </c>
      <c r="J1172" s="286" t="s">
        <v>1312</v>
      </c>
      <c r="K1172" s="286" t="s">
        <v>56</v>
      </c>
      <c r="L1172" s="286" t="s">
        <v>71</v>
      </c>
      <c r="M1172" s="286">
        <v>1</v>
      </c>
      <c r="N1172" s="287">
        <v>59</v>
      </c>
      <c r="O1172" s="287"/>
      <c r="P1172" s="286" t="s">
        <v>55</v>
      </c>
    </row>
    <row r="1173" spans="1:16" hidden="1" x14ac:dyDescent="0.15">
      <c r="A1173" s="286">
        <v>379134</v>
      </c>
      <c r="B1173" s="288">
        <v>45218.479166666664</v>
      </c>
      <c r="C1173" s="286" t="s">
        <v>1642</v>
      </c>
      <c r="D1173" s="286" t="s">
        <v>1105</v>
      </c>
      <c r="E1173" s="286" t="s">
        <v>1106</v>
      </c>
      <c r="F1173" s="286" t="s">
        <v>1726</v>
      </c>
      <c r="G1173" s="286" t="s">
        <v>1028</v>
      </c>
      <c r="H1173" s="286" t="s">
        <v>1028</v>
      </c>
      <c r="I1173" s="286" t="s">
        <v>1129</v>
      </c>
      <c r="J1173" s="286" t="s">
        <v>1312</v>
      </c>
      <c r="K1173" s="286" t="s">
        <v>1930</v>
      </c>
      <c r="L1173" s="286" t="s">
        <v>1931</v>
      </c>
      <c r="M1173" s="286">
        <v>2</v>
      </c>
      <c r="N1173" s="287">
        <v>55.66</v>
      </c>
      <c r="O1173" s="287"/>
      <c r="P1173" s="286" t="s">
        <v>164</v>
      </c>
    </row>
    <row r="1174" spans="1:16" hidden="1" x14ac:dyDescent="0.15">
      <c r="A1174" s="286">
        <v>433764</v>
      </c>
      <c r="B1174" s="288">
        <v>45278.734722222223</v>
      </c>
      <c r="C1174" s="286" t="s">
        <v>1632</v>
      </c>
      <c r="D1174" s="286" t="s">
        <v>1105</v>
      </c>
      <c r="E1174" s="286" t="s">
        <v>1106</v>
      </c>
      <c r="F1174" s="286" t="s">
        <v>1801</v>
      </c>
      <c r="G1174" s="286" t="s">
        <v>1011</v>
      </c>
      <c r="H1174" s="286" t="s">
        <v>1011</v>
      </c>
      <c r="I1174" s="286" t="s">
        <v>1129</v>
      </c>
      <c r="J1174" s="286" t="s">
        <v>1312</v>
      </c>
      <c r="K1174" s="286" t="s">
        <v>1932</v>
      </c>
      <c r="L1174" s="286" t="s">
        <v>1933</v>
      </c>
      <c r="M1174" s="286">
        <v>4</v>
      </c>
      <c r="N1174" s="287">
        <v>55.28</v>
      </c>
      <c r="O1174" s="287"/>
      <c r="P1174" s="286" t="s">
        <v>164</v>
      </c>
    </row>
    <row r="1175" spans="1:16" hidden="1" x14ac:dyDescent="0.15">
      <c r="A1175" s="286">
        <v>433764</v>
      </c>
      <c r="B1175" s="288">
        <v>45278.734722222223</v>
      </c>
      <c r="C1175" s="286" t="s">
        <v>1632</v>
      </c>
      <c r="D1175" s="286" t="s">
        <v>1105</v>
      </c>
      <c r="E1175" s="286" t="s">
        <v>1106</v>
      </c>
      <c r="F1175" s="286" t="s">
        <v>1801</v>
      </c>
      <c r="G1175" s="286" t="s">
        <v>1047</v>
      </c>
      <c r="H1175" s="286" t="s">
        <v>1047</v>
      </c>
      <c r="I1175" s="286" t="s">
        <v>1129</v>
      </c>
      <c r="J1175" s="286" t="s">
        <v>1312</v>
      </c>
      <c r="K1175" s="286" t="s">
        <v>724</v>
      </c>
      <c r="L1175" s="286" t="s">
        <v>1934</v>
      </c>
      <c r="M1175" s="286">
        <v>2</v>
      </c>
      <c r="N1175" s="287">
        <v>52</v>
      </c>
      <c r="O1175" s="287"/>
      <c r="P1175" s="286" t="s">
        <v>164</v>
      </c>
    </row>
    <row r="1176" spans="1:16" hidden="1" x14ac:dyDescent="0.15">
      <c r="A1176" s="286">
        <v>339870</v>
      </c>
      <c r="B1176" s="288">
        <v>45177.481944444444</v>
      </c>
      <c r="C1176" s="286" t="s">
        <v>1676</v>
      </c>
      <c r="D1176" s="286" t="s">
        <v>1105</v>
      </c>
      <c r="E1176" s="286" t="s">
        <v>1106</v>
      </c>
      <c r="F1176" s="286" t="s">
        <v>1715</v>
      </c>
      <c r="G1176" s="286" t="s">
        <v>1078</v>
      </c>
      <c r="H1176" s="286" t="s">
        <v>1078</v>
      </c>
      <c r="I1176" s="286" t="s">
        <v>1129</v>
      </c>
      <c r="J1176" s="286" t="s">
        <v>1312</v>
      </c>
      <c r="K1176" s="286" t="s">
        <v>1464</v>
      </c>
      <c r="L1176" s="286" t="s">
        <v>1465</v>
      </c>
      <c r="M1176" s="286">
        <v>2</v>
      </c>
      <c r="N1176" s="287">
        <v>47.54</v>
      </c>
      <c r="O1176" s="287"/>
      <c r="P1176" s="286" t="s">
        <v>164</v>
      </c>
    </row>
    <row r="1177" spans="1:16" hidden="1" x14ac:dyDescent="0.15">
      <c r="A1177" s="286">
        <v>131067</v>
      </c>
      <c r="B1177" s="288">
        <v>44935.645138888889</v>
      </c>
      <c r="C1177" s="286" t="s">
        <v>1640</v>
      </c>
      <c r="D1177" s="286" t="s">
        <v>1309</v>
      </c>
      <c r="E1177" s="286" t="s">
        <v>1310</v>
      </c>
      <c r="F1177" s="286" t="s">
        <v>1865</v>
      </c>
      <c r="G1177" s="286" t="s">
        <v>1866</v>
      </c>
      <c r="H1177" s="286" t="s">
        <v>1866</v>
      </c>
      <c r="I1177" s="286" t="s">
        <v>1129</v>
      </c>
      <c r="J1177" s="286" t="s">
        <v>1312</v>
      </c>
      <c r="K1177" s="286" t="s">
        <v>528</v>
      </c>
      <c r="L1177" s="286" t="s">
        <v>529</v>
      </c>
      <c r="M1177" s="286">
        <v>10</v>
      </c>
      <c r="N1177" s="287">
        <v>44.3</v>
      </c>
      <c r="O1177" s="287"/>
      <c r="P1177" s="286" t="s">
        <v>164</v>
      </c>
    </row>
    <row r="1178" spans="1:16" hidden="1" x14ac:dyDescent="0.15">
      <c r="A1178" s="286">
        <v>379134</v>
      </c>
      <c r="B1178" s="288">
        <v>45218.479166666664</v>
      </c>
      <c r="C1178" s="286" t="s">
        <v>1642</v>
      </c>
      <c r="D1178" s="286" t="s">
        <v>1105</v>
      </c>
      <c r="E1178" s="286" t="s">
        <v>1106</v>
      </c>
      <c r="F1178" s="286" t="s">
        <v>1726</v>
      </c>
      <c r="G1178" s="286" t="s">
        <v>1056</v>
      </c>
      <c r="H1178" s="286" t="s">
        <v>1056</v>
      </c>
      <c r="I1178" s="286" t="s">
        <v>1129</v>
      </c>
      <c r="J1178" s="286" t="s">
        <v>1312</v>
      </c>
      <c r="K1178" s="286" t="s">
        <v>526</v>
      </c>
      <c r="L1178" s="286" t="s">
        <v>1360</v>
      </c>
      <c r="M1178" s="286">
        <v>12</v>
      </c>
      <c r="N1178" s="287">
        <v>43.2</v>
      </c>
      <c r="O1178" s="287"/>
      <c r="P1178" s="286" t="s">
        <v>164</v>
      </c>
    </row>
    <row r="1179" spans="1:16" hidden="1" x14ac:dyDescent="0.15">
      <c r="A1179" s="286">
        <v>379134</v>
      </c>
      <c r="B1179" s="288">
        <v>45218.479166666664</v>
      </c>
      <c r="C1179" s="286" t="s">
        <v>1642</v>
      </c>
      <c r="D1179" s="286" t="s">
        <v>1105</v>
      </c>
      <c r="E1179" s="286" t="s">
        <v>1106</v>
      </c>
      <c r="F1179" s="286" t="s">
        <v>1726</v>
      </c>
      <c r="G1179" s="286" t="s">
        <v>1056</v>
      </c>
      <c r="H1179" s="286" t="s">
        <v>1056</v>
      </c>
      <c r="I1179" s="286" t="s">
        <v>1129</v>
      </c>
      <c r="J1179" s="286" t="s">
        <v>1312</v>
      </c>
      <c r="K1179" s="286" t="s">
        <v>524</v>
      </c>
      <c r="L1179" s="286" t="s">
        <v>1346</v>
      </c>
      <c r="M1179" s="286">
        <v>12</v>
      </c>
      <c r="N1179" s="287">
        <v>42.72</v>
      </c>
      <c r="O1179" s="287"/>
      <c r="P1179" s="286" t="s">
        <v>164</v>
      </c>
    </row>
    <row r="1180" spans="1:16" hidden="1" x14ac:dyDescent="0.15">
      <c r="A1180" s="286">
        <v>379134</v>
      </c>
      <c r="B1180" s="288">
        <v>45218.479166666664</v>
      </c>
      <c r="C1180" s="286" t="s">
        <v>1642</v>
      </c>
      <c r="D1180" s="286" t="s">
        <v>1105</v>
      </c>
      <c r="E1180" s="286" t="s">
        <v>1106</v>
      </c>
      <c r="F1180" s="286" t="s">
        <v>1726</v>
      </c>
      <c r="G1180" s="286" t="s">
        <v>1056</v>
      </c>
      <c r="H1180" s="286" t="s">
        <v>1056</v>
      </c>
      <c r="I1180" s="286" t="s">
        <v>1129</v>
      </c>
      <c r="J1180" s="286" t="s">
        <v>1312</v>
      </c>
      <c r="K1180" s="286" t="s">
        <v>528</v>
      </c>
      <c r="L1180" s="286" t="s">
        <v>529</v>
      </c>
      <c r="M1180" s="286">
        <v>12</v>
      </c>
      <c r="N1180" s="287">
        <v>41.52</v>
      </c>
      <c r="O1180" s="287"/>
      <c r="P1180" s="286" t="s">
        <v>164</v>
      </c>
    </row>
    <row r="1181" spans="1:16" hidden="1" x14ac:dyDescent="0.15">
      <c r="A1181" s="286">
        <v>379134</v>
      </c>
      <c r="B1181" s="288">
        <v>45218.479166666664</v>
      </c>
      <c r="C1181" s="286" t="s">
        <v>1642</v>
      </c>
      <c r="D1181" s="286" t="s">
        <v>1105</v>
      </c>
      <c r="E1181" s="286" t="s">
        <v>1106</v>
      </c>
      <c r="F1181" s="286" t="s">
        <v>1726</v>
      </c>
      <c r="G1181" s="286" t="s">
        <v>1056</v>
      </c>
      <c r="H1181" s="286" t="s">
        <v>1056</v>
      </c>
      <c r="I1181" s="286" t="s">
        <v>1129</v>
      </c>
      <c r="J1181" s="286" t="s">
        <v>1312</v>
      </c>
      <c r="K1181" s="286" t="s">
        <v>530</v>
      </c>
      <c r="L1181" s="286" t="s">
        <v>531</v>
      </c>
      <c r="M1181" s="286">
        <v>12</v>
      </c>
      <c r="N1181" s="287">
        <v>40.56</v>
      </c>
      <c r="O1181" s="287"/>
      <c r="P1181" s="286" t="s">
        <v>164</v>
      </c>
    </row>
    <row r="1182" spans="1:16" hidden="1" x14ac:dyDescent="0.15">
      <c r="A1182" s="286">
        <v>430974</v>
      </c>
      <c r="B1182" s="288">
        <v>45274.409722222219</v>
      </c>
      <c r="C1182" s="286" t="s">
        <v>1632</v>
      </c>
      <c r="D1182" s="286" t="s">
        <v>1105</v>
      </c>
      <c r="E1182" s="286" t="s">
        <v>1106</v>
      </c>
      <c r="F1182" s="286" t="s">
        <v>1825</v>
      </c>
      <c r="G1182" s="286" t="s">
        <v>1831</v>
      </c>
      <c r="H1182" s="286" t="s">
        <v>1831</v>
      </c>
      <c r="I1182" s="286" t="s">
        <v>1129</v>
      </c>
      <c r="J1182" s="286" t="s">
        <v>1312</v>
      </c>
      <c r="K1182" s="286" t="s">
        <v>1935</v>
      </c>
      <c r="L1182" s="286" t="s">
        <v>1936</v>
      </c>
      <c r="M1182" s="286">
        <v>3</v>
      </c>
      <c r="N1182" s="287">
        <v>36</v>
      </c>
      <c r="O1182" s="287"/>
      <c r="P1182" s="286" t="s">
        <v>164</v>
      </c>
    </row>
    <row r="1183" spans="1:16" hidden="1" x14ac:dyDescent="0.15">
      <c r="A1183" s="286">
        <v>433764</v>
      </c>
      <c r="B1183" s="288">
        <v>45278.734722222223</v>
      </c>
      <c r="C1183" s="286" t="s">
        <v>1632</v>
      </c>
      <c r="D1183" s="286" t="s">
        <v>1105</v>
      </c>
      <c r="E1183" s="286" t="s">
        <v>1106</v>
      </c>
      <c r="F1183" s="286" t="s">
        <v>1801</v>
      </c>
      <c r="G1183" s="286" t="s">
        <v>1047</v>
      </c>
      <c r="H1183" s="286" t="s">
        <v>1047</v>
      </c>
      <c r="I1183" s="286" t="s">
        <v>1129</v>
      </c>
      <c r="J1183" s="286" t="s">
        <v>1312</v>
      </c>
      <c r="K1183" s="286" t="s">
        <v>732</v>
      </c>
      <c r="L1183" s="286" t="s">
        <v>750</v>
      </c>
      <c r="M1183" s="286">
        <v>1</v>
      </c>
      <c r="N1183" s="287">
        <v>33</v>
      </c>
      <c r="O1183" s="287"/>
      <c r="P1183" s="286" t="s">
        <v>164</v>
      </c>
    </row>
    <row r="1184" spans="1:16" hidden="1" x14ac:dyDescent="0.15">
      <c r="A1184" s="286">
        <v>278788</v>
      </c>
      <c r="B1184" s="288">
        <v>45118.57708333333</v>
      </c>
      <c r="C1184" s="286" t="s">
        <v>1649</v>
      </c>
      <c r="D1184" s="286" t="s">
        <v>1105</v>
      </c>
      <c r="E1184" s="286" t="s">
        <v>1106</v>
      </c>
      <c r="F1184" s="286" t="s">
        <v>1712</v>
      </c>
      <c r="G1184" s="286" t="s">
        <v>1838</v>
      </c>
      <c r="H1184" s="286" t="s">
        <v>1838</v>
      </c>
      <c r="I1184" s="286" t="s">
        <v>1228</v>
      </c>
      <c r="J1184" s="286" t="s">
        <v>53</v>
      </c>
      <c r="K1184" s="286" t="s">
        <v>53</v>
      </c>
      <c r="L1184" s="286" t="s">
        <v>53</v>
      </c>
      <c r="M1184" s="286" t="s">
        <v>53</v>
      </c>
      <c r="N1184" s="287">
        <v>26.41</v>
      </c>
      <c r="O1184" s="287"/>
      <c r="P1184" s="286" t="s">
        <v>58</v>
      </c>
    </row>
    <row r="1185" spans="1:16" hidden="1" x14ac:dyDescent="0.15">
      <c r="A1185" s="286">
        <v>158073</v>
      </c>
      <c r="B1185" s="288">
        <v>44971.632638888892</v>
      </c>
      <c r="C1185" s="286" t="s">
        <v>1638</v>
      </c>
      <c r="D1185" s="286" t="s">
        <v>1309</v>
      </c>
      <c r="E1185" s="286" t="s">
        <v>1310</v>
      </c>
      <c r="F1185" s="286" t="s">
        <v>1937</v>
      </c>
      <c r="G1185" s="286" t="s">
        <v>1089</v>
      </c>
      <c r="H1185" s="286" t="s">
        <v>1089</v>
      </c>
      <c r="I1185" s="286" t="s">
        <v>1129</v>
      </c>
      <c r="J1185" s="286" t="s">
        <v>1312</v>
      </c>
      <c r="K1185" s="286" t="s">
        <v>532</v>
      </c>
      <c r="L1185" s="286" t="s">
        <v>533</v>
      </c>
      <c r="M1185" s="286">
        <v>20</v>
      </c>
      <c r="N1185" s="287">
        <v>25</v>
      </c>
      <c r="O1185" s="287"/>
      <c r="P1185" s="286" t="s">
        <v>164</v>
      </c>
    </row>
    <row r="1186" spans="1:16" hidden="1" x14ac:dyDescent="0.15">
      <c r="A1186" s="286">
        <v>224790</v>
      </c>
      <c r="B1186" s="288">
        <v>45057.742361111108</v>
      </c>
      <c r="C1186" s="286" t="s">
        <v>1665</v>
      </c>
      <c r="D1186" s="286" t="s">
        <v>1309</v>
      </c>
      <c r="E1186" s="286" t="s">
        <v>1310</v>
      </c>
      <c r="F1186" s="286" t="s">
        <v>1938</v>
      </c>
      <c r="G1186" s="286" t="s">
        <v>1052</v>
      </c>
      <c r="H1186" s="286" t="s">
        <v>1052</v>
      </c>
      <c r="I1186" s="286" t="s">
        <v>1129</v>
      </c>
      <c r="J1186" s="286" t="s">
        <v>1312</v>
      </c>
      <c r="K1186" s="286" t="s">
        <v>1939</v>
      </c>
      <c r="L1186" s="286" t="s">
        <v>1940</v>
      </c>
      <c r="M1186" s="286">
        <v>1</v>
      </c>
      <c r="N1186" s="287">
        <v>25</v>
      </c>
      <c r="O1186" s="287"/>
      <c r="P1186" s="286" t="s">
        <v>164</v>
      </c>
    </row>
    <row r="1187" spans="1:16" hidden="1" x14ac:dyDescent="0.15">
      <c r="A1187" s="286">
        <v>241619</v>
      </c>
      <c r="B1187" s="288">
        <v>45076.734027777777</v>
      </c>
      <c r="C1187" s="286" t="s">
        <v>1665</v>
      </c>
      <c r="D1187" s="286" t="s">
        <v>1309</v>
      </c>
      <c r="E1187" s="286" t="s">
        <v>1310</v>
      </c>
      <c r="F1187" s="286" t="s">
        <v>1916</v>
      </c>
      <c r="G1187" s="286" t="s">
        <v>1917</v>
      </c>
      <c r="H1187" s="286" t="s">
        <v>1917</v>
      </c>
      <c r="I1187" s="286" t="s">
        <v>1129</v>
      </c>
      <c r="J1187" s="286" t="s">
        <v>1312</v>
      </c>
      <c r="K1187" s="286" t="s">
        <v>1941</v>
      </c>
      <c r="L1187" s="286" t="s">
        <v>1942</v>
      </c>
      <c r="M1187" s="286">
        <v>4</v>
      </c>
      <c r="N1187" s="287">
        <v>23.48</v>
      </c>
      <c r="O1187" s="287"/>
      <c r="P1187" s="286" t="s">
        <v>164</v>
      </c>
    </row>
    <row r="1188" spans="1:16" hidden="1" x14ac:dyDescent="0.15">
      <c r="A1188" s="286">
        <v>241619</v>
      </c>
      <c r="B1188" s="288">
        <v>45076.734027777777</v>
      </c>
      <c r="C1188" s="286" t="s">
        <v>1665</v>
      </c>
      <c r="D1188" s="286" t="s">
        <v>1309</v>
      </c>
      <c r="E1188" s="286" t="s">
        <v>1310</v>
      </c>
      <c r="F1188" s="286" t="s">
        <v>1916</v>
      </c>
      <c r="G1188" s="286" t="s">
        <v>1917</v>
      </c>
      <c r="H1188" s="286" t="s">
        <v>1917</v>
      </c>
      <c r="I1188" s="286" t="s">
        <v>1129</v>
      </c>
      <c r="J1188" s="286" t="s">
        <v>1312</v>
      </c>
      <c r="K1188" s="286" t="s">
        <v>1941</v>
      </c>
      <c r="L1188" s="286" t="s">
        <v>1942</v>
      </c>
      <c r="M1188" s="286">
        <v>4</v>
      </c>
      <c r="N1188" s="287">
        <v>23.48</v>
      </c>
      <c r="O1188" s="287"/>
      <c r="P1188" s="286" t="s">
        <v>164</v>
      </c>
    </row>
    <row r="1189" spans="1:16" hidden="1" x14ac:dyDescent="0.15">
      <c r="A1189" s="286">
        <v>192450</v>
      </c>
      <c r="B1189" s="288">
        <v>45015.552083333336</v>
      </c>
      <c r="C1189" s="286" t="s">
        <v>1667</v>
      </c>
      <c r="D1189" s="286" t="s">
        <v>1309</v>
      </c>
      <c r="E1189" s="286" t="s">
        <v>1310</v>
      </c>
      <c r="F1189" s="286" t="s">
        <v>1943</v>
      </c>
      <c r="G1189" s="286" t="s">
        <v>1944</v>
      </c>
      <c r="H1189" s="286" t="s">
        <v>1944</v>
      </c>
      <c r="I1189" s="286" t="s">
        <v>1129</v>
      </c>
      <c r="J1189" s="286" t="s">
        <v>1350</v>
      </c>
      <c r="K1189" s="286" t="s">
        <v>1356</v>
      </c>
      <c r="L1189" s="286" t="s">
        <v>1357</v>
      </c>
      <c r="M1189" s="286">
        <v>1</v>
      </c>
      <c r="N1189" s="287">
        <v>22.5</v>
      </c>
      <c r="O1189" s="287"/>
      <c r="P1189" s="286" t="s">
        <v>164</v>
      </c>
    </row>
    <row r="1190" spans="1:16" hidden="1" x14ac:dyDescent="0.15">
      <c r="A1190" s="286">
        <v>433764</v>
      </c>
      <c r="B1190" s="288">
        <v>45278.734722222223</v>
      </c>
      <c r="C1190" s="286" t="s">
        <v>1632</v>
      </c>
      <c r="D1190" s="286" t="s">
        <v>1105</v>
      </c>
      <c r="E1190" s="286" t="s">
        <v>1106</v>
      </c>
      <c r="F1190" s="286" t="s">
        <v>1801</v>
      </c>
      <c r="G1190" s="286" t="s">
        <v>1047</v>
      </c>
      <c r="H1190" s="286" t="s">
        <v>1047</v>
      </c>
      <c r="I1190" s="286" t="s">
        <v>1129</v>
      </c>
      <c r="J1190" s="286" t="s">
        <v>1312</v>
      </c>
      <c r="K1190" s="286" t="s">
        <v>728</v>
      </c>
      <c r="L1190" s="286" t="s">
        <v>1945</v>
      </c>
      <c r="M1190" s="286">
        <v>2</v>
      </c>
      <c r="N1190" s="287">
        <v>22</v>
      </c>
      <c r="O1190" s="287"/>
      <c r="P1190" s="286" t="s">
        <v>164</v>
      </c>
    </row>
    <row r="1191" spans="1:16" hidden="1" x14ac:dyDescent="0.15">
      <c r="A1191" s="286">
        <v>180922</v>
      </c>
      <c r="B1191" s="288">
        <v>44998.670138888891</v>
      </c>
      <c r="C1191" s="286" t="s">
        <v>1667</v>
      </c>
      <c r="D1191" s="286" t="s">
        <v>1309</v>
      </c>
      <c r="E1191" s="286" t="s">
        <v>1310</v>
      </c>
      <c r="F1191" s="286" t="s">
        <v>1946</v>
      </c>
      <c r="G1191" s="286" t="s">
        <v>1349</v>
      </c>
      <c r="H1191" s="286" t="s">
        <v>1349</v>
      </c>
      <c r="I1191" s="286" t="s">
        <v>1129</v>
      </c>
      <c r="J1191" s="286" t="s">
        <v>1350</v>
      </c>
      <c r="K1191" s="286" t="s">
        <v>1356</v>
      </c>
      <c r="L1191" s="286" t="s">
        <v>1357</v>
      </c>
      <c r="M1191" s="286">
        <v>1</v>
      </c>
      <c r="N1191" s="287">
        <v>20.25</v>
      </c>
      <c r="O1191" s="287"/>
      <c r="P1191" s="286" t="s">
        <v>164</v>
      </c>
    </row>
    <row r="1192" spans="1:16" hidden="1" x14ac:dyDescent="0.15">
      <c r="A1192" s="286">
        <v>241619</v>
      </c>
      <c r="B1192" s="288">
        <v>45076.734027777777</v>
      </c>
      <c r="C1192" s="286" t="s">
        <v>1665</v>
      </c>
      <c r="D1192" s="286" t="s">
        <v>1309</v>
      </c>
      <c r="E1192" s="286" t="s">
        <v>1310</v>
      </c>
      <c r="F1192" s="286" t="s">
        <v>1916</v>
      </c>
      <c r="G1192" s="286" t="s">
        <v>1917</v>
      </c>
      <c r="H1192" s="286" t="s">
        <v>1917</v>
      </c>
      <c r="I1192" s="286" t="s">
        <v>1129</v>
      </c>
      <c r="J1192" s="286" t="s">
        <v>1312</v>
      </c>
      <c r="K1192" s="286" t="s">
        <v>1353</v>
      </c>
      <c r="L1192" s="286" t="s">
        <v>1354</v>
      </c>
      <c r="M1192" s="286">
        <v>4</v>
      </c>
      <c r="N1192" s="287">
        <v>17.68</v>
      </c>
      <c r="O1192" s="287"/>
      <c r="P1192" s="286" t="s">
        <v>164</v>
      </c>
    </row>
    <row r="1193" spans="1:16" hidden="1" x14ac:dyDescent="0.15">
      <c r="A1193" s="286">
        <v>241619</v>
      </c>
      <c r="B1193" s="288">
        <v>45076.734027777777</v>
      </c>
      <c r="C1193" s="286" t="s">
        <v>1665</v>
      </c>
      <c r="D1193" s="286" t="s">
        <v>1309</v>
      </c>
      <c r="E1193" s="286" t="s">
        <v>1310</v>
      </c>
      <c r="F1193" s="286" t="s">
        <v>1916</v>
      </c>
      <c r="G1193" s="286" t="s">
        <v>1917</v>
      </c>
      <c r="H1193" s="286" t="s">
        <v>1917</v>
      </c>
      <c r="I1193" s="286" t="s">
        <v>1129</v>
      </c>
      <c r="J1193" s="286" t="s">
        <v>1312</v>
      </c>
      <c r="K1193" s="286" t="s">
        <v>1353</v>
      </c>
      <c r="L1193" s="286" t="s">
        <v>1354</v>
      </c>
      <c r="M1193" s="286">
        <v>4</v>
      </c>
      <c r="N1193" s="287">
        <v>17.68</v>
      </c>
      <c r="O1193" s="287"/>
      <c r="P1193" s="286" t="s">
        <v>164</v>
      </c>
    </row>
    <row r="1194" spans="1:16" hidden="1" x14ac:dyDescent="0.15">
      <c r="A1194" s="286">
        <v>131067</v>
      </c>
      <c r="B1194" s="288">
        <v>44935.645138888889</v>
      </c>
      <c r="C1194" s="286" t="s">
        <v>1640</v>
      </c>
      <c r="D1194" s="286" t="s">
        <v>1309</v>
      </c>
      <c r="E1194" s="286" t="s">
        <v>1310</v>
      </c>
      <c r="F1194" s="286" t="s">
        <v>1865</v>
      </c>
      <c r="G1194" s="286" t="s">
        <v>1866</v>
      </c>
      <c r="H1194" s="286" t="s">
        <v>1866</v>
      </c>
      <c r="I1194" s="286" t="s">
        <v>1129</v>
      </c>
      <c r="J1194" s="286" t="s">
        <v>1312</v>
      </c>
      <c r="K1194" s="286" t="s">
        <v>1321</v>
      </c>
      <c r="L1194" s="286" t="s">
        <v>1322</v>
      </c>
      <c r="M1194" s="286">
        <v>1</v>
      </c>
      <c r="N1194" s="287">
        <v>16.75</v>
      </c>
      <c r="O1194" s="287"/>
      <c r="P1194" s="286" t="s">
        <v>164</v>
      </c>
    </row>
    <row r="1195" spans="1:16" hidden="1" x14ac:dyDescent="0.15">
      <c r="A1195" s="286">
        <v>433764</v>
      </c>
      <c r="B1195" s="288">
        <v>45278.734722222223</v>
      </c>
      <c r="C1195" s="286" t="s">
        <v>1632</v>
      </c>
      <c r="D1195" s="286" t="s">
        <v>1105</v>
      </c>
      <c r="E1195" s="286" t="s">
        <v>1106</v>
      </c>
      <c r="F1195" s="286" t="s">
        <v>1801</v>
      </c>
      <c r="G1195" s="286" t="s">
        <v>1011</v>
      </c>
      <c r="H1195" s="286" t="s">
        <v>1011</v>
      </c>
      <c r="I1195" s="286" t="s">
        <v>1129</v>
      </c>
      <c r="J1195" s="286" t="s">
        <v>1312</v>
      </c>
      <c r="K1195" s="286" t="s">
        <v>532</v>
      </c>
      <c r="L1195" s="286" t="s">
        <v>533</v>
      </c>
      <c r="M1195" s="286">
        <v>24</v>
      </c>
      <c r="N1195" s="287">
        <v>16.32</v>
      </c>
      <c r="O1195" s="287"/>
      <c r="P1195" s="286" t="s">
        <v>164</v>
      </c>
    </row>
    <row r="1196" spans="1:16" hidden="1" x14ac:dyDescent="0.15">
      <c r="A1196" s="286">
        <v>433764</v>
      </c>
      <c r="B1196" s="288">
        <v>45278.734722222223</v>
      </c>
      <c r="C1196" s="286" t="s">
        <v>1632</v>
      </c>
      <c r="D1196" s="286" t="s">
        <v>1105</v>
      </c>
      <c r="E1196" s="286" t="s">
        <v>1106</v>
      </c>
      <c r="F1196" s="286" t="s">
        <v>1801</v>
      </c>
      <c r="G1196" s="286" t="s">
        <v>1011</v>
      </c>
      <c r="H1196" s="286" t="s">
        <v>1011</v>
      </c>
      <c r="I1196" s="286" t="s">
        <v>1129</v>
      </c>
      <c r="J1196" s="286" t="s">
        <v>1312</v>
      </c>
      <c r="K1196" s="286" t="s">
        <v>1517</v>
      </c>
      <c r="L1196" s="286" t="s">
        <v>1518</v>
      </c>
      <c r="M1196" s="286">
        <v>24</v>
      </c>
      <c r="N1196" s="287">
        <v>12</v>
      </c>
      <c r="O1196" s="287"/>
      <c r="P1196" s="286" t="s">
        <v>164</v>
      </c>
    </row>
    <row r="1197" spans="1:16" hidden="1" x14ac:dyDescent="0.15">
      <c r="A1197" s="286">
        <v>131067</v>
      </c>
      <c r="B1197" s="288">
        <v>44935.645138888889</v>
      </c>
      <c r="C1197" s="286" t="s">
        <v>1640</v>
      </c>
      <c r="D1197" s="286" t="s">
        <v>1309</v>
      </c>
      <c r="E1197" s="286" t="s">
        <v>1310</v>
      </c>
      <c r="F1197" s="286" t="s">
        <v>1865</v>
      </c>
      <c r="G1197" s="286" t="s">
        <v>1866</v>
      </c>
      <c r="H1197" s="286" t="s">
        <v>1866</v>
      </c>
      <c r="I1197" s="286" t="s">
        <v>1129</v>
      </c>
      <c r="J1197" s="286" t="s">
        <v>1312</v>
      </c>
      <c r="K1197" s="286" t="s">
        <v>532</v>
      </c>
      <c r="L1197" s="286" t="s">
        <v>533</v>
      </c>
      <c r="M1197" s="286">
        <v>11</v>
      </c>
      <c r="N1197" s="287">
        <v>8.8000000000000007</v>
      </c>
      <c r="O1197" s="287"/>
      <c r="P1197" s="286" t="s">
        <v>164</v>
      </c>
    </row>
    <row r="1198" spans="1:16" hidden="1" x14ac:dyDescent="0.15">
      <c r="A1198" s="286">
        <v>379134</v>
      </c>
      <c r="B1198" s="288">
        <v>45218.479166666664</v>
      </c>
      <c r="C1198" s="286" t="s">
        <v>1642</v>
      </c>
      <c r="D1198" s="286" t="s">
        <v>1105</v>
      </c>
      <c r="E1198" s="286" t="s">
        <v>1106</v>
      </c>
      <c r="F1198" s="286" t="s">
        <v>1726</v>
      </c>
      <c r="G1198" s="286" t="s">
        <v>1056</v>
      </c>
      <c r="H1198" s="286" t="s">
        <v>1056</v>
      </c>
      <c r="I1198" s="286" t="s">
        <v>1129</v>
      </c>
      <c r="J1198" s="286" t="s">
        <v>1312</v>
      </c>
      <c r="K1198" s="286" t="s">
        <v>532</v>
      </c>
      <c r="L1198" s="286" t="s">
        <v>533</v>
      </c>
      <c r="M1198" s="286">
        <v>12</v>
      </c>
      <c r="N1198" s="287">
        <v>8.16</v>
      </c>
      <c r="O1198" s="287"/>
      <c r="P1198" s="286" t="s">
        <v>164</v>
      </c>
    </row>
    <row r="1199" spans="1:16" hidden="1" x14ac:dyDescent="0.15">
      <c r="A1199" s="286">
        <v>430974</v>
      </c>
      <c r="B1199" s="288">
        <v>45274.409722222219</v>
      </c>
      <c r="C1199" s="286" t="s">
        <v>1632</v>
      </c>
      <c r="D1199" s="286" t="s">
        <v>1105</v>
      </c>
      <c r="E1199" s="286" t="s">
        <v>1106</v>
      </c>
      <c r="F1199" s="286" t="s">
        <v>1825</v>
      </c>
      <c r="G1199" s="286" t="s">
        <v>1831</v>
      </c>
      <c r="H1199" s="286" t="s">
        <v>1831</v>
      </c>
      <c r="I1199" s="286" t="s">
        <v>1129</v>
      </c>
      <c r="J1199" s="286" t="s">
        <v>1312</v>
      </c>
      <c r="K1199" s="286" t="s">
        <v>1947</v>
      </c>
      <c r="L1199" s="286" t="s">
        <v>1948</v>
      </c>
      <c r="M1199" s="286">
        <v>10</v>
      </c>
      <c r="N1199" s="287">
        <v>7.5</v>
      </c>
      <c r="O1199" s="287"/>
      <c r="P1199" s="286" t="s">
        <v>164</v>
      </c>
    </row>
    <row r="1200" spans="1:16" hidden="1" x14ac:dyDescent="0.15">
      <c r="A1200" s="286">
        <v>433764</v>
      </c>
      <c r="B1200" s="288">
        <v>45278.734722222223</v>
      </c>
      <c r="C1200" s="286" t="s">
        <v>1632</v>
      </c>
      <c r="D1200" s="286" t="s">
        <v>1105</v>
      </c>
      <c r="E1200" s="286" t="s">
        <v>1106</v>
      </c>
      <c r="F1200" s="286" t="s">
        <v>1801</v>
      </c>
      <c r="G1200" s="286" t="s">
        <v>1047</v>
      </c>
      <c r="H1200" s="286" t="s">
        <v>1047</v>
      </c>
      <c r="I1200" s="286" t="s">
        <v>1129</v>
      </c>
      <c r="J1200" s="286" t="s">
        <v>1312</v>
      </c>
      <c r="K1200" s="286" t="s">
        <v>730</v>
      </c>
      <c r="L1200" s="286" t="s">
        <v>1949</v>
      </c>
      <c r="M1200" s="286">
        <v>1</v>
      </c>
      <c r="N1200" s="287">
        <v>5</v>
      </c>
      <c r="O1200" s="287"/>
      <c r="P1200" s="286" t="s">
        <v>164</v>
      </c>
    </row>
    <row r="1201" spans="1:16" hidden="1" x14ac:dyDescent="0.15">
      <c r="A1201" s="286">
        <v>379134</v>
      </c>
      <c r="B1201" s="288">
        <v>45218.479166666664</v>
      </c>
      <c r="C1201" s="286" t="s">
        <v>1642</v>
      </c>
      <c r="D1201" s="286" t="s">
        <v>1105</v>
      </c>
      <c r="E1201" s="286" t="s">
        <v>1106</v>
      </c>
      <c r="F1201" s="286" t="s">
        <v>1726</v>
      </c>
      <c r="G1201" s="286" t="s">
        <v>1056</v>
      </c>
      <c r="H1201" s="286" t="s">
        <v>1056</v>
      </c>
      <c r="I1201" s="286" t="s">
        <v>1129</v>
      </c>
      <c r="J1201" s="286" t="s">
        <v>1312</v>
      </c>
      <c r="K1201" s="286" t="s">
        <v>1517</v>
      </c>
      <c r="L1201" s="286" t="s">
        <v>1518</v>
      </c>
      <c r="M1201" s="286">
        <v>12</v>
      </c>
      <c r="N1201" s="287">
        <v>3.5</v>
      </c>
      <c r="O1201" s="287"/>
      <c r="P1201" s="286" t="s">
        <v>164</v>
      </c>
    </row>
    <row r="1202" spans="1:16" hidden="1" x14ac:dyDescent="0.15">
      <c r="A1202" s="286">
        <v>180922</v>
      </c>
      <c r="B1202" s="288">
        <v>44998.670138888891</v>
      </c>
      <c r="C1202" s="286" t="s">
        <v>1667</v>
      </c>
      <c r="D1202" s="286" t="s">
        <v>1309</v>
      </c>
      <c r="E1202" s="286" t="s">
        <v>1310</v>
      </c>
      <c r="F1202" s="286" t="s">
        <v>1946</v>
      </c>
      <c r="G1202" s="286" t="s">
        <v>1349</v>
      </c>
      <c r="H1202" s="286" t="s">
        <v>1349</v>
      </c>
      <c r="I1202" s="286" t="s">
        <v>1129</v>
      </c>
      <c r="J1202" s="286" t="s">
        <v>1350</v>
      </c>
      <c r="K1202" s="286" t="s">
        <v>1485</v>
      </c>
      <c r="L1202" s="286" t="s">
        <v>1486</v>
      </c>
      <c r="M1202" s="286">
        <v>1</v>
      </c>
      <c r="N1202" s="287">
        <v>2.5</v>
      </c>
      <c r="O1202" s="287"/>
      <c r="P1202" s="286" t="s">
        <v>164</v>
      </c>
    </row>
    <row r="1203" spans="1:16" hidden="1" x14ac:dyDescent="0.15">
      <c r="A1203" s="286">
        <v>379134</v>
      </c>
      <c r="B1203" s="288">
        <v>45218.479166666664</v>
      </c>
      <c r="C1203" s="286" t="s">
        <v>1642</v>
      </c>
      <c r="D1203" s="286" t="s">
        <v>1105</v>
      </c>
      <c r="E1203" s="286" t="s">
        <v>1106</v>
      </c>
      <c r="F1203" s="286" t="s">
        <v>1726</v>
      </c>
      <c r="G1203" s="286" t="s">
        <v>1056</v>
      </c>
      <c r="H1203" s="286" t="s">
        <v>1056</v>
      </c>
      <c r="I1203" s="286" t="s">
        <v>1129</v>
      </c>
      <c r="J1203" s="286" t="s">
        <v>1312</v>
      </c>
      <c r="K1203" s="286" t="s">
        <v>1517</v>
      </c>
      <c r="L1203" s="286" t="s">
        <v>1518</v>
      </c>
      <c r="M1203" s="286">
        <v>12</v>
      </c>
      <c r="N1203" s="287">
        <v>2.5</v>
      </c>
      <c r="O1203" s="287"/>
      <c r="P1203" s="286" t="s">
        <v>164</v>
      </c>
    </row>
    <row r="1204" spans="1:16" hidden="1" x14ac:dyDescent="0.15">
      <c r="A1204" s="286">
        <v>226685</v>
      </c>
      <c r="B1204" s="288">
        <v>45061.71597222222</v>
      </c>
      <c r="C1204" s="286" t="s">
        <v>1665</v>
      </c>
      <c r="D1204" s="286" t="s">
        <v>1309</v>
      </c>
      <c r="E1204" s="286" t="s">
        <v>1310</v>
      </c>
      <c r="F1204" s="286" t="s">
        <v>1950</v>
      </c>
      <c r="G1204" s="286" t="s">
        <v>1951</v>
      </c>
      <c r="H1204" s="286" t="s">
        <v>1951</v>
      </c>
      <c r="I1204" s="286" t="s">
        <v>1129</v>
      </c>
      <c r="J1204" s="286" t="s">
        <v>1312</v>
      </c>
      <c r="K1204" s="286" t="s">
        <v>1485</v>
      </c>
      <c r="L1204" s="286" t="s">
        <v>1486</v>
      </c>
      <c r="M1204" s="286">
        <v>1</v>
      </c>
      <c r="N1204" s="287">
        <v>2.36</v>
      </c>
      <c r="O1204" s="287"/>
      <c r="P1204" s="286" t="s">
        <v>164</v>
      </c>
    </row>
    <row r="1205" spans="1:16" hidden="1" x14ac:dyDescent="0.15">
      <c r="A1205" s="286">
        <v>254695</v>
      </c>
      <c r="B1205" s="288">
        <v>45092.749305555553</v>
      </c>
      <c r="C1205" s="286" t="s">
        <v>1649</v>
      </c>
      <c r="D1205" s="286" t="s">
        <v>1309</v>
      </c>
      <c r="E1205" s="286" t="s">
        <v>1310</v>
      </c>
      <c r="F1205" s="286" t="s">
        <v>1952</v>
      </c>
      <c r="G1205" s="286" t="s">
        <v>1953</v>
      </c>
      <c r="H1205" s="286" t="s">
        <v>1953</v>
      </c>
      <c r="I1205" s="286" t="s">
        <v>1129</v>
      </c>
      <c r="J1205" s="286" t="s">
        <v>1350</v>
      </c>
      <c r="K1205" s="286" t="s">
        <v>1485</v>
      </c>
      <c r="L1205" s="286" t="s">
        <v>1486</v>
      </c>
      <c r="M1205" s="286">
        <v>1</v>
      </c>
      <c r="N1205" s="287">
        <v>2.36</v>
      </c>
      <c r="O1205" s="287"/>
      <c r="P1205" s="286" t="s">
        <v>164</v>
      </c>
    </row>
    <row r="1206" spans="1:16" hidden="1" x14ac:dyDescent="0.15">
      <c r="A1206" s="286">
        <v>241519</v>
      </c>
      <c r="B1206" s="288">
        <v>45076.732638888891</v>
      </c>
      <c r="C1206" s="286" t="s">
        <v>1665</v>
      </c>
      <c r="D1206" s="286" t="s">
        <v>1309</v>
      </c>
      <c r="E1206" s="286" t="s">
        <v>1310</v>
      </c>
      <c r="F1206" s="286" t="s">
        <v>1891</v>
      </c>
      <c r="G1206" s="286" t="s">
        <v>1006</v>
      </c>
      <c r="H1206" s="286" t="s">
        <v>1006</v>
      </c>
      <c r="I1206" s="286" t="s">
        <v>1129</v>
      </c>
      <c r="J1206" s="286" t="s">
        <v>1312</v>
      </c>
      <c r="K1206" s="286" t="s">
        <v>532</v>
      </c>
      <c r="L1206" s="286" t="s">
        <v>533</v>
      </c>
      <c r="M1206" s="286">
        <v>2</v>
      </c>
      <c r="N1206" s="287">
        <v>1.94</v>
      </c>
      <c r="O1206" s="287"/>
      <c r="P1206" s="286" t="s">
        <v>164</v>
      </c>
    </row>
    <row r="1207" spans="1:16" hidden="1" x14ac:dyDescent="0.15">
      <c r="A1207" s="286">
        <v>311777</v>
      </c>
      <c r="B1207" s="288">
        <v>45146.85</v>
      </c>
      <c r="C1207" s="286" t="s">
        <v>1636</v>
      </c>
      <c r="D1207" s="286" t="s">
        <v>1105</v>
      </c>
      <c r="E1207" s="286" t="s">
        <v>1106</v>
      </c>
      <c r="F1207" s="286" t="s">
        <v>1954</v>
      </c>
      <c r="G1207" s="286" t="s">
        <v>1048</v>
      </c>
      <c r="H1207" s="286" t="s">
        <v>1048</v>
      </c>
      <c r="I1207" s="286" t="s">
        <v>1301</v>
      </c>
      <c r="J1207" s="286" t="s">
        <v>1312</v>
      </c>
      <c r="K1207" s="286" t="s">
        <v>56</v>
      </c>
      <c r="L1207" s="286" t="s">
        <v>71</v>
      </c>
      <c r="M1207" s="286">
        <v>1</v>
      </c>
      <c r="N1207" s="287">
        <v>0.95</v>
      </c>
      <c r="O1207" s="287"/>
      <c r="P1207" s="286" t="s">
        <v>55</v>
      </c>
    </row>
    <row r="1208" spans="1:16" hidden="1" x14ac:dyDescent="0.15">
      <c r="A1208" s="286">
        <v>137348</v>
      </c>
      <c r="B1208" s="288">
        <v>44943.352083333331</v>
      </c>
      <c r="C1208" s="286" t="s">
        <v>1640</v>
      </c>
      <c r="D1208" s="286" t="s">
        <v>1309</v>
      </c>
      <c r="E1208" s="286" t="s">
        <v>1310</v>
      </c>
      <c r="F1208" s="286" t="s">
        <v>1955</v>
      </c>
      <c r="G1208" s="286" t="s">
        <v>1067</v>
      </c>
      <c r="H1208" s="286" t="s">
        <v>1067</v>
      </c>
      <c r="I1208" s="286" t="s">
        <v>1152</v>
      </c>
      <c r="J1208" s="286" t="s">
        <v>1312</v>
      </c>
      <c r="K1208" s="286" t="s">
        <v>1562</v>
      </c>
      <c r="L1208" s="286" t="s">
        <v>1563</v>
      </c>
      <c r="M1208" s="286">
        <v>1</v>
      </c>
      <c r="N1208" s="287">
        <v>0</v>
      </c>
      <c r="O1208" s="287"/>
      <c r="P1208" s="286" t="s">
        <v>58</v>
      </c>
    </row>
    <row r="1209" spans="1:16" hidden="1" x14ac:dyDescent="0.15">
      <c r="A1209" s="286">
        <v>140378</v>
      </c>
      <c r="B1209" s="288">
        <v>44945.439583333333</v>
      </c>
      <c r="C1209" s="286" t="s">
        <v>1640</v>
      </c>
      <c r="D1209" s="286" t="s">
        <v>1309</v>
      </c>
      <c r="E1209" s="286" t="s">
        <v>1310</v>
      </c>
      <c r="F1209" s="286" t="s">
        <v>1956</v>
      </c>
      <c r="G1209" s="286" t="s">
        <v>1005</v>
      </c>
      <c r="H1209" s="286" t="s">
        <v>1005</v>
      </c>
      <c r="I1209" s="286" t="s">
        <v>1152</v>
      </c>
      <c r="J1209" s="286" t="s">
        <v>1312</v>
      </c>
      <c r="K1209" s="286" t="s">
        <v>1957</v>
      </c>
      <c r="L1209" s="286" t="s">
        <v>1958</v>
      </c>
      <c r="M1209" s="286">
        <v>1</v>
      </c>
      <c r="N1209" s="287">
        <v>0</v>
      </c>
      <c r="O1209" s="287"/>
      <c r="P1209" s="286" t="s">
        <v>58</v>
      </c>
    </row>
    <row r="1210" spans="1:16" hidden="1" x14ac:dyDescent="0.15">
      <c r="A1210" s="286">
        <v>140378</v>
      </c>
      <c r="B1210" s="288">
        <v>44945.439583333333</v>
      </c>
      <c r="C1210" s="286" t="s">
        <v>1640</v>
      </c>
      <c r="D1210" s="286" t="s">
        <v>1309</v>
      </c>
      <c r="E1210" s="286" t="s">
        <v>1310</v>
      </c>
      <c r="F1210" s="286" t="s">
        <v>1956</v>
      </c>
      <c r="G1210" s="286" t="s">
        <v>1005</v>
      </c>
      <c r="H1210" s="286" t="s">
        <v>1005</v>
      </c>
      <c r="I1210" s="286" t="s">
        <v>1152</v>
      </c>
      <c r="J1210" s="286" t="s">
        <v>1312</v>
      </c>
      <c r="K1210" s="286" t="s">
        <v>1959</v>
      </c>
      <c r="L1210" s="286" t="s">
        <v>1960</v>
      </c>
      <c r="M1210" s="286">
        <v>1</v>
      </c>
      <c r="N1210" s="287">
        <v>0</v>
      </c>
      <c r="O1210" s="287"/>
      <c r="P1210" s="286" t="s">
        <v>58</v>
      </c>
    </row>
    <row r="1211" spans="1:16" hidden="1" x14ac:dyDescent="0.15">
      <c r="A1211" s="286">
        <v>140378</v>
      </c>
      <c r="B1211" s="288">
        <v>44945.439583333333</v>
      </c>
      <c r="C1211" s="286" t="s">
        <v>1640</v>
      </c>
      <c r="D1211" s="286" t="s">
        <v>1309</v>
      </c>
      <c r="E1211" s="286" t="s">
        <v>1310</v>
      </c>
      <c r="F1211" s="286" t="s">
        <v>1956</v>
      </c>
      <c r="G1211" s="286" t="s">
        <v>1005</v>
      </c>
      <c r="H1211" s="286" t="s">
        <v>1005</v>
      </c>
      <c r="I1211" s="286" t="s">
        <v>1152</v>
      </c>
      <c r="J1211" s="286" t="s">
        <v>1312</v>
      </c>
      <c r="K1211" s="286" t="s">
        <v>1961</v>
      </c>
      <c r="L1211" s="286" t="s">
        <v>1962</v>
      </c>
      <c r="M1211" s="286">
        <v>1</v>
      </c>
      <c r="N1211" s="287">
        <v>0</v>
      </c>
      <c r="O1211" s="287"/>
      <c r="P1211" s="286" t="s">
        <v>58</v>
      </c>
    </row>
    <row r="1212" spans="1:16" hidden="1" x14ac:dyDescent="0.15">
      <c r="A1212" s="286">
        <v>142383</v>
      </c>
      <c r="B1212" s="288">
        <v>44949.714583333334</v>
      </c>
      <c r="C1212" s="286" t="s">
        <v>1640</v>
      </c>
      <c r="D1212" s="286" t="s">
        <v>1309</v>
      </c>
      <c r="E1212" s="286" t="s">
        <v>1310</v>
      </c>
      <c r="F1212" s="286" t="s">
        <v>1963</v>
      </c>
      <c r="G1212" s="286" t="s">
        <v>1066</v>
      </c>
      <c r="H1212" s="286" t="s">
        <v>1066</v>
      </c>
      <c r="I1212" s="286" t="s">
        <v>1108</v>
      </c>
      <c r="J1212" s="286" t="s">
        <v>53</v>
      </c>
      <c r="K1212" s="286" t="s">
        <v>1339</v>
      </c>
      <c r="L1212" s="286" t="s">
        <v>1340</v>
      </c>
      <c r="M1212" s="286">
        <v>4</v>
      </c>
      <c r="N1212" s="287">
        <v>0</v>
      </c>
      <c r="O1212" s="305">
        <f>EOMONTH(B1212,0)</f>
        <v>44957</v>
      </c>
      <c r="P1212" s="286" t="s">
        <v>37</v>
      </c>
    </row>
    <row r="1213" spans="1:16" hidden="1" x14ac:dyDescent="0.15">
      <c r="A1213" s="286">
        <v>142383</v>
      </c>
      <c r="B1213" s="288">
        <v>44949.714583333334</v>
      </c>
      <c r="C1213" s="286" t="s">
        <v>1640</v>
      </c>
      <c r="D1213" s="286" t="s">
        <v>1309</v>
      </c>
      <c r="E1213" s="286" t="s">
        <v>1310</v>
      </c>
      <c r="F1213" s="286" t="s">
        <v>1963</v>
      </c>
      <c r="G1213" s="286" t="s">
        <v>1066</v>
      </c>
      <c r="H1213" s="286" t="s">
        <v>1066</v>
      </c>
      <c r="I1213" s="286" t="s">
        <v>1129</v>
      </c>
      <c r="J1213" s="286" t="s">
        <v>1312</v>
      </c>
      <c r="K1213" s="286" t="s">
        <v>1964</v>
      </c>
      <c r="L1213" s="286" t="s">
        <v>1965</v>
      </c>
      <c r="M1213" s="286">
        <v>4</v>
      </c>
      <c r="N1213" s="287">
        <v>0</v>
      </c>
      <c r="O1213" s="287"/>
      <c r="P1213" s="286" t="s">
        <v>164</v>
      </c>
    </row>
    <row r="1214" spans="1:16" hidden="1" x14ac:dyDescent="0.15">
      <c r="A1214" s="286">
        <v>142484</v>
      </c>
      <c r="B1214" s="288">
        <v>44949.715277777781</v>
      </c>
      <c r="C1214" s="286" t="s">
        <v>1640</v>
      </c>
      <c r="D1214" s="286" t="s">
        <v>1309</v>
      </c>
      <c r="E1214" s="286" t="s">
        <v>1310</v>
      </c>
      <c r="F1214" s="286" t="s">
        <v>1966</v>
      </c>
      <c r="G1214" s="286" t="s">
        <v>1025</v>
      </c>
      <c r="H1214" s="286" t="s">
        <v>1025</v>
      </c>
      <c r="I1214" s="286" t="s">
        <v>1108</v>
      </c>
      <c r="J1214" s="286" t="s">
        <v>53</v>
      </c>
      <c r="K1214" s="286" t="s">
        <v>1339</v>
      </c>
      <c r="L1214" s="286" t="s">
        <v>1340</v>
      </c>
      <c r="M1214" s="286">
        <v>1</v>
      </c>
      <c r="N1214" s="287">
        <v>0</v>
      </c>
      <c r="O1214" s="305">
        <f t="shared" ref="O1214:O1215" si="10">EOMONTH(B1214,0)</f>
        <v>44957</v>
      </c>
      <c r="P1214" s="286" t="s">
        <v>37</v>
      </c>
    </row>
    <row r="1215" spans="1:16" hidden="1" x14ac:dyDescent="0.15">
      <c r="A1215" s="286">
        <v>142484</v>
      </c>
      <c r="B1215" s="288">
        <v>44949.715277777781</v>
      </c>
      <c r="C1215" s="286" t="s">
        <v>1640</v>
      </c>
      <c r="D1215" s="286" t="s">
        <v>1309</v>
      </c>
      <c r="E1215" s="286" t="s">
        <v>1310</v>
      </c>
      <c r="F1215" s="286" t="s">
        <v>1966</v>
      </c>
      <c r="G1215" s="286" t="s">
        <v>1025</v>
      </c>
      <c r="H1215" s="286" t="s">
        <v>1025</v>
      </c>
      <c r="I1215" s="286" t="s">
        <v>1108</v>
      </c>
      <c r="J1215" s="286" t="s">
        <v>53</v>
      </c>
      <c r="K1215" s="286" t="s">
        <v>1339</v>
      </c>
      <c r="L1215" s="286" t="s">
        <v>1340</v>
      </c>
      <c r="M1215" s="286">
        <v>1</v>
      </c>
      <c r="N1215" s="287">
        <v>0</v>
      </c>
      <c r="O1215" s="305">
        <f t="shared" si="10"/>
        <v>44957</v>
      </c>
      <c r="P1215" s="286" t="s">
        <v>37</v>
      </c>
    </row>
    <row r="1216" spans="1:16" hidden="1" x14ac:dyDescent="0.15">
      <c r="A1216" s="286">
        <v>142484</v>
      </c>
      <c r="B1216" s="288">
        <v>44949.715277777781</v>
      </c>
      <c r="C1216" s="286" t="s">
        <v>1640</v>
      </c>
      <c r="D1216" s="286" t="s">
        <v>1309</v>
      </c>
      <c r="E1216" s="286" t="s">
        <v>1310</v>
      </c>
      <c r="F1216" s="286" t="s">
        <v>1966</v>
      </c>
      <c r="G1216" s="286" t="s">
        <v>1025</v>
      </c>
      <c r="H1216" s="286" t="s">
        <v>1025</v>
      </c>
      <c r="I1216" s="286" t="s">
        <v>1129</v>
      </c>
      <c r="J1216" s="286" t="s">
        <v>1312</v>
      </c>
      <c r="K1216" s="286" t="s">
        <v>1967</v>
      </c>
      <c r="L1216" s="286" t="s">
        <v>1968</v>
      </c>
      <c r="M1216" s="286">
        <v>24</v>
      </c>
      <c r="N1216" s="287">
        <v>0</v>
      </c>
      <c r="O1216" s="287"/>
      <c r="P1216" s="286" t="s">
        <v>164</v>
      </c>
    </row>
    <row r="1217" spans="1:16" hidden="1" x14ac:dyDescent="0.15">
      <c r="A1217" s="286">
        <v>142484</v>
      </c>
      <c r="B1217" s="288">
        <v>44949.715277777781</v>
      </c>
      <c r="C1217" s="286" t="s">
        <v>1640</v>
      </c>
      <c r="D1217" s="286" t="s">
        <v>1309</v>
      </c>
      <c r="E1217" s="286" t="s">
        <v>1310</v>
      </c>
      <c r="F1217" s="286" t="s">
        <v>1966</v>
      </c>
      <c r="G1217" s="286" t="s">
        <v>1025</v>
      </c>
      <c r="H1217" s="286" t="s">
        <v>1025</v>
      </c>
      <c r="I1217" s="286" t="s">
        <v>1129</v>
      </c>
      <c r="J1217" s="286" t="s">
        <v>1312</v>
      </c>
      <c r="K1217" s="286" t="s">
        <v>1885</v>
      </c>
      <c r="L1217" s="286" t="s">
        <v>1886</v>
      </c>
      <c r="M1217" s="286">
        <v>48</v>
      </c>
      <c r="N1217" s="287">
        <v>0</v>
      </c>
      <c r="O1217" s="287"/>
      <c r="P1217" s="286" t="s">
        <v>164</v>
      </c>
    </row>
    <row r="1218" spans="1:16" hidden="1" x14ac:dyDescent="0.15">
      <c r="A1218" s="286">
        <v>142484</v>
      </c>
      <c r="B1218" s="288">
        <v>44949.715277777781</v>
      </c>
      <c r="C1218" s="286" t="s">
        <v>1640</v>
      </c>
      <c r="D1218" s="286" t="s">
        <v>1309</v>
      </c>
      <c r="E1218" s="286" t="s">
        <v>1310</v>
      </c>
      <c r="F1218" s="286" t="s">
        <v>1966</v>
      </c>
      <c r="G1218" s="286" t="s">
        <v>1025</v>
      </c>
      <c r="H1218" s="286" t="s">
        <v>1025</v>
      </c>
      <c r="I1218" s="286" t="s">
        <v>1108</v>
      </c>
      <c r="J1218" s="286" t="s">
        <v>53</v>
      </c>
      <c r="K1218" s="286" t="s">
        <v>1339</v>
      </c>
      <c r="L1218" s="286" t="s">
        <v>1340</v>
      </c>
      <c r="M1218" s="286">
        <v>1</v>
      </c>
      <c r="N1218" s="287">
        <v>0</v>
      </c>
      <c r="O1218" s="305">
        <f t="shared" ref="O1218:O1221" si="11">EOMONTH(B1218,0)</f>
        <v>44957</v>
      </c>
      <c r="P1218" s="286" t="s">
        <v>37</v>
      </c>
    </row>
    <row r="1219" spans="1:16" hidden="1" x14ac:dyDescent="0.15">
      <c r="A1219" s="286">
        <v>142484</v>
      </c>
      <c r="B1219" s="288">
        <v>44949.715277777781</v>
      </c>
      <c r="C1219" s="286" t="s">
        <v>1640</v>
      </c>
      <c r="D1219" s="286" t="s">
        <v>1309</v>
      </c>
      <c r="E1219" s="286" t="s">
        <v>1310</v>
      </c>
      <c r="F1219" s="286" t="s">
        <v>1966</v>
      </c>
      <c r="G1219" s="286" t="s">
        <v>1025</v>
      </c>
      <c r="H1219" s="286" t="s">
        <v>1025</v>
      </c>
      <c r="I1219" s="286" t="s">
        <v>1108</v>
      </c>
      <c r="J1219" s="286" t="s">
        <v>53</v>
      </c>
      <c r="K1219" s="286" t="s">
        <v>1339</v>
      </c>
      <c r="L1219" s="286" t="s">
        <v>1340</v>
      </c>
      <c r="M1219" s="286">
        <v>1</v>
      </c>
      <c r="N1219" s="287">
        <v>0</v>
      </c>
      <c r="O1219" s="305">
        <f t="shared" si="11"/>
        <v>44957</v>
      </c>
      <c r="P1219" s="286" t="s">
        <v>37</v>
      </c>
    </row>
    <row r="1220" spans="1:16" hidden="1" x14ac:dyDescent="0.15">
      <c r="A1220" s="286">
        <v>142484</v>
      </c>
      <c r="B1220" s="288">
        <v>44949.715277777781</v>
      </c>
      <c r="C1220" s="286" t="s">
        <v>1640</v>
      </c>
      <c r="D1220" s="286" t="s">
        <v>1309</v>
      </c>
      <c r="E1220" s="286" t="s">
        <v>1310</v>
      </c>
      <c r="F1220" s="286" t="s">
        <v>1966</v>
      </c>
      <c r="G1220" s="286" t="s">
        <v>1025</v>
      </c>
      <c r="H1220" s="286" t="s">
        <v>1025</v>
      </c>
      <c r="I1220" s="286" t="s">
        <v>1108</v>
      </c>
      <c r="J1220" s="286" t="s">
        <v>53</v>
      </c>
      <c r="K1220" s="286" t="s">
        <v>1339</v>
      </c>
      <c r="L1220" s="286" t="s">
        <v>1340</v>
      </c>
      <c r="M1220" s="286">
        <v>3</v>
      </c>
      <c r="N1220" s="287">
        <v>0</v>
      </c>
      <c r="O1220" s="305">
        <f t="shared" si="11"/>
        <v>44957</v>
      </c>
      <c r="P1220" s="286" t="s">
        <v>37</v>
      </c>
    </row>
    <row r="1221" spans="1:16" hidden="1" x14ac:dyDescent="0.15">
      <c r="A1221" s="286">
        <v>142484</v>
      </c>
      <c r="B1221" s="288">
        <v>44949.715277777781</v>
      </c>
      <c r="C1221" s="286" t="s">
        <v>1640</v>
      </c>
      <c r="D1221" s="286" t="s">
        <v>1309</v>
      </c>
      <c r="E1221" s="286" t="s">
        <v>1310</v>
      </c>
      <c r="F1221" s="286" t="s">
        <v>1966</v>
      </c>
      <c r="G1221" s="286" t="s">
        <v>1025</v>
      </c>
      <c r="H1221" s="286" t="s">
        <v>1025</v>
      </c>
      <c r="I1221" s="286" t="s">
        <v>1108</v>
      </c>
      <c r="J1221" s="286" t="s">
        <v>53</v>
      </c>
      <c r="K1221" s="286" t="s">
        <v>1339</v>
      </c>
      <c r="L1221" s="286" t="s">
        <v>1340</v>
      </c>
      <c r="M1221" s="286">
        <v>3</v>
      </c>
      <c r="N1221" s="287">
        <v>0</v>
      </c>
      <c r="O1221" s="305">
        <f t="shared" si="11"/>
        <v>44957</v>
      </c>
      <c r="P1221" s="286" t="s">
        <v>37</v>
      </c>
    </row>
    <row r="1222" spans="1:16" hidden="1" x14ac:dyDescent="0.15">
      <c r="A1222" s="286">
        <v>142605</v>
      </c>
      <c r="B1222" s="288">
        <v>44950.463888888888</v>
      </c>
      <c r="C1222" s="286" t="s">
        <v>1640</v>
      </c>
      <c r="D1222" s="286" t="s">
        <v>1105</v>
      </c>
      <c r="E1222" s="286" t="s">
        <v>1106</v>
      </c>
      <c r="F1222" s="286" t="s">
        <v>1641</v>
      </c>
      <c r="G1222" s="286" t="s">
        <v>53</v>
      </c>
      <c r="H1222" s="286" t="s">
        <v>53</v>
      </c>
      <c r="I1222" s="286" t="s">
        <v>1279</v>
      </c>
      <c r="J1222" s="286" t="s">
        <v>1312</v>
      </c>
      <c r="K1222" s="286" t="s">
        <v>53</v>
      </c>
      <c r="L1222" s="286" t="s">
        <v>53</v>
      </c>
      <c r="M1222" s="286" t="s">
        <v>53</v>
      </c>
      <c r="N1222" s="287">
        <v>0</v>
      </c>
      <c r="O1222" s="287"/>
      <c r="P1222" s="286" t="s">
        <v>58</v>
      </c>
    </row>
    <row r="1223" spans="1:16" hidden="1" x14ac:dyDescent="0.15">
      <c r="A1223" s="286">
        <v>144169</v>
      </c>
      <c r="B1223" s="288">
        <v>44952.45</v>
      </c>
      <c r="C1223" s="286" t="s">
        <v>1640</v>
      </c>
      <c r="D1223" s="286" t="s">
        <v>1309</v>
      </c>
      <c r="E1223" s="286" t="s">
        <v>1310</v>
      </c>
      <c r="F1223" s="286" t="s">
        <v>1969</v>
      </c>
      <c r="G1223" s="286" t="s">
        <v>1079</v>
      </c>
      <c r="H1223" s="286" t="s">
        <v>1079</v>
      </c>
      <c r="I1223" s="286" t="s">
        <v>1129</v>
      </c>
      <c r="J1223" s="286" t="s">
        <v>1312</v>
      </c>
      <c r="K1223" s="286" t="s">
        <v>1970</v>
      </c>
      <c r="L1223" s="286" t="s">
        <v>1971</v>
      </c>
      <c r="M1223" s="286">
        <v>1</v>
      </c>
      <c r="N1223" s="287">
        <v>0</v>
      </c>
      <c r="O1223" s="287"/>
      <c r="P1223" s="286" t="s">
        <v>164</v>
      </c>
    </row>
    <row r="1224" spans="1:16" hidden="1" x14ac:dyDescent="0.15">
      <c r="A1224" s="286">
        <v>144169</v>
      </c>
      <c r="B1224" s="288">
        <v>44952.45</v>
      </c>
      <c r="C1224" s="286" t="s">
        <v>1640</v>
      </c>
      <c r="D1224" s="286" t="s">
        <v>1309</v>
      </c>
      <c r="E1224" s="286" t="s">
        <v>1310</v>
      </c>
      <c r="F1224" s="286" t="s">
        <v>1969</v>
      </c>
      <c r="G1224" s="286" t="s">
        <v>1079</v>
      </c>
      <c r="H1224" s="286" t="s">
        <v>1079</v>
      </c>
      <c r="I1224" s="286" t="s">
        <v>1152</v>
      </c>
      <c r="J1224" s="286" t="s">
        <v>1312</v>
      </c>
      <c r="K1224" s="286" t="s">
        <v>1972</v>
      </c>
      <c r="L1224" s="286" t="s">
        <v>1973</v>
      </c>
      <c r="M1224" s="286">
        <v>1</v>
      </c>
      <c r="N1224" s="287">
        <v>0</v>
      </c>
      <c r="O1224" s="287"/>
      <c r="P1224" s="286" t="s">
        <v>58</v>
      </c>
    </row>
    <row r="1225" spans="1:16" hidden="1" x14ac:dyDescent="0.15">
      <c r="A1225" s="286">
        <v>147947</v>
      </c>
      <c r="B1225" s="288">
        <v>44958.323611111111</v>
      </c>
      <c r="C1225" s="286" t="s">
        <v>1640</v>
      </c>
      <c r="D1225" s="286" t="s">
        <v>1309</v>
      </c>
      <c r="E1225" s="286" t="s">
        <v>1310</v>
      </c>
      <c r="F1225" s="286" t="s">
        <v>1974</v>
      </c>
      <c r="G1225" s="286" t="s">
        <v>1067</v>
      </c>
      <c r="H1225" s="286" t="s">
        <v>1067</v>
      </c>
      <c r="I1225" s="286" t="s">
        <v>1108</v>
      </c>
      <c r="J1225" s="286" t="s">
        <v>1312</v>
      </c>
      <c r="K1225" s="286" t="s">
        <v>1339</v>
      </c>
      <c r="L1225" s="286" t="s">
        <v>1340</v>
      </c>
      <c r="M1225" s="286">
        <v>1</v>
      </c>
      <c r="N1225" s="287">
        <v>0</v>
      </c>
      <c r="O1225" s="305">
        <f>EOMONTH(B1225,0)</f>
        <v>44985</v>
      </c>
      <c r="P1225" s="286" t="s">
        <v>37</v>
      </c>
    </row>
    <row r="1226" spans="1:16" hidden="1" x14ac:dyDescent="0.15">
      <c r="A1226" s="286">
        <v>152399</v>
      </c>
      <c r="B1226" s="288">
        <v>44964.661805555559</v>
      </c>
      <c r="C1226" s="286" t="s">
        <v>1638</v>
      </c>
      <c r="D1226" s="286" t="s">
        <v>1309</v>
      </c>
      <c r="E1226" s="286" t="s">
        <v>1310</v>
      </c>
      <c r="F1226" s="286" t="s">
        <v>1975</v>
      </c>
      <c r="G1226" s="286" t="s">
        <v>1025</v>
      </c>
      <c r="H1226" s="286" t="s">
        <v>1025</v>
      </c>
      <c r="I1226" s="286" t="s">
        <v>1152</v>
      </c>
      <c r="J1226" s="286" t="s">
        <v>1312</v>
      </c>
      <c r="K1226" s="286" t="s">
        <v>1972</v>
      </c>
      <c r="L1226" s="286" t="s">
        <v>1973</v>
      </c>
      <c r="M1226" s="286">
        <v>1</v>
      </c>
      <c r="N1226" s="287">
        <v>0</v>
      </c>
      <c r="O1226" s="287"/>
      <c r="P1226" s="286" t="s">
        <v>58</v>
      </c>
    </row>
    <row r="1227" spans="1:16" hidden="1" x14ac:dyDescent="0.15">
      <c r="A1227" s="286">
        <v>153372</v>
      </c>
      <c r="B1227" s="288">
        <v>44965.634722222225</v>
      </c>
      <c r="C1227" s="286" t="s">
        <v>1638</v>
      </c>
      <c r="D1227" s="286" t="s">
        <v>1309</v>
      </c>
      <c r="E1227" s="286" t="s">
        <v>1310</v>
      </c>
      <c r="F1227" s="286" t="s">
        <v>1976</v>
      </c>
      <c r="G1227" s="286" t="s">
        <v>1008</v>
      </c>
      <c r="H1227" s="286" t="s">
        <v>1008</v>
      </c>
      <c r="I1227" s="286" t="s">
        <v>1152</v>
      </c>
      <c r="J1227" s="286" t="s">
        <v>1312</v>
      </c>
      <c r="K1227" s="286" t="s">
        <v>1826</v>
      </c>
      <c r="L1227" s="286" t="s">
        <v>1827</v>
      </c>
      <c r="M1227" s="286">
        <v>2</v>
      </c>
      <c r="N1227" s="287">
        <v>0</v>
      </c>
      <c r="O1227" s="287"/>
      <c r="P1227" s="286" t="s">
        <v>58</v>
      </c>
    </row>
    <row r="1228" spans="1:16" hidden="1" x14ac:dyDescent="0.15">
      <c r="A1228" s="286">
        <v>153675</v>
      </c>
      <c r="B1228" s="288">
        <v>44966.720833333333</v>
      </c>
      <c r="C1228" s="286" t="s">
        <v>1638</v>
      </c>
      <c r="D1228" s="286" t="s">
        <v>1309</v>
      </c>
      <c r="E1228" s="286" t="s">
        <v>1310</v>
      </c>
      <c r="F1228" s="286" t="s">
        <v>1977</v>
      </c>
      <c r="G1228" s="286" t="s">
        <v>1044</v>
      </c>
      <c r="H1228" s="286" t="s">
        <v>1044</v>
      </c>
      <c r="I1228" s="286" t="s">
        <v>1108</v>
      </c>
      <c r="J1228" s="286" t="s">
        <v>53</v>
      </c>
      <c r="K1228" s="286" t="s">
        <v>1339</v>
      </c>
      <c r="L1228" s="286" t="s">
        <v>1340</v>
      </c>
      <c r="M1228" s="286">
        <v>1</v>
      </c>
      <c r="N1228" s="287">
        <v>0</v>
      </c>
      <c r="O1228" s="305">
        <f>EOMONTH(B1228,0)</f>
        <v>44985</v>
      </c>
      <c r="P1228" s="286" t="s">
        <v>37</v>
      </c>
    </row>
    <row r="1229" spans="1:16" hidden="1" x14ac:dyDescent="0.15">
      <c r="A1229" s="286">
        <v>161836</v>
      </c>
      <c r="B1229" s="288">
        <v>44974.48333333333</v>
      </c>
      <c r="C1229" s="286" t="s">
        <v>1638</v>
      </c>
      <c r="D1229" s="286" t="s">
        <v>1105</v>
      </c>
      <c r="E1229" s="286" t="s">
        <v>1106</v>
      </c>
      <c r="F1229" s="286" t="s">
        <v>1639</v>
      </c>
      <c r="G1229" s="286" t="s">
        <v>53</v>
      </c>
      <c r="H1229" s="286" t="s">
        <v>53</v>
      </c>
      <c r="I1229" s="286" t="s">
        <v>1279</v>
      </c>
      <c r="J1229" s="286" t="s">
        <v>1312</v>
      </c>
      <c r="K1229" s="286" t="s">
        <v>53</v>
      </c>
      <c r="L1229" s="286" t="s">
        <v>53</v>
      </c>
      <c r="M1229" s="286" t="s">
        <v>53</v>
      </c>
      <c r="N1229" s="287">
        <v>0</v>
      </c>
      <c r="O1229" s="287"/>
      <c r="P1229" s="286" t="s">
        <v>58</v>
      </c>
    </row>
    <row r="1230" spans="1:16" hidden="1" x14ac:dyDescent="0.15">
      <c r="A1230" s="286">
        <v>161839</v>
      </c>
      <c r="B1230" s="288">
        <v>44974.491666666669</v>
      </c>
      <c r="C1230" s="286" t="s">
        <v>1638</v>
      </c>
      <c r="D1230" s="286" t="s">
        <v>1105</v>
      </c>
      <c r="E1230" s="286" t="s">
        <v>1106</v>
      </c>
      <c r="F1230" s="286" t="s">
        <v>1675</v>
      </c>
      <c r="G1230" s="286" t="s">
        <v>53</v>
      </c>
      <c r="H1230" s="286" t="s">
        <v>53</v>
      </c>
      <c r="I1230" s="286" t="s">
        <v>1112</v>
      </c>
      <c r="J1230" s="286" t="s">
        <v>1312</v>
      </c>
      <c r="K1230" s="286" t="s">
        <v>53</v>
      </c>
      <c r="L1230" s="286" t="s">
        <v>53</v>
      </c>
      <c r="M1230" s="286" t="s">
        <v>53</v>
      </c>
      <c r="N1230" s="287">
        <v>0</v>
      </c>
      <c r="O1230" s="287"/>
      <c r="P1230" s="286" t="s">
        <v>175</v>
      </c>
    </row>
    <row r="1231" spans="1:16" hidden="1" x14ac:dyDescent="0.15">
      <c r="A1231" s="286">
        <v>164510</v>
      </c>
      <c r="B1231" s="288">
        <v>44978.632638888892</v>
      </c>
      <c r="C1231" s="286" t="s">
        <v>1638</v>
      </c>
      <c r="D1231" s="286" t="s">
        <v>1309</v>
      </c>
      <c r="E1231" s="286" t="s">
        <v>1310</v>
      </c>
      <c r="F1231" s="286" t="s">
        <v>1978</v>
      </c>
      <c r="G1231" s="286" t="s">
        <v>1079</v>
      </c>
      <c r="H1231" s="286" t="s">
        <v>1079</v>
      </c>
      <c r="I1231" s="286" t="s">
        <v>1129</v>
      </c>
      <c r="J1231" s="286" t="s">
        <v>1312</v>
      </c>
      <c r="K1231" s="286" t="s">
        <v>1970</v>
      </c>
      <c r="L1231" s="286" t="s">
        <v>1971</v>
      </c>
      <c r="M1231" s="286">
        <v>1</v>
      </c>
      <c r="N1231" s="287">
        <v>0</v>
      </c>
      <c r="O1231" s="287"/>
      <c r="P1231" s="286" t="s">
        <v>164</v>
      </c>
    </row>
    <row r="1232" spans="1:16" hidden="1" x14ac:dyDescent="0.15">
      <c r="A1232" s="286">
        <v>164511</v>
      </c>
      <c r="B1232" s="288">
        <v>44978.632638888892</v>
      </c>
      <c r="C1232" s="286" t="s">
        <v>1638</v>
      </c>
      <c r="D1232" s="286" t="s">
        <v>1309</v>
      </c>
      <c r="E1232" s="286" t="s">
        <v>1310</v>
      </c>
      <c r="F1232" s="286" t="s">
        <v>1979</v>
      </c>
      <c r="G1232" s="286" t="s">
        <v>1980</v>
      </c>
      <c r="H1232" s="286" t="s">
        <v>1980</v>
      </c>
      <c r="I1232" s="286" t="s">
        <v>1129</v>
      </c>
      <c r="J1232" s="286" t="s">
        <v>1312</v>
      </c>
      <c r="K1232" s="286" t="s">
        <v>1981</v>
      </c>
      <c r="L1232" s="286" t="s">
        <v>1982</v>
      </c>
      <c r="M1232" s="286">
        <v>2</v>
      </c>
      <c r="N1232" s="287">
        <v>0</v>
      </c>
      <c r="O1232" s="287"/>
      <c r="P1232" s="286" t="s">
        <v>164</v>
      </c>
    </row>
    <row r="1233" spans="1:16" hidden="1" x14ac:dyDescent="0.15">
      <c r="A1233" s="286">
        <v>167179</v>
      </c>
      <c r="B1233" s="288">
        <v>44980.561805555553</v>
      </c>
      <c r="C1233" s="286" t="s">
        <v>1638</v>
      </c>
      <c r="D1233" s="286" t="s">
        <v>1309</v>
      </c>
      <c r="E1233" s="286" t="s">
        <v>1310</v>
      </c>
      <c r="F1233" s="286" t="s">
        <v>1983</v>
      </c>
      <c r="G1233" s="286" t="s">
        <v>1044</v>
      </c>
      <c r="H1233" s="286" t="s">
        <v>1044</v>
      </c>
      <c r="I1233" s="286" t="s">
        <v>1301</v>
      </c>
      <c r="J1233" s="286" t="s">
        <v>1312</v>
      </c>
      <c r="K1233" s="286" t="s">
        <v>56</v>
      </c>
      <c r="L1233" s="286" t="s">
        <v>71</v>
      </c>
      <c r="M1233" s="286">
        <v>1</v>
      </c>
      <c r="N1233" s="287">
        <v>0</v>
      </c>
      <c r="O1233" s="287"/>
      <c r="P1233" s="286" t="s">
        <v>55</v>
      </c>
    </row>
    <row r="1234" spans="1:16" hidden="1" x14ac:dyDescent="0.15">
      <c r="A1234" s="286">
        <v>168062</v>
      </c>
      <c r="B1234" s="288">
        <v>44981.682638888888</v>
      </c>
      <c r="C1234" s="286" t="s">
        <v>1638</v>
      </c>
      <c r="D1234" s="286" t="s">
        <v>1309</v>
      </c>
      <c r="E1234" s="286" t="s">
        <v>1310</v>
      </c>
      <c r="F1234" s="286" t="s">
        <v>1984</v>
      </c>
      <c r="G1234" s="286" t="s">
        <v>1008</v>
      </c>
      <c r="H1234" s="286" t="s">
        <v>1008</v>
      </c>
      <c r="I1234" s="286" t="s">
        <v>1108</v>
      </c>
      <c r="J1234" s="286" t="s">
        <v>53</v>
      </c>
      <c r="K1234" s="286" t="s">
        <v>1339</v>
      </c>
      <c r="L1234" s="286" t="s">
        <v>1340</v>
      </c>
      <c r="M1234" s="286">
        <v>2</v>
      </c>
      <c r="N1234" s="287">
        <v>0</v>
      </c>
      <c r="O1234" s="305">
        <f>EOMONTH(B1234,0)</f>
        <v>44985</v>
      </c>
      <c r="P1234" s="286" t="s">
        <v>37</v>
      </c>
    </row>
    <row r="1235" spans="1:16" hidden="1" x14ac:dyDescent="0.15">
      <c r="A1235" s="286">
        <v>170608</v>
      </c>
      <c r="B1235" s="288">
        <v>44986.659722222219</v>
      </c>
      <c r="C1235" s="286" t="s">
        <v>1667</v>
      </c>
      <c r="D1235" s="286" t="s">
        <v>1309</v>
      </c>
      <c r="E1235" s="286" t="s">
        <v>1310</v>
      </c>
      <c r="F1235" s="286" t="s">
        <v>1985</v>
      </c>
      <c r="G1235" s="286" t="s">
        <v>1067</v>
      </c>
      <c r="H1235" s="286" t="s">
        <v>1067</v>
      </c>
      <c r="I1235" s="286" t="s">
        <v>1129</v>
      </c>
      <c r="J1235" s="286" t="s">
        <v>1312</v>
      </c>
      <c r="K1235" s="286" t="s">
        <v>1514</v>
      </c>
      <c r="L1235" s="286" t="s">
        <v>1515</v>
      </c>
      <c r="M1235" s="286">
        <v>1</v>
      </c>
      <c r="N1235" s="287">
        <v>0</v>
      </c>
      <c r="O1235" s="287"/>
      <c r="P1235" s="286" t="s">
        <v>164</v>
      </c>
    </row>
    <row r="1236" spans="1:16" hidden="1" x14ac:dyDescent="0.15">
      <c r="A1236" s="286">
        <v>174205</v>
      </c>
      <c r="B1236" s="288">
        <v>44991.395833333336</v>
      </c>
      <c r="C1236" s="286" t="s">
        <v>1667</v>
      </c>
      <c r="D1236" s="286" t="s">
        <v>1309</v>
      </c>
      <c r="E1236" s="286" t="s">
        <v>1310</v>
      </c>
      <c r="F1236" s="286" t="s">
        <v>1986</v>
      </c>
      <c r="G1236" s="286" t="s">
        <v>1980</v>
      </c>
      <c r="H1236" s="286" t="s">
        <v>1980</v>
      </c>
      <c r="I1236" s="286" t="s">
        <v>1129</v>
      </c>
      <c r="J1236" s="286" t="s">
        <v>1312</v>
      </c>
      <c r="K1236" s="286" t="s">
        <v>1987</v>
      </c>
      <c r="L1236" s="286" t="s">
        <v>1988</v>
      </c>
      <c r="M1236" s="286">
        <v>2</v>
      </c>
      <c r="N1236" s="287">
        <v>0</v>
      </c>
      <c r="O1236" s="287"/>
      <c r="P1236" s="286" t="s">
        <v>164</v>
      </c>
    </row>
    <row r="1237" spans="1:16" hidden="1" x14ac:dyDescent="0.15">
      <c r="A1237" s="286">
        <v>178473</v>
      </c>
      <c r="B1237" s="288">
        <v>44994.404861111114</v>
      </c>
      <c r="C1237" s="286" t="s">
        <v>1667</v>
      </c>
      <c r="D1237" s="286" t="s">
        <v>1309</v>
      </c>
      <c r="E1237" s="286" t="s">
        <v>1310</v>
      </c>
      <c r="F1237" s="286" t="s">
        <v>1989</v>
      </c>
      <c r="G1237" s="286" t="s">
        <v>1030</v>
      </c>
      <c r="H1237" s="286" t="s">
        <v>1030</v>
      </c>
      <c r="I1237" s="286" t="s">
        <v>1108</v>
      </c>
      <c r="J1237" s="286" t="s">
        <v>53</v>
      </c>
      <c r="K1237" s="286" t="s">
        <v>1339</v>
      </c>
      <c r="L1237" s="286" t="s">
        <v>1340</v>
      </c>
      <c r="M1237" s="286">
        <v>3</v>
      </c>
      <c r="N1237" s="287">
        <v>0</v>
      </c>
      <c r="O1237" s="305">
        <f>EOMONTH(B1237,0)</f>
        <v>45016</v>
      </c>
      <c r="P1237" s="286" t="s">
        <v>37</v>
      </c>
    </row>
    <row r="1238" spans="1:16" hidden="1" x14ac:dyDescent="0.15">
      <c r="A1238" s="286">
        <v>182544</v>
      </c>
      <c r="B1238" s="288">
        <v>44999.623611111114</v>
      </c>
      <c r="C1238" s="286" t="s">
        <v>1667</v>
      </c>
      <c r="D1238" s="286" t="s">
        <v>1309</v>
      </c>
      <c r="E1238" s="286" t="s">
        <v>1310</v>
      </c>
      <c r="F1238" s="286" t="s">
        <v>1990</v>
      </c>
      <c r="G1238" s="286" t="s">
        <v>1079</v>
      </c>
      <c r="H1238" s="286" t="s">
        <v>1079</v>
      </c>
      <c r="I1238" s="286" t="s">
        <v>1129</v>
      </c>
      <c r="J1238" s="286" t="s">
        <v>1312</v>
      </c>
      <c r="K1238" s="286" t="s">
        <v>1895</v>
      </c>
      <c r="L1238" s="286" t="s">
        <v>1896</v>
      </c>
      <c r="M1238" s="286">
        <v>2</v>
      </c>
      <c r="N1238" s="287">
        <v>0</v>
      </c>
      <c r="O1238" s="287"/>
      <c r="P1238" s="286" t="s">
        <v>164</v>
      </c>
    </row>
    <row r="1239" spans="1:16" hidden="1" x14ac:dyDescent="0.15">
      <c r="A1239" s="286">
        <v>182544</v>
      </c>
      <c r="B1239" s="288">
        <v>44999.623611111114</v>
      </c>
      <c r="C1239" s="286" t="s">
        <v>1667</v>
      </c>
      <c r="D1239" s="286" t="s">
        <v>1309</v>
      </c>
      <c r="E1239" s="286" t="s">
        <v>1310</v>
      </c>
      <c r="F1239" s="286" t="s">
        <v>1990</v>
      </c>
      <c r="G1239" s="286" t="s">
        <v>1079</v>
      </c>
      <c r="H1239" s="286" t="s">
        <v>1079</v>
      </c>
      <c r="I1239" s="286" t="s">
        <v>1129</v>
      </c>
      <c r="J1239" s="286" t="s">
        <v>1312</v>
      </c>
      <c r="K1239" s="286" t="s">
        <v>1861</v>
      </c>
      <c r="L1239" s="286" t="s">
        <v>1862</v>
      </c>
      <c r="M1239" s="286">
        <v>2</v>
      </c>
      <c r="N1239" s="287">
        <v>0</v>
      </c>
      <c r="O1239" s="287"/>
      <c r="P1239" s="286" t="s">
        <v>164</v>
      </c>
    </row>
    <row r="1240" spans="1:16" hidden="1" x14ac:dyDescent="0.15">
      <c r="A1240" s="286">
        <v>182544</v>
      </c>
      <c r="B1240" s="288">
        <v>44999.623611111114</v>
      </c>
      <c r="C1240" s="286" t="s">
        <v>1667</v>
      </c>
      <c r="D1240" s="286" t="s">
        <v>1309</v>
      </c>
      <c r="E1240" s="286" t="s">
        <v>1310</v>
      </c>
      <c r="F1240" s="286" t="s">
        <v>1990</v>
      </c>
      <c r="G1240" s="286" t="s">
        <v>1079</v>
      </c>
      <c r="H1240" s="286" t="s">
        <v>1079</v>
      </c>
      <c r="I1240" s="286" t="s">
        <v>1129</v>
      </c>
      <c r="J1240" s="286" t="s">
        <v>1312</v>
      </c>
      <c r="K1240" s="286" t="s">
        <v>1991</v>
      </c>
      <c r="L1240" s="286" t="s">
        <v>1992</v>
      </c>
      <c r="M1240" s="286">
        <v>1</v>
      </c>
      <c r="N1240" s="287">
        <v>0</v>
      </c>
      <c r="O1240" s="287"/>
      <c r="P1240" s="286" t="s">
        <v>164</v>
      </c>
    </row>
    <row r="1241" spans="1:16" hidden="1" x14ac:dyDescent="0.15">
      <c r="A1241" s="286">
        <v>182544</v>
      </c>
      <c r="B1241" s="288">
        <v>44999.623611111114</v>
      </c>
      <c r="C1241" s="286" t="s">
        <v>1667</v>
      </c>
      <c r="D1241" s="286" t="s">
        <v>1309</v>
      </c>
      <c r="E1241" s="286" t="s">
        <v>1310</v>
      </c>
      <c r="F1241" s="286" t="s">
        <v>1990</v>
      </c>
      <c r="G1241" s="286" t="s">
        <v>1079</v>
      </c>
      <c r="H1241" s="286" t="s">
        <v>1079</v>
      </c>
      <c r="I1241" s="286" t="s">
        <v>1129</v>
      </c>
      <c r="J1241" s="286" t="s">
        <v>1312</v>
      </c>
      <c r="K1241" s="286" t="s">
        <v>530</v>
      </c>
      <c r="L1241" s="286" t="s">
        <v>531</v>
      </c>
      <c r="M1241" s="286">
        <v>1</v>
      </c>
      <c r="N1241" s="287">
        <v>0</v>
      </c>
      <c r="O1241" s="287"/>
      <c r="P1241" s="286" t="s">
        <v>164</v>
      </c>
    </row>
    <row r="1242" spans="1:16" hidden="1" x14ac:dyDescent="0.15">
      <c r="A1242" s="286">
        <v>182544</v>
      </c>
      <c r="B1242" s="288">
        <v>44999.623611111114</v>
      </c>
      <c r="C1242" s="286" t="s">
        <v>1667</v>
      </c>
      <c r="D1242" s="286" t="s">
        <v>1309</v>
      </c>
      <c r="E1242" s="286" t="s">
        <v>1310</v>
      </c>
      <c r="F1242" s="286" t="s">
        <v>1990</v>
      </c>
      <c r="G1242" s="286" t="s">
        <v>1079</v>
      </c>
      <c r="H1242" s="286" t="s">
        <v>1079</v>
      </c>
      <c r="I1242" s="286" t="s">
        <v>1129</v>
      </c>
      <c r="J1242" s="286" t="s">
        <v>1312</v>
      </c>
      <c r="K1242" s="286" t="s">
        <v>1939</v>
      </c>
      <c r="L1242" s="286" t="s">
        <v>1940</v>
      </c>
      <c r="M1242" s="286">
        <v>1</v>
      </c>
      <c r="N1242" s="287">
        <v>0</v>
      </c>
      <c r="O1242" s="287"/>
      <c r="P1242" s="286" t="s">
        <v>164</v>
      </c>
    </row>
    <row r="1243" spans="1:16" hidden="1" x14ac:dyDescent="0.15">
      <c r="A1243" s="286">
        <v>183420</v>
      </c>
      <c r="B1243" s="288">
        <v>45000.676388888889</v>
      </c>
      <c r="C1243" s="286" t="s">
        <v>1667</v>
      </c>
      <c r="D1243" s="286" t="s">
        <v>1309</v>
      </c>
      <c r="E1243" s="286" t="s">
        <v>1310</v>
      </c>
      <c r="F1243" s="286" t="s">
        <v>1993</v>
      </c>
      <c r="G1243" s="286" t="s">
        <v>1079</v>
      </c>
      <c r="H1243" s="286" t="s">
        <v>1079</v>
      </c>
      <c r="I1243" s="286" t="s">
        <v>1108</v>
      </c>
      <c r="J1243" s="286" t="s">
        <v>53</v>
      </c>
      <c r="K1243" s="286" t="s">
        <v>1339</v>
      </c>
      <c r="L1243" s="286" t="s">
        <v>1340</v>
      </c>
      <c r="M1243" s="286">
        <v>1</v>
      </c>
      <c r="N1243" s="287">
        <v>0</v>
      </c>
      <c r="O1243" s="305">
        <f t="shared" ref="O1243:O1244" si="12">EOMONTH(B1243,0)</f>
        <v>45016</v>
      </c>
      <c r="P1243" s="286" t="s">
        <v>37</v>
      </c>
    </row>
    <row r="1244" spans="1:16" hidden="1" x14ac:dyDescent="0.15">
      <c r="A1244" s="286">
        <v>186728</v>
      </c>
      <c r="B1244" s="288">
        <v>45006.631249999999</v>
      </c>
      <c r="C1244" s="286" t="s">
        <v>1667</v>
      </c>
      <c r="D1244" s="286" t="s">
        <v>1309</v>
      </c>
      <c r="E1244" s="286" t="s">
        <v>1310</v>
      </c>
      <c r="F1244" s="286" t="s">
        <v>1994</v>
      </c>
      <c r="G1244" s="286" t="s">
        <v>1025</v>
      </c>
      <c r="H1244" s="286" t="s">
        <v>1025</v>
      </c>
      <c r="I1244" s="286" t="s">
        <v>1108</v>
      </c>
      <c r="J1244" s="286" t="s">
        <v>1312</v>
      </c>
      <c r="K1244" s="286" t="s">
        <v>1339</v>
      </c>
      <c r="L1244" s="286" t="s">
        <v>1340</v>
      </c>
      <c r="M1244" s="286">
        <v>1</v>
      </c>
      <c r="N1244" s="287">
        <v>0</v>
      </c>
      <c r="O1244" s="305">
        <f t="shared" si="12"/>
        <v>45016</v>
      </c>
      <c r="P1244" s="286" t="s">
        <v>37</v>
      </c>
    </row>
    <row r="1245" spans="1:16" hidden="1" x14ac:dyDescent="0.15">
      <c r="A1245" s="286">
        <v>187343</v>
      </c>
      <c r="B1245" s="288">
        <v>45008.688888888886</v>
      </c>
      <c r="C1245" s="286" t="s">
        <v>1667</v>
      </c>
      <c r="D1245" s="286" t="s">
        <v>1309</v>
      </c>
      <c r="E1245" s="286" t="s">
        <v>1310</v>
      </c>
      <c r="F1245" s="286" t="s">
        <v>1995</v>
      </c>
      <c r="G1245" s="286" t="s">
        <v>1073</v>
      </c>
      <c r="H1245" s="286" t="s">
        <v>1073</v>
      </c>
      <c r="I1245" s="286" t="s">
        <v>1152</v>
      </c>
      <c r="J1245" s="286" t="s">
        <v>1312</v>
      </c>
      <c r="K1245" s="286" t="s">
        <v>1972</v>
      </c>
      <c r="L1245" s="286" t="s">
        <v>1973</v>
      </c>
      <c r="M1245" s="286">
        <v>1</v>
      </c>
      <c r="N1245" s="287">
        <v>0</v>
      </c>
      <c r="O1245" s="287"/>
      <c r="P1245" s="286" t="s">
        <v>58</v>
      </c>
    </row>
    <row r="1246" spans="1:16" hidden="1" x14ac:dyDescent="0.15">
      <c r="A1246" s="286">
        <v>188236</v>
      </c>
      <c r="B1246" s="288">
        <v>45009.703472222223</v>
      </c>
      <c r="C1246" s="286" t="s">
        <v>1667</v>
      </c>
      <c r="D1246" s="286" t="s">
        <v>1309</v>
      </c>
      <c r="E1246" s="286" t="s">
        <v>1310</v>
      </c>
      <c r="F1246" s="286" t="s">
        <v>1852</v>
      </c>
      <c r="G1246" s="286" t="s">
        <v>1025</v>
      </c>
      <c r="H1246" s="286" t="s">
        <v>1025</v>
      </c>
      <c r="I1246" s="286" t="s">
        <v>1152</v>
      </c>
      <c r="J1246" s="286" t="s">
        <v>1312</v>
      </c>
      <c r="K1246" s="286" t="s">
        <v>1996</v>
      </c>
      <c r="L1246" s="286" t="s">
        <v>1997</v>
      </c>
      <c r="M1246" s="286">
        <v>2</v>
      </c>
      <c r="N1246" s="287">
        <v>0</v>
      </c>
      <c r="O1246" s="287"/>
      <c r="P1246" s="286" t="s">
        <v>58</v>
      </c>
    </row>
    <row r="1247" spans="1:16" hidden="1" x14ac:dyDescent="0.15">
      <c r="A1247" s="286">
        <v>189014</v>
      </c>
      <c r="B1247" s="288">
        <v>45012.574305555558</v>
      </c>
      <c r="C1247" s="286" t="s">
        <v>1667</v>
      </c>
      <c r="D1247" s="286" t="s">
        <v>1309</v>
      </c>
      <c r="E1247" s="286" t="s">
        <v>1310</v>
      </c>
      <c r="F1247" s="286" t="s">
        <v>1998</v>
      </c>
      <c r="G1247" s="286" t="s">
        <v>1063</v>
      </c>
      <c r="H1247" s="286" t="s">
        <v>1063</v>
      </c>
      <c r="I1247" s="286" t="s">
        <v>1152</v>
      </c>
      <c r="J1247" s="286" t="s">
        <v>1312</v>
      </c>
      <c r="K1247" s="286" t="s">
        <v>1972</v>
      </c>
      <c r="L1247" s="286" t="s">
        <v>1973</v>
      </c>
      <c r="M1247" s="286">
        <v>1</v>
      </c>
      <c r="N1247" s="287">
        <v>0</v>
      </c>
      <c r="O1247" s="287"/>
      <c r="P1247" s="286" t="s">
        <v>58</v>
      </c>
    </row>
    <row r="1248" spans="1:16" hidden="1" x14ac:dyDescent="0.15">
      <c r="A1248" s="286">
        <v>192550</v>
      </c>
      <c r="B1248" s="288">
        <v>45015.552777777775</v>
      </c>
      <c r="C1248" s="286" t="s">
        <v>1667</v>
      </c>
      <c r="D1248" s="286" t="s">
        <v>1309</v>
      </c>
      <c r="E1248" s="286" t="s">
        <v>1310</v>
      </c>
      <c r="F1248" s="286" t="s">
        <v>1999</v>
      </c>
      <c r="G1248" s="286" t="s">
        <v>1073</v>
      </c>
      <c r="H1248" s="286" t="s">
        <v>1073</v>
      </c>
      <c r="I1248" s="286" t="s">
        <v>1109</v>
      </c>
      <c r="J1248" s="286" t="s">
        <v>1312</v>
      </c>
      <c r="K1248" s="286" t="s">
        <v>2000</v>
      </c>
      <c r="L1248" s="286" t="s">
        <v>2001</v>
      </c>
      <c r="M1248" s="286">
        <v>1</v>
      </c>
      <c r="N1248" s="287">
        <v>0</v>
      </c>
      <c r="O1248" s="287"/>
      <c r="P1248" s="286" t="s">
        <v>600</v>
      </c>
    </row>
    <row r="1249" spans="1:16" hidden="1" x14ac:dyDescent="0.15">
      <c r="A1249" s="286">
        <v>193725</v>
      </c>
      <c r="B1249" s="288">
        <v>45016.557638888888</v>
      </c>
      <c r="C1249" s="286" t="s">
        <v>1667</v>
      </c>
      <c r="D1249" s="286" t="s">
        <v>1309</v>
      </c>
      <c r="E1249" s="286" t="s">
        <v>1310</v>
      </c>
      <c r="F1249" s="286" t="s">
        <v>2002</v>
      </c>
      <c r="G1249" s="286" t="s">
        <v>1007</v>
      </c>
      <c r="H1249" s="286" t="s">
        <v>1007</v>
      </c>
      <c r="I1249" s="286" t="s">
        <v>1282</v>
      </c>
      <c r="J1249" s="286" t="s">
        <v>1312</v>
      </c>
      <c r="K1249" s="286" t="s">
        <v>202</v>
      </c>
      <c r="L1249" s="286" t="s">
        <v>203</v>
      </c>
      <c r="M1249" s="286">
        <v>1</v>
      </c>
      <c r="N1249" s="287">
        <v>0</v>
      </c>
      <c r="O1249" s="287"/>
      <c r="P1249" s="286" t="s">
        <v>201</v>
      </c>
    </row>
    <row r="1250" spans="1:16" hidden="1" x14ac:dyDescent="0.15">
      <c r="A1250" s="286">
        <v>196426</v>
      </c>
      <c r="B1250" s="288">
        <v>45022.645138888889</v>
      </c>
      <c r="C1250" s="286" t="s">
        <v>1657</v>
      </c>
      <c r="D1250" s="286" t="s">
        <v>1309</v>
      </c>
      <c r="E1250" s="286" t="s">
        <v>1310</v>
      </c>
      <c r="F1250" s="286" t="s">
        <v>2003</v>
      </c>
      <c r="G1250" s="286" t="s">
        <v>1073</v>
      </c>
      <c r="H1250" s="286" t="s">
        <v>1073</v>
      </c>
      <c r="I1250" s="286" t="s">
        <v>1108</v>
      </c>
      <c r="J1250" s="286" t="s">
        <v>53</v>
      </c>
      <c r="K1250" s="286" t="s">
        <v>1339</v>
      </c>
      <c r="L1250" s="286" t="s">
        <v>1340</v>
      </c>
      <c r="M1250" s="286">
        <v>1</v>
      </c>
      <c r="N1250" s="287">
        <v>0</v>
      </c>
      <c r="O1250" s="305">
        <f>EOMONTH(B1250,0)</f>
        <v>45046</v>
      </c>
      <c r="P1250" s="286" t="s">
        <v>37</v>
      </c>
    </row>
    <row r="1251" spans="1:16" hidden="1" x14ac:dyDescent="0.15">
      <c r="A1251" s="286">
        <v>201556</v>
      </c>
      <c r="B1251" s="288">
        <v>45029.540972222225</v>
      </c>
      <c r="C1251" s="286" t="s">
        <v>1657</v>
      </c>
      <c r="D1251" s="286" t="s">
        <v>1105</v>
      </c>
      <c r="E1251" s="286" t="s">
        <v>1106</v>
      </c>
      <c r="F1251" s="286" t="s">
        <v>1722</v>
      </c>
      <c r="G1251" s="286" t="s">
        <v>1009</v>
      </c>
      <c r="H1251" s="286" t="s">
        <v>1009</v>
      </c>
      <c r="I1251" s="286" t="s">
        <v>1152</v>
      </c>
      <c r="J1251" s="286" t="s">
        <v>1312</v>
      </c>
      <c r="K1251" s="286" t="s">
        <v>53</v>
      </c>
      <c r="L1251" s="286" t="s">
        <v>53</v>
      </c>
      <c r="M1251" s="286" t="s">
        <v>53</v>
      </c>
      <c r="N1251" s="287">
        <v>0</v>
      </c>
      <c r="O1251" s="287"/>
      <c r="P1251" s="286" t="s">
        <v>58</v>
      </c>
    </row>
    <row r="1252" spans="1:16" hidden="1" x14ac:dyDescent="0.15">
      <c r="A1252" s="286">
        <v>201698</v>
      </c>
      <c r="B1252" s="288">
        <v>45029.716666666667</v>
      </c>
      <c r="C1252" s="286" t="s">
        <v>1657</v>
      </c>
      <c r="D1252" s="286" t="s">
        <v>1309</v>
      </c>
      <c r="E1252" s="286" t="s">
        <v>1310</v>
      </c>
      <c r="F1252" s="286" t="s">
        <v>2004</v>
      </c>
      <c r="G1252" s="286" t="s">
        <v>1056</v>
      </c>
      <c r="H1252" s="286" t="s">
        <v>1056</v>
      </c>
      <c r="I1252" s="286" t="s">
        <v>1152</v>
      </c>
      <c r="J1252" s="286" t="s">
        <v>1312</v>
      </c>
      <c r="K1252" s="286" t="s">
        <v>1972</v>
      </c>
      <c r="L1252" s="286" t="s">
        <v>1973</v>
      </c>
      <c r="M1252" s="286">
        <v>1</v>
      </c>
      <c r="N1252" s="287">
        <v>0</v>
      </c>
      <c r="O1252" s="287"/>
      <c r="P1252" s="286" t="s">
        <v>58</v>
      </c>
    </row>
    <row r="1253" spans="1:16" hidden="1" x14ac:dyDescent="0.15">
      <c r="A1253" s="286">
        <v>211587</v>
      </c>
      <c r="B1253" s="288">
        <v>45040.680555555555</v>
      </c>
      <c r="C1253" s="286" t="s">
        <v>1657</v>
      </c>
      <c r="D1253" s="286" t="s">
        <v>1309</v>
      </c>
      <c r="E1253" s="286" t="s">
        <v>1310</v>
      </c>
      <c r="F1253" s="286" t="s">
        <v>2005</v>
      </c>
      <c r="G1253" s="286" t="s">
        <v>1079</v>
      </c>
      <c r="H1253" s="286" t="s">
        <v>1079</v>
      </c>
      <c r="I1253" s="286" t="s">
        <v>1129</v>
      </c>
      <c r="J1253" s="286" t="s">
        <v>1312</v>
      </c>
      <c r="K1253" s="286" t="s">
        <v>1819</v>
      </c>
      <c r="L1253" s="286" t="s">
        <v>1820</v>
      </c>
      <c r="M1253" s="286">
        <v>1</v>
      </c>
      <c r="N1253" s="287">
        <v>0</v>
      </c>
      <c r="O1253" s="287"/>
      <c r="P1253" s="286" t="s">
        <v>164</v>
      </c>
    </row>
    <row r="1254" spans="1:16" hidden="1" x14ac:dyDescent="0.15">
      <c r="A1254" s="286">
        <v>213605</v>
      </c>
      <c r="B1254" s="288">
        <v>45041.88958333333</v>
      </c>
      <c r="C1254" s="286" t="s">
        <v>1657</v>
      </c>
      <c r="D1254" s="286" t="s">
        <v>1309</v>
      </c>
      <c r="E1254" s="286" t="s">
        <v>1310</v>
      </c>
      <c r="F1254" s="286" t="s">
        <v>2006</v>
      </c>
      <c r="G1254" s="286" t="s">
        <v>1091</v>
      </c>
      <c r="H1254" s="286" t="s">
        <v>1091</v>
      </c>
      <c r="I1254" s="286" t="s">
        <v>1129</v>
      </c>
      <c r="J1254" s="286" t="s">
        <v>1312</v>
      </c>
      <c r="K1254" s="286" t="s">
        <v>530</v>
      </c>
      <c r="L1254" s="286" t="s">
        <v>531</v>
      </c>
      <c r="M1254" s="286">
        <v>150</v>
      </c>
      <c r="N1254" s="287">
        <v>0</v>
      </c>
      <c r="O1254" s="287"/>
      <c r="P1254" s="286" t="s">
        <v>164</v>
      </c>
    </row>
    <row r="1255" spans="1:16" hidden="1" x14ac:dyDescent="0.15">
      <c r="A1255" s="286">
        <v>222828</v>
      </c>
      <c r="B1255" s="288">
        <v>45055.725694444445</v>
      </c>
      <c r="C1255" s="286" t="s">
        <v>1665</v>
      </c>
      <c r="D1255" s="286" t="s">
        <v>1309</v>
      </c>
      <c r="E1255" s="286" t="s">
        <v>1310</v>
      </c>
      <c r="F1255" s="286" t="s">
        <v>2007</v>
      </c>
      <c r="G1255" s="286" t="s">
        <v>1011</v>
      </c>
      <c r="H1255" s="286" t="s">
        <v>1011</v>
      </c>
      <c r="I1255" s="286" t="s">
        <v>1108</v>
      </c>
      <c r="J1255" s="286" t="s">
        <v>53</v>
      </c>
      <c r="K1255" s="286" t="s">
        <v>1339</v>
      </c>
      <c r="L1255" s="286" t="s">
        <v>1340</v>
      </c>
      <c r="M1255" s="286">
        <v>8</v>
      </c>
      <c r="N1255" s="287">
        <v>0</v>
      </c>
      <c r="O1255" s="305">
        <f>EOMONTH(B1255,0)</f>
        <v>45077</v>
      </c>
      <c r="P1255" s="286" t="s">
        <v>37</v>
      </c>
    </row>
    <row r="1256" spans="1:16" hidden="1" x14ac:dyDescent="0.15">
      <c r="A1256" s="286">
        <v>223029</v>
      </c>
      <c r="B1256" s="288">
        <v>45055.727083333331</v>
      </c>
      <c r="C1256" s="286" t="s">
        <v>1665</v>
      </c>
      <c r="D1256" s="286" t="s">
        <v>1309</v>
      </c>
      <c r="E1256" s="286" t="s">
        <v>1310</v>
      </c>
      <c r="F1256" s="286" t="s">
        <v>2008</v>
      </c>
      <c r="G1256" s="286" t="s">
        <v>1016</v>
      </c>
      <c r="H1256" s="286" t="s">
        <v>1016</v>
      </c>
      <c r="I1256" s="286" t="s">
        <v>1152</v>
      </c>
      <c r="J1256" s="286" t="s">
        <v>1312</v>
      </c>
      <c r="K1256" s="286" t="s">
        <v>1959</v>
      </c>
      <c r="L1256" s="286" t="s">
        <v>1960</v>
      </c>
      <c r="M1256" s="286">
        <v>1</v>
      </c>
      <c r="N1256" s="287">
        <v>0</v>
      </c>
      <c r="O1256" s="287"/>
      <c r="P1256" s="286" t="s">
        <v>58</v>
      </c>
    </row>
    <row r="1257" spans="1:16" hidden="1" x14ac:dyDescent="0.15">
      <c r="A1257" s="286">
        <v>225198</v>
      </c>
      <c r="B1257" s="288">
        <v>45058.353472222225</v>
      </c>
      <c r="C1257" s="286" t="s">
        <v>1665</v>
      </c>
      <c r="D1257" s="286" t="s">
        <v>1309</v>
      </c>
      <c r="E1257" s="286" t="s">
        <v>1310</v>
      </c>
      <c r="F1257" s="286" t="s">
        <v>2009</v>
      </c>
      <c r="G1257" s="286" t="s">
        <v>1027</v>
      </c>
      <c r="H1257" s="286" t="s">
        <v>1027</v>
      </c>
      <c r="I1257" s="286" t="s">
        <v>1129</v>
      </c>
      <c r="J1257" s="286" t="s">
        <v>1312</v>
      </c>
      <c r="K1257" s="286" t="s">
        <v>1402</v>
      </c>
      <c r="L1257" s="286" t="s">
        <v>1403</v>
      </c>
      <c r="M1257" s="286">
        <v>1</v>
      </c>
      <c r="N1257" s="287">
        <v>0</v>
      </c>
      <c r="O1257" s="287"/>
      <c r="P1257" s="286" t="s">
        <v>164</v>
      </c>
    </row>
    <row r="1258" spans="1:16" hidden="1" x14ac:dyDescent="0.15">
      <c r="A1258" s="286">
        <v>225198</v>
      </c>
      <c r="B1258" s="288">
        <v>45058.353472222225</v>
      </c>
      <c r="C1258" s="286" t="s">
        <v>1665</v>
      </c>
      <c r="D1258" s="286" t="s">
        <v>1309</v>
      </c>
      <c r="E1258" s="286" t="s">
        <v>1310</v>
      </c>
      <c r="F1258" s="286" t="s">
        <v>2009</v>
      </c>
      <c r="G1258" s="286" t="s">
        <v>1027</v>
      </c>
      <c r="H1258" s="286" t="s">
        <v>1027</v>
      </c>
      <c r="I1258" s="286" t="s">
        <v>1129</v>
      </c>
      <c r="J1258" s="286" t="s">
        <v>1312</v>
      </c>
      <c r="K1258" s="286" t="s">
        <v>1514</v>
      </c>
      <c r="L1258" s="286" t="s">
        <v>1515</v>
      </c>
      <c r="M1258" s="286">
        <v>1</v>
      </c>
      <c r="N1258" s="287">
        <v>0</v>
      </c>
      <c r="O1258" s="287"/>
      <c r="P1258" s="286" t="s">
        <v>164</v>
      </c>
    </row>
    <row r="1259" spans="1:16" hidden="1" x14ac:dyDescent="0.15">
      <c r="A1259" s="286">
        <v>225409</v>
      </c>
      <c r="B1259" s="288">
        <v>45058.522222222222</v>
      </c>
      <c r="C1259" s="286" t="s">
        <v>1665</v>
      </c>
      <c r="D1259" s="286" t="s">
        <v>1105</v>
      </c>
      <c r="E1259" s="286" t="s">
        <v>1106</v>
      </c>
      <c r="F1259" s="286" t="s">
        <v>1723</v>
      </c>
      <c r="G1259" s="286" t="s">
        <v>53</v>
      </c>
      <c r="H1259" s="286" t="s">
        <v>53</v>
      </c>
      <c r="I1259" s="286" t="s">
        <v>1228</v>
      </c>
      <c r="J1259" s="286" t="s">
        <v>1312</v>
      </c>
      <c r="K1259" s="286" t="s">
        <v>53</v>
      </c>
      <c r="L1259" s="286" t="s">
        <v>53</v>
      </c>
      <c r="M1259" s="286" t="s">
        <v>53</v>
      </c>
      <c r="N1259" s="287">
        <v>0</v>
      </c>
      <c r="O1259" s="287"/>
      <c r="P1259" s="286" t="s">
        <v>58</v>
      </c>
    </row>
    <row r="1260" spans="1:16" hidden="1" x14ac:dyDescent="0.15">
      <c r="A1260" s="286">
        <v>225409</v>
      </c>
      <c r="B1260" s="288">
        <v>45058.522222222222</v>
      </c>
      <c r="C1260" s="286" t="s">
        <v>1665</v>
      </c>
      <c r="D1260" s="286" t="s">
        <v>1105</v>
      </c>
      <c r="E1260" s="286" t="s">
        <v>1106</v>
      </c>
      <c r="F1260" s="286" t="s">
        <v>1723</v>
      </c>
      <c r="G1260" s="286" t="s">
        <v>1009</v>
      </c>
      <c r="H1260" s="286" t="s">
        <v>1009</v>
      </c>
      <c r="I1260" s="286" t="s">
        <v>1152</v>
      </c>
      <c r="J1260" s="286" t="s">
        <v>1312</v>
      </c>
      <c r="K1260" s="286" t="s">
        <v>53</v>
      </c>
      <c r="L1260" s="286" t="s">
        <v>53</v>
      </c>
      <c r="M1260" s="286" t="s">
        <v>53</v>
      </c>
      <c r="N1260" s="287">
        <v>0</v>
      </c>
      <c r="O1260" s="287"/>
      <c r="P1260" s="286" t="s">
        <v>58</v>
      </c>
    </row>
    <row r="1261" spans="1:16" hidden="1" x14ac:dyDescent="0.15">
      <c r="A1261" s="286">
        <v>226584</v>
      </c>
      <c r="B1261" s="288">
        <v>45061.714583333334</v>
      </c>
      <c r="C1261" s="286" t="s">
        <v>1665</v>
      </c>
      <c r="D1261" s="286" t="s">
        <v>1309</v>
      </c>
      <c r="E1261" s="286" t="s">
        <v>1310</v>
      </c>
      <c r="F1261" s="286" t="s">
        <v>2010</v>
      </c>
      <c r="G1261" s="286" t="s">
        <v>1067</v>
      </c>
      <c r="H1261" s="286" t="s">
        <v>1067</v>
      </c>
      <c r="I1261" s="286" t="s">
        <v>1129</v>
      </c>
      <c r="J1261" s="286" t="s">
        <v>1312</v>
      </c>
      <c r="K1261" s="286" t="s">
        <v>2011</v>
      </c>
      <c r="L1261" s="286" t="s">
        <v>2012</v>
      </c>
      <c r="M1261" s="286">
        <v>1</v>
      </c>
      <c r="N1261" s="287">
        <v>0</v>
      </c>
      <c r="O1261" s="287"/>
      <c r="P1261" s="286" t="s">
        <v>164</v>
      </c>
    </row>
    <row r="1262" spans="1:16" hidden="1" x14ac:dyDescent="0.15">
      <c r="A1262" s="286">
        <v>229018</v>
      </c>
      <c r="B1262" s="288">
        <v>45062.722916666666</v>
      </c>
      <c r="C1262" s="286" t="s">
        <v>1665</v>
      </c>
      <c r="D1262" s="286" t="s">
        <v>1309</v>
      </c>
      <c r="E1262" s="286" t="s">
        <v>1310</v>
      </c>
      <c r="F1262" s="286" t="s">
        <v>2013</v>
      </c>
      <c r="G1262" s="286" t="s">
        <v>1045</v>
      </c>
      <c r="H1262" s="286" t="s">
        <v>1045</v>
      </c>
      <c r="I1262" s="286" t="s">
        <v>1152</v>
      </c>
      <c r="J1262" s="286" t="s">
        <v>1312</v>
      </c>
      <c r="K1262" s="286" t="s">
        <v>1562</v>
      </c>
      <c r="L1262" s="286" t="s">
        <v>1563</v>
      </c>
      <c r="M1262" s="286">
        <v>1</v>
      </c>
      <c r="N1262" s="287">
        <v>0</v>
      </c>
      <c r="O1262" s="287"/>
      <c r="P1262" s="286" t="s">
        <v>58</v>
      </c>
    </row>
    <row r="1263" spans="1:16" hidden="1" x14ac:dyDescent="0.15">
      <c r="A1263" s="286">
        <v>231763</v>
      </c>
      <c r="B1263" s="288">
        <v>45064.70208333333</v>
      </c>
      <c r="C1263" s="286" t="s">
        <v>1665</v>
      </c>
      <c r="D1263" s="286" t="s">
        <v>1309</v>
      </c>
      <c r="E1263" s="286" t="s">
        <v>1310</v>
      </c>
      <c r="F1263" s="286" t="s">
        <v>2014</v>
      </c>
      <c r="G1263" s="286" t="s">
        <v>1064</v>
      </c>
      <c r="H1263" s="286" t="s">
        <v>1064</v>
      </c>
      <c r="I1263" s="286" t="s">
        <v>1282</v>
      </c>
      <c r="J1263" s="286" t="s">
        <v>1312</v>
      </c>
      <c r="K1263" s="286" t="s">
        <v>202</v>
      </c>
      <c r="L1263" s="286" t="s">
        <v>203</v>
      </c>
      <c r="M1263" s="286">
        <v>1</v>
      </c>
      <c r="N1263" s="287">
        <v>0</v>
      </c>
      <c r="O1263" s="287"/>
      <c r="P1263" s="286" t="s">
        <v>201</v>
      </c>
    </row>
    <row r="1264" spans="1:16" hidden="1" x14ac:dyDescent="0.15">
      <c r="A1264" s="286">
        <v>232130</v>
      </c>
      <c r="B1264" s="288">
        <v>45065.711805555555</v>
      </c>
      <c r="C1264" s="286" t="s">
        <v>1665</v>
      </c>
      <c r="D1264" s="286" t="s">
        <v>1309</v>
      </c>
      <c r="E1264" s="286" t="s">
        <v>1310</v>
      </c>
      <c r="F1264" s="286" t="s">
        <v>2015</v>
      </c>
      <c r="G1264" s="286" t="s">
        <v>1061</v>
      </c>
      <c r="H1264" s="286" t="s">
        <v>1061</v>
      </c>
      <c r="I1264" s="286" t="s">
        <v>1129</v>
      </c>
      <c r="J1264" s="286" t="s">
        <v>1312</v>
      </c>
      <c r="K1264" s="286" t="s">
        <v>1576</v>
      </c>
      <c r="L1264" s="286" t="s">
        <v>1577</v>
      </c>
      <c r="M1264" s="286">
        <v>2</v>
      </c>
      <c r="N1264" s="287">
        <v>0</v>
      </c>
      <c r="O1264" s="287"/>
      <c r="P1264" s="286" t="s">
        <v>164</v>
      </c>
    </row>
    <row r="1265" spans="1:16" hidden="1" x14ac:dyDescent="0.15">
      <c r="A1265" s="286">
        <v>232231</v>
      </c>
      <c r="B1265" s="288">
        <v>45065.712500000001</v>
      </c>
      <c r="C1265" s="286" t="s">
        <v>1665</v>
      </c>
      <c r="D1265" s="286" t="s">
        <v>1309</v>
      </c>
      <c r="E1265" s="286" t="s">
        <v>1310</v>
      </c>
      <c r="F1265" s="286" t="s">
        <v>2016</v>
      </c>
      <c r="G1265" s="286" t="s">
        <v>1073</v>
      </c>
      <c r="H1265" s="286" t="s">
        <v>1073</v>
      </c>
      <c r="I1265" s="286" t="s">
        <v>1108</v>
      </c>
      <c r="J1265" s="286" t="s">
        <v>53</v>
      </c>
      <c r="K1265" s="286" t="s">
        <v>1339</v>
      </c>
      <c r="L1265" s="286" t="s">
        <v>1340</v>
      </c>
      <c r="M1265" s="286">
        <v>1</v>
      </c>
      <c r="N1265" s="287">
        <v>0</v>
      </c>
      <c r="O1265" s="305">
        <f>EOMONTH(B1265,0)</f>
        <v>45077</v>
      </c>
      <c r="P1265" s="286" t="s">
        <v>37</v>
      </c>
    </row>
    <row r="1266" spans="1:16" hidden="1" x14ac:dyDescent="0.15">
      <c r="A1266" s="286">
        <v>244277</v>
      </c>
      <c r="B1266" s="288">
        <v>45079.719444444447</v>
      </c>
      <c r="C1266" s="286" t="s">
        <v>1649</v>
      </c>
      <c r="D1266" s="286" t="s">
        <v>1309</v>
      </c>
      <c r="E1266" s="286" t="s">
        <v>1310</v>
      </c>
      <c r="F1266" s="286" t="s">
        <v>1818</v>
      </c>
      <c r="G1266" s="286" t="s">
        <v>1012</v>
      </c>
      <c r="H1266" s="286" t="s">
        <v>1012</v>
      </c>
      <c r="I1266" s="286" t="s">
        <v>1129</v>
      </c>
      <c r="J1266" s="286" t="s">
        <v>1312</v>
      </c>
      <c r="K1266" s="286" t="s">
        <v>2017</v>
      </c>
      <c r="L1266" s="286" t="s">
        <v>2018</v>
      </c>
      <c r="M1266" s="286">
        <v>1</v>
      </c>
      <c r="N1266" s="287">
        <v>0</v>
      </c>
      <c r="O1266" s="287"/>
      <c r="P1266" s="286" t="s">
        <v>164</v>
      </c>
    </row>
    <row r="1267" spans="1:16" hidden="1" x14ac:dyDescent="0.15">
      <c r="A1267" s="286">
        <v>267492</v>
      </c>
      <c r="B1267" s="288">
        <v>45106.408333333333</v>
      </c>
      <c r="C1267" s="286" t="s">
        <v>1649</v>
      </c>
      <c r="D1267" s="286" t="s">
        <v>1309</v>
      </c>
      <c r="E1267" s="286" t="s">
        <v>1310</v>
      </c>
      <c r="F1267" s="286" t="s">
        <v>2019</v>
      </c>
      <c r="G1267" s="286" t="s">
        <v>1058</v>
      </c>
      <c r="H1267" s="286" t="s">
        <v>1058</v>
      </c>
      <c r="I1267" s="286" t="s">
        <v>1211</v>
      </c>
      <c r="J1267" s="286" t="s">
        <v>1312</v>
      </c>
      <c r="K1267" s="286" t="s">
        <v>2020</v>
      </c>
      <c r="L1267" s="286" t="s">
        <v>2021</v>
      </c>
      <c r="M1267" s="286">
        <v>1</v>
      </c>
      <c r="N1267" s="287">
        <v>0</v>
      </c>
      <c r="O1267" s="287"/>
      <c r="P1267" s="286" t="s">
        <v>452</v>
      </c>
    </row>
    <row r="1268" spans="1:16" hidden="1" x14ac:dyDescent="0.15">
      <c r="A1268" s="286">
        <v>269009</v>
      </c>
      <c r="B1268" s="288">
        <v>45107.477083333331</v>
      </c>
      <c r="C1268" s="286" t="s">
        <v>1649</v>
      </c>
      <c r="D1268" s="286" t="s">
        <v>1105</v>
      </c>
      <c r="E1268" s="286" t="s">
        <v>1106</v>
      </c>
      <c r="F1268" s="286" t="s">
        <v>2022</v>
      </c>
      <c r="G1268" s="286" t="s">
        <v>1059</v>
      </c>
      <c r="H1268" s="286" t="s">
        <v>1059</v>
      </c>
      <c r="I1268" s="286" t="s">
        <v>1129</v>
      </c>
      <c r="J1268" s="286" t="s">
        <v>1312</v>
      </c>
      <c r="K1268" s="286" t="s">
        <v>2023</v>
      </c>
      <c r="L1268" s="286" t="s">
        <v>2024</v>
      </c>
      <c r="M1268" s="286">
        <v>1</v>
      </c>
      <c r="N1268" s="287">
        <v>0</v>
      </c>
      <c r="O1268" s="287"/>
      <c r="P1268" s="286" t="s">
        <v>164</v>
      </c>
    </row>
    <row r="1269" spans="1:16" hidden="1" x14ac:dyDescent="0.15">
      <c r="A1269" s="286">
        <v>269009</v>
      </c>
      <c r="B1269" s="288">
        <v>45107.477083333331</v>
      </c>
      <c r="C1269" s="286" t="s">
        <v>1649</v>
      </c>
      <c r="D1269" s="286" t="s">
        <v>1105</v>
      </c>
      <c r="E1269" s="286" t="s">
        <v>1106</v>
      </c>
      <c r="F1269" s="286" t="s">
        <v>2022</v>
      </c>
      <c r="G1269" s="286" t="s">
        <v>2025</v>
      </c>
      <c r="H1269" s="286" t="s">
        <v>2025</v>
      </c>
      <c r="I1269" s="286" t="s">
        <v>1108</v>
      </c>
      <c r="J1269" s="286" t="s">
        <v>53</v>
      </c>
      <c r="K1269" s="286" t="s">
        <v>1339</v>
      </c>
      <c r="L1269" s="286" t="s">
        <v>1340</v>
      </c>
      <c r="M1269" s="286">
        <v>1</v>
      </c>
      <c r="N1269" s="287">
        <v>0</v>
      </c>
      <c r="O1269" s="305">
        <f t="shared" ref="O1269:O1270" si="13">EOMONTH(B1269,0)</f>
        <v>45107</v>
      </c>
      <c r="P1269" s="286" t="s">
        <v>37</v>
      </c>
    </row>
    <row r="1270" spans="1:16" hidden="1" x14ac:dyDescent="0.15">
      <c r="A1270" s="286">
        <v>269009</v>
      </c>
      <c r="B1270" s="288">
        <v>45107.477083333331</v>
      </c>
      <c r="C1270" s="286" t="s">
        <v>1649</v>
      </c>
      <c r="D1270" s="286" t="s">
        <v>1105</v>
      </c>
      <c r="E1270" s="286" t="s">
        <v>1106</v>
      </c>
      <c r="F1270" s="286" t="s">
        <v>2022</v>
      </c>
      <c r="G1270" s="286" t="s">
        <v>1043</v>
      </c>
      <c r="H1270" s="286" t="s">
        <v>1043</v>
      </c>
      <c r="I1270" s="286" t="s">
        <v>1108</v>
      </c>
      <c r="J1270" s="286" t="s">
        <v>53</v>
      </c>
      <c r="K1270" s="286" t="s">
        <v>1339</v>
      </c>
      <c r="L1270" s="286" t="s">
        <v>1340</v>
      </c>
      <c r="M1270" s="286">
        <v>7</v>
      </c>
      <c r="N1270" s="287">
        <v>0</v>
      </c>
      <c r="O1270" s="305">
        <f t="shared" si="13"/>
        <v>45107</v>
      </c>
      <c r="P1270" s="286" t="s">
        <v>37</v>
      </c>
    </row>
    <row r="1271" spans="1:16" hidden="1" x14ac:dyDescent="0.15">
      <c r="A1271" s="286">
        <v>269963</v>
      </c>
      <c r="B1271" s="288">
        <v>45107.977777777778</v>
      </c>
      <c r="C1271" s="286" t="s">
        <v>1649</v>
      </c>
      <c r="D1271" s="286" t="s">
        <v>1309</v>
      </c>
      <c r="E1271" s="286" t="s">
        <v>1310</v>
      </c>
      <c r="F1271" s="286" t="s">
        <v>2026</v>
      </c>
      <c r="G1271" s="286" t="s">
        <v>1084</v>
      </c>
      <c r="H1271" s="286" t="s">
        <v>1442</v>
      </c>
      <c r="I1271" s="286" t="s">
        <v>1230</v>
      </c>
      <c r="J1271" s="286" t="s">
        <v>1312</v>
      </c>
      <c r="K1271" s="286" t="s">
        <v>2027</v>
      </c>
      <c r="L1271" s="286" t="s">
        <v>2028</v>
      </c>
      <c r="M1271" s="286">
        <v>1</v>
      </c>
      <c r="N1271" s="287">
        <v>0</v>
      </c>
      <c r="O1271" s="287"/>
      <c r="P1271" s="286" t="s">
        <v>175</v>
      </c>
    </row>
    <row r="1272" spans="1:16" hidden="1" x14ac:dyDescent="0.15">
      <c r="A1272" s="286">
        <v>269963</v>
      </c>
      <c r="B1272" s="288">
        <v>45107.977777777778</v>
      </c>
      <c r="C1272" s="286" t="s">
        <v>1649</v>
      </c>
      <c r="D1272" s="286" t="s">
        <v>1309</v>
      </c>
      <c r="E1272" s="286" t="s">
        <v>1310</v>
      </c>
      <c r="F1272" s="286" t="s">
        <v>2026</v>
      </c>
      <c r="G1272" s="286" t="s">
        <v>1084</v>
      </c>
      <c r="H1272" s="286" t="s">
        <v>1442</v>
      </c>
      <c r="I1272" s="286" t="s">
        <v>1230</v>
      </c>
      <c r="J1272" s="286" t="s">
        <v>1312</v>
      </c>
      <c r="K1272" s="286" t="s">
        <v>2029</v>
      </c>
      <c r="L1272" s="286" t="s">
        <v>2030</v>
      </c>
      <c r="M1272" s="286">
        <v>1</v>
      </c>
      <c r="N1272" s="287">
        <v>0</v>
      </c>
      <c r="O1272" s="287"/>
      <c r="P1272" s="286" t="s">
        <v>175</v>
      </c>
    </row>
    <row r="1273" spans="1:16" hidden="1" x14ac:dyDescent="0.15">
      <c r="A1273" s="286">
        <v>271741</v>
      </c>
      <c r="B1273" s="288">
        <v>45112.439583333333</v>
      </c>
      <c r="C1273" s="286" t="s">
        <v>1649</v>
      </c>
      <c r="D1273" s="286" t="s">
        <v>1105</v>
      </c>
      <c r="E1273" s="286" t="s">
        <v>1106</v>
      </c>
      <c r="F1273" s="286" t="s">
        <v>2031</v>
      </c>
      <c r="G1273" s="286" t="s">
        <v>1073</v>
      </c>
      <c r="H1273" s="286" t="s">
        <v>1073</v>
      </c>
      <c r="I1273" s="286" t="s">
        <v>1112</v>
      </c>
      <c r="J1273" s="286" t="s">
        <v>1312</v>
      </c>
      <c r="K1273" s="286" t="s">
        <v>1707</v>
      </c>
      <c r="L1273" s="286" t="s">
        <v>1708</v>
      </c>
      <c r="M1273" s="286">
        <v>3</v>
      </c>
      <c r="N1273" s="287">
        <v>0</v>
      </c>
      <c r="O1273" s="287"/>
      <c r="P1273" s="286" t="s">
        <v>175</v>
      </c>
    </row>
    <row r="1274" spans="1:16" hidden="1" x14ac:dyDescent="0.15">
      <c r="A1274" s="286">
        <v>271741</v>
      </c>
      <c r="B1274" s="288">
        <v>45112.439583333333</v>
      </c>
      <c r="C1274" s="286" t="s">
        <v>1649</v>
      </c>
      <c r="D1274" s="286" t="s">
        <v>1105</v>
      </c>
      <c r="E1274" s="286" t="s">
        <v>1106</v>
      </c>
      <c r="F1274" s="286" t="s">
        <v>2031</v>
      </c>
      <c r="G1274" s="286" t="s">
        <v>1073</v>
      </c>
      <c r="H1274" s="286" t="s">
        <v>1073</v>
      </c>
      <c r="I1274" s="286" t="s">
        <v>1112</v>
      </c>
      <c r="J1274" s="286" t="s">
        <v>1312</v>
      </c>
      <c r="K1274" s="286" t="s">
        <v>1732</v>
      </c>
      <c r="L1274" s="286" t="s">
        <v>1733</v>
      </c>
      <c r="M1274" s="286">
        <v>1</v>
      </c>
      <c r="N1274" s="287">
        <v>0</v>
      </c>
      <c r="O1274" s="287"/>
      <c r="P1274" s="286" t="s">
        <v>175</v>
      </c>
    </row>
    <row r="1275" spans="1:16" hidden="1" x14ac:dyDescent="0.15">
      <c r="A1275" s="286">
        <v>271741</v>
      </c>
      <c r="B1275" s="288">
        <v>45112.439583333333</v>
      </c>
      <c r="C1275" s="286" t="s">
        <v>1649</v>
      </c>
      <c r="D1275" s="286" t="s">
        <v>1105</v>
      </c>
      <c r="E1275" s="286" t="s">
        <v>1106</v>
      </c>
      <c r="F1275" s="286" t="s">
        <v>2031</v>
      </c>
      <c r="G1275" s="286" t="s">
        <v>2032</v>
      </c>
      <c r="H1275" s="286" t="s">
        <v>2032</v>
      </c>
      <c r="I1275" s="286" t="s">
        <v>1108</v>
      </c>
      <c r="J1275" s="286" t="s">
        <v>53</v>
      </c>
      <c r="K1275" s="286" t="s">
        <v>1339</v>
      </c>
      <c r="L1275" s="286" t="s">
        <v>1340</v>
      </c>
      <c r="M1275" s="286">
        <v>1</v>
      </c>
      <c r="N1275" s="287">
        <v>0</v>
      </c>
      <c r="O1275" s="305">
        <f>EOMONTH(B1275,0)</f>
        <v>45138</v>
      </c>
      <c r="P1275" s="286" t="s">
        <v>37</v>
      </c>
    </row>
    <row r="1276" spans="1:16" hidden="1" x14ac:dyDescent="0.15">
      <c r="A1276" s="286">
        <v>278788</v>
      </c>
      <c r="B1276" s="288">
        <v>45118.57708333333</v>
      </c>
      <c r="C1276" s="286" t="s">
        <v>1649</v>
      </c>
      <c r="D1276" s="286" t="s">
        <v>1105</v>
      </c>
      <c r="E1276" s="286" t="s">
        <v>1106</v>
      </c>
      <c r="F1276" s="286" t="s">
        <v>1712</v>
      </c>
      <c r="G1276" s="286" t="s">
        <v>1068</v>
      </c>
      <c r="H1276" s="286" t="s">
        <v>1068</v>
      </c>
      <c r="I1276" s="286" t="s">
        <v>1129</v>
      </c>
      <c r="J1276" s="286" t="s">
        <v>1312</v>
      </c>
      <c r="K1276" s="286" t="s">
        <v>2033</v>
      </c>
      <c r="L1276" s="286" t="s">
        <v>2034</v>
      </c>
      <c r="M1276" s="286">
        <v>2</v>
      </c>
      <c r="N1276" s="287">
        <v>0</v>
      </c>
      <c r="O1276" s="287"/>
      <c r="P1276" s="286" t="s">
        <v>164</v>
      </c>
    </row>
    <row r="1277" spans="1:16" hidden="1" x14ac:dyDescent="0.15">
      <c r="A1277" s="286">
        <v>278788</v>
      </c>
      <c r="B1277" s="288">
        <v>45118.57708333333</v>
      </c>
      <c r="C1277" s="286" t="s">
        <v>1649</v>
      </c>
      <c r="D1277" s="286" t="s">
        <v>1105</v>
      </c>
      <c r="E1277" s="286" t="s">
        <v>1106</v>
      </c>
      <c r="F1277" s="286" t="s">
        <v>1712</v>
      </c>
      <c r="G1277" s="286" t="s">
        <v>1007</v>
      </c>
      <c r="H1277" s="286" t="s">
        <v>1007</v>
      </c>
      <c r="I1277" s="286" t="s">
        <v>1129</v>
      </c>
      <c r="J1277" s="286" t="s">
        <v>1312</v>
      </c>
      <c r="K1277" s="286" t="s">
        <v>1361</v>
      </c>
      <c r="L1277" s="286" t="s">
        <v>1362</v>
      </c>
      <c r="M1277" s="286">
        <v>1</v>
      </c>
      <c r="N1277" s="287">
        <v>0</v>
      </c>
      <c r="O1277" s="287"/>
      <c r="P1277" s="286" t="s">
        <v>164</v>
      </c>
    </row>
    <row r="1278" spans="1:16" hidden="1" x14ac:dyDescent="0.15">
      <c r="A1278" s="286">
        <v>278788</v>
      </c>
      <c r="B1278" s="288">
        <v>45118.57708333333</v>
      </c>
      <c r="C1278" s="286" t="s">
        <v>1649</v>
      </c>
      <c r="D1278" s="286" t="s">
        <v>1105</v>
      </c>
      <c r="E1278" s="286" t="s">
        <v>1106</v>
      </c>
      <c r="F1278" s="286" t="s">
        <v>1712</v>
      </c>
      <c r="G1278" s="286" t="s">
        <v>1052</v>
      </c>
      <c r="H1278" s="286" t="s">
        <v>1052</v>
      </c>
      <c r="I1278" s="286" t="s">
        <v>1152</v>
      </c>
      <c r="J1278" s="286" t="s">
        <v>1312</v>
      </c>
      <c r="K1278" s="286" t="s">
        <v>1826</v>
      </c>
      <c r="L1278" s="286" t="s">
        <v>1827</v>
      </c>
      <c r="M1278" s="286">
        <v>1</v>
      </c>
      <c r="N1278" s="287">
        <v>0</v>
      </c>
      <c r="O1278" s="287"/>
      <c r="P1278" s="286" t="s">
        <v>58</v>
      </c>
    </row>
    <row r="1279" spans="1:16" hidden="1" x14ac:dyDescent="0.15">
      <c r="A1279" s="286">
        <v>278788</v>
      </c>
      <c r="B1279" s="288">
        <v>45118.57708333333</v>
      </c>
      <c r="C1279" s="286" t="s">
        <v>1649</v>
      </c>
      <c r="D1279" s="286" t="s">
        <v>1105</v>
      </c>
      <c r="E1279" s="286" t="s">
        <v>1106</v>
      </c>
      <c r="F1279" s="286" t="s">
        <v>1712</v>
      </c>
      <c r="G1279" s="286" t="s">
        <v>1011</v>
      </c>
      <c r="H1279" s="286" t="s">
        <v>1011</v>
      </c>
      <c r="I1279" s="286" t="s">
        <v>1301</v>
      </c>
      <c r="J1279" s="286" t="s">
        <v>1312</v>
      </c>
      <c r="K1279" s="286" t="s">
        <v>56</v>
      </c>
      <c r="L1279" s="286" t="s">
        <v>71</v>
      </c>
      <c r="M1279" s="286">
        <v>1</v>
      </c>
      <c r="N1279" s="287">
        <v>0</v>
      </c>
      <c r="O1279" s="287"/>
      <c r="P1279" s="286" t="s">
        <v>55</v>
      </c>
    </row>
    <row r="1280" spans="1:16" hidden="1" x14ac:dyDescent="0.15">
      <c r="A1280" s="286">
        <v>278788</v>
      </c>
      <c r="B1280" s="288">
        <v>45118.57708333333</v>
      </c>
      <c r="C1280" s="286" t="s">
        <v>1649</v>
      </c>
      <c r="D1280" s="286" t="s">
        <v>1105</v>
      </c>
      <c r="E1280" s="286" t="s">
        <v>1106</v>
      </c>
      <c r="F1280" s="286" t="s">
        <v>1712</v>
      </c>
      <c r="G1280" s="286" t="s">
        <v>1442</v>
      </c>
      <c r="H1280" s="286" t="s">
        <v>1442</v>
      </c>
      <c r="I1280" s="286" t="s">
        <v>1108</v>
      </c>
      <c r="J1280" s="286" t="s">
        <v>53</v>
      </c>
      <c r="K1280" s="286" t="s">
        <v>1339</v>
      </c>
      <c r="L1280" s="286" t="s">
        <v>1340</v>
      </c>
      <c r="M1280" s="286">
        <v>7</v>
      </c>
      <c r="N1280" s="287">
        <v>0</v>
      </c>
      <c r="O1280" s="305">
        <f t="shared" ref="O1280:O1281" si="14">EOMONTH(B1280,0)</f>
        <v>45138</v>
      </c>
      <c r="P1280" s="286" t="s">
        <v>37</v>
      </c>
    </row>
    <row r="1281" spans="1:16" hidden="1" x14ac:dyDescent="0.15">
      <c r="A1281" s="286">
        <v>278788</v>
      </c>
      <c r="B1281" s="288">
        <v>45118.57708333333</v>
      </c>
      <c r="C1281" s="286" t="s">
        <v>1649</v>
      </c>
      <c r="D1281" s="286" t="s">
        <v>1105</v>
      </c>
      <c r="E1281" s="286" t="s">
        <v>1106</v>
      </c>
      <c r="F1281" s="286" t="s">
        <v>1712</v>
      </c>
      <c r="G1281" s="286" t="s">
        <v>1068</v>
      </c>
      <c r="H1281" s="286" t="s">
        <v>1068</v>
      </c>
      <c r="I1281" s="286" t="s">
        <v>1108</v>
      </c>
      <c r="J1281" s="286" t="s">
        <v>53</v>
      </c>
      <c r="K1281" s="286" t="s">
        <v>1339</v>
      </c>
      <c r="L1281" s="286" t="s">
        <v>1340</v>
      </c>
      <c r="M1281" s="286">
        <v>1</v>
      </c>
      <c r="N1281" s="287">
        <v>0</v>
      </c>
      <c r="O1281" s="305">
        <f t="shared" si="14"/>
        <v>45138</v>
      </c>
      <c r="P1281" s="286" t="s">
        <v>37</v>
      </c>
    </row>
    <row r="1282" spans="1:16" hidden="1" x14ac:dyDescent="0.15">
      <c r="A1282" s="286">
        <v>280469</v>
      </c>
      <c r="B1282" s="288">
        <v>45119.52847222222</v>
      </c>
      <c r="C1282" s="286" t="s">
        <v>1649</v>
      </c>
      <c r="D1282" s="286" t="s">
        <v>1105</v>
      </c>
      <c r="E1282" s="286" t="s">
        <v>1106</v>
      </c>
      <c r="F1282" s="286" t="s">
        <v>2035</v>
      </c>
      <c r="G1282" s="286" t="s">
        <v>1045</v>
      </c>
      <c r="H1282" s="286" t="s">
        <v>1045</v>
      </c>
      <c r="I1282" s="286" t="s">
        <v>1129</v>
      </c>
      <c r="J1282" s="286" t="s">
        <v>1312</v>
      </c>
      <c r="K1282" s="286" t="s">
        <v>1402</v>
      </c>
      <c r="L1282" s="286" t="s">
        <v>1403</v>
      </c>
      <c r="M1282" s="286">
        <v>1</v>
      </c>
      <c r="N1282" s="287">
        <v>0</v>
      </c>
      <c r="O1282" s="287"/>
      <c r="P1282" s="286" t="s">
        <v>164</v>
      </c>
    </row>
    <row r="1283" spans="1:16" hidden="1" x14ac:dyDescent="0.15">
      <c r="A1283" s="286">
        <v>280469</v>
      </c>
      <c r="B1283" s="288">
        <v>45119.52847222222</v>
      </c>
      <c r="C1283" s="286" t="s">
        <v>1649</v>
      </c>
      <c r="D1283" s="286" t="s">
        <v>1105</v>
      </c>
      <c r="E1283" s="286" t="s">
        <v>1106</v>
      </c>
      <c r="F1283" s="286" t="s">
        <v>2035</v>
      </c>
      <c r="G1283" s="286" t="s">
        <v>1015</v>
      </c>
      <c r="H1283" s="286" t="s">
        <v>1015</v>
      </c>
      <c r="I1283" s="286" t="s">
        <v>1230</v>
      </c>
      <c r="J1283" s="286" t="s">
        <v>1312</v>
      </c>
      <c r="K1283" s="286" t="s">
        <v>2036</v>
      </c>
      <c r="L1283" s="286" t="s">
        <v>2030</v>
      </c>
      <c r="M1283" s="286">
        <v>1</v>
      </c>
      <c r="N1283" s="287">
        <v>0</v>
      </c>
      <c r="O1283" s="287"/>
      <c r="P1283" s="286" t="s">
        <v>175</v>
      </c>
    </row>
    <row r="1284" spans="1:16" hidden="1" x14ac:dyDescent="0.15">
      <c r="A1284" s="286">
        <v>280469</v>
      </c>
      <c r="B1284" s="288">
        <v>45119.52847222222</v>
      </c>
      <c r="C1284" s="286" t="s">
        <v>1649</v>
      </c>
      <c r="D1284" s="286" t="s">
        <v>1105</v>
      </c>
      <c r="E1284" s="286" t="s">
        <v>1106</v>
      </c>
      <c r="F1284" s="286" t="s">
        <v>2035</v>
      </c>
      <c r="G1284" s="286" t="s">
        <v>1015</v>
      </c>
      <c r="H1284" s="286" t="s">
        <v>1015</v>
      </c>
      <c r="I1284" s="286" t="s">
        <v>1230</v>
      </c>
      <c r="J1284" s="286" t="s">
        <v>1312</v>
      </c>
      <c r="K1284" s="286" t="s">
        <v>2037</v>
      </c>
      <c r="L1284" s="286" t="s">
        <v>2028</v>
      </c>
      <c r="M1284" s="286">
        <v>1</v>
      </c>
      <c r="N1284" s="287">
        <v>0</v>
      </c>
      <c r="O1284" s="287"/>
      <c r="P1284" s="286" t="s">
        <v>175</v>
      </c>
    </row>
    <row r="1285" spans="1:16" hidden="1" x14ac:dyDescent="0.15">
      <c r="A1285" s="286">
        <v>280469</v>
      </c>
      <c r="B1285" s="288">
        <v>45119.52847222222</v>
      </c>
      <c r="C1285" s="286" t="s">
        <v>1649</v>
      </c>
      <c r="D1285" s="286" t="s">
        <v>1105</v>
      </c>
      <c r="E1285" s="286" t="s">
        <v>1106</v>
      </c>
      <c r="F1285" s="286" t="s">
        <v>2035</v>
      </c>
      <c r="G1285" s="286" t="s">
        <v>1045</v>
      </c>
      <c r="H1285" s="286" t="s">
        <v>1045</v>
      </c>
      <c r="I1285" s="286" t="s">
        <v>1108</v>
      </c>
      <c r="J1285" s="286" t="s">
        <v>53</v>
      </c>
      <c r="K1285" s="286" t="s">
        <v>1339</v>
      </c>
      <c r="L1285" s="286" t="s">
        <v>1340</v>
      </c>
      <c r="M1285" s="286">
        <v>1</v>
      </c>
      <c r="N1285" s="287">
        <v>0</v>
      </c>
      <c r="O1285" s="305">
        <f>EOMONTH(B1285,0)</f>
        <v>45138</v>
      </c>
      <c r="P1285" s="286" t="s">
        <v>37</v>
      </c>
    </row>
    <row r="1286" spans="1:16" hidden="1" x14ac:dyDescent="0.15">
      <c r="A1286" s="286">
        <v>284271</v>
      </c>
      <c r="B1286" s="288">
        <v>45121.682638888888</v>
      </c>
      <c r="C1286" s="286" t="s">
        <v>1636</v>
      </c>
      <c r="D1286" s="286" t="s">
        <v>1105</v>
      </c>
      <c r="E1286" s="286" t="s">
        <v>1106</v>
      </c>
      <c r="F1286" s="286" t="s">
        <v>1713</v>
      </c>
      <c r="G1286" s="286" t="s">
        <v>1080</v>
      </c>
      <c r="H1286" s="286" t="s">
        <v>1080</v>
      </c>
      <c r="I1286" s="286" t="s">
        <v>1129</v>
      </c>
      <c r="J1286" s="286" t="s">
        <v>1312</v>
      </c>
      <c r="K1286" s="286" t="s">
        <v>1904</v>
      </c>
      <c r="L1286" s="286" t="s">
        <v>1905</v>
      </c>
      <c r="M1286" s="286">
        <v>1</v>
      </c>
      <c r="N1286" s="287">
        <v>0</v>
      </c>
      <c r="O1286" s="287"/>
      <c r="P1286" s="286" t="s">
        <v>164</v>
      </c>
    </row>
    <row r="1287" spans="1:16" hidden="1" x14ac:dyDescent="0.15">
      <c r="A1287" s="286">
        <v>284271</v>
      </c>
      <c r="B1287" s="288">
        <v>45121.682638888888</v>
      </c>
      <c r="C1287" s="286" t="s">
        <v>1636</v>
      </c>
      <c r="D1287" s="286" t="s">
        <v>1105</v>
      </c>
      <c r="E1287" s="286" t="s">
        <v>1106</v>
      </c>
      <c r="F1287" s="286" t="s">
        <v>1713</v>
      </c>
      <c r="G1287" s="286" t="s">
        <v>1007</v>
      </c>
      <c r="H1287" s="286" t="s">
        <v>1007</v>
      </c>
      <c r="I1287" s="286" t="s">
        <v>1129</v>
      </c>
      <c r="J1287" s="286" t="s">
        <v>1312</v>
      </c>
      <c r="K1287" s="286" t="s">
        <v>2038</v>
      </c>
      <c r="L1287" s="286" t="s">
        <v>2039</v>
      </c>
      <c r="M1287" s="286">
        <v>2</v>
      </c>
      <c r="N1287" s="287">
        <v>0</v>
      </c>
      <c r="O1287" s="287"/>
      <c r="P1287" s="286" t="s">
        <v>164</v>
      </c>
    </row>
    <row r="1288" spans="1:16" hidden="1" x14ac:dyDescent="0.15">
      <c r="A1288" s="286">
        <v>284271</v>
      </c>
      <c r="B1288" s="288">
        <v>45121.682638888888</v>
      </c>
      <c r="C1288" s="286" t="s">
        <v>1636</v>
      </c>
      <c r="D1288" s="286" t="s">
        <v>1105</v>
      </c>
      <c r="E1288" s="286" t="s">
        <v>1106</v>
      </c>
      <c r="F1288" s="286" t="s">
        <v>1713</v>
      </c>
      <c r="G1288" s="286" t="s">
        <v>1007</v>
      </c>
      <c r="H1288" s="286" t="s">
        <v>1007</v>
      </c>
      <c r="I1288" s="286" t="s">
        <v>1129</v>
      </c>
      <c r="J1288" s="286" t="s">
        <v>1312</v>
      </c>
      <c r="K1288" s="286" t="s">
        <v>1394</v>
      </c>
      <c r="L1288" s="286" t="s">
        <v>1395</v>
      </c>
      <c r="M1288" s="286">
        <v>2</v>
      </c>
      <c r="N1288" s="287">
        <v>0</v>
      </c>
      <c r="O1288" s="287"/>
      <c r="P1288" s="286" t="s">
        <v>164</v>
      </c>
    </row>
    <row r="1289" spans="1:16" hidden="1" x14ac:dyDescent="0.15">
      <c r="A1289" s="286">
        <v>284271</v>
      </c>
      <c r="B1289" s="288">
        <v>45121.682638888888</v>
      </c>
      <c r="C1289" s="286" t="s">
        <v>1636</v>
      </c>
      <c r="D1289" s="286" t="s">
        <v>1105</v>
      </c>
      <c r="E1289" s="286" t="s">
        <v>1106</v>
      </c>
      <c r="F1289" s="286" t="s">
        <v>1713</v>
      </c>
      <c r="G1289" s="286" t="s">
        <v>1073</v>
      </c>
      <c r="H1289" s="286" t="s">
        <v>1073</v>
      </c>
      <c r="I1289" s="286" t="s">
        <v>1108</v>
      </c>
      <c r="J1289" s="286" t="s">
        <v>53</v>
      </c>
      <c r="K1289" s="286" t="s">
        <v>1339</v>
      </c>
      <c r="L1289" s="286" t="s">
        <v>1340</v>
      </c>
      <c r="M1289" s="286">
        <v>1</v>
      </c>
      <c r="N1289" s="287">
        <v>0</v>
      </c>
      <c r="O1289" s="305">
        <f>EOMONTH(B1289,0)</f>
        <v>45138</v>
      </c>
      <c r="P1289" s="286" t="s">
        <v>37</v>
      </c>
    </row>
    <row r="1290" spans="1:16" hidden="1" x14ac:dyDescent="0.15">
      <c r="A1290" s="286">
        <v>290113</v>
      </c>
      <c r="B1290" s="288">
        <v>45127.462500000001</v>
      </c>
      <c r="C1290" s="286" t="s">
        <v>1636</v>
      </c>
      <c r="D1290" s="286" t="s">
        <v>1105</v>
      </c>
      <c r="E1290" s="286" t="s">
        <v>1106</v>
      </c>
      <c r="F1290" s="286" t="s">
        <v>1753</v>
      </c>
      <c r="G1290" s="286" t="s">
        <v>1067</v>
      </c>
      <c r="H1290" s="286" t="s">
        <v>1067</v>
      </c>
      <c r="I1290" s="286" t="s">
        <v>1129</v>
      </c>
      <c r="J1290" s="286" t="s">
        <v>1312</v>
      </c>
      <c r="K1290" s="286" t="s">
        <v>1318</v>
      </c>
      <c r="L1290" s="286" t="s">
        <v>1319</v>
      </c>
      <c r="M1290" s="286">
        <v>1</v>
      </c>
      <c r="N1290" s="287">
        <v>0</v>
      </c>
      <c r="O1290" s="287"/>
      <c r="P1290" s="286" t="s">
        <v>164</v>
      </c>
    </row>
    <row r="1291" spans="1:16" hidden="1" x14ac:dyDescent="0.15">
      <c r="A1291" s="286">
        <v>290113</v>
      </c>
      <c r="B1291" s="288">
        <v>45127.462500000001</v>
      </c>
      <c r="C1291" s="286" t="s">
        <v>1636</v>
      </c>
      <c r="D1291" s="286" t="s">
        <v>1105</v>
      </c>
      <c r="E1291" s="286" t="s">
        <v>1106</v>
      </c>
      <c r="F1291" s="286" t="s">
        <v>1753</v>
      </c>
      <c r="G1291" s="286" t="s">
        <v>1079</v>
      </c>
      <c r="H1291" s="286" t="s">
        <v>1079</v>
      </c>
      <c r="I1291" s="286" t="s">
        <v>1129</v>
      </c>
      <c r="J1291" s="286" t="s">
        <v>1312</v>
      </c>
      <c r="K1291" s="286" t="s">
        <v>2040</v>
      </c>
      <c r="L1291" s="286" t="s">
        <v>2041</v>
      </c>
      <c r="M1291" s="286">
        <v>1</v>
      </c>
      <c r="N1291" s="287">
        <v>0</v>
      </c>
      <c r="O1291" s="287"/>
      <c r="P1291" s="286" t="s">
        <v>164</v>
      </c>
    </row>
    <row r="1292" spans="1:16" hidden="1" x14ac:dyDescent="0.15">
      <c r="A1292" s="286">
        <v>290113</v>
      </c>
      <c r="B1292" s="288">
        <v>45127.462500000001</v>
      </c>
      <c r="C1292" s="286" t="s">
        <v>1636</v>
      </c>
      <c r="D1292" s="286" t="s">
        <v>1105</v>
      </c>
      <c r="E1292" s="286" t="s">
        <v>1106</v>
      </c>
      <c r="F1292" s="286" t="s">
        <v>1753</v>
      </c>
      <c r="G1292" s="286" t="s">
        <v>1038</v>
      </c>
      <c r="H1292" s="286" t="s">
        <v>1038</v>
      </c>
      <c r="I1292" s="286" t="s">
        <v>1230</v>
      </c>
      <c r="J1292" s="286" t="s">
        <v>1312</v>
      </c>
      <c r="K1292" s="286" t="s">
        <v>2042</v>
      </c>
      <c r="L1292" s="286" t="s">
        <v>2028</v>
      </c>
      <c r="M1292" s="286">
        <v>1</v>
      </c>
      <c r="N1292" s="287">
        <v>0</v>
      </c>
      <c r="O1292" s="287"/>
      <c r="P1292" s="286" t="s">
        <v>175</v>
      </c>
    </row>
    <row r="1293" spans="1:16" hidden="1" x14ac:dyDescent="0.15">
      <c r="A1293" s="286">
        <v>290113</v>
      </c>
      <c r="B1293" s="288">
        <v>45127.462500000001</v>
      </c>
      <c r="C1293" s="286" t="s">
        <v>1636</v>
      </c>
      <c r="D1293" s="286" t="s">
        <v>1105</v>
      </c>
      <c r="E1293" s="286" t="s">
        <v>1106</v>
      </c>
      <c r="F1293" s="286" t="s">
        <v>1753</v>
      </c>
      <c r="G1293" s="286" t="s">
        <v>1086</v>
      </c>
      <c r="H1293" s="286" t="s">
        <v>1086</v>
      </c>
      <c r="I1293" s="286" t="s">
        <v>1230</v>
      </c>
      <c r="J1293" s="286" t="s">
        <v>1312</v>
      </c>
      <c r="K1293" s="286" t="s">
        <v>2043</v>
      </c>
      <c r="L1293" s="286" t="s">
        <v>2044</v>
      </c>
      <c r="M1293" s="286">
        <v>1</v>
      </c>
      <c r="N1293" s="287">
        <v>0</v>
      </c>
      <c r="O1293" s="287"/>
      <c r="P1293" s="286" t="s">
        <v>175</v>
      </c>
    </row>
    <row r="1294" spans="1:16" hidden="1" x14ac:dyDescent="0.15">
      <c r="A1294" s="286">
        <v>298618</v>
      </c>
      <c r="B1294" s="288">
        <v>45135.518750000003</v>
      </c>
      <c r="C1294" s="286" t="s">
        <v>1636</v>
      </c>
      <c r="D1294" s="286" t="s">
        <v>1105</v>
      </c>
      <c r="E1294" s="286" t="s">
        <v>1106</v>
      </c>
      <c r="F1294" s="286" t="s">
        <v>1672</v>
      </c>
      <c r="G1294" s="286" t="s">
        <v>1006</v>
      </c>
      <c r="H1294" s="286" t="s">
        <v>1006</v>
      </c>
      <c r="I1294" s="286" t="s">
        <v>1108</v>
      </c>
      <c r="J1294" s="286" t="s">
        <v>53</v>
      </c>
      <c r="K1294" s="286" t="s">
        <v>1339</v>
      </c>
      <c r="L1294" s="286" t="s">
        <v>1340</v>
      </c>
      <c r="M1294" s="286">
        <v>1</v>
      </c>
      <c r="N1294" s="287">
        <v>0</v>
      </c>
      <c r="O1294" s="305">
        <f t="shared" ref="O1294:O1296" si="15">EOMONTH(B1294,0)</f>
        <v>45138</v>
      </c>
      <c r="P1294" s="286" t="s">
        <v>37</v>
      </c>
    </row>
    <row r="1295" spans="1:16" hidden="1" x14ac:dyDescent="0.15">
      <c r="A1295" s="286">
        <v>299050</v>
      </c>
      <c r="B1295" s="288">
        <v>45135.773611111108</v>
      </c>
      <c r="C1295" s="286" t="s">
        <v>1636</v>
      </c>
      <c r="D1295" s="286" t="s">
        <v>1105</v>
      </c>
      <c r="E1295" s="286" t="s">
        <v>1106</v>
      </c>
      <c r="F1295" s="286" t="s">
        <v>2045</v>
      </c>
      <c r="G1295" s="286" t="s">
        <v>1086</v>
      </c>
      <c r="H1295" s="286" t="s">
        <v>1086</v>
      </c>
      <c r="I1295" s="286" t="s">
        <v>1108</v>
      </c>
      <c r="J1295" s="286" t="s">
        <v>1312</v>
      </c>
      <c r="K1295" s="286" t="s">
        <v>1339</v>
      </c>
      <c r="L1295" s="286" t="s">
        <v>1340</v>
      </c>
      <c r="M1295" s="286">
        <v>2</v>
      </c>
      <c r="N1295" s="287">
        <v>0</v>
      </c>
      <c r="O1295" s="305">
        <f t="shared" si="15"/>
        <v>45138</v>
      </c>
      <c r="P1295" s="286" t="s">
        <v>37</v>
      </c>
    </row>
    <row r="1296" spans="1:16" hidden="1" x14ac:dyDescent="0.15">
      <c r="A1296" s="286">
        <v>299050</v>
      </c>
      <c r="B1296" s="288">
        <v>45135.773611111108</v>
      </c>
      <c r="C1296" s="286" t="s">
        <v>1636</v>
      </c>
      <c r="D1296" s="286" t="s">
        <v>1105</v>
      </c>
      <c r="E1296" s="286" t="s">
        <v>1106</v>
      </c>
      <c r="F1296" s="286" t="s">
        <v>2045</v>
      </c>
      <c r="G1296" s="286" t="s">
        <v>1086</v>
      </c>
      <c r="H1296" s="286" t="s">
        <v>1086</v>
      </c>
      <c r="I1296" s="286" t="s">
        <v>1108</v>
      </c>
      <c r="J1296" s="286" t="s">
        <v>1312</v>
      </c>
      <c r="K1296" s="286" t="s">
        <v>1339</v>
      </c>
      <c r="L1296" s="286" t="s">
        <v>1340</v>
      </c>
      <c r="M1296" s="286">
        <v>1</v>
      </c>
      <c r="N1296" s="287">
        <v>0</v>
      </c>
      <c r="O1296" s="305">
        <f t="shared" si="15"/>
        <v>45138</v>
      </c>
      <c r="P1296" s="286" t="s">
        <v>37</v>
      </c>
    </row>
    <row r="1297" spans="1:16" hidden="1" x14ac:dyDescent="0.15">
      <c r="A1297" s="286">
        <v>303342</v>
      </c>
      <c r="B1297" s="288">
        <v>45139.736805555556</v>
      </c>
      <c r="C1297" s="286" t="s">
        <v>1636</v>
      </c>
      <c r="D1297" s="286" t="s">
        <v>1105</v>
      </c>
      <c r="E1297" s="286" t="s">
        <v>1106</v>
      </c>
      <c r="F1297" s="286" t="s">
        <v>1912</v>
      </c>
      <c r="G1297" s="286" t="s">
        <v>1766</v>
      </c>
      <c r="H1297" s="286" t="s">
        <v>1766</v>
      </c>
      <c r="I1297" s="286" t="s">
        <v>1112</v>
      </c>
      <c r="J1297" s="286" t="s">
        <v>1312</v>
      </c>
      <c r="K1297" s="286" t="s">
        <v>2046</v>
      </c>
      <c r="L1297" s="286" t="s">
        <v>53</v>
      </c>
      <c r="M1297" s="286">
        <v>1</v>
      </c>
      <c r="N1297" s="287">
        <v>0</v>
      </c>
      <c r="O1297" s="287"/>
      <c r="P1297" s="286" t="s">
        <v>175</v>
      </c>
    </row>
    <row r="1298" spans="1:16" hidden="1" x14ac:dyDescent="0.15">
      <c r="A1298" s="286">
        <v>311777</v>
      </c>
      <c r="B1298" s="288">
        <v>45146.85</v>
      </c>
      <c r="C1298" s="286" t="s">
        <v>1636</v>
      </c>
      <c r="D1298" s="286" t="s">
        <v>1105</v>
      </c>
      <c r="E1298" s="286" t="s">
        <v>1106</v>
      </c>
      <c r="F1298" s="286" t="s">
        <v>1954</v>
      </c>
      <c r="G1298" s="286" t="s">
        <v>1026</v>
      </c>
      <c r="H1298" s="286" t="s">
        <v>1026</v>
      </c>
      <c r="I1298" s="286" t="s">
        <v>1128</v>
      </c>
      <c r="J1298" s="286" t="s">
        <v>1312</v>
      </c>
      <c r="K1298" s="286" t="s">
        <v>1701</v>
      </c>
      <c r="L1298" s="286" t="s">
        <v>585</v>
      </c>
      <c r="M1298" s="286">
        <v>1</v>
      </c>
      <c r="N1298" s="287">
        <v>0</v>
      </c>
      <c r="O1298" s="287"/>
      <c r="P1298" s="286" t="s">
        <v>47</v>
      </c>
    </row>
    <row r="1299" spans="1:16" hidden="1" x14ac:dyDescent="0.15">
      <c r="A1299" s="286">
        <v>328287</v>
      </c>
      <c r="B1299" s="288">
        <v>45161.62777777778</v>
      </c>
      <c r="C1299" s="286" t="s">
        <v>1691</v>
      </c>
      <c r="D1299" s="286" t="s">
        <v>1105</v>
      </c>
      <c r="E1299" s="286" t="s">
        <v>1106</v>
      </c>
      <c r="F1299" s="286" t="s">
        <v>1714</v>
      </c>
      <c r="G1299" s="286" t="s">
        <v>1028</v>
      </c>
      <c r="H1299" s="286" t="s">
        <v>1028</v>
      </c>
      <c r="I1299" s="286" t="s">
        <v>1108</v>
      </c>
      <c r="J1299" s="286" t="s">
        <v>1312</v>
      </c>
      <c r="K1299" s="286" t="s">
        <v>1339</v>
      </c>
      <c r="L1299" s="286" t="s">
        <v>1340</v>
      </c>
      <c r="M1299" s="286">
        <v>1</v>
      </c>
      <c r="N1299" s="287">
        <v>0</v>
      </c>
      <c r="O1299" s="305">
        <f t="shared" ref="O1299:O1301" si="16">EOMONTH(B1299,0)</f>
        <v>45169</v>
      </c>
      <c r="P1299" s="286" t="s">
        <v>37</v>
      </c>
    </row>
    <row r="1300" spans="1:16" hidden="1" x14ac:dyDescent="0.15">
      <c r="A1300" s="286">
        <v>328287</v>
      </c>
      <c r="B1300" s="288">
        <v>45161.62777777778</v>
      </c>
      <c r="C1300" s="286" t="s">
        <v>1691</v>
      </c>
      <c r="D1300" s="286" t="s">
        <v>1105</v>
      </c>
      <c r="E1300" s="286" t="s">
        <v>1106</v>
      </c>
      <c r="F1300" s="286" t="s">
        <v>1714</v>
      </c>
      <c r="G1300" s="286" t="s">
        <v>1086</v>
      </c>
      <c r="H1300" s="286" t="s">
        <v>1086</v>
      </c>
      <c r="I1300" s="286" t="s">
        <v>1108</v>
      </c>
      <c r="J1300" s="286" t="s">
        <v>1312</v>
      </c>
      <c r="K1300" s="286" t="s">
        <v>1339</v>
      </c>
      <c r="L1300" s="286" t="s">
        <v>1340</v>
      </c>
      <c r="M1300" s="286">
        <v>1</v>
      </c>
      <c r="N1300" s="287">
        <v>0</v>
      </c>
      <c r="O1300" s="305">
        <f t="shared" si="16"/>
        <v>45169</v>
      </c>
      <c r="P1300" s="286" t="s">
        <v>37</v>
      </c>
    </row>
    <row r="1301" spans="1:16" hidden="1" x14ac:dyDescent="0.15">
      <c r="A1301" s="286">
        <v>328287</v>
      </c>
      <c r="B1301" s="288">
        <v>45161.62777777778</v>
      </c>
      <c r="C1301" s="286" t="s">
        <v>1691</v>
      </c>
      <c r="D1301" s="286" t="s">
        <v>1105</v>
      </c>
      <c r="E1301" s="286" t="s">
        <v>1106</v>
      </c>
      <c r="F1301" s="286" t="s">
        <v>1714</v>
      </c>
      <c r="G1301" s="286" t="s">
        <v>1038</v>
      </c>
      <c r="H1301" s="286" t="s">
        <v>1038</v>
      </c>
      <c r="I1301" s="286" t="s">
        <v>1108</v>
      </c>
      <c r="J1301" s="286" t="s">
        <v>1312</v>
      </c>
      <c r="K1301" s="286" t="s">
        <v>1339</v>
      </c>
      <c r="L1301" s="286" t="s">
        <v>1340</v>
      </c>
      <c r="M1301" s="286">
        <v>1</v>
      </c>
      <c r="N1301" s="287">
        <v>0</v>
      </c>
      <c r="O1301" s="305">
        <f t="shared" si="16"/>
        <v>45169</v>
      </c>
      <c r="P1301" s="286" t="s">
        <v>37</v>
      </c>
    </row>
    <row r="1302" spans="1:16" hidden="1" x14ac:dyDescent="0.15">
      <c r="A1302" s="286">
        <v>328287</v>
      </c>
      <c r="B1302" s="288">
        <v>45161.62777777778</v>
      </c>
      <c r="C1302" s="286" t="s">
        <v>1691</v>
      </c>
      <c r="D1302" s="286" t="s">
        <v>1105</v>
      </c>
      <c r="E1302" s="286" t="s">
        <v>1106</v>
      </c>
      <c r="F1302" s="286" t="s">
        <v>1714</v>
      </c>
      <c r="G1302" s="286" t="s">
        <v>1028</v>
      </c>
      <c r="H1302" s="286" t="s">
        <v>1028</v>
      </c>
      <c r="I1302" s="286" t="s">
        <v>1129</v>
      </c>
      <c r="J1302" s="286" t="s">
        <v>1312</v>
      </c>
      <c r="K1302" s="286" t="s">
        <v>1402</v>
      </c>
      <c r="L1302" s="286" t="s">
        <v>1403</v>
      </c>
      <c r="M1302" s="286">
        <v>1</v>
      </c>
      <c r="N1302" s="287">
        <v>0</v>
      </c>
      <c r="O1302" s="287"/>
      <c r="P1302" s="286" t="s">
        <v>164</v>
      </c>
    </row>
    <row r="1303" spans="1:16" hidden="1" x14ac:dyDescent="0.15">
      <c r="A1303" s="286">
        <v>328287</v>
      </c>
      <c r="B1303" s="288">
        <v>45161.62777777778</v>
      </c>
      <c r="C1303" s="286" t="s">
        <v>1691</v>
      </c>
      <c r="D1303" s="286" t="s">
        <v>1105</v>
      </c>
      <c r="E1303" s="286" t="s">
        <v>1106</v>
      </c>
      <c r="F1303" s="286" t="s">
        <v>1714</v>
      </c>
      <c r="G1303" s="286" t="s">
        <v>1080</v>
      </c>
      <c r="H1303" s="286" t="s">
        <v>1080</v>
      </c>
      <c r="I1303" s="286" t="s">
        <v>1129</v>
      </c>
      <c r="J1303" s="286" t="s">
        <v>1312</v>
      </c>
      <c r="K1303" s="286" t="s">
        <v>2023</v>
      </c>
      <c r="L1303" s="286" t="s">
        <v>2024</v>
      </c>
      <c r="M1303" s="286">
        <v>1</v>
      </c>
      <c r="N1303" s="287">
        <v>0</v>
      </c>
      <c r="O1303" s="287"/>
      <c r="P1303" s="286" t="s">
        <v>164</v>
      </c>
    </row>
    <row r="1304" spans="1:16" hidden="1" x14ac:dyDescent="0.15">
      <c r="A1304" s="286">
        <v>328287</v>
      </c>
      <c r="B1304" s="288">
        <v>45161.62777777778</v>
      </c>
      <c r="C1304" s="286" t="s">
        <v>1691</v>
      </c>
      <c r="D1304" s="286" t="s">
        <v>1105</v>
      </c>
      <c r="E1304" s="286" t="s">
        <v>1106</v>
      </c>
      <c r="F1304" s="286" t="s">
        <v>1714</v>
      </c>
      <c r="G1304" s="286" t="s">
        <v>1080</v>
      </c>
      <c r="H1304" s="286" t="s">
        <v>1080</v>
      </c>
      <c r="I1304" s="286" t="s">
        <v>1129</v>
      </c>
      <c r="J1304" s="286" t="s">
        <v>1312</v>
      </c>
      <c r="K1304" s="286" t="s">
        <v>2047</v>
      </c>
      <c r="L1304" s="286" t="s">
        <v>2048</v>
      </c>
      <c r="M1304" s="286">
        <v>1</v>
      </c>
      <c r="N1304" s="287">
        <v>0</v>
      </c>
      <c r="O1304" s="287"/>
      <c r="P1304" s="286" t="s">
        <v>164</v>
      </c>
    </row>
    <row r="1305" spans="1:16" hidden="1" x14ac:dyDescent="0.15">
      <c r="A1305" s="286">
        <v>328287</v>
      </c>
      <c r="B1305" s="288">
        <v>45161.62777777778</v>
      </c>
      <c r="C1305" s="286" t="s">
        <v>1691</v>
      </c>
      <c r="D1305" s="286" t="s">
        <v>1105</v>
      </c>
      <c r="E1305" s="286" t="s">
        <v>1106</v>
      </c>
      <c r="F1305" s="286" t="s">
        <v>1714</v>
      </c>
      <c r="G1305" s="286" t="s">
        <v>1029</v>
      </c>
      <c r="H1305" s="286" t="s">
        <v>1029</v>
      </c>
      <c r="I1305" s="286" t="s">
        <v>1108</v>
      </c>
      <c r="J1305" s="286" t="s">
        <v>53</v>
      </c>
      <c r="K1305" s="286" t="s">
        <v>1339</v>
      </c>
      <c r="L1305" s="286" t="s">
        <v>1340</v>
      </c>
      <c r="M1305" s="286">
        <v>1</v>
      </c>
      <c r="N1305" s="287">
        <v>0</v>
      </c>
      <c r="O1305" s="305">
        <f t="shared" ref="O1305:O1307" si="17">EOMONTH(B1305,0)</f>
        <v>45169</v>
      </c>
      <c r="P1305" s="286" t="s">
        <v>37</v>
      </c>
    </row>
    <row r="1306" spans="1:16" hidden="1" x14ac:dyDescent="0.15">
      <c r="A1306" s="286">
        <v>328287</v>
      </c>
      <c r="B1306" s="288">
        <v>45161.62777777778</v>
      </c>
      <c r="C1306" s="286" t="s">
        <v>1691</v>
      </c>
      <c r="D1306" s="286" t="s">
        <v>1105</v>
      </c>
      <c r="E1306" s="286" t="s">
        <v>1106</v>
      </c>
      <c r="F1306" s="286" t="s">
        <v>1714</v>
      </c>
      <c r="G1306" s="286" t="s">
        <v>1033</v>
      </c>
      <c r="H1306" s="286" t="s">
        <v>1033</v>
      </c>
      <c r="I1306" s="286" t="s">
        <v>1108</v>
      </c>
      <c r="J1306" s="286" t="s">
        <v>53</v>
      </c>
      <c r="K1306" s="286" t="s">
        <v>1339</v>
      </c>
      <c r="L1306" s="286" t="s">
        <v>1340</v>
      </c>
      <c r="M1306" s="286">
        <v>1</v>
      </c>
      <c r="N1306" s="287">
        <v>0</v>
      </c>
      <c r="O1306" s="305">
        <f t="shared" si="17"/>
        <v>45169</v>
      </c>
      <c r="P1306" s="286" t="s">
        <v>37</v>
      </c>
    </row>
    <row r="1307" spans="1:16" hidden="1" x14ac:dyDescent="0.15">
      <c r="A1307" s="286">
        <v>328287</v>
      </c>
      <c r="B1307" s="288">
        <v>45161.62777777778</v>
      </c>
      <c r="C1307" s="286" t="s">
        <v>1691</v>
      </c>
      <c r="D1307" s="286" t="s">
        <v>1105</v>
      </c>
      <c r="E1307" s="286" t="s">
        <v>1106</v>
      </c>
      <c r="F1307" s="286" t="s">
        <v>1714</v>
      </c>
      <c r="G1307" s="286" t="s">
        <v>1007</v>
      </c>
      <c r="H1307" s="286" t="s">
        <v>1007</v>
      </c>
      <c r="I1307" s="286" t="s">
        <v>1108</v>
      </c>
      <c r="J1307" s="286" t="s">
        <v>53</v>
      </c>
      <c r="K1307" s="286" t="s">
        <v>1339</v>
      </c>
      <c r="L1307" s="286" t="s">
        <v>1340</v>
      </c>
      <c r="M1307" s="286">
        <v>1</v>
      </c>
      <c r="N1307" s="287">
        <v>0</v>
      </c>
      <c r="O1307" s="305">
        <f t="shared" si="17"/>
        <v>45169</v>
      </c>
      <c r="P1307" s="286" t="s">
        <v>37</v>
      </c>
    </row>
    <row r="1308" spans="1:16" hidden="1" x14ac:dyDescent="0.15">
      <c r="A1308" s="286">
        <v>332510</v>
      </c>
      <c r="B1308" s="288">
        <v>45167.451388888891</v>
      </c>
      <c r="C1308" s="286" t="s">
        <v>1691</v>
      </c>
      <c r="D1308" s="286" t="s">
        <v>1105</v>
      </c>
      <c r="E1308" s="286" t="s">
        <v>1106</v>
      </c>
      <c r="F1308" s="286" t="s">
        <v>2049</v>
      </c>
      <c r="G1308" s="286" t="s">
        <v>1080</v>
      </c>
      <c r="H1308" s="286" t="s">
        <v>1080</v>
      </c>
      <c r="I1308" s="286" t="s">
        <v>1129</v>
      </c>
      <c r="J1308" s="286" t="s">
        <v>1312</v>
      </c>
      <c r="K1308" s="286" t="s">
        <v>2047</v>
      </c>
      <c r="L1308" s="286" t="s">
        <v>2048</v>
      </c>
      <c r="M1308" s="286">
        <v>-1</v>
      </c>
      <c r="N1308" s="287">
        <v>0</v>
      </c>
      <c r="O1308" s="287"/>
      <c r="P1308" s="286" t="s">
        <v>164</v>
      </c>
    </row>
    <row r="1309" spans="1:16" hidden="1" x14ac:dyDescent="0.15">
      <c r="A1309" s="286">
        <v>332510</v>
      </c>
      <c r="B1309" s="288">
        <v>45167.451388888891</v>
      </c>
      <c r="C1309" s="286" t="s">
        <v>1691</v>
      </c>
      <c r="D1309" s="286" t="s">
        <v>1105</v>
      </c>
      <c r="E1309" s="286" t="s">
        <v>1106</v>
      </c>
      <c r="F1309" s="286" t="s">
        <v>2049</v>
      </c>
      <c r="G1309" s="286" t="s">
        <v>1026</v>
      </c>
      <c r="H1309" s="286" t="s">
        <v>1026</v>
      </c>
      <c r="I1309" s="286" t="s">
        <v>1152</v>
      </c>
      <c r="J1309" s="286" t="s">
        <v>1312</v>
      </c>
      <c r="K1309" s="286" t="s">
        <v>1972</v>
      </c>
      <c r="L1309" s="286" t="s">
        <v>1973</v>
      </c>
      <c r="M1309" s="286">
        <v>1</v>
      </c>
      <c r="N1309" s="287">
        <v>0</v>
      </c>
      <c r="O1309" s="287"/>
      <c r="P1309" s="286" t="s">
        <v>58</v>
      </c>
    </row>
    <row r="1310" spans="1:16" hidden="1" x14ac:dyDescent="0.15">
      <c r="A1310" s="286">
        <v>332510</v>
      </c>
      <c r="B1310" s="288">
        <v>45167.451388888891</v>
      </c>
      <c r="C1310" s="286" t="s">
        <v>1691</v>
      </c>
      <c r="D1310" s="286" t="s">
        <v>1105</v>
      </c>
      <c r="E1310" s="286" t="s">
        <v>1106</v>
      </c>
      <c r="F1310" s="286" t="s">
        <v>2049</v>
      </c>
      <c r="G1310" s="286" t="s">
        <v>1026</v>
      </c>
      <c r="H1310" s="286" t="s">
        <v>1026</v>
      </c>
      <c r="I1310" s="286" t="s">
        <v>1152</v>
      </c>
      <c r="J1310" s="286" t="s">
        <v>1312</v>
      </c>
      <c r="K1310" s="286" t="s">
        <v>1505</v>
      </c>
      <c r="L1310" s="286" t="s">
        <v>1506</v>
      </c>
      <c r="M1310" s="286">
        <v>1</v>
      </c>
      <c r="N1310" s="287">
        <v>0</v>
      </c>
      <c r="O1310" s="287"/>
      <c r="P1310" s="286" t="s">
        <v>58</v>
      </c>
    </row>
    <row r="1311" spans="1:16" hidden="1" x14ac:dyDescent="0.15">
      <c r="A1311" s="286">
        <v>332510</v>
      </c>
      <c r="B1311" s="288">
        <v>45167.451388888891</v>
      </c>
      <c r="C1311" s="286" t="s">
        <v>1691</v>
      </c>
      <c r="D1311" s="286" t="s">
        <v>1105</v>
      </c>
      <c r="E1311" s="286" t="s">
        <v>1106</v>
      </c>
      <c r="F1311" s="286" t="s">
        <v>2049</v>
      </c>
      <c r="G1311" s="286" t="s">
        <v>1002</v>
      </c>
      <c r="H1311" s="286" t="s">
        <v>1002</v>
      </c>
      <c r="I1311" s="286" t="s">
        <v>1112</v>
      </c>
      <c r="J1311" s="286" t="s">
        <v>1312</v>
      </c>
      <c r="K1311" s="286" t="s">
        <v>1732</v>
      </c>
      <c r="L1311" s="286" t="s">
        <v>1733</v>
      </c>
      <c r="M1311" s="286">
        <v>1</v>
      </c>
      <c r="N1311" s="287">
        <v>0</v>
      </c>
      <c r="O1311" s="287"/>
      <c r="P1311" s="286" t="s">
        <v>175</v>
      </c>
    </row>
    <row r="1312" spans="1:16" hidden="1" x14ac:dyDescent="0.15">
      <c r="A1312" s="286">
        <v>332510</v>
      </c>
      <c r="B1312" s="288">
        <v>45167.451388888891</v>
      </c>
      <c r="C1312" s="286" t="s">
        <v>1691</v>
      </c>
      <c r="D1312" s="286" t="s">
        <v>1105</v>
      </c>
      <c r="E1312" s="286" t="s">
        <v>1106</v>
      </c>
      <c r="F1312" s="286" t="s">
        <v>2049</v>
      </c>
      <c r="G1312" s="286" t="s">
        <v>1002</v>
      </c>
      <c r="H1312" s="286" t="s">
        <v>1002</v>
      </c>
      <c r="I1312" s="286" t="s">
        <v>1112</v>
      </c>
      <c r="J1312" s="286" t="s">
        <v>1312</v>
      </c>
      <c r="K1312" s="286" t="s">
        <v>1707</v>
      </c>
      <c r="L1312" s="286" t="s">
        <v>1708</v>
      </c>
      <c r="M1312" s="286">
        <v>1</v>
      </c>
      <c r="N1312" s="287">
        <v>0</v>
      </c>
      <c r="O1312" s="287"/>
      <c r="P1312" s="286" t="s">
        <v>175</v>
      </c>
    </row>
    <row r="1313" spans="1:16" hidden="1" x14ac:dyDescent="0.15">
      <c r="A1313" s="286">
        <v>332510</v>
      </c>
      <c r="B1313" s="288">
        <v>45167.451388888891</v>
      </c>
      <c r="C1313" s="286" t="s">
        <v>1691</v>
      </c>
      <c r="D1313" s="286" t="s">
        <v>1105</v>
      </c>
      <c r="E1313" s="286" t="s">
        <v>1106</v>
      </c>
      <c r="F1313" s="286" t="s">
        <v>2049</v>
      </c>
      <c r="G1313" s="286" t="s">
        <v>1079</v>
      </c>
      <c r="H1313" s="286" t="s">
        <v>1079</v>
      </c>
      <c r="I1313" s="286" t="s">
        <v>1112</v>
      </c>
      <c r="J1313" s="286" t="s">
        <v>1312</v>
      </c>
      <c r="K1313" s="286" t="s">
        <v>1771</v>
      </c>
      <c r="L1313" s="286" t="s">
        <v>1772</v>
      </c>
      <c r="M1313" s="286">
        <v>3</v>
      </c>
      <c r="N1313" s="287">
        <v>0</v>
      </c>
      <c r="O1313" s="287"/>
      <c r="P1313" s="286" t="s">
        <v>175</v>
      </c>
    </row>
    <row r="1314" spans="1:16" hidden="1" x14ac:dyDescent="0.15">
      <c r="A1314" s="286">
        <v>332510</v>
      </c>
      <c r="B1314" s="288">
        <v>45167.451388888891</v>
      </c>
      <c r="C1314" s="286" t="s">
        <v>1691</v>
      </c>
      <c r="D1314" s="286" t="s">
        <v>1105</v>
      </c>
      <c r="E1314" s="286" t="s">
        <v>1106</v>
      </c>
      <c r="F1314" s="286" t="s">
        <v>2049</v>
      </c>
      <c r="G1314" s="286" t="s">
        <v>1079</v>
      </c>
      <c r="H1314" s="286" t="s">
        <v>1079</v>
      </c>
      <c r="I1314" s="286" t="s">
        <v>1112</v>
      </c>
      <c r="J1314" s="286" t="s">
        <v>1312</v>
      </c>
      <c r="K1314" s="286" t="s">
        <v>2050</v>
      </c>
      <c r="L1314" s="286" t="s">
        <v>2051</v>
      </c>
      <c r="M1314" s="286">
        <v>1</v>
      </c>
      <c r="N1314" s="287">
        <v>0</v>
      </c>
      <c r="O1314" s="287"/>
      <c r="P1314" s="286" t="s">
        <v>175</v>
      </c>
    </row>
    <row r="1315" spans="1:16" hidden="1" x14ac:dyDescent="0.15">
      <c r="A1315" s="286">
        <v>332510</v>
      </c>
      <c r="B1315" s="288">
        <v>45167.451388888891</v>
      </c>
      <c r="C1315" s="286" t="s">
        <v>1691</v>
      </c>
      <c r="D1315" s="286" t="s">
        <v>1105</v>
      </c>
      <c r="E1315" s="286" t="s">
        <v>1106</v>
      </c>
      <c r="F1315" s="286" t="s">
        <v>2049</v>
      </c>
      <c r="G1315" s="286" t="s">
        <v>1079</v>
      </c>
      <c r="H1315" s="286" t="s">
        <v>1079</v>
      </c>
      <c r="I1315" s="286" t="s">
        <v>1112</v>
      </c>
      <c r="J1315" s="286" t="s">
        <v>1312</v>
      </c>
      <c r="K1315" s="286" t="s">
        <v>1773</v>
      </c>
      <c r="L1315" s="286" t="s">
        <v>1774</v>
      </c>
      <c r="M1315" s="286">
        <v>2</v>
      </c>
      <c r="N1315" s="287">
        <v>0</v>
      </c>
      <c r="O1315" s="287"/>
      <c r="P1315" s="286" t="s">
        <v>175</v>
      </c>
    </row>
    <row r="1316" spans="1:16" hidden="1" x14ac:dyDescent="0.15">
      <c r="A1316" s="286">
        <v>332510</v>
      </c>
      <c r="B1316" s="288">
        <v>45167.451388888891</v>
      </c>
      <c r="C1316" s="286" t="s">
        <v>1691</v>
      </c>
      <c r="D1316" s="286" t="s">
        <v>1105</v>
      </c>
      <c r="E1316" s="286" t="s">
        <v>1106</v>
      </c>
      <c r="F1316" s="286" t="s">
        <v>2049</v>
      </c>
      <c r="G1316" s="286" t="s">
        <v>1039</v>
      </c>
      <c r="H1316" s="286" t="s">
        <v>1039</v>
      </c>
      <c r="I1316" s="286" t="s">
        <v>1230</v>
      </c>
      <c r="J1316" s="286" t="s">
        <v>1312</v>
      </c>
      <c r="K1316" s="286" t="s">
        <v>2027</v>
      </c>
      <c r="L1316" s="286" t="s">
        <v>2028</v>
      </c>
      <c r="M1316" s="286">
        <v>1</v>
      </c>
      <c r="N1316" s="287">
        <v>0</v>
      </c>
      <c r="O1316" s="287"/>
      <c r="P1316" s="286" t="s">
        <v>175</v>
      </c>
    </row>
    <row r="1317" spans="1:16" hidden="1" x14ac:dyDescent="0.15">
      <c r="A1317" s="286">
        <v>332510</v>
      </c>
      <c r="B1317" s="288">
        <v>45167.451388888891</v>
      </c>
      <c r="C1317" s="286" t="s">
        <v>1691</v>
      </c>
      <c r="D1317" s="286" t="s">
        <v>1105</v>
      </c>
      <c r="E1317" s="286" t="s">
        <v>1106</v>
      </c>
      <c r="F1317" s="286" t="s">
        <v>2049</v>
      </c>
      <c r="G1317" s="286" t="s">
        <v>1055</v>
      </c>
      <c r="H1317" s="286" t="s">
        <v>1055</v>
      </c>
      <c r="I1317" s="286" t="s">
        <v>1230</v>
      </c>
      <c r="J1317" s="286" t="s">
        <v>1312</v>
      </c>
      <c r="K1317" s="286" t="s">
        <v>2027</v>
      </c>
      <c r="L1317" s="286" t="s">
        <v>2028</v>
      </c>
      <c r="M1317" s="286">
        <v>1</v>
      </c>
      <c r="N1317" s="287">
        <v>0</v>
      </c>
      <c r="O1317" s="287"/>
      <c r="P1317" s="286" t="s">
        <v>175</v>
      </c>
    </row>
    <row r="1318" spans="1:16" hidden="1" x14ac:dyDescent="0.15">
      <c r="A1318" s="286">
        <v>333383</v>
      </c>
      <c r="B1318" s="288">
        <v>45169.586111111108</v>
      </c>
      <c r="C1318" s="286" t="s">
        <v>1691</v>
      </c>
      <c r="D1318" s="286" t="s">
        <v>1105</v>
      </c>
      <c r="E1318" s="286" t="s">
        <v>1106</v>
      </c>
      <c r="F1318" s="286" t="s">
        <v>2052</v>
      </c>
      <c r="G1318" s="286" t="s">
        <v>1029</v>
      </c>
      <c r="H1318" s="286" t="s">
        <v>1029</v>
      </c>
      <c r="I1318" s="286" t="s">
        <v>1112</v>
      </c>
      <c r="J1318" s="286" t="s">
        <v>1312</v>
      </c>
      <c r="K1318" s="286" t="s">
        <v>1707</v>
      </c>
      <c r="L1318" s="286" t="s">
        <v>1708</v>
      </c>
      <c r="M1318" s="286">
        <v>1</v>
      </c>
      <c r="N1318" s="287">
        <v>0</v>
      </c>
      <c r="O1318" s="287"/>
      <c r="P1318" s="286" t="s">
        <v>175</v>
      </c>
    </row>
    <row r="1319" spans="1:16" hidden="1" x14ac:dyDescent="0.15">
      <c r="A1319" s="286">
        <v>333383</v>
      </c>
      <c r="B1319" s="288">
        <v>45169.586111111108</v>
      </c>
      <c r="C1319" s="286" t="s">
        <v>1691</v>
      </c>
      <c r="D1319" s="286" t="s">
        <v>1105</v>
      </c>
      <c r="E1319" s="286" t="s">
        <v>1106</v>
      </c>
      <c r="F1319" s="286" t="s">
        <v>2052</v>
      </c>
      <c r="G1319" s="286" t="s">
        <v>1029</v>
      </c>
      <c r="H1319" s="286" t="s">
        <v>1029</v>
      </c>
      <c r="I1319" s="286" t="s">
        <v>1112</v>
      </c>
      <c r="J1319" s="286" t="s">
        <v>1312</v>
      </c>
      <c r="K1319" s="286" t="s">
        <v>1732</v>
      </c>
      <c r="L1319" s="286" t="s">
        <v>1733</v>
      </c>
      <c r="M1319" s="286">
        <v>1</v>
      </c>
      <c r="N1319" s="287">
        <v>0</v>
      </c>
      <c r="O1319" s="287"/>
      <c r="P1319" s="286" t="s">
        <v>175</v>
      </c>
    </row>
    <row r="1320" spans="1:16" hidden="1" x14ac:dyDescent="0.15">
      <c r="A1320" s="286">
        <v>339565</v>
      </c>
      <c r="B1320" s="288">
        <v>45177.4375</v>
      </c>
      <c r="C1320" s="286" t="s">
        <v>1691</v>
      </c>
      <c r="D1320" s="286" t="s">
        <v>1105</v>
      </c>
      <c r="E1320" s="286" t="s">
        <v>1106</v>
      </c>
      <c r="F1320" s="286" t="s">
        <v>2053</v>
      </c>
      <c r="G1320" s="286" t="s">
        <v>1008</v>
      </c>
      <c r="H1320" s="286" t="s">
        <v>1008</v>
      </c>
      <c r="I1320" s="286" t="s">
        <v>1108</v>
      </c>
      <c r="J1320" s="286" t="s">
        <v>53</v>
      </c>
      <c r="K1320" s="286" t="s">
        <v>1339</v>
      </c>
      <c r="L1320" s="286" t="s">
        <v>1340</v>
      </c>
      <c r="M1320" s="286">
        <v>1</v>
      </c>
      <c r="N1320" s="287">
        <v>0</v>
      </c>
      <c r="O1320" s="305">
        <f t="shared" ref="O1320:O1322" si="18">EOMONTH(B1320,0)</f>
        <v>45199</v>
      </c>
      <c r="P1320" s="286" t="s">
        <v>37</v>
      </c>
    </row>
    <row r="1321" spans="1:16" hidden="1" x14ac:dyDescent="0.15">
      <c r="A1321" s="286">
        <v>354736</v>
      </c>
      <c r="B1321" s="288">
        <v>45190.590277777781</v>
      </c>
      <c r="C1321" s="286" t="s">
        <v>1676</v>
      </c>
      <c r="D1321" s="286" t="s">
        <v>1105</v>
      </c>
      <c r="E1321" s="286" t="s">
        <v>1106</v>
      </c>
      <c r="F1321" s="286" t="s">
        <v>1731</v>
      </c>
      <c r="G1321" s="286" t="s">
        <v>1048</v>
      </c>
      <c r="H1321" s="286" t="s">
        <v>1048</v>
      </c>
      <c r="I1321" s="286" t="s">
        <v>1108</v>
      </c>
      <c r="J1321" s="286" t="s">
        <v>1312</v>
      </c>
      <c r="K1321" s="286" t="s">
        <v>1339</v>
      </c>
      <c r="L1321" s="286" t="s">
        <v>1340</v>
      </c>
      <c r="M1321" s="286">
        <v>9</v>
      </c>
      <c r="N1321" s="287">
        <v>0</v>
      </c>
      <c r="O1321" s="305">
        <f t="shared" si="18"/>
        <v>45199</v>
      </c>
      <c r="P1321" s="286" t="s">
        <v>37</v>
      </c>
    </row>
    <row r="1322" spans="1:16" hidden="1" x14ac:dyDescent="0.15">
      <c r="A1322" s="286">
        <v>354736</v>
      </c>
      <c r="B1322" s="288">
        <v>45190.590277777781</v>
      </c>
      <c r="C1322" s="286" t="s">
        <v>1676</v>
      </c>
      <c r="D1322" s="286" t="s">
        <v>1105</v>
      </c>
      <c r="E1322" s="286" t="s">
        <v>1106</v>
      </c>
      <c r="F1322" s="286" t="s">
        <v>1731</v>
      </c>
      <c r="G1322" s="286" t="s">
        <v>1048</v>
      </c>
      <c r="H1322" s="286" t="s">
        <v>1048</v>
      </c>
      <c r="I1322" s="286" t="s">
        <v>1108</v>
      </c>
      <c r="J1322" s="286" t="s">
        <v>1312</v>
      </c>
      <c r="K1322" s="286" t="s">
        <v>1339</v>
      </c>
      <c r="L1322" s="286" t="s">
        <v>1340</v>
      </c>
      <c r="M1322" s="286">
        <v>8</v>
      </c>
      <c r="N1322" s="287">
        <v>0</v>
      </c>
      <c r="O1322" s="305">
        <f t="shared" si="18"/>
        <v>45199</v>
      </c>
      <c r="P1322" s="286" t="s">
        <v>37</v>
      </c>
    </row>
    <row r="1323" spans="1:16" hidden="1" x14ac:dyDescent="0.15">
      <c r="A1323" s="286">
        <v>354736</v>
      </c>
      <c r="B1323" s="288">
        <v>45190.590277777781</v>
      </c>
      <c r="C1323" s="286" t="s">
        <v>1676</v>
      </c>
      <c r="D1323" s="286" t="s">
        <v>1105</v>
      </c>
      <c r="E1323" s="286" t="s">
        <v>1106</v>
      </c>
      <c r="F1323" s="286" t="s">
        <v>1731</v>
      </c>
      <c r="G1323" s="286" t="s">
        <v>1010</v>
      </c>
      <c r="H1323" s="286" t="s">
        <v>1010</v>
      </c>
      <c r="I1323" s="286" t="s">
        <v>1112</v>
      </c>
      <c r="J1323" s="286" t="s">
        <v>1312</v>
      </c>
      <c r="K1323" s="286" t="s">
        <v>1773</v>
      </c>
      <c r="L1323" s="286" t="s">
        <v>1774</v>
      </c>
      <c r="M1323" s="286">
        <v>2</v>
      </c>
      <c r="N1323" s="287">
        <v>0</v>
      </c>
      <c r="O1323" s="287"/>
      <c r="P1323" s="286" t="s">
        <v>175</v>
      </c>
    </row>
    <row r="1324" spans="1:16" hidden="1" x14ac:dyDescent="0.15">
      <c r="A1324" s="286">
        <v>354736</v>
      </c>
      <c r="B1324" s="288">
        <v>45190.590277777781</v>
      </c>
      <c r="C1324" s="286" t="s">
        <v>1676</v>
      </c>
      <c r="D1324" s="286" t="s">
        <v>1105</v>
      </c>
      <c r="E1324" s="286" t="s">
        <v>1106</v>
      </c>
      <c r="F1324" s="286" t="s">
        <v>1731</v>
      </c>
      <c r="G1324" s="286" t="s">
        <v>1058</v>
      </c>
      <c r="H1324" s="286" t="s">
        <v>1058</v>
      </c>
      <c r="I1324" s="286" t="s">
        <v>1108</v>
      </c>
      <c r="J1324" s="286" t="s">
        <v>53</v>
      </c>
      <c r="K1324" s="286" t="s">
        <v>1339</v>
      </c>
      <c r="L1324" s="286" t="s">
        <v>1340</v>
      </c>
      <c r="M1324" s="286">
        <v>4</v>
      </c>
      <c r="N1324" s="287">
        <v>0</v>
      </c>
      <c r="O1324" s="305">
        <f>EOMONTH(B1324,0)</f>
        <v>45199</v>
      </c>
      <c r="P1324" s="286" t="s">
        <v>37</v>
      </c>
    </row>
    <row r="1325" spans="1:16" hidden="1" x14ac:dyDescent="0.15">
      <c r="A1325" s="286">
        <v>356236</v>
      </c>
      <c r="B1325" s="288">
        <v>45191.707638888889</v>
      </c>
      <c r="C1325" s="286" t="s">
        <v>1676</v>
      </c>
      <c r="D1325" s="286" t="s">
        <v>1309</v>
      </c>
      <c r="E1325" s="286" t="s">
        <v>1310</v>
      </c>
      <c r="F1325" s="286" t="s">
        <v>2054</v>
      </c>
      <c r="G1325" s="286" t="s">
        <v>1041</v>
      </c>
      <c r="H1325" s="286" t="s">
        <v>1041</v>
      </c>
      <c r="I1325" s="286" t="s">
        <v>1282</v>
      </c>
      <c r="J1325" s="286" t="s">
        <v>1312</v>
      </c>
      <c r="K1325" s="286" t="s">
        <v>202</v>
      </c>
      <c r="L1325" s="286" t="s">
        <v>203</v>
      </c>
      <c r="M1325" s="286">
        <v>1</v>
      </c>
      <c r="N1325" s="287">
        <v>0</v>
      </c>
      <c r="O1325" s="287"/>
      <c r="P1325" s="286" t="s">
        <v>201</v>
      </c>
    </row>
    <row r="1326" spans="1:16" hidden="1" x14ac:dyDescent="0.15">
      <c r="A1326" s="286">
        <v>356237</v>
      </c>
      <c r="B1326" s="288">
        <v>45191.708333333336</v>
      </c>
      <c r="C1326" s="286" t="s">
        <v>1676</v>
      </c>
      <c r="D1326" s="286" t="s">
        <v>1309</v>
      </c>
      <c r="E1326" s="286" t="s">
        <v>1310</v>
      </c>
      <c r="F1326" s="286" t="s">
        <v>2055</v>
      </c>
      <c r="G1326" s="286" t="s">
        <v>1041</v>
      </c>
      <c r="H1326" s="286" t="s">
        <v>1041</v>
      </c>
      <c r="I1326" s="286" t="s">
        <v>1282</v>
      </c>
      <c r="J1326" s="286" t="s">
        <v>1312</v>
      </c>
      <c r="K1326" s="286" t="s">
        <v>202</v>
      </c>
      <c r="L1326" s="286" t="s">
        <v>203</v>
      </c>
      <c r="M1326" s="286">
        <v>1</v>
      </c>
      <c r="N1326" s="287">
        <v>0</v>
      </c>
      <c r="O1326" s="287"/>
      <c r="P1326" s="286" t="s">
        <v>201</v>
      </c>
    </row>
    <row r="1327" spans="1:16" hidden="1" x14ac:dyDescent="0.15">
      <c r="A1327" s="286">
        <v>357978</v>
      </c>
      <c r="B1327" s="288">
        <v>45195.408333333333</v>
      </c>
      <c r="C1327" s="286" t="s">
        <v>1676</v>
      </c>
      <c r="D1327" s="286" t="s">
        <v>1105</v>
      </c>
      <c r="E1327" s="286" t="s">
        <v>1106</v>
      </c>
      <c r="F1327" s="286" t="s">
        <v>1706</v>
      </c>
      <c r="G1327" s="286" t="s">
        <v>1010</v>
      </c>
      <c r="H1327" s="286" t="s">
        <v>1010</v>
      </c>
      <c r="I1327" s="286" t="s">
        <v>1108</v>
      </c>
      <c r="J1327" s="286" t="s">
        <v>1312</v>
      </c>
      <c r="K1327" s="286" t="s">
        <v>1339</v>
      </c>
      <c r="L1327" s="286" t="s">
        <v>1340</v>
      </c>
      <c r="M1327" s="286">
        <v>4</v>
      </c>
      <c r="N1327" s="287">
        <v>0</v>
      </c>
      <c r="O1327" s="305">
        <f t="shared" ref="O1327:O1328" si="19">EOMONTH(B1327,0)</f>
        <v>45199</v>
      </c>
      <c r="P1327" s="286" t="s">
        <v>37</v>
      </c>
    </row>
    <row r="1328" spans="1:16" hidden="1" x14ac:dyDescent="0.15">
      <c r="A1328" s="286">
        <v>357978</v>
      </c>
      <c r="B1328" s="288">
        <v>45195.408333333333</v>
      </c>
      <c r="C1328" s="286" t="s">
        <v>1676</v>
      </c>
      <c r="D1328" s="286" t="s">
        <v>1105</v>
      </c>
      <c r="E1328" s="286" t="s">
        <v>1106</v>
      </c>
      <c r="F1328" s="286" t="s">
        <v>1706</v>
      </c>
      <c r="G1328" s="286" t="s">
        <v>1010</v>
      </c>
      <c r="H1328" s="286" t="s">
        <v>1010</v>
      </c>
      <c r="I1328" s="286" t="s">
        <v>1108</v>
      </c>
      <c r="J1328" s="286" t="s">
        <v>1312</v>
      </c>
      <c r="K1328" s="286" t="s">
        <v>1339</v>
      </c>
      <c r="L1328" s="286" t="s">
        <v>1340</v>
      </c>
      <c r="M1328" s="286">
        <v>3</v>
      </c>
      <c r="N1328" s="287">
        <v>0</v>
      </c>
      <c r="O1328" s="305">
        <f t="shared" si="19"/>
        <v>45199</v>
      </c>
      <c r="P1328" s="286" t="s">
        <v>37</v>
      </c>
    </row>
    <row r="1329" spans="1:16" hidden="1" x14ac:dyDescent="0.15">
      <c r="A1329" s="286">
        <v>357978</v>
      </c>
      <c r="B1329" s="288">
        <v>45195.408333333333</v>
      </c>
      <c r="C1329" s="286" t="s">
        <v>1676</v>
      </c>
      <c r="D1329" s="286" t="s">
        <v>1105</v>
      </c>
      <c r="E1329" s="286" t="s">
        <v>1106</v>
      </c>
      <c r="F1329" s="286" t="s">
        <v>1706</v>
      </c>
      <c r="G1329" s="286" t="s">
        <v>1026</v>
      </c>
      <c r="H1329" s="286" t="s">
        <v>1026</v>
      </c>
      <c r="I1329" s="286" t="s">
        <v>1282</v>
      </c>
      <c r="J1329" s="286" t="s">
        <v>1312</v>
      </c>
      <c r="K1329" s="286" t="s">
        <v>202</v>
      </c>
      <c r="L1329" s="286" t="s">
        <v>203</v>
      </c>
      <c r="M1329" s="286">
        <v>1</v>
      </c>
      <c r="N1329" s="287">
        <v>0</v>
      </c>
      <c r="O1329" s="287"/>
      <c r="P1329" s="286" t="s">
        <v>201</v>
      </c>
    </row>
    <row r="1330" spans="1:16" hidden="1" x14ac:dyDescent="0.15">
      <c r="A1330" s="286">
        <v>358931</v>
      </c>
      <c r="B1330" s="288">
        <v>45196.380555555559</v>
      </c>
      <c r="C1330" s="286" t="s">
        <v>1676</v>
      </c>
      <c r="D1330" s="286" t="s">
        <v>1105</v>
      </c>
      <c r="E1330" s="286" t="s">
        <v>1106</v>
      </c>
      <c r="F1330" s="286" t="s">
        <v>2056</v>
      </c>
      <c r="G1330" s="286" t="s">
        <v>1041</v>
      </c>
      <c r="H1330" s="286" t="s">
        <v>1041</v>
      </c>
      <c r="I1330" s="286" t="s">
        <v>1129</v>
      </c>
      <c r="J1330" s="286" t="s">
        <v>1312</v>
      </c>
      <c r="K1330" s="286" t="s">
        <v>1318</v>
      </c>
      <c r="L1330" s="286" t="s">
        <v>1319</v>
      </c>
      <c r="M1330" s="286">
        <v>1</v>
      </c>
      <c r="N1330" s="287">
        <v>0</v>
      </c>
      <c r="O1330" s="287"/>
      <c r="P1330" s="286" t="s">
        <v>164</v>
      </c>
    </row>
    <row r="1331" spans="1:16" hidden="1" x14ac:dyDescent="0.15">
      <c r="A1331" s="286">
        <v>369309</v>
      </c>
      <c r="B1331" s="288">
        <v>45208.394444444442</v>
      </c>
      <c r="C1331" s="286" t="s">
        <v>1676</v>
      </c>
      <c r="D1331" s="286" t="s">
        <v>1105</v>
      </c>
      <c r="E1331" s="286" t="s">
        <v>1106</v>
      </c>
      <c r="F1331" s="286" t="s">
        <v>1677</v>
      </c>
      <c r="G1331" s="286" t="s">
        <v>1041</v>
      </c>
      <c r="H1331" s="286" t="s">
        <v>1041</v>
      </c>
      <c r="I1331" s="286" t="s">
        <v>1112</v>
      </c>
      <c r="J1331" s="286" t="s">
        <v>1312</v>
      </c>
      <c r="K1331" s="286" t="s">
        <v>1732</v>
      </c>
      <c r="L1331" s="286" t="s">
        <v>1733</v>
      </c>
      <c r="M1331" s="286">
        <v>1</v>
      </c>
      <c r="N1331" s="287">
        <v>0</v>
      </c>
      <c r="O1331" s="287"/>
      <c r="P1331" s="286" t="s">
        <v>175</v>
      </c>
    </row>
    <row r="1332" spans="1:16" hidden="1" x14ac:dyDescent="0.15">
      <c r="A1332" s="286">
        <v>379034</v>
      </c>
      <c r="B1332" s="288">
        <v>45218.477083333331</v>
      </c>
      <c r="C1332" s="286" t="s">
        <v>1676</v>
      </c>
      <c r="D1332" s="286" t="s">
        <v>1105</v>
      </c>
      <c r="E1332" s="286" t="s">
        <v>1106</v>
      </c>
      <c r="F1332" s="286" t="s">
        <v>1802</v>
      </c>
      <c r="G1332" s="286" t="s">
        <v>1023</v>
      </c>
      <c r="H1332" s="286" t="s">
        <v>1023</v>
      </c>
      <c r="I1332" s="286" t="s">
        <v>1112</v>
      </c>
      <c r="J1332" s="286" t="s">
        <v>1312</v>
      </c>
      <c r="K1332" s="286" t="s">
        <v>1773</v>
      </c>
      <c r="L1332" s="286" t="s">
        <v>1774</v>
      </c>
      <c r="M1332" s="286">
        <v>2</v>
      </c>
      <c r="N1332" s="287">
        <v>0</v>
      </c>
      <c r="O1332" s="287"/>
      <c r="P1332" s="286" t="s">
        <v>175</v>
      </c>
    </row>
    <row r="1333" spans="1:16" hidden="1" x14ac:dyDescent="0.15">
      <c r="A1333" s="286">
        <v>379034</v>
      </c>
      <c r="B1333" s="288">
        <v>45218.477083333331</v>
      </c>
      <c r="C1333" s="286" t="s">
        <v>1676</v>
      </c>
      <c r="D1333" s="286" t="s">
        <v>1105</v>
      </c>
      <c r="E1333" s="286" t="s">
        <v>1106</v>
      </c>
      <c r="F1333" s="286" t="s">
        <v>1802</v>
      </c>
      <c r="G1333" s="286" t="s">
        <v>1023</v>
      </c>
      <c r="H1333" s="286" t="s">
        <v>1023</v>
      </c>
      <c r="I1333" s="286" t="s">
        <v>1112</v>
      </c>
      <c r="J1333" s="286" t="s">
        <v>1312</v>
      </c>
      <c r="K1333" s="286" t="s">
        <v>2050</v>
      </c>
      <c r="L1333" s="286" t="s">
        <v>2051</v>
      </c>
      <c r="M1333" s="286">
        <v>1</v>
      </c>
      <c r="N1333" s="287">
        <v>0</v>
      </c>
      <c r="O1333" s="287"/>
      <c r="P1333" s="286" t="s">
        <v>175</v>
      </c>
    </row>
    <row r="1334" spans="1:16" hidden="1" x14ac:dyDescent="0.15">
      <c r="A1334" s="286">
        <v>370270</v>
      </c>
      <c r="B1334" s="288">
        <v>45208.668055555558</v>
      </c>
      <c r="C1334" s="286" t="s">
        <v>1642</v>
      </c>
      <c r="D1334" s="286" t="s">
        <v>1105</v>
      </c>
      <c r="E1334" s="286" t="s">
        <v>1106</v>
      </c>
      <c r="F1334" s="286" t="s">
        <v>1716</v>
      </c>
      <c r="G1334" s="286" t="s">
        <v>1055</v>
      </c>
      <c r="H1334" s="286" t="s">
        <v>1055</v>
      </c>
      <c r="I1334" s="286" t="s">
        <v>1108</v>
      </c>
      <c r="J1334" s="286" t="s">
        <v>1312</v>
      </c>
      <c r="K1334" s="286" t="s">
        <v>1339</v>
      </c>
      <c r="L1334" s="286" t="s">
        <v>1340</v>
      </c>
      <c r="M1334" s="286">
        <v>4</v>
      </c>
      <c r="N1334" s="287">
        <v>0</v>
      </c>
      <c r="O1334" s="305">
        <f>EOMONTH(B1334,0)</f>
        <v>45230</v>
      </c>
      <c r="P1334" s="286" t="s">
        <v>37</v>
      </c>
    </row>
    <row r="1335" spans="1:16" hidden="1" x14ac:dyDescent="0.15">
      <c r="A1335" s="286">
        <v>379134</v>
      </c>
      <c r="B1335" s="288">
        <v>45218.479166666664</v>
      </c>
      <c r="C1335" s="286" t="s">
        <v>1642</v>
      </c>
      <c r="D1335" s="286" t="s">
        <v>1105</v>
      </c>
      <c r="E1335" s="286" t="s">
        <v>1106</v>
      </c>
      <c r="F1335" s="286" t="s">
        <v>1726</v>
      </c>
      <c r="G1335" s="286" t="s">
        <v>1056</v>
      </c>
      <c r="H1335" s="286" t="s">
        <v>1056</v>
      </c>
      <c r="I1335" s="286" t="s">
        <v>1129</v>
      </c>
      <c r="J1335" s="286" t="s">
        <v>1312</v>
      </c>
      <c r="K1335" s="286" t="s">
        <v>1464</v>
      </c>
      <c r="L1335" s="286" t="s">
        <v>1465</v>
      </c>
      <c r="M1335" s="286">
        <v>2</v>
      </c>
      <c r="N1335" s="287">
        <v>0</v>
      </c>
      <c r="O1335" s="287"/>
      <c r="P1335" s="286" t="s">
        <v>164</v>
      </c>
    </row>
    <row r="1336" spans="1:16" hidden="1" x14ac:dyDescent="0.15">
      <c r="A1336" s="286">
        <v>379134</v>
      </c>
      <c r="B1336" s="288">
        <v>45218.479166666664</v>
      </c>
      <c r="C1336" s="286" t="s">
        <v>1642</v>
      </c>
      <c r="D1336" s="286" t="s">
        <v>1105</v>
      </c>
      <c r="E1336" s="286" t="s">
        <v>1106</v>
      </c>
      <c r="F1336" s="286" t="s">
        <v>1726</v>
      </c>
      <c r="G1336" s="286" t="s">
        <v>1028</v>
      </c>
      <c r="H1336" s="286" t="s">
        <v>1028</v>
      </c>
      <c r="I1336" s="286" t="s">
        <v>1108</v>
      </c>
      <c r="J1336" s="286" t="s">
        <v>53</v>
      </c>
      <c r="K1336" s="286" t="s">
        <v>1339</v>
      </c>
      <c r="L1336" s="286" t="s">
        <v>1340</v>
      </c>
      <c r="M1336" s="286">
        <v>1</v>
      </c>
      <c r="N1336" s="287">
        <v>0</v>
      </c>
      <c r="O1336" s="305">
        <f>EOMONTH(B1336,0)</f>
        <v>45230</v>
      </c>
      <c r="P1336" s="286" t="s">
        <v>37</v>
      </c>
    </row>
    <row r="1337" spans="1:16" hidden="1" x14ac:dyDescent="0.15">
      <c r="A1337" s="286">
        <v>384147</v>
      </c>
      <c r="B1337" s="288">
        <v>45224.533333333333</v>
      </c>
      <c r="C1337" s="286" t="s">
        <v>1642</v>
      </c>
      <c r="D1337" s="286" t="s">
        <v>1105</v>
      </c>
      <c r="E1337" s="286" t="s">
        <v>1106</v>
      </c>
      <c r="F1337" s="286" t="s">
        <v>2057</v>
      </c>
      <c r="G1337" s="286" t="s">
        <v>1073</v>
      </c>
      <c r="H1337" s="286" t="s">
        <v>1073</v>
      </c>
      <c r="I1337" s="286" t="s">
        <v>1199</v>
      </c>
      <c r="J1337" s="286" t="s">
        <v>1312</v>
      </c>
      <c r="K1337" s="286" t="s">
        <v>634</v>
      </c>
      <c r="L1337" s="286" t="s">
        <v>2058</v>
      </c>
      <c r="M1337" s="286">
        <v>1</v>
      </c>
      <c r="N1337" s="287">
        <v>0</v>
      </c>
      <c r="O1337" s="287"/>
      <c r="P1337" s="286" t="s">
        <v>58</v>
      </c>
    </row>
    <row r="1338" spans="1:16" hidden="1" x14ac:dyDescent="0.15">
      <c r="A1338" s="286">
        <v>386787</v>
      </c>
      <c r="B1338" s="288">
        <v>45229.685416666667</v>
      </c>
      <c r="C1338" s="286" t="s">
        <v>1642</v>
      </c>
      <c r="D1338" s="286" t="s">
        <v>1105</v>
      </c>
      <c r="E1338" s="286" t="s">
        <v>1106</v>
      </c>
      <c r="F1338" s="286" t="s">
        <v>1869</v>
      </c>
      <c r="G1338" s="286" t="s">
        <v>1011</v>
      </c>
      <c r="H1338" s="286" t="s">
        <v>1011</v>
      </c>
      <c r="I1338" s="286" t="s">
        <v>1129</v>
      </c>
      <c r="J1338" s="286" t="s">
        <v>1312</v>
      </c>
      <c r="K1338" s="286" t="s">
        <v>1464</v>
      </c>
      <c r="L1338" s="286" t="s">
        <v>1465</v>
      </c>
      <c r="M1338" s="286">
        <v>2</v>
      </c>
      <c r="N1338" s="287">
        <v>0</v>
      </c>
      <c r="O1338" s="287"/>
      <c r="P1338" s="286" t="s">
        <v>164</v>
      </c>
    </row>
    <row r="1339" spans="1:16" hidden="1" x14ac:dyDescent="0.15">
      <c r="A1339" s="286">
        <v>390502</v>
      </c>
      <c r="B1339" s="288">
        <v>45231.606944444444</v>
      </c>
      <c r="C1339" s="286" t="s">
        <v>1642</v>
      </c>
      <c r="D1339" s="286" t="s">
        <v>1105</v>
      </c>
      <c r="E1339" s="286" t="s">
        <v>1106</v>
      </c>
      <c r="F1339" s="286" t="s">
        <v>2059</v>
      </c>
      <c r="G1339" s="286" t="s">
        <v>1041</v>
      </c>
      <c r="H1339" s="286" t="s">
        <v>1041</v>
      </c>
      <c r="I1339" s="286" t="s">
        <v>1199</v>
      </c>
      <c r="J1339" s="286" t="s">
        <v>1312</v>
      </c>
      <c r="K1339" s="286" t="s">
        <v>634</v>
      </c>
      <c r="L1339" s="286" t="s">
        <v>2058</v>
      </c>
      <c r="M1339" s="286">
        <v>1</v>
      </c>
      <c r="N1339" s="287">
        <v>0</v>
      </c>
      <c r="O1339" s="287"/>
      <c r="P1339" s="286" t="s">
        <v>58</v>
      </c>
    </row>
    <row r="1340" spans="1:16" hidden="1" x14ac:dyDescent="0.15">
      <c r="A1340" s="286">
        <v>390502</v>
      </c>
      <c r="B1340" s="288">
        <v>45231.606944444444</v>
      </c>
      <c r="C1340" s="286" t="s">
        <v>1642</v>
      </c>
      <c r="D1340" s="286" t="s">
        <v>1105</v>
      </c>
      <c r="E1340" s="286" t="s">
        <v>1106</v>
      </c>
      <c r="F1340" s="286" t="s">
        <v>2059</v>
      </c>
      <c r="G1340" s="286" t="s">
        <v>1041</v>
      </c>
      <c r="H1340" s="286" t="s">
        <v>1041</v>
      </c>
      <c r="I1340" s="286" t="s">
        <v>1199</v>
      </c>
      <c r="J1340" s="286" t="s">
        <v>1312</v>
      </c>
      <c r="K1340" s="286" t="s">
        <v>634</v>
      </c>
      <c r="L1340" s="286" t="s">
        <v>2058</v>
      </c>
      <c r="M1340" s="286">
        <v>1</v>
      </c>
      <c r="N1340" s="287">
        <v>0</v>
      </c>
      <c r="O1340" s="287"/>
      <c r="P1340" s="286" t="s">
        <v>58</v>
      </c>
    </row>
    <row r="1341" spans="1:16" hidden="1" x14ac:dyDescent="0.15">
      <c r="A1341" s="286">
        <v>394327</v>
      </c>
      <c r="B1341" s="288">
        <v>45233.704861111109</v>
      </c>
      <c r="C1341" s="286" t="s">
        <v>1642</v>
      </c>
      <c r="D1341" s="286" t="s">
        <v>1105</v>
      </c>
      <c r="E1341" s="286" t="s">
        <v>1106</v>
      </c>
      <c r="F1341" s="286" t="s">
        <v>1643</v>
      </c>
      <c r="G1341" s="286" t="s">
        <v>1075</v>
      </c>
      <c r="H1341" s="286" t="s">
        <v>1075</v>
      </c>
      <c r="I1341" s="286" t="s">
        <v>1112</v>
      </c>
      <c r="J1341" s="286" t="s">
        <v>1312</v>
      </c>
      <c r="K1341" s="286" t="s">
        <v>1732</v>
      </c>
      <c r="L1341" s="286" t="s">
        <v>1733</v>
      </c>
      <c r="M1341" s="286">
        <v>1</v>
      </c>
      <c r="N1341" s="287">
        <v>0</v>
      </c>
      <c r="O1341" s="287"/>
      <c r="P1341" s="286" t="s">
        <v>175</v>
      </c>
    </row>
    <row r="1342" spans="1:16" hidden="1" x14ac:dyDescent="0.15">
      <c r="A1342" s="286">
        <v>394327</v>
      </c>
      <c r="B1342" s="288">
        <v>45233.704861111109</v>
      </c>
      <c r="C1342" s="286" t="s">
        <v>1642</v>
      </c>
      <c r="D1342" s="286" t="s">
        <v>1105</v>
      </c>
      <c r="E1342" s="286" t="s">
        <v>1106</v>
      </c>
      <c r="F1342" s="286" t="s">
        <v>1643</v>
      </c>
      <c r="G1342" s="286" t="s">
        <v>1024</v>
      </c>
      <c r="H1342" s="286" t="s">
        <v>1024</v>
      </c>
      <c r="I1342" s="286" t="s">
        <v>1112</v>
      </c>
      <c r="J1342" s="286" t="s">
        <v>1312</v>
      </c>
      <c r="K1342" s="286" t="s">
        <v>2050</v>
      </c>
      <c r="L1342" s="286" t="s">
        <v>2051</v>
      </c>
      <c r="M1342" s="286">
        <v>1</v>
      </c>
      <c r="N1342" s="287">
        <v>0</v>
      </c>
      <c r="O1342" s="287"/>
      <c r="P1342" s="286" t="s">
        <v>175</v>
      </c>
    </row>
    <row r="1343" spans="1:16" hidden="1" x14ac:dyDescent="0.15">
      <c r="A1343" s="286">
        <v>394327</v>
      </c>
      <c r="B1343" s="288">
        <v>45233.704861111109</v>
      </c>
      <c r="C1343" s="286" t="s">
        <v>1642</v>
      </c>
      <c r="D1343" s="286" t="s">
        <v>1105</v>
      </c>
      <c r="E1343" s="286" t="s">
        <v>1106</v>
      </c>
      <c r="F1343" s="286" t="s">
        <v>1643</v>
      </c>
      <c r="G1343" s="286" t="s">
        <v>1024</v>
      </c>
      <c r="H1343" s="286" t="s">
        <v>1024</v>
      </c>
      <c r="I1343" s="286" t="s">
        <v>1112</v>
      </c>
      <c r="J1343" s="286" t="s">
        <v>1312</v>
      </c>
      <c r="K1343" s="286" t="s">
        <v>1773</v>
      </c>
      <c r="L1343" s="286" t="s">
        <v>1774</v>
      </c>
      <c r="M1343" s="286">
        <v>1</v>
      </c>
      <c r="N1343" s="287">
        <v>0</v>
      </c>
      <c r="O1343" s="287"/>
      <c r="P1343" s="286" t="s">
        <v>175</v>
      </c>
    </row>
    <row r="1344" spans="1:16" hidden="1" x14ac:dyDescent="0.15">
      <c r="A1344" s="286">
        <v>394327</v>
      </c>
      <c r="B1344" s="288">
        <v>45233.704861111109</v>
      </c>
      <c r="C1344" s="286" t="s">
        <v>1642</v>
      </c>
      <c r="D1344" s="286" t="s">
        <v>1105</v>
      </c>
      <c r="E1344" s="286" t="s">
        <v>1106</v>
      </c>
      <c r="F1344" s="286" t="s">
        <v>1643</v>
      </c>
      <c r="G1344" s="286" t="s">
        <v>1075</v>
      </c>
      <c r="H1344" s="286" t="s">
        <v>1075</v>
      </c>
      <c r="I1344" s="286" t="s">
        <v>1112</v>
      </c>
      <c r="J1344" s="286" t="s">
        <v>1312</v>
      </c>
      <c r="K1344" s="286" t="s">
        <v>1707</v>
      </c>
      <c r="L1344" s="286" t="s">
        <v>1708</v>
      </c>
      <c r="M1344" s="286">
        <v>2</v>
      </c>
      <c r="N1344" s="287">
        <v>0</v>
      </c>
      <c r="O1344" s="287"/>
      <c r="P1344" s="286" t="s">
        <v>175</v>
      </c>
    </row>
    <row r="1345" spans="1:16" hidden="1" x14ac:dyDescent="0.15">
      <c r="A1345" s="286">
        <v>407061</v>
      </c>
      <c r="B1345" s="288">
        <v>45246.459722222222</v>
      </c>
      <c r="C1345" s="286" t="s">
        <v>1654</v>
      </c>
      <c r="D1345" s="286" t="s">
        <v>1105</v>
      </c>
      <c r="E1345" s="286" t="s">
        <v>1106</v>
      </c>
      <c r="F1345" s="286" t="s">
        <v>1848</v>
      </c>
      <c r="G1345" s="286" t="s">
        <v>1014</v>
      </c>
      <c r="H1345" s="286" t="s">
        <v>1014</v>
      </c>
      <c r="I1345" s="286" t="s">
        <v>1129</v>
      </c>
      <c r="J1345" s="286" t="s">
        <v>1312</v>
      </c>
      <c r="K1345" s="286" t="s">
        <v>1331</v>
      </c>
      <c r="L1345" s="286" t="s">
        <v>1332</v>
      </c>
      <c r="M1345" s="286">
        <v>11</v>
      </c>
      <c r="N1345" s="287">
        <v>0</v>
      </c>
      <c r="O1345" s="287"/>
      <c r="P1345" s="286" t="s">
        <v>164</v>
      </c>
    </row>
    <row r="1346" spans="1:16" hidden="1" x14ac:dyDescent="0.15">
      <c r="A1346" s="286">
        <v>407061</v>
      </c>
      <c r="B1346" s="288">
        <v>45246.459722222222</v>
      </c>
      <c r="C1346" s="286" t="s">
        <v>1654</v>
      </c>
      <c r="D1346" s="286" t="s">
        <v>1105</v>
      </c>
      <c r="E1346" s="286" t="s">
        <v>1106</v>
      </c>
      <c r="F1346" s="286" t="s">
        <v>1848</v>
      </c>
      <c r="G1346" s="286" t="s">
        <v>1014</v>
      </c>
      <c r="H1346" s="286" t="s">
        <v>1014</v>
      </c>
      <c r="I1346" s="286" t="s">
        <v>1129</v>
      </c>
      <c r="J1346" s="286" t="s">
        <v>1312</v>
      </c>
      <c r="K1346" s="286" t="s">
        <v>1333</v>
      </c>
      <c r="L1346" s="286" t="s">
        <v>1334</v>
      </c>
      <c r="M1346" s="286">
        <v>11</v>
      </c>
      <c r="N1346" s="287">
        <v>0</v>
      </c>
      <c r="O1346" s="287"/>
      <c r="P1346" s="286" t="s">
        <v>164</v>
      </c>
    </row>
    <row r="1347" spans="1:16" hidden="1" x14ac:dyDescent="0.15">
      <c r="A1347" s="286">
        <v>410317</v>
      </c>
      <c r="B1347" s="288">
        <v>45250.461111111108</v>
      </c>
      <c r="C1347" s="286" t="s">
        <v>1654</v>
      </c>
      <c r="D1347" s="286" t="s">
        <v>1105</v>
      </c>
      <c r="E1347" s="286" t="s">
        <v>1106</v>
      </c>
      <c r="F1347" s="286" t="s">
        <v>2060</v>
      </c>
      <c r="G1347" s="286" t="s">
        <v>1017</v>
      </c>
      <c r="H1347" s="286" t="s">
        <v>1017</v>
      </c>
      <c r="I1347" s="286" t="s">
        <v>1108</v>
      </c>
      <c r="J1347" s="286" t="s">
        <v>53</v>
      </c>
      <c r="K1347" s="286" t="s">
        <v>1339</v>
      </c>
      <c r="L1347" s="286" t="s">
        <v>1340</v>
      </c>
      <c r="M1347" s="286">
        <v>1</v>
      </c>
      <c r="N1347" s="287">
        <v>0</v>
      </c>
      <c r="O1347" s="305">
        <f t="shared" ref="O1347:O1360" si="20">EOMONTH(B1347,0)</f>
        <v>45260</v>
      </c>
      <c r="P1347" s="286" t="s">
        <v>37</v>
      </c>
    </row>
    <row r="1348" spans="1:16" hidden="1" x14ac:dyDescent="0.15">
      <c r="A1348" s="286">
        <v>410783</v>
      </c>
      <c r="B1348" s="288">
        <v>45251.529861111114</v>
      </c>
      <c r="C1348" s="286" t="s">
        <v>1654</v>
      </c>
      <c r="D1348" s="286" t="s">
        <v>1105</v>
      </c>
      <c r="E1348" s="286" t="s">
        <v>1106</v>
      </c>
      <c r="F1348" s="286" t="s">
        <v>2061</v>
      </c>
      <c r="G1348" s="286" t="s">
        <v>1014</v>
      </c>
      <c r="H1348" s="286" t="s">
        <v>1014</v>
      </c>
      <c r="I1348" s="286" t="s">
        <v>1108</v>
      </c>
      <c r="J1348" s="286" t="s">
        <v>1312</v>
      </c>
      <c r="K1348" s="286" t="s">
        <v>1339</v>
      </c>
      <c r="L1348" s="286" t="s">
        <v>1340</v>
      </c>
      <c r="M1348" s="286">
        <v>2</v>
      </c>
      <c r="N1348" s="287">
        <v>0</v>
      </c>
      <c r="O1348" s="305">
        <f t="shared" si="20"/>
        <v>45260</v>
      </c>
      <c r="P1348" s="286" t="s">
        <v>37</v>
      </c>
    </row>
    <row r="1349" spans="1:16" hidden="1" x14ac:dyDescent="0.15">
      <c r="A1349" s="286">
        <v>410783</v>
      </c>
      <c r="B1349" s="288">
        <v>45251.529861111114</v>
      </c>
      <c r="C1349" s="286" t="s">
        <v>1654</v>
      </c>
      <c r="D1349" s="286" t="s">
        <v>1105</v>
      </c>
      <c r="E1349" s="286" t="s">
        <v>1106</v>
      </c>
      <c r="F1349" s="286" t="s">
        <v>2061</v>
      </c>
      <c r="G1349" s="286" t="s">
        <v>1023</v>
      </c>
      <c r="H1349" s="286" t="s">
        <v>1023</v>
      </c>
      <c r="I1349" s="286" t="s">
        <v>1108</v>
      </c>
      <c r="J1349" s="286" t="s">
        <v>1312</v>
      </c>
      <c r="K1349" s="286" t="s">
        <v>1339</v>
      </c>
      <c r="L1349" s="286" t="s">
        <v>1340</v>
      </c>
      <c r="M1349" s="286">
        <v>3</v>
      </c>
      <c r="N1349" s="287">
        <v>0</v>
      </c>
      <c r="O1349" s="305">
        <f t="shared" si="20"/>
        <v>45260</v>
      </c>
      <c r="P1349" s="286" t="s">
        <v>37</v>
      </c>
    </row>
    <row r="1350" spans="1:16" hidden="1" x14ac:dyDescent="0.15">
      <c r="A1350" s="286">
        <v>410783</v>
      </c>
      <c r="B1350" s="288">
        <v>45251.529861111114</v>
      </c>
      <c r="C1350" s="286" t="s">
        <v>1654</v>
      </c>
      <c r="D1350" s="286" t="s">
        <v>1105</v>
      </c>
      <c r="E1350" s="286" t="s">
        <v>1106</v>
      </c>
      <c r="F1350" s="286" t="s">
        <v>2061</v>
      </c>
      <c r="G1350" s="286" t="s">
        <v>1059</v>
      </c>
      <c r="H1350" s="286" t="s">
        <v>1059</v>
      </c>
      <c r="I1350" s="286" t="s">
        <v>1108</v>
      </c>
      <c r="J1350" s="286" t="s">
        <v>1312</v>
      </c>
      <c r="K1350" s="286" t="s">
        <v>1339</v>
      </c>
      <c r="L1350" s="286" t="s">
        <v>1340</v>
      </c>
      <c r="M1350" s="286">
        <v>1</v>
      </c>
      <c r="N1350" s="287">
        <v>0</v>
      </c>
      <c r="O1350" s="305">
        <f t="shared" si="20"/>
        <v>45260</v>
      </c>
      <c r="P1350" s="286" t="s">
        <v>37</v>
      </c>
    </row>
    <row r="1351" spans="1:16" hidden="1" x14ac:dyDescent="0.15">
      <c r="A1351" s="286">
        <v>410783</v>
      </c>
      <c r="B1351" s="288">
        <v>45251.529861111114</v>
      </c>
      <c r="C1351" s="286" t="s">
        <v>1654</v>
      </c>
      <c r="D1351" s="286" t="s">
        <v>1105</v>
      </c>
      <c r="E1351" s="286" t="s">
        <v>1106</v>
      </c>
      <c r="F1351" s="286" t="s">
        <v>2061</v>
      </c>
      <c r="G1351" s="286" t="s">
        <v>1073</v>
      </c>
      <c r="H1351" s="286" t="s">
        <v>1073</v>
      </c>
      <c r="I1351" s="286" t="s">
        <v>1108</v>
      </c>
      <c r="J1351" s="286" t="s">
        <v>1312</v>
      </c>
      <c r="K1351" s="286" t="s">
        <v>1339</v>
      </c>
      <c r="L1351" s="286" t="s">
        <v>1340</v>
      </c>
      <c r="M1351" s="286">
        <v>1</v>
      </c>
      <c r="N1351" s="287">
        <v>0</v>
      </c>
      <c r="O1351" s="305">
        <f t="shared" si="20"/>
        <v>45260</v>
      </c>
      <c r="P1351" s="286" t="s">
        <v>37</v>
      </c>
    </row>
    <row r="1352" spans="1:16" hidden="1" x14ac:dyDescent="0.15">
      <c r="A1352" s="286">
        <v>410783</v>
      </c>
      <c r="B1352" s="288">
        <v>45251.529861111114</v>
      </c>
      <c r="C1352" s="286" t="s">
        <v>1654</v>
      </c>
      <c r="D1352" s="286" t="s">
        <v>1105</v>
      </c>
      <c r="E1352" s="286" t="s">
        <v>1106</v>
      </c>
      <c r="F1352" s="286" t="s">
        <v>2061</v>
      </c>
      <c r="G1352" s="286" t="s">
        <v>1014</v>
      </c>
      <c r="H1352" s="286" t="s">
        <v>1014</v>
      </c>
      <c r="I1352" s="286" t="s">
        <v>1108</v>
      </c>
      <c r="J1352" s="286" t="s">
        <v>1312</v>
      </c>
      <c r="K1352" s="286" t="s">
        <v>1339</v>
      </c>
      <c r="L1352" s="286" t="s">
        <v>1340</v>
      </c>
      <c r="M1352" s="286">
        <v>3</v>
      </c>
      <c r="N1352" s="287">
        <v>0</v>
      </c>
      <c r="O1352" s="305">
        <f t="shared" si="20"/>
        <v>45260</v>
      </c>
      <c r="P1352" s="286" t="s">
        <v>37</v>
      </c>
    </row>
    <row r="1353" spans="1:16" hidden="1" x14ac:dyDescent="0.15">
      <c r="A1353" s="286">
        <v>410783</v>
      </c>
      <c r="B1353" s="288">
        <v>45251.529861111114</v>
      </c>
      <c r="C1353" s="286" t="s">
        <v>1654</v>
      </c>
      <c r="D1353" s="286" t="s">
        <v>1105</v>
      </c>
      <c r="E1353" s="286" t="s">
        <v>1106</v>
      </c>
      <c r="F1353" s="286" t="s">
        <v>2061</v>
      </c>
      <c r="G1353" s="286" t="s">
        <v>1078</v>
      </c>
      <c r="H1353" s="286" t="s">
        <v>1078</v>
      </c>
      <c r="I1353" s="286" t="s">
        <v>1108</v>
      </c>
      <c r="J1353" s="286" t="s">
        <v>1312</v>
      </c>
      <c r="K1353" s="286" t="s">
        <v>1339</v>
      </c>
      <c r="L1353" s="286" t="s">
        <v>1340</v>
      </c>
      <c r="M1353" s="286">
        <v>1</v>
      </c>
      <c r="N1353" s="287">
        <v>0</v>
      </c>
      <c r="O1353" s="305">
        <f t="shared" si="20"/>
        <v>45260</v>
      </c>
      <c r="P1353" s="286" t="s">
        <v>37</v>
      </c>
    </row>
    <row r="1354" spans="1:16" hidden="1" x14ac:dyDescent="0.15">
      <c r="A1354" s="286">
        <v>410783</v>
      </c>
      <c r="B1354" s="288">
        <v>45251.529861111114</v>
      </c>
      <c r="C1354" s="286" t="s">
        <v>1654</v>
      </c>
      <c r="D1354" s="286" t="s">
        <v>1105</v>
      </c>
      <c r="E1354" s="286" t="s">
        <v>1106</v>
      </c>
      <c r="F1354" s="286" t="s">
        <v>2061</v>
      </c>
      <c r="G1354" s="286" t="s">
        <v>1067</v>
      </c>
      <c r="H1354" s="286" t="s">
        <v>1067</v>
      </c>
      <c r="I1354" s="286" t="s">
        <v>1108</v>
      </c>
      <c r="J1354" s="286" t="s">
        <v>53</v>
      </c>
      <c r="K1354" s="286" t="s">
        <v>1339</v>
      </c>
      <c r="L1354" s="286" t="s">
        <v>1340</v>
      </c>
      <c r="M1354" s="286">
        <v>2</v>
      </c>
      <c r="N1354" s="287">
        <v>0</v>
      </c>
      <c r="O1354" s="305">
        <f t="shared" si="20"/>
        <v>45260</v>
      </c>
      <c r="P1354" s="286" t="s">
        <v>37</v>
      </c>
    </row>
    <row r="1355" spans="1:16" hidden="1" x14ac:dyDescent="0.15">
      <c r="A1355" s="286">
        <v>410783</v>
      </c>
      <c r="B1355" s="288">
        <v>45251.529861111114</v>
      </c>
      <c r="C1355" s="286" t="s">
        <v>1654</v>
      </c>
      <c r="D1355" s="286" t="s">
        <v>1105</v>
      </c>
      <c r="E1355" s="286" t="s">
        <v>1106</v>
      </c>
      <c r="F1355" s="286" t="s">
        <v>2061</v>
      </c>
      <c r="G1355" s="286" t="s">
        <v>1075</v>
      </c>
      <c r="H1355" s="286" t="s">
        <v>1075</v>
      </c>
      <c r="I1355" s="286" t="s">
        <v>1108</v>
      </c>
      <c r="J1355" s="286" t="s">
        <v>53</v>
      </c>
      <c r="K1355" s="286" t="s">
        <v>1339</v>
      </c>
      <c r="L1355" s="286" t="s">
        <v>1340</v>
      </c>
      <c r="M1355" s="286">
        <v>8</v>
      </c>
      <c r="N1355" s="287">
        <v>0</v>
      </c>
      <c r="O1355" s="305">
        <f t="shared" si="20"/>
        <v>45260</v>
      </c>
      <c r="P1355" s="286" t="s">
        <v>37</v>
      </c>
    </row>
    <row r="1356" spans="1:16" hidden="1" x14ac:dyDescent="0.15">
      <c r="A1356" s="286">
        <v>410783</v>
      </c>
      <c r="B1356" s="288">
        <v>45251.529861111114</v>
      </c>
      <c r="C1356" s="286" t="s">
        <v>1654</v>
      </c>
      <c r="D1356" s="286" t="s">
        <v>1105</v>
      </c>
      <c r="E1356" s="286" t="s">
        <v>1106</v>
      </c>
      <c r="F1356" s="286" t="s">
        <v>2061</v>
      </c>
      <c r="G1356" s="286" t="s">
        <v>1083</v>
      </c>
      <c r="H1356" s="286" t="s">
        <v>1083</v>
      </c>
      <c r="I1356" s="286" t="s">
        <v>1108</v>
      </c>
      <c r="J1356" s="286" t="s">
        <v>53</v>
      </c>
      <c r="K1356" s="286" t="s">
        <v>1339</v>
      </c>
      <c r="L1356" s="286" t="s">
        <v>1340</v>
      </c>
      <c r="M1356" s="286">
        <v>2</v>
      </c>
      <c r="N1356" s="287">
        <v>0</v>
      </c>
      <c r="O1356" s="305">
        <f t="shared" si="20"/>
        <v>45260</v>
      </c>
      <c r="P1356" s="286" t="s">
        <v>37</v>
      </c>
    </row>
    <row r="1357" spans="1:16" hidden="1" x14ac:dyDescent="0.15">
      <c r="A1357" s="286">
        <v>418370</v>
      </c>
      <c r="B1357" s="288">
        <v>45261.45416666667</v>
      </c>
      <c r="C1357" s="286" t="s">
        <v>1654</v>
      </c>
      <c r="D1357" s="286" t="s">
        <v>1105</v>
      </c>
      <c r="E1357" s="286" t="s">
        <v>1106</v>
      </c>
      <c r="F1357" s="286" t="s">
        <v>1655</v>
      </c>
      <c r="G1357" s="286" t="s">
        <v>2032</v>
      </c>
      <c r="H1357" s="286" t="s">
        <v>2032</v>
      </c>
      <c r="I1357" s="286" t="s">
        <v>1108</v>
      </c>
      <c r="J1357" s="286" t="s">
        <v>53</v>
      </c>
      <c r="K1357" s="286" t="s">
        <v>1339</v>
      </c>
      <c r="L1357" s="286" t="s">
        <v>1340</v>
      </c>
      <c r="M1357" s="286">
        <v>1</v>
      </c>
      <c r="N1357" s="287">
        <v>0</v>
      </c>
      <c r="O1357" s="305">
        <f t="shared" si="20"/>
        <v>45291</v>
      </c>
      <c r="P1357" s="286" t="s">
        <v>37</v>
      </c>
    </row>
    <row r="1358" spans="1:16" hidden="1" x14ac:dyDescent="0.15">
      <c r="A1358" s="286">
        <v>418370</v>
      </c>
      <c r="B1358" s="288">
        <v>45261.45416666667</v>
      </c>
      <c r="C1358" s="286" t="s">
        <v>1654</v>
      </c>
      <c r="D1358" s="286" t="s">
        <v>1105</v>
      </c>
      <c r="E1358" s="286" t="s">
        <v>1106</v>
      </c>
      <c r="F1358" s="286" t="s">
        <v>1655</v>
      </c>
      <c r="G1358" s="286" t="s">
        <v>1068</v>
      </c>
      <c r="H1358" s="286" t="s">
        <v>1068</v>
      </c>
      <c r="I1358" s="286" t="s">
        <v>1108</v>
      </c>
      <c r="J1358" s="286" t="s">
        <v>53</v>
      </c>
      <c r="K1358" s="286" t="s">
        <v>1339</v>
      </c>
      <c r="L1358" s="286" t="s">
        <v>1340</v>
      </c>
      <c r="M1358" s="286">
        <v>1</v>
      </c>
      <c r="N1358" s="287">
        <v>0</v>
      </c>
      <c r="O1358" s="305">
        <f t="shared" si="20"/>
        <v>45291</v>
      </c>
      <c r="P1358" s="286" t="s">
        <v>37</v>
      </c>
    </row>
    <row r="1359" spans="1:16" hidden="1" x14ac:dyDescent="0.15">
      <c r="A1359" s="286">
        <v>437581</v>
      </c>
      <c r="B1359" s="288">
        <v>45281.44027777778</v>
      </c>
      <c r="C1359" s="286" t="s">
        <v>1632</v>
      </c>
      <c r="D1359" s="286" t="s">
        <v>1105</v>
      </c>
      <c r="E1359" s="286" t="s">
        <v>1106</v>
      </c>
      <c r="F1359" s="286" t="s">
        <v>1741</v>
      </c>
      <c r="G1359" s="286" t="s">
        <v>1034</v>
      </c>
      <c r="H1359" s="286" t="s">
        <v>1034</v>
      </c>
      <c r="I1359" s="286" t="s">
        <v>1108</v>
      </c>
      <c r="J1359" s="286" t="s">
        <v>1312</v>
      </c>
      <c r="K1359" s="286" t="s">
        <v>1339</v>
      </c>
      <c r="L1359" s="286" t="s">
        <v>1340</v>
      </c>
      <c r="M1359" s="286">
        <v>15</v>
      </c>
      <c r="N1359" s="287">
        <v>0</v>
      </c>
      <c r="O1359" s="305">
        <f t="shared" si="20"/>
        <v>45291</v>
      </c>
      <c r="P1359" s="286" t="s">
        <v>37</v>
      </c>
    </row>
    <row r="1360" spans="1:16" hidden="1" x14ac:dyDescent="0.15">
      <c r="A1360" s="286">
        <v>437581</v>
      </c>
      <c r="B1360" s="288">
        <v>45281.44027777778</v>
      </c>
      <c r="C1360" s="286" t="s">
        <v>1632</v>
      </c>
      <c r="D1360" s="286" t="s">
        <v>1105</v>
      </c>
      <c r="E1360" s="286" t="s">
        <v>1106</v>
      </c>
      <c r="F1360" s="286" t="s">
        <v>1741</v>
      </c>
      <c r="G1360" s="286" t="s">
        <v>1034</v>
      </c>
      <c r="H1360" s="286" t="s">
        <v>1034</v>
      </c>
      <c r="I1360" s="286" t="s">
        <v>1108</v>
      </c>
      <c r="J1360" s="286" t="s">
        <v>1312</v>
      </c>
      <c r="K1360" s="286" t="s">
        <v>1339</v>
      </c>
      <c r="L1360" s="286" t="s">
        <v>1340</v>
      </c>
      <c r="M1360" s="286">
        <v>16</v>
      </c>
      <c r="N1360" s="287">
        <v>0</v>
      </c>
      <c r="O1360" s="305">
        <f t="shared" si="20"/>
        <v>45291</v>
      </c>
      <c r="P1360" s="286" t="s">
        <v>37</v>
      </c>
    </row>
    <row r="1361" spans="1:16" hidden="1" x14ac:dyDescent="0.15">
      <c r="A1361" s="286">
        <v>438785</v>
      </c>
      <c r="B1361" s="288">
        <v>45294.616666666669</v>
      </c>
      <c r="C1361" s="286" t="s">
        <v>1632</v>
      </c>
      <c r="D1361" s="286" t="s">
        <v>1105</v>
      </c>
      <c r="E1361" s="286" t="s">
        <v>1106</v>
      </c>
      <c r="F1361" s="286" t="s">
        <v>1697</v>
      </c>
      <c r="G1361" s="286" t="s">
        <v>1036</v>
      </c>
      <c r="H1361" s="286" t="s">
        <v>1036</v>
      </c>
      <c r="I1361" s="286" t="s">
        <v>1301</v>
      </c>
      <c r="J1361" s="286" t="s">
        <v>1312</v>
      </c>
      <c r="K1361" s="286" t="s">
        <v>56</v>
      </c>
      <c r="L1361" s="286" t="s">
        <v>71</v>
      </c>
      <c r="M1361" s="286">
        <v>1</v>
      </c>
      <c r="N1361" s="287">
        <v>0</v>
      </c>
      <c r="O1361" s="287"/>
      <c r="P1361" s="286" t="s">
        <v>55</v>
      </c>
    </row>
    <row r="1362" spans="1:16" hidden="1" x14ac:dyDescent="0.15">
      <c r="A1362" s="286">
        <v>442744</v>
      </c>
      <c r="B1362" s="288">
        <v>45300.341666666667</v>
      </c>
      <c r="C1362" s="286" t="s">
        <v>1632</v>
      </c>
      <c r="D1362" s="286" t="s">
        <v>1105</v>
      </c>
      <c r="E1362" s="286" t="s">
        <v>1106</v>
      </c>
      <c r="F1362" s="286" t="s">
        <v>1633</v>
      </c>
      <c r="G1362" s="286" t="s">
        <v>1031</v>
      </c>
      <c r="H1362" s="286" t="s">
        <v>1031</v>
      </c>
      <c r="I1362" s="286" t="s">
        <v>1108</v>
      </c>
      <c r="J1362" s="286" t="s">
        <v>1312</v>
      </c>
      <c r="K1362" s="286" t="s">
        <v>1709</v>
      </c>
      <c r="L1362" s="286" t="s">
        <v>582</v>
      </c>
      <c r="M1362" s="286">
        <v>1</v>
      </c>
      <c r="N1362" s="287">
        <v>0</v>
      </c>
      <c r="O1362" s="305">
        <f>EOMONTH(B1362,0)</f>
        <v>45322</v>
      </c>
      <c r="P1362" s="286" t="s">
        <v>37</v>
      </c>
    </row>
    <row r="1363" spans="1:16" hidden="1" x14ac:dyDescent="0.15">
      <c r="A1363" s="286">
        <v>442744</v>
      </c>
      <c r="B1363" s="288">
        <v>45300.341666666667</v>
      </c>
      <c r="C1363" s="286" t="s">
        <v>1632</v>
      </c>
      <c r="D1363" s="286" t="s">
        <v>1105</v>
      </c>
      <c r="E1363" s="286" t="s">
        <v>1106</v>
      </c>
      <c r="F1363" s="286" t="s">
        <v>1633</v>
      </c>
      <c r="H1363" s="286" t="s">
        <v>1052</v>
      </c>
      <c r="I1363" s="286" t="s">
        <v>1230</v>
      </c>
      <c r="J1363" s="286" t="s">
        <v>1312</v>
      </c>
      <c r="K1363" s="286" t="s">
        <v>1727</v>
      </c>
      <c r="L1363" s="286" t="s">
        <v>1728</v>
      </c>
      <c r="M1363" s="286">
        <v>3</v>
      </c>
      <c r="N1363" s="287">
        <v>0</v>
      </c>
      <c r="O1363" s="287"/>
      <c r="P1363" s="286" t="s">
        <v>175</v>
      </c>
    </row>
    <row r="1364" spans="1:16" hidden="1" x14ac:dyDescent="0.15">
      <c r="A1364" s="286">
        <v>455146</v>
      </c>
      <c r="B1364" s="288">
        <v>45310.510416666664</v>
      </c>
      <c r="C1364" s="286" t="s">
        <v>1632</v>
      </c>
      <c r="D1364" s="286" t="s">
        <v>1105</v>
      </c>
      <c r="E1364" s="286" t="s">
        <v>1106</v>
      </c>
      <c r="F1364" s="286" t="s">
        <v>1725</v>
      </c>
      <c r="G1364" s="286" t="s">
        <v>1028</v>
      </c>
      <c r="H1364" s="286" t="s">
        <v>1028</v>
      </c>
      <c r="I1364" s="286" t="s">
        <v>1152</v>
      </c>
      <c r="J1364" s="286" t="s">
        <v>1312</v>
      </c>
      <c r="K1364" s="286" t="s">
        <v>2062</v>
      </c>
      <c r="L1364" s="286" t="s">
        <v>2063</v>
      </c>
      <c r="M1364" s="286">
        <v>1</v>
      </c>
      <c r="N1364" s="287">
        <v>0</v>
      </c>
      <c r="O1364" s="287"/>
      <c r="P1364" s="286" t="s">
        <v>58</v>
      </c>
    </row>
    <row r="1365" spans="1:16" hidden="1" x14ac:dyDescent="0.15">
      <c r="A1365" s="286">
        <v>201556</v>
      </c>
      <c r="B1365" s="288">
        <v>45029.540972222225</v>
      </c>
      <c r="C1365" s="286" t="s">
        <v>1657</v>
      </c>
      <c r="D1365" s="286" t="s">
        <v>1105</v>
      </c>
      <c r="E1365" s="286" t="s">
        <v>1106</v>
      </c>
      <c r="F1365" s="286" t="s">
        <v>1722</v>
      </c>
      <c r="G1365" s="286" t="s">
        <v>53</v>
      </c>
      <c r="H1365" s="286" t="s">
        <v>53</v>
      </c>
      <c r="I1365" s="286" t="s">
        <v>1228</v>
      </c>
      <c r="J1365" s="286" t="s">
        <v>1312</v>
      </c>
      <c r="K1365" s="286" t="s">
        <v>53</v>
      </c>
      <c r="L1365" s="286" t="s">
        <v>53</v>
      </c>
      <c r="M1365" s="286" t="s">
        <v>53</v>
      </c>
      <c r="N1365" s="287">
        <v>-0.67</v>
      </c>
      <c r="O1365" s="287"/>
      <c r="P1365" s="286" t="s">
        <v>58</v>
      </c>
    </row>
    <row r="1366" spans="1:16" hidden="1" x14ac:dyDescent="0.15">
      <c r="A1366" s="286">
        <v>339870</v>
      </c>
      <c r="B1366" s="288">
        <v>45177.481944444444</v>
      </c>
      <c r="C1366" s="286" t="s">
        <v>1676</v>
      </c>
      <c r="D1366" s="286" t="s">
        <v>1105</v>
      </c>
      <c r="E1366" s="286" t="s">
        <v>1106</v>
      </c>
      <c r="F1366" s="286" t="s">
        <v>1715</v>
      </c>
      <c r="G1366" s="286" t="s">
        <v>1021</v>
      </c>
      <c r="H1366" s="286" t="s">
        <v>1021</v>
      </c>
      <c r="I1366" s="286" t="s">
        <v>1199</v>
      </c>
      <c r="J1366" s="286" t="s">
        <v>1312</v>
      </c>
      <c r="K1366" s="286" t="s">
        <v>2064</v>
      </c>
      <c r="L1366" s="286" t="s">
        <v>53</v>
      </c>
      <c r="M1366" s="286">
        <v>1</v>
      </c>
      <c r="N1366" s="287">
        <v>-20.059999999999999</v>
      </c>
      <c r="O1366" s="287"/>
      <c r="P1366" s="286" t="s">
        <v>58</v>
      </c>
    </row>
    <row r="1367" spans="1:16" hidden="1" x14ac:dyDescent="0.15">
      <c r="A1367" s="286">
        <v>256024</v>
      </c>
      <c r="B1367" s="288">
        <v>45093.600694444445</v>
      </c>
      <c r="C1367" s="286" t="s">
        <v>1649</v>
      </c>
      <c r="D1367" s="286" t="s">
        <v>1438</v>
      </c>
      <c r="E1367" s="286" t="s">
        <v>1439</v>
      </c>
      <c r="F1367" s="286" t="s">
        <v>2065</v>
      </c>
      <c r="G1367" s="286" t="s">
        <v>1052</v>
      </c>
      <c r="H1367" s="286" t="s">
        <v>1052</v>
      </c>
      <c r="I1367" s="286" t="s">
        <v>1129</v>
      </c>
      <c r="J1367" s="286" t="s">
        <v>1312</v>
      </c>
      <c r="K1367" s="286" t="s">
        <v>1939</v>
      </c>
      <c r="L1367" s="286" t="s">
        <v>1940</v>
      </c>
      <c r="M1367" s="286">
        <v>-1</v>
      </c>
      <c r="N1367" s="287">
        <v>-25</v>
      </c>
      <c r="O1367" s="287"/>
      <c r="P1367" s="286" t="s">
        <v>164</v>
      </c>
    </row>
    <row r="1368" spans="1:16" hidden="1" x14ac:dyDescent="0.15">
      <c r="A1368" s="286">
        <v>456017</v>
      </c>
      <c r="B1368" s="288">
        <v>45310.695138888892</v>
      </c>
      <c r="C1368" s="286" t="s">
        <v>1632</v>
      </c>
      <c r="D1368" s="286" t="s">
        <v>1105</v>
      </c>
      <c r="E1368" s="286" t="s">
        <v>1106</v>
      </c>
      <c r="F1368" s="286" t="s">
        <v>2066</v>
      </c>
      <c r="G1368" s="286" t="s">
        <v>1057</v>
      </c>
      <c r="H1368" s="286" t="s">
        <v>1057</v>
      </c>
      <c r="I1368" s="286" t="s">
        <v>1199</v>
      </c>
      <c r="J1368" s="286" t="s">
        <v>53</v>
      </c>
      <c r="K1368" s="286" t="s">
        <v>53</v>
      </c>
      <c r="L1368" s="286" t="s">
        <v>53</v>
      </c>
      <c r="M1368" s="286" t="s">
        <v>53</v>
      </c>
      <c r="N1368" s="287">
        <v>-26.56</v>
      </c>
      <c r="O1368" s="287"/>
      <c r="P1368" s="286" t="s">
        <v>58</v>
      </c>
    </row>
    <row r="1369" spans="1:16" hidden="1" x14ac:dyDescent="0.15">
      <c r="A1369" s="286">
        <v>430974</v>
      </c>
      <c r="B1369" s="288">
        <v>45274.409722222219</v>
      </c>
      <c r="C1369" s="286" t="s">
        <v>1632</v>
      </c>
      <c r="D1369" s="286" t="s">
        <v>1105</v>
      </c>
      <c r="E1369" s="286" t="s">
        <v>1106</v>
      </c>
      <c r="F1369" s="286" t="s">
        <v>1825</v>
      </c>
      <c r="G1369" s="286" t="s">
        <v>1052</v>
      </c>
      <c r="H1369" s="286" t="s">
        <v>1052</v>
      </c>
      <c r="I1369" s="286" t="s">
        <v>1228</v>
      </c>
      <c r="J1369" s="286" t="s">
        <v>1312</v>
      </c>
      <c r="K1369" s="286" t="s">
        <v>1808</v>
      </c>
      <c r="L1369" s="286" t="s">
        <v>53</v>
      </c>
      <c r="M1369" s="286">
        <v>0</v>
      </c>
      <c r="N1369" s="287">
        <v>-43.73</v>
      </c>
      <c r="O1369" s="287"/>
      <c r="P1369" s="286" t="s">
        <v>58</v>
      </c>
    </row>
    <row r="1370" spans="1:16" hidden="1" x14ac:dyDescent="0.15">
      <c r="A1370" s="286">
        <v>430974</v>
      </c>
      <c r="B1370" s="288">
        <v>45274.409722222219</v>
      </c>
      <c r="C1370" s="286" t="s">
        <v>1632</v>
      </c>
      <c r="D1370" s="286" t="s">
        <v>1105</v>
      </c>
      <c r="E1370" s="286" t="s">
        <v>1106</v>
      </c>
      <c r="F1370" s="286" t="s">
        <v>1825</v>
      </c>
      <c r="G1370" s="286" t="s">
        <v>1052</v>
      </c>
      <c r="H1370" s="286" t="s">
        <v>1052</v>
      </c>
      <c r="I1370" s="286" t="s">
        <v>1228</v>
      </c>
      <c r="J1370" s="286" t="s">
        <v>1312</v>
      </c>
      <c r="K1370" s="286" t="s">
        <v>1770</v>
      </c>
      <c r="L1370" s="286" t="s">
        <v>672</v>
      </c>
      <c r="M1370" s="286">
        <v>0</v>
      </c>
      <c r="N1370" s="287">
        <v>-43.73</v>
      </c>
      <c r="O1370" s="287"/>
      <c r="P1370" s="286" t="s">
        <v>58</v>
      </c>
    </row>
    <row r="1371" spans="1:16" hidden="1" x14ac:dyDescent="0.15">
      <c r="A1371" s="286">
        <v>370270</v>
      </c>
      <c r="B1371" s="288">
        <v>45208.668055555558</v>
      </c>
      <c r="C1371" s="286" t="s">
        <v>1642</v>
      </c>
      <c r="D1371" s="286" t="s">
        <v>1105</v>
      </c>
      <c r="E1371" s="286" t="s">
        <v>1106</v>
      </c>
      <c r="F1371" s="286" t="s">
        <v>1716</v>
      </c>
      <c r="G1371" s="286" t="s">
        <v>1010</v>
      </c>
      <c r="H1371" s="286" t="s">
        <v>1010</v>
      </c>
      <c r="I1371" s="286" t="s">
        <v>1199</v>
      </c>
      <c r="J1371" s="286" t="s">
        <v>1312</v>
      </c>
      <c r="K1371" s="286" t="s">
        <v>2067</v>
      </c>
      <c r="L1371" s="286" t="s">
        <v>53</v>
      </c>
      <c r="M1371" s="286">
        <v>1</v>
      </c>
      <c r="N1371" s="287">
        <v>-45.38</v>
      </c>
      <c r="O1371" s="287"/>
      <c r="P1371" s="286" t="s">
        <v>58</v>
      </c>
    </row>
    <row r="1372" spans="1:16" hidden="1" x14ac:dyDescent="0.15">
      <c r="A1372" s="286">
        <v>455146</v>
      </c>
      <c r="B1372" s="288">
        <v>45310.510416666664</v>
      </c>
      <c r="C1372" s="286" t="s">
        <v>1632</v>
      </c>
      <c r="D1372" s="286" t="s">
        <v>1105</v>
      </c>
      <c r="E1372" s="286" t="s">
        <v>1106</v>
      </c>
      <c r="F1372" s="286" t="s">
        <v>1725</v>
      </c>
      <c r="G1372" s="286" t="s">
        <v>1080</v>
      </c>
      <c r="H1372" s="286" t="s">
        <v>1080</v>
      </c>
      <c r="I1372" s="286" t="s">
        <v>1228</v>
      </c>
      <c r="J1372" s="286" t="s">
        <v>1312</v>
      </c>
      <c r="K1372" s="286" t="s">
        <v>1770</v>
      </c>
      <c r="L1372" s="286" t="s">
        <v>53</v>
      </c>
      <c r="M1372" s="286">
        <v>1</v>
      </c>
      <c r="N1372" s="287">
        <v>-61.95</v>
      </c>
      <c r="O1372" s="287"/>
      <c r="P1372" s="286" t="s">
        <v>58</v>
      </c>
    </row>
    <row r="1373" spans="1:16" hidden="1" x14ac:dyDescent="0.15">
      <c r="A1373" s="286">
        <v>339870</v>
      </c>
      <c r="B1373" s="288">
        <v>45177.481944444444</v>
      </c>
      <c r="C1373" s="286" t="s">
        <v>1676</v>
      </c>
      <c r="D1373" s="286" t="s">
        <v>1105</v>
      </c>
      <c r="E1373" s="286" t="s">
        <v>1106</v>
      </c>
      <c r="F1373" s="286" t="s">
        <v>1715</v>
      </c>
      <c r="G1373" s="286" t="s">
        <v>1080</v>
      </c>
      <c r="H1373" s="286" t="s">
        <v>1080</v>
      </c>
      <c r="I1373" s="286" t="s">
        <v>1228</v>
      </c>
      <c r="J1373" s="286" t="s">
        <v>1312</v>
      </c>
      <c r="K1373" s="286" t="s">
        <v>1770</v>
      </c>
      <c r="L1373" s="286" t="s">
        <v>53</v>
      </c>
      <c r="M1373" s="286">
        <v>1</v>
      </c>
      <c r="N1373" s="287">
        <v>-86.4</v>
      </c>
      <c r="O1373" s="287"/>
      <c r="P1373" s="286" t="s">
        <v>58</v>
      </c>
    </row>
    <row r="1374" spans="1:16" hidden="1" x14ac:dyDescent="0.15">
      <c r="A1374" s="286">
        <v>402221</v>
      </c>
      <c r="B1374" s="288">
        <v>45243.579861111109</v>
      </c>
      <c r="C1374" s="286" t="s">
        <v>1654</v>
      </c>
      <c r="D1374" s="286" t="s">
        <v>1105</v>
      </c>
      <c r="E1374" s="286" t="s">
        <v>1106</v>
      </c>
      <c r="F1374" s="286" t="s">
        <v>1724</v>
      </c>
      <c r="G1374" s="286" t="s">
        <v>1080</v>
      </c>
      <c r="H1374" s="286" t="s">
        <v>1080</v>
      </c>
      <c r="I1374" s="286" t="s">
        <v>1228</v>
      </c>
      <c r="J1374" s="286" t="s">
        <v>1312</v>
      </c>
      <c r="K1374" s="286" t="s">
        <v>1770</v>
      </c>
      <c r="L1374" s="286" t="s">
        <v>53</v>
      </c>
      <c r="M1374" s="286">
        <v>1</v>
      </c>
      <c r="N1374" s="287">
        <v>-86.4</v>
      </c>
      <c r="O1374" s="287"/>
      <c r="P1374" s="286" t="s">
        <v>58</v>
      </c>
    </row>
    <row r="1375" spans="1:16" hidden="1" x14ac:dyDescent="0.15">
      <c r="A1375" s="286">
        <v>370270</v>
      </c>
      <c r="B1375" s="288">
        <v>45208.668055555558</v>
      </c>
      <c r="C1375" s="286" t="s">
        <v>1642</v>
      </c>
      <c r="D1375" s="286" t="s">
        <v>1105</v>
      </c>
      <c r="E1375" s="286" t="s">
        <v>1106</v>
      </c>
      <c r="F1375" s="286" t="s">
        <v>1716</v>
      </c>
      <c r="G1375" s="286" t="s">
        <v>1080</v>
      </c>
      <c r="H1375" s="286" t="s">
        <v>1080</v>
      </c>
      <c r="I1375" s="286" t="s">
        <v>1228</v>
      </c>
      <c r="J1375" s="286" t="s">
        <v>1312</v>
      </c>
      <c r="K1375" s="286" t="s">
        <v>1770</v>
      </c>
      <c r="L1375" s="286" t="s">
        <v>53</v>
      </c>
      <c r="M1375" s="286">
        <v>1</v>
      </c>
      <c r="N1375" s="287">
        <v>-89.28</v>
      </c>
      <c r="O1375" s="287"/>
      <c r="P1375" s="286" t="s">
        <v>58</v>
      </c>
    </row>
    <row r="1376" spans="1:16" hidden="1" x14ac:dyDescent="0.15">
      <c r="A1376" s="286">
        <v>455146</v>
      </c>
      <c r="B1376" s="288">
        <v>45310.510416666664</v>
      </c>
      <c r="C1376" s="286" t="s">
        <v>1632</v>
      </c>
      <c r="D1376" s="286" t="s">
        <v>1105</v>
      </c>
      <c r="E1376" s="286" t="s">
        <v>1106</v>
      </c>
      <c r="F1376" s="286" t="s">
        <v>1725</v>
      </c>
      <c r="G1376" s="286" t="s">
        <v>1080</v>
      </c>
      <c r="H1376" s="286" t="s">
        <v>1080</v>
      </c>
      <c r="I1376" s="286" t="s">
        <v>1228</v>
      </c>
      <c r="J1376" s="286" t="s">
        <v>1312</v>
      </c>
      <c r="K1376" s="286" t="s">
        <v>1770</v>
      </c>
      <c r="L1376" s="286" t="s">
        <v>53</v>
      </c>
      <c r="M1376" s="286">
        <v>1</v>
      </c>
      <c r="N1376" s="287">
        <v>-89.28</v>
      </c>
      <c r="O1376" s="287"/>
      <c r="P1376" s="286" t="s">
        <v>58</v>
      </c>
    </row>
    <row r="1377" spans="1:16" hidden="1" x14ac:dyDescent="0.15">
      <c r="A1377" s="286">
        <v>455146</v>
      </c>
      <c r="B1377" s="288">
        <v>45310.510416666664</v>
      </c>
      <c r="C1377" s="286" t="s">
        <v>1632</v>
      </c>
      <c r="D1377" s="286" t="s">
        <v>1105</v>
      </c>
      <c r="E1377" s="286" t="s">
        <v>1106</v>
      </c>
      <c r="F1377" s="286" t="s">
        <v>1725</v>
      </c>
      <c r="G1377" s="286" t="s">
        <v>1080</v>
      </c>
      <c r="H1377" s="286" t="s">
        <v>1080</v>
      </c>
      <c r="I1377" s="286" t="s">
        <v>1228</v>
      </c>
      <c r="J1377" s="286" t="s">
        <v>1312</v>
      </c>
      <c r="K1377" s="286" t="s">
        <v>1770</v>
      </c>
      <c r="L1377" s="286" t="s">
        <v>53</v>
      </c>
      <c r="M1377" s="286">
        <v>1</v>
      </c>
      <c r="N1377" s="287">
        <v>-94.85</v>
      </c>
      <c r="O1377" s="287"/>
      <c r="P1377" s="286" t="s">
        <v>58</v>
      </c>
    </row>
    <row r="1378" spans="1:16" hidden="1" x14ac:dyDescent="0.15">
      <c r="A1378" s="286">
        <v>402221</v>
      </c>
      <c r="B1378" s="288">
        <v>45243.579861111109</v>
      </c>
      <c r="C1378" s="286" t="s">
        <v>1654</v>
      </c>
      <c r="D1378" s="286" t="s">
        <v>1105</v>
      </c>
      <c r="E1378" s="286" t="s">
        <v>1106</v>
      </c>
      <c r="F1378" s="286" t="s">
        <v>1724</v>
      </c>
      <c r="G1378" s="286" t="s">
        <v>1010</v>
      </c>
      <c r="H1378" s="286" t="s">
        <v>1010</v>
      </c>
      <c r="I1378" s="286" t="s">
        <v>1199</v>
      </c>
      <c r="J1378" s="286" t="s">
        <v>1312</v>
      </c>
      <c r="K1378" s="286" t="s">
        <v>2067</v>
      </c>
      <c r="L1378" s="286" t="s">
        <v>53</v>
      </c>
      <c r="M1378" s="286">
        <v>1</v>
      </c>
      <c r="N1378" s="287">
        <v>-115.16</v>
      </c>
      <c r="O1378" s="287"/>
      <c r="P1378" s="286" t="s">
        <v>58</v>
      </c>
    </row>
    <row r="1379" spans="1:16" hidden="1" x14ac:dyDescent="0.15">
      <c r="A1379" s="286">
        <v>455146</v>
      </c>
      <c r="B1379" s="288">
        <v>45310.510416666664</v>
      </c>
      <c r="C1379" s="286" t="s">
        <v>1632</v>
      </c>
      <c r="D1379" s="286" t="s">
        <v>1105</v>
      </c>
      <c r="E1379" s="286" t="s">
        <v>1106</v>
      </c>
      <c r="F1379" s="286" t="s">
        <v>1725</v>
      </c>
      <c r="G1379" s="286" t="s">
        <v>1010</v>
      </c>
      <c r="H1379" s="286" t="s">
        <v>1010</v>
      </c>
      <c r="I1379" s="286" t="s">
        <v>1199</v>
      </c>
      <c r="J1379" s="286" t="s">
        <v>1312</v>
      </c>
      <c r="K1379" s="286" t="s">
        <v>2067</v>
      </c>
      <c r="L1379" s="286" t="s">
        <v>53</v>
      </c>
      <c r="M1379" s="286">
        <v>1</v>
      </c>
      <c r="N1379" s="287">
        <v>-115.16</v>
      </c>
      <c r="O1379" s="287"/>
      <c r="P1379" s="286" t="s">
        <v>58</v>
      </c>
    </row>
    <row r="1380" spans="1:16" hidden="1" x14ac:dyDescent="0.15">
      <c r="A1380" s="286">
        <v>339870</v>
      </c>
      <c r="B1380" s="288">
        <v>45177.481944444444</v>
      </c>
      <c r="C1380" s="286" t="s">
        <v>1676</v>
      </c>
      <c r="D1380" s="286" t="s">
        <v>1105</v>
      </c>
      <c r="E1380" s="286" t="s">
        <v>1106</v>
      </c>
      <c r="F1380" s="286" t="s">
        <v>1715</v>
      </c>
      <c r="G1380" s="286" t="s">
        <v>1080</v>
      </c>
      <c r="H1380" s="286" t="s">
        <v>1080</v>
      </c>
      <c r="I1380" s="286" t="s">
        <v>1228</v>
      </c>
      <c r="J1380" s="286" t="s">
        <v>1312</v>
      </c>
      <c r="K1380" s="286" t="s">
        <v>1770</v>
      </c>
      <c r="L1380" s="286" t="s">
        <v>53</v>
      </c>
      <c r="M1380" s="286">
        <v>1</v>
      </c>
      <c r="N1380" s="287">
        <v>-132.27000000000001</v>
      </c>
      <c r="O1380" s="287"/>
      <c r="P1380" s="286" t="s">
        <v>58</v>
      </c>
    </row>
    <row r="1381" spans="1:16" hidden="1" x14ac:dyDescent="0.15">
      <c r="A1381" s="286">
        <v>402221</v>
      </c>
      <c r="B1381" s="288">
        <v>45243.579861111109</v>
      </c>
      <c r="C1381" s="286" t="s">
        <v>1654</v>
      </c>
      <c r="D1381" s="286" t="s">
        <v>1105</v>
      </c>
      <c r="E1381" s="286" t="s">
        <v>1106</v>
      </c>
      <c r="F1381" s="286" t="s">
        <v>1724</v>
      </c>
      <c r="G1381" s="286" t="s">
        <v>1080</v>
      </c>
      <c r="H1381" s="286" t="s">
        <v>1080</v>
      </c>
      <c r="I1381" s="286" t="s">
        <v>1228</v>
      </c>
      <c r="J1381" s="286" t="s">
        <v>1312</v>
      </c>
      <c r="K1381" s="286" t="s">
        <v>1770</v>
      </c>
      <c r="L1381" s="286" t="s">
        <v>53</v>
      </c>
      <c r="M1381" s="286">
        <v>1</v>
      </c>
      <c r="N1381" s="287">
        <v>-132.27000000000001</v>
      </c>
      <c r="O1381" s="287"/>
      <c r="P1381" s="286" t="s">
        <v>58</v>
      </c>
    </row>
    <row r="1382" spans="1:16" hidden="1" x14ac:dyDescent="0.15">
      <c r="A1382" s="286">
        <v>278788</v>
      </c>
      <c r="B1382" s="288">
        <v>45118.57708333333</v>
      </c>
      <c r="C1382" s="286" t="s">
        <v>1649</v>
      </c>
      <c r="D1382" s="286" t="s">
        <v>1105</v>
      </c>
      <c r="E1382" s="286" t="s">
        <v>1106</v>
      </c>
      <c r="F1382" s="286" t="s">
        <v>1712</v>
      </c>
      <c r="G1382" s="286" t="s">
        <v>1083</v>
      </c>
      <c r="H1382" s="286" t="s">
        <v>1083</v>
      </c>
      <c r="I1382" s="286" t="s">
        <v>1228</v>
      </c>
      <c r="J1382" s="286" t="s">
        <v>53</v>
      </c>
      <c r="K1382" s="286" t="s">
        <v>53</v>
      </c>
      <c r="L1382" s="286" t="s">
        <v>53</v>
      </c>
      <c r="M1382" s="286" t="s">
        <v>53</v>
      </c>
      <c r="N1382" s="287">
        <v>-134.54</v>
      </c>
      <c r="O1382" s="287"/>
      <c r="P1382" s="286" t="s">
        <v>58</v>
      </c>
    </row>
    <row r="1383" spans="1:16" hidden="1" x14ac:dyDescent="0.15">
      <c r="A1383" s="286">
        <v>284271</v>
      </c>
      <c r="B1383" s="288">
        <v>45121.682638888888</v>
      </c>
      <c r="C1383" s="286" t="s">
        <v>1636</v>
      </c>
      <c r="D1383" s="286" t="s">
        <v>1105</v>
      </c>
      <c r="E1383" s="286" t="s">
        <v>1106</v>
      </c>
      <c r="F1383" s="286" t="s">
        <v>1713</v>
      </c>
      <c r="G1383" s="286" t="s">
        <v>1083</v>
      </c>
      <c r="H1383" s="286" t="s">
        <v>1083</v>
      </c>
      <c r="I1383" s="286" t="s">
        <v>1228</v>
      </c>
      <c r="J1383" s="286" t="s">
        <v>53</v>
      </c>
      <c r="K1383" s="286" t="s">
        <v>53</v>
      </c>
      <c r="L1383" s="286" t="s">
        <v>53</v>
      </c>
      <c r="M1383" s="286" t="s">
        <v>53</v>
      </c>
      <c r="N1383" s="287">
        <v>-134.54</v>
      </c>
      <c r="O1383" s="287"/>
      <c r="P1383" s="286" t="s">
        <v>58</v>
      </c>
    </row>
    <row r="1384" spans="1:16" hidden="1" x14ac:dyDescent="0.15">
      <c r="A1384" s="286">
        <v>328287</v>
      </c>
      <c r="B1384" s="288">
        <v>45161.62777777778</v>
      </c>
      <c r="C1384" s="286" t="s">
        <v>1691</v>
      </c>
      <c r="D1384" s="286" t="s">
        <v>1105</v>
      </c>
      <c r="E1384" s="286" t="s">
        <v>1106</v>
      </c>
      <c r="F1384" s="286" t="s">
        <v>1714</v>
      </c>
      <c r="G1384" s="286" t="s">
        <v>1083</v>
      </c>
      <c r="H1384" s="286" t="s">
        <v>1083</v>
      </c>
      <c r="I1384" s="286" t="s">
        <v>1228</v>
      </c>
      <c r="J1384" s="286" t="s">
        <v>53</v>
      </c>
      <c r="K1384" s="286" t="s">
        <v>53</v>
      </c>
      <c r="L1384" s="286" t="s">
        <v>53</v>
      </c>
      <c r="M1384" s="286" t="s">
        <v>53</v>
      </c>
      <c r="N1384" s="287">
        <v>-134.54</v>
      </c>
      <c r="O1384" s="287"/>
      <c r="P1384" s="286" t="s">
        <v>58</v>
      </c>
    </row>
    <row r="1385" spans="1:16" hidden="1" x14ac:dyDescent="0.15">
      <c r="A1385" s="286">
        <v>339870</v>
      </c>
      <c r="B1385" s="288">
        <v>45177.481944444444</v>
      </c>
      <c r="C1385" s="286" t="s">
        <v>1676</v>
      </c>
      <c r="D1385" s="286" t="s">
        <v>1105</v>
      </c>
      <c r="E1385" s="286" t="s">
        <v>1106</v>
      </c>
      <c r="F1385" s="286" t="s">
        <v>1715</v>
      </c>
      <c r="G1385" s="286" t="s">
        <v>1083</v>
      </c>
      <c r="H1385" s="286" t="s">
        <v>1083</v>
      </c>
      <c r="I1385" s="286" t="s">
        <v>1228</v>
      </c>
      <c r="J1385" s="286" t="s">
        <v>53</v>
      </c>
      <c r="K1385" s="286" t="s">
        <v>53</v>
      </c>
      <c r="L1385" s="286" t="s">
        <v>53</v>
      </c>
      <c r="M1385" s="286" t="s">
        <v>53</v>
      </c>
      <c r="N1385" s="287">
        <v>-134.54</v>
      </c>
      <c r="O1385" s="287"/>
      <c r="P1385" s="286" t="s">
        <v>58</v>
      </c>
    </row>
    <row r="1386" spans="1:16" hidden="1" x14ac:dyDescent="0.15">
      <c r="A1386" s="286">
        <v>370270</v>
      </c>
      <c r="B1386" s="288">
        <v>45208.668055555558</v>
      </c>
      <c r="C1386" s="286" t="s">
        <v>1642</v>
      </c>
      <c r="D1386" s="286" t="s">
        <v>1105</v>
      </c>
      <c r="E1386" s="286" t="s">
        <v>1106</v>
      </c>
      <c r="F1386" s="286" t="s">
        <v>1716</v>
      </c>
      <c r="G1386" s="286" t="s">
        <v>1083</v>
      </c>
      <c r="H1386" s="286" t="s">
        <v>1083</v>
      </c>
      <c r="I1386" s="286" t="s">
        <v>1228</v>
      </c>
      <c r="J1386" s="286" t="s">
        <v>53</v>
      </c>
      <c r="K1386" s="286" t="s">
        <v>53</v>
      </c>
      <c r="L1386" s="286" t="s">
        <v>53</v>
      </c>
      <c r="M1386" s="286" t="s">
        <v>53</v>
      </c>
      <c r="N1386" s="287">
        <v>-134.54</v>
      </c>
      <c r="O1386" s="287"/>
      <c r="P1386" s="286" t="s">
        <v>58</v>
      </c>
    </row>
    <row r="1387" spans="1:16" hidden="1" x14ac:dyDescent="0.15">
      <c r="A1387" s="286">
        <v>402221</v>
      </c>
      <c r="B1387" s="288">
        <v>45243.579861111109</v>
      </c>
      <c r="C1387" s="286" t="s">
        <v>1654</v>
      </c>
      <c r="D1387" s="286" t="s">
        <v>1105</v>
      </c>
      <c r="E1387" s="286" t="s">
        <v>1106</v>
      </c>
      <c r="F1387" s="286" t="s">
        <v>1724</v>
      </c>
      <c r="G1387" s="286" t="s">
        <v>1083</v>
      </c>
      <c r="H1387" s="286" t="s">
        <v>1083</v>
      </c>
      <c r="I1387" s="286" t="s">
        <v>1228</v>
      </c>
      <c r="J1387" s="286" t="s">
        <v>53</v>
      </c>
      <c r="K1387" s="286" t="s">
        <v>53</v>
      </c>
      <c r="L1387" s="286" t="s">
        <v>53</v>
      </c>
      <c r="M1387" s="286" t="s">
        <v>53</v>
      </c>
      <c r="N1387" s="287">
        <v>-134.55000000000001</v>
      </c>
      <c r="O1387" s="287"/>
      <c r="P1387" s="286" t="s">
        <v>58</v>
      </c>
    </row>
    <row r="1388" spans="1:16" hidden="1" x14ac:dyDescent="0.15">
      <c r="A1388" s="286">
        <v>370270</v>
      </c>
      <c r="B1388" s="288">
        <v>45208.668055555558</v>
      </c>
      <c r="C1388" s="286" t="s">
        <v>1642</v>
      </c>
      <c r="D1388" s="286" t="s">
        <v>1105</v>
      </c>
      <c r="E1388" s="286" t="s">
        <v>1106</v>
      </c>
      <c r="F1388" s="286" t="s">
        <v>1716</v>
      </c>
      <c r="G1388" s="286" t="s">
        <v>1080</v>
      </c>
      <c r="H1388" s="286" t="s">
        <v>1080</v>
      </c>
      <c r="I1388" s="286" t="s">
        <v>1228</v>
      </c>
      <c r="J1388" s="286" t="s">
        <v>1312</v>
      </c>
      <c r="K1388" s="286" t="s">
        <v>1770</v>
      </c>
      <c r="L1388" s="286" t="s">
        <v>53</v>
      </c>
      <c r="M1388" s="286">
        <v>1</v>
      </c>
      <c r="N1388" s="287">
        <v>-136.68</v>
      </c>
      <c r="O1388" s="287"/>
      <c r="P1388" s="286" t="s">
        <v>58</v>
      </c>
    </row>
    <row r="1389" spans="1:16" hidden="1" x14ac:dyDescent="0.15">
      <c r="A1389" s="286">
        <v>455146</v>
      </c>
      <c r="B1389" s="288">
        <v>45310.510416666664</v>
      </c>
      <c r="C1389" s="286" t="s">
        <v>1632</v>
      </c>
      <c r="D1389" s="286" t="s">
        <v>1105</v>
      </c>
      <c r="E1389" s="286" t="s">
        <v>1106</v>
      </c>
      <c r="F1389" s="286" t="s">
        <v>1725</v>
      </c>
      <c r="G1389" s="286" t="s">
        <v>1080</v>
      </c>
      <c r="H1389" s="286" t="s">
        <v>1080</v>
      </c>
      <c r="I1389" s="286" t="s">
        <v>1228</v>
      </c>
      <c r="J1389" s="286" t="s">
        <v>1312</v>
      </c>
      <c r="K1389" s="286" t="s">
        <v>1770</v>
      </c>
      <c r="L1389" s="286" t="s">
        <v>53</v>
      </c>
      <c r="M1389" s="286">
        <v>1</v>
      </c>
      <c r="N1389" s="287">
        <v>-136.68</v>
      </c>
      <c r="O1389" s="287"/>
      <c r="P1389" s="286" t="s">
        <v>58</v>
      </c>
    </row>
    <row r="1390" spans="1:16" hidden="1" x14ac:dyDescent="0.15">
      <c r="A1390" s="286">
        <v>339870</v>
      </c>
      <c r="B1390" s="288">
        <v>45177.481944444444</v>
      </c>
      <c r="C1390" s="286" t="s">
        <v>1676</v>
      </c>
      <c r="D1390" s="286" t="s">
        <v>1105</v>
      </c>
      <c r="E1390" s="286" t="s">
        <v>1106</v>
      </c>
      <c r="F1390" s="286" t="s">
        <v>1715</v>
      </c>
      <c r="G1390" s="286" t="s">
        <v>1021</v>
      </c>
      <c r="H1390" s="286" t="s">
        <v>1021</v>
      </c>
      <c r="I1390" s="286" t="s">
        <v>1199</v>
      </c>
      <c r="J1390" s="286" t="s">
        <v>1312</v>
      </c>
      <c r="K1390" s="286" t="s">
        <v>2068</v>
      </c>
      <c r="L1390" s="286" t="s">
        <v>53</v>
      </c>
      <c r="M1390" s="286">
        <v>1</v>
      </c>
      <c r="N1390" s="287">
        <v>-153.81</v>
      </c>
      <c r="O1390" s="287"/>
      <c r="P1390" s="286" t="s">
        <v>58</v>
      </c>
    </row>
    <row r="1391" spans="1:16" hidden="1" x14ac:dyDescent="0.15">
      <c r="A1391" s="286">
        <v>370270</v>
      </c>
      <c r="B1391" s="288">
        <v>45208.668055555558</v>
      </c>
      <c r="C1391" s="286" t="s">
        <v>1642</v>
      </c>
      <c r="D1391" s="286" t="s">
        <v>1105</v>
      </c>
      <c r="E1391" s="286" t="s">
        <v>1106</v>
      </c>
      <c r="F1391" s="286" t="s">
        <v>1716</v>
      </c>
      <c r="G1391" s="286" t="s">
        <v>1010</v>
      </c>
      <c r="H1391" s="286" t="s">
        <v>1010</v>
      </c>
      <c r="I1391" s="286" t="s">
        <v>1199</v>
      </c>
      <c r="J1391" s="286" t="s">
        <v>1312</v>
      </c>
      <c r="K1391" s="286" t="s">
        <v>2069</v>
      </c>
      <c r="L1391" s="286" t="s">
        <v>53</v>
      </c>
      <c r="M1391" s="286">
        <v>1</v>
      </c>
      <c r="N1391" s="287">
        <v>-162.88999999999999</v>
      </c>
      <c r="O1391" s="287"/>
      <c r="P1391" s="286" t="s">
        <v>58</v>
      </c>
    </row>
    <row r="1392" spans="1:16" hidden="1" x14ac:dyDescent="0.15">
      <c r="A1392" s="286">
        <v>456017</v>
      </c>
      <c r="B1392" s="288">
        <v>45310.695138888892</v>
      </c>
      <c r="C1392" s="286" t="s">
        <v>1632</v>
      </c>
      <c r="D1392" s="286" t="s">
        <v>1105</v>
      </c>
      <c r="E1392" s="286" t="s">
        <v>1106</v>
      </c>
      <c r="F1392" s="286" t="s">
        <v>2066</v>
      </c>
      <c r="G1392" s="286" t="s">
        <v>1083</v>
      </c>
      <c r="H1392" s="286" t="s">
        <v>1083</v>
      </c>
      <c r="I1392" s="286" t="s">
        <v>1199</v>
      </c>
      <c r="J1392" s="286" t="s">
        <v>53</v>
      </c>
      <c r="K1392" s="286" t="s">
        <v>53</v>
      </c>
      <c r="L1392" s="286" t="s">
        <v>53</v>
      </c>
      <c r="M1392" s="286" t="s">
        <v>53</v>
      </c>
      <c r="N1392" s="287">
        <v>-194.53</v>
      </c>
      <c r="O1392" s="287"/>
      <c r="P1392" s="286" t="s">
        <v>58</v>
      </c>
    </row>
    <row r="1393" spans="1:16" hidden="1" x14ac:dyDescent="0.15">
      <c r="A1393" s="286">
        <v>339870</v>
      </c>
      <c r="B1393" s="288">
        <v>45177.481944444444</v>
      </c>
      <c r="C1393" s="286" t="s">
        <v>1676</v>
      </c>
      <c r="D1393" s="286" t="s">
        <v>1105</v>
      </c>
      <c r="E1393" s="286" t="s">
        <v>1106</v>
      </c>
      <c r="F1393" s="286" t="s">
        <v>1715</v>
      </c>
      <c r="G1393" s="286" t="s">
        <v>1080</v>
      </c>
      <c r="H1393" s="286" t="s">
        <v>1080</v>
      </c>
      <c r="I1393" s="286" t="s">
        <v>1228</v>
      </c>
      <c r="J1393" s="286" t="s">
        <v>1312</v>
      </c>
      <c r="K1393" s="286" t="s">
        <v>1770</v>
      </c>
      <c r="L1393" s="286" t="s">
        <v>53</v>
      </c>
      <c r="M1393" s="286">
        <v>1</v>
      </c>
      <c r="N1393" s="287">
        <v>-208.31</v>
      </c>
      <c r="O1393" s="287"/>
      <c r="P1393" s="286" t="s">
        <v>58</v>
      </c>
    </row>
    <row r="1394" spans="1:16" hidden="1" x14ac:dyDescent="0.15">
      <c r="A1394" s="286">
        <v>402221</v>
      </c>
      <c r="B1394" s="288">
        <v>45243.579861111109</v>
      </c>
      <c r="C1394" s="286" t="s">
        <v>1654</v>
      </c>
      <c r="D1394" s="286" t="s">
        <v>1105</v>
      </c>
      <c r="E1394" s="286" t="s">
        <v>1106</v>
      </c>
      <c r="F1394" s="286" t="s">
        <v>1724</v>
      </c>
      <c r="G1394" s="286" t="s">
        <v>1080</v>
      </c>
      <c r="H1394" s="286" t="s">
        <v>1080</v>
      </c>
      <c r="I1394" s="286" t="s">
        <v>1228</v>
      </c>
      <c r="J1394" s="286" t="s">
        <v>1312</v>
      </c>
      <c r="K1394" s="286" t="s">
        <v>1770</v>
      </c>
      <c r="L1394" s="286" t="s">
        <v>53</v>
      </c>
      <c r="M1394" s="286">
        <v>1</v>
      </c>
      <c r="N1394" s="287">
        <v>-208.31</v>
      </c>
      <c r="O1394" s="287"/>
      <c r="P1394" s="286" t="s">
        <v>58</v>
      </c>
    </row>
    <row r="1395" spans="1:16" hidden="1" x14ac:dyDescent="0.15">
      <c r="A1395" s="286">
        <v>328287</v>
      </c>
      <c r="B1395" s="288">
        <v>45161.62777777778</v>
      </c>
      <c r="C1395" s="286" t="s">
        <v>1691</v>
      </c>
      <c r="D1395" s="286" t="s">
        <v>1105</v>
      </c>
      <c r="E1395" s="286" t="s">
        <v>1106</v>
      </c>
      <c r="F1395" s="286" t="s">
        <v>1714</v>
      </c>
      <c r="G1395" s="286" t="s">
        <v>1080</v>
      </c>
      <c r="H1395" s="286" t="s">
        <v>1080</v>
      </c>
      <c r="I1395" s="286" t="s">
        <v>1228</v>
      </c>
      <c r="J1395" s="286" t="s">
        <v>1312</v>
      </c>
      <c r="K1395" s="286" t="s">
        <v>1770</v>
      </c>
      <c r="L1395" s="286" t="s">
        <v>53</v>
      </c>
      <c r="M1395" s="286">
        <v>1</v>
      </c>
      <c r="N1395" s="287">
        <v>-211.19</v>
      </c>
      <c r="O1395" s="287"/>
      <c r="P1395" s="286" t="s">
        <v>58</v>
      </c>
    </row>
    <row r="1396" spans="1:16" hidden="1" x14ac:dyDescent="0.15">
      <c r="A1396" s="286">
        <v>370270</v>
      </c>
      <c r="B1396" s="288">
        <v>45208.668055555558</v>
      </c>
      <c r="C1396" s="286" t="s">
        <v>1642</v>
      </c>
      <c r="D1396" s="286" t="s">
        <v>1105</v>
      </c>
      <c r="E1396" s="286" t="s">
        <v>1106</v>
      </c>
      <c r="F1396" s="286" t="s">
        <v>1716</v>
      </c>
      <c r="G1396" s="286" t="s">
        <v>1080</v>
      </c>
      <c r="H1396" s="286" t="s">
        <v>1080</v>
      </c>
      <c r="I1396" s="286" t="s">
        <v>1228</v>
      </c>
      <c r="J1396" s="286" t="s">
        <v>1312</v>
      </c>
      <c r="K1396" s="286" t="s">
        <v>1770</v>
      </c>
      <c r="L1396" s="286" t="s">
        <v>53</v>
      </c>
      <c r="M1396" s="286">
        <v>1</v>
      </c>
      <c r="N1396" s="287">
        <v>-211.19</v>
      </c>
      <c r="O1396" s="287"/>
      <c r="P1396" s="286" t="s">
        <v>58</v>
      </c>
    </row>
    <row r="1397" spans="1:16" hidden="1" x14ac:dyDescent="0.15">
      <c r="A1397" s="286">
        <v>455349</v>
      </c>
      <c r="B1397" s="288">
        <v>45310.529166666667</v>
      </c>
      <c r="C1397" s="286" t="s">
        <v>1632</v>
      </c>
      <c r="D1397" s="286" t="s">
        <v>1105</v>
      </c>
      <c r="E1397" s="286" t="s">
        <v>1106</v>
      </c>
      <c r="F1397" s="286" t="s">
        <v>1835</v>
      </c>
      <c r="G1397" s="286" t="s">
        <v>1080</v>
      </c>
      <c r="H1397" s="286" t="s">
        <v>1080</v>
      </c>
      <c r="I1397" s="286" t="s">
        <v>1228</v>
      </c>
      <c r="J1397" s="286" t="s">
        <v>1312</v>
      </c>
      <c r="K1397" s="286" t="s">
        <v>1770</v>
      </c>
      <c r="L1397" s="286" t="s">
        <v>53</v>
      </c>
      <c r="M1397" s="286">
        <v>1</v>
      </c>
      <c r="N1397" s="287">
        <v>-211.19</v>
      </c>
      <c r="O1397" s="287"/>
      <c r="P1397" s="286" t="s">
        <v>58</v>
      </c>
    </row>
    <row r="1398" spans="1:16" hidden="1" x14ac:dyDescent="0.15">
      <c r="A1398" s="286">
        <v>339870</v>
      </c>
      <c r="B1398" s="288">
        <v>45177.481944444444</v>
      </c>
      <c r="C1398" s="286" t="s">
        <v>1676</v>
      </c>
      <c r="D1398" s="286" t="s">
        <v>1105</v>
      </c>
      <c r="E1398" s="286" t="s">
        <v>1106</v>
      </c>
      <c r="F1398" s="286" t="s">
        <v>1715</v>
      </c>
      <c r="G1398" s="286" t="s">
        <v>1021</v>
      </c>
      <c r="H1398" s="286" t="s">
        <v>1021</v>
      </c>
      <c r="I1398" s="286" t="s">
        <v>1199</v>
      </c>
      <c r="J1398" s="286" t="s">
        <v>1312</v>
      </c>
      <c r="K1398" s="286" t="s">
        <v>2068</v>
      </c>
      <c r="L1398" s="286" t="s">
        <v>53</v>
      </c>
      <c r="M1398" s="286">
        <v>1</v>
      </c>
      <c r="N1398" s="287">
        <v>-230.58</v>
      </c>
      <c r="O1398" s="287"/>
      <c r="P1398" s="286" t="s">
        <v>58</v>
      </c>
    </row>
    <row r="1399" spans="1:16" hidden="1" x14ac:dyDescent="0.15">
      <c r="A1399" s="286">
        <v>455146</v>
      </c>
      <c r="B1399" s="288">
        <v>45310.510416666664</v>
      </c>
      <c r="C1399" s="286" t="s">
        <v>1632</v>
      </c>
      <c r="D1399" s="286" t="s">
        <v>1105</v>
      </c>
      <c r="E1399" s="286" t="s">
        <v>1106</v>
      </c>
      <c r="F1399" s="286" t="s">
        <v>1725</v>
      </c>
      <c r="G1399" s="286" t="s">
        <v>1052</v>
      </c>
      <c r="H1399" s="286" t="s">
        <v>1052</v>
      </c>
      <c r="I1399" s="286" t="s">
        <v>1228</v>
      </c>
      <c r="J1399" s="286" t="s">
        <v>53</v>
      </c>
      <c r="K1399" s="286" t="s">
        <v>53</v>
      </c>
      <c r="L1399" s="286" t="s">
        <v>53</v>
      </c>
      <c r="M1399" s="286" t="s">
        <v>53</v>
      </c>
      <c r="N1399" s="287">
        <v>-259.93</v>
      </c>
      <c r="O1399" s="287"/>
      <c r="P1399" s="286" t="s">
        <v>58</v>
      </c>
    </row>
    <row r="1400" spans="1:16" hidden="1" x14ac:dyDescent="0.15">
      <c r="A1400" s="286">
        <v>418370</v>
      </c>
      <c r="B1400" s="288">
        <v>45261.45416666667</v>
      </c>
      <c r="C1400" s="286" t="s">
        <v>1654</v>
      </c>
      <c r="D1400" s="286" t="s">
        <v>1105</v>
      </c>
      <c r="E1400" s="286" t="s">
        <v>1106</v>
      </c>
      <c r="F1400" s="286" t="s">
        <v>1655</v>
      </c>
      <c r="G1400" s="286" t="s">
        <v>1034</v>
      </c>
      <c r="H1400" s="286" t="s">
        <v>1034</v>
      </c>
      <c r="I1400" s="286" t="s">
        <v>1152</v>
      </c>
      <c r="J1400" s="286" t="s">
        <v>1312</v>
      </c>
      <c r="K1400" s="286" t="s">
        <v>1811</v>
      </c>
      <c r="L1400" s="286" t="s">
        <v>86</v>
      </c>
      <c r="M1400" s="286">
        <v>1</v>
      </c>
      <c r="N1400" s="287">
        <v>-260.33</v>
      </c>
      <c r="O1400" s="287"/>
      <c r="P1400" s="286" t="s">
        <v>58</v>
      </c>
    </row>
    <row r="1401" spans="1:16" hidden="1" x14ac:dyDescent="0.15">
      <c r="A1401" s="286">
        <v>284271</v>
      </c>
      <c r="B1401" s="288">
        <v>45121.682638888888</v>
      </c>
      <c r="C1401" s="286" t="s">
        <v>1636</v>
      </c>
      <c r="D1401" s="286" t="s">
        <v>1105</v>
      </c>
      <c r="E1401" s="286" t="s">
        <v>1106</v>
      </c>
      <c r="F1401" s="286" t="s">
        <v>1713</v>
      </c>
      <c r="G1401" s="286" t="s">
        <v>1080</v>
      </c>
      <c r="H1401" s="286" t="s">
        <v>1080</v>
      </c>
      <c r="I1401" s="286" t="s">
        <v>1228</v>
      </c>
      <c r="J1401" s="286" t="s">
        <v>1312</v>
      </c>
      <c r="K1401" s="286" t="s">
        <v>1770</v>
      </c>
      <c r="L1401" s="286" t="s">
        <v>53</v>
      </c>
      <c r="M1401" s="286">
        <v>1</v>
      </c>
      <c r="N1401" s="287">
        <v>-297.58999999999997</v>
      </c>
      <c r="O1401" s="287"/>
      <c r="P1401" s="286" t="s">
        <v>58</v>
      </c>
    </row>
    <row r="1402" spans="1:16" hidden="1" x14ac:dyDescent="0.15">
      <c r="A1402" s="286">
        <v>370270</v>
      </c>
      <c r="B1402" s="288">
        <v>45208.668055555558</v>
      </c>
      <c r="C1402" s="286" t="s">
        <v>1642</v>
      </c>
      <c r="D1402" s="286" t="s">
        <v>1105</v>
      </c>
      <c r="E1402" s="286" t="s">
        <v>1106</v>
      </c>
      <c r="F1402" s="286" t="s">
        <v>1716</v>
      </c>
      <c r="G1402" s="286" t="s">
        <v>1021</v>
      </c>
      <c r="H1402" s="286" t="s">
        <v>1021</v>
      </c>
      <c r="I1402" s="286" t="s">
        <v>1199</v>
      </c>
      <c r="J1402" s="286" t="s">
        <v>1312</v>
      </c>
      <c r="K1402" s="286" t="s">
        <v>2064</v>
      </c>
      <c r="L1402" s="286" t="s">
        <v>53</v>
      </c>
      <c r="M1402" s="286">
        <v>1</v>
      </c>
      <c r="N1402" s="287">
        <v>-305.42</v>
      </c>
      <c r="O1402" s="287"/>
      <c r="P1402" s="286" t="s">
        <v>58</v>
      </c>
    </row>
    <row r="1403" spans="1:16" hidden="1" x14ac:dyDescent="0.15">
      <c r="A1403" s="286">
        <v>402221</v>
      </c>
      <c r="B1403" s="288">
        <v>45243.579861111109</v>
      </c>
      <c r="C1403" s="286" t="s">
        <v>1654</v>
      </c>
      <c r="D1403" s="286" t="s">
        <v>1105</v>
      </c>
      <c r="E1403" s="286" t="s">
        <v>1106</v>
      </c>
      <c r="F1403" s="286" t="s">
        <v>1724</v>
      </c>
      <c r="G1403" s="286" t="s">
        <v>1021</v>
      </c>
      <c r="H1403" s="286" t="s">
        <v>1021</v>
      </c>
      <c r="I1403" s="286" t="s">
        <v>1199</v>
      </c>
      <c r="J1403" s="286" t="s">
        <v>1312</v>
      </c>
      <c r="K1403" s="286" t="s">
        <v>2064</v>
      </c>
      <c r="L1403" s="286" t="s">
        <v>53</v>
      </c>
      <c r="M1403" s="286">
        <v>1</v>
      </c>
      <c r="N1403" s="287">
        <v>-305.42</v>
      </c>
      <c r="O1403" s="287"/>
      <c r="P1403" s="286" t="s">
        <v>58</v>
      </c>
    </row>
    <row r="1404" spans="1:16" hidden="1" x14ac:dyDescent="0.15">
      <c r="A1404" s="286">
        <v>455146</v>
      </c>
      <c r="B1404" s="288">
        <v>45310.510416666664</v>
      </c>
      <c r="C1404" s="286" t="s">
        <v>1632</v>
      </c>
      <c r="D1404" s="286" t="s">
        <v>1105</v>
      </c>
      <c r="E1404" s="286" t="s">
        <v>1106</v>
      </c>
      <c r="F1404" s="286" t="s">
        <v>1725</v>
      </c>
      <c r="G1404" s="286" t="s">
        <v>1021</v>
      </c>
      <c r="H1404" s="286" t="s">
        <v>1021</v>
      </c>
      <c r="I1404" s="286" t="s">
        <v>1199</v>
      </c>
      <c r="J1404" s="286" t="s">
        <v>1312</v>
      </c>
      <c r="K1404" s="286" t="s">
        <v>2064</v>
      </c>
      <c r="L1404" s="286" t="s">
        <v>53</v>
      </c>
      <c r="M1404" s="286">
        <v>1</v>
      </c>
      <c r="N1404" s="287">
        <v>-305.42</v>
      </c>
      <c r="O1404" s="287"/>
      <c r="P1404" s="286" t="s">
        <v>58</v>
      </c>
    </row>
    <row r="1405" spans="1:16" hidden="1" x14ac:dyDescent="0.15">
      <c r="A1405" s="286">
        <v>339870</v>
      </c>
      <c r="B1405" s="288">
        <v>45177.481944444444</v>
      </c>
      <c r="C1405" s="286" t="s">
        <v>1676</v>
      </c>
      <c r="D1405" s="286" t="s">
        <v>1105</v>
      </c>
      <c r="E1405" s="286" t="s">
        <v>1106</v>
      </c>
      <c r="F1405" s="286" t="s">
        <v>1715</v>
      </c>
      <c r="G1405" s="286" t="s">
        <v>1080</v>
      </c>
      <c r="H1405" s="286" t="s">
        <v>1080</v>
      </c>
      <c r="I1405" s="286" t="s">
        <v>1228</v>
      </c>
      <c r="J1405" s="286" t="s">
        <v>1312</v>
      </c>
      <c r="K1405" s="286" t="s">
        <v>1770</v>
      </c>
      <c r="L1405" s="286" t="s">
        <v>53</v>
      </c>
      <c r="M1405" s="286">
        <v>1</v>
      </c>
      <c r="N1405" s="287">
        <v>-318.91000000000003</v>
      </c>
      <c r="O1405" s="287"/>
      <c r="P1405" s="286" t="s">
        <v>58</v>
      </c>
    </row>
    <row r="1406" spans="1:16" hidden="1" x14ac:dyDescent="0.15">
      <c r="A1406" s="286">
        <v>402221</v>
      </c>
      <c r="B1406" s="288">
        <v>45243.579861111109</v>
      </c>
      <c r="C1406" s="286" t="s">
        <v>1654</v>
      </c>
      <c r="D1406" s="286" t="s">
        <v>1105</v>
      </c>
      <c r="E1406" s="286" t="s">
        <v>1106</v>
      </c>
      <c r="F1406" s="286" t="s">
        <v>1724</v>
      </c>
      <c r="G1406" s="286" t="s">
        <v>1080</v>
      </c>
      <c r="H1406" s="286" t="s">
        <v>1080</v>
      </c>
      <c r="I1406" s="286" t="s">
        <v>1228</v>
      </c>
      <c r="J1406" s="286" t="s">
        <v>1312</v>
      </c>
      <c r="K1406" s="286" t="s">
        <v>1770</v>
      </c>
      <c r="L1406" s="286" t="s">
        <v>53</v>
      </c>
      <c r="M1406" s="286">
        <v>1</v>
      </c>
      <c r="N1406" s="287">
        <v>-318.91000000000003</v>
      </c>
      <c r="O1406" s="287"/>
      <c r="P1406" s="286" t="s">
        <v>58</v>
      </c>
    </row>
    <row r="1407" spans="1:16" hidden="1" x14ac:dyDescent="0.15">
      <c r="A1407" s="286">
        <v>328287</v>
      </c>
      <c r="B1407" s="288">
        <v>45161.62777777778</v>
      </c>
      <c r="C1407" s="286" t="s">
        <v>1691</v>
      </c>
      <c r="D1407" s="286" t="s">
        <v>1105</v>
      </c>
      <c r="E1407" s="286" t="s">
        <v>1106</v>
      </c>
      <c r="F1407" s="286" t="s">
        <v>1714</v>
      </c>
      <c r="G1407" s="286" t="s">
        <v>1080</v>
      </c>
      <c r="H1407" s="286" t="s">
        <v>1080</v>
      </c>
      <c r="I1407" s="286" t="s">
        <v>1228</v>
      </c>
      <c r="J1407" s="286" t="s">
        <v>1312</v>
      </c>
      <c r="K1407" s="286" t="s">
        <v>1770</v>
      </c>
      <c r="L1407" s="286" t="s">
        <v>53</v>
      </c>
      <c r="M1407" s="286">
        <v>1</v>
      </c>
      <c r="N1407" s="287">
        <v>-323.32</v>
      </c>
      <c r="O1407" s="287"/>
      <c r="P1407" s="286" t="s">
        <v>58</v>
      </c>
    </row>
    <row r="1408" spans="1:16" hidden="1" x14ac:dyDescent="0.15">
      <c r="A1408" s="286">
        <v>370270</v>
      </c>
      <c r="B1408" s="288">
        <v>45208.668055555558</v>
      </c>
      <c r="C1408" s="286" t="s">
        <v>1642</v>
      </c>
      <c r="D1408" s="286" t="s">
        <v>1105</v>
      </c>
      <c r="E1408" s="286" t="s">
        <v>1106</v>
      </c>
      <c r="F1408" s="286" t="s">
        <v>1716</v>
      </c>
      <c r="G1408" s="286" t="s">
        <v>1080</v>
      </c>
      <c r="H1408" s="286" t="s">
        <v>1080</v>
      </c>
      <c r="I1408" s="286" t="s">
        <v>1228</v>
      </c>
      <c r="J1408" s="286" t="s">
        <v>1312</v>
      </c>
      <c r="K1408" s="286" t="s">
        <v>1770</v>
      </c>
      <c r="L1408" s="286" t="s">
        <v>53</v>
      </c>
      <c r="M1408" s="286">
        <v>1</v>
      </c>
      <c r="N1408" s="287">
        <v>-323.32</v>
      </c>
      <c r="O1408" s="287"/>
      <c r="P1408" s="286" t="s">
        <v>58</v>
      </c>
    </row>
    <row r="1409" spans="1:16" hidden="1" x14ac:dyDescent="0.15">
      <c r="A1409" s="286">
        <v>455349</v>
      </c>
      <c r="B1409" s="288">
        <v>45310.529166666667</v>
      </c>
      <c r="C1409" s="286" t="s">
        <v>1632</v>
      </c>
      <c r="D1409" s="286" t="s">
        <v>1105</v>
      </c>
      <c r="E1409" s="286" t="s">
        <v>1106</v>
      </c>
      <c r="F1409" s="286" t="s">
        <v>1835</v>
      </c>
      <c r="G1409" s="286" t="s">
        <v>1080</v>
      </c>
      <c r="H1409" s="286" t="s">
        <v>1080</v>
      </c>
      <c r="I1409" s="286" t="s">
        <v>1228</v>
      </c>
      <c r="J1409" s="286" t="s">
        <v>1312</v>
      </c>
      <c r="K1409" s="286" t="s">
        <v>1770</v>
      </c>
      <c r="L1409" s="286" t="s">
        <v>53</v>
      </c>
      <c r="M1409" s="286">
        <v>1</v>
      </c>
      <c r="N1409" s="287">
        <v>-323.32</v>
      </c>
      <c r="O1409" s="287"/>
      <c r="P1409" s="286" t="s">
        <v>58</v>
      </c>
    </row>
    <row r="1410" spans="1:16" hidden="1" x14ac:dyDescent="0.15">
      <c r="A1410" s="286">
        <v>402221</v>
      </c>
      <c r="B1410" s="288">
        <v>45243.579861111109</v>
      </c>
      <c r="C1410" s="286" t="s">
        <v>1654</v>
      </c>
      <c r="D1410" s="286" t="s">
        <v>1105</v>
      </c>
      <c r="E1410" s="286" t="s">
        <v>1106</v>
      </c>
      <c r="F1410" s="286" t="s">
        <v>1724</v>
      </c>
      <c r="G1410" s="286" t="s">
        <v>1052</v>
      </c>
      <c r="H1410" s="286" t="s">
        <v>1052</v>
      </c>
      <c r="I1410" s="286" t="s">
        <v>1228</v>
      </c>
      <c r="J1410" s="286" t="s">
        <v>53</v>
      </c>
      <c r="K1410" s="286" t="s">
        <v>53</v>
      </c>
      <c r="L1410" s="286" t="s">
        <v>53</v>
      </c>
      <c r="M1410" s="286" t="s">
        <v>53</v>
      </c>
      <c r="N1410" s="287">
        <v>-344.67</v>
      </c>
      <c r="O1410" s="287"/>
      <c r="P1410" s="286" t="s">
        <v>58</v>
      </c>
    </row>
    <row r="1411" spans="1:16" hidden="1" x14ac:dyDescent="0.15">
      <c r="A1411" s="286">
        <v>278788</v>
      </c>
      <c r="B1411" s="288">
        <v>45118.57708333333</v>
      </c>
      <c r="C1411" s="286" t="s">
        <v>1649</v>
      </c>
      <c r="D1411" s="286" t="s">
        <v>1105</v>
      </c>
      <c r="E1411" s="286" t="s">
        <v>1106</v>
      </c>
      <c r="F1411" s="286" t="s">
        <v>1712</v>
      </c>
      <c r="G1411" s="286" t="s">
        <v>1052</v>
      </c>
      <c r="H1411" s="286" t="s">
        <v>1052</v>
      </c>
      <c r="I1411" s="286" t="s">
        <v>1228</v>
      </c>
      <c r="J1411" s="286" t="s">
        <v>53</v>
      </c>
      <c r="K1411" s="286" t="s">
        <v>53</v>
      </c>
      <c r="L1411" s="286" t="s">
        <v>53</v>
      </c>
      <c r="M1411" s="286" t="s">
        <v>53</v>
      </c>
      <c r="N1411" s="287">
        <v>-344.69</v>
      </c>
      <c r="O1411" s="287"/>
      <c r="P1411" s="286" t="s">
        <v>58</v>
      </c>
    </row>
    <row r="1412" spans="1:16" hidden="1" x14ac:dyDescent="0.15">
      <c r="A1412" s="286">
        <v>284271</v>
      </c>
      <c r="B1412" s="288">
        <v>45121.682638888888</v>
      </c>
      <c r="C1412" s="286" t="s">
        <v>1636</v>
      </c>
      <c r="D1412" s="286" t="s">
        <v>1105</v>
      </c>
      <c r="E1412" s="286" t="s">
        <v>1106</v>
      </c>
      <c r="F1412" s="286" t="s">
        <v>1713</v>
      </c>
      <c r="G1412" s="286" t="s">
        <v>1052</v>
      </c>
      <c r="H1412" s="286" t="s">
        <v>1052</v>
      </c>
      <c r="I1412" s="286" t="s">
        <v>1228</v>
      </c>
      <c r="J1412" s="286" t="s">
        <v>53</v>
      </c>
      <c r="K1412" s="286" t="s">
        <v>53</v>
      </c>
      <c r="L1412" s="286" t="s">
        <v>53</v>
      </c>
      <c r="M1412" s="286" t="s">
        <v>53</v>
      </c>
      <c r="N1412" s="287">
        <v>-344.69</v>
      </c>
      <c r="O1412" s="287"/>
      <c r="P1412" s="286" t="s">
        <v>58</v>
      </c>
    </row>
    <row r="1413" spans="1:16" hidden="1" x14ac:dyDescent="0.15">
      <c r="A1413" s="286">
        <v>328287</v>
      </c>
      <c r="B1413" s="288">
        <v>45161.62777777778</v>
      </c>
      <c r="C1413" s="286" t="s">
        <v>1691</v>
      </c>
      <c r="D1413" s="286" t="s">
        <v>1105</v>
      </c>
      <c r="E1413" s="286" t="s">
        <v>1106</v>
      </c>
      <c r="F1413" s="286" t="s">
        <v>1714</v>
      </c>
      <c r="G1413" s="286" t="s">
        <v>1052</v>
      </c>
      <c r="H1413" s="286" t="s">
        <v>1052</v>
      </c>
      <c r="I1413" s="286" t="s">
        <v>1228</v>
      </c>
      <c r="J1413" s="286" t="s">
        <v>53</v>
      </c>
      <c r="K1413" s="286" t="s">
        <v>53</v>
      </c>
      <c r="L1413" s="286" t="s">
        <v>53</v>
      </c>
      <c r="M1413" s="286" t="s">
        <v>53</v>
      </c>
      <c r="N1413" s="287">
        <v>-344.69</v>
      </c>
      <c r="O1413" s="287"/>
      <c r="P1413" s="286" t="s">
        <v>58</v>
      </c>
    </row>
    <row r="1414" spans="1:16" hidden="1" x14ac:dyDescent="0.15">
      <c r="A1414" s="286">
        <v>339870</v>
      </c>
      <c r="B1414" s="288">
        <v>45177.481944444444</v>
      </c>
      <c r="C1414" s="286" t="s">
        <v>1676</v>
      </c>
      <c r="D1414" s="286" t="s">
        <v>1105</v>
      </c>
      <c r="E1414" s="286" t="s">
        <v>1106</v>
      </c>
      <c r="F1414" s="286" t="s">
        <v>1715</v>
      </c>
      <c r="G1414" s="286" t="s">
        <v>1052</v>
      </c>
      <c r="H1414" s="286" t="s">
        <v>1052</v>
      </c>
      <c r="I1414" s="286" t="s">
        <v>1228</v>
      </c>
      <c r="J1414" s="286" t="s">
        <v>53</v>
      </c>
      <c r="K1414" s="286" t="s">
        <v>53</v>
      </c>
      <c r="L1414" s="286" t="s">
        <v>53</v>
      </c>
      <c r="M1414" s="286" t="s">
        <v>53</v>
      </c>
      <c r="N1414" s="287">
        <v>-344.69</v>
      </c>
      <c r="O1414" s="287"/>
      <c r="P1414" s="286" t="s">
        <v>58</v>
      </c>
    </row>
    <row r="1415" spans="1:16" hidden="1" x14ac:dyDescent="0.15">
      <c r="A1415" s="286">
        <v>370270</v>
      </c>
      <c r="B1415" s="288">
        <v>45208.668055555558</v>
      </c>
      <c r="C1415" s="286" t="s">
        <v>1642</v>
      </c>
      <c r="D1415" s="286" t="s">
        <v>1105</v>
      </c>
      <c r="E1415" s="286" t="s">
        <v>1106</v>
      </c>
      <c r="F1415" s="286" t="s">
        <v>1716</v>
      </c>
      <c r="G1415" s="286" t="s">
        <v>1052</v>
      </c>
      <c r="H1415" s="286" t="s">
        <v>1052</v>
      </c>
      <c r="I1415" s="286" t="s">
        <v>1228</v>
      </c>
      <c r="J1415" s="286" t="s">
        <v>53</v>
      </c>
      <c r="K1415" s="286" t="s">
        <v>53</v>
      </c>
      <c r="L1415" s="286" t="s">
        <v>53</v>
      </c>
      <c r="M1415" s="286" t="s">
        <v>53</v>
      </c>
      <c r="N1415" s="287">
        <v>-344.69</v>
      </c>
      <c r="O1415" s="287"/>
      <c r="P1415" s="286" t="s">
        <v>58</v>
      </c>
    </row>
    <row r="1416" spans="1:16" hidden="1" x14ac:dyDescent="0.15">
      <c r="A1416" s="286">
        <v>402221</v>
      </c>
      <c r="B1416" s="288">
        <v>45243.579861111109</v>
      </c>
      <c r="C1416" s="286" t="s">
        <v>1654</v>
      </c>
      <c r="D1416" s="286" t="s">
        <v>1105</v>
      </c>
      <c r="E1416" s="286" t="s">
        <v>1106</v>
      </c>
      <c r="F1416" s="286" t="s">
        <v>1724</v>
      </c>
      <c r="G1416" s="286" t="s">
        <v>1010</v>
      </c>
      <c r="H1416" s="286" t="s">
        <v>1010</v>
      </c>
      <c r="I1416" s="286" t="s">
        <v>1199</v>
      </c>
      <c r="J1416" s="286" t="s">
        <v>1312</v>
      </c>
      <c r="K1416" s="286" t="s">
        <v>2069</v>
      </c>
      <c r="L1416" s="286" t="s">
        <v>53</v>
      </c>
      <c r="M1416" s="286">
        <v>1</v>
      </c>
      <c r="N1416" s="287">
        <v>-413.38</v>
      </c>
      <c r="O1416" s="287"/>
      <c r="P1416" s="286" t="s">
        <v>58</v>
      </c>
    </row>
    <row r="1417" spans="1:16" hidden="1" x14ac:dyDescent="0.15">
      <c r="A1417" s="286">
        <v>455146</v>
      </c>
      <c r="B1417" s="288">
        <v>45310.510416666664</v>
      </c>
      <c r="C1417" s="286" t="s">
        <v>1632</v>
      </c>
      <c r="D1417" s="286" t="s">
        <v>1105</v>
      </c>
      <c r="E1417" s="286" t="s">
        <v>1106</v>
      </c>
      <c r="F1417" s="286" t="s">
        <v>1725</v>
      </c>
      <c r="G1417" s="286" t="s">
        <v>1010</v>
      </c>
      <c r="H1417" s="286" t="s">
        <v>1010</v>
      </c>
      <c r="I1417" s="286" t="s">
        <v>1199</v>
      </c>
      <c r="J1417" s="286" t="s">
        <v>1312</v>
      </c>
      <c r="K1417" s="286" t="s">
        <v>2069</v>
      </c>
      <c r="L1417" s="286" t="s">
        <v>53</v>
      </c>
      <c r="M1417" s="286">
        <v>1</v>
      </c>
      <c r="N1417" s="287">
        <v>-413.38</v>
      </c>
      <c r="O1417" s="287"/>
      <c r="P1417" s="286" t="s">
        <v>58</v>
      </c>
    </row>
    <row r="1418" spans="1:16" hidden="1" x14ac:dyDescent="0.15">
      <c r="A1418" s="286">
        <v>284271</v>
      </c>
      <c r="B1418" s="288">
        <v>45121.682638888888</v>
      </c>
      <c r="C1418" s="286" t="s">
        <v>1636</v>
      </c>
      <c r="D1418" s="286" t="s">
        <v>1105</v>
      </c>
      <c r="E1418" s="286" t="s">
        <v>1106</v>
      </c>
      <c r="F1418" s="286" t="s">
        <v>1713</v>
      </c>
      <c r="G1418" s="286" t="s">
        <v>1080</v>
      </c>
      <c r="H1418" s="286" t="s">
        <v>1080</v>
      </c>
      <c r="I1418" s="286" t="s">
        <v>1228</v>
      </c>
      <c r="J1418" s="286" t="s">
        <v>1312</v>
      </c>
      <c r="K1418" s="286" t="s">
        <v>1770</v>
      </c>
      <c r="L1418" s="286" t="s">
        <v>53</v>
      </c>
      <c r="M1418" s="286">
        <v>1</v>
      </c>
      <c r="N1418" s="287">
        <v>-455.59</v>
      </c>
      <c r="O1418" s="287"/>
      <c r="P1418" s="286" t="s">
        <v>58</v>
      </c>
    </row>
    <row r="1419" spans="1:16" hidden="1" x14ac:dyDescent="0.15">
      <c r="A1419" s="286">
        <v>370270</v>
      </c>
      <c r="B1419" s="288">
        <v>45208.668055555558</v>
      </c>
      <c r="C1419" s="286" t="s">
        <v>1642</v>
      </c>
      <c r="D1419" s="286" t="s">
        <v>1105</v>
      </c>
      <c r="E1419" s="286" t="s">
        <v>1106</v>
      </c>
      <c r="F1419" s="286" t="s">
        <v>1716</v>
      </c>
      <c r="G1419" s="286" t="s">
        <v>1010</v>
      </c>
      <c r="H1419" s="286" t="s">
        <v>1010</v>
      </c>
      <c r="I1419" s="286" t="s">
        <v>1199</v>
      </c>
      <c r="J1419" s="286" t="s">
        <v>1312</v>
      </c>
      <c r="K1419" s="286" t="s">
        <v>2070</v>
      </c>
      <c r="L1419" s="286" t="s">
        <v>53</v>
      </c>
      <c r="M1419" s="286">
        <v>1</v>
      </c>
      <c r="N1419" s="287">
        <v>-521.28</v>
      </c>
      <c r="O1419" s="287"/>
      <c r="P1419" s="286" t="s">
        <v>58</v>
      </c>
    </row>
    <row r="1420" spans="1:16" hidden="1" x14ac:dyDescent="0.15">
      <c r="A1420" s="286">
        <v>340379</v>
      </c>
      <c r="B1420" s="288">
        <v>45177.550694444442</v>
      </c>
      <c r="C1420" s="286" t="s">
        <v>1691</v>
      </c>
      <c r="D1420" s="286" t="s">
        <v>1105</v>
      </c>
      <c r="E1420" s="286" t="s">
        <v>1106</v>
      </c>
      <c r="F1420" s="286" t="s">
        <v>2071</v>
      </c>
      <c r="G1420" s="286" t="s">
        <v>1078</v>
      </c>
      <c r="H1420" s="286" t="s">
        <v>1078</v>
      </c>
      <c r="I1420" s="286" t="s">
        <v>1228</v>
      </c>
      <c r="J1420" s="286" t="s">
        <v>1312</v>
      </c>
      <c r="K1420" s="286" t="s">
        <v>53</v>
      </c>
      <c r="L1420" s="286" t="s">
        <v>53</v>
      </c>
      <c r="M1420" s="286" t="s">
        <v>53</v>
      </c>
      <c r="N1420" s="287">
        <v>-559.04</v>
      </c>
      <c r="O1420" s="287"/>
      <c r="P1420" s="286" t="s">
        <v>58</v>
      </c>
    </row>
    <row r="1421" spans="1:16" hidden="1" x14ac:dyDescent="0.15">
      <c r="A1421" s="286">
        <v>201562</v>
      </c>
      <c r="B1421" s="288">
        <v>45029.571527777778</v>
      </c>
      <c r="C1421" s="286" t="s">
        <v>1667</v>
      </c>
      <c r="D1421" s="286" t="s">
        <v>1105</v>
      </c>
      <c r="E1421" s="286" t="s">
        <v>1106</v>
      </c>
      <c r="F1421" s="286" t="s">
        <v>1855</v>
      </c>
      <c r="G1421" s="286" t="s">
        <v>1025</v>
      </c>
      <c r="H1421" s="286" t="s">
        <v>1025</v>
      </c>
      <c r="I1421" s="286" t="s">
        <v>1152</v>
      </c>
      <c r="J1421" s="286" t="s">
        <v>1312</v>
      </c>
      <c r="K1421" s="286" t="s">
        <v>53</v>
      </c>
      <c r="L1421" s="286" t="s">
        <v>53</v>
      </c>
      <c r="M1421" s="286" t="s">
        <v>53</v>
      </c>
      <c r="N1421" s="287">
        <v>-807.8</v>
      </c>
      <c r="O1421" s="287"/>
      <c r="P1421" s="286" t="s">
        <v>58</v>
      </c>
    </row>
    <row r="1422" spans="1:16" hidden="1" x14ac:dyDescent="0.15">
      <c r="A1422" s="286">
        <v>454605</v>
      </c>
      <c r="B1422" s="288">
        <v>45310.393750000003</v>
      </c>
      <c r="C1422" s="286" t="s">
        <v>1632</v>
      </c>
      <c r="D1422" s="286" t="s">
        <v>1105</v>
      </c>
      <c r="E1422" s="286" t="s">
        <v>1106</v>
      </c>
      <c r="F1422" s="286" t="s">
        <v>2072</v>
      </c>
      <c r="G1422" s="286" t="s">
        <v>1766</v>
      </c>
      <c r="H1422" s="286" t="s">
        <v>1766</v>
      </c>
      <c r="I1422" s="286" t="s">
        <v>1199</v>
      </c>
      <c r="J1422" s="286" t="s">
        <v>53</v>
      </c>
      <c r="K1422" s="286" t="s">
        <v>53</v>
      </c>
      <c r="L1422" s="286" t="s">
        <v>53</v>
      </c>
      <c r="M1422" s="286" t="s">
        <v>53</v>
      </c>
      <c r="N1422" s="287">
        <v>-808.87</v>
      </c>
      <c r="O1422" s="287"/>
      <c r="P1422" s="286" t="s">
        <v>58</v>
      </c>
    </row>
    <row r="1423" spans="1:16" hidden="1" x14ac:dyDescent="0.15">
      <c r="A1423" s="286">
        <v>408296</v>
      </c>
      <c r="B1423" s="288">
        <v>45246.692361111112</v>
      </c>
      <c r="C1423" s="286" t="s">
        <v>1642</v>
      </c>
      <c r="D1423" s="286" t="s">
        <v>1105</v>
      </c>
      <c r="E1423" s="286" t="s">
        <v>1106</v>
      </c>
      <c r="F1423" s="286" t="s">
        <v>1851</v>
      </c>
      <c r="G1423" s="286" t="s">
        <v>1766</v>
      </c>
      <c r="H1423" s="286" t="s">
        <v>1766</v>
      </c>
      <c r="I1423" s="286" t="s">
        <v>1199</v>
      </c>
      <c r="J1423" s="286" t="s">
        <v>1312</v>
      </c>
      <c r="K1423" s="286" t="s">
        <v>53</v>
      </c>
      <c r="L1423" s="286" t="s">
        <v>53</v>
      </c>
      <c r="M1423" s="286" t="s">
        <v>53</v>
      </c>
      <c r="N1423" s="287">
        <v>-808.88</v>
      </c>
      <c r="O1423" s="287"/>
      <c r="P1423" s="286" t="s">
        <v>58</v>
      </c>
    </row>
    <row r="1424" spans="1:16" hidden="1" x14ac:dyDescent="0.15">
      <c r="A1424" s="286">
        <v>433557</v>
      </c>
      <c r="B1424" s="288">
        <v>45278.675694444442</v>
      </c>
      <c r="C1424" s="286" t="s">
        <v>1654</v>
      </c>
      <c r="D1424" s="286" t="s">
        <v>1105</v>
      </c>
      <c r="E1424" s="286" t="s">
        <v>1106</v>
      </c>
      <c r="F1424" s="286" t="s">
        <v>1846</v>
      </c>
      <c r="G1424" s="286" t="s">
        <v>1766</v>
      </c>
      <c r="H1424" s="286" t="s">
        <v>1766</v>
      </c>
      <c r="I1424" s="286" t="s">
        <v>1199</v>
      </c>
      <c r="J1424" s="286" t="s">
        <v>1312</v>
      </c>
      <c r="K1424" s="286" t="s">
        <v>53</v>
      </c>
      <c r="L1424" s="286" t="s">
        <v>53</v>
      </c>
      <c r="M1424" s="286" t="s">
        <v>53</v>
      </c>
      <c r="N1424" s="287">
        <v>-808.88</v>
      </c>
      <c r="O1424" s="287"/>
      <c r="P1424" s="286" t="s">
        <v>58</v>
      </c>
    </row>
    <row r="1425" spans="1:16" hidden="1" x14ac:dyDescent="0.15">
      <c r="A1425" s="286">
        <v>437581</v>
      </c>
      <c r="B1425" s="288">
        <v>45281.44027777778</v>
      </c>
      <c r="C1425" s="286" t="s">
        <v>1632</v>
      </c>
      <c r="D1425" s="286" t="s">
        <v>1105</v>
      </c>
      <c r="E1425" s="286" t="s">
        <v>1106</v>
      </c>
      <c r="F1425" s="286" t="s">
        <v>1741</v>
      </c>
      <c r="G1425" s="286" t="s">
        <v>1069</v>
      </c>
      <c r="H1425" s="286" t="s">
        <v>1069</v>
      </c>
      <c r="I1425" s="286" t="s">
        <v>1230</v>
      </c>
      <c r="J1425" s="286" t="s">
        <v>1312</v>
      </c>
      <c r="K1425" s="286" t="s">
        <v>2027</v>
      </c>
      <c r="L1425" s="286" t="s">
        <v>53</v>
      </c>
      <c r="M1425" s="286">
        <v>1</v>
      </c>
      <c r="N1425" s="287">
        <v>-1128</v>
      </c>
      <c r="O1425" s="287"/>
      <c r="P1425" s="286" t="s">
        <v>175</v>
      </c>
    </row>
    <row r="1426" spans="1:16" hidden="1" x14ac:dyDescent="0.15">
      <c r="A1426" s="286">
        <v>455146</v>
      </c>
      <c r="B1426" s="288">
        <v>45310.510416666664</v>
      </c>
      <c r="C1426" s="286" t="s">
        <v>1632</v>
      </c>
      <c r="D1426" s="286" t="s">
        <v>1105</v>
      </c>
      <c r="E1426" s="286" t="s">
        <v>1106</v>
      </c>
      <c r="F1426" s="286" t="s">
        <v>1725</v>
      </c>
      <c r="G1426" s="286" t="s">
        <v>1080</v>
      </c>
      <c r="H1426" s="286" t="s">
        <v>1080</v>
      </c>
      <c r="I1426" s="286" t="s">
        <v>1228</v>
      </c>
      <c r="J1426" s="286" t="s">
        <v>1312</v>
      </c>
      <c r="K1426" s="286" t="s">
        <v>1770</v>
      </c>
      <c r="L1426" s="286" t="s">
        <v>672</v>
      </c>
      <c r="M1426" s="286">
        <v>1</v>
      </c>
      <c r="N1426" s="287">
        <v>-1129.26</v>
      </c>
      <c r="O1426" s="287"/>
      <c r="P1426" s="286" t="s">
        <v>58</v>
      </c>
    </row>
    <row r="1427" spans="1:16" hidden="1" x14ac:dyDescent="0.15">
      <c r="A1427" s="286">
        <v>455146</v>
      </c>
      <c r="B1427" s="288">
        <v>45310.510416666664</v>
      </c>
      <c r="C1427" s="286" t="s">
        <v>1632</v>
      </c>
      <c r="D1427" s="286" t="s">
        <v>1105</v>
      </c>
      <c r="E1427" s="286" t="s">
        <v>1106</v>
      </c>
      <c r="F1427" s="286" t="s">
        <v>1725</v>
      </c>
      <c r="G1427" s="286" t="s">
        <v>1080</v>
      </c>
      <c r="H1427" s="286" t="s">
        <v>1080</v>
      </c>
      <c r="I1427" s="286" t="s">
        <v>1228</v>
      </c>
      <c r="J1427" s="286" t="s">
        <v>1312</v>
      </c>
      <c r="K1427" s="286" t="s">
        <v>1808</v>
      </c>
      <c r="L1427" s="286" t="s">
        <v>53</v>
      </c>
      <c r="M1427" s="286">
        <v>1</v>
      </c>
      <c r="N1427" s="287">
        <v>-1129.26</v>
      </c>
      <c r="O1427" s="287"/>
      <c r="P1427" s="286" t="s">
        <v>58</v>
      </c>
    </row>
    <row r="1428" spans="1:16" hidden="1" x14ac:dyDescent="0.15">
      <c r="A1428" s="286">
        <v>455146</v>
      </c>
      <c r="B1428" s="288">
        <v>45310.510416666664</v>
      </c>
      <c r="C1428" s="286" t="s">
        <v>1632</v>
      </c>
      <c r="D1428" s="286" t="s">
        <v>1105</v>
      </c>
      <c r="E1428" s="286" t="s">
        <v>1106</v>
      </c>
      <c r="F1428" s="286" t="s">
        <v>1725</v>
      </c>
      <c r="G1428" s="286" t="s">
        <v>1080</v>
      </c>
      <c r="H1428" s="286" t="s">
        <v>1080</v>
      </c>
      <c r="I1428" s="286" t="s">
        <v>1228</v>
      </c>
      <c r="J1428" s="286" t="s">
        <v>1312</v>
      </c>
      <c r="K1428" s="286" t="s">
        <v>1821</v>
      </c>
      <c r="L1428" s="286" t="s">
        <v>53</v>
      </c>
      <c r="M1428" s="286">
        <v>1</v>
      </c>
      <c r="N1428" s="287">
        <v>-1129.26</v>
      </c>
      <c r="O1428" s="287"/>
      <c r="P1428" s="286" t="s">
        <v>58</v>
      </c>
    </row>
    <row r="1429" spans="1:16" hidden="1" x14ac:dyDescent="0.15">
      <c r="A1429" s="286">
        <v>454919</v>
      </c>
      <c r="B1429" s="288">
        <v>45310.447222222225</v>
      </c>
      <c r="C1429" s="286" t="s">
        <v>1632</v>
      </c>
      <c r="D1429" s="286" t="s">
        <v>1105</v>
      </c>
      <c r="E1429" s="286" t="s">
        <v>1106</v>
      </c>
      <c r="F1429" s="286" t="s">
        <v>2073</v>
      </c>
      <c r="G1429" s="286" t="s">
        <v>1039</v>
      </c>
      <c r="H1429" s="286" t="s">
        <v>1039</v>
      </c>
      <c r="I1429" s="286" t="s">
        <v>1228</v>
      </c>
      <c r="J1429" s="286" t="s">
        <v>1312</v>
      </c>
      <c r="K1429" s="286" t="s">
        <v>53</v>
      </c>
      <c r="L1429" s="286" t="s">
        <v>53</v>
      </c>
      <c r="M1429" s="286" t="s">
        <v>53</v>
      </c>
      <c r="N1429" s="287">
        <v>-1133.4100000000001</v>
      </c>
      <c r="O1429" s="287"/>
      <c r="P1429" s="286" t="s">
        <v>58</v>
      </c>
    </row>
    <row r="1430" spans="1:16" hidden="1" x14ac:dyDescent="0.15">
      <c r="A1430" s="286">
        <v>433764</v>
      </c>
      <c r="B1430" s="288">
        <v>45278.734722222223</v>
      </c>
      <c r="C1430" s="286" t="s">
        <v>1632</v>
      </c>
      <c r="D1430" s="286" t="s">
        <v>1105</v>
      </c>
      <c r="E1430" s="286" t="s">
        <v>1106</v>
      </c>
      <c r="F1430" s="286" t="s">
        <v>1801</v>
      </c>
      <c r="G1430" s="286" t="s">
        <v>1036</v>
      </c>
      <c r="H1430" s="286" t="s">
        <v>1036</v>
      </c>
      <c r="I1430" s="286" t="s">
        <v>1199</v>
      </c>
      <c r="J1430" s="286" t="s">
        <v>1312</v>
      </c>
      <c r="K1430" s="286" t="s">
        <v>2068</v>
      </c>
      <c r="L1430" s="286" t="s">
        <v>53</v>
      </c>
      <c r="M1430" s="286">
        <v>1</v>
      </c>
      <c r="N1430" s="287">
        <v>-1161.43</v>
      </c>
      <c r="O1430" s="287"/>
      <c r="P1430" s="286" t="s">
        <v>58</v>
      </c>
    </row>
    <row r="1431" spans="1:16" hidden="1" x14ac:dyDescent="0.15">
      <c r="A1431" s="286">
        <v>454919</v>
      </c>
      <c r="B1431" s="288">
        <v>45310.447222222225</v>
      </c>
      <c r="C1431" s="286" t="s">
        <v>1632</v>
      </c>
      <c r="D1431" s="286" t="s">
        <v>1105</v>
      </c>
      <c r="E1431" s="286" t="s">
        <v>1106</v>
      </c>
      <c r="F1431" s="286" t="s">
        <v>2073</v>
      </c>
      <c r="G1431" s="286" t="s">
        <v>1039</v>
      </c>
      <c r="H1431" s="286" t="s">
        <v>1039</v>
      </c>
      <c r="I1431" s="286" t="s">
        <v>1228</v>
      </c>
      <c r="J1431" s="286" t="s">
        <v>1312</v>
      </c>
      <c r="K1431" s="286" t="s">
        <v>53</v>
      </c>
      <c r="L1431" s="286" t="s">
        <v>53</v>
      </c>
      <c r="M1431" s="286" t="s">
        <v>53</v>
      </c>
      <c r="N1431" s="287">
        <v>-1282.24</v>
      </c>
      <c r="O1431" s="287"/>
      <c r="P1431" s="286" t="s">
        <v>58</v>
      </c>
    </row>
    <row r="1432" spans="1:16" hidden="1" x14ac:dyDescent="0.15">
      <c r="A1432" s="286">
        <v>454919</v>
      </c>
      <c r="B1432" s="288">
        <v>45310.447222222225</v>
      </c>
      <c r="C1432" s="286" t="s">
        <v>1632</v>
      </c>
      <c r="D1432" s="286" t="s">
        <v>1105</v>
      </c>
      <c r="E1432" s="286" t="s">
        <v>1106</v>
      </c>
      <c r="F1432" s="286" t="s">
        <v>2073</v>
      </c>
      <c r="G1432" s="286" t="s">
        <v>1039</v>
      </c>
      <c r="H1432" s="286" t="s">
        <v>1039</v>
      </c>
      <c r="I1432" s="286" t="s">
        <v>1228</v>
      </c>
      <c r="J1432" s="286" t="s">
        <v>1312</v>
      </c>
      <c r="K1432" s="286" t="s">
        <v>53</v>
      </c>
      <c r="L1432" s="286" t="s">
        <v>53</v>
      </c>
      <c r="M1432" s="286" t="s">
        <v>53</v>
      </c>
      <c r="N1432" s="287">
        <v>-1282.24</v>
      </c>
      <c r="O1432" s="287"/>
      <c r="P1432" s="286" t="s">
        <v>58</v>
      </c>
    </row>
    <row r="1433" spans="1:16" hidden="1" x14ac:dyDescent="0.15">
      <c r="A1433" s="286">
        <v>454919</v>
      </c>
      <c r="B1433" s="288">
        <v>45310.447222222225</v>
      </c>
      <c r="C1433" s="286" t="s">
        <v>1632</v>
      </c>
      <c r="D1433" s="286" t="s">
        <v>1105</v>
      </c>
      <c r="E1433" s="286" t="s">
        <v>1106</v>
      </c>
      <c r="F1433" s="286" t="s">
        <v>2073</v>
      </c>
      <c r="G1433" s="286" t="s">
        <v>1039</v>
      </c>
      <c r="H1433" s="286" t="s">
        <v>1039</v>
      </c>
      <c r="I1433" s="286" t="s">
        <v>1228</v>
      </c>
      <c r="J1433" s="286" t="s">
        <v>1312</v>
      </c>
      <c r="K1433" s="286" t="s">
        <v>53</v>
      </c>
      <c r="L1433" s="286" t="s">
        <v>53</v>
      </c>
      <c r="M1433" s="286" t="s">
        <v>53</v>
      </c>
      <c r="N1433" s="287">
        <v>-1282.24</v>
      </c>
      <c r="O1433" s="287"/>
      <c r="P1433" s="286" t="s">
        <v>58</v>
      </c>
    </row>
    <row r="1434" spans="1:16" hidden="1" x14ac:dyDescent="0.15">
      <c r="A1434" s="286">
        <v>454919</v>
      </c>
      <c r="B1434" s="288">
        <v>45310.447222222225</v>
      </c>
      <c r="C1434" s="286" t="s">
        <v>1632</v>
      </c>
      <c r="D1434" s="286" t="s">
        <v>1105</v>
      </c>
      <c r="E1434" s="286" t="s">
        <v>1106</v>
      </c>
      <c r="F1434" s="286" t="s">
        <v>2073</v>
      </c>
      <c r="G1434" s="286" t="s">
        <v>1039</v>
      </c>
      <c r="H1434" s="286" t="s">
        <v>1039</v>
      </c>
      <c r="I1434" s="286" t="s">
        <v>1228</v>
      </c>
      <c r="J1434" s="286" t="s">
        <v>1312</v>
      </c>
      <c r="K1434" s="286" t="s">
        <v>53</v>
      </c>
      <c r="L1434" s="286" t="s">
        <v>53</v>
      </c>
      <c r="M1434" s="286" t="s">
        <v>53</v>
      </c>
      <c r="N1434" s="287">
        <v>-1282.24</v>
      </c>
      <c r="O1434" s="287"/>
      <c r="P1434" s="286" t="s">
        <v>58</v>
      </c>
    </row>
    <row r="1435" spans="1:16" hidden="1" x14ac:dyDescent="0.15">
      <c r="A1435" s="286">
        <v>454919</v>
      </c>
      <c r="B1435" s="288">
        <v>45310.447222222225</v>
      </c>
      <c r="C1435" s="286" t="s">
        <v>1632</v>
      </c>
      <c r="D1435" s="286" t="s">
        <v>1105</v>
      </c>
      <c r="E1435" s="286" t="s">
        <v>1106</v>
      </c>
      <c r="F1435" s="286" t="s">
        <v>2073</v>
      </c>
      <c r="G1435" s="286" t="s">
        <v>1039</v>
      </c>
      <c r="H1435" s="286" t="s">
        <v>1039</v>
      </c>
      <c r="I1435" s="286" t="s">
        <v>1228</v>
      </c>
      <c r="J1435" s="286" t="s">
        <v>1312</v>
      </c>
      <c r="K1435" s="286" t="s">
        <v>53</v>
      </c>
      <c r="L1435" s="286" t="s">
        <v>53</v>
      </c>
      <c r="M1435" s="286" t="s">
        <v>53</v>
      </c>
      <c r="N1435" s="287">
        <v>-1282.24</v>
      </c>
      <c r="O1435" s="287"/>
      <c r="P1435" s="286" t="s">
        <v>58</v>
      </c>
    </row>
    <row r="1436" spans="1:16" hidden="1" x14ac:dyDescent="0.15">
      <c r="A1436" s="286">
        <v>454919</v>
      </c>
      <c r="B1436" s="288">
        <v>45310.447222222225</v>
      </c>
      <c r="C1436" s="286" t="s">
        <v>1632</v>
      </c>
      <c r="D1436" s="286" t="s">
        <v>1105</v>
      </c>
      <c r="E1436" s="286" t="s">
        <v>1106</v>
      </c>
      <c r="F1436" s="286" t="s">
        <v>2073</v>
      </c>
      <c r="G1436" s="286" t="s">
        <v>1039</v>
      </c>
      <c r="H1436" s="286" t="s">
        <v>1039</v>
      </c>
      <c r="I1436" s="286" t="s">
        <v>1228</v>
      </c>
      <c r="J1436" s="286" t="s">
        <v>1312</v>
      </c>
      <c r="K1436" s="286" t="s">
        <v>53</v>
      </c>
      <c r="L1436" s="286" t="s">
        <v>53</v>
      </c>
      <c r="M1436" s="286" t="s">
        <v>53</v>
      </c>
      <c r="N1436" s="287">
        <v>-1282.24</v>
      </c>
      <c r="O1436" s="287"/>
      <c r="P1436" s="286" t="s">
        <v>58</v>
      </c>
    </row>
    <row r="1437" spans="1:16" hidden="1" x14ac:dyDescent="0.15">
      <c r="A1437" s="286">
        <v>402221</v>
      </c>
      <c r="B1437" s="288">
        <v>45243.579861111109</v>
      </c>
      <c r="C1437" s="286" t="s">
        <v>1654</v>
      </c>
      <c r="D1437" s="286" t="s">
        <v>1105</v>
      </c>
      <c r="E1437" s="286" t="s">
        <v>1106</v>
      </c>
      <c r="F1437" s="286" t="s">
        <v>1724</v>
      </c>
      <c r="G1437" s="286" t="s">
        <v>1010</v>
      </c>
      <c r="H1437" s="286" t="s">
        <v>1010</v>
      </c>
      <c r="I1437" s="286" t="s">
        <v>1199</v>
      </c>
      <c r="J1437" s="286" t="s">
        <v>1312</v>
      </c>
      <c r="K1437" s="286" t="s">
        <v>2070</v>
      </c>
      <c r="L1437" s="286" t="s">
        <v>53</v>
      </c>
      <c r="M1437" s="286">
        <v>1</v>
      </c>
      <c r="N1437" s="287">
        <v>-1322.94</v>
      </c>
      <c r="O1437" s="287"/>
      <c r="P1437" s="286" t="s">
        <v>58</v>
      </c>
    </row>
    <row r="1438" spans="1:16" hidden="1" x14ac:dyDescent="0.15">
      <c r="A1438" s="286">
        <v>455146</v>
      </c>
      <c r="B1438" s="288">
        <v>45310.510416666664</v>
      </c>
      <c r="C1438" s="286" t="s">
        <v>1632</v>
      </c>
      <c r="D1438" s="286" t="s">
        <v>1105</v>
      </c>
      <c r="E1438" s="286" t="s">
        <v>1106</v>
      </c>
      <c r="F1438" s="286" t="s">
        <v>1725</v>
      </c>
      <c r="G1438" s="286" t="s">
        <v>1010</v>
      </c>
      <c r="H1438" s="286" t="s">
        <v>1010</v>
      </c>
      <c r="I1438" s="286" t="s">
        <v>1199</v>
      </c>
      <c r="J1438" s="286" t="s">
        <v>1312</v>
      </c>
      <c r="K1438" s="286" t="s">
        <v>2070</v>
      </c>
      <c r="L1438" s="286" t="s">
        <v>53</v>
      </c>
      <c r="M1438" s="286">
        <v>1</v>
      </c>
      <c r="N1438" s="287">
        <v>-1322.94</v>
      </c>
      <c r="O1438" s="287"/>
      <c r="P1438" s="286" t="s">
        <v>58</v>
      </c>
    </row>
    <row r="1439" spans="1:16" hidden="1" x14ac:dyDescent="0.15">
      <c r="A1439" s="286">
        <v>370270</v>
      </c>
      <c r="B1439" s="288">
        <v>45208.668055555558</v>
      </c>
      <c r="C1439" s="286" t="s">
        <v>1642</v>
      </c>
      <c r="D1439" s="286" t="s">
        <v>1105</v>
      </c>
      <c r="E1439" s="286" t="s">
        <v>1106</v>
      </c>
      <c r="F1439" s="286" t="s">
        <v>1716</v>
      </c>
      <c r="G1439" s="286" t="s">
        <v>1064</v>
      </c>
      <c r="H1439" s="286" t="s">
        <v>1064</v>
      </c>
      <c r="I1439" s="286" t="s">
        <v>1228</v>
      </c>
      <c r="J1439" s="286" t="s">
        <v>53</v>
      </c>
      <c r="K1439" s="286" t="s">
        <v>53</v>
      </c>
      <c r="L1439" s="286" t="s">
        <v>53</v>
      </c>
      <c r="M1439" s="286" t="s">
        <v>53</v>
      </c>
      <c r="N1439" s="287">
        <v>-1334.14</v>
      </c>
      <c r="O1439" s="287"/>
      <c r="P1439" s="286" t="s">
        <v>58</v>
      </c>
    </row>
    <row r="1440" spans="1:16" hidden="1" x14ac:dyDescent="0.15">
      <c r="A1440" s="286">
        <v>433764</v>
      </c>
      <c r="B1440" s="288">
        <v>45278.734722222223</v>
      </c>
      <c r="C1440" s="286" t="s">
        <v>1632</v>
      </c>
      <c r="D1440" s="286" t="s">
        <v>1105</v>
      </c>
      <c r="E1440" s="286" t="s">
        <v>1106</v>
      </c>
      <c r="F1440" s="286" t="s">
        <v>1801</v>
      </c>
      <c r="G1440" s="286" t="s">
        <v>1036</v>
      </c>
      <c r="H1440" s="286" t="s">
        <v>1036</v>
      </c>
      <c r="I1440" s="286" t="s">
        <v>1199</v>
      </c>
      <c r="J1440" s="286" t="s">
        <v>1312</v>
      </c>
      <c r="K1440" s="286" t="s">
        <v>2068</v>
      </c>
      <c r="L1440" s="286" t="s">
        <v>53</v>
      </c>
      <c r="M1440" s="286">
        <v>1</v>
      </c>
      <c r="N1440" s="287">
        <v>-1365.88</v>
      </c>
      <c r="O1440" s="287"/>
      <c r="P1440" s="286" t="s">
        <v>58</v>
      </c>
    </row>
    <row r="1441" spans="1:16" hidden="1" x14ac:dyDescent="0.15">
      <c r="A1441" s="286">
        <v>339870</v>
      </c>
      <c r="B1441" s="288">
        <v>45177.481944444444</v>
      </c>
      <c r="C1441" s="286" t="s">
        <v>1676</v>
      </c>
      <c r="D1441" s="286" t="s">
        <v>1105</v>
      </c>
      <c r="E1441" s="286" t="s">
        <v>1106</v>
      </c>
      <c r="F1441" s="286" t="s">
        <v>1715</v>
      </c>
      <c r="G1441" s="286" t="s">
        <v>1064</v>
      </c>
      <c r="H1441" s="286" t="s">
        <v>1064</v>
      </c>
      <c r="I1441" s="286" t="s">
        <v>1228</v>
      </c>
      <c r="J1441" s="286" t="s">
        <v>53</v>
      </c>
      <c r="K1441" s="286" t="s">
        <v>53</v>
      </c>
      <c r="L1441" s="286" t="s">
        <v>53</v>
      </c>
      <c r="M1441" s="286" t="s">
        <v>53</v>
      </c>
      <c r="N1441" s="287">
        <v>-1695.45</v>
      </c>
      <c r="O1441" s="287"/>
      <c r="P1441" s="286" t="s">
        <v>58</v>
      </c>
    </row>
    <row r="1442" spans="1:16" hidden="1" x14ac:dyDescent="0.15">
      <c r="A1442" s="286">
        <v>278788</v>
      </c>
      <c r="B1442" s="288">
        <v>45118.57708333333</v>
      </c>
      <c r="C1442" s="286" t="s">
        <v>1649</v>
      </c>
      <c r="D1442" s="286" t="s">
        <v>1105</v>
      </c>
      <c r="E1442" s="286" t="s">
        <v>1106</v>
      </c>
      <c r="F1442" s="286" t="s">
        <v>1712</v>
      </c>
      <c r="G1442" s="286" t="s">
        <v>1064</v>
      </c>
      <c r="H1442" s="286" t="s">
        <v>1064</v>
      </c>
      <c r="I1442" s="286" t="s">
        <v>1228</v>
      </c>
      <c r="J1442" s="286" t="s">
        <v>53</v>
      </c>
      <c r="K1442" s="286" t="s">
        <v>53</v>
      </c>
      <c r="L1442" s="286" t="s">
        <v>53</v>
      </c>
      <c r="M1442" s="286" t="s">
        <v>53</v>
      </c>
      <c r="N1442" s="287">
        <v>-1695.47</v>
      </c>
      <c r="O1442" s="287"/>
      <c r="P1442" s="286" t="s">
        <v>58</v>
      </c>
    </row>
    <row r="1443" spans="1:16" hidden="1" x14ac:dyDescent="0.15">
      <c r="A1443" s="286">
        <v>284271</v>
      </c>
      <c r="B1443" s="288">
        <v>45121.682638888888</v>
      </c>
      <c r="C1443" s="286" t="s">
        <v>1636</v>
      </c>
      <c r="D1443" s="286" t="s">
        <v>1105</v>
      </c>
      <c r="E1443" s="286" t="s">
        <v>1106</v>
      </c>
      <c r="F1443" s="286" t="s">
        <v>1713</v>
      </c>
      <c r="G1443" s="286" t="s">
        <v>1064</v>
      </c>
      <c r="H1443" s="286" t="s">
        <v>1064</v>
      </c>
      <c r="I1443" s="286" t="s">
        <v>1228</v>
      </c>
      <c r="J1443" s="286" t="s">
        <v>53</v>
      </c>
      <c r="K1443" s="286" t="s">
        <v>53</v>
      </c>
      <c r="L1443" s="286" t="s">
        <v>53</v>
      </c>
      <c r="M1443" s="286" t="s">
        <v>53</v>
      </c>
      <c r="N1443" s="287">
        <v>-1695.47</v>
      </c>
      <c r="O1443" s="287"/>
      <c r="P1443" s="286" t="s">
        <v>58</v>
      </c>
    </row>
    <row r="1444" spans="1:16" hidden="1" x14ac:dyDescent="0.15">
      <c r="A1444" s="286">
        <v>328287</v>
      </c>
      <c r="B1444" s="288">
        <v>45161.62777777778</v>
      </c>
      <c r="C1444" s="286" t="s">
        <v>1691</v>
      </c>
      <c r="D1444" s="286" t="s">
        <v>1105</v>
      </c>
      <c r="E1444" s="286" t="s">
        <v>1106</v>
      </c>
      <c r="F1444" s="286" t="s">
        <v>1714</v>
      </c>
      <c r="G1444" s="286" t="s">
        <v>1064</v>
      </c>
      <c r="H1444" s="286" t="s">
        <v>1064</v>
      </c>
      <c r="I1444" s="286" t="s">
        <v>1228</v>
      </c>
      <c r="J1444" s="286" t="s">
        <v>53</v>
      </c>
      <c r="K1444" s="286" t="s">
        <v>53</v>
      </c>
      <c r="L1444" s="286" t="s">
        <v>53</v>
      </c>
      <c r="M1444" s="286" t="s">
        <v>53</v>
      </c>
      <c r="N1444" s="287">
        <v>-1695.47</v>
      </c>
      <c r="O1444" s="287"/>
      <c r="P1444" s="286" t="s">
        <v>58</v>
      </c>
    </row>
    <row r="1445" spans="1:16" hidden="1" x14ac:dyDescent="0.15">
      <c r="A1445" s="286">
        <v>455146</v>
      </c>
      <c r="B1445" s="288">
        <v>45310.510416666664</v>
      </c>
      <c r="C1445" s="286" t="s">
        <v>1632</v>
      </c>
      <c r="D1445" s="286" t="s">
        <v>1105</v>
      </c>
      <c r="E1445" s="286" t="s">
        <v>1106</v>
      </c>
      <c r="F1445" s="286" t="s">
        <v>1725</v>
      </c>
      <c r="G1445" s="286" t="s">
        <v>1057</v>
      </c>
      <c r="H1445" s="286" t="s">
        <v>1057</v>
      </c>
      <c r="I1445" s="286" t="s">
        <v>1199</v>
      </c>
      <c r="J1445" s="286" t="s">
        <v>1312</v>
      </c>
      <c r="K1445" s="286" t="s">
        <v>2068</v>
      </c>
      <c r="L1445" s="286" t="s">
        <v>53</v>
      </c>
      <c r="M1445" s="286">
        <v>1</v>
      </c>
      <c r="N1445" s="287">
        <v>-1700.16</v>
      </c>
      <c r="O1445" s="287"/>
      <c r="P1445" s="286" t="s">
        <v>58</v>
      </c>
    </row>
    <row r="1446" spans="1:16" hidden="1" x14ac:dyDescent="0.15">
      <c r="A1446" s="286">
        <v>456017</v>
      </c>
      <c r="B1446" s="288">
        <v>45310.695138888892</v>
      </c>
      <c r="C1446" s="286" t="s">
        <v>1632</v>
      </c>
      <c r="D1446" s="286" t="s">
        <v>1105</v>
      </c>
      <c r="E1446" s="286" t="s">
        <v>1106</v>
      </c>
      <c r="F1446" s="286" t="s">
        <v>2066</v>
      </c>
      <c r="G1446" s="286" t="s">
        <v>1010</v>
      </c>
      <c r="H1446" s="286" t="s">
        <v>1010</v>
      </c>
      <c r="I1446" s="286" t="s">
        <v>1199</v>
      </c>
      <c r="J1446" s="286" t="s">
        <v>53</v>
      </c>
      <c r="K1446" s="286" t="s">
        <v>53</v>
      </c>
      <c r="L1446" s="286" t="s">
        <v>53</v>
      </c>
      <c r="M1446" s="286" t="s">
        <v>53</v>
      </c>
      <c r="N1446" s="287">
        <v>-1709.77</v>
      </c>
      <c r="O1446" s="287"/>
      <c r="P1446" s="286" t="s">
        <v>58</v>
      </c>
    </row>
    <row r="1447" spans="1:16" hidden="1" x14ac:dyDescent="0.15">
      <c r="A1447" s="286">
        <v>386787</v>
      </c>
      <c r="B1447" s="288">
        <v>45229.685416666667</v>
      </c>
      <c r="C1447" s="286" t="s">
        <v>1642</v>
      </c>
      <c r="D1447" s="286" t="s">
        <v>1105</v>
      </c>
      <c r="E1447" s="286" t="s">
        <v>1106</v>
      </c>
      <c r="F1447" s="286" t="s">
        <v>1869</v>
      </c>
      <c r="G1447" s="286" t="s">
        <v>1064</v>
      </c>
      <c r="H1447" s="286" t="s">
        <v>1064</v>
      </c>
      <c r="I1447" s="286" t="s">
        <v>1199</v>
      </c>
      <c r="J1447" s="286" t="s">
        <v>1312</v>
      </c>
      <c r="K1447" s="286" t="s">
        <v>53</v>
      </c>
      <c r="L1447" s="286" t="s">
        <v>53</v>
      </c>
      <c r="M1447" s="286" t="s">
        <v>53</v>
      </c>
      <c r="N1447" s="287">
        <v>-1852.28</v>
      </c>
      <c r="O1447" s="287"/>
      <c r="P1447" s="286" t="s">
        <v>58</v>
      </c>
    </row>
    <row r="1448" spans="1:16" hidden="1" x14ac:dyDescent="0.15">
      <c r="A1448" s="286">
        <v>455146</v>
      </c>
      <c r="B1448" s="288">
        <v>45310.510416666664</v>
      </c>
      <c r="C1448" s="286" t="s">
        <v>1632</v>
      </c>
      <c r="D1448" s="286" t="s">
        <v>1105</v>
      </c>
      <c r="E1448" s="286" t="s">
        <v>1106</v>
      </c>
      <c r="F1448" s="286" t="s">
        <v>1725</v>
      </c>
      <c r="G1448" s="286" t="s">
        <v>1034</v>
      </c>
      <c r="H1448" s="286" t="s">
        <v>1034</v>
      </c>
      <c r="I1448" s="286" t="s">
        <v>1152</v>
      </c>
      <c r="J1448" s="286" t="s">
        <v>1312</v>
      </c>
      <c r="K1448" s="286" t="s">
        <v>1811</v>
      </c>
      <c r="L1448" s="286" t="s">
        <v>86</v>
      </c>
      <c r="M1448" s="286">
        <v>1</v>
      </c>
      <c r="N1448" s="287">
        <v>-1987.96</v>
      </c>
      <c r="O1448" s="287"/>
      <c r="P1448" s="286" t="s">
        <v>58</v>
      </c>
    </row>
    <row r="1449" spans="1:16" hidden="1" x14ac:dyDescent="0.15">
      <c r="A1449" s="286">
        <v>340076</v>
      </c>
      <c r="B1449" s="288">
        <v>45177.513194444444</v>
      </c>
      <c r="C1449" s="286" t="s">
        <v>1691</v>
      </c>
      <c r="D1449" s="286" t="s">
        <v>1105</v>
      </c>
      <c r="E1449" s="286" t="s">
        <v>1106</v>
      </c>
      <c r="F1449" s="286" t="s">
        <v>2074</v>
      </c>
      <c r="G1449" s="286" t="s">
        <v>1007</v>
      </c>
      <c r="H1449" s="286" t="s">
        <v>1007</v>
      </c>
      <c r="I1449" s="286" t="s">
        <v>1228</v>
      </c>
      <c r="J1449" s="286" t="s">
        <v>1312</v>
      </c>
      <c r="K1449" s="286" t="s">
        <v>53</v>
      </c>
      <c r="L1449" s="286" t="s">
        <v>53</v>
      </c>
      <c r="M1449" s="286" t="s">
        <v>53</v>
      </c>
      <c r="N1449" s="287">
        <v>-2267.23</v>
      </c>
      <c r="O1449" s="287"/>
      <c r="P1449" s="286" t="s">
        <v>58</v>
      </c>
    </row>
    <row r="1450" spans="1:16" hidden="1" x14ac:dyDescent="0.15">
      <c r="A1450" s="286">
        <v>370270</v>
      </c>
      <c r="B1450" s="288">
        <v>45208.668055555558</v>
      </c>
      <c r="C1450" s="286" t="s">
        <v>1642</v>
      </c>
      <c r="D1450" s="286" t="s">
        <v>1105</v>
      </c>
      <c r="E1450" s="286" t="s">
        <v>1106</v>
      </c>
      <c r="F1450" s="286" t="s">
        <v>1716</v>
      </c>
      <c r="G1450" s="286" t="s">
        <v>1021</v>
      </c>
      <c r="H1450" s="286" t="s">
        <v>1021</v>
      </c>
      <c r="I1450" s="286" t="s">
        <v>1199</v>
      </c>
      <c r="J1450" s="286" t="s">
        <v>1312</v>
      </c>
      <c r="K1450" s="286" t="s">
        <v>2068</v>
      </c>
      <c r="L1450" s="286" t="s">
        <v>53</v>
      </c>
      <c r="M1450" s="286">
        <v>1</v>
      </c>
      <c r="N1450" s="287">
        <v>-2342.41</v>
      </c>
      <c r="O1450" s="287"/>
      <c r="P1450" s="286" t="s">
        <v>58</v>
      </c>
    </row>
    <row r="1451" spans="1:16" hidden="1" x14ac:dyDescent="0.15">
      <c r="A1451" s="286">
        <v>402221</v>
      </c>
      <c r="B1451" s="288">
        <v>45243.579861111109</v>
      </c>
      <c r="C1451" s="286" t="s">
        <v>1654</v>
      </c>
      <c r="D1451" s="286" t="s">
        <v>1105</v>
      </c>
      <c r="E1451" s="286" t="s">
        <v>1106</v>
      </c>
      <c r="F1451" s="286" t="s">
        <v>1724</v>
      </c>
      <c r="G1451" s="286" t="s">
        <v>1021</v>
      </c>
      <c r="H1451" s="286" t="s">
        <v>1021</v>
      </c>
      <c r="I1451" s="286" t="s">
        <v>1199</v>
      </c>
      <c r="J1451" s="286" t="s">
        <v>1312</v>
      </c>
      <c r="K1451" s="286" t="s">
        <v>2068</v>
      </c>
      <c r="L1451" s="286" t="s">
        <v>53</v>
      </c>
      <c r="M1451" s="286">
        <v>1</v>
      </c>
      <c r="N1451" s="287">
        <v>-2342.41</v>
      </c>
      <c r="O1451" s="287"/>
      <c r="P1451" s="286" t="s">
        <v>58</v>
      </c>
    </row>
    <row r="1452" spans="1:16" hidden="1" x14ac:dyDescent="0.15">
      <c r="A1452" s="286">
        <v>455146</v>
      </c>
      <c r="B1452" s="288">
        <v>45310.510416666664</v>
      </c>
      <c r="C1452" s="286" t="s">
        <v>1632</v>
      </c>
      <c r="D1452" s="286" t="s">
        <v>1105</v>
      </c>
      <c r="E1452" s="286" t="s">
        <v>1106</v>
      </c>
      <c r="F1452" s="286" t="s">
        <v>1725</v>
      </c>
      <c r="G1452" s="286" t="s">
        <v>1021</v>
      </c>
      <c r="H1452" s="286" t="s">
        <v>1021</v>
      </c>
      <c r="I1452" s="286" t="s">
        <v>1199</v>
      </c>
      <c r="J1452" s="286" t="s">
        <v>1312</v>
      </c>
      <c r="K1452" s="286" t="s">
        <v>2068</v>
      </c>
      <c r="L1452" s="286" t="s">
        <v>53</v>
      </c>
      <c r="M1452" s="286">
        <v>1</v>
      </c>
      <c r="N1452" s="287">
        <v>-2342.41</v>
      </c>
      <c r="O1452" s="287"/>
      <c r="P1452" s="286" t="s">
        <v>58</v>
      </c>
    </row>
    <row r="1453" spans="1:16" hidden="1" x14ac:dyDescent="0.15">
      <c r="A1453" s="286">
        <v>454716</v>
      </c>
      <c r="B1453" s="288">
        <v>45310.413888888892</v>
      </c>
      <c r="C1453" s="286" t="s">
        <v>1632</v>
      </c>
      <c r="D1453" s="286" t="s">
        <v>1105</v>
      </c>
      <c r="E1453" s="286" t="s">
        <v>1106</v>
      </c>
      <c r="F1453" s="286" t="s">
        <v>1829</v>
      </c>
      <c r="G1453" s="286" t="s">
        <v>53</v>
      </c>
      <c r="H1453" s="286" t="s">
        <v>53</v>
      </c>
      <c r="I1453" s="286" t="s">
        <v>1152</v>
      </c>
      <c r="J1453" s="286" t="s">
        <v>53</v>
      </c>
      <c r="K1453" s="286" t="s">
        <v>53</v>
      </c>
      <c r="L1453" s="286" t="s">
        <v>53</v>
      </c>
      <c r="M1453" s="286" t="s">
        <v>53</v>
      </c>
      <c r="N1453" s="287">
        <v>-2527.31</v>
      </c>
      <c r="O1453" s="287"/>
      <c r="P1453" s="286" t="s">
        <v>58</v>
      </c>
    </row>
    <row r="1454" spans="1:16" hidden="1" x14ac:dyDescent="0.15">
      <c r="A1454" s="286">
        <v>495391</v>
      </c>
      <c r="B1454" s="288">
        <v>45351.402777777781</v>
      </c>
      <c r="C1454" s="286" t="s">
        <v>1632</v>
      </c>
      <c r="D1454" s="286" t="s">
        <v>1105</v>
      </c>
      <c r="E1454" s="286" t="s">
        <v>1106</v>
      </c>
      <c r="F1454" s="286" t="s">
        <v>1830</v>
      </c>
      <c r="G1454" s="286" t="s">
        <v>53</v>
      </c>
      <c r="H1454" s="286" t="s">
        <v>53</v>
      </c>
      <c r="I1454" s="286" t="s">
        <v>1199</v>
      </c>
      <c r="J1454" s="286" t="s">
        <v>53</v>
      </c>
      <c r="K1454" s="286" t="s">
        <v>53</v>
      </c>
      <c r="L1454" s="286" t="s">
        <v>53</v>
      </c>
      <c r="M1454" s="286" t="s">
        <v>53</v>
      </c>
      <c r="N1454" s="287">
        <v>-2527.31</v>
      </c>
      <c r="O1454" s="287"/>
      <c r="P1454" s="286" t="s">
        <v>58</v>
      </c>
    </row>
    <row r="1455" spans="1:16" hidden="1" x14ac:dyDescent="0.15">
      <c r="A1455" s="286">
        <v>495391</v>
      </c>
      <c r="B1455" s="288">
        <v>45351.402777777781</v>
      </c>
      <c r="C1455" s="286" t="s">
        <v>1632</v>
      </c>
      <c r="D1455" s="286" t="s">
        <v>1105</v>
      </c>
      <c r="E1455" s="286" t="s">
        <v>1106</v>
      </c>
      <c r="F1455" s="286" t="s">
        <v>1830</v>
      </c>
      <c r="G1455" s="286" t="s">
        <v>1036</v>
      </c>
      <c r="H1455" s="286" t="s">
        <v>1036</v>
      </c>
      <c r="I1455" s="286" t="s">
        <v>1152</v>
      </c>
      <c r="J1455" s="286" t="s">
        <v>53</v>
      </c>
      <c r="K1455" s="286" t="s">
        <v>53</v>
      </c>
      <c r="L1455" s="286" t="s">
        <v>53</v>
      </c>
      <c r="M1455" s="286" t="s">
        <v>53</v>
      </c>
      <c r="N1455" s="287">
        <v>-2527.31</v>
      </c>
      <c r="O1455" s="287"/>
      <c r="P1455" s="286" t="s">
        <v>58</v>
      </c>
    </row>
    <row r="1456" spans="1:16" hidden="1" x14ac:dyDescent="0.15">
      <c r="A1456" s="286">
        <v>455980</v>
      </c>
      <c r="B1456" s="288">
        <v>45310.616666666669</v>
      </c>
      <c r="C1456" s="286" t="s">
        <v>1632</v>
      </c>
      <c r="D1456" s="286" t="s">
        <v>1105</v>
      </c>
      <c r="E1456" s="286" t="s">
        <v>1106</v>
      </c>
      <c r="F1456" s="286" t="s">
        <v>2075</v>
      </c>
      <c r="G1456" s="286" t="s">
        <v>1786</v>
      </c>
      <c r="H1456" s="286" t="s">
        <v>1786</v>
      </c>
      <c r="I1456" s="286" t="s">
        <v>1152</v>
      </c>
      <c r="J1456" s="286" t="s">
        <v>1312</v>
      </c>
      <c r="K1456" s="286" t="s">
        <v>53</v>
      </c>
      <c r="L1456" s="286" t="s">
        <v>53</v>
      </c>
      <c r="M1456" s="286" t="s">
        <v>53</v>
      </c>
      <c r="N1456" s="287">
        <v>-2563.11</v>
      </c>
      <c r="O1456" s="287"/>
      <c r="P1456" s="286" t="s">
        <v>58</v>
      </c>
    </row>
    <row r="1457" spans="1:16" hidden="1" x14ac:dyDescent="0.15">
      <c r="A1457" s="286">
        <v>437581</v>
      </c>
      <c r="B1457" s="288">
        <v>45281.44027777778</v>
      </c>
      <c r="C1457" s="286" t="s">
        <v>1632</v>
      </c>
      <c r="D1457" s="286" t="s">
        <v>1105</v>
      </c>
      <c r="E1457" s="286" t="s">
        <v>1106</v>
      </c>
      <c r="F1457" s="286" t="s">
        <v>1741</v>
      </c>
      <c r="G1457" s="286" t="s">
        <v>1039</v>
      </c>
      <c r="H1457" s="286" t="s">
        <v>1039</v>
      </c>
      <c r="I1457" s="286" t="s">
        <v>1228</v>
      </c>
      <c r="J1457" s="286" t="s">
        <v>1312</v>
      </c>
      <c r="K1457" s="286" t="s">
        <v>2076</v>
      </c>
      <c r="L1457" s="286" t="s">
        <v>53</v>
      </c>
      <c r="M1457" s="286">
        <v>1</v>
      </c>
      <c r="N1457" s="287">
        <v>-2831.61</v>
      </c>
      <c r="O1457" s="287"/>
      <c r="P1457" s="286" t="s">
        <v>58</v>
      </c>
    </row>
    <row r="1458" spans="1:16" hidden="1" x14ac:dyDescent="0.15">
      <c r="A1458" s="286">
        <v>407270</v>
      </c>
      <c r="B1458" s="288">
        <v>45246.513888888891</v>
      </c>
      <c r="C1458" s="286" t="s">
        <v>1642</v>
      </c>
      <c r="D1458" s="286" t="s">
        <v>1105</v>
      </c>
      <c r="E1458" s="286" t="s">
        <v>1106</v>
      </c>
      <c r="F1458" s="286" t="s">
        <v>1822</v>
      </c>
      <c r="G1458" s="286" t="s">
        <v>1064</v>
      </c>
      <c r="H1458" s="286" t="s">
        <v>1064</v>
      </c>
      <c r="I1458" s="286" t="s">
        <v>1228</v>
      </c>
      <c r="J1458" s="286" t="s">
        <v>1312</v>
      </c>
      <c r="K1458" s="286" t="s">
        <v>53</v>
      </c>
      <c r="L1458" s="286" t="s">
        <v>53</v>
      </c>
      <c r="M1458" s="286" t="s">
        <v>53</v>
      </c>
      <c r="N1458" s="287">
        <v>-2958.58</v>
      </c>
      <c r="O1458" s="287"/>
      <c r="P1458" s="286" t="s">
        <v>58</v>
      </c>
    </row>
    <row r="1459" spans="1:16" hidden="1" x14ac:dyDescent="0.15">
      <c r="A1459" s="286">
        <v>355488</v>
      </c>
      <c r="B1459" s="288">
        <v>45191.440972222219</v>
      </c>
      <c r="C1459" s="286" t="s">
        <v>1676</v>
      </c>
      <c r="D1459" s="286" t="s">
        <v>1105</v>
      </c>
      <c r="E1459" s="286" t="s">
        <v>1106</v>
      </c>
      <c r="F1459" s="286" t="s">
        <v>1710</v>
      </c>
      <c r="G1459" s="286" t="s">
        <v>1025</v>
      </c>
      <c r="H1459" s="286" t="s">
        <v>1025</v>
      </c>
      <c r="I1459" s="286" t="s">
        <v>1112</v>
      </c>
      <c r="J1459" s="286" t="s">
        <v>1312</v>
      </c>
      <c r="K1459" s="286" t="s">
        <v>2046</v>
      </c>
      <c r="L1459" s="286" t="s">
        <v>53</v>
      </c>
      <c r="M1459" s="286">
        <v>1</v>
      </c>
      <c r="N1459" s="287">
        <v>-3015</v>
      </c>
      <c r="O1459" s="287"/>
      <c r="P1459" s="286" t="s">
        <v>175</v>
      </c>
    </row>
    <row r="1460" spans="1:16" hidden="1" x14ac:dyDescent="0.15">
      <c r="A1460" s="286">
        <v>456017</v>
      </c>
      <c r="B1460" s="288">
        <v>45310.695138888892</v>
      </c>
      <c r="C1460" s="286" t="s">
        <v>1632</v>
      </c>
      <c r="D1460" s="286" t="s">
        <v>1105</v>
      </c>
      <c r="E1460" s="286" t="s">
        <v>1106</v>
      </c>
      <c r="F1460" s="286" t="s">
        <v>2066</v>
      </c>
      <c r="G1460" s="286" t="s">
        <v>1069</v>
      </c>
      <c r="H1460" s="286" t="s">
        <v>1069</v>
      </c>
      <c r="I1460" s="286" t="s">
        <v>1228</v>
      </c>
      <c r="J1460" s="286" t="s">
        <v>53</v>
      </c>
      <c r="K1460" s="286" t="s">
        <v>53</v>
      </c>
      <c r="L1460" s="286" t="s">
        <v>53</v>
      </c>
      <c r="M1460" s="286" t="s">
        <v>53</v>
      </c>
      <c r="N1460" s="287">
        <v>-3114.15</v>
      </c>
      <c r="O1460" s="287"/>
      <c r="P1460" s="286" t="s">
        <v>58</v>
      </c>
    </row>
    <row r="1461" spans="1:16" hidden="1" x14ac:dyDescent="0.15">
      <c r="A1461" s="286">
        <v>339870</v>
      </c>
      <c r="B1461" s="288">
        <v>45177.481944444444</v>
      </c>
      <c r="C1461" s="286" t="s">
        <v>1676</v>
      </c>
      <c r="D1461" s="286" t="s">
        <v>1105</v>
      </c>
      <c r="E1461" s="286" t="s">
        <v>1106</v>
      </c>
      <c r="F1461" s="286" t="s">
        <v>1715</v>
      </c>
      <c r="G1461" s="286" t="s">
        <v>1766</v>
      </c>
      <c r="H1461" s="286" t="s">
        <v>1766</v>
      </c>
      <c r="I1461" s="286" t="s">
        <v>1199</v>
      </c>
      <c r="J1461" s="286" t="s">
        <v>1312</v>
      </c>
      <c r="K1461" s="286" t="s">
        <v>2068</v>
      </c>
      <c r="L1461" s="286" t="s">
        <v>53</v>
      </c>
      <c r="M1461" s="286">
        <v>1</v>
      </c>
      <c r="N1461" s="287">
        <v>-3122.71</v>
      </c>
      <c r="O1461" s="287"/>
      <c r="P1461" s="286" t="s">
        <v>58</v>
      </c>
    </row>
    <row r="1462" spans="1:16" hidden="1" x14ac:dyDescent="0.15">
      <c r="A1462" s="286">
        <v>437581</v>
      </c>
      <c r="B1462" s="288">
        <v>45281.44027777778</v>
      </c>
      <c r="C1462" s="286" t="s">
        <v>1632</v>
      </c>
      <c r="D1462" s="286" t="s">
        <v>1105</v>
      </c>
      <c r="E1462" s="286" t="s">
        <v>1106</v>
      </c>
      <c r="F1462" s="286" t="s">
        <v>1741</v>
      </c>
      <c r="G1462" s="286" t="s">
        <v>1039</v>
      </c>
      <c r="H1462" s="286" t="s">
        <v>1039</v>
      </c>
      <c r="I1462" s="286" t="s">
        <v>1228</v>
      </c>
      <c r="J1462" s="286" t="s">
        <v>1312</v>
      </c>
      <c r="K1462" s="286" t="s">
        <v>2076</v>
      </c>
      <c r="L1462" s="286" t="s">
        <v>53</v>
      </c>
      <c r="M1462" s="286">
        <v>1</v>
      </c>
      <c r="N1462" s="287">
        <v>-3203.43</v>
      </c>
      <c r="O1462" s="287"/>
      <c r="P1462" s="286" t="s">
        <v>58</v>
      </c>
    </row>
    <row r="1463" spans="1:16" hidden="1" x14ac:dyDescent="0.15">
      <c r="A1463" s="286">
        <v>437581</v>
      </c>
      <c r="B1463" s="288">
        <v>45281.44027777778</v>
      </c>
      <c r="C1463" s="286" t="s">
        <v>1632</v>
      </c>
      <c r="D1463" s="286" t="s">
        <v>1105</v>
      </c>
      <c r="E1463" s="286" t="s">
        <v>1106</v>
      </c>
      <c r="F1463" s="286" t="s">
        <v>1741</v>
      </c>
      <c r="G1463" s="286" t="s">
        <v>1039</v>
      </c>
      <c r="H1463" s="286" t="s">
        <v>1039</v>
      </c>
      <c r="I1463" s="286" t="s">
        <v>1228</v>
      </c>
      <c r="J1463" s="286" t="s">
        <v>1312</v>
      </c>
      <c r="K1463" s="286" t="s">
        <v>2076</v>
      </c>
      <c r="L1463" s="286" t="s">
        <v>53</v>
      </c>
      <c r="M1463" s="286">
        <v>1</v>
      </c>
      <c r="N1463" s="287">
        <v>-3203.43</v>
      </c>
      <c r="O1463" s="287"/>
      <c r="P1463" s="286" t="s">
        <v>58</v>
      </c>
    </row>
    <row r="1464" spans="1:16" hidden="1" x14ac:dyDescent="0.15">
      <c r="A1464" s="286">
        <v>437581</v>
      </c>
      <c r="B1464" s="288">
        <v>45281.44027777778</v>
      </c>
      <c r="C1464" s="286" t="s">
        <v>1632</v>
      </c>
      <c r="D1464" s="286" t="s">
        <v>1105</v>
      </c>
      <c r="E1464" s="286" t="s">
        <v>1106</v>
      </c>
      <c r="F1464" s="286" t="s">
        <v>1741</v>
      </c>
      <c r="G1464" s="286" t="s">
        <v>1039</v>
      </c>
      <c r="H1464" s="286" t="s">
        <v>1039</v>
      </c>
      <c r="I1464" s="286" t="s">
        <v>1228</v>
      </c>
      <c r="J1464" s="286" t="s">
        <v>1312</v>
      </c>
      <c r="K1464" s="286" t="s">
        <v>2076</v>
      </c>
      <c r="L1464" s="286" t="s">
        <v>53</v>
      </c>
      <c r="M1464" s="286">
        <v>1</v>
      </c>
      <c r="N1464" s="287">
        <v>-3203.43</v>
      </c>
      <c r="O1464" s="287"/>
      <c r="P1464" s="286" t="s">
        <v>58</v>
      </c>
    </row>
    <row r="1465" spans="1:16" hidden="1" x14ac:dyDescent="0.15">
      <c r="A1465" s="286">
        <v>437581</v>
      </c>
      <c r="B1465" s="288">
        <v>45281.44027777778</v>
      </c>
      <c r="C1465" s="286" t="s">
        <v>1632</v>
      </c>
      <c r="D1465" s="286" t="s">
        <v>1105</v>
      </c>
      <c r="E1465" s="286" t="s">
        <v>1106</v>
      </c>
      <c r="F1465" s="286" t="s">
        <v>1741</v>
      </c>
      <c r="G1465" s="286" t="s">
        <v>1039</v>
      </c>
      <c r="H1465" s="286" t="s">
        <v>1039</v>
      </c>
      <c r="I1465" s="286" t="s">
        <v>1228</v>
      </c>
      <c r="J1465" s="286" t="s">
        <v>1312</v>
      </c>
      <c r="K1465" s="286" t="s">
        <v>2076</v>
      </c>
      <c r="L1465" s="286" t="s">
        <v>53</v>
      </c>
      <c r="M1465" s="286">
        <v>1</v>
      </c>
      <c r="N1465" s="287">
        <v>-3203.43</v>
      </c>
      <c r="O1465" s="287"/>
      <c r="P1465" s="286" t="s">
        <v>58</v>
      </c>
    </row>
    <row r="1466" spans="1:16" hidden="1" x14ac:dyDescent="0.15">
      <c r="A1466" s="286">
        <v>437581</v>
      </c>
      <c r="B1466" s="288">
        <v>45281.44027777778</v>
      </c>
      <c r="C1466" s="286" t="s">
        <v>1632</v>
      </c>
      <c r="D1466" s="286" t="s">
        <v>1105</v>
      </c>
      <c r="E1466" s="286" t="s">
        <v>1106</v>
      </c>
      <c r="F1466" s="286" t="s">
        <v>1741</v>
      </c>
      <c r="G1466" s="286" t="s">
        <v>1039</v>
      </c>
      <c r="H1466" s="286" t="s">
        <v>1039</v>
      </c>
      <c r="I1466" s="286" t="s">
        <v>1228</v>
      </c>
      <c r="J1466" s="286" t="s">
        <v>1312</v>
      </c>
      <c r="K1466" s="286" t="s">
        <v>2076</v>
      </c>
      <c r="L1466" s="286" t="s">
        <v>53</v>
      </c>
      <c r="M1466" s="286">
        <v>1</v>
      </c>
      <c r="N1466" s="287">
        <v>-3203.43</v>
      </c>
      <c r="O1466" s="287"/>
      <c r="P1466" s="286" t="s">
        <v>58</v>
      </c>
    </row>
    <row r="1467" spans="1:16" hidden="1" x14ac:dyDescent="0.15">
      <c r="A1467" s="286">
        <v>437581</v>
      </c>
      <c r="B1467" s="288">
        <v>45281.44027777778</v>
      </c>
      <c r="C1467" s="286" t="s">
        <v>1632</v>
      </c>
      <c r="D1467" s="286" t="s">
        <v>1105</v>
      </c>
      <c r="E1467" s="286" t="s">
        <v>1106</v>
      </c>
      <c r="F1467" s="286" t="s">
        <v>1741</v>
      </c>
      <c r="G1467" s="286" t="s">
        <v>1039</v>
      </c>
      <c r="H1467" s="286" t="s">
        <v>1039</v>
      </c>
      <c r="I1467" s="286" t="s">
        <v>1228</v>
      </c>
      <c r="J1467" s="286" t="s">
        <v>1312</v>
      </c>
      <c r="K1467" s="286" t="s">
        <v>2076</v>
      </c>
      <c r="L1467" s="286" t="s">
        <v>53</v>
      </c>
      <c r="M1467" s="286">
        <v>1</v>
      </c>
      <c r="N1467" s="287">
        <v>-3203.43</v>
      </c>
      <c r="O1467" s="287"/>
      <c r="P1467" s="286" t="s">
        <v>58</v>
      </c>
    </row>
    <row r="1468" spans="1:16" hidden="1" x14ac:dyDescent="0.15">
      <c r="A1468" s="286">
        <v>370270</v>
      </c>
      <c r="B1468" s="288">
        <v>45208.668055555558</v>
      </c>
      <c r="C1468" s="286" t="s">
        <v>1642</v>
      </c>
      <c r="D1468" s="286" t="s">
        <v>1105</v>
      </c>
      <c r="E1468" s="286" t="s">
        <v>1106</v>
      </c>
      <c r="F1468" s="286" t="s">
        <v>1716</v>
      </c>
      <c r="G1468" s="286" t="s">
        <v>1021</v>
      </c>
      <c r="H1468" s="286" t="s">
        <v>1021</v>
      </c>
      <c r="I1468" s="286" t="s">
        <v>1199</v>
      </c>
      <c r="J1468" s="286" t="s">
        <v>1312</v>
      </c>
      <c r="K1468" s="286" t="s">
        <v>2068</v>
      </c>
      <c r="L1468" s="286" t="s">
        <v>53</v>
      </c>
      <c r="M1468" s="286">
        <v>1</v>
      </c>
      <c r="N1468" s="287">
        <v>-3511.45</v>
      </c>
      <c r="O1468" s="287"/>
      <c r="P1468" s="286" t="s">
        <v>58</v>
      </c>
    </row>
    <row r="1469" spans="1:16" hidden="1" x14ac:dyDescent="0.15">
      <c r="A1469" s="286">
        <v>402221</v>
      </c>
      <c r="B1469" s="288">
        <v>45243.579861111109</v>
      </c>
      <c r="C1469" s="286" t="s">
        <v>1654</v>
      </c>
      <c r="D1469" s="286" t="s">
        <v>1105</v>
      </c>
      <c r="E1469" s="286" t="s">
        <v>1106</v>
      </c>
      <c r="F1469" s="286" t="s">
        <v>1724</v>
      </c>
      <c r="G1469" s="286" t="s">
        <v>1021</v>
      </c>
      <c r="H1469" s="286" t="s">
        <v>1021</v>
      </c>
      <c r="I1469" s="286" t="s">
        <v>1199</v>
      </c>
      <c r="J1469" s="286" t="s">
        <v>1312</v>
      </c>
      <c r="K1469" s="286" t="s">
        <v>2068</v>
      </c>
      <c r="L1469" s="286" t="s">
        <v>53</v>
      </c>
      <c r="M1469" s="286">
        <v>1</v>
      </c>
      <c r="N1469" s="287">
        <v>-3511.45</v>
      </c>
      <c r="O1469" s="287"/>
      <c r="P1469" s="286" t="s">
        <v>58</v>
      </c>
    </row>
    <row r="1470" spans="1:16" hidden="1" x14ac:dyDescent="0.15">
      <c r="A1470" s="286">
        <v>455146</v>
      </c>
      <c r="B1470" s="288">
        <v>45310.510416666664</v>
      </c>
      <c r="C1470" s="286" t="s">
        <v>1632</v>
      </c>
      <c r="D1470" s="286" t="s">
        <v>1105</v>
      </c>
      <c r="E1470" s="286" t="s">
        <v>1106</v>
      </c>
      <c r="F1470" s="286" t="s">
        <v>1725</v>
      </c>
      <c r="G1470" s="286" t="s">
        <v>1021</v>
      </c>
      <c r="H1470" s="286" t="s">
        <v>1021</v>
      </c>
      <c r="I1470" s="286" t="s">
        <v>1199</v>
      </c>
      <c r="J1470" s="286" t="s">
        <v>1312</v>
      </c>
      <c r="K1470" s="286" t="s">
        <v>2068</v>
      </c>
      <c r="L1470" s="286" t="s">
        <v>53</v>
      </c>
      <c r="M1470" s="286">
        <v>1</v>
      </c>
      <c r="N1470" s="287">
        <v>-3511.45</v>
      </c>
      <c r="O1470" s="287"/>
      <c r="P1470" s="286" t="s">
        <v>58</v>
      </c>
    </row>
    <row r="1471" spans="1:16" hidden="1" x14ac:dyDescent="0.15">
      <c r="A1471" s="286">
        <v>408089</v>
      </c>
      <c r="B1471" s="288">
        <v>45246.672222222223</v>
      </c>
      <c r="C1471" s="286" t="s">
        <v>1642</v>
      </c>
      <c r="D1471" s="286" t="s">
        <v>1105</v>
      </c>
      <c r="E1471" s="286" t="s">
        <v>1106</v>
      </c>
      <c r="F1471" s="286" t="s">
        <v>1784</v>
      </c>
      <c r="G1471" s="286" t="s">
        <v>1016</v>
      </c>
      <c r="H1471" s="286" t="s">
        <v>1016</v>
      </c>
      <c r="I1471" s="286" t="s">
        <v>1199</v>
      </c>
      <c r="J1471" s="286" t="s">
        <v>1312</v>
      </c>
      <c r="K1471" s="286" t="s">
        <v>53</v>
      </c>
      <c r="L1471" s="286" t="s">
        <v>53</v>
      </c>
      <c r="M1471" s="286" t="s">
        <v>53</v>
      </c>
      <c r="N1471" s="287">
        <v>-4072.17</v>
      </c>
      <c r="O1471" s="287"/>
      <c r="P1471" s="286" t="s">
        <v>58</v>
      </c>
    </row>
    <row r="1472" spans="1:16" hidden="1" x14ac:dyDescent="0.15">
      <c r="A1472" s="286">
        <v>408189</v>
      </c>
      <c r="B1472" s="288">
        <v>45246.67291666667</v>
      </c>
      <c r="C1472" s="286" t="s">
        <v>1654</v>
      </c>
      <c r="D1472" s="286" t="s">
        <v>1105</v>
      </c>
      <c r="E1472" s="286" t="s">
        <v>1106</v>
      </c>
      <c r="F1472" s="286" t="s">
        <v>1785</v>
      </c>
      <c r="G1472" s="286" t="s">
        <v>1016</v>
      </c>
      <c r="H1472" s="286" t="s">
        <v>1016</v>
      </c>
      <c r="I1472" s="286" t="s">
        <v>1199</v>
      </c>
      <c r="J1472" s="286" t="s">
        <v>1312</v>
      </c>
      <c r="K1472" s="286" t="s">
        <v>53</v>
      </c>
      <c r="L1472" s="286" t="s">
        <v>53</v>
      </c>
      <c r="M1472" s="286" t="s">
        <v>53</v>
      </c>
      <c r="N1472" s="287">
        <v>-4072.17</v>
      </c>
      <c r="O1472" s="287"/>
      <c r="P1472" s="286" t="s">
        <v>58</v>
      </c>
    </row>
    <row r="1473" spans="1:16" hidden="1" x14ac:dyDescent="0.15">
      <c r="A1473" s="286">
        <v>455146</v>
      </c>
      <c r="B1473" s="288">
        <v>45310.510416666664</v>
      </c>
      <c r="C1473" s="286" t="s">
        <v>1632</v>
      </c>
      <c r="D1473" s="286" t="s">
        <v>1105</v>
      </c>
      <c r="E1473" s="286" t="s">
        <v>1106</v>
      </c>
      <c r="F1473" s="286" t="s">
        <v>1725</v>
      </c>
      <c r="G1473" s="286" t="s">
        <v>1016</v>
      </c>
      <c r="H1473" s="286" t="s">
        <v>1016</v>
      </c>
      <c r="I1473" s="286" t="s">
        <v>1199</v>
      </c>
      <c r="J1473" s="286" t="s">
        <v>1312</v>
      </c>
      <c r="K1473" s="286" t="s">
        <v>53</v>
      </c>
      <c r="L1473" s="286" t="s">
        <v>53</v>
      </c>
      <c r="M1473" s="286" t="s">
        <v>53</v>
      </c>
      <c r="N1473" s="287">
        <v>-4072.17</v>
      </c>
      <c r="O1473" s="287"/>
      <c r="P1473" s="286" t="s">
        <v>58</v>
      </c>
    </row>
    <row r="1474" spans="1:16" hidden="1" x14ac:dyDescent="0.15">
      <c r="A1474" s="286">
        <v>340379</v>
      </c>
      <c r="B1474" s="288">
        <v>45177.550694444442</v>
      </c>
      <c r="C1474" s="286" t="s">
        <v>1691</v>
      </c>
      <c r="D1474" s="286" t="s">
        <v>1105</v>
      </c>
      <c r="E1474" s="286" t="s">
        <v>1106</v>
      </c>
      <c r="F1474" s="286" t="s">
        <v>2071</v>
      </c>
      <c r="G1474" s="286" t="s">
        <v>1078</v>
      </c>
      <c r="H1474" s="286" t="s">
        <v>1078</v>
      </c>
      <c r="I1474" s="286" t="s">
        <v>1228</v>
      </c>
      <c r="J1474" s="286" t="s">
        <v>1312</v>
      </c>
      <c r="K1474" s="286" t="s">
        <v>53</v>
      </c>
      <c r="L1474" s="286" t="s">
        <v>53</v>
      </c>
      <c r="M1474" s="286" t="s">
        <v>53</v>
      </c>
      <c r="N1474" s="287">
        <v>-4256.3100000000004</v>
      </c>
      <c r="O1474" s="287"/>
      <c r="P1474" s="286" t="s">
        <v>58</v>
      </c>
    </row>
    <row r="1475" spans="1:16" hidden="1" x14ac:dyDescent="0.15">
      <c r="A1475" s="286">
        <v>354736</v>
      </c>
      <c r="B1475" s="288">
        <v>45190.590277777781</v>
      </c>
      <c r="C1475" s="286" t="s">
        <v>1676</v>
      </c>
      <c r="D1475" s="286" t="s">
        <v>1105</v>
      </c>
      <c r="E1475" s="286" t="s">
        <v>1106</v>
      </c>
      <c r="F1475" s="286" t="s">
        <v>1731</v>
      </c>
      <c r="G1475" s="286" t="s">
        <v>1078</v>
      </c>
      <c r="H1475" s="286" t="s">
        <v>1078</v>
      </c>
      <c r="I1475" s="286" t="s">
        <v>1228</v>
      </c>
      <c r="J1475" s="286" t="s">
        <v>1312</v>
      </c>
      <c r="K1475" s="286" t="s">
        <v>53</v>
      </c>
      <c r="L1475" s="286" t="s">
        <v>53</v>
      </c>
      <c r="M1475" s="286" t="s">
        <v>53</v>
      </c>
      <c r="N1475" s="287">
        <v>-4256.3100000000004</v>
      </c>
      <c r="O1475" s="287"/>
      <c r="P1475" s="286" t="s">
        <v>58</v>
      </c>
    </row>
    <row r="1476" spans="1:16" hidden="1" x14ac:dyDescent="0.15">
      <c r="A1476" s="286">
        <v>370270</v>
      </c>
      <c r="B1476" s="288">
        <v>45208.668055555558</v>
      </c>
      <c r="C1476" s="286" t="s">
        <v>1642</v>
      </c>
      <c r="D1476" s="286" t="s">
        <v>1105</v>
      </c>
      <c r="E1476" s="286" t="s">
        <v>1106</v>
      </c>
      <c r="F1476" s="286" t="s">
        <v>1716</v>
      </c>
      <c r="G1476" s="286" t="s">
        <v>1078</v>
      </c>
      <c r="H1476" s="286" t="s">
        <v>1078</v>
      </c>
      <c r="I1476" s="286" t="s">
        <v>1228</v>
      </c>
      <c r="J1476" s="286" t="s">
        <v>1312</v>
      </c>
      <c r="K1476" s="286" t="s">
        <v>53</v>
      </c>
      <c r="L1476" s="286" t="s">
        <v>53</v>
      </c>
      <c r="M1476" s="286" t="s">
        <v>53</v>
      </c>
      <c r="N1476" s="287">
        <v>-4256.3100000000004</v>
      </c>
      <c r="O1476" s="287"/>
      <c r="P1476" s="286" t="s">
        <v>58</v>
      </c>
    </row>
    <row r="1477" spans="1:16" hidden="1" x14ac:dyDescent="0.15">
      <c r="A1477" s="286">
        <v>402221</v>
      </c>
      <c r="B1477" s="288">
        <v>45243.579861111109</v>
      </c>
      <c r="C1477" s="286" t="s">
        <v>1654</v>
      </c>
      <c r="D1477" s="286" t="s">
        <v>1105</v>
      </c>
      <c r="E1477" s="286" t="s">
        <v>1106</v>
      </c>
      <c r="F1477" s="286" t="s">
        <v>1724</v>
      </c>
      <c r="G1477" s="286" t="s">
        <v>1078</v>
      </c>
      <c r="H1477" s="286" t="s">
        <v>1078</v>
      </c>
      <c r="I1477" s="286" t="s">
        <v>1228</v>
      </c>
      <c r="J1477" s="286" t="s">
        <v>1312</v>
      </c>
      <c r="K1477" s="286" t="s">
        <v>53</v>
      </c>
      <c r="L1477" s="286" t="s">
        <v>53</v>
      </c>
      <c r="M1477" s="286" t="s">
        <v>53</v>
      </c>
      <c r="N1477" s="287">
        <v>-4256.3100000000004</v>
      </c>
      <c r="O1477" s="287"/>
      <c r="P1477" s="286" t="s">
        <v>58</v>
      </c>
    </row>
    <row r="1478" spans="1:16" hidden="1" x14ac:dyDescent="0.15">
      <c r="A1478" s="286">
        <v>455146</v>
      </c>
      <c r="B1478" s="288">
        <v>45310.510416666664</v>
      </c>
      <c r="C1478" s="286" t="s">
        <v>1632</v>
      </c>
      <c r="D1478" s="286" t="s">
        <v>1105</v>
      </c>
      <c r="E1478" s="286" t="s">
        <v>1106</v>
      </c>
      <c r="F1478" s="286" t="s">
        <v>1725</v>
      </c>
      <c r="G1478" s="286" t="s">
        <v>1078</v>
      </c>
      <c r="H1478" s="286" t="s">
        <v>1078</v>
      </c>
      <c r="I1478" s="286" t="s">
        <v>1228</v>
      </c>
      <c r="J1478" s="286" t="s">
        <v>1312</v>
      </c>
      <c r="K1478" s="286" t="s">
        <v>53</v>
      </c>
      <c r="L1478" s="286" t="s">
        <v>53</v>
      </c>
      <c r="M1478" s="286" t="s">
        <v>53</v>
      </c>
      <c r="N1478" s="287">
        <v>-4256.3100000000004</v>
      </c>
      <c r="O1478" s="287"/>
      <c r="P1478" s="286" t="s">
        <v>58</v>
      </c>
    </row>
    <row r="1479" spans="1:16" hidden="1" x14ac:dyDescent="0.15">
      <c r="A1479" s="286">
        <v>283634</v>
      </c>
      <c r="B1479" s="288">
        <v>45121.515972222223</v>
      </c>
      <c r="C1479" s="286" t="s">
        <v>1649</v>
      </c>
      <c r="D1479" s="286" t="s">
        <v>1105</v>
      </c>
      <c r="E1479" s="286" t="s">
        <v>1106</v>
      </c>
      <c r="F1479" s="286" t="s">
        <v>1800</v>
      </c>
      <c r="G1479" s="286" t="s">
        <v>1008</v>
      </c>
      <c r="H1479" s="286" t="s">
        <v>1008</v>
      </c>
      <c r="I1479" s="286" t="s">
        <v>1228</v>
      </c>
      <c r="J1479" s="286" t="s">
        <v>1312</v>
      </c>
      <c r="K1479" s="286" t="s">
        <v>53</v>
      </c>
      <c r="L1479" s="286" t="s">
        <v>53</v>
      </c>
      <c r="M1479" s="286" t="s">
        <v>53</v>
      </c>
      <c r="N1479" s="287">
        <v>-4762.92</v>
      </c>
      <c r="O1479" s="287"/>
      <c r="P1479" s="286" t="s">
        <v>58</v>
      </c>
    </row>
    <row r="1480" spans="1:16" hidden="1" x14ac:dyDescent="0.15">
      <c r="A1480" s="286">
        <v>284271</v>
      </c>
      <c r="B1480" s="288">
        <v>45121.682638888888</v>
      </c>
      <c r="C1480" s="286" t="s">
        <v>1636</v>
      </c>
      <c r="D1480" s="286" t="s">
        <v>1105</v>
      </c>
      <c r="E1480" s="286" t="s">
        <v>1106</v>
      </c>
      <c r="F1480" s="286" t="s">
        <v>1713</v>
      </c>
      <c r="G1480" s="286" t="s">
        <v>1008</v>
      </c>
      <c r="H1480" s="286" t="s">
        <v>1008</v>
      </c>
      <c r="I1480" s="286" t="s">
        <v>1228</v>
      </c>
      <c r="J1480" s="286" t="s">
        <v>1312</v>
      </c>
      <c r="K1480" s="286" t="s">
        <v>53</v>
      </c>
      <c r="L1480" s="286" t="s">
        <v>53</v>
      </c>
      <c r="M1480" s="286" t="s">
        <v>53</v>
      </c>
      <c r="N1480" s="287">
        <v>-4762.92</v>
      </c>
      <c r="O1480" s="287"/>
      <c r="P1480" s="286" t="s">
        <v>58</v>
      </c>
    </row>
    <row r="1481" spans="1:16" hidden="1" x14ac:dyDescent="0.15">
      <c r="A1481" s="286">
        <v>328287</v>
      </c>
      <c r="B1481" s="288">
        <v>45161.62777777778</v>
      </c>
      <c r="C1481" s="286" t="s">
        <v>1691</v>
      </c>
      <c r="D1481" s="286" t="s">
        <v>1105</v>
      </c>
      <c r="E1481" s="286" t="s">
        <v>1106</v>
      </c>
      <c r="F1481" s="286" t="s">
        <v>1714</v>
      </c>
      <c r="G1481" s="286" t="s">
        <v>1008</v>
      </c>
      <c r="H1481" s="286" t="s">
        <v>1008</v>
      </c>
      <c r="I1481" s="286" t="s">
        <v>1228</v>
      </c>
      <c r="J1481" s="286" t="s">
        <v>1312</v>
      </c>
      <c r="K1481" s="286" t="s">
        <v>53</v>
      </c>
      <c r="L1481" s="286" t="s">
        <v>53</v>
      </c>
      <c r="M1481" s="286" t="s">
        <v>53</v>
      </c>
      <c r="N1481" s="287">
        <v>-4762.92</v>
      </c>
      <c r="O1481" s="287"/>
      <c r="P1481" s="286" t="s">
        <v>58</v>
      </c>
    </row>
    <row r="1482" spans="1:16" hidden="1" x14ac:dyDescent="0.15">
      <c r="A1482" s="286">
        <v>339870</v>
      </c>
      <c r="B1482" s="288">
        <v>45177.481944444444</v>
      </c>
      <c r="C1482" s="286" t="s">
        <v>1676</v>
      </c>
      <c r="D1482" s="286" t="s">
        <v>1105</v>
      </c>
      <c r="E1482" s="286" t="s">
        <v>1106</v>
      </c>
      <c r="F1482" s="286" t="s">
        <v>1715</v>
      </c>
      <c r="G1482" s="286" t="s">
        <v>1008</v>
      </c>
      <c r="H1482" s="286" t="s">
        <v>1008</v>
      </c>
      <c r="I1482" s="286" t="s">
        <v>1228</v>
      </c>
      <c r="J1482" s="286" t="s">
        <v>1312</v>
      </c>
      <c r="K1482" s="286" t="s">
        <v>53</v>
      </c>
      <c r="L1482" s="286" t="s">
        <v>53</v>
      </c>
      <c r="M1482" s="286" t="s">
        <v>53</v>
      </c>
      <c r="N1482" s="287">
        <v>-4762.92</v>
      </c>
      <c r="O1482" s="287"/>
      <c r="P1482" s="286" t="s">
        <v>58</v>
      </c>
    </row>
    <row r="1483" spans="1:16" hidden="1" x14ac:dyDescent="0.15">
      <c r="A1483" s="286">
        <v>370270</v>
      </c>
      <c r="B1483" s="288">
        <v>45208.668055555558</v>
      </c>
      <c r="C1483" s="286" t="s">
        <v>1642</v>
      </c>
      <c r="D1483" s="286" t="s">
        <v>1105</v>
      </c>
      <c r="E1483" s="286" t="s">
        <v>1106</v>
      </c>
      <c r="F1483" s="286" t="s">
        <v>1716</v>
      </c>
      <c r="G1483" s="286" t="s">
        <v>1008</v>
      </c>
      <c r="H1483" s="286" t="s">
        <v>1008</v>
      </c>
      <c r="I1483" s="286" t="s">
        <v>1228</v>
      </c>
      <c r="J1483" s="286" t="s">
        <v>1312</v>
      </c>
      <c r="K1483" s="286" t="s">
        <v>53</v>
      </c>
      <c r="L1483" s="286" t="s">
        <v>53</v>
      </c>
      <c r="M1483" s="286" t="s">
        <v>53</v>
      </c>
      <c r="N1483" s="287">
        <v>-4762.92</v>
      </c>
      <c r="O1483" s="287"/>
      <c r="P1483" s="286" t="s">
        <v>58</v>
      </c>
    </row>
    <row r="1484" spans="1:16" hidden="1" x14ac:dyDescent="0.15">
      <c r="A1484" s="286">
        <v>402221</v>
      </c>
      <c r="B1484" s="288">
        <v>45243.579861111109</v>
      </c>
      <c r="C1484" s="286" t="s">
        <v>1654</v>
      </c>
      <c r="D1484" s="286" t="s">
        <v>1105</v>
      </c>
      <c r="E1484" s="286" t="s">
        <v>1106</v>
      </c>
      <c r="F1484" s="286" t="s">
        <v>1724</v>
      </c>
      <c r="G1484" s="286" t="s">
        <v>1008</v>
      </c>
      <c r="H1484" s="286" t="s">
        <v>1008</v>
      </c>
      <c r="I1484" s="286" t="s">
        <v>1228</v>
      </c>
      <c r="J1484" s="286" t="s">
        <v>1312</v>
      </c>
      <c r="K1484" s="286" t="s">
        <v>53</v>
      </c>
      <c r="L1484" s="286" t="s">
        <v>53</v>
      </c>
      <c r="M1484" s="286" t="s">
        <v>53</v>
      </c>
      <c r="N1484" s="287">
        <v>-4762.92</v>
      </c>
      <c r="O1484" s="287"/>
      <c r="P1484" s="286" t="s">
        <v>58</v>
      </c>
    </row>
    <row r="1485" spans="1:16" hidden="1" x14ac:dyDescent="0.15">
      <c r="A1485" s="286">
        <v>455146</v>
      </c>
      <c r="B1485" s="288">
        <v>45310.510416666664</v>
      </c>
      <c r="C1485" s="286" t="s">
        <v>1632</v>
      </c>
      <c r="D1485" s="286" t="s">
        <v>1105</v>
      </c>
      <c r="E1485" s="286" t="s">
        <v>1106</v>
      </c>
      <c r="F1485" s="286" t="s">
        <v>1725</v>
      </c>
      <c r="G1485" s="286" t="s">
        <v>1008</v>
      </c>
      <c r="H1485" s="286" t="s">
        <v>1008</v>
      </c>
      <c r="I1485" s="286" t="s">
        <v>1228</v>
      </c>
      <c r="J1485" s="286" t="s">
        <v>1312</v>
      </c>
      <c r="K1485" s="286" t="s">
        <v>53</v>
      </c>
      <c r="L1485" s="286" t="s">
        <v>53</v>
      </c>
      <c r="M1485" s="286" t="s">
        <v>53</v>
      </c>
      <c r="N1485" s="287">
        <v>-4762.92</v>
      </c>
      <c r="O1485" s="287"/>
      <c r="P1485" s="286" t="s">
        <v>58</v>
      </c>
    </row>
    <row r="1486" spans="1:16" hidden="1" x14ac:dyDescent="0.15">
      <c r="A1486" s="286">
        <v>328287</v>
      </c>
      <c r="B1486" s="288">
        <v>45161.62777777778</v>
      </c>
      <c r="C1486" s="286" t="s">
        <v>1691</v>
      </c>
      <c r="D1486" s="286" t="s">
        <v>1105</v>
      </c>
      <c r="E1486" s="286" t="s">
        <v>1106</v>
      </c>
      <c r="F1486" s="286" t="s">
        <v>1714</v>
      </c>
      <c r="G1486" s="286" t="s">
        <v>1014</v>
      </c>
      <c r="H1486" s="286" t="s">
        <v>1014</v>
      </c>
      <c r="I1486" s="286" t="s">
        <v>1230</v>
      </c>
      <c r="J1486" s="286" t="s">
        <v>1312</v>
      </c>
      <c r="K1486" s="286" t="s">
        <v>2077</v>
      </c>
      <c r="L1486" s="286" t="s">
        <v>53</v>
      </c>
      <c r="M1486" s="286">
        <v>1</v>
      </c>
      <c r="N1486" s="287">
        <v>-4832</v>
      </c>
      <c r="O1486" s="287"/>
      <c r="P1486" s="286" t="s">
        <v>175</v>
      </c>
    </row>
    <row r="1487" spans="1:16" hidden="1" x14ac:dyDescent="0.15">
      <c r="A1487" s="286">
        <v>298618</v>
      </c>
      <c r="B1487" s="288">
        <v>45135.518750000003</v>
      </c>
      <c r="C1487" s="286" t="s">
        <v>1636</v>
      </c>
      <c r="D1487" s="286" t="s">
        <v>1105</v>
      </c>
      <c r="E1487" s="286" t="s">
        <v>1106</v>
      </c>
      <c r="F1487" s="286" t="s">
        <v>1672</v>
      </c>
      <c r="G1487" s="286" t="s">
        <v>1016</v>
      </c>
      <c r="H1487" s="286" t="s">
        <v>1016</v>
      </c>
      <c r="I1487" s="286" t="s">
        <v>1112</v>
      </c>
      <c r="J1487" s="286" t="s">
        <v>1312</v>
      </c>
      <c r="K1487" s="286" t="s">
        <v>2046</v>
      </c>
      <c r="L1487" s="286" t="s">
        <v>53</v>
      </c>
      <c r="M1487" s="286">
        <v>1</v>
      </c>
      <c r="N1487" s="287">
        <v>-5026</v>
      </c>
      <c r="O1487" s="287"/>
      <c r="P1487" s="286" t="s">
        <v>175</v>
      </c>
    </row>
    <row r="1488" spans="1:16" hidden="1" x14ac:dyDescent="0.15">
      <c r="A1488" s="286">
        <v>303342</v>
      </c>
      <c r="B1488" s="288">
        <v>45139.736805555556</v>
      </c>
      <c r="C1488" s="286" t="s">
        <v>1636</v>
      </c>
      <c r="D1488" s="286" t="s">
        <v>1105</v>
      </c>
      <c r="E1488" s="286" t="s">
        <v>1106</v>
      </c>
      <c r="F1488" s="286" t="s">
        <v>1912</v>
      </c>
      <c r="G1488" s="286" t="s">
        <v>1766</v>
      </c>
      <c r="H1488" s="286" t="s">
        <v>1766</v>
      </c>
      <c r="I1488" s="286" t="s">
        <v>1112</v>
      </c>
      <c r="J1488" s="286" t="s">
        <v>1312</v>
      </c>
      <c r="K1488" s="286" t="s">
        <v>2046</v>
      </c>
      <c r="L1488" s="286" t="s">
        <v>53</v>
      </c>
      <c r="M1488" s="286">
        <v>1</v>
      </c>
      <c r="N1488" s="287">
        <v>-5026</v>
      </c>
      <c r="O1488" s="287"/>
      <c r="P1488" s="286" t="s">
        <v>175</v>
      </c>
    </row>
    <row r="1489" spans="1:16" hidden="1" x14ac:dyDescent="0.15">
      <c r="A1489" s="286">
        <v>354736</v>
      </c>
      <c r="B1489" s="288">
        <v>45190.590277777781</v>
      </c>
      <c r="C1489" s="286" t="s">
        <v>1676</v>
      </c>
      <c r="D1489" s="286" t="s">
        <v>1105</v>
      </c>
      <c r="E1489" s="286" t="s">
        <v>1106</v>
      </c>
      <c r="F1489" s="286" t="s">
        <v>1731</v>
      </c>
      <c r="G1489" s="286" t="s">
        <v>1062</v>
      </c>
      <c r="H1489" s="286" t="s">
        <v>1062</v>
      </c>
      <c r="I1489" s="286" t="s">
        <v>1230</v>
      </c>
      <c r="J1489" s="286" t="s">
        <v>1312</v>
      </c>
      <c r="K1489" s="286" t="s">
        <v>2077</v>
      </c>
      <c r="L1489" s="286" t="s">
        <v>53</v>
      </c>
      <c r="M1489" s="286">
        <v>1</v>
      </c>
      <c r="N1489" s="287">
        <v>-5196</v>
      </c>
      <c r="O1489" s="287"/>
      <c r="P1489" s="286" t="s">
        <v>175</v>
      </c>
    </row>
    <row r="1490" spans="1:16" hidden="1" x14ac:dyDescent="0.15">
      <c r="A1490" s="286">
        <v>354736</v>
      </c>
      <c r="B1490" s="288">
        <v>45190.590277777781</v>
      </c>
      <c r="C1490" s="286" t="s">
        <v>1676</v>
      </c>
      <c r="D1490" s="286" t="s">
        <v>1105</v>
      </c>
      <c r="E1490" s="286" t="s">
        <v>1106</v>
      </c>
      <c r="F1490" s="286" t="s">
        <v>1731</v>
      </c>
      <c r="G1490" s="286" t="s">
        <v>1007</v>
      </c>
      <c r="H1490" s="286" t="s">
        <v>1007</v>
      </c>
      <c r="I1490" s="286" t="s">
        <v>1228</v>
      </c>
      <c r="J1490" s="286" t="s">
        <v>1312</v>
      </c>
      <c r="K1490" s="286" t="s">
        <v>53</v>
      </c>
      <c r="L1490" s="286" t="s">
        <v>53</v>
      </c>
      <c r="M1490" s="286" t="s">
        <v>53</v>
      </c>
      <c r="N1490" s="287">
        <v>-5311.34</v>
      </c>
      <c r="O1490" s="287"/>
      <c r="P1490" s="286" t="s">
        <v>58</v>
      </c>
    </row>
    <row r="1491" spans="1:16" hidden="1" x14ac:dyDescent="0.15">
      <c r="A1491" s="286">
        <v>370270</v>
      </c>
      <c r="B1491" s="288">
        <v>45208.668055555558</v>
      </c>
      <c r="C1491" s="286" t="s">
        <v>1642</v>
      </c>
      <c r="D1491" s="286" t="s">
        <v>1105</v>
      </c>
      <c r="E1491" s="286" t="s">
        <v>1106</v>
      </c>
      <c r="F1491" s="286" t="s">
        <v>1716</v>
      </c>
      <c r="G1491" s="286" t="s">
        <v>1007</v>
      </c>
      <c r="H1491" s="286" t="s">
        <v>1007</v>
      </c>
      <c r="I1491" s="286" t="s">
        <v>1228</v>
      </c>
      <c r="J1491" s="286" t="s">
        <v>1312</v>
      </c>
      <c r="K1491" s="286" t="s">
        <v>53</v>
      </c>
      <c r="L1491" s="286" t="s">
        <v>53</v>
      </c>
      <c r="M1491" s="286" t="s">
        <v>53</v>
      </c>
      <c r="N1491" s="287">
        <v>-5311.34</v>
      </c>
      <c r="O1491" s="287"/>
      <c r="P1491" s="286" t="s">
        <v>58</v>
      </c>
    </row>
    <row r="1492" spans="1:16" hidden="1" x14ac:dyDescent="0.15">
      <c r="A1492" s="286">
        <v>402221</v>
      </c>
      <c r="B1492" s="288">
        <v>45243.579861111109</v>
      </c>
      <c r="C1492" s="286" t="s">
        <v>1654</v>
      </c>
      <c r="D1492" s="286" t="s">
        <v>1105</v>
      </c>
      <c r="E1492" s="286" t="s">
        <v>1106</v>
      </c>
      <c r="F1492" s="286" t="s">
        <v>1724</v>
      </c>
      <c r="G1492" s="286" t="s">
        <v>1007</v>
      </c>
      <c r="H1492" s="286" t="s">
        <v>1007</v>
      </c>
      <c r="I1492" s="286" t="s">
        <v>1228</v>
      </c>
      <c r="J1492" s="286" t="s">
        <v>1312</v>
      </c>
      <c r="K1492" s="286" t="s">
        <v>53</v>
      </c>
      <c r="L1492" s="286" t="s">
        <v>53</v>
      </c>
      <c r="M1492" s="286" t="s">
        <v>53</v>
      </c>
      <c r="N1492" s="287">
        <v>-5311.34</v>
      </c>
      <c r="O1492" s="287"/>
      <c r="P1492" s="286" t="s">
        <v>58</v>
      </c>
    </row>
    <row r="1493" spans="1:16" hidden="1" x14ac:dyDescent="0.15">
      <c r="A1493" s="286">
        <v>455146</v>
      </c>
      <c r="B1493" s="288">
        <v>45310.510416666664</v>
      </c>
      <c r="C1493" s="286" t="s">
        <v>1632</v>
      </c>
      <c r="D1493" s="286" t="s">
        <v>1105</v>
      </c>
      <c r="E1493" s="286" t="s">
        <v>1106</v>
      </c>
      <c r="F1493" s="286" t="s">
        <v>1725</v>
      </c>
      <c r="G1493" s="286" t="s">
        <v>1007</v>
      </c>
      <c r="H1493" s="286" t="s">
        <v>1007</v>
      </c>
      <c r="I1493" s="286" t="s">
        <v>1228</v>
      </c>
      <c r="J1493" s="286" t="s">
        <v>1312</v>
      </c>
      <c r="K1493" s="286" t="s">
        <v>53</v>
      </c>
      <c r="L1493" s="286" t="s">
        <v>53</v>
      </c>
      <c r="M1493" s="286" t="s">
        <v>53</v>
      </c>
      <c r="N1493" s="287">
        <v>-5311.34</v>
      </c>
      <c r="O1493" s="287"/>
      <c r="P1493" s="286" t="s">
        <v>58</v>
      </c>
    </row>
    <row r="1494" spans="1:16" hidden="1" x14ac:dyDescent="0.15">
      <c r="A1494" s="286">
        <v>430974</v>
      </c>
      <c r="B1494" s="288">
        <v>45274.409722222219</v>
      </c>
      <c r="C1494" s="286" t="s">
        <v>1632</v>
      </c>
      <c r="D1494" s="286" t="s">
        <v>1105</v>
      </c>
      <c r="E1494" s="286" t="s">
        <v>1106</v>
      </c>
      <c r="F1494" s="286" t="s">
        <v>1825</v>
      </c>
      <c r="G1494" s="286" t="s">
        <v>1072</v>
      </c>
      <c r="H1494" s="286" t="s">
        <v>1072</v>
      </c>
      <c r="I1494" s="286" t="s">
        <v>1230</v>
      </c>
      <c r="J1494" s="286" t="s">
        <v>1312</v>
      </c>
      <c r="K1494" s="286" t="s">
        <v>2077</v>
      </c>
      <c r="L1494" s="286" t="s">
        <v>53</v>
      </c>
      <c r="M1494" s="286">
        <v>1</v>
      </c>
      <c r="N1494" s="287">
        <v>-5317</v>
      </c>
      <c r="O1494" s="287"/>
      <c r="P1494" s="286" t="s">
        <v>175</v>
      </c>
    </row>
    <row r="1495" spans="1:16" hidden="1" x14ac:dyDescent="0.15">
      <c r="A1495" s="286">
        <v>370370</v>
      </c>
      <c r="B1495" s="288">
        <v>45208.676388888889</v>
      </c>
      <c r="C1495" s="286" t="s">
        <v>1676</v>
      </c>
      <c r="D1495" s="286" t="s">
        <v>1105</v>
      </c>
      <c r="E1495" s="286" t="s">
        <v>1106</v>
      </c>
      <c r="F1495" s="286" t="s">
        <v>1792</v>
      </c>
      <c r="G1495" s="286" t="s">
        <v>1766</v>
      </c>
      <c r="H1495" s="286" t="s">
        <v>1766</v>
      </c>
      <c r="I1495" s="286" t="s">
        <v>1199</v>
      </c>
      <c r="J1495" s="286" t="s">
        <v>1312</v>
      </c>
      <c r="K1495" s="286" t="s">
        <v>53</v>
      </c>
      <c r="L1495" s="286" t="s">
        <v>53</v>
      </c>
      <c r="M1495" s="286" t="s">
        <v>53</v>
      </c>
      <c r="N1495" s="287">
        <v>-5411.41</v>
      </c>
      <c r="O1495" s="287"/>
      <c r="P1495" s="286" t="s">
        <v>58</v>
      </c>
    </row>
    <row r="1496" spans="1:16" hidden="1" x14ac:dyDescent="0.15">
      <c r="A1496" s="286">
        <v>298618</v>
      </c>
      <c r="B1496" s="288">
        <v>45135.518750000003</v>
      </c>
      <c r="C1496" s="286" t="s">
        <v>1636</v>
      </c>
      <c r="D1496" s="286" t="s">
        <v>1105</v>
      </c>
      <c r="E1496" s="286" t="s">
        <v>1106</v>
      </c>
      <c r="F1496" s="286" t="s">
        <v>1672</v>
      </c>
      <c r="G1496" s="286" t="s">
        <v>1027</v>
      </c>
      <c r="H1496" s="286" t="s">
        <v>1027</v>
      </c>
      <c r="I1496" s="286" t="s">
        <v>1230</v>
      </c>
      <c r="J1496" s="286" t="s">
        <v>1312</v>
      </c>
      <c r="K1496" s="286" t="s">
        <v>2077</v>
      </c>
      <c r="L1496" s="286" t="s">
        <v>53</v>
      </c>
      <c r="M1496" s="286">
        <v>1</v>
      </c>
      <c r="N1496" s="287">
        <v>-5612</v>
      </c>
      <c r="O1496" s="287"/>
      <c r="P1496" s="286" t="s">
        <v>175</v>
      </c>
    </row>
    <row r="1497" spans="1:16" hidden="1" x14ac:dyDescent="0.15">
      <c r="A1497" s="286">
        <v>370270</v>
      </c>
      <c r="B1497" s="288">
        <v>45208.668055555558</v>
      </c>
      <c r="C1497" s="286" t="s">
        <v>1642</v>
      </c>
      <c r="D1497" s="286" t="s">
        <v>1105</v>
      </c>
      <c r="E1497" s="286" t="s">
        <v>1106</v>
      </c>
      <c r="F1497" s="286" t="s">
        <v>1716</v>
      </c>
      <c r="G1497" s="286" t="s">
        <v>1766</v>
      </c>
      <c r="H1497" s="286" t="s">
        <v>1766</v>
      </c>
      <c r="I1497" s="286" t="s">
        <v>1199</v>
      </c>
      <c r="J1497" s="286" t="s">
        <v>1312</v>
      </c>
      <c r="K1497" s="286" t="s">
        <v>2068</v>
      </c>
      <c r="L1497" s="286" t="s">
        <v>53</v>
      </c>
      <c r="M1497" s="286">
        <v>1</v>
      </c>
      <c r="N1497" s="287">
        <v>-5961.54</v>
      </c>
      <c r="O1497" s="287"/>
      <c r="P1497" s="286" t="s">
        <v>58</v>
      </c>
    </row>
    <row r="1498" spans="1:16" hidden="1" x14ac:dyDescent="0.15">
      <c r="A1498" s="286">
        <v>402221</v>
      </c>
      <c r="B1498" s="288">
        <v>45243.579861111109</v>
      </c>
      <c r="C1498" s="286" t="s">
        <v>1654</v>
      </c>
      <c r="D1498" s="286" t="s">
        <v>1105</v>
      </c>
      <c r="E1498" s="286" t="s">
        <v>1106</v>
      </c>
      <c r="F1498" s="286" t="s">
        <v>1724</v>
      </c>
      <c r="G1498" s="286" t="s">
        <v>1766</v>
      </c>
      <c r="H1498" s="286" t="s">
        <v>1766</v>
      </c>
      <c r="I1498" s="286" t="s">
        <v>1199</v>
      </c>
      <c r="J1498" s="286" t="s">
        <v>1312</v>
      </c>
      <c r="K1498" s="286" t="s">
        <v>2068</v>
      </c>
      <c r="L1498" s="286" t="s">
        <v>53</v>
      </c>
      <c r="M1498" s="286">
        <v>1</v>
      </c>
      <c r="N1498" s="287">
        <v>-5961.54</v>
      </c>
      <c r="O1498" s="287"/>
      <c r="P1498" s="286" t="s">
        <v>58</v>
      </c>
    </row>
    <row r="1499" spans="1:16" hidden="1" x14ac:dyDescent="0.15">
      <c r="A1499" s="286">
        <v>455146</v>
      </c>
      <c r="B1499" s="288">
        <v>45310.510416666664</v>
      </c>
      <c r="C1499" s="286" t="s">
        <v>1632</v>
      </c>
      <c r="D1499" s="286" t="s">
        <v>1105</v>
      </c>
      <c r="E1499" s="286" t="s">
        <v>1106</v>
      </c>
      <c r="F1499" s="286" t="s">
        <v>1725</v>
      </c>
      <c r="G1499" s="286" t="s">
        <v>1766</v>
      </c>
      <c r="H1499" s="286" t="s">
        <v>1766</v>
      </c>
      <c r="I1499" s="286" t="s">
        <v>1199</v>
      </c>
      <c r="J1499" s="286" t="s">
        <v>1312</v>
      </c>
      <c r="K1499" s="286" t="s">
        <v>2068</v>
      </c>
      <c r="L1499" s="286" t="s">
        <v>53</v>
      </c>
      <c r="M1499" s="286">
        <v>1</v>
      </c>
      <c r="N1499" s="287">
        <v>-5961.54</v>
      </c>
      <c r="O1499" s="287"/>
      <c r="P1499" s="286" t="s">
        <v>58</v>
      </c>
    </row>
    <row r="1500" spans="1:16" hidden="1" x14ac:dyDescent="0.15">
      <c r="A1500" s="286">
        <v>332510</v>
      </c>
      <c r="B1500" s="288">
        <v>45167.451388888891</v>
      </c>
      <c r="C1500" s="286" t="s">
        <v>1691</v>
      </c>
      <c r="D1500" s="286" t="s">
        <v>1105</v>
      </c>
      <c r="E1500" s="286" t="s">
        <v>1106</v>
      </c>
      <c r="F1500" s="286" t="s">
        <v>2049</v>
      </c>
      <c r="G1500" s="286" t="s">
        <v>1075</v>
      </c>
      <c r="H1500" s="286" t="s">
        <v>1075</v>
      </c>
      <c r="I1500" s="286" t="s">
        <v>1230</v>
      </c>
      <c r="J1500" s="286" t="s">
        <v>1312</v>
      </c>
      <c r="K1500" s="286" t="s">
        <v>2077</v>
      </c>
      <c r="L1500" s="286" t="s">
        <v>53</v>
      </c>
      <c r="M1500" s="286">
        <v>1</v>
      </c>
      <c r="N1500" s="287">
        <v>-6127</v>
      </c>
      <c r="O1500" s="287"/>
      <c r="P1500" s="286" t="s">
        <v>175</v>
      </c>
    </row>
    <row r="1501" spans="1:16" x14ac:dyDescent="0.15">
      <c r="A1501" s="286">
        <v>141159</v>
      </c>
      <c r="B1501" s="288">
        <v>44946.643055555556</v>
      </c>
      <c r="C1501" s="286" t="s">
        <v>1640</v>
      </c>
      <c r="D1501" s="286" t="s">
        <v>1105</v>
      </c>
      <c r="E1501" s="286" t="s">
        <v>1106</v>
      </c>
      <c r="F1501" s="286" t="s">
        <v>2078</v>
      </c>
      <c r="G1501" s="286" t="s">
        <v>1608</v>
      </c>
      <c r="H1501" s="286" t="s">
        <v>1608</v>
      </c>
      <c r="I1501" s="286" t="s">
        <v>1301</v>
      </c>
      <c r="J1501" s="286" t="s">
        <v>1312</v>
      </c>
      <c r="K1501" s="286" t="s">
        <v>53</v>
      </c>
      <c r="L1501" s="286" t="s">
        <v>53</v>
      </c>
      <c r="M1501" s="286" t="s">
        <v>53</v>
      </c>
      <c r="N1501" s="287">
        <v>-6994</v>
      </c>
      <c r="O1501" s="287"/>
    </row>
    <row r="1502" spans="1:16" hidden="1" x14ac:dyDescent="0.15">
      <c r="A1502" s="286">
        <v>433557</v>
      </c>
      <c r="B1502" s="288">
        <v>45278.675694444442</v>
      </c>
      <c r="C1502" s="286" t="s">
        <v>1654</v>
      </c>
      <c r="D1502" s="286" t="s">
        <v>1105</v>
      </c>
      <c r="E1502" s="286" t="s">
        <v>1106</v>
      </c>
      <c r="F1502" s="286" t="s">
        <v>1846</v>
      </c>
      <c r="G1502" s="286" t="s">
        <v>1010</v>
      </c>
      <c r="H1502" s="286" t="s">
        <v>1010</v>
      </c>
      <c r="I1502" s="286" t="s">
        <v>1199</v>
      </c>
      <c r="J1502" s="286" t="s">
        <v>1312</v>
      </c>
      <c r="K1502" s="286" t="s">
        <v>53</v>
      </c>
      <c r="L1502" s="286" t="s">
        <v>53</v>
      </c>
      <c r="M1502" s="286" t="s">
        <v>53</v>
      </c>
      <c r="N1502" s="287">
        <v>-7600.73</v>
      </c>
      <c r="O1502" s="287"/>
      <c r="P1502" s="286" t="s">
        <v>58</v>
      </c>
    </row>
    <row r="1503" spans="1:16" hidden="1" x14ac:dyDescent="0.15">
      <c r="A1503" s="286">
        <v>402221</v>
      </c>
      <c r="B1503" s="288">
        <v>45243.579861111109</v>
      </c>
      <c r="C1503" s="286" t="s">
        <v>1654</v>
      </c>
      <c r="D1503" s="286" t="s">
        <v>1105</v>
      </c>
      <c r="E1503" s="286" t="s">
        <v>1106</v>
      </c>
      <c r="F1503" s="286" t="s">
        <v>1724</v>
      </c>
      <c r="G1503" s="286" t="s">
        <v>1064</v>
      </c>
      <c r="H1503" s="286" t="s">
        <v>1064</v>
      </c>
      <c r="I1503" s="286" t="s">
        <v>1199</v>
      </c>
      <c r="J1503" s="286" t="s">
        <v>1312</v>
      </c>
      <c r="K1503" s="286" t="s">
        <v>53</v>
      </c>
      <c r="L1503" s="286" t="s">
        <v>53</v>
      </c>
      <c r="M1503" s="286" t="s">
        <v>53</v>
      </c>
      <c r="N1503" s="287">
        <v>-8058.64</v>
      </c>
      <c r="O1503" s="287"/>
      <c r="P1503" s="286" t="s">
        <v>58</v>
      </c>
    </row>
    <row r="1504" spans="1:16" hidden="1" x14ac:dyDescent="0.15">
      <c r="A1504" s="286">
        <v>407372</v>
      </c>
      <c r="B1504" s="288">
        <v>45246.521527777775</v>
      </c>
      <c r="C1504" s="286" t="s">
        <v>1654</v>
      </c>
      <c r="D1504" s="286" t="s">
        <v>1105</v>
      </c>
      <c r="E1504" s="286" t="s">
        <v>1106</v>
      </c>
      <c r="F1504" s="286" t="s">
        <v>1788</v>
      </c>
      <c r="G1504" s="286" t="s">
        <v>1064</v>
      </c>
      <c r="H1504" s="286" t="s">
        <v>1064</v>
      </c>
      <c r="I1504" s="286" t="s">
        <v>1228</v>
      </c>
      <c r="J1504" s="286" t="s">
        <v>1312</v>
      </c>
      <c r="K1504" s="286" t="s">
        <v>53</v>
      </c>
      <c r="L1504" s="286" t="s">
        <v>53</v>
      </c>
      <c r="M1504" s="286" t="s">
        <v>53</v>
      </c>
      <c r="N1504" s="287">
        <v>-8058.64</v>
      </c>
      <c r="O1504" s="287"/>
      <c r="P1504" s="286" t="s">
        <v>58</v>
      </c>
    </row>
    <row r="1505" spans="1:16" hidden="1" x14ac:dyDescent="0.15">
      <c r="A1505" s="286">
        <v>455146</v>
      </c>
      <c r="B1505" s="288">
        <v>45310.510416666664</v>
      </c>
      <c r="C1505" s="286" t="s">
        <v>1632</v>
      </c>
      <c r="D1505" s="286" t="s">
        <v>1105</v>
      </c>
      <c r="E1505" s="286" t="s">
        <v>1106</v>
      </c>
      <c r="F1505" s="286" t="s">
        <v>1725</v>
      </c>
      <c r="G1505" s="286" t="s">
        <v>1064</v>
      </c>
      <c r="H1505" s="286" t="s">
        <v>1064</v>
      </c>
      <c r="I1505" s="286" t="s">
        <v>1199</v>
      </c>
      <c r="J1505" s="286" t="s">
        <v>1312</v>
      </c>
      <c r="K1505" s="286" t="s">
        <v>53</v>
      </c>
      <c r="L1505" s="286" t="s">
        <v>53</v>
      </c>
      <c r="M1505" s="286" t="s">
        <v>53</v>
      </c>
      <c r="N1505" s="287">
        <v>-8058.64</v>
      </c>
      <c r="O1505" s="287"/>
      <c r="P1505" s="286" t="s">
        <v>58</v>
      </c>
    </row>
    <row r="1506" spans="1:16" hidden="1" x14ac:dyDescent="0.15">
      <c r="A1506" s="286">
        <v>455146</v>
      </c>
      <c r="B1506" s="288">
        <v>45310.510416666664</v>
      </c>
      <c r="C1506" s="286" t="s">
        <v>1632</v>
      </c>
      <c r="D1506" s="286" t="s">
        <v>1105</v>
      </c>
      <c r="E1506" s="286" t="s">
        <v>1106</v>
      </c>
      <c r="F1506" s="286" t="s">
        <v>1725</v>
      </c>
      <c r="G1506" s="286" t="s">
        <v>1064</v>
      </c>
      <c r="H1506" s="286" t="s">
        <v>1064</v>
      </c>
      <c r="I1506" s="286" t="s">
        <v>1228</v>
      </c>
      <c r="J1506" s="286" t="s">
        <v>1312</v>
      </c>
      <c r="K1506" s="286" t="s">
        <v>53</v>
      </c>
      <c r="L1506" s="286" t="s">
        <v>53</v>
      </c>
      <c r="M1506" s="286" t="s">
        <v>53</v>
      </c>
      <c r="N1506" s="287">
        <v>-8058.64</v>
      </c>
      <c r="O1506" s="287"/>
      <c r="P1506" s="286" t="s">
        <v>58</v>
      </c>
    </row>
    <row r="1507" spans="1:16" hidden="1" x14ac:dyDescent="0.15">
      <c r="A1507" s="286">
        <v>332510</v>
      </c>
      <c r="B1507" s="288">
        <v>45167.451388888891</v>
      </c>
      <c r="C1507" s="286" t="s">
        <v>1691</v>
      </c>
      <c r="D1507" s="286" t="s">
        <v>1105</v>
      </c>
      <c r="E1507" s="286" t="s">
        <v>1106</v>
      </c>
      <c r="F1507" s="286" t="s">
        <v>2049</v>
      </c>
      <c r="G1507" s="286" t="s">
        <v>1021</v>
      </c>
      <c r="H1507" s="286" t="s">
        <v>1021</v>
      </c>
      <c r="I1507" s="286" t="s">
        <v>1112</v>
      </c>
      <c r="J1507" s="286" t="s">
        <v>1312</v>
      </c>
      <c r="K1507" s="286" t="s">
        <v>2079</v>
      </c>
      <c r="L1507" s="286" t="s">
        <v>53</v>
      </c>
      <c r="M1507" s="286">
        <v>1</v>
      </c>
      <c r="N1507" s="287">
        <v>-8317.5</v>
      </c>
      <c r="O1507" s="287"/>
      <c r="P1507" s="286" t="s">
        <v>175</v>
      </c>
    </row>
    <row r="1508" spans="1:16" hidden="1" x14ac:dyDescent="0.15">
      <c r="A1508" s="286">
        <v>339870</v>
      </c>
      <c r="B1508" s="288">
        <v>45177.481944444444</v>
      </c>
      <c r="C1508" s="286" t="s">
        <v>1676</v>
      </c>
      <c r="D1508" s="286" t="s">
        <v>1105</v>
      </c>
      <c r="E1508" s="286" t="s">
        <v>1106</v>
      </c>
      <c r="F1508" s="286" t="s">
        <v>1715</v>
      </c>
      <c r="G1508" s="286" t="s">
        <v>1021</v>
      </c>
      <c r="H1508" s="286" t="s">
        <v>1021</v>
      </c>
      <c r="I1508" s="286" t="s">
        <v>1112</v>
      </c>
      <c r="J1508" s="286" t="s">
        <v>1312</v>
      </c>
      <c r="K1508" s="286" t="s">
        <v>2079</v>
      </c>
      <c r="L1508" s="286" t="s">
        <v>53</v>
      </c>
      <c r="M1508" s="286">
        <v>1</v>
      </c>
      <c r="N1508" s="287">
        <v>-8317.5</v>
      </c>
      <c r="O1508" s="287"/>
      <c r="P1508" s="286" t="s">
        <v>175</v>
      </c>
    </row>
    <row r="1509" spans="1:16" hidden="1" x14ac:dyDescent="0.15">
      <c r="A1509" s="286">
        <v>262367</v>
      </c>
      <c r="B1509" s="288">
        <v>45100.55972222222</v>
      </c>
      <c r="C1509" s="286" t="s">
        <v>1649</v>
      </c>
      <c r="D1509" s="286" t="s">
        <v>1105</v>
      </c>
      <c r="E1509" s="286" t="s">
        <v>1106</v>
      </c>
      <c r="F1509" s="286" t="s">
        <v>2080</v>
      </c>
      <c r="G1509" s="286" t="s">
        <v>1005</v>
      </c>
      <c r="H1509" s="286" t="s">
        <v>1005</v>
      </c>
      <c r="I1509" s="286" t="s">
        <v>1112</v>
      </c>
      <c r="J1509" s="286" t="s">
        <v>1312</v>
      </c>
      <c r="K1509" s="286" t="s">
        <v>53</v>
      </c>
      <c r="L1509" s="286" t="s">
        <v>53</v>
      </c>
      <c r="M1509" s="286" t="s">
        <v>53</v>
      </c>
      <c r="N1509" s="287">
        <v>-9353</v>
      </c>
      <c r="O1509" s="287"/>
      <c r="P1509" s="286" t="s">
        <v>175</v>
      </c>
    </row>
    <row r="1510" spans="1:16" hidden="1" x14ac:dyDescent="0.15">
      <c r="A1510" s="286">
        <v>408089</v>
      </c>
      <c r="B1510" s="288">
        <v>45246.672222222223</v>
      </c>
      <c r="C1510" s="286" t="s">
        <v>1642</v>
      </c>
      <c r="D1510" s="286" t="s">
        <v>1105</v>
      </c>
      <c r="E1510" s="286" t="s">
        <v>1106</v>
      </c>
      <c r="F1510" s="286" t="s">
        <v>1784</v>
      </c>
      <c r="G1510" s="286" t="s">
        <v>1766</v>
      </c>
      <c r="H1510" s="286" t="s">
        <v>1766</v>
      </c>
      <c r="I1510" s="286" t="s">
        <v>1199</v>
      </c>
      <c r="J1510" s="286" t="s">
        <v>1312</v>
      </c>
      <c r="K1510" s="286" t="s">
        <v>53</v>
      </c>
      <c r="L1510" s="286" t="s">
        <v>53</v>
      </c>
      <c r="M1510" s="286" t="s">
        <v>53</v>
      </c>
      <c r="N1510" s="287">
        <v>-9522</v>
      </c>
      <c r="O1510" s="287"/>
      <c r="P1510" s="286" t="s">
        <v>58</v>
      </c>
    </row>
    <row r="1511" spans="1:16" hidden="1" x14ac:dyDescent="0.15">
      <c r="A1511" s="286">
        <v>408189</v>
      </c>
      <c r="B1511" s="288">
        <v>45246.67291666667</v>
      </c>
      <c r="C1511" s="286" t="s">
        <v>1654</v>
      </c>
      <c r="D1511" s="286" t="s">
        <v>1105</v>
      </c>
      <c r="E1511" s="286" t="s">
        <v>1106</v>
      </c>
      <c r="F1511" s="286" t="s">
        <v>1785</v>
      </c>
      <c r="G1511" s="286" t="s">
        <v>1766</v>
      </c>
      <c r="H1511" s="286" t="s">
        <v>1766</v>
      </c>
      <c r="I1511" s="286" t="s">
        <v>1199</v>
      </c>
      <c r="J1511" s="286" t="s">
        <v>1312</v>
      </c>
      <c r="K1511" s="286" t="s">
        <v>53</v>
      </c>
      <c r="L1511" s="286" t="s">
        <v>53</v>
      </c>
      <c r="M1511" s="286" t="s">
        <v>53</v>
      </c>
      <c r="N1511" s="287">
        <v>-9522</v>
      </c>
      <c r="O1511" s="287"/>
      <c r="P1511" s="286" t="s">
        <v>58</v>
      </c>
    </row>
    <row r="1512" spans="1:16" hidden="1" x14ac:dyDescent="0.15">
      <c r="A1512" s="286">
        <v>455146</v>
      </c>
      <c r="B1512" s="288">
        <v>45310.510416666664</v>
      </c>
      <c r="C1512" s="286" t="s">
        <v>1632</v>
      </c>
      <c r="D1512" s="286" t="s">
        <v>1105</v>
      </c>
      <c r="E1512" s="286" t="s">
        <v>1106</v>
      </c>
      <c r="F1512" s="286" t="s">
        <v>1725</v>
      </c>
      <c r="G1512" s="286" t="s">
        <v>1766</v>
      </c>
      <c r="H1512" s="286" t="s">
        <v>1766</v>
      </c>
      <c r="I1512" s="286" t="s">
        <v>1199</v>
      </c>
      <c r="J1512" s="286" t="s">
        <v>1312</v>
      </c>
      <c r="K1512" s="286" t="s">
        <v>53</v>
      </c>
      <c r="L1512" s="286" t="s">
        <v>53</v>
      </c>
      <c r="M1512" s="286" t="s">
        <v>53</v>
      </c>
      <c r="N1512" s="287">
        <v>-9522</v>
      </c>
      <c r="O1512" s="287"/>
      <c r="P1512" s="286" t="s">
        <v>58</v>
      </c>
    </row>
    <row r="1513" spans="1:16" hidden="1" x14ac:dyDescent="0.15">
      <c r="A1513" s="286">
        <v>328287</v>
      </c>
      <c r="B1513" s="288">
        <v>45161.62777777778</v>
      </c>
      <c r="C1513" s="286" t="s">
        <v>1691</v>
      </c>
      <c r="D1513" s="286" t="s">
        <v>1105</v>
      </c>
      <c r="E1513" s="286" t="s">
        <v>1106</v>
      </c>
      <c r="F1513" s="286" t="s">
        <v>1714</v>
      </c>
      <c r="G1513" s="286" t="s">
        <v>1007</v>
      </c>
      <c r="H1513" s="286" t="s">
        <v>1007</v>
      </c>
      <c r="I1513" s="286" t="s">
        <v>1199</v>
      </c>
      <c r="J1513" s="286" t="s">
        <v>1312</v>
      </c>
      <c r="K1513" s="286" t="s">
        <v>2081</v>
      </c>
      <c r="L1513" s="286" t="s">
        <v>53</v>
      </c>
      <c r="M1513" s="286">
        <v>1</v>
      </c>
      <c r="N1513" s="287">
        <v>-9840.18</v>
      </c>
      <c r="O1513" s="287"/>
      <c r="P1513" s="286" t="s">
        <v>58</v>
      </c>
    </row>
    <row r="1514" spans="1:16" hidden="1" x14ac:dyDescent="0.15">
      <c r="A1514" s="286">
        <v>453774</v>
      </c>
      <c r="B1514" s="288">
        <v>45309.623611111114</v>
      </c>
      <c r="C1514" s="286" t="s">
        <v>1632</v>
      </c>
      <c r="D1514" s="286" t="s">
        <v>1105</v>
      </c>
      <c r="E1514" s="286" t="s">
        <v>1106</v>
      </c>
      <c r="F1514" s="286" t="s">
        <v>2082</v>
      </c>
      <c r="G1514" s="286" t="s">
        <v>1052</v>
      </c>
      <c r="H1514" s="286" t="s">
        <v>1052</v>
      </c>
      <c r="I1514" s="286" t="s">
        <v>1228</v>
      </c>
      <c r="J1514" s="286" t="s">
        <v>1312</v>
      </c>
      <c r="K1514" s="286" t="s">
        <v>53</v>
      </c>
      <c r="L1514" s="286" t="s">
        <v>53</v>
      </c>
      <c r="M1514" s="286" t="s">
        <v>53</v>
      </c>
      <c r="N1514" s="287">
        <v>-10175.959999999999</v>
      </c>
      <c r="O1514" s="287"/>
      <c r="P1514" s="286" t="s">
        <v>58</v>
      </c>
    </row>
    <row r="1515" spans="1:16" hidden="1" x14ac:dyDescent="0.15">
      <c r="A1515" s="286">
        <v>354635</v>
      </c>
      <c r="B1515" s="288">
        <v>45190.588194444441</v>
      </c>
      <c r="C1515" s="286" t="s">
        <v>1676</v>
      </c>
      <c r="D1515" s="286" t="s">
        <v>1105</v>
      </c>
      <c r="E1515" s="286" t="s">
        <v>1106</v>
      </c>
      <c r="F1515" s="286" t="s">
        <v>1703</v>
      </c>
      <c r="G1515" s="286" t="s">
        <v>1083</v>
      </c>
      <c r="H1515" s="286" t="s">
        <v>1083</v>
      </c>
      <c r="I1515" s="286" t="s">
        <v>1112</v>
      </c>
      <c r="J1515" s="286" t="s">
        <v>1312</v>
      </c>
      <c r="K1515" s="286" t="s">
        <v>53</v>
      </c>
      <c r="L1515" s="286" t="s">
        <v>53</v>
      </c>
      <c r="M1515" s="286" t="s">
        <v>53</v>
      </c>
      <c r="N1515" s="287">
        <v>-10290</v>
      </c>
      <c r="O1515" s="287"/>
      <c r="P1515" s="286" t="s">
        <v>175</v>
      </c>
    </row>
    <row r="1516" spans="1:16" hidden="1" x14ac:dyDescent="0.15">
      <c r="A1516" s="286">
        <v>332510</v>
      </c>
      <c r="B1516" s="288">
        <v>45167.451388888891</v>
      </c>
      <c r="C1516" s="286" t="s">
        <v>1691</v>
      </c>
      <c r="D1516" s="286" t="s">
        <v>1105</v>
      </c>
      <c r="E1516" s="286" t="s">
        <v>1106</v>
      </c>
      <c r="F1516" s="286" t="s">
        <v>2049</v>
      </c>
      <c r="G1516" s="286" t="s">
        <v>1021</v>
      </c>
      <c r="H1516" s="286" t="s">
        <v>1021</v>
      </c>
      <c r="I1516" s="286" t="s">
        <v>1112</v>
      </c>
      <c r="J1516" s="286" t="s">
        <v>1312</v>
      </c>
      <c r="K1516" s="286" t="s">
        <v>2046</v>
      </c>
      <c r="L1516" s="286" t="s">
        <v>53</v>
      </c>
      <c r="M1516" s="286">
        <v>1</v>
      </c>
      <c r="N1516" s="287">
        <v>-12790.5</v>
      </c>
      <c r="O1516" s="287"/>
      <c r="P1516" s="286" t="s">
        <v>175</v>
      </c>
    </row>
    <row r="1517" spans="1:16" hidden="1" x14ac:dyDescent="0.15">
      <c r="A1517" s="286">
        <v>339870</v>
      </c>
      <c r="B1517" s="288">
        <v>45177.481944444444</v>
      </c>
      <c r="C1517" s="286" t="s">
        <v>1676</v>
      </c>
      <c r="D1517" s="286" t="s">
        <v>1105</v>
      </c>
      <c r="E1517" s="286" t="s">
        <v>1106</v>
      </c>
      <c r="F1517" s="286" t="s">
        <v>1715</v>
      </c>
      <c r="G1517" s="286" t="s">
        <v>1021</v>
      </c>
      <c r="H1517" s="286" t="s">
        <v>1021</v>
      </c>
      <c r="I1517" s="286" t="s">
        <v>1112</v>
      </c>
      <c r="J1517" s="286" t="s">
        <v>1312</v>
      </c>
      <c r="K1517" s="286" t="s">
        <v>2046</v>
      </c>
      <c r="L1517" s="286" t="s">
        <v>53</v>
      </c>
      <c r="M1517" s="286">
        <v>1</v>
      </c>
      <c r="N1517" s="287">
        <v>-12790.5</v>
      </c>
      <c r="O1517" s="287"/>
      <c r="P1517" s="286" t="s">
        <v>175</v>
      </c>
    </row>
    <row r="1518" spans="1:16" hidden="1" x14ac:dyDescent="0.15">
      <c r="A1518" s="286">
        <v>280469</v>
      </c>
      <c r="B1518" s="288">
        <v>45119.52847222222</v>
      </c>
      <c r="C1518" s="286" t="s">
        <v>1649</v>
      </c>
      <c r="D1518" s="286" t="s">
        <v>1105</v>
      </c>
      <c r="E1518" s="286" t="s">
        <v>1106</v>
      </c>
      <c r="F1518" s="286" t="s">
        <v>2035</v>
      </c>
      <c r="G1518" s="286" t="s">
        <v>1005</v>
      </c>
      <c r="H1518" s="286" t="s">
        <v>1005</v>
      </c>
      <c r="I1518" s="286" t="s">
        <v>1199</v>
      </c>
      <c r="J1518" s="286" t="s">
        <v>1312</v>
      </c>
      <c r="K1518" s="286" t="s">
        <v>53</v>
      </c>
      <c r="L1518" s="286" t="s">
        <v>53</v>
      </c>
      <c r="M1518" s="286" t="s">
        <v>53</v>
      </c>
      <c r="N1518" s="287">
        <v>-13901</v>
      </c>
      <c r="O1518" s="287"/>
      <c r="P1518" s="286" t="s">
        <v>58</v>
      </c>
    </row>
    <row r="1519" spans="1:16" hidden="1" x14ac:dyDescent="0.15">
      <c r="A1519" s="286">
        <v>455146</v>
      </c>
      <c r="B1519" s="288">
        <v>45310.510416666664</v>
      </c>
      <c r="C1519" s="286" t="s">
        <v>1632</v>
      </c>
      <c r="D1519" s="286" t="s">
        <v>1105</v>
      </c>
      <c r="E1519" s="286" t="s">
        <v>1106</v>
      </c>
      <c r="F1519" s="286" t="s">
        <v>1725</v>
      </c>
      <c r="G1519" s="286" t="s">
        <v>1075</v>
      </c>
      <c r="H1519" s="286" t="s">
        <v>1075</v>
      </c>
      <c r="I1519" s="286" t="s">
        <v>1228</v>
      </c>
      <c r="J1519" s="286" t="s">
        <v>53</v>
      </c>
      <c r="K1519" s="286" t="s">
        <v>53</v>
      </c>
      <c r="L1519" s="286" t="s">
        <v>53</v>
      </c>
      <c r="M1519" s="286" t="s">
        <v>53</v>
      </c>
      <c r="N1519" s="287">
        <v>-15955.39</v>
      </c>
      <c r="O1519" s="287"/>
      <c r="P1519" s="286" t="s">
        <v>58</v>
      </c>
    </row>
    <row r="1520" spans="1:16" hidden="1" x14ac:dyDescent="0.15">
      <c r="A1520" s="286">
        <v>278788</v>
      </c>
      <c r="B1520" s="288">
        <v>45118.57708333333</v>
      </c>
      <c r="C1520" s="286" t="s">
        <v>1649</v>
      </c>
      <c r="D1520" s="286" t="s">
        <v>1105</v>
      </c>
      <c r="E1520" s="286" t="s">
        <v>1106</v>
      </c>
      <c r="F1520" s="286" t="s">
        <v>1712</v>
      </c>
      <c r="G1520" s="286" t="s">
        <v>1075</v>
      </c>
      <c r="H1520" s="286" t="s">
        <v>1075</v>
      </c>
      <c r="I1520" s="286" t="s">
        <v>1228</v>
      </c>
      <c r="J1520" s="286" t="s">
        <v>53</v>
      </c>
      <c r="K1520" s="286" t="s">
        <v>53</v>
      </c>
      <c r="L1520" s="286" t="s">
        <v>53</v>
      </c>
      <c r="M1520" s="286" t="s">
        <v>53</v>
      </c>
      <c r="N1520" s="287">
        <v>-15955.42</v>
      </c>
      <c r="O1520" s="287"/>
      <c r="P1520" s="286" t="s">
        <v>58</v>
      </c>
    </row>
    <row r="1521" spans="1:16" hidden="1" x14ac:dyDescent="0.15">
      <c r="A1521" s="286">
        <v>284271</v>
      </c>
      <c r="B1521" s="288">
        <v>45121.682638888888</v>
      </c>
      <c r="C1521" s="286" t="s">
        <v>1636</v>
      </c>
      <c r="D1521" s="286" t="s">
        <v>1105</v>
      </c>
      <c r="E1521" s="286" t="s">
        <v>1106</v>
      </c>
      <c r="F1521" s="286" t="s">
        <v>1713</v>
      </c>
      <c r="G1521" s="286" t="s">
        <v>1075</v>
      </c>
      <c r="H1521" s="286" t="s">
        <v>1075</v>
      </c>
      <c r="I1521" s="286" t="s">
        <v>1228</v>
      </c>
      <c r="J1521" s="286" t="s">
        <v>53</v>
      </c>
      <c r="K1521" s="286" t="s">
        <v>53</v>
      </c>
      <c r="L1521" s="286" t="s">
        <v>53</v>
      </c>
      <c r="M1521" s="286" t="s">
        <v>53</v>
      </c>
      <c r="N1521" s="287">
        <v>-15955.42</v>
      </c>
      <c r="O1521" s="287"/>
      <c r="P1521" s="286" t="s">
        <v>58</v>
      </c>
    </row>
    <row r="1522" spans="1:16" hidden="1" x14ac:dyDescent="0.15">
      <c r="A1522" s="286">
        <v>328287</v>
      </c>
      <c r="B1522" s="288">
        <v>45161.62777777778</v>
      </c>
      <c r="C1522" s="286" t="s">
        <v>1691</v>
      </c>
      <c r="D1522" s="286" t="s">
        <v>1105</v>
      </c>
      <c r="E1522" s="286" t="s">
        <v>1106</v>
      </c>
      <c r="F1522" s="286" t="s">
        <v>1714</v>
      </c>
      <c r="G1522" s="286" t="s">
        <v>1075</v>
      </c>
      <c r="H1522" s="286" t="s">
        <v>1075</v>
      </c>
      <c r="I1522" s="286" t="s">
        <v>1228</v>
      </c>
      <c r="J1522" s="286" t="s">
        <v>53</v>
      </c>
      <c r="K1522" s="286" t="s">
        <v>53</v>
      </c>
      <c r="L1522" s="286" t="s">
        <v>53</v>
      </c>
      <c r="M1522" s="286" t="s">
        <v>53</v>
      </c>
      <c r="N1522" s="287">
        <v>-15955.42</v>
      </c>
      <c r="O1522" s="287"/>
      <c r="P1522" s="286" t="s">
        <v>58</v>
      </c>
    </row>
    <row r="1523" spans="1:16" hidden="1" x14ac:dyDescent="0.15">
      <c r="A1523" s="286">
        <v>339870</v>
      </c>
      <c r="B1523" s="288">
        <v>45177.481944444444</v>
      </c>
      <c r="C1523" s="286" t="s">
        <v>1676</v>
      </c>
      <c r="D1523" s="286" t="s">
        <v>1105</v>
      </c>
      <c r="E1523" s="286" t="s">
        <v>1106</v>
      </c>
      <c r="F1523" s="286" t="s">
        <v>1715</v>
      </c>
      <c r="G1523" s="286" t="s">
        <v>1075</v>
      </c>
      <c r="H1523" s="286" t="s">
        <v>1075</v>
      </c>
      <c r="I1523" s="286" t="s">
        <v>1228</v>
      </c>
      <c r="J1523" s="286" t="s">
        <v>53</v>
      </c>
      <c r="K1523" s="286" t="s">
        <v>53</v>
      </c>
      <c r="L1523" s="286" t="s">
        <v>53</v>
      </c>
      <c r="M1523" s="286" t="s">
        <v>53</v>
      </c>
      <c r="N1523" s="287">
        <v>-15955.42</v>
      </c>
      <c r="O1523" s="287"/>
      <c r="P1523" s="286" t="s">
        <v>58</v>
      </c>
    </row>
    <row r="1524" spans="1:16" hidden="1" x14ac:dyDescent="0.15">
      <c r="A1524" s="286">
        <v>370270</v>
      </c>
      <c r="B1524" s="288">
        <v>45208.668055555558</v>
      </c>
      <c r="C1524" s="286" t="s">
        <v>1642</v>
      </c>
      <c r="D1524" s="286" t="s">
        <v>1105</v>
      </c>
      <c r="E1524" s="286" t="s">
        <v>1106</v>
      </c>
      <c r="F1524" s="286" t="s">
        <v>1716</v>
      </c>
      <c r="G1524" s="286" t="s">
        <v>1075</v>
      </c>
      <c r="H1524" s="286" t="s">
        <v>1075</v>
      </c>
      <c r="I1524" s="286" t="s">
        <v>1228</v>
      </c>
      <c r="J1524" s="286" t="s">
        <v>53</v>
      </c>
      <c r="K1524" s="286" t="s">
        <v>53</v>
      </c>
      <c r="L1524" s="286" t="s">
        <v>53</v>
      </c>
      <c r="M1524" s="286" t="s">
        <v>53</v>
      </c>
      <c r="N1524" s="287">
        <v>-15955.42</v>
      </c>
      <c r="O1524" s="287"/>
      <c r="P1524" s="286" t="s">
        <v>58</v>
      </c>
    </row>
    <row r="1525" spans="1:16" hidden="1" x14ac:dyDescent="0.15">
      <c r="A1525" s="286">
        <v>402221</v>
      </c>
      <c r="B1525" s="288">
        <v>45243.579861111109</v>
      </c>
      <c r="C1525" s="286" t="s">
        <v>1654</v>
      </c>
      <c r="D1525" s="286" t="s">
        <v>1105</v>
      </c>
      <c r="E1525" s="286" t="s">
        <v>1106</v>
      </c>
      <c r="F1525" s="286" t="s">
        <v>1724</v>
      </c>
      <c r="G1525" s="286" t="s">
        <v>1075</v>
      </c>
      <c r="H1525" s="286" t="s">
        <v>1075</v>
      </c>
      <c r="I1525" s="286" t="s">
        <v>1228</v>
      </c>
      <c r="J1525" s="286" t="s">
        <v>53</v>
      </c>
      <c r="K1525" s="286" t="s">
        <v>53</v>
      </c>
      <c r="L1525" s="286" t="s">
        <v>53</v>
      </c>
      <c r="M1525" s="286" t="s">
        <v>53</v>
      </c>
      <c r="N1525" s="287">
        <v>-15955.42</v>
      </c>
      <c r="O1525" s="287"/>
      <c r="P1525" s="286" t="s">
        <v>58</v>
      </c>
    </row>
    <row r="1526" spans="1:16" hidden="1" x14ac:dyDescent="0.15">
      <c r="A1526" s="299">
        <v>442744</v>
      </c>
      <c r="B1526" s="312">
        <v>45300.341666666667</v>
      </c>
      <c r="C1526" s="299" t="s">
        <v>1632</v>
      </c>
      <c r="D1526" s="299" t="s">
        <v>1105</v>
      </c>
      <c r="E1526" s="299" t="s">
        <v>1106</v>
      </c>
      <c r="F1526" s="299" t="s">
        <v>1633</v>
      </c>
      <c r="G1526" s="299" t="s">
        <v>1079</v>
      </c>
      <c r="H1526" s="286" t="s">
        <v>1079</v>
      </c>
      <c r="I1526" s="286" t="s">
        <v>1108</v>
      </c>
      <c r="J1526" s="286" t="s">
        <v>1312</v>
      </c>
      <c r="K1526" s="286" t="s">
        <v>2083</v>
      </c>
      <c r="L1526" s="286" t="s">
        <v>53</v>
      </c>
      <c r="M1526" s="286">
        <v>1</v>
      </c>
      <c r="N1526" s="287">
        <v>-16452</v>
      </c>
      <c r="O1526" s="305">
        <f>EOMONTH(B1526,0)</f>
        <v>45322</v>
      </c>
      <c r="P1526" s="286" t="s">
        <v>37</v>
      </c>
    </row>
    <row r="1527" spans="1:16" hidden="1" x14ac:dyDescent="0.15">
      <c r="A1527" s="286">
        <v>141159</v>
      </c>
      <c r="B1527" s="288">
        <v>44946.643055555556</v>
      </c>
      <c r="C1527" s="286" t="s">
        <v>1640</v>
      </c>
      <c r="D1527" s="286" t="s">
        <v>1105</v>
      </c>
      <c r="E1527" s="286" t="s">
        <v>1106</v>
      </c>
      <c r="F1527" s="286" t="s">
        <v>2078</v>
      </c>
      <c r="H1527" s="286" t="s">
        <v>1044</v>
      </c>
      <c r="I1527" s="286" t="s">
        <v>1301</v>
      </c>
      <c r="J1527" s="286" t="s">
        <v>1312</v>
      </c>
      <c r="K1527" s="286" t="s">
        <v>53</v>
      </c>
      <c r="L1527" s="286" t="s">
        <v>53</v>
      </c>
      <c r="M1527" s="286" t="s">
        <v>53</v>
      </c>
      <c r="N1527" s="287">
        <v>-16750</v>
      </c>
      <c r="O1527" s="287"/>
      <c r="P1527" s="286" t="s">
        <v>55</v>
      </c>
    </row>
    <row r="1528" spans="1:16" hidden="1" x14ac:dyDescent="0.15">
      <c r="A1528" s="286">
        <v>402221</v>
      </c>
      <c r="B1528" s="288">
        <v>45243.579861111109</v>
      </c>
      <c r="C1528" s="286" t="s">
        <v>1654</v>
      </c>
      <c r="D1528" s="286" t="s">
        <v>1105</v>
      </c>
      <c r="E1528" s="286" t="s">
        <v>1106</v>
      </c>
      <c r="F1528" s="286" t="s">
        <v>1724</v>
      </c>
      <c r="G1528" s="286" t="s">
        <v>1041</v>
      </c>
      <c r="H1528" s="286" t="s">
        <v>1041</v>
      </c>
      <c r="I1528" s="286" t="s">
        <v>1199</v>
      </c>
      <c r="J1528" s="286" t="s">
        <v>1312</v>
      </c>
      <c r="K1528" s="286" t="s">
        <v>53</v>
      </c>
      <c r="L1528" s="286" t="s">
        <v>53</v>
      </c>
      <c r="M1528" s="286" t="s">
        <v>53</v>
      </c>
      <c r="N1528" s="287">
        <v>-19345.36</v>
      </c>
      <c r="O1528" s="287"/>
      <c r="P1528" s="286" t="s">
        <v>58</v>
      </c>
    </row>
    <row r="1529" spans="1:16" hidden="1" x14ac:dyDescent="0.15">
      <c r="A1529" s="286">
        <v>339870</v>
      </c>
      <c r="B1529" s="288">
        <v>45177.481944444444</v>
      </c>
      <c r="C1529" s="286" t="s">
        <v>1676</v>
      </c>
      <c r="D1529" s="286" t="s">
        <v>1105</v>
      </c>
      <c r="E1529" s="286" t="s">
        <v>1106</v>
      </c>
      <c r="F1529" s="286" t="s">
        <v>1715</v>
      </c>
      <c r="G1529" s="286" t="s">
        <v>1028</v>
      </c>
      <c r="I1529" s="286" t="s">
        <v>1230</v>
      </c>
      <c r="J1529" s="286" t="s">
        <v>1312</v>
      </c>
      <c r="K1529" s="286" t="s">
        <v>2077</v>
      </c>
      <c r="L1529" s="286" t="s">
        <v>53</v>
      </c>
      <c r="M1529" s="286">
        <v>1</v>
      </c>
      <c r="N1529" s="287">
        <v>-20021</v>
      </c>
      <c r="O1529" s="287"/>
      <c r="P1529" s="286" t="s">
        <v>175</v>
      </c>
    </row>
    <row r="1530" spans="1:16" hidden="1" x14ac:dyDescent="0.15">
      <c r="A1530" s="286">
        <v>410317</v>
      </c>
      <c r="B1530" s="288">
        <v>45250.461111111108</v>
      </c>
      <c r="C1530" s="286" t="s">
        <v>1654</v>
      </c>
      <c r="D1530" s="286" t="s">
        <v>1105</v>
      </c>
      <c r="E1530" s="286" t="s">
        <v>1106</v>
      </c>
      <c r="F1530" s="286" t="s">
        <v>2060</v>
      </c>
      <c r="G1530" s="286" t="s">
        <v>1017</v>
      </c>
      <c r="H1530" s="286" t="s">
        <v>1017</v>
      </c>
      <c r="I1530" s="286" t="s">
        <v>1230</v>
      </c>
      <c r="J1530" s="286" t="s">
        <v>1312</v>
      </c>
      <c r="K1530" s="286" t="s">
        <v>2077</v>
      </c>
      <c r="L1530" s="286" t="s">
        <v>53</v>
      </c>
      <c r="M1530" s="286">
        <v>1</v>
      </c>
      <c r="N1530" s="287">
        <v>-20831</v>
      </c>
      <c r="O1530" s="287"/>
      <c r="P1530" s="286" t="s">
        <v>175</v>
      </c>
    </row>
    <row r="1531" spans="1:16" hidden="1" x14ac:dyDescent="0.15">
      <c r="A1531" s="286">
        <v>284271</v>
      </c>
      <c r="B1531" s="288">
        <v>45121.682638888888</v>
      </c>
      <c r="C1531" s="286" t="s">
        <v>1636</v>
      </c>
      <c r="D1531" s="286" t="s">
        <v>1105</v>
      </c>
      <c r="E1531" s="286" t="s">
        <v>1106</v>
      </c>
      <c r="F1531" s="286" t="s">
        <v>1713</v>
      </c>
      <c r="G1531" s="286" t="s">
        <v>1079</v>
      </c>
      <c r="H1531" s="286" t="s">
        <v>1079</v>
      </c>
      <c r="I1531" s="286" t="s">
        <v>1112</v>
      </c>
      <c r="J1531" s="286" t="s">
        <v>1312</v>
      </c>
      <c r="K1531" s="286" t="s">
        <v>2046</v>
      </c>
      <c r="L1531" s="286" t="s">
        <v>53</v>
      </c>
      <c r="M1531" s="286">
        <v>1</v>
      </c>
      <c r="N1531" s="287">
        <v>-21051</v>
      </c>
      <c r="O1531" s="287"/>
      <c r="P1531" s="286" t="s">
        <v>175</v>
      </c>
    </row>
    <row r="1532" spans="1:16" hidden="1" x14ac:dyDescent="0.15">
      <c r="A1532" s="286">
        <v>332510</v>
      </c>
      <c r="B1532" s="288">
        <v>45167.451388888891</v>
      </c>
      <c r="C1532" s="286" t="s">
        <v>1691</v>
      </c>
      <c r="D1532" s="286" t="s">
        <v>1105</v>
      </c>
      <c r="E1532" s="286" t="s">
        <v>1106</v>
      </c>
      <c r="F1532" s="286" t="s">
        <v>2049</v>
      </c>
      <c r="G1532" s="286" t="s">
        <v>1007</v>
      </c>
      <c r="H1532" s="286" t="s">
        <v>1007</v>
      </c>
      <c r="I1532" s="286" t="s">
        <v>1112</v>
      </c>
      <c r="J1532" s="286" t="s">
        <v>1312</v>
      </c>
      <c r="K1532" s="286" t="s">
        <v>2046</v>
      </c>
      <c r="L1532" s="286" t="s">
        <v>53</v>
      </c>
      <c r="M1532" s="286">
        <v>1</v>
      </c>
      <c r="N1532" s="287">
        <v>-22414</v>
      </c>
      <c r="O1532" s="287"/>
      <c r="P1532" s="286" t="s">
        <v>175</v>
      </c>
    </row>
    <row r="1533" spans="1:16" hidden="1" x14ac:dyDescent="0.15">
      <c r="A1533" s="286">
        <v>339870</v>
      </c>
      <c r="B1533" s="288">
        <v>45177.481944444444</v>
      </c>
      <c r="C1533" s="286" t="s">
        <v>1676</v>
      </c>
      <c r="D1533" s="286" t="s">
        <v>1105</v>
      </c>
      <c r="E1533" s="286" t="s">
        <v>1106</v>
      </c>
      <c r="F1533" s="286" t="s">
        <v>1715</v>
      </c>
      <c r="G1533" s="286" t="s">
        <v>1007</v>
      </c>
      <c r="H1533" s="286" t="s">
        <v>1007</v>
      </c>
      <c r="I1533" s="286" t="s">
        <v>1199</v>
      </c>
      <c r="J1533" s="286" t="s">
        <v>1312</v>
      </c>
      <c r="K1533" s="286" t="s">
        <v>2081</v>
      </c>
      <c r="L1533" s="286" t="s">
        <v>53</v>
      </c>
      <c r="M1533" s="286">
        <v>1</v>
      </c>
      <c r="N1533" s="287">
        <v>-23052.18</v>
      </c>
      <c r="O1533" s="287"/>
      <c r="P1533" s="286" t="s">
        <v>58</v>
      </c>
    </row>
    <row r="1534" spans="1:16" hidden="1" x14ac:dyDescent="0.15">
      <c r="A1534" s="286">
        <v>370270</v>
      </c>
      <c r="B1534" s="288">
        <v>45208.668055555558</v>
      </c>
      <c r="C1534" s="286" t="s">
        <v>1642</v>
      </c>
      <c r="D1534" s="286" t="s">
        <v>1105</v>
      </c>
      <c r="E1534" s="286" t="s">
        <v>1106</v>
      </c>
      <c r="F1534" s="286" t="s">
        <v>1716</v>
      </c>
      <c r="G1534" s="286" t="s">
        <v>1007</v>
      </c>
      <c r="H1534" s="286" t="s">
        <v>1007</v>
      </c>
      <c r="I1534" s="286" t="s">
        <v>1199</v>
      </c>
      <c r="J1534" s="286" t="s">
        <v>1312</v>
      </c>
      <c r="K1534" s="286" t="s">
        <v>2081</v>
      </c>
      <c r="L1534" s="286" t="s">
        <v>53</v>
      </c>
      <c r="M1534" s="286">
        <v>1</v>
      </c>
      <c r="N1534" s="287">
        <v>-23052.18</v>
      </c>
      <c r="O1534" s="287"/>
      <c r="P1534" s="286" t="s">
        <v>58</v>
      </c>
    </row>
    <row r="1535" spans="1:16" hidden="1" x14ac:dyDescent="0.15">
      <c r="A1535" s="286">
        <v>402221</v>
      </c>
      <c r="B1535" s="288">
        <v>45243.579861111109</v>
      </c>
      <c r="C1535" s="286" t="s">
        <v>1654</v>
      </c>
      <c r="D1535" s="286" t="s">
        <v>1105</v>
      </c>
      <c r="E1535" s="286" t="s">
        <v>1106</v>
      </c>
      <c r="F1535" s="286" t="s">
        <v>1724</v>
      </c>
      <c r="G1535" s="286" t="s">
        <v>1007</v>
      </c>
      <c r="H1535" s="286" t="s">
        <v>1007</v>
      </c>
      <c r="I1535" s="286" t="s">
        <v>1199</v>
      </c>
      <c r="J1535" s="286" t="s">
        <v>1312</v>
      </c>
      <c r="K1535" s="286" t="s">
        <v>2081</v>
      </c>
      <c r="L1535" s="286" t="s">
        <v>53</v>
      </c>
      <c r="M1535" s="286">
        <v>1</v>
      </c>
      <c r="N1535" s="287">
        <v>-23052.18</v>
      </c>
      <c r="O1535" s="287"/>
      <c r="P1535" s="286" t="s">
        <v>58</v>
      </c>
    </row>
    <row r="1536" spans="1:16" hidden="1" x14ac:dyDescent="0.15">
      <c r="A1536" s="286">
        <v>455146</v>
      </c>
      <c r="B1536" s="288">
        <v>45310.510416666664</v>
      </c>
      <c r="C1536" s="286" t="s">
        <v>1632</v>
      </c>
      <c r="D1536" s="286" t="s">
        <v>1105</v>
      </c>
      <c r="E1536" s="286" t="s">
        <v>1106</v>
      </c>
      <c r="F1536" s="286" t="s">
        <v>1725</v>
      </c>
      <c r="G1536" s="286" t="s">
        <v>1007</v>
      </c>
      <c r="H1536" s="286" t="s">
        <v>1007</v>
      </c>
      <c r="I1536" s="286" t="s">
        <v>1199</v>
      </c>
      <c r="J1536" s="286" t="s">
        <v>1312</v>
      </c>
      <c r="K1536" s="286" t="s">
        <v>2081</v>
      </c>
      <c r="L1536" s="286" t="s">
        <v>53</v>
      </c>
      <c r="M1536" s="286">
        <v>1</v>
      </c>
      <c r="N1536" s="287">
        <v>-23052.18</v>
      </c>
      <c r="O1536" s="287"/>
      <c r="P1536" s="286" t="s">
        <v>58</v>
      </c>
    </row>
    <row r="1537" spans="1:16" hidden="1" x14ac:dyDescent="0.15">
      <c r="A1537" s="286">
        <v>341101</v>
      </c>
      <c r="B1537" s="288">
        <v>45177.685416666667</v>
      </c>
      <c r="C1537" s="286" t="s">
        <v>1691</v>
      </c>
      <c r="D1537" s="286" t="s">
        <v>1105</v>
      </c>
      <c r="E1537" s="286" t="s">
        <v>1106</v>
      </c>
      <c r="F1537" s="286" t="s">
        <v>1730</v>
      </c>
      <c r="G1537" s="286" t="s">
        <v>1041</v>
      </c>
      <c r="H1537" s="286" t="s">
        <v>1041</v>
      </c>
      <c r="I1537" s="286" t="s">
        <v>1228</v>
      </c>
      <c r="J1537" s="286" t="s">
        <v>1312</v>
      </c>
      <c r="K1537" s="286" t="s">
        <v>53</v>
      </c>
      <c r="L1537" s="286" t="s">
        <v>53</v>
      </c>
      <c r="M1537" s="286" t="s">
        <v>53</v>
      </c>
      <c r="N1537" s="287">
        <v>-24420.95</v>
      </c>
      <c r="O1537" s="287"/>
      <c r="P1537" s="286" t="s">
        <v>58</v>
      </c>
    </row>
    <row r="1538" spans="1:16" hidden="1" x14ac:dyDescent="0.15">
      <c r="A1538" s="286">
        <v>354736</v>
      </c>
      <c r="B1538" s="288">
        <v>45190.590277777781</v>
      </c>
      <c r="C1538" s="286" t="s">
        <v>1676</v>
      </c>
      <c r="D1538" s="286" t="s">
        <v>1105</v>
      </c>
      <c r="E1538" s="286" t="s">
        <v>1106</v>
      </c>
      <c r="F1538" s="286" t="s">
        <v>1731</v>
      </c>
      <c r="G1538" s="286" t="s">
        <v>1041</v>
      </c>
      <c r="H1538" s="286" t="s">
        <v>1041</v>
      </c>
      <c r="I1538" s="286" t="s">
        <v>1228</v>
      </c>
      <c r="J1538" s="286" t="s">
        <v>1312</v>
      </c>
      <c r="K1538" s="286" t="s">
        <v>53</v>
      </c>
      <c r="L1538" s="286" t="s">
        <v>53</v>
      </c>
      <c r="M1538" s="286" t="s">
        <v>53</v>
      </c>
      <c r="N1538" s="287">
        <v>-24420.95</v>
      </c>
      <c r="O1538" s="287"/>
      <c r="P1538" s="286" t="s">
        <v>58</v>
      </c>
    </row>
    <row r="1539" spans="1:16" hidden="1" x14ac:dyDescent="0.15">
      <c r="A1539" s="286">
        <v>370270</v>
      </c>
      <c r="B1539" s="288">
        <v>45208.668055555558</v>
      </c>
      <c r="C1539" s="286" t="s">
        <v>1642</v>
      </c>
      <c r="D1539" s="286" t="s">
        <v>1105</v>
      </c>
      <c r="E1539" s="286" t="s">
        <v>1106</v>
      </c>
      <c r="F1539" s="286" t="s">
        <v>1716</v>
      </c>
      <c r="G1539" s="286" t="s">
        <v>1041</v>
      </c>
      <c r="H1539" s="286" t="s">
        <v>1041</v>
      </c>
      <c r="I1539" s="286" t="s">
        <v>1228</v>
      </c>
      <c r="J1539" s="286" t="s">
        <v>1312</v>
      </c>
      <c r="K1539" s="286" t="s">
        <v>53</v>
      </c>
      <c r="L1539" s="286" t="s">
        <v>53</v>
      </c>
      <c r="M1539" s="286" t="s">
        <v>53</v>
      </c>
      <c r="N1539" s="287">
        <v>-24420.95</v>
      </c>
      <c r="O1539" s="287"/>
      <c r="P1539" s="286" t="s">
        <v>58</v>
      </c>
    </row>
    <row r="1540" spans="1:16" hidden="1" x14ac:dyDescent="0.15">
      <c r="A1540" s="286">
        <v>402221</v>
      </c>
      <c r="B1540" s="288">
        <v>45243.579861111109</v>
      </c>
      <c r="C1540" s="286" t="s">
        <v>1654</v>
      </c>
      <c r="D1540" s="286" t="s">
        <v>1105</v>
      </c>
      <c r="E1540" s="286" t="s">
        <v>1106</v>
      </c>
      <c r="F1540" s="286" t="s">
        <v>1724</v>
      </c>
      <c r="G1540" s="286" t="s">
        <v>1041</v>
      </c>
      <c r="H1540" s="286" t="s">
        <v>1041</v>
      </c>
      <c r="I1540" s="286" t="s">
        <v>1228</v>
      </c>
      <c r="J1540" s="286" t="s">
        <v>1312</v>
      </c>
      <c r="K1540" s="286" t="s">
        <v>53</v>
      </c>
      <c r="L1540" s="286" t="s">
        <v>53</v>
      </c>
      <c r="M1540" s="286" t="s">
        <v>53</v>
      </c>
      <c r="N1540" s="287">
        <v>-24420.95</v>
      </c>
      <c r="O1540" s="287"/>
      <c r="P1540" s="286" t="s">
        <v>58</v>
      </c>
    </row>
    <row r="1541" spans="1:16" hidden="1" x14ac:dyDescent="0.15">
      <c r="A1541" s="286">
        <v>455146</v>
      </c>
      <c r="B1541" s="288">
        <v>45310.510416666664</v>
      </c>
      <c r="C1541" s="286" t="s">
        <v>1632</v>
      </c>
      <c r="D1541" s="286" t="s">
        <v>1105</v>
      </c>
      <c r="E1541" s="286" t="s">
        <v>1106</v>
      </c>
      <c r="F1541" s="286" t="s">
        <v>1725</v>
      </c>
      <c r="G1541" s="286" t="s">
        <v>1041</v>
      </c>
      <c r="H1541" s="286" t="s">
        <v>1041</v>
      </c>
      <c r="I1541" s="286" t="s">
        <v>1228</v>
      </c>
      <c r="J1541" s="286" t="s">
        <v>1312</v>
      </c>
      <c r="K1541" s="286" t="s">
        <v>53</v>
      </c>
      <c r="L1541" s="286" t="s">
        <v>53</v>
      </c>
      <c r="M1541" s="286" t="s">
        <v>53</v>
      </c>
      <c r="N1541" s="287">
        <v>-24420.95</v>
      </c>
      <c r="O1541" s="287"/>
      <c r="P1541" s="286" t="s">
        <v>58</v>
      </c>
    </row>
    <row r="1542" spans="1:16" hidden="1" x14ac:dyDescent="0.15">
      <c r="A1542" s="286">
        <v>341443</v>
      </c>
      <c r="B1542" s="288">
        <v>45177.895138888889</v>
      </c>
      <c r="C1542" s="286" t="s">
        <v>1691</v>
      </c>
      <c r="D1542" s="286" t="s">
        <v>1105</v>
      </c>
      <c r="E1542" s="286" t="s">
        <v>1106</v>
      </c>
      <c r="F1542" s="286" t="s">
        <v>2084</v>
      </c>
      <c r="G1542" s="286" t="s">
        <v>1073</v>
      </c>
      <c r="H1542" s="286" t="s">
        <v>1073</v>
      </c>
      <c r="I1542" s="286" t="s">
        <v>1199</v>
      </c>
      <c r="J1542" s="286" t="s">
        <v>1312</v>
      </c>
      <c r="K1542" s="286" t="s">
        <v>53</v>
      </c>
      <c r="L1542" s="286" t="s">
        <v>53</v>
      </c>
      <c r="M1542" s="286" t="s">
        <v>53</v>
      </c>
      <c r="N1542" s="287">
        <v>-25283.75</v>
      </c>
      <c r="O1542" s="287"/>
      <c r="P1542" s="286" t="s">
        <v>58</v>
      </c>
    </row>
    <row r="1543" spans="1:16" hidden="1" x14ac:dyDescent="0.15">
      <c r="A1543" s="286">
        <v>354736</v>
      </c>
      <c r="B1543" s="288">
        <v>45190.590277777781</v>
      </c>
      <c r="C1543" s="286" t="s">
        <v>1676</v>
      </c>
      <c r="D1543" s="286" t="s">
        <v>1105</v>
      </c>
      <c r="E1543" s="286" t="s">
        <v>1106</v>
      </c>
      <c r="F1543" s="286" t="s">
        <v>1731</v>
      </c>
      <c r="G1543" s="286" t="s">
        <v>1073</v>
      </c>
      <c r="H1543" s="286" t="s">
        <v>1073</v>
      </c>
      <c r="I1543" s="286" t="s">
        <v>1199</v>
      </c>
      <c r="J1543" s="286" t="s">
        <v>1312</v>
      </c>
      <c r="K1543" s="286" t="s">
        <v>53</v>
      </c>
      <c r="L1543" s="286" t="s">
        <v>53</v>
      </c>
      <c r="M1543" s="286" t="s">
        <v>53</v>
      </c>
      <c r="N1543" s="287">
        <v>-25283.75</v>
      </c>
      <c r="O1543" s="287"/>
      <c r="P1543" s="286" t="s">
        <v>58</v>
      </c>
    </row>
    <row r="1544" spans="1:16" hidden="1" x14ac:dyDescent="0.15">
      <c r="A1544" s="286">
        <v>370270</v>
      </c>
      <c r="B1544" s="288">
        <v>45208.668055555558</v>
      </c>
      <c r="C1544" s="286" t="s">
        <v>1642</v>
      </c>
      <c r="D1544" s="286" t="s">
        <v>1105</v>
      </c>
      <c r="E1544" s="286" t="s">
        <v>1106</v>
      </c>
      <c r="F1544" s="286" t="s">
        <v>1716</v>
      </c>
      <c r="G1544" s="286" t="s">
        <v>1073</v>
      </c>
      <c r="H1544" s="286" t="s">
        <v>1073</v>
      </c>
      <c r="I1544" s="286" t="s">
        <v>1199</v>
      </c>
      <c r="J1544" s="286" t="s">
        <v>1312</v>
      </c>
      <c r="K1544" s="286" t="s">
        <v>53</v>
      </c>
      <c r="L1544" s="286" t="s">
        <v>53</v>
      </c>
      <c r="M1544" s="286" t="s">
        <v>53</v>
      </c>
      <c r="N1544" s="287">
        <v>-25283.75</v>
      </c>
      <c r="O1544" s="287"/>
      <c r="P1544" s="286" t="s">
        <v>58</v>
      </c>
    </row>
    <row r="1545" spans="1:16" hidden="1" x14ac:dyDescent="0.15">
      <c r="A1545" s="286">
        <v>402221</v>
      </c>
      <c r="B1545" s="288">
        <v>45243.579861111109</v>
      </c>
      <c r="C1545" s="286" t="s">
        <v>1654</v>
      </c>
      <c r="D1545" s="286" t="s">
        <v>1105</v>
      </c>
      <c r="E1545" s="286" t="s">
        <v>1106</v>
      </c>
      <c r="F1545" s="286" t="s">
        <v>1724</v>
      </c>
      <c r="G1545" s="286" t="s">
        <v>1073</v>
      </c>
      <c r="H1545" s="286" t="s">
        <v>1073</v>
      </c>
      <c r="I1545" s="286" t="s">
        <v>1199</v>
      </c>
      <c r="J1545" s="286" t="s">
        <v>1312</v>
      </c>
      <c r="K1545" s="286" t="s">
        <v>53</v>
      </c>
      <c r="L1545" s="286" t="s">
        <v>53</v>
      </c>
      <c r="M1545" s="286" t="s">
        <v>53</v>
      </c>
      <c r="N1545" s="287">
        <v>-25283.75</v>
      </c>
      <c r="O1545" s="287"/>
      <c r="P1545" s="286" t="s">
        <v>58</v>
      </c>
    </row>
    <row r="1546" spans="1:16" hidden="1" x14ac:dyDescent="0.15">
      <c r="A1546" s="286">
        <v>455146</v>
      </c>
      <c r="B1546" s="288">
        <v>45310.510416666664</v>
      </c>
      <c r="C1546" s="286" t="s">
        <v>1632</v>
      </c>
      <c r="D1546" s="286" t="s">
        <v>1105</v>
      </c>
      <c r="E1546" s="286" t="s">
        <v>1106</v>
      </c>
      <c r="F1546" s="286" t="s">
        <v>1725</v>
      </c>
      <c r="G1546" s="286" t="s">
        <v>1073</v>
      </c>
      <c r="H1546" s="286" t="s">
        <v>1073</v>
      </c>
      <c r="I1546" s="286" t="s">
        <v>1199</v>
      </c>
      <c r="J1546" s="286" t="s">
        <v>1312</v>
      </c>
      <c r="K1546" s="286" t="s">
        <v>53</v>
      </c>
      <c r="L1546" s="286" t="s">
        <v>53</v>
      </c>
      <c r="M1546" s="286" t="s">
        <v>53</v>
      </c>
      <c r="N1546" s="287">
        <v>-25283.75</v>
      </c>
      <c r="O1546" s="287"/>
      <c r="P1546" s="286" t="s">
        <v>58</v>
      </c>
    </row>
    <row r="1547" spans="1:16" hidden="1" x14ac:dyDescent="0.15">
      <c r="A1547" s="286">
        <v>293562</v>
      </c>
      <c r="B1547" s="288">
        <v>45128.724999999999</v>
      </c>
      <c r="C1547" s="286" t="s">
        <v>1636</v>
      </c>
      <c r="D1547" s="286" t="s">
        <v>1105</v>
      </c>
      <c r="E1547" s="286" t="s">
        <v>1106</v>
      </c>
      <c r="F1547" s="286" t="s">
        <v>2085</v>
      </c>
      <c r="G1547" s="286" t="s">
        <v>1073</v>
      </c>
      <c r="H1547" s="286" t="s">
        <v>1073</v>
      </c>
      <c r="I1547" s="286" t="s">
        <v>1199</v>
      </c>
      <c r="J1547" s="286" t="s">
        <v>1312</v>
      </c>
      <c r="K1547" s="286" t="s">
        <v>53</v>
      </c>
      <c r="L1547" s="286" t="s">
        <v>53</v>
      </c>
      <c r="M1547" s="286" t="s">
        <v>53</v>
      </c>
      <c r="N1547" s="287">
        <v>-25283.78</v>
      </c>
      <c r="O1547" s="287"/>
      <c r="P1547" s="286" t="s">
        <v>58</v>
      </c>
    </row>
    <row r="1548" spans="1:16" hidden="1" x14ac:dyDescent="0.15">
      <c r="A1548" s="286">
        <v>442744</v>
      </c>
      <c r="B1548" s="288">
        <v>45300.341666666667</v>
      </c>
      <c r="C1548" s="286" t="s">
        <v>1632</v>
      </c>
      <c r="D1548" s="286" t="s">
        <v>1105</v>
      </c>
      <c r="E1548" s="286" t="s">
        <v>1106</v>
      </c>
      <c r="F1548" s="286" t="s">
        <v>1633</v>
      </c>
      <c r="G1548" s="286" t="s">
        <v>1079</v>
      </c>
      <c r="H1548" s="286" t="s">
        <v>1079</v>
      </c>
      <c r="I1548" s="286" t="s">
        <v>1108</v>
      </c>
      <c r="J1548" s="286" t="s">
        <v>1312</v>
      </c>
      <c r="K1548" s="286" t="s">
        <v>2083</v>
      </c>
      <c r="L1548" s="286" t="s">
        <v>53</v>
      </c>
      <c r="M1548" s="286">
        <v>1</v>
      </c>
      <c r="N1548" s="287">
        <v>-26682</v>
      </c>
      <c r="O1548" s="305">
        <f>EOMONTH(B1548,0)</f>
        <v>45322</v>
      </c>
      <c r="P1548" s="286" t="s">
        <v>37</v>
      </c>
    </row>
    <row r="1549" spans="1:16" hidden="1" x14ac:dyDescent="0.15">
      <c r="A1549" s="286">
        <v>341101</v>
      </c>
      <c r="B1549" s="288">
        <v>45177.685416666667</v>
      </c>
      <c r="C1549" s="286" t="s">
        <v>1691</v>
      </c>
      <c r="D1549" s="286" t="s">
        <v>1105</v>
      </c>
      <c r="E1549" s="286" t="s">
        <v>1106</v>
      </c>
      <c r="F1549" s="286" t="s">
        <v>1730</v>
      </c>
      <c r="G1549" s="286" t="s">
        <v>1041</v>
      </c>
      <c r="H1549" s="286" t="s">
        <v>1041</v>
      </c>
      <c r="I1549" s="286" t="s">
        <v>1199</v>
      </c>
      <c r="J1549" s="286" t="s">
        <v>1312</v>
      </c>
      <c r="K1549" s="286" t="s">
        <v>53</v>
      </c>
      <c r="L1549" s="286" t="s">
        <v>53</v>
      </c>
      <c r="M1549" s="286" t="s">
        <v>53</v>
      </c>
      <c r="N1549" s="287">
        <v>-26966.26</v>
      </c>
      <c r="O1549" s="287"/>
      <c r="P1549" s="286" t="s">
        <v>58</v>
      </c>
    </row>
    <row r="1550" spans="1:16" hidden="1" x14ac:dyDescent="0.15">
      <c r="A1550" s="286">
        <v>354736</v>
      </c>
      <c r="B1550" s="288">
        <v>45190.590277777781</v>
      </c>
      <c r="C1550" s="286" t="s">
        <v>1676</v>
      </c>
      <c r="D1550" s="286" t="s">
        <v>1105</v>
      </c>
      <c r="E1550" s="286" t="s">
        <v>1106</v>
      </c>
      <c r="F1550" s="286" t="s">
        <v>1731</v>
      </c>
      <c r="G1550" s="286" t="s">
        <v>1041</v>
      </c>
      <c r="H1550" s="286" t="s">
        <v>1041</v>
      </c>
      <c r="I1550" s="286" t="s">
        <v>1199</v>
      </c>
      <c r="J1550" s="286" t="s">
        <v>1312</v>
      </c>
      <c r="K1550" s="286" t="s">
        <v>53</v>
      </c>
      <c r="L1550" s="286" t="s">
        <v>53</v>
      </c>
      <c r="M1550" s="286" t="s">
        <v>53</v>
      </c>
      <c r="N1550" s="287">
        <v>-26966.26</v>
      </c>
      <c r="O1550" s="287"/>
      <c r="P1550" s="286" t="s">
        <v>58</v>
      </c>
    </row>
    <row r="1551" spans="1:16" hidden="1" x14ac:dyDescent="0.15">
      <c r="A1551" s="286">
        <v>370270</v>
      </c>
      <c r="B1551" s="288">
        <v>45208.668055555558</v>
      </c>
      <c r="C1551" s="286" t="s">
        <v>1642</v>
      </c>
      <c r="D1551" s="286" t="s">
        <v>1105</v>
      </c>
      <c r="E1551" s="286" t="s">
        <v>1106</v>
      </c>
      <c r="F1551" s="286" t="s">
        <v>1716</v>
      </c>
      <c r="G1551" s="286" t="s">
        <v>1041</v>
      </c>
      <c r="H1551" s="286" t="s">
        <v>1041</v>
      </c>
      <c r="I1551" s="286" t="s">
        <v>1199</v>
      </c>
      <c r="J1551" s="286" t="s">
        <v>1312</v>
      </c>
      <c r="K1551" s="286" t="s">
        <v>53</v>
      </c>
      <c r="L1551" s="286" t="s">
        <v>53</v>
      </c>
      <c r="M1551" s="286" t="s">
        <v>53</v>
      </c>
      <c r="N1551" s="287">
        <v>-26966.26</v>
      </c>
      <c r="O1551" s="287"/>
      <c r="P1551" s="286" t="s">
        <v>58</v>
      </c>
    </row>
    <row r="1552" spans="1:16" hidden="1" x14ac:dyDescent="0.15">
      <c r="A1552" s="286">
        <v>354635</v>
      </c>
      <c r="B1552" s="288">
        <v>45190.588194444441</v>
      </c>
      <c r="C1552" s="286" t="s">
        <v>1676</v>
      </c>
      <c r="D1552" s="286" t="s">
        <v>1105</v>
      </c>
      <c r="E1552" s="286" t="s">
        <v>1106</v>
      </c>
      <c r="F1552" s="286" t="s">
        <v>1703</v>
      </c>
      <c r="G1552" s="286" t="s">
        <v>1056</v>
      </c>
      <c r="H1552" s="286" t="s">
        <v>1056</v>
      </c>
      <c r="I1552" s="286" t="s">
        <v>1112</v>
      </c>
      <c r="J1552" s="286" t="s">
        <v>1312</v>
      </c>
      <c r="K1552" s="286" t="s">
        <v>53</v>
      </c>
      <c r="L1552" s="286" t="s">
        <v>53</v>
      </c>
      <c r="M1552" s="286" t="s">
        <v>53</v>
      </c>
      <c r="N1552" s="287">
        <v>-27412</v>
      </c>
      <c r="O1552" s="287"/>
      <c r="P1552" s="286" t="s">
        <v>175</v>
      </c>
    </row>
    <row r="1553" spans="1:16" hidden="1" x14ac:dyDescent="0.15">
      <c r="A1553" s="286">
        <v>365030</v>
      </c>
      <c r="B1553" s="288">
        <v>45201.558333333334</v>
      </c>
      <c r="C1553" s="286" t="s">
        <v>1676</v>
      </c>
      <c r="D1553" s="286" t="s">
        <v>1105</v>
      </c>
      <c r="E1553" s="286" t="s">
        <v>1106</v>
      </c>
      <c r="F1553" s="286" t="s">
        <v>1775</v>
      </c>
      <c r="G1553" s="286" t="s">
        <v>1091</v>
      </c>
      <c r="H1553" s="286" t="s">
        <v>1091</v>
      </c>
      <c r="I1553" s="286" t="s">
        <v>1112</v>
      </c>
      <c r="J1553" s="286" t="s">
        <v>1312</v>
      </c>
      <c r="K1553" s="286" t="s">
        <v>2046</v>
      </c>
      <c r="L1553" s="286" t="s">
        <v>53</v>
      </c>
      <c r="M1553" s="286">
        <v>1</v>
      </c>
      <c r="N1553" s="287">
        <v>-28636</v>
      </c>
      <c r="O1553" s="287"/>
      <c r="P1553" s="286" t="s">
        <v>175</v>
      </c>
    </row>
    <row r="1554" spans="1:16" hidden="1" x14ac:dyDescent="0.15">
      <c r="A1554" s="286">
        <v>170297</v>
      </c>
      <c r="B1554" s="288">
        <v>44986.611111111109</v>
      </c>
      <c r="C1554" s="286" t="s">
        <v>1640</v>
      </c>
      <c r="D1554" s="286" t="s">
        <v>1105</v>
      </c>
      <c r="E1554" s="286" t="s">
        <v>1106</v>
      </c>
      <c r="F1554" s="286" t="s">
        <v>1746</v>
      </c>
      <c r="G1554" s="286" t="s">
        <v>53</v>
      </c>
      <c r="H1554" s="286" t="s">
        <v>53</v>
      </c>
      <c r="I1554" s="286" t="s">
        <v>1152</v>
      </c>
      <c r="J1554" s="286" t="s">
        <v>1312</v>
      </c>
      <c r="K1554" s="286" t="s">
        <v>53</v>
      </c>
      <c r="L1554" s="286" t="s">
        <v>53</v>
      </c>
      <c r="M1554" s="286" t="s">
        <v>53</v>
      </c>
      <c r="N1554" s="287">
        <v>-30950.57</v>
      </c>
      <c r="O1554" s="287"/>
      <c r="P1554" s="286" t="s">
        <v>58</v>
      </c>
    </row>
    <row r="1555" spans="1:16" hidden="1" x14ac:dyDescent="0.15">
      <c r="A1555" s="286">
        <v>170298</v>
      </c>
      <c r="B1555" s="288">
        <v>44986.623611111114</v>
      </c>
      <c r="C1555" s="286" t="s">
        <v>1638</v>
      </c>
      <c r="D1555" s="286" t="s">
        <v>1105</v>
      </c>
      <c r="E1555" s="286" t="s">
        <v>1106</v>
      </c>
      <c r="F1555" s="286" t="s">
        <v>1721</v>
      </c>
      <c r="G1555" s="286" t="s">
        <v>53</v>
      </c>
      <c r="H1555" s="286" t="s">
        <v>53</v>
      </c>
      <c r="I1555" s="286" t="s">
        <v>1152</v>
      </c>
      <c r="J1555" s="286" t="s">
        <v>1312</v>
      </c>
      <c r="K1555" s="286" t="s">
        <v>53</v>
      </c>
      <c r="L1555" s="286" t="s">
        <v>53</v>
      </c>
      <c r="M1555" s="286" t="s">
        <v>53</v>
      </c>
      <c r="N1555" s="287">
        <v>-32427.360000000001</v>
      </c>
      <c r="O1555" s="287"/>
      <c r="P1555" s="286" t="s">
        <v>58</v>
      </c>
    </row>
    <row r="1556" spans="1:16" hidden="1" x14ac:dyDescent="0.15">
      <c r="A1556" s="286">
        <v>407165</v>
      </c>
      <c r="B1556" s="288">
        <v>45246.488888888889</v>
      </c>
      <c r="C1556" s="286" t="s">
        <v>1642</v>
      </c>
      <c r="D1556" s="286" t="s">
        <v>1105</v>
      </c>
      <c r="E1556" s="286" t="s">
        <v>1106</v>
      </c>
      <c r="F1556" s="286" t="s">
        <v>1717</v>
      </c>
      <c r="G1556" s="286" t="s">
        <v>53</v>
      </c>
      <c r="H1556" s="286" t="s">
        <v>53</v>
      </c>
      <c r="I1556" s="286" t="s">
        <v>1230</v>
      </c>
      <c r="J1556" s="286" t="s">
        <v>53</v>
      </c>
      <c r="K1556" s="286" t="s">
        <v>53</v>
      </c>
      <c r="L1556" s="286" t="s">
        <v>53</v>
      </c>
      <c r="M1556" s="286" t="s">
        <v>53</v>
      </c>
      <c r="N1556" s="287">
        <v>-37044</v>
      </c>
      <c r="O1556" s="287"/>
      <c r="P1556" s="286" t="s">
        <v>175</v>
      </c>
    </row>
    <row r="1557" spans="1:16" hidden="1" x14ac:dyDescent="0.15">
      <c r="A1557" s="286">
        <v>262265</v>
      </c>
      <c r="B1557" s="288">
        <v>45100.536111111112</v>
      </c>
      <c r="C1557" s="286" t="s">
        <v>1649</v>
      </c>
      <c r="D1557" s="286" t="s">
        <v>1105</v>
      </c>
      <c r="E1557" s="286" t="s">
        <v>1106</v>
      </c>
      <c r="F1557" s="286" t="s">
        <v>2086</v>
      </c>
      <c r="G1557" s="286" t="s">
        <v>1316</v>
      </c>
      <c r="H1557" s="286" t="s">
        <v>1316</v>
      </c>
      <c r="I1557" s="286" t="s">
        <v>1199</v>
      </c>
      <c r="J1557" s="286" t="s">
        <v>1312</v>
      </c>
      <c r="K1557" s="286" t="s">
        <v>1690</v>
      </c>
      <c r="L1557" s="286" t="s">
        <v>53</v>
      </c>
      <c r="M1557" s="286">
        <v>1</v>
      </c>
      <c r="N1557" s="287">
        <v>-38340</v>
      </c>
      <c r="O1557" s="287"/>
      <c r="P1557" s="286" t="s">
        <v>58</v>
      </c>
    </row>
    <row r="1558" spans="1:16" hidden="1" x14ac:dyDescent="0.15">
      <c r="A1558" s="286">
        <v>170499</v>
      </c>
      <c r="B1558" s="288">
        <v>44986.615972222222</v>
      </c>
      <c r="C1558" s="286" t="s">
        <v>1640</v>
      </c>
      <c r="D1558" s="286" t="s">
        <v>1105</v>
      </c>
      <c r="E1558" s="286" t="s">
        <v>1106</v>
      </c>
      <c r="F1558" s="286" t="s">
        <v>1755</v>
      </c>
      <c r="G1558" s="286" t="s">
        <v>53</v>
      </c>
      <c r="H1558" s="286" t="s">
        <v>53</v>
      </c>
      <c r="I1558" s="286" t="s">
        <v>1228</v>
      </c>
      <c r="J1558" s="286" t="s">
        <v>1312</v>
      </c>
      <c r="K1558" s="286" t="s">
        <v>53</v>
      </c>
      <c r="L1558" s="286" t="s">
        <v>53</v>
      </c>
      <c r="M1558" s="286" t="s">
        <v>53</v>
      </c>
      <c r="N1558" s="287">
        <v>-71419.08</v>
      </c>
      <c r="O1558" s="287"/>
      <c r="P1558" s="286" t="s">
        <v>58</v>
      </c>
    </row>
    <row r="1559" spans="1:16" hidden="1" x14ac:dyDescent="0.15">
      <c r="A1559" s="286">
        <v>170298</v>
      </c>
      <c r="B1559" s="288">
        <v>44986.623611111114</v>
      </c>
      <c r="C1559" s="286" t="s">
        <v>1638</v>
      </c>
      <c r="D1559" s="286" t="s">
        <v>1105</v>
      </c>
      <c r="E1559" s="286" t="s">
        <v>1106</v>
      </c>
      <c r="F1559" s="286" t="s">
        <v>1721</v>
      </c>
      <c r="G1559" s="286" t="s">
        <v>53</v>
      </c>
      <c r="H1559" s="286" t="s">
        <v>53</v>
      </c>
      <c r="I1559" s="286" t="s">
        <v>1228</v>
      </c>
      <c r="J1559" s="286" t="s">
        <v>1312</v>
      </c>
      <c r="K1559" s="286" t="s">
        <v>53</v>
      </c>
      <c r="L1559" s="286" t="s">
        <v>53</v>
      </c>
      <c r="M1559" s="286" t="s">
        <v>53</v>
      </c>
      <c r="N1559" s="287">
        <v>-71731.19</v>
      </c>
      <c r="O1559" s="287"/>
      <c r="P1559" s="286" t="s">
        <v>58</v>
      </c>
    </row>
    <row r="1560" spans="1:16" hidden="1" x14ac:dyDescent="0.15">
      <c r="A1560" s="286">
        <v>354635</v>
      </c>
      <c r="B1560" s="288">
        <v>45190.588194444441</v>
      </c>
      <c r="C1560" s="286" t="s">
        <v>1676</v>
      </c>
      <c r="D1560" s="286" t="s">
        <v>1105</v>
      </c>
      <c r="E1560" s="286" t="s">
        <v>1106</v>
      </c>
      <c r="F1560" s="286" t="s">
        <v>1703</v>
      </c>
      <c r="G1560" s="286" t="s">
        <v>1073</v>
      </c>
      <c r="H1560" s="286" t="s">
        <v>1073</v>
      </c>
      <c r="I1560" s="286" t="s">
        <v>1112</v>
      </c>
      <c r="J1560" s="286" t="s">
        <v>1312</v>
      </c>
      <c r="K1560" s="286" t="s">
        <v>53</v>
      </c>
      <c r="L1560" s="286" t="s">
        <v>53</v>
      </c>
      <c r="M1560" s="286" t="s">
        <v>53</v>
      </c>
      <c r="N1560" s="287">
        <v>-73658.42</v>
      </c>
      <c r="O1560" s="287"/>
      <c r="P1560" s="286" t="s">
        <v>175</v>
      </c>
    </row>
    <row r="1561" spans="1:16" hidden="1" x14ac:dyDescent="0.15">
      <c r="A1561" s="286">
        <v>279539</v>
      </c>
      <c r="B1561" s="288">
        <v>45118.795138888891</v>
      </c>
      <c r="C1561" s="286" t="s">
        <v>1649</v>
      </c>
      <c r="D1561" s="286" t="s">
        <v>1105</v>
      </c>
      <c r="E1561" s="286" t="s">
        <v>1106</v>
      </c>
      <c r="F1561" s="286" t="s">
        <v>2087</v>
      </c>
      <c r="G1561" s="286" t="s">
        <v>1026</v>
      </c>
      <c r="H1561" s="286" t="s">
        <v>1026</v>
      </c>
      <c r="I1561" s="286" t="s">
        <v>1112</v>
      </c>
      <c r="J1561" s="286" t="s">
        <v>1312</v>
      </c>
      <c r="K1561" s="286" t="s">
        <v>53</v>
      </c>
      <c r="L1561" s="286" t="s">
        <v>53</v>
      </c>
      <c r="M1561" s="286" t="s">
        <v>53</v>
      </c>
      <c r="N1561" s="287">
        <v>-85376</v>
      </c>
      <c r="O1561" s="287"/>
      <c r="P1561" s="286" t="s">
        <v>175</v>
      </c>
    </row>
    <row r="1562" spans="1:16" hidden="1" x14ac:dyDescent="0.15">
      <c r="A1562" s="286">
        <v>447823</v>
      </c>
      <c r="B1562" s="288">
        <v>45303.457638888889</v>
      </c>
      <c r="C1562" s="286" t="s">
        <v>1632</v>
      </c>
      <c r="D1562" s="286" t="s">
        <v>1105</v>
      </c>
      <c r="E1562" s="286" t="s">
        <v>1106</v>
      </c>
      <c r="F1562" s="286" t="s">
        <v>2088</v>
      </c>
      <c r="G1562" s="286" t="s">
        <v>1031</v>
      </c>
      <c r="H1562" s="286" t="s">
        <v>1031</v>
      </c>
      <c r="I1562" s="286" t="s">
        <v>1108</v>
      </c>
      <c r="J1562" s="286" t="s">
        <v>1312</v>
      </c>
      <c r="K1562" s="286" t="s">
        <v>2083</v>
      </c>
      <c r="L1562" s="286" t="s">
        <v>53</v>
      </c>
      <c r="M1562" s="286">
        <v>1</v>
      </c>
      <c r="N1562" s="287">
        <v>-110566</v>
      </c>
      <c r="O1562" s="305">
        <f t="shared" ref="O1562:O1563" si="21">EOMONTH(B1562,0)</f>
        <v>45322</v>
      </c>
      <c r="P1562" s="286" t="s">
        <v>37</v>
      </c>
    </row>
    <row r="1563" spans="1:16" hidden="1" x14ac:dyDescent="0.15">
      <c r="A1563" s="286">
        <v>141159</v>
      </c>
      <c r="B1563" s="288">
        <v>44946.643055555556</v>
      </c>
      <c r="C1563" s="286" t="s">
        <v>1640</v>
      </c>
      <c r="D1563" s="286" t="s">
        <v>1105</v>
      </c>
      <c r="E1563" s="286" t="s">
        <v>1106</v>
      </c>
      <c r="F1563" s="286" t="s">
        <v>2078</v>
      </c>
      <c r="H1563" s="286" t="s">
        <v>1044</v>
      </c>
      <c r="I1563" s="286" t="s">
        <v>1108</v>
      </c>
      <c r="J1563" s="286" t="s">
        <v>1312</v>
      </c>
      <c r="K1563" s="286" t="s">
        <v>53</v>
      </c>
      <c r="L1563" s="286" t="s">
        <v>53</v>
      </c>
      <c r="M1563" s="286" t="s">
        <v>53</v>
      </c>
      <c r="N1563" s="287">
        <v>-138467</v>
      </c>
      <c r="O1563" s="305">
        <f t="shared" si="21"/>
        <v>44957</v>
      </c>
      <c r="P1563" s="286" t="s">
        <v>37</v>
      </c>
    </row>
    <row r="1564" spans="1:16" hidden="1" x14ac:dyDescent="0.15">
      <c r="A1564" s="286">
        <v>170399</v>
      </c>
      <c r="B1564" s="288">
        <v>44986.614583333336</v>
      </c>
      <c r="C1564" s="286" t="s">
        <v>1640</v>
      </c>
      <c r="D1564" s="286" t="s">
        <v>1105</v>
      </c>
      <c r="E1564" s="286" t="s">
        <v>1106</v>
      </c>
      <c r="F1564" s="286" t="s">
        <v>1720</v>
      </c>
      <c r="G1564" s="286" t="s">
        <v>53</v>
      </c>
      <c r="H1564" s="286" t="s">
        <v>53</v>
      </c>
      <c r="I1564" s="286" t="s">
        <v>1199</v>
      </c>
      <c r="J1564" s="286" t="s">
        <v>1312</v>
      </c>
      <c r="K1564" s="286" t="s">
        <v>53</v>
      </c>
      <c r="L1564" s="286" t="s">
        <v>53</v>
      </c>
      <c r="M1564" s="286" t="s">
        <v>53</v>
      </c>
      <c r="N1564" s="287">
        <v>-159326.79999999999</v>
      </c>
      <c r="O1564" s="287"/>
      <c r="P1564" s="286" t="s">
        <v>58</v>
      </c>
    </row>
    <row r="1565" spans="1:16" hidden="1" x14ac:dyDescent="0.15">
      <c r="A1565" s="286">
        <v>170298</v>
      </c>
      <c r="B1565" s="288">
        <v>44986.623611111114</v>
      </c>
      <c r="C1565" s="286" t="s">
        <v>1638</v>
      </c>
      <c r="D1565" s="286" t="s">
        <v>1105</v>
      </c>
      <c r="E1565" s="286" t="s">
        <v>1106</v>
      </c>
      <c r="F1565" s="286" t="s">
        <v>1721</v>
      </c>
      <c r="G1565" s="286" t="s">
        <v>53</v>
      </c>
      <c r="H1565" s="286" t="s">
        <v>53</v>
      </c>
      <c r="I1565" s="286" t="s">
        <v>1199</v>
      </c>
      <c r="J1565" s="286" t="s">
        <v>1312</v>
      </c>
      <c r="K1565" s="286" t="s">
        <v>53</v>
      </c>
      <c r="L1565" s="286" t="s">
        <v>53</v>
      </c>
      <c r="M1565" s="286" t="s">
        <v>53</v>
      </c>
      <c r="N1565" s="287">
        <v>-159482.62</v>
      </c>
      <c r="O1565" s="287"/>
      <c r="P1565" s="286" t="s">
        <v>58</v>
      </c>
    </row>
    <row r="1566" spans="1:16" x14ac:dyDescent="0.15">
      <c r="A1566" s="286">
        <v>141159</v>
      </c>
      <c r="B1566" s="288">
        <v>44946.643055555556</v>
      </c>
      <c r="C1566" s="286" t="s">
        <v>1640</v>
      </c>
      <c r="D1566" s="286" t="s">
        <v>1105</v>
      </c>
      <c r="E1566" s="286" t="s">
        <v>1106</v>
      </c>
      <c r="F1566" s="286" t="s">
        <v>2078</v>
      </c>
      <c r="G1566" s="286" t="s">
        <v>1608</v>
      </c>
      <c r="H1566" s="286" t="s">
        <v>1608</v>
      </c>
      <c r="I1566" s="286" t="s">
        <v>1108</v>
      </c>
      <c r="J1566" s="286" t="s">
        <v>1312</v>
      </c>
      <c r="K1566" s="286" t="s">
        <v>53</v>
      </c>
      <c r="L1566" s="286" t="s">
        <v>53</v>
      </c>
      <c r="M1566" s="286" t="s">
        <v>53</v>
      </c>
      <c r="N1566" s="287">
        <v>-196758</v>
      </c>
      <c r="O1566" s="305">
        <f>EOMONTH(B1566,0)</f>
        <v>44957</v>
      </c>
    </row>
    <row r="1567" spans="1:16" hidden="1" x14ac:dyDescent="0.15">
      <c r="A1567" s="286">
        <v>278481</v>
      </c>
      <c r="B1567" s="288">
        <v>45118.563888888886</v>
      </c>
      <c r="C1567" s="286" t="s">
        <v>1649</v>
      </c>
      <c r="D1567" s="286" t="s">
        <v>1105</v>
      </c>
      <c r="E1567" s="286" t="s">
        <v>1106</v>
      </c>
      <c r="F1567" s="286" t="s">
        <v>2089</v>
      </c>
      <c r="G1567" s="286" t="s">
        <v>1026</v>
      </c>
      <c r="H1567" s="286" t="s">
        <v>1026</v>
      </c>
      <c r="I1567" s="286" t="s">
        <v>1152</v>
      </c>
      <c r="J1567" s="286" t="s">
        <v>1312</v>
      </c>
      <c r="K1567" s="286" t="s">
        <v>53</v>
      </c>
      <c r="L1567" s="286" t="s">
        <v>53</v>
      </c>
      <c r="M1567" s="286" t="s">
        <v>53</v>
      </c>
      <c r="N1567" s="287">
        <v>-262560</v>
      </c>
      <c r="O1567" s="287"/>
      <c r="P1567" s="286" t="s">
        <v>58</v>
      </c>
    </row>
    <row r="1568" spans="1:16" hidden="1" x14ac:dyDescent="0.15">
      <c r="A1568" s="286">
        <v>312100</v>
      </c>
      <c r="B1568" s="288">
        <v>45147.425694444442</v>
      </c>
      <c r="C1568" s="286" t="s">
        <v>1636</v>
      </c>
      <c r="D1568" s="286" t="s">
        <v>1105</v>
      </c>
      <c r="E1568" s="286" t="s">
        <v>1106</v>
      </c>
      <c r="F1568" s="286" t="s">
        <v>1637</v>
      </c>
      <c r="G1568" s="286" t="s">
        <v>1041</v>
      </c>
      <c r="H1568" s="286" t="s">
        <v>1041</v>
      </c>
      <c r="I1568" s="286" t="s">
        <v>1228</v>
      </c>
      <c r="J1568" s="286" t="s">
        <v>1312</v>
      </c>
      <c r="K1568" s="286" t="s">
        <v>53</v>
      </c>
      <c r="L1568" s="286" t="s">
        <v>53</v>
      </c>
      <c r="M1568" s="286" t="s">
        <v>53</v>
      </c>
      <c r="N1568" s="287">
        <v>-350245.43</v>
      </c>
      <c r="O1568" s="287"/>
      <c r="P1568" s="286" t="s">
        <v>58</v>
      </c>
    </row>
    <row r="1569" spans="1:19" hidden="1" x14ac:dyDescent="0.15">
      <c r="A1569" s="286" t="s">
        <v>53</v>
      </c>
      <c r="B1569" s="286" t="s">
        <v>1630</v>
      </c>
      <c r="C1569" s="286" t="s">
        <v>53</v>
      </c>
      <c r="D1569" s="286" t="s">
        <v>53</v>
      </c>
      <c r="E1569" s="286" t="s">
        <v>53</v>
      </c>
      <c r="F1569" s="286" t="s">
        <v>53</v>
      </c>
      <c r="G1569" s="286" t="s">
        <v>53</v>
      </c>
      <c r="H1569" s="286" t="s">
        <v>53</v>
      </c>
      <c r="I1569" s="286" t="s">
        <v>53</v>
      </c>
      <c r="J1569" s="286" t="s">
        <v>53</v>
      </c>
      <c r="K1569" s="286" t="s">
        <v>53</v>
      </c>
      <c r="L1569" s="286" t="s">
        <v>53</v>
      </c>
      <c r="M1569" s="286" t="s">
        <v>2090</v>
      </c>
      <c r="N1569" s="287">
        <v>8438344.4499999993</v>
      </c>
      <c r="O1569" s="287"/>
    </row>
    <row r="1571" spans="1:19" x14ac:dyDescent="0.15">
      <c r="Q1571" s="219"/>
      <c r="R1571" s="304"/>
    </row>
    <row r="1572" spans="1:19" x14ac:dyDescent="0.15">
      <c r="Q1572" s="117"/>
      <c r="R1572" s="304"/>
    </row>
    <row r="1573" spans="1:19" x14ac:dyDescent="0.15">
      <c r="Q1573" s="117"/>
      <c r="R1573" s="117"/>
      <c r="S1573" s="304"/>
    </row>
    <row r="1574" spans="1:19" x14ac:dyDescent="0.15">
      <c r="Q1574" s="120"/>
      <c r="R1574" s="117"/>
      <c r="S1574" s="304"/>
    </row>
    <row r="1575" spans="1:19" x14ac:dyDescent="0.15">
      <c r="Q1575" s="120"/>
      <c r="R1575" s="304"/>
    </row>
    <row r="1576" spans="1:19" x14ac:dyDescent="0.15">
      <c r="R1576" s="303"/>
    </row>
    <row r="1577" spans="1:19" x14ac:dyDescent="0.15">
      <c r="Q1577" s="303"/>
    </row>
    <row r="1581" spans="1:19" x14ac:dyDescent="0.15">
      <c r="P1581" s="303"/>
      <c r="Q1581" s="117"/>
      <c r="R1581" s="304"/>
    </row>
    <row r="1582" spans="1:19" x14ac:dyDescent="0.15">
      <c r="Q1582" s="117"/>
      <c r="R1582" s="304"/>
    </row>
  </sheetData>
  <autoFilter ref="A1:P1569" xr:uid="{96D47C86-C028-44D0-AEB0-887F8AE737D7}">
    <filterColumn colId="6">
      <filters>
        <filter val="Emerald Coast Utilities Authority"/>
      </filters>
    </filterColumn>
  </autoFilter>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8E1DB-7B57-483B-B510-A334F18D23AD}">
  <sheetPr filterMode="1"/>
  <dimension ref="A1:P3165"/>
  <sheetViews>
    <sheetView zoomScaleNormal="100" workbookViewId="0">
      <pane xSplit="1" ySplit="2" topLeftCell="B447" activePane="bottomRight" state="frozen"/>
      <selection pane="topRight" activeCell="B1" sqref="B1"/>
      <selection pane="bottomLeft" activeCell="A3" sqref="A3"/>
      <selection pane="bottomRight" activeCell="D447" sqref="D447"/>
    </sheetView>
  </sheetViews>
  <sheetFormatPr baseColWidth="10" defaultColWidth="9.1640625" defaultRowHeight="11" x14ac:dyDescent="0.15"/>
  <cols>
    <col min="1" max="1" width="8.5" style="286" bestFit="1" customWidth="1"/>
    <col min="2" max="2" width="13.1640625" style="286" bestFit="1" customWidth="1"/>
    <col min="3" max="3" width="7.5" style="286" bestFit="1" customWidth="1"/>
    <col min="4" max="4" width="16" style="286" bestFit="1" customWidth="1"/>
    <col min="5" max="5" width="6" style="286" bestFit="1" customWidth="1"/>
    <col min="6" max="6" width="14.83203125" style="286" bestFit="1" customWidth="1"/>
    <col min="7" max="7" width="28.5" style="286" customWidth="1"/>
    <col min="8" max="8" width="22.83203125" style="286" customWidth="1"/>
    <col min="9" max="9" width="50.5" style="286" bestFit="1" customWidth="1"/>
    <col min="10" max="10" width="23.5" style="286" bestFit="1" customWidth="1"/>
    <col min="11" max="11" width="11.83203125" style="286" bestFit="1" customWidth="1"/>
    <col min="12" max="12" width="17.5" style="286" customWidth="1"/>
    <col min="13" max="13" width="7.5" style="286" bestFit="1" customWidth="1"/>
    <col min="14" max="14" width="12.5" style="286" bestFit="1" customWidth="1"/>
    <col min="15" max="15" width="8.5" style="286" bestFit="1" customWidth="1"/>
    <col min="16" max="16384" width="9.1640625" style="286"/>
  </cols>
  <sheetData>
    <row r="1" spans="1:16" x14ac:dyDescent="0.15">
      <c r="A1" s="301" t="s">
        <v>2091</v>
      </c>
      <c r="B1" s="301"/>
      <c r="C1" s="300"/>
    </row>
    <row r="2" spans="1:16" x14ac:dyDescent="0.15">
      <c r="A2" s="289" t="s">
        <v>1092</v>
      </c>
      <c r="B2" s="289" t="s">
        <v>1093</v>
      </c>
      <c r="C2" s="289" t="s">
        <v>1094</v>
      </c>
      <c r="D2" s="289" t="s">
        <v>1095</v>
      </c>
      <c r="E2" s="289" t="s">
        <v>8</v>
      </c>
      <c r="F2" s="289" t="s">
        <v>1096</v>
      </c>
      <c r="G2" s="289" t="s">
        <v>1097</v>
      </c>
      <c r="H2" s="289" t="s">
        <v>1098</v>
      </c>
      <c r="I2" s="289" t="s">
        <v>1099</v>
      </c>
      <c r="J2" s="289" t="s">
        <v>1100</v>
      </c>
      <c r="K2" s="289" t="s">
        <v>1101</v>
      </c>
      <c r="L2" s="289" t="s">
        <v>16</v>
      </c>
      <c r="M2" s="289" t="s">
        <v>1102</v>
      </c>
      <c r="N2" s="289" t="s">
        <v>1103</v>
      </c>
    </row>
    <row r="3" spans="1:16" hidden="1" x14ac:dyDescent="0.15">
      <c r="A3" s="286">
        <v>657173</v>
      </c>
      <c r="B3" s="288">
        <v>45483.53402777778</v>
      </c>
      <c r="C3" s="286" t="s">
        <v>2092</v>
      </c>
      <c r="D3" s="286" t="s">
        <v>1105</v>
      </c>
      <c r="E3" s="286" t="s">
        <v>1106</v>
      </c>
      <c r="F3" s="286" t="s">
        <v>2093</v>
      </c>
      <c r="G3" s="286" t="s">
        <v>1050</v>
      </c>
      <c r="H3" s="286" t="s">
        <v>1050</v>
      </c>
      <c r="I3" s="286" t="s">
        <v>1108</v>
      </c>
      <c r="J3" s="286" t="s">
        <v>1312</v>
      </c>
      <c r="K3" s="286" t="s">
        <v>2094</v>
      </c>
      <c r="L3" s="286" t="s">
        <v>2095</v>
      </c>
      <c r="M3" s="286">
        <v>1</v>
      </c>
      <c r="N3" s="287">
        <v>145186</v>
      </c>
      <c r="O3" s="294">
        <f>EOMONTH(B3,0)</f>
        <v>45504</v>
      </c>
      <c r="P3" s="286" t="s">
        <v>37</v>
      </c>
    </row>
    <row r="4" spans="1:16" hidden="1" x14ac:dyDescent="0.15">
      <c r="A4" s="286">
        <v>567450</v>
      </c>
      <c r="B4" s="288">
        <v>45415.564583333333</v>
      </c>
      <c r="C4" s="286" t="s">
        <v>2096</v>
      </c>
      <c r="D4" s="286" t="s">
        <v>1105</v>
      </c>
      <c r="E4" s="286" t="s">
        <v>1106</v>
      </c>
      <c r="F4" s="286" t="s">
        <v>2097</v>
      </c>
      <c r="G4" s="286" t="s">
        <v>1054</v>
      </c>
      <c r="H4" s="286" t="s">
        <v>1054</v>
      </c>
      <c r="I4" s="286" t="s">
        <v>1108</v>
      </c>
      <c r="J4" s="286" t="s">
        <v>1312</v>
      </c>
      <c r="K4" s="286" t="s">
        <v>1644</v>
      </c>
      <c r="L4" s="286" t="s">
        <v>578</v>
      </c>
      <c r="M4" s="286">
        <v>1</v>
      </c>
      <c r="N4" s="287">
        <v>144337</v>
      </c>
      <c r="O4" s="294">
        <f t="shared" ref="O4:O67" si="0">EOMONTH(B4,0)</f>
        <v>45443</v>
      </c>
      <c r="P4" s="286" t="s">
        <v>37</v>
      </c>
    </row>
    <row r="5" spans="1:16" hidden="1" x14ac:dyDescent="0.15">
      <c r="A5" s="286">
        <v>901365</v>
      </c>
      <c r="B5" s="288">
        <v>45646.486805555556</v>
      </c>
      <c r="C5" s="286" t="s">
        <v>2098</v>
      </c>
      <c r="D5" s="286" t="s">
        <v>1105</v>
      </c>
      <c r="E5" s="286" t="s">
        <v>1106</v>
      </c>
      <c r="F5" s="286" t="s">
        <v>2099</v>
      </c>
      <c r="G5" s="286" t="s">
        <v>1074</v>
      </c>
      <c r="H5" s="286" t="s">
        <v>1074</v>
      </c>
      <c r="I5" s="286" t="s">
        <v>1108</v>
      </c>
      <c r="J5" s="286" t="s">
        <v>1312</v>
      </c>
      <c r="K5" s="286" t="s">
        <v>1648</v>
      </c>
      <c r="L5" s="286" t="s">
        <v>700</v>
      </c>
      <c r="M5" s="286">
        <v>1</v>
      </c>
      <c r="N5" s="287">
        <v>143646</v>
      </c>
      <c r="O5" s="294">
        <f t="shared" si="0"/>
        <v>45657</v>
      </c>
      <c r="P5" s="286" t="s">
        <v>37</v>
      </c>
    </row>
    <row r="6" spans="1:16" hidden="1" x14ac:dyDescent="0.15">
      <c r="A6" s="286">
        <v>866245</v>
      </c>
      <c r="B6" s="288">
        <v>45617.606944444444</v>
      </c>
      <c r="C6" s="286" t="s">
        <v>2100</v>
      </c>
      <c r="D6" s="286" t="s">
        <v>1105</v>
      </c>
      <c r="E6" s="286" t="s">
        <v>1106</v>
      </c>
      <c r="F6" s="286" t="s">
        <v>2101</v>
      </c>
      <c r="G6" s="286" t="s">
        <v>1077</v>
      </c>
      <c r="H6" s="286" t="s">
        <v>1077</v>
      </c>
      <c r="I6" s="286" t="s">
        <v>1108</v>
      </c>
      <c r="J6" s="286" t="s">
        <v>1312</v>
      </c>
      <c r="K6" s="286" t="s">
        <v>1648</v>
      </c>
      <c r="L6" s="286" t="s">
        <v>700</v>
      </c>
      <c r="M6" s="286">
        <v>1</v>
      </c>
      <c r="N6" s="287">
        <v>143316</v>
      </c>
      <c r="O6" s="294">
        <f t="shared" si="0"/>
        <v>45626</v>
      </c>
      <c r="P6" s="286" t="s">
        <v>37</v>
      </c>
    </row>
    <row r="7" spans="1:16" hidden="1" x14ac:dyDescent="0.15">
      <c r="A7" s="286">
        <v>751756</v>
      </c>
      <c r="B7" s="288">
        <v>45540.734722222223</v>
      </c>
      <c r="C7" s="286" t="s">
        <v>2102</v>
      </c>
      <c r="D7" s="286" t="s">
        <v>1105</v>
      </c>
      <c r="E7" s="286" t="s">
        <v>1106</v>
      </c>
      <c r="F7" s="286" t="s">
        <v>2103</v>
      </c>
      <c r="G7" s="286" t="s">
        <v>1011</v>
      </c>
      <c r="H7" s="286" t="s">
        <v>1011</v>
      </c>
      <c r="I7" s="286" t="s">
        <v>1108</v>
      </c>
      <c r="J7" s="286" t="s">
        <v>1312</v>
      </c>
      <c r="K7" s="286" t="s">
        <v>2104</v>
      </c>
      <c r="L7" s="286" t="s">
        <v>850</v>
      </c>
      <c r="M7" s="286">
        <v>1</v>
      </c>
      <c r="N7" s="287">
        <v>133321</v>
      </c>
      <c r="O7" s="294">
        <f t="shared" si="0"/>
        <v>45565</v>
      </c>
      <c r="P7" s="286" t="s">
        <v>37</v>
      </c>
    </row>
    <row r="8" spans="1:16" hidden="1" x14ac:dyDescent="0.15">
      <c r="A8" s="286">
        <v>556087</v>
      </c>
      <c r="B8" s="288">
        <v>45406.408333333333</v>
      </c>
      <c r="C8" s="286" t="s">
        <v>2096</v>
      </c>
      <c r="D8" s="286" t="s">
        <v>1105</v>
      </c>
      <c r="E8" s="286" t="s">
        <v>1106</v>
      </c>
      <c r="F8" s="286" t="s">
        <v>2105</v>
      </c>
      <c r="G8" s="286" t="s">
        <v>1059</v>
      </c>
      <c r="H8" s="286" t="s">
        <v>1059</v>
      </c>
      <c r="I8" s="286" t="s">
        <v>1204</v>
      </c>
      <c r="J8" s="286" t="s">
        <v>1312</v>
      </c>
      <c r="K8" s="286" t="s">
        <v>2106</v>
      </c>
      <c r="L8" s="286" t="s">
        <v>2107</v>
      </c>
      <c r="M8" s="286">
        <v>1</v>
      </c>
      <c r="N8" s="287">
        <v>117785</v>
      </c>
      <c r="O8" s="294">
        <f t="shared" si="0"/>
        <v>45412</v>
      </c>
      <c r="P8" s="286" t="s">
        <v>49</v>
      </c>
    </row>
    <row r="9" spans="1:16" hidden="1" x14ac:dyDescent="0.15">
      <c r="A9" s="286">
        <v>563037</v>
      </c>
      <c r="B9" s="288">
        <v>45413.654861111114</v>
      </c>
      <c r="C9" s="286" t="s">
        <v>2096</v>
      </c>
      <c r="D9" s="286" t="s">
        <v>1105</v>
      </c>
      <c r="E9" s="286" t="s">
        <v>1106</v>
      </c>
      <c r="F9" s="286" t="s">
        <v>2108</v>
      </c>
      <c r="G9" s="286" t="s">
        <v>1059</v>
      </c>
      <c r="H9" s="286" t="s">
        <v>1059</v>
      </c>
      <c r="I9" s="286" t="s">
        <v>1152</v>
      </c>
      <c r="J9" s="286" t="s">
        <v>1312</v>
      </c>
      <c r="K9" s="286" t="s">
        <v>53</v>
      </c>
      <c r="L9" s="286" t="s">
        <v>53</v>
      </c>
      <c r="M9" s="286" t="s">
        <v>53</v>
      </c>
      <c r="N9" s="287">
        <v>117785</v>
      </c>
      <c r="O9" s="294">
        <f t="shared" si="0"/>
        <v>45443</v>
      </c>
      <c r="P9" s="286" t="s">
        <v>58</v>
      </c>
    </row>
    <row r="10" spans="1:16" hidden="1" x14ac:dyDescent="0.15">
      <c r="A10" s="286">
        <v>536791</v>
      </c>
      <c r="B10" s="288">
        <v>45390.404166666667</v>
      </c>
      <c r="C10" s="286" t="s">
        <v>2109</v>
      </c>
      <c r="D10" s="286" t="s">
        <v>1105</v>
      </c>
      <c r="E10" s="286" t="s">
        <v>1106</v>
      </c>
      <c r="F10" s="286" t="s">
        <v>2110</v>
      </c>
      <c r="G10" s="286" t="s">
        <v>1004</v>
      </c>
      <c r="H10" s="286" t="s">
        <v>1004</v>
      </c>
      <c r="I10" s="286" t="s">
        <v>1108</v>
      </c>
      <c r="J10" s="286" t="s">
        <v>1312</v>
      </c>
      <c r="K10" s="286" t="s">
        <v>1635</v>
      </c>
      <c r="L10" s="286" t="s">
        <v>580</v>
      </c>
      <c r="M10" s="286">
        <v>1</v>
      </c>
      <c r="N10" s="287">
        <v>95165</v>
      </c>
      <c r="O10" s="294">
        <f t="shared" si="0"/>
        <v>45412</v>
      </c>
      <c r="P10" s="286" t="s">
        <v>37</v>
      </c>
    </row>
    <row r="11" spans="1:16" hidden="1" x14ac:dyDescent="0.15">
      <c r="A11" s="286">
        <v>901365</v>
      </c>
      <c r="B11" s="288">
        <v>45646.486805555556</v>
      </c>
      <c r="C11" s="286" t="s">
        <v>2098</v>
      </c>
      <c r="D11" s="286" t="s">
        <v>1105</v>
      </c>
      <c r="E11" s="286" t="s">
        <v>1106</v>
      </c>
      <c r="F11" s="286" t="s">
        <v>2099</v>
      </c>
      <c r="G11" s="286" t="s">
        <v>1022</v>
      </c>
      <c r="H11" s="286" t="s">
        <v>1022</v>
      </c>
      <c r="I11" s="286" t="s">
        <v>1108</v>
      </c>
      <c r="J11" s="286" t="s">
        <v>1312</v>
      </c>
      <c r="K11" s="286" t="s">
        <v>1635</v>
      </c>
      <c r="L11" s="286" t="s">
        <v>580</v>
      </c>
      <c r="M11" s="286">
        <v>1</v>
      </c>
      <c r="N11" s="287">
        <v>95165</v>
      </c>
      <c r="O11" s="294">
        <f t="shared" si="0"/>
        <v>45657</v>
      </c>
      <c r="P11" s="286" t="s">
        <v>37</v>
      </c>
    </row>
    <row r="12" spans="1:16" hidden="1" x14ac:dyDescent="0.15">
      <c r="A12" s="286">
        <v>714030</v>
      </c>
      <c r="B12" s="288">
        <v>45518.590277777781</v>
      </c>
      <c r="C12" s="286" t="s">
        <v>2111</v>
      </c>
      <c r="D12" s="286" t="s">
        <v>1105</v>
      </c>
      <c r="E12" s="286" t="s">
        <v>1106</v>
      </c>
      <c r="F12" s="286" t="s">
        <v>2112</v>
      </c>
      <c r="G12" s="286" t="s">
        <v>1021</v>
      </c>
      <c r="H12" s="286" t="s">
        <v>1021</v>
      </c>
      <c r="I12" s="286" t="s">
        <v>1128</v>
      </c>
      <c r="J12" s="286" t="s">
        <v>1312</v>
      </c>
      <c r="K12" s="286" t="s">
        <v>1695</v>
      </c>
      <c r="L12" s="286" t="s">
        <v>1696</v>
      </c>
      <c r="M12" s="286">
        <v>1</v>
      </c>
      <c r="N12" s="287">
        <v>90458</v>
      </c>
      <c r="O12" s="294">
        <f t="shared" si="0"/>
        <v>45535</v>
      </c>
      <c r="P12" s="286" t="s">
        <v>47</v>
      </c>
    </row>
    <row r="13" spans="1:16" hidden="1" x14ac:dyDescent="0.15">
      <c r="A13" s="286">
        <v>496295</v>
      </c>
      <c r="B13" s="288">
        <v>45352.356944444444</v>
      </c>
      <c r="C13" s="286" t="s">
        <v>2113</v>
      </c>
      <c r="D13" s="286" t="s">
        <v>1105</v>
      </c>
      <c r="E13" s="286" t="s">
        <v>1106</v>
      </c>
      <c r="F13" s="286" t="s">
        <v>2114</v>
      </c>
      <c r="G13" s="286" t="s">
        <v>1024</v>
      </c>
      <c r="H13" s="286" t="s">
        <v>1024</v>
      </c>
      <c r="I13" s="286" t="s">
        <v>1108</v>
      </c>
      <c r="J13" s="286" t="s">
        <v>1312</v>
      </c>
      <c r="K13" s="286" t="s">
        <v>1635</v>
      </c>
      <c r="L13" s="286" t="s">
        <v>580</v>
      </c>
      <c r="M13" s="286">
        <v>1</v>
      </c>
      <c r="N13" s="287">
        <v>88939</v>
      </c>
      <c r="O13" s="294">
        <f t="shared" si="0"/>
        <v>45382</v>
      </c>
      <c r="P13" s="286" t="s">
        <v>37</v>
      </c>
    </row>
    <row r="14" spans="1:16" hidden="1" x14ac:dyDescent="0.15">
      <c r="A14" s="286">
        <v>567450</v>
      </c>
      <c r="B14" s="288">
        <v>45415.564583333333</v>
      </c>
      <c r="C14" s="286" t="s">
        <v>2096</v>
      </c>
      <c r="D14" s="286" t="s">
        <v>1105</v>
      </c>
      <c r="E14" s="286" t="s">
        <v>1106</v>
      </c>
      <c r="F14" s="286" t="s">
        <v>2097</v>
      </c>
      <c r="G14" s="286" t="s">
        <v>1054</v>
      </c>
      <c r="H14" s="286" t="s">
        <v>1054</v>
      </c>
      <c r="I14" s="286" t="s">
        <v>1108</v>
      </c>
      <c r="J14" s="286" t="s">
        <v>1312</v>
      </c>
      <c r="K14" s="286" t="s">
        <v>1635</v>
      </c>
      <c r="L14" s="286" t="s">
        <v>580</v>
      </c>
      <c r="M14" s="286">
        <v>1</v>
      </c>
      <c r="N14" s="287">
        <v>88939</v>
      </c>
      <c r="O14" s="294">
        <f t="shared" si="0"/>
        <v>45443</v>
      </c>
      <c r="P14" s="286" t="s">
        <v>37</v>
      </c>
    </row>
    <row r="15" spans="1:16" hidden="1" x14ac:dyDescent="0.15">
      <c r="A15" s="286">
        <v>578060</v>
      </c>
      <c r="B15" s="288">
        <v>45426.430555555555</v>
      </c>
      <c r="C15" s="286" t="s">
        <v>2096</v>
      </c>
      <c r="D15" s="286" t="s">
        <v>1105</v>
      </c>
      <c r="E15" s="286" t="s">
        <v>1106</v>
      </c>
      <c r="F15" s="286" t="s">
        <v>2115</v>
      </c>
      <c r="G15" s="286" t="s">
        <v>1037</v>
      </c>
      <c r="H15" s="286" t="s">
        <v>1037</v>
      </c>
      <c r="I15" s="286" t="s">
        <v>1108</v>
      </c>
      <c r="J15" s="286" t="s">
        <v>1312</v>
      </c>
      <c r="K15" s="286" t="s">
        <v>1809</v>
      </c>
      <c r="L15" s="286" t="s">
        <v>1810</v>
      </c>
      <c r="M15" s="286">
        <v>1</v>
      </c>
      <c r="N15" s="287">
        <v>79165</v>
      </c>
      <c r="O15" s="294">
        <f t="shared" si="0"/>
        <v>45443</v>
      </c>
      <c r="P15" s="286" t="s">
        <v>37</v>
      </c>
    </row>
    <row r="16" spans="1:16" hidden="1" x14ac:dyDescent="0.15">
      <c r="A16" s="286">
        <v>556087</v>
      </c>
      <c r="B16" s="288">
        <v>45406.408333333333</v>
      </c>
      <c r="C16" s="286" t="s">
        <v>2096</v>
      </c>
      <c r="D16" s="286" t="s">
        <v>1105</v>
      </c>
      <c r="E16" s="286" t="s">
        <v>1106</v>
      </c>
      <c r="F16" s="286" t="s">
        <v>2105</v>
      </c>
      <c r="G16" s="286" t="s">
        <v>1059</v>
      </c>
      <c r="H16" s="286" t="s">
        <v>1059</v>
      </c>
      <c r="I16" s="286" t="s">
        <v>1235</v>
      </c>
      <c r="J16" s="286" t="s">
        <v>1312</v>
      </c>
      <c r="K16" s="286" t="s">
        <v>915</v>
      </c>
      <c r="L16" s="286" t="s">
        <v>774</v>
      </c>
      <c r="M16" s="286">
        <v>1</v>
      </c>
      <c r="N16" s="287">
        <v>79134</v>
      </c>
      <c r="O16" s="294">
        <f t="shared" si="0"/>
        <v>45412</v>
      </c>
      <c r="P16" s="286" t="s">
        <v>180</v>
      </c>
    </row>
    <row r="17" spans="1:16" hidden="1" x14ac:dyDescent="0.15">
      <c r="A17" s="286">
        <v>618592</v>
      </c>
      <c r="B17" s="288">
        <v>45457.646527777775</v>
      </c>
      <c r="C17" s="286" t="s">
        <v>2116</v>
      </c>
      <c r="D17" s="286" t="s">
        <v>1105</v>
      </c>
      <c r="E17" s="286" t="s">
        <v>1106</v>
      </c>
      <c r="F17" s="286" t="s">
        <v>2117</v>
      </c>
      <c r="G17" s="286" t="s">
        <v>1080</v>
      </c>
      <c r="H17" s="286" t="s">
        <v>1080</v>
      </c>
      <c r="I17" s="286" t="s">
        <v>1235</v>
      </c>
      <c r="J17" s="286" t="s">
        <v>1312</v>
      </c>
      <c r="K17" s="286" t="s">
        <v>912</v>
      </c>
      <c r="L17" s="286" t="s">
        <v>490</v>
      </c>
      <c r="M17" s="286">
        <v>1</v>
      </c>
      <c r="N17" s="287">
        <v>79134</v>
      </c>
      <c r="O17" s="294">
        <f t="shared" si="0"/>
        <v>45473</v>
      </c>
      <c r="P17" s="286" t="s">
        <v>180</v>
      </c>
    </row>
    <row r="18" spans="1:16" hidden="1" x14ac:dyDescent="0.15">
      <c r="A18" s="286">
        <v>517381</v>
      </c>
      <c r="B18" s="288">
        <v>45370.440972222219</v>
      </c>
      <c r="C18" s="286" t="s">
        <v>2113</v>
      </c>
      <c r="D18" s="286" t="s">
        <v>1105</v>
      </c>
      <c r="E18" s="286" t="s">
        <v>1106</v>
      </c>
      <c r="F18" s="286" t="s">
        <v>2118</v>
      </c>
      <c r="G18" s="286" t="s">
        <v>1019</v>
      </c>
      <c r="H18" s="286" t="s">
        <v>1019</v>
      </c>
      <c r="I18" s="286" t="s">
        <v>1235</v>
      </c>
      <c r="J18" s="286" t="s">
        <v>1312</v>
      </c>
      <c r="K18" s="286" t="s">
        <v>912</v>
      </c>
      <c r="L18" s="286" t="s">
        <v>490</v>
      </c>
      <c r="M18" s="286">
        <v>1</v>
      </c>
      <c r="N18" s="287">
        <v>73957</v>
      </c>
      <c r="O18" s="294">
        <f t="shared" si="0"/>
        <v>45382</v>
      </c>
      <c r="P18" s="286" t="s">
        <v>180</v>
      </c>
    </row>
    <row r="19" spans="1:16" hidden="1" x14ac:dyDescent="0.15">
      <c r="A19" s="286">
        <v>596086</v>
      </c>
      <c r="B19" s="288">
        <v>45442.459027777775</v>
      </c>
      <c r="C19" s="286" t="s">
        <v>2116</v>
      </c>
      <c r="D19" s="286" t="s">
        <v>1105</v>
      </c>
      <c r="E19" s="286" t="s">
        <v>1106</v>
      </c>
      <c r="F19" s="286" t="s">
        <v>2119</v>
      </c>
      <c r="G19" s="286" t="s">
        <v>1056</v>
      </c>
      <c r="H19" s="286" t="s">
        <v>1056</v>
      </c>
      <c r="I19" s="286" t="s">
        <v>1112</v>
      </c>
      <c r="J19" s="286" t="s">
        <v>1312</v>
      </c>
      <c r="K19" s="286" t="s">
        <v>53</v>
      </c>
      <c r="L19" s="286" t="s">
        <v>53</v>
      </c>
      <c r="M19" s="286" t="s">
        <v>53</v>
      </c>
      <c r="N19" s="287">
        <v>63364</v>
      </c>
      <c r="O19" s="294">
        <f t="shared" si="0"/>
        <v>45443</v>
      </c>
      <c r="P19" s="286" t="s">
        <v>175</v>
      </c>
    </row>
    <row r="20" spans="1:16" hidden="1" x14ac:dyDescent="0.15">
      <c r="A20" s="286">
        <v>651672</v>
      </c>
      <c r="B20" s="288">
        <v>45481.448611111111</v>
      </c>
      <c r="C20" s="286" t="s">
        <v>2092</v>
      </c>
      <c r="D20" s="286" t="s">
        <v>1105</v>
      </c>
      <c r="E20" s="286" t="s">
        <v>1106</v>
      </c>
      <c r="F20" s="286" t="s">
        <v>2120</v>
      </c>
      <c r="G20" s="286" t="s">
        <v>1091</v>
      </c>
      <c r="H20" s="286" t="s">
        <v>1091</v>
      </c>
      <c r="I20" s="286" t="s">
        <v>1112</v>
      </c>
      <c r="J20" s="286" t="s">
        <v>1312</v>
      </c>
      <c r="K20" s="286" t="s">
        <v>1773</v>
      </c>
      <c r="L20" s="286" t="s">
        <v>1774</v>
      </c>
      <c r="M20" s="286">
        <v>6</v>
      </c>
      <c r="N20" s="287">
        <v>61361.279999999999</v>
      </c>
      <c r="O20" s="294">
        <f t="shared" si="0"/>
        <v>45504</v>
      </c>
      <c r="P20" s="286" t="s">
        <v>175</v>
      </c>
    </row>
    <row r="21" spans="1:16" hidden="1" x14ac:dyDescent="0.15">
      <c r="A21" s="286">
        <v>751756</v>
      </c>
      <c r="B21" s="288">
        <v>45540.734722222223</v>
      </c>
      <c r="C21" s="286" t="s">
        <v>2102</v>
      </c>
      <c r="D21" s="286" t="s">
        <v>1105</v>
      </c>
      <c r="E21" s="286" t="s">
        <v>1106</v>
      </c>
      <c r="F21" s="286" t="s">
        <v>2103</v>
      </c>
      <c r="G21" s="286" t="s">
        <v>1011</v>
      </c>
      <c r="H21" s="286" t="s">
        <v>1011</v>
      </c>
      <c r="I21" s="286" t="s">
        <v>1128</v>
      </c>
      <c r="J21" s="286" t="s">
        <v>1312</v>
      </c>
      <c r="K21" s="286" t="s">
        <v>2121</v>
      </c>
      <c r="L21" s="286" t="s">
        <v>852</v>
      </c>
      <c r="M21" s="286">
        <v>1</v>
      </c>
      <c r="N21" s="287">
        <v>55139</v>
      </c>
      <c r="O21" s="294">
        <f t="shared" si="0"/>
        <v>45565</v>
      </c>
      <c r="P21" s="286" t="s">
        <v>47</v>
      </c>
    </row>
    <row r="22" spans="1:16" hidden="1" x14ac:dyDescent="0.15">
      <c r="A22" s="286">
        <v>901365</v>
      </c>
      <c r="B22" s="288">
        <v>45646.486805555556</v>
      </c>
      <c r="C22" s="286" t="s">
        <v>2098</v>
      </c>
      <c r="D22" s="286" t="s">
        <v>1105</v>
      </c>
      <c r="E22" s="286" t="s">
        <v>1106</v>
      </c>
      <c r="F22" s="286" t="s">
        <v>2099</v>
      </c>
      <c r="G22" s="286" t="s">
        <v>1074</v>
      </c>
      <c r="H22" s="286" t="s">
        <v>1074</v>
      </c>
      <c r="I22" s="286" t="s">
        <v>1108</v>
      </c>
      <c r="J22" s="286" t="s">
        <v>1312</v>
      </c>
      <c r="K22" s="286" t="s">
        <v>1681</v>
      </c>
      <c r="L22" s="286" t="s">
        <v>584</v>
      </c>
      <c r="M22" s="286">
        <v>1</v>
      </c>
      <c r="N22" s="287">
        <v>48396</v>
      </c>
      <c r="O22" s="294">
        <f t="shared" si="0"/>
        <v>45657</v>
      </c>
      <c r="P22" s="286" t="s">
        <v>37</v>
      </c>
    </row>
    <row r="23" spans="1:16" hidden="1" x14ac:dyDescent="0.15">
      <c r="A23" s="286">
        <v>751756</v>
      </c>
      <c r="B23" s="288">
        <v>45540.734722222223</v>
      </c>
      <c r="C23" s="286" t="s">
        <v>2102</v>
      </c>
      <c r="D23" s="286" t="s">
        <v>1105</v>
      </c>
      <c r="E23" s="286" t="s">
        <v>1106</v>
      </c>
      <c r="F23" s="286" t="s">
        <v>2103</v>
      </c>
      <c r="G23" s="286" t="s">
        <v>1028</v>
      </c>
      <c r="H23" s="286" t="s">
        <v>1028</v>
      </c>
      <c r="I23" s="286" t="s">
        <v>1230</v>
      </c>
      <c r="J23" s="286" t="s">
        <v>1312</v>
      </c>
      <c r="K23" s="286" t="s">
        <v>2122</v>
      </c>
      <c r="L23" s="286" t="s">
        <v>2123</v>
      </c>
      <c r="M23" s="286">
        <v>3</v>
      </c>
      <c r="N23" s="287">
        <v>46068</v>
      </c>
      <c r="O23" s="294">
        <f t="shared" si="0"/>
        <v>45565</v>
      </c>
      <c r="P23" s="286" t="s">
        <v>175</v>
      </c>
    </row>
    <row r="24" spans="1:16" hidden="1" x14ac:dyDescent="0.15">
      <c r="A24" s="286">
        <v>901365</v>
      </c>
      <c r="B24" s="288">
        <v>45646.486805555556</v>
      </c>
      <c r="C24" s="286" t="s">
        <v>2098</v>
      </c>
      <c r="D24" s="286" t="s">
        <v>1105</v>
      </c>
      <c r="E24" s="286" t="s">
        <v>1106</v>
      </c>
      <c r="F24" s="286" t="s">
        <v>2099</v>
      </c>
      <c r="G24" s="286" t="s">
        <v>1074</v>
      </c>
      <c r="H24" s="286" t="s">
        <v>1074</v>
      </c>
      <c r="I24" s="286" t="s">
        <v>1128</v>
      </c>
      <c r="J24" s="286" t="s">
        <v>1312</v>
      </c>
      <c r="K24" s="286" t="s">
        <v>1694</v>
      </c>
      <c r="L24" s="286" t="s">
        <v>1501</v>
      </c>
      <c r="M24" s="286">
        <v>1</v>
      </c>
      <c r="N24" s="287">
        <v>44378</v>
      </c>
      <c r="O24" s="294">
        <f t="shared" si="0"/>
        <v>45657</v>
      </c>
      <c r="P24" s="286" t="s">
        <v>47</v>
      </c>
    </row>
    <row r="25" spans="1:16" hidden="1" x14ac:dyDescent="0.15">
      <c r="A25" s="286">
        <v>567450</v>
      </c>
      <c r="B25" s="288">
        <v>45415.564583333333</v>
      </c>
      <c r="C25" s="286" t="s">
        <v>2096</v>
      </c>
      <c r="D25" s="286" t="s">
        <v>1105</v>
      </c>
      <c r="E25" s="286" t="s">
        <v>1106</v>
      </c>
      <c r="F25" s="286" t="s">
        <v>2097</v>
      </c>
      <c r="G25" s="286" t="s">
        <v>1054</v>
      </c>
      <c r="H25" s="286" t="s">
        <v>1054</v>
      </c>
      <c r="I25" s="286" t="s">
        <v>1108</v>
      </c>
      <c r="J25" s="286" t="s">
        <v>1312</v>
      </c>
      <c r="K25" s="286" t="s">
        <v>1681</v>
      </c>
      <c r="L25" s="286" t="s">
        <v>584</v>
      </c>
      <c r="M25" s="286">
        <v>1</v>
      </c>
      <c r="N25" s="287">
        <v>43159</v>
      </c>
      <c r="O25" s="294">
        <f t="shared" si="0"/>
        <v>45443</v>
      </c>
      <c r="P25" s="286" t="s">
        <v>37</v>
      </c>
    </row>
    <row r="26" spans="1:16" hidden="1" x14ac:dyDescent="0.15">
      <c r="A26" s="286">
        <v>657173</v>
      </c>
      <c r="B26" s="288">
        <v>45483.53402777778</v>
      </c>
      <c r="C26" s="286" t="s">
        <v>2092</v>
      </c>
      <c r="D26" s="286" t="s">
        <v>1105</v>
      </c>
      <c r="E26" s="286" t="s">
        <v>1106</v>
      </c>
      <c r="F26" s="286" t="s">
        <v>2093</v>
      </c>
      <c r="G26" s="286" t="s">
        <v>1050</v>
      </c>
      <c r="H26" s="286" t="s">
        <v>1050</v>
      </c>
      <c r="I26" s="286" t="s">
        <v>1108</v>
      </c>
      <c r="J26" s="286" t="s">
        <v>1312</v>
      </c>
      <c r="K26" s="286" t="s">
        <v>1681</v>
      </c>
      <c r="L26" s="286" t="s">
        <v>584</v>
      </c>
      <c r="M26" s="286">
        <v>1</v>
      </c>
      <c r="N26" s="287">
        <v>43159</v>
      </c>
      <c r="O26" s="294">
        <f t="shared" si="0"/>
        <v>45504</v>
      </c>
      <c r="P26" s="286" t="s">
        <v>37</v>
      </c>
    </row>
    <row r="27" spans="1:16" hidden="1" x14ac:dyDescent="0.15">
      <c r="A27" s="286">
        <v>751756</v>
      </c>
      <c r="B27" s="288">
        <v>45540.734722222223</v>
      </c>
      <c r="C27" s="286" t="s">
        <v>2102</v>
      </c>
      <c r="D27" s="286" t="s">
        <v>1105</v>
      </c>
      <c r="E27" s="286" t="s">
        <v>1106</v>
      </c>
      <c r="F27" s="286" t="s">
        <v>2103</v>
      </c>
      <c r="G27" s="286" t="s">
        <v>1011</v>
      </c>
      <c r="H27" s="286" t="s">
        <v>1011</v>
      </c>
      <c r="I27" s="286" t="s">
        <v>1108</v>
      </c>
      <c r="J27" s="286" t="s">
        <v>1312</v>
      </c>
      <c r="K27" s="286" t="s">
        <v>2124</v>
      </c>
      <c r="L27" s="286" t="s">
        <v>441</v>
      </c>
      <c r="M27" s="286">
        <v>1</v>
      </c>
      <c r="N27" s="287">
        <v>40534</v>
      </c>
      <c r="O27" s="294">
        <f t="shared" si="0"/>
        <v>45565</v>
      </c>
      <c r="P27" s="286" t="s">
        <v>37</v>
      </c>
    </row>
    <row r="28" spans="1:16" hidden="1" x14ac:dyDescent="0.15">
      <c r="A28" s="286">
        <v>492029</v>
      </c>
      <c r="B28" s="288">
        <v>45349.511111111111</v>
      </c>
      <c r="C28" s="286" t="s">
        <v>2125</v>
      </c>
      <c r="D28" s="286" t="s">
        <v>1105</v>
      </c>
      <c r="E28" s="286" t="s">
        <v>1106</v>
      </c>
      <c r="F28" s="286" t="s">
        <v>2126</v>
      </c>
      <c r="G28" s="286" t="s">
        <v>1073</v>
      </c>
      <c r="H28" s="286" t="s">
        <v>1073</v>
      </c>
      <c r="I28" s="286" t="s">
        <v>1112</v>
      </c>
      <c r="J28" s="286" t="s">
        <v>1312</v>
      </c>
      <c r="K28" s="286" t="s">
        <v>53</v>
      </c>
      <c r="L28" s="286" t="s">
        <v>53</v>
      </c>
      <c r="M28" s="286" t="s">
        <v>53</v>
      </c>
      <c r="N28" s="287">
        <v>40005.75</v>
      </c>
      <c r="O28" s="294">
        <f t="shared" si="0"/>
        <v>45351</v>
      </c>
      <c r="P28" s="286" t="s">
        <v>175</v>
      </c>
    </row>
    <row r="29" spans="1:16" hidden="1" x14ac:dyDescent="0.15">
      <c r="A29" s="286">
        <v>559085</v>
      </c>
      <c r="B29" s="288">
        <v>45408.429861111108</v>
      </c>
      <c r="C29" s="286" t="s">
        <v>2109</v>
      </c>
      <c r="D29" s="286" t="s">
        <v>1105</v>
      </c>
      <c r="E29" s="286" t="s">
        <v>1106</v>
      </c>
      <c r="F29" s="286" t="s">
        <v>2127</v>
      </c>
      <c r="G29" s="286" t="s">
        <v>1073</v>
      </c>
      <c r="H29" s="286" t="s">
        <v>1073</v>
      </c>
      <c r="I29" s="286" t="s">
        <v>1112</v>
      </c>
      <c r="J29" s="286" t="s">
        <v>1312</v>
      </c>
      <c r="K29" s="286" t="s">
        <v>53</v>
      </c>
      <c r="L29" s="286" t="s">
        <v>53</v>
      </c>
      <c r="M29" s="286" t="s">
        <v>53</v>
      </c>
      <c r="N29" s="287">
        <v>40005.75</v>
      </c>
      <c r="O29" s="294">
        <f t="shared" si="0"/>
        <v>45412</v>
      </c>
      <c r="P29" s="286" t="s">
        <v>175</v>
      </c>
    </row>
    <row r="30" spans="1:16" hidden="1" x14ac:dyDescent="0.15">
      <c r="A30" s="286">
        <v>651878</v>
      </c>
      <c r="B30" s="288">
        <v>45481.482638888891</v>
      </c>
      <c r="C30" s="286" t="s">
        <v>2092</v>
      </c>
      <c r="D30" s="286" t="s">
        <v>1105</v>
      </c>
      <c r="E30" s="286" t="s">
        <v>1106</v>
      </c>
      <c r="F30" s="286" t="s">
        <v>2128</v>
      </c>
      <c r="G30" s="286" t="s">
        <v>1073</v>
      </c>
      <c r="H30" s="286" t="s">
        <v>1073</v>
      </c>
      <c r="I30" s="286" t="s">
        <v>1112</v>
      </c>
      <c r="J30" s="286" t="s">
        <v>1312</v>
      </c>
      <c r="K30" s="286" t="s">
        <v>53</v>
      </c>
      <c r="L30" s="286" t="s">
        <v>53</v>
      </c>
      <c r="M30" s="286" t="s">
        <v>53</v>
      </c>
      <c r="N30" s="287">
        <v>40005.22</v>
      </c>
      <c r="O30" s="294">
        <f t="shared" si="0"/>
        <v>45504</v>
      </c>
      <c r="P30" s="286" t="s">
        <v>175</v>
      </c>
    </row>
    <row r="31" spans="1:16" hidden="1" x14ac:dyDescent="0.15">
      <c r="A31" s="286">
        <v>901252</v>
      </c>
      <c r="B31" s="288">
        <v>45646.472222222219</v>
      </c>
      <c r="C31" s="286" t="s">
        <v>2098</v>
      </c>
      <c r="D31" s="286" t="s">
        <v>1105</v>
      </c>
      <c r="E31" s="286" t="s">
        <v>1106</v>
      </c>
      <c r="F31" s="286" t="s">
        <v>2129</v>
      </c>
      <c r="G31" s="286" t="s">
        <v>324</v>
      </c>
      <c r="H31" s="286" t="s">
        <v>1041</v>
      </c>
      <c r="I31" s="286" t="s">
        <v>1112</v>
      </c>
      <c r="J31" s="286" t="s">
        <v>1312</v>
      </c>
      <c r="K31" s="286" t="s">
        <v>1707</v>
      </c>
      <c r="L31" s="286" t="s">
        <v>1708</v>
      </c>
      <c r="M31" s="286">
        <v>3</v>
      </c>
      <c r="N31" s="287">
        <v>38689.64</v>
      </c>
      <c r="O31" s="294">
        <f t="shared" si="0"/>
        <v>45657</v>
      </c>
      <c r="P31" s="286" t="s">
        <v>175</v>
      </c>
    </row>
    <row r="32" spans="1:16" hidden="1" x14ac:dyDescent="0.15">
      <c r="A32" s="286">
        <v>863239</v>
      </c>
      <c r="B32" s="288">
        <v>45616.638888888891</v>
      </c>
      <c r="C32" s="286" t="s">
        <v>2130</v>
      </c>
      <c r="D32" s="286" t="s">
        <v>1105</v>
      </c>
      <c r="E32" s="286" t="s">
        <v>1106</v>
      </c>
      <c r="F32" s="286" t="s">
        <v>2131</v>
      </c>
      <c r="G32" s="286" t="s">
        <v>1017</v>
      </c>
      <c r="H32" s="286" t="s">
        <v>1017</v>
      </c>
      <c r="I32" s="286" t="s">
        <v>1112</v>
      </c>
      <c r="J32" s="286" t="s">
        <v>1312</v>
      </c>
      <c r="K32" s="286" t="s">
        <v>53</v>
      </c>
      <c r="L32" s="286" t="s">
        <v>53</v>
      </c>
      <c r="M32" s="286" t="s">
        <v>53</v>
      </c>
      <c r="N32" s="287">
        <v>38684</v>
      </c>
      <c r="O32" s="294">
        <f t="shared" si="0"/>
        <v>45626</v>
      </c>
      <c r="P32" s="286" t="s">
        <v>175</v>
      </c>
    </row>
    <row r="33" spans="1:16" hidden="1" x14ac:dyDescent="0.15">
      <c r="A33" s="286">
        <v>807477</v>
      </c>
      <c r="B33" s="288">
        <v>45579.522222222222</v>
      </c>
      <c r="C33" s="286" t="s">
        <v>2132</v>
      </c>
      <c r="D33" s="286" t="s">
        <v>1105</v>
      </c>
      <c r="E33" s="286" t="s">
        <v>1106</v>
      </c>
      <c r="F33" s="286" t="s">
        <v>2133</v>
      </c>
      <c r="G33" s="286" t="s">
        <v>1075</v>
      </c>
      <c r="H33" s="286" t="s">
        <v>1075</v>
      </c>
      <c r="I33" s="286" t="s">
        <v>1230</v>
      </c>
      <c r="J33" s="286" t="s">
        <v>1312</v>
      </c>
      <c r="K33" s="286" t="s">
        <v>2134</v>
      </c>
      <c r="L33" s="286" t="s">
        <v>2028</v>
      </c>
      <c r="M33" s="286">
        <v>2</v>
      </c>
      <c r="N33" s="287">
        <v>38106</v>
      </c>
      <c r="O33" s="294">
        <f t="shared" si="0"/>
        <v>45596</v>
      </c>
      <c r="P33" s="286" t="s">
        <v>175</v>
      </c>
    </row>
    <row r="34" spans="1:16" hidden="1" x14ac:dyDescent="0.15">
      <c r="A34" s="286">
        <v>567450</v>
      </c>
      <c r="B34" s="288">
        <v>45415.564583333333</v>
      </c>
      <c r="C34" s="286" t="s">
        <v>2096</v>
      </c>
      <c r="D34" s="286" t="s">
        <v>1105</v>
      </c>
      <c r="E34" s="286" t="s">
        <v>1106</v>
      </c>
      <c r="F34" s="286" t="s">
        <v>2097</v>
      </c>
      <c r="G34" s="286" t="s">
        <v>1054</v>
      </c>
      <c r="H34" s="286" t="s">
        <v>1054</v>
      </c>
      <c r="I34" s="286" t="s">
        <v>1128</v>
      </c>
      <c r="J34" s="286" t="s">
        <v>1312</v>
      </c>
      <c r="K34" s="286" t="s">
        <v>1695</v>
      </c>
      <c r="L34" s="286" t="s">
        <v>1696</v>
      </c>
      <c r="M34" s="286">
        <v>1</v>
      </c>
      <c r="N34" s="287">
        <v>36858</v>
      </c>
      <c r="O34" s="294">
        <f t="shared" si="0"/>
        <v>45443</v>
      </c>
      <c r="P34" s="286" t="s">
        <v>47</v>
      </c>
    </row>
    <row r="35" spans="1:16" hidden="1" x14ac:dyDescent="0.15">
      <c r="A35" s="286">
        <v>590580</v>
      </c>
      <c r="B35" s="288">
        <v>45435.646527777775</v>
      </c>
      <c r="C35" s="286" t="s">
        <v>2116</v>
      </c>
      <c r="D35" s="286" t="s">
        <v>1105</v>
      </c>
      <c r="E35" s="286" t="s">
        <v>1106</v>
      </c>
      <c r="F35" s="286" t="s">
        <v>2135</v>
      </c>
      <c r="G35" s="286" t="s">
        <v>1059</v>
      </c>
      <c r="H35" s="286" t="s">
        <v>1059</v>
      </c>
      <c r="I35" s="286" t="s">
        <v>1128</v>
      </c>
      <c r="J35" s="286" t="s">
        <v>1312</v>
      </c>
      <c r="K35" s="286" t="s">
        <v>2136</v>
      </c>
      <c r="L35" s="286" t="s">
        <v>218</v>
      </c>
      <c r="M35" s="286">
        <v>1</v>
      </c>
      <c r="N35" s="287">
        <v>35258</v>
      </c>
      <c r="O35" s="294">
        <f t="shared" si="0"/>
        <v>45443</v>
      </c>
      <c r="P35" s="286" t="s">
        <v>47</v>
      </c>
    </row>
    <row r="36" spans="1:16" hidden="1" x14ac:dyDescent="0.15">
      <c r="A36" s="286">
        <v>646075</v>
      </c>
      <c r="B36" s="288">
        <v>45474.519444444442</v>
      </c>
      <c r="C36" s="286" t="s">
        <v>2111</v>
      </c>
      <c r="D36" s="286" t="s">
        <v>1105</v>
      </c>
      <c r="E36" s="286" t="s">
        <v>1106</v>
      </c>
      <c r="F36" s="286" t="s">
        <v>2137</v>
      </c>
      <c r="G36" s="286" t="s">
        <v>1073</v>
      </c>
      <c r="H36" s="286" t="s">
        <v>1073</v>
      </c>
      <c r="I36" s="286" t="s">
        <v>1199</v>
      </c>
      <c r="J36" s="286" t="s">
        <v>1312</v>
      </c>
      <c r="K36" s="286" t="s">
        <v>1754</v>
      </c>
      <c r="L36" s="286" t="s">
        <v>672</v>
      </c>
      <c r="M36" s="286">
        <v>1</v>
      </c>
      <c r="N36" s="287">
        <v>34696.33</v>
      </c>
      <c r="O36" s="294">
        <f t="shared" si="0"/>
        <v>45504</v>
      </c>
      <c r="P36" s="286" t="s">
        <v>58</v>
      </c>
    </row>
    <row r="37" spans="1:16" hidden="1" x14ac:dyDescent="0.15">
      <c r="A37" s="286">
        <v>697810</v>
      </c>
      <c r="B37" s="288">
        <v>45510.366666666669</v>
      </c>
      <c r="C37" s="286" t="s">
        <v>2102</v>
      </c>
      <c r="D37" s="286" t="s">
        <v>1105</v>
      </c>
      <c r="E37" s="286" t="s">
        <v>1106</v>
      </c>
      <c r="F37" s="286" t="s">
        <v>2138</v>
      </c>
      <c r="G37" s="286" t="s">
        <v>1073</v>
      </c>
      <c r="H37" s="286" t="s">
        <v>1073</v>
      </c>
      <c r="I37" s="286" t="s">
        <v>1199</v>
      </c>
      <c r="J37" s="286" t="s">
        <v>1312</v>
      </c>
      <c r="K37" s="286" t="s">
        <v>1754</v>
      </c>
      <c r="L37" s="286" t="s">
        <v>672</v>
      </c>
      <c r="M37" s="286">
        <v>1</v>
      </c>
      <c r="N37" s="287">
        <v>34696.33</v>
      </c>
      <c r="O37" s="294">
        <f t="shared" si="0"/>
        <v>45535</v>
      </c>
      <c r="P37" s="286" t="s">
        <v>58</v>
      </c>
    </row>
    <row r="38" spans="1:16" hidden="1" x14ac:dyDescent="0.15">
      <c r="A38" s="286">
        <v>745911</v>
      </c>
      <c r="B38" s="288">
        <v>45538.44027777778</v>
      </c>
      <c r="C38" s="286" t="s">
        <v>2132</v>
      </c>
      <c r="D38" s="286" t="s">
        <v>1105</v>
      </c>
      <c r="E38" s="286" t="s">
        <v>1106</v>
      </c>
      <c r="F38" s="286" t="s">
        <v>2139</v>
      </c>
      <c r="G38" s="286" t="s">
        <v>1073</v>
      </c>
      <c r="H38" s="286" t="s">
        <v>1073</v>
      </c>
      <c r="I38" s="286" t="s">
        <v>1199</v>
      </c>
      <c r="J38" s="286" t="s">
        <v>1312</v>
      </c>
      <c r="K38" s="286" t="s">
        <v>1754</v>
      </c>
      <c r="L38" s="286" t="s">
        <v>672</v>
      </c>
      <c r="M38" s="286">
        <v>1</v>
      </c>
      <c r="N38" s="287">
        <v>34696.33</v>
      </c>
      <c r="O38" s="294">
        <f t="shared" si="0"/>
        <v>45565</v>
      </c>
      <c r="P38" s="286" t="s">
        <v>58</v>
      </c>
    </row>
    <row r="39" spans="1:16" hidden="1" x14ac:dyDescent="0.15">
      <c r="A39" s="286">
        <v>848817</v>
      </c>
      <c r="B39" s="288">
        <v>45607.65902777778</v>
      </c>
      <c r="C39" s="286" t="s">
        <v>2130</v>
      </c>
      <c r="D39" s="286" t="s">
        <v>1105</v>
      </c>
      <c r="E39" s="286" t="s">
        <v>1106</v>
      </c>
      <c r="F39" s="286" t="s">
        <v>2140</v>
      </c>
      <c r="G39" s="286" t="s">
        <v>1073</v>
      </c>
      <c r="H39" s="286" t="s">
        <v>1073</v>
      </c>
      <c r="I39" s="286" t="s">
        <v>1199</v>
      </c>
      <c r="J39" s="286" t="s">
        <v>1312</v>
      </c>
      <c r="K39" s="286" t="s">
        <v>1754</v>
      </c>
      <c r="L39" s="286" t="s">
        <v>672</v>
      </c>
      <c r="M39" s="286">
        <v>1</v>
      </c>
      <c r="N39" s="287">
        <v>34696.33</v>
      </c>
      <c r="O39" s="294">
        <f t="shared" si="0"/>
        <v>45626</v>
      </c>
      <c r="P39" s="286" t="s">
        <v>58</v>
      </c>
    </row>
    <row r="40" spans="1:16" hidden="1" x14ac:dyDescent="0.15">
      <c r="A40" s="286">
        <v>848917</v>
      </c>
      <c r="B40" s="288">
        <v>45607.660416666666</v>
      </c>
      <c r="C40" s="286" t="s">
        <v>2100</v>
      </c>
      <c r="D40" s="286" t="s">
        <v>1105</v>
      </c>
      <c r="E40" s="286" t="s">
        <v>1106</v>
      </c>
      <c r="F40" s="286" t="s">
        <v>2141</v>
      </c>
      <c r="G40" s="286" t="s">
        <v>1073</v>
      </c>
      <c r="H40" s="286" t="s">
        <v>1073</v>
      </c>
      <c r="I40" s="286" t="s">
        <v>1199</v>
      </c>
      <c r="J40" s="286" t="s">
        <v>1312</v>
      </c>
      <c r="K40" s="286" t="s">
        <v>1754</v>
      </c>
      <c r="L40" s="286" t="s">
        <v>672</v>
      </c>
      <c r="M40" s="286">
        <v>1</v>
      </c>
      <c r="N40" s="287">
        <v>34696.33</v>
      </c>
      <c r="O40" s="294">
        <f t="shared" si="0"/>
        <v>45626</v>
      </c>
      <c r="P40" s="286" t="s">
        <v>58</v>
      </c>
    </row>
    <row r="41" spans="1:16" hidden="1" x14ac:dyDescent="0.15">
      <c r="A41" s="286">
        <v>874698</v>
      </c>
      <c r="B41" s="288">
        <v>45628.357638888891</v>
      </c>
      <c r="C41" s="286" t="s">
        <v>2098</v>
      </c>
      <c r="D41" s="286" t="s">
        <v>1105</v>
      </c>
      <c r="E41" s="286" t="s">
        <v>1106</v>
      </c>
      <c r="F41" s="286" t="s">
        <v>2142</v>
      </c>
      <c r="G41" s="286" t="s">
        <v>1073</v>
      </c>
      <c r="H41" s="286" t="s">
        <v>1073</v>
      </c>
      <c r="I41" s="286" t="s">
        <v>1199</v>
      </c>
      <c r="J41" s="286" t="s">
        <v>1312</v>
      </c>
      <c r="K41" s="286" t="s">
        <v>1754</v>
      </c>
      <c r="L41" s="286" t="s">
        <v>672</v>
      </c>
      <c r="M41" s="286">
        <v>1</v>
      </c>
      <c r="N41" s="287">
        <v>34696.33</v>
      </c>
      <c r="O41" s="294">
        <f t="shared" si="0"/>
        <v>45657</v>
      </c>
      <c r="P41" s="286" t="s">
        <v>58</v>
      </c>
    </row>
    <row r="42" spans="1:16" hidden="1" x14ac:dyDescent="0.15">
      <c r="A42" s="286">
        <v>657173</v>
      </c>
      <c r="B42" s="288">
        <v>45483.53402777778</v>
      </c>
      <c r="C42" s="286" t="s">
        <v>2092</v>
      </c>
      <c r="D42" s="286" t="s">
        <v>1105</v>
      </c>
      <c r="E42" s="286" t="s">
        <v>1106</v>
      </c>
      <c r="F42" s="286" t="s">
        <v>2093</v>
      </c>
      <c r="G42" s="286" t="s">
        <v>1050</v>
      </c>
      <c r="H42" s="286" t="s">
        <v>1050</v>
      </c>
      <c r="I42" s="286" t="s">
        <v>1128</v>
      </c>
      <c r="J42" s="286" t="s">
        <v>1312</v>
      </c>
      <c r="K42" s="286" t="s">
        <v>2143</v>
      </c>
      <c r="L42" s="286" t="s">
        <v>2144</v>
      </c>
      <c r="M42" s="286">
        <v>1</v>
      </c>
      <c r="N42" s="287">
        <v>31705</v>
      </c>
      <c r="O42" s="294">
        <f t="shared" si="0"/>
        <v>45504</v>
      </c>
      <c r="P42" s="286" t="s">
        <v>47</v>
      </c>
    </row>
    <row r="43" spans="1:16" hidden="1" x14ac:dyDescent="0.15">
      <c r="A43" s="286">
        <v>816704</v>
      </c>
      <c r="B43" s="288">
        <v>45583.386805555558</v>
      </c>
      <c r="C43" s="286" t="s">
        <v>2130</v>
      </c>
      <c r="D43" s="286" t="s">
        <v>1105</v>
      </c>
      <c r="E43" s="286" t="s">
        <v>1106</v>
      </c>
      <c r="F43" s="286" t="s">
        <v>2145</v>
      </c>
      <c r="G43" s="286" t="s">
        <v>1073</v>
      </c>
      <c r="H43" s="286" t="s">
        <v>1073</v>
      </c>
      <c r="I43" s="286" t="s">
        <v>1112</v>
      </c>
      <c r="J43" s="286" t="s">
        <v>1312</v>
      </c>
      <c r="K43" s="286" t="s">
        <v>1707</v>
      </c>
      <c r="L43" s="286" t="s">
        <v>1708</v>
      </c>
      <c r="M43" s="286">
        <v>3</v>
      </c>
      <c r="N43" s="287">
        <v>30405.19</v>
      </c>
      <c r="O43" s="294">
        <f t="shared" si="0"/>
        <v>45596</v>
      </c>
      <c r="P43" s="286" t="s">
        <v>175</v>
      </c>
    </row>
    <row r="44" spans="1:16" hidden="1" x14ac:dyDescent="0.15">
      <c r="A44" s="286">
        <v>866245</v>
      </c>
      <c r="B44" s="288">
        <v>45617.606944444444</v>
      </c>
      <c r="C44" s="286" t="s">
        <v>2100</v>
      </c>
      <c r="D44" s="286" t="s">
        <v>1105</v>
      </c>
      <c r="E44" s="286" t="s">
        <v>1106</v>
      </c>
      <c r="F44" s="286" t="s">
        <v>2101</v>
      </c>
      <c r="G44" s="286" t="s">
        <v>1077</v>
      </c>
      <c r="H44" s="286" t="s">
        <v>1077</v>
      </c>
      <c r="I44" s="286" t="s">
        <v>1108</v>
      </c>
      <c r="J44" s="286" t="s">
        <v>1312</v>
      </c>
      <c r="K44" s="286" t="s">
        <v>1709</v>
      </c>
      <c r="L44" s="286" t="s">
        <v>582</v>
      </c>
      <c r="M44" s="286">
        <v>1</v>
      </c>
      <c r="N44" s="287">
        <v>29332</v>
      </c>
      <c r="O44" s="294">
        <f t="shared" si="0"/>
        <v>45626</v>
      </c>
      <c r="P44" s="286" t="s">
        <v>37</v>
      </c>
    </row>
    <row r="45" spans="1:16" hidden="1" x14ac:dyDescent="0.15">
      <c r="A45" s="286">
        <v>901365</v>
      </c>
      <c r="B45" s="288">
        <v>45646.486805555556</v>
      </c>
      <c r="C45" s="286" t="s">
        <v>2098</v>
      </c>
      <c r="D45" s="286" t="s">
        <v>1105</v>
      </c>
      <c r="E45" s="286" t="s">
        <v>1106</v>
      </c>
      <c r="F45" s="286" t="s">
        <v>2099</v>
      </c>
      <c r="G45" s="286" t="s">
        <v>1074</v>
      </c>
      <c r="H45" s="286" t="s">
        <v>1074</v>
      </c>
      <c r="I45" s="286" t="s">
        <v>1108</v>
      </c>
      <c r="J45" s="286" t="s">
        <v>1312</v>
      </c>
      <c r="K45" s="286" t="s">
        <v>1709</v>
      </c>
      <c r="L45" s="286" t="s">
        <v>582</v>
      </c>
      <c r="M45" s="286">
        <v>1</v>
      </c>
      <c r="N45" s="287">
        <v>29332</v>
      </c>
      <c r="O45" s="294">
        <f t="shared" si="0"/>
        <v>45657</v>
      </c>
      <c r="P45" s="286" t="s">
        <v>37</v>
      </c>
    </row>
    <row r="46" spans="1:16" hidden="1" x14ac:dyDescent="0.15">
      <c r="A46" s="286">
        <v>652282</v>
      </c>
      <c r="B46" s="288">
        <v>45481.525000000001</v>
      </c>
      <c r="C46" s="286" t="s">
        <v>2111</v>
      </c>
      <c r="D46" s="286" t="s">
        <v>1105</v>
      </c>
      <c r="E46" s="286" t="s">
        <v>1106</v>
      </c>
      <c r="F46" s="286" t="s">
        <v>2146</v>
      </c>
      <c r="G46" s="286" t="s">
        <v>1091</v>
      </c>
      <c r="H46" s="286" t="s">
        <v>1091</v>
      </c>
      <c r="I46" s="286" t="s">
        <v>1112</v>
      </c>
      <c r="J46" s="286" t="s">
        <v>1312</v>
      </c>
      <c r="K46" s="286" t="s">
        <v>2046</v>
      </c>
      <c r="L46" s="286" t="s">
        <v>53</v>
      </c>
      <c r="M46" s="286">
        <v>1</v>
      </c>
      <c r="N46" s="287">
        <v>28636</v>
      </c>
      <c r="O46" s="294">
        <f t="shared" si="0"/>
        <v>45504</v>
      </c>
      <c r="P46" s="286" t="s">
        <v>175</v>
      </c>
    </row>
    <row r="47" spans="1:16" hidden="1" x14ac:dyDescent="0.15">
      <c r="A47" s="286">
        <v>723752</v>
      </c>
      <c r="B47" s="288">
        <v>45524.404166666667</v>
      </c>
      <c r="C47" s="286" t="s">
        <v>2102</v>
      </c>
      <c r="D47" s="286" t="s">
        <v>1105</v>
      </c>
      <c r="E47" s="286" t="s">
        <v>1106</v>
      </c>
      <c r="F47" s="286" t="s">
        <v>2147</v>
      </c>
      <c r="G47" s="286" t="s">
        <v>1079</v>
      </c>
      <c r="H47" s="286" t="s">
        <v>1079</v>
      </c>
      <c r="I47" s="286" t="s">
        <v>1112</v>
      </c>
      <c r="J47" s="286" t="s">
        <v>1312</v>
      </c>
      <c r="K47" s="286" t="s">
        <v>1771</v>
      </c>
      <c r="L47" s="286" t="s">
        <v>1772</v>
      </c>
      <c r="M47" s="286">
        <v>3</v>
      </c>
      <c r="N47" s="287">
        <v>28193.4</v>
      </c>
      <c r="O47" s="294">
        <f t="shared" si="0"/>
        <v>45535</v>
      </c>
      <c r="P47" s="286" t="s">
        <v>175</v>
      </c>
    </row>
    <row r="48" spans="1:16" hidden="1" x14ac:dyDescent="0.15">
      <c r="A48" s="286">
        <v>714030</v>
      </c>
      <c r="B48" s="288">
        <v>45518.590277777781</v>
      </c>
      <c r="C48" s="286" t="s">
        <v>2111</v>
      </c>
      <c r="D48" s="286" t="s">
        <v>1105</v>
      </c>
      <c r="E48" s="286" t="s">
        <v>1106</v>
      </c>
      <c r="F48" s="286" t="s">
        <v>2112</v>
      </c>
      <c r="G48" s="286" t="s">
        <v>1021</v>
      </c>
      <c r="H48" s="286" t="s">
        <v>1021</v>
      </c>
      <c r="I48" s="286" t="s">
        <v>1121</v>
      </c>
      <c r="J48" s="286" t="s">
        <v>1312</v>
      </c>
      <c r="K48" s="286" t="s">
        <v>917</v>
      </c>
      <c r="L48" s="286" t="s">
        <v>250</v>
      </c>
      <c r="M48" s="286">
        <v>1</v>
      </c>
      <c r="N48" s="287">
        <v>28079</v>
      </c>
      <c r="O48" s="294">
        <f t="shared" si="0"/>
        <v>45535</v>
      </c>
      <c r="P48" s="286" t="s">
        <v>248</v>
      </c>
    </row>
    <row r="49" spans="1:16" hidden="1" x14ac:dyDescent="0.15">
      <c r="A49" s="286">
        <v>706642</v>
      </c>
      <c r="B49" s="288">
        <v>45513.612500000003</v>
      </c>
      <c r="C49" s="286" t="s">
        <v>2102</v>
      </c>
      <c r="D49" s="286" t="s">
        <v>1105</v>
      </c>
      <c r="E49" s="286" t="s">
        <v>1106</v>
      </c>
      <c r="F49" s="286" t="s">
        <v>2148</v>
      </c>
      <c r="G49" s="286" t="s">
        <v>1040</v>
      </c>
      <c r="H49" s="286" t="s">
        <v>1040</v>
      </c>
      <c r="I49" s="286" t="s">
        <v>1230</v>
      </c>
      <c r="J49" s="286" t="s">
        <v>1312</v>
      </c>
      <c r="K49" s="286" t="s">
        <v>53</v>
      </c>
      <c r="L49" s="286" t="s">
        <v>53</v>
      </c>
      <c r="M49" s="286" t="s">
        <v>53</v>
      </c>
      <c r="N49" s="287">
        <v>27819</v>
      </c>
      <c r="O49" s="294">
        <f t="shared" si="0"/>
        <v>45535</v>
      </c>
      <c r="P49" s="286" t="s">
        <v>175</v>
      </c>
    </row>
    <row r="50" spans="1:16" hidden="1" x14ac:dyDescent="0.15">
      <c r="A50" s="286">
        <v>567450</v>
      </c>
      <c r="B50" s="288">
        <v>45415.564583333333</v>
      </c>
      <c r="C50" s="286" t="s">
        <v>2096</v>
      </c>
      <c r="D50" s="286" t="s">
        <v>1105</v>
      </c>
      <c r="E50" s="286" t="s">
        <v>1106</v>
      </c>
      <c r="F50" s="286" t="s">
        <v>2097</v>
      </c>
      <c r="G50" s="286" t="s">
        <v>1054</v>
      </c>
      <c r="H50" s="286" t="s">
        <v>1054</v>
      </c>
      <c r="I50" s="286" t="s">
        <v>1108</v>
      </c>
      <c r="J50" s="286" t="s">
        <v>1312</v>
      </c>
      <c r="K50" s="286" t="s">
        <v>1709</v>
      </c>
      <c r="L50" s="286" t="s">
        <v>582</v>
      </c>
      <c r="M50" s="286">
        <v>1</v>
      </c>
      <c r="N50" s="287">
        <v>27413</v>
      </c>
      <c r="O50" s="294">
        <f t="shared" si="0"/>
        <v>45443</v>
      </c>
      <c r="P50" s="286" t="s">
        <v>37</v>
      </c>
    </row>
    <row r="51" spans="1:16" hidden="1" x14ac:dyDescent="0.15">
      <c r="A51" s="286">
        <v>657173</v>
      </c>
      <c r="B51" s="288">
        <v>45483.53402777778</v>
      </c>
      <c r="C51" s="286" t="s">
        <v>2092</v>
      </c>
      <c r="D51" s="286" t="s">
        <v>1105</v>
      </c>
      <c r="E51" s="286" t="s">
        <v>1106</v>
      </c>
      <c r="F51" s="286" t="s">
        <v>2093</v>
      </c>
      <c r="G51" s="286" t="s">
        <v>1050</v>
      </c>
      <c r="H51" s="286" t="s">
        <v>1050</v>
      </c>
      <c r="I51" s="286" t="s">
        <v>1108</v>
      </c>
      <c r="J51" s="286" t="s">
        <v>1312</v>
      </c>
      <c r="K51" s="286" t="s">
        <v>1709</v>
      </c>
      <c r="L51" s="286" t="s">
        <v>582</v>
      </c>
      <c r="M51" s="286">
        <v>1</v>
      </c>
      <c r="N51" s="287">
        <v>27413</v>
      </c>
      <c r="O51" s="294">
        <f t="shared" si="0"/>
        <v>45504</v>
      </c>
      <c r="P51" s="286" t="s">
        <v>37</v>
      </c>
    </row>
    <row r="52" spans="1:16" hidden="1" x14ac:dyDescent="0.15">
      <c r="A52" s="286">
        <v>901252</v>
      </c>
      <c r="B52" s="288">
        <v>45646.472222222219</v>
      </c>
      <c r="C52" s="286" t="s">
        <v>2098</v>
      </c>
      <c r="D52" s="286" t="s">
        <v>1105</v>
      </c>
      <c r="E52" s="286" t="s">
        <v>1106</v>
      </c>
      <c r="F52" s="286" t="s">
        <v>2129</v>
      </c>
      <c r="G52" s="286" t="s">
        <v>1052</v>
      </c>
      <c r="H52" s="286" t="s">
        <v>1052</v>
      </c>
      <c r="I52" s="286" t="s">
        <v>1230</v>
      </c>
      <c r="J52" s="286" t="s">
        <v>1312</v>
      </c>
      <c r="K52" s="286" t="s">
        <v>2027</v>
      </c>
      <c r="L52" s="286" t="s">
        <v>2028</v>
      </c>
      <c r="M52" s="286">
        <v>2</v>
      </c>
      <c r="N52" s="287">
        <v>26550</v>
      </c>
      <c r="O52" s="294">
        <f t="shared" si="0"/>
        <v>45657</v>
      </c>
      <c r="P52" s="286" t="s">
        <v>175</v>
      </c>
    </row>
    <row r="53" spans="1:16" hidden="1" x14ac:dyDescent="0.15">
      <c r="A53" s="286">
        <v>901252</v>
      </c>
      <c r="B53" s="288">
        <v>45646.472222222219</v>
      </c>
      <c r="C53" s="286" t="s">
        <v>2098</v>
      </c>
      <c r="D53" s="286" t="s">
        <v>1105</v>
      </c>
      <c r="E53" s="286" t="s">
        <v>1106</v>
      </c>
      <c r="F53" s="286" t="s">
        <v>2129</v>
      </c>
      <c r="G53" s="286" t="s">
        <v>322</v>
      </c>
      <c r="H53" s="286" t="s">
        <v>1041</v>
      </c>
      <c r="I53" s="286" t="s">
        <v>1112</v>
      </c>
      <c r="J53" s="286" t="s">
        <v>1312</v>
      </c>
      <c r="K53" s="286" t="s">
        <v>1707</v>
      </c>
      <c r="L53" s="286" t="s">
        <v>1708</v>
      </c>
      <c r="M53" s="286">
        <v>2</v>
      </c>
      <c r="N53" s="287">
        <v>25793.09</v>
      </c>
      <c r="O53" s="294">
        <f t="shared" si="0"/>
        <v>45657</v>
      </c>
      <c r="P53" s="286" t="s">
        <v>175</v>
      </c>
    </row>
    <row r="54" spans="1:16" hidden="1" x14ac:dyDescent="0.15">
      <c r="A54" s="286">
        <v>559408</v>
      </c>
      <c r="B54" s="288">
        <v>45408.531944444447</v>
      </c>
      <c r="C54" s="286" t="s">
        <v>2096</v>
      </c>
      <c r="D54" s="286" t="s">
        <v>1105</v>
      </c>
      <c r="E54" s="286" t="s">
        <v>1106</v>
      </c>
      <c r="F54" s="286" t="s">
        <v>2149</v>
      </c>
      <c r="G54" s="286" t="s">
        <v>1080</v>
      </c>
      <c r="H54" s="286" t="s">
        <v>1080</v>
      </c>
      <c r="I54" s="286" t="s">
        <v>1230</v>
      </c>
      <c r="J54" s="286" t="s">
        <v>1312</v>
      </c>
      <c r="K54" s="286" t="s">
        <v>53</v>
      </c>
      <c r="L54" s="286" t="s">
        <v>53</v>
      </c>
      <c r="M54" s="286" t="s">
        <v>53</v>
      </c>
      <c r="N54" s="287">
        <v>25571</v>
      </c>
      <c r="O54" s="294">
        <f t="shared" si="0"/>
        <v>45412</v>
      </c>
      <c r="P54" s="286" t="s">
        <v>175</v>
      </c>
    </row>
    <row r="55" spans="1:16" hidden="1" x14ac:dyDescent="0.15">
      <c r="A55" s="286">
        <v>657173</v>
      </c>
      <c r="B55" s="288">
        <v>45483.53402777778</v>
      </c>
      <c r="C55" s="286" t="s">
        <v>2092</v>
      </c>
      <c r="D55" s="286" t="s">
        <v>1105</v>
      </c>
      <c r="E55" s="286" t="s">
        <v>1106</v>
      </c>
      <c r="F55" s="286" t="s">
        <v>2093</v>
      </c>
      <c r="G55" s="286" t="s">
        <v>1050</v>
      </c>
      <c r="H55" s="286" t="s">
        <v>1050</v>
      </c>
      <c r="I55" s="286" t="s">
        <v>1301</v>
      </c>
      <c r="J55" s="286" t="s">
        <v>1312</v>
      </c>
      <c r="K55" s="286" t="s">
        <v>56</v>
      </c>
      <c r="L55" s="286" t="s">
        <v>71</v>
      </c>
      <c r="M55" s="286">
        <v>1</v>
      </c>
      <c r="N55" s="287">
        <v>25481</v>
      </c>
      <c r="O55" s="294">
        <f t="shared" si="0"/>
        <v>45504</v>
      </c>
      <c r="P55" s="286" t="s">
        <v>55</v>
      </c>
    </row>
    <row r="56" spans="1:16" hidden="1" x14ac:dyDescent="0.15">
      <c r="A56" s="286">
        <v>520705</v>
      </c>
      <c r="B56" s="288">
        <v>45372.502083333333</v>
      </c>
      <c r="C56" s="286" t="s">
        <v>2113</v>
      </c>
      <c r="D56" s="286" t="s">
        <v>1105</v>
      </c>
      <c r="E56" s="286" t="s">
        <v>1106</v>
      </c>
      <c r="F56" s="286" t="s">
        <v>2150</v>
      </c>
      <c r="G56" s="286" t="s">
        <v>1004</v>
      </c>
      <c r="H56" s="286" t="s">
        <v>1004</v>
      </c>
      <c r="I56" s="286" t="s">
        <v>1112</v>
      </c>
      <c r="J56" s="286" t="s">
        <v>1312</v>
      </c>
      <c r="K56" s="286" t="s">
        <v>53</v>
      </c>
      <c r="L56" s="286" t="s">
        <v>53</v>
      </c>
      <c r="M56" s="286" t="s">
        <v>53</v>
      </c>
      <c r="N56" s="287">
        <v>25462</v>
      </c>
      <c r="O56" s="294">
        <f t="shared" si="0"/>
        <v>45382</v>
      </c>
      <c r="P56" s="286" t="s">
        <v>175</v>
      </c>
    </row>
    <row r="57" spans="1:16" hidden="1" x14ac:dyDescent="0.15">
      <c r="A57" s="286">
        <v>531355</v>
      </c>
      <c r="B57" s="288">
        <v>45384.463888888888</v>
      </c>
      <c r="C57" s="286" t="s">
        <v>2109</v>
      </c>
      <c r="D57" s="286" t="s">
        <v>1105</v>
      </c>
      <c r="E57" s="286" t="s">
        <v>1106</v>
      </c>
      <c r="F57" s="286" t="s">
        <v>2151</v>
      </c>
      <c r="G57" s="286" t="s">
        <v>1012</v>
      </c>
      <c r="H57" s="286" t="s">
        <v>1012</v>
      </c>
      <c r="I57" s="286" t="s">
        <v>1112</v>
      </c>
      <c r="J57" s="286" t="s">
        <v>1312</v>
      </c>
      <c r="K57" s="286" t="s">
        <v>1782</v>
      </c>
      <c r="L57" s="286" t="s">
        <v>1783</v>
      </c>
      <c r="M57" s="286">
        <v>1</v>
      </c>
      <c r="N57" s="287">
        <v>25403</v>
      </c>
      <c r="O57" s="294">
        <f t="shared" si="0"/>
        <v>45412</v>
      </c>
      <c r="P57" s="286" t="s">
        <v>175</v>
      </c>
    </row>
    <row r="58" spans="1:16" hidden="1" x14ac:dyDescent="0.15">
      <c r="A58" s="286">
        <v>567450</v>
      </c>
      <c r="B58" s="288">
        <v>45415.564583333333</v>
      </c>
      <c r="C58" s="286" t="s">
        <v>2096</v>
      </c>
      <c r="D58" s="286" t="s">
        <v>1105</v>
      </c>
      <c r="E58" s="286" t="s">
        <v>1106</v>
      </c>
      <c r="F58" s="286" t="s">
        <v>2097</v>
      </c>
      <c r="G58" s="286" t="s">
        <v>1054</v>
      </c>
      <c r="H58" s="286" t="s">
        <v>1054</v>
      </c>
      <c r="I58" s="286" t="s">
        <v>1121</v>
      </c>
      <c r="J58" s="286" t="s">
        <v>1312</v>
      </c>
      <c r="K58" s="286" t="s">
        <v>917</v>
      </c>
      <c r="L58" s="286" t="s">
        <v>250</v>
      </c>
      <c r="M58" s="286">
        <v>1</v>
      </c>
      <c r="N58" s="287">
        <v>25347</v>
      </c>
      <c r="O58" s="294">
        <f t="shared" si="0"/>
        <v>45443</v>
      </c>
      <c r="P58" s="286" t="s">
        <v>248</v>
      </c>
    </row>
    <row r="59" spans="1:16" hidden="1" x14ac:dyDescent="0.15">
      <c r="A59" s="286">
        <v>438112</v>
      </c>
      <c r="B59" s="288">
        <v>45293.53402777778</v>
      </c>
      <c r="C59" s="286" t="s">
        <v>2125</v>
      </c>
      <c r="D59" s="286" t="s">
        <v>1105</v>
      </c>
      <c r="E59" s="286" t="s">
        <v>1106</v>
      </c>
      <c r="F59" s="286" t="s">
        <v>2152</v>
      </c>
      <c r="G59" s="286" t="s">
        <v>1073</v>
      </c>
      <c r="H59" s="286" t="s">
        <v>1073</v>
      </c>
      <c r="I59" s="286" t="s">
        <v>1199</v>
      </c>
      <c r="J59" s="286" t="s">
        <v>53</v>
      </c>
      <c r="K59" s="286" t="s">
        <v>53</v>
      </c>
      <c r="L59" s="286" t="s">
        <v>53</v>
      </c>
      <c r="M59" s="286" t="s">
        <v>53</v>
      </c>
      <c r="N59" s="287">
        <v>25283.75</v>
      </c>
      <c r="O59" s="294">
        <f t="shared" si="0"/>
        <v>45322</v>
      </c>
      <c r="P59" s="286" t="s">
        <v>58</v>
      </c>
    </row>
    <row r="60" spans="1:16" hidden="1" x14ac:dyDescent="0.15">
      <c r="A60" s="286">
        <v>472168</v>
      </c>
      <c r="B60" s="288">
        <v>45331.416666666664</v>
      </c>
      <c r="C60" s="286" t="s">
        <v>2113</v>
      </c>
      <c r="D60" s="286" t="s">
        <v>1105</v>
      </c>
      <c r="E60" s="286" t="s">
        <v>1106</v>
      </c>
      <c r="F60" s="286" t="s">
        <v>2153</v>
      </c>
      <c r="G60" s="286" t="s">
        <v>1073</v>
      </c>
      <c r="H60" s="286" t="s">
        <v>1073</v>
      </c>
      <c r="I60" s="286" t="s">
        <v>1199</v>
      </c>
      <c r="J60" s="286" t="s">
        <v>53</v>
      </c>
      <c r="K60" s="286" t="s">
        <v>53</v>
      </c>
      <c r="L60" s="286" t="s">
        <v>53</v>
      </c>
      <c r="M60" s="286" t="s">
        <v>53</v>
      </c>
      <c r="N60" s="287">
        <v>25283.75</v>
      </c>
      <c r="O60" s="294">
        <f t="shared" si="0"/>
        <v>45351</v>
      </c>
      <c r="P60" s="286" t="s">
        <v>58</v>
      </c>
    </row>
    <row r="61" spans="1:16" hidden="1" x14ac:dyDescent="0.15">
      <c r="A61" s="286">
        <v>504817</v>
      </c>
      <c r="B61" s="288">
        <v>45359.645138888889</v>
      </c>
      <c r="C61" s="286" t="s">
        <v>2109</v>
      </c>
      <c r="D61" s="286" t="s">
        <v>1105</v>
      </c>
      <c r="E61" s="286" t="s">
        <v>1106</v>
      </c>
      <c r="F61" s="286" t="s">
        <v>2154</v>
      </c>
      <c r="G61" s="286" t="s">
        <v>1073</v>
      </c>
      <c r="H61" s="286" t="s">
        <v>1073</v>
      </c>
      <c r="I61" s="286" t="s">
        <v>1199</v>
      </c>
      <c r="J61" s="286" t="s">
        <v>53</v>
      </c>
      <c r="K61" s="286" t="s">
        <v>53</v>
      </c>
      <c r="L61" s="286" t="s">
        <v>53</v>
      </c>
      <c r="M61" s="286" t="s">
        <v>53</v>
      </c>
      <c r="N61" s="287">
        <v>25283.75</v>
      </c>
      <c r="O61" s="294">
        <f t="shared" si="0"/>
        <v>45382</v>
      </c>
      <c r="P61" s="286" t="s">
        <v>58</v>
      </c>
    </row>
    <row r="62" spans="1:16" hidden="1" x14ac:dyDescent="0.15">
      <c r="A62" s="286">
        <v>534207</v>
      </c>
      <c r="B62" s="288">
        <v>45385.750694444447</v>
      </c>
      <c r="C62" s="286" t="s">
        <v>2096</v>
      </c>
      <c r="D62" s="286" t="s">
        <v>1105</v>
      </c>
      <c r="E62" s="286" t="s">
        <v>1106</v>
      </c>
      <c r="F62" s="286" t="s">
        <v>2155</v>
      </c>
      <c r="G62" s="286" t="s">
        <v>1073</v>
      </c>
      <c r="H62" s="286" t="s">
        <v>1073</v>
      </c>
      <c r="I62" s="286" t="s">
        <v>1199</v>
      </c>
      <c r="J62" s="286" t="s">
        <v>53</v>
      </c>
      <c r="K62" s="286" t="s">
        <v>53</v>
      </c>
      <c r="L62" s="286" t="s">
        <v>53</v>
      </c>
      <c r="M62" s="286" t="s">
        <v>53</v>
      </c>
      <c r="N62" s="287">
        <v>25283.75</v>
      </c>
      <c r="O62" s="294">
        <f t="shared" si="0"/>
        <v>45412</v>
      </c>
      <c r="P62" s="286" t="s">
        <v>58</v>
      </c>
    </row>
    <row r="63" spans="1:16" hidden="1" x14ac:dyDescent="0.15">
      <c r="A63" s="286">
        <v>614216</v>
      </c>
      <c r="B63" s="288">
        <v>45455.716666666667</v>
      </c>
      <c r="C63" s="286" t="s">
        <v>2116</v>
      </c>
      <c r="D63" s="286" t="s">
        <v>1105</v>
      </c>
      <c r="E63" s="286" t="s">
        <v>1106</v>
      </c>
      <c r="F63" s="286" t="s">
        <v>2156</v>
      </c>
      <c r="G63" s="286" t="s">
        <v>1073</v>
      </c>
      <c r="H63" s="286" t="s">
        <v>1073</v>
      </c>
      <c r="I63" s="286" t="s">
        <v>1199</v>
      </c>
      <c r="J63" s="286" t="s">
        <v>53</v>
      </c>
      <c r="K63" s="286" t="s">
        <v>53</v>
      </c>
      <c r="L63" s="286" t="s">
        <v>53</v>
      </c>
      <c r="M63" s="286" t="s">
        <v>53</v>
      </c>
      <c r="N63" s="287">
        <v>25283.75</v>
      </c>
      <c r="O63" s="294">
        <f t="shared" si="0"/>
        <v>45473</v>
      </c>
      <c r="P63" s="286" t="s">
        <v>58</v>
      </c>
    </row>
    <row r="64" spans="1:16" hidden="1" x14ac:dyDescent="0.15">
      <c r="A64" s="286">
        <v>608480</v>
      </c>
      <c r="B64" s="288">
        <v>45450.422222222223</v>
      </c>
      <c r="C64" s="286" t="s">
        <v>2092</v>
      </c>
      <c r="D64" s="286" t="s">
        <v>1105</v>
      </c>
      <c r="E64" s="286" t="s">
        <v>1106</v>
      </c>
      <c r="F64" s="286" t="s">
        <v>2157</v>
      </c>
      <c r="G64" s="286" t="s">
        <v>1073</v>
      </c>
      <c r="H64" s="286" t="s">
        <v>1073</v>
      </c>
      <c r="I64" s="286" t="s">
        <v>1199</v>
      </c>
      <c r="J64" s="286" t="s">
        <v>53</v>
      </c>
      <c r="K64" s="286" t="s">
        <v>53</v>
      </c>
      <c r="L64" s="286" t="s">
        <v>53</v>
      </c>
      <c r="M64" s="286" t="s">
        <v>53</v>
      </c>
      <c r="N64" s="287">
        <v>25283.75</v>
      </c>
      <c r="O64" s="294">
        <f t="shared" si="0"/>
        <v>45473</v>
      </c>
      <c r="P64" s="286" t="s">
        <v>58</v>
      </c>
    </row>
    <row r="65" spans="1:16" hidden="1" x14ac:dyDescent="0.15">
      <c r="A65" s="286">
        <v>618175</v>
      </c>
      <c r="B65" s="288">
        <v>45457.602083333331</v>
      </c>
      <c r="C65" s="286" t="s">
        <v>2116</v>
      </c>
      <c r="D65" s="286" t="s">
        <v>1105</v>
      </c>
      <c r="E65" s="286" t="s">
        <v>1106</v>
      </c>
      <c r="F65" s="286" t="s">
        <v>2158</v>
      </c>
      <c r="G65" s="286" t="s">
        <v>1028</v>
      </c>
      <c r="H65" s="286" t="s">
        <v>1028</v>
      </c>
      <c r="I65" s="286" t="s">
        <v>1199</v>
      </c>
      <c r="J65" s="286" t="s">
        <v>1312</v>
      </c>
      <c r="K65" s="286" t="s">
        <v>53</v>
      </c>
      <c r="L65" s="286" t="s">
        <v>53</v>
      </c>
      <c r="M65" s="286" t="s">
        <v>53</v>
      </c>
      <c r="N65" s="287">
        <v>24753.27</v>
      </c>
      <c r="O65" s="294">
        <f t="shared" si="0"/>
        <v>45473</v>
      </c>
      <c r="P65" s="286" t="s">
        <v>58</v>
      </c>
    </row>
    <row r="66" spans="1:16" hidden="1" x14ac:dyDescent="0.15">
      <c r="A66" s="286">
        <v>659936</v>
      </c>
      <c r="B66" s="288">
        <v>45484.529861111114</v>
      </c>
      <c r="C66" s="286" t="s">
        <v>2092</v>
      </c>
      <c r="D66" s="286" t="s">
        <v>1105</v>
      </c>
      <c r="E66" s="286" t="s">
        <v>1106</v>
      </c>
      <c r="F66" s="286" t="s">
        <v>2159</v>
      </c>
      <c r="G66" s="286" t="s">
        <v>1028</v>
      </c>
      <c r="H66" s="286" t="s">
        <v>1028</v>
      </c>
      <c r="I66" s="286" t="s">
        <v>1199</v>
      </c>
      <c r="J66" s="286" t="s">
        <v>1312</v>
      </c>
      <c r="K66" s="286" t="s">
        <v>53</v>
      </c>
      <c r="L66" s="286" t="s">
        <v>53</v>
      </c>
      <c r="M66" s="286" t="s">
        <v>53</v>
      </c>
      <c r="N66" s="287">
        <v>24753.27</v>
      </c>
      <c r="O66" s="294">
        <f t="shared" si="0"/>
        <v>45504</v>
      </c>
      <c r="P66" s="286" t="s">
        <v>58</v>
      </c>
    </row>
    <row r="67" spans="1:16" hidden="1" x14ac:dyDescent="0.15">
      <c r="A67" s="286">
        <v>712645</v>
      </c>
      <c r="B67" s="288">
        <v>45517.640972222223</v>
      </c>
      <c r="C67" s="286" t="s">
        <v>2111</v>
      </c>
      <c r="D67" s="286" t="s">
        <v>1105</v>
      </c>
      <c r="E67" s="286" t="s">
        <v>1106</v>
      </c>
      <c r="F67" s="286" t="s">
        <v>2160</v>
      </c>
      <c r="G67" s="286" t="s">
        <v>1028</v>
      </c>
      <c r="H67" s="286" t="s">
        <v>1028</v>
      </c>
      <c r="I67" s="286" t="s">
        <v>1199</v>
      </c>
      <c r="J67" s="286" t="s">
        <v>1312</v>
      </c>
      <c r="K67" s="286" t="s">
        <v>53</v>
      </c>
      <c r="L67" s="286" t="s">
        <v>53</v>
      </c>
      <c r="M67" s="286" t="s">
        <v>53</v>
      </c>
      <c r="N67" s="287">
        <v>24753.27</v>
      </c>
      <c r="O67" s="294">
        <f t="shared" si="0"/>
        <v>45535</v>
      </c>
      <c r="P67" s="286" t="s">
        <v>58</v>
      </c>
    </row>
    <row r="68" spans="1:16" hidden="1" x14ac:dyDescent="0.15">
      <c r="A68" s="286">
        <v>741366</v>
      </c>
      <c r="B68" s="288">
        <v>45532.655555555553</v>
      </c>
      <c r="C68" s="286" t="s">
        <v>2102</v>
      </c>
      <c r="D68" s="286" t="s">
        <v>1105</v>
      </c>
      <c r="E68" s="286" t="s">
        <v>1106</v>
      </c>
      <c r="F68" s="286" t="s">
        <v>2161</v>
      </c>
      <c r="G68" s="286" t="s">
        <v>1028</v>
      </c>
      <c r="H68" s="286" t="s">
        <v>1028</v>
      </c>
      <c r="I68" s="286" t="s">
        <v>1199</v>
      </c>
      <c r="J68" s="286" t="s">
        <v>1312</v>
      </c>
      <c r="K68" s="286" t="s">
        <v>53</v>
      </c>
      <c r="L68" s="286" t="s">
        <v>53</v>
      </c>
      <c r="M68" s="286" t="s">
        <v>53</v>
      </c>
      <c r="N68" s="287">
        <v>24753.27</v>
      </c>
      <c r="O68" s="294">
        <f t="shared" ref="O68:O131" si="1">EOMONTH(B68,0)</f>
        <v>45535</v>
      </c>
      <c r="P68" s="286" t="s">
        <v>58</v>
      </c>
    </row>
    <row r="69" spans="1:16" hidden="1" x14ac:dyDescent="0.15">
      <c r="A69" s="286">
        <v>785030</v>
      </c>
      <c r="B69" s="288">
        <v>45559.581944444442</v>
      </c>
      <c r="C69" s="286" t="s">
        <v>2132</v>
      </c>
      <c r="D69" s="286" t="s">
        <v>1105</v>
      </c>
      <c r="E69" s="286" t="s">
        <v>1106</v>
      </c>
      <c r="F69" s="286" t="s">
        <v>2162</v>
      </c>
      <c r="G69" s="286" t="s">
        <v>1028</v>
      </c>
      <c r="H69" s="286" t="s">
        <v>1028</v>
      </c>
      <c r="I69" s="286" t="s">
        <v>1199</v>
      </c>
      <c r="J69" s="286" t="s">
        <v>1312</v>
      </c>
      <c r="K69" s="286" t="s">
        <v>53</v>
      </c>
      <c r="L69" s="286" t="s">
        <v>53</v>
      </c>
      <c r="M69" s="286" t="s">
        <v>53</v>
      </c>
      <c r="N69" s="287">
        <v>24753.27</v>
      </c>
      <c r="O69" s="294">
        <f t="shared" si="1"/>
        <v>45565</v>
      </c>
      <c r="P69" s="286" t="s">
        <v>58</v>
      </c>
    </row>
    <row r="70" spans="1:16" hidden="1" x14ac:dyDescent="0.15">
      <c r="A70" s="286">
        <v>821955</v>
      </c>
      <c r="B70" s="288">
        <v>45587.62777777778</v>
      </c>
      <c r="C70" s="286" t="s">
        <v>2130</v>
      </c>
      <c r="D70" s="286" t="s">
        <v>1105</v>
      </c>
      <c r="E70" s="286" t="s">
        <v>1106</v>
      </c>
      <c r="F70" s="286" t="s">
        <v>2163</v>
      </c>
      <c r="G70" s="286" t="s">
        <v>1028</v>
      </c>
      <c r="H70" s="286" t="s">
        <v>1028</v>
      </c>
      <c r="I70" s="286" t="s">
        <v>1199</v>
      </c>
      <c r="J70" s="286" t="s">
        <v>1312</v>
      </c>
      <c r="K70" s="286" t="s">
        <v>53</v>
      </c>
      <c r="L70" s="286" t="s">
        <v>53</v>
      </c>
      <c r="M70" s="286" t="s">
        <v>53</v>
      </c>
      <c r="N70" s="287">
        <v>24753.27</v>
      </c>
      <c r="O70" s="294">
        <f t="shared" si="1"/>
        <v>45596</v>
      </c>
      <c r="P70" s="286" t="s">
        <v>58</v>
      </c>
    </row>
    <row r="71" spans="1:16" hidden="1" x14ac:dyDescent="0.15">
      <c r="A71" s="286">
        <v>807477</v>
      </c>
      <c r="B71" s="288">
        <v>45579.522222222222</v>
      </c>
      <c r="C71" s="286" t="s">
        <v>2132</v>
      </c>
      <c r="D71" s="286" t="s">
        <v>1105</v>
      </c>
      <c r="E71" s="286" t="s">
        <v>1106</v>
      </c>
      <c r="F71" s="286" t="s">
        <v>2133</v>
      </c>
      <c r="G71" s="286" t="s">
        <v>1075</v>
      </c>
      <c r="H71" s="286" t="s">
        <v>1075</v>
      </c>
      <c r="I71" s="286" t="s">
        <v>1230</v>
      </c>
      <c r="J71" s="286" t="s">
        <v>1312</v>
      </c>
      <c r="K71" s="286" t="s">
        <v>2164</v>
      </c>
      <c r="L71" s="286" t="s">
        <v>2030</v>
      </c>
      <c r="M71" s="286">
        <v>1</v>
      </c>
      <c r="N71" s="287">
        <v>24509</v>
      </c>
      <c r="O71" s="294">
        <f t="shared" si="1"/>
        <v>45596</v>
      </c>
      <c r="P71" s="286" t="s">
        <v>175</v>
      </c>
    </row>
    <row r="72" spans="1:16" hidden="1" x14ac:dyDescent="0.15">
      <c r="A72" s="286">
        <v>866245</v>
      </c>
      <c r="B72" s="288">
        <v>45617.606944444444</v>
      </c>
      <c r="C72" s="286" t="s">
        <v>2100</v>
      </c>
      <c r="D72" s="286" t="s">
        <v>1105</v>
      </c>
      <c r="E72" s="286" t="s">
        <v>1106</v>
      </c>
      <c r="F72" s="286" t="s">
        <v>2101</v>
      </c>
      <c r="G72" s="286" t="s">
        <v>1077</v>
      </c>
      <c r="H72" s="286" t="s">
        <v>1077</v>
      </c>
      <c r="I72" s="286" t="s">
        <v>1128</v>
      </c>
      <c r="J72" s="286" t="s">
        <v>1312</v>
      </c>
      <c r="K72" s="286" t="s">
        <v>1694</v>
      </c>
      <c r="L72" s="286" t="s">
        <v>1501</v>
      </c>
      <c r="M72" s="286">
        <v>1</v>
      </c>
      <c r="N72" s="287">
        <v>24458</v>
      </c>
      <c r="O72" s="294">
        <f t="shared" si="1"/>
        <v>45626</v>
      </c>
      <c r="P72" s="286" t="s">
        <v>47</v>
      </c>
    </row>
    <row r="73" spans="1:16" hidden="1" x14ac:dyDescent="0.15">
      <c r="A73" s="286">
        <v>840638</v>
      </c>
      <c r="B73" s="288">
        <v>45601.388888888891</v>
      </c>
      <c r="C73" s="286" t="s">
        <v>2130</v>
      </c>
      <c r="D73" s="286" t="s">
        <v>1105</v>
      </c>
      <c r="E73" s="286" t="s">
        <v>1106</v>
      </c>
      <c r="F73" s="286" t="s">
        <v>2165</v>
      </c>
      <c r="G73" s="286" t="s">
        <v>1007</v>
      </c>
      <c r="H73" s="286" t="s">
        <v>1007</v>
      </c>
      <c r="I73" s="286" t="s">
        <v>1230</v>
      </c>
      <c r="J73" s="286" t="s">
        <v>1312</v>
      </c>
      <c r="K73" s="286" t="s">
        <v>2166</v>
      </c>
      <c r="L73" s="286" t="s">
        <v>2028</v>
      </c>
      <c r="M73" s="286">
        <v>2</v>
      </c>
      <c r="N73" s="287">
        <v>24436</v>
      </c>
      <c r="O73" s="294">
        <f t="shared" si="1"/>
        <v>45626</v>
      </c>
      <c r="P73" s="286" t="s">
        <v>175</v>
      </c>
    </row>
    <row r="74" spans="1:16" hidden="1" x14ac:dyDescent="0.15">
      <c r="A74" s="286">
        <v>438112</v>
      </c>
      <c r="B74" s="288">
        <v>45293.53402777778</v>
      </c>
      <c r="C74" s="286" t="s">
        <v>2125</v>
      </c>
      <c r="D74" s="286" t="s">
        <v>1105</v>
      </c>
      <c r="E74" s="286" t="s">
        <v>1106</v>
      </c>
      <c r="F74" s="286" t="s">
        <v>2152</v>
      </c>
      <c r="G74" s="286" t="s">
        <v>1041</v>
      </c>
      <c r="H74" s="286" t="s">
        <v>1041</v>
      </c>
      <c r="I74" s="286" t="s">
        <v>1199</v>
      </c>
      <c r="J74" s="286" t="s">
        <v>1312</v>
      </c>
      <c r="K74" s="286" t="s">
        <v>53</v>
      </c>
      <c r="L74" s="286" t="s">
        <v>53</v>
      </c>
      <c r="M74" s="286" t="s">
        <v>53</v>
      </c>
      <c r="N74" s="287">
        <v>24384.55</v>
      </c>
      <c r="O74" s="294">
        <f t="shared" si="1"/>
        <v>45322</v>
      </c>
      <c r="P74" s="286" t="s">
        <v>58</v>
      </c>
    </row>
    <row r="75" spans="1:16" hidden="1" x14ac:dyDescent="0.15">
      <c r="A75" s="286">
        <v>472168</v>
      </c>
      <c r="B75" s="288">
        <v>45331.416666666664</v>
      </c>
      <c r="C75" s="286" t="s">
        <v>2113</v>
      </c>
      <c r="D75" s="286" t="s">
        <v>1105</v>
      </c>
      <c r="E75" s="286" t="s">
        <v>1106</v>
      </c>
      <c r="F75" s="286" t="s">
        <v>2153</v>
      </c>
      <c r="G75" s="286" t="s">
        <v>1041</v>
      </c>
      <c r="H75" s="286" t="s">
        <v>1041</v>
      </c>
      <c r="I75" s="286" t="s">
        <v>1199</v>
      </c>
      <c r="J75" s="286" t="s">
        <v>1312</v>
      </c>
      <c r="K75" s="286" t="s">
        <v>53</v>
      </c>
      <c r="L75" s="286" t="s">
        <v>53</v>
      </c>
      <c r="M75" s="286" t="s">
        <v>53</v>
      </c>
      <c r="N75" s="287">
        <v>24384.55</v>
      </c>
      <c r="O75" s="294">
        <f t="shared" si="1"/>
        <v>45351</v>
      </c>
      <c r="P75" s="286" t="s">
        <v>58</v>
      </c>
    </row>
    <row r="76" spans="1:16" hidden="1" x14ac:dyDescent="0.15">
      <c r="A76" s="286">
        <v>504817</v>
      </c>
      <c r="B76" s="288">
        <v>45359.645138888889</v>
      </c>
      <c r="C76" s="286" t="s">
        <v>2109</v>
      </c>
      <c r="D76" s="286" t="s">
        <v>1105</v>
      </c>
      <c r="E76" s="286" t="s">
        <v>1106</v>
      </c>
      <c r="F76" s="286" t="s">
        <v>2154</v>
      </c>
      <c r="G76" s="286" t="s">
        <v>1041</v>
      </c>
      <c r="H76" s="286" t="s">
        <v>1041</v>
      </c>
      <c r="I76" s="286" t="s">
        <v>1199</v>
      </c>
      <c r="J76" s="286" t="s">
        <v>1312</v>
      </c>
      <c r="K76" s="286" t="s">
        <v>53</v>
      </c>
      <c r="L76" s="286" t="s">
        <v>53</v>
      </c>
      <c r="M76" s="286" t="s">
        <v>53</v>
      </c>
      <c r="N76" s="287">
        <v>24384.55</v>
      </c>
      <c r="O76" s="294">
        <f t="shared" si="1"/>
        <v>45382</v>
      </c>
      <c r="P76" s="286" t="s">
        <v>58</v>
      </c>
    </row>
    <row r="77" spans="1:16" hidden="1" x14ac:dyDescent="0.15">
      <c r="A77" s="286">
        <v>534207</v>
      </c>
      <c r="B77" s="288">
        <v>45385.750694444447</v>
      </c>
      <c r="C77" s="286" t="s">
        <v>2096</v>
      </c>
      <c r="D77" s="286" t="s">
        <v>1105</v>
      </c>
      <c r="E77" s="286" t="s">
        <v>1106</v>
      </c>
      <c r="F77" s="286" t="s">
        <v>2155</v>
      </c>
      <c r="G77" s="286" t="s">
        <v>1041</v>
      </c>
      <c r="H77" s="286" t="s">
        <v>1041</v>
      </c>
      <c r="I77" s="286" t="s">
        <v>1199</v>
      </c>
      <c r="J77" s="286" t="s">
        <v>1312</v>
      </c>
      <c r="K77" s="286" t="s">
        <v>53</v>
      </c>
      <c r="L77" s="286" t="s">
        <v>53</v>
      </c>
      <c r="M77" s="286" t="s">
        <v>53</v>
      </c>
      <c r="N77" s="287">
        <v>24384.55</v>
      </c>
      <c r="O77" s="294">
        <f t="shared" si="1"/>
        <v>45412</v>
      </c>
      <c r="P77" s="286" t="s">
        <v>58</v>
      </c>
    </row>
    <row r="78" spans="1:16" hidden="1" x14ac:dyDescent="0.15">
      <c r="A78" s="286">
        <v>614216</v>
      </c>
      <c r="B78" s="288">
        <v>45455.716666666667</v>
      </c>
      <c r="C78" s="286" t="s">
        <v>2116</v>
      </c>
      <c r="D78" s="286" t="s">
        <v>1105</v>
      </c>
      <c r="E78" s="286" t="s">
        <v>1106</v>
      </c>
      <c r="F78" s="286" t="s">
        <v>2156</v>
      </c>
      <c r="G78" s="286" t="s">
        <v>1041</v>
      </c>
      <c r="H78" s="286" t="s">
        <v>1041</v>
      </c>
      <c r="I78" s="286" t="s">
        <v>1199</v>
      </c>
      <c r="J78" s="286" t="s">
        <v>1312</v>
      </c>
      <c r="K78" s="286" t="s">
        <v>53</v>
      </c>
      <c r="L78" s="286" t="s">
        <v>53</v>
      </c>
      <c r="M78" s="286" t="s">
        <v>53</v>
      </c>
      <c r="N78" s="287">
        <v>24384.55</v>
      </c>
      <c r="O78" s="294">
        <f t="shared" si="1"/>
        <v>45473</v>
      </c>
      <c r="P78" s="286" t="s">
        <v>58</v>
      </c>
    </row>
    <row r="79" spans="1:16" hidden="1" x14ac:dyDescent="0.15">
      <c r="A79" s="286">
        <v>614316</v>
      </c>
      <c r="B79" s="288">
        <v>45455.717361111114</v>
      </c>
      <c r="C79" s="286" t="s">
        <v>2092</v>
      </c>
      <c r="D79" s="286" t="s">
        <v>1105</v>
      </c>
      <c r="E79" s="286" t="s">
        <v>1106</v>
      </c>
      <c r="F79" s="286" t="s">
        <v>2167</v>
      </c>
      <c r="G79" s="286" t="s">
        <v>1041</v>
      </c>
      <c r="H79" s="286" t="s">
        <v>1041</v>
      </c>
      <c r="I79" s="286" t="s">
        <v>1199</v>
      </c>
      <c r="J79" s="286" t="s">
        <v>1312</v>
      </c>
      <c r="K79" s="286" t="s">
        <v>53</v>
      </c>
      <c r="L79" s="286" t="s">
        <v>53</v>
      </c>
      <c r="M79" s="286" t="s">
        <v>53</v>
      </c>
      <c r="N79" s="287">
        <v>24384.55</v>
      </c>
      <c r="O79" s="294">
        <f t="shared" si="1"/>
        <v>45473</v>
      </c>
      <c r="P79" s="286" t="s">
        <v>58</v>
      </c>
    </row>
    <row r="80" spans="1:16" hidden="1" x14ac:dyDescent="0.15">
      <c r="A80" s="286">
        <v>901365</v>
      </c>
      <c r="B80" s="288">
        <v>45646.486805555556</v>
      </c>
      <c r="C80" s="286" t="s">
        <v>2098</v>
      </c>
      <c r="D80" s="286" t="s">
        <v>1105</v>
      </c>
      <c r="E80" s="286" t="s">
        <v>1106</v>
      </c>
      <c r="F80" s="286" t="s">
        <v>2099</v>
      </c>
      <c r="G80" s="286" t="s">
        <v>1074</v>
      </c>
      <c r="H80" s="286" t="s">
        <v>1074</v>
      </c>
      <c r="I80" s="286" t="s">
        <v>1301</v>
      </c>
      <c r="J80" s="286" t="s">
        <v>1312</v>
      </c>
      <c r="K80" s="286" t="s">
        <v>56</v>
      </c>
      <c r="L80" s="286" t="s">
        <v>71</v>
      </c>
      <c r="M80" s="286">
        <v>1</v>
      </c>
      <c r="N80" s="287">
        <v>24260</v>
      </c>
      <c r="O80" s="294">
        <f t="shared" si="1"/>
        <v>45657</v>
      </c>
      <c r="P80" s="286" t="s">
        <v>55</v>
      </c>
    </row>
    <row r="81" spans="1:16" hidden="1" x14ac:dyDescent="0.15">
      <c r="A81" s="286">
        <v>749526</v>
      </c>
      <c r="B81" s="288">
        <v>45540.356944444444</v>
      </c>
      <c r="C81" s="286" t="s">
        <v>2102</v>
      </c>
      <c r="D81" s="286" t="s">
        <v>1105</v>
      </c>
      <c r="E81" s="286" t="s">
        <v>1106</v>
      </c>
      <c r="F81" s="286" t="s">
        <v>2168</v>
      </c>
      <c r="G81" s="286" t="s">
        <v>1002</v>
      </c>
      <c r="H81" s="286" t="s">
        <v>1002</v>
      </c>
      <c r="I81" s="286" t="s">
        <v>1112</v>
      </c>
      <c r="J81" s="286" t="s">
        <v>1312</v>
      </c>
      <c r="K81" s="286" t="s">
        <v>1732</v>
      </c>
      <c r="L81" s="286" t="s">
        <v>1733</v>
      </c>
      <c r="M81" s="286">
        <v>1</v>
      </c>
      <c r="N81" s="287">
        <v>23492</v>
      </c>
      <c r="O81" s="294">
        <f t="shared" si="1"/>
        <v>45565</v>
      </c>
      <c r="P81" s="286" t="s">
        <v>175</v>
      </c>
    </row>
    <row r="82" spans="1:16" hidden="1" x14ac:dyDescent="0.15">
      <c r="A82" s="286">
        <v>590580</v>
      </c>
      <c r="B82" s="288">
        <v>45435.646527777775</v>
      </c>
      <c r="C82" s="286" t="s">
        <v>2116</v>
      </c>
      <c r="D82" s="286" t="s">
        <v>1105</v>
      </c>
      <c r="E82" s="286" t="s">
        <v>1106</v>
      </c>
      <c r="F82" s="286" t="s">
        <v>2135</v>
      </c>
      <c r="G82" s="286" t="s">
        <v>1044</v>
      </c>
      <c r="H82" s="286" t="s">
        <v>1044</v>
      </c>
      <c r="I82" s="286" t="s">
        <v>1230</v>
      </c>
      <c r="J82" s="286" t="s">
        <v>1312</v>
      </c>
      <c r="K82" s="286" t="s">
        <v>1748</v>
      </c>
      <c r="L82" s="286" t="s">
        <v>1749</v>
      </c>
      <c r="M82" s="286">
        <v>1</v>
      </c>
      <c r="N82" s="287">
        <v>22864</v>
      </c>
      <c r="O82" s="294">
        <f t="shared" si="1"/>
        <v>45443</v>
      </c>
      <c r="P82" s="286" t="s">
        <v>175</v>
      </c>
    </row>
    <row r="83" spans="1:16" hidden="1" x14ac:dyDescent="0.15">
      <c r="A83" s="286">
        <v>544429</v>
      </c>
      <c r="B83" s="288">
        <v>45397.449305555558</v>
      </c>
      <c r="C83" s="286" t="s">
        <v>2109</v>
      </c>
      <c r="D83" s="286" t="s">
        <v>1105</v>
      </c>
      <c r="E83" s="286" t="s">
        <v>1106</v>
      </c>
      <c r="F83" s="286" t="s">
        <v>2169</v>
      </c>
      <c r="G83" s="286" t="s">
        <v>1064</v>
      </c>
      <c r="H83" s="286" t="s">
        <v>1064</v>
      </c>
      <c r="I83" s="286" t="s">
        <v>1112</v>
      </c>
      <c r="J83" s="286" t="s">
        <v>1312</v>
      </c>
      <c r="K83" s="286" t="s">
        <v>53</v>
      </c>
      <c r="L83" s="286" t="s">
        <v>53</v>
      </c>
      <c r="M83" s="286" t="s">
        <v>53</v>
      </c>
      <c r="N83" s="287">
        <v>22526</v>
      </c>
      <c r="O83" s="294">
        <f t="shared" si="1"/>
        <v>45412</v>
      </c>
      <c r="P83" s="286" t="s">
        <v>175</v>
      </c>
    </row>
    <row r="84" spans="1:16" hidden="1" x14ac:dyDescent="0.15">
      <c r="A84" s="286">
        <v>744088</v>
      </c>
      <c r="B84" s="288">
        <v>45533.661111111112</v>
      </c>
      <c r="C84" s="286" t="s">
        <v>2102</v>
      </c>
      <c r="D84" s="286" t="s">
        <v>1105</v>
      </c>
      <c r="E84" s="286" t="s">
        <v>1106</v>
      </c>
      <c r="F84" s="286" t="s">
        <v>2170</v>
      </c>
      <c r="G84" s="286" t="s">
        <v>1029</v>
      </c>
      <c r="H84" s="286" t="s">
        <v>1029</v>
      </c>
      <c r="I84" s="286" t="s">
        <v>1112</v>
      </c>
      <c r="J84" s="286" t="s">
        <v>1312</v>
      </c>
      <c r="K84" s="286" t="s">
        <v>1732</v>
      </c>
      <c r="L84" s="286" t="s">
        <v>1733</v>
      </c>
      <c r="M84" s="286">
        <v>1</v>
      </c>
      <c r="N84" s="287">
        <v>22507</v>
      </c>
      <c r="O84" s="294">
        <f t="shared" si="1"/>
        <v>45535</v>
      </c>
      <c r="P84" s="286" t="s">
        <v>175</v>
      </c>
    </row>
    <row r="85" spans="1:16" hidden="1" x14ac:dyDescent="0.15">
      <c r="A85" s="286">
        <v>646075</v>
      </c>
      <c r="B85" s="288">
        <v>45474.519444444442</v>
      </c>
      <c r="C85" s="286" t="s">
        <v>2111</v>
      </c>
      <c r="D85" s="286" t="s">
        <v>1105</v>
      </c>
      <c r="E85" s="286" t="s">
        <v>1106</v>
      </c>
      <c r="F85" s="286" t="s">
        <v>2137</v>
      </c>
      <c r="G85" s="286" t="s">
        <v>1041</v>
      </c>
      <c r="H85" s="286" t="s">
        <v>1041</v>
      </c>
      <c r="I85" s="286" t="s">
        <v>1199</v>
      </c>
      <c r="J85" s="286" t="s">
        <v>1312</v>
      </c>
      <c r="K85" s="286" t="s">
        <v>53</v>
      </c>
      <c r="L85" s="286" t="s">
        <v>53</v>
      </c>
      <c r="M85" s="286" t="s">
        <v>53</v>
      </c>
      <c r="N85" s="287">
        <v>21618.6</v>
      </c>
      <c r="O85" s="294">
        <f t="shared" si="1"/>
        <v>45504</v>
      </c>
      <c r="P85" s="286" t="s">
        <v>58</v>
      </c>
    </row>
    <row r="86" spans="1:16" hidden="1" x14ac:dyDescent="0.15">
      <c r="A86" s="286">
        <v>651672</v>
      </c>
      <c r="B86" s="288">
        <v>45481.448611111111</v>
      </c>
      <c r="C86" s="286" t="s">
        <v>2092</v>
      </c>
      <c r="D86" s="286" t="s">
        <v>1105</v>
      </c>
      <c r="E86" s="286" t="s">
        <v>1106</v>
      </c>
      <c r="F86" s="286" t="s">
        <v>2120</v>
      </c>
      <c r="G86" s="286" t="s">
        <v>1015</v>
      </c>
      <c r="H86" s="286" t="s">
        <v>1015</v>
      </c>
      <c r="I86" s="286" t="s">
        <v>1230</v>
      </c>
      <c r="J86" s="286" t="s">
        <v>1312</v>
      </c>
      <c r="K86" s="286" t="s">
        <v>2171</v>
      </c>
      <c r="L86" s="286" t="s">
        <v>2030</v>
      </c>
      <c r="M86" s="286">
        <v>1</v>
      </c>
      <c r="N86" s="287">
        <v>21359</v>
      </c>
      <c r="O86" s="294">
        <f t="shared" si="1"/>
        <v>45504</v>
      </c>
      <c r="P86" s="286" t="s">
        <v>175</v>
      </c>
    </row>
    <row r="87" spans="1:16" hidden="1" x14ac:dyDescent="0.15">
      <c r="A87" s="286">
        <v>509954</v>
      </c>
      <c r="B87" s="288">
        <v>45364.375694444447</v>
      </c>
      <c r="C87" s="286" t="s">
        <v>2113</v>
      </c>
      <c r="D87" s="286" t="s">
        <v>1105</v>
      </c>
      <c r="E87" s="286" t="s">
        <v>1106</v>
      </c>
      <c r="F87" s="286" t="s">
        <v>2172</v>
      </c>
      <c r="G87" s="286" t="s">
        <v>1053</v>
      </c>
      <c r="H87" s="286" t="s">
        <v>1053</v>
      </c>
      <c r="I87" s="286" t="s">
        <v>1229</v>
      </c>
      <c r="J87" s="286" t="s">
        <v>1312</v>
      </c>
      <c r="K87" s="286" t="s">
        <v>2173</v>
      </c>
      <c r="L87" s="286" t="s">
        <v>756</v>
      </c>
      <c r="M87" s="286">
        <v>1</v>
      </c>
      <c r="N87" s="287">
        <v>20927</v>
      </c>
      <c r="O87" s="294">
        <f t="shared" si="1"/>
        <v>45382</v>
      </c>
      <c r="P87" s="286" t="s">
        <v>279</v>
      </c>
    </row>
    <row r="88" spans="1:16" hidden="1" x14ac:dyDescent="0.15">
      <c r="A88" s="286">
        <v>517381</v>
      </c>
      <c r="B88" s="288">
        <v>45370.440972222219</v>
      </c>
      <c r="C88" s="286" t="s">
        <v>2113</v>
      </c>
      <c r="D88" s="286" t="s">
        <v>1105</v>
      </c>
      <c r="E88" s="286" t="s">
        <v>1106</v>
      </c>
      <c r="F88" s="286" t="s">
        <v>2118</v>
      </c>
      <c r="G88" s="286" t="s">
        <v>1019</v>
      </c>
      <c r="H88" s="286" t="s">
        <v>1019</v>
      </c>
      <c r="I88" s="286" t="s">
        <v>1235</v>
      </c>
      <c r="J88" s="286" t="s">
        <v>1312</v>
      </c>
      <c r="K88" s="286" t="s">
        <v>2174</v>
      </c>
      <c r="L88" s="286" t="s">
        <v>2175</v>
      </c>
      <c r="M88" s="286">
        <v>1</v>
      </c>
      <c r="N88" s="287">
        <v>20690</v>
      </c>
      <c r="O88" s="294">
        <f t="shared" si="1"/>
        <v>45382</v>
      </c>
      <c r="P88" s="286" t="s">
        <v>180</v>
      </c>
    </row>
    <row r="89" spans="1:16" hidden="1" x14ac:dyDescent="0.15">
      <c r="A89" s="286">
        <v>751756</v>
      </c>
      <c r="B89" s="288">
        <v>45540.734722222223</v>
      </c>
      <c r="C89" s="286" t="s">
        <v>2102</v>
      </c>
      <c r="D89" s="286" t="s">
        <v>1105</v>
      </c>
      <c r="E89" s="286" t="s">
        <v>1106</v>
      </c>
      <c r="F89" s="286" t="s">
        <v>2103</v>
      </c>
      <c r="G89" s="286" t="s">
        <v>1028</v>
      </c>
      <c r="H89" s="286" t="s">
        <v>1028</v>
      </c>
      <c r="I89" s="286" t="s">
        <v>1230</v>
      </c>
      <c r="J89" s="286" t="s">
        <v>1312</v>
      </c>
      <c r="K89" s="286" t="s">
        <v>2176</v>
      </c>
      <c r="L89" s="286" t="s">
        <v>2177</v>
      </c>
      <c r="M89" s="286">
        <v>1</v>
      </c>
      <c r="N89" s="287">
        <v>20666</v>
      </c>
      <c r="O89" s="294">
        <f t="shared" si="1"/>
        <v>45565</v>
      </c>
      <c r="P89" s="286" t="s">
        <v>175</v>
      </c>
    </row>
    <row r="90" spans="1:16" hidden="1" x14ac:dyDescent="0.15">
      <c r="A90" s="286">
        <v>651672</v>
      </c>
      <c r="B90" s="288">
        <v>45481.448611111111</v>
      </c>
      <c r="C90" s="286" t="s">
        <v>2092</v>
      </c>
      <c r="D90" s="286" t="s">
        <v>1105</v>
      </c>
      <c r="E90" s="286" t="s">
        <v>1106</v>
      </c>
      <c r="F90" s="286" t="s">
        <v>2120</v>
      </c>
      <c r="G90" s="286" t="s">
        <v>1091</v>
      </c>
      <c r="H90" s="286" t="s">
        <v>1091</v>
      </c>
      <c r="I90" s="286" t="s">
        <v>1112</v>
      </c>
      <c r="J90" s="286" t="s">
        <v>1312</v>
      </c>
      <c r="K90" s="286" t="s">
        <v>2050</v>
      </c>
      <c r="L90" s="286" t="s">
        <v>2051</v>
      </c>
      <c r="M90" s="286">
        <v>1</v>
      </c>
      <c r="N90" s="287">
        <v>20453.72</v>
      </c>
      <c r="O90" s="294">
        <f t="shared" si="1"/>
        <v>45504</v>
      </c>
      <c r="P90" s="286" t="s">
        <v>175</v>
      </c>
    </row>
    <row r="91" spans="1:16" hidden="1" x14ac:dyDescent="0.15">
      <c r="A91" s="286">
        <v>751756</v>
      </c>
      <c r="B91" s="288">
        <v>45540.734722222223</v>
      </c>
      <c r="C91" s="286" t="s">
        <v>2102</v>
      </c>
      <c r="D91" s="286" t="s">
        <v>1105</v>
      </c>
      <c r="E91" s="286" t="s">
        <v>1106</v>
      </c>
      <c r="F91" s="286" t="s">
        <v>2103</v>
      </c>
      <c r="G91" s="286" t="s">
        <v>1011</v>
      </c>
      <c r="H91" s="286" t="s">
        <v>1011</v>
      </c>
      <c r="I91" s="286" t="s">
        <v>1108</v>
      </c>
      <c r="J91" s="286" t="s">
        <v>1312</v>
      </c>
      <c r="K91" s="286" t="s">
        <v>1745</v>
      </c>
      <c r="L91" s="286" t="s">
        <v>439</v>
      </c>
      <c r="M91" s="286">
        <v>1</v>
      </c>
      <c r="N91" s="287">
        <v>20335</v>
      </c>
      <c r="O91" s="294">
        <f t="shared" si="1"/>
        <v>45565</v>
      </c>
      <c r="P91" s="286" t="s">
        <v>37</v>
      </c>
    </row>
    <row r="92" spans="1:16" hidden="1" x14ac:dyDescent="0.15">
      <c r="A92" s="286">
        <v>866245</v>
      </c>
      <c r="B92" s="288">
        <v>45617.606944444444</v>
      </c>
      <c r="C92" s="286" t="s">
        <v>2100</v>
      </c>
      <c r="D92" s="286" t="s">
        <v>1105</v>
      </c>
      <c r="E92" s="286" t="s">
        <v>1106</v>
      </c>
      <c r="F92" s="286" t="s">
        <v>2101</v>
      </c>
      <c r="G92" s="286" t="s">
        <v>1077</v>
      </c>
      <c r="H92" s="286" t="s">
        <v>1077</v>
      </c>
      <c r="I92" s="286" t="s">
        <v>1108</v>
      </c>
      <c r="J92" s="286" t="s">
        <v>1312</v>
      </c>
      <c r="K92" s="286" t="s">
        <v>1745</v>
      </c>
      <c r="L92" s="286" t="s">
        <v>439</v>
      </c>
      <c r="M92" s="286">
        <v>1</v>
      </c>
      <c r="N92" s="287">
        <v>20335</v>
      </c>
      <c r="O92" s="294">
        <f t="shared" si="1"/>
        <v>45626</v>
      </c>
      <c r="P92" s="286" t="s">
        <v>37</v>
      </c>
    </row>
    <row r="93" spans="1:16" hidden="1" x14ac:dyDescent="0.15">
      <c r="A93" s="286">
        <v>901365</v>
      </c>
      <c r="B93" s="288">
        <v>45646.486805555556</v>
      </c>
      <c r="C93" s="286" t="s">
        <v>2098</v>
      </c>
      <c r="D93" s="286" t="s">
        <v>1105</v>
      </c>
      <c r="E93" s="286" t="s">
        <v>1106</v>
      </c>
      <c r="F93" s="286" t="s">
        <v>2099</v>
      </c>
      <c r="G93" s="286" t="s">
        <v>1074</v>
      </c>
      <c r="H93" s="286" t="s">
        <v>1074</v>
      </c>
      <c r="I93" s="286" t="s">
        <v>1108</v>
      </c>
      <c r="J93" s="286" t="s">
        <v>1312</v>
      </c>
      <c r="K93" s="286" t="s">
        <v>1745</v>
      </c>
      <c r="L93" s="286" t="s">
        <v>439</v>
      </c>
      <c r="M93" s="286">
        <v>1</v>
      </c>
      <c r="N93" s="287">
        <v>20335</v>
      </c>
      <c r="O93" s="294">
        <f t="shared" si="1"/>
        <v>45657</v>
      </c>
      <c r="P93" s="286" t="s">
        <v>37</v>
      </c>
    </row>
    <row r="94" spans="1:16" hidden="1" x14ac:dyDescent="0.15">
      <c r="A94" s="286">
        <v>496295</v>
      </c>
      <c r="B94" s="288">
        <v>45352.356944444444</v>
      </c>
      <c r="C94" s="286" t="s">
        <v>2113</v>
      </c>
      <c r="D94" s="286" t="s">
        <v>1105</v>
      </c>
      <c r="E94" s="286" t="s">
        <v>1106</v>
      </c>
      <c r="F94" s="286" t="s">
        <v>2114</v>
      </c>
      <c r="G94" s="286" t="s">
        <v>1025</v>
      </c>
      <c r="H94" s="286" t="s">
        <v>1025</v>
      </c>
      <c r="I94" s="286" t="s">
        <v>1112</v>
      </c>
      <c r="J94" s="286" t="s">
        <v>1312</v>
      </c>
      <c r="K94" s="286" t="s">
        <v>1782</v>
      </c>
      <c r="L94" s="286" t="s">
        <v>1783</v>
      </c>
      <c r="M94" s="286">
        <v>2</v>
      </c>
      <c r="N94" s="287">
        <v>20101</v>
      </c>
      <c r="O94" s="294">
        <f t="shared" si="1"/>
        <v>45382</v>
      </c>
      <c r="P94" s="286" t="s">
        <v>175</v>
      </c>
    </row>
    <row r="95" spans="1:16" hidden="1" x14ac:dyDescent="0.15">
      <c r="A95" s="286">
        <v>901365</v>
      </c>
      <c r="B95" s="288">
        <v>45646.486805555556</v>
      </c>
      <c r="C95" s="286" t="s">
        <v>2098</v>
      </c>
      <c r="D95" s="286" t="s">
        <v>1105</v>
      </c>
      <c r="E95" s="286" t="s">
        <v>1106</v>
      </c>
      <c r="F95" s="286" t="s">
        <v>2099</v>
      </c>
      <c r="G95" s="286" t="s">
        <v>1074</v>
      </c>
      <c r="H95" s="286" t="s">
        <v>1074</v>
      </c>
      <c r="I95" s="286" t="s">
        <v>1204</v>
      </c>
      <c r="J95" s="286" t="s">
        <v>1312</v>
      </c>
      <c r="K95" s="286" t="s">
        <v>1781</v>
      </c>
      <c r="L95" s="286" t="s">
        <v>453</v>
      </c>
      <c r="M95" s="286">
        <v>1</v>
      </c>
      <c r="N95" s="287">
        <v>19980</v>
      </c>
      <c r="O95" s="294">
        <f t="shared" si="1"/>
        <v>45657</v>
      </c>
      <c r="P95" s="286" t="s">
        <v>49</v>
      </c>
    </row>
    <row r="96" spans="1:16" hidden="1" x14ac:dyDescent="0.15">
      <c r="A96" s="286">
        <v>515660</v>
      </c>
      <c r="B96" s="288">
        <v>45369.537499999999</v>
      </c>
      <c r="C96" s="286" t="s">
        <v>2113</v>
      </c>
      <c r="D96" s="286" t="s">
        <v>1105</v>
      </c>
      <c r="E96" s="286" t="s">
        <v>1106</v>
      </c>
      <c r="F96" s="286" t="s">
        <v>2178</v>
      </c>
      <c r="G96" s="286" t="s">
        <v>1062</v>
      </c>
      <c r="H96" s="286" t="s">
        <v>1062</v>
      </c>
      <c r="I96" s="286" t="s">
        <v>1230</v>
      </c>
      <c r="J96" s="286" t="s">
        <v>1312</v>
      </c>
      <c r="K96" s="286" t="s">
        <v>2179</v>
      </c>
      <c r="L96" s="286" t="s">
        <v>2030</v>
      </c>
      <c r="M96" s="286">
        <v>1</v>
      </c>
      <c r="N96" s="287">
        <v>19973</v>
      </c>
      <c r="O96" s="294">
        <f t="shared" si="1"/>
        <v>45382</v>
      </c>
      <c r="P96" s="286" t="s">
        <v>175</v>
      </c>
    </row>
    <row r="97" spans="1:16" hidden="1" x14ac:dyDescent="0.15">
      <c r="A97" s="286">
        <v>840638</v>
      </c>
      <c r="B97" s="288">
        <v>45601.388888888891</v>
      </c>
      <c r="C97" s="286" t="s">
        <v>2130</v>
      </c>
      <c r="D97" s="286" t="s">
        <v>1105</v>
      </c>
      <c r="E97" s="286" t="s">
        <v>1106</v>
      </c>
      <c r="F97" s="286" t="s">
        <v>2165</v>
      </c>
      <c r="G97" s="286" t="s">
        <v>1007</v>
      </c>
      <c r="H97" s="286" t="s">
        <v>1007</v>
      </c>
      <c r="I97" s="286" t="s">
        <v>1230</v>
      </c>
      <c r="J97" s="286" t="s">
        <v>1312</v>
      </c>
      <c r="K97" s="286" t="s">
        <v>2180</v>
      </c>
      <c r="L97" s="286" t="s">
        <v>2030</v>
      </c>
      <c r="M97" s="286">
        <v>1</v>
      </c>
      <c r="N97" s="287">
        <v>19973</v>
      </c>
      <c r="O97" s="294">
        <f t="shared" si="1"/>
        <v>45626</v>
      </c>
      <c r="P97" s="286" t="s">
        <v>175</v>
      </c>
    </row>
    <row r="98" spans="1:16" hidden="1" x14ac:dyDescent="0.15">
      <c r="A98" s="286">
        <v>890854</v>
      </c>
      <c r="B98" s="288">
        <v>45637.478472222225</v>
      </c>
      <c r="C98" s="286" t="s">
        <v>2100</v>
      </c>
      <c r="D98" s="286" t="s">
        <v>1105</v>
      </c>
      <c r="E98" s="286" t="s">
        <v>1106</v>
      </c>
      <c r="F98" s="286" t="s">
        <v>2181</v>
      </c>
      <c r="G98" s="286" t="s">
        <v>1014</v>
      </c>
      <c r="H98" s="286" t="s">
        <v>1014</v>
      </c>
      <c r="I98" s="286" t="s">
        <v>1112</v>
      </c>
      <c r="J98" s="286" t="s">
        <v>1312</v>
      </c>
      <c r="K98" s="286" t="s">
        <v>2182</v>
      </c>
      <c r="L98" s="286" t="s">
        <v>2051</v>
      </c>
      <c r="M98" s="286">
        <v>1</v>
      </c>
      <c r="N98" s="287">
        <v>19971</v>
      </c>
      <c r="O98" s="294">
        <f t="shared" si="1"/>
        <v>45657</v>
      </c>
      <c r="P98" s="286" t="s">
        <v>175</v>
      </c>
    </row>
    <row r="99" spans="1:16" hidden="1" x14ac:dyDescent="0.15">
      <c r="A99" s="286">
        <v>497665</v>
      </c>
      <c r="B99" s="288">
        <v>45352.703472222223</v>
      </c>
      <c r="C99" s="286" t="s">
        <v>2113</v>
      </c>
      <c r="D99" s="286" t="s">
        <v>1105</v>
      </c>
      <c r="E99" s="286" t="s">
        <v>1106</v>
      </c>
      <c r="F99" s="286" t="s">
        <v>2183</v>
      </c>
      <c r="G99" s="286" t="s">
        <v>1024</v>
      </c>
      <c r="H99" s="286" t="s">
        <v>1024</v>
      </c>
      <c r="I99" s="286" t="s">
        <v>1112</v>
      </c>
      <c r="J99" s="286" t="s">
        <v>1312</v>
      </c>
      <c r="K99" s="286" t="s">
        <v>53</v>
      </c>
      <c r="L99" s="286" t="s">
        <v>53</v>
      </c>
      <c r="M99" s="286" t="s">
        <v>53</v>
      </c>
      <c r="N99" s="287">
        <v>19551.8</v>
      </c>
      <c r="O99" s="294">
        <f t="shared" si="1"/>
        <v>45382</v>
      </c>
      <c r="P99" s="286" t="s">
        <v>175</v>
      </c>
    </row>
    <row r="100" spans="1:16" hidden="1" x14ac:dyDescent="0.15">
      <c r="A100" s="286">
        <v>658771</v>
      </c>
      <c r="B100" s="288">
        <v>45484.395138888889</v>
      </c>
      <c r="C100" s="286" t="s">
        <v>2092</v>
      </c>
      <c r="D100" s="286" t="s">
        <v>1105</v>
      </c>
      <c r="E100" s="286" t="s">
        <v>1106</v>
      </c>
      <c r="F100" s="286" t="s">
        <v>2184</v>
      </c>
      <c r="G100" s="286" t="s">
        <v>1024</v>
      </c>
      <c r="H100" s="286" t="s">
        <v>1024</v>
      </c>
      <c r="I100" s="286" t="s">
        <v>1112</v>
      </c>
      <c r="J100" s="286" t="s">
        <v>1312</v>
      </c>
      <c r="K100" s="286" t="s">
        <v>53</v>
      </c>
      <c r="L100" s="286" t="s">
        <v>53</v>
      </c>
      <c r="M100" s="286" t="s">
        <v>53</v>
      </c>
      <c r="N100" s="287">
        <v>19551.79</v>
      </c>
      <c r="O100" s="294">
        <f t="shared" si="1"/>
        <v>45504</v>
      </c>
      <c r="P100" s="286" t="s">
        <v>175</v>
      </c>
    </row>
    <row r="101" spans="1:16" hidden="1" x14ac:dyDescent="0.15">
      <c r="A101" s="286">
        <v>901365</v>
      </c>
      <c r="B101" s="288">
        <v>45646.486805555556</v>
      </c>
      <c r="C101" s="286" t="s">
        <v>2098</v>
      </c>
      <c r="D101" s="286" t="s">
        <v>1105</v>
      </c>
      <c r="E101" s="286" t="s">
        <v>1106</v>
      </c>
      <c r="F101" s="286" t="s">
        <v>2099</v>
      </c>
      <c r="G101" s="286" t="s">
        <v>1074</v>
      </c>
      <c r="H101" s="286" t="s">
        <v>1074</v>
      </c>
      <c r="I101" s="286" t="s">
        <v>1121</v>
      </c>
      <c r="J101" s="286" t="s">
        <v>1312</v>
      </c>
      <c r="K101" s="286" t="s">
        <v>917</v>
      </c>
      <c r="L101" s="286" t="s">
        <v>250</v>
      </c>
      <c r="M101" s="286">
        <v>1</v>
      </c>
      <c r="N101" s="287">
        <v>19306</v>
      </c>
      <c r="O101" s="294">
        <f t="shared" si="1"/>
        <v>45657</v>
      </c>
      <c r="P101" s="286" t="s">
        <v>248</v>
      </c>
    </row>
    <row r="102" spans="1:16" hidden="1" x14ac:dyDescent="0.15">
      <c r="A102" s="286">
        <v>788633</v>
      </c>
      <c r="B102" s="288">
        <v>45565.410416666666</v>
      </c>
      <c r="C102" s="286" t="s">
        <v>2132</v>
      </c>
      <c r="D102" s="286" t="s">
        <v>1105</v>
      </c>
      <c r="E102" s="286" t="s">
        <v>1106</v>
      </c>
      <c r="F102" s="286" t="s">
        <v>2185</v>
      </c>
      <c r="G102" s="286" t="s">
        <v>1010</v>
      </c>
      <c r="H102" s="286" t="s">
        <v>1010</v>
      </c>
      <c r="I102" s="286" t="s">
        <v>1112</v>
      </c>
      <c r="J102" s="286" t="s">
        <v>1312</v>
      </c>
      <c r="K102" s="286" t="s">
        <v>1776</v>
      </c>
      <c r="L102" s="286" t="s">
        <v>1679</v>
      </c>
      <c r="M102" s="286">
        <v>1</v>
      </c>
      <c r="N102" s="287">
        <v>19269</v>
      </c>
      <c r="O102" s="294">
        <f t="shared" si="1"/>
        <v>45565</v>
      </c>
      <c r="P102" s="286" t="s">
        <v>175</v>
      </c>
    </row>
    <row r="103" spans="1:16" hidden="1" x14ac:dyDescent="0.15">
      <c r="A103" s="286">
        <v>583936</v>
      </c>
      <c r="B103" s="288">
        <v>45432.557638888888</v>
      </c>
      <c r="C103" s="286" t="s">
        <v>2116</v>
      </c>
      <c r="D103" s="286" t="s">
        <v>1105</v>
      </c>
      <c r="E103" s="286" t="s">
        <v>1106</v>
      </c>
      <c r="F103" s="286" t="s">
        <v>2186</v>
      </c>
      <c r="G103" s="286" t="s">
        <v>1016</v>
      </c>
      <c r="H103" s="286" t="s">
        <v>1016</v>
      </c>
      <c r="I103" s="286" t="s">
        <v>1112</v>
      </c>
      <c r="J103" s="286" t="s">
        <v>1312</v>
      </c>
      <c r="K103" s="286" t="s">
        <v>2187</v>
      </c>
      <c r="L103" s="286" t="s">
        <v>1719</v>
      </c>
      <c r="M103" s="286">
        <v>1</v>
      </c>
      <c r="N103" s="287">
        <v>19223</v>
      </c>
      <c r="O103" s="294">
        <f t="shared" si="1"/>
        <v>45443</v>
      </c>
      <c r="P103" s="286" t="s">
        <v>175</v>
      </c>
    </row>
    <row r="104" spans="1:16" hidden="1" x14ac:dyDescent="0.15">
      <c r="A104" s="286">
        <v>567450</v>
      </c>
      <c r="B104" s="288">
        <v>45415.564583333333</v>
      </c>
      <c r="C104" s="286" t="s">
        <v>2096</v>
      </c>
      <c r="D104" s="286" t="s">
        <v>1105</v>
      </c>
      <c r="E104" s="286" t="s">
        <v>1106</v>
      </c>
      <c r="F104" s="286" t="s">
        <v>2097</v>
      </c>
      <c r="G104" s="286" t="s">
        <v>1054</v>
      </c>
      <c r="H104" s="286" t="s">
        <v>1054</v>
      </c>
      <c r="I104" s="286" t="s">
        <v>1211</v>
      </c>
      <c r="J104" s="286" t="s">
        <v>1312</v>
      </c>
      <c r="K104" s="286" t="s">
        <v>2188</v>
      </c>
      <c r="L104" s="286" t="s">
        <v>2189</v>
      </c>
      <c r="M104" s="286">
        <v>1</v>
      </c>
      <c r="N104" s="287">
        <v>19046</v>
      </c>
      <c r="O104" s="294">
        <f t="shared" si="1"/>
        <v>45443</v>
      </c>
      <c r="P104" s="286" t="s">
        <v>452</v>
      </c>
    </row>
    <row r="105" spans="1:16" hidden="1" x14ac:dyDescent="0.15">
      <c r="A105" s="286">
        <v>714030</v>
      </c>
      <c r="B105" s="288">
        <v>45518.590277777781</v>
      </c>
      <c r="C105" s="286" t="s">
        <v>2111</v>
      </c>
      <c r="D105" s="286" t="s">
        <v>1105</v>
      </c>
      <c r="E105" s="286" t="s">
        <v>1106</v>
      </c>
      <c r="F105" s="286" t="s">
        <v>2112</v>
      </c>
      <c r="G105" s="286" t="s">
        <v>1021</v>
      </c>
      <c r="H105" s="286" t="s">
        <v>1021</v>
      </c>
      <c r="I105" s="286" t="s">
        <v>1204</v>
      </c>
      <c r="J105" s="286" t="s">
        <v>1312</v>
      </c>
      <c r="K105" s="286" t="s">
        <v>2190</v>
      </c>
      <c r="L105" s="286" t="s">
        <v>649</v>
      </c>
      <c r="M105" s="286">
        <v>1</v>
      </c>
      <c r="N105" s="287">
        <v>19046</v>
      </c>
      <c r="O105" s="294">
        <f t="shared" si="1"/>
        <v>45535</v>
      </c>
      <c r="P105" s="286" t="s">
        <v>49</v>
      </c>
    </row>
    <row r="106" spans="1:16" hidden="1" x14ac:dyDescent="0.15">
      <c r="A106" s="286">
        <v>567450</v>
      </c>
      <c r="B106" s="288">
        <v>45415.564583333333</v>
      </c>
      <c r="C106" s="286" t="s">
        <v>2096</v>
      </c>
      <c r="D106" s="286" t="s">
        <v>1105</v>
      </c>
      <c r="E106" s="286" t="s">
        <v>1106</v>
      </c>
      <c r="F106" s="286" t="s">
        <v>2097</v>
      </c>
      <c r="G106" s="286" t="s">
        <v>1054</v>
      </c>
      <c r="H106" s="286" t="s">
        <v>1054</v>
      </c>
      <c r="I106" s="286" t="s">
        <v>1108</v>
      </c>
      <c r="J106" s="286" t="s">
        <v>1312</v>
      </c>
      <c r="K106" s="286" t="s">
        <v>1745</v>
      </c>
      <c r="L106" s="286" t="s">
        <v>439</v>
      </c>
      <c r="M106" s="286">
        <v>1</v>
      </c>
      <c r="N106" s="287">
        <v>19005</v>
      </c>
      <c r="O106" s="294">
        <f t="shared" si="1"/>
        <v>45443</v>
      </c>
      <c r="P106" s="286" t="s">
        <v>37</v>
      </c>
    </row>
    <row r="107" spans="1:16" hidden="1" x14ac:dyDescent="0.15">
      <c r="A107" s="286">
        <v>438112</v>
      </c>
      <c r="B107" s="288">
        <v>45293.53402777778</v>
      </c>
      <c r="C107" s="286" t="s">
        <v>2125</v>
      </c>
      <c r="D107" s="286" t="s">
        <v>1105</v>
      </c>
      <c r="E107" s="286" t="s">
        <v>1106</v>
      </c>
      <c r="F107" s="286" t="s">
        <v>2152</v>
      </c>
      <c r="G107" s="286" t="s">
        <v>1023</v>
      </c>
      <c r="H107" s="286" t="s">
        <v>1023</v>
      </c>
      <c r="I107" s="286" t="s">
        <v>1199</v>
      </c>
      <c r="J107" s="286" t="s">
        <v>53</v>
      </c>
      <c r="K107" s="286" t="s">
        <v>53</v>
      </c>
      <c r="L107" s="286" t="s">
        <v>53</v>
      </c>
      <c r="M107" s="286" t="s">
        <v>53</v>
      </c>
      <c r="N107" s="287">
        <v>18800.27</v>
      </c>
      <c r="O107" s="294">
        <f t="shared" si="1"/>
        <v>45322</v>
      </c>
      <c r="P107" s="286" t="s">
        <v>58</v>
      </c>
    </row>
    <row r="108" spans="1:16" hidden="1" x14ac:dyDescent="0.15">
      <c r="A108" s="286">
        <v>472168</v>
      </c>
      <c r="B108" s="288">
        <v>45331.416666666664</v>
      </c>
      <c r="C108" s="286" t="s">
        <v>2113</v>
      </c>
      <c r="D108" s="286" t="s">
        <v>1105</v>
      </c>
      <c r="E108" s="286" t="s">
        <v>1106</v>
      </c>
      <c r="F108" s="286" t="s">
        <v>2153</v>
      </c>
      <c r="G108" s="286" t="s">
        <v>1023</v>
      </c>
      <c r="H108" s="286" t="s">
        <v>1023</v>
      </c>
      <c r="I108" s="286" t="s">
        <v>1199</v>
      </c>
      <c r="J108" s="286" t="s">
        <v>53</v>
      </c>
      <c r="K108" s="286" t="s">
        <v>53</v>
      </c>
      <c r="L108" s="286" t="s">
        <v>53</v>
      </c>
      <c r="M108" s="286" t="s">
        <v>53</v>
      </c>
      <c r="N108" s="287">
        <v>18800.27</v>
      </c>
      <c r="O108" s="294">
        <f t="shared" si="1"/>
        <v>45351</v>
      </c>
      <c r="P108" s="286" t="s">
        <v>58</v>
      </c>
    </row>
    <row r="109" spans="1:16" hidden="1" x14ac:dyDescent="0.15">
      <c r="A109" s="286">
        <v>504817</v>
      </c>
      <c r="B109" s="288">
        <v>45359.645138888889</v>
      </c>
      <c r="C109" s="286" t="s">
        <v>2109</v>
      </c>
      <c r="D109" s="286" t="s">
        <v>1105</v>
      </c>
      <c r="E109" s="286" t="s">
        <v>1106</v>
      </c>
      <c r="F109" s="286" t="s">
        <v>2154</v>
      </c>
      <c r="G109" s="286" t="s">
        <v>1023</v>
      </c>
      <c r="H109" s="286" t="s">
        <v>1023</v>
      </c>
      <c r="I109" s="286" t="s">
        <v>1199</v>
      </c>
      <c r="J109" s="286" t="s">
        <v>53</v>
      </c>
      <c r="K109" s="286" t="s">
        <v>53</v>
      </c>
      <c r="L109" s="286" t="s">
        <v>53</v>
      </c>
      <c r="M109" s="286" t="s">
        <v>53</v>
      </c>
      <c r="N109" s="287">
        <v>18800.27</v>
      </c>
      <c r="O109" s="294">
        <f t="shared" si="1"/>
        <v>45382</v>
      </c>
      <c r="P109" s="286" t="s">
        <v>58</v>
      </c>
    </row>
    <row r="110" spans="1:16" hidden="1" x14ac:dyDescent="0.15">
      <c r="A110" s="286">
        <v>534207</v>
      </c>
      <c r="B110" s="288">
        <v>45385.750694444447</v>
      </c>
      <c r="C110" s="286" t="s">
        <v>2096</v>
      </c>
      <c r="D110" s="286" t="s">
        <v>1105</v>
      </c>
      <c r="E110" s="286" t="s">
        <v>1106</v>
      </c>
      <c r="F110" s="286" t="s">
        <v>2155</v>
      </c>
      <c r="G110" s="286" t="s">
        <v>1023</v>
      </c>
      <c r="H110" s="286" t="s">
        <v>1023</v>
      </c>
      <c r="I110" s="286" t="s">
        <v>1199</v>
      </c>
      <c r="J110" s="286" t="s">
        <v>53</v>
      </c>
      <c r="K110" s="286" t="s">
        <v>53</v>
      </c>
      <c r="L110" s="286" t="s">
        <v>53</v>
      </c>
      <c r="M110" s="286" t="s">
        <v>53</v>
      </c>
      <c r="N110" s="287">
        <v>18800.27</v>
      </c>
      <c r="O110" s="294">
        <f t="shared" si="1"/>
        <v>45412</v>
      </c>
      <c r="P110" s="286" t="s">
        <v>58</v>
      </c>
    </row>
    <row r="111" spans="1:16" hidden="1" x14ac:dyDescent="0.15">
      <c r="A111" s="286">
        <v>614216</v>
      </c>
      <c r="B111" s="288">
        <v>45455.716666666667</v>
      </c>
      <c r="C111" s="286" t="s">
        <v>2116</v>
      </c>
      <c r="D111" s="286" t="s">
        <v>1105</v>
      </c>
      <c r="E111" s="286" t="s">
        <v>1106</v>
      </c>
      <c r="F111" s="286" t="s">
        <v>2156</v>
      </c>
      <c r="G111" s="286" t="s">
        <v>1023</v>
      </c>
      <c r="H111" s="286" t="s">
        <v>1023</v>
      </c>
      <c r="I111" s="286" t="s">
        <v>1199</v>
      </c>
      <c r="J111" s="286" t="s">
        <v>53</v>
      </c>
      <c r="K111" s="286" t="s">
        <v>53</v>
      </c>
      <c r="L111" s="286" t="s">
        <v>53</v>
      </c>
      <c r="M111" s="286" t="s">
        <v>53</v>
      </c>
      <c r="N111" s="287">
        <v>18800.27</v>
      </c>
      <c r="O111" s="294">
        <f t="shared" si="1"/>
        <v>45473</v>
      </c>
      <c r="P111" s="286" t="s">
        <v>58</v>
      </c>
    </row>
    <row r="112" spans="1:16" hidden="1" x14ac:dyDescent="0.15">
      <c r="A112" s="286">
        <v>608480</v>
      </c>
      <c r="B112" s="288">
        <v>45450.422222222223</v>
      </c>
      <c r="C112" s="286" t="s">
        <v>2092</v>
      </c>
      <c r="D112" s="286" t="s">
        <v>1105</v>
      </c>
      <c r="E112" s="286" t="s">
        <v>1106</v>
      </c>
      <c r="F112" s="286" t="s">
        <v>2157</v>
      </c>
      <c r="G112" s="286" t="s">
        <v>1023</v>
      </c>
      <c r="H112" s="286" t="s">
        <v>1023</v>
      </c>
      <c r="I112" s="286" t="s">
        <v>1199</v>
      </c>
      <c r="J112" s="286" t="s">
        <v>53</v>
      </c>
      <c r="K112" s="286" t="s">
        <v>53</v>
      </c>
      <c r="L112" s="286" t="s">
        <v>53</v>
      </c>
      <c r="M112" s="286" t="s">
        <v>53</v>
      </c>
      <c r="N112" s="287">
        <v>18800.27</v>
      </c>
      <c r="O112" s="294">
        <f t="shared" si="1"/>
        <v>45473</v>
      </c>
      <c r="P112" s="286" t="s">
        <v>58</v>
      </c>
    </row>
    <row r="113" spans="1:16" hidden="1" x14ac:dyDescent="0.15">
      <c r="A113" s="286">
        <v>646075</v>
      </c>
      <c r="B113" s="288">
        <v>45474.519444444442</v>
      </c>
      <c r="C113" s="286" t="s">
        <v>2111</v>
      </c>
      <c r="D113" s="286" t="s">
        <v>1105</v>
      </c>
      <c r="E113" s="286" t="s">
        <v>1106</v>
      </c>
      <c r="F113" s="286" t="s">
        <v>2137</v>
      </c>
      <c r="G113" s="286" t="s">
        <v>1023</v>
      </c>
      <c r="H113" s="286" t="s">
        <v>1023</v>
      </c>
      <c r="I113" s="286" t="s">
        <v>1199</v>
      </c>
      <c r="J113" s="286" t="s">
        <v>53</v>
      </c>
      <c r="K113" s="286" t="s">
        <v>53</v>
      </c>
      <c r="L113" s="286" t="s">
        <v>53</v>
      </c>
      <c r="M113" s="286" t="s">
        <v>53</v>
      </c>
      <c r="N113" s="287">
        <v>18800.27</v>
      </c>
      <c r="O113" s="294">
        <f t="shared" si="1"/>
        <v>45504</v>
      </c>
      <c r="P113" s="286" t="s">
        <v>58</v>
      </c>
    </row>
    <row r="114" spans="1:16" hidden="1" x14ac:dyDescent="0.15">
      <c r="A114" s="286">
        <v>723752</v>
      </c>
      <c r="B114" s="288">
        <v>45524.404166666667</v>
      </c>
      <c r="C114" s="286" t="s">
        <v>2102</v>
      </c>
      <c r="D114" s="286" t="s">
        <v>1105</v>
      </c>
      <c r="E114" s="286" t="s">
        <v>1106</v>
      </c>
      <c r="F114" s="286" t="s">
        <v>2147</v>
      </c>
      <c r="G114" s="286" t="s">
        <v>1079</v>
      </c>
      <c r="H114" s="286" t="s">
        <v>1079</v>
      </c>
      <c r="I114" s="286" t="s">
        <v>1112</v>
      </c>
      <c r="J114" s="286" t="s">
        <v>1312</v>
      </c>
      <c r="K114" s="286" t="s">
        <v>1773</v>
      </c>
      <c r="L114" s="286" t="s">
        <v>1774</v>
      </c>
      <c r="M114" s="286">
        <v>2</v>
      </c>
      <c r="N114" s="287">
        <v>18795.599999999999</v>
      </c>
      <c r="O114" s="294">
        <f t="shared" si="1"/>
        <v>45535</v>
      </c>
      <c r="P114" s="286" t="s">
        <v>175</v>
      </c>
    </row>
    <row r="115" spans="1:16" hidden="1" x14ac:dyDescent="0.15">
      <c r="A115" s="286">
        <v>578060</v>
      </c>
      <c r="B115" s="288">
        <v>45426.430555555555</v>
      </c>
      <c r="C115" s="286" t="s">
        <v>2096</v>
      </c>
      <c r="D115" s="286" t="s">
        <v>1105</v>
      </c>
      <c r="E115" s="286" t="s">
        <v>1106</v>
      </c>
      <c r="F115" s="286" t="s">
        <v>2115</v>
      </c>
      <c r="G115" s="286" t="s">
        <v>1037</v>
      </c>
      <c r="H115" s="286" t="s">
        <v>1037</v>
      </c>
      <c r="I115" s="286" t="s">
        <v>1112</v>
      </c>
      <c r="J115" s="286" t="s">
        <v>1312</v>
      </c>
      <c r="K115" s="286" t="s">
        <v>1773</v>
      </c>
      <c r="L115" s="286" t="s">
        <v>1774</v>
      </c>
      <c r="M115" s="286">
        <v>2</v>
      </c>
      <c r="N115" s="287">
        <v>18536</v>
      </c>
      <c r="O115" s="294">
        <f t="shared" si="1"/>
        <v>45443</v>
      </c>
      <c r="P115" s="286" t="s">
        <v>175</v>
      </c>
    </row>
    <row r="116" spans="1:16" hidden="1" x14ac:dyDescent="0.15">
      <c r="A116" s="286">
        <v>749526</v>
      </c>
      <c r="B116" s="288">
        <v>45540.356944444444</v>
      </c>
      <c r="C116" s="286" t="s">
        <v>2102</v>
      </c>
      <c r="D116" s="286" t="s">
        <v>1105</v>
      </c>
      <c r="E116" s="286" t="s">
        <v>1106</v>
      </c>
      <c r="F116" s="286" t="s">
        <v>2168</v>
      </c>
      <c r="G116" s="286" t="s">
        <v>1002</v>
      </c>
      <c r="H116" s="286" t="s">
        <v>1002</v>
      </c>
      <c r="I116" s="286" t="s">
        <v>1112</v>
      </c>
      <c r="J116" s="286" t="s">
        <v>1312</v>
      </c>
      <c r="K116" s="286" t="s">
        <v>1707</v>
      </c>
      <c r="L116" s="286" t="s">
        <v>1708</v>
      </c>
      <c r="M116" s="286">
        <v>1</v>
      </c>
      <c r="N116" s="287">
        <v>18286</v>
      </c>
      <c r="O116" s="294">
        <f t="shared" si="1"/>
        <v>45565</v>
      </c>
      <c r="P116" s="286" t="s">
        <v>175</v>
      </c>
    </row>
    <row r="117" spans="1:16" hidden="1" x14ac:dyDescent="0.15">
      <c r="A117" s="286">
        <v>807477</v>
      </c>
      <c r="B117" s="288">
        <v>45579.522222222222</v>
      </c>
      <c r="C117" s="286" t="s">
        <v>2132</v>
      </c>
      <c r="D117" s="286" t="s">
        <v>1105</v>
      </c>
      <c r="E117" s="286" t="s">
        <v>1106</v>
      </c>
      <c r="F117" s="286" t="s">
        <v>2133</v>
      </c>
      <c r="G117" s="286" t="s">
        <v>1076</v>
      </c>
      <c r="H117" s="286" t="s">
        <v>1076</v>
      </c>
      <c r="I117" s="286" t="s">
        <v>1128</v>
      </c>
      <c r="J117" s="286" t="s">
        <v>1312</v>
      </c>
      <c r="K117" s="286" t="s">
        <v>2191</v>
      </c>
      <c r="L117" s="286" t="s">
        <v>2192</v>
      </c>
      <c r="M117" s="286">
        <v>1</v>
      </c>
      <c r="N117" s="287">
        <v>18069</v>
      </c>
      <c r="O117" s="294">
        <f t="shared" si="1"/>
        <v>45596</v>
      </c>
      <c r="P117" s="286" t="s">
        <v>47</v>
      </c>
    </row>
    <row r="118" spans="1:16" hidden="1" x14ac:dyDescent="0.15">
      <c r="A118" s="286">
        <v>744088</v>
      </c>
      <c r="B118" s="288">
        <v>45533.661111111112</v>
      </c>
      <c r="C118" s="286" t="s">
        <v>2102</v>
      </c>
      <c r="D118" s="286" t="s">
        <v>1105</v>
      </c>
      <c r="E118" s="286" t="s">
        <v>1106</v>
      </c>
      <c r="F118" s="286" t="s">
        <v>2170</v>
      </c>
      <c r="G118" s="286" t="s">
        <v>1029</v>
      </c>
      <c r="H118" s="286" t="s">
        <v>1029</v>
      </c>
      <c r="I118" s="286" t="s">
        <v>1112</v>
      </c>
      <c r="J118" s="286" t="s">
        <v>1312</v>
      </c>
      <c r="K118" s="286" t="s">
        <v>1707</v>
      </c>
      <c r="L118" s="286" t="s">
        <v>1708</v>
      </c>
      <c r="M118" s="286">
        <v>1</v>
      </c>
      <c r="N118" s="287">
        <v>17525</v>
      </c>
      <c r="O118" s="294">
        <f t="shared" si="1"/>
        <v>45535</v>
      </c>
      <c r="P118" s="286" t="s">
        <v>175</v>
      </c>
    </row>
    <row r="119" spans="1:16" hidden="1" x14ac:dyDescent="0.15">
      <c r="A119" s="286">
        <v>497448</v>
      </c>
      <c r="B119" s="288">
        <v>45352.561111111114</v>
      </c>
      <c r="C119" s="286" t="s">
        <v>2125</v>
      </c>
      <c r="D119" s="286" t="s">
        <v>1105</v>
      </c>
      <c r="E119" s="286" t="s">
        <v>1106</v>
      </c>
      <c r="F119" s="286" t="s">
        <v>2193</v>
      </c>
      <c r="G119" s="286" t="s">
        <v>1079</v>
      </c>
      <c r="H119" s="286" t="s">
        <v>1079</v>
      </c>
      <c r="I119" s="286" t="s">
        <v>1199</v>
      </c>
      <c r="J119" s="286" t="s">
        <v>1312</v>
      </c>
      <c r="K119" s="286" t="s">
        <v>53</v>
      </c>
      <c r="L119" s="286" t="s">
        <v>53</v>
      </c>
      <c r="M119" s="286" t="s">
        <v>53</v>
      </c>
      <c r="N119" s="287">
        <v>17110</v>
      </c>
      <c r="O119" s="294">
        <f t="shared" si="1"/>
        <v>45382</v>
      </c>
      <c r="P119" s="286" t="s">
        <v>58</v>
      </c>
    </row>
    <row r="120" spans="1:16" hidden="1" x14ac:dyDescent="0.15">
      <c r="A120" s="286">
        <v>497449</v>
      </c>
      <c r="B120" s="288">
        <v>45352.561111111114</v>
      </c>
      <c r="C120" s="286" t="s">
        <v>2113</v>
      </c>
      <c r="D120" s="286" t="s">
        <v>1105</v>
      </c>
      <c r="E120" s="286" t="s">
        <v>1106</v>
      </c>
      <c r="F120" s="286" t="s">
        <v>2194</v>
      </c>
      <c r="G120" s="286" t="s">
        <v>1079</v>
      </c>
      <c r="H120" s="286" t="s">
        <v>1079</v>
      </c>
      <c r="I120" s="286" t="s">
        <v>1199</v>
      </c>
      <c r="J120" s="286" t="s">
        <v>1312</v>
      </c>
      <c r="K120" s="286" t="s">
        <v>53</v>
      </c>
      <c r="L120" s="286" t="s">
        <v>53</v>
      </c>
      <c r="M120" s="286" t="s">
        <v>53</v>
      </c>
      <c r="N120" s="287">
        <v>17110</v>
      </c>
      <c r="O120" s="294">
        <f t="shared" si="1"/>
        <v>45382</v>
      </c>
      <c r="P120" s="286" t="s">
        <v>58</v>
      </c>
    </row>
    <row r="121" spans="1:16" hidden="1" x14ac:dyDescent="0.15">
      <c r="A121" s="286">
        <v>504817</v>
      </c>
      <c r="B121" s="288">
        <v>45359.645138888889</v>
      </c>
      <c r="C121" s="286" t="s">
        <v>2109</v>
      </c>
      <c r="D121" s="286" t="s">
        <v>1105</v>
      </c>
      <c r="E121" s="286" t="s">
        <v>1106</v>
      </c>
      <c r="F121" s="286" t="s">
        <v>2154</v>
      </c>
      <c r="G121" s="286" t="s">
        <v>1079</v>
      </c>
      <c r="H121" s="286" t="s">
        <v>1079</v>
      </c>
      <c r="I121" s="286" t="s">
        <v>1199</v>
      </c>
      <c r="J121" s="286" t="s">
        <v>1312</v>
      </c>
      <c r="K121" s="286" t="s">
        <v>53</v>
      </c>
      <c r="L121" s="286" t="s">
        <v>53</v>
      </c>
      <c r="M121" s="286" t="s">
        <v>53</v>
      </c>
      <c r="N121" s="287">
        <v>17110</v>
      </c>
      <c r="O121" s="294">
        <f t="shared" si="1"/>
        <v>45382</v>
      </c>
      <c r="P121" s="286" t="s">
        <v>58</v>
      </c>
    </row>
    <row r="122" spans="1:16" hidden="1" x14ac:dyDescent="0.15">
      <c r="A122" s="286">
        <v>534207</v>
      </c>
      <c r="B122" s="288">
        <v>45385.750694444447</v>
      </c>
      <c r="C122" s="286" t="s">
        <v>2096</v>
      </c>
      <c r="D122" s="286" t="s">
        <v>1105</v>
      </c>
      <c r="E122" s="286" t="s">
        <v>1106</v>
      </c>
      <c r="F122" s="286" t="s">
        <v>2155</v>
      </c>
      <c r="G122" s="286" t="s">
        <v>1079</v>
      </c>
      <c r="H122" s="286" t="s">
        <v>1079</v>
      </c>
      <c r="I122" s="286" t="s">
        <v>1199</v>
      </c>
      <c r="J122" s="286" t="s">
        <v>1312</v>
      </c>
      <c r="K122" s="286" t="s">
        <v>53</v>
      </c>
      <c r="L122" s="286" t="s">
        <v>53</v>
      </c>
      <c r="M122" s="286" t="s">
        <v>53</v>
      </c>
      <c r="N122" s="287">
        <v>17110</v>
      </c>
      <c r="O122" s="294">
        <f t="shared" si="1"/>
        <v>45412</v>
      </c>
      <c r="P122" s="286" t="s">
        <v>58</v>
      </c>
    </row>
    <row r="123" spans="1:16" hidden="1" x14ac:dyDescent="0.15">
      <c r="A123" s="286">
        <v>614216</v>
      </c>
      <c r="B123" s="288">
        <v>45455.716666666667</v>
      </c>
      <c r="C123" s="286" t="s">
        <v>2116</v>
      </c>
      <c r="D123" s="286" t="s">
        <v>1105</v>
      </c>
      <c r="E123" s="286" t="s">
        <v>1106</v>
      </c>
      <c r="F123" s="286" t="s">
        <v>2156</v>
      </c>
      <c r="G123" s="286" t="s">
        <v>1079</v>
      </c>
      <c r="H123" s="286" t="s">
        <v>1079</v>
      </c>
      <c r="I123" s="286" t="s">
        <v>1199</v>
      </c>
      <c r="J123" s="286" t="s">
        <v>1312</v>
      </c>
      <c r="K123" s="286" t="s">
        <v>53</v>
      </c>
      <c r="L123" s="286" t="s">
        <v>53</v>
      </c>
      <c r="M123" s="286" t="s">
        <v>53</v>
      </c>
      <c r="N123" s="287">
        <v>17110</v>
      </c>
      <c r="O123" s="294">
        <f t="shared" si="1"/>
        <v>45473</v>
      </c>
      <c r="P123" s="286" t="s">
        <v>58</v>
      </c>
    </row>
    <row r="124" spans="1:16" hidden="1" x14ac:dyDescent="0.15">
      <c r="A124" s="286">
        <v>614316</v>
      </c>
      <c r="B124" s="288">
        <v>45455.717361111114</v>
      </c>
      <c r="C124" s="286" t="s">
        <v>2092</v>
      </c>
      <c r="D124" s="286" t="s">
        <v>1105</v>
      </c>
      <c r="E124" s="286" t="s">
        <v>1106</v>
      </c>
      <c r="F124" s="286" t="s">
        <v>2167</v>
      </c>
      <c r="G124" s="286" t="s">
        <v>1079</v>
      </c>
      <c r="H124" s="286" t="s">
        <v>1079</v>
      </c>
      <c r="I124" s="286" t="s">
        <v>1199</v>
      </c>
      <c r="J124" s="286" t="s">
        <v>1312</v>
      </c>
      <c r="K124" s="286" t="s">
        <v>53</v>
      </c>
      <c r="L124" s="286" t="s">
        <v>53</v>
      </c>
      <c r="M124" s="286" t="s">
        <v>53</v>
      </c>
      <c r="N124" s="287">
        <v>17110</v>
      </c>
      <c r="O124" s="294">
        <f t="shared" si="1"/>
        <v>45473</v>
      </c>
      <c r="P124" s="286" t="s">
        <v>58</v>
      </c>
    </row>
    <row r="125" spans="1:16" hidden="1" x14ac:dyDescent="0.15">
      <c r="A125" s="286">
        <v>646075</v>
      </c>
      <c r="B125" s="288">
        <v>45474.519444444442</v>
      </c>
      <c r="C125" s="286" t="s">
        <v>2111</v>
      </c>
      <c r="D125" s="286" t="s">
        <v>1105</v>
      </c>
      <c r="E125" s="286" t="s">
        <v>1106</v>
      </c>
      <c r="F125" s="286" t="s">
        <v>2137</v>
      </c>
      <c r="G125" s="286" t="s">
        <v>1079</v>
      </c>
      <c r="H125" s="286" t="s">
        <v>1079</v>
      </c>
      <c r="I125" s="286" t="s">
        <v>1199</v>
      </c>
      <c r="J125" s="286" t="s">
        <v>1312</v>
      </c>
      <c r="K125" s="286" t="s">
        <v>53</v>
      </c>
      <c r="L125" s="286" t="s">
        <v>53</v>
      </c>
      <c r="M125" s="286" t="s">
        <v>53</v>
      </c>
      <c r="N125" s="287">
        <v>17110</v>
      </c>
      <c r="O125" s="294">
        <f t="shared" si="1"/>
        <v>45504</v>
      </c>
      <c r="P125" s="286" t="s">
        <v>58</v>
      </c>
    </row>
    <row r="126" spans="1:16" hidden="1" x14ac:dyDescent="0.15">
      <c r="A126" s="286">
        <v>697810</v>
      </c>
      <c r="B126" s="288">
        <v>45510.366666666669</v>
      </c>
      <c r="C126" s="286" t="s">
        <v>2102</v>
      </c>
      <c r="D126" s="286" t="s">
        <v>1105</v>
      </c>
      <c r="E126" s="286" t="s">
        <v>1106</v>
      </c>
      <c r="F126" s="286" t="s">
        <v>2138</v>
      </c>
      <c r="G126" s="286" t="s">
        <v>1079</v>
      </c>
      <c r="H126" s="286" t="s">
        <v>1079</v>
      </c>
      <c r="I126" s="286" t="s">
        <v>1199</v>
      </c>
      <c r="J126" s="286" t="s">
        <v>1312</v>
      </c>
      <c r="K126" s="286" t="s">
        <v>53</v>
      </c>
      <c r="L126" s="286" t="s">
        <v>53</v>
      </c>
      <c r="M126" s="286" t="s">
        <v>53</v>
      </c>
      <c r="N126" s="287">
        <v>17110</v>
      </c>
      <c r="O126" s="294">
        <f t="shared" si="1"/>
        <v>45535</v>
      </c>
      <c r="P126" s="286" t="s">
        <v>58</v>
      </c>
    </row>
    <row r="127" spans="1:16" hidden="1" x14ac:dyDescent="0.15">
      <c r="A127" s="286">
        <v>745911</v>
      </c>
      <c r="B127" s="288">
        <v>45538.44027777778</v>
      </c>
      <c r="C127" s="286" t="s">
        <v>2132</v>
      </c>
      <c r="D127" s="286" t="s">
        <v>1105</v>
      </c>
      <c r="E127" s="286" t="s">
        <v>1106</v>
      </c>
      <c r="F127" s="286" t="s">
        <v>2139</v>
      </c>
      <c r="G127" s="286" t="s">
        <v>1079</v>
      </c>
      <c r="H127" s="286" t="s">
        <v>1079</v>
      </c>
      <c r="I127" s="286" t="s">
        <v>1199</v>
      </c>
      <c r="J127" s="286" t="s">
        <v>1312</v>
      </c>
      <c r="K127" s="286" t="s">
        <v>53</v>
      </c>
      <c r="L127" s="286" t="s">
        <v>53</v>
      </c>
      <c r="M127" s="286" t="s">
        <v>53</v>
      </c>
      <c r="N127" s="287">
        <v>17110</v>
      </c>
      <c r="O127" s="294">
        <f t="shared" si="1"/>
        <v>45565</v>
      </c>
      <c r="P127" s="286" t="s">
        <v>58</v>
      </c>
    </row>
    <row r="128" spans="1:16" hidden="1" x14ac:dyDescent="0.15">
      <c r="A128" s="286">
        <v>848817</v>
      </c>
      <c r="B128" s="288">
        <v>45607.65902777778</v>
      </c>
      <c r="C128" s="286" t="s">
        <v>2130</v>
      </c>
      <c r="D128" s="286" t="s">
        <v>1105</v>
      </c>
      <c r="E128" s="286" t="s">
        <v>1106</v>
      </c>
      <c r="F128" s="286" t="s">
        <v>2140</v>
      </c>
      <c r="G128" s="286" t="s">
        <v>1079</v>
      </c>
      <c r="H128" s="286" t="s">
        <v>1079</v>
      </c>
      <c r="I128" s="286" t="s">
        <v>1199</v>
      </c>
      <c r="J128" s="286" t="s">
        <v>1312</v>
      </c>
      <c r="K128" s="286" t="s">
        <v>53</v>
      </c>
      <c r="L128" s="286" t="s">
        <v>53</v>
      </c>
      <c r="M128" s="286" t="s">
        <v>53</v>
      </c>
      <c r="N128" s="287">
        <v>17110</v>
      </c>
      <c r="O128" s="294">
        <f t="shared" si="1"/>
        <v>45626</v>
      </c>
      <c r="P128" s="286" t="s">
        <v>58</v>
      </c>
    </row>
    <row r="129" spans="1:16" hidden="1" x14ac:dyDescent="0.15">
      <c r="A129" s="286">
        <v>848917</v>
      </c>
      <c r="B129" s="288">
        <v>45607.660416666666</v>
      </c>
      <c r="C129" s="286" t="s">
        <v>2100</v>
      </c>
      <c r="D129" s="286" t="s">
        <v>1105</v>
      </c>
      <c r="E129" s="286" t="s">
        <v>1106</v>
      </c>
      <c r="F129" s="286" t="s">
        <v>2141</v>
      </c>
      <c r="G129" s="286" t="s">
        <v>1079</v>
      </c>
      <c r="H129" s="286" t="s">
        <v>1079</v>
      </c>
      <c r="I129" s="286" t="s">
        <v>1199</v>
      </c>
      <c r="J129" s="286" t="s">
        <v>1312</v>
      </c>
      <c r="K129" s="286" t="s">
        <v>53</v>
      </c>
      <c r="L129" s="286" t="s">
        <v>53</v>
      </c>
      <c r="M129" s="286" t="s">
        <v>53</v>
      </c>
      <c r="N129" s="287">
        <v>17110</v>
      </c>
      <c r="O129" s="294">
        <f t="shared" si="1"/>
        <v>45626</v>
      </c>
      <c r="P129" s="286" t="s">
        <v>58</v>
      </c>
    </row>
    <row r="130" spans="1:16" hidden="1" x14ac:dyDescent="0.15">
      <c r="A130" s="286">
        <v>874698</v>
      </c>
      <c r="B130" s="288">
        <v>45628.357638888891</v>
      </c>
      <c r="C130" s="286" t="s">
        <v>2098</v>
      </c>
      <c r="D130" s="286" t="s">
        <v>1105</v>
      </c>
      <c r="E130" s="286" t="s">
        <v>1106</v>
      </c>
      <c r="F130" s="286" t="s">
        <v>2142</v>
      </c>
      <c r="G130" s="286" t="s">
        <v>1079</v>
      </c>
      <c r="H130" s="286" t="s">
        <v>1079</v>
      </c>
      <c r="I130" s="286" t="s">
        <v>1199</v>
      </c>
      <c r="J130" s="286" t="s">
        <v>1312</v>
      </c>
      <c r="K130" s="286" t="s">
        <v>53</v>
      </c>
      <c r="L130" s="286" t="s">
        <v>53</v>
      </c>
      <c r="M130" s="286" t="s">
        <v>53</v>
      </c>
      <c r="N130" s="287">
        <v>17110</v>
      </c>
      <c r="O130" s="294">
        <f t="shared" si="1"/>
        <v>45657</v>
      </c>
      <c r="P130" s="286" t="s">
        <v>58</v>
      </c>
    </row>
    <row r="131" spans="1:16" hidden="1" x14ac:dyDescent="0.15">
      <c r="A131" s="286">
        <v>583601</v>
      </c>
      <c r="B131" s="288">
        <v>45430.375694444447</v>
      </c>
      <c r="C131" s="286" t="s">
        <v>2116</v>
      </c>
      <c r="D131" s="286" t="s">
        <v>1105</v>
      </c>
      <c r="E131" s="286" t="s">
        <v>1106</v>
      </c>
      <c r="F131" s="286" t="s">
        <v>2195</v>
      </c>
      <c r="G131" s="286" t="s">
        <v>1030</v>
      </c>
      <c r="H131" s="286" t="s">
        <v>1030</v>
      </c>
      <c r="I131" s="286" t="s">
        <v>1112</v>
      </c>
      <c r="J131" s="286" t="s">
        <v>1312</v>
      </c>
      <c r="K131" s="286" t="s">
        <v>1707</v>
      </c>
      <c r="L131" s="286" t="s">
        <v>1708</v>
      </c>
      <c r="M131" s="286">
        <v>1</v>
      </c>
      <c r="N131" s="287">
        <v>17017</v>
      </c>
      <c r="O131" s="294">
        <f t="shared" si="1"/>
        <v>45443</v>
      </c>
      <c r="P131" s="286" t="s">
        <v>175</v>
      </c>
    </row>
    <row r="132" spans="1:16" hidden="1" x14ac:dyDescent="0.15">
      <c r="A132" s="286">
        <v>657173</v>
      </c>
      <c r="B132" s="288">
        <v>45483.53402777778</v>
      </c>
      <c r="C132" s="286" t="s">
        <v>2092</v>
      </c>
      <c r="D132" s="286" t="s">
        <v>1105</v>
      </c>
      <c r="E132" s="286" t="s">
        <v>1106</v>
      </c>
      <c r="F132" s="286" t="s">
        <v>2093</v>
      </c>
      <c r="G132" s="286" t="s">
        <v>1050</v>
      </c>
      <c r="H132" s="286" t="s">
        <v>1050</v>
      </c>
      <c r="I132" s="286" t="s">
        <v>1121</v>
      </c>
      <c r="J132" s="286" t="s">
        <v>1312</v>
      </c>
      <c r="K132" s="286" t="s">
        <v>917</v>
      </c>
      <c r="L132" s="286" t="s">
        <v>250</v>
      </c>
      <c r="M132" s="286">
        <v>1</v>
      </c>
      <c r="N132" s="287">
        <v>17007</v>
      </c>
      <c r="O132" s="294">
        <f t="shared" ref="O132:O195" si="2">EOMONTH(B132,0)</f>
        <v>45504</v>
      </c>
      <c r="P132" s="286" t="s">
        <v>248</v>
      </c>
    </row>
    <row r="133" spans="1:16" hidden="1" x14ac:dyDescent="0.15">
      <c r="A133" s="286">
        <v>657173</v>
      </c>
      <c r="B133" s="288">
        <v>45483.53402777778</v>
      </c>
      <c r="C133" s="286" t="s">
        <v>2092</v>
      </c>
      <c r="D133" s="286" t="s">
        <v>1105</v>
      </c>
      <c r="E133" s="286" t="s">
        <v>1106</v>
      </c>
      <c r="F133" s="286" t="s">
        <v>2093</v>
      </c>
      <c r="G133" s="286" t="s">
        <v>1050</v>
      </c>
      <c r="H133" s="286" t="s">
        <v>1050</v>
      </c>
      <c r="I133" s="286" t="s">
        <v>1108</v>
      </c>
      <c r="J133" s="286" t="s">
        <v>1312</v>
      </c>
      <c r="K133" s="286" t="s">
        <v>1745</v>
      </c>
      <c r="L133" s="286" t="s">
        <v>439</v>
      </c>
      <c r="M133" s="286">
        <v>1</v>
      </c>
      <c r="N133" s="287">
        <v>16843</v>
      </c>
      <c r="O133" s="294">
        <f t="shared" si="2"/>
        <v>45504</v>
      </c>
      <c r="P133" s="286" t="s">
        <v>37</v>
      </c>
    </row>
    <row r="134" spans="1:16" hidden="1" x14ac:dyDescent="0.15">
      <c r="A134" s="286">
        <v>901365</v>
      </c>
      <c r="B134" s="288">
        <v>45646.486805555556</v>
      </c>
      <c r="C134" s="286" t="s">
        <v>2098</v>
      </c>
      <c r="D134" s="286" t="s">
        <v>1105</v>
      </c>
      <c r="E134" s="286" t="s">
        <v>1106</v>
      </c>
      <c r="F134" s="286" t="s">
        <v>2099</v>
      </c>
      <c r="G134" s="286" t="s">
        <v>1022</v>
      </c>
      <c r="H134" s="286" t="s">
        <v>1022</v>
      </c>
      <c r="I134" s="286" t="s">
        <v>1204</v>
      </c>
      <c r="J134" s="286" t="s">
        <v>1312</v>
      </c>
      <c r="K134" s="286" t="s">
        <v>1419</v>
      </c>
      <c r="L134" s="286" t="s">
        <v>894</v>
      </c>
      <c r="M134" s="286">
        <v>1</v>
      </c>
      <c r="N134" s="287">
        <v>16806</v>
      </c>
      <c r="O134" s="294">
        <f t="shared" si="2"/>
        <v>45657</v>
      </c>
      <c r="P134" s="286" t="s">
        <v>49</v>
      </c>
    </row>
    <row r="135" spans="1:16" hidden="1" x14ac:dyDescent="0.15">
      <c r="A135" s="286">
        <v>901252</v>
      </c>
      <c r="B135" s="288">
        <v>45646.472222222219</v>
      </c>
      <c r="C135" s="286" t="s">
        <v>2098</v>
      </c>
      <c r="D135" s="286" t="s">
        <v>1105</v>
      </c>
      <c r="E135" s="286" t="s">
        <v>1106</v>
      </c>
      <c r="F135" s="286" t="s">
        <v>2129</v>
      </c>
      <c r="G135" s="286" t="s">
        <v>324</v>
      </c>
      <c r="H135" s="286" t="s">
        <v>1041</v>
      </c>
      <c r="I135" s="286" t="s">
        <v>1112</v>
      </c>
      <c r="J135" s="286" t="s">
        <v>1312</v>
      </c>
      <c r="K135" s="286" t="s">
        <v>1732</v>
      </c>
      <c r="L135" s="286" t="s">
        <v>1733</v>
      </c>
      <c r="M135" s="286">
        <v>1</v>
      </c>
      <c r="N135" s="287">
        <v>16550.89</v>
      </c>
      <c r="O135" s="294">
        <f t="shared" si="2"/>
        <v>45657</v>
      </c>
      <c r="P135" s="286" t="s">
        <v>175</v>
      </c>
    </row>
    <row r="136" spans="1:16" hidden="1" x14ac:dyDescent="0.15">
      <c r="A136" s="286">
        <v>901252</v>
      </c>
      <c r="B136" s="288">
        <v>45646.472222222219</v>
      </c>
      <c r="C136" s="286" t="s">
        <v>2098</v>
      </c>
      <c r="D136" s="286" t="s">
        <v>1105</v>
      </c>
      <c r="E136" s="286" t="s">
        <v>1106</v>
      </c>
      <c r="F136" s="286" t="s">
        <v>2129</v>
      </c>
      <c r="G136" s="286" t="s">
        <v>322</v>
      </c>
      <c r="H136" s="286" t="s">
        <v>1041</v>
      </c>
      <c r="I136" s="286" t="s">
        <v>1112</v>
      </c>
      <c r="J136" s="286" t="s">
        <v>1312</v>
      </c>
      <c r="K136" s="286" t="s">
        <v>1732</v>
      </c>
      <c r="L136" s="286" t="s">
        <v>1733</v>
      </c>
      <c r="M136" s="286">
        <v>1</v>
      </c>
      <c r="N136" s="287">
        <v>16550.89</v>
      </c>
      <c r="O136" s="294">
        <f t="shared" si="2"/>
        <v>45657</v>
      </c>
      <c r="P136" s="286" t="s">
        <v>175</v>
      </c>
    </row>
    <row r="137" spans="1:16" hidden="1" x14ac:dyDescent="0.15">
      <c r="A137" s="286">
        <v>556087</v>
      </c>
      <c r="B137" s="288">
        <v>45406.408333333333</v>
      </c>
      <c r="C137" s="286" t="s">
        <v>2096</v>
      </c>
      <c r="D137" s="286" t="s">
        <v>1105</v>
      </c>
      <c r="E137" s="286" t="s">
        <v>1106</v>
      </c>
      <c r="F137" s="286" t="s">
        <v>2105</v>
      </c>
      <c r="G137" s="286" t="s">
        <v>1059</v>
      </c>
      <c r="H137" s="286" t="s">
        <v>1059</v>
      </c>
      <c r="I137" s="286" t="s">
        <v>1230</v>
      </c>
      <c r="J137" s="286" t="s">
        <v>1312</v>
      </c>
      <c r="K137" s="286" t="s">
        <v>2196</v>
      </c>
      <c r="L137" s="286" t="s">
        <v>2197</v>
      </c>
      <c r="M137" s="286">
        <v>1</v>
      </c>
      <c r="N137" s="287">
        <v>16531</v>
      </c>
      <c r="O137" s="294">
        <f t="shared" si="2"/>
        <v>45412</v>
      </c>
      <c r="P137" s="286" t="s">
        <v>175</v>
      </c>
    </row>
    <row r="138" spans="1:16" hidden="1" x14ac:dyDescent="0.15">
      <c r="A138" s="286">
        <v>751756</v>
      </c>
      <c r="B138" s="288">
        <v>45540.734722222223</v>
      </c>
      <c r="C138" s="286" t="s">
        <v>2102</v>
      </c>
      <c r="D138" s="286" t="s">
        <v>1105</v>
      </c>
      <c r="E138" s="286" t="s">
        <v>1106</v>
      </c>
      <c r="F138" s="286" t="s">
        <v>2103</v>
      </c>
      <c r="G138" s="286" t="s">
        <v>1011</v>
      </c>
      <c r="H138" s="286" t="s">
        <v>1011</v>
      </c>
      <c r="I138" s="286" t="s">
        <v>1121</v>
      </c>
      <c r="J138" s="286" t="s">
        <v>1312</v>
      </c>
      <c r="K138" s="286" t="s">
        <v>917</v>
      </c>
      <c r="L138" s="286" t="s">
        <v>250</v>
      </c>
      <c r="M138" s="286">
        <v>1</v>
      </c>
      <c r="N138" s="287">
        <v>16355</v>
      </c>
      <c r="O138" s="294">
        <f t="shared" si="2"/>
        <v>45565</v>
      </c>
      <c r="P138" s="286" t="s">
        <v>248</v>
      </c>
    </row>
    <row r="139" spans="1:16" hidden="1" x14ac:dyDescent="0.15">
      <c r="A139" s="286">
        <v>438112</v>
      </c>
      <c r="B139" s="288">
        <v>45293.53402777778</v>
      </c>
      <c r="C139" s="286" t="s">
        <v>2125</v>
      </c>
      <c r="D139" s="286" t="s">
        <v>1105</v>
      </c>
      <c r="E139" s="286" t="s">
        <v>1106</v>
      </c>
      <c r="F139" s="286" t="s">
        <v>2152</v>
      </c>
      <c r="G139" s="286" t="s">
        <v>1073</v>
      </c>
      <c r="H139" s="286" t="s">
        <v>1073</v>
      </c>
      <c r="I139" s="286" t="s">
        <v>1199</v>
      </c>
      <c r="J139" s="286" t="s">
        <v>1312</v>
      </c>
      <c r="K139" s="286" t="s">
        <v>1754</v>
      </c>
      <c r="L139" s="286" t="s">
        <v>672</v>
      </c>
      <c r="M139" s="286">
        <v>1</v>
      </c>
      <c r="N139" s="287">
        <v>16252.95</v>
      </c>
      <c r="O139" s="294">
        <f t="shared" si="2"/>
        <v>45322</v>
      </c>
      <c r="P139" s="286" t="s">
        <v>58</v>
      </c>
    </row>
    <row r="140" spans="1:16" hidden="1" x14ac:dyDescent="0.15">
      <c r="A140" s="286">
        <v>472168</v>
      </c>
      <c r="B140" s="288">
        <v>45331.416666666664</v>
      </c>
      <c r="C140" s="286" t="s">
        <v>2113</v>
      </c>
      <c r="D140" s="286" t="s">
        <v>1105</v>
      </c>
      <c r="E140" s="286" t="s">
        <v>1106</v>
      </c>
      <c r="F140" s="286" t="s">
        <v>2153</v>
      </c>
      <c r="G140" s="286" t="s">
        <v>1073</v>
      </c>
      <c r="H140" s="286" t="s">
        <v>1073</v>
      </c>
      <c r="I140" s="286" t="s">
        <v>1199</v>
      </c>
      <c r="J140" s="286" t="s">
        <v>1312</v>
      </c>
      <c r="K140" s="286" t="s">
        <v>1754</v>
      </c>
      <c r="L140" s="286" t="s">
        <v>672</v>
      </c>
      <c r="M140" s="286">
        <v>1</v>
      </c>
      <c r="N140" s="287">
        <v>16252.95</v>
      </c>
      <c r="O140" s="294">
        <f t="shared" si="2"/>
        <v>45351</v>
      </c>
      <c r="P140" s="286" t="s">
        <v>58</v>
      </c>
    </row>
    <row r="141" spans="1:16" hidden="1" x14ac:dyDescent="0.15">
      <c r="A141" s="286">
        <v>504817</v>
      </c>
      <c r="B141" s="288">
        <v>45359.645138888889</v>
      </c>
      <c r="C141" s="286" t="s">
        <v>2109</v>
      </c>
      <c r="D141" s="286" t="s">
        <v>1105</v>
      </c>
      <c r="E141" s="286" t="s">
        <v>1106</v>
      </c>
      <c r="F141" s="286" t="s">
        <v>2154</v>
      </c>
      <c r="G141" s="286" t="s">
        <v>1073</v>
      </c>
      <c r="H141" s="286" t="s">
        <v>1073</v>
      </c>
      <c r="I141" s="286" t="s">
        <v>1199</v>
      </c>
      <c r="J141" s="286" t="s">
        <v>1312</v>
      </c>
      <c r="K141" s="286" t="s">
        <v>1754</v>
      </c>
      <c r="L141" s="286" t="s">
        <v>672</v>
      </c>
      <c r="M141" s="286">
        <v>1</v>
      </c>
      <c r="N141" s="287">
        <v>16252.95</v>
      </c>
      <c r="O141" s="294">
        <f t="shared" si="2"/>
        <v>45382</v>
      </c>
      <c r="P141" s="286" t="s">
        <v>58</v>
      </c>
    </row>
    <row r="142" spans="1:16" hidden="1" x14ac:dyDescent="0.15">
      <c r="A142" s="286">
        <v>534207</v>
      </c>
      <c r="B142" s="288">
        <v>45385.750694444447</v>
      </c>
      <c r="C142" s="286" t="s">
        <v>2096</v>
      </c>
      <c r="D142" s="286" t="s">
        <v>1105</v>
      </c>
      <c r="E142" s="286" t="s">
        <v>1106</v>
      </c>
      <c r="F142" s="286" t="s">
        <v>2155</v>
      </c>
      <c r="G142" s="286" t="s">
        <v>1073</v>
      </c>
      <c r="H142" s="286" t="s">
        <v>1073</v>
      </c>
      <c r="I142" s="286" t="s">
        <v>1199</v>
      </c>
      <c r="J142" s="286" t="s">
        <v>1312</v>
      </c>
      <c r="K142" s="286" t="s">
        <v>1754</v>
      </c>
      <c r="L142" s="286" t="s">
        <v>672</v>
      </c>
      <c r="M142" s="286">
        <v>1</v>
      </c>
      <c r="N142" s="287">
        <v>16252.95</v>
      </c>
      <c r="O142" s="294">
        <f t="shared" si="2"/>
        <v>45412</v>
      </c>
      <c r="P142" s="286" t="s">
        <v>58</v>
      </c>
    </row>
    <row r="143" spans="1:16" hidden="1" x14ac:dyDescent="0.15">
      <c r="A143" s="286">
        <v>614216</v>
      </c>
      <c r="B143" s="288">
        <v>45455.716666666667</v>
      </c>
      <c r="C143" s="286" t="s">
        <v>2116</v>
      </c>
      <c r="D143" s="286" t="s">
        <v>1105</v>
      </c>
      <c r="E143" s="286" t="s">
        <v>1106</v>
      </c>
      <c r="F143" s="286" t="s">
        <v>2156</v>
      </c>
      <c r="G143" s="286" t="s">
        <v>1073</v>
      </c>
      <c r="H143" s="286" t="s">
        <v>1073</v>
      </c>
      <c r="I143" s="286" t="s">
        <v>1199</v>
      </c>
      <c r="J143" s="286" t="s">
        <v>1312</v>
      </c>
      <c r="K143" s="286" t="s">
        <v>1754</v>
      </c>
      <c r="L143" s="286" t="s">
        <v>672</v>
      </c>
      <c r="M143" s="286">
        <v>1</v>
      </c>
      <c r="N143" s="287">
        <v>16252.95</v>
      </c>
      <c r="O143" s="294">
        <f t="shared" si="2"/>
        <v>45473</v>
      </c>
      <c r="P143" s="286" t="s">
        <v>58</v>
      </c>
    </row>
    <row r="144" spans="1:16" hidden="1" x14ac:dyDescent="0.15">
      <c r="A144" s="286">
        <v>608480</v>
      </c>
      <c r="B144" s="288">
        <v>45450.422222222223</v>
      </c>
      <c r="C144" s="286" t="s">
        <v>2092</v>
      </c>
      <c r="D144" s="286" t="s">
        <v>1105</v>
      </c>
      <c r="E144" s="286" t="s">
        <v>1106</v>
      </c>
      <c r="F144" s="286" t="s">
        <v>2157</v>
      </c>
      <c r="G144" s="286" t="s">
        <v>1073</v>
      </c>
      <c r="H144" s="286" t="s">
        <v>1073</v>
      </c>
      <c r="I144" s="286" t="s">
        <v>1199</v>
      </c>
      <c r="J144" s="286" t="s">
        <v>1312</v>
      </c>
      <c r="K144" s="286" t="s">
        <v>1754</v>
      </c>
      <c r="L144" s="286" t="s">
        <v>672</v>
      </c>
      <c r="M144" s="286">
        <v>1</v>
      </c>
      <c r="N144" s="287">
        <v>16252.9</v>
      </c>
      <c r="O144" s="294">
        <f t="shared" si="2"/>
        <v>45473</v>
      </c>
      <c r="P144" s="286" t="s">
        <v>58</v>
      </c>
    </row>
    <row r="145" spans="1:16" hidden="1" x14ac:dyDescent="0.15">
      <c r="A145" s="286">
        <v>651672</v>
      </c>
      <c r="B145" s="288">
        <v>45481.448611111111</v>
      </c>
      <c r="C145" s="286" t="s">
        <v>2092</v>
      </c>
      <c r="D145" s="286" t="s">
        <v>1105</v>
      </c>
      <c r="E145" s="286" t="s">
        <v>1106</v>
      </c>
      <c r="F145" s="286" t="s">
        <v>2120</v>
      </c>
      <c r="G145" s="286" t="s">
        <v>1015</v>
      </c>
      <c r="H145" s="286" t="s">
        <v>1015</v>
      </c>
      <c r="I145" s="286" t="s">
        <v>1230</v>
      </c>
      <c r="J145" s="286" t="s">
        <v>1312</v>
      </c>
      <c r="K145" s="286" t="s">
        <v>2198</v>
      </c>
      <c r="L145" s="286" t="s">
        <v>2028</v>
      </c>
      <c r="M145" s="286">
        <v>1</v>
      </c>
      <c r="N145" s="287">
        <v>16048</v>
      </c>
      <c r="O145" s="294">
        <f t="shared" si="2"/>
        <v>45504</v>
      </c>
      <c r="P145" s="286" t="s">
        <v>175</v>
      </c>
    </row>
    <row r="146" spans="1:16" hidden="1" x14ac:dyDescent="0.15">
      <c r="A146" s="286">
        <v>706952</v>
      </c>
      <c r="B146" s="288">
        <v>45513.677777777775</v>
      </c>
      <c r="C146" s="286" t="s">
        <v>2102</v>
      </c>
      <c r="D146" s="286" t="s">
        <v>1105</v>
      </c>
      <c r="E146" s="286" t="s">
        <v>1106</v>
      </c>
      <c r="F146" s="286" t="s">
        <v>2199</v>
      </c>
      <c r="G146" s="286" t="s">
        <v>1035</v>
      </c>
      <c r="H146" s="286" t="s">
        <v>1035</v>
      </c>
      <c r="I146" s="286" t="s">
        <v>1229</v>
      </c>
      <c r="J146" s="286" t="s">
        <v>1312</v>
      </c>
      <c r="K146" s="286" t="s">
        <v>2200</v>
      </c>
      <c r="L146" s="286" t="s">
        <v>844</v>
      </c>
      <c r="M146" s="286">
        <v>1</v>
      </c>
      <c r="N146" s="287">
        <v>15973</v>
      </c>
      <c r="O146" s="294">
        <f t="shared" si="2"/>
        <v>45535</v>
      </c>
      <c r="P146" s="286" t="s">
        <v>279</v>
      </c>
    </row>
    <row r="147" spans="1:16" hidden="1" x14ac:dyDescent="0.15">
      <c r="A147" s="286">
        <v>556087</v>
      </c>
      <c r="B147" s="288">
        <v>45406.408333333333</v>
      </c>
      <c r="C147" s="286" t="s">
        <v>2096</v>
      </c>
      <c r="D147" s="286" t="s">
        <v>1105</v>
      </c>
      <c r="E147" s="286" t="s">
        <v>1106</v>
      </c>
      <c r="F147" s="286" t="s">
        <v>2105</v>
      </c>
      <c r="G147" s="286" t="s">
        <v>1059</v>
      </c>
      <c r="H147" s="286" t="s">
        <v>1059</v>
      </c>
      <c r="I147" s="286" t="s">
        <v>1229</v>
      </c>
      <c r="J147" s="286" t="s">
        <v>1312</v>
      </c>
      <c r="K147" s="286" t="s">
        <v>2201</v>
      </c>
      <c r="L147" s="286" t="s">
        <v>2202</v>
      </c>
      <c r="M147" s="286">
        <v>1</v>
      </c>
      <c r="N147" s="287">
        <v>15959</v>
      </c>
      <c r="O147" s="294">
        <f t="shared" si="2"/>
        <v>45412</v>
      </c>
      <c r="P147" s="286" t="s">
        <v>279</v>
      </c>
    </row>
    <row r="148" spans="1:16" hidden="1" x14ac:dyDescent="0.15">
      <c r="A148" s="286">
        <v>567450</v>
      </c>
      <c r="B148" s="288">
        <v>45415.564583333333</v>
      </c>
      <c r="C148" s="286" t="s">
        <v>2096</v>
      </c>
      <c r="D148" s="286" t="s">
        <v>1105</v>
      </c>
      <c r="E148" s="286" t="s">
        <v>1106</v>
      </c>
      <c r="F148" s="286" t="s">
        <v>2097</v>
      </c>
      <c r="G148" s="286" t="s">
        <v>1054</v>
      </c>
      <c r="H148" s="286" t="s">
        <v>1054</v>
      </c>
      <c r="I148" s="286" t="s">
        <v>1301</v>
      </c>
      <c r="J148" s="286" t="s">
        <v>1312</v>
      </c>
      <c r="K148" s="286" t="s">
        <v>56</v>
      </c>
      <c r="L148" s="286" t="s">
        <v>71</v>
      </c>
      <c r="M148" s="286">
        <v>1</v>
      </c>
      <c r="N148" s="287">
        <v>15708</v>
      </c>
      <c r="O148" s="294">
        <f t="shared" si="2"/>
        <v>45443</v>
      </c>
      <c r="P148" s="286" t="s">
        <v>55</v>
      </c>
    </row>
    <row r="149" spans="1:16" hidden="1" x14ac:dyDescent="0.15">
      <c r="A149" s="286">
        <v>665245</v>
      </c>
      <c r="B149" s="288">
        <v>45489.45208333333</v>
      </c>
      <c r="C149" s="286" t="s">
        <v>2092</v>
      </c>
      <c r="D149" s="286" t="s">
        <v>1105</v>
      </c>
      <c r="E149" s="286" t="s">
        <v>1106</v>
      </c>
      <c r="F149" s="286" t="s">
        <v>2203</v>
      </c>
      <c r="G149" s="286" t="s">
        <v>1084</v>
      </c>
      <c r="H149" s="286" t="s">
        <v>1442</v>
      </c>
      <c r="I149" s="286" t="s">
        <v>1230</v>
      </c>
      <c r="J149" s="286" t="s">
        <v>1312</v>
      </c>
      <c r="K149" s="286" t="s">
        <v>2029</v>
      </c>
      <c r="L149" s="286" t="s">
        <v>2030</v>
      </c>
      <c r="M149" s="286">
        <v>1</v>
      </c>
      <c r="N149" s="287">
        <v>15488</v>
      </c>
      <c r="O149" s="294">
        <f t="shared" si="2"/>
        <v>45504</v>
      </c>
      <c r="P149" s="286" t="s">
        <v>175</v>
      </c>
    </row>
    <row r="150" spans="1:16" hidden="1" x14ac:dyDescent="0.15">
      <c r="A150" s="286">
        <v>517381</v>
      </c>
      <c r="B150" s="288">
        <v>45370.440972222219</v>
      </c>
      <c r="C150" s="286" t="s">
        <v>2113</v>
      </c>
      <c r="D150" s="286" t="s">
        <v>1105</v>
      </c>
      <c r="E150" s="286" t="s">
        <v>1106</v>
      </c>
      <c r="F150" s="286" t="s">
        <v>2118</v>
      </c>
      <c r="G150" s="286" t="s">
        <v>1019</v>
      </c>
      <c r="H150" s="286" t="s">
        <v>1019</v>
      </c>
      <c r="I150" s="286" t="s">
        <v>1229</v>
      </c>
      <c r="J150" s="286" t="s">
        <v>1312</v>
      </c>
      <c r="K150" s="286" t="s">
        <v>2204</v>
      </c>
      <c r="L150" s="286" t="s">
        <v>1501</v>
      </c>
      <c r="M150" s="286">
        <v>1</v>
      </c>
      <c r="N150" s="287">
        <v>15321</v>
      </c>
      <c r="O150" s="294">
        <f t="shared" si="2"/>
        <v>45382</v>
      </c>
      <c r="P150" s="286" t="s">
        <v>279</v>
      </c>
    </row>
    <row r="151" spans="1:16" hidden="1" x14ac:dyDescent="0.15">
      <c r="A151" s="286">
        <v>807477</v>
      </c>
      <c r="B151" s="288">
        <v>45579.522222222222</v>
      </c>
      <c r="C151" s="286" t="s">
        <v>2132</v>
      </c>
      <c r="D151" s="286" t="s">
        <v>1105</v>
      </c>
      <c r="E151" s="286" t="s">
        <v>1106</v>
      </c>
      <c r="F151" s="286" t="s">
        <v>2133</v>
      </c>
      <c r="G151" s="286" t="s">
        <v>1076</v>
      </c>
      <c r="H151" s="286" t="s">
        <v>1076</v>
      </c>
      <c r="I151" s="286" t="s">
        <v>1230</v>
      </c>
      <c r="J151" s="286" t="s">
        <v>1312</v>
      </c>
      <c r="K151" s="286" t="s">
        <v>2205</v>
      </c>
      <c r="L151" s="286" t="s">
        <v>1749</v>
      </c>
      <c r="M151" s="286">
        <v>1</v>
      </c>
      <c r="N151" s="287">
        <v>15255</v>
      </c>
      <c r="O151" s="294">
        <f t="shared" si="2"/>
        <v>45596</v>
      </c>
      <c r="P151" s="286" t="s">
        <v>175</v>
      </c>
    </row>
    <row r="152" spans="1:16" hidden="1" x14ac:dyDescent="0.15">
      <c r="A152" s="286">
        <v>496295</v>
      </c>
      <c r="B152" s="288">
        <v>45352.356944444444</v>
      </c>
      <c r="C152" s="286" t="s">
        <v>2113</v>
      </c>
      <c r="D152" s="286" t="s">
        <v>1105</v>
      </c>
      <c r="E152" s="286" t="s">
        <v>1106</v>
      </c>
      <c r="F152" s="286" t="s">
        <v>2114</v>
      </c>
      <c r="G152" s="286" t="s">
        <v>1024</v>
      </c>
      <c r="H152" s="286" t="s">
        <v>1024</v>
      </c>
      <c r="I152" s="286" t="s">
        <v>1128</v>
      </c>
      <c r="J152" s="286" t="s">
        <v>1312</v>
      </c>
      <c r="K152" s="286" t="s">
        <v>1757</v>
      </c>
      <c r="L152" s="286" t="s">
        <v>694</v>
      </c>
      <c r="M152" s="286">
        <v>1</v>
      </c>
      <c r="N152" s="287">
        <v>14915</v>
      </c>
      <c r="O152" s="294">
        <f t="shared" si="2"/>
        <v>45382</v>
      </c>
      <c r="P152" s="286" t="s">
        <v>47</v>
      </c>
    </row>
    <row r="153" spans="1:16" hidden="1" x14ac:dyDescent="0.15">
      <c r="A153" s="286">
        <v>505983</v>
      </c>
      <c r="B153" s="288">
        <v>45362.510416666664</v>
      </c>
      <c r="C153" s="286" t="s">
        <v>2113</v>
      </c>
      <c r="D153" s="286" t="s">
        <v>1105</v>
      </c>
      <c r="E153" s="286" t="s">
        <v>1106</v>
      </c>
      <c r="F153" s="286" t="s">
        <v>2206</v>
      </c>
      <c r="G153" s="286" t="s">
        <v>1053</v>
      </c>
      <c r="H153" s="286" t="s">
        <v>1053</v>
      </c>
      <c r="I153" s="286" t="s">
        <v>1230</v>
      </c>
      <c r="J153" s="286" t="s">
        <v>1312</v>
      </c>
      <c r="K153" s="286" t="s">
        <v>53</v>
      </c>
      <c r="L153" s="286" t="s">
        <v>53</v>
      </c>
      <c r="M153" s="286" t="s">
        <v>53</v>
      </c>
      <c r="N153" s="287">
        <v>14896</v>
      </c>
      <c r="O153" s="294">
        <f t="shared" si="2"/>
        <v>45382</v>
      </c>
      <c r="P153" s="286" t="s">
        <v>175</v>
      </c>
    </row>
    <row r="154" spans="1:16" hidden="1" x14ac:dyDescent="0.15">
      <c r="A154" s="286">
        <v>706952</v>
      </c>
      <c r="B154" s="288">
        <v>45513.677777777775</v>
      </c>
      <c r="C154" s="286" t="s">
        <v>2102</v>
      </c>
      <c r="D154" s="286" t="s">
        <v>1105</v>
      </c>
      <c r="E154" s="286" t="s">
        <v>1106</v>
      </c>
      <c r="F154" s="286" t="s">
        <v>2199</v>
      </c>
      <c r="G154" s="286" t="s">
        <v>1035</v>
      </c>
      <c r="H154" s="286" t="s">
        <v>1035</v>
      </c>
      <c r="I154" s="286" t="s">
        <v>1235</v>
      </c>
      <c r="J154" s="286" t="s">
        <v>1312</v>
      </c>
      <c r="K154" s="286" t="s">
        <v>2207</v>
      </c>
      <c r="L154" s="286" t="s">
        <v>843</v>
      </c>
      <c r="M154" s="286">
        <v>1</v>
      </c>
      <c r="N154" s="287">
        <v>14822</v>
      </c>
      <c r="O154" s="294">
        <f t="shared" si="2"/>
        <v>45535</v>
      </c>
      <c r="P154" s="286" t="s">
        <v>180</v>
      </c>
    </row>
    <row r="155" spans="1:16" hidden="1" x14ac:dyDescent="0.15">
      <c r="A155" s="286">
        <v>751756</v>
      </c>
      <c r="B155" s="288">
        <v>45540.734722222223</v>
      </c>
      <c r="C155" s="286" t="s">
        <v>2102</v>
      </c>
      <c r="D155" s="286" t="s">
        <v>1105</v>
      </c>
      <c r="E155" s="286" t="s">
        <v>1106</v>
      </c>
      <c r="F155" s="286" t="s">
        <v>2103</v>
      </c>
      <c r="G155" s="286" t="s">
        <v>1011</v>
      </c>
      <c r="H155" s="286" t="s">
        <v>1011</v>
      </c>
      <c r="I155" s="286" t="s">
        <v>1108</v>
      </c>
      <c r="J155" s="286" t="s">
        <v>1312</v>
      </c>
      <c r="K155" s="286" t="s">
        <v>2208</v>
      </c>
      <c r="L155" s="286" t="s">
        <v>851</v>
      </c>
      <c r="M155" s="286">
        <v>1</v>
      </c>
      <c r="N155" s="287">
        <v>14822</v>
      </c>
      <c r="O155" s="294">
        <f t="shared" si="2"/>
        <v>45565</v>
      </c>
      <c r="P155" s="286" t="s">
        <v>37</v>
      </c>
    </row>
    <row r="156" spans="1:16" hidden="1" x14ac:dyDescent="0.15">
      <c r="A156" s="286">
        <v>866245</v>
      </c>
      <c r="B156" s="288">
        <v>45617.606944444444</v>
      </c>
      <c r="C156" s="286" t="s">
        <v>2100</v>
      </c>
      <c r="D156" s="286" t="s">
        <v>1105</v>
      </c>
      <c r="E156" s="286" t="s">
        <v>1106</v>
      </c>
      <c r="F156" s="286" t="s">
        <v>2101</v>
      </c>
      <c r="G156" s="286" t="s">
        <v>1077</v>
      </c>
      <c r="H156" s="286" t="s">
        <v>1077</v>
      </c>
      <c r="I156" s="286" t="s">
        <v>1108</v>
      </c>
      <c r="J156" s="286" t="s">
        <v>1312</v>
      </c>
      <c r="K156" s="286" t="s">
        <v>2209</v>
      </c>
      <c r="L156" s="286" t="s">
        <v>1763</v>
      </c>
      <c r="M156" s="286">
        <v>1</v>
      </c>
      <c r="N156" s="287">
        <v>14822</v>
      </c>
      <c r="O156" s="294">
        <f t="shared" si="2"/>
        <v>45626</v>
      </c>
      <c r="P156" s="286" t="s">
        <v>37</v>
      </c>
    </row>
    <row r="157" spans="1:16" hidden="1" x14ac:dyDescent="0.15">
      <c r="A157" s="286">
        <v>901365</v>
      </c>
      <c r="B157" s="288">
        <v>45646.486805555556</v>
      </c>
      <c r="C157" s="286" t="s">
        <v>2098</v>
      </c>
      <c r="D157" s="286" t="s">
        <v>1105</v>
      </c>
      <c r="E157" s="286" t="s">
        <v>1106</v>
      </c>
      <c r="F157" s="286" t="s">
        <v>2099</v>
      </c>
      <c r="G157" s="286" t="s">
        <v>1074</v>
      </c>
      <c r="H157" s="286" t="s">
        <v>1074</v>
      </c>
      <c r="I157" s="286" t="s">
        <v>1108</v>
      </c>
      <c r="J157" s="286" t="s">
        <v>1312</v>
      </c>
      <c r="K157" s="286" t="s">
        <v>2209</v>
      </c>
      <c r="L157" s="286" t="s">
        <v>1763</v>
      </c>
      <c r="M157" s="286">
        <v>1</v>
      </c>
      <c r="N157" s="287">
        <v>14822</v>
      </c>
      <c r="O157" s="294">
        <f t="shared" si="2"/>
        <v>45657</v>
      </c>
      <c r="P157" s="286" t="s">
        <v>37</v>
      </c>
    </row>
    <row r="158" spans="1:16" hidden="1" x14ac:dyDescent="0.15">
      <c r="A158" s="286">
        <v>515660</v>
      </c>
      <c r="B158" s="288">
        <v>45369.537499999999</v>
      </c>
      <c r="C158" s="286" t="s">
        <v>2113</v>
      </c>
      <c r="D158" s="286" t="s">
        <v>1105</v>
      </c>
      <c r="E158" s="286" t="s">
        <v>1106</v>
      </c>
      <c r="F158" s="286" t="s">
        <v>2178</v>
      </c>
      <c r="G158" s="286" t="s">
        <v>1062</v>
      </c>
      <c r="H158" s="286" t="s">
        <v>1062</v>
      </c>
      <c r="I158" s="286" t="s">
        <v>1230</v>
      </c>
      <c r="J158" s="286" t="s">
        <v>1312</v>
      </c>
      <c r="K158" s="286" t="s">
        <v>2210</v>
      </c>
      <c r="L158" s="286" t="s">
        <v>2028</v>
      </c>
      <c r="M158" s="286">
        <v>1</v>
      </c>
      <c r="N158" s="287">
        <v>14662</v>
      </c>
      <c r="O158" s="294">
        <f t="shared" si="2"/>
        <v>45382</v>
      </c>
      <c r="P158" s="286" t="s">
        <v>175</v>
      </c>
    </row>
    <row r="159" spans="1:16" hidden="1" x14ac:dyDescent="0.15">
      <c r="A159" s="286">
        <v>890854</v>
      </c>
      <c r="B159" s="288">
        <v>45637.478472222225</v>
      </c>
      <c r="C159" s="286" t="s">
        <v>2100</v>
      </c>
      <c r="D159" s="286" t="s">
        <v>1105</v>
      </c>
      <c r="E159" s="286" t="s">
        <v>1106</v>
      </c>
      <c r="F159" s="286" t="s">
        <v>2181</v>
      </c>
      <c r="G159" s="286" t="s">
        <v>1014</v>
      </c>
      <c r="H159" s="286" t="s">
        <v>1014</v>
      </c>
      <c r="I159" s="286" t="s">
        <v>1112</v>
      </c>
      <c r="J159" s="286" t="s">
        <v>1312</v>
      </c>
      <c r="K159" s="286" t="s">
        <v>2211</v>
      </c>
      <c r="L159" s="286" t="s">
        <v>1783</v>
      </c>
      <c r="M159" s="286">
        <v>1</v>
      </c>
      <c r="N159" s="287">
        <v>14661</v>
      </c>
      <c r="O159" s="294">
        <f t="shared" si="2"/>
        <v>45657</v>
      </c>
      <c r="P159" s="286" t="s">
        <v>175</v>
      </c>
    </row>
    <row r="160" spans="1:16" hidden="1" x14ac:dyDescent="0.15">
      <c r="A160" s="286">
        <v>464905</v>
      </c>
      <c r="B160" s="288">
        <v>45323.521527777775</v>
      </c>
      <c r="C160" s="286" t="s">
        <v>2125</v>
      </c>
      <c r="D160" s="286" t="s">
        <v>1105</v>
      </c>
      <c r="E160" s="286" t="s">
        <v>1106</v>
      </c>
      <c r="F160" s="286" t="s">
        <v>2212</v>
      </c>
      <c r="G160" s="286" t="s">
        <v>1041</v>
      </c>
      <c r="H160" s="286" t="s">
        <v>1041</v>
      </c>
      <c r="I160" s="286" t="s">
        <v>1282</v>
      </c>
      <c r="J160" s="286" t="s">
        <v>1312</v>
      </c>
      <c r="K160" s="286" t="s">
        <v>202</v>
      </c>
      <c r="L160" s="286" t="s">
        <v>203</v>
      </c>
      <c r="M160" s="286">
        <v>1</v>
      </c>
      <c r="N160" s="287">
        <v>14639</v>
      </c>
      <c r="O160" s="294">
        <f t="shared" si="2"/>
        <v>45351</v>
      </c>
      <c r="P160" s="286" t="s">
        <v>201</v>
      </c>
    </row>
    <row r="161" spans="1:16" hidden="1" x14ac:dyDescent="0.15">
      <c r="A161" s="286">
        <v>618592</v>
      </c>
      <c r="B161" s="288">
        <v>45457.646527777775</v>
      </c>
      <c r="C161" s="286" t="s">
        <v>2116</v>
      </c>
      <c r="D161" s="286" t="s">
        <v>1105</v>
      </c>
      <c r="E161" s="286" t="s">
        <v>1106</v>
      </c>
      <c r="F161" s="286" t="s">
        <v>2117</v>
      </c>
      <c r="G161" s="286" t="s">
        <v>1080</v>
      </c>
      <c r="H161" s="286" t="s">
        <v>1080</v>
      </c>
      <c r="I161" s="286" t="s">
        <v>1229</v>
      </c>
      <c r="J161" s="286" t="s">
        <v>1312</v>
      </c>
      <c r="K161" s="286" t="s">
        <v>2213</v>
      </c>
      <c r="L161" s="286" t="s">
        <v>820</v>
      </c>
      <c r="M161" s="286">
        <v>1</v>
      </c>
      <c r="N161" s="287">
        <v>14558</v>
      </c>
      <c r="O161" s="294">
        <f t="shared" si="2"/>
        <v>45473</v>
      </c>
      <c r="P161" s="286" t="s">
        <v>279</v>
      </c>
    </row>
    <row r="162" spans="1:16" hidden="1" x14ac:dyDescent="0.15">
      <c r="A162" s="286">
        <v>697810</v>
      </c>
      <c r="B162" s="288">
        <v>45510.366666666669</v>
      </c>
      <c r="C162" s="286" t="s">
        <v>2102</v>
      </c>
      <c r="D162" s="286" t="s">
        <v>1105</v>
      </c>
      <c r="E162" s="286" t="s">
        <v>1106</v>
      </c>
      <c r="F162" s="286" t="s">
        <v>2138</v>
      </c>
      <c r="G162" s="286" t="s">
        <v>1041</v>
      </c>
      <c r="H162" s="286" t="s">
        <v>1041</v>
      </c>
      <c r="I162" s="286" t="s">
        <v>1199</v>
      </c>
      <c r="J162" s="286" t="s">
        <v>1312</v>
      </c>
      <c r="K162" s="286" t="s">
        <v>2214</v>
      </c>
      <c r="L162" s="286" t="s">
        <v>53</v>
      </c>
      <c r="M162" s="286">
        <v>2</v>
      </c>
      <c r="N162" s="287">
        <v>14373.43</v>
      </c>
      <c r="O162" s="294">
        <f t="shared" si="2"/>
        <v>45535</v>
      </c>
      <c r="P162" s="286" t="s">
        <v>58</v>
      </c>
    </row>
    <row r="163" spans="1:16" hidden="1" x14ac:dyDescent="0.15">
      <c r="A163" s="286">
        <v>745911</v>
      </c>
      <c r="B163" s="288">
        <v>45538.44027777778</v>
      </c>
      <c r="C163" s="286" t="s">
        <v>2132</v>
      </c>
      <c r="D163" s="286" t="s">
        <v>1105</v>
      </c>
      <c r="E163" s="286" t="s">
        <v>1106</v>
      </c>
      <c r="F163" s="286" t="s">
        <v>2139</v>
      </c>
      <c r="G163" s="286" t="s">
        <v>1041</v>
      </c>
      <c r="H163" s="286" t="s">
        <v>1041</v>
      </c>
      <c r="I163" s="286" t="s">
        <v>1199</v>
      </c>
      <c r="J163" s="286" t="s">
        <v>1312</v>
      </c>
      <c r="K163" s="286" t="s">
        <v>2214</v>
      </c>
      <c r="L163" s="286" t="s">
        <v>53</v>
      </c>
      <c r="M163" s="286">
        <v>2</v>
      </c>
      <c r="N163" s="287">
        <v>14373.43</v>
      </c>
      <c r="O163" s="294">
        <f t="shared" si="2"/>
        <v>45565</v>
      </c>
      <c r="P163" s="286" t="s">
        <v>58</v>
      </c>
    </row>
    <row r="164" spans="1:16" hidden="1" x14ac:dyDescent="0.15">
      <c r="A164" s="286">
        <v>848817</v>
      </c>
      <c r="B164" s="288">
        <v>45607.65902777778</v>
      </c>
      <c r="C164" s="286" t="s">
        <v>2130</v>
      </c>
      <c r="D164" s="286" t="s">
        <v>1105</v>
      </c>
      <c r="E164" s="286" t="s">
        <v>1106</v>
      </c>
      <c r="F164" s="286" t="s">
        <v>2140</v>
      </c>
      <c r="G164" s="286" t="s">
        <v>1041</v>
      </c>
      <c r="H164" s="286" t="s">
        <v>1041</v>
      </c>
      <c r="I164" s="286" t="s">
        <v>1199</v>
      </c>
      <c r="J164" s="286" t="s">
        <v>1312</v>
      </c>
      <c r="K164" s="286" t="s">
        <v>2214</v>
      </c>
      <c r="L164" s="286" t="s">
        <v>53</v>
      </c>
      <c r="M164" s="286">
        <v>2</v>
      </c>
      <c r="N164" s="287">
        <v>14373.43</v>
      </c>
      <c r="O164" s="294">
        <f t="shared" si="2"/>
        <v>45626</v>
      </c>
      <c r="P164" s="286" t="s">
        <v>58</v>
      </c>
    </row>
    <row r="165" spans="1:16" hidden="1" x14ac:dyDescent="0.15">
      <c r="A165" s="286">
        <v>848917</v>
      </c>
      <c r="B165" s="288">
        <v>45607.660416666666</v>
      </c>
      <c r="C165" s="286" t="s">
        <v>2100</v>
      </c>
      <c r="D165" s="286" t="s">
        <v>1105</v>
      </c>
      <c r="E165" s="286" t="s">
        <v>1106</v>
      </c>
      <c r="F165" s="286" t="s">
        <v>2141</v>
      </c>
      <c r="G165" s="286" t="s">
        <v>1041</v>
      </c>
      <c r="H165" s="286" t="s">
        <v>1041</v>
      </c>
      <c r="I165" s="286" t="s">
        <v>1199</v>
      </c>
      <c r="J165" s="286" t="s">
        <v>1312</v>
      </c>
      <c r="K165" s="286" t="s">
        <v>2214</v>
      </c>
      <c r="L165" s="286" t="s">
        <v>53</v>
      </c>
      <c r="M165" s="286">
        <v>2</v>
      </c>
      <c r="N165" s="287">
        <v>14373.43</v>
      </c>
      <c r="O165" s="294">
        <f t="shared" si="2"/>
        <v>45626</v>
      </c>
      <c r="P165" s="286" t="s">
        <v>58</v>
      </c>
    </row>
    <row r="166" spans="1:16" hidden="1" x14ac:dyDescent="0.15">
      <c r="A166" s="286">
        <v>874698</v>
      </c>
      <c r="B166" s="288">
        <v>45628.357638888891</v>
      </c>
      <c r="C166" s="286" t="s">
        <v>2098</v>
      </c>
      <c r="D166" s="286" t="s">
        <v>1105</v>
      </c>
      <c r="E166" s="286" t="s">
        <v>1106</v>
      </c>
      <c r="F166" s="286" t="s">
        <v>2142</v>
      </c>
      <c r="G166" s="286" t="s">
        <v>1041</v>
      </c>
      <c r="H166" s="286" t="s">
        <v>1041</v>
      </c>
      <c r="I166" s="286" t="s">
        <v>1199</v>
      </c>
      <c r="J166" s="286" t="s">
        <v>1312</v>
      </c>
      <c r="K166" s="286" t="s">
        <v>2214</v>
      </c>
      <c r="L166" s="286" t="s">
        <v>53</v>
      </c>
      <c r="M166" s="286">
        <v>2</v>
      </c>
      <c r="N166" s="287">
        <v>14373.43</v>
      </c>
      <c r="O166" s="294">
        <f t="shared" si="2"/>
        <v>45657</v>
      </c>
      <c r="P166" s="286" t="s">
        <v>58</v>
      </c>
    </row>
    <row r="167" spans="1:16" hidden="1" x14ac:dyDescent="0.15">
      <c r="A167" s="286">
        <v>578060</v>
      </c>
      <c r="B167" s="288">
        <v>45426.430555555555</v>
      </c>
      <c r="C167" s="286" t="s">
        <v>2096</v>
      </c>
      <c r="D167" s="286" t="s">
        <v>1105</v>
      </c>
      <c r="E167" s="286" t="s">
        <v>1106</v>
      </c>
      <c r="F167" s="286" t="s">
        <v>2115</v>
      </c>
      <c r="G167" s="286" t="s">
        <v>1037</v>
      </c>
      <c r="H167" s="286" t="s">
        <v>1037</v>
      </c>
      <c r="I167" s="286" t="s">
        <v>1229</v>
      </c>
      <c r="J167" s="286" t="s">
        <v>1312</v>
      </c>
      <c r="K167" s="286" t="s">
        <v>2215</v>
      </c>
      <c r="L167" s="286" t="s">
        <v>2216</v>
      </c>
      <c r="M167" s="286">
        <v>1</v>
      </c>
      <c r="N167" s="287">
        <v>14319</v>
      </c>
      <c r="O167" s="294">
        <f t="shared" si="2"/>
        <v>45443</v>
      </c>
      <c r="P167" s="286" t="s">
        <v>279</v>
      </c>
    </row>
    <row r="168" spans="1:16" hidden="1" x14ac:dyDescent="0.15">
      <c r="A168" s="286">
        <v>583936</v>
      </c>
      <c r="B168" s="288">
        <v>45432.557638888888</v>
      </c>
      <c r="C168" s="286" t="s">
        <v>2116</v>
      </c>
      <c r="D168" s="286" t="s">
        <v>1105</v>
      </c>
      <c r="E168" s="286" t="s">
        <v>1106</v>
      </c>
      <c r="F168" s="286" t="s">
        <v>2186</v>
      </c>
      <c r="G168" s="286" t="s">
        <v>1016</v>
      </c>
      <c r="H168" s="286" t="s">
        <v>1016</v>
      </c>
      <c r="I168" s="286" t="s">
        <v>1112</v>
      </c>
      <c r="J168" s="286" t="s">
        <v>1312</v>
      </c>
      <c r="K168" s="286" t="s">
        <v>2217</v>
      </c>
      <c r="L168" s="286" t="s">
        <v>1679</v>
      </c>
      <c r="M168" s="286">
        <v>1</v>
      </c>
      <c r="N168" s="287">
        <v>14283</v>
      </c>
      <c r="O168" s="294">
        <f t="shared" si="2"/>
        <v>45443</v>
      </c>
      <c r="P168" s="286" t="s">
        <v>175</v>
      </c>
    </row>
    <row r="169" spans="1:16" hidden="1" x14ac:dyDescent="0.15">
      <c r="A169" s="286">
        <v>516434</v>
      </c>
      <c r="B169" s="288">
        <v>45369.660416666666</v>
      </c>
      <c r="C169" s="286" t="s">
        <v>2113</v>
      </c>
      <c r="D169" s="286" t="s">
        <v>1105</v>
      </c>
      <c r="E169" s="286" t="s">
        <v>1106</v>
      </c>
      <c r="F169" s="286" t="s">
        <v>2218</v>
      </c>
      <c r="G169" s="286" t="s">
        <v>1057</v>
      </c>
      <c r="H169" s="286" t="s">
        <v>1057</v>
      </c>
      <c r="I169" s="286" t="s">
        <v>1112</v>
      </c>
      <c r="J169" s="286" t="s">
        <v>1312</v>
      </c>
      <c r="K169" s="286" t="s">
        <v>1773</v>
      </c>
      <c r="L169" s="286" t="s">
        <v>1774</v>
      </c>
      <c r="M169" s="286">
        <v>1</v>
      </c>
      <c r="N169" s="287">
        <v>14031</v>
      </c>
      <c r="O169" s="294">
        <f t="shared" si="2"/>
        <v>45382</v>
      </c>
      <c r="P169" s="286" t="s">
        <v>175</v>
      </c>
    </row>
    <row r="170" spans="1:16" hidden="1" x14ac:dyDescent="0.15">
      <c r="A170" s="286">
        <v>657173</v>
      </c>
      <c r="B170" s="288">
        <v>45483.53402777778</v>
      </c>
      <c r="C170" s="286" t="s">
        <v>2092</v>
      </c>
      <c r="D170" s="286" t="s">
        <v>1105</v>
      </c>
      <c r="E170" s="286" t="s">
        <v>1106</v>
      </c>
      <c r="F170" s="286" t="s">
        <v>2093</v>
      </c>
      <c r="G170" s="286" t="s">
        <v>1050</v>
      </c>
      <c r="H170" s="286" t="s">
        <v>1050</v>
      </c>
      <c r="I170" s="286" t="s">
        <v>1108</v>
      </c>
      <c r="J170" s="286" t="s">
        <v>1312</v>
      </c>
      <c r="K170" s="286" t="s">
        <v>2219</v>
      </c>
      <c r="L170" s="286" t="s">
        <v>2220</v>
      </c>
      <c r="M170" s="286">
        <v>1</v>
      </c>
      <c r="N170" s="287">
        <v>13797</v>
      </c>
      <c r="O170" s="294">
        <f t="shared" si="2"/>
        <v>45504</v>
      </c>
      <c r="P170" s="286" t="s">
        <v>37</v>
      </c>
    </row>
    <row r="171" spans="1:16" hidden="1" x14ac:dyDescent="0.15">
      <c r="A171" s="286">
        <v>848817</v>
      </c>
      <c r="B171" s="288">
        <v>45607.65902777778</v>
      </c>
      <c r="C171" s="286" t="s">
        <v>2130</v>
      </c>
      <c r="D171" s="286" t="s">
        <v>1105</v>
      </c>
      <c r="E171" s="286" t="s">
        <v>1106</v>
      </c>
      <c r="F171" s="286" t="s">
        <v>2140</v>
      </c>
      <c r="G171" s="286" t="s">
        <v>1002</v>
      </c>
      <c r="H171" s="286" t="s">
        <v>1002</v>
      </c>
      <c r="I171" s="286" t="s">
        <v>1199</v>
      </c>
      <c r="J171" s="286" t="s">
        <v>1312</v>
      </c>
      <c r="K171" s="286" t="s">
        <v>2214</v>
      </c>
      <c r="L171" s="286" t="s">
        <v>53</v>
      </c>
      <c r="M171" s="286">
        <v>1</v>
      </c>
      <c r="N171" s="287">
        <v>13638.38</v>
      </c>
      <c r="O171" s="294">
        <f t="shared" si="2"/>
        <v>45626</v>
      </c>
      <c r="P171" s="286" t="s">
        <v>58</v>
      </c>
    </row>
    <row r="172" spans="1:16" hidden="1" x14ac:dyDescent="0.15">
      <c r="A172" s="286">
        <v>848917</v>
      </c>
      <c r="B172" s="288">
        <v>45607.660416666666</v>
      </c>
      <c r="C172" s="286" t="s">
        <v>2100</v>
      </c>
      <c r="D172" s="286" t="s">
        <v>1105</v>
      </c>
      <c r="E172" s="286" t="s">
        <v>1106</v>
      </c>
      <c r="F172" s="286" t="s">
        <v>2141</v>
      </c>
      <c r="G172" s="286" t="s">
        <v>1002</v>
      </c>
      <c r="H172" s="286" t="s">
        <v>1002</v>
      </c>
      <c r="I172" s="286" t="s">
        <v>1199</v>
      </c>
      <c r="J172" s="286" t="s">
        <v>1312</v>
      </c>
      <c r="K172" s="286" t="s">
        <v>2214</v>
      </c>
      <c r="L172" s="286" t="s">
        <v>53</v>
      </c>
      <c r="M172" s="286">
        <v>1</v>
      </c>
      <c r="N172" s="287">
        <v>13638.38</v>
      </c>
      <c r="O172" s="294">
        <f t="shared" si="2"/>
        <v>45626</v>
      </c>
      <c r="P172" s="286" t="s">
        <v>58</v>
      </c>
    </row>
    <row r="173" spans="1:16" hidden="1" x14ac:dyDescent="0.15">
      <c r="A173" s="286">
        <v>874698</v>
      </c>
      <c r="B173" s="288">
        <v>45628.357638888891</v>
      </c>
      <c r="C173" s="286" t="s">
        <v>2098</v>
      </c>
      <c r="D173" s="286" t="s">
        <v>1105</v>
      </c>
      <c r="E173" s="286" t="s">
        <v>1106</v>
      </c>
      <c r="F173" s="286" t="s">
        <v>2142</v>
      </c>
      <c r="G173" s="286" t="s">
        <v>1002</v>
      </c>
      <c r="H173" s="286" t="s">
        <v>1002</v>
      </c>
      <c r="I173" s="286" t="s">
        <v>1199</v>
      </c>
      <c r="J173" s="286" t="s">
        <v>1312</v>
      </c>
      <c r="K173" s="286" t="s">
        <v>2214</v>
      </c>
      <c r="L173" s="286" t="s">
        <v>53</v>
      </c>
      <c r="M173" s="286">
        <v>1</v>
      </c>
      <c r="N173" s="287">
        <v>13638.38</v>
      </c>
      <c r="O173" s="294">
        <f t="shared" si="2"/>
        <v>45657</v>
      </c>
      <c r="P173" s="286" t="s">
        <v>58</v>
      </c>
    </row>
    <row r="174" spans="1:16" hidden="1" x14ac:dyDescent="0.15">
      <c r="A174" s="286">
        <v>618592</v>
      </c>
      <c r="B174" s="288">
        <v>45457.646527777775</v>
      </c>
      <c r="C174" s="286" t="s">
        <v>2116</v>
      </c>
      <c r="D174" s="286" t="s">
        <v>1105</v>
      </c>
      <c r="E174" s="286" t="s">
        <v>1106</v>
      </c>
      <c r="F174" s="286" t="s">
        <v>2117</v>
      </c>
      <c r="G174" s="286" t="s">
        <v>1058</v>
      </c>
      <c r="H174" s="286" t="s">
        <v>1058</v>
      </c>
      <c r="I174" s="286" t="s">
        <v>1112</v>
      </c>
      <c r="J174" s="286" t="s">
        <v>1312</v>
      </c>
      <c r="K174" s="286" t="s">
        <v>1773</v>
      </c>
      <c r="L174" s="286" t="s">
        <v>1774</v>
      </c>
      <c r="M174" s="286">
        <v>1</v>
      </c>
      <c r="N174" s="287">
        <v>13607</v>
      </c>
      <c r="O174" s="294">
        <f t="shared" si="2"/>
        <v>45473</v>
      </c>
      <c r="P174" s="286" t="s">
        <v>175</v>
      </c>
    </row>
    <row r="175" spans="1:16" hidden="1" x14ac:dyDescent="0.15">
      <c r="A175" s="286">
        <v>770094</v>
      </c>
      <c r="B175" s="288">
        <v>45548.6875</v>
      </c>
      <c r="C175" s="286" t="s">
        <v>2132</v>
      </c>
      <c r="D175" s="286" t="s">
        <v>1105</v>
      </c>
      <c r="E175" s="286" t="s">
        <v>1106</v>
      </c>
      <c r="F175" s="286" t="s">
        <v>2221</v>
      </c>
      <c r="G175" s="286" t="s">
        <v>1029</v>
      </c>
      <c r="H175" s="286" t="s">
        <v>1029</v>
      </c>
      <c r="I175" s="286" t="s">
        <v>1199</v>
      </c>
      <c r="J175" s="286" t="s">
        <v>1312</v>
      </c>
      <c r="K175" s="286" t="s">
        <v>2222</v>
      </c>
      <c r="L175" s="286" t="s">
        <v>2223</v>
      </c>
      <c r="M175" s="286">
        <v>1</v>
      </c>
      <c r="N175" s="287">
        <v>13597.67</v>
      </c>
      <c r="O175" s="294">
        <f t="shared" si="2"/>
        <v>45565</v>
      </c>
      <c r="P175" s="286" t="s">
        <v>58</v>
      </c>
    </row>
    <row r="176" spans="1:16" hidden="1" x14ac:dyDescent="0.15">
      <c r="A176" s="286">
        <v>848817</v>
      </c>
      <c r="B176" s="288">
        <v>45607.65902777778</v>
      </c>
      <c r="C176" s="286" t="s">
        <v>2130</v>
      </c>
      <c r="D176" s="286" t="s">
        <v>1105</v>
      </c>
      <c r="E176" s="286" t="s">
        <v>1106</v>
      </c>
      <c r="F176" s="286" t="s">
        <v>2140</v>
      </c>
      <c r="G176" s="286" t="s">
        <v>1029</v>
      </c>
      <c r="H176" s="286" t="s">
        <v>1029</v>
      </c>
      <c r="I176" s="286" t="s">
        <v>1199</v>
      </c>
      <c r="J176" s="286" t="s">
        <v>1312</v>
      </c>
      <c r="K176" s="286" t="s">
        <v>2222</v>
      </c>
      <c r="L176" s="286" t="s">
        <v>2223</v>
      </c>
      <c r="M176" s="286">
        <v>1</v>
      </c>
      <c r="N176" s="287">
        <v>13597.67</v>
      </c>
      <c r="O176" s="294">
        <f t="shared" si="2"/>
        <v>45626</v>
      </c>
      <c r="P176" s="286" t="s">
        <v>58</v>
      </c>
    </row>
    <row r="177" spans="1:16" hidden="1" x14ac:dyDescent="0.15">
      <c r="A177" s="286">
        <v>848917</v>
      </c>
      <c r="B177" s="288">
        <v>45607.660416666666</v>
      </c>
      <c r="C177" s="286" t="s">
        <v>2100</v>
      </c>
      <c r="D177" s="286" t="s">
        <v>1105</v>
      </c>
      <c r="E177" s="286" t="s">
        <v>1106</v>
      </c>
      <c r="F177" s="286" t="s">
        <v>2141</v>
      </c>
      <c r="G177" s="286" t="s">
        <v>1029</v>
      </c>
      <c r="H177" s="286" t="s">
        <v>1029</v>
      </c>
      <c r="I177" s="286" t="s">
        <v>1199</v>
      </c>
      <c r="J177" s="286" t="s">
        <v>1312</v>
      </c>
      <c r="K177" s="286" t="s">
        <v>2222</v>
      </c>
      <c r="L177" s="286" t="s">
        <v>2223</v>
      </c>
      <c r="M177" s="286">
        <v>1</v>
      </c>
      <c r="N177" s="287">
        <v>13597.67</v>
      </c>
      <c r="O177" s="294">
        <f t="shared" si="2"/>
        <v>45626</v>
      </c>
      <c r="P177" s="286" t="s">
        <v>58</v>
      </c>
    </row>
    <row r="178" spans="1:16" hidden="1" x14ac:dyDescent="0.15">
      <c r="A178" s="286">
        <v>874698</v>
      </c>
      <c r="B178" s="288">
        <v>45628.357638888891</v>
      </c>
      <c r="C178" s="286" t="s">
        <v>2098</v>
      </c>
      <c r="D178" s="286" t="s">
        <v>1105</v>
      </c>
      <c r="E178" s="286" t="s">
        <v>1106</v>
      </c>
      <c r="F178" s="286" t="s">
        <v>2142</v>
      </c>
      <c r="G178" s="286" t="s">
        <v>1029</v>
      </c>
      <c r="H178" s="286" t="s">
        <v>1029</v>
      </c>
      <c r="I178" s="286" t="s">
        <v>1199</v>
      </c>
      <c r="J178" s="286" t="s">
        <v>1312</v>
      </c>
      <c r="K178" s="286" t="s">
        <v>2222</v>
      </c>
      <c r="L178" s="286" t="s">
        <v>2223</v>
      </c>
      <c r="M178" s="286">
        <v>1</v>
      </c>
      <c r="N178" s="287">
        <v>13597.67</v>
      </c>
      <c r="O178" s="294">
        <f t="shared" si="2"/>
        <v>45657</v>
      </c>
      <c r="P178" s="286" t="s">
        <v>58</v>
      </c>
    </row>
    <row r="179" spans="1:16" hidden="1" x14ac:dyDescent="0.15">
      <c r="A179" s="286">
        <v>830593</v>
      </c>
      <c r="B179" s="288">
        <v>45594.475694444445</v>
      </c>
      <c r="C179" s="286" t="s">
        <v>2130</v>
      </c>
      <c r="D179" s="286" t="s">
        <v>1105</v>
      </c>
      <c r="E179" s="286" t="s">
        <v>1106</v>
      </c>
      <c r="F179" s="286" t="s">
        <v>2224</v>
      </c>
      <c r="G179" s="286" t="s">
        <v>1036</v>
      </c>
      <c r="H179" s="286" t="s">
        <v>1036</v>
      </c>
      <c r="I179" s="286" t="s">
        <v>1112</v>
      </c>
      <c r="J179" s="286" t="s">
        <v>1312</v>
      </c>
      <c r="K179" s="286" t="s">
        <v>2225</v>
      </c>
      <c r="L179" s="286" t="s">
        <v>2226</v>
      </c>
      <c r="M179" s="286">
        <v>1</v>
      </c>
      <c r="N179" s="287">
        <v>13373</v>
      </c>
      <c r="O179" s="294">
        <f t="shared" si="2"/>
        <v>45596</v>
      </c>
      <c r="P179" s="286" t="s">
        <v>175</v>
      </c>
    </row>
    <row r="180" spans="1:16" hidden="1" x14ac:dyDescent="0.15">
      <c r="A180" s="286">
        <v>866245</v>
      </c>
      <c r="B180" s="288">
        <v>45617.606944444444</v>
      </c>
      <c r="C180" s="286" t="s">
        <v>2100</v>
      </c>
      <c r="D180" s="286" t="s">
        <v>1105</v>
      </c>
      <c r="E180" s="286" t="s">
        <v>1106</v>
      </c>
      <c r="F180" s="286" t="s">
        <v>2101</v>
      </c>
      <c r="G180" s="286" t="s">
        <v>1077</v>
      </c>
      <c r="H180" s="286" t="s">
        <v>1077</v>
      </c>
      <c r="I180" s="286" t="s">
        <v>1121</v>
      </c>
      <c r="J180" s="286" t="s">
        <v>1312</v>
      </c>
      <c r="K180" s="286" t="s">
        <v>917</v>
      </c>
      <c r="L180" s="286" t="s">
        <v>250</v>
      </c>
      <c r="M180" s="286">
        <v>1</v>
      </c>
      <c r="N180" s="287">
        <v>13315</v>
      </c>
      <c r="O180" s="294">
        <f t="shared" si="2"/>
        <v>45626</v>
      </c>
      <c r="P180" s="286" t="s">
        <v>248</v>
      </c>
    </row>
    <row r="181" spans="1:16" hidden="1" x14ac:dyDescent="0.15">
      <c r="A181" s="286">
        <v>744088</v>
      </c>
      <c r="B181" s="288">
        <v>45533.661111111112</v>
      </c>
      <c r="C181" s="286" t="s">
        <v>2102</v>
      </c>
      <c r="D181" s="286" t="s">
        <v>1105</v>
      </c>
      <c r="E181" s="286" t="s">
        <v>1106</v>
      </c>
      <c r="F181" s="286" t="s">
        <v>2170</v>
      </c>
      <c r="G181" s="286" t="s">
        <v>1055</v>
      </c>
      <c r="H181" s="286" t="s">
        <v>1055</v>
      </c>
      <c r="I181" s="286" t="s">
        <v>1112</v>
      </c>
      <c r="J181" s="286" t="s">
        <v>1312</v>
      </c>
      <c r="K181" s="286" t="s">
        <v>1773</v>
      </c>
      <c r="L181" s="286" t="s">
        <v>1774</v>
      </c>
      <c r="M181" s="286">
        <v>1</v>
      </c>
      <c r="N181" s="287">
        <v>13275</v>
      </c>
      <c r="O181" s="294">
        <f t="shared" si="2"/>
        <v>45535</v>
      </c>
      <c r="P181" s="286" t="s">
        <v>175</v>
      </c>
    </row>
    <row r="182" spans="1:16" hidden="1" x14ac:dyDescent="0.15">
      <c r="A182" s="286">
        <v>901252</v>
      </c>
      <c r="B182" s="288">
        <v>45646.472222222219</v>
      </c>
      <c r="C182" s="286" t="s">
        <v>2098</v>
      </c>
      <c r="D182" s="286" t="s">
        <v>1105</v>
      </c>
      <c r="E182" s="286" t="s">
        <v>1106</v>
      </c>
      <c r="F182" s="286" t="s">
        <v>2129</v>
      </c>
      <c r="G182" s="286" t="s">
        <v>1052</v>
      </c>
      <c r="H182" s="286" t="s">
        <v>1052</v>
      </c>
      <c r="I182" s="286" t="s">
        <v>1230</v>
      </c>
      <c r="J182" s="286" t="s">
        <v>1312</v>
      </c>
      <c r="K182" s="286" t="s">
        <v>2027</v>
      </c>
      <c r="L182" s="286" t="s">
        <v>2028</v>
      </c>
      <c r="M182" s="286">
        <v>1</v>
      </c>
      <c r="N182" s="287">
        <v>13275</v>
      </c>
      <c r="O182" s="294">
        <f t="shared" si="2"/>
        <v>45657</v>
      </c>
      <c r="P182" s="286" t="s">
        <v>175</v>
      </c>
    </row>
    <row r="183" spans="1:16" hidden="1" x14ac:dyDescent="0.15">
      <c r="A183" s="286">
        <v>723752</v>
      </c>
      <c r="B183" s="288">
        <v>45524.404166666667</v>
      </c>
      <c r="C183" s="286" t="s">
        <v>2102</v>
      </c>
      <c r="D183" s="286" t="s">
        <v>1105</v>
      </c>
      <c r="E183" s="286" t="s">
        <v>1106</v>
      </c>
      <c r="F183" s="286" t="s">
        <v>2147</v>
      </c>
      <c r="G183" s="286" t="s">
        <v>1079</v>
      </c>
      <c r="H183" s="286" t="s">
        <v>1079</v>
      </c>
      <c r="I183" s="286" t="s">
        <v>1112</v>
      </c>
      <c r="J183" s="286" t="s">
        <v>1312</v>
      </c>
      <c r="K183" s="286" t="s">
        <v>2050</v>
      </c>
      <c r="L183" s="286" t="s">
        <v>2051</v>
      </c>
      <c r="M183" s="286">
        <v>1</v>
      </c>
      <c r="N183" s="287">
        <v>13157</v>
      </c>
      <c r="O183" s="294">
        <f t="shared" si="2"/>
        <v>45535</v>
      </c>
      <c r="P183" s="286" t="s">
        <v>175</v>
      </c>
    </row>
    <row r="184" spans="1:16" hidden="1" x14ac:dyDescent="0.15">
      <c r="A184" s="286">
        <v>438112</v>
      </c>
      <c r="B184" s="288">
        <v>45293.53402777778</v>
      </c>
      <c r="C184" s="286" t="s">
        <v>2125</v>
      </c>
      <c r="D184" s="286" t="s">
        <v>1105</v>
      </c>
      <c r="E184" s="286" t="s">
        <v>1106</v>
      </c>
      <c r="F184" s="286" t="s">
        <v>2152</v>
      </c>
      <c r="G184" s="286" t="s">
        <v>1041</v>
      </c>
      <c r="H184" s="286" t="s">
        <v>1041</v>
      </c>
      <c r="I184" s="286" t="s">
        <v>1228</v>
      </c>
      <c r="J184" s="286" t="s">
        <v>1312</v>
      </c>
      <c r="K184" s="286" t="s">
        <v>1673</v>
      </c>
      <c r="L184" s="286" t="s">
        <v>53</v>
      </c>
      <c r="M184" s="286">
        <v>1</v>
      </c>
      <c r="N184" s="287">
        <v>13062.26</v>
      </c>
      <c r="O184" s="294">
        <f t="shared" si="2"/>
        <v>45322</v>
      </c>
      <c r="P184" s="286" t="s">
        <v>58</v>
      </c>
    </row>
    <row r="185" spans="1:16" hidden="1" x14ac:dyDescent="0.15">
      <c r="A185" s="286">
        <v>472168</v>
      </c>
      <c r="B185" s="288">
        <v>45331.416666666664</v>
      </c>
      <c r="C185" s="286" t="s">
        <v>2113</v>
      </c>
      <c r="D185" s="286" t="s">
        <v>1105</v>
      </c>
      <c r="E185" s="286" t="s">
        <v>1106</v>
      </c>
      <c r="F185" s="286" t="s">
        <v>2153</v>
      </c>
      <c r="G185" s="286" t="s">
        <v>1041</v>
      </c>
      <c r="H185" s="286" t="s">
        <v>1041</v>
      </c>
      <c r="I185" s="286" t="s">
        <v>1228</v>
      </c>
      <c r="J185" s="286" t="s">
        <v>1312</v>
      </c>
      <c r="K185" s="286" t="s">
        <v>1673</v>
      </c>
      <c r="L185" s="286" t="s">
        <v>53</v>
      </c>
      <c r="M185" s="286">
        <v>1</v>
      </c>
      <c r="N185" s="287">
        <v>13062.26</v>
      </c>
      <c r="O185" s="294">
        <f t="shared" si="2"/>
        <v>45351</v>
      </c>
      <c r="P185" s="286" t="s">
        <v>58</v>
      </c>
    </row>
    <row r="186" spans="1:16" hidden="1" x14ac:dyDescent="0.15">
      <c r="A186" s="286">
        <v>504817</v>
      </c>
      <c r="B186" s="288">
        <v>45359.645138888889</v>
      </c>
      <c r="C186" s="286" t="s">
        <v>2109</v>
      </c>
      <c r="D186" s="286" t="s">
        <v>1105</v>
      </c>
      <c r="E186" s="286" t="s">
        <v>1106</v>
      </c>
      <c r="F186" s="286" t="s">
        <v>2154</v>
      </c>
      <c r="G186" s="286" t="s">
        <v>1041</v>
      </c>
      <c r="H186" s="286" t="s">
        <v>1041</v>
      </c>
      <c r="I186" s="286" t="s">
        <v>1228</v>
      </c>
      <c r="J186" s="286" t="s">
        <v>1312</v>
      </c>
      <c r="K186" s="286" t="s">
        <v>1673</v>
      </c>
      <c r="L186" s="286" t="s">
        <v>53</v>
      </c>
      <c r="M186" s="286">
        <v>1</v>
      </c>
      <c r="N186" s="287">
        <v>13062.26</v>
      </c>
      <c r="O186" s="294">
        <f t="shared" si="2"/>
        <v>45382</v>
      </c>
      <c r="P186" s="286" t="s">
        <v>58</v>
      </c>
    </row>
    <row r="187" spans="1:16" hidden="1" x14ac:dyDescent="0.15">
      <c r="A187" s="286">
        <v>534207</v>
      </c>
      <c r="B187" s="288">
        <v>45385.750694444447</v>
      </c>
      <c r="C187" s="286" t="s">
        <v>2096</v>
      </c>
      <c r="D187" s="286" t="s">
        <v>1105</v>
      </c>
      <c r="E187" s="286" t="s">
        <v>1106</v>
      </c>
      <c r="F187" s="286" t="s">
        <v>2155</v>
      </c>
      <c r="G187" s="286" t="s">
        <v>1041</v>
      </c>
      <c r="H187" s="286" t="s">
        <v>1041</v>
      </c>
      <c r="I187" s="286" t="s">
        <v>1228</v>
      </c>
      <c r="J187" s="286" t="s">
        <v>1312</v>
      </c>
      <c r="K187" s="286" t="s">
        <v>1673</v>
      </c>
      <c r="L187" s="286" t="s">
        <v>53</v>
      </c>
      <c r="M187" s="286">
        <v>1</v>
      </c>
      <c r="N187" s="287">
        <v>13062.26</v>
      </c>
      <c r="O187" s="294">
        <f t="shared" si="2"/>
        <v>45412</v>
      </c>
      <c r="P187" s="286" t="s">
        <v>58</v>
      </c>
    </row>
    <row r="188" spans="1:16" hidden="1" x14ac:dyDescent="0.15">
      <c r="A188" s="286">
        <v>614216</v>
      </c>
      <c r="B188" s="288">
        <v>45455.716666666667</v>
      </c>
      <c r="C188" s="286" t="s">
        <v>2116</v>
      </c>
      <c r="D188" s="286" t="s">
        <v>1105</v>
      </c>
      <c r="E188" s="286" t="s">
        <v>1106</v>
      </c>
      <c r="F188" s="286" t="s">
        <v>2156</v>
      </c>
      <c r="G188" s="286" t="s">
        <v>1041</v>
      </c>
      <c r="H188" s="286" t="s">
        <v>1041</v>
      </c>
      <c r="I188" s="286" t="s">
        <v>1228</v>
      </c>
      <c r="J188" s="286" t="s">
        <v>1312</v>
      </c>
      <c r="K188" s="286" t="s">
        <v>1673</v>
      </c>
      <c r="L188" s="286" t="s">
        <v>53</v>
      </c>
      <c r="M188" s="286">
        <v>1</v>
      </c>
      <c r="N188" s="287">
        <v>13062.26</v>
      </c>
      <c r="O188" s="294">
        <f t="shared" si="2"/>
        <v>45473</v>
      </c>
      <c r="P188" s="286" t="s">
        <v>58</v>
      </c>
    </row>
    <row r="189" spans="1:16" hidden="1" x14ac:dyDescent="0.15">
      <c r="A189" s="286">
        <v>608480</v>
      </c>
      <c r="B189" s="288">
        <v>45450.422222222223</v>
      </c>
      <c r="C189" s="286" t="s">
        <v>2092</v>
      </c>
      <c r="D189" s="286" t="s">
        <v>1105</v>
      </c>
      <c r="E189" s="286" t="s">
        <v>1106</v>
      </c>
      <c r="F189" s="286" t="s">
        <v>2157</v>
      </c>
      <c r="G189" s="286" t="s">
        <v>1041</v>
      </c>
      <c r="H189" s="286" t="s">
        <v>1041</v>
      </c>
      <c r="I189" s="286" t="s">
        <v>1228</v>
      </c>
      <c r="J189" s="286" t="s">
        <v>1312</v>
      </c>
      <c r="K189" s="286" t="s">
        <v>1673</v>
      </c>
      <c r="L189" s="286" t="s">
        <v>53</v>
      </c>
      <c r="M189" s="286">
        <v>1</v>
      </c>
      <c r="N189" s="287">
        <v>13062.26</v>
      </c>
      <c r="O189" s="294">
        <f t="shared" si="2"/>
        <v>45473</v>
      </c>
      <c r="P189" s="286" t="s">
        <v>58</v>
      </c>
    </row>
    <row r="190" spans="1:16" hidden="1" x14ac:dyDescent="0.15">
      <c r="A190" s="286">
        <v>646075</v>
      </c>
      <c r="B190" s="288">
        <v>45474.519444444442</v>
      </c>
      <c r="C190" s="286" t="s">
        <v>2111</v>
      </c>
      <c r="D190" s="286" t="s">
        <v>1105</v>
      </c>
      <c r="E190" s="286" t="s">
        <v>1106</v>
      </c>
      <c r="F190" s="286" t="s">
        <v>2137</v>
      </c>
      <c r="G190" s="286" t="s">
        <v>1041</v>
      </c>
      <c r="H190" s="286" t="s">
        <v>1041</v>
      </c>
      <c r="I190" s="286" t="s">
        <v>1228</v>
      </c>
      <c r="J190" s="286" t="s">
        <v>1312</v>
      </c>
      <c r="K190" s="286" t="s">
        <v>1673</v>
      </c>
      <c r="L190" s="286" t="s">
        <v>53</v>
      </c>
      <c r="M190" s="286">
        <v>1</v>
      </c>
      <c r="N190" s="287">
        <v>13062.22</v>
      </c>
      <c r="O190" s="294">
        <f t="shared" si="2"/>
        <v>45504</v>
      </c>
      <c r="P190" s="286" t="s">
        <v>58</v>
      </c>
    </row>
    <row r="191" spans="1:16" hidden="1" x14ac:dyDescent="0.15">
      <c r="A191" s="286">
        <v>536791</v>
      </c>
      <c r="B191" s="288">
        <v>45390.404166666667</v>
      </c>
      <c r="C191" s="286" t="s">
        <v>2109</v>
      </c>
      <c r="D191" s="286" t="s">
        <v>1105</v>
      </c>
      <c r="E191" s="286" t="s">
        <v>1106</v>
      </c>
      <c r="F191" s="286" t="s">
        <v>2110</v>
      </c>
      <c r="G191" s="286" t="s">
        <v>1004</v>
      </c>
      <c r="H191" s="286" t="s">
        <v>1004</v>
      </c>
      <c r="I191" s="286" t="s">
        <v>1128</v>
      </c>
      <c r="J191" s="286" t="s">
        <v>1312</v>
      </c>
      <c r="K191" s="286" t="s">
        <v>1757</v>
      </c>
      <c r="L191" s="286" t="s">
        <v>694</v>
      </c>
      <c r="M191" s="286">
        <v>1</v>
      </c>
      <c r="N191" s="287">
        <v>13054</v>
      </c>
      <c r="O191" s="294">
        <f t="shared" si="2"/>
        <v>45412</v>
      </c>
      <c r="P191" s="286" t="s">
        <v>47</v>
      </c>
    </row>
    <row r="192" spans="1:16" hidden="1" x14ac:dyDescent="0.15">
      <c r="A192" s="286">
        <v>874698</v>
      </c>
      <c r="B192" s="288">
        <v>45628.357638888891</v>
      </c>
      <c r="C192" s="286" t="s">
        <v>2098</v>
      </c>
      <c r="D192" s="286" t="s">
        <v>1105</v>
      </c>
      <c r="E192" s="286" t="s">
        <v>1106</v>
      </c>
      <c r="F192" s="286" t="s">
        <v>2142</v>
      </c>
      <c r="G192" s="286" t="s">
        <v>1015</v>
      </c>
      <c r="H192" s="286" t="s">
        <v>1015</v>
      </c>
      <c r="I192" s="286" t="s">
        <v>1228</v>
      </c>
      <c r="J192" s="286" t="s">
        <v>1312</v>
      </c>
      <c r="K192" s="286" t="s">
        <v>2227</v>
      </c>
      <c r="L192" s="286" t="s">
        <v>2228</v>
      </c>
      <c r="M192" s="286">
        <v>1</v>
      </c>
      <c r="N192" s="287">
        <v>13025.87</v>
      </c>
      <c r="O192" s="294">
        <f t="shared" si="2"/>
        <v>45657</v>
      </c>
      <c r="P192" s="286" t="s">
        <v>58</v>
      </c>
    </row>
    <row r="193" spans="1:16" hidden="1" x14ac:dyDescent="0.15">
      <c r="A193" s="286">
        <v>438112</v>
      </c>
      <c r="B193" s="288">
        <v>45293.53402777778</v>
      </c>
      <c r="C193" s="286" t="s">
        <v>2125</v>
      </c>
      <c r="D193" s="286" t="s">
        <v>1105</v>
      </c>
      <c r="E193" s="286" t="s">
        <v>1106</v>
      </c>
      <c r="F193" s="286" t="s">
        <v>2152</v>
      </c>
      <c r="G193" s="286" t="s">
        <v>1075</v>
      </c>
      <c r="H193" s="286" t="s">
        <v>1075</v>
      </c>
      <c r="I193" s="286" t="s">
        <v>1228</v>
      </c>
      <c r="J193" s="286" t="s">
        <v>1312</v>
      </c>
      <c r="K193" s="286" t="s">
        <v>1673</v>
      </c>
      <c r="L193" s="286" t="s">
        <v>53</v>
      </c>
      <c r="M193" s="286">
        <v>1</v>
      </c>
      <c r="N193" s="287">
        <v>13009.67</v>
      </c>
      <c r="O193" s="294">
        <f t="shared" si="2"/>
        <v>45322</v>
      </c>
      <c r="P193" s="286" t="s">
        <v>58</v>
      </c>
    </row>
    <row r="194" spans="1:16" hidden="1" x14ac:dyDescent="0.15">
      <c r="A194" s="286">
        <v>472168</v>
      </c>
      <c r="B194" s="288">
        <v>45331.416666666664</v>
      </c>
      <c r="C194" s="286" t="s">
        <v>2113</v>
      </c>
      <c r="D194" s="286" t="s">
        <v>1105</v>
      </c>
      <c r="E194" s="286" t="s">
        <v>1106</v>
      </c>
      <c r="F194" s="286" t="s">
        <v>2153</v>
      </c>
      <c r="G194" s="286" t="s">
        <v>1075</v>
      </c>
      <c r="H194" s="286" t="s">
        <v>1075</v>
      </c>
      <c r="I194" s="286" t="s">
        <v>1228</v>
      </c>
      <c r="J194" s="286" t="s">
        <v>1312</v>
      </c>
      <c r="K194" s="286" t="s">
        <v>1673</v>
      </c>
      <c r="L194" s="286" t="s">
        <v>53</v>
      </c>
      <c r="M194" s="286">
        <v>1</v>
      </c>
      <c r="N194" s="287">
        <v>13009.67</v>
      </c>
      <c r="O194" s="294">
        <f t="shared" si="2"/>
        <v>45351</v>
      </c>
      <c r="P194" s="286" t="s">
        <v>58</v>
      </c>
    </row>
    <row r="195" spans="1:16" hidden="1" x14ac:dyDescent="0.15">
      <c r="A195" s="286">
        <v>504817</v>
      </c>
      <c r="B195" s="288">
        <v>45359.645138888889</v>
      </c>
      <c r="C195" s="286" t="s">
        <v>2109</v>
      </c>
      <c r="D195" s="286" t="s">
        <v>1105</v>
      </c>
      <c r="E195" s="286" t="s">
        <v>1106</v>
      </c>
      <c r="F195" s="286" t="s">
        <v>2154</v>
      </c>
      <c r="G195" s="286" t="s">
        <v>1075</v>
      </c>
      <c r="H195" s="286" t="s">
        <v>1075</v>
      </c>
      <c r="I195" s="286" t="s">
        <v>1228</v>
      </c>
      <c r="J195" s="286" t="s">
        <v>1312</v>
      </c>
      <c r="K195" s="286" t="s">
        <v>1673</v>
      </c>
      <c r="L195" s="286" t="s">
        <v>53</v>
      </c>
      <c r="M195" s="286">
        <v>1</v>
      </c>
      <c r="N195" s="287">
        <v>13009.67</v>
      </c>
      <c r="O195" s="294">
        <f t="shared" si="2"/>
        <v>45382</v>
      </c>
      <c r="P195" s="286" t="s">
        <v>58</v>
      </c>
    </row>
    <row r="196" spans="1:16" hidden="1" x14ac:dyDescent="0.15">
      <c r="A196" s="286">
        <v>534207</v>
      </c>
      <c r="B196" s="288">
        <v>45385.750694444447</v>
      </c>
      <c r="C196" s="286" t="s">
        <v>2096</v>
      </c>
      <c r="D196" s="286" t="s">
        <v>1105</v>
      </c>
      <c r="E196" s="286" t="s">
        <v>1106</v>
      </c>
      <c r="F196" s="286" t="s">
        <v>2155</v>
      </c>
      <c r="G196" s="286" t="s">
        <v>1075</v>
      </c>
      <c r="H196" s="286" t="s">
        <v>1075</v>
      </c>
      <c r="I196" s="286" t="s">
        <v>1228</v>
      </c>
      <c r="J196" s="286" t="s">
        <v>1312</v>
      </c>
      <c r="K196" s="286" t="s">
        <v>1673</v>
      </c>
      <c r="L196" s="286" t="s">
        <v>53</v>
      </c>
      <c r="M196" s="286">
        <v>1</v>
      </c>
      <c r="N196" s="287">
        <v>13009.67</v>
      </c>
      <c r="O196" s="294">
        <f t="shared" ref="O196:O259" si="3">EOMONTH(B196,0)</f>
        <v>45412</v>
      </c>
      <c r="P196" s="286" t="s">
        <v>58</v>
      </c>
    </row>
    <row r="197" spans="1:16" hidden="1" x14ac:dyDescent="0.15">
      <c r="A197" s="286">
        <v>614216</v>
      </c>
      <c r="B197" s="288">
        <v>45455.716666666667</v>
      </c>
      <c r="C197" s="286" t="s">
        <v>2116</v>
      </c>
      <c r="D197" s="286" t="s">
        <v>1105</v>
      </c>
      <c r="E197" s="286" t="s">
        <v>1106</v>
      </c>
      <c r="F197" s="286" t="s">
        <v>2156</v>
      </c>
      <c r="G197" s="286" t="s">
        <v>1075</v>
      </c>
      <c r="H197" s="286" t="s">
        <v>1075</v>
      </c>
      <c r="I197" s="286" t="s">
        <v>1228</v>
      </c>
      <c r="J197" s="286" t="s">
        <v>1312</v>
      </c>
      <c r="K197" s="286" t="s">
        <v>1673</v>
      </c>
      <c r="L197" s="286" t="s">
        <v>53</v>
      </c>
      <c r="M197" s="286">
        <v>1</v>
      </c>
      <c r="N197" s="287">
        <v>13009.67</v>
      </c>
      <c r="O197" s="294">
        <f t="shared" si="3"/>
        <v>45473</v>
      </c>
      <c r="P197" s="286" t="s">
        <v>58</v>
      </c>
    </row>
    <row r="198" spans="1:16" hidden="1" x14ac:dyDescent="0.15">
      <c r="A198" s="286">
        <v>608480</v>
      </c>
      <c r="B198" s="288">
        <v>45450.422222222223</v>
      </c>
      <c r="C198" s="286" t="s">
        <v>2092</v>
      </c>
      <c r="D198" s="286" t="s">
        <v>1105</v>
      </c>
      <c r="E198" s="286" t="s">
        <v>1106</v>
      </c>
      <c r="F198" s="286" t="s">
        <v>2157</v>
      </c>
      <c r="G198" s="286" t="s">
        <v>1075</v>
      </c>
      <c r="H198" s="286" t="s">
        <v>1075</v>
      </c>
      <c r="I198" s="286" t="s">
        <v>1228</v>
      </c>
      <c r="J198" s="286" t="s">
        <v>1312</v>
      </c>
      <c r="K198" s="286" t="s">
        <v>1673</v>
      </c>
      <c r="L198" s="286" t="s">
        <v>53</v>
      </c>
      <c r="M198" s="286">
        <v>1</v>
      </c>
      <c r="N198" s="287">
        <v>13009.67</v>
      </c>
      <c r="O198" s="294">
        <f t="shared" si="3"/>
        <v>45473</v>
      </c>
      <c r="P198" s="286" t="s">
        <v>58</v>
      </c>
    </row>
    <row r="199" spans="1:16" hidden="1" x14ac:dyDescent="0.15">
      <c r="A199" s="286">
        <v>646075</v>
      </c>
      <c r="B199" s="288">
        <v>45474.519444444442</v>
      </c>
      <c r="C199" s="286" t="s">
        <v>2111</v>
      </c>
      <c r="D199" s="286" t="s">
        <v>1105</v>
      </c>
      <c r="E199" s="286" t="s">
        <v>1106</v>
      </c>
      <c r="F199" s="286" t="s">
        <v>2137</v>
      </c>
      <c r="G199" s="286" t="s">
        <v>1075</v>
      </c>
      <c r="H199" s="286" t="s">
        <v>1075</v>
      </c>
      <c r="I199" s="286" t="s">
        <v>1228</v>
      </c>
      <c r="J199" s="286" t="s">
        <v>1312</v>
      </c>
      <c r="K199" s="286" t="s">
        <v>1673</v>
      </c>
      <c r="L199" s="286" t="s">
        <v>53</v>
      </c>
      <c r="M199" s="286">
        <v>1</v>
      </c>
      <c r="N199" s="287">
        <v>13009.67</v>
      </c>
      <c r="O199" s="294">
        <f t="shared" si="3"/>
        <v>45504</v>
      </c>
      <c r="P199" s="286" t="s">
        <v>58</v>
      </c>
    </row>
    <row r="200" spans="1:16" hidden="1" x14ac:dyDescent="0.15">
      <c r="A200" s="286">
        <v>697810</v>
      </c>
      <c r="B200" s="288">
        <v>45510.366666666669</v>
      </c>
      <c r="C200" s="286" t="s">
        <v>2102</v>
      </c>
      <c r="D200" s="286" t="s">
        <v>1105</v>
      </c>
      <c r="E200" s="286" t="s">
        <v>1106</v>
      </c>
      <c r="F200" s="286" t="s">
        <v>2138</v>
      </c>
      <c r="G200" s="286" t="s">
        <v>1075</v>
      </c>
      <c r="H200" s="286" t="s">
        <v>1075</v>
      </c>
      <c r="I200" s="286" t="s">
        <v>1228</v>
      </c>
      <c r="J200" s="286" t="s">
        <v>1312</v>
      </c>
      <c r="K200" s="286" t="s">
        <v>1673</v>
      </c>
      <c r="L200" s="286" t="s">
        <v>53</v>
      </c>
      <c r="M200" s="286">
        <v>1</v>
      </c>
      <c r="N200" s="287">
        <v>13009.67</v>
      </c>
      <c r="O200" s="294">
        <f t="shared" si="3"/>
        <v>45535</v>
      </c>
      <c r="P200" s="286" t="s">
        <v>58</v>
      </c>
    </row>
    <row r="201" spans="1:16" hidden="1" x14ac:dyDescent="0.15">
      <c r="A201" s="286">
        <v>745911</v>
      </c>
      <c r="B201" s="288">
        <v>45538.44027777778</v>
      </c>
      <c r="C201" s="286" t="s">
        <v>2132</v>
      </c>
      <c r="D201" s="286" t="s">
        <v>1105</v>
      </c>
      <c r="E201" s="286" t="s">
        <v>1106</v>
      </c>
      <c r="F201" s="286" t="s">
        <v>2139</v>
      </c>
      <c r="G201" s="286" t="s">
        <v>1075</v>
      </c>
      <c r="H201" s="286" t="s">
        <v>1075</v>
      </c>
      <c r="I201" s="286" t="s">
        <v>1228</v>
      </c>
      <c r="J201" s="286" t="s">
        <v>1312</v>
      </c>
      <c r="K201" s="286" t="s">
        <v>1673</v>
      </c>
      <c r="L201" s="286" t="s">
        <v>53</v>
      </c>
      <c r="M201" s="286">
        <v>1</v>
      </c>
      <c r="N201" s="287">
        <v>13009.67</v>
      </c>
      <c r="O201" s="294">
        <f t="shared" si="3"/>
        <v>45565</v>
      </c>
      <c r="P201" s="286" t="s">
        <v>58</v>
      </c>
    </row>
    <row r="202" spans="1:16" hidden="1" x14ac:dyDescent="0.15">
      <c r="A202" s="286">
        <v>848817</v>
      </c>
      <c r="B202" s="288">
        <v>45607.65902777778</v>
      </c>
      <c r="C202" s="286" t="s">
        <v>2130</v>
      </c>
      <c r="D202" s="286" t="s">
        <v>1105</v>
      </c>
      <c r="E202" s="286" t="s">
        <v>1106</v>
      </c>
      <c r="F202" s="286" t="s">
        <v>2140</v>
      </c>
      <c r="G202" s="286" t="s">
        <v>1075</v>
      </c>
      <c r="H202" s="286" t="s">
        <v>1075</v>
      </c>
      <c r="I202" s="286" t="s">
        <v>1228</v>
      </c>
      <c r="J202" s="286" t="s">
        <v>1312</v>
      </c>
      <c r="K202" s="286" t="s">
        <v>1673</v>
      </c>
      <c r="L202" s="286" t="s">
        <v>53</v>
      </c>
      <c r="M202" s="286">
        <v>1</v>
      </c>
      <c r="N202" s="287">
        <v>13009.67</v>
      </c>
      <c r="O202" s="294">
        <f t="shared" si="3"/>
        <v>45626</v>
      </c>
      <c r="P202" s="286" t="s">
        <v>58</v>
      </c>
    </row>
    <row r="203" spans="1:16" hidden="1" x14ac:dyDescent="0.15">
      <c r="A203" s="286">
        <v>848917</v>
      </c>
      <c r="B203" s="288">
        <v>45607.660416666666</v>
      </c>
      <c r="C203" s="286" t="s">
        <v>2100</v>
      </c>
      <c r="D203" s="286" t="s">
        <v>1105</v>
      </c>
      <c r="E203" s="286" t="s">
        <v>1106</v>
      </c>
      <c r="F203" s="286" t="s">
        <v>2141</v>
      </c>
      <c r="G203" s="286" t="s">
        <v>1075</v>
      </c>
      <c r="H203" s="286" t="s">
        <v>1075</v>
      </c>
      <c r="I203" s="286" t="s">
        <v>1228</v>
      </c>
      <c r="J203" s="286" t="s">
        <v>1312</v>
      </c>
      <c r="K203" s="286" t="s">
        <v>1673</v>
      </c>
      <c r="L203" s="286" t="s">
        <v>53</v>
      </c>
      <c r="M203" s="286">
        <v>1</v>
      </c>
      <c r="N203" s="287">
        <v>13009.67</v>
      </c>
      <c r="O203" s="294">
        <f t="shared" si="3"/>
        <v>45626</v>
      </c>
      <c r="P203" s="286" t="s">
        <v>58</v>
      </c>
    </row>
    <row r="204" spans="1:16" hidden="1" x14ac:dyDescent="0.15">
      <c r="A204" s="286">
        <v>874698</v>
      </c>
      <c r="B204" s="288">
        <v>45628.357638888891</v>
      </c>
      <c r="C204" s="286" t="s">
        <v>2098</v>
      </c>
      <c r="D204" s="286" t="s">
        <v>1105</v>
      </c>
      <c r="E204" s="286" t="s">
        <v>1106</v>
      </c>
      <c r="F204" s="286" t="s">
        <v>2142</v>
      </c>
      <c r="G204" s="286" t="s">
        <v>1075</v>
      </c>
      <c r="H204" s="286" t="s">
        <v>1075</v>
      </c>
      <c r="I204" s="286" t="s">
        <v>1228</v>
      </c>
      <c r="J204" s="286" t="s">
        <v>1312</v>
      </c>
      <c r="K204" s="286" t="s">
        <v>1673</v>
      </c>
      <c r="L204" s="286" t="s">
        <v>53</v>
      </c>
      <c r="M204" s="286">
        <v>1</v>
      </c>
      <c r="N204" s="287">
        <v>13009.63</v>
      </c>
      <c r="O204" s="294">
        <f t="shared" si="3"/>
        <v>45657</v>
      </c>
      <c r="P204" s="286" t="s">
        <v>58</v>
      </c>
    </row>
    <row r="205" spans="1:16" hidden="1" x14ac:dyDescent="0.15">
      <c r="A205" s="286">
        <v>745911</v>
      </c>
      <c r="B205" s="288">
        <v>45538.44027777778</v>
      </c>
      <c r="C205" s="286" t="s">
        <v>2132</v>
      </c>
      <c r="D205" s="286" t="s">
        <v>1105</v>
      </c>
      <c r="E205" s="286" t="s">
        <v>1106</v>
      </c>
      <c r="F205" s="286" t="s">
        <v>2139</v>
      </c>
      <c r="G205" s="286" t="s">
        <v>1007</v>
      </c>
      <c r="H205" s="286" t="s">
        <v>1007</v>
      </c>
      <c r="I205" s="286" t="s">
        <v>1228</v>
      </c>
      <c r="J205" s="286" t="s">
        <v>1312</v>
      </c>
      <c r="K205" s="286" t="s">
        <v>1673</v>
      </c>
      <c r="L205" s="286" t="s">
        <v>53</v>
      </c>
      <c r="M205" s="286">
        <v>1</v>
      </c>
      <c r="N205" s="287">
        <v>12986.98</v>
      </c>
      <c r="O205" s="294">
        <f t="shared" si="3"/>
        <v>45565</v>
      </c>
      <c r="P205" s="286" t="s">
        <v>58</v>
      </c>
    </row>
    <row r="206" spans="1:16" hidden="1" x14ac:dyDescent="0.15">
      <c r="A206" s="286">
        <v>848817</v>
      </c>
      <c r="B206" s="288">
        <v>45607.65902777778</v>
      </c>
      <c r="C206" s="286" t="s">
        <v>2130</v>
      </c>
      <c r="D206" s="286" t="s">
        <v>1105</v>
      </c>
      <c r="E206" s="286" t="s">
        <v>1106</v>
      </c>
      <c r="F206" s="286" t="s">
        <v>2140</v>
      </c>
      <c r="G206" s="286" t="s">
        <v>1007</v>
      </c>
      <c r="H206" s="286" t="s">
        <v>1007</v>
      </c>
      <c r="I206" s="286" t="s">
        <v>1228</v>
      </c>
      <c r="J206" s="286" t="s">
        <v>1312</v>
      </c>
      <c r="K206" s="286" t="s">
        <v>1673</v>
      </c>
      <c r="L206" s="286" t="s">
        <v>53</v>
      </c>
      <c r="M206" s="286">
        <v>1</v>
      </c>
      <c r="N206" s="287">
        <v>12986.98</v>
      </c>
      <c r="O206" s="294">
        <f t="shared" si="3"/>
        <v>45626</v>
      </c>
      <c r="P206" s="286" t="s">
        <v>58</v>
      </c>
    </row>
    <row r="207" spans="1:16" hidden="1" x14ac:dyDescent="0.15">
      <c r="A207" s="286">
        <v>848917</v>
      </c>
      <c r="B207" s="288">
        <v>45607.660416666666</v>
      </c>
      <c r="C207" s="286" t="s">
        <v>2100</v>
      </c>
      <c r="D207" s="286" t="s">
        <v>1105</v>
      </c>
      <c r="E207" s="286" t="s">
        <v>1106</v>
      </c>
      <c r="F207" s="286" t="s">
        <v>2141</v>
      </c>
      <c r="G207" s="286" t="s">
        <v>1007</v>
      </c>
      <c r="H207" s="286" t="s">
        <v>1007</v>
      </c>
      <c r="I207" s="286" t="s">
        <v>1228</v>
      </c>
      <c r="J207" s="286" t="s">
        <v>1312</v>
      </c>
      <c r="K207" s="286" t="s">
        <v>1673</v>
      </c>
      <c r="L207" s="286" t="s">
        <v>53</v>
      </c>
      <c r="M207" s="286">
        <v>1</v>
      </c>
      <c r="N207" s="287">
        <v>12986.98</v>
      </c>
      <c r="O207" s="294">
        <f t="shared" si="3"/>
        <v>45626</v>
      </c>
      <c r="P207" s="286" t="s">
        <v>58</v>
      </c>
    </row>
    <row r="208" spans="1:16" hidden="1" x14ac:dyDescent="0.15">
      <c r="A208" s="286">
        <v>848917</v>
      </c>
      <c r="B208" s="288">
        <v>45607.660416666666</v>
      </c>
      <c r="C208" s="286" t="s">
        <v>2100</v>
      </c>
      <c r="D208" s="286" t="s">
        <v>1105</v>
      </c>
      <c r="E208" s="286" t="s">
        <v>1106</v>
      </c>
      <c r="F208" s="286" t="s">
        <v>2141</v>
      </c>
      <c r="G208" s="286" t="s">
        <v>1042</v>
      </c>
      <c r="H208" s="286" t="s">
        <v>1042</v>
      </c>
      <c r="I208" s="286" t="s">
        <v>1228</v>
      </c>
      <c r="J208" s="286" t="s">
        <v>1312</v>
      </c>
      <c r="K208" s="286" t="s">
        <v>2227</v>
      </c>
      <c r="L208" s="286" t="s">
        <v>2228</v>
      </c>
      <c r="M208" s="286">
        <v>1</v>
      </c>
      <c r="N208" s="287">
        <v>12986.98</v>
      </c>
      <c r="O208" s="294">
        <f t="shared" si="3"/>
        <v>45626</v>
      </c>
      <c r="P208" s="286" t="s">
        <v>58</v>
      </c>
    </row>
    <row r="209" spans="1:16" hidden="1" x14ac:dyDescent="0.15">
      <c r="A209" s="286">
        <v>848917</v>
      </c>
      <c r="B209" s="288">
        <v>45607.660416666666</v>
      </c>
      <c r="C209" s="286" t="s">
        <v>2100</v>
      </c>
      <c r="D209" s="286" t="s">
        <v>1105</v>
      </c>
      <c r="E209" s="286" t="s">
        <v>1106</v>
      </c>
      <c r="F209" s="286" t="s">
        <v>2141</v>
      </c>
      <c r="G209" s="286" t="s">
        <v>1024</v>
      </c>
      <c r="H209" s="286" t="s">
        <v>1024</v>
      </c>
      <c r="I209" s="286" t="s">
        <v>1228</v>
      </c>
      <c r="J209" s="286" t="s">
        <v>1312</v>
      </c>
      <c r="K209" s="286" t="s">
        <v>2229</v>
      </c>
      <c r="L209" s="286" t="s">
        <v>53</v>
      </c>
      <c r="M209" s="286">
        <v>1</v>
      </c>
      <c r="N209" s="287">
        <v>12986.98</v>
      </c>
      <c r="O209" s="294">
        <f t="shared" si="3"/>
        <v>45626</v>
      </c>
      <c r="P209" s="286" t="s">
        <v>58</v>
      </c>
    </row>
    <row r="210" spans="1:16" hidden="1" x14ac:dyDescent="0.15">
      <c r="A210" s="286">
        <v>874698</v>
      </c>
      <c r="B210" s="288">
        <v>45628.357638888891</v>
      </c>
      <c r="C210" s="286" t="s">
        <v>2098</v>
      </c>
      <c r="D210" s="286" t="s">
        <v>1105</v>
      </c>
      <c r="E210" s="286" t="s">
        <v>1106</v>
      </c>
      <c r="F210" s="286" t="s">
        <v>2142</v>
      </c>
      <c r="G210" s="286" t="s">
        <v>1007</v>
      </c>
      <c r="H210" s="286" t="s">
        <v>1007</v>
      </c>
      <c r="I210" s="286" t="s">
        <v>1228</v>
      </c>
      <c r="J210" s="286" t="s">
        <v>1312</v>
      </c>
      <c r="K210" s="286" t="s">
        <v>1673</v>
      </c>
      <c r="L210" s="286" t="s">
        <v>53</v>
      </c>
      <c r="M210" s="286">
        <v>1</v>
      </c>
      <c r="N210" s="287">
        <v>12986.98</v>
      </c>
      <c r="O210" s="294">
        <f t="shared" si="3"/>
        <v>45657</v>
      </c>
      <c r="P210" s="286" t="s">
        <v>58</v>
      </c>
    </row>
    <row r="211" spans="1:16" hidden="1" x14ac:dyDescent="0.15">
      <c r="A211" s="286">
        <v>874698</v>
      </c>
      <c r="B211" s="288">
        <v>45628.357638888891</v>
      </c>
      <c r="C211" s="286" t="s">
        <v>2098</v>
      </c>
      <c r="D211" s="286" t="s">
        <v>1105</v>
      </c>
      <c r="E211" s="286" t="s">
        <v>1106</v>
      </c>
      <c r="F211" s="286" t="s">
        <v>2142</v>
      </c>
      <c r="G211" s="286" t="s">
        <v>1042</v>
      </c>
      <c r="H211" s="286" t="s">
        <v>1042</v>
      </c>
      <c r="I211" s="286" t="s">
        <v>1228</v>
      </c>
      <c r="J211" s="286" t="s">
        <v>1312</v>
      </c>
      <c r="K211" s="286" t="s">
        <v>2227</v>
      </c>
      <c r="L211" s="286" t="s">
        <v>2228</v>
      </c>
      <c r="M211" s="286">
        <v>1</v>
      </c>
      <c r="N211" s="287">
        <v>12986.98</v>
      </c>
      <c r="O211" s="294">
        <f t="shared" si="3"/>
        <v>45657</v>
      </c>
      <c r="P211" s="286" t="s">
        <v>58</v>
      </c>
    </row>
    <row r="212" spans="1:16" hidden="1" x14ac:dyDescent="0.15">
      <c r="A212" s="286">
        <v>874698</v>
      </c>
      <c r="B212" s="288">
        <v>45628.357638888891</v>
      </c>
      <c r="C212" s="286" t="s">
        <v>2098</v>
      </c>
      <c r="D212" s="286" t="s">
        <v>1105</v>
      </c>
      <c r="E212" s="286" t="s">
        <v>1106</v>
      </c>
      <c r="F212" s="286" t="s">
        <v>2142</v>
      </c>
      <c r="G212" s="286" t="s">
        <v>1024</v>
      </c>
      <c r="H212" s="286" t="s">
        <v>1024</v>
      </c>
      <c r="I212" s="286" t="s">
        <v>1228</v>
      </c>
      <c r="J212" s="286" t="s">
        <v>1312</v>
      </c>
      <c r="K212" s="286" t="s">
        <v>2229</v>
      </c>
      <c r="L212" s="286" t="s">
        <v>53</v>
      </c>
      <c r="M212" s="286">
        <v>1</v>
      </c>
      <c r="N212" s="287">
        <v>12986.98</v>
      </c>
      <c r="O212" s="294">
        <f t="shared" si="3"/>
        <v>45657</v>
      </c>
      <c r="P212" s="286" t="s">
        <v>58</v>
      </c>
    </row>
    <row r="213" spans="1:16" hidden="1" x14ac:dyDescent="0.15">
      <c r="A213" s="286">
        <v>504817</v>
      </c>
      <c r="B213" s="288">
        <v>45359.645138888889</v>
      </c>
      <c r="C213" s="286" t="s">
        <v>2109</v>
      </c>
      <c r="D213" s="286" t="s">
        <v>1105</v>
      </c>
      <c r="E213" s="286" t="s">
        <v>1106</v>
      </c>
      <c r="F213" s="286" t="s">
        <v>2154</v>
      </c>
      <c r="G213" s="286" t="s">
        <v>1028</v>
      </c>
      <c r="H213" s="286" t="s">
        <v>1028</v>
      </c>
      <c r="I213" s="286" t="s">
        <v>1228</v>
      </c>
      <c r="J213" s="286" t="s">
        <v>1312</v>
      </c>
      <c r="K213" s="286" t="s">
        <v>2230</v>
      </c>
      <c r="L213" s="286" t="s">
        <v>672</v>
      </c>
      <c r="M213" s="286">
        <v>1</v>
      </c>
      <c r="N213" s="287">
        <v>12974.12</v>
      </c>
      <c r="O213" s="294">
        <f t="shared" si="3"/>
        <v>45382</v>
      </c>
      <c r="P213" s="286" t="s">
        <v>58</v>
      </c>
    </row>
    <row r="214" spans="1:16" hidden="1" x14ac:dyDescent="0.15">
      <c r="A214" s="286">
        <v>534207</v>
      </c>
      <c r="B214" s="288">
        <v>45385.750694444447</v>
      </c>
      <c r="C214" s="286" t="s">
        <v>2096</v>
      </c>
      <c r="D214" s="286" t="s">
        <v>1105</v>
      </c>
      <c r="E214" s="286" t="s">
        <v>1106</v>
      </c>
      <c r="F214" s="286" t="s">
        <v>2155</v>
      </c>
      <c r="G214" s="286" t="s">
        <v>1028</v>
      </c>
      <c r="H214" s="286" t="s">
        <v>1028</v>
      </c>
      <c r="I214" s="286" t="s">
        <v>1228</v>
      </c>
      <c r="J214" s="286" t="s">
        <v>1312</v>
      </c>
      <c r="K214" s="286" t="s">
        <v>2230</v>
      </c>
      <c r="L214" s="286" t="s">
        <v>672</v>
      </c>
      <c r="M214" s="286">
        <v>1</v>
      </c>
      <c r="N214" s="287">
        <v>12974.12</v>
      </c>
      <c r="O214" s="294">
        <f t="shared" si="3"/>
        <v>45412</v>
      </c>
      <c r="P214" s="286" t="s">
        <v>58</v>
      </c>
    </row>
    <row r="215" spans="1:16" hidden="1" x14ac:dyDescent="0.15">
      <c r="A215" s="286">
        <v>614216</v>
      </c>
      <c r="B215" s="288">
        <v>45455.716666666667</v>
      </c>
      <c r="C215" s="286" t="s">
        <v>2116</v>
      </c>
      <c r="D215" s="286" t="s">
        <v>1105</v>
      </c>
      <c r="E215" s="286" t="s">
        <v>1106</v>
      </c>
      <c r="F215" s="286" t="s">
        <v>2156</v>
      </c>
      <c r="G215" s="286" t="s">
        <v>1028</v>
      </c>
      <c r="H215" s="286" t="s">
        <v>1028</v>
      </c>
      <c r="I215" s="286" t="s">
        <v>1228</v>
      </c>
      <c r="J215" s="286" t="s">
        <v>1312</v>
      </c>
      <c r="K215" s="286" t="s">
        <v>2230</v>
      </c>
      <c r="L215" s="286" t="s">
        <v>672</v>
      </c>
      <c r="M215" s="286">
        <v>1</v>
      </c>
      <c r="N215" s="287">
        <v>12974.12</v>
      </c>
      <c r="O215" s="294">
        <f t="shared" si="3"/>
        <v>45473</v>
      </c>
      <c r="P215" s="286" t="s">
        <v>58</v>
      </c>
    </row>
    <row r="216" spans="1:16" hidden="1" x14ac:dyDescent="0.15">
      <c r="A216" s="286">
        <v>608480</v>
      </c>
      <c r="B216" s="288">
        <v>45450.422222222223</v>
      </c>
      <c r="C216" s="286" t="s">
        <v>2092</v>
      </c>
      <c r="D216" s="286" t="s">
        <v>1105</v>
      </c>
      <c r="E216" s="286" t="s">
        <v>1106</v>
      </c>
      <c r="F216" s="286" t="s">
        <v>2157</v>
      </c>
      <c r="G216" s="286" t="s">
        <v>1028</v>
      </c>
      <c r="H216" s="286" t="s">
        <v>1028</v>
      </c>
      <c r="I216" s="286" t="s">
        <v>1228</v>
      </c>
      <c r="J216" s="286" t="s">
        <v>1312</v>
      </c>
      <c r="K216" s="286" t="s">
        <v>2230</v>
      </c>
      <c r="L216" s="286" t="s">
        <v>672</v>
      </c>
      <c r="M216" s="286">
        <v>1</v>
      </c>
      <c r="N216" s="287">
        <v>12974.12</v>
      </c>
      <c r="O216" s="294">
        <f t="shared" si="3"/>
        <v>45473</v>
      </c>
      <c r="P216" s="286" t="s">
        <v>58</v>
      </c>
    </row>
    <row r="217" spans="1:16" hidden="1" x14ac:dyDescent="0.15">
      <c r="A217" s="286">
        <v>646075</v>
      </c>
      <c r="B217" s="288">
        <v>45474.519444444442</v>
      </c>
      <c r="C217" s="286" t="s">
        <v>2111</v>
      </c>
      <c r="D217" s="286" t="s">
        <v>1105</v>
      </c>
      <c r="E217" s="286" t="s">
        <v>1106</v>
      </c>
      <c r="F217" s="286" t="s">
        <v>2137</v>
      </c>
      <c r="G217" s="286" t="s">
        <v>1028</v>
      </c>
      <c r="H217" s="286" t="s">
        <v>1028</v>
      </c>
      <c r="I217" s="286" t="s">
        <v>1228</v>
      </c>
      <c r="J217" s="286" t="s">
        <v>1312</v>
      </c>
      <c r="K217" s="286" t="s">
        <v>2230</v>
      </c>
      <c r="L217" s="286" t="s">
        <v>672</v>
      </c>
      <c r="M217" s="286">
        <v>1</v>
      </c>
      <c r="N217" s="287">
        <v>12974.12</v>
      </c>
      <c r="O217" s="294">
        <f t="shared" si="3"/>
        <v>45504</v>
      </c>
      <c r="P217" s="286" t="s">
        <v>58</v>
      </c>
    </row>
    <row r="218" spans="1:16" hidden="1" x14ac:dyDescent="0.15">
      <c r="A218" s="286">
        <v>697810</v>
      </c>
      <c r="B218" s="288">
        <v>45510.366666666669</v>
      </c>
      <c r="C218" s="286" t="s">
        <v>2102</v>
      </c>
      <c r="D218" s="286" t="s">
        <v>1105</v>
      </c>
      <c r="E218" s="286" t="s">
        <v>1106</v>
      </c>
      <c r="F218" s="286" t="s">
        <v>2138</v>
      </c>
      <c r="G218" s="286" t="s">
        <v>1028</v>
      </c>
      <c r="H218" s="286" t="s">
        <v>1028</v>
      </c>
      <c r="I218" s="286" t="s">
        <v>1228</v>
      </c>
      <c r="J218" s="286" t="s">
        <v>1312</v>
      </c>
      <c r="K218" s="286" t="s">
        <v>2230</v>
      </c>
      <c r="L218" s="286" t="s">
        <v>672</v>
      </c>
      <c r="M218" s="286">
        <v>1</v>
      </c>
      <c r="N218" s="287">
        <v>12974.12</v>
      </c>
      <c r="O218" s="294">
        <f t="shared" si="3"/>
        <v>45535</v>
      </c>
      <c r="P218" s="286" t="s">
        <v>58</v>
      </c>
    </row>
    <row r="219" spans="1:16" hidden="1" x14ac:dyDescent="0.15">
      <c r="A219" s="286">
        <v>745911</v>
      </c>
      <c r="B219" s="288">
        <v>45538.44027777778</v>
      </c>
      <c r="C219" s="286" t="s">
        <v>2132</v>
      </c>
      <c r="D219" s="286" t="s">
        <v>1105</v>
      </c>
      <c r="E219" s="286" t="s">
        <v>1106</v>
      </c>
      <c r="F219" s="286" t="s">
        <v>2139</v>
      </c>
      <c r="G219" s="286" t="s">
        <v>1028</v>
      </c>
      <c r="H219" s="286" t="s">
        <v>1028</v>
      </c>
      <c r="I219" s="286" t="s">
        <v>1228</v>
      </c>
      <c r="J219" s="286" t="s">
        <v>1312</v>
      </c>
      <c r="K219" s="286" t="s">
        <v>2230</v>
      </c>
      <c r="L219" s="286" t="s">
        <v>672</v>
      </c>
      <c r="M219" s="286">
        <v>1</v>
      </c>
      <c r="N219" s="287">
        <v>12974.12</v>
      </c>
      <c r="O219" s="294">
        <f t="shared" si="3"/>
        <v>45565</v>
      </c>
      <c r="P219" s="286" t="s">
        <v>58</v>
      </c>
    </row>
    <row r="220" spans="1:16" hidden="1" x14ac:dyDescent="0.15">
      <c r="A220" s="286">
        <v>848817</v>
      </c>
      <c r="B220" s="288">
        <v>45607.65902777778</v>
      </c>
      <c r="C220" s="286" t="s">
        <v>2130</v>
      </c>
      <c r="D220" s="286" t="s">
        <v>1105</v>
      </c>
      <c r="E220" s="286" t="s">
        <v>1106</v>
      </c>
      <c r="F220" s="286" t="s">
        <v>2140</v>
      </c>
      <c r="G220" s="286" t="s">
        <v>1028</v>
      </c>
      <c r="H220" s="286" t="s">
        <v>1028</v>
      </c>
      <c r="I220" s="286" t="s">
        <v>1228</v>
      </c>
      <c r="J220" s="286" t="s">
        <v>1312</v>
      </c>
      <c r="K220" s="286" t="s">
        <v>2230</v>
      </c>
      <c r="L220" s="286" t="s">
        <v>672</v>
      </c>
      <c r="M220" s="286">
        <v>1</v>
      </c>
      <c r="N220" s="287">
        <v>12974.12</v>
      </c>
      <c r="O220" s="294">
        <f t="shared" si="3"/>
        <v>45626</v>
      </c>
      <c r="P220" s="286" t="s">
        <v>58</v>
      </c>
    </row>
    <row r="221" spans="1:16" hidden="1" x14ac:dyDescent="0.15">
      <c r="A221" s="286">
        <v>848917</v>
      </c>
      <c r="B221" s="288">
        <v>45607.660416666666</v>
      </c>
      <c r="C221" s="286" t="s">
        <v>2100</v>
      </c>
      <c r="D221" s="286" t="s">
        <v>1105</v>
      </c>
      <c r="E221" s="286" t="s">
        <v>1106</v>
      </c>
      <c r="F221" s="286" t="s">
        <v>2141</v>
      </c>
      <c r="G221" s="286" t="s">
        <v>1028</v>
      </c>
      <c r="H221" s="286" t="s">
        <v>1028</v>
      </c>
      <c r="I221" s="286" t="s">
        <v>1228</v>
      </c>
      <c r="J221" s="286" t="s">
        <v>1312</v>
      </c>
      <c r="K221" s="286" t="s">
        <v>2230</v>
      </c>
      <c r="L221" s="286" t="s">
        <v>672</v>
      </c>
      <c r="M221" s="286">
        <v>1</v>
      </c>
      <c r="N221" s="287">
        <v>12974.12</v>
      </c>
      <c r="O221" s="294">
        <f t="shared" si="3"/>
        <v>45626</v>
      </c>
      <c r="P221" s="286" t="s">
        <v>58</v>
      </c>
    </row>
    <row r="222" spans="1:16" hidden="1" x14ac:dyDescent="0.15">
      <c r="A222" s="286">
        <v>874698</v>
      </c>
      <c r="B222" s="288">
        <v>45628.357638888891</v>
      </c>
      <c r="C222" s="286" t="s">
        <v>2098</v>
      </c>
      <c r="D222" s="286" t="s">
        <v>1105</v>
      </c>
      <c r="E222" s="286" t="s">
        <v>1106</v>
      </c>
      <c r="F222" s="286" t="s">
        <v>2142</v>
      </c>
      <c r="G222" s="286" t="s">
        <v>1028</v>
      </c>
      <c r="H222" s="286" t="s">
        <v>1028</v>
      </c>
      <c r="I222" s="286" t="s">
        <v>1228</v>
      </c>
      <c r="J222" s="286" t="s">
        <v>1312</v>
      </c>
      <c r="K222" s="286" t="s">
        <v>2230</v>
      </c>
      <c r="L222" s="286" t="s">
        <v>672</v>
      </c>
      <c r="M222" s="286">
        <v>1</v>
      </c>
      <c r="N222" s="287">
        <v>12974.12</v>
      </c>
      <c r="O222" s="294">
        <f t="shared" si="3"/>
        <v>45657</v>
      </c>
      <c r="P222" s="286" t="s">
        <v>58</v>
      </c>
    </row>
    <row r="223" spans="1:16" hidden="1" x14ac:dyDescent="0.15">
      <c r="A223" s="286">
        <v>559626</v>
      </c>
      <c r="B223" s="288">
        <v>45408.642361111109</v>
      </c>
      <c r="C223" s="286" t="s">
        <v>2109</v>
      </c>
      <c r="D223" s="286" t="s">
        <v>1105</v>
      </c>
      <c r="E223" s="286" t="s">
        <v>1106</v>
      </c>
      <c r="F223" s="286" t="s">
        <v>2231</v>
      </c>
      <c r="G223" s="286" t="s">
        <v>1028</v>
      </c>
      <c r="H223" s="286" t="s">
        <v>1028</v>
      </c>
      <c r="I223" s="286" t="s">
        <v>1199</v>
      </c>
      <c r="J223" s="286" t="s">
        <v>1312</v>
      </c>
      <c r="K223" s="286" t="s">
        <v>53</v>
      </c>
      <c r="L223" s="286" t="s">
        <v>53</v>
      </c>
      <c r="M223" s="286" t="s">
        <v>53</v>
      </c>
      <c r="N223" s="287">
        <v>12763.69</v>
      </c>
      <c r="O223" s="294">
        <f t="shared" si="3"/>
        <v>45412</v>
      </c>
      <c r="P223" s="286" t="s">
        <v>58</v>
      </c>
    </row>
    <row r="224" spans="1:16" hidden="1" x14ac:dyDescent="0.15">
      <c r="A224" s="286">
        <v>577185</v>
      </c>
      <c r="B224" s="288">
        <v>45425.680555555555</v>
      </c>
      <c r="C224" s="286" t="s">
        <v>2096</v>
      </c>
      <c r="D224" s="286" t="s">
        <v>1105</v>
      </c>
      <c r="E224" s="286" t="s">
        <v>1106</v>
      </c>
      <c r="F224" s="286" t="s">
        <v>2232</v>
      </c>
      <c r="G224" s="286" t="s">
        <v>1028</v>
      </c>
      <c r="H224" s="286" t="s">
        <v>1028</v>
      </c>
      <c r="I224" s="286" t="s">
        <v>1199</v>
      </c>
      <c r="J224" s="286" t="s">
        <v>53</v>
      </c>
      <c r="K224" s="286" t="s">
        <v>53</v>
      </c>
      <c r="L224" s="286" t="s">
        <v>53</v>
      </c>
      <c r="M224" s="286" t="s">
        <v>53</v>
      </c>
      <c r="N224" s="287">
        <v>12763.69</v>
      </c>
      <c r="O224" s="294">
        <f t="shared" si="3"/>
        <v>45443</v>
      </c>
      <c r="P224" s="286" t="s">
        <v>58</v>
      </c>
    </row>
    <row r="225" spans="1:16" hidden="1" x14ac:dyDescent="0.15">
      <c r="A225" s="286">
        <v>864918</v>
      </c>
      <c r="B225" s="288">
        <v>45617.508333333331</v>
      </c>
      <c r="C225" s="286" t="s">
        <v>2100</v>
      </c>
      <c r="D225" s="286" t="s">
        <v>1105</v>
      </c>
      <c r="E225" s="286" t="s">
        <v>1106</v>
      </c>
      <c r="F225" s="286" t="s">
        <v>2233</v>
      </c>
      <c r="G225" s="286" t="s">
        <v>1028</v>
      </c>
      <c r="H225" s="286" t="s">
        <v>1028</v>
      </c>
      <c r="I225" s="286" t="s">
        <v>1199</v>
      </c>
      <c r="J225" s="286" t="s">
        <v>53</v>
      </c>
      <c r="K225" s="286" t="s">
        <v>53</v>
      </c>
      <c r="L225" s="286" t="s">
        <v>53</v>
      </c>
      <c r="M225" s="286" t="s">
        <v>53</v>
      </c>
      <c r="N225" s="287">
        <v>12763.69</v>
      </c>
      <c r="O225" s="294">
        <f t="shared" si="3"/>
        <v>45626</v>
      </c>
      <c r="P225" s="286" t="s">
        <v>58</v>
      </c>
    </row>
    <row r="226" spans="1:16" hidden="1" x14ac:dyDescent="0.15">
      <c r="A226" s="286">
        <v>898877</v>
      </c>
      <c r="B226" s="288">
        <v>45644.552083333336</v>
      </c>
      <c r="C226" s="286" t="s">
        <v>2098</v>
      </c>
      <c r="D226" s="286" t="s">
        <v>1105</v>
      </c>
      <c r="E226" s="286" t="s">
        <v>1106</v>
      </c>
      <c r="F226" s="286" t="s">
        <v>2234</v>
      </c>
      <c r="G226" s="286" t="s">
        <v>1028</v>
      </c>
      <c r="H226" s="286" t="s">
        <v>1028</v>
      </c>
      <c r="I226" s="286" t="s">
        <v>1199</v>
      </c>
      <c r="J226" s="286" t="s">
        <v>1312</v>
      </c>
      <c r="K226" s="286" t="s">
        <v>53</v>
      </c>
      <c r="L226" s="286" t="s">
        <v>53</v>
      </c>
      <c r="M226" s="286" t="s">
        <v>53</v>
      </c>
      <c r="N226" s="287">
        <v>12763.69</v>
      </c>
      <c r="O226" s="294">
        <f t="shared" si="3"/>
        <v>45657</v>
      </c>
      <c r="P226" s="286" t="s">
        <v>58</v>
      </c>
    </row>
    <row r="227" spans="1:16" hidden="1" x14ac:dyDescent="0.15">
      <c r="A227" s="286">
        <v>706530</v>
      </c>
      <c r="B227" s="288">
        <v>45513.595833333333</v>
      </c>
      <c r="C227" s="286" t="s">
        <v>2111</v>
      </c>
      <c r="D227" s="286" t="s">
        <v>1105</v>
      </c>
      <c r="E227" s="286" t="s">
        <v>1106</v>
      </c>
      <c r="F227" s="286" t="s">
        <v>2235</v>
      </c>
      <c r="G227" s="286" t="s">
        <v>1023</v>
      </c>
      <c r="H227" s="286" t="s">
        <v>1023</v>
      </c>
      <c r="I227" s="286" t="s">
        <v>1112</v>
      </c>
      <c r="J227" s="286" t="s">
        <v>1312</v>
      </c>
      <c r="K227" s="286" t="s">
        <v>2050</v>
      </c>
      <c r="L227" s="286" t="s">
        <v>2051</v>
      </c>
      <c r="M227" s="286">
        <v>1</v>
      </c>
      <c r="N227" s="287">
        <v>12763</v>
      </c>
      <c r="O227" s="294">
        <f t="shared" si="3"/>
        <v>45535</v>
      </c>
      <c r="P227" s="286" t="s">
        <v>175</v>
      </c>
    </row>
    <row r="228" spans="1:16" hidden="1" x14ac:dyDescent="0.15">
      <c r="A228" s="286">
        <v>438112</v>
      </c>
      <c r="B228" s="288">
        <v>45293.53402777778</v>
      </c>
      <c r="C228" s="286" t="s">
        <v>2125</v>
      </c>
      <c r="D228" s="286" t="s">
        <v>1105</v>
      </c>
      <c r="E228" s="286" t="s">
        <v>1106</v>
      </c>
      <c r="F228" s="286" t="s">
        <v>2152</v>
      </c>
      <c r="G228" s="286" t="s">
        <v>1056</v>
      </c>
      <c r="H228" s="286" t="s">
        <v>1056</v>
      </c>
      <c r="I228" s="286" t="s">
        <v>1199</v>
      </c>
      <c r="J228" s="286" t="s">
        <v>53</v>
      </c>
      <c r="K228" s="286" t="s">
        <v>53</v>
      </c>
      <c r="L228" s="286" t="s">
        <v>53</v>
      </c>
      <c r="M228" s="286" t="s">
        <v>53</v>
      </c>
      <c r="N228" s="287">
        <v>12687.52</v>
      </c>
      <c r="O228" s="294">
        <f t="shared" si="3"/>
        <v>45322</v>
      </c>
      <c r="P228" s="286" t="s">
        <v>58</v>
      </c>
    </row>
    <row r="229" spans="1:16" hidden="1" x14ac:dyDescent="0.15">
      <c r="A229" s="286">
        <v>472168</v>
      </c>
      <c r="B229" s="288">
        <v>45331.416666666664</v>
      </c>
      <c r="C229" s="286" t="s">
        <v>2113</v>
      </c>
      <c r="D229" s="286" t="s">
        <v>1105</v>
      </c>
      <c r="E229" s="286" t="s">
        <v>1106</v>
      </c>
      <c r="F229" s="286" t="s">
        <v>2153</v>
      </c>
      <c r="G229" s="286" t="s">
        <v>1056</v>
      </c>
      <c r="H229" s="286" t="s">
        <v>1056</v>
      </c>
      <c r="I229" s="286" t="s">
        <v>1199</v>
      </c>
      <c r="J229" s="286" t="s">
        <v>53</v>
      </c>
      <c r="K229" s="286" t="s">
        <v>53</v>
      </c>
      <c r="L229" s="286" t="s">
        <v>53</v>
      </c>
      <c r="M229" s="286" t="s">
        <v>53</v>
      </c>
      <c r="N229" s="287">
        <v>12687.52</v>
      </c>
      <c r="O229" s="294">
        <f t="shared" si="3"/>
        <v>45351</v>
      </c>
      <c r="P229" s="286" t="s">
        <v>58</v>
      </c>
    </row>
    <row r="230" spans="1:16" hidden="1" x14ac:dyDescent="0.15">
      <c r="A230" s="286">
        <v>504817</v>
      </c>
      <c r="B230" s="288">
        <v>45359.645138888889</v>
      </c>
      <c r="C230" s="286" t="s">
        <v>2109</v>
      </c>
      <c r="D230" s="286" t="s">
        <v>1105</v>
      </c>
      <c r="E230" s="286" t="s">
        <v>1106</v>
      </c>
      <c r="F230" s="286" t="s">
        <v>2154</v>
      </c>
      <c r="G230" s="286" t="s">
        <v>1056</v>
      </c>
      <c r="H230" s="286" t="s">
        <v>1056</v>
      </c>
      <c r="I230" s="286" t="s">
        <v>1199</v>
      </c>
      <c r="J230" s="286" t="s">
        <v>53</v>
      </c>
      <c r="K230" s="286" t="s">
        <v>53</v>
      </c>
      <c r="L230" s="286" t="s">
        <v>53</v>
      </c>
      <c r="M230" s="286" t="s">
        <v>53</v>
      </c>
      <c r="N230" s="287">
        <v>12687.52</v>
      </c>
      <c r="O230" s="294">
        <f t="shared" si="3"/>
        <v>45382</v>
      </c>
      <c r="P230" s="286" t="s">
        <v>58</v>
      </c>
    </row>
    <row r="231" spans="1:16" hidden="1" x14ac:dyDescent="0.15">
      <c r="A231" s="286">
        <v>697810</v>
      </c>
      <c r="B231" s="288">
        <v>45510.366666666669</v>
      </c>
      <c r="C231" s="286" t="s">
        <v>2102</v>
      </c>
      <c r="D231" s="286" t="s">
        <v>1105</v>
      </c>
      <c r="E231" s="286" t="s">
        <v>1106</v>
      </c>
      <c r="F231" s="286" t="s">
        <v>2138</v>
      </c>
      <c r="G231" s="286" t="s">
        <v>1041</v>
      </c>
      <c r="H231" s="286" t="s">
        <v>1041</v>
      </c>
      <c r="I231" s="286" t="s">
        <v>1199</v>
      </c>
      <c r="J231" s="286" t="s">
        <v>1312</v>
      </c>
      <c r="K231" s="286" t="s">
        <v>1796</v>
      </c>
      <c r="L231" s="286" t="s">
        <v>672</v>
      </c>
      <c r="M231" s="286">
        <v>5</v>
      </c>
      <c r="N231" s="287">
        <v>12498.86</v>
      </c>
      <c r="O231" s="294">
        <f t="shared" si="3"/>
        <v>45535</v>
      </c>
      <c r="P231" s="286" t="s">
        <v>58</v>
      </c>
    </row>
    <row r="232" spans="1:16" hidden="1" x14ac:dyDescent="0.15">
      <c r="A232" s="286">
        <v>745911</v>
      </c>
      <c r="B232" s="288">
        <v>45538.44027777778</v>
      </c>
      <c r="C232" s="286" t="s">
        <v>2132</v>
      </c>
      <c r="D232" s="286" t="s">
        <v>1105</v>
      </c>
      <c r="E232" s="286" t="s">
        <v>1106</v>
      </c>
      <c r="F232" s="286" t="s">
        <v>2139</v>
      </c>
      <c r="G232" s="286" t="s">
        <v>1041</v>
      </c>
      <c r="H232" s="286" t="s">
        <v>1041</v>
      </c>
      <c r="I232" s="286" t="s">
        <v>1199</v>
      </c>
      <c r="J232" s="286" t="s">
        <v>1312</v>
      </c>
      <c r="K232" s="286" t="s">
        <v>1796</v>
      </c>
      <c r="L232" s="286" t="s">
        <v>672</v>
      </c>
      <c r="M232" s="286">
        <v>5</v>
      </c>
      <c r="N232" s="287">
        <v>12498.86</v>
      </c>
      <c r="O232" s="294">
        <f t="shared" si="3"/>
        <v>45565</v>
      </c>
      <c r="P232" s="286" t="s">
        <v>58</v>
      </c>
    </row>
    <row r="233" spans="1:16" hidden="1" x14ac:dyDescent="0.15">
      <c r="A233" s="286">
        <v>848817</v>
      </c>
      <c r="B233" s="288">
        <v>45607.65902777778</v>
      </c>
      <c r="C233" s="286" t="s">
        <v>2130</v>
      </c>
      <c r="D233" s="286" t="s">
        <v>1105</v>
      </c>
      <c r="E233" s="286" t="s">
        <v>1106</v>
      </c>
      <c r="F233" s="286" t="s">
        <v>2140</v>
      </c>
      <c r="G233" s="286" t="s">
        <v>1041</v>
      </c>
      <c r="H233" s="286" t="s">
        <v>1041</v>
      </c>
      <c r="I233" s="286" t="s">
        <v>1199</v>
      </c>
      <c r="J233" s="286" t="s">
        <v>1312</v>
      </c>
      <c r="K233" s="286" t="s">
        <v>1796</v>
      </c>
      <c r="L233" s="286" t="s">
        <v>672</v>
      </c>
      <c r="M233" s="286">
        <v>5</v>
      </c>
      <c r="N233" s="287">
        <v>12498.86</v>
      </c>
      <c r="O233" s="294">
        <f t="shared" si="3"/>
        <v>45626</v>
      </c>
      <c r="P233" s="286" t="s">
        <v>58</v>
      </c>
    </row>
    <row r="234" spans="1:16" hidden="1" x14ac:dyDescent="0.15">
      <c r="A234" s="286">
        <v>848917</v>
      </c>
      <c r="B234" s="288">
        <v>45607.660416666666</v>
      </c>
      <c r="C234" s="286" t="s">
        <v>2100</v>
      </c>
      <c r="D234" s="286" t="s">
        <v>1105</v>
      </c>
      <c r="E234" s="286" t="s">
        <v>1106</v>
      </c>
      <c r="F234" s="286" t="s">
        <v>2141</v>
      </c>
      <c r="G234" s="286" t="s">
        <v>1041</v>
      </c>
      <c r="H234" s="286" t="s">
        <v>1041</v>
      </c>
      <c r="I234" s="286" t="s">
        <v>1199</v>
      </c>
      <c r="J234" s="286" t="s">
        <v>1312</v>
      </c>
      <c r="K234" s="286" t="s">
        <v>1796</v>
      </c>
      <c r="L234" s="286" t="s">
        <v>672</v>
      </c>
      <c r="M234" s="286">
        <v>5</v>
      </c>
      <c r="N234" s="287">
        <v>12498.86</v>
      </c>
      <c r="O234" s="294">
        <f t="shared" si="3"/>
        <v>45626</v>
      </c>
      <c r="P234" s="286" t="s">
        <v>58</v>
      </c>
    </row>
    <row r="235" spans="1:16" hidden="1" x14ac:dyDescent="0.15">
      <c r="A235" s="286">
        <v>874698</v>
      </c>
      <c r="B235" s="288">
        <v>45628.357638888891</v>
      </c>
      <c r="C235" s="286" t="s">
        <v>2098</v>
      </c>
      <c r="D235" s="286" t="s">
        <v>1105</v>
      </c>
      <c r="E235" s="286" t="s">
        <v>1106</v>
      </c>
      <c r="F235" s="286" t="s">
        <v>2142</v>
      </c>
      <c r="G235" s="286" t="s">
        <v>1041</v>
      </c>
      <c r="H235" s="286" t="s">
        <v>1041</v>
      </c>
      <c r="I235" s="286" t="s">
        <v>1199</v>
      </c>
      <c r="J235" s="286" t="s">
        <v>1312</v>
      </c>
      <c r="K235" s="286" t="s">
        <v>1796</v>
      </c>
      <c r="L235" s="286" t="s">
        <v>672</v>
      </c>
      <c r="M235" s="286">
        <v>5</v>
      </c>
      <c r="N235" s="287">
        <v>12498.86</v>
      </c>
      <c r="O235" s="294">
        <f t="shared" si="3"/>
        <v>45657</v>
      </c>
      <c r="P235" s="286" t="s">
        <v>58</v>
      </c>
    </row>
    <row r="236" spans="1:16" hidden="1" x14ac:dyDescent="0.15">
      <c r="A236" s="286">
        <v>567450</v>
      </c>
      <c r="B236" s="288">
        <v>45415.564583333333</v>
      </c>
      <c r="C236" s="286" t="s">
        <v>2096</v>
      </c>
      <c r="D236" s="286" t="s">
        <v>1105</v>
      </c>
      <c r="E236" s="286" t="s">
        <v>1106</v>
      </c>
      <c r="F236" s="286" t="s">
        <v>2097</v>
      </c>
      <c r="G236" s="286" t="s">
        <v>1054</v>
      </c>
      <c r="H236" s="286" t="s">
        <v>1054</v>
      </c>
      <c r="I236" s="286" t="s">
        <v>1108</v>
      </c>
      <c r="J236" s="286" t="s">
        <v>1312</v>
      </c>
      <c r="K236" s="286" t="s">
        <v>1765</v>
      </c>
      <c r="L236" s="286" t="s">
        <v>596</v>
      </c>
      <c r="M236" s="286">
        <v>1</v>
      </c>
      <c r="N236" s="287">
        <v>12470</v>
      </c>
      <c r="O236" s="294">
        <f t="shared" si="3"/>
        <v>45443</v>
      </c>
      <c r="P236" s="286" t="s">
        <v>37</v>
      </c>
    </row>
    <row r="237" spans="1:16" hidden="1" x14ac:dyDescent="0.15">
      <c r="A237" s="286">
        <v>534207</v>
      </c>
      <c r="B237" s="288">
        <v>45385.750694444447</v>
      </c>
      <c r="C237" s="286" t="s">
        <v>2096</v>
      </c>
      <c r="D237" s="286" t="s">
        <v>1105</v>
      </c>
      <c r="E237" s="286" t="s">
        <v>1106</v>
      </c>
      <c r="F237" s="286" t="s">
        <v>2155</v>
      </c>
      <c r="G237" s="286" t="s">
        <v>1008</v>
      </c>
      <c r="H237" s="286" t="s">
        <v>1008</v>
      </c>
      <c r="I237" s="286" t="s">
        <v>1199</v>
      </c>
      <c r="J237" s="286" t="s">
        <v>1312</v>
      </c>
      <c r="K237" s="286" t="s">
        <v>2236</v>
      </c>
      <c r="L237" s="286" t="s">
        <v>672</v>
      </c>
      <c r="M237" s="286">
        <v>1</v>
      </c>
      <c r="N237" s="287">
        <v>12364.65</v>
      </c>
      <c r="O237" s="294">
        <f t="shared" si="3"/>
        <v>45412</v>
      </c>
      <c r="P237" s="286" t="s">
        <v>58</v>
      </c>
    </row>
    <row r="238" spans="1:16" hidden="1" x14ac:dyDescent="0.15">
      <c r="A238" s="286">
        <v>614216</v>
      </c>
      <c r="B238" s="288">
        <v>45455.716666666667</v>
      </c>
      <c r="C238" s="286" t="s">
        <v>2116</v>
      </c>
      <c r="D238" s="286" t="s">
        <v>1105</v>
      </c>
      <c r="E238" s="286" t="s">
        <v>1106</v>
      </c>
      <c r="F238" s="286" t="s">
        <v>2156</v>
      </c>
      <c r="G238" s="286" t="s">
        <v>1008</v>
      </c>
      <c r="H238" s="286" t="s">
        <v>1008</v>
      </c>
      <c r="I238" s="286" t="s">
        <v>1199</v>
      </c>
      <c r="J238" s="286" t="s">
        <v>1312</v>
      </c>
      <c r="K238" s="286" t="s">
        <v>2236</v>
      </c>
      <c r="L238" s="286" t="s">
        <v>672</v>
      </c>
      <c r="M238" s="286">
        <v>1</v>
      </c>
      <c r="N238" s="287">
        <v>12364.65</v>
      </c>
      <c r="O238" s="294">
        <f t="shared" si="3"/>
        <v>45473</v>
      </c>
      <c r="P238" s="286" t="s">
        <v>58</v>
      </c>
    </row>
    <row r="239" spans="1:16" hidden="1" x14ac:dyDescent="0.15">
      <c r="A239" s="286">
        <v>608480</v>
      </c>
      <c r="B239" s="288">
        <v>45450.422222222223</v>
      </c>
      <c r="C239" s="286" t="s">
        <v>2092</v>
      </c>
      <c r="D239" s="286" t="s">
        <v>1105</v>
      </c>
      <c r="E239" s="286" t="s">
        <v>1106</v>
      </c>
      <c r="F239" s="286" t="s">
        <v>2157</v>
      </c>
      <c r="G239" s="286" t="s">
        <v>1008</v>
      </c>
      <c r="H239" s="286" t="s">
        <v>1008</v>
      </c>
      <c r="I239" s="286" t="s">
        <v>1199</v>
      </c>
      <c r="J239" s="286" t="s">
        <v>1312</v>
      </c>
      <c r="K239" s="286" t="s">
        <v>2236</v>
      </c>
      <c r="L239" s="286" t="s">
        <v>672</v>
      </c>
      <c r="M239" s="286">
        <v>1</v>
      </c>
      <c r="N239" s="287">
        <v>12364.65</v>
      </c>
      <c r="O239" s="294">
        <f t="shared" si="3"/>
        <v>45473</v>
      </c>
      <c r="P239" s="286" t="s">
        <v>58</v>
      </c>
    </row>
    <row r="240" spans="1:16" hidden="1" x14ac:dyDescent="0.15">
      <c r="A240" s="286">
        <v>646075</v>
      </c>
      <c r="B240" s="288">
        <v>45474.519444444442</v>
      </c>
      <c r="C240" s="286" t="s">
        <v>2111</v>
      </c>
      <c r="D240" s="286" t="s">
        <v>1105</v>
      </c>
      <c r="E240" s="286" t="s">
        <v>1106</v>
      </c>
      <c r="F240" s="286" t="s">
        <v>2137</v>
      </c>
      <c r="G240" s="286" t="s">
        <v>1008</v>
      </c>
      <c r="H240" s="286" t="s">
        <v>1008</v>
      </c>
      <c r="I240" s="286" t="s">
        <v>1199</v>
      </c>
      <c r="J240" s="286" t="s">
        <v>1312</v>
      </c>
      <c r="K240" s="286" t="s">
        <v>2236</v>
      </c>
      <c r="L240" s="286" t="s">
        <v>672</v>
      </c>
      <c r="M240" s="286">
        <v>1</v>
      </c>
      <c r="N240" s="287">
        <v>12364.65</v>
      </c>
      <c r="O240" s="294">
        <f t="shared" si="3"/>
        <v>45504</v>
      </c>
      <c r="P240" s="286" t="s">
        <v>58</v>
      </c>
    </row>
    <row r="241" spans="1:16" hidden="1" x14ac:dyDescent="0.15">
      <c r="A241" s="286">
        <v>697810</v>
      </c>
      <c r="B241" s="288">
        <v>45510.366666666669</v>
      </c>
      <c r="C241" s="286" t="s">
        <v>2102</v>
      </c>
      <c r="D241" s="286" t="s">
        <v>1105</v>
      </c>
      <c r="E241" s="286" t="s">
        <v>1106</v>
      </c>
      <c r="F241" s="286" t="s">
        <v>2138</v>
      </c>
      <c r="G241" s="286" t="s">
        <v>1008</v>
      </c>
      <c r="H241" s="286" t="s">
        <v>1008</v>
      </c>
      <c r="I241" s="286" t="s">
        <v>1199</v>
      </c>
      <c r="J241" s="286" t="s">
        <v>1312</v>
      </c>
      <c r="K241" s="286" t="s">
        <v>2236</v>
      </c>
      <c r="L241" s="286" t="s">
        <v>672</v>
      </c>
      <c r="M241" s="286">
        <v>1</v>
      </c>
      <c r="N241" s="287">
        <v>12364.65</v>
      </c>
      <c r="O241" s="294">
        <f t="shared" si="3"/>
        <v>45535</v>
      </c>
      <c r="P241" s="286" t="s">
        <v>58</v>
      </c>
    </row>
    <row r="242" spans="1:16" hidden="1" x14ac:dyDescent="0.15">
      <c r="A242" s="286">
        <v>745911</v>
      </c>
      <c r="B242" s="288">
        <v>45538.44027777778</v>
      </c>
      <c r="C242" s="286" t="s">
        <v>2132</v>
      </c>
      <c r="D242" s="286" t="s">
        <v>1105</v>
      </c>
      <c r="E242" s="286" t="s">
        <v>1106</v>
      </c>
      <c r="F242" s="286" t="s">
        <v>2139</v>
      </c>
      <c r="G242" s="286" t="s">
        <v>1008</v>
      </c>
      <c r="H242" s="286" t="s">
        <v>1008</v>
      </c>
      <c r="I242" s="286" t="s">
        <v>1199</v>
      </c>
      <c r="J242" s="286" t="s">
        <v>1312</v>
      </c>
      <c r="K242" s="286" t="s">
        <v>2236</v>
      </c>
      <c r="L242" s="286" t="s">
        <v>672</v>
      </c>
      <c r="M242" s="286">
        <v>1</v>
      </c>
      <c r="N242" s="287">
        <v>12364.65</v>
      </c>
      <c r="O242" s="294">
        <f t="shared" si="3"/>
        <v>45565</v>
      </c>
      <c r="P242" s="286" t="s">
        <v>58</v>
      </c>
    </row>
    <row r="243" spans="1:16" hidden="1" x14ac:dyDescent="0.15">
      <c r="A243" s="286">
        <v>848817</v>
      </c>
      <c r="B243" s="288">
        <v>45607.65902777778</v>
      </c>
      <c r="C243" s="286" t="s">
        <v>2130</v>
      </c>
      <c r="D243" s="286" t="s">
        <v>1105</v>
      </c>
      <c r="E243" s="286" t="s">
        <v>1106</v>
      </c>
      <c r="F243" s="286" t="s">
        <v>2140</v>
      </c>
      <c r="G243" s="286" t="s">
        <v>1008</v>
      </c>
      <c r="H243" s="286" t="s">
        <v>1008</v>
      </c>
      <c r="I243" s="286" t="s">
        <v>1199</v>
      </c>
      <c r="J243" s="286" t="s">
        <v>1312</v>
      </c>
      <c r="K243" s="286" t="s">
        <v>2236</v>
      </c>
      <c r="L243" s="286" t="s">
        <v>672</v>
      </c>
      <c r="M243" s="286">
        <v>1</v>
      </c>
      <c r="N243" s="287">
        <v>12364.65</v>
      </c>
      <c r="O243" s="294">
        <f t="shared" si="3"/>
        <v>45626</v>
      </c>
      <c r="P243" s="286" t="s">
        <v>58</v>
      </c>
    </row>
    <row r="244" spans="1:16" hidden="1" x14ac:dyDescent="0.15">
      <c r="A244" s="286">
        <v>848917</v>
      </c>
      <c r="B244" s="288">
        <v>45607.660416666666</v>
      </c>
      <c r="C244" s="286" t="s">
        <v>2100</v>
      </c>
      <c r="D244" s="286" t="s">
        <v>1105</v>
      </c>
      <c r="E244" s="286" t="s">
        <v>1106</v>
      </c>
      <c r="F244" s="286" t="s">
        <v>2141</v>
      </c>
      <c r="G244" s="286" t="s">
        <v>1008</v>
      </c>
      <c r="H244" s="286" t="s">
        <v>1008</v>
      </c>
      <c r="I244" s="286" t="s">
        <v>1199</v>
      </c>
      <c r="J244" s="286" t="s">
        <v>1312</v>
      </c>
      <c r="K244" s="286" t="s">
        <v>2236</v>
      </c>
      <c r="L244" s="286" t="s">
        <v>672</v>
      </c>
      <c r="M244" s="286">
        <v>1</v>
      </c>
      <c r="N244" s="287">
        <v>12364.65</v>
      </c>
      <c r="O244" s="294">
        <f t="shared" si="3"/>
        <v>45626</v>
      </c>
      <c r="P244" s="286" t="s">
        <v>58</v>
      </c>
    </row>
    <row r="245" spans="1:16" hidden="1" x14ac:dyDescent="0.15">
      <c r="A245" s="286">
        <v>874698</v>
      </c>
      <c r="B245" s="288">
        <v>45628.357638888891</v>
      </c>
      <c r="C245" s="286" t="s">
        <v>2098</v>
      </c>
      <c r="D245" s="286" t="s">
        <v>1105</v>
      </c>
      <c r="E245" s="286" t="s">
        <v>1106</v>
      </c>
      <c r="F245" s="286" t="s">
        <v>2142</v>
      </c>
      <c r="G245" s="286" t="s">
        <v>1008</v>
      </c>
      <c r="H245" s="286" t="s">
        <v>1008</v>
      </c>
      <c r="I245" s="286" t="s">
        <v>1199</v>
      </c>
      <c r="J245" s="286" t="s">
        <v>1312</v>
      </c>
      <c r="K245" s="286" t="s">
        <v>2236</v>
      </c>
      <c r="L245" s="286" t="s">
        <v>672</v>
      </c>
      <c r="M245" s="286">
        <v>1</v>
      </c>
      <c r="N245" s="287">
        <v>12364.65</v>
      </c>
      <c r="O245" s="294">
        <f t="shared" si="3"/>
        <v>45657</v>
      </c>
      <c r="P245" s="286" t="s">
        <v>58</v>
      </c>
    </row>
    <row r="246" spans="1:16" hidden="1" x14ac:dyDescent="0.15">
      <c r="A246" s="286">
        <v>744088</v>
      </c>
      <c r="B246" s="288">
        <v>45533.661111111112</v>
      </c>
      <c r="C246" s="286" t="s">
        <v>2102</v>
      </c>
      <c r="D246" s="286" t="s">
        <v>1105</v>
      </c>
      <c r="E246" s="286" t="s">
        <v>1106</v>
      </c>
      <c r="F246" s="286" t="s">
        <v>2170</v>
      </c>
      <c r="G246" s="286" t="s">
        <v>1061</v>
      </c>
      <c r="H246" s="286" t="s">
        <v>1061</v>
      </c>
      <c r="I246" s="286" t="s">
        <v>1230</v>
      </c>
      <c r="J246" s="286" t="s">
        <v>1312</v>
      </c>
      <c r="K246" s="286" t="s">
        <v>2210</v>
      </c>
      <c r="L246" s="286" t="s">
        <v>2028</v>
      </c>
      <c r="M246" s="286">
        <v>1</v>
      </c>
      <c r="N246" s="287">
        <v>12218</v>
      </c>
      <c r="O246" s="294">
        <f t="shared" si="3"/>
        <v>45535</v>
      </c>
      <c r="P246" s="286" t="s">
        <v>175</v>
      </c>
    </row>
    <row r="247" spans="1:16" hidden="1" x14ac:dyDescent="0.15">
      <c r="A247" s="286">
        <v>840638</v>
      </c>
      <c r="B247" s="288">
        <v>45601.388888888891</v>
      </c>
      <c r="C247" s="286" t="s">
        <v>2130</v>
      </c>
      <c r="D247" s="286" t="s">
        <v>1105</v>
      </c>
      <c r="E247" s="286" t="s">
        <v>1106</v>
      </c>
      <c r="F247" s="286" t="s">
        <v>2165</v>
      </c>
      <c r="G247" s="286" t="s">
        <v>1007</v>
      </c>
      <c r="H247" s="286" t="s">
        <v>1007</v>
      </c>
      <c r="I247" s="286" t="s">
        <v>1230</v>
      </c>
      <c r="J247" s="286" t="s">
        <v>1312</v>
      </c>
      <c r="K247" s="286" t="s">
        <v>2166</v>
      </c>
      <c r="L247" s="286" t="s">
        <v>2028</v>
      </c>
      <c r="M247" s="286">
        <v>1</v>
      </c>
      <c r="N247" s="287">
        <v>12218</v>
      </c>
      <c r="O247" s="294">
        <f t="shared" si="3"/>
        <v>45626</v>
      </c>
      <c r="P247" s="286" t="s">
        <v>175</v>
      </c>
    </row>
    <row r="248" spans="1:16" hidden="1" x14ac:dyDescent="0.15">
      <c r="A248" s="286">
        <v>840638</v>
      </c>
      <c r="B248" s="288">
        <v>45601.388888888891</v>
      </c>
      <c r="C248" s="286" t="s">
        <v>2130</v>
      </c>
      <c r="D248" s="286" t="s">
        <v>1105</v>
      </c>
      <c r="E248" s="286" t="s">
        <v>1106</v>
      </c>
      <c r="F248" s="286" t="s">
        <v>2165</v>
      </c>
      <c r="G248" s="286" t="s">
        <v>1007</v>
      </c>
      <c r="H248" s="286" t="s">
        <v>1007</v>
      </c>
      <c r="I248" s="286" t="s">
        <v>1230</v>
      </c>
      <c r="J248" s="286" t="s">
        <v>1312</v>
      </c>
      <c r="K248" s="286" t="s">
        <v>2166</v>
      </c>
      <c r="L248" s="286" t="s">
        <v>2028</v>
      </c>
      <c r="M248" s="286">
        <v>1</v>
      </c>
      <c r="N248" s="287">
        <v>12218</v>
      </c>
      <c r="O248" s="294">
        <f t="shared" si="3"/>
        <v>45626</v>
      </c>
      <c r="P248" s="286" t="s">
        <v>175</v>
      </c>
    </row>
    <row r="249" spans="1:16" hidden="1" x14ac:dyDescent="0.15">
      <c r="A249" s="286">
        <v>888694</v>
      </c>
      <c r="B249" s="288">
        <v>45636.390972222223</v>
      </c>
      <c r="C249" s="286" t="s">
        <v>2100</v>
      </c>
      <c r="D249" s="286" t="s">
        <v>1105</v>
      </c>
      <c r="E249" s="286" t="s">
        <v>1106</v>
      </c>
      <c r="F249" s="286" t="s">
        <v>2237</v>
      </c>
      <c r="G249" s="286" t="s">
        <v>1048</v>
      </c>
      <c r="H249" s="286" t="s">
        <v>1048</v>
      </c>
      <c r="I249" s="286" t="s">
        <v>1112</v>
      </c>
      <c r="J249" s="286" t="s">
        <v>1312</v>
      </c>
      <c r="K249" s="286" t="s">
        <v>2238</v>
      </c>
      <c r="L249" s="286" t="s">
        <v>1783</v>
      </c>
      <c r="M249" s="286">
        <v>1</v>
      </c>
      <c r="N249" s="287">
        <v>12218</v>
      </c>
      <c r="O249" s="294">
        <f t="shared" si="3"/>
        <v>45657</v>
      </c>
      <c r="P249" s="286" t="s">
        <v>175</v>
      </c>
    </row>
    <row r="250" spans="1:16" hidden="1" x14ac:dyDescent="0.15">
      <c r="A250" s="286">
        <v>438112</v>
      </c>
      <c r="B250" s="288">
        <v>45293.53402777778</v>
      </c>
      <c r="C250" s="286" t="s">
        <v>2125</v>
      </c>
      <c r="D250" s="286" t="s">
        <v>1105</v>
      </c>
      <c r="E250" s="286" t="s">
        <v>1106</v>
      </c>
      <c r="F250" s="286" t="s">
        <v>2152</v>
      </c>
      <c r="G250" s="286" t="s">
        <v>1766</v>
      </c>
      <c r="H250" s="286" t="s">
        <v>1766</v>
      </c>
      <c r="I250" s="286" t="s">
        <v>1199</v>
      </c>
      <c r="J250" s="286" t="s">
        <v>1312</v>
      </c>
      <c r="K250" s="286" t="s">
        <v>1767</v>
      </c>
      <c r="L250" s="286" t="s">
        <v>53</v>
      </c>
      <c r="M250" s="286">
        <v>1</v>
      </c>
      <c r="N250" s="287">
        <v>12119.79</v>
      </c>
      <c r="O250" s="294">
        <f t="shared" si="3"/>
        <v>45322</v>
      </c>
      <c r="P250" s="286" t="s">
        <v>58</v>
      </c>
    </row>
    <row r="251" spans="1:16" hidden="1" x14ac:dyDescent="0.15">
      <c r="A251" s="286">
        <v>472168</v>
      </c>
      <c r="B251" s="288">
        <v>45331.416666666664</v>
      </c>
      <c r="C251" s="286" t="s">
        <v>2113</v>
      </c>
      <c r="D251" s="286" t="s">
        <v>1105</v>
      </c>
      <c r="E251" s="286" t="s">
        <v>1106</v>
      </c>
      <c r="F251" s="286" t="s">
        <v>2153</v>
      </c>
      <c r="G251" s="286" t="s">
        <v>1766</v>
      </c>
      <c r="H251" s="286" t="s">
        <v>1766</v>
      </c>
      <c r="I251" s="286" t="s">
        <v>1199</v>
      </c>
      <c r="J251" s="286" t="s">
        <v>1312</v>
      </c>
      <c r="K251" s="286" t="s">
        <v>1767</v>
      </c>
      <c r="L251" s="286" t="s">
        <v>53</v>
      </c>
      <c r="M251" s="286">
        <v>1</v>
      </c>
      <c r="N251" s="287">
        <v>12119.79</v>
      </c>
      <c r="O251" s="294">
        <f t="shared" si="3"/>
        <v>45351</v>
      </c>
      <c r="P251" s="286" t="s">
        <v>58</v>
      </c>
    </row>
    <row r="252" spans="1:16" hidden="1" x14ac:dyDescent="0.15">
      <c r="A252" s="286">
        <v>504817</v>
      </c>
      <c r="B252" s="288">
        <v>45359.645138888889</v>
      </c>
      <c r="C252" s="286" t="s">
        <v>2109</v>
      </c>
      <c r="D252" s="286" t="s">
        <v>1105</v>
      </c>
      <c r="E252" s="286" t="s">
        <v>1106</v>
      </c>
      <c r="F252" s="286" t="s">
        <v>2154</v>
      </c>
      <c r="G252" s="286" t="s">
        <v>1766</v>
      </c>
      <c r="H252" s="286" t="s">
        <v>1766</v>
      </c>
      <c r="I252" s="286" t="s">
        <v>1199</v>
      </c>
      <c r="J252" s="286" t="s">
        <v>1312</v>
      </c>
      <c r="K252" s="286" t="s">
        <v>1767</v>
      </c>
      <c r="L252" s="286" t="s">
        <v>53</v>
      </c>
      <c r="M252" s="286">
        <v>1</v>
      </c>
      <c r="N252" s="287">
        <v>12119.79</v>
      </c>
      <c r="O252" s="294">
        <f t="shared" si="3"/>
        <v>45382</v>
      </c>
      <c r="P252" s="286" t="s">
        <v>58</v>
      </c>
    </row>
    <row r="253" spans="1:16" hidden="1" x14ac:dyDescent="0.15">
      <c r="A253" s="286">
        <v>534207</v>
      </c>
      <c r="B253" s="288">
        <v>45385.750694444447</v>
      </c>
      <c r="C253" s="286" t="s">
        <v>2096</v>
      </c>
      <c r="D253" s="286" t="s">
        <v>1105</v>
      </c>
      <c r="E253" s="286" t="s">
        <v>1106</v>
      </c>
      <c r="F253" s="286" t="s">
        <v>2155</v>
      </c>
      <c r="G253" s="286" t="s">
        <v>1766</v>
      </c>
      <c r="H253" s="286" t="s">
        <v>1766</v>
      </c>
      <c r="I253" s="286" t="s">
        <v>1199</v>
      </c>
      <c r="J253" s="286" t="s">
        <v>1312</v>
      </c>
      <c r="K253" s="286" t="s">
        <v>1767</v>
      </c>
      <c r="L253" s="286" t="s">
        <v>53</v>
      </c>
      <c r="M253" s="286">
        <v>1</v>
      </c>
      <c r="N253" s="287">
        <v>12119.79</v>
      </c>
      <c r="O253" s="294">
        <f t="shared" si="3"/>
        <v>45412</v>
      </c>
      <c r="P253" s="286" t="s">
        <v>58</v>
      </c>
    </row>
    <row r="254" spans="1:16" hidden="1" x14ac:dyDescent="0.15">
      <c r="A254" s="286">
        <v>614216</v>
      </c>
      <c r="B254" s="288">
        <v>45455.716666666667</v>
      </c>
      <c r="C254" s="286" t="s">
        <v>2116</v>
      </c>
      <c r="D254" s="286" t="s">
        <v>1105</v>
      </c>
      <c r="E254" s="286" t="s">
        <v>1106</v>
      </c>
      <c r="F254" s="286" t="s">
        <v>2156</v>
      </c>
      <c r="G254" s="286" t="s">
        <v>1016</v>
      </c>
      <c r="H254" s="286" t="s">
        <v>1016</v>
      </c>
      <c r="I254" s="286" t="s">
        <v>1199</v>
      </c>
      <c r="J254" s="286" t="s">
        <v>1312</v>
      </c>
      <c r="K254" s="286" t="s">
        <v>1767</v>
      </c>
      <c r="L254" s="286" t="s">
        <v>53</v>
      </c>
      <c r="M254" s="286">
        <v>1</v>
      </c>
      <c r="N254" s="287">
        <v>12119.79</v>
      </c>
      <c r="O254" s="294">
        <f t="shared" si="3"/>
        <v>45473</v>
      </c>
      <c r="P254" s="286" t="s">
        <v>58</v>
      </c>
    </row>
    <row r="255" spans="1:16" hidden="1" x14ac:dyDescent="0.15">
      <c r="A255" s="286">
        <v>608480</v>
      </c>
      <c r="B255" s="288">
        <v>45450.422222222223</v>
      </c>
      <c r="C255" s="286" t="s">
        <v>2092</v>
      </c>
      <c r="D255" s="286" t="s">
        <v>1105</v>
      </c>
      <c r="E255" s="286" t="s">
        <v>1106</v>
      </c>
      <c r="F255" s="286" t="s">
        <v>2157</v>
      </c>
      <c r="G255" s="286" t="s">
        <v>1016</v>
      </c>
      <c r="H255" s="286" t="s">
        <v>1016</v>
      </c>
      <c r="I255" s="286" t="s">
        <v>1199</v>
      </c>
      <c r="J255" s="286" t="s">
        <v>1312</v>
      </c>
      <c r="K255" s="286" t="s">
        <v>1767</v>
      </c>
      <c r="L255" s="286" t="s">
        <v>53</v>
      </c>
      <c r="M255" s="286">
        <v>1</v>
      </c>
      <c r="N255" s="287">
        <v>12119.79</v>
      </c>
      <c r="O255" s="294">
        <f t="shared" si="3"/>
        <v>45473</v>
      </c>
      <c r="P255" s="286" t="s">
        <v>58</v>
      </c>
    </row>
    <row r="256" spans="1:16" hidden="1" x14ac:dyDescent="0.15">
      <c r="A256" s="286">
        <v>646075</v>
      </c>
      <c r="B256" s="288">
        <v>45474.519444444442</v>
      </c>
      <c r="C256" s="286" t="s">
        <v>2111</v>
      </c>
      <c r="D256" s="286" t="s">
        <v>1105</v>
      </c>
      <c r="E256" s="286" t="s">
        <v>1106</v>
      </c>
      <c r="F256" s="286" t="s">
        <v>2137</v>
      </c>
      <c r="G256" s="286" t="s">
        <v>1016</v>
      </c>
      <c r="H256" s="286" t="s">
        <v>1016</v>
      </c>
      <c r="I256" s="286" t="s">
        <v>1199</v>
      </c>
      <c r="J256" s="286" t="s">
        <v>1312</v>
      </c>
      <c r="K256" s="286" t="s">
        <v>1767</v>
      </c>
      <c r="L256" s="286" t="s">
        <v>53</v>
      </c>
      <c r="M256" s="286">
        <v>1</v>
      </c>
      <c r="N256" s="287">
        <v>12119.79</v>
      </c>
      <c r="O256" s="294">
        <f t="shared" si="3"/>
        <v>45504</v>
      </c>
      <c r="P256" s="286" t="s">
        <v>58</v>
      </c>
    </row>
    <row r="257" spans="1:16" hidden="1" x14ac:dyDescent="0.15">
      <c r="A257" s="286">
        <v>697810</v>
      </c>
      <c r="B257" s="288">
        <v>45510.366666666669</v>
      </c>
      <c r="C257" s="286" t="s">
        <v>2102</v>
      </c>
      <c r="D257" s="286" t="s">
        <v>1105</v>
      </c>
      <c r="E257" s="286" t="s">
        <v>1106</v>
      </c>
      <c r="F257" s="286" t="s">
        <v>2138</v>
      </c>
      <c r="G257" s="286" t="s">
        <v>1016</v>
      </c>
      <c r="H257" s="286" t="s">
        <v>1016</v>
      </c>
      <c r="I257" s="286" t="s">
        <v>1199</v>
      </c>
      <c r="J257" s="286" t="s">
        <v>1312</v>
      </c>
      <c r="K257" s="286" t="s">
        <v>1767</v>
      </c>
      <c r="L257" s="286" t="s">
        <v>53</v>
      </c>
      <c r="M257" s="286">
        <v>1</v>
      </c>
      <c r="N257" s="287">
        <v>12119.74</v>
      </c>
      <c r="O257" s="294">
        <f t="shared" si="3"/>
        <v>45535</v>
      </c>
      <c r="P257" s="286" t="s">
        <v>58</v>
      </c>
    </row>
    <row r="258" spans="1:16" hidden="1" x14ac:dyDescent="0.15">
      <c r="A258" s="286">
        <v>618592</v>
      </c>
      <c r="B258" s="288">
        <v>45457.646527777775</v>
      </c>
      <c r="C258" s="286" t="s">
        <v>2116</v>
      </c>
      <c r="D258" s="286" t="s">
        <v>1105</v>
      </c>
      <c r="E258" s="286" t="s">
        <v>1106</v>
      </c>
      <c r="F258" s="286" t="s">
        <v>2117</v>
      </c>
      <c r="G258" s="286" t="s">
        <v>1006</v>
      </c>
      <c r="H258" s="286" t="s">
        <v>1006</v>
      </c>
      <c r="I258" s="286" t="s">
        <v>1112</v>
      </c>
      <c r="J258" s="286" t="s">
        <v>1312</v>
      </c>
      <c r="K258" s="286" t="s">
        <v>1776</v>
      </c>
      <c r="L258" s="286" t="s">
        <v>1679</v>
      </c>
      <c r="M258" s="286">
        <v>1</v>
      </c>
      <c r="N258" s="287">
        <v>12084</v>
      </c>
      <c r="O258" s="294">
        <f t="shared" si="3"/>
        <v>45473</v>
      </c>
      <c r="P258" s="286" t="s">
        <v>175</v>
      </c>
    </row>
    <row r="259" spans="1:16" hidden="1" x14ac:dyDescent="0.15">
      <c r="A259" s="286">
        <v>438112</v>
      </c>
      <c r="B259" s="288">
        <v>45293.53402777778</v>
      </c>
      <c r="C259" s="286" t="s">
        <v>2125</v>
      </c>
      <c r="D259" s="286" t="s">
        <v>1105</v>
      </c>
      <c r="E259" s="286" t="s">
        <v>1106</v>
      </c>
      <c r="F259" s="286" t="s">
        <v>2152</v>
      </c>
      <c r="G259" s="286" t="s">
        <v>1007</v>
      </c>
      <c r="H259" s="286" t="s">
        <v>1007</v>
      </c>
      <c r="I259" s="286" t="s">
        <v>1199</v>
      </c>
      <c r="J259" s="286" t="s">
        <v>1312</v>
      </c>
      <c r="K259" s="286" t="s">
        <v>1768</v>
      </c>
      <c r="L259" s="286" t="s">
        <v>672</v>
      </c>
      <c r="M259" s="286">
        <v>1</v>
      </c>
      <c r="N259" s="287">
        <v>12083.71</v>
      </c>
      <c r="O259" s="294">
        <f t="shared" si="3"/>
        <v>45322</v>
      </c>
      <c r="P259" s="286" t="s">
        <v>58</v>
      </c>
    </row>
    <row r="260" spans="1:16" hidden="1" x14ac:dyDescent="0.15">
      <c r="A260" s="286">
        <v>472168</v>
      </c>
      <c r="B260" s="288">
        <v>45331.416666666664</v>
      </c>
      <c r="C260" s="286" t="s">
        <v>2113</v>
      </c>
      <c r="D260" s="286" t="s">
        <v>1105</v>
      </c>
      <c r="E260" s="286" t="s">
        <v>1106</v>
      </c>
      <c r="F260" s="286" t="s">
        <v>2153</v>
      </c>
      <c r="G260" s="286" t="s">
        <v>1007</v>
      </c>
      <c r="H260" s="286" t="s">
        <v>1007</v>
      </c>
      <c r="I260" s="286" t="s">
        <v>1199</v>
      </c>
      <c r="J260" s="286" t="s">
        <v>1312</v>
      </c>
      <c r="K260" s="286" t="s">
        <v>1768</v>
      </c>
      <c r="L260" s="286" t="s">
        <v>672</v>
      </c>
      <c r="M260" s="286">
        <v>1</v>
      </c>
      <c r="N260" s="287">
        <v>12083.71</v>
      </c>
      <c r="O260" s="294">
        <f t="shared" ref="O260:O323" si="4">EOMONTH(B260,0)</f>
        <v>45351</v>
      </c>
      <c r="P260" s="286" t="s">
        <v>58</v>
      </c>
    </row>
    <row r="261" spans="1:16" hidden="1" x14ac:dyDescent="0.15">
      <c r="A261" s="286">
        <v>504817</v>
      </c>
      <c r="B261" s="288">
        <v>45359.645138888889</v>
      </c>
      <c r="C261" s="286" t="s">
        <v>2109</v>
      </c>
      <c r="D261" s="286" t="s">
        <v>1105</v>
      </c>
      <c r="E261" s="286" t="s">
        <v>1106</v>
      </c>
      <c r="F261" s="286" t="s">
        <v>2154</v>
      </c>
      <c r="G261" s="286" t="s">
        <v>1007</v>
      </c>
      <c r="H261" s="286" t="s">
        <v>1007</v>
      </c>
      <c r="I261" s="286" t="s">
        <v>1199</v>
      </c>
      <c r="J261" s="286" t="s">
        <v>1312</v>
      </c>
      <c r="K261" s="286" t="s">
        <v>1768</v>
      </c>
      <c r="L261" s="286" t="s">
        <v>672</v>
      </c>
      <c r="M261" s="286">
        <v>1</v>
      </c>
      <c r="N261" s="287">
        <v>12083.71</v>
      </c>
      <c r="O261" s="294">
        <f t="shared" si="4"/>
        <v>45382</v>
      </c>
      <c r="P261" s="286" t="s">
        <v>58</v>
      </c>
    </row>
    <row r="262" spans="1:16" hidden="1" x14ac:dyDescent="0.15">
      <c r="A262" s="286">
        <v>534207</v>
      </c>
      <c r="B262" s="288">
        <v>45385.750694444447</v>
      </c>
      <c r="C262" s="286" t="s">
        <v>2096</v>
      </c>
      <c r="D262" s="286" t="s">
        <v>1105</v>
      </c>
      <c r="E262" s="286" t="s">
        <v>1106</v>
      </c>
      <c r="F262" s="286" t="s">
        <v>2155</v>
      </c>
      <c r="G262" s="286" t="s">
        <v>1007</v>
      </c>
      <c r="H262" s="286" t="s">
        <v>1007</v>
      </c>
      <c r="I262" s="286" t="s">
        <v>1199</v>
      </c>
      <c r="J262" s="286" t="s">
        <v>1312</v>
      </c>
      <c r="K262" s="286" t="s">
        <v>1768</v>
      </c>
      <c r="L262" s="286" t="s">
        <v>672</v>
      </c>
      <c r="M262" s="286">
        <v>1</v>
      </c>
      <c r="N262" s="287">
        <v>12083.71</v>
      </c>
      <c r="O262" s="294">
        <f t="shared" si="4"/>
        <v>45412</v>
      </c>
      <c r="P262" s="286" t="s">
        <v>58</v>
      </c>
    </row>
    <row r="263" spans="1:16" hidden="1" x14ac:dyDescent="0.15">
      <c r="A263" s="286">
        <v>614216</v>
      </c>
      <c r="B263" s="288">
        <v>45455.716666666667</v>
      </c>
      <c r="C263" s="286" t="s">
        <v>2116</v>
      </c>
      <c r="D263" s="286" t="s">
        <v>1105</v>
      </c>
      <c r="E263" s="286" t="s">
        <v>1106</v>
      </c>
      <c r="F263" s="286" t="s">
        <v>2156</v>
      </c>
      <c r="G263" s="286" t="s">
        <v>1007</v>
      </c>
      <c r="H263" s="286" t="s">
        <v>1007</v>
      </c>
      <c r="I263" s="286" t="s">
        <v>1199</v>
      </c>
      <c r="J263" s="286" t="s">
        <v>1312</v>
      </c>
      <c r="K263" s="286" t="s">
        <v>1768</v>
      </c>
      <c r="L263" s="286" t="s">
        <v>672</v>
      </c>
      <c r="M263" s="286">
        <v>1</v>
      </c>
      <c r="N263" s="287">
        <v>12083.71</v>
      </c>
      <c r="O263" s="294">
        <f t="shared" si="4"/>
        <v>45473</v>
      </c>
      <c r="P263" s="286" t="s">
        <v>58</v>
      </c>
    </row>
    <row r="264" spans="1:16" hidden="1" x14ac:dyDescent="0.15">
      <c r="A264" s="286">
        <v>608480</v>
      </c>
      <c r="B264" s="288">
        <v>45450.422222222223</v>
      </c>
      <c r="C264" s="286" t="s">
        <v>2092</v>
      </c>
      <c r="D264" s="286" t="s">
        <v>1105</v>
      </c>
      <c r="E264" s="286" t="s">
        <v>1106</v>
      </c>
      <c r="F264" s="286" t="s">
        <v>2157</v>
      </c>
      <c r="G264" s="286" t="s">
        <v>1007</v>
      </c>
      <c r="H264" s="286" t="s">
        <v>1007</v>
      </c>
      <c r="I264" s="286" t="s">
        <v>1199</v>
      </c>
      <c r="J264" s="286" t="s">
        <v>1312</v>
      </c>
      <c r="K264" s="286" t="s">
        <v>1768</v>
      </c>
      <c r="L264" s="286" t="s">
        <v>672</v>
      </c>
      <c r="M264" s="286">
        <v>1</v>
      </c>
      <c r="N264" s="287">
        <v>12083.71</v>
      </c>
      <c r="O264" s="294">
        <f t="shared" si="4"/>
        <v>45473</v>
      </c>
      <c r="P264" s="286" t="s">
        <v>58</v>
      </c>
    </row>
    <row r="265" spans="1:16" hidden="1" x14ac:dyDescent="0.15">
      <c r="A265" s="286">
        <v>646075</v>
      </c>
      <c r="B265" s="288">
        <v>45474.519444444442</v>
      </c>
      <c r="C265" s="286" t="s">
        <v>2111</v>
      </c>
      <c r="D265" s="286" t="s">
        <v>1105</v>
      </c>
      <c r="E265" s="286" t="s">
        <v>1106</v>
      </c>
      <c r="F265" s="286" t="s">
        <v>2137</v>
      </c>
      <c r="G265" s="286" t="s">
        <v>1007</v>
      </c>
      <c r="H265" s="286" t="s">
        <v>1007</v>
      </c>
      <c r="I265" s="286" t="s">
        <v>1199</v>
      </c>
      <c r="J265" s="286" t="s">
        <v>1312</v>
      </c>
      <c r="K265" s="286" t="s">
        <v>1768</v>
      </c>
      <c r="L265" s="286" t="s">
        <v>672</v>
      </c>
      <c r="M265" s="286">
        <v>1</v>
      </c>
      <c r="N265" s="287">
        <v>12083.71</v>
      </c>
      <c r="O265" s="294">
        <f t="shared" si="4"/>
        <v>45504</v>
      </c>
      <c r="P265" s="286" t="s">
        <v>58</v>
      </c>
    </row>
    <row r="266" spans="1:16" hidden="1" x14ac:dyDescent="0.15">
      <c r="A266" s="286">
        <v>618994</v>
      </c>
      <c r="B266" s="288">
        <v>45457.660416666666</v>
      </c>
      <c r="C266" s="286" t="s">
        <v>2109</v>
      </c>
      <c r="D266" s="286" t="s">
        <v>1105</v>
      </c>
      <c r="E266" s="286" t="s">
        <v>1106</v>
      </c>
      <c r="F266" s="286" t="s">
        <v>2239</v>
      </c>
      <c r="G266" s="286" t="s">
        <v>1028</v>
      </c>
      <c r="H266" s="286" t="s">
        <v>1028</v>
      </c>
      <c r="I266" s="286" t="s">
        <v>1199</v>
      </c>
      <c r="J266" s="286" t="s">
        <v>1312</v>
      </c>
      <c r="K266" s="286" t="s">
        <v>53</v>
      </c>
      <c r="L266" s="286" t="s">
        <v>53</v>
      </c>
      <c r="M266" s="286" t="s">
        <v>53</v>
      </c>
      <c r="N266" s="287">
        <v>11989.58</v>
      </c>
      <c r="O266" s="294">
        <f t="shared" si="4"/>
        <v>45473</v>
      </c>
      <c r="P266" s="286" t="s">
        <v>58</v>
      </c>
    </row>
    <row r="267" spans="1:16" hidden="1" x14ac:dyDescent="0.15">
      <c r="A267" s="286">
        <v>618995</v>
      </c>
      <c r="B267" s="288">
        <v>45457.661111111112</v>
      </c>
      <c r="C267" s="286" t="s">
        <v>2096</v>
      </c>
      <c r="D267" s="286" t="s">
        <v>1105</v>
      </c>
      <c r="E267" s="286" t="s">
        <v>1106</v>
      </c>
      <c r="F267" s="286" t="s">
        <v>2240</v>
      </c>
      <c r="G267" s="286" t="s">
        <v>1028</v>
      </c>
      <c r="H267" s="286" t="s">
        <v>1028</v>
      </c>
      <c r="I267" s="286" t="s">
        <v>1199</v>
      </c>
      <c r="J267" s="286" t="s">
        <v>1312</v>
      </c>
      <c r="K267" s="286" t="s">
        <v>53</v>
      </c>
      <c r="L267" s="286" t="s">
        <v>53</v>
      </c>
      <c r="M267" s="286" t="s">
        <v>53</v>
      </c>
      <c r="N267" s="287">
        <v>11989.58</v>
      </c>
      <c r="O267" s="294">
        <f t="shared" si="4"/>
        <v>45473</v>
      </c>
      <c r="P267" s="286" t="s">
        <v>58</v>
      </c>
    </row>
    <row r="268" spans="1:16" hidden="1" x14ac:dyDescent="0.15">
      <c r="A268" s="286">
        <v>848716</v>
      </c>
      <c r="B268" s="288">
        <v>45607.647916666669</v>
      </c>
      <c r="C268" s="286" t="s">
        <v>2130</v>
      </c>
      <c r="D268" s="286" t="s">
        <v>1105</v>
      </c>
      <c r="E268" s="286" t="s">
        <v>1106</v>
      </c>
      <c r="F268" s="286" t="s">
        <v>2241</v>
      </c>
      <c r="G268" s="286" t="s">
        <v>1028</v>
      </c>
      <c r="H268" s="286" t="s">
        <v>1028</v>
      </c>
      <c r="I268" s="286" t="s">
        <v>1228</v>
      </c>
      <c r="J268" s="286" t="s">
        <v>1312</v>
      </c>
      <c r="K268" s="286" t="s">
        <v>53</v>
      </c>
      <c r="L268" s="286" t="s">
        <v>53</v>
      </c>
      <c r="M268" s="286" t="s">
        <v>53</v>
      </c>
      <c r="N268" s="287">
        <v>11989.58</v>
      </c>
      <c r="O268" s="294">
        <f t="shared" si="4"/>
        <v>45626</v>
      </c>
      <c r="P268" s="286" t="s">
        <v>58</v>
      </c>
    </row>
    <row r="269" spans="1:16" hidden="1" x14ac:dyDescent="0.15">
      <c r="A269" s="286">
        <v>848817</v>
      </c>
      <c r="B269" s="288">
        <v>45607.65902777778</v>
      </c>
      <c r="C269" s="286" t="s">
        <v>2130</v>
      </c>
      <c r="D269" s="286" t="s">
        <v>1105</v>
      </c>
      <c r="E269" s="286" t="s">
        <v>1106</v>
      </c>
      <c r="F269" s="286" t="s">
        <v>2140</v>
      </c>
      <c r="G269" s="286" t="s">
        <v>1042</v>
      </c>
      <c r="H269" s="286" t="s">
        <v>1042</v>
      </c>
      <c r="I269" s="286" t="s">
        <v>1228</v>
      </c>
      <c r="J269" s="286" t="s">
        <v>1312</v>
      </c>
      <c r="K269" s="286" t="s">
        <v>2227</v>
      </c>
      <c r="L269" s="286" t="s">
        <v>2228</v>
      </c>
      <c r="M269" s="286">
        <v>1</v>
      </c>
      <c r="N269" s="287">
        <v>11976.02</v>
      </c>
      <c r="O269" s="294">
        <f t="shared" si="4"/>
        <v>45626</v>
      </c>
      <c r="P269" s="286" t="s">
        <v>58</v>
      </c>
    </row>
    <row r="270" spans="1:16" hidden="1" x14ac:dyDescent="0.15">
      <c r="A270" s="286">
        <v>769994</v>
      </c>
      <c r="B270" s="288">
        <v>45548.686111111114</v>
      </c>
      <c r="C270" s="286" t="s">
        <v>2102</v>
      </c>
      <c r="D270" s="286" t="s">
        <v>1105</v>
      </c>
      <c r="E270" s="286" t="s">
        <v>1106</v>
      </c>
      <c r="F270" s="286" t="s">
        <v>2242</v>
      </c>
      <c r="G270" s="286" t="s">
        <v>1029</v>
      </c>
      <c r="H270" s="286" t="s">
        <v>1029</v>
      </c>
      <c r="I270" s="286" t="s">
        <v>1199</v>
      </c>
      <c r="J270" s="286" t="s">
        <v>1312</v>
      </c>
      <c r="K270" s="286" t="s">
        <v>2222</v>
      </c>
      <c r="L270" s="286" t="s">
        <v>2223</v>
      </c>
      <c r="M270" s="286">
        <v>1</v>
      </c>
      <c r="N270" s="287">
        <v>11643.51</v>
      </c>
      <c r="O270" s="294">
        <f t="shared" si="4"/>
        <v>45565</v>
      </c>
      <c r="P270" s="286" t="s">
        <v>58</v>
      </c>
    </row>
    <row r="271" spans="1:16" hidden="1" x14ac:dyDescent="0.15">
      <c r="A271" s="286">
        <v>645975</v>
      </c>
      <c r="B271" s="288">
        <v>45474.518750000003</v>
      </c>
      <c r="C271" s="286" t="s">
        <v>2092</v>
      </c>
      <c r="D271" s="286" t="s">
        <v>1105</v>
      </c>
      <c r="E271" s="286" t="s">
        <v>1106</v>
      </c>
      <c r="F271" s="286" t="s">
        <v>2243</v>
      </c>
      <c r="G271" s="286" t="s">
        <v>1091</v>
      </c>
      <c r="H271" s="286" t="s">
        <v>1091</v>
      </c>
      <c r="I271" s="286" t="s">
        <v>1129</v>
      </c>
      <c r="J271" s="286" t="s">
        <v>1312</v>
      </c>
      <c r="K271" s="286" t="s">
        <v>828</v>
      </c>
      <c r="L271" s="286" t="s">
        <v>829</v>
      </c>
      <c r="M271" s="286">
        <v>1</v>
      </c>
      <c r="N271" s="287">
        <v>11642</v>
      </c>
      <c r="O271" s="294">
        <f t="shared" si="4"/>
        <v>45504</v>
      </c>
      <c r="P271" s="286" t="s">
        <v>164</v>
      </c>
    </row>
    <row r="272" spans="1:16" hidden="1" x14ac:dyDescent="0.15">
      <c r="A272" s="286">
        <v>751756</v>
      </c>
      <c r="B272" s="288">
        <v>45540.734722222223</v>
      </c>
      <c r="C272" s="286" t="s">
        <v>2102</v>
      </c>
      <c r="D272" s="286" t="s">
        <v>1105</v>
      </c>
      <c r="E272" s="286" t="s">
        <v>1106</v>
      </c>
      <c r="F272" s="286" t="s">
        <v>2103</v>
      </c>
      <c r="G272" s="286" t="s">
        <v>1071</v>
      </c>
      <c r="H272" s="286" t="s">
        <v>1071</v>
      </c>
      <c r="I272" s="286" t="s">
        <v>1112</v>
      </c>
      <c r="J272" s="286" t="s">
        <v>1312</v>
      </c>
      <c r="K272" s="286" t="s">
        <v>2244</v>
      </c>
      <c r="L272" s="286" t="s">
        <v>1783</v>
      </c>
      <c r="M272" s="286">
        <v>1</v>
      </c>
      <c r="N272" s="287">
        <v>11572</v>
      </c>
      <c r="O272" s="294">
        <f t="shared" si="4"/>
        <v>45565</v>
      </c>
      <c r="P272" s="286" t="s">
        <v>175</v>
      </c>
    </row>
    <row r="273" spans="1:16" hidden="1" x14ac:dyDescent="0.15">
      <c r="A273" s="286">
        <v>646075</v>
      </c>
      <c r="B273" s="288">
        <v>45474.519444444442</v>
      </c>
      <c r="C273" s="286" t="s">
        <v>2111</v>
      </c>
      <c r="D273" s="286" t="s">
        <v>1105</v>
      </c>
      <c r="E273" s="286" t="s">
        <v>1106</v>
      </c>
      <c r="F273" s="286" t="s">
        <v>2137</v>
      </c>
      <c r="G273" s="286" t="s">
        <v>1041</v>
      </c>
      <c r="H273" s="286" t="s">
        <v>1041</v>
      </c>
      <c r="I273" s="286" t="s">
        <v>1228</v>
      </c>
      <c r="J273" s="286" t="s">
        <v>1312</v>
      </c>
      <c r="K273" s="286" t="s">
        <v>1770</v>
      </c>
      <c r="L273" s="286" t="s">
        <v>672</v>
      </c>
      <c r="M273" s="286">
        <v>1</v>
      </c>
      <c r="N273" s="287">
        <v>11358.73</v>
      </c>
      <c r="O273" s="294">
        <f t="shared" si="4"/>
        <v>45504</v>
      </c>
      <c r="P273" s="286" t="s">
        <v>58</v>
      </c>
    </row>
    <row r="274" spans="1:16" hidden="1" x14ac:dyDescent="0.15">
      <c r="A274" s="286">
        <v>438112</v>
      </c>
      <c r="B274" s="288">
        <v>45293.53402777778</v>
      </c>
      <c r="C274" s="286" t="s">
        <v>2125</v>
      </c>
      <c r="D274" s="286" t="s">
        <v>1105</v>
      </c>
      <c r="E274" s="286" t="s">
        <v>1106</v>
      </c>
      <c r="F274" s="286" t="s">
        <v>2152</v>
      </c>
      <c r="G274" s="286" t="s">
        <v>1041</v>
      </c>
      <c r="H274" s="286" t="s">
        <v>1041</v>
      </c>
      <c r="I274" s="286" t="s">
        <v>1228</v>
      </c>
      <c r="J274" s="286" t="s">
        <v>1312</v>
      </c>
      <c r="K274" s="286" t="s">
        <v>1770</v>
      </c>
      <c r="L274" s="286" t="s">
        <v>672</v>
      </c>
      <c r="M274" s="286">
        <v>1</v>
      </c>
      <c r="N274" s="287">
        <v>11358.69</v>
      </c>
      <c r="O274" s="294">
        <f t="shared" si="4"/>
        <v>45322</v>
      </c>
      <c r="P274" s="286" t="s">
        <v>58</v>
      </c>
    </row>
    <row r="275" spans="1:16" hidden="1" x14ac:dyDescent="0.15">
      <c r="A275" s="286">
        <v>472168</v>
      </c>
      <c r="B275" s="288">
        <v>45331.416666666664</v>
      </c>
      <c r="C275" s="286" t="s">
        <v>2113</v>
      </c>
      <c r="D275" s="286" t="s">
        <v>1105</v>
      </c>
      <c r="E275" s="286" t="s">
        <v>1106</v>
      </c>
      <c r="F275" s="286" t="s">
        <v>2153</v>
      </c>
      <c r="G275" s="286" t="s">
        <v>1041</v>
      </c>
      <c r="H275" s="286" t="s">
        <v>1041</v>
      </c>
      <c r="I275" s="286" t="s">
        <v>1228</v>
      </c>
      <c r="J275" s="286" t="s">
        <v>1312</v>
      </c>
      <c r="K275" s="286" t="s">
        <v>1770</v>
      </c>
      <c r="L275" s="286" t="s">
        <v>672</v>
      </c>
      <c r="M275" s="286">
        <v>1</v>
      </c>
      <c r="N275" s="287">
        <v>11358.69</v>
      </c>
      <c r="O275" s="294">
        <f t="shared" si="4"/>
        <v>45351</v>
      </c>
      <c r="P275" s="286" t="s">
        <v>58</v>
      </c>
    </row>
    <row r="276" spans="1:16" hidden="1" x14ac:dyDescent="0.15">
      <c r="A276" s="286">
        <v>504817</v>
      </c>
      <c r="B276" s="288">
        <v>45359.645138888889</v>
      </c>
      <c r="C276" s="286" t="s">
        <v>2109</v>
      </c>
      <c r="D276" s="286" t="s">
        <v>1105</v>
      </c>
      <c r="E276" s="286" t="s">
        <v>1106</v>
      </c>
      <c r="F276" s="286" t="s">
        <v>2154</v>
      </c>
      <c r="G276" s="286" t="s">
        <v>1041</v>
      </c>
      <c r="H276" s="286" t="s">
        <v>1041</v>
      </c>
      <c r="I276" s="286" t="s">
        <v>1228</v>
      </c>
      <c r="J276" s="286" t="s">
        <v>1312</v>
      </c>
      <c r="K276" s="286" t="s">
        <v>1770</v>
      </c>
      <c r="L276" s="286" t="s">
        <v>672</v>
      </c>
      <c r="M276" s="286">
        <v>1</v>
      </c>
      <c r="N276" s="287">
        <v>11358.69</v>
      </c>
      <c r="O276" s="294">
        <f t="shared" si="4"/>
        <v>45382</v>
      </c>
      <c r="P276" s="286" t="s">
        <v>58</v>
      </c>
    </row>
    <row r="277" spans="1:16" hidden="1" x14ac:dyDescent="0.15">
      <c r="A277" s="286">
        <v>534207</v>
      </c>
      <c r="B277" s="288">
        <v>45385.750694444447</v>
      </c>
      <c r="C277" s="286" t="s">
        <v>2096</v>
      </c>
      <c r="D277" s="286" t="s">
        <v>1105</v>
      </c>
      <c r="E277" s="286" t="s">
        <v>1106</v>
      </c>
      <c r="F277" s="286" t="s">
        <v>2155</v>
      </c>
      <c r="G277" s="286" t="s">
        <v>1041</v>
      </c>
      <c r="H277" s="286" t="s">
        <v>1041</v>
      </c>
      <c r="I277" s="286" t="s">
        <v>1228</v>
      </c>
      <c r="J277" s="286" t="s">
        <v>1312</v>
      </c>
      <c r="K277" s="286" t="s">
        <v>1770</v>
      </c>
      <c r="L277" s="286" t="s">
        <v>672</v>
      </c>
      <c r="M277" s="286">
        <v>1</v>
      </c>
      <c r="N277" s="287">
        <v>11358.69</v>
      </c>
      <c r="O277" s="294">
        <f t="shared" si="4"/>
        <v>45412</v>
      </c>
      <c r="P277" s="286" t="s">
        <v>58</v>
      </c>
    </row>
    <row r="278" spans="1:16" hidden="1" x14ac:dyDescent="0.15">
      <c r="A278" s="286">
        <v>614216</v>
      </c>
      <c r="B278" s="288">
        <v>45455.716666666667</v>
      </c>
      <c r="C278" s="286" t="s">
        <v>2116</v>
      </c>
      <c r="D278" s="286" t="s">
        <v>1105</v>
      </c>
      <c r="E278" s="286" t="s">
        <v>1106</v>
      </c>
      <c r="F278" s="286" t="s">
        <v>2156</v>
      </c>
      <c r="G278" s="286" t="s">
        <v>1041</v>
      </c>
      <c r="H278" s="286" t="s">
        <v>1041</v>
      </c>
      <c r="I278" s="286" t="s">
        <v>1228</v>
      </c>
      <c r="J278" s="286" t="s">
        <v>1312</v>
      </c>
      <c r="K278" s="286" t="s">
        <v>1770</v>
      </c>
      <c r="L278" s="286" t="s">
        <v>672</v>
      </c>
      <c r="M278" s="286">
        <v>1</v>
      </c>
      <c r="N278" s="287">
        <v>11358.69</v>
      </c>
      <c r="O278" s="294">
        <f t="shared" si="4"/>
        <v>45473</v>
      </c>
      <c r="P278" s="286" t="s">
        <v>58</v>
      </c>
    </row>
    <row r="279" spans="1:16" hidden="1" x14ac:dyDescent="0.15">
      <c r="A279" s="286">
        <v>608480</v>
      </c>
      <c r="B279" s="288">
        <v>45450.422222222223</v>
      </c>
      <c r="C279" s="286" t="s">
        <v>2092</v>
      </c>
      <c r="D279" s="286" t="s">
        <v>1105</v>
      </c>
      <c r="E279" s="286" t="s">
        <v>1106</v>
      </c>
      <c r="F279" s="286" t="s">
        <v>2157</v>
      </c>
      <c r="G279" s="286" t="s">
        <v>1041</v>
      </c>
      <c r="H279" s="286" t="s">
        <v>1041</v>
      </c>
      <c r="I279" s="286" t="s">
        <v>1228</v>
      </c>
      <c r="J279" s="286" t="s">
        <v>1312</v>
      </c>
      <c r="K279" s="286" t="s">
        <v>1770</v>
      </c>
      <c r="L279" s="286" t="s">
        <v>672</v>
      </c>
      <c r="M279" s="286">
        <v>1</v>
      </c>
      <c r="N279" s="287">
        <v>11358.69</v>
      </c>
      <c r="O279" s="294">
        <f t="shared" si="4"/>
        <v>45473</v>
      </c>
      <c r="P279" s="286" t="s">
        <v>58</v>
      </c>
    </row>
    <row r="280" spans="1:16" hidden="1" x14ac:dyDescent="0.15">
      <c r="A280" s="286">
        <v>438112</v>
      </c>
      <c r="B280" s="288">
        <v>45293.53402777778</v>
      </c>
      <c r="C280" s="286" t="s">
        <v>2125</v>
      </c>
      <c r="D280" s="286" t="s">
        <v>1105</v>
      </c>
      <c r="E280" s="286" t="s">
        <v>1106</v>
      </c>
      <c r="F280" s="286" t="s">
        <v>2152</v>
      </c>
      <c r="G280" s="286" t="s">
        <v>1028</v>
      </c>
      <c r="H280" s="286" t="s">
        <v>1028</v>
      </c>
      <c r="I280" s="286" t="s">
        <v>1199</v>
      </c>
      <c r="J280" s="286" t="s">
        <v>53</v>
      </c>
      <c r="K280" s="286" t="s">
        <v>53</v>
      </c>
      <c r="L280" s="286" t="s">
        <v>53</v>
      </c>
      <c r="M280" s="286" t="s">
        <v>53</v>
      </c>
      <c r="N280" s="287">
        <v>11332.71</v>
      </c>
      <c r="O280" s="294">
        <f t="shared" si="4"/>
        <v>45322</v>
      </c>
      <c r="P280" s="286" t="s">
        <v>58</v>
      </c>
    </row>
    <row r="281" spans="1:16" hidden="1" x14ac:dyDescent="0.15">
      <c r="A281" s="286">
        <v>535128</v>
      </c>
      <c r="B281" s="288">
        <v>45386.595833333333</v>
      </c>
      <c r="C281" s="286" t="s">
        <v>2109</v>
      </c>
      <c r="D281" s="286" t="s">
        <v>1105</v>
      </c>
      <c r="E281" s="286" t="s">
        <v>1106</v>
      </c>
      <c r="F281" s="286" t="s">
        <v>2245</v>
      </c>
      <c r="G281" s="286" t="s">
        <v>1067</v>
      </c>
      <c r="H281" s="286" t="s">
        <v>1067</v>
      </c>
      <c r="I281" s="286" t="s">
        <v>1112</v>
      </c>
      <c r="J281" s="286" t="s">
        <v>1312</v>
      </c>
      <c r="K281" s="286" t="s">
        <v>53</v>
      </c>
      <c r="L281" s="286" t="s">
        <v>53</v>
      </c>
      <c r="M281" s="286" t="s">
        <v>53</v>
      </c>
      <c r="N281" s="287">
        <v>11217</v>
      </c>
      <c r="O281" s="294">
        <f t="shared" si="4"/>
        <v>45412</v>
      </c>
      <c r="P281" s="286" t="s">
        <v>175</v>
      </c>
    </row>
    <row r="282" spans="1:16" hidden="1" x14ac:dyDescent="0.15">
      <c r="A282" s="286">
        <v>745911</v>
      </c>
      <c r="B282" s="288">
        <v>45538.44027777778</v>
      </c>
      <c r="C282" s="286" t="s">
        <v>2132</v>
      </c>
      <c r="D282" s="286" t="s">
        <v>1105</v>
      </c>
      <c r="E282" s="286" t="s">
        <v>1106</v>
      </c>
      <c r="F282" s="286" t="s">
        <v>2139</v>
      </c>
      <c r="G282" s="286" t="s">
        <v>1002</v>
      </c>
      <c r="H282" s="286" t="s">
        <v>1002</v>
      </c>
      <c r="I282" s="286" t="s">
        <v>1199</v>
      </c>
      <c r="J282" s="286" t="s">
        <v>1312</v>
      </c>
      <c r="K282" s="286" t="s">
        <v>2214</v>
      </c>
      <c r="L282" s="286" t="s">
        <v>53</v>
      </c>
      <c r="M282" s="286">
        <v>1</v>
      </c>
      <c r="N282" s="287">
        <v>11195.68</v>
      </c>
      <c r="O282" s="294">
        <f t="shared" si="4"/>
        <v>45565</v>
      </c>
      <c r="P282" s="286" t="s">
        <v>58</v>
      </c>
    </row>
    <row r="283" spans="1:16" hidden="1" x14ac:dyDescent="0.15">
      <c r="A283" s="286">
        <v>745911</v>
      </c>
      <c r="B283" s="288">
        <v>45538.44027777778</v>
      </c>
      <c r="C283" s="286" t="s">
        <v>2132</v>
      </c>
      <c r="D283" s="286" t="s">
        <v>1105</v>
      </c>
      <c r="E283" s="286" t="s">
        <v>1106</v>
      </c>
      <c r="F283" s="286" t="s">
        <v>2139</v>
      </c>
      <c r="G283" s="286" t="s">
        <v>1023</v>
      </c>
      <c r="H283" s="286" t="s">
        <v>1023</v>
      </c>
      <c r="I283" s="286" t="s">
        <v>1199</v>
      </c>
      <c r="J283" s="286" t="s">
        <v>1312</v>
      </c>
      <c r="K283" s="286" t="s">
        <v>2214</v>
      </c>
      <c r="L283" s="286" t="s">
        <v>53</v>
      </c>
      <c r="M283" s="286">
        <v>1</v>
      </c>
      <c r="N283" s="287">
        <v>11127.9</v>
      </c>
      <c r="O283" s="294">
        <f t="shared" si="4"/>
        <v>45565</v>
      </c>
      <c r="P283" s="286" t="s">
        <v>58</v>
      </c>
    </row>
    <row r="284" spans="1:16" hidden="1" x14ac:dyDescent="0.15">
      <c r="A284" s="286">
        <v>848817</v>
      </c>
      <c r="B284" s="288">
        <v>45607.65902777778</v>
      </c>
      <c r="C284" s="286" t="s">
        <v>2130</v>
      </c>
      <c r="D284" s="286" t="s">
        <v>1105</v>
      </c>
      <c r="E284" s="286" t="s">
        <v>1106</v>
      </c>
      <c r="F284" s="286" t="s">
        <v>2140</v>
      </c>
      <c r="G284" s="286" t="s">
        <v>1023</v>
      </c>
      <c r="H284" s="286" t="s">
        <v>1023</v>
      </c>
      <c r="I284" s="286" t="s">
        <v>1199</v>
      </c>
      <c r="J284" s="286" t="s">
        <v>1312</v>
      </c>
      <c r="K284" s="286" t="s">
        <v>2214</v>
      </c>
      <c r="L284" s="286" t="s">
        <v>53</v>
      </c>
      <c r="M284" s="286">
        <v>1</v>
      </c>
      <c r="N284" s="287">
        <v>11127.9</v>
      </c>
      <c r="O284" s="294">
        <f t="shared" si="4"/>
        <v>45626</v>
      </c>
      <c r="P284" s="286" t="s">
        <v>58</v>
      </c>
    </row>
    <row r="285" spans="1:16" hidden="1" x14ac:dyDescent="0.15">
      <c r="A285" s="286">
        <v>848917</v>
      </c>
      <c r="B285" s="288">
        <v>45607.660416666666</v>
      </c>
      <c r="C285" s="286" t="s">
        <v>2100</v>
      </c>
      <c r="D285" s="286" t="s">
        <v>1105</v>
      </c>
      <c r="E285" s="286" t="s">
        <v>1106</v>
      </c>
      <c r="F285" s="286" t="s">
        <v>2141</v>
      </c>
      <c r="G285" s="286" t="s">
        <v>1023</v>
      </c>
      <c r="H285" s="286" t="s">
        <v>1023</v>
      </c>
      <c r="I285" s="286" t="s">
        <v>1199</v>
      </c>
      <c r="J285" s="286" t="s">
        <v>1312</v>
      </c>
      <c r="K285" s="286" t="s">
        <v>2214</v>
      </c>
      <c r="L285" s="286" t="s">
        <v>53</v>
      </c>
      <c r="M285" s="286">
        <v>1</v>
      </c>
      <c r="N285" s="287">
        <v>11127.9</v>
      </c>
      <c r="O285" s="294">
        <f t="shared" si="4"/>
        <v>45626</v>
      </c>
      <c r="P285" s="286" t="s">
        <v>58</v>
      </c>
    </row>
    <row r="286" spans="1:16" hidden="1" x14ac:dyDescent="0.15">
      <c r="A286" s="286">
        <v>874698</v>
      </c>
      <c r="B286" s="288">
        <v>45628.357638888891</v>
      </c>
      <c r="C286" s="286" t="s">
        <v>2098</v>
      </c>
      <c r="D286" s="286" t="s">
        <v>1105</v>
      </c>
      <c r="E286" s="286" t="s">
        <v>1106</v>
      </c>
      <c r="F286" s="286" t="s">
        <v>2142</v>
      </c>
      <c r="G286" s="286" t="s">
        <v>1023</v>
      </c>
      <c r="H286" s="286" t="s">
        <v>1023</v>
      </c>
      <c r="I286" s="286" t="s">
        <v>1199</v>
      </c>
      <c r="J286" s="286" t="s">
        <v>1312</v>
      </c>
      <c r="K286" s="286" t="s">
        <v>2214</v>
      </c>
      <c r="L286" s="286" t="s">
        <v>53</v>
      </c>
      <c r="M286" s="286">
        <v>1</v>
      </c>
      <c r="N286" s="287">
        <v>11127.9</v>
      </c>
      <c r="O286" s="294">
        <f t="shared" si="4"/>
        <v>45657</v>
      </c>
      <c r="P286" s="286" t="s">
        <v>58</v>
      </c>
    </row>
    <row r="287" spans="1:16" hidden="1" x14ac:dyDescent="0.15">
      <c r="A287" s="286">
        <v>518933</v>
      </c>
      <c r="B287" s="288">
        <v>45371.527083333334</v>
      </c>
      <c r="C287" s="286" t="s">
        <v>2109</v>
      </c>
      <c r="D287" s="286" t="s">
        <v>1105</v>
      </c>
      <c r="E287" s="286" t="s">
        <v>1106</v>
      </c>
      <c r="F287" s="286" t="s">
        <v>2246</v>
      </c>
      <c r="G287" s="286" t="s">
        <v>1039</v>
      </c>
      <c r="H287" s="286" t="s">
        <v>1039</v>
      </c>
      <c r="I287" s="286" t="s">
        <v>1230</v>
      </c>
      <c r="J287" s="286" t="s">
        <v>1312</v>
      </c>
      <c r="K287" s="286" t="s">
        <v>2027</v>
      </c>
      <c r="L287" s="286" t="s">
        <v>2028</v>
      </c>
      <c r="M287" s="286">
        <v>1</v>
      </c>
      <c r="N287" s="287">
        <v>11062</v>
      </c>
      <c r="O287" s="294">
        <f t="shared" si="4"/>
        <v>45382</v>
      </c>
      <c r="P287" s="286" t="s">
        <v>175</v>
      </c>
    </row>
    <row r="288" spans="1:16" hidden="1" x14ac:dyDescent="0.15">
      <c r="A288" s="286">
        <v>665245</v>
      </c>
      <c r="B288" s="288">
        <v>45489.45208333333</v>
      </c>
      <c r="C288" s="286" t="s">
        <v>2092</v>
      </c>
      <c r="D288" s="286" t="s">
        <v>1105</v>
      </c>
      <c r="E288" s="286" t="s">
        <v>1106</v>
      </c>
      <c r="F288" s="286" t="s">
        <v>2203</v>
      </c>
      <c r="G288" s="286" t="s">
        <v>1084</v>
      </c>
      <c r="H288" s="286" t="s">
        <v>1442</v>
      </c>
      <c r="I288" s="286" t="s">
        <v>1230</v>
      </c>
      <c r="J288" s="286" t="s">
        <v>1312</v>
      </c>
      <c r="K288" s="286" t="s">
        <v>2027</v>
      </c>
      <c r="L288" s="286" t="s">
        <v>2028</v>
      </c>
      <c r="M288" s="286">
        <v>1</v>
      </c>
      <c r="N288" s="287">
        <v>11062</v>
      </c>
      <c r="O288" s="294">
        <f t="shared" si="4"/>
        <v>45504</v>
      </c>
      <c r="P288" s="286" t="s">
        <v>175</v>
      </c>
    </row>
    <row r="289" spans="1:16" hidden="1" x14ac:dyDescent="0.15">
      <c r="A289" s="286">
        <v>880652</v>
      </c>
      <c r="B289" s="288">
        <v>45631.365972222222</v>
      </c>
      <c r="C289" s="286" t="s">
        <v>2100</v>
      </c>
      <c r="D289" s="286" t="s">
        <v>1105</v>
      </c>
      <c r="E289" s="286" t="s">
        <v>1106</v>
      </c>
      <c r="F289" s="286" t="s">
        <v>2247</v>
      </c>
      <c r="G289" s="286" t="s">
        <v>1069</v>
      </c>
      <c r="H289" s="286" t="s">
        <v>1069</v>
      </c>
      <c r="I289" s="286" t="s">
        <v>1230</v>
      </c>
      <c r="J289" s="286" t="s">
        <v>1312</v>
      </c>
      <c r="K289" s="286" t="s">
        <v>2027</v>
      </c>
      <c r="L289" s="286" t="s">
        <v>2028</v>
      </c>
      <c r="M289" s="286">
        <v>1</v>
      </c>
      <c r="N289" s="287">
        <v>11062</v>
      </c>
      <c r="O289" s="294">
        <f t="shared" si="4"/>
        <v>45657</v>
      </c>
      <c r="P289" s="286" t="s">
        <v>175</v>
      </c>
    </row>
    <row r="290" spans="1:16" hidden="1" x14ac:dyDescent="0.15">
      <c r="A290" s="286">
        <v>779500</v>
      </c>
      <c r="B290" s="288">
        <v>45555.57916666667</v>
      </c>
      <c r="C290" s="286" t="s">
        <v>2132</v>
      </c>
      <c r="D290" s="286" t="s">
        <v>1105</v>
      </c>
      <c r="E290" s="286" t="s">
        <v>1106</v>
      </c>
      <c r="F290" s="286" t="s">
        <v>2248</v>
      </c>
      <c r="G290" s="286" t="s">
        <v>1078</v>
      </c>
      <c r="H290" s="286" t="s">
        <v>1078</v>
      </c>
      <c r="I290" s="286" t="s">
        <v>1112</v>
      </c>
      <c r="J290" s="286" t="s">
        <v>1312</v>
      </c>
      <c r="K290" s="286" t="s">
        <v>1773</v>
      </c>
      <c r="L290" s="286" t="s">
        <v>1774</v>
      </c>
      <c r="M290" s="286">
        <v>1</v>
      </c>
      <c r="N290" s="287">
        <v>10995</v>
      </c>
      <c r="O290" s="294">
        <f t="shared" si="4"/>
        <v>45565</v>
      </c>
      <c r="P290" s="286" t="s">
        <v>175</v>
      </c>
    </row>
    <row r="291" spans="1:16" hidden="1" x14ac:dyDescent="0.15">
      <c r="A291" s="286">
        <v>575592</v>
      </c>
      <c r="B291" s="288">
        <v>45425.339583333334</v>
      </c>
      <c r="C291" s="286" t="s">
        <v>2116</v>
      </c>
      <c r="D291" s="286" t="s">
        <v>1105</v>
      </c>
      <c r="E291" s="286" t="s">
        <v>1106</v>
      </c>
      <c r="F291" s="286" t="s">
        <v>2249</v>
      </c>
      <c r="G291" s="286" t="s">
        <v>1059</v>
      </c>
      <c r="H291" s="286" t="s">
        <v>1059</v>
      </c>
      <c r="I291" s="286" t="s">
        <v>1129</v>
      </c>
      <c r="J291" s="286" t="s">
        <v>1312</v>
      </c>
      <c r="K291" s="286" t="s">
        <v>814</v>
      </c>
      <c r="L291" s="286" t="s">
        <v>2250</v>
      </c>
      <c r="M291" s="286">
        <v>3</v>
      </c>
      <c r="N291" s="287">
        <v>10835</v>
      </c>
      <c r="O291" s="294">
        <f t="shared" si="4"/>
        <v>45443</v>
      </c>
      <c r="P291" s="286" t="s">
        <v>164</v>
      </c>
    </row>
    <row r="292" spans="1:16" hidden="1" x14ac:dyDescent="0.15">
      <c r="A292" s="286">
        <v>630517</v>
      </c>
      <c r="B292" s="288">
        <v>45467.556250000001</v>
      </c>
      <c r="C292" s="286" t="s">
        <v>2092</v>
      </c>
      <c r="D292" s="286" t="s">
        <v>1105</v>
      </c>
      <c r="E292" s="286" t="s">
        <v>1106</v>
      </c>
      <c r="F292" s="286" t="s">
        <v>2251</v>
      </c>
      <c r="G292" s="286" t="s">
        <v>1026</v>
      </c>
      <c r="H292" s="286" t="s">
        <v>1026</v>
      </c>
      <c r="I292" s="286" t="s">
        <v>1112</v>
      </c>
      <c r="J292" s="286" t="s">
        <v>1312</v>
      </c>
      <c r="K292" s="286" t="s">
        <v>1773</v>
      </c>
      <c r="L292" s="286" t="s">
        <v>1774</v>
      </c>
      <c r="M292" s="286">
        <v>1</v>
      </c>
      <c r="N292" s="287">
        <v>10672</v>
      </c>
      <c r="O292" s="294">
        <f t="shared" si="4"/>
        <v>45473</v>
      </c>
      <c r="P292" s="286" t="s">
        <v>175</v>
      </c>
    </row>
    <row r="293" spans="1:16" hidden="1" x14ac:dyDescent="0.15">
      <c r="A293" s="286">
        <v>630517</v>
      </c>
      <c r="B293" s="288">
        <v>45467.556250000001</v>
      </c>
      <c r="C293" s="286" t="s">
        <v>2092</v>
      </c>
      <c r="D293" s="286" t="s">
        <v>1105</v>
      </c>
      <c r="E293" s="286" t="s">
        <v>1106</v>
      </c>
      <c r="F293" s="286" t="s">
        <v>2251</v>
      </c>
      <c r="G293" s="286" t="s">
        <v>1026</v>
      </c>
      <c r="H293" s="286" t="s">
        <v>1026</v>
      </c>
      <c r="I293" s="286" t="s">
        <v>1112</v>
      </c>
      <c r="J293" s="286" t="s">
        <v>1312</v>
      </c>
      <c r="K293" s="286" t="s">
        <v>1771</v>
      </c>
      <c r="L293" s="286" t="s">
        <v>1772</v>
      </c>
      <c r="M293" s="286">
        <v>1</v>
      </c>
      <c r="N293" s="287">
        <v>10672</v>
      </c>
      <c r="O293" s="294">
        <f t="shared" si="4"/>
        <v>45473</v>
      </c>
      <c r="P293" s="286" t="s">
        <v>175</v>
      </c>
    </row>
    <row r="294" spans="1:16" hidden="1" x14ac:dyDescent="0.15">
      <c r="A294" s="286">
        <v>779500</v>
      </c>
      <c r="B294" s="288">
        <v>45555.57916666667</v>
      </c>
      <c r="C294" s="286" t="s">
        <v>2132</v>
      </c>
      <c r="D294" s="286" t="s">
        <v>1105</v>
      </c>
      <c r="E294" s="286" t="s">
        <v>1106</v>
      </c>
      <c r="F294" s="286" t="s">
        <v>2248</v>
      </c>
      <c r="G294" s="286" t="s">
        <v>1083</v>
      </c>
      <c r="H294" s="286" t="s">
        <v>1083</v>
      </c>
      <c r="I294" s="286" t="s">
        <v>1112</v>
      </c>
      <c r="J294" s="286" t="s">
        <v>1312</v>
      </c>
      <c r="K294" s="286" t="s">
        <v>1776</v>
      </c>
      <c r="L294" s="286" t="s">
        <v>1679</v>
      </c>
      <c r="M294" s="286">
        <v>1</v>
      </c>
      <c r="N294" s="287">
        <v>10651</v>
      </c>
      <c r="O294" s="294">
        <f t="shared" si="4"/>
        <v>45565</v>
      </c>
      <c r="P294" s="286" t="s">
        <v>175</v>
      </c>
    </row>
    <row r="295" spans="1:16" hidden="1" x14ac:dyDescent="0.15">
      <c r="A295" s="286">
        <v>602948</v>
      </c>
      <c r="B295" s="288">
        <v>45447.428472222222</v>
      </c>
      <c r="C295" s="286" t="s">
        <v>2116</v>
      </c>
      <c r="D295" s="286" t="s">
        <v>1105</v>
      </c>
      <c r="E295" s="286" t="s">
        <v>1106</v>
      </c>
      <c r="F295" s="286" t="s">
        <v>2252</v>
      </c>
      <c r="G295" s="286" t="s">
        <v>1035</v>
      </c>
      <c r="H295" s="286" t="s">
        <v>1035</v>
      </c>
      <c r="I295" s="286" t="s">
        <v>1112</v>
      </c>
      <c r="J295" s="286" t="s">
        <v>1312</v>
      </c>
      <c r="K295" s="286" t="s">
        <v>1776</v>
      </c>
      <c r="L295" s="286" t="s">
        <v>1679</v>
      </c>
      <c r="M295" s="286">
        <v>1</v>
      </c>
      <c r="N295" s="287">
        <v>10553</v>
      </c>
      <c r="O295" s="294">
        <f t="shared" si="4"/>
        <v>45473</v>
      </c>
      <c r="P295" s="286" t="s">
        <v>175</v>
      </c>
    </row>
    <row r="296" spans="1:16" hidden="1" x14ac:dyDescent="0.15">
      <c r="A296" s="286">
        <v>614717</v>
      </c>
      <c r="B296" s="288">
        <v>45455.742361111108</v>
      </c>
      <c r="C296" s="286" t="s">
        <v>2116</v>
      </c>
      <c r="D296" s="286" t="s">
        <v>1105</v>
      </c>
      <c r="E296" s="286" t="s">
        <v>1106</v>
      </c>
      <c r="F296" s="286" t="s">
        <v>2253</v>
      </c>
      <c r="G296" s="286" t="s">
        <v>1766</v>
      </c>
      <c r="H296" s="286" t="s">
        <v>1766</v>
      </c>
      <c r="I296" s="286" t="s">
        <v>1199</v>
      </c>
      <c r="J296" s="286" t="s">
        <v>1312</v>
      </c>
      <c r="K296" s="286" t="s">
        <v>53</v>
      </c>
      <c r="L296" s="286" t="s">
        <v>53</v>
      </c>
      <c r="M296" s="286" t="s">
        <v>53</v>
      </c>
      <c r="N296" s="287">
        <v>10330.879999999999</v>
      </c>
      <c r="O296" s="294">
        <f t="shared" si="4"/>
        <v>45473</v>
      </c>
      <c r="P296" s="286" t="s">
        <v>58</v>
      </c>
    </row>
    <row r="297" spans="1:16" hidden="1" x14ac:dyDescent="0.15">
      <c r="A297" s="286">
        <v>659934</v>
      </c>
      <c r="B297" s="288">
        <v>45484.525694444441</v>
      </c>
      <c r="C297" s="286" t="s">
        <v>2092</v>
      </c>
      <c r="D297" s="286" t="s">
        <v>1105</v>
      </c>
      <c r="E297" s="286" t="s">
        <v>1106</v>
      </c>
      <c r="F297" s="286" t="s">
        <v>2254</v>
      </c>
      <c r="G297" s="286" t="s">
        <v>1766</v>
      </c>
      <c r="H297" s="286" t="s">
        <v>1766</v>
      </c>
      <c r="I297" s="286" t="s">
        <v>1199</v>
      </c>
      <c r="J297" s="286" t="s">
        <v>1312</v>
      </c>
      <c r="K297" s="286" t="s">
        <v>53</v>
      </c>
      <c r="L297" s="286" t="s">
        <v>53</v>
      </c>
      <c r="M297" s="286" t="s">
        <v>53</v>
      </c>
      <c r="N297" s="287">
        <v>10330.879999999999</v>
      </c>
      <c r="O297" s="294">
        <f t="shared" si="4"/>
        <v>45504</v>
      </c>
      <c r="P297" s="286" t="s">
        <v>58</v>
      </c>
    </row>
    <row r="298" spans="1:16" hidden="1" x14ac:dyDescent="0.15">
      <c r="A298" s="286">
        <v>712645</v>
      </c>
      <c r="B298" s="288">
        <v>45517.640972222223</v>
      </c>
      <c r="C298" s="286" t="s">
        <v>2111</v>
      </c>
      <c r="D298" s="286" t="s">
        <v>1105</v>
      </c>
      <c r="E298" s="286" t="s">
        <v>1106</v>
      </c>
      <c r="F298" s="286" t="s">
        <v>2160</v>
      </c>
      <c r="G298" s="286" t="s">
        <v>1766</v>
      </c>
      <c r="H298" s="286" t="s">
        <v>1766</v>
      </c>
      <c r="I298" s="286" t="s">
        <v>1199</v>
      </c>
      <c r="J298" s="286" t="s">
        <v>1312</v>
      </c>
      <c r="K298" s="286" t="s">
        <v>53</v>
      </c>
      <c r="L298" s="286" t="s">
        <v>53</v>
      </c>
      <c r="M298" s="286" t="s">
        <v>53</v>
      </c>
      <c r="N298" s="287">
        <v>10330.870000000001</v>
      </c>
      <c r="O298" s="294">
        <f t="shared" si="4"/>
        <v>45535</v>
      </c>
      <c r="P298" s="286" t="s">
        <v>58</v>
      </c>
    </row>
    <row r="299" spans="1:16" hidden="1" x14ac:dyDescent="0.15">
      <c r="A299" s="286">
        <v>741366</v>
      </c>
      <c r="B299" s="288">
        <v>45532.655555555553</v>
      </c>
      <c r="C299" s="286" t="s">
        <v>2102</v>
      </c>
      <c r="D299" s="286" t="s">
        <v>1105</v>
      </c>
      <c r="E299" s="286" t="s">
        <v>1106</v>
      </c>
      <c r="F299" s="286" t="s">
        <v>2161</v>
      </c>
      <c r="G299" s="286" t="s">
        <v>1766</v>
      </c>
      <c r="H299" s="286" t="s">
        <v>1766</v>
      </c>
      <c r="I299" s="286" t="s">
        <v>1199</v>
      </c>
      <c r="J299" s="286" t="s">
        <v>1312</v>
      </c>
      <c r="K299" s="286" t="s">
        <v>53</v>
      </c>
      <c r="L299" s="286" t="s">
        <v>53</v>
      </c>
      <c r="M299" s="286" t="s">
        <v>53</v>
      </c>
      <c r="N299" s="287">
        <v>10330.870000000001</v>
      </c>
      <c r="O299" s="294">
        <f t="shared" si="4"/>
        <v>45535</v>
      </c>
      <c r="P299" s="286" t="s">
        <v>58</v>
      </c>
    </row>
    <row r="300" spans="1:16" hidden="1" x14ac:dyDescent="0.15">
      <c r="A300" s="286">
        <v>536791</v>
      </c>
      <c r="B300" s="288">
        <v>45390.404166666667</v>
      </c>
      <c r="C300" s="286" t="s">
        <v>2109</v>
      </c>
      <c r="D300" s="286" t="s">
        <v>1105</v>
      </c>
      <c r="E300" s="286" t="s">
        <v>1106</v>
      </c>
      <c r="F300" s="286" t="s">
        <v>2110</v>
      </c>
      <c r="G300" s="286" t="s">
        <v>1004</v>
      </c>
      <c r="H300" s="286" t="s">
        <v>1004</v>
      </c>
      <c r="I300" s="286" t="s">
        <v>1204</v>
      </c>
      <c r="J300" s="286" t="s">
        <v>1312</v>
      </c>
      <c r="K300" s="286" t="s">
        <v>1419</v>
      </c>
      <c r="L300" s="286" t="s">
        <v>894</v>
      </c>
      <c r="M300" s="286">
        <v>1</v>
      </c>
      <c r="N300" s="287">
        <v>10238</v>
      </c>
      <c r="O300" s="294">
        <f t="shared" si="4"/>
        <v>45412</v>
      </c>
      <c r="P300" s="286" t="s">
        <v>49</v>
      </c>
    </row>
    <row r="301" spans="1:16" hidden="1" x14ac:dyDescent="0.15">
      <c r="A301" s="286">
        <v>556087</v>
      </c>
      <c r="B301" s="288">
        <v>45406.408333333333</v>
      </c>
      <c r="C301" s="286" t="s">
        <v>2096</v>
      </c>
      <c r="D301" s="286" t="s">
        <v>1105</v>
      </c>
      <c r="E301" s="286" t="s">
        <v>1106</v>
      </c>
      <c r="F301" s="286" t="s">
        <v>2105</v>
      </c>
      <c r="G301" s="286" t="s">
        <v>1059</v>
      </c>
      <c r="H301" s="286" t="s">
        <v>1059</v>
      </c>
      <c r="I301" s="286" t="s">
        <v>1211</v>
      </c>
      <c r="J301" s="286" t="s">
        <v>1312</v>
      </c>
      <c r="K301" s="286" t="s">
        <v>2255</v>
      </c>
      <c r="L301" s="286" t="s">
        <v>2256</v>
      </c>
      <c r="M301" s="286">
        <v>1</v>
      </c>
      <c r="N301" s="287">
        <v>10238</v>
      </c>
      <c r="O301" s="294">
        <f t="shared" si="4"/>
        <v>45412</v>
      </c>
      <c r="P301" s="286" t="s">
        <v>452</v>
      </c>
    </row>
    <row r="302" spans="1:16" hidden="1" x14ac:dyDescent="0.15">
      <c r="A302" s="286">
        <v>618592</v>
      </c>
      <c r="B302" s="288">
        <v>45457.646527777775</v>
      </c>
      <c r="C302" s="286" t="s">
        <v>2116</v>
      </c>
      <c r="D302" s="286" t="s">
        <v>1105</v>
      </c>
      <c r="E302" s="286" t="s">
        <v>1106</v>
      </c>
      <c r="F302" s="286" t="s">
        <v>2117</v>
      </c>
      <c r="G302" s="286" t="s">
        <v>1080</v>
      </c>
      <c r="H302" s="286" t="s">
        <v>1080</v>
      </c>
      <c r="I302" s="286" t="s">
        <v>1204</v>
      </c>
      <c r="J302" s="286" t="s">
        <v>1312</v>
      </c>
      <c r="K302" s="286" t="s">
        <v>2257</v>
      </c>
      <c r="L302" s="286" t="s">
        <v>2258</v>
      </c>
      <c r="M302" s="286">
        <v>1</v>
      </c>
      <c r="N302" s="287">
        <v>10238</v>
      </c>
      <c r="O302" s="294">
        <f t="shared" si="4"/>
        <v>45473</v>
      </c>
      <c r="P302" s="286" t="s">
        <v>49</v>
      </c>
    </row>
    <row r="303" spans="1:16" hidden="1" x14ac:dyDescent="0.15">
      <c r="A303" s="286">
        <v>751756</v>
      </c>
      <c r="B303" s="288">
        <v>45540.734722222223</v>
      </c>
      <c r="C303" s="286" t="s">
        <v>2102</v>
      </c>
      <c r="D303" s="286" t="s">
        <v>1105</v>
      </c>
      <c r="E303" s="286" t="s">
        <v>1106</v>
      </c>
      <c r="F303" s="286" t="s">
        <v>2103</v>
      </c>
      <c r="G303" s="286" t="s">
        <v>1011</v>
      </c>
      <c r="H303" s="286" t="s">
        <v>1011</v>
      </c>
      <c r="I303" s="286" t="s">
        <v>1204</v>
      </c>
      <c r="J303" s="286" t="s">
        <v>1312</v>
      </c>
      <c r="K303" s="286" t="s">
        <v>2257</v>
      </c>
      <c r="L303" s="286" t="s">
        <v>2258</v>
      </c>
      <c r="M303" s="286">
        <v>1</v>
      </c>
      <c r="N303" s="287">
        <v>10238</v>
      </c>
      <c r="O303" s="294">
        <f t="shared" si="4"/>
        <v>45565</v>
      </c>
      <c r="P303" s="286" t="s">
        <v>49</v>
      </c>
    </row>
    <row r="304" spans="1:16" hidden="1" x14ac:dyDescent="0.15">
      <c r="A304" s="286">
        <v>866245</v>
      </c>
      <c r="B304" s="288">
        <v>45617.606944444444</v>
      </c>
      <c r="C304" s="286" t="s">
        <v>2100</v>
      </c>
      <c r="D304" s="286" t="s">
        <v>1105</v>
      </c>
      <c r="E304" s="286" t="s">
        <v>1106</v>
      </c>
      <c r="F304" s="286" t="s">
        <v>2101</v>
      </c>
      <c r="G304" s="286" t="s">
        <v>1077</v>
      </c>
      <c r="H304" s="286" t="s">
        <v>1077</v>
      </c>
      <c r="I304" s="286" t="s">
        <v>1204</v>
      </c>
      <c r="J304" s="286" t="s">
        <v>1312</v>
      </c>
      <c r="K304" s="286" t="s">
        <v>2259</v>
      </c>
      <c r="L304" s="286" t="s">
        <v>462</v>
      </c>
      <c r="M304" s="286">
        <v>1</v>
      </c>
      <c r="N304" s="287">
        <v>10238</v>
      </c>
      <c r="O304" s="294">
        <f t="shared" si="4"/>
        <v>45626</v>
      </c>
      <c r="P304" s="286" t="s">
        <v>49</v>
      </c>
    </row>
    <row r="305" spans="1:16" hidden="1" x14ac:dyDescent="0.15">
      <c r="A305" s="286">
        <v>791946</v>
      </c>
      <c r="B305" s="288">
        <v>45566.592361111114</v>
      </c>
      <c r="C305" s="286" t="s">
        <v>2132</v>
      </c>
      <c r="D305" s="286" t="s">
        <v>1105</v>
      </c>
      <c r="E305" s="286" t="s">
        <v>1106</v>
      </c>
      <c r="F305" s="286" t="s">
        <v>2260</v>
      </c>
      <c r="G305" s="286" t="s">
        <v>1059</v>
      </c>
      <c r="H305" s="286" t="s">
        <v>1059</v>
      </c>
      <c r="I305" s="286" t="s">
        <v>1112</v>
      </c>
      <c r="J305" s="286" t="s">
        <v>1312</v>
      </c>
      <c r="K305" s="286" t="s">
        <v>1773</v>
      </c>
      <c r="L305" s="286" t="s">
        <v>1774</v>
      </c>
      <c r="M305" s="286">
        <v>1</v>
      </c>
      <c r="N305" s="287">
        <v>10165</v>
      </c>
      <c r="O305" s="294">
        <f t="shared" si="4"/>
        <v>45596</v>
      </c>
      <c r="P305" s="286" t="s">
        <v>175</v>
      </c>
    </row>
    <row r="306" spans="1:16" hidden="1" x14ac:dyDescent="0.15">
      <c r="A306" s="286">
        <v>816704</v>
      </c>
      <c r="B306" s="288">
        <v>45583.386805555558</v>
      </c>
      <c r="C306" s="286" t="s">
        <v>2130</v>
      </c>
      <c r="D306" s="286" t="s">
        <v>1105</v>
      </c>
      <c r="E306" s="286" t="s">
        <v>1106</v>
      </c>
      <c r="F306" s="286" t="s">
        <v>2145</v>
      </c>
      <c r="G306" s="286" t="s">
        <v>1073</v>
      </c>
      <c r="H306" s="286" t="s">
        <v>1073</v>
      </c>
      <c r="I306" s="286" t="s">
        <v>1112</v>
      </c>
      <c r="J306" s="286" t="s">
        <v>1312</v>
      </c>
      <c r="K306" s="286" t="s">
        <v>1732</v>
      </c>
      <c r="L306" s="286" t="s">
        <v>1733</v>
      </c>
      <c r="M306" s="286">
        <v>1</v>
      </c>
      <c r="N306" s="287">
        <v>10135.07</v>
      </c>
      <c r="O306" s="294">
        <f t="shared" si="4"/>
        <v>45596</v>
      </c>
      <c r="P306" s="286" t="s">
        <v>175</v>
      </c>
    </row>
    <row r="307" spans="1:16" hidden="1" x14ac:dyDescent="0.15">
      <c r="A307" s="286">
        <v>464905</v>
      </c>
      <c r="B307" s="288">
        <v>45323.521527777775</v>
      </c>
      <c r="C307" s="286" t="s">
        <v>2125</v>
      </c>
      <c r="D307" s="286" t="s">
        <v>1105</v>
      </c>
      <c r="E307" s="286" t="s">
        <v>1106</v>
      </c>
      <c r="F307" s="286" t="s">
        <v>2212</v>
      </c>
      <c r="G307" s="286" t="s">
        <v>1047</v>
      </c>
      <c r="H307" s="286" t="s">
        <v>1047</v>
      </c>
      <c r="I307" s="286" t="s">
        <v>1229</v>
      </c>
      <c r="J307" s="286" t="s">
        <v>1312</v>
      </c>
      <c r="K307" s="286" t="s">
        <v>2261</v>
      </c>
      <c r="L307" s="286" t="s">
        <v>2262</v>
      </c>
      <c r="M307" s="286">
        <v>1</v>
      </c>
      <c r="N307" s="287">
        <v>10112</v>
      </c>
      <c r="O307" s="294">
        <f t="shared" si="4"/>
        <v>45351</v>
      </c>
      <c r="P307" s="286" t="s">
        <v>279</v>
      </c>
    </row>
    <row r="308" spans="1:16" hidden="1" x14ac:dyDescent="0.15">
      <c r="A308" s="286">
        <v>472168</v>
      </c>
      <c r="B308" s="288">
        <v>45331.416666666664</v>
      </c>
      <c r="C308" s="286" t="s">
        <v>2113</v>
      </c>
      <c r="D308" s="286" t="s">
        <v>1105</v>
      </c>
      <c r="E308" s="286" t="s">
        <v>1106</v>
      </c>
      <c r="F308" s="286" t="s">
        <v>2153</v>
      </c>
      <c r="G308" s="286" t="s">
        <v>1028</v>
      </c>
      <c r="H308" s="286" t="s">
        <v>1028</v>
      </c>
      <c r="I308" s="286" t="s">
        <v>1199</v>
      </c>
      <c r="J308" s="286" t="s">
        <v>53</v>
      </c>
      <c r="K308" s="286" t="s">
        <v>53</v>
      </c>
      <c r="L308" s="286" t="s">
        <v>53</v>
      </c>
      <c r="M308" s="286" t="s">
        <v>53</v>
      </c>
      <c r="N308" s="287">
        <v>9991.31</v>
      </c>
      <c r="O308" s="294">
        <f t="shared" si="4"/>
        <v>45351</v>
      </c>
      <c r="P308" s="286" t="s">
        <v>58</v>
      </c>
    </row>
    <row r="309" spans="1:16" hidden="1" x14ac:dyDescent="0.15">
      <c r="A309" s="286">
        <v>483613</v>
      </c>
      <c r="B309" s="288">
        <v>45342.459027777775</v>
      </c>
      <c r="C309" s="286" t="s">
        <v>2113</v>
      </c>
      <c r="D309" s="286" t="s">
        <v>1105</v>
      </c>
      <c r="E309" s="286" t="s">
        <v>1106</v>
      </c>
      <c r="F309" s="286" t="s">
        <v>2263</v>
      </c>
      <c r="G309" s="286" t="s">
        <v>1053</v>
      </c>
      <c r="H309" s="286" t="s">
        <v>1053</v>
      </c>
      <c r="I309" s="286" t="s">
        <v>1129</v>
      </c>
      <c r="J309" s="286" t="s">
        <v>1312</v>
      </c>
      <c r="K309" s="286" t="s">
        <v>473</v>
      </c>
      <c r="L309" s="286" t="s">
        <v>474</v>
      </c>
      <c r="M309" s="286">
        <v>1</v>
      </c>
      <c r="N309" s="287">
        <v>9861</v>
      </c>
      <c r="O309" s="294">
        <f t="shared" si="4"/>
        <v>45351</v>
      </c>
      <c r="P309" s="286" t="s">
        <v>164</v>
      </c>
    </row>
    <row r="310" spans="1:16" hidden="1" x14ac:dyDescent="0.15">
      <c r="A310" s="286">
        <v>504817</v>
      </c>
      <c r="B310" s="288">
        <v>45359.645138888889</v>
      </c>
      <c r="C310" s="286" t="s">
        <v>2109</v>
      </c>
      <c r="D310" s="286" t="s">
        <v>1105</v>
      </c>
      <c r="E310" s="286" t="s">
        <v>1106</v>
      </c>
      <c r="F310" s="286" t="s">
        <v>2154</v>
      </c>
      <c r="G310" s="286" t="s">
        <v>1089</v>
      </c>
      <c r="H310" s="286" t="s">
        <v>1089</v>
      </c>
      <c r="I310" s="286" t="s">
        <v>1228</v>
      </c>
      <c r="J310" s="286" t="s">
        <v>1312</v>
      </c>
      <c r="K310" s="286" t="s">
        <v>2229</v>
      </c>
      <c r="L310" s="286" t="s">
        <v>53</v>
      </c>
      <c r="M310" s="286">
        <v>1</v>
      </c>
      <c r="N310" s="287">
        <v>9854.4500000000007</v>
      </c>
      <c r="O310" s="294">
        <f t="shared" si="4"/>
        <v>45382</v>
      </c>
      <c r="P310" s="286" t="s">
        <v>58</v>
      </c>
    </row>
    <row r="311" spans="1:16" hidden="1" x14ac:dyDescent="0.15">
      <c r="A311" s="286">
        <v>534207</v>
      </c>
      <c r="B311" s="288">
        <v>45385.750694444447</v>
      </c>
      <c r="C311" s="286" t="s">
        <v>2096</v>
      </c>
      <c r="D311" s="286" t="s">
        <v>1105</v>
      </c>
      <c r="E311" s="286" t="s">
        <v>1106</v>
      </c>
      <c r="F311" s="286" t="s">
        <v>2155</v>
      </c>
      <c r="G311" s="286" t="s">
        <v>1089</v>
      </c>
      <c r="H311" s="286" t="s">
        <v>1089</v>
      </c>
      <c r="I311" s="286" t="s">
        <v>1228</v>
      </c>
      <c r="J311" s="286" t="s">
        <v>1312</v>
      </c>
      <c r="K311" s="286" t="s">
        <v>2229</v>
      </c>
      <c r="L311" s="286" t="s">
        <v>53</v>
      </c>
      <c r="M311" s="286">
        <v>1</v>
      </c>
      <c r="N311" s="287">
        <v>9854.4500000000007</v>
      </c>
      <c r="O311" s="294">
        <f t="shared" si="4"/>
        <v>45412</v>
      </c>
      <c r="P311" s="286" t="s">
        <v>58</v>
      </c>
    </row>
    <row r="312" spans="1:16" hidden="1" x14ac:dyDescent="0.15">
      <c r="A312" s="286">
        <v>614216</v>
      </c>
      <c r="B312" s="288">
        <v>45455.716666666667</v>
      </c>
      <c r="C312" s="286" t="s">
        <v>2116</v>
      </c>
      <c r="D312" s="286" t="s">
        <v>1105</v>
      </c>
      <c r="E312" s="286" t="s">
        <v>1106</v>
      </c>
      <c r="F312" s="286" t="s">
        <v>2156</v>
      </c>
      <c r="G312" s="286" t="s">
        <v>1089</v>
      </c>
      <c r="H312" s="286" t="s">
        <v>1089</v>
      </c>
      <c r="I312" s="286" t="s">
        <v>1228</v>
      </c>
      <c r="J312" s="286" t="s">
        <v>1312</v>
      </c>
      <c r="K312" s="286" t="s">
        <v>2229</v>
      </c>
      <c r="L312" s="286" t="s">
        <v>53</v>
      </c>
      <c r="M312" s="286">
        <v>1</v>
      </c>
      <c r="N312" s="287">
        <v>9854.4500000000007</v>
      </c>
      <c r="O312" s="294">
        <f t="shared" si="4"/>
        <v>45473</v>
      </c>
      <c r="P312" s="286" t="s">
        <v>58</v>
      </c>
    </row>
    <row r="313" spans="1:16" hidden="1" x14ac:dyDescent="0.15">
      <c r="A313" s="286">
        <v>608480</v>
      </c>
      <c r="B313" s="288">
        <v>45450.422222222223</v>
      </c>
      <c r="C313" s="286" t="s">
        <v>2092</v>
      </c>
      <c r="D313" s="286" t="s">
        <v>1105</v>
      </c>
      <c r="E313" s="286" t="s">
        <v>1106</v>
      </c>
      <c r="F313" s="286" t="s">
        <v>2157</v>
      </c>
      <c r="G313" s="286" t="s">
        <v>1089</v>
      </c>
      <c r="H313" s="286" t="s">
        <v>1089</v>
      </c>
      <c r="I313" s="286" t="s">
        <v>1228</v>
      </c>
      <c r="J313" s="286" t="s">
        <v>1312</v>
      </c>
      <c r="K313" s="286" t="s">
        <v>2229</v>
      </c>
      <c r="L313" s="286" t="s">
        <v>53</v>
      </c>
      <c r="M313" s="286">
        <v>1</v>
      </c>
      <c r="N313" s="287">
        <v>9854.4500000000007</v>
      </c>
      <c r="O313" s="294">
        <f t="shared" si="4"/>
        <v>45473</v>
      </c>
      <c r="P313" s="286" t="s">
        <v>58</v>
      </c>
    </row>
    <row r="314" spans="1:16" hidden="1" x14ac:dyDescent="0.15">
      <c r="A314" s="286">
        <v>646075</v>
      </c>
      <c r="B314" s="288">
        <v>45474.519444444442</v>
      </c>
      <c r="C314" s="286" t="s">
        <v>2111</v>
      </c>
      <c r="D314" s="286" t="s">
        <v>1105</v>
      </c>
      <c r="E314" s="286" t="s">
        <v>1106</v>
      </c>
      <c r="F314" s="286" t="s">
        <v>2137</v>
      </c>
      <c r="G314" s="286" t="s">
        <v>1089</v>
      </c>
      <c r="H314" s="286" t="s">
        <v>1089</v>
      </c>
      <c r="I314" s="286" t="s">
        <v>1228</v>
      </c>
      <c r="J314" s="286" t="s">
        <v>1312</v>
      </c>
      <c r="K314" s="286" t="s">
        <v>2229</v>
      </c>
      <c r="L314" s="286" t="s">
        <v>53</v>
      </c>
      <c r="M314" s="286">
        <v>1</v>
      </c>
      <c r="N314" s="287">
        <v>9854.4500000000007</v>
      </c>
      <c r="O314" s="294">
        <f t="shared" si="4"/>
        <v>45504</v>
      </c>
      <c r="P314" s="286" t="s">
        <v>58</v>
      </c>
    </row>
    <row r="315" spans="1:16" hidden="1" x14ac:dyDescent="0.15">
      <c r="A315" s="286">
        <v>697810</v>
      </c>
      <c r="B315" s="288">
        <v>45510.366666666669</v>
      </c>
      <c r="C315" s="286" t="s">
        <v>2102</v>
      </c>
      <c r="D315" s="286" t="s">
        <v>1105</v>
      </c>
      <c r="E315" s="286" t="s">
        <v>1106</v>
      </c>
      <c r="F315" s="286" t="s">
        <v>2138</v>
      </c>
      <c r="G315" s="286" t="s">
        <v>1089</v>
      </c>
      <c r="H315" s="286" t="s">
        <v>1089</v>
      </c>
      <c r="I315" s="286" t="s">
        <v>1228</v>
      </c>
      <c r="J315" s="286" t="s">
        <v>1312</v>
      </c>
      <c r="K315" s="286" t="s">
        <v>2229</v>
      </c>
      <c r="L315" s="286" t="s">
        <v>53</v>
      </c>
      <c r="M315" s="286">
        <v>1</v>
      </c>
      <c r="N315" s="287">
        <v>9854.4500000000007</v>
      </c>
      <c r="O315" s="294">
        <f t="shared" si="4"/>
        <v>45535</v>
      </c>
      <c r="P315" s="286" t="s">
        <v>58</v>
      </c>
    </row>
    <row r="316" spans="1:16" hidden="1" x14ac:dyDescent="0.15">
      <c r="A316" s="286">
        <v>745911</v>
      </c>
      <c r="B316" s="288">
        <v>45538.44027777778</v>
      </c>
      <c r="C316" s="286" t="s">
        <v>2132</v>
      </c>
      <c r="D316" s="286" t="s">
        <v>1105</v>
      </c>
      <c r="E316" s="286" t="s">
        <v>1106</v>
      </c>
      <c r="F316" s="286" t="s">
        <v>2139</v>
      </c>
      <c r="G316" s="286" t="s">
        <v>1089</v>
      </c>
      <c r="H316" s="286" t="s">
        <v>1089</v>
      </c>
      <c r="I316" s="286" t="s">
        <v>1228</v>
      </c>
      <c r="J316" s="286" t="s">
        <v>1312</v>
      </c>
      <c r="K316" s="286" t="s">
        <v>2229</v>
      </c>
      <c r="L316" s="286" t="s">
        <v>53</v>
      </c>
      <c r="M316" s="286">
        <v>1</v>
      </c>
      <c r="N316" s="287">
        <v>9854.4500000000007</v>
      </c>
      <c r="O316" s="294">
        <f t="shared" si="4"/>
        <v>45565</v>
      </c>
      <c r="P316" s="286" t="s">
        <v>58</v>
      </c>
    </row>
    <row r="317" spans="1:16" hidden="1" x14ac:dyDescent="0.15">
      <c r="A317" s="286">
        <v>848817</v>
      </c>
      <c r="B317" s="288">
        <v>45607.65902777778</v>
      </c>
      <c r="C317" s="286" t="s">
        <v>2130</v>
      </c>
      <c r="D317" s="286" t="s">
        <v>1105</v>
      </c>
      <c r="E317" s="286" t="s">
        <v>1106</v>
      </c>
      <c r="F317" s="286" t="s">
        <v>2140</v>
      </c>
      <c r="G317" s="286" t="s">
        <v>1089</v>
      </c>
      <c r="H317" s="286" t="s">
        <v>1089</v>
      </c>
      <c r="I317" s="286" t="s">
        <v>1228</v>
      </c>
      <c r="J317" s="286" t="s">
        <v>1312</v>
      </c>
      <c r="K317" s="286" t="s">
        <v>2229</v>
      </c>
      <c r="L317" s="286" t="s">
        <v>53</v>
      </c>
      <c r="M317" s="286">
        <v>1</v>
      </c>
      <c r="N317" s="287">
        <v>9854.4500000000007</v>
      </c>
      <c r="O317" s="294">
        <f t="shared" si="4"/>
        <v>45626</v>
      </c>
      <c r="P317" s="286" t="s">
        <v>58</v>
      </c>
    </row>
    <row r="318" spans="1:16" hidden="1" x14ac:dyDescent="0.15">
      <c r="A318" s="286">
        <v>848917</v>
      </c>
      <c r="B318" s="288">
        <v>45607.660416666666</v>
      </c>
      <c r="C318" s="286" t="s">
        <v>2100</v>
      </c>
      <c r="D318" s="286" t="s">
        <v>1105</v>
      </c>
      <c r="E318" s="286" t="s">
        <v>1106</v>
      </c>
      <c r="F318" s="286" t="s">
        <v>2141</v>
      </c>
      <c r="G318" s="286" t="s">
        <v>1089</v>
      </c>
      <c r="H318" s="286" t="s">
        <v>1089</v>
      </c>
      <c r="I318" s="286" t="s">
        <v>1228</v>
      </c>
      <c r="J318" s="286" t="s">
        <v>1312</v>
      </c>
      <c r="K318" s="286" t="s">
        <v>2229</v>
      </c>
      <c r="L318" s="286" t="s">
        <v>53</v>
      </c>
      <c r="M318" s="286">
        <v>1</v>
      </c>
      <c r="N318" s="287">
        <v>9854.4500000000007</v>
      </c>
      <c r="O318" s="294">
        <f t="shared" si="4"/>
        <v>45626</v>
      </c>
      <c r="P318" s="286" t="s">
        <v>58</v>
      </c>
    </row>
    <row r="319" spans="1:16" hidden="1" x14ac:dyDescent="0.15">
      <c r="A319" s="286">
        <v>874698</v>
      </c>
      <c r="B319" s="288">
        <v>45628.357638888891</v>
      </c>
      <c r="C319" s="286" t="s">
        <v>2098</v>
      </c>
      <c r="D319" s="286" t="s">
        <v>1105</v>
      </c>
      <c r="E319" s="286" t="s">
        <v>1106</v>
      </c>
      <c r="F319" s="286" t="s">
        <v>2142</v>
      </c>
      <c r="G319" s="286" t="s">
        <v>1089</v>
      </c>
      <c r="H319" s="286" t="s">
        <v>1089</v>
      </c>
      <c r="I319" s="286" t="s">
        <v>1228</v>
      </c>
      <c r="J319" s="286" t="s">
        <v>1312</v>
      </c>
      <c r="K319" s="286" t="s">
        <v>2229</v>
      </c>
      <c r="L319" s="286" t="s">
        <v>53</v>
      </c>
      <c r="M319" s="286">
        <v>1</v>
      </c>
      <c r="N319" s="287">
        <v>9854.4500000000007</v>
      </c>
      <c r="O319" s="294">
        <f t="shared" si="4"/>
        <v>45657</v>
      </c>
      <c r="P319" s="286" t="s">
        <v>58</v>
      </c>
    </row>
    <row r="320" spans="1:16" hidden="1" x14ac:dyDescent="0.15">
      <c r="A320" s="286">
        <v>472168</v>
      </c>
      <c r="B320" s="288">
        <v>45331.416666666664</v>
      </c>
      <c r="C320" s="286" t="s">
        <v>2113</v>
      </c>
      <c r="D320" s="286" t="s">
        <v>1105</v>
      </c>
      <c r="E320" s="286" t="s">
        <v>1106</v>
      </c>
      <c r="F320" s="286" t="s">
        <v>2153</v>
      </c>
      <c r="G320" s="286" t="s">
        <v>1027</v>
      </c>
      <c r="H320" s="286" t="s">
        <v>1027</v>
      </c>
      <c r="I320" s="286" t="s">
        <v>1228</v>
      </c>
      <c r="J320" s="286" t="s">
        <v>1312</v>
      </c>
      <c r="K320" s="286" t="s">
        <v>2229</v>
      </c>
      <c r="L320" s="286" t="s">
        <v>53</v>
      </c>
      <c r="M320" s="286">
        <v>1</v>
      </c>
      <c r="N320" s="287">
        <v>9795.9599999999991</v>
      </c>
      <c r="O320" s="294">
        <f t="shared" si="4"/>
        <v>45351</v>
      </c>
      <c r="P320" s="286" t="s">
        <v>58</v>
      </c>
    </row>
    <row r="321" spans="1:16" hidden="1" x14ac:dyDescent="0.15">
      <c r="A321" s="286">
        <v>504817</v>
      </c>
      <c r="B321" s="288">
        <v>45359.645138888889</v>
      </c>
      <c r="C321" s="286" t="s">
        <v>2109</v>
      </c>
      <c r="D321" s="286" t="s">
        <v>1105</v>
      </c>
      <c r="E321" s="286" t="s">
        <v>1106</v>
      </c>
      <c r="F321" s="286" t="s">
        <v>2154</v>
      </c>
      <c r="G321" s="286" t="s">
        <v>1027</v>
      </c>
      <c r="H321" s="286" t="s">
        <v>1027</v>
      </c>
      <c r="I321" s="286" t="s">
        <v>1228</v>
      </c>
      <c r="J321" s="286" t="s">
        <v>1312</v>
      </c>
      <c r="K321" s="286" t="s">
        <v>2229</v>
      </c>
      <c r="L321" s="286" t="s">
        <v>53</v>
      </c>
      <c r="M321" s="286">
        <v>1</v>
      </c>
      <c r="N321" s="287">
        <v>9795.9599999999991</v>
      </c>
      <c r="O321" s="294">
        <f t="shared" si="4"/>
        <v>45382</v>
      </c>
      <c r="P321" s="286" t="s">
        <v>58</v>
      </c>
    </row>
    <row r="322" spans="1:16" hidden="1" x14ac:dyDescent="0.15">
      <c r="A322" s="286">
        <v>534207</v>
      </c>
      <c r="B322" s="288">
        <v>45385.750694444447</v>
      </c>
      <c r="C322" s="286" t="s">
        <v>2096</v>
      </c>
      <c r="D322" s="286" t="s">
        <v>1105</v>
      </c>
      <c r="E322" s="286" t="s">
        <v>1106</v>
      </c>
      <c r="F322" s="286" t="s">
        <v>2155</v>
      </c>
      <c r="G322" s="286" t="s">
        <v>1027</v>
      </c>
      <c r="H322" s="286" t="s">
        <v>1027</v>
      </c>
      <c r="I322" s="286" t="s">
        <v>1228</v>
      </c>
      <c r="J322" s="286" t="s">
        <v>1312</v>
      </c>
      <c r="K322" s="286" t="s">
        <v>2229</v>
      </c>
      <c r="L322" s="286" t="s">
        <v>53</v>
      </c>
      <c r="M322" s="286">
        <v>1</v>
      </c>
      <c r="N322" s="287">
        <v>9795.9599999999991</v>
      </c>
      <c r="O322" s="294">
        <f t="shared" si="4"/>
        <v>45412</v>
      </c>
      <c r="P322" s="286" t="s">
        <v>58</v>
      </c>
    </row>
    <row r="323" spans="1:16" hidden="1" x14ac:dyDescent="0.15">
      <c r="A323" s="286">
        <v>614216</v>
      </c>
      <c r="B323" s="288">
        <v>45455.716666666667</v>
      </c>
      <c r="C323" s="286" t="s">
        <v>2116</v>
      </c>
      <c r="D323" s="286" t="s">
        <v>1105</v>
      </c>
      <c r="E323" s="286" t="s">
        <v>1106</v>
      </c>
      <c r="F323" s="286" t="s">
        <v>2156</v>
      </c>
      <c r="G323" s="286" t="s">
        <v>1027</v>
      </c>
      <c r="H323" s="286" t="s">
        <v>1027</v>
      </c>
      <c r="I323" s="286" t="s">
        <v>1228</v>
      </c>
      <c r="J323" s="286" t="s">
        <v>1312</v>
      </c>
      <c r="K323" s="286" t="s">
        <v>2229</v>
      </c>
      <c r="L323" s="286" t="s">
        <v>53</v>
      </c>
      <c r="M323" s="286">
        <v>1</v>
      </c>
      <c r="N323" s="287">
        <v>9795.9599999999991</v>
      </c>
      <c r="O323" s="294">
        <f t="shared" si="4"/>
        <v>45473</v>
      </c>
      <c r="P323" s="286" t="s">
        <v>58</v>
      </c>
    </row>
    <row r="324" spans="1:16" hidden="1" x14ac:dyDescent="0.15">
      <c r="A324" s="286">
        <v>608480</v>
      </c>
      <c r="B324" s="288">
        <v>45450.422222222223</v>
      </c>
      <c r="C324" s="286" t="s">
        <v>2092</v>
      </c>
      <c r="D324" s="286" t="s">
        <v>1105</v>
      </c>
      <c r="E324" s="286" t="s">
        <v>1106</v>
      </c>
      <c r="F324" s="286" t="s">
        <v>2157</v>
      </c>
      <c r="G324" s="286" t="s">
        <v>1027</v>
      </c>
      <c r="H324" s="286" t="s">
        <v>1027</v>
      </c>
      <c r="I324" s="286" t="s">
        <v>1228</v>
      </c>
      <c r="J324" s="286" t="s">
        <v>1312</v>
      </c>
      <c r="K324" s="286" t="s">
        <v>2229</v>
      </c>
      <c r="L324" s="286" t="s">
        <v>53</v>
      </c>
      <c r="M324" s="286">
        <v>1</v>
      </c>
      <c r="N324" s="287">
        <v>9795.9599999999991</v>
      </c>
      <c r="O324" s="294">
        <f t="shared" ref="O324:O387" si="5">EOMONTH(B324,0)</f>
        <v>45473</v>
      </c>
      <c r="P324" s="286" t="s">
        <v>58</v>
      </c>
    </row>
    <row r="325" spans="1:16" hidden="1" x14ac:dyDescent="0.15">
      <c r="A325" s="286">
        <v>646075</v>
      </c>
      <c r="B325" s="288">
        <v>45474.519444444442</v>
      </c>
      <c r="C325" s="286" t="s">
        <v>2111</v>
      </c>
      <c r="D325" s="286" t="s">
        <v>1105</v>
      </c>
      <c r="E325" s="286" t="s">
        <v>1106</v>
      </c>
      <c r="F325" s="286" t="s">
        <v>2137</v>
      </c>
      <c r="G325" s="286" t="s">
        <v>1027</v>
      </c>
      <c r="H325" s="286" t="s">
        <v>1027</v>
      </c>
      <c r="I325" s="286" t="s">
        <v>1228</v>
      </c>
      <c r="J325" s="286" t="s">
        <v>1312</v>
      </c>
      <c r="K325" s="286" t="s">
        <v>2229</v>
      </c>
      <c r="L325" s="286" t="s">
        <v>53</v>
      </c>
      <c r="M325" s="286">
        <v>1</v>
      </c>
      <c r="N325" s="287">
        <v>9795.9599999999991</v>
      </c>
      <c r="O325" s="294">
        <f t="shared" si="5"/>
        <v>45504</v>
      </c>
      <c r="P325" s="286" t="s">
        <v>58</v>
      </c>
    </row>
    <row r="326" spans="1:16" hidden="1" x14ac:dyDescent="0.15">
      <c r="A326" s="286">
        <v>697810</v>
      </c>
      <c r="B326" s="288">
        <v>45510.366666666669</v>
      </c>
      <c r="C326" s="286" t="s">
        <v>2102</v>
      </c>
      <c r="D326" s="286" t="s">
        <v>1105</v>
      </c>
      <c r="E326" s="286" t="s">
        <v>1106</v>
      </c>
      <c r="F326" s="286" t="s">
        <v>2138</v>
      </c>
      <c r="G326" s="286" t="s">
        <v>1027</v>
      </c>
      <c r="H326" s="286" t="s">
        <v>1027</v>
      </c>
      <c r="I326" s="286" t="s">
        <v>1228</v>
      </c>
      <c r="J326" s="286" t="s">
        <v>1312</v>
      </c>
      <c r="K326" s="286" t="s">
        <v>2229</v>
      </c>
      <c r="L326" s="286" t="s">
        <v>53</v>
      </c>
      <c r="M326" s="286">
        <v>1</v>
      </c>
      <c r="N326" s="287">
        <v>9795.9599999999991</v>
      </c>
      <c r="O326" s="294">
        <f t="shared" si="5"/>
        <v>45535</v>
      </c>
      <c r="P326" s="286" t="s">
        <v>58</v>
      </c>
    </row>
    <row r="327" spans="1:16" hidden="1" x14ac:dyDescent="0.15">
      <c r="A327" s="286">
        <v>745911</v>
      </c>
      <c r="B327" s="288">
        <v>45538.44027777778</v>
      </c>
      <c r="C327" s="286" t="s">
        <v>2132</v>
      </c>
      <c r="D327" s="286" t="s">
        <v>1105</v>
      </c>
      <c r="E327" s="286" t="s">
        <v>1106</v>
      </c>
      <c r="F327" s="286" t="s">
        <v>2139</v>
      </c>
      <c r="G327" s="286" t="s">
        <v>1027</v>
      </c>
      <c r="H327" s="286" t="s">
        <v>1027</v>
      </c>
      <c r="I327" s="286" t="s">
        <v>1228</v>
      </c>
      <c r="J327" s="286" t="s">
        <v>1312</v>
      </c>
      <c r="K327" s="286" t="s">
        <v>2229</v>
      </c>
      <c r="L327" s="286" t="s">
        <v>53</v>
      </c>
      <c r="M327" s="286">
        <v>1</v>
      </c>
      <c r="N327" s="287">
        <v>9795.9599999999991</v>
      </c>
      <c r="O327" s="294">
        <f t="shared" si="5"/>
        <v>45565</v>
      </c>
      <c r="P327" s="286" t="s">
        <v>58</v>
      </c>
    </row>
    <row r="328" spans="1:16" hidden="1" x14ac:dyDescent="0.15">
      <c r="A328" s="286">
        <v>848817</v>
      </c>
      <c r="B328" s="288">
        <v>45607.65902777778</v>
      </c>
      <c r="C328" s="286" t="s">
        <v>2130</v>
      </c>
      <c r="D328" s="286" t="s">
        <v>1105</v>
      </c>
      <c r="E328" s="286" t="s">
        <v>1106</v>
      </c>
      <c r="F328" s="286" t="s">
        <v>2140</v>
      </c>
      <c r="G328" s="286" t="s">
        <v>1027</v>
      </c>
      <c r="H328" s="286" t="s">
        <v>1027</v>
      </c>
      <c r="I328" s="286" t="s">
        <v>1228</v>
      </c>
      <c r="J328" s="286" t="s">
        <v>1312</v>
      </c>
      <c r="K328" s="286" t="s">
        <v>2229</v>
      </c>
      <c r="L328" s="286" t="s">
        <v>53</v>
      </c>
      <c r="M328" s="286">
        <v>1</v>
      </c>
      <c r="N328" s="287">
        <v>9795.9599999999991</v>
      </c>
      <c r="O328" s="294">
        <f t="shared" si="5"/>
        <v>45626</v>
      </c>
      <c r="P328" s="286" t="s">
        <v>58</v>
      </c>
    </row>
    <row r="329" spans="1:16" hidden="1" x14ac:dyDescent="0.15">
      <c r="A329" s="286">
        <v>848917</v>
      </c>
      <c r="B329" s="288">
        <v>45607.660416666666</v>
      </c>
      <c r="C329" s="286" t="s">
        <v>2100</v>
      </c>
      <c r="D329" s="286" t="s">
        <v>1105</v>
      </c>
      <c r="E329" s="286" t="s">
        <v>1106</v>
      </c>
      <c r="F329" s="286" t="s">
        <v>2141</v>
      </c>
      <c r="G329" s="286" t="s">
        <v>1027</v>
      </c>
      <c r="H329" s="286" t="s">
        <v>1027</v>
      </c>
      <c r="I329" s="286" t="s">
        <v>1228</v>
      </c>
      <c r="J329" s="286" t="s">
        <v>1312</v>
      </c>
      <c r="K329" s="286" t="s">
        <v>2229</v>
      </c>
      <c r="L329" s="286" t="s">
        <v>53</v>
      </c>
      <c r="M329" s="286">
        <v>1</v>
      </c>
      <c r="N329" s="287">
        <v>9795.9599999999991</v>
      </c>
      <c r="O329" s="294">
        <f t="shared" si="5"/>
        <v>45626</v>
      </c>
      <c r="P329" s="286" t="s">
        <v>58</v>
      </c>
    </row>
    <row r="330" spans="1:16" hidden="1" x14ac:dyDescent="0.15">
      <c r="A330" s="286">
        <v>874698</v>
      </c>
      <c r="B330" s="288">
        <v>45628.357638888891</v>
      </c>
      <c r="C330" s="286" t="s">
        <v>2098</v>
      </c>
      <c r="D330" s="286" t="s">
        <v>1105</v>
      </c>
      <c r="E330" s="286" t="s">
        <v>1106</v>
      </c>
      <c r="F330" s="286" t="s">
        <v>2142</v>
      </c>
      <c r="G330" s="286" t="s">
        <v>1027</v>
      </c>
      <c r="H330" s="286" t="s">
        <v>1027</v>
      </c>
      <c r="I330" s="286" t="s">
        <v>1228</v>
      </c>
      <c r="J330" s="286" t="s">
        <v>1312</v>
      </c>
      <c r="K330" s="286" t="s">
        <v>2229</v>
      </c>
      <c r="L330" s="286" t="s">
        <v>53</v>
      </c>
      <c r="M330" s="286">
        <v>1</v>
      </c>
      <c r="N330" s="287">
        <v>9795.9599999999991</v>
      </c>
      <c r="O330" s="294">
        <f t="shared" si="5"/>
        <v>45657</v>
      </c>
      <c r="P330" s="286" t="s">
        <v>58</v>
      </c>
    </row>
    <row r="331" spans="1:16" hidden="1" x14ac:dyDescent="0.15">
      <c r="A331" s="286">
        <v>657173</v>
      </c>
      <c r="B331" s="288">
        <v>45483.53402777778</v>
      </c>
      <c r="C331" s="286" t="s">
        <v>2092</v>
      </c>
      <c r="D331" s="286" t="s">
        <v>1105</v>
      </c>
      <c r="E331" s="286" t="s">
        <v>1106</v>
      </c>
      <c r="F331" s="286" t="s">
        <v>2093</v>
      </c>
      <c r="G331" s="286" t="s">
        <v>1050</v>
      </c>
      <c r="H331" s="286" t="s">
        <v>1050</v>
      </c>
      <c r="I331" s="286" t="s">
        <v>1204</v>
      </c>
      <c r="J331" s="286" t="s">
        <v>1312</v>
      </c>
      <c r="K331" s="286" t="s">
        <v>1780</v>
      </c>
      <c r="L331" s="286" t="s">
        <v>444</v>
      </c>
      <c r="M331" s="286">
        <v>1</v>
      </c>
      <c r="N331" s="287">
        <v>9744</v>
      </c>
      <c r="O331" s="294">
        <f t="shared" si="5"/>
        <v>45504</v>
      </c>
      <c r="P331" s="286" t="s">
        <v>49</v>
      </c>
    </row>
    <row r="332" spans="1:16" hidden="1" x14ac:dyDescent="0.15">
      <c r="A332" s="286">
        <v>544430</v>
      </c>
      <c r="B332" s="288">
        <v>45397.45</v>
      </c>
      <c r="C332" s="286" t="s">
        <v>2109</v>
      </c>
      <c r="D332" s="286" t="s">
        <v>1105</v>
      </c>
      <c r="E332" s="286" t="s">
        <v>1106</v>
      </c>
      <c r="F332" s="286" t="s">
        <v>2264</v>
      </c>
      <c r="G332" s="286" t="s">
        <v>1004</v>
      </c>
      <c r="H332" s="286" t="s">
        <v>1004</v>
      </c>
      <c r="I332" s="286" t="s">
        <v>1112</v>
      </c>
      <c r="J332" s="286" t="s">
        <v>1312</v>
      </c>
      <c r="K332" s="286" t="s">
        <v>2265</v>
      </c>
      <c r="L332" s="286" t="s">
        <v>1783</v>
      </c>
      <c r="M332" s="286">
        <v>1</v>
      </c>
      <c r="N332" s="287">
        <v>9680</v>
      </c>
      <c r="O332" s="294">
        <f t="shared" si="5"/>
        <v>45412</v>
      </c>
      <c r="P332" s="286" t="s">
        <v>175</v>
      </c>
    </row>
    <row r="333" spans="1:16" hidden="1" x14ac:dyDescent="0.15">
      <c r="A333" s="286">
        <v>706530</v>
      </c>
      <c r="B333" s="288">
        <v>45513.595833333333</v>
      </c>
      <c r="C333" s="286" t="s">
        <v>2111</v>
      </c>
      <c r="D333" s="286" t="s">
        <v>1105</v>
      </c>
      <c r="E333" s="286" t="s">
        <v>1106</v>
      </c>
      <c r="F333" s="286" t="s">
        <v>2235</v>
      </c>
      <c r="G333" s="286" t="s">
        <v>1045</v>
      </c>
      <c r="H333" s="286" t="s">
        <v>1045</v>
      </c>
      <c r="I333" s="286" t="s">
        <v>1112</v>
      </c>
      <c r="J333" s="286" t="s">
        <v>1312</v>
      </c>
      <c r="K333" s="286" t="s">
        <v>1773</v>
      </c>
      <c r="L333" s="286" t="s">
        <v>1774</v>
      </c>
      <c r="M333" s="286">
        <v>1</v>
      </c>
      <c r="N333" s="287">
        <v>9680</v>
      </c>
      <c r="O333" s="294">
        <f t="shared" si="5"/>
        <v>45535</v>
      </c>
      <c r="P333" s="286" t="s">
        <v>175</v>
      </c>
    </row>
    <row r="334" spans="1:16" hidden="1" x14ac:dyDescent="0.15">
      <c r="A334" s="286">
        <v>504817</v>
      </c>
      <c r="B334" s="288">
        <v>45359.645138888889</v>
      </c>
      <c r="C334" s="286" t="s">
        <v>2109</v>
      </c>
      <c r="D334" s="286" t="s">
        <v>1105</v>
      </c>
      <c r="E334" s="286" t="s">
        <v>1106</v>
      </c>
      <c r="F334" s="286" t="s">
        <v>2154</v>
      </c>
      <c r="G334" s="286" t="s">
        <v>1089</v>
      </c>
      <c r="H334" s="286" t="s">
        <v>1089</v>
      </c>
      <c r="I334" s="286" t="s">
        <v>1228</v>
      </c>
      <c r="J334" s="286" t="s">
        <v>1312</v>
      </c>
      <c r="K334" s="286" t="s">
        <v>2076</v>
      </c>
      <c r="L334" s="286" t="s">
        <v>53</v>
      </c>
      <c r="M334" s="286">
        <v>0</v>
      </c>
      <c r="N334" s="287">
        <v>9640.16</v>
      </c>
      <c r="O334" s="294">
        <f t="shared" si="5"/>
        <v>45382</v>
      </c>
      <c r="P334" s="286" t="s">
        <v>58</v>
      </c>
    </row>
    <row r="335" spans="1:16" hidden="1" x14ac:dyDescent="0.15">
      <c r="A335" s="286">
        <v>534207</v>
      </c>
      <c r="B335" s="288">
        <v>45385.750694444447</v>
      </c>
      <c r="C335" s="286" t="s">
        <v>2096</v>
      </c>
      <c r="D335" s="286" t="s">
        <v>1105</v>
      </c>
      <c r="E335" s="286" t="s">
        <v>1106</v>
      </c>
      <c r="F335" s="286" t="s">
        <v>2155</v>
      </c>
      <c r="G335" s="286" t="s">
        <v>1089</v>
      </c>
      <c r="H335" s="286" t="s">
        <v>1089</v>
      </c>
      <c r="I335" s="286" t="s">
        <v>1228</v>
      </c>
      <c r="J335" s="286" t="s">
        <v>1312</v>
      </c>
      <c r="K335" s="286" t="s">
        <v>2076</v>
      </c>
      <c r="L335" s="286" t="s">
        <v>53</v>
      </c>
      <c r="M335" s="286">
        <v>0</v>
      </c>
      <c r="N335" s="287">
        <v>9640.16</v>
      </c>
      <c r="O335" s="294">
        <f t="shared" si="5"/>
        <v>45412</v>
      </c>
      <c r="P335" s="286" t="s">
        <v>58</v>
      </c>
    </row>
    <row r="336" spans="1:16" hidden="1" x14ac:dyDescent="0.15">
      <c r="A336" s="286">
        <v>614216</v>
      </c>
      <c r="B336" s="288">
        <v>45455.716666666667</v>
      </c>
      <c r="C336" s="286" t="s">
        <v>2116</v>
      </c>
      <c r="D336" s="286" t="s">
        <v>1105</v>
      </c>
      <c r="E336" s="286" t="s">
        <v>1106</v>
      </c>
      <c r="F336" s="286" t="s">
        <v>2156</v>
      </c>
      <c r="G336" s="286" t="s">
        <v>1089</v>
      </c>
      <c r="H336" s="286" t="s">
        <v>1089</v>
      </c>
      <c r="I336" s="286" t="s">
        <v>1228</v>
      </c>
      <c r="J336" s="286" t="s">
        <v>1312</v>
      </c>
      <c r="K336" s="286" t="s">
        <v>2076</v>
      </c>
      <c r="L336" s="286" t="s">
        <v>53</v>
      </c>
      <c r="M336" s="286">
        <v>0</v>
      </c>
      <c r="N336" s="287">
        <v>9640.16</v>
      </c>
      <c r="O336" s="294">
        <f t="shared" si="5"/>
        <v>45473</v>
      </c>
      <c r="P336" s="286" t="s">
        <v>58</v>
      </c>
    </row>
    <row r="337" spans="1:16" hidden="1" x14ac:dyDescent="0.15">
      <c r="A337" s="286">
        <v>614316</v>
      </c>
      <c r="B337" s="288">
        <v>45455.717361111114</v>
      </c>
      <c r="C337" s="286" t="s">
        <v>2092</v>
      </c>
      <c r="D337" s="286" t="s">
        <v>1105</v>
      </c>
      <c r="E337" s="286" t="s">
        <v>1106</v>
      </c>
      <c r="F337" s="286" t="s">
        <v>2167</v>
      </c>
      <c r="G337" s="286" t="s">
        <v>1089</v>
      </c>
      <c r="H337" s="286" t="s">
        <v>1089</v>
      </c>
      <c r="I337" s="286" t="s">
        <v>1228</v>
      </c>
      <c r="J337" s="286" t="s">
        <v>1312</v>
      </c>
      <c r="K337" s="286" t="s">
        <v>2076</v>
      </c>
      <c r="L337" s="286" t="s">
        <v>53</v>
      </c>
      <c r="M337" s="286">
        <v>0</v>
      </c>
      <c r="N337" s="287">
        <v>9640.16</v>
      </c>
      <c r="O337" s="294">
        <f t="shared" si="5"/>
        <v>45473</v>
      </c>
      <c r="P337" s="286" t="s">
        <v>58</v>
      </c>
    </row>
    <row r="338" spans="1:16" hidden="1" x14ac:dyDescent="0.15">
      <c r="A338" s="286">
        <v>646075</v>
      </c>
      <c r="B338" s="288">
        <v>45474.519444444442</v>
      </c>
      <c r="C338" s="286" t="s">
        <v>2111</v>
      </c>
      <c r="D338" s="286" t="s">
        <v>1105</v>
      </c>
      <c r="E338" s="286" t="s">
        <v>1106</v>
      </c>
      <c r="F338" s="286" t="s">
        <v>2137</v>
      </c>
      <c r="G338" s="286" t="s">
        <v>1089</v>
      </c>
      <c r="H338" s="286" t="s">
        <v>1089</v>
      </c>
      <c r="I338" s="286" t="s">
        <v>1228</v>
      </c>
      <c r="J338" s="286" t="s">
        <v>1312</v>
      </c>
      <c r="K338" s="286" t="s">
        <v>2076</v>
      </c>
      <c r="L338" s="286" t="s">
        <v>53</v>
      </c>
      <c r="M338" s="286">
        <v>0</v>
      </c>
      <c r="N338" s="287">
        <v>9640.16</v>
      </c>
      <c r="O338" s="294">
        <f t="shared" si="5"/>
        <v>45504</v>
      </c>
      <c r="P338" s="286" t="s">
        <v>58</v>
      </c>
    </row>
    <row r="339" spans="1:16" hidden="1" x14ac:dyDescent="0.15">
      <c r="A339" s="286">
        <v>697810</v>
      </c>
      <c r="B339" s="288">
        <v>45510.366666666669</v>
      </c>
      <c r="C339" s="286" t="s">
        <v>2102</v>
      </c>
      <c r="D339" s="286" t="s">
        <v>1105</v>
      </c>
      <c r="E339" s="286" t="s">
        <v>1106</v>
      </c>
      <c r="F339" s="286" t="s">
        <v>2138</v>
      </c>
      <c r="G339" s="286" t="s">
        <v>1089</v>
      </c>
      <c r="H339" s="286" t="s">
        <v>1089</v>
      </c>
      <c r="I339" s="286" t="s">
        <v>1228</v>
      </c>
      <c r="J339" s="286" t="s">
        <v>1312</v>
      </c>
      <c r="K339" s="286" t="s">
        <v>2076</v>
      </c>
      <c r="L339" s="286" t="s">
        <v>53</v>
      </c>
      <c r="M339" s="286">
        <v>0</v>
      </c>
      <c r="N339" s="287">
        <v>9640.16</v>
      </c>
      <c r="O339" s="294">
        <f t="shared" si="5"/>
        <v>45535</v>
      </c>
      <c r="P339" s="286" t="s">
        <v>58</v>
      </c>
    </row>
    <row r="340" spans="1:16" hidden="1" x14ac:dyDescent="0.15">
      <c r="A340" s="286">
        <v>745911</v>
      </c>
      <c r="B340" s="288">
        <v>45538.44027777778</v>
      </c>
      <c r="C340" s="286" t="s">
        <v>2132</v>
      </c>
      <c r="D340" s="286" t="s">
        <v>1105</v>
      </c>
      <c r="E340" s="286" t="s">
        <v>1106</v>
      </c>
      <c r="F340" s="286" t="s">
        <v>2139</v>
      </c>
      <c r="G340" s="286" t="s">
        <v>1089</v>
      </c>
      <c r="H340" s="286" t="s">
        <v>1089</v>
      </c>
      <c r="I340" s="286" t="s">
        <v>1228</v>
      </c>
      <c r="J340" s="286" t="s">
        <v>1312</v>
      </c>
      <c r="K340" s="286" t="s">
        <v>2076</v>
      </c>
      <c r="L340" s="286" t="s">
        <v>53</v>
      </c>
      <c r="M340" s="286">
        <v>0</v>
      </c>
      <c r="N340" s="287">
        <v>9640.16</v>
      </c>
      <c r="O340" s="294">
        <f t="shared" si="5"/>
        <v>45565</v>
      </c>
      <c r="P340" s="286" t="s">
        <v>58</v>
      </c>
    </row>
    <row r="341" spans="1:16" hidden="1" x14ac:dyDescent="0.15">
      <c r="A341" s="286">
        <v>848817</v>
      </c>
      <c r="B341" s="288">
        <v>45607.65902777778</v>
      </c>
      <c r="C341" s="286" t="s">
        <v>2130</v>
      </c>
      <c r="D341" s="286" t="s">
        <v>1105</v>
      </c>
      <c r="E341" s="286" t="s">
        <v>1106</v>
      </c>
      <c r="F341" s="286" t="s">
        <v>2140</v>
      </c>
      <c r="G341" s="286" t="s">
        <v>1089</v>
      </c>
      <c r="H341" s="286" t="s">
        <v>1089</v>
      </c>
      <c r="I341" s="286" t="s">
        <v>1228</v>
      </c>
      <c r="J341" s="286" t="s">
        <v>1312</v>
      </c>
      <c r="K341" s="286" t="s">
        <v>2076</v>
      </c>
      <c r="L341" s="286" t="s">
        <v>53</v>
      </c>
      <c r="M341" s="286">
        <v>0</v>
      </c>
      <c r="N341" s="287">
        <v>9640.16</v>
      </c>
      <c r="O341" s="294">
        <f t="shared" si="5"/>
        <v>45626</v>
      </c>
      <c r="P341" s="286" t="s">
        <v>58</v>
      </c>
    </row>
    <row r="342" spans="1:16" hidden="1" x14ac:dyDescent="0.15">
      <c r="A342" s="286">
        <v>848917</v>
      </c>
      <c r="B342" s="288">
        <v>45607.660416666666</v>
      </c>
      <c r="C342" s="286" t="s">
        <v>2100</v>
      </c>
      <c r="D342" s="286" t="s">
        <v>1105</v>
      </c>
      <c r="E342" s="286" t="s">
        <v>1106</v>
      </c>
      <c r="F342" s="286" t="s">
        <v>2141</v>
      </c>
      <c r="G342" s="286" t="s">
        <v>1089</v>
      </c>
      <c r="H342" s="286" t="s">
        <v>1089</v>
      </c>
      <c r="I342" s="286" t="s">
        <v>1228</v>
      </c>
      <c r="J342" s="286" t="s">
        <v>1312</v>
      </c>
      <c r="K342" s="286" t="s">
        <v>2076</v>
      </c>
      <c r="L342" s="286" t="s">
        <v>53</v>
      </c>
      <c r="M342" s="286">
        <v>0</v>
      </c>
      <c r="N342" s="287">
        <v>9640.16</v>
      </c>
      <c r="O342" s="294">
        <f t="shared" si="5"/>
        <v>45626</v>
      </c>
      <c r="P342" s="286" t="s">
        <v>58</v>
      </c>
    </row>
    <row r="343" spans="1:16" hidden="1" x14ac:dyDescent="0.15">
      <c r="A343" s="286">
        <v>874698</v>
      </c>
      <c r="B343" s="288">
        <v>45628.357638888891</v>
      </c>
      <c r="C343" s="286" t="s">
        <v>2098</v>
      </c>
      <c r="D343" s="286" t="s">
        <v>1105</v>
      </c>
      <c r="E343" s="286" t="s">
        <v>1106</v>
      </c>
      <c r="F343" s="286" t="s">
        <v>2142</v>
      </c>
      <c r="G343" s="286" t="s">
        <v>1089</v>
      </c>
      <c r="H343" s="286" t="s">
        <v>1089</v>
      </c>
      <c r="I343" s="286" t="s">
        <v>1228</v>
      </c>
      <c r="J343" s="286" t="s">
        <v>1312</v>
      </c>
      <c r="K343" s="286" t="s">
        <v>2076</v>
      </c>
      <c r="L343" s="286" t="s">
        <v>53</v>
      </c>
      <c r="M343" s="286">
        <v>0</v>
      </c>
      <c r="N343" s="287">
        <v>9640.16</v>
      </c>
      <c r="O343" s="294">
        <f t="shared" si="5"/>
        <v>45657</v>
      </c>
      <c r="P343" s="286" t="s">
        <v>58</v>
      </c>
    </row>
    <row r="344" spans="1:16" hidden="1" x14ac:dyDescent="0.15">
      <c r="A344" s="286">
        <v>504817</v>
      </c>
      <c r="B344" s="288">
        <v>45359.645138888889</v>
      </c>
      <c r="C344" s="286" t="s">
        <v>2109</v>
      </c>
      <c r="D344" s="286" t="s">
        <v>1105</v>
      </c>
      <c r="E344" s="286" t="s">
        <v>1106</v>
      </c>
      <c r="F344" s="286" t="s">
        <v>2154</v>
      </c>
      <c r="G344" s="286" t="s">
        <v>1089</v>
      </c>
      <c r="H344" s="286" t="s">
        <v>1089</v>
      </c>
      <c r="I344" s="286" t="s">
        <v>1228</v>
      </c>
      <c r="J344" s="286" t="s">
        <v>1312</v>
      </c>
      <c r="K344" s="286" t="s">
        <v>2227</v>
      </c>
      <c r="L344" s="286" t="s">
        <v>2228</v>
      </c>
      <c r="M344" s="286">
        <v>1</v>
      </c>
      <c r="N344" s="287">
        <v>9600.17</v>
      </c>
      <c r="O344" s="294">
        <f t="shared" si="5"/>
        <v>45382</v>
      </c>
      <c r="P344" s="286" t="s">
        <v>58</v>
      </c>
    </row>
    <row r="345" spans="1:16" hidden="1" x14ac:dyDescent="0.15">
      <c r="A345" s="286">
        <v>534207</v>
      </c>
      <c r="B345" s="288">
        <v>45385.750694444447</v>
      </c>
      <c r="C345" s="286" t="s">
        <v>2096</v>
      </c>
      <c r="D345" s="286" t="s">
        <v>1105</v>
      </c>
      <c r="E345" s="286" t="s">
        <v>1106</v>
      </c>
      <c r="F345" s="286" t="s">
        <v>2155</v>
      </c>
      <c r="G345" s="286" t="s">
        <v>1089</v>
      </c>
      <c r="H345" s="286" t="s">
        <v>1089</v>
      </c>
      <c r="I345" s="286" t="s">
        <v>1228</v>
      </c>
      <c r="J345" s="286" t="s">
        <v>1312</v>
      </c>
      <c r="K345" s="286" t="s">
        <v>2227</v>
      </c>
      <c r="L345" s="286" t="s">
        <v>2228</v>
      </c>
      <c r="M345" s="286">
        <v>1</v>
      </c>
      <c r="N345" s="287">
        <v>9600.17</v>
      </c>
      <c r="O345" s="294">
        <f t="shared" si="5"/>
        <v>45412</v>
      </c>
      <c r="P345" s="286" t="s">
        <v>58</v>
      </c>
    </row>
    <row r="346" spans="1:16" hidden="1" x14ac:dyDescent="0.15">
      <c r="A346" s="286">
        <v>614216</v>
      </c>
      <c r="B346" s="288">
        <v>45455.716666666667</v>
      </c>
      <c r="C346" s="286" t="s">
        <v>2116</v>
      </c>
      <c r="D346" s="286" t="s">
        <v>1105</v>
      </c>
      <c r="E346" s="286" t="s">
        <v>1106</v>
      </c>
      <c r="F346" s="286" t="s">
        <v>2156</v>
      </c>
      <c r="G346" s="286" t="s">
        <v>1089</v>
      </c>
      <c r="H346" s="286" t="s">
        <v>1089</v>
      </c>
      <c r="I346" s="286" t="s">
        <v>1228</v>
      </c>
      <c r="J346" s="286" t="s">
        <v>1312</v>
      </c>
      <c r="K346" s="286" t="s">
        <v>2227</v>
      </c>
      <c r="L346" s="286" t="s">
        <v>2228</v>
      </c>
      <c r="M346" s="286">
        <v>1</v>
      </c>
      <c r="N346" s="287">
        <v>9600.17</v>
      </c>
      <c r="O346" s="294">
        <f t="shared" si="5"/>
        <v>45473</v>
      </c>
      <c r="P346" s="286" t="s">
        <v>58</v>
      </c>
    </row>
    <row r="347" spans="1:16" hidden="1" x14ac:dyDescent="0.15">
      <c r="A347" s="286">
        <v>614316</v>
      </c>
      <c r="B347" s="288">
        <v>45455.717361111114</v>
      </c>
      <c r="C347" s="286" t="s">
        <v>2092</v>
      </c>
      <c r="D347" s="286" t="s">
        <v>1105</v>
      </c>
      <c r="E347" s="286" t="s">
        <v>1106</v>
      </c>
      <c r="F347" s="286" t="s">
        <v>2167</v>
      </c>
      <c r="G347" s="286" t="s">
        <v>1089</v>
      </c>
      <c r="H347" s="286" t="s">
        <v>1089</v>
      </c>
      <c r="I347" s="286" t="s">
        <v>1228</v>
      </c>
      <c r="J347" s="286" t="s">
        <v>1312</v>
      </c>
      <c r="K347" s="286" t="s">
        <v>2227</v>
      </c>
      <c r="L347" s="286" t="s">
        <v>2228</v>
      </c>
      <c r="M347" s="286">
        <v>1</v>
      </c>
      <c r="N347" s="287">
        <v>9600.17</v>
      </c>
      <c r="O347" s="294">
        <f t="shared" si="5"/>
        <v>45473</v>
      </c>
      <c r="P347" s="286" t="s">
        <v>58</v>
      </c>
    </row>
    <row r="348" spans="1:16" hidden="1" x14ac:dyDescent="0.15">
      <c r="A348" s="286">
        <v>646075</v>
      </c>
      <c r="B348" s="288">
        <v>45474.519444444442</v>
      </c>
      <c r="C348" s="286" t="s">
        <v>2111</v>
      </c>
      <c r="D348" s="286" t="s">
        <v>1105</v>
      </c>
      <c r="E348" s="286" t="s">
        <v>1106</v>
      </c>
      <c r="F348" s="286" t="s">
        <v>2137</v>
      </c>
      <c r="G348" s="286" t="s">
        <v>1089</v>
      </c>
      <c r="H348" s="286" t="s">
        <v>1089</v>
      </c>
      <c r="I348" s="286" t="s">
        <v>1228</v>
      </c>
      <c r="J348" s="286" t="s">
        <v>1312</v>
      </c>
      <c r="K348" s="286" t="s">
        <v>2227</v>
      </c>
      <c r="L348" s="286" t="s">
        <v>2228</v>
      </c>
      <c r="M348" s="286">
        <v>1</v>
      </c>
      <c r="N348" s="287">
        <v>9600.17</v>
      </c>
      <c r="O348" s="294">
        <f t="shared" si="5"/>
        <v>45504</v>
      </c>
      <c r="P348" s="286" t="s">
        <v>58</v>
      </c>
    </row>
    <row r="349" spans="1:16" hidden="1" x14ac:dyDescent="0.15">
      <c r="A349" s="286">
        <v>697810</v>
      </c>
      <c r="B349" s="288">
        <v>45510.366666666669</v>
      </c>
      <c r="C349" s="286" t="s">
        <v>2102</v>
      </c>
      <c r="D349" s="286" t="s">
        <v>1105</v>
      </c>
      <c r="E349" s="286" t="s">
        <v>1106</v>
      </c>
      <c r="F349" s="286" t="s">
        <v>2138</v>
      </c>
      <c r="G349" s="286" t="s">
        <v>1089</v>
      </c>
      <c r="H349" s="286" t="s">
        <v>1089</v>
      </c>
      <c r="I349" s="286" t="s">
        <v>1228</v>
      </c>
      <c r="J349" s="286" t="s">
        <v>1312</v>
      </c>
      <c r="K349" s="286" t="s">
        <v>2227</v>
      </c>
      <c r="L349" s="286" t="s">
        <v>2228</v>
      </c>
      <c r="M349" s="286">
        <v>1</v>
      </c>
      <c r="N349" s="287">
        <v>9600.17</v>
      </c>
      <c r="O349" s="294">
        <f t="shared" si="5"/>
        <v>45535</v>
      </c>
      <c r="P349" s="286" t="s">
        <v>58</v>
      </c>
    </row>
    <row r="350" spans="1:16" hidden="1" x14ac:dyDescent="0.15">
      <c r="A350" s="286">
        <v>745911</v>
      </c>
      <c r="B350" s="288">
        <v>45538.44027777778</v>
      </c>
      <c r="C350" s="286" t="s">
        <v>2132</v>
      </c>
      <c r="D350" s="286" t="s">
        <v>1105</v>
      </c>
      <c r="E350" s="286" t="s">
        <v>1106</v>
      </c>
      <c r="F350" s="286" t="s">
        <v>2139</v>
      </c>
      <c r="G350" s="286" t="s">
        <v>1089</v>
      </c>
      <c r="H350" s="286" t="s">
        <v>1089</v>
      </c>
      <c r="I350" s="286" t="s">
        <v>1228</v>
      </c>
      <c r="J350" s="286" t="s">
        <v>1312</v>
      </c>
      <c r="K350" s="286" t="s">
        <v>2227</v>
      </c>
      <c r="L350" s="286" t="s">
        <v>2228</v>
      </c>
      <c r="M350" s="286">
        <v>1</v>
      </c>
      <c r="N350" s="287">
        <v>9600.17</v>
      </c>
      <c r="O350" s="294">
        <f t="shared" si="5"/>
        <v>45565</v>
      </c>
      <c r="P350" s="286" t="s">
        <v>58</v>
      </c>
    </row>
    <row r="351" spans="1:16" hidden="1" x14ac:dyDescent="0.15">
      <c r="A351" s="286">
        <v>848817</v>
      </c>
      <c r="B351" s="288">
        <v>45607.65902777778</v>
      </c>
      <c r="C351" s="286" t="s">
        <v>2130</v>
      </c>
      <c r="D351" s="286" t="s">
        <v>1105</v>
      </c>
      <c r="E351" s="286" t="s">
        <v>1106</v>
      </c>
      <c r="F351" s="286" t="s">
        <v>2140</v>
      </c>
      <c r="G351" s="286" t="s">
        <v>1089</v>
      </c>
      <c r="H351" s="286" t="s">
        <v>1089</v>
      </c>
      <c r="I351" s="286" t="s">
        <v>1228</v>
      </c>
      <c r="J351" s="286" t="s">
        <v>1312</v>
      </c>
      <c r="K351" s="286" t="s">
        <v>2227</v>
      </c>
      <c r="L351" s="286" t="s">
        <v>2228</v>
      </c>
      <c r="M351" s="286">
        <v>1</v>
      </c>
      <c r="N351" s="287">
        <v>9600.17</v>
      </c>
      <c r="O351" s="294">
        <f t="shared" si="5"/>
        <v>45626</v>
      </c>
      <c r="P351" s="286" t="s">
        <v>58</v>
      </c>
    </row>
    <row r="352" spans="1:16" hidden="1" x14ac:dyDescent="0.15">
      <c r="A352" s="286">
        <v>848917</v>
      </c>
      <c r="B352" s="288">
        <v>45607.660416666666</v>
      </c>
      <c r="C352" s="286" t="s">
        <v>2100</v>
      </c>
      <c r="D352" s="286" t="s">
        <v>1105</v>
      </c>
      <c r="E352" s="286" t="s">
        <v>1106</v>
      </c>
      <c r="F352" s="286" t="s">
        <v>2141</v>
      </c>
      <c r="G352" s="286" t="s">
        <v>1089</v>
      </c>
      <c r="H352" s="286" t="s">
        <v>1089</v>
      </c>
      <c r="I352" s="286" t="s">
        <v>1228</v>
      </c>
      <c r="J352" s="286" t="s">
        <v>1312</v>
      </c>
      <c r="K352" s="286" t="s">
        <v>2227</v>
      </c>
      <c r="L352" s="286" t="s">
        <v>2228</v>
      </c>
      <c r="M352" s="286">
        <v>1</v>
      </c>
      <c r="N352" s="287">
        <v>9600.17</v>
      </c>
      <c r="O352" s="294">
        <f t="shared" si="5"/>
        <v>45626</v>
      </c>
      <c r="P352" s="286" t="s">
        <v>58</v>
      </c>
    </row>
    <row r="353" spans="1:16" hidden="1" x14ac:dyDescent="0.15">
      <c r="A353" s="286">
        <v>874698</v>
      </c>
      <c r="B353" s="288">
        <v>45628.357638888891</v>
      </c>
      <c r="C353" s="286" t="s">
        <v>2098</v>
      </c>
      <c r="D353" s="286" t="s">
        <v>1105</v>
      </c>
      <c r="E353" s="286" t="s">
        <v>1106</v>
      </c>
      <c r="F353" s="286" t="s">
        <v>2142</v>
      </c>
      <c r="G353" s="286" t="s">
        <v>1089</v>
      </c>
      <c r="H353" s="286" t="s">
        <v>1089</v>
      </c>
      <c r="I353" s="286" t="s">
        <v>1228</v>
      </c>
      <c r="J353" s="286" t="s">
        <v>1312</v>
      </c>
      <c r="K353" s="286" t="s">
        <v>2227</v>
      </c>
      <c r="L353" s="286" t="s">
        <v>2228</v>
      </c>
      <c r="M353" s="286">
        <v>1</v>
      </c>
      <c r="N353" s="287">
        <v>9600.17</v>
      </c>
      <c r="O353" s="294">
        <f t="shared" si="5"/>
        <v>45657</v>
      </c>
      <c r="P353" s="286" t="s">
        <v>58</v>
      </c>
    </row>
    <row r="354" spans="1:16" hidden="1" x14ac:dyDescent="0.15">
      <c r="A354" s="286">
        <v>496829</v>
      </c>
      <c r="B354" s="288">
        <v>45352.458333333336</v>
      </c>
      <c r="C354" s="286" t="s">
        <v>2113</v>
      </c>
      <c r="D354" s="286" t="s">
        <v>1105</v>
      </c>
      <c r="E354" s="286" t="s">
        <v>1106</v>
      </c>
      <c r="F354" s="286" t="s">
        <v>2266</v>
      </c>
      <c r="G354" s="286" t="s">
        <v>1027</v>
      </c>
      <c r="H354" s="286" t="s">
        <v>1027</v>
      </c>
      <c r="I354" s="286" t="s">
        <v>1199</v>
      </c>
      <c r="J354" s="286" t="s">
        <v>53</v>
      </c>
      <c r="K354" s="286" t="s">
        <v>53</v>
      </c>
      <c r="L354" s="286" t="s">
        <v>53</v>
      </c>
      <c r="M354" s="286" t="s">
        <v>53</v>
      </c>
      <c r="N354" s="287">
        <v>9583.2000000000007</v>
      </c>
      <c r="O354" s="294">
        <f t="shared" si="5"/>
        <v>45382</v>
      </c>
      <c r="P354" s="286" t="s">
        <v>58</v>
      </c>
    </row>
    <row r="355" spans="1:16" hidden="1" x14ac:dyDescent="0.15">
      <c r="A355" s="286">
        <v>559626</v>
      </c>
      <c r="B355" s="288">
        <v>45408.642361111109</v>
      </c>
      <c r="C355" s="286" t="s">
        <v>2109</v>
      </c>
      <c r="D355" s="286" t="s">
        <v>1105</v>
      </c>
      <c r="E355" s="286" t="s">
        <v>1106</v>
      </c>
      <c r="F355" s="286" t="s">
        <v>2231</v>
      </c>
      <c r="G355" s="286" t="s">
        <v>1027</v>
      </c>
      <c r="H355" s="286" t="s">
        <v>1027</v>
      </c>
      <c r="I355" s="286" t="s">
        <v>1199</v>
      </c>
      <c r="J355" s="286" t="s">
        <v>1312</v>
      </c>
      <c r="K355" s="286" t="s">
        <v>53</v>
      </c>
      <c r="L355" s="286" t="s">
        <v>53</v>
      </c>
      <c r="M355" s="286" t="s">
        <v>53</v>
      </c>
      <c r="N355" s="287">
        <v>9583.2000000000007</v>
      </c>
      <c r="O355" s="294">
        <f t="shared" si="5"/>
        <v>45412</v>
      </c>
      <c r="P355" s="286" t="s">
        <v>58</v>
      </c>
    </row>
    <row r="356" spans="1:16" hidden="1" x14ac:dyDescent="0.15">
      <c r="A356" s="286">
        <v>577185</v>
      </c>
      <c r="B356" s="288">
        <v>45425.680555555555</v>
      </c>
      <c r="C356" s="286" t="s">
        <v>2096</v>
      </c>
      <c r="D356" s="286" t="s">
        <v>1105</v>
      </c>
      <c r="E356" s="286" t="s">
        <v>1106</v>
      </c>
      <c r="F356" s="286" t="s">
        <v>2232</v>
      </c>
      <c r="G356" s="286" t="s">
        <v>1027</v>
      </c>
      <c r="H356" s="286" t="s">
        <v>1027</v>
      </c>
      <c r="I356" s="286" t="s">
        <v>1199</v>
      </c>
      <c r="J356" s="286" t="s">
        <v>53</v>
      </c>
      <c r="K356" s="286" t="s">
        <v>53</v>
      </c>
      <c r="L356" s="286" t="s">
        <v>53</v>
      </c>
      <c r="M356" s="286" t="s">
        <v>53</v>
      </c>
      <c r="N356" s="287">
        <v>9583.2000000000007</v>
      </c>
      <c r="O356" s="294">
        <f t="shared" si="5"/>
        <v>45443</v>
      </c>
      <c r="P356" s="286" t="s">
        <v>58</v>
      </c>
    </row>
    <row r="357" spans="1:16" hidden="1" x14ac:dyDescent="0.15">
      <c r="A357" s="286">
        <v>618175</v>
      </c>
      <c r="B357" s="288">
        <v>45457.602083333331</v>
      </c>
      <c r="C357" s="286" t="s">
        <v>2116</v>
      </c>
      <c r="D357" s="286" t="s">
        <v>1105</v>
      </c>
      <c r="E357" s="286" t="s">
        <v>1106</v>
      </c>
      <c r="F357" s="286" t="s">
        <v>2158</v>
      </c>
      <c r="G357" s="286" t="s">
        <v>1027</v>
      </c>
      <c r="H357" s="286" t="s">
        <v>1027</v>
      </c>
      <c r="I357" s="286" t="s">
        <v>1199</v>
      </c>
      <c r="J357" s="286" t="s">
        <v>1312</v>
      </c>
      <c r="K357" s="286" t="s">
        <v>53</v>
      </c>
      <c r="L357" s="286" t="s">
        <v>53</v>
      </c>
      <c r="M357" s="286" t="s">
        <v>53</v>
      </c>
      <c r="N357" s="287">
        <v>9583.2000000000007</v>
      </c>
      <c r="O357" s="294">
        <f t="shared" si="5"/>
        <v>45473</v>
      </c>
      <c r="P357" s="286" t="s">
        <v>58</v>
      </c>
    </row>
    <row r="358" spans="1:16" hidden="1" x14ac:dyDescent="0.15">
      <c r="A358" s="286">
        <v>659936</v>
      </c>
      <c r="B358" s="288">
        <v>45484.529861111114</v>
      </c>
      <c r="C358" s="286" t="s">
        <v>2092</v>
      </c>
      <c r="D358" s="286" t="s">
        <v>1105</v>
      </c>
      <c r="E358" s="286" t="s">
        <v>1106</v>
      </c>
      <c r="F358" s="286" t="s">
        <v>2159</v>
      </c>
      <c r="G358" s="286" t="s">
        <v>1027</v>
      </c>
      <c r="H358" s="286" t="s">
        <v>1027</v>
      </c>
      <c r="I358" s="286" t="s">
        <v>1199</v>
      </c>
      <c r="J358" s="286" t="s">
        <v>1312</v>
      </c>
      <c r="K358" s="286" t="s">
        <v>53</v>
      </c>
      <c r="L358" s="286" t="s">
        <v>53</v>
      </c>
      <c r="M358" s="286" t="s">
        <v>53</v>
      </c>
      <c r="N358" s="287">
        <v>9583.2000000000007</v>
      </c>
      <c r="O358" s="294">
        <f t="shared" si="5"/>
        <v>45504</v>
      </c>
      <c r="P358" s="286" t="s">
        <v>58</v>
      </c>
    </row>
    <row r="359" spans="1:16" hidden="1" x14ac:dyDescent="0.15">
      <c r="A359" s="286">
        <v>712645</v>
      </c>
      <c r="B359" s="288">
        <v>45517.640972222223</v>
      </c>
      <c r="C359" s="286" t="s">
        <v>2111</v>
      </c>
      <c r="D359" s="286" t="s">
        <v>1105</v>
      </c>
      <c r="E359" s="286" t="s">
        <v>1106</v>
      </c>
      <c r="F359" s="286" t="s">
        <v>2160</v>
      </c>
      <c r="G359" s="286" t="s">
        <v>1027</v>
      </c>
      <c r="H359" s="286" t="s">
        <v>1027</v>
      </c>
      <c r="I359" s="286" t="s">
        <v>1199</v>
      </c>
      <c r="J359" s="286" t="s">
        <v>1312</v>
      </c>
      <c r="K359" s="286" t="s">
        <v>53</v>
      </c>
      <c r="L359" s="286" t="s">
        <v>53</v>
      </c>
      <c r="M359" s="286" t="s">
        <v>53</v>
      </c>
      <c r="N359" s="287">
        <v>9583.2000000000007</v>
      </c>
      <c r="O359" s="294">
        <f t="shared" si="5"/>
        <v>45535</v>
      </c>
      <c r="P359" s="286" t="s">
        <v>58</v>
      </c>
    </row>
    <row r="360" spans="1:16" hidden="1" x14ac:dyDescent="0.15">
      <c r="A360" s="286">
        <v>741366</v>
      </c>
      <c r="B360" s="288">
        <v>45532.655555555553</v>
      </c>
      <c r="C360" s="286" t="s">
        <v>2102</v>
      </c>
      <c r="D360" s="286" t="s">
        <v>1105</v>
      </c>
      <c r="E360" s="286" t="s">
        <v>1106</v>
      </c>
      <c r="F360" s="286" t="s">
        <v>2161</v>
      </c>
      <c r="G360" s="286" t="s">
        <v>1027</v>
      </c>
      <c r="H360" s="286" t="s">
        <v>1027</v>
      </c>
      <c r="I360" s="286" t="s">
        <v>1199</v>
      </c>
      <c r="J360" s="286" t="s">
        <v>1312</v>
      </c>
      <c r="K360" s="286" t="s">
        <v>53</v>
      </c>
      <c r="L360" s="286" t="s">
        <v>53</v>
      </c>
      <c r="M360" s="286" t="s">
        <v>53</v>
      </c>
      <c r="N360" s="287">
        <v>9583.2000000000007</v>
      </c>
      <c r="O360" s="294">
        <f t="shared" si="5"/>
        <v>45535</v>
      </c>
      <c r="P360" s="286" t="s">
        <v>58</v>
      </c>
    </row>
    <row r="361" spans="1:16" hidden="1" x14ac:dyDescent="0.15">
      <c r="A361" s="286">
        <v>785030</v>
      </c>
      <c r="B361" s="288">
        <v>45559.581944444442</v>
      </c>
      <c r="C361" s="286" t="s">
        <v>2132</v>
      </c>
      <c r="D361" s="286" t="s">
        <v>1105</v>
      </c>
      <c r="E361" s="286" t="s">
        <v>1106</v>
      </c>
      <c r="F361" s="286" t="s">
        <v>2162</v>
      </c>
      <c r="G361" s="286" t="s">
        <v>1027</v>
      </c>
      <c r="H361" s="286" t="s">
        <v>1027</v>
      </c>
      <c r="I361" s="286" t="s">
        <v>1199</v>
      </c>
      <c r="J361" s="286" t="s">
        <v>1312</v>
      </c>
      <c r="K361" s="286" t="s">
        <v>53</v>
      </c>
      <c r="L361" s="286" t="s">
        <v>53</v>
      </c>
      <c r="M361" s="286" t="s">
        <v>53</v>
      </c>
      <c r="N361" s="287">
        <v>9583.2000000000007</v>
      </c>
      <c r="O361" s="294">
        <f t="shared" si="5"/>
        <v>45565</v>
      </c>
      <c r="P361" s="286" t="s">
        <v>58</v>
      </c>
    </row>
    <row r="362" spans="1:16" hidden="1" x14ac:dyDescent="0.15">
      <c r="A362" s="286">
        <v>821955</v>
      </c>
      <c r="B362" s="288">
        <v>45587.62777777778</v>
      </c>
      <c r="C362" s="286" t="s">
        <v>2130</v>
      </c>
      <c r="D362" s="286" t="s">
        <v>1105</v>
      </c>
      <c r="E362" s="286" t="s">
        <v>1106</v>
      </c>
      <c r="F362" s="286" t="s">
        <v>2163</v>
      </c>
      <c r="G362" s="286" t="s">
        <v>1027</v>
      </c>
      <c r="H362" s="286" t="s">
        <v>1027</v>
      </c>
      <c r="I362" s="286" t="s">
        <v>1199</v>
      </c>
      <c r="J362" s="286" t="s">
        <v>1312</v>
      </c>
      <c r="K362" s="286" t="s">
        <v>53</v>
      </c>
      <c r="L362" s="286" t="s">
        <v>53</v>
      </c>
      <c r="M362" s="286" t="s">
        <v>53</v>
      </c>
      <c r="N362" s="287">
        <v>9583.2000000000007</v>
      </c>
      <c r="O362" s="294">
        <f t="shared" si="5"/>
        <v>45596</v>
      </c>
      <c r="P362" s="286" t="s">
        <v>58</v>
      </c>
    </row>
    <row r="363" spans="1:16" hidden="1" x14ac:dyDescent="0.15">
      <c r="A363" s="286">
        <v>864918</v>
      </c>
      <c r="B363" s="288">
        <v>45617.508333333331</v>
      </c>
      <c r="C363" s="286" t="s">
        <v>2100</v>
      </c>
      <c r="D363" s="286" t="s">
        <v>1105</v>
      </c>
      <c r="E363" s="286" t="s">
        <v>1106</v>
      </c>
      <c r="F363" s="286" t="s">
        <v>2233</v>
      </c>
      <c r="G363" s="286" t="s">
        <v>1027</v>
      </c>
      <c r="H363" s="286" t="s">
        <v>1027</v>
      </c>
      <c r="I363" s="286" t="s">
        <v>1199</v>
      </c>
      <c r="J363" s="286" t="s">
        <v>53</v>
      </c>
      <c r="K363" s="286" t="s">
        <v>53</v>
      </c>
      <c r="L363" s="286" t="s">
        <v>53</v>
      </c>
      <c r="M363" s="286" t="s">
        <v>53</v>
      </c>
      <c r="N363" s="287">
        <v>9583.2000000000007</v>
      </c>
      <c r="O363" s="294">
        <f t="shared" si="5"/>
        <v>45626</v>
      </c>
      <c r="P363" s="286" t="s">
        <v>58</v>
      </c>
    </row>
    <row r="364" spans="1:16" hidden="1" x14ac:dyDescent="0.15">
      <c r="A364" s="286">
        <v>898877</v>
      </c>
      <c r="B364" s="288">
        <v>45644.552083333336</v>
      </c>
      <c r="C364" s="286" t="s">
        <v>2098</v>
      </c>
      <c r="D364" s="286" t="s">
        <v>1105</v>
      </c>
      <c r="E364" s="286" t="s">
        <v>1106</v>
      </c>
      <c r="F364" s="286" t="s">
        <v>2234</v>
      </c>
      <c r="G364" s="286" t="s">
        <v>1027</v>
      </c>
      <c r="H364" s="286" t="s">
        <v>1027</v>
      </c>
      <c r="I364" s="286" t="s">
        <v>1199</v>
      </c>
      <c r="J364" s="286" t="s">
        <v>1312</v>
      </c>
      <c r="K364" s="286" t="s">
        <v>53</v>
      </c>
      <c r="L364" s="286" t="s">
        <v>53</v>
      </c>
      <c r="M364" s="286" t="s">
        <v>53</v>
      </c>
      <c r="N364" s="287">
        <v>9583.2000000000007</v>
      </c>
      <c r="O364" s="294">
        <f t="shared" si="5"/>
        <v>45657</v>
      </c>
      <c r="P364" s="286" t="s">
        <v>58</v>
      </c>
    </row>
    <row r="365" spans="1:16" hidden="1" x14ac:dyDescent="0.15">
      <c r="A365" s="286">
        <v>496295</v>
      </c>
      <c r="B365" s="288">
        <v>45352.356944444444</v>
      </c>
      <c r="C365" s="286" t="s">
        <v>2113</v>
      </c>
      <c r="D365" s="286" t="s">
        <v>1105</v>
      </c>
      <c r="E365" s="286" t="s">
        <v>1106</v>
      </c>
      <c r="F365" s="286" t="s">
        <v>2114</v>
      </c>
      <c r="G365" s="286" t="s">
        <v>1024</v>
      </c>
      <c r="H365" s="286" t="s">
        <v>1024</v>
      </c>
      <c r="I365" s="286" t="s">
        <v>1204</v>
      </c>
      <c r="J365" s="286" t="s">
        <v>1312</v>
      </c>
      <c r="K365" s="286" t="s">
        <v>1419</v>
      </c>
      <c r="L365" s="286" t="s">
        <v>894</v>
      </c>
      <c r="M365" s="286">
        <v>1</v>
      </c>
      <c r="N365" s="287">
        <v>9523</v>
      </c>
      <c r="O365" s="294">
        <f t="shared" si="5"/>
        <v>45382</v>
      </c>
      <c r="P365" s="286" t="s">
        <v>49</v>
      </c>
    </row>
    <row r="366" spans="1:16" hidden="1" x14ac:dyDescent="0.15">
      <c r="A366" s="286">
        <v>517381</v>
      </c>
      <c r="B366" s="288">
        <v>45370.440972222219</v>
      </c>
      <c r="C366" s="286" t="s">
        <v>2113</v>
      </c>
      <c r="D366" s="286" t="s">
        <v>1105</v>
      </c>
      <c r="E366" s="286" t="s">
        <v>1106</v>
      </c>
      <c r="F366" s="286" t="s">
        <v>2118</v>
      </c>
      <c r="G366" s="286" t="s">
        <v>1019</v>
      </c>
      <c r="H366" s="286" t="s">
        <v>1019</v>
      </c>
      <c r="I366" s="286" t="s">
        <v>1204</v>
      </c>
      <c r="J366" s="286" t="s">
        <v>1312</v>
      </c>
      <c r="K366" s="286" t="s">
        <v>1781</v>
      </c>
      <c r="L366" s="286" t="s">
        <v>453</v>
      </c>
      <c r="M366" s="286">
        <v>1</v>
      </c>
      <c r="N366" s="287">
        <v>9523</v>
      </c>
      <c r="O366" s="294">
        <f t="shared" si="5"/>
        <v>45382</v>
      </c>
      <c r="P366" s="286" t="s">
        <v>49</v>
      </c>
    </row>
    <row r="367" spans="1:16" hidden="1" x14ac:dyDescent="0.15">
      <c r="A367" s="286">
        <v>575592</v>
      </c>
      <c r="B367" s="288">
        <v>45425.339583333334</v>
      </c>
      <c r="C367" s="286" t="s">
        <v>2116</v>
      </c>
      <c r="D367" s="286" t="s">
        <v>1105</v>
      </c>
      <c r="E367" s="286" t="s">
        <v>1106</v>
      </c>
      <c r="F367" s="286" t="s">
        <v>2249</v>
      </c>
      <c r="G367" s="286" t="s">
        <v>1037</v>
      </c>
      <c r="H367" s="286" t="s">
        <v>1037</v>
      </c>
      <c r="I367" s="286" t="s">
        <v>1204</v>
      </c>
      <c r="J367" s="286" t="s">
        <v>1312</v>
      </c>
      <c r="K367" s="286" t="s">
        <v>2267</v>
      </c>
      <c r="L367" s="286" t="s">
        <v>691</v>
      </c>
      <c r="M367" s="286">
        <v>1</v>
      </c>
      <c r="N367" s="287">
        <v>9523</v>
      </c>
      <c r="O367" s="294">
        <f t="shared" si="5"/>
        <v>45443</v>
      </c>
      <c r="P367" s="286" t="s">
        <v>49</v>
      </c>
    </row>
    <row r="368" spans="1:16" hidden="1" x14ac:dyDescent="0.15">
      <c r="A368" s="286">
        <v>785030</v>
      </c>
      <c r="B368" s="288">
        <v>45559.581944444442</v>
      </c>
      <c r="C368" s="286" t="s">
        <v>2132</v>
      </c>
      <c r="D368" s="286" t="s">
        <v>1105</v>
      </c>
      <c r="E368" s="286" t="s">
        <v>1106</v>
      </c>
      <c r="F368" s="286" t="s">
        <v>2162</v>
      </c>
      <c r="G368" s="286" t="s">
        <v>1766</v>
      </c>
      <c r="H368" s="286" t="s">
        <v>1766</v>
      </c>
      <c r="I368" s="286" t="s">
        <v>1199</v>
      </c>
      <c r="J368" s="286" t="s">
        <v>1312</v>
      </c>
      <c r="K368" s="286" t="s">
        <v>53</v>
      </c>
      <c r="L368" s="286" t="s">
        <v>53</v>
      </c>
      <c r="M368" s="286" t="s">
        <v>53</v>
      </c>
      <c r="N368" s="287">
        <v>9522</v>
      </c>
      <c r="O368" s="294">
        <f t="shared" si="5"/>
        <v>45565</v>
      </c>
      <c r="P368" s="286" t="s">
        <v>58</v>
      </c>
    </row>
    <row r="369" spans="1:16" hidden="1" x14ac:dyDescent="0.15">
      <c r="A369" s="286">
        <v>621343</v>
      </c>
      <c r="B369" s="288">
        <v>45461.401388888888</v>
      </c>
      <c r="C369" s="286" t="s">
        <v>2092</v>
      </c>
      <c r="D369" s="286" t="s">
        <v>1105</v>
      </c>
      <c r="E369" s="286" t="s">
        <v>1106</v>
      </c>
      <c r="F369" s="286" t="s">
        <v>2268</v>
      </c>
      <c r="G369" s="286" t="s">
        <v>1068</v>
      </c>
      <c r="H369" s="286" t="s">
        <v>1068</v>
      </c>
      <c r="I369" s="286" t="s">
        <v>1112</v>
      </c>
      <c r="J369" s="286" t="s">
        <v>1312</v>
      </c>
      <c r="K369" s="286" t="s">
        <v>1773</v>
      </c>
      <c r="L369" s="286" t="s">
        <v>1774</v>
      </c>
      <c r="M369" s="286">
        <v>1</v>
      </c>
      <c r="N369" s="287">
        <v>9398</v>
      </c>
      <c r="O369" s="294">
        <f t="shared" si="5"/>
        <v>45473</v>
      </c>
      <c r="P369" s="286" t="s">
        <v>175</v>
      </c>
    </row>
    <row r="370" spans="1:16" hidden="1" x14ac:dyDescent="0.15">
      <c r="A370" s="286">
        <v>497665</v>
      </c>
      <c r="B370" s="288">
        <v>45352.703472222223</v>
      </c>
      <c r="C370" s="286" t="s">
        <v>2113</v>
      </c>
      <c r="D370" s="286" t="s">
        <v>1105</v>
      </c>
      <c r="E370" s="286" t="s">
        <v>1106</v>
      </c>
      <c r="F370" s="286" t="s">
        <v>2183</v>
      </c>
      <c r="G370" s="286" t="s">
        <v>1005</v>
      </c>
      <c r="H370" s="286" t="s">
        <v>1005</v>
      </c>
      <c r="I370" s="286" t="s">
        <v>1112</v>
      </c>
      <c r="J370" s="286" t="s">
        <v>1312</v>
      </c>
      <c r="K370" s="286" t="s">
        <v>53</v>
      </c>
      <c r="L370" s="286" t="s">
        <v>53</v>
      </c>
      <c r="M370" s="286" t="s">
        <v>53</v>
      </c>
      <c r="N370" s="287">
        <v>9353</v>
      </c>
      <c r="O370" s="294">
        <f t="shared" si="5"/>
        <v>45382</v>
      </c>
      <c r="P370" s="286" t="s">
        <v>175</v>
      </c>
    </row>
    <row r="371" spans="1:16" hidden="1" x14ac:dyDescent="0.15">
      <c r="A371" s="286">
        <v>706530</v>
      </c>
      <c r="B371" s="288">
        <v>45513.595833333333</v>
      </c>
      <c r="C371" s="286" t="s">
        <v>2111</v>
      </c>
      <c r="D371" s="286" t="s">
        <v>1105</v>
      </c>
      <c r="E371" s="286" t="s">
        <v>1106</v>
      </c>
      <c r="F371" s="286" t="s">
        <v>2235</v>
      </c>
      <c r="G371" s="286" t="s">
        <v>1023</v>
      </c>
      <c r="H371" s="286" t="s">
        <v>1023</v>
      </c>
      <c r="I371" s="286" t="s">
        <v>1112</v>
      </c>
      <c r="J371" s="286" t="s">
        <v>1312</v>
      </c>
      <c r="K371" s="286" t="s">
        <v>1773</v>
      </c>
      <c r="L371" s="286" t="s">
        <v>1774</v>
      </c>
      <c r="M371" s="286">
        <v>1</v>
      </c>
      <c r="N371" s="287">
        <v>9116</v>
      </c>
      <c r="O371" s="294">
        <f t="shared" si="5"/>
        <v>45535</v>
      </c>
      <c r="P371" s="286" t="s">
        <v>175</v>
      </c>
    </row>
    <row r="372" spans="1:16" hidden="1" x14ac:dyDescent="0.15">
      <c r="A372" s="286">
        <v>706530</v>
      </c>
      <c r="B372" s="288">
        <v>45513.595833333333</v>
      </c>
      <c r="C372" s="286" t="s">
        <v>2111</v>
      </c>
      <c r="D372" s="286" t="s">
        <v>1105</v>
      </c>
      <c r="E372" s="286" t="s">
        <v>1106</v>
      </c>
      <c r="F372" s="286" t="s">
        <v>2235</v>
      </c>
      <c r="G372" s="286" t="s">
        <v>1023</v>
      </c>
      <c r="H372" s="286" t="s">
        <v>1023</v>
      </c>
      <c r="I372" s="286" t="s">
        <v>1112</v>
      </c>
      <c r="J372" s="286" t="s">
        <v>1312</v>
      </c>
      <c r="K372" s="286" t="s">
        <v>1773</v>
      </c>
      <c r="L372" s="286" t="s">
        <v>1774</v>
      </c>
      <c r="M372" s="286">
        <v>1</v>
      </c>
      <c r="N372" s="287">
        <v>9116</v>
      </c>
      <c r="O372" s="294">
        <f t="shared" si="5"/>
        <v>45535</v>
      </c>
      <c r="P372" s="286" t="s">
        <v>175</v>
      </c>
    </row>
    <row r="373" spans="1:16" hidden="1" x14ac:dyDescent="0.15">
      <c r="A373" s="286">
        <v>438112</v>
      </c>
      <c r="B373" s="288">
        <v>45293.53402777778</v>
      </c>
      <c r="C373" s="286" t="s">
        <v>2125</v>
      </c>
      <c r="D373" s="286" t="s">
        <v>1105</v>
      </c>
      <c r="E373" s="286" t="s">
        <v>1106</v>
      </c>
      <c r="F373" s="286" t="s">
        <v>2152</v>
      </c>
      <c r="G373" s="286" t="s">
        <v>1016</v>
      </c>
      <c r="H373" s="286" t="s">
        <v>1016</v>
      </c>
      <c r="I373" s="286" t="s">
        <v>1199</v>
      </c>
      <c r="J373" s="286" t="s">
        <v>1312</v>
      </c>
      <c r="K373" s="286" t="s">
        <v>53</v>
      </c>
      <c r="L373" s="286" t="s">
        <v>53</v>
      </c>
      <c r="M373" s="286" t="s">
        <v>53</v>
      </c>
      <c r="N373" s="287">
        <v>9002.6200000000008</v>
      </c>
      <c r="O373" s="294">
        <f t="shared" si="5"/>
        <v>45322</v>
      </c>
      <c r="P373" s="286" t="s">
        <v>58</v>
      </c>
    </row>
    <row r="374" spans="1:16" hidden="1" x14ac:dyDescent="0.15">
      <c r="A374" s="286">
        <v>472168</v>
      </c>
      <c r="B374" s="288">
        <v>45331.416666666664</v>
      </c>
      <c r="C374" s="286" t="s">
        <v>2113</v>
      </c>
      <c r="D374" s="286" t="s">
        <v>1105</v>
      </c>
      <c r="E374" s="286" t="s">
        <v>1106</v>
      </c>
      <c r="F374" s="286" t="s">
        <v>2153</v>
      </c>
      <c r="G374" s="286" t="s">
        <v>1016</v>
      </c>
      <c r="H374" s="286" t="s">
        <v>1016</v>
      </c>
      <c r="I374" s="286" t="s">
        <v>1199</v>
      </c>
      <c r="J374" s="286" t="s">
        <v>1312</v>
      </c>
      <c r="K374" s="286" t="s">
        <v>53</v>
      </c>
      <c r="L374" s="286" t="s">
        <v>53</v>
      </c>
      <c r="M374" s="286" t="s">
        <v>53</v>
      </c>
      <c r="N374" s="287">
        <v>9002.6200000000008</v>
      </c>
      <c r="O374" s="294">
        <f t="shared" si="5"/>
        <v>45351</v>
      </c>
      <c r="P374" s="286" t="s">
        <v>58</v>
      </c>
    </row>
    <row r="375" spans="1:16" hidden="1" x14ac:dyDescent="0.15">
      <c r="A375" s="286">
        <v>504817</v>
      </c>
      <c r="B375" s="288">
        <v>45359.645138888889</v>
      </c>
      <c r="C375" s="286" t="s">
        <v>2109</v>
      </c>
      <c r="D375" s="286" t="s">
        <v>1105</v>
      </c>
      <c r="E375" s="286" t="s">
        <v>1106</v>
      </c>
      <c r="F375" s="286" t="s">
        <v>2154</v>
      </c>
      <c r="G375" s="286" t="s">
        <v>1016</v>
      </c>
      <c r="H375" s="286" t="s">
        <v>1016</v>
      </c>
      <c r="I375" s="286" t="s">
        <v>1199</v>
      </c>
      <c r="J375" s="286" t="s">
        <v>1312</v>
      </c>
      <c r="K375" s="286" t="s">
        <v>53</v>
      </c>
      <c r="L375" s="286" t="s">
        <v>53</v>
      </c>
      <c r="M375" s="286" t="s">
        <v>53</v>
      </c>
      <c r="N375" s="287">
        <v>9002.6200000000008</v>
      </c>
      <c r="O375" s="294">
        <f t="shared" si="5"/>
        <v>45382</v>
      </c>
      <c r="P375" s="286" t="s">
        <v>58</v>
      </c>
    </row>
    <row r="376" spans="1:16" hidden="1" x14ac:dyDescent="0.15">
      <c r="A376" s="286">
        <v>534207</v>
      </c>
      <c r="B376" s="288">
        <v>45385.750694444447</v>
      </c>
      <c r="C376" s="286" t="s">
        <v>2096</v>
      </c>
      <c r="D376" s="286" t="s">
        <v>1105</v>
      </c>
      <c r="E376" s="286" t="s">
        <v>1106</v>
      </c>
      <c r="F376" s="286" t="s">
        <v>2155</v>
      </c>
      <c r="G376" s="286" t="s">
        <v>1016</v>
      </c>
      <c r="H376" s="286" t="s">
        <v>1016</v>
      </c>
      <c r="I376" s="286" t="s">
        <v>1199</v>
      </c>
      <c r="J376" s="286" t="s">
        <v>1312</v>
      </c>
      <c r="K376" s="286" t="s">
        <v>53</v>
      </c>
      <c r="L376" s="286" t="s">
        <v>53</v>
      </c>
      <c r="M376" s="286" t="s">
        <v>53</v>
      </c>
      <c r="N376" s="287">
        <v>9002.6200000000008</v>
      </c>
      <c r="O376" s="294">
        <f t="shared" si="5"/>
        <v>45412</v>
      </c>
      <c r="P376" s="286" t="s">
        <v>58</v>
      </c>
    </row>
    <row r="377" spans="1:16" hidden="1" x14ac:dyDescent="0.15">
      <c r="A377" s="286">
        <v>614216</v>
      </c>
      <c r="B377" s="288">
        <v>45455.716666666667</v>
      </c>
      <c r="C377" s="286" t="s">
        <v>2116</v>
      </c>
      <c r="D377" s="286" t="s">
        <v>1105</v>
      </c>
      <c r="E377" s="286" t="s">
        <v>1106</v>
      </c>
      <c r="F377" s="286" t="s">
        <v>2156</v>
      </c>
      <c r="G377" s="286" t="s">
        <v>1016</v>
      </c>
      <c r="H377" s="286" t="s">
        <v>1016</v>
      </c>
      <c r="I377" s="286" t="s">
        <v>1199</v>
      </c>
      <c r="J377" s="286" t="s">
        <v>1312</v>
      </c>
      <c r="K377" s="286" t="s">
        <v>53</v>
      </c>
      <c r="L377" s="286" t="s">
        <v>53</v>
      </c>
      <c r="M377" s="286" t="s">
        <v>53</v>
      </c>
      <c r="N377" s="287">
        <v>9002.6200000000008</v>
      </c>
      <c r="O377" s="294">
        <f t="shared" si="5"/>
        <v>45473</v>
      </c>
      <c r="P377" s="286" t="s">
        <v>58</v>
      </c>
    </row>
    <row r="378" spans="1:16" hidden="1" x14ac:dyDescent="0.15">
      <c r="A378" s="286">
        <v>614316</v>
      </c>
      <c r="B378" s="288">
        <v>45455.717361111114</v>
      </c>
      <c r="C378" s="286" t="s">
        <v>2092</v>
      </c>
      <c r="D378" s="286" t="s">
        <v>1105</v>
      </c>
      <c r="E378" s="286" t="s">
        <v>1106</v>
      </c>
      <c r="F378" s="286" t="s">
        <v>2167</v>
      </c>
      <c r="G378" s="286" t="s">
        <v>1016</v>
      </c>
      <c r="H378" s="286" t="s">
        <v>1016</v>
      </c>
      <c r="I378" s="286" t="s">
        <v>1199</v>
      </c>
      <c r="J378" s="286" t="s">
        <v>1312</v>
      </c>
      <c r="K378" s="286" t="s">
        <v>53</v>
      </c>
      <c r="L378" s="286" t="s">
        <v>53</v>
      </c>
      <c r="M378" s="286" t="s">
        <v>53</v>
      </c>
      <c r="N378" s="287">
        <v>9002.6200000000008</v>
      </c>
      <c r="O378" s="294">
        <f t="shared" si="5"/>
        <v>45473</v>
      </c>
      <c r="P378" s="286" t="s">
        <v>58</v>
      </c>
    </row>
    <row r="379" spans="1:16" hidden="1" x14ac:dyDescent="0.15">
      <c r="A379" s="286">
        <v>646075</v>
      </c>
      <c r="B379" s="288">
        <v>45474.519444444442</v>
      </c>
      <c r="C379" s="286" t="s">
        <v>2111</v>
      </c>
      <c r="D379" s="286" t="s">
        <v>1105</v>
      </c>
      <c r="E379" s="286" t="s">
        <v>1106</v>
      </c>
      <c r="F379" s="286" t="s">
        <v>2137</v>
      </c>
      <c r="G379" s="286" t="s">
        <v>1016</v>
      </c>
      <c r="H379" s="286" t="s">
        <v>1016</v>
      </c>
      <c r="I379" s="286" t="s">
        <v>1199</v>
      </c>
      <c r="J379" s="286" t="s">
        <v>1312</v>
      </c>
      <c r="K379" s="286" t="s">
        <v>53</v>
      </c>
      <c r="L379" s="286" t="s">
        <v>53</v>
      </c>
      <c r="M379" s="286" t="s">
        <v>53</v>
      </c>
      <c r="N379" s="287">
        <v>9002.6200000000008</v>
      </c>
      <c r="O379" s="294">
        <f t="shared" si="5"/>
        <v>45504</v>
      </c>
      <c r="P379" s="286" t="s">
        <v>58</v>
      </c>
    </row>
    <row r="380" spans="1:16" hidden="1" x14ac:dyDescent="0.15">
      <c r="A380" s="286">
        <v>697810</v>
      </c>
      <c r="B380" s="288">
        <v>45510.366666666669</v>
      </c>
      <c r="C380" s="286" t="s">
        <v>2102</v>
      </c>
      <c r="D380" s="286" t="s">
        <v>1105</v>
      </c>
      <c r="E380" s="286" t="s">
        <v>1106</v>
      </c>
      <c r="F380" s="286" t="s">
        <v>2138</v>
      </c>
      <c r="G380" s="286" t="s">
        <v>1016</v>
      </c>
      <c r="H380" s="286" t="s">
        <v>1016</v>
      </c>
      <c r="I380" s="286" t="s">
        <v>1199</v>
      </c>
      <c r="J380" s="286" t="s">
        <v>1312</v>
      </c>
      <c r="K380" s="286" t="s">
        <v>53</v>
      </c>
      <c r="L380" s="286" t="s">
        <v>53</v>
      </c>
      <c r="M380" s="286" t="s">
        <v>53</v>
      </c>
      <c r="N380" s="287">
        <v>9002.6</v>
      </c>
      <c r="O380" s="294">
        <f t="shared" si="5"/>
        <v>45535</v>
      </c>
      <c r="P380" s="286" t="s">
        <v>58</v>
      </c>
    </row>
    <row r="381" spans="1:16" hidden="1" x14ac:dyDescent="0.15">
      <c r="A381" s="286">
        <v>848917</v>
      </c>
      <c r="B381" s="288">
        <v>45607.660416666666</v>
      </c>
      <c r="C381" s="286" t="s">
        <v>2100</v>
      </c>
      <c r="D381" s="286" t="s">
        <v>1105</v>
      </c>
      <c r="E381" s="286" t="s">
        <v>1106</v>
      </c>
      <c r="F381" s="286" t="s">
        <v>2141</v>
      </c>
      <c r="G381" s="286" t="s">
        <v>1015</v>
      </c>
      <c r="H381" s="286" t="s">
        <v>1015</v>
      </c>
      <c r="I381" s="286" t="s">
        <v>1228</v>
      </c>
      <c r="J381" s="286" t="s">
        <v>1312</v>
      </c>
      <c r="K381" s="286" t="s">
        <v>2227</v>
      </c>
      <c r="L381" s="286" t="s">
        <v>2228</v>
      </c>
      <c r="M381" s="286">
        <v>1</v>
      </c>
      <c r="N381" s="287">
        <v>8982.02</v>
      </c>
      <c r="O381" s="294">
        <f t="shared" si="5"/>
        <v>45626</v>
      </c>
      <c r="P381" s="286" t="s">
        <v>58</v>
      </c>
    </row>
    <row r="382" spans="1:16" hidden="1" x14ac:dyDescent="0.15">
      <c r="A382" s="286">
        <v>438112</v>
      </c>
      <c r="B382" s="288">
        <v>45293.53402777778</v>
      </c>
      <c r="C382" s="286" t="s">
        <v>2125</v>
      </c>
      <c r="D382" s="286" t="s">
        <v>1105</v>
      </c>
      <c r="E382" s="286" t="s">
        <v>1106</v>
      </c>
      <c r="F382" s="286" t="s">
        <v>2152</v>
      </c>
      <c r="G382" s="286" t="s">
        <v>1075</v>
      </c>
      <c r="H382" s="286" t="s">
        <v>1075</v>
      </c>
      <c r="I382" s="286" t="s">
        <v>1228</v>
      </c>
      <c r="J382" s="286" t="s">
        <v>1312</v>
      </c>
      <c r="K382" s="286" t="s">
        <v>1770</v>
      </c>
      <c r="L382" s="286" t="s">
        <v>672</v>
      </c>
      <c r="M382" s="286">
        <v>2</v>
      </c>
      <c r="N382" s="287">
        <v>8958</v>
      </c>
      <c r="O382" s="294">
        <f t="shared" si="5"/>
        <v>45322</v>
      </c>
      <c r="P382" s="286" t="s">
        <v>58</v>
      </c>
    </row>
    <row r="383" spans="1:16" hidden="1" x14ac:dyDescent="0.15">
      <c r="A383" s="286">
        <v>472168</v>
      </c>
      <c r="B383" s="288">
        <v>45331.416666666664</v>
      </c>
      <c r="C383" s="286" t="s">
        <v>2113</v>
      </c>
      <c r="D383" s="286" t="s">
        <v>1105</v>
      </c>
      <c r="E383" s="286" t="s">
        <v>1106</v>
      </c>
      <c r="F383" s="286" t="s">
        <v>2153</v>
      </c>
      <c r="G383" s="286" t="s">
        <v>1075</v>
      </c>
      <c r="H383" s="286" t="s">
        <v>1075</v>
      </c>
      <c r="I383" s="286" t="s">
        <v>1228</v>
      </c>
      <c r="J383" s="286" t="s">
        <v>1312</v>
      </c>
      <c r="K383" s="286" t="s">
        <v>1770</v>
      </c>
      <c r="L383" s="286" t="s">
        <v>672</v>
      </c>
      <c r="M383" s="286">
        <v>2</v>
      </c>
      <c r="N383" s="287">
        <v>8958</v>
      </c>
      <c r="O383" s="294">
        <f t="shared" si="5"/>
        <v>45351</v>
      </c>
      <c r="P383" s="286" t="s">
        <v>58</v>
      </c>
    </row>
    <row r="384" spans="1:16" hidden="1" x14ac:dyDescent="0.15">
      <c r="A384" s="286">
        <v>504817</v>
      </c>
      <c r="B384" s="288">
        <v>45359.645138888889</v>
      </c>
      <c r="C384" s="286" t="s">
        <v>2109</v>
      </c>
      <c r="D384" s="286" t="s">
        <v>1105</v>
      </c>
      <c r="E384" s="286" t="s">
        <v>1106</v>
      </c>
      <c r="F384" s="286" t="s">
        <v>2154</v>
      </c>
      <c r="G384" s="286" t="s">
        <v>1075</v>
      </c>
      <c r="H384" s="286" t="s">
        <v>1075</v>
      </c>
      <c r="I384" s="286" t="s">
        <v>1228</v>
      </c>
      <c r="J384" s="286" t="s">
        <v>1312</v>
      </c>
      <c r="K384" s="286" t="s">
        <v>1770</v>
      </c>
      <c r="L384" s="286" t="s">
        <v>672</v>
      </c>
      <c r="M384" s="286">
        <v>2</v>
      </c>
      <c r="N384" s="287">
        <v>8958</v>
      </c>
      <c r="O384" s="294">
        <f t="shared" si="5"/>
        <v>45382</v>
      </c>
      <c r="P384" s="286" t="s">
        <v>58</v>
      </c>
    </row>
    <row r="385" spans="1:16" hidden="1" x14ac:dyDescent="0.15">
      <c r="A385" s="286">
        <v>534207</v>
      </c>
      <c r="B385" s="288">
        <v>45385.750694444447</v>
      </c>
      <c r="C385" s="286" t="s">
        <v>2096</v>
      </c>
      <c r="D385" s="286" t="s">
        <v>1105</v>
      </c>
      <c r="E385" s="286" t="s">
        <v>1106</v>
      </c>
      <c r="F385" s="286" t="s">
        <v>2155</v>
      </c>
      <c r="G385" s="286" t="s">
        <v>1075</v>
      </c>
      <c r="H385" s="286" t="s">
        <v>1075</v>
      </c>
      <c r="I385" s="286" t="s">
        <v>1228</v>
      </c>
      <c r="J385" s="286" t="s">
        <v>1312</v>
      </c>
      <c r="K385" s="286" t="s">
        <v>1770</v>
      </c>
      <c r="L385" s="286" t="s">
        <v>672</v>
      </c>
      <c r="M385" s="286">
        <v>2</v>
      </c>
      <c r="N385" s="287">
        <v>8958</v>
      </c>
      <c r="O385" s="294">
        <f t="shared" si="5"/>
        <v>45412</v>
      </c>
      <c r="P385" s="286" t="s">
        <v>58</v>
      </c>
    </row>
    <row r="386" spans="1:16" hidden="1" x14ac:dyDescent="0.15">
      <c r="A386" s="286">
        <v>614216</v>
      </c>
      <c r="B386" s="288">
        <v>45455.716666666667</v>
      </c>
      <c r="C386" s="286" t="s">
        <v>2116</v>
      </c>
      <c r="D386" s="286" t="s">
        <v>1105</v>
      </c>
      <c r="E386" s="286" t="s">
        <v>1106</v>
      </c>
      <c r="F386" s="286" t="s">
        <v>2156</v>
      </c>
      <c r="G386" s="286" t="s">
        <v>1075</v>
      </c>
      <c r="H386" s="286" t="s">
        <v>1075</v>
      </c>
      <c r="I386" s="286" t="s">
        <v>1228</v>
      </c>
      <c r="J386" s="286" t="s">
        <v>1312</v>
      </c>
      <c r="K386" s="286" t="s">
        <v>1770</v>
      </c>
      <c r="L386" s="286" t="s">
        <v>672</v>
      </c>
      <c r="M386" s="286">
        <v>2</v>
      </c>
      <c r="N386" s="287">
        <v>8958</v>
      </c>
      <c r="O386" s="294">
        <f t="shared" si="5"/>
        <v>45473</v>
      </c>
      <c r="P386" s="286" t="s">
        <v>58</v>
      </c>
    </row>
    <row r="387" spans="1:16" hidden="1" x14ac:dyDescent="0.15">
      <c r="A387" s="286">
        <v>608480</v>
      </c>
      <c r="B387" s="288">
        <v>45450.422222222223</v>
      </c>
      <c r="C387" s="286" t="s">
        <v>2092</v>
      </c>
      <c r="D387" s="286" t="s">
        <v>1105</v>
      </c>
      <c r="E387" s="286" t="s">
        <v>1106</v>
      </c>
      <c r="F387" s="286" t="s">
        <v>2157</v>
      </c>
      <c r="G387" s="286" t="s">
        <v>1075</v>
      </c>
      <c r="H387" s="286" t="s">
        <v>1075</v>
      </c>
      <c r="I387" s="286" t="s">
        <v>1228</v>
      </c>
      <c r="J387" s="286" t="s">
        <v>1312</v>
      </c>
      <c r="K387" s="286" t="s">
        <v>1770</v>
      </c>
      <c r="L387" s="286" t="s">
        <v>672</v>
      </c>
      <c r="M387" s="286">
        <v>2</v>
      </c>
      <c r="N387" s="287">
        <v>8958</v>
      </c>
      <c r="O387" s="294">
        <f t="shared" si="5"/>
        <v>45473</v>
      </c>
      <c r="P387" s="286" t="s">
        <v>58</v>
      </c>
    </row>
    <row r="388" spans="1:16" hidden="1" x14ac:dyDescent="0.15">
      <c r="A388" s="286">
        <v>646075</v>
      </c>
      <c r="B388" s="288">
        <v>45474.519444444442</v>
      </c>
      <c r="C388" s="286" t="s">
        <v>2111</v>
      </c>
      <c r="D388" s="286" t="s">
        <v>1105</v>
      </c>
      <c r="E388" s="286" t="s">
        <v>1106</v>
      </c>
      <c r="F388" s="286" t="s">
        <v>2137</v>
      </c>
      <c r="G388" s="286" t="s">
        <v>1075</v>
      </c>
      <c r="H388" s="286" t="s">
        <v>1075</v>
      </c>
      <c r="I388" s="286" t="s">
        <v>1228</v>
      </c>
      <c r="J388" s="286" t="s">
        <v>1312</v>
      </c>
      <c r="K388" s="286" t="s">
        <v>1770</v>
      </c>
      <c r="L388" s="286" t="s">
        <v>672</v>
      </c>
      <c r="M388" s="286">
        <v>2</v>
      </c>
      <c r="N388" s="287">
        <v>8958</v>
      </c>
      <c r="O388" s="294">
        <f t="shared" ref="O388:O451" si="6">EOMONTH(B388,0)</f>
        <v>45504</v>
      </c>
      <c r="P388" s="286" t="s">
        <v>58</v>
      </c>
    </row>
    <row r="389" spans="1:16" hidden="1" x14ac:dyDescent="0.15">
      <c r="A389" s="286">
        <v>697810</v>
      </c>
      <c r="B389" s="288">
        <v>45510.366666666669</v>
      </c>
      <c r="C389" s="286" t="s">
        <v>2102</v>
      </c>
      <c r="D389" s="286" t="s">
        <v>1105</v>
      </c>
      <c r="E389" s="286" t="s">
        <v>1106</v>
      </c>
      <c r="F389" s="286" t="s">
        <v>2138</v>
      </c>
      <c r="G389" s="286" t="s">
        <v>1075</v>
      </c>
      <c r="H389" s="286" t="s">
        <v>1075</v>
      </c>
      <c r="I389" s="286" t="s">
        <v>1228</v>
      </c>
      <c r="J389" s="286" t="s">
        <v>1312</v>
      </c>
      <c r="K389" s="286" t="s">
        <v>1770</v>
      </c>
      <c r="L389" s="286" t="s">
        <v>672</v>
      </c>
      <c r="M389" s="286">
        <v>2</v>
      </c>
      <c r="N389" s="287">
        <v>8958</v>
      </c>
      <c r="O389" s="294">
        <f t="shared" si="6"/>
        <v>45535</v>
      </c>
      <c r="P389" s="286" t="s">
        <v>58</v>
      </c>
    </row>
    <row r="390" spans="1:16" hidden="1" x14ac:dyDescent="0.15">
      <c r="A390" s="286">
        <v>745911</v>
      </c>
      <c r="B390" s="288">
        <v>45538.44027777778</v>
      </c>
      <c r="C390" s="286" t="s">
        <v>2132</v>
      </c>
      <c r="D390" s="286" t="s">
        <v>1105</v>
      </c>
      <c r="E390" s="286" t="s">
        <v>1106</v>
      </c>
      <c r="F390" s="286" t="s">
        <v>2139</v>
      </c>
      <c r="G390" s="286" t="s">
        <v>1075</v>
      </c>
      <c r="H390" s="286" t="s">
        <v>1075</v>
      </c>
      <c r="I390" s="286" t="s">
        <v>1228</v>
      </c>
      <c r="J390" s="286" t="s">
        <v>1312</v>
      </c>
      <c r="K390" s="286" t="s">
        <v>1770</v>
      </c>
      <c r="L390" s="286" t="s">
        <v>672</v>
      </c>
      <c r="M390" s="286">
        <v>2</v>
      </c>
      <c r="N390" s="287">
        <v>8958</v>
      </c>
      <c r="O390" s="294">
        <f t="shared" si="6"/>
        <v>45565</v>
      </c>
      <c r="P390" s="286" t="s">
        <v>58</v>
      </c>
    </row>
    <row r="391" spans="1:16" hidden="1" x14ac:dyDescent="0.15">
      <c r="A391" s="286">
        <v>848817</v>
      </c>
      <c r="B391" s="288">
        <v>45607.65902777778</v>
      </c>
      <c r="C391" s="286" t="s">
        <v>2130</v>
      </c>
      <c r="D391" s="286" t="s">
        <v>1105</v>
      </c>
      <c r="E391" s="286" t="s">
        <v>1106</v>
      </c>
      <c r="F391" s="286" t="s">
        <v>2140</v>
      </c>
      <c r="G391" s="286" t="s">
        <v>1075</v>
      </c>
      <c r="H391" s="286" t="s">
        <v>1075</v>
      </c>
      <c r="I391" s="286" t="s">
        <v>1228</v>
      </c>
      <c r="J391" s="286" t="s">
        <v>1312</v>
      </c>
      <c r="K391" s="286" t="s">
        <v>1770</v>
      </c>
      <c r="L391" s="286" t="s">
        <v>672</v>
      </c>
      <c r="M391" s="286">
        <v>2</v>
      </c>
      <c r="N391" s="287">
        <v>8958</v>
      </c>
      <c r="O391" s="294">
        <f t="shared" si="6"/>
        <v>45626</v>
      </c>
      <c r="P391" s="286" t="s">
        <v>58</v>
      </c>
    </row>
    <row r="392" spans="1:16" hidden="1" x14ac:dyDescent="0.15">
      <c r="A392" s="286">
        <v>848917</v>
      </c>
      <c r="B392" s="288">
        <v>45607.660416666666</v>
      </c>
      <c r="C392" s="286" t="s">
        <v>2100</v>
      </c>
      <c r="D392" s="286" t="s">
        <v>1105</v>
      </c>
      <c r="E392" s="286" t="s">
        <v>1106</v>
      </c>
      <c r="F392" s="286" t="s">
        <v>2141</v>
      </c>
      <c r="G392" s="286" t="s">
        <v>1075</v>
      </c>
      <c r="H392" s="286" t="s">
        <v>1075</v>
      </c>
      <c r="I392" s="286" t="s">
        <v>1228</v>
      </c>
      <c r="J392" s="286" t="s">
        <v>1312</v>
      </c>
      <c r="K392" s="286" t="s">
        <v>1770</v>
      </c>
      <c r="L392" s="286" t="s">
        <v>672</v>
      </c>
      <c r="M392" s="286">
        <v>2</v>
      </c>
      <c r="N392" s="287">
        <v>8958</v>
      </c>
      <c r="O392" s="294">
        <f t="shared" si="6"/>
        <v>45626</v>
      </c>
      <c r="P392" s="286" t="s">
        <v>58</v>
      </c>
    </row>
    <row r="393" spans="1:16" hidden="1" x14ac:dyDescent="0.15">
      <c r="A393" s="286">
        <v>874698</v>
      </c>
      <c r="B393" s="288">
        <v>45628.357638888891</v>
      </c>
      <c r="C393" s="286" t="s">
        <v>2098</v>
      </c>
      <c r="D393" s="286" t="s">
        <v>1105</v>
      </c>
      <c r="E393" s="286" t="s">
        <v>1106</v>
      </c>
      <c r="F393" s="286" t="s">
        <v>2142</v>
      </c>
      <c r="G393" s="286" t="s">
        <v>1075</v>
      </c>
      <c r="H393" s="286" t="s">
        <v>1075</v>
      </c>
      <c r="I393" s="286" t="s">
        <v>1228</v>
      </c>
      <c r="J393" s="286" t="s">
        <v>1312</v>
      </c>
      <c r="K393" s="286" t="s">
        <v>1770</v>
      </c>
      <c r="L393" s="286" t="s">
        <v>672</v>
      </c>
      <c r="M393" s="286">
        <v>2</v>
      </c>
      <c r="N393" s="287">
        <v>8958</v>
      </c>
      <c r="O393" s="294">
        <f t="shared" si="6"/>
        <v>45657</v>
      </c>
      <c r="P393" s="286" t="s">
        <v>58</v>
      </c>
    </row>
    <row r="394" spans="1:16" hidden="1" x14ac:dyDescent="0.15">
      <c r="A394" s="286">
        <v>651672</v>
      </c>
      <c r="B394" s="288">
        <v>45481.448611111111</v>
      </c>
      <c r="C394" s="286" t="s">
        <v>2092</v>
      </c>
      <c r="D394" s="286" t="s">
        <v>1105</v>
      </c>
      <c r="E394" s="286" t="s">
        <v>1106</v>
      </c>
      <c r="F394" s="286" t="s">
        <v>2120</v>
      </c>
      <c r="G394" s="286" t="s">
        <v>1091</v>
      </c>
      <c r="H394" s="286" t="s">
        <v>1091</v>
      </c>
      <c r="I394" s="286" t="s">
        <v>1282</v>
      </c>
      <c r="J394" s="286" t="s">
        <v>1312</v>
      </c>
      <c r="K394" s="286" t="s">
        <v>202</v>
      </c>
      <c r="L394" s="286" t="s">
        <v>203</v>
      </c>
      <c r="M394" s="286">
        <v>1</v>
      </c>
      <c r="N394" s="287">
        <v>8950</v>
      </c>
      <c r="O394" s="294">
        <f t="shared" si="6"/>
        <v>45504</v>
      </c>
      <c r="P394" s="286" t="s">
        <v>201</v>
      </c>
    </row>
    <row r="395" spans="1:16" hidden="1" x14ac:dyDescent="0.15">
      <c r="A395" s="286">
        <v>745911</v>
      </c>
      <c r="B395" s="288">
        <v>45538.44027777778</v>
      </c>
      <c r="C395" s="286" t="s">
        <v>2132</v>
      </c>
      <c r="D395" s="286" t="s">
        <v>1105</v>
      </c>
      <c r="E395" s="286" t="s">
        <v>1106</v>
      </c>
      <c r="F395" s="286" t="s">
        <v>2139</v>
      </c>
      <c r="G395" s="286" t="s">
        <v>1007</v>
      </c>
      <c r="H395" s="286" t="s">
        <v>1007</v>
      </c>
      <c r="I395" s="286" t="s">
        <v>1228</v>
      </c>
      <c r="J395" s="286" t="s">
        <v>1312</v>
      </c>
      <c r="K395" s="286" t="s">
        <v>1770</v>
      </c>
      <c r="L395" s="286" t="s">
        <v>672</v>
      </c>
      <c r="M395" s="286">
        <v>2</v>
      </c>
      <c r="N395" s="287">
        <v>8942.3799999999992</v>
      </c>
      <c r="O395" s="294">
        <f t="shared" si="6"/>
        <v>45565</v>
      </c>
      <c r="P395" s="286" t="s">
        <v>58</v>
      </c>
    </row>
    <row r="396" spans="1:16" hidden="1" x14ac:dyDescent="0.15">
      <c r="A396" s="286">
        <v>848817</v>
      </c>
      <c r="B396" s="288">
        <v>45607.65902777778</v>
      </c>
      <c r="C396" s="286" t="s">
        <v>2130</v>
      </c>
      <c r="D396" s="286" t="s">
        <v>1105</v>
      </c>
      <c r="E396" s="286" t="s">
        <v>1106</v>
      </c>
      <c r="F396" s="286" t="s">
        <v>2140</v>
      </c>
      <c r="G396" s="286" t="s">
        <v>1007</v>
      </c>
      <c r="H396" s="286" t="s">
        <v>1007</v>
      </c>
      <c r="I396" s="286" t="s">
        <v>1228</v>
      </c>
      <c r="J396" s="286" t="s">
        <v>1312</v>
      </c>
      <c r="K396" s="286" t="s">
        <v>1770</v>
      </c>
      <c r="L396" s="286" t="s">
        <v>672</v>
      </c>
      <c r="M396" s="286">
        <v>2</v>
      </c>
      <c r="N396" s="287">
        <v>8942.3799999999992</v>
      </c>
      <c r="O396" s="294">
        <f t="shared" si="6"/>
        <v>45626</v>
      </c>
      <c r="P396" s="286" t="s">
        <v>58</v>
      </c>
    </row>
    <row r="397" spans="1:16" hidden="1" x14ac:dyDescent="0.15">
      <c r="A397" s="286">
        <v>848917</v>
      </c>
      <c r="B397" s="288">
        <v>45607.660416666666</v>
      </c>
      <c r="C397" s="286" t="s">
        <v>2100</v>
      </c>
      <c r="D397" s="286" t="s">
        <v>1105</v>
      </c>
      <c r="E397" s="286" t="s">
        <v>1106</v>
      </c>
      <c r="F397" s="286" t="s">
        <v>2141</v>
      </c>
      <c r="G397" s="286" t="s">
        <v>1007</v>
      </c>
      <c r="H397" s="286" t="s">
        <v>1007</v>
      </c>
      <c r="I397" s="286" t="s">
        <v>1228</v>
      </c>
      <c r="J397" s="286" t="s">
        <v>1312</v>
      </c>
      <c r="K397" s="286" t="s">
        <v>1770</v>
      </c>
      <c r="L397" s="286" t="s">
        <v>672</v>
      </c>
      <c r="M397" s="286">
        <v>2</v>
      </c>
      <c r="N397" s="287">
        <v>8942.3799999999992</v>
      </c>
      <c r="O397" s="294">
        <f t="shared" si="6"/>
        <v>45626</v>
      </c>
      <c r="P397" s="286" t="s">
        <v>58</v>
      </c>
    </row>
    <row r="398" spans="1:16" hidden="1" x14ac:dyDescent="0.15">
      <c r="A398" s="286">
        <v>874698</v>
      </c>
      <c r="B398" s="288">
        <v>45628.357638888891</v>
      </c>
      <c r="C398" s="286" t="s">
        <v>2098</v>
      </c>
      <c r="D398" s="286" t="s">
        <v>1105</v>
      </c>
      <c r="E398" s="286" t="s">
        <v>1106</v>
      </c>
      <c r="F398" s="286" t="s">
        <v>2142</v>
      </c>
      <c r="G398" s="286" t="s">
        <v>1007</v>
      </c>
      <c r="H398" s="286" t="s">
        <v>1007</v>
      </c>
      <c r="I398" s="286" t="s">
        <v>1228</v>
      </c>
      <c r="J398" s="286" t="s">
        <v>1312</v>
      </c>
      <c r="K398" s="286" t="s">
        <v>1770</v>
      </c>
      <c r="L398" s="286" t="s">
        <v>672</v>
      </c>
      <c r="M398" s="286">
        <v>2</v>
      </c>
      <c r="N398" s="287">
        <v>8942.3799999999992</v>
      </c>
      <c r="O398" s="294">
        <f t="shared" si="6"/>
        <v>45657</v>
      </c>
      <c r="P398" s="286" t="s">
        <v>58</v>
      </c>
    </row>
    <row r="399" spans="1:16" hidden="1" x14ac:dyDescent="0.15">
      <c r="A399" s="286">
        <v>504817</v>
      </c>
      <c r="B399" s="288">
        <v>45359.645138888889</v>
      </c>
      <c r="C399" s="286" t="s">
        <v>2109</v>
      </c>
      <c r="D399" s="286" t="s">
        <v>1105</v>
      </c>
      <c r="E399" s="286" t="s">
        <v>1106</v>
      </c>
      <c r="F399" s="286" t="s">
        <v>2154</v>
      </c>
      <c r="G399" s="286" t="s">
        <v>1028</v>
      </c>
      <c r="H399" s="286" t="s">
        <v>1028</v>
      </c>
      <c r="I399" s="286" t="s">
        <v>1228</v>
      </c>
      <c r="J399" s="286" t="s">
        <v>1312</v>
      </c>
      <c r="K399" s="286" t="s">
        <v>2269</v>
      </c>
      <c r="L399" s="286" t="s">
        <v>672</v>
      </c>
      <c r="M399" s="286">
        <v>1</v>
      </c>
      <c r="N399" s="287">
        <v>8933.5300000000007</v>
      </c>
      <c r="O399" s="294">
        <f t="shared" si="6"/>
        <v>45382</v>
      </c>
      <c r="P399" s="286" t="s">
        <v>58</v>
      </c>
    </row>
    <row r="400" spans="1:16" hidden="1" x14ac:dyDescent="0.15">
      <c r="A400" s="286">
        <v>534207</v>
      </c>
      <c r="B400" s="288">
        <v>45385.750694444447</v>
      </c>
      <c r="C400" s="286" t="s">
        <v>2096</v>
      </c>
      <c r="D400" s="286" t="s">
        <v>1105</v>
      </c>
      <c r="E400" s="286" t="s">
        <v>1106</v>
      </c>
      <c r="F400" s="286" t="s">
        <v>2155</v>
      </c>
      <c r="G400" s="286" t="s">
        <v>1028</v>
      </c>
      <c r="H400" s="286" t="s">
        <v>1028</v>
      </c>
      <c r="I400" s="286" t="s">
        <v>1228</v>
      </c>
      <c r="J400" s="286" t="s">
        <v>1312</v>
      </c>
      <c r="K400" s="286" t="s">
        <v>2269</v>
      </c>
      <c r="L400" s="286" t="s">
        <v>672</v>
      </c>
      <c r="M400" s="286">
        <v>1</v>
      </c>
      <c r="N400" s="287">
        <v>8933.5300000000007</v>
      </c>
      <c r="O400" s="294">
        <f t="shared" si="6"/>
        <v>45412</v>
      </c>
      <c r="P400" s="286" t="s">
        <v>58</v>
      </c>
    </row>
    <row r="401" spans="1:16" hidden="1" x14ac:dyDescent="0.15">
      <c r="A401" s="286">
        <v>614216</v>
      </c>
      <c r="B401" s="288">
        <v>45455.716666666667</v>
      </c>
      <c r="C401" s="286" t="s">
        <v>2116</v>
      </c>
      <c r="D401" s="286" t="s">
        <v>1105</v>
      </c>
      <c r="E401" s="286" t="s">
        <v>1106</v>
      </c>
      <c r="F401" s="286" t="s">
        <v>2156</v>
      </c>
      <c r="G401" s="286" t="s">
        <v>1028</v>
      </c>
      <c r="H401" s="286" t="s">
        <v>1028</v>
      </c>
      <c r="I401" s="286" t="s">
        <v>1228</v>
      </c>
      <c r="J401" s="286" t="s">
        <v>1312</v>
      </c>
      <c r="K401" s="286" t="s">
        <v>2269</v>
      </c>
      <c r="L401" s="286" t="s">
        <v>672</v>
      </c>
      <c r="M401" s="286">
        <v>1</v>
      </c>
      <c r="N401" s="287">
        <v>8933.5300000000007</v>
      </c>
      <c r="O401" s="294">
        <f t="shared" si="6"/>
        <v>45473</v>
      </c>
      <c r="P401" s="286" t="s">
        <v>58</v>
      </c>
    </row>
    <row r="402" spans="1:16" hidden="1" x14ac:dyDescent="0.15">
      <c r="A402" s="286">
        <v>608480</v>
      </c>
      <c r="B402" s="288">
        <v>45450.422222222223</v>
      </c>
      <c r="C402" s="286" t="s">
        <v>2092</v>
      </c>
      <c r="D402" s="286" t="s">
        <v>1105</v>
      </c>
      <c r="E402" s="286" t="s">
        <v>1106</v>
      </c>
      <c r="F402" s="286" t="s">
        <v>2157</v>
      </c>
      <c r="G402" s="286" t="s">
        <v>1028</v>
      </c>
      <c r="H402" s="286" t="s">
        <v>1028</v>
      </c>
      <c r="I402" s="286" t="s">
        <v>1228</v>
      </c>
      <c r="J402" s="286" t="s">
        <v>1312</v>
      </c>
      <c r="K402" s="286" t="s">
        <v>2269</v>
      </c>
      <c r="L402" s="286" t="s">
        <v>672</v>
      </c>
      <c r="M402" s="286">
        <v>1</v>
      </c>
      <c r="N402" s="287">
        <v>8933.5300000000007</v>
      </c>
      <c r="O402" s="294">
        <f t="shared" si="6"/>
        <v>45473</v>
      </c>
      <c r="P402" s="286" t="s">
        <v>58</v>
      </c>
    </row>
    <row r="403" spans="1:16" hidden="1" x14ac:dyDescent="0.15">
      <c r="A403" s="286">
        <v>646075</v>
      </c>
      <c r="B403" s="288">
        <v>45474.519444444442</v>
      </c>
      <c r="C403" s="286" t="s">
        <v>2111</v>
      </c>
      <c r="D403" s="286" t="s">
        <v>1105</v>
      </c>
      <c r="E403" s="286" t="s">
        <v>1106</v>
      </c>
      <c r="F403" s="286" t="s">
        <v>2137</v>
      </c>
      <c r="G403" s="286" t="s">
        <v>1028</v>
      </c>
      <c r="H403" s="286" t="s">
        <v>1028</v>
      </c>
      <c r="I403" s="286" t="s">
        <v>1228</v>
      </c>
      <c r="J403" s="286" t="s">
        <v>1312</v>
      </c>
      <c r="K403" s="286" t="s">
        <v>2269</v>
      </c>
      <c r="L403" s="286" t="s">
        <v>672</v>
      </c>
      <c r="M403" s="286">
        <v>1</v>
      </c>
      <c r="N403" s="287">
        <v>8933.5300000000007</v>
      </c>
      <c r="O403" s="294">
        <f t="shared" si="6"/>
        <v>45504</v>
      </c>
      <c r="P403" s="286" t="s">
        <v>58</v>
      </c>
    </row>
    <row r="404" spans="1:16" hidden="1" x14ac:dyDescent="0.15">
      <c r="A404" s="286">
        <v>697810</v>
      </c>
      <c r="B404" s="288">
        <v>45510.366666666669</v>
      </c>
      <c r="C404" s="286" t="s">
        <v>2102</v>
      </c>
      <c r="D404" s="286" t="s">
        <v>1105</v>
      </c>
      <c r="E404" s="286" t="s">
        <v>1106</v>
      </c>
      <c r="F404" s="286" t="s">
        <v>2138</v>
      </c>
      <c r="G404" s="286" t="s">
        <v>1028</v>
      </c>
      <c r="H404" s="286" t="s">
        <v>1028</v>
      </c>
      <c r="I404" s="286" t="s">
        <v>1228</v>
      </c>
      <c r="J404" s="286" t="s">
        <v>1312</v>
      </c>
      <c r="K404" s="286" t="s">
        <v>2269</v>
      </c>
      <c r="L404" s="286" t="s">
        <v>672</v>
      </c>
      <c r="M404" s="286">
        <v>1</v>
      </c>
      <c r="N404" s="287">
        <v>8933.5300000000007</v>
      </c>
      <c r="O404" s="294">
        <f t="shared" si="6"/>
        <v>45535</v>
      </c>
      <c r="P404" s="286" t="s">
        <v>58</v>
      </c>
    </row>
    <row r="405" spans="1:16" hidden="1" x14ac:dyDescent="0.15">
      <c r="A405" s="286">
        <v>745911</v>
      </c>
      <c r="B405" s="288">
        <v>45538.44027777778</v>
      </c>
      <c r="C405" s="286" t="s">
        <v>2132</v>
      </c>
      <c r="D405" s="286" t="s">
        <v>1105</v>
      </c>
      <c r="E405" s="286" t="s">
        <v>1106</v>
      </c>
      <c r="F405" s="286" t="s">
        <v>2139</v>
      </c>
      <c r="G405" s="286" t="s">
        <v>1028</v>
      </c>
      <c r="H405" s="286" t="s">
        <v>1028</v>
      </c>
      <c r="I405" s="286" t="s">
        <v>1228</v>
      </c>
      <c r="J405" s="286" t="s">
        <v>1312</v>
      </c>
      <c r="K405" s="286" t="s">
        <v>2269</v>
      </c>
      <c r="L405" s="286" t="s">
        <v>672</v>
      </c>
      <c r="M405" s="286">
        <v>1</v>
      </c>
      <c r="N405" s="287">
        <v>8933.5300000000007</v>
      </c>
      <c r="O405" s="294">
        <f t="shared" si="6"/>
        <v>45565</v>
      </c>
      <c r="P405" s="286" t="s">
        <v>58</v>
      </c>
    </row>
    <row r="406" spans="1:16" hidden="1" x14ac:dyDescent="0.15">
      <c r="A406" s="286">
        <v>848817</v>
      </c>
      <c r="B406" s="288">
        <v>45607.65902777778</v>
      </c>
      <c r="C406" s="286" t="s">
        <v>2130</v>
      </c>
      <c r="D406" s="286" t="s">
        <v>1105</v>
      </c>
      <c r="E406" s="286" t="s">
        <v>1106</v>
      </c>
      <c r="F406" s="286" t="s">
        <v>2140</v>
      </c>
      <c r="G406" s="286" t="s">
        <v>1028</v>
      </c>
      <c r="H406" s="286" t="s">
        <v>1028</v>
      </c>
      <c r="I406" s="286" t="s">
        <v>1228</v>
      </c>
      <c r="J406" s="286" t="s">
        <v>1312</v>
      </c>
      <c r="K406" s="286" t="s">
        <v>2269</v>
      </c>
      <c r="L406" s="286" t="s">
        <v>672</v>
      </c>
      <c r="M406" s="286">
        <v>1</v>
      </c>
      <c r="N406" s="287">
        <v>8933.5300000000007</v>
      </c>
      <c r="O406" s="294">
        <f t="shared" si="6"/>
        <v>45626</v>
      </c>
      <c r="P406" s="286" t="s">
        <v>58</v>
      </c>
    </row>
    <row r="407" spans="1:16" hidden="1" x14ac:dyDescent="0.15">
      <c r="A407" s="286">
        <v>848917</v>
      </c>
      <c r="B407" s="288">
        <v>45607.660416666666</v>
      </c>
      <c r="C407" s="286" t="s">
        <v>2100</v>
      </c>
      <c r="D407" s="286" t="s">
        <v>1105</v>
      </c>
      <c r="E407" s="286" t="s">
        <v>1106</v>
      </c>
      <c r="F407" s="286" t="s">
        <v>2141</v>
      </c>
      <c r="G407" s="286" t="s">
        <v>1028</v>
      </c>
      <c r="H407" s="286" t="s">
        <v>1028</v>
      </c>
      <c r="I407" s="286" t="s">
        <v>1228</v>
      </c>
      <c r="J407" s="286" t="s">
        <v>1312</v>
      </c>
      <c r="K407" s="286" t="s">
        <v>2269</v>
      </c>
      <c r="L407" s="286" t="s">
        <v>672</v>
      </c>
      <c r="M407" s="286">
        <v>1</v>
      </c>
      <c r="N407" s="287">
        <v>8933.5300000000007</v>
      </c>
      <c r="O407" s="294">
        <f t="shared" si="6"/>
        <v>45626</v>
      </c>
      <c r="P407" s="286" t="s">
        <v>58</v>
      </c>
    </row>
    <row r="408" spans="1:16" hidden="1" x14ac:dyDescent="0.15">
      <c r="A408" s="286">
        <v>874698</v>
      </c>
      <c r="B408" s="288">
        <v>45628.357638888891</v>
      </c>
      <c r="C408" s="286" t="s">
        <v>2098</v>
      </c>
      <c r="D408" s="286" t="s">
        <v>1105</v>
      </c>
      <c r="E408" s="286" t="s">
        <v>1106</v>
      </c>
      <c r="F408" s="286" t="s">
        <v>2142</v>
      </c>
      <c r="G408" s="286" t="s">
        <v>1028</v>
      </c>
      <c r="H408" s="286" t="s">
        <v>1028</v>
      </c>
      <c r="I408" s="286" t="s">
        <v>1228</v>
      </c>
      <c r="J408" s="286" t="s">
        <v>1312</v>
      </c>
      <c r="K408" s="286" t="s">
        <v>2269</v>
      </c>
      <c r="L408" s="286" t="s">
        <v>672</v>
      </c>
      <c r="M408" s="286">
        <v>1</v>
      </c>
      <c r="N408" s="287">
        <v>8933.5300000000007</v>
      </c>
      <c r="O408" s="294">
        <f t="shared" si="6"/>
        <v>45657</v>
      </c>
      <c r="P408" s="286" t="s">
        <v>58</v>
      </c>
    </row>
    <row r="409" spans="1:16" hidden="1" x14ac:dyDescent="0.15">
      <c r="A409" s="286">
        <v>898877</v>
      </c>
      <c r="B409" s="288">
        <v>45644.552083333336</v>
      </c>
      <c r="C409" s="286" t="s">
        <v>2098</v>
      </c>
      <c r="D409" s="286" t="s">
        <v>1105</v>
      </c>
      <c r="E409" s="286" t="s">
        <v>1106</v>
      </c>
      <c r="F409" s="286" t="s">
        <v>2234</v>
      </c>
      <c r="G409" s="286" t="s">
        <v>1017</v>
      </c>
      <c r="H409" s="286" t="s">
        <v>1017</v>
      </c>
      <c r="I409" s="286" t="s">
        <v>1199</v>
      </c>
      <c r="J409" s="286" t="s">
        <v>1312</v>
      </c>
      <c r="K409" s="286" t="s">
        <v>53</v>
      </c>
      <c r="L409" s="286" t="s">
        <v>53</v>
      </c>
      <c r="M409" s="286" t="s">
        <v>53</v>
      </c>
      <c r="N409" s="287">
        <v>8928</v>
      </c>
      <c r="O409" s="294">
        <f t="shared" si="6"/>
        <v>45657</v>
      </c>
      <c r="P409" s="286" t="s">
        <v>58</v>
      </c>
    </row>
    <row r="410" spans="1:16" hidden="1" x14ac:dyDescent="0.15">
      <c r="A410" s="286">
        <v>464905</v>
      </c>
      <c r="B410" s="288">
        <v>45323.521527777775</v>
      </c>
      <c r="C410" s="286" t="s">
        <v>2125</v>
      </c>
      <c r="D410" s="286" t="s">
        <v>1105</v>
      </c>
      <c r="E410" s="286" t="s">
        <v>1106</v>
      </c>
      <c r="F410" s="286" t="s">
        <v>2212</v>
      </c>
      <c r="G410" s="286" t="s">
        <v>1047</v>
      </c>
      <c r="H410" s="286" t="s">
        <v>1047</v>
      </c>
      <c r="I410" s="286" t="s">
        <v>1230</v>
      </c>
      <c r="J410" s="286" t="s">
        <v>1312</v>
      </c>
      <c r="K410" s="286" t="s">
        <v>2042</v>
      </c>
      <c r="L410" s="286" t="s">
        <v>2028</v>
      </c>
      <c r="M410" s="286">
        <v>1</v>
      </c>
      <c r="N410" s="287">
        <v>8865</v>
      </c>
      <c r="O410" s="294">
        <f t="shared" si="6"/>
        <v>45351</v>
      </c>
      <c r="P410" s="286" t="s">
        <v>175</v>
      </c>
    </row>
    <row r="411" spans="1:16" hidden="1" x14ac:dyDescent="0.15">
      <c r="A411" s="286">
        <v>496295</v>
      </c>
      <c r="B411" s="288">
        <v>45352.356944444444</v>
      </c>
      <c r="C411" s="286" t="s">
        <v>2113</v>
      </c>
      <c r="D411" s="286" t="s">
        <v>1105</v>
      </c>
      <c r="E411" s="286" t="s">
        <v>1106</v>
      </c>
      <c r="F411" s="286" t="s">
        <v>2114</v>
      </c>
      <c r="G411" s="286" t="s">
        <v>1046</v>
      </c>
      <c r="H411" s="286" t="s">
        <v>1046</v>
      </c>
      <c r="I411" s="286" t="s">
        <v>1230</v>
      </c>
      <c r="J411" s="286" t="s">
        <v>1312</v>
      </c>
      <c r="K411" s="286" t="s">
        <v>2042</v>
      </c>
      <c r="L411" s="286" t="s">
        <v>2028</v>
      </c>
      <c r="M411" s="286">
        <v>1</v>
      </c>
      <c r="N411" s="287">
        <v>8865</v>
      </c>
      <c r="O411" s="294">
        <f t="shared" si="6"/>
        <v>45382</v>
      </c>
      <c r="P411" s="286" t="s">
        <v>175</v>
      </c>
    </row>
    <row r="412" spans="1:16" hidden="1" x14ac:dyDescent="0.15">
      <c r="A412" s="286">
        <v>602948</v>
      </c>
      <c r="B412" s="288">
        <v>45447.428472222222</v>
      </c>
      <c r="C412" s="286" t="s">
        <v>2116</v>
      </c>
      <c r="D412" s="286" t="s">
        <v>1105</v>
      </c>
      <c r="E412" s="286" t="s">
        <v>1106</v>
      </c>
      <c r="F412" s="286" t="s">
        <v>2252</v>
      </c>
      <c r="G412" s="286" t="s">
        <v>1088</v>
      </c>
      <c r="H412" s="286" t="s">
        <v>1088</v>
      </c>
      <c r="I412" s="286" t="s">
        <v>1230</v>
      </c>
      <c r="J412" s="286" t="s">
        <v>1312</v>
      </c>
      <c r="K412" s="286" t="s">
        <v>2042</v>
      </c>
      <c r="L412" s="286" t="s">
        <v>2028</v>
      </c>
      <c r="M412" s="286">
        <v>1</v>
      </c>
      <c r="N412" s="287">
        <v>8865</v>
      </c>
      <c r="O412" s="294">
        <f t="shared" si="6"/>
        <v>45473</v>
      </c>
      <c r="P412" s="286" t="s">
        <v>175</v>
      </c>
    </row>
    <row r="413" spans="1:16" hidden="1" x14ac:dyDescent="0.15">
      <c r="A413" s="286">
        <v>788633</v>
      </c>
      <c r="B413" s="288">
        <v>45565.410416666666</v>
      </c>
      <c r="C413" s="286" t="s">
        <v>2132</v>
      </c>
      <c r="D413" s="286" t="s">
        <v>1105</v>
      </c>
      <c r="E413" s="286" t="s">
        <v>1106</v>
      </c>
      <c r="F413" s="286" t="s">
        <v>2185</v>
      </c>
      <c r="G413" s="286" t="s">
        <v>1086</v>
      </c>
      <c r="H413" s="286" t="s">
        <v>1086</v>
      </c>
      <c r="I413" s="286" t="s">
        <v>1230</v>
      </c>
      <c r="J413" s="286" t="s">
        <v>1312</v>
      </c>
      <c r="K413" s="286" t="s">
        <v>2043</v>
      </c>
      <c r="L413" s="286" t="s">
        <v>2044</v>
      </c>
      <c r="M413" s="286">
        <v>1</v>
      </c>
      <c r="N413" s="287">
        <v>8865</v>
      </c>
      <c r="O413" s="294">
        <f t="shared" si="6"/>
        <v>45565</v>
      </c>
      <c r="P413" s="286" t="s">
        <v>175</v>
      </c>
    </row>
    <row r="414" spans="1:16" hidden="1" x14ac:dyDescent="0.15">
      <c r="A414" s="286">
        <v>812436</v>
      </c>
      <c r="B414" s="288">
        <v>45581.523611111108</v>
      </c>
      <c r="C414" s="286" t="s">
        <v>2130</v>
      </c>
      <c r="D414" s="286" t="s">
        <v>1105</v>
      </c>
      <c r="E414" s="286" t="s">
        <v>1106</v>
      </c>
      <c r="F414" s="286" t="s">
        <v>2270</v>
      </c>
      <c r="G414" s="286" t="s">
        <v>1063</v>
      </c>
      <c r="H414" s="286" t="s">
        <v>1063</v>
      </c>
      <c r="I414" s="286" t="s">
        <v>1230</v>
      </c>
      <c r="J414" s="286" t="s">
        <v>1312</v>
      </c>
      <c r="K414" s="286" t="s">
        <v>2042</v>
      </c>
      <c r="L414" s="286" t="s">
        <v>2028</v>
      </c>
      <c r="M414" s="286">
        <v>1</v>
      </c>
      <c r="N414" s="287">
        <v>8865</v>
      </c>
      <c r="O414" s="294">
        <f t="shared" si="6"/>
        <v>45596</v>
      </c>
      <c r="P414" s="286" t="s">
        <v>175</v>
      </c>
    </row>
    <row r="415" spans="1:16" hidden="1" x14ac:dyDescent="0.15">
      <c r="A415" s="286">
        <v>816704</v>
      </c>
      <c r="B415" s="288">
        <v>45583.386805555558</v>
      </c>
      <c r="C415" s="286" t="s">
        <v>2130</v>
      </c>
      <c r="D415" s="286" t="s">
        <v>1105</v>
      </c>
      <c r="E415" s="286" t="s">
        <v>1106</v>
      </c>
      <c r="F415" s="286" t="s">
        <v>2145</v>
      </c>
      <c r="G415" s="286" t="s">
        <v>1038</v>
      </c>
      <c r="H415" s="286" t="s">
        <v>1038</v>
      </c>
      <c r="I415" s="286" t="s">
        <v>1230</v>
      </c>
      <c r="J415" s="286" t="s">
        <v>1312</v>
      </c>
      <c r="K415" s="286" t="s">
        <v>2042</v>
      </c>
      <c r="L415" s="286" t="s">
        <v>2028</v>
      </c>
      <c r="M415" s="286">
        <v>1</v>
      </c>
      <c r="N415" s="287">
        <v>8865</v>
      </c>
      <c r="O415" s="294">
        <f t="shared" si="6"/>
        <v>45596</v>
      </c>
      <c r="P415" s="286" t="s">
        <v>175</v>
      </c>
    </row>
    <row r="416" spans="1:16" hidden="1" x14ac:dyDescent="0.15">
      <c r="A416" s="286">
        <v>791946</v>
      </c>
      <c r="B416" s="288">
        <v>45566.592361111114</v>
      </c>
      <c r="C416" s="286" t="s">
        <v>2132</v>
      </c>
      <c r="D416" s="286" t="s">
        <v>1105</v>
      </c>
      <c r="E416" s="286" t="s">
        <v>1106</v>
      </c>
      <c r="F416" s="286" t="s">
        <v>2260</v>
      </c>
      <c r="G416" s="286" t="s">
        <v>1058</v>
      </c>
      <c r="H416" s="286" t="s">
        <v>1058</v>
      </c>
      <c r="I416" s="286" t="s">
        <v>1282</v>
      </c>
      <c r="J416" s="286" t="s">
        <v>1312</v>
      </c>
      <c r="K416" s="286" t="s">
        <v>202</v>
      </c>
      <c r="L416" s="286" t="s">
        <v>203</v>
      </c>
      <c r="M416" s="286">
        <v>1</v>
      </c>
      <c r="N416" s="287">
        <v>8850</v>
      </c>
      <c r="O416" s="294">
        <f t="shared" si="6"/>
        <v>45596</v>
      </c>
      <c r="P416" s="286" t="s">
        <v>201</v>
      </c>
    </row>
    <row r="417" spans="1:16" hidden="1" x14ac:dyDescent="0.15">
      <c r="A417" s="286">
        <v>438112</v>
      </c>
      <c r="B417" s="288">
        <v>45293.53402777778</v>
      </c>
      <c r="C417" s="286" t="s">
        <v>2125</v>
      </c>
      <c r="D417" s="286" t="s">
        <v>1105</v>
      </c>
      <c r="E417" s="286" t="s">
        <v>1106</v>
      </c>
      <c r="F417" s="286" t="s">
        <v>2152</v>
      </c>
      <c r="G417" s="286" t="s">
        <v>1786</v>
      </c>
      <c r="H417" s="286" t="s">
        <v>1786</v>
      </c>
      <c r="I417" s="286" t="s">
        <v>1199</v>
      </c>
      <c r="J417" s="286" t="s">
        <v>53</v>
      </c>
      <c r="K417" s="286" t="s">
        <v>53</v>
      </c>
      <c r="L417" s="286" t="s">
        <v>53</v>
      </c>
      <c r="M417" s="286" t="s">
        <v>53</v>
      </c>
      <c r="N417" s="287">
        <v>8801.49</v>
      </c>
      <c r="O417" s="294">
        <f t="shared" si="6"/>
        <v>45322</v>
      </c>
      <c r="P417" s="286" t="s">
        <v>58</v>
      </c>
    </row>
    <row r="418" spans="1:16" hidden="1" x14ac:dyDescent="0.15">
      <c r="A418" s="286">
        <v>472168</v>
      </c>
      <c r="B418" s="288">
        <v>45331.416666666664</v>
      </c>
      <c r="C418" s="286" t="s">
        <v>2113</v>
      </c>
      <c r="D418" s="286" t="s">
        <v>1105</v>
      </c>
      <c r="E418" s="286" t="s">
        <v>1106</v>
      </c>
      <c r="F418" s="286" t="s">
        <v>2153</v>
      </c>
      <c r="G418" s="286" t="s">
        <v>1786</v>
      </c>
      <c r="H418" s="286" t="s">
        <v>1786</v>
      </c>
      <c r="I418" s="286" t="s">
        <v>1199</v>
      </c>
      <c r="J418" s="286" t="s">
        <v>53</v>
      </c>
      <c r="K418" s="286" t="s">
        <v>53</v>
      </c>
      <c r="L418" s="286" t="s">
        <v>53</v>
      </c>
      <c r="M418" s="286" t="s">
        <v>53</v>
      </c>
      <c r="N418" s="287">
        <v>8801.49</v>
      </c>
      <c r="O418" s="294">
        <f t="shared" si="6"/>
        <v>45351</v>
      </c>
      <c r="P418" s="286" t="s">
        <v>58</v>
      </c>
    </row>
    <row r="419" spans="1:16" hidden="1" x14ac:dyDescent="0.15">
      <c r="A419" s="286">
        <v>504817</v>
      </c>
      <c r="B419" s="288">
        <v>45359.645138888889</v>
      </c>
      <c r="C419" s="286" t="s">
        <v>2109</v>
      </c>
      <c r="D419" s="286" t="s">
        <v>1105</v>
      </c>
      <c r="E419" s="286" t="s">
        <v>1106</v>
      </c>
      <c r="F419" s="286" t="s">
        <v>2154</v>
      </c>
      <c r="G419" s="286" t="s">
        <v>1786</v>
      </c>
      <c r="H419" s="286" t="s">
        <v>1786</v>
      </c>
      <c r="I419" s="286" t="s">
        <v>1199</v>
      </c>
      <c r="J419" s="286" t="s">
        <v>53</v>
      </c>
      <c r="K419" s="286" t="s">
        <v>53</v>
      </c>
      <c r="L419" s="286" t="s">
        <v>53</v>
      </c>
      <c r="M419" s="286" t="s">
        <v>53</v>
      </c>
      <c r="N419" s="287">
        <v>8801.49</v>
      </c>
      <c r="O419" s="294">
        <f t="shared" si="6"/>
        <v>45382</v>
      </c>
      <c r="P419" s="286" t="s">
        <v>58</v>
      </c>
    </row>
    <row r="420" spans="1:16" hidden="1" x14ac:dyDescent="0.15">
      <c r="A420" s="286">
        <v>534207</v>
      </c>
      <c r="B420" s="288">
        <v>45385.750694444447</v>
      </c>
      <c r="C420" s="286" t="s">
        <v>2096</v>
      </c>
      <c r="D420" s="286" t="s">
        <v>1105</v>
      </c>
      <c r="E420" s="286" t="s">
        <v>1106</v>
      </c>
      <c r="F420" s="286" t="s">
        <v>2155</v>
      </c>
      <c r="G420" s="286" t="s">
        <v>1786</v>
      </c>
      <c r="H420" s="286" t="s">
        <v>1786</v>
      </c>
      <c r="I420" s="286" t="s">
        <v>1199</v>
      </c>
      <c r="J420" s="286" t="s">
        <v>53</v>
      </c>
      <c r="K420" s="286" t="s">
        <v>53</v>
      </c>
      <c r="L420" s="286" t="s">
        <v>53</v>
      </c>
      <c r="M420" s="286" t="s">
        <v>53</v>
      </c>
      <c r="N420" s="287">
        <v>8801.49</v>
      </c>
      <c r="O420" s="294">
        <f t="shared" si="6"/>
        <v>45412</v>
      </c>
      <c r="P420" s="286" t="s">
        <v>58</v>
      </c>
    </row>
    <row r="421" spans="1:16" hidden="1" x14ac:dyDescent="0.15">
      <c r="A421" s="286">
        <v>614216</v>
      </c>
      <c r="B421" s="288">
        <v>45455.716666666667</v>
      </c>
      <c r="C421" s="286" t="s">
        <v>2116</v>
      </c>
      <c r="D421" s="286" t="s">
        <v>1105</v>
      </c>
      <c r="E421" s="286" t="s">
        <v>1106</v>
      </c>
      <c r="F421" s="286" t="s">
        <v>2156</v>
      </c>
      <c r="G421" s="286" t="s">
        <v>1786</v>
      </c>
      <c r="H421" s="286" t="s">
        <v>1786</v>
      </c>
      <c r="I421" s="286" t="s">
        <v>1199</v>
      </c>
      <c r="J421" s="286" t="s">
        <v>53</v>
      </c>
      <c r="K421" s="286" t="s">
        <v>53</v>
      </c>
      <c r="L421" s="286" t="s">
        <v>53</v>
      </c>
      <c r="M421" s="286" t="s">
        <v>53</v>
      </c>
      <c r="N421" s="287">
        <v>8801.49</v>
      </c>
      <c r="O421" s="294">
        <f t="shared" si="6"/>
        <v>45473</v>
      </c>
      <c r="P421" s="286" t="s">
        <v>58</v>
      </c>
    </row>
    <row r="422" spans="1:16" hidden="1" x14ac:dyDescent="0.15">
      <c r="A422" s="286">
        <v>608480</v>
      </c>
      <c r="B422" s="288">
        <v>45450.422222222223</v>
      </c>
      <c r="C422" s="286" t="s">
        <v>2092</v>
      </c>
      <c r="D422" s="286" t="s">
        <v>1105</v>
      </c>
      <c r="E422" s="286" t="s">
        <v>1106</v>
      </c>
      <c r="F422" s="286" t="s">
        <v>2157</v>
      </c>
      <c r="G422" s="286" t="s">
        <v>1786</v>
      </c>
      <c r="H422" s="286" t="s">
        <v>1786</v>
      </c>
      <c r="I422" s="286" t="s">
        <v>1199</v>
      </c>
      <c r="J422" s="286" t="s">
        <v>53</v>
      </c>
      <c r="K422" s="286" t="s">
        <v>53</v>
      </c>
      <c r="L422" s="286" t="s">
        <v>53</v>
      </c>
      <c r="M422" s="286" t="s">
        <v>53</v>
      </c>
      <c r="N422" s="287">
        <v>8801.4699999999993</v>
      </c>
      <c r="O422" s="294">
        <f t="shared" si="6"/>
        <v>45473</v>
      </c>
      <c r="P422" s="286" t="s">
        <v>58</v>
      </c>
    </row>
    <row r="423" spans="1:16" hidden="1" x14ac:dyDescent="0.15">
      <c r="A423" s="286">
        <v>874698</v>
      </c>
      <c r="B423" s="288">
        <v>45628.357638888891</v>
      </c>
      <c r="C423" s="286" t="s">
        <v>2098</v>
      </c>
      <c r="D423" s="286" t="s">
        <v>1105</v>
      </c>
      <c r="E423" s="286" t="s">
        <v>1106</v>
      </c>
      <c r="F423" s="286" t="s">
        <v>2142</v>
      </c>
      <c r="G423" s="286" t="s">
        <v>1052</v>
      </c>
      <c r="H423" s="286" t="s">
        <v>1052</v>
      </c>
      <c r="I423" s="286" t="s">
        <v>1228</v>
      </c>
      <c r="J423" s="286" t="s">
        <v>1312</v>
      </c>
      <c r="K423" s="286" t="s">
        <v>1770</v>
      </c>
      <c r="L423" s="286" t="s">
        <v>672</v>
      </c>
      <c r="M423" s="286">
        <v>1</v>
      </c>
      <c r="N423" s="287">
        <v>8735.44</v>
      </c>
      <c r="O423" s="294">
        <f t="shared" si="6"/>
        <v>45657</v>
      </c>
      <c r="P423" s="286" t="s">
        <v>58</v>
      </c>
    </row>
    <row r="424" spans="1:16" hidden="1" x14ac:dyDescent="0.15">
      <c r="A424" s="286">
        <v>438112</v>
      </c>
      <c r="B424" s="288">
        <v>45293.53402777778</v>
      </c>
      <c r="C424" s="286" t="s">
        <v>2125</v>
      </c>
      <c r="D424" s="286" t="s">
        <v>1105</v>
      </c>
      <c r="E424" s="286" t="s">
        <v>1106</v>
      </c>
      <c r="F424" s="286" t="s">
        <v>2152</v>
      </c>
      <c r="G424" s="286" t="s">
        <v>1052</v>
      </c>
      <c r="H424" s="286" t="s">
        <v>1052</v>
      </c>
      <c r="I424" s="286" t="s">
        <v>1228</v>
      </c>
      <c r="J424" s="286" t="s">
        <v>1312</v>
      </c>
      <c r="K424" s="286" t="s">
        <v>1770</v>
      </c>
      <c r="L424" s="286" t="s">
        <v>672</v>
      </c>
      <c r="M424" s="286">
        <v>1</v>
      </c>
      <c r="N424" s="287">
        <v>8735.3799999999992</v>
      </c>
      <c r="O424" s="294">
        <f t="shared" si="6"/>
        <v>45322</v>
      </c>
      <c r="P424" s="286" t="s">
        <v>58</v>
      </c>
    </row>
    <row r="425" spans="1:16" hidden="1" x14ac:dyDescent="0.15">
      <c r="A425" s="286">
        <v>472168</v>
      </c>
      <c r="B425" s="288">
        <v>45331.416666666664</v>
      </c>
      <c r="C425" s="286" t="s">
        <v>2113</v>
      </c>
      <c r="D425" s="286" t="s">
        <v>1105</v>
      </c>
      <c r="E425" s="286" t="s">
        <v>1106</v>
      </c>
      <c r="F425" s="286" t="s">
        <v>2153</v>
      </c>
      <c r="G425" s="286" t="s">
        <v>1052</v>
      </c>
      <c r="H425" s="286" t="s">
        <v>1052</v>
      </c>
      <c r="I425" s="286" t="s">
        <v>1228</v>
      </c>
      <c r="J425" s="286" t="s">
        <v>1312</v>
      </c>
      <c r="K425" s="286" t="s">
        <v>1770</v>
      </c>
      <c r="L425" s="286" t="s">
        <v>672</v>
      </c>
      <c r="M425" s="286">
        <v>1</v>
      </c>
      <c r="N425" s="287">
        <v>8735.3799999999992</v>
      </c>
      <c r="O425" s="294">
        <f t="shared" si="6"/>
        <v>45351</v>
      </c>
      <c r="P425" s="286" t="s">
        <v>58</v>
      </c>
    </row>
    <row r="426" spans="1:16" hidden="1" x14ac:dyDescent="0.15">
      <c r="A426" s="286">
        <v>504817</v>
      </c>
      <c r="B426" s="288">
        <v>45359.645138888889</v>
      </c>
      <c r="C426" s="286" t="s">
        <v>2109</v>
      </c>
      <c r="D426" s="286" t="s">
        <v>1105</v>
      </c>
      <c r="E426" s="286" t="s">
        <v>1106</v>
      </c>
      <c r="F426" s="286" t="s">
        <v>2154</v>
      </c>
      <c r="G426" s="286" t="s">
        <v>1052</v>
      </c>
      <c r="H426" s="286" t="s">
        <v>1052</v>
      </c>
      <c r="I426" s="286" t="s">
        <v>1228</v>
      </c>
      <c r="J426" s="286" t="s">
        <v>1312</v>
      </c>
      <c r="K426" s="286" t="s">
        <v>1770</v>
      </c>
      <c r="L426" s="286" t="s">
        <v>672</v>
      </c>
      <c r="M426" s="286">
        <v>1</v>
      </c>
      <c r="N426" s="287">
        <v>8735.3799999999992</v>
      </c>
      <c r="O426" s="294">
        <f t="shared" si="6"/>
        <v>45382</v>
      </c>
      <c r="P426" s="286" t="s">
        <v>58</v>
      </c>
    </row>
    <row r="427" spans="1:16" hidden="1" x14ac:dyDescent="0.15">
      <c r="A427" s="286">
        <v>534207</v>
      </c>
      <c r="B427" s="288">
        <v>45385.750694444447</v>
      </c>
      <c r="C427" s="286" t="s">
        <v>2096</v>
      </c>
      <c r="D427" s="286" t="s">
        <v>1105</v>
      </c>
      <c r="E427" s="286" t="s">
        <v>1106</v>
      </c>
      <c r="F427" s="286" t="s">
        <v>2155</v>
      </c>
      <c r="G427" s="286" t="s">
        <v>1052</v>
      </c>
      <c r="H427" s="286" t="s">
        <v>1052</v>
      </c>
      <c r="I427" s="286" t="s">
        <v>1228</v>
      </c>
      <c r="J427" s="286" t="s">
        <v>1312</v>
      </c>
      <c r="K427" s="286" t="s">
        <v>1770</v>
      </c>
      <c r="L427" s="286" t="s">
        <v>672</v>
      </c>
      <c r="M427" s="286">
        <v>1</v>
      </c>
      <c r="N427" s="287">
        <v>8735.3799999999992</v>
      </c>
      <c r="O427" s="294">
        <f t="shared" si="6"/>
        <v>45412</v>
      </c>
      <c r="P427" s="286" t="s">
        <v>58</v>
      </c>
    </row>
    <row r="428" spans="1:16" hidden="1" x14ac:dyDescent="0.15">
      <c r="A428" s="286">
        <v>614216</v>
      </c>
      <c r="B428" s="288">
        <v>45455.716666666667</v>
      </c>
      <c r="C428" s="286" t="s">
        <v>2116</v>
      </c>
      <c r="D428" s="286" t="s">
        <v>1105</v>
      </c>
      <c r="E428" s="286" t="s">
        <v>1106</v>
      </c>
      <c r="F428" s="286" t="s">
        <v>2156</v>
      </c>
      <c r="G428" s="286" t="s">
        <v>1052</v>
      </c>
      <c r="H428" s="286" t="s">
        <v>1052</v>
      </c>
      <c r="I428" s="286" t="s">
        <v>1228</v>
      </c>
      <c r="J428" s="286" t="s">
        <v>1312</v>
      </c>
      <c r="K428" s="286" t="s">
        <v>1770</v>
      </c>
      <c r="L428" s="286" t="s">
        <v>672</v>
      </c>
      <c r="M428" s="286">
        <v>1</v>
      </c>
      <c r="N428" s="287">
        <v>8735.3799999999992</v>
      </c>
      <c r="O428" s="294">
        <f t="shared" si="6"/>
        <v>45473</v>
      </c>
      <c r="P428" s="286" t="s">
        <v>58</v>
      </c>
    </row>
    <row r="429" spans="1:16" hidden="1" x14ac:dyDescent="0.15">
      <c r="A429" s="286">
        <v>608480</v>
      </c>
      <c r="B429" s="288">
        <v>45450.422222222223</v>
      </c>
      <c r="C429" s="286" t="s">
        <v>2092</v>
      </c>
      <c r="D429" s="286" t="s">
        <v>1105</v>
      </c>
      <c r="E429" s="286" t="s">
        <v>1106</v>
      </c>
      <c r="F429" s="286" t="s">
        <v>2157</v>
      </c>
      <c r="G429" s="286" t="s">
        <v>1052</v>
      </c>
      <c r="H429" s="286" t="s">
        <v>1052</v>
      </c>
      <c r="I429" s="286" t="s">
        <v>1228</v>
      </c>
      <c r="J429" s="286" t="s">
        <v>1312</v>
      </c>
      <c r="K429" s="286" t="s">
        <v>1770</v>
      </c>
      <c r="L429" s="286" t="s">
        <v>672</v>
      </c>
      <c r="M429" s="286">
        <v>1</v>
      </c>
      <c r="N429" s="287">
        <v>8735.3799999999992</v>
      </c>
      <c r="O429" s="294">
        <f t="shared" si="6"/>
        <v>45473</v>
      </c>
      <c r="P429" s="286" t="s">
        <v>58</v>
      </c>
    </row>
    <row r="430" spans="1:16" hidden="1" x14ac:dyDescent="0.15">
      <c r="A430" s="286">
        <v>646075</v>
      </c>
      <c r="B430" s="288">
        <v>45474.519444444442</v>
      </c>
      <c r="C430" s="286" t="s">
        <v>2111</v>
      </c>
      <c r="D430" s="286" t="s">
        <v>1105</v>
      </c>
      <c r="E430" s="286" t="s">
        <v>1106</v>
      </c>
      <c r="F430" s="286" t="s">
        <v>2137</v>
      </c>
      <c r="G430" s="286" t="s">
        <v>1052</v>
      </c>
      <c r="H430" s="286" t="s">
        <v>1052</v>
      </c>
      <c r="I430" s="286" t="s">
        <v>1228</v>
      </c>
      <c r="J430" s="286" t="s">
        <v>1312</v>
      </c>
      <c r="K430" s="286" t="s">
        <v>1770</v>
      </c>
      <c r="L430" s="286" t="s">
        <v>672</v>
      </c>
      <c r="M430" s="286">
        <v>1</v>
      </c>
      <c r="N430" s="287">
        <v>8735.3799999999992</v>
      </c>
      <c r="O430" s="294">
        <f t="shared" si="6"/>
        <v>45504</v>
      </c>
      <c r="P430" s="286" t="s">
        <v>58</v>
      </c>
    </row>
    <row r="431" spans="1:16" hidden="1" x14ac:dyDescent="0.15">
      <c r="A431" s="286">
        <v>697810</v>
      </c>
      <c r="B431" s="288">
        <v>45510.366666666669</v>
      </c>
      <c r="C431" s="286" t="s">
        <v>2102</v>
      </c>
      <c r="D431" s="286" t="s">
        <v>1105</v>
      </c>
      <c r="E431" s="286" t="s">
        <v>1106</v>
      </c>
      <c r="F431" s="286" t="s">
        <v>2138</v>
      </c>
      <c r="G431" s="286" t="s">
        <v>1052</v>
      </c>
      <c r="H431" s="286" t="s">
        <v>1052</v>
      </c>
      <c r="I431" s="286" t="s">
        <v>1228</v>
      </c>
      <c r="J431" s="286" t="s">
        <v>1312</v>
      </c>
      <c r="K431" s="286" t="s">
        <v>1770</v>
      </c>
      <c r="L431" s="286" t="s">
        <v>672</v>
      </c>
      <c r="M431" s="286">
        <v>1</v>
      </c>
      <c r="N431" s="287">
        <v>8735.3799999999992</v>
      </c>
      <c r="O431" s="294">
        <f t="shared" si="6"/>
        <v>45535</v>
      </c>
      <c r="P431" s="286" t="s">
        <v>58</v>
      </c>
    </row>
    <row r="432" spans="1:16" hidden="1" x14ac:dyDescent="0.15">
      <c r="A432" s="286">
        <v>745911</v>
      </c>
      <c r="B432" s="288">
        <v>45538.44027777778</v>
      </c>
      <c r="C432" s="286" t="s">
        <v>2132</v>
      </c>
      <c r="D432" s="286" t="s">
        <v>1105</v>
      </c>
      <c r="E432" s="286" t="s">
        <v>1106</v>
      </c>
      <c r="F432" s="286" t="s">
        <v>2139</v>
      </c>
      <c r="G432" s="286" t="s">
        <v>1052</v>
      </c>
      <c r="H432" s="286" t="s">
        <v>1052</v>
      </c>
      <c r="I432" s="286" t="s">
        <v>1228</v>
      </c>
      <c r="J432" s="286" t="s">
        <v>1312</v>
      </c>
      <c r="K432" s="286" t="s">
        <v>1770</v>
      </c>
      <c r="L432" s="286" t="s">
        <v>672</v>
      </c>
      <c r="M432" s="286">
        <v>1</v>
      </c>
      <c r="N432" s="287">
        <v>8735.3799999999992</v>
      </c>
      <c r="O432" s="294">
        <f t="shared" si="6"/>
        <v>45565</v>
      </c>
      <c r="P432" s="286" t="s">
        <v>58</v>
      </c>
    </row>
    <row r="433" spans="1:16" hidden="1" x14ac:dyDescent="0.15">
      <c r="A433" s="286">
        <v>848817</v>
      </c>
      <c r="B433" s="288">
        <v>45607.65902777778</v>
      </c>
      <c r="C433" s="286" t="s">
        <v>2130</v>
      </c>
      <c r="D433" s="286" t="s">
        <v>1105</v>
      </c>
      <c r="E433" s="286" t="s">
        <v>1106</v>
      </c>
      <c r="F433" s="286" t="s">
        <v>2140</v>
      </c>
      <c r="G433" s="286" t="s">
        <v>1052</v>
      </c>
      <c r="H433" s="286" t="s">
        <v>1052</v>
      </c>
      <c r="I433" s="286" t="s">
        <v>1228</v>
      </c>
      <c r="J433" s="286" t="s">
        <v>1312</v>
      </c>
      <c r="K433" s="286" t="s">
        <v>1770</v>
      </c>
      <c r="L433" s="286" t="s">
        <v>672</v>
      </c>
      <c r="M433" s="286">
        <v>1</v>
      </c>
      <c r="N433" s="287">
        <v>8735.3799999999992</v>
      </c>
      <c r="O433" s="294">
        <f t="shared" si="6"/>
        <v>45626</v>
      </c>
      <c r="P433" s="286" t="s">
        <v>58</v>
      </c>
    </row>
    <row r="434" spans="1:16" hidden="1" x14ac:dyDescent="0.15">
      <c r="A434" s="286">
        <v>848917</v>
      </c>
      <c r="B434" s="288">
        <v>45607.660416666666</v>
      </c>
      <c r="C434" s="286" t="s">
        <v>2100</v>
      </c>
      <c r="D434" s="286" t="s">
        <v>1105</v>
      </c>
      <c r="E434" s="286" t="s">
        <v>1106</v>
      </c>
      <c r="F434" s="286" t="s">
        <v>2141</v>
      </c>
      <c r="G434" s="286" t="s">
        <v>1052</v>
      </c>
      <c r="H434" s="286" t="s">
        <v>1052</v>
      </c>
      <c r="I434" s="286" t="s">
        <v>1228</v>
      </c>
      <c r="J434" s="286" t="s">
        <v>1312</v>
      </c>
      <c r="K434" s="286" t="s">
        <v>1770</v>
      </c>
      <c r="L434" s="286" t="s">
        <v>672</v>
      </c>
      <c r="M434" s="286">
        <v>1</v>
      </c>
      <c r="N434" s="287">
        <v>8735.3799999999992</v>
      </c>
      <c r="O434" s="294">
        <f t="shared" si="6"/>
        <v>45626</v>
      </c>
      <c r="P434" s="286" t="s">
        <v>58</v>
      </c>
    </row>
    <row r="435" spans="1:16" hidden="1" x14ac:dyDescent="0.15">
      <c r="A435" s="286">
        <v>848716</v>
      </c>
      <c r="B435" s="288">
        <v>45607.647916666669</v>
      </c>
      <c r="C435" s="286" t="s">
        <v>2130</v>
      </c>
      <c r="D435" s="286" t="s">
        <v>1105</v>
      </c>
      <c r="E435" s="286" t="s">
        <v>1106</v>
      </c>
      <c r="F435" s="286" t="s">
        <v>2241</v>
      </c>
      <c r="G435" s="286" t="s">
        <v>1017</v>
      </c>
      <c r="H435" s="286" t="s">
        <v>1017</v>
      </c>
      <c r="I435" s="286" t="s">
        <v>1129</v>
      </c>
      <c r="J435" s="286" t="s">
        <v>1312</v>
      </c>
      <c r="K435" s="286" t="s">
        <v>53</v>
      </c>
      <c r="L435" s="286" t="s">
        <v>53</v>
      </c>
      <c r="M435" s="286" t="s">
        <v>53</v>
      </c>
      <c r="N435" s="287">
        <v>8624.93</v>
      </c>
      <c r="O435" s="294">
        <f t="shared" si="6"/>
        <v>45626</v>
      </c>
      <c r="P435" s="286" t="s">
        <v>164</v>
      </c>
    </row>
    <row r="436" spans="1:16" hidden="1" x14ac:dyDescent="0.15">
      <c r="A436" s="286">
        <v>866245</v>
      </c>
      <c r="B436" s="288">
        <v>45617.606944444444</v>
      </c>
      <c r="C436" s="286" t="s">
        <v>2100</v>
      </c>
      <c r="D436" s="286" t="s">
        <v>1105</v>
      </c>
      <c r="E436" s="286" t="s">
        <v>1106</v>
      </c>
      <c r="F436" s="286" t="s">
        <v>2101</v>
      </c>
      <c r="G436" s="286" t="s">
        <v>1077</v>
      </c>
      <c r="H436" s="286" t="s">
        <v>1077</v>
      </c>
      <c r="I436" s="286" t="s">
        <v>1301</v>
      </c>
      <c r="J436" s="286" t="s">
        <v>1312</v>
      </c>
      <c r="K436" s="286" t="s">
        <v>56</v>
      </c>
      <c r="L436" s="286" t="s">
        <v>71</v>
      </c>
      <c r="M436" s="286">
        <v>1</v>
      </c>
      <c r="N436" s="287">
        <v>8435</v>
      </c>
      <c r="O436" s="294">
        <f t="shared" si="6"/>
        <v>45626</v>
      </c>
      <c r="P436" s="286" t="s">
        <v>55</v>
      </c>
    </row>
    <row r="437" spans="1:16" hidden="1" x14ac:dyDescent="0.15">
      <c r="A437" s="286">
        <v>472168</v>
      </c>
      <c r="B437" s="288">
        <v>45331.416666666664</v>
      </c>
      <c r="C437" s="286" t="s">
        <v>2113</v>
      </c>
      <c r="D437" s="286" t="s">
        <v>1105</v>
      </c>
      <c r="E437" s="286" t="s">
        <v>1106</v>
      </c>
      <c r="F437" s="286" t="s">
        <v>2153</v>
      </c>
      <c r="G437" s="286" t="s">
        <v>1079</v>
      </c>
      <c r="H437" s="286" t="s">
        <v>1079</v>
      </c>
      <c r="I437" s="286" t="s">
        <v>1129</v>
      </c>
      <c r="J437" s="286" t="s">
        <v>1312</v>
      </c>
      <c r="K437" s="286" t="s">
        <v>2271</v>
      </c>
      <c r="L437" s="286" t="s">
        <v>2272</v>
      </c>
      <c r="M437" s="286">
        <v>1</v>
      </c>
      <c r="N437" s="287">
        <v>8337</v>
      </c>
      <c r="O437" s="294">
        <f t="shared" si="6"/>
        <v>45351</v>
      </c>
      <c r="P437" s="286" t="s">
        <v>164</v>
      </c>
    </row>
    <row r="438" spans="1:16" hidden="1" x14ac:dyDescent="0.15">
      <c r="A438" s="286">
        <v>438112</v>
      </c>
      <c r="B438" s="288">
        <v>45293.53402777778</v>
      </c>
      <c r="C438" s="286" t="s">
        <v>2125</v>
      </c>
      <c r="D438" s="286" t="s">
        <v>1105</v>
      </c>
      <c r="E438" s="286" t="s">
        <v>1106</v>
      </c>
      <c r="F438" s="286" t="s">
        <v>2152</v>
      </c>
      <c r="G438" s="286" t="s">
        <v>1007</v>
      </c>
      <c r="H438" s="286" t="s">
        <v>1007</v>
      </c>
      <c r="I438" s="286" t="s">
        <v>1199</v>
      </c>
      <c r="J438" s="286" t="s">
        <v>1312</v>
      </c>
      <c r="K438" s="286" t="s">
        <v>1787</v>
      </c>
      <c r="L438" s="286" t="s">
        <v>672</v>
      </c>
      <c r="M438" s="286">
        <v>1</v>
      </c>
      <c r="N438" s="287">
        <v>8320.41</v>
      </c>
      <c r="O438" s="294">
        <f t="shared" si="6"/>
        <v>45322</v>
      </c>
      <c r="P438" s="286" t="s">
        <v>58</v>
      </c>
    </row>
    <row r="439" spans="1:16" hidden="1" x14ac:dyDescent="0.15">
      <c r="A439" s="286">
        <v>472168</v>
      </c>
      <c r="B439" s="288">
        <v>45331.416666666664</v>
      </c>
      <c r="C439" s="286" t="s">
        <v>2113</v>
      </c>
      <c r="D439" s="286" t="s">
        <v>1105</v>
      </c>
      <c r="E439" s="286" t="s">
        <v>1106</v>
      </c>
      <c r="F439" s="286" t="s">
        <v>2153</v>
      </c>
      <c r="G439" s="286" t="s">
        <v>1007</v>
      </c>
      <c r="H439" s="286" t="s">
        <v>1007</v>
      </c>
      <c r="I439" s="286" t="s">
        <v>1199</v>
      </c>
      <c r="J439" s="286" t="s">
        <v>1312</v>
      </c>
      <c r="K439" s="286" t="s">
        <v>1787</v>
      </c>
      <c r="L439" s="286" t="s">
        <v>672</v>
      </c>
      <c r="M439" s="286">
        <v>1</v>
      </c>
      <c r="N439" s="287">
        <v>8320.41</v>
      </c>
      <c r="O439" s="294">
        <f t="shared" si="6"/>
        <v>45351</v>
      </c>
      <c r="P439" s="286" t="s">
        <v>58</v>
      </c>
    </row>
    <row r="440" spans="1:16" hidden="1" x14ac:dyDescent="0.15">
      <c r="A440" s="286">
        <v>504817</v>
      </c>
      <c r="B440" s="288">
        <v>45359.645138888889</v>
      </c>
      <c r="C440" s="286" t="s">
        <v>2109</v>
      </c>
      <c r="D440" s="286" t="s">
        <v>1105</v>
      </c>
      <c r="E440" s="286" t="s">
        <v>1106</v>
      </c>
      <c r="F440" s="286" t="s">
        <v>2154</v>
      </c>
      <c r="G440" s="286" t="s">
        <v>1007</v>
      </c>
      <c r="H440" s="286" t="s">
        <v>1007</v>
      </c>
      <c r="I440" s="286" t="s">
        <v>1199</v>
      </c>
      <c r="J440" s="286" t="s">
        <v>1312</v>
      </c>
      <c r="K440" s="286" t="s">
        <v>1787</v>
      </c>
      <c r="L440" s="286" t="s">
        <v>672</v>
      </c>
      <c r="M440" s="286">
        <v>1</v>
      </c>
      <c r="N440" s="287">
        <v>8320.41</v>
      </c>
      <c r="O440" s="294">
        <f t="shared" si="6"/>
        <v>45382</v>
      </c>
      <c r="P440" s="286" t="s">
        <v>58</v>
      </c>
    </row>
    <row r="441" spans="1:16" hidden="1" x14ac:dyDescent="0.15">
      <c r="A441" s="286">
        <v>534207</v>
      </c>
      <c r="B441" s="288">
        <v>45385.750694444447</v>
      </c>
      <c r="C441" s="286" t="s">
        <v>2096</v>
      </c>
      <c r="D441" s="286" t="s">
        <v>1105</v>
      </c>
      <c r="E441" s="286" t="s">
        <v>1106</v>
      </c>
      <c r="F441" s="286" t="s">
        <v>2155</v>
      </c>
      <c r="G441" s="286" t="s">
        <v>1007</v>
      </c>
      <c r="H441" s="286" t="s">
        <v>1007</v>
      </c>
      <c r="I441" s="286" t="s">
        <v>1199</v>
      </c>
      <c r="J441" s="286" t="s">
        <v>1312</v>
      </c>
      <c r="K441" s="286" t="s">
        <v>1787</v>
      </c>
      <c r="L441" s="286" t="s">
        <v>672</v>
      </c>
      <c r="M441" s="286">
        <v>1</v>
      </c>
      <c r="N441" s="287">
        <v>8320.41</v>
      </c>
      <c r="O441" s="294">
        <f t="shared" si="6"/>
        <v>45412</v>
      </c>
      <c r="P441" s="286" t="s">
        <v>58</v>
      </c>
    </row>
    <row r="442" spans="1:16" hidden="1" x14ac:dyDescent="0.15">
      <c r="A442" s="286">
        <v>614216</v>
      </c>
      <c r="B442" s="288">
        <v>45455.716666666667</v>
      </c>
      <c r="C442" s="286" t="s">
        <v>2116</v>
      </c>
      <c r="D442" s="286" t="s">
        <v>1105</v>
      </c>
      <c r="E442" s="286" t="s">
        <v>1106</v>
      </c>
      <c r="F442" s="286" t="s">
        <v>2156</v>
      </c>
      <c r="G442" s="286" t="s">
        <v>1007</v>
      </c>
      <c r="H442" s="286" t="s">
        <v>1007</v>
      </c>
      <c r="I442" s="286" t="s">
        <v>1199</v>
      </c>
      <c r="J442" s="286" t="s">
        <v>1312</v>
      </c>
      <c r="K442" s="286" t="s">
        <v>1787</v>
      </c>
      <c r="L442" s="286" t="s">
        <v>672</v>
      </c>
      <c r="M442" s="286">
        <v>1</v>
      </c>
      <c r="N442" s="287">
        <v>8320.41</v>
      </c>
      <c r="O442" s="294">
        <f t="shared" si="6"/>
        <v>45473</v>
      </c>
      <c r="P442" s="286" t="s">
        <v>58</v>
      </c>
    </row>
    <row r="443" spans="1:16" hidden="1" x14ac:dyDescent="0.15">
      <c r="A443" s="286">
        <v>608480</v>
      </c>
      <c r="B443" s="288">
        <v>45450.422222222223</v>
      </c>
      <c r="C443" s="286" t="s">
        <v>2092</v>
      </c>
      <c r="D443" s="286" t="s">
        <v>1105</v>
      </c>
      <c r="E443" s="286" t="s">
        <v>1106</v>
      </c>
      <c r="F443" s="286" t="s">
        <v>2157</v>
      </c>
      <c r="G443" s="286" t="s">
        <v>1007</v>
      </c>
      <c r="H443" s="286" t="s">
        <v>1007</v>
      </c>
      <c r="I443" s="286" t="s">
        <v>1199</v>
      </c>
      <c r="J443" s="286" t="s">
        <v>1312</v>
      </c>
      <c r="K443" s="286" t="s">
        <v>1787</v>
      </c>
      <c r="L443" s="286" t="s">
        <v>672</v>
      </c>
      <c r="M443" s="286">
        <v>1</v>
      </c>
      <c r="N443" s="287">
        <v>8320.41</v>
      </c>
      <c r="O443" s="294">
        <f t="shared" si="6"/>
        <v>45473</v>
      </c>
      <c r="P443" s="286" t="s">
        <v>58</v>
      </c>
    </row>
    <row r="444" spans="1:16" hidden="1" x14ac:dyDescent="0.15">
      <c r="A444" s="286">
        <v>646075</v>
      </c>
      <c r="B444" s="288">
        <v>45474.519444444442</v>
      </c>
      <c r="C444" s="286" t="s">
        <v>2111</v>
      </c>
      <c r="D444" s="286" t="s">
        <v>1105</v>
      </c>
      <c r="E444" s="286" t="s">
        <v>1106</v>
      </c>
      <c r="F444" s="286" t="s">
        <v>2137</v>
      </c>
      <c r="G444" s="286" t="s">
        <v>1007</v>
      </c>
      <c r="H444" s="286" t="s">
        <v>1007</v>
      </c>
      <c r="I444" s="286" t="s">
        <v>1199</v>
      </c>
      <c r="J444" s="286" t="s">
        <v>1312</v>
      </c>
      <c r="K444" s="286" t="s">
        <v>1787</v>
      </c>
      <c r="L444" s="286" t="s">
        <v>672</v>
      </c>
      <c r="M444" s="286">
        <v>1</v>
      </c>
      <c r="N444" s="287">
        <v>8320.41</v>
      </c>
      <c r="O444" s="294">
        <f t="shared" si="6"/>
        <v>45504</v>
      </c>
      <c r="P444" s="286" t="s">
        <v>58</v>
      </c>
    </row>
    <row r="445" spans="1:16" hidden="1" x14ac:dyDescent="0.15">
      <c r="A445" s="286">
        <v>578060</v>
      </c>
      <c r="B445" s="288">
        <v>45426.430555555555</v>
      </c>
      <c r="C445" s="286" t="s">
        <v>2096</v>
      </c>
      <c r="D445" s="286" t="s">
        <v>1105</v>
      </c>
      <c r="E445" s="286" t="s">
        <v>1106</v>
      </c>
      <c r="F445" s="286" t="s">
        <v>2115</v>
      </c>
      <c r="G445" s="286" t="s">
        <v>1037</v>
      </c>
      <c r="H445" s="286" t="s">
        <v>1037</v>
      </c>
      <c r="I445" s="286" t="s">
        <v>1235</v>
      </c>
      <c r="J445" s="286" t="s">
        <v>1312</v>
      </c>
      <c r="K445" s="286" t="s">
        <v>2273</v>
      </c>
      <c r="L445" s="286" t="s">
        <v>2274</v>
      </c>
      <c r="M445" s="286">
        <v>1</v>
      </c>
      <c r="N445" s="287">
        <v>8309</v>
      </c>
      <c r="O445" s="294">
        <f t="shared" si="6"/>
        <v>45443</v>
      </c>
      <c r="P445" s="286" t="s">
        <v>180</v>
      </c>
    </row>
    <row r="446" spans="1:16" hidden="1" x14ac:dyDescent="0.15">
      <c r="A446" s="286">
        <v>438112</v>
      </c>
      <c r="B446" s="288">
        <v>45293.53402777778</v>
      </c>
      <c r="C446" s="286" t="s">
        <v>2125</v>
      </c>
      <c r="D446" s="286" t="s">
        <v>1105</v>
      </c>
      <c r="E446" s="286" t="s">
        <v>1106</v>
      </c>
      <c r="F446" s="286" t="s">
        <v>2152</v>
      </c>
      <c r="G446" s="286" t="s">
        <v>1064</v>
      </c>
      <c r="H446" s="286" t="s">
        <v>1064</v>
      </c>
      <c r="I446" s="286" t="s">
        <v>1199</v>
      </c>
      <c r="J446" s="286" t="s">
        <v>1312</v>
      </c>
      <c r="K446" s="286" t="s">
        <v>53</v>
      </c>
      <c r="L446" s="286" t="s">
        <v>53</v>
      </c>
      <c r="M446" s="286" t="s">
        <v>53</v>
      </c>
      <c r="N446" s="287">
        <v>8058.64</v>
      </c>
      <c r="O446" s="294">
        <f t="shared" si="6"/>
        <v>45322</v>
      </c>
      <c r="P446" s="286" t="s">
        <v>58</v>
      </c>
    </row>
    <row r="447" spans="1:16" hidden="1" x14ac:dyDescent="0.15">
      <c r="A447" s="286">
        <v>438112</v>
      </c>
      <c r="B447" s="288">
        <v>45293.53402777778</v>
      </c>
      <c r="C447" s="286" t="s">
        <v>2125</v>
      </c>
      <c r="D447" s="286" t="s">
        <v>1105</v>
      </c>
      <c r="E447" s="286" t="s">
        <v>1106</v>
      </c>
      <c r="F447" s="286" t="s">
        <v>2152</v>
      </c>
      <c r="G447" s="286" t="s">
        <v>1064</v>
      </c>
      <c r="H447" s="286" t="s">
        <v>1064</v>
      </c>
      <c r="I447" s="286" t="s">
        <v>1228</v>
      </c>
      <c r="J447" s="286" t="s">
        <v>53</v>
      </c>
      <c r="K447" s="286" t="s">
        <v>53</v>
      </c>
      <c r="L447" s="286" t="s">
        <v>53</v>
      </c>
      <c r="M447" s="286" t="s">
        <v>53</v>
      </c>
      <c r="N447" s="287">
        <v>8058.64</v>
      </c>
      <c r="O447" s="294">
        <f t="shared" si="6"/>
        <v>45322</v>
      </c>
      <c r="P447" s="286" t="s">
        <v>58</v>
      </c>
    </row>
    <row r="448" spans="1:16" hidden="1" x14ac:dyDescent="0.15">
      <c r="A448" s="286">
        <v>472168</v>
      </c>
      <c r="B448" s="288">
        <v>45331.416666666664</v>
      </c>
      <c r="C448" s="286" t="s">
        <v>2113</v>
      </c>
      <c r="D448" s="286" t="s">
        <v>1105</v>
      </c>
      <c r="E448" s="286" t="s">
        <v>1106</v>
      </c>
      <c r="F448" s="286" t="s">
        <v>2153</v>
      </c>
      <c r="G448" s="286" t="s">
        <v>1064</v>
      </c>
      <c r="H448" s="286" t="s">
        <v>1064</v>
      </c>
      <c r="I448" s="286" t="s">
        <v>1199</v>
      </c>
      <c r="J448" s="286" t="s">
        <v>1312</v>
      </c>
      <c r="K448" s="286" t="s">
        <v>53</v>
      </c>
      <c r="L448" s="286" t="s">
        <v>53</v>
      </c>
      <c r="M448" s="286" t="s">
        <v>53</v>
      </c>
      <c r="N448" s="287">
        <v>8058.64</v>
      </c>
      <c r="O448" s="294">
        <f t="shared" si="6"/>
        <v>45351</v>
      </c>
      <c r="P448" s="286" t="s">
        <v>58</v>
      </c>
    </row>
    <row r="449" spans="1:16" hidden="1" x14ac:dyDescent="0.15">
      <c r="A449" s="286">
        <v>472168</v>
      </c>
      <c r="B449" s="288">
        <v>45331.416666666664</v>
      </c>
      <c r="C449" s="286" t="s">
        <v>2113</v>
      </c>
      <c r="D449" s="286" t="s">
        <v>1105</v>
      </c>
      <c r="E449" s="286" t="s">
        <v>1106</v>
      </c>
      <c r="F449" s="286" t="s">
        <v>2153</v>
      </c>
      <c r="G449" s="286" t="s">
        <v>1064</v>
      </c>
      <c r="H449" s="286" t="s">
        <v>1064</v>
      </c>
      <c r="I449" s="286" t="s">
        <v>1228</v>
      </c>
      <c r="J449" s="286" t="s">
        <v>53</v>
      </c>
      <c r="K449" s="286" t="s">
        <v>53</v>
      </c>
      <c r="L449" s="286" t="s">
        <v>53</v>
      </c>
      <c r="M449" s="286" t="s">
        <v>53</v>
      </c>
      <c r="N449" s="287">
        <v>8058.64</v>
      </c>
      <c r="O449" s="294">
        <f t="shared" si="6"/>
        <v>45351</v>
      </c>
      <c r="P449" s="286" t="s">
        <v>58</v>
      </c>
    </row>
    <row r="450" spans="1:16" hidden="1" x14ac:dyDescent="0.15">
      <c r="A450" s="286">
        <v>504817</v>
      </c>
      <c r="B450" s="288">
        <v>45359.645138888889</v>
      </c>
      <c r="C450" s="286" t="s">
        <v>2109</v>
      </c>
      <c r="D450" s="286" t="s">
        <v>1105</v>
      </c>
      <c r="E450" s="286" t="s">
        <v>1106</v>
      </c>
      <c r="F450" s="286" t="s">
        <v>2154</v>
      </c>
      <c r="G450" s="286" t="s">
        <v>1064</v>
      </c>
      <c r="H450" s="286" t="s">
        <v>1064</v>
      </c>
      <c r="I450" s="286" t="s">
        <v>1199</v>
      </c>
      <c r="J450" s="286" t="s">
        <v>1312</v>
      </c>
      <c r="K450" s="286" t="s">
        <v>53</v>
      </c>
      <c r="L450" s="286" t="s">
        <v>53</v>
      </c>
      <c r="M450" s="286" t="s">
        <v>53</v>
      </c>
      <c r="N450" s="287">
        <v>8058.64</v>
      </c>
      <c r="O450" s="294">
        <f t="shared" si="6"/>
        <v>45382</v>
      </c>
      <c r="P450" s="286" t="s">
        <v>58</v>
      </c>
    </row>
    <row r="451" spans="1:16" hidden="1" x14ac:dyDescent="0.15">
      <c r="A451" s="286">
        <v>504817</v>
      </c>
      <c r="B451" s="288">
        <v>45359.645138888889</v>
      </c>
      <c r="C451" s="286" t="s">
        <v>2109</v>
      </c>
      <c r="D451" s="286" t="s">
        <v>1105</v>
      </c>
      <c r="E451" s="286" t="s">
        <v>1106</v>
      </c>
      <c r="F451" s="286" t="s">
        <v>2154</v>
      </c>
      <c r="G451" s="286" t="s">
        <v>1064</v>
      </c>
      <c r="H451" s="286" t="s">
        <v>1064</v>
      </c>
      <c r="I451" s="286" t="s">
        <v>1228</v>
      </c>
      <c r="J451" s="286" t="s">
        <v>53</v>
      </c>
      <c r="K451" s="286" t="s">
        <v>53</v>
      </c>
      <c r="L451" s="286" t="s">
        <v>53</v>
      </c>
      <c r="M451" s="286" t="s">
        <v>53</v>
      </c>
      <c r="N451" s="287">
        <v>8058.64</v>
      </c>
      <c r="O451" s="294">
        <f t="shared" si="6"/>
        <v>45382</v>
      </c>
      <c r="P451" s="286" t="s">
        <v>58</v>
      </c>
    </row>
    <row r="452" spans="1:16" hidden="1" x14ac:dyDescent="0.15">
      <c r="A452" s="286">
        <v>534207</v>
      </c>
      <c r="B452" s="288">
        <v>45385.750694444447</v>
      </c>
      <c r="C452" s="286" t="s">
        <v>2096</v>
      </c>
      <c r="D452" s="286" t="s">
        <v>1105</v>
      </c>
      <c r="E452" s="286" t="s">
        <v>1106</v>
      </c>
      <c r="F452" s="286" t="s">
        <v>2155</v>
      </c>
      <c r="G452" s="286" t="s">
        <v>1064</v>
      </c>
      <c r="H452" s="286" t="s">
        <v>1064</v>
      </c>
      <c r="I452" s="286" t="s">
        <v>1199</v>
      </c>
      <c r="J452" s="286" t="s">
        <v>1312</v>
      </c>
      <c r="K452" s="286" t="s">
        <v>53</v>
      </c>
      <c r="L452" s="286" t="s">
        <v>53</v>
      </c>
      <c r="M452" s="286" t="s">
        <v>53</v>
      </c>
      <c r="N452" s="287">
        <v>8058.64</v>
      </c>
      <c r="O452" s="294">
        <f t="shared" ref="O452:O515" si="7">EOMONTH(B452,0)</f>
        <v>45412</v>
      </c>
      <c r="P452" s="286" t="s">
        <v>58</v>
      </c>
    </row>
    <row r="453" spans="1:16" hidden="1" x14ac:dyDescent="0.15">
      <c r="A453" s="286">
        <v>534207</v>
      </c>
      <c r="B453" s="288">
        <v>45385.750694444447</v>
      </c>
      <c r="C453" s="286" t="s">
        <v>2096</v>
      </c>
      <c r="D453" s="286" t="s">
        <v>1105</v>
      </c>
      <c r="E453" s="286" t="s">
        <v>1106</v>
      </c>
      <c r="F453" s="286" t="s">
        <v>2155</v>
      </c>
      <c r="G453" s="286" t="s">
        <v>1064</v>
      </c>
      <c r="H453" s="286" t="s">
        <v>1064</v>
      </c>
      <c r="I453" s="286" t="s">
        <v>1228</v>
      </c>
      <c r="J453" s="286" t="s">
        <v>53</v>
      </c>
      <c r="K453" s="286" t="s">
        <v>53</v>
      </c>
      <c r="L453" s="286" t="s">
        <v>53</v>
      </c>
      <c r="M453" s="286" t="s">
        <v>53</v>
      </c>
      <c r="N453" s="287">
        <v>8058.64</v>
      </c>
      <c r="O453" s="294">
        <f t="shared" si="7"/>
        <v>45412</v>
      </c>
      <c r="P453" s="286" t="s">
        <v>58</v>
      </c>
    </row>
    <row r="454" spans="1:16" hidden="1" x14ac:dyDescent="0.15">
      <c r="A454" s="286">
        <v>614216</v>
      </c>
      <c r="B454" s="288">
        <v>45455.716666666667</v>
      </c>
      <c r="C454" s="286" t="s">
        <v>2116</v>
      </c>
      <c r="D454" s="286" t="s">
        <v>1105</v>
      </c>
      <c r="E454" s="286" t="s">
        <v>1106</v>
      </c>
      <c r="F454" s="286" t="s">
        <v>2156</v>
      </c>
      <c r="G454" s="286" t="s">
        <v>1064</v>
      </c>
      <c r="H454" s="286" t="s">
        <v>1064</v>
      </c>
      <c r="I454" s="286" t="s">
        <v>1199</v>
      </c>
      <c r="J454" s="286" t="s">
        <v>1312</v>
      </c>
      <c r="K454" s="286" t="s">
        <v>53</v>
      </c>
      <c r="L454" s="286" t="s">
        <v>53</v>
      </c>
      <c r="M454" s="286" t="s">
        <v>53</v>
      </c>
      <c r="N454" s="287">
        <v>8058.64</v>
      </c>
      <c r="O454" s="294">
        <f t="shared" si="7"/>
        <v>45473</v>
      </c>
      <c r="P454" s="286" t="s">
        <v>58</v>
      </c>
    </row>
    <row r="455" spans="1:16" hidden="1" x14ac:dyDescent="0.15">
      <c r="A455" s="286">
        <v>614216</v>
      </c>
      <c r="B455" s="288">
        <v>45455.716666666667</v>
      </c>
      <c r="C455" s="286" t="s">
        <v>2116</v>
      </c>
      <c r="D455" s="286" t="s">
        <v>1105</v>
      </c>
      <c r="E455" s="286" t="s">
        <v>1106</v>
      </c>
      <c r="F455" s="286" t="s">
        <v>2156</v>
      </c>
      <c r="G455" s="286" t="s">
        <v>1064</v>
      </c>
      <c r="H455" s="286" t="s">
        <v>1064</v>
      </c>
      <c r="I455" s="286" t="s">
        <v>1228</v>
      </c>
      <c r="J455" s="286" t="s">
        <v>53</v>
      </c>
      <c r="K455" s="286" t="s">
        <v>53</v>
      </c>
      <c r="L455" s="286" t="s">
        <v>53</v>
      </c>
      <c r="M455" s="286" t="s">
        <v>53</v>
      </c>
      <c r="N455" s="287">
        <v>8058.64</v>
      </c>
      <c r="O455" s="294">
        <f t="shared" si="7"/>
        <v>45473</v>
      </c>
      <c r="P455" s="286" t="s">
        <v>58</v>
      </c>
    </row>
    <row r="456" spans="1:16" hidden="1" x14ac:dyDescent="0.15">
      <c r="A456" s="286">
        <v>608480</v>
      </c>
      <c r="B456" s="288">
        <v>45450.422222222223</v>
      </c>
      <c r="C456" s="286" t="s">
        <v>2092</v>
      </c>
      <c r="D456" s="286" t="s">
        <v>1105</v>
      </c>
      <c r="E456" s="286" t="s">
        <v>1106</v>
      </c>
      <c r="F456" s="286" t="s">
        <v>2157</v>
      </c>
      <c r="G456" s="286" t="s">
        <v>1064</v>
      </c>
      <c r="H456" s="286" t="s">
        <v>1064</v>
      </c>
      <c r="I456" s="286" t="s">
        <v>1228</v>
      </c>
      <c r="J456" s="286" t="s">
        <v>53</v>
      </c>
      <c r="K456" s="286" t="s">
        <v>53</v>
      </c>
      <c r="L456" s="286" t="s">
        <v>53</v>
      </c>
      <c r="M456" s="286" t="s">
        <v>53</v>
      </c>
      <c r="N456" s="287">
        <v>8058.64</v>
      </c>
      <c r="O456" s="294">
        <f t="shared" si="7"/>
        <v>45473</v>
      </c>
      <c r="P456" s="286" t="s">
        <v>58</v>
      </c>
    </row>
    <row r="457" spans="1:16" hidden="1" x14ac:dyDescent="0.15">
      <c r="A457" s="286">
        <v>614316</v>
      </c>
      <c r="B457" s="288">
        <v>45455.717361111114</v>
      </c>
      <c r="C457" s="286" t="s">
        <v>2092</v>
      </c>
      <c r="D457" s="286" t="s">
        <v>1105</v>
      </c>
      <c r="E457" s="286" t="s">
        <v>1106</v>
      </c>
      <c r="F457" s="286" t="s">
        <v>2167</v>
      </c>
      <c r="G457" s="286" t="s">
        <v>1064</v>
      </c>
      <c r="H457" s="286" t="s">
        <v>1064</v>
      </c>
      <c r="I457" s="286" t="s">
        <v>1199</v>
      </c>
      <c r="J457" s="286" t="s">
        <v>1312</v>
      </c>
      <c r="K457" s="286" t="s">
        <v>53</v>
      </c>
      <c r="L457" s="286" t="s">
        <v>53</v>
      </c>
      <c r="M457" s="286" t="s">
        <v>53</v>
      </c>
      <c r="N457" s="287">
        <v>8058.64</v>
      </c>
      <c r="O457" s="294">
        <f t="shared" si="7"/>
        <v>45473</v>
      </c>
      <c r="P457" s="286" t="s">
        <v>58</v>
      </c>
    </row>
    <row r="458" spans="1:16" hidden="1" x14ac:dyDescent="0.15">
      <c r="A458" s="286">
        <v>646075</v>
      </c>
      <c r="B458" s="288">
        <v>45474.519444444442</v>
      </c>
      <c r="C458" s="286" t="s">
        <v>2111</v>
      </c>
      <c r="D458" s="286" t="s">
        <v>1105</v>
      </c>
      <c r="E458" s="286" t="s">
        <v>1106</v>
      </c>
      <c r="F458" s="286" t="s">
        <v>2137</v>
      </c>
      <c r="G458" s="286" t="s">
        <v>1064</v>
      </c>
      <c r="H458" s="286" t="s">
        <v>1064</v>
      </c>
      <c r="I458" s="286" t="s">
        <v>1199</v>
      </c>
      <c r="J458" s="286" t="s">
        <v>1312</v>
      </c>
      <c r="K458" s="286" t="s">
        <v>53</v>
      </c>
      <c r="L458" s="286" t="s">
        <v>53</v>
      </c>
      <c r="M458" s="286" t="s">
        <v>53</v>
      </c>
      <c r="N458" s="287">
        <v>8058.64</v>
      </c>
      <c r="O458" s="294">
        <f t="shared" si="7"/>
        <v>45504</v>
      </c>
      <c r="P458" s="286" t="s">
        <v>58</v>
      </c>
    </row>
    <row r="459" spans="1:16" hidden="1" x14ac:dyDescent="0.15">
      <c r="A459" s="286">
        <v>646075</v>
      </c>
      <c r="B459" s="288">
        <v>45474.519444444442</v>
      </c>
      <c r="C459" s="286" t="s">
        <v>2111</v>
      </c>
      <c r="D459" s="286" t="s">
        <v>1105</v>
      </c>
      <c r="E459" s="286" t="s">
        <v>1106</v>
      </c>
      <c r="F459" s="286" t="s">
        <v>2137</v>
      </c>
      <c r="G459" s="286" t="s">
        <v>1064</v>
      </c>
      <c r="H459" s="286" t="s">
        <v>1064</v>
      </c>
      <c r="I459" s="286" t="s">
        <v>1228</v>
      </c>
      <c r="J459" s="286" t="s">
        <v>53</v>
      </c>
      <c r="K459" s="286" t="s">
        <v>53</v>
      </c>
      <c r="L459" s="286" t="s">
        <v>53</v>
      </c>
      <c r="M459" s="286" t="s">
        <v>53</v>
      </c>
      <c r="N459" s="287">
        <v>8058.64</v>
      </c>
      <c r="O459" s="294">
        <f t="shared" si="7"/>
        <v>45504</v>
      </c>
      <c r="P459" s="286" t="s">
        <v>58</v>
      </c>
    </row>
    <row r="460" spans="1:16" hidden="1" x14ac:dyDescent="0.15">
      <c r="A460" s="286">
        <v>697810</v>
      </c>
      <c r="B460" s="288">
        <v>45510.366666666669</v>
      </c>
      <c r="C460" s="286" t="s">
        <v>2102</v>
      </c>
      <c r="D460" s="286" t="s">
        <v>1105</v>
      </c>
      <c r="E460" s="286" t="s">
        <v>1106</v>
      </c>
      <c r="F460" s="286" t="s">
        <v>2138</v>
      </c>
      <c r="G460" s="286" t="s">
        <v>1064</v>
      </c>
      <c r="H460" s="286" t="s">
        <v>1064</v>
      </c>
      <c r="I460" s="286" t="s">
        <v>1199</v>
      </c>
      <c r="J460" s="286" t="s">
        <v>1312</v>
      </c>
      <c r="K460" s="286" t="s">
        <v>53</v>
      </c>
      <c r="L460" s="286" t="s">
        <v>53</v>
      </c>
      <c r="M460" s="286" t="s">
        <v>53</v>
      </c>
      <c r="N460" s="287">
        <v>8058.64</v>
      </c>
      <c r="O460" s="294">
        <f t="shared" si="7"/>
        <v>45535</v>
      </c>
      <c r="P460" s="286" t="s">
        <v>58</v>
      </c>
    </row>
    <row r="461" spans="1:16" hidden="1" x14ac:dyDescent="0.15">
      <c r="A461" s="286">
        <v>697810</v>
      </c>
      <c r="B461" s="288">
        <v>45510.366666666669</v>
      </c>
      <c r="C461" s="286" t="s">
        <v>2102</v>
      </c>
      <c r="D461" s="286" t="s">
        <v>1105</v>
      </c>
      <c r="E461" s="286" t="s">
        <v>1106</v>
      </c>
      <c r="F461" s="286" t="s">
        <v>2138</v>
      </c>
      <c r="G461" s="286" t="s">
        <v>1064</v>
      </c>
      <c r="H461" s="286" t="s">
        <v>1064</v>
      </c>
      <c r="I461" s="286" t="s">
        <v>1228</v>
      </c>
      <c r="J461" s="286" t="s">
        <v>53</v>
      </c>
      <c r="K461" s="286" t="s">
        <v>53</v>
      </c>
      <c r="L461" s="286" t="s">
        <v>53</v>
      </c>
      <c r="M461" s="286" t="s">
        <v>53</v>
      </c>
      <c r="N461" s="287">
        <v>8058.64</v>
      </c>
      <c r="O461" s="294">
        <f t="shared" si="7"/>
        <v>45535</v>
      </c>
      <c r="P461" s="286" t="s">
        <v>58</v>
      </c>
    </row>
    <row r="462" spans="1:16" hidden="1" x14ac:dyDescent="0.15">
      <c r="A462" s="286">
        <v>745911</v>
      </c>
      <c r="B462" s="288">
        <v>45538.44027777778</v>
      </c>
      <c r="C462" s="286" t="s">
        <v>2132</v>
      </c>
      <c r="D462" s="286" t="s">
        <v>1105</v>
      </c>
      <c r="E462" s="286" t="s">
        <v>1106</v>
      </c>
      <c r="F462" s="286" t="s">
        <v>2139</v>
      </c>
      <c r="G462" s="286" t="s">
        <v>1064</v>
      </c>
      <c r="H462" s="286" t="s">
        <v>1064</v>
      </c>
      <c r="I462" s="286" t="s">
        <v>1199</v>
      </c>
      <c r="J462" s="286" t="s">
        <v>1312</v>
      </c>
      <c r="K462" s="286" t="s">
        <v>53</v>
      </c>
      <c r="L462" s="286" t="s">
        <v>53</v>
      </c>
      <c r="M462" s="286" t="s">
        <v>53</v>
      </c>
      <c r="N462" s="287">
        <v>8058.63</v>
      </c>
      <c r="O462" s="294">
        <f t="shared" si="7"/>
        <v>45565</v>
      </c>
      <c r="P462" s="286" t="s">
        <v>58</v>
      </c>
    </row>
    <row r="463" spans="1:16" hidden="1" x14ac:dyDescent="0.15">
      <c r="A463" s="286">
        <v>745911</v>
      </c>
      <c r="B463" s="288">
        <v>45538.44027777778</v>
      </c>
      <c r="C463" s="286" t="s">
        <v>2132</v>
      </c>
      <c r="D463" s="286" t="s">
        <v>1105</v>
      </c>
      <c r="E463" s="286" t="s">
        <v>1106</v>
      </c>
      <c r="F463" s="286" t="s">
        <v>2139</v>
      </c>
      <c r="G463" s="286" t="s">
        <v>1064</v>
      </c>
      <c r="H463" s="286" t="s">
        <v>1064</v>
      </c>
      <c r="I463" s="286" t="s">
        <v>1228</v>
      </c>
      <c r="J463" s="286" t="s">
        <v>53</v>
      </c>
      <c r="K463" s="286" t="s">
        <v>53</v>
      </c>
      <c r="L463" s="286" t="s">
        <v>53</v>
      </c>
      <c r="M463" s="286" t="s">
        <v>53</v>
      </c>
      <c r="N463" s="287">
        <v>8058.63</v>
      </c>
      <c r="O463" s="294">
        <f t="shared" si="7"/>
        <v>45565</v>
      </c>
      <c r="P463" s="286" t="s">
        <v>58</v>
      </c>
    </row>
    <row r="464" spans="1:16" hidden="1" x14ac:dyDescent="0.15">
      <c r="A464" s="286">
        <v>578060</v>
      </c>
      <c r="B464" s="288">
        <v>45426.430555555555</v>
      </c>
      <c r="C464" s="286" t="s">
        <v>2096</v>
      </c>
      <c r="D464" s="286" t="s">
        <v>1105</v>
      </c>
      <c r="E464" s="286" t="s">
        <v>1106</v>
      </c>
      <c r="F464" s="286" t="s">
        <v>2115</v>
      </c>
      <c r="G464" s="286" t="s">
        <v>1037</v>
      </c>
      <c r="H464" s="286" t="s">
        <v>1037</v>
      </c>
      <c r="I464" s="286" t="s">
        <v>1121</v>
      </c>
      <c r="J464" s="286" t="s">
        <v>1312</v>
      </c>
      <c r="K464" s="286" t="s">
        <v>917</v>
      </c>
      <c r="L464" s="286" t="s">
        <v>250</v>
      </c>
      <c r="M464" s="286">
        <v>1</v>
      </c>
      <c r="N464" s="287">
        <v>7978</v>
      </c>
      <c r="O464" s="294">
        <f t="shared" si="7"/>
        <v>45443</v>
      </c>
      <c r="P464" s="286" t="s">
        <v>248</v>
      </c>
    </row>
    <row r="465" spans="1:16" hidden="1" x14ac:dyDescent="0.15">
      <c r="A465" s="286">
        <v>578161</v>
      </c>
      <c r="B465" s="288">
        <v>45426.431250000001</v>
      </c>
      <c r="C465" s="286" t="s">
        <v>2116</v>
      </c>
      <c r="D465" s="286" t="s">
        <v>1105</v>
      </c>
      <c r="E465" s="286" t="s">
        <v>1106</v>
      </c>
      <c r="F465" s="286" t="s">
        <v>2275</v>
      </c>
      <c r="G465" s="286" t="s">
        <v>1043</v>
      </c>
      <c r="H465" s="286" t="s">
        <v>1043</v>
      </c>
      <c r="I465" s="286" t="s">
        <v>1112</v>
      </c>
      <c r="J465" s="286" t="s">
        <v>1312</v>
      </c>
      <c r="K465" s="286" t="s">
        <v>2276</v>
      </c>
      <c r="L465" s="286" t="s">
        <v>2277</v>
      </c>
      <c r="M465" s="286">
        <v>1</v>
      </c>
      <c r="N465" s="287">
        <v>7870</v>
      </c>
      <c r="O465" s="294">
        <f t="shared" si="7"/>
        <v>45443</v>
      </c>
      <c r="P465" s="286" t="s">
        <v>175</v>
      </c>
    </row>
    <row r="466" spans="1:16" hidden="1" x14ac:dyDescent="0.15">
      <c r="A466" s="286">
        <v>697810</v>
      </c>
      <c r="B466" s="288">
        <v>45510.366666666669</v>
      </c>
      <c r="C466" s="286" t="s">
        <v>2102</v>
      </c>
      <c r="D466" s="286" t="s">
        <v>1105</v>
      </c>
      <c r="E466" s="286" t="s">
        <v>1106</v>
      </c>
      <c r="F466" s="286" t="s">
        <v>2138</v>
      </c>
      <c r="G466" s="286" t="s">
        <v>1023</v>
      </c>
      <c r="H466" s="286" t="s">
        <v>1023</v>
      </c>
      <c r="I466" s="286" t="s">
        <v>1199</v>
      </c>
      <c r="J466" s="286" t="s">
        <v>1312</v>
      </c>
      <c r="K466" s="286" t="s">
        <v>2214</v>
      </c>
      <c r="L466" s="286" t="s">
        <v>53</v>
      </c>
      <c r="M466" s="286">
        <v>1</v>
      </c>
      <c r="N466" s="287">
        <v>7696.24</v>
      </c>
      <c r="O466" s="294">
        <f t="shared" si="7"/>
        <v>45535</v>
      </c>
      <c r="P466" s="286" t="s">
        <v>58</v>
      </c>
    </row>
    <row r="467" spans="1:16" hidden="1" x14ac:dyDescent="0.15">
      <c r="A467" s="286">
        <v>614216</v>
      </c>
      <c r="B467" s="288">
        <v>45455.716666666667</v>
      </c>
      <c r="C467" s="286" t="s">
        <v>2116</v>
      </c>
      <c r="D467" s="286" t="s">
        <v>1105</v>
      </c>
      <c r="E467" s="286" t="s">
        <v>1106</v>
      </c>
      <c r="F467" s="286" t="s">
        <v>2156</v>
      </c>
      <c r="G467" s="286" t="s">
        <v>1056</v>
      </c>
      <c r="H467" s="286" t="s">
        <v>1056</v>
      </c>
      <c r="I467" s="286" t="s">
        <v>1199</v>
      </c>
      <c r="J467" s="286" t="s">
        <v>1312</v>
      </c>
      <c r="K467" s="286" t="s">
        <v>2214</v>
      </c>
      <c r="L467" s="286" t="s">
        <v>53</v>
      </c>
      <c r="M467" s="286">
        <v>1</v>
      </c>
      <c r="N467" s="287">
        <v>7597</v>
      </c>
      <c r="O467" s="294">
        <f t="shared" si="7"/>
        <v>45473</v>
      </c>
      <c r="P467" s="286" t="s">
        <v>58</v>
      </c>
    </row>
    <row r="468" spans="1:16" hidden="1" x14ac:dyDescent="0.15">
      <c r="A468" s="286">
        <v>614316</v>
      </c>
      <c r="B468" s="288">
        <v>45455.717361111114</v>
      </c>
      <c r="C468" s="286" t="s">
        <v>2092</v>
      </c>
      <c r="D468" s="286" t="s">
        <v>1105</v>
      </c>
      <c r="E468" s="286" t="s">
        <v>1106</v>
      </c>
      <c r="F468" s="286" t="s">
        <v>2167</v>
      </c>
      <c r="G468" s="286" t="s">
        <v>1056</v>
      </c>
      <c r="H468" s="286" t="s">
        <v>1056</v>
      </c>
      <c r="I468" s="286" t="s">
        <v>1199</v>
      </c>
      <c r="J468" s="286" t="s">
        <v>1312</v>
      </c>
      <c r="K468" s="286" t="s">
        <v>2214</v>
      </c>
      <c r="L468" s="286" t="s">
        <v>53</v>
      </c>
      <c r="M468" s="286">
        <v>1</v>
      </c>
      <c r="N468" s="287">
        <v>7597</v>
      </c>
      <c r="O468" s="294">
        <f t="shared" si="7"/>
        <v>45473</v>
      </c>
      <c r="P468" s="286" t="s">
        <v>58</v>
      </c>
    </row>
    <row r="469" spans="1:16" hidden="1" x14ac:dyDescent="0.15">
      <c r="A469" s="286">
        <v>646075</v>
      </c>
      <c r="B469" s="288">
        <v>45474.519444444442</v>
      </c>
      <c r="C469" s="286" t="s">
        <v>2111</v>
      </c>
      <c r="D469" s="286" t="s">
        <v>1105</v>
      </c>
      <c r="E469" s="286" t="s">
        <v>1106</v>
      </c>
      <c r="F469" s="286" t="s">
        <v>2137</v>
      </c>
      <c r="G469" s="286" t="s">
        <v>1056</v>
      </c>
      <c r="H469" s="286" t="s">
        <v>1056</v>
      </c>
      <c r="I469" s="286" t="s">
        <v>1199</v>
      </c>
      <c r="J469" s="286" t="s">
        <v>1312</v>
      </c>
      <c r="K469" s="286" t="s">
        <v>2214</v>
      </c>
      <c r="L469" s="286" t="s">
        <v>53</v>
      </c>
      <c r="M469" s="286">
        <v>1</v>
      </c>
      <c r="N469" s="287">
        <v>7597</v>
      </c>
      <c r="O469" s="294">
        <f t="shared" si="7"/>
        <v>45504</v>
      </c>
      <c r="P469" s="286" t="s">
        <v>58</v>
      </c>
    </row>
    <row r="470" spans="1:16" hidden="1" x14ac:dyDescent="0.15">
      <c r="A470" s="286">
        <v>697810</v>
      </c>
      <c r="B470" s="288">
        <v>45510.366666666669</v>
      </c>
      <c r="C470" s="286" t="s">
        <v>2102</v>
      </c>
      <c r="D470" s="286" t="s">
        <v>1105</v>
      </c>
      <c r="E470" s="286" t="s">
        <v>1106</v>
      </c>
      <c r="F470" s="286" t="s">
        <v>2138</v>
      </c>
      <c r="G470" s="286" t="s">
        <v>1056</v>
      </c>
      <c r="H470" s="286" t="s">
        <v>1056</v>
      </c>
      <c r="I470" s="286" t="s">
        <v>1199</v>
      </c>
      <c r="J470" s="286" t="s">
        <v>1312</v>
      </c>
      <c r="K470" s="286" t="s">
        <v>2214</v>
      </c>
      <c r="L470" s="286" t="s">
        <v>53</v>
      </c>
      <c r="M470" s="286">
        <v>1</v>
      </c>
      <c r="N470" s="287">
        <v>7597</v>
      </c>
      <c r="O470" s="294">
        <f t="shared" si="7"/>
        <v>45535</v>
      </c>
      <c r="P470" s="286" t="s">
        <v>58</v>
      </c>
    </row>
    <row r="471" spans="1:16" hidden="1" x14ac:dyDescent="0.15">
      <c r="A471" s="286">
        <v>745911</v>
      </c>
      <c r="B471" s="288">
        <v>45538.44027777778</v>
      </c>
      <c r="C471" s="286" t="s">
        <v>2132</v>
      </c>
      <c r="D471" s="286" t="s">
        <v>1105</v>
      </c>
      <c r="E471" s="286" t="s">
        <v>1106</v>
      </c>
      <c r="F471" s="286" t="s">
        <v>2139</v>
      </c>
      <c r="G471" s="286" t="s">
        <v>1056</v>
      </c>
      <c r="H471" s="286" t="s">
        <v>1056</v>
      </c>
      <c r="I471" s="286" t="s">
        <v>1199</v>
      </c>
      <c r="J471" s="286" t="s">
        <v>1312</v>
      </c>
      <c r="K471" s="286" t="s">
        <v>2214</v>
      </c>
      <c r="L471" s="286" t="s">
        <v>53</v>
      </c>
      <c r="M471" s="286">
        <v>1</v>
      </c>
      <c r="N471" s="287">
        <v>7597</v>
      </c>
      <c r="O471" s="294">
        <f t="shared" si="7"/>
        <v>45565</v>
      </c>
      <c r="P471" s="286" t="s">
        <v>58</v>
      </c>
    </row>
    <row r="472" spans="1:16" hidden="1" x14ac:dyDescent="0.15">
      <c r="A472" s="286">
        <v>848817</v>
      </c>
      <c r="B472" s="288">
        <v>45607.65902777778</v>
      </c>
      <c r="C472" s="286" t="s">
        <v>2130</v>
      </c>
      <c r="D472" s="286" t="s">
        <v>1105</v>
      </c>
      <c r="E472" s="286" t="s">
        <v>1106</v>
      </c>
      <c r="F472" s="286" t="s">
        <v>2140</v>
      </c>
      <c r="G472" s="286" t="s">
        <v>1056</v>
      </c>
      <c r="H472" s="286" t="s">
        <v>1056</v>
      </c>
      <c r="I472" s="286" t="s">
        <v>1199</v>
      </c>
      <c r="J472" s="286" t="s">
        <v>1312</v>
      </c>
      <c r="K472" s="286" t="s">
        <v>2214</v>
      </c>
      <c r="L472" s="286" t="s">
        <v>53</v>
      </c>
      <c r="M472" s="286">
        <v>1</v>
      </c>
      <c r="N472" s="287">
        <v>7597</v>
      </c>
      <c r="O472" s="294">
        <f t="shared" si="7"/>
        <v>45626</v>
      </c>
      <c r="P472" s="286" t="s">
        <v>58</v>
      </c>
    </row>
    <row r="473" spans="1:16" hidden="1" x14ac:dyDescent="0.15">
      <c r="A473" s="286">
        <v>848917</v>
      </c>
      <c r="B473" s="288">
        <v>45607.660416666666</v>
      </c>
      <c r="C473" s="286" t="s">
        <v>2100</v>
      </c>
      <c r="D473" s="286" t="s">
        <v>1105</v>
      </c>
      <c r="E473" s="286" t="s">
        <v>1106</v>
      </c>
      <c r="F473" s="286" t="s">
        <v>2141</v>
      </c>
      <c r="G473" s="286" t="s">
        <v>1056</v>
      </c>
      <c r="H473" s="286" t="s">
        <v>1056</v>
      </c>
      <c r="I473" s="286" t="s">
        <v>1199</v>
      </c>
      <c r="J473" s="286" t="s">
        <v>1312</v>
      </c>
      <c r="K473" s="286" t="s">
        <v>2214</v>
      </c>
      <c r="L473" s="286" t="s">
        <v>53</v>
      </c>
      <c r="M473" s="286">
        <v>1</v>
      </c>
      <c r="N473" s="287">
        <v>7597</v>
      </c>
      <c r="O473" s="294">
        <f t="shared" si="7"/>
        <v>45626</v>
      </c>
      <c r="P473" s="286" t="s">
        <v>58</v>
      </c>
    </row>
    <row r="474" spans="1:16" hidden="1" x14ac:dyDescent="0.15">
      <c r="A474" s="286">
        <v>874698</v>
      </c>
      <c r="B474" s="288">
        <v>45628.357638888891</v>
      </c>
      <c r="C474" s="286" t="s">
        <v>2098</v>
      </c>
      <c r="D474" s="286" t="s">
        <v>1105</v>
      </c>
      <c r="E474" s="286" t="s">
        <v>1106</v>
      </c>
      <c r="F474" s="286" t="s">
        <v>2142</v>
      </c>
      <c r="G474" s="286" t="s">
        <v>1056</v>
      </c>
      <c r="H474" s="286" t="s">
        <v>1056</v>
      </c>
      <c r="I474" s="286" t="s">
        <v>1199</v>
      </c>
      <c r="J474" s="286" t="s">
        <v>1312</v>
      </c>
      <c r="K474" s="286" t="s">
        <v>2214</v>
      </c>
      <c r="L474" s="286" t="s">
        <v>53</v>
      </c>
      <c r="M474" s="286">
        <v>1</v>
      </c>
      <c r="N474" s="287">
        <v>7597</v>
      </c>
      <c r="O474" s="294">
        <f t="shared" si="7"/>
        <v>45657</v>
      </c>
      <c r="P474" s="286" t="s">
        <v>58</v>
      </c>
    </row>
    <row r="475" spans="1:16" hidden="1" x14ac:dyDescent="0.15">
      <c r="A475" s="286">
        <v>438112</v>
      </c>
      <c r="B475" s="288">
        <v>45293.53402777778</v>
      </c>
      <c r="C475" s="286" t="s">
        <v>2125</v>
      </c>
      <c r="D475" s="286" t="s">
        <v>1105</v>
      </c>
      <c r="E475" s="286" t="s">
        <v>1106</v>
      </c>
      <c r="F475" s="286" t="s">
        <v>2152</v>
      </c>
      <c r="G475" s="286" t="s">
        <v>1073</v>
      </c>
      <c r="H475" s="286" t="s">
        <v>1073</v>
      </c>
      <c r="I475" s="286" t="s">
        <v>1199</v>
      </c>
      <c r="J475" s="286" t="s">
        <v>1312</v>
      </c>
      <c r="K475" s="286" t="s">
        <v>1754</v>
      </c>
      <c r="L475" s="286" t="s">
        <v>672</v>
      </c>
      <c r="M475" s="286">
        <v>1</v>
      </c>
      <c r="N475" s="287">
        <v>7399.13</v>
      </c>
      <c r="O475" s="294">
        <f t="shared" si="7"/>
        <v>45322</v>
      </c>
      <c r="P475" s="286" t="s">
        <v>58</v>
      </c>
    </row>
    <row r="476" spans="1:16" hidden="1" x14ac:dyDescent="0.15">
      <c r="A476" s="286">
        <v>472168</v>
      </c>
      <c r="B476" s="288">
        <v>45331.416666666664</v>
      </c>
      <c r="C476" s="286" t="s">
        <v>2113</v>
      </c>
      <c r="D476" s="286" t="s">
        <v>1105</v>
      </c>
      <c r="E476" s="286" t="s">
        <v>1106</v>
      </c>
      <c r="F476" s="286" t="s">
        <v>2153</v>
      </c>
      <c r="G476" s="286" t="s">
        <v>1073</v>
      </c>
      <c r="H476" s="286" t="s">
        <v>1073</v>
      </c>
      <c r="I476" s="286" t="s">
        <v>1199</v>
      </c>
      <c r="J476" s="286" t="s">
        <v>1312</v>
      </c>
      <c r="K476" s="286" t="s">
        <v>1754</v>
      </c>
      <c r="L476" s="286" t="s">
        <v>672</v>
      </c>
      <c r="M476" s="286">
        <v>1</v>
      </c>
      <c r="N476" s="287">
        <v>7399.13</v>
      </c>
      <c r="O476" s="294">
        <f t="shared" si="7"/>
        <v>45351</v>
      </c>
      <c r="P476" s="286" t="s">
        <v>58</v>
      </c>
    </row>
    <row r="477" spans="1:16" hidden="1" x14ac:dyDescent="0.15">
      <c r="A477" s="286">
        <v>504817</v>
      </c>
      <c r="B477" s="288">
        <v>45359.645138888889</v>
      </c>
      <c r="C477" s="286" t="s">
        <v>2109</v>
      </c>
      <c r="D477" s="286" t="s">
        <v>1105</v>
      </c>
      <c r="E477" s="286" t="s">
        <v>1106</v>
      </c>
      <c r="F477" s="286" t="s">
        <v>2154</v>
      </c>
      <c r="G477" s="286" t="s">
        <v>1073</v>
      </c>
      <c r="H477" s="286" t="s">
        <v>1073</v>
      </c>
      <c r="I477" s="286" t="s">
        <v>1199</v>
      </c>
      <c r="J477" s="286" t="s">
        <v>1312</v>
      </c>
      <c r="K477" s="286" t="s">
        <v>1754</v>
      </c>
      <c r="L477" s="286" t="s">
        <v>672</v>
      </c>
      <c r="M477" s="286">
        <v>1</v>
      </c>
      <c r="N477" s="287">
        <v>7399.13</v>
      </c>
      <c r="O477" s="294">
        <f t="shared" si="7"/>
        <v>45382</v>
      </c>
      <c r="P477" s="286" t="s">
        <v>58</v>
      </c>
    </row>
    <row r="478" spans="1:16" hidden="1" x14ac:dyDescent="0.15">
      <c r="A478" s="286">
        <v>534207</v>
      </c>
      <c r="B478" s="288">
        <v>45385.750694444447</v>
      </c>
      <c r="C478" s="286" t="s">
        <v>2096</v>
      </c>
      <c r="D478" s="286" t="s">
        <v>1105</v>
      </c>
      <c r="E478" s="286" t="s">
        <v>1106</v>
      </c>
      <c r="F478" s="286" t="s">
        <v>2155</v>
      </c>
      <c r="G478" s="286" t="s">
        <v>1073</v>
      </c>
      <c r="H478" s="286" t="s">
        <v>1073</v>
      </c>
      <c r="I478" s="286" t="s">
        <v>1199</v>
      </c>
      <c r="J478" s="286" t="s">
        <v>1312</v>
      </c>
      <c r="K478" s="286" t="s">
        <v>1754</v>
      </c>
      <c r="L478" s="286" t="s">
        <v>672</v>
      </c>
      <c r="M478" s="286">
        <v>1</v>
      </c>
      <c r="N478" s="287">
        <v>7399.13</v>
      </c>
      <c r="O478" s="294">
        <f t="shared" si="7"/>
        <v>45412</v>
      </c>
      <c r="P478" s="286" t="s">
        <v>58</v>
      </c>
    </row>
    <row r="479" spans="1:16" hidden="1" x14ac:dyDescent="0.15">
      <c r="A479" s="286">
        <v>614216</v>
      </c>
      <c r="B479" s="288">
        <v>45455.716666666667</v>
      </c>
      <c r="C479" s="286" t="s">
        <v>2116</v>
      </c>
      <c r="D479" s="286" t="s">
        <v>1105</v>
      </c>
      <c r="E479" s="286" t="s">
        <v>1106</v>
      </c>
      <c r="F479" s="286" t="s">
        <v>2156</v>
      </c>
      <c r="G479" s="286" t="s">
        <v>1073</v>
      </c>
      <c r="H479" s="286" t="s">
        <v>1073</v>
      </c>
      <c r="I479" s="286" t="s">
        <v>1199</v>
      </c>
      <c r="J479" s="286" t="s">
        <v>1312</v>
      </c>
      <c r="K479" s="286" t="s">
        <v>1754</v>
      </c>
      <c r="L479" s="286" t="s">
        <v>672</v>
      </c>
      <c r="M479" s="286">
        <v>1</v>
      </c>
      <c r="N479" s="287">
        <v>7399.13</v>
      </c>
      <c r="O479" s="294">
        <f t="shared" si="7"/>
        <v>45473</v>
      </c>
      <c r="P479" s="286" t="s">
        <v>58</v>
      </c>
    </row>
    <row r="480" spans="1:16" hidden="1" x14ac:dyDescent="0.15">
      <c r="A480" s="286">
        <v>608480</v>
      </c>
      <c r="B480" s="288">
        <v>45450.422222222223</v>
      </c>
      <c r="C480" s="286" t="s">
        <v>2092</v>
      </c>
      <c r="D480" s="286" t="s">
        <v>1105</v>
      </c>
      <c r="E480" s="286" t="s">
        <v>1106</v>
      </c>
      <c r="F480" s="286" t="s">
        <v>2157</v>
      </c>
      <c r="G480" s="286" t="s">
        <v>1073</v>
      </c>
      <c r="H480" s="286" t="s">
        <v>1073</v>
      </c>
      <c r="I480" s="286" t="s">
        <v>1199</v>
      </c>
      <c r="J480" s="286" t="s">
        <v>1312</v>
      </c>
      <c r="K480" s="286" t="s">
        <v>1754</v>
      </c>
      <c r="L480" s="286" t="s">
        <v>672</v>
      </c>
      <c r="M480" s="286">
        <v>1</v>
      </c>
      <c r="N480" s="287">
        <v>7399.12</v>
      </c>
      <c r="O480" s="294">
        <f t="shared" si="7"/>
        <v>45473</v>
      </c>
      <c r="P480" s="286" t="s">
        <v>58</v>
      </c>
    </row>
    <row r="481" spans="1:16" hidden="1" x14ac:dyDescent="0.15">
      <c r="A481" s="286">
        <v>517381</v>
      </c>
      <c r="B481" s="288">
        <v>45370.440972222219</v>
      </c>
      <c r="C481" s="286" t="s">
        <v>2113</v>
      </c>
      <c r="D481" s="286" t="s">
        <v>1105</v>
      </c>
      <c r="E481" s="286" t="s">
        <v>1106</v>
      </c>
      <c r="F481" s="286" t="s">
        <v>2118</v>
      </c>
      <c r="G481" s="286" t="s">
        <v>1019</v>
      </c>
      <c r="H481" s="286" t="s">
        <v>1019</v>
      </c>
      <c r="I481" s="286" t="s">
        <v>1121</v>
      </c>
      <c r="J481" s="286" t="s">
        <v>1312</v>
      </c>
      <c r="K481" s="286" t="s">
        <v>917</v>
      </c>
      <c r="L481" s="286" t="s">
        <v>250</v>
      </c>
      <c r="M481" s="286">
        <v>1</v>
      </c>
      <c r="N481" s="287">
        <v>7379</v>
      </c>
      <c r="O481" s="294">
        <f t="shared" si="7"/>
        <v>45382</v>
      </c>
      <c r="P481" s="286" t="s">
        <v>248</v>
      </c>
    </row>
    <row r="482" spans="1:16" hidden="1" x14ac:dyDescent="0.15">
      <c r="A482" s="286">
        <v>697810</v>
      </c>
      <c r="B482" s="288">
        <v>45510.366666666669</v>
      </c>
      <c r="C482" s="286" t="s">
        <v>2102</v>
      </c>
      <c r="D482" s="286" t="s">
        <v>1105</v>
      </c>
      <c r="E482" s="286" t="s">
        <v>1106</v>
      </c>
      <c r="F482" s="286" t="s">
        <v>2138</v>
      </c>
      <c r="G482" s="286" t="s">
        <v>1007</v>
      </c>
      <c r="H482" s="286" t="s">
        <v>1007</v>
      </c>
      <c r="I482" s="286" t="s">
        <v>1199</v>
      </c>
      <c r="J482" s="286" t="s">
        <v>1312</v>
      </c>
      <c r="K482" s="286" t="s">
        <v>1768</v>
      </c>
      <c r="L482" s="286" t="s">
        <v>672</v>
      </c>
      <c r="M482" s="286">
        <v>1</v>
      </c>
      <c r="N482" s="287">
        <v>7142.07</v>
      </c>
      <c r="O482" s="294">
        <f t="shared" si="7"/>
        <v>45535</v>
      </c>
      <c r="P482" s="286" t="s">
        <v>58</v>
      </c>
    </row>
    <row r="483" spans="1:16" hidden="1" x14ac:dyDescent="0.15">
      <c r="A483" s="286">
        <v>438112</v>
      </c>
      <c r="B483" s="288">
        <v>45293.53402777778</v>
      </c>
      <c r="C483" s="286" t="s">
        <v>2125</v>
      </c>
      <c r="D483" s="286" t="s">
        <v>1105</v>
      </c>
      <c r="E483" s="286" t="s">
        <v>1106</v>
      </c>
      <c r="F483" s="286" t="s">
        <v>2152</v>
      </c>
      <c r="G483" s="286" t="s">
        <v>1010</v>
      </c>
      <c r="H483" s="286" t="s">
        <v>1010</v>
      </c>
      <c r="I483" s="286" t="s">
        <v>1199</v>
      </c>
      <c r="J483" s="286" t="s">
        <v>53</v>
      </c>
      <c r="K483" s="286" t="s">
        <v>53</v>
      </c>
      <c r="L483" s="286" t="s">
        <v>53</v>
      </c>
      <c r="M483" s="286" t="s">
        <v>53</v>
      </c>
      <c r="N483" s="287">
        <v>6899.29</v>
      </c>
      <c r="O483" s="294">
        <f t="shared" si="7"/>
        <v>45322</v>
      </c>
      <c r="P483" s="286" t="s">
        <v>58</v>
      </c>
    </row>
    <row r="484" spans="1:16" hidden="1" x14ac:dyDescent="0.15">
      <c r="A484" s="286">
        <v>472168</v>
      </c>
      <c r="B484" s="288">
        <v>45331.416666666664</v>
      </c>
      <c r="C484" s="286" t="s">
        <v>2113</v>
      </c>
      <c r="D484" s="286" t="s">
        <v>1105</v>
      </c>
      <c r="E484" s="286" t="s">
        <v>1106</v>
      </c>
      <c r="F484" s="286" t="s">
        <v>2153</v>
      </c>
      <c r="G484" s="286" t="s">
        <v>1010</v>
      </c>
      <c r="H484" s="286" t="s">
        <v>1010</v>
      </c>
      <c r="I484" s="286" t="s">
        <v>1199</v>
      </c>
      <c r="J484" s="286" t="s">
        <v>53</v>
      </c>
      <c r="K484" s="286" t="s">
        <v>53</v>
      </c>
      <c r="L484" s="286" t="s">
        <v>53</v>
      </c>
      <c r="M484" s="286" t="s">
        <v>53</v>
      </c>
      <c r="N484" s="287">
        <v>6899.29</v>
      </c>
      <c r="O484" s="294">
        <f t="shared" si="7"/>
        <v>45351</v>
      </c>
      <c r="P484" s="286" t="s">
        <v>58</v>
      </c>
    </row>
    <row r="485" spans="1:16" hidden="1" x14ac:dyDescent="0.15">
      <c r="A485" s="286">
        <v>504817</v>
      </c>
      <c r="B485" s="288">
        <v>45359.645138888889</v>
      </c>
      <c r="C485" s="286" t="s">
        <v>2109</v>
      </c>
      <c r="D485" s="286" t="s">
        <v>1105</v>
      </c>
      <c r="E485" s="286" t="s">
        <v>1106</v>
      </c>
      <c r="F485" s="286" t="s">
        <v>2154</v>
      </c>
      <c r="G485" s="286" t="s">
        <v>1010</v>
      </c>
      <c r="H485" s="286" t="s">
        <v>1010</v>
      </c>
      <c r="I485" s="286" t="s">
        <v>1199</v>
      </c>
      <c r="J485" s="286" t="s">
        <v>53</v>
      </c>
      <c r="K485" s="286" t="s">
        <v>53</v>
      </c>
      <c r="L485" s="286" t="s">
        <v>53</v>
      </c>
      <c r="M485" s="286" t="s">
        <v>53</v>
      </c>
      <c r="N485" s="287">
        <v>6899.29</v>
      </c>
      <c r="O485" s="294">
        <f t="shared" si="7"/>
        <v>45382</v>
      </c>
      <c r="P485" s="286" t="s">
        <v>58</v>
      </c>
    </row>
    <row r="486" spans="1:16" hidden="1" x14ac:dyDescent="0.15">
      <c r="A486" s="286">
        <v>534207</v>
      </c>
      <c r="B486" s="288">
        <v>45385.750694444447</v>
      </c>
      <c r="C486" s="286" t="s">
        <v>2096</v>
      </c>
      <c r="D486" s="286" t="s">
        <v>1105</v>
      </c>
      <c r="E486" s="286" t="s">
        <v>1106</v>
      </c>
      <c r="F486" s="286" t="s">
        <v>2155</v>
      </c>
      <c r="G486" s="286" t="s">
        <v>1010</v>
      </c>
      <c r="H486" s="286" t="s">
        <v>1010</v>
      </c>
      <c r="I486" s="286" t="s">
        <v>1199</v>
      </c>
      <c r="J486" s="286" t="s">
        <v>53</v>
      </c>
      <c r="K486" s="286" t="s">
        <v>53</v>
      </c>
      <c r="L486" s="286" t="s">
        <v>53</v>
      </c>
      <c r="M486" s="286" t="s">
        <v>53</v>
      </c>
      <c r="N486" s="287">
        <v>6899.29</v>
      </c>
      <c r="O486" s="294">
        <f t="shared" si="7"/>
        <v>45412</v>
      </c>
      <c r="P486" s="286" t="s">
        <v>58</v>
      </c>
    </row>
    <row r="487" spans="1:16" hidden="1" x14ac:dyDescent="0.15">
      <c r="A487" s="286">
        <v>614216</v>
      </c>
      <c r="B487" s="288">
        <v>45455.716666666667</v>
      </c>
      <c r="C487" s="286" t="s">
        <v>2116</v>
      </c>
      <c r="D487" s="286" t="s">
        <v>1105</v>
      </c>
      <c r="E487" s="286" t="s">
        <v>1106</v>
      </c>
      <c r="F487" s="286" t="s">
        <v>2156</v>
      </c>
      <c r="G487" s="286" t="s">
        <v>1010</v>
      </c>
      <c r="H487" s="286" t="s">
        <v>1010</v>
      </c>
      <c r="I487" s="286" t="s">
        <v>1199</v>
      </c>
      <c r="J487" s="286" t="s">
        <v>53</v>
      </c>
      <c r="K487" s="286" t="s">
        <v>53</v>
      </c>
      <c r="L487" s="286" t="s">
        <v>53</v>
      </c>
      <c r="M487" s="286" t="s">
        <v>53</v>
      </c>
      <c r="N487" s="287">
        <v>6899.29</v>
      </c>
      <c r="O487" s="294">
        <f t="shared" si="7"/>
        <v>45473</v>
      </c>
      <c r="P487" s="286" t="s">
        <v>58</v>
      </c>
    </row>
    <row r="488" spans="1:16" hidden="1" x14ac:dyDescent="0.15">
      <c r="A488" s="286">
        <v>608480</v>
      </c>
      <c r="B488" s="288">
        <v>45450.422222222223</v>
      </c>
      <c r="C488" s="286" t="s">
        <v>2092</v>
      </c>
      <c r="D488" s="286" t="s">
        <v>1105</v>
      </c>
      <c r="E488" s="286" t="s">
        <v>1106</v>
      </c>
      <c r="F488" s="286" t="s">
        <v>2157</v>
      </c>
      <c r="G488" s="286" t="s">
        <v>1010</v>
      </c>
      <c r="H488" s="286" t="s">
        <v>1010</v>
      </c>
      <c r="I488" s="286" t="s">
        <v>1199</v>
      </c>
      <c r="J488" s="286" t="s">
        <v>53</v>
      </c>
      <c r="K488" s="286" t="s">
        <v>53</v>
      </c>
      <c r="L488" s="286" t="s">
        <v>53</v>
      </c>
      <c r="M488" s="286" t="s">
        <v>53</v>
      </c>
      <c r="N488" s="287">
        <v>6899.29</v>
      </c>
      <c r="O488" s="294">
        <f t="shared" si="7"/>
        <v>45473</v>
      </c>
      <c r="P488" s="286" t="s">
        <v>58</v>
      </c>
    </row>
    <row r="489" spans="1:16" hidden="1" x14ac:dyDescent="0.15">
      <c r="A489" s="286">
        <v>646075</v>
      </c>
      <c r="B489" s="288">
        <v>45474.519444444442</v>
      </c>
      <c r="C489" s="286" t="s">
        <v>2111</v>
      </c>
      <c r="D489" s="286" t="s">
        <v>1105</v>
      </c>
      <c r="E489" s="286" t="s">
        <v>1106</v>
      </c>
      <c r="F489" s="286" t="s">
        <v>2137</v>
      </c>
      <c r="G489" s="286" t="s">
        <v>1010</v>
      </c>
      <c r="H489" s="286" t="s">
        <v>1010</v>
      </c>
      <c r="I489" s="286" t="s">
        <v>1199</v>
      </c>
      <c r="J489" s="286" t="s">
        <v>53</v>
      </c>
      <c r="K489" s="286" t="s">
        <v>53</v>
      </c>
      <c r="L489" s="286" t="s">
        <v>53</v>
      </c>
      <c r="M489" s="286" t="s">
        <v>53</v>
      </c>
      <c r="N489" s="287">
        <v>6899.29</v>
      </c>
      <c r="O489" s="294">
        <f t="shared" si="7"/>
        <v>45504</v>
      </c>
      <c r="P489" s="286" t="s">
        <v>58</v>
      </c>
    </row>
    <row r="490" spans="1:16" hidden="1" x14ac:dyDescent="0.15">
      <c r="A490" s="286">
        <v>697810</v>
      </c>
      <c r="B490" s="288">
        <v>45510.366666666669</v>
      </c>
      <c r="C490" s="286" t="s">
        <v>2102</v>
      </c>
      <c r="D490" s="286" t="s">
        <v>1105</v>
      </c>
      <c r="E490" s="286" t="s">
        <v>1106</v>
      </c>
      <c r="F490" s="286" t="s">
        <v>2138</v>
      </c>
      <c r="G490" s="286" t="s">
        <v>1010</v>
      </c>
      <c r="H490" s="286" t="s">
        <v>1010</v>
      </c>
      <c r="I490" s="286" t="s">
        <v>1199</v>
      </c>
      <c r="J490" s="286" t="s">
        <v>53</v>
      </c>
      <c r="K490" s="286" t="s">
        <v>53</v>
      </c>
      <c r="L490" s="286" t="s">
        <v>53</v>
      </c>
      <c r="M490" s="286" t="s">
        <v>53</v>
      </c>
      <c r="N490" s="287">
        <v>6899.29</v>
      </c>
      <c r="O490" s="294">
        <f t="shared" si="7"/>
        <v>45535</v>
      </c>
      <c r="P490" s="286" t="s">
        <v>58</v>
      </c>
    </row>
    <row r="491" spans="1:16" hidden="1" x14ac:dyDescent="0.15">
      <c r="A491" s="286">
        <v>745911</v>
      </c>
      <c r="B491" s="288">
        <v>45538.44027777778</v>
      </c>
      <c r="C491" s="286" t="s">
        <v>2132</v>
      </c>
      <c r="D491" s="286" t="s">
        <v>1105</v>
      </c>
      <c r="E491" s="286" t="s">
        <v>1106</v>
      </c>
      <c r="F491" s="286" t="s">
        <v>2139</v>
      </c>
      <c r="G491" s="286" t="s">
        <v>1010</v>
      </c>
      <c r="H491" s="286" t="s">
        <v>1010</v>
      </c>
      <c r="I491" s="286" t="s">
        <v>1199</v>
      </c>
      <c r="J491" s="286" t="s">
        <v>53</v>
      </c>
      <c r="K491" s="286" t="s">
        <v>53</v>
      </c>
      <c r="L491" s="286" t="s">
        <v>53</v>
      </c>
      <c r="M491" s="286" t="s">
        <v>53</v>
      </c>
      <c r="N491" s="287">
        <v>6899.25</v>
      </c>
      <c r="O491" s="294">
        <f t="shared" si="7"/>
        <v>45565</v>
      </c>
      <c r="P491" s="286" t="s">
        <v>58</v>
      </c>
    </row>
    <row r="492" spans="1:16" hidden="1" x14ac:dyDescent="0.15">
      <c r="A492" s="286">
        <v>536791</v>
      </c>
      <c r="B492" s="288">
        <v>45390.404166666667</v>
      </c>
      <c r="C492" s="286" t="s">
        <v>2109</v>
      </c>
      <c r="D492" s="286" t="s">
        <v>1105</v>
      </c>
      <c r="E492" s="286" t="s">
        <v>1106</v>
      </c>
      <c r="F492" s="286" t="s">
        <v>2110</v>
      </c>
      <c r="G492" s="286" t="s">
        <v>1004</v>
      </c>
      <c r="H492" s="286" t="s">
        <v>1004</v>
      </c>
      <c r="I492" s="286" t="s">
        <v>1121</v>
      </c>
      <c r="J492" s="286" t="s">
        <v>1312</v>
      </c>
      <c r="K492" s="286" t="s">
        <v>917</v>
      </c>
      <c r="L492" s="286" t="s">
        <v>250</v>
      </c>
      <c r="M492" s="286">
        <v>1</v>
      </c>
      <c r="N492" s="287">
        <v>6863</v>
      </c>
      <c r="O492" s="294">
        <f t="shared" si="7"/>
        <v>45412</v>
      </c>
      <c r="P492" s="286" t="s">
        <v>248</v>
      </c>
    </row>
    <row r="493" spans="1:16" hidden="1" x14ac:dyDescent="0.15">
      <c r="A493" s="286">
        <v>901365</v>
      </c>
      <c r="B493" s="288">
        <v>45646.486805555556</v>
      </c>
      <c r="C493" s="286" t="s">
        <v>2098</v>
      </c>
      <c r="D493" s="286" t="s">
        <v>1105</v>
      </c>
      <c r="E493" s="286" t="s">
        <v>1106</v>
      </c>
      <c r="F493" s="286" t="s">
        <v>2099</v>
      </c>
      <c r="G493" s="286" t="s">
        <v>1022</v>
      </c>
      <c r="H493" s="286" t="s">
        <v>1022</v>
      </c>
      <c r="I493" s="286" t="s">
        <v>1121</v>
      </c>
      <c r="J493" s="286" t="s">
        <v>1312</v>
      </c>
      <c r="K493" s="286" t="s">
        <v>917</v>
      </c>
      <c r="L493" s="286" t="s">
        <v>250</v>
      </c>
      <c r="M493" s="286">
        <v>1</v>
      </c>
      <c r="N493" s="287">
        <v>6826</v>
      </c>
      <c r="O493" s="294">
        <f t="shared" si="7"/>
        <v>45657</v>
      </c>
      <c r="P493" s="286" t="s">
        <v>248</v>
      </c>
    </row>
    <row r="494" spans="1:16" hidden="1" x14ac:dyDescent="0.15">
      <c r="A494" s="286">
        <v>697810</v>
      </c>
      <c r="B494" s="288">
        <v>45510.366666666669</v>
      </c>
      <c r="C494" s="286" t="s">
        <v>2102</v>
      </c>
      <c r="D494" s="286" t="s">
        <v>1105</v>
      </c>
      <c r="E494" s="286" t="s">
        <v>1106</v>
      </c>
      <c r="F494" s="286" t="s">
        <v>2138</v>
      </c>
      <c r="G494" s="286" t="s">
        <v>1023</v>
      </c>
      <c r="H494" s="286" t="s">
        <v>1023</v>
      </c>
      <c r="I494" s="286" t="s">
        <v>1199</v>
      </c>
      <c r="J494" s="286" t="s">
        <v>53</v>
      </c>
      <c r="K494" s="286" t="s">
        <v>53</v>
      </c>
      <c r="L494" s="286" t="s">
        <v>53</v>
      </c>
      <c r="M494" s="286" t="s">
        <v>53</v>
      </c>
      <c r="N494" s="287">
        <v>6790.58</v>
      </c>
      <c r="O494" s="294">
        <f t="shared" si="7"/>
        <v>45535</v>
      </c>
      <c r="P494" s="286" t="s">
        <v>58</v>
      </c>
    </row>
    <row r="495" spans="1:16" hidden="1" x14ac:dyDescent="0.15">
      <c r="A495" s="286">
        <v>509954</v>
      </c>
      <c r="B495" s="288">
        <v>45364.375694444447</v>
      </c>
      <c r="C495" s="286" t="s">
        <v>2113</v>
      </c>
      <c r="D495" s="286" t="s">
        <v>1105</v>
      </c>
      <c r="E495" s="286" t="s">
        <v>1106</v>
      </c>
      <c r="F495" s="286" t="s">
        <v>2172</v>
      </c>
      <c r="G495" s="286" t="s">
        <v>1053</v>
      </c>
      <c r="H495" s="286" t="s">
        <v>1053</v>
      </c>
      <c r="I495" s="286" t="s">
        <v>1235</v>
      </c>
      <c r="J495" s="286" t="s">
        <v>1312</v>
      </c>
      <c r="K495" s="286" t="s">
        <v>2278</v>
      </c>
      <c r="L495" s="286" t="s">
        <v>755</v>
      </c>
      <c r="M495" s="286">
        <v>1</v>
      </c>
      <c r="N495" s="287">
        <v>6511</v>
      </c>
      <c r="O495" s="294">
        <f t="shared" si="7"/>
        <v>45382</v>
      </c>
      <c r="P495" s="286" t="s">
        <v>180</v>
      </c>
    </row>
    <row r="496" spans="1:16" hidden="1" x14ac:dyDescent="0.15">
      <c r="A496" s="286">
        <v>848817</v>
      </c>
      <c r="B496" s="288">
        <v>45607.65902777778</v>
      </c>
      <c r="C496" s="286" t="s">
        <v>2130</v>
      </c>
      <c r="D496" s="286" t="s">
        <v>1105</v>
      </c>
      <c r="E496" s="286" t="s">
        <v>1106</v>
      </c>
      <c r="F496" s="286" t="s">
        <v>2140</v>
      </c>
      <c r="G496" s="286" t="s">
        <v>1064</v>
      </c>
      <c r="H496" s="286" t="s">
        <v>1064</v>
      </c>
      <c r="I496" s="286" t="s">
        <v>1199</v>
      </c>
      <c r="J496" s="286" t="s">
        <v>1312</v>
      </c>
      <c r="K496" s="286" t="s">
        <v>53</v>
      </c>
      <c r="L496" s="286" t="s">
        <v>53</v>
      </c>
      <c r="M496" s="286" t="s">
        <v>53</v>
      </c>
      <c r="N496" s="287">
        <v>6350.69</v>
      </c>
      <c r="O496" s="294">
        <f t="shared" si="7"/>
        <v>45626</v>
      </c>
      <c r="P496" s="286" t="s">
        <v>58</v>
      </c>
    </row>
    <row r="497" spans="1:16" hidden="1" x14ac:dyDescent="0.15">
      <c r="A497" s="286">
        <v>848817</v>
      </c>
      <c r="B497" s="288">
        <v>45607.65902777778</v>
      </c>
      <c r="C497" s="286" t="s">
        <v>2130</v>
      </c>
      <c r="D497" s="286" t="s">
        <v>1105</v>
      </c>
      <c r="E497" s="286" t="s">
        <v>1106</v>
      </c>
      <c r="F497" s="286" t="s">
        <v>2140</v>
      </c>
      <c r="G497" s="286" t="s">
        <v>1064</v>
      </c>
      <c r="H497" s="286" t="s">
        <v>1064</v>
      </c>
      <c r="I497" s="286" t="s">
        <v>1228</v>
      </c>
      <c r="J497" s="286" t="s">
        <v>53</v>
      </c>
      <c r="K497" s="286" t="s">
        <v>53</v>
      </c>
      <c r="L497" s="286" t="s">
        <v>53</v>
      </c>
      <c r="M497" s="286" t="s">
        <v>53</v>
      </c>
      <c r="N497" s="287">
        <v>6350.69</v>
      </c>
      <c r="O497" s="294">
        <f t="shared" si="7"/>
        <v>45626</v>
      </c>
      <c r="P497" s="286" t="s">
        <v>58</v>
      </c>
    </row>
    <row r="498" spans="1:16" hidden="1" x14ac:dyDescent="0.15">
      <c r="A498" s="286">
        <v>874698</v>
      </c>
      <c r="B498" s="288">
        <v>45628.357638888891</v>
      </c>
      <c r="C498" s="286" t="s">
        <v>2098</v>
      </c>
      <c r="D498" s="286" t="s">
        <v>1105</v>
      </c>
      <c r="E498" s="286" t="s">
        <v>1106</v>
      </c>
      <c r="F498" s="286" t="s">
        <v>2142</v>
      </c>
      <c r="G498" s="286" t="s">
        <v>1017</v>
      </c>
      <c r="H498" s="286" t="s">
        <v>1017</v>
      </c>
      <c r="I498" s="286" t="s">
        <v>1228</v>
      </c>
      <c r="J498" s="286" t="s">
        <v>1312</v>
      </c>
      <c r="K498" s="286" t="s">
        <v>1770</v>
      </c>
      <c r="L498" s="286" t="s">
        <v>672</v>
      </c>
      <c r="M498" s="286">
        <v>2</v>
      </c>
      <c r="N498" s="287">
        <v>6348.87</v>
      </c>
      <c r="O498" s="294">
        <f t="shared" si="7"/>
        <v>45657</v>
      </c>
      <c r="P498" s="286" t="s">
        <v>58</v>
      </c>
    </row>
    <row r="499" spans="1:16" hidden="1" x14ac:dyDescent="0.15">
      <c r="A499" s="286">
        <v>438112</v>
      </c>
      <c r="B499" s="288">
        <v>45293.53402777778</v>
      </c>
      <c r="C499" s="286" t="s">
        <v>2125</v>
      </c>
      <c r="D499" s="286" t="s">
        <v>1105</v>
      </c>
      <c r="E499" s="286" t="s">
        <v>1106</v>
      </c>
      <c r="F499" s="286" t="s">
        <v>2152</v>
      </c>
      <c r="G499" s="286" t="s">
        <v>1017</v>
      </c>
      <c r="H499" s="286" t="s">
        <v>1017</v>
      </c>
      <c r="I499" s="286" t="s">
        <v>1228</v>
      </c>
      <c r="J499" s="286" t="s">
        <v>1312</v>
      </c>
      <c r="K499" s="286" t="s">
        <v>1770</v>
      </c>
      <c r="L499" s="286" t="s">
        <v>672</v>
      </c>
      <c r="M499" s="286">
        <v>2</v>
      </c>
      <c r="N499" s="287">
        <v>6348.83</v>
      </c>
      <c r="O499" s="294">
        <f t="shared" si="7"/>
        <v>45322</v>
      </c>
      <c r="P499" s="286" t="s">
        <v>58</v>
      </c>
    </row>
    <row r="500" spans="1:16" hidden="1" x14ac:dyDescent="0.15">
      <c r="A500" s="286">
        <v>472168</v>
      </c>
      <c r="B500" s="288">
        <v>45331.416666666664</v>
      </c>
      <c r="C500" s="286" t="s">
        <v>2113</v>
      </c>
      <c r="D500" s="286" t="s">
        <v>1105</v>
      </c>
      <c r="E500" s="286" t="s">
        <v>1106</v>
      </c>
      <c r="F500" s="286" t="s">
        <v>2153</v>
      </c>
      <c r="G500" s="286" t="s">
        <v>1017</v>
      </c>
      <c r="H500" s="286" t="s">
        <v>1017</v>
      </c>
      <c r="I500" s="286" t="s">
        <v>1228</v>
      </c>
      <c r="J500" s="286" t="s">
        <v>1312</v>
      </c>
      <c r="K500" s="286" t="s">
        <v>1770</v>
      </c>
      <c r="L500" s="286" t="s">
        <v>672</v>
      </c>
      <c r="M500" s="286">
        <v>2</v>
      </c>
      <c r="N500" s="287">
        <v>6348.83</v>
      </c>
      <c r="O500" s="294">
        <f t="shared" si="7"/>
        <v>45351</v>
      </c>
      <c r="P500" s="286" t="s">
        <v>58</v>
      </c>
    </row>
    <row r="501" spans="1:16" hidden="1" x14ac:dyDescent="0.15">
      <c r="A501" s="286">
        <v>504817</v>
      </c>
      <c r="B501" s="288">
        <v>45359.645138888889</v>
      </c>
      <c r="C501" s="286" t="s">
        <v>2109</v>
      </c>
      <c r="D501" s="286" t="s">
        <v>1105</v>
      </c>
      <c r="E501" s="286" t="s">
        <v>1106</v>
      </c>
      <c r="F501" s="286" t="s">
        <v>2154</v>
      </c>
      <c r="G501" s="286" t="s">
        <v>1017</v>
      </c>
      <c r="H501" s="286" t="s">
        <v>1017</v>
      </c>
      <c r="I501" s="286" t="s">
        <v>1228</v>
      </c>
      <c r="J501" s="286" t="s">
        <v>1312</v>
      </c>
      <c r="K501" s="286" t="s">
        <v>1770</v>
      </c>
      <c r="L501" s="286" t="s">
        <v>672</v>
      </c>
      <c r="M501" s="286">
        <v>2</v>
      </c>
      <c r="N501" s="287">
        <v>6348.83</v>
      </c>
      <c r="O501" s="294">
        <f t="shared" si="7"/>
        <v>45382</v>
      </c>
      <c r="P501" s="286" t="s">
        <v>58</v>
      </c>
    </row>
    <row r="502" spans="1:16" hidden="1" x14ac:dyDescent="0.15">
      <c r="A502" s="286">
        <v>534207</v>
      </c>
      <c r="B502" s="288">
        <v>45385.750694444447</v>
      </c>
      <c r="C502" s="286" t="s">
        <v>2096</v>
      </c>
      <c r="D502" s="286" t="s">
        <v>1105</v>
      </c>
      <c r="E502" s="286" t="s">
        <v>1106</v>
      </c>
      <c r="F502" s="286" t="s">
        <v>2155</v>
      </c>
      <c r="G502" s="286" t="s">
        <v>1017</v>
      </c>
      <c r="H502" s="286" t="s">
        <v>1017</v>
      </c>
      <c r="I502" s="286" t="s">
        <v>1228</v>
      </c>
      <c r="J502" s="286" t="s">
        <v>1312</v>
      </c>
      <c r="K502" s="286" t="s">
        <v>1770</v>
      </c>
      <c r="L502" s="286" t="s">
        <v>672</v>
      </c>
      <c r="M502" s="286">
        <v>2</v>
      </c>
      <c r="N502" s="287">
        <v>6348.83</v>
      </c>
      <c r="O502" s="294">
        <f t="shared" si="7"/>
        <v>45412</v>
      </c>
      <c r="P502" s="286" t="s">
        <v>58</v>
      </c>
    </row>
    <row r="503" spans="1:16" hidden="1" x14ac:dyDescent="0.15">
      <c r="A503" s="286">
        <v>614216</v>
      </c>
      <c r="B503" s="288">
        <v>45455.716666666667</v>
      </c>
      <c r="C503" s="286" t="s">
        <v>2116</v>
      </c>
      <c r="D503" s="286" t="s">
        <v>1105</v>
      </c>
      <c r="E503" s="286" t="s">
        <v>1106</v>
      </c>
      <c r="F503" s="286" t="s">
        <v>2156</v>
      </c>
      <c r="G503" s="286" t="s">
        <v>1017</v>
      </c>
      <c r="H503" s="286" t="s">
        <v>1017</v>
      </c>
      <c r="I503" s="286" t="s">
        <v>1228</v>
      </c>
      <c r="J503" s="286" t="s">
        <v>1312</v>
      </c>
      <c r="K503" s="286" t="s">
        <v>1770</v>
      </c>
      <c r="L503" s="286" t="s">
        <v>672</v>
      </c>
      <c r="M503" s="286">
        <v>2</v>
      </c>
      <c r="N503" s="287">
        <v>6348.83</v>
      </c>
      <c r="O503" s="294">
        <f t="shared" si="7"/>
        <v>45473</v>
      </c>
      <c r="P503" s="286" t="s">
        <v>58</v>
      </c>
    </row>
    <row r="504" spans="1:16" hidden="1" x14ac:dyDescent="0.15">
      <c r="A504" s="286">
        <v>614316</v>
      </c>
      <c r="B504" s="288">
        <v>45455.717361111114</v>
      </c>
      <c r="C504" s="286" t="s">
        <v>2092</v>
      </c>
      <c r="D504" s="286" t="s">
        <v>1105</v>
      </c>
      <c r="E504" s="286" t="s">
        <v>1106</v>
      </c>
      <c r="F504" s="286" t="s">
        <v>2167</v>
      </c>
      <c r="G504" s="286" t="s">
        <v>1017</v>
      </c>
      <c r="H504" s="286" t="s">
        <v>1017</v>
      </c>
      <c r="I504" s="286" t="s">
        <v>1228</v>
      </c>
      <c r="J504" s="286" t="s">
        <v>1312</v>
      </c>
      <c r="K504" s="286" t="s">
        <v>1770</v>
      </c>
      <c r="L504" s="286" t="s">
        <v>672</v>
      </c>
      <c r="M504" s="286">
        <v>2</v>
      </c>
      <c r="N504" s="287">
        <v>6348.83</v>
      </c>
      <c r="O504" s="294">
        <f t="shared" si="7"/>
        <v>45473</v>
      </c>
      <c r="P504" s="286" t="s">
        <v>58</v>
      </c>
    </row>
    <row r="505" spans="1:16" hidden="1" x14ac:dyDescent="0.15">
      <c r="A505" s="286">
        <v>646075</v>
      </c>
      <c r="B505" s="288">
        <v>45474.519444444442</v>
      </c>
      <c r="C505" s="286" t="s">
        <v>2111</v>
      </c>
      <c r="D505" s="286" t="s">
        <v>1105</v>
      </c>
      <c r="E505" s="286" t="s">
        <v>1106</v>
      </c>
      <c r="F505" s="286" t="s">
        <v>2137</v>
      </c>
      <c r="G505" s="286" t="s">
        <v>1017</v>
      </c>
      <c r="H505" s="286" t="s">
        <v>1017</v>
      </c>
      <c r="I505" s="286" t="s">
        <v>1228</v>
      </c>
      <c r="J505" s="286" t="s">
        <v>1312</v>
      </c>
      <c r="K505" s="286" t="s">
        <v>1770</v>
      </c>
      <c r="L505" s="286" t="s">
        <v>672</v>
      </c>
      <c r="M505" s="286">
        <v>2</v>
      </c>
      <c r="N505" s="287">
        <v>6348.83</v>
      </c>
      <c r="O505" s="294">
        <f t="shared" si="7"/>
        <v>45504</v>
      </c>
      <c r="P505" s="286" t="s">
        <v>58</v>
      </c>
    </row>
    <row r="506" spans="1:16" hidden="1" x14ac:dyDescent="0.15">
      <c r="A506" s="286">
        <v>697810</v>
      </c>
      <c r="B506" s="288">
        <v>45510.366666666669</v>
      </c>
      <c r="C506" s="286" t="s">
        <v>2102</v>
      </c>
      <c r="D506" s="286" t="s">
        <v>1105</v>
      </c>
      <c r="E506" s="286" t="s">
        <v>1106</v>
      </c>
      <c r="F506" s="286" t="s">
        <v>2138</v>
      </c>
      <c r="G506" s="286" t="s">
        <v>1017</v>
      </c>
      <c r="H506" s="286" t="s">
        <v>1017</v>
      </c>
      <c r="I506" s="286" t="s">
        <v>1228</v>
      </c>
      <c r="J506" s="286" t="s">
        <v>1312</v>
      </c>
      <c r="K506" s="286" t="s">
        <v>1770</v>
      </c>
      <c r="L506" s="286" t="s">
        <v>672</v>
      </c>
      <c r="M506" s="286">
        <v>2</v>
      </c>
      <c r="N506" s="287">
        <v>6348.83</v>
      </c>
      <c r="O506" s="294">
        <f t="shared" si="7"/>
        <v>45535</v>
      </c>
      <c r="P506" s="286" t="s">
        <v>58</v>
      </c>
    </row>
    <row r="507" spans="1:16" hidden="1" x14ac:dyDescent="0.15">
      <c r="A507" s="286">
        <v>745911</v>
      </c>
      <c r="B507" s="288">
        <v>45538.44027777778</v>
      </c>
      <c r="C507" s="286" t="s">
        <v>2132</v>
      </c>
      <c r="D507" s="286" t="s">
        <v>1105</v>
      </c>
      <c r="E507" s="286" t="s">
        <v>1106</v>
      </c>
      <c r="F507" s="286" t="s">
        <v>2139</v>
      </c>
      <c r="G507" s="286" t="s">
        <v>1017</v>
      </c>
      <c r="H507" s="286" t="s">
        <v>1017</v>
      </c>
      <c r="I507" s="286" t="s">
        <v>1228</v>
      </c>
      <c r="J507" s="286" t="s">
        <v>1312</v>
      </c>
      <c r="K507" s="286" t="s">
        <v>1770</v>
      </c>
      <c r="L507" s="286" t="s">
        <v>672</v>
      </c>
      <c r="M507" s="286">
        <v>2</v>
      </c>
      <c r="N507" s="287">
        <v>6348.83</v>
      </c>
      <c r="O507" s="294">
        <f t="shared" si="7"/>
        <v>45565</v>
      </c>
      <c r="P507" s="286" t="s">
        <v>58</v>
      </c>
    </row>
    <row r="508" spans="1:16" hidden="1" x14ac:dyDescent="0.15">
      <c r="A508" s="286">
        <v>848817</v>
      </c>
      <c r="B508" s="288">
        <v>45607.65902777778</v>
      </c>
      <c r="C508" s="286" t="s">
        <v>2130</v>
      </c>
      <c r="D508" s="286" t="s">
        <v>1105</v>
      </c>
      <c r="E508" s="286" t="s">
        <v>1106</v>
      </c>
      <c r="F508" s="286" t="s">
        <v>2140</v>
      </c>
      <c r="G508" s="286" t="s">
        <v>1017</v>
      </c>
      <c r="H508" s="286" t="s">
        <v>1017</v>
      </c>
      <c r="I508" s="286" t="s">
        <v>1228</v>
      </c>
      <c r="J508" s="286" t="s">
        <v>1312</v>
      </c>
      <c r="K508" s="286" t="s">
        <v>1770</v>
      </c>
      <c r="L508" s="286" t="s">
        <v>672</v>
      </c>
      <c r="M508" s="286">
        <v>2</v>
      </c>
      <c r="N508" s="287">
        <v>6348.83</v>
      </c>
      <c r="O508" s="294">
        <f t="shared" si="7"/>
        <v>45626</v>
      </c>
      <c r="P508" s="286" t="s">
        <v>58</v>
      </c>
    </row>
    <row r="509" spans="1:16" hidden="1" x14ac:dyDescent="0.15">
      <c r="A509" s="286">
        <v>848917</v>
      </c>
      <c r="B509" s="288">
        <v>45607.660416666666</v>
      </c>
      <c r="C509" s="286" t="s">
        <v>2100</v>
      </c>
      <c r="D509" s="286" t="s">
        <v>1105</v>
      </c>
      <c r="E509" s="286" t="s">
        <v>1106</v>
      </c>
      <c r="F509" s="286" t="s">
        <v>2141</v>
      </c>
      <c r="G509" s="286" t="s">
        <v>1017</v>
      </c>
      <c r="H509" s="286" t="s">
        <v>1017</v>
      </c>
      <c r="I509" s="286" t="s">
        <v>1228</v>
      </c>
      <c r="J509" s="286" t="s">
        <v>1312</v>
      </c>
      <c r="K509" s="286" t="s">
        <v>1770</v>
      </c>
      <c r="L509" s="286" t="s">
        <v>672</v>
      </c>
      <c r="M509" s="286">
        <v>2</v>
      </c>
      <c r="N509" s="287">
        <v>6348.83</v>
      </c>
      <c r="O509" s="294">
        <f t="shared" si="7"/>
        <v>45626</v>
      </c>
      <c r="P509" s="286" t="s">
        <v>58</v>
      </c>
    </row>
    <row r="510" spans="1:16" hidden="1" x14ac:dyDescent="0.15">
      <c r="A510" s="286">
        <v>556087</v>
      </c>
      <c r="B510" s="288">
        <v>45406.408333333333</v>
      </c>
      <c r="C510" s="286" t="s">
        <v>2096</v>
      </c>
      <c r="D510" s="286" t="s">
        <v>1105</v>
      </c>
      <c r="E510" s="286" t="s">
        <v>1106</v>
      </c>
      <c r="F510" s="286" t="s">
        <v>2105</v>
      </c>
      <c r="G510" s="286" t="s">
        <v>1059</v>
      </c>
      <c r="H510" s="286" t="s">
        <v>1059</v>
      </c>
      <c r="I510" s="286" t="s">
        <v>1121</v>
      </c>
      <c r="J510" s="286" t="s">
        <v>1312</v>
      </c>
      <c r="K510" s="286" t="s">
        <v>917</v>
      </c>
      <c r="L510" s="286" t="s">
        <v>250</v>
      </c>
      <c r="M510" s="286">
        <v>1</v>
      </c>
      <c r="N510" s="287">
        <v>6333</v>
      </c>
      <c r="O510" s="294">
        <f t="shared" si="7"/>
        <v>45412</v>
      </c>
      <c r="P510" s="286" t="s">
        <v>248</v>
      </c>
    </row>
    <row r="511" spans="1:16" hidden="1" x14ac:dyDescent="0.15">
      <c r="A511" s="286">
        <v>534207</v>
      </c>
      <c r="B511" s="288">
        <v>45385.750694444447</v>
      </c>
      <c r="C511" s="286" t="s">
        <v>2096</v>
      </c>
      <c r="D511" s="286" t="s">
        <v>1105</v>
      </c>
      <c r="E511" s="286" t="s">
        <v>1106</v>
      </c>
      <c r="F511" s="286" t="s">
        <v>2155</v>
      </c>
      <c r="G511" s="286" t="s">
        <v>1056</v>
      </c>
      <c r="H511" s="286" t="s">
        <v>1056</v>
      </c>
      <c r="I511" s="286" t="s">
        <v>1199</v>
      </c>
      <c r="J511" s="286" t="s">
        <v>53</v>
      </c>
      <c r="K511" s="286" t="s">
        <v>53</v>
      </c>
      <c r="L511" s="286" t="s">
        <v>53</v>
      </c>
      <c r="M511" s="286" t="s">
        <v>53</v>
      </c>
      <c r="N511" s="287">
        <v>6239.8</v>
      </c>
      <c r="O511" s="294">
        <f t="shared" si="7"/>
        <v>45412</v>
      </c>
      <c r="P511" s="286" t="s">
        <v>58</v>
      </c>
    </row>
    <row r="512" spans="1:16" hidden="1" x14ac:dyDescent="0.15">
      <c r="A512" s="286">
        <v>618592</v>
      </c>
      <c r="B512" s="288">
        <v>45457.646527777775</v>
      </c>
      <c r="C512" s="286" t="s">
        <v>2116</v>
      </c>
      <c r="D512" s="286" t="s">
        <v>1105</v>
      </c>
      <c r="E512" s="286" t="s">
        <v>1106</v>
      </c>
      <c r="F512" s="286" t="s">
        <v>2117</v>
      </c>
      <c r="G512" s="286" t="s">
        <v>1080</v>
      </c>
      <c r="H512" s="286" t="s">
        <v>1080</v>
      </c>
      <c r="I512" s="286" t="s">
        <v>1301</v>
      </c>
      <c r="J512" s="286" t="s">
        <v>1312</v>
      </c>
      <c r="K512" s="286" t="s">
        <v>56</v>
      </c>
      <c r="L512" s="286" t="s">
        <v>71</v>
      </c>
      <c r="M512" s="286">
        <v>1</v>
      </c>
      <c r="N512" s="287">
        <v>6224</v>
      </c>
      <c r="O512" s="294">
        <f t="shared" si="7"/>
        <v>45473</v>
      </c>
      <c r="P512" s="286" t="s">
        <v>55</v>
      </c>
    </row>
    <row r="513" spans="1:16" hidden="1" x14ac:dyDescent="0.15">
      <c r="A513" s="286">
        <v>559626</v>
      </c>
      <c r="B513" s="288">
        <v>45408.642361111109</v>
      </c>
      <c r="C513" s="286" t="s">
        <v>2109</v>
      </c>
      <c r="D513" s="286" t="s">
        <v>1105</v>
      </c>
      <c r="E513" s="286" t="s">
        <v>1106</v>
      </c>
      <c r="F513" s="286" t="s">
        <v>2231</v>
      </c>
      <c r="G513" s="286" t="s">
        <v>1089</v>
      </c>
      <c r="H513" s="286" t="s">
        <v>1089</v>
      </c>
      <c r="I513" s="286" t="s">
        <v>1199</v>
      </c>
      <c r="J513" s="286" t="s">
        <v>1312</v>
      </c>
      <c r="K513" s="286" t="s">
        <v>53</v>
      </c>
      <c r="L513" s="286" t="s">
        <v>53</v>
      </c>
      <c r="M513" s="286" t="s">
        <v>53</v>
      </c>
      <c r="N513" s="287">
        <v>6212.32</v>
      </c>
      <c r="O513" s="294">
        <f t="shared" si="7"/>
        <v>45412</v>
      </c>
      <c r="P513" s="286" t="s">
        <v>58</v>
      </c>
    </row>
    <row r="514" spans="1:16" hidden="1" x14ac:dyDescent="0.15">
      <c r="A514" s="286">
        <v>577185</v>
      </c>
      <c r="B514" s="288">
        <v>45425.680555555555</v>
      </c>
      <c r="C514" s="286" t="s">
        <v>2096</v>
      </c>
      <c r="D514" s="286" t="s">
        <v>1105</v>
      </c>
      <c r="E514" s="286" t="s">
        <v>1106</v>
      </c>
      <c r="F514" s="286" t="s">
        <v>2232</v>
      </c>
      <c r="G514" s="286" t="s">
        <v>1089</v>
      </c>
      <c r="H514" s="286" t="s">
        <v>1089</v>
      </c>
      <c r="I514" s="286" t="s">
        <v>1199</v>
      </c>
      <c r="J514" s="286" t="s">
        <v>53</v>
      </c>
      <c r="K514" s="286" t="s">
        <v>53</v>
      </c>
      <c r="L514" s="286" t="s">
        <v>53</v>
      </c>
      <c r="M514" s="286" t="s">
        <v>53</v>
      </c>
      <c r="N514" s="287">
        <v>6212.32</v>
      </c>
      <c r="O514" s="294">
        <f t="shared" si="7"/>
        <v>45443</v>
      </c>
      <c r="P514" s="286" t="s">
        <v>58</v>
      </c>
    </row>
    <row r="515" spans="1:16" hidden="1" x14ac:dyDescent="0.15">
      <c r="A515" s="286">
        <v>618175</v>
      </c>
      <c r="B515" s="288">
        <v>45457.602083333331</v>
      </c>
      <c r="C515" s="286" t="s">
        <v>2116</v>
      </c>
      <c r="D515" s="286" t="s">
        <v>1105</v>
      </c>
      <c r="E515" s="286" t="s">
        <v>1106</v>
      </c>
      <c r="F515" s="286" t="s">
        <v>2158</v>
      </c>
      <c r="G515" s="286" t="s">
        <v>1089</v>
      </c>
      <c r="H515" s="286" t="s">
        <v>1089</v>
      </c>
      <c r="I515" s="286" t="s">
        <v>1199</v>
      </c>
      <c r="J515" s="286" t="s">
        <v>1312</v>
      </c>
      <c r="K515" s="286" t="s">
        <v>53</v>
      </c>
      <c r="L515" s="286" t="s">
        <v>53</v>
      </c>
      <c r="M515" s="286" t="s">
        <v>53</v>
      </c>
      <c r="N515" s="287">
        <v>6212.32</v>
      </c>
      <c r="O515" s="294">
        <f t="shared" si="7"/>
        <v>45473</v>
      </c>
      <c r="P515" s="286" t="s">
        <v>58</v>
      </c>
    </row>
    <row r="516" spans="1:16" hidden="1" x14ac:dyDescent="0.15">
      <c r="A516" s="286">
        <v>659936</v>
      </c>
      <c r="B516" s="288">
        <v>45484.529861111114</v>
      </c>
      <c r="C516" s="286" t="s">
        <v>2092</v>
      </c>
      <c r="D516" s="286" t="s">
        <v>1105</v>
      </c>
      <c r="E516" s="286" t="s">
        <v>1106</v>
      </c>
      <c r="F516" s="286" t="s">
        <v>2159</v>
      </c>
      <c r="G516" s="286" t="s">
        <v>1089</v>
      </c>
      <c r="H516" s="286" t="s">
        <v>1089</v>
      </c>
      <c r="I516" s="286" t="s">
        <v>1199</v>
      </c>
      <c r="J516" s="286" t="s">
        <v>1312</v>
      </c>
      <c r="K516" s="286" t="s">
        <v>53</v>
      </c>
      <c r="L516" s="286" t="s">
        <v>53</v>
      </c>
      <c r="M516" s="286" t="s">
        <v>53</v>
      </c>
      <c r="N516" s="287">
        <v>6212.32</v>
      </c>
      <c r="O516" s="294">
        <f t="shared" ref="O516:O579" si="8">EOMONTH(B516,0)</f>
        <v>45504</v>
      </c>
      <c r="P516" s="286" t="s">
        <v>58</v>
      </c>
    </row>
    <row r="517" spans="1:16" hidden="1" x14ac:dyDescent="0.15">
      <c r="A517" s="286">
        <v>712645</v>
      </c>
      <c r="B517" s="288">
        <v>45517.640972222223</v>
      </c>
      <c r="C517" s="286" t="s">
        <v>2111</v>
      </c>
      <c r="D517" s="286" t="s">
        <v>1105</v>
      </c>
      <c r="E517" s="286" t="s">
        <v>1106</v>
      </c>
      <c r="F517" s="286" t="s">
        <v>2160</v>
      </c>
      <c r="G517" s="286" t="s">
        <v>1089</v>
      </c>
      <c r="H517" s="286" t="s">
        <v>1089</v>
      </c>
      <c r="I517" s="286" t="s">
        <v>1199</v>
      </c>
      <c r="J517" s="286" t="s">
        <v>1312</v>
      </c>
      <c r="K517" s="286" t="s">
        <v>53</v>
      </c>
      <c r="L517" s="286" t="s">
        <v>53</v>
      </c>
      <c r="M517" s="286" t="s">
        <v>53</v>
      </c>
      <c r="N517" s="287">
        <v>6212.32</v>
      </c>
      <c r="O517" s="294">
        <f t="shared" si="8"/>
        <v>45535</v>
      </c>
      <c r="P517" s="286" t="s">
        <v>58</v>
      </c>
    </row>
    <row r="518" spans="1:16" hidden="1" x14ac:dyDescent="0.15">
      <c r="A518" s="286">
        <v>741366</v>
      </c>
      <c r="B518" s="288">
        <v>45532.655555555553</v>
      </c>
      <c r="C518" s="286" t="s">
        <v>2102</v>
      </c>
      <c r="D518" s="286" t="s">
        <v>1105</v>
      </c>
      <c r="E518" s="286" t="s">
        <v>1106</v>
      </c>
      <c r="F518" s="286" t="s">
        <v>2161</v>
      </c>
      <c r="G518" s="286" t="s">
        <v>1089</v>
      </c>
      <c r="H518" s="286" t="s">
        <v>1089</v>
      </c>
      <c r="I518" s="286" t="s">
        <v>1199</v>
      </c>
      <c r="J518" s="286" t="s">
        <v>1312</v>
      </c>
      <c r="K518" s="286" t="s">
        <v>53</v>
      </c>
      <c r="L518" s="286" t="s">
        <v>53</v>
      </c>
      <c r="M518" s="286" t="s">
        <v>53</v>
      </c>
      <c r="N518" s="287">
        <v>6212.32</v>
      </c>
      <c r="O518" s="294">
        <f t="shared" si="8"/>
        <v>45535</v>
      </c>
      <c r="P518" s="286" t="s">
        <v>58</v>
      </c>
    </row>
    <row r="519" spans="1:16" hidden="1" x14ac:dyDescent="0.15">
      <c r="A519" s="286">
        <v>785030</v>
      </c>
      <c r="B519" s="288">
        <v>45559.581944444442</v>
      </c>
      <c r="C519" s="286" t="s">
        <v>2132</v>
      </c>
      <c r="D519" s="286" t="s">
        <v>1105</v>
      </c>
      <c r="E519" s="286" t="s">
        <v>1106</v>
      </c>
      <c r="F519" s="286" t="s">
        <v>2162</v>
      </c>
      <c r="G519" s="286" t="s">
        <v>1089</v>
      </c>
      <c r="H519" s="286" t="s">
        <v>1089</v>
      </c>
      <c r="I519" s="286" t="s">
        <v>1199</v>
      </c>
      <c r="J519" s="286" t="s">
        <v>1312</v>
      </c>
      <c r="K519" s="286" t="s">
        <v>53</v>
      </c>
      <c r="L519" s="286" t="s">
        <v>53</v>
      </c>
      <c r="M519" s="286" t="s">
        <v>53</v>
      </c>
      <c r="N519" s="287">
        <v>6212.32</v>
      </c>
      <c r="O519" s="294">
        <f t="shared" si="8"/>
        <v>45565</v>
      </c>
      <c r="P519" s="286" t="s">
        <v>58</v>
      </c>
    </row>
    <row r="520" spans="1:16" hidden="1" x14ac:dyDescent="0.15">
      <c r="A520" s="286">
        <v>821955</v>
      </c>
      <c r="B520" s="288">
        <v>45587.62777777778</v>
      </c>
      <c r="C520" s="286" t="s">
        <v>2130</v>
      </c>
      <c r="D520" s="286" t="s">
        <v>1105</v>
      </c>
      <c r="E520" s="286" t="s">
        <v>1106</v>
      </c>
      <c r="F520" s="286" t="s">
        <v>2163</v>
      </c>
      <c r="G520" s="286" t="s">
        <v>1089</v>
      </c>
      <c r="H520" s="286" t="s">
        <v>1089</v>
      </c>
      <c r="I520" s="286" t="s">
        <v>1199</v>
      </c>
      <c r="J520" s="286" t="s">
        <v>1312</v>
      </c>
      <c r="K520" s="286" t="s">
        <v>53</v>
      </c>
      <c r="L520" s="286" t="s">
        <v>53</v>
      </c>
      <c r="M520" s="286" t="s">
        <v>53</v>
      </c>
      <c r="N520" s="287">
        <v>6212.32</v>
      </c>
      <c r="O520" s="294">
        <f t="shared" si="8"/>
        <v>45596</v>
      </c>
      <c r="P520" s="286" t="s">
        <v>58</v>
      </c>
    </row>
    <row r="521" spans="1:16" hidden="1" x14ac:dyDescent="0.15">
      <c r="A521" s="286">
        <v>864918</v>
      </c>
      <c r="B521" s="288">
        <v>45617.508333333331</v>
      </c>
      <c r="C521" s="286" t="s">
        <v>2100</v>
      </c>
      <c r="D521" s="286" t="s">
        <v>1105</v>
      </c>
      <c r="E521" s="286" t="s">
        <v>1106</v>
      </c>
      <c r="F521" s="286" t="s">
        <v>2233</v>
      </c>
      <c r="G521" s="286" t="s">
        <v>1089</v>
      </c>
      <c r="H521" s="286" t="s">
        <v>1089</v>
      </c>
      <c r="I521" s="286" t="s">
        <v>1228</v>
      </c>
      <c r="J521" s="286" t="s">
        <v>53</v>
      </c>
      <c r="K521" s="286" t="s">
        <v>53</v>
      </c>
      <c r="L521" s="286" t="s">
        <v>53</v>
      </c>
      <c r="M521" s="286" t="s">
        <v>53</v>
      </c>
      <c r="N521" s="287">
        <v>6212.32</v>
      </c>
      <c r="O521" s="294">
        <f t="shared" si="8"/>
        <v>45626</v>
      </c>
      <c r="P521" s="286" t="s">
        <v>58</v>
      </c>
    </row>
    <row r="522" spans="1:16" hidden="1" x14ac:dyDescent="0.15">
      <c r="A522" s="286">
        <v>898877</v>
      </c>
      <c r="B522" s="288">
        <v>45644.552083333336</v>
      </c>
      <c r="C522" s="286" t="s">
        <v>2098</v>
      </c>
      <c r="D522" s="286" t="s">
        <v>1105</v>
      </c>
      <c r="E522" s="286" t="s">
        <v>1106</v>
      </c>
      <c r="F522" s="286" t="s">
        <v>2234</v>
      </c>
      <c r="G522" s="286" t="s">
        <v>1089</v>
      </c>
      <c r="H522" s="286" t="s">
        <v>1089</v>
      </c>
      <c r="I522" s="286" t="s">
        <v>1228</v>
      </c>
      <c r="J522" s="286" t="s">
        <v>1312</v>
      </c>
      <c r="K522" s="286" t="s">
        <v>53</v>
      </c>
      <c r="L522" s="286" t="s">
        <v>53</v>
      </c>
      <c r="M522" s="286" t="s">
        <v>53</v>
      </c>
      <c r="N522" s="287">
        <v>6212.32</v>
      </c>
      <c r="O522" s="294">
        <f t="shared" si="8"/>
        <v>45657</v>
      </c>
      <c r="P522" s="286" t="s">
        <v>58</v>
      </c>
    </row>
    <row r="523" spans="1:16" hidden="1" x14ac:dyDescent="0.15">
      <c r="A523" s="286">
        <v>848917</v>
      </c>
      <c r="B523" s="288">
        <v>45607.660416666666</v>
      </c>
      <c r="C523" s="286" t="s">
        <v>2100</v>
      </c>
      <c r="D523" s="286" t="s">
        <v>1105</v>
      </c>
      <c r="E523" s="286" t="s">
        <v>1106</v>
      </c>
      <c r="F523" s="286" t="s">
        <v>2141</v>
      </c>
      <c r="G523" s="286" t="s">
        <v>1010</v>
      </c>
      <c r="H523" s="286" t="s">
        <v>1010</v>
      </c>
      <c r="I523" s="286" t="s">
        <v>1199</v>
      </c>
      <c r="J523" s="286" t="s">
        <v>1312</v>
      </c>
      <c r="K523" s="286" t="s">
        <v>1797</v>
      </c>
      <c r="L523" s="286" t="s">
        <v>672</v>
      </c>
      <c r="M523" s="286">
        <v>1</v>
      </c>
      <c r="N523" s="287">
        <v>6110.66</v>
      </c>
      <c r="O523" s="294">
        <f t="shared" si="8"/>
        <v>45626</v>
      </c>
      <c r="P523" s="286" t="s">
        <v>58</v>
      </c>
    </row>
    <row r="524" spans="1:16" hidden="1" x14ac:dyDescent="0.15">
      <c r="A524" s="286">
        <v>848917</v>
      </c>
      <c r="B524" s="288">
        <v>45607.660416666666</v>
      </c>
      <c r="C524" s="286" t="s">
        <v>2100</v>
      </c>
      <c r="D524" s="286" t="s">
        <v>1105</v>
      </c>
      <c r="E524" s="286" t="s">
        <v>1106</v>
      </c>
      <c r="F524" s="286" t="s">
        <v>2141</v>
      </c>
      <c r="G524" s="286" t="s">
        <v>1010</v>
      </c>
      <c r="H524" s="286" t="s">
        <v>1010</v>
      </c>
      <c r="I524" s="286" t="s">
        <v>1199</v>
      </c>
      <c r="J524" s="286" t="s">
        <v>1312</v>
      </c>
      <c r="K524" s="286" t="s">
        <v>1796</v>
      </c>
      <c r="L524" s="286" t="s">
        <v>672</v>
      </c>
      <c r="M524" s="286">
        <v>1</v>
      </c>
      <c r="N524" s="287">
        <v>6110.66</v>
      </c>
      <c r="O524" s="294">
        <f t="shared" si="8"/>
        <v>45626</v>
      </c>
      <c r="P524" s="286" t="s">
        <v>58</v>
      </c>
    </row>
    <row r="525" spans="1:16" hidden="1" x14ac:dyDescent="0.15">
      <c r="A525" s="286">
        <v>874698</v>
      </c>
      <c r="B525" s="288">
        <v>45628.357638888891</v>
      </c>
      <c r="C525" s="286" t="s">
        <v>2098</v>
      </c>
      <c r="D525" s="286" t="s">
        <v>1105</v>
      </c>
      <c r="E525" s="286" t="s">
        <v>1106</v>
      </c>
      <c r="F525" s="286" t="s">
        <v>2142</v>
      </c>
      <c r="G525" s="286" t="s">
        <v>1010</v>
      </c>
      <c r="H525" s="286" t="s">
        <v>1010</v>
      </c>
      <c r="I525" s="286" t="s">
        <v>1199</v>
      </c>
      <c r="J525" s="286" t="s">
        <v>1312</v>
      </c>
      <c r="K525" s="286" t="s">
        <v>1797</v>
      </c>
      <c r="L525" s="286" t="s">
        <v>672</v>
      </c>
      <c r="M525" s="286">
        <v>1</v>
      </c>
      <c r="N525" s="287">
        <v>6110.66</v>
      </c>
      <c r="O525" s="294">
        <f t="shared" si="8"/>
        <v>45657</v>
      </c>
      <c r="P525" s="286" t="s">
        <v>58</v>
      </c>
    </row>
    <row r="526" spans="1:16" hidden="1" x14ac:dyDescent="0.15">
      <c r="A526" s="286">
        <v>874698</v>
      </c>
      <c r="B526" s="288">
        <v>45628.357638888891</v>
      </c>
      <c r="C526" s="286" t="s">
        <v>2098</v>
      </c>
      <c r="D526" s="286" t="s">
        <v>1105</v>
      </c>
      <c r="E526" s="286" t="s">
        <v>1106</v>
      </c>
      <c r="F526" s="286" t="s">
        <v>2142</v>
      </c>
      <c r="G526" s="286" t="s">
        <v>1010</v>
      </c>
      <c r="H526" s="286" t="s">
        <v>1010</v>
      </c>
      <c r="I526" s="286" t="s">
        <v>1199</v>
      </c>
      <c r="J526" s="286" t="s">
        <v>1312</v>
      </c>
      <c r="K526" s="286" t="s">
        <v>1796</v>
      </c>
      <c r="L526" s="286" t="s">
        <v>672</v>
      </c>
      <c r="M526" s="286">
        <v>1</v>
      </c>
      <c r="N526" s="287">
        <v>6110.66</v>
      </c>
      <c r="O526" s="294">
        <f t="shared" si="8"/>
        <v>45657</v>
      </c>
      <c r="P526" s="286" t="s">
        <v>58</v>
      </c>
    </row>
    <row r="527" spans="1:16" hidden="1" x14ac:dyDescent="0.15">
      <c r="A527" s="286">
        <v>504817</v>
      </c>
      <c r="B527" s="288">
        <v>45359.645138888889</v>
      </c>
      <c r="C527" s="286" t="s">
        <v>2109</v>
      </c>
      <c r="D527" s="286" t="s">
        <v>1105</v>
      </c>
      <c r="E527" s="286" t="s">
        <v>1106</v>
      </c>
      <c r="F527" s="286" t="s">
        <v>2154</v>
      </c>
      <c r="G527" s="286" t="s">
        <v>1008</v>
      </c>
      <c r="H527" s="286" t="s">
        <v>1008</v>
      </c>
      <c r="I527" s="286" t="s">
        <v>1199</v>
      </c>
      <c r="J527" s="286" t="s">
        <v>1312</v>
      </c>
      <c r="K527" s="286" t="s">
        <v>2236</v>
      </c>
      <c r="L527" s="286" t="s">
        <v>672</v>
      </c>
      <c r="M527" s="286">
        <v>1</v>
      </c>
      <c r="N527" s="287">
        <v>6108.29</v>
      </c>
      <c r="O527" s="294">
        <f t="shared" si="8"/>
        <v>45382</v>
      </c>
      <c r="P527" s="286" t="s">
        <v>58</v>
      </c>
    </row>
    <row r="528" spans="1:16" hidden="1" x14ac:dyDescent="0.15">
      <c r="A528" s="286">
        <v>618592</v>
      </c>
      <c r="B528" s="288">
        <v>45457.646527777775</v>
      </c>
      <c r="C528" s="286" t="s">
        <v>2116</v>
      </c>
      <c r="D528" s="286" t="s">
        <v>1105</v>
      </c>
      <c r="E528" s="286" t="s">
        <v>1106</v>
      </c>
      <c r="F528" s="286" t="s">
        <v>2117</v>
      </c>
      <c r="G528" s="286" t="s">
        <v>1080</v>
      </c>
      <c r="H528" s="286" t="s">
        <v>1080</v>
      </c>
      <c r="I528" s="286" t="s">
        <v>1121</v>
      </c>
      <c r="J528" s="286" t="s">
        <v>1312</v>
      </c>
      <c r="K528" s="286" t="s">
        <v>917</v>
      </c>
      <c r="L528" s="286" t="s">
        <v>250</v>
      </c>
      <c r="M528" s="286">
        <v>1</v>
      </c>
      <c r="N528" s="287">
        <v>6104</v>
      </c>
      <c r="O528" s="294">
        <f t="shared" si="8"/>
        <v>45473</v>
      </c>
      <c r="P528" s="286" t="s">
        <v>248</v>
      </c>
    </row>
    <row r="529" spans="1:16" hidden="1" x14ac:dyDescent="0.15">
      <c r="A529" s="286">
        <v>580949</v>
      </c>
      <c r="B529" s="288">
        <v>45427.710416666669</v>
      </c>
      <c r="C529" s="286" t="s">
        <v>2096</v>
      </c>
      <c r="D529" s="286" t="s">
        <v>1105</v>
      </c>
      <c r="E529" s="286" t="s">
        <v>1106</v>
      </c>
      <c r="F529" s="286" t="s">
        <v>2279</v>
      </c>
      <c r="G529" s="286" t="s">
        <v>1024</v>
      </c>
      <c r="H529" s="286" t="s">
        <v>1024</v>
      </c>
      <c r="I529" s="286" t="s">
        <v>1282</v>
      </c>
      <c r="J529" s="286" t="s">
        <v>1312</v>
      </c>
      <c r="K529" s="286" t="s">
        <v>53</v>
      </c>
      <c r="L529" s="286" t="s">
        <v>53</v>
      </c>
      <c r="M529" s="286" t="s">
        <v>53</v>
      </c>
      <c r="N529" s="287">
        <v>6100</v>
      </c>
      <c r="O529" s="294">
        <f t="shared" si="8"/>
        <v>45443</v>
      </c>
      <c r="P529" s="286" t="s">
        <v>201</v>
      </c>
    </row>
    <row r="530" spans="1:16" hidden="1" x14ac:dyDescent="0.15">
      <c r="A530" s="286">
        <v>496295</v>
      </c>
      <c r="B530" s="288">
        <v>45352.356944444444</v>
      </c>
      <c r="C530" s="286" t="s">
        <v>2113</v>
      </c>
      <c r="D530" s="286" t="s">
        <v>1105</v>
      </c>
      <c r="E530" s="286" t="s">
        <v>1106</v>
      </c>
      <c r="F530" s="286" t="s">
        <v>2114</v>
      </c>
      <c r="G530" s="286" t="s">
        <v>1024</v>
      </c>
      <c r="H530" s="286" t="s">
        <v>1024</v>
      </c>
      <c r="I530" s="286" t="s">
        <v>1121</v>
      </c>
      <c r="J530" s="286" t="s">
        <v>1312</v>
      </c>
      <c r="K530" s="286" t="s">
        <v>917</v>
      </c>
      <c r="L530" s="286" t="s">
        <v>250</v>
      </c>
      <c r="M530" s="286">
        <v>1</v>
      </c>
      <c r="N530" s="287">
        <v>5908</v>
      </c>
      <c r="O530" s="294">
        <f t="shared" si="8"/>
        <v>45382</v>
      </c>
      <c r="P530" s="286" t="s">
        <v>248</v>
      </c>
    </row>
    <row r="531" spans="1:16" hidden="1" x14ac:dyDescent="0.15">
      <c r="A531" s="286">
        <v>614216</v>
      </c>
      <c r="B531" s="288">
        <v>45455.716666666667</v>
      </c>
      <c r="C531" s="286" t="s">
        <v>2116</v>
      </c>
      <c r="D531" s="286" t="s">
        <v>1105</v>
      </c>
      <c r="E531" s="286" t="s">
        <v>1106</v>
      </c>
      <c r="F531" s="286" t="s">
        <v>2156</v>
      </c>
      <c r="G531" s="286" t="s">
        <v>1056</v>
      </c>
      <c r="H531" s="286" t="s">
        <v>1056</v>
      </c>
      <c r="I531" s="286" t="s">
        <v>1199</v>
      </c>
      <c r="J531" s="286" t="s">
        <v>1312</v>
      </c>
      <c r="K531" s="286" t="s">
        <v>1796</v>
      </c>
      <c r="L531" s="286" t="s">
        <v>672</v>
      </c>
      <c r="M531" s="286">
        <v>2</v>
      </c>
      <c r="N531" s="287">
        <v>5731.07</v>
      </c>
      <c r="O531" s="294">
        <f t="shared" si="8"/>
        <v>45473</v>
      </c>
      <c r="P531" s="286" t="s">
        <v>58</v>
      </c>
    </row>
    <row r="532" spans="1:16" hidden="1" x14ac:dyDescent="0.15">
      <c r="A532" s="286">
        <v>614316</v>
      </c>
      <c r="B532" s="288">
        <v>45455.717361111114</v>
      </c>
      <c r="C532" s="286" t="s">
        <v>2092</v>
      </c>
      <c r="D532" s="286" t="s">
        <v>1105</v>
      </c>
      <c r="E532" s="286" t="s">
        <v>1106</v>
      </c>
      <c r="F532" s="286" t="s">
        <v>2167</v>
      </c>
      <c r="G532" s="286" t="s">
        <v>1056</v>
      </c>
      <c r="H532" s="286" t="s">
        <v>1056</v>
      </c>
      <c r="I532" s="286" t="s">
        <v>1199</v>
      </c>
      <c r="J532" s="286" t="s">
        <v>1312</v>
      </c>
      <c r="K532" s="286" t="s">
        <v>1796</v>
      </c>
      <c r="L532" s="286" t="s">
        <v>672</v>
      </c>
      <c r="M532" s="286">
        <v>2</v>
      </c>
      <c r="N532" s="287">
        <v>5731.07</v>
      </c>
      <c r="O532" s="294">
        <f t="shared" si="8"/>
        <v>45473</v>
      </c>
      <c r="P532" s="286" t="s">
        <v>58</v>
      </c>
    </row>
    <row r="533" spans="1:16" hidden="1" x14ac:dyDescent="0.15">
      <c r="A533" s="286">
        <v>646075</v>
      </c>
      <c r="B533" s="288">
        <v>45474.519444444442</v>
      </c>
      <c r="C533" s="286" t="s">
        <v>2111</v>
      </c>
      <c r="D533" s="286" t="s">
        <v>1105</v>
      </c>
      <c r="E533" s="286" t="s">
        <v>1106</v>
      </c>
      <c r="F533" s="286" t="s">
        <v>2137</v>
      </c>
      <c r="G533" s="286" t="s">
        <v>1056</v>
      </c>
      <c r="H533" s="286" t="s">
        <v>1056</v>
      </c>
      <c r="I533" s="286" t="s">
        <v>1199</v>
      </c>
      <c r="J533" s="286" t="s">
        <v>1312</v>
      </c>
      <c r="K533" s="286" t="s">
        <v>1796</v>
      </c>
      <c r="L533" s="286" t="s">
        <v>672</v>
      </c>
      <c r="M533" s="286">
        <v>2</v>
      </c>
      <c r="N533" s="287">
        <v>5731.07</v>
      </c>
      <c r="O533" s="294">
        <f t="shared" si="8"/>
        <v>45504</v>
      </c>
      <c r="P533" s="286" t="s">
        <v>58</v>
      </c>
    </row>
    <row r="534" spans="1:16" hidden="1" x14ac:dyDescent="0.15">
      <c r="A534" s="286">
        <v>697810</v>
      </c>
      <c r="B534" s="288">
        <v>45510.366666666669</v>
      </c>
      <c r="C534" s="286" t="s">
        <v>2102</v>
      </c>
      <c r="D534" s="286" t="s">
        <v>1105</v>
      </c>
      <c r="E534" s="286" t="s">
        <v>1106</v>
      </c>
      <c r="F534" s="286" t="s">
        <v>2138</v>
      </c>
      <c r="G534" s="286" t="s">
        <v>1056</v>
      </c>
      <c r="H534" s="286" t="s">
        <v>1056</v>
      </c>
      <c r="I534" s="286" t="s">
        <v>1199</v>
      </c>
      <c r="J534" s="286" t="s">
        <v>1312</v>
      </c>
      <c r="K534" s="286" t="s">
        <v>1796</v>
      </c>
      <c r="L534" s="286" t="s">
        <v>672</v>
      </c>
      <c r="M534" s="286">
        <v>2</v>
      </c>
      <c r="N534" s="287">
        <v>5731.07</v>
      </c>
      <c r="O534" s="294">
        <f t="shared" si="8"/>
        <v>45535</v>
      </c>
      <c r="P534" s="286" t="s">
        <v>58</v>
      </c>
    </row>
    <row r="535" spans="1:16" hidden="1" x14ac:dyDescent="0.15">
      <c r="A535" s="286">
        <v>745911</v>
      </c>
      <c r="B535" s="288">
        <v>45538.44027777778</v>
      </c>
      <c r="C535" s="286" t="s">
        <v>2132</v>
      </c>
      <c r="D535" s="286" t="s">
        <v>1105</v>
      </c>
      <c r="E535" s="286" t="s">
        <v>1106</v>
      </c>
      <c r="F535" s="286" t="s">
        <v>2139</v>
      </c>
      <c r="G535" s="286" t="s">
        <v>1056</v>
      </c>
      <c r="H535" s="286" t="s">
        <v>1056</v>
      </c>
      <c r="I535" s="286" t="s">
        <v>1199</v>
      </c>
      <c r="J535" s="286" t="s">
        <v>1312</v>
      </c>
      <c r="K535" s="286" t="s">
        <v>1796</v>
      </c>
      <c r="L535" s="286" t="s">
        <v>672</v>
      </c>
      <c r="M535" s="286">
        <v>2</v>
      </c>
      <c r="N535" s="287">
        <v>5731.07</v>
      </c>
      <c r="O535" s="294">
        <f t="shared" si="8"/>
        <v>45565</v>
      </c>
      <c r="P535" s="286" t="s">
        <v>58</v>
      </c>
    </row>
    <row r="536" spans="1:16" hidden="1" x14ac:dyDescent="0.15">
      <c r="A536" s="286">
        <v>848817</v>
      </c>
      <c r="B536" s="288">
        <v>45607.65902777778</v>
      </c>
      <c r="C536" s="286" t="s">
        <v>2130</v>
      </c>
      <c r="D536" s="286" t="s">
        <v>1105</v>
      </c>
      <c r="E536" s="286" t="s">
        <v>1106</v>
      </c>
      <c r="F536" s="286" t="s">
        <v>2140</v>
      </c>
      <c r="G536" s="286" t="s">
        <v>1056</v>
      </c>
      <c r="H536" s="286" t="s">
        <v>1056</v>
      </c>
      <c r="I536" s="286" t="s">
        <v>1199</v>
      </c>
      <c r="J536" s="286" t="s">
        <v>1312</v>
      </c>
      <c r="K536" s="286" t="s">
        <v>1796</v>
      </c>
      <c r="L536" s="286" t="s">
        <v>672</v>
      </c>
      <c r="M536" s="286">
        <v>2</v>
      </c>
      <c r="N536" s="287">
        <v>5731.07</v>
      </c>
      <c r="O536" s="294">
        <f t="shared" si="8"/>
        <v>45626</v>
      </c>
      <c r="P536" s="286" t="s">
        <v>58</v>
      </c>
    </row>
    <row r="537" spans="1:16" hidden="1" x14ac:dyDescent="0.15">
      <c r="A537" s="286">
        <v>848917</v>
      </c>
      <c r="B537" s="288">
        <v>45607.660416666666</v>
      </c>
      <c r="C537" s="286" t="s">
        <v>2100</v>
      </c>
      <c r="D537" s="286" t="s">
        <v>1105</v>
      </c>
      <c r="E537" s="286" t="s">
        <v>1106</v>
      </c>
      <c r="F537" s="286" t="s">
        <v>2141</v>
      </c>
      <c r="G537" s="286" t="s">
        <v>1056</v>
      </c>
      <c r="H537" s="286" t="s">
        <v>1056</v>
      </c>
      <c r="I537" s="286" t="s">
        <v>1199</v>
      </c>
      <c r="J537" s="286" t="s">
        <v>1312</v>
      </c>
      <c r="K537" s="286" t="s">
        <v>1796</v>
      </c>
      <c r="L537" s="286" t="s">
        <v>672</v>
      </c>
      <c r="M537" s="286">
        <v>2</v>
      </c>
      <c r="N537" s="287">
        <v>5731.07</v>
      </c>
      <c r="O537" s="294">
        <f t="shared" si="8"/>
        <v>45626</v>
      </c>
      <c r="P537" s="286" t="s">
        <v>58</v>
      </c>
    </row>
    <row r="538" spans="1:16" hidden="1" x14ac:dyDescent="0.15">
      <c r="A538" s="286">
        <v>874698</v>
      </c>
      <c r="B538" s="288">
        <v>45628.357638888891</v>
      </c>
      <c r="C538" s="286" t="s">
        <v>2098</v>
      </c>
      <c r="D538" s="286" t="s">
        <v>1105</v>
      </c>
      <c r="E538" s="286" t="s">
        <v>1106</v>
      </c>
      <c r="F538" s="286" t="s">
        <v>2142</v>
      </c>
      <c r="G538" s="286" t="s">
        <v>1056</v>
      </c>
      <c r="H538" s="286" t="s">
        <v>1056</v>
      </c>
      <c r="I538" s="286" t="s">
        <v>1199</v>
      </c>
      <c r="J538" s="286" t="s">
        <v>1312</v>
      </c>
      <c r="K538" s="286" t="s">
        <v>1796</v>
      </c>
      <c r="L538" s="286" t="s">
        <v>672</v>
      </c>
      <c r="M538" s="286">
        <v>2</v>
      </c>
      <c r="N538" s="287">
        <v>5731.07</v>
      </c>
      <c r="O538" s="294">
        <f t="shared" si="8"/>
        <v>45657</v>
      </c>
      <c r="P538" s="286" t="s">
        <v>58</v>
      </c>
    </row>
    <row r="539" spans="1:16" hidden="1" x14ac:dyDescent="0.15">
      <c r="A539" s="286">
        <v>438112</v>
      </c>
      <c r="B539" s="288">
        <v>45293.53402777778</v>
      </c>
      <c r="C539" s="286" t="s">
        <v>2125</v>
      </c>
      <c r="D539" s="286" t="s">
        <v>1105</v>
      </c>
      <c r="E539" s="286" t="s">
        <v>1106</v>
      </c>
      <c r="F539" s="286" t="s">
        <v>2152</v>
      </c>
      <c r="G539" s="286" t="s">
        <v>1002</v>
      </c>
      <c r="H539" s="286" t="s">
        <v>1002</v>
      </c>
      <c r="I539" s="286" t="s">
        <v>1199</v>
      </c>
      <c r="J539" s="286" t="s">
        <v>53</v>
      </c>
      <c r="K539" s="286" t="s">
        <v>53</v>
      </c>
      <c r="L539" s="286" t="s">
        <v>53</v>
      </c>
      <c r="M539" s="286" t="s">
        <v>53</v>
      </c>
      <c r="N539" s="287">
        <v>5678.2</v>
      </c>
      <c r="O539" s="294">
        <f t="shared" si="8"/>
        <v>45322</v>
      </c>
      <c r="P539" s="286" t="s">
        <v>58</v>
      </c>
    </row>
    <row r="540" spans="1:16" hidden="1" x14ac:dyDescent="0.15">
      <c r="A540" s="286">
        <v>472168</v>
      </c>
      <c r="B540" s="288">
        <v>45331.416666666664</v>
      </c>
      <c r="C540" s="286" t="s">
        <v>2113</v>
      </c>
      <c r="D540" s="286" t="s">
        <v>1105</v>
      </c>
      <c r="E540" s="286" t="s">
        <v>1106</v>
      </c>
      <c r="F540" s="286" t="s">
        <v>2153</v>
      </c>
      <c r="G540" s="286" t="s">
        <v>1002</v>
      </c>
      <c r="H540" s="286" t="s">
        <v>1002</v>
      </c>
      <c r="I540" s="286" t="s">
        <v>1199</v>
      </c>
      <c r="J540" s="286" t="s">
        <v>53</v>
      </c>
      <c r="K540" s="286" t="s">
        <v>53</v>
      </c>
      <c r="L540" s="286" t="s">
        <v>53</v>
      </c>
      <c r="M540" s="286" t="s">
        <v>53</v>
      </c>
      <c r="N540" s="287">
        <v>5678.2</v>
      </c>
      <c r="O540" s="294">
        <f t="shared" si="8"/>
        <v>45351</v>
      </c>
      <c r="P540" s="286" t="s">
        <v>58</v>
      </c>
    </row>
    <row r="541" spans="1:16" hidden="1" x14ac:dyDescent="0.15">
      <c r="A541" s="286">
        <v>504817</v>
      </c>
      <c r="B541" s="288">
        <v>45359.645138888889</v>
      </c>
      <c r="C541" s="286" t="s">
        <v>2109</v>
      </c>
      <c r="D541" s="286" t="s">
        <v>1105</v>
      </c>
      <c r="E541" s="286" t="s">
        <v>1106</v>
      </c>
      <c r="F541" s="286" t="s">
        <v>2154</v>
      </c>
      <c r="G541" s="286" t="s">
        <v>1002</v>
      </c>
      <c r="H541" s="286" t="s">
        <v>1002</v>
      </c>
      <c r="I541" s="286" t="s">
        <v>1199</v>
      </c>
      <c r="J541" s="286" t="s">
        <v>53</v>
      </c>
      <c r="K541" s="286" t="s">
        <v>53</v>
      </c>
      <c r="L541" s="286" t="s">
        <v>53</v>
      </c>
      <c r="M541" s="286" t="s">
        <v>53</v>
      </c>
      <c r="N541" s="287">
        <v>5678.2</v>
      </c>
      <c r="O541" s="294">
        <f t="shared" si="8"/>
        <v>45382</v>
      </c>
      <c r="P541" s="286" t="s">
        <v>58</v>
      </c>
    </row>
    <row r="542" spans="1:16" hidden="1" x14ac:dyDescent="0.15">
      <c r="A542" s="286">
        <v>534207</v>
      </c>
      <c r="B542" s="288">
        <v>45385.750694444447</v>
      </c>
      <c r="C542" s="286" t="s">
        <v>2096</v>
      </c>
      <c r="D542" s="286" t="s">
        <v>1105</v>
      </c>
      <c r="E542" s="286" t="s">
        <v>1106</v>
      </c>
      <c r="F542" s="286" t="s">
        <v>2155</v>
      </c>
      <c r="G542" s="286" t="s">
        <v>1002</v>
      </c>
      <c r="H542" s="286" t="s">
        <v>1002</v>
      </c>
      <c r="I542" s="286" t="s">
        <v>1199</v>
      </c>
      <c r="J542" s="286" t="s">
        <v>53</v>
      </c>
      <c r="K542" s="286" t="s">
        <v>53</v>
      </c>
      <c r="L542" s="286" t="s">
        <v>53</v>
      </c>
      <c r="M542" s="286" t="s">
        <v>53</v>
      </c>
      <c r="N542" s="287">
        <v>5678.2</v>
      </c>
      <c r="O542" s="294">
        <f t="shared" si="8"/>
        <v>45412</v>
      </c>
      <c r="P542" s="286" t="s">
        <v>58</v>
      </c>
    </row>
    <row r="543" spans="1:16" hidden="1" x14ac:dyDescent="0.15">
      <c r="A543" s="286">
        <v>614216</v>
      </c>
      <c r="B543" s="288">
        <v>45455.716666666667</v>
      </c>
      <c r="C543" s="286" t="s">
        <v>2116</v>
      </c>
      <c r="D543" s="286" t="s">
        <v>1105</v>
      </c>
      <c r="E543" s="286" t="s">
        <v>1106</v>
      </c>
      <c r="F543" s="286" t="s">
        <v>2156</v>
      </c>
      <c r="G543" s="286" t="s">
        <v>1002</v>
      </c>
      <c r="H543" s="286" t="s">
        <v>1002</v>
      </c>
      <c r="I543" s="286" t="s">
        <v>1199</v>
      </c>
      <c r="J543" s="286" t="s">
        <v>53</v>
      </c>
      <c r="K543" s="286" t="s">
        <v>53</v>
      </c>
      <c r="L543" s="286" t="s">
        <v>53</v>
      </c>
      <c r="M543" s="286" t="s">
        <v>53</v>
      </c>
      <c r="N543" s="287">
        <v>5678.2</v>
      </c>
      <c r="O543" s="294">
        <f t="shared" si="8"/>
        <v>45473</v>
      </c>
      <c r="P543" s="286" t="s">
        <v>58</v>
      </c>
    </row>
    <row r="544" spans="1:16" hidden="1" x14ac:dyDescent="0.15">
      <c r="A544" s="286">
        <v>608480</v>
      </c>
      <c r="B544" s="288">
        <v>45450.422222222223</v>
      </c>
      <c r="C544" s="286" t="s">
        <v>2092</v>
      </c>
      <c r="D544" s="286" t="s">
        <v>1105</v>
      </c>
      <c r="E544" s="286" t="s">
        <v>1106</v>
      </c>
      <c r="F544" s="286" t="s">
        <v>2157</v>
      </c>
      <c r="G544" s="286" t="s">
        <v>1002</v>
      </c>
      <c r="H544" s="286" t="s">
        <v>1002</v>
      </c>
      <c r="I544" s="286" t="s">
        <v>1199</v>
      </c>
      <c r="J544" s="286" t="s">
        <v>53</v>
      </c>
      <c r="K544" s="286" t="s">
        <v>53</v>
      </c>
      <c r="L544" s="286" t="s">
        <v>53</v>
      </c>
      <c r="M544" s="286" t="s">
        <v>53</v>
      </c>
      <c r="N544" s="287">
        <v>5678.2</v>
      </c>
      <c r="O544" s="294">
        <f t="shared" si="8"/>
        <v>45473</v>
      </c>
      <c r="P544" s="286" t="s">
        <v>58</v>
      </c>
    </row>
    <row r="545" spans="1:16" hidden="1" x14ac:dyDescent="0.15">
      <c r="A545" s="286">
        <v>646075</v>
      </c>
      <c r="B545" s="288">
        <v>45474.519444444442</v>
      </c>
      <c r="C545" s="286" t="s">
        <v>2111</v>
      </c>
      <c r="D545" s="286" t="s">
        <v>1105</v>
      </c>
      <c r="E545" s="286" t="s">
        <v>1106</v>
      </c>
      <c r="F545" s="286" t="s">
        <v>2137</v>
      </c>
      <c r="G545" s="286" t="s">
        <v>1002</v>
      </c>
      <c r="H545" s="286" t="s">
        <v>1002</v>
      </c>
      <c r="I545" s="286" t="s">
        <v>1199</v>
      </c>
      <c r="J545" s="286" t="s">
        <v>53</v>
      </c>
      <c r="K545" s="286" t="s">
        <v>53</v>
      </c>
      <c r="L545" s="286" t="s">
        <v>53</v>
      </c>
      <c r="M545" s="286" t="s">
        <v>53</v>
      </c>
      <c r="N545" s="287">
        <v>5678.2</v>
      </c>
      <c r="O545" s="294">
        <f t="shared" si="8"/>
        <v>45504</v>
      </c>
      <c r="P545" s="286" t="s">
        <v>58</v>
      </c>
    </row>
    <row r="546" spans="1:16" hidden="1" x14ac:dyDescent="0.15">
      <c r="A546" s="286">
        <v>697810</v>
      </c>
      <c r="B546" s="288">
        <v>45510.366666666669</v>
      </c>
      <c r="C546" s="286" t="s">
        <v>2102</v>
      </c>
      <c r="D546" s="286" t="s">
        <v>1105</v>
      </c>
      <c r="E546" s="286" t="s">
        <v>1106</v>
      </c>
      <c r="F546" s="286" t="s">
        <v>2138</v>
      </c>
      <c r="G546" s="286" t="s">
        <v>1002</v>
      </c>
      <c r="H546" s="286" t="s">
        <v>1002</v>
      </c>
      <c r="I546" s="286" t="s">
        <v>1199</v>
      </c>
      <c r="J546" s="286" t="s">
        <v>53</v>
      </c>
      <c r="K546" s="286" t="s">
        <v>53</v>
      </c>
      <c r="L546" s="286" t="s">
        <v>53</v>
      </c>
      <c r="M546" s="286" t="s">
        <v>53</v>
      </c>
      <c r="N546" s="287">
        <v>5678.19</v>
      </c>
      <c r="O546" s="294">
        <f t="shared" si="8"/>
        <v>45535</v>
      </c>
      <c r="P546" s="286" t="s">
        <v>58</v>
      </c>
    </row>
    <row r="547" spans="1:16" hidden="1" x14ac:dyDescent="0.15">
      <c r="A547" s="286">
        <v>697810</v>
      </c>
      <c r="B547" s="288">
        <v>45510.366666666669</v>
      </c>
      <c r="C547" s="286" t="s">
        <v>2102</v>
      </c>
      <c r="D547" s="286" t="s">
        <v>1105</v>
      </c>
      <c r="E547" s="286" t="s">
        <v>1106</v>
      </c>
      <c r="F547" s="286" t="s">
        <v>2138</v>
      </c>
      <c r="G547" s="286" t="s">
        <v>1007</v>
      </c>
      <c r="H547" s="286" t="s">
        <v>1007</v>
      </c>
      <c r="I547" s="286" t="s">
        <v>1228</v>
      </c>
      <c r="J547" s="286" t="s">
        <v>1312</v>
      </c>
      <c r="K547" s="286" t="s">
        <v>1673</v>
      </c>
      <c r="L547" s="286" t="s">
        <v>53</v>
      </c>
      <c r="M547" s="286">
        <v>1</v>
      </c>
      <c r="N547" s="287">
        <v>5560.3</v>
      </c>
      <c r="O547" s="294">
        <f t="shared" si="8"/>
        <v>45535</v>
      </c>
      <c r="P547" s="286" t="s">
        <v>58</v>
      </c>
    </row>
    <row r="548" spans="1:16" hidden="1" x14ac:dyDescent="0.15">
      <c r="A548" s="286">
        <v>438112</v>
      </c>
      <c r="B548" s="288">
        <v>45293.53402777778</v>
      </c>
      <c r="C548" s="286" t="s">
        <v>2125</v>
      </c>
      <c r="D548" s="286" t="s">
        <v>1105</v>
      </c>
      <c r="E548" s="286" t="s">
        <v>1106</v>
      </c>
      <c r="F548" s="286" t="s">
        <v>2152</v>
      </c>
      <c r="G548" s="286" t="s">
        <v>1010</v>
      </c>
      <c r="H548" s="286" t="s">
        <v>1010</v>
      </c>
      <c r="I548" s="286" t="s">
        <v>1199</v>
      </c>
      <c r="J548" s="286" t="s">
        <v>1312</v>
      </c>
      <c r="K548" s="286" t="s">
        <v>1797</v>
      </c>
      <c r="L548" s="286" t="s">
        <v>672</v>
      </c>
      <c r="M548" s="286">
        <v>1</v>
      </c>
      <c r="N548" s="287">
        <v>5556.46</v>
      </c>
      <c r="O548" s="294">
        <f t="shared" si="8"/>
        <v>45322</v>
      </c>
      <c r="P548" s="286" t="s">
        <v>58</v>
      </c>
    </row>
    <row r="549" spans="1:16" hidden="1" x14ac:dyDescent="0.15">
      <c r="A549" s="286">
        <v>438112</v>
      </c>
      <c r="B549" s="288">
        <v>45293.53402777778</v>
      </c>
      <c r="C549" s="286" t="s">
        <v>2125</v>
      </c>
      <c r="D549" s="286" t="s">
        <v>1105</v>
      </c>
      <c r="E549" s="286" t="s">
        <v>1106</v>
      </c>
      <c r="F549" s="286" t="s">
        <v>2152</v>
      </c>
      <c r="G549" s="286" t="s">
        <v>1010</v>
      </c>
      <c r="H549" s="286" t="s">
        <v>1010</v>
      </c>
      <c r="I549" s="286" t="s">
        <v>1199</v>
      </c>
      <c r="J549" s="286" t="s">
        <v>1312</v>
      </c>
      <c r="K549" s="286" t="s">
        <v>1796</v>
      </c>
      <c r="L549" s="286" t="s">
        <v>672</v>
      </c>
      <c r="M549" s="286">
        <v>1</v>
      </c>
      <c r="N549" s="287">
        <v>5556.46</v>
      </c>
      <c r="O549" s="294">
        <f t="shared" si="8"/>
        <v>45322</v>
      </c>
      <c r="P549" s="286" t="s">
        <v>58</v>
      </c>
    </row>
    <row r="550" spans="1:16" hidden="1" x14ac:dyDescent="0.15">
      <c r="A550" s="286">
        <v>472168</v>
      </c>
      <c r="B550" s="288">
        <v>45331.416666666664</v>
      </c>
      <c r="C550" s="286" t="s">
        <v>2113</v>
      </c>
      <c r="D550" s="286" t="s">
        <v>1105</v>
      </c>
      <c r="E550" s="286" t="s">
        <v>1106</v>
      </c>
      <c r="F550" s="286" t="s">
        <v>2153</v>
      </c>
      <c r="G550" s="286" t="s">
        <v>1010</v>
      </c>
      <c r="H550" s="286" t="s">
        <v>1010</v>
      </c>
      <c r="I550" s="286" t="s">
        <v>1199</v>
      </c>
      <c r="J550" s="286" t="s">
        <v>1312</v>
      </c>
      <c r="K550" s="286" t="s">
        <v>1796</v>
      </c>
      <c r="L550" s="286" t="s">
        <v>672</v>
      </c>
      <c r="M550" s="286">
        <v>1</v>
      </c>
      <c r="N550" s="287">
        <v>5556.46</v>
      </c>
      <c r="O550" s="294">
        <f t="shared" si="8"/>
        <v>45351</v>
      </c>
      <c r="P550" s="286" t="s">
        <v>58</v>
      </c>
    </row>
    <row r="551" spans="1:16" hidden="1" x14ac:dyDescent="0.15">
      <c r="A551" s="286">
        <v>472168</v>
      </c>
      <c r="B551" s="288">
        <v>45331.416666666664</v>
      </c>
      <c r="C551" s="286" t="s">
        <v>2113</v>
      </c>
      <c r="D551" s="286" t="s">
        <v>1105</v>
      </c>
      <c r="E551" s="286" t="s">
        <v>1106</v>
      </c>
      <c r="F551" s="286" t="s">
        <v>2153</v>
      </c>
      <c r="G551" s="286" t="s">
        <v>1010</v>
      </c>
      <c r="H551" s="286" t="s">
        <v>1010</v>
      </c>
      <c r="I551" s="286" t="s">
        <v>1199</v>
      </c>
      <c r="J551" s="286" t="s">
        <v>1312</v>
      </c>
      <c r="K551" s="286" t="s">
        <v>1797</v>
      </c>
      <c r="L551" s="286" t="s">
        <v>672</v>
      </c>
      <c r="M551" s="286">
        <v>1</v>
      </c>
      <c r="N551" s="287">
        <v>5556.46</v>
      </c>
      <c r="O551" s="294">
        <f t="shared" si="8"/>
        <v>45351</v>
      </c>
      <c r="P551" s="286" t="s">
        <v>58</v>
      </c>
    </row>
    <row r="552" spans="1:16" hidden="1" x14ac:dyDescent="0.15">
      <c r="A552" s="286">
        <v>504817</v>
      </c>
      <c r="B552" s="288">
        <v>45359.645138888889</v>
      </c>
      <c r="C552" s="286" t="s">
        <v>2109</v>
      </c>
      <c r="D552" s="286" t="s">
        <v>1105</v>
      </c>
      <c r="E552" s="286" t="s">
        <v>1106</v>
      </c>
      <c r="F552" s="286" t="s">
        <v>2154</v>
      </c>
      <c r="G552" s="286" t="s">
        <v>1010</v>
      </c>
      <c r="H552" s="286" t="s">
        <v>1010</v>
      </c>
      <c r="I552" s="286" t="s">
        <v>1199</v>
      </c>
      <c r="J552" s="286" t="s">
        <v>1312</v>
      </c>
      <c r="K552" s="286" t="s">
        <v>1796</v>
      </c>
      <c r="L552" s="286" t="s">
        <v>672</v>
      </c>
      <c r="M552" s="286">
        <v>1</v>
      </c>
      <c r="N552" s="287">
        <v>5556.46</v>
      </c>
      <c r="O552" s="294">
        <f t="shared" si="8"/>
        <v>45382</v>
      </c>
      <c r="P552" s="286" t="s">
        <v>58</v>
      </c>
    </row>
    <row r="553" spans="1:16" hidden="1" x14ac:dyDescent="0.15">
      <c r="A553" s="286">
        <v>504817</v>
      </c>
      <c r="B553" s="288">
        <v>45359.645138888889</v>
      </c>
      <c r="C553" s="286" t="s">
        <v>2109</v>
      </c>
      <c r="D553" s="286" t="s">
        <v>1105</v>
      </c>
      <c r="E553" s="286" t="s">
        <v>1106</v>
      </c>
      <c r="F553" s="286" t="s">
        <v>2154</v>
      </c>
      <c r="G553" s="286" t="s">
        <v>1010</v>
      </c>
      <c r="H553" s="286" t="s">
        <v>1010</v>
      </c>
      <c r="I553" s="286" t="s">
        <v>1199</v>
      </c>
      <c r="J553" s="286" t="s">
        <v>1312</v>
      </c>
      <c r="K553" s="286" t="s">
        <v>1797</v>
      </c>
      <c r="L553" s="286" t="s">
        <v>672</v>
      </c>
      <c r="M553" s="286">
        <v>1</v>
      </c>
      <c r="N553" s="287">
        <v>5556.46</v>
      </c>
      <c r="O553" s="294">
        <f t="shared" si="8"/>
        <v>45382</v>
      </c>
      <c r="P553" s="286" t="s">
        <v>58</v>
      </c>
    </row>
    <row r="554" spans="1:16" hidden="1" x14ac:dyDescent="0.15">
      <c r="A554" s="286">
        <v>534207</v>
      </c>
      <c r="B554" s="288">
        <v>45385.750694444447</v>
      </c>
      <c r="C554" s="286" t="s">
        <v>2096</v>
      </c>
      <c r="D554" s="286" t="s">
        <v>1105</v>
      </c>
      <c r="E554" s="286" t="s">
        <v>1106</v>
      </c>
      <c r="F554" s="286" t="s">
        <v>2155</v>
      </c>
      <c r="G554" s="286" t="s">
        <v>1010</v>
      </c>
      <c r="H554" s="286" t="s">
        <v>1010</v>
      </c>
      <c r="I554" s="286" t="s">
        <v>1199</v>
      </c>
      <c r="J554" s="286" t="s">
        <v>1312</v>
      </c>
      <c r="K554" s="286" t="s">
        <v>1797</v>
      </c>
      <c r="L554" s="286" t="s">
        <v>672</v>
      </c>
      <c r="M554" s="286">
        <v>1</v>
      </c>
      <c r="N554" s="287">
        <v>5556.46</v>
      </c>
      <c r="O554" s="294">
        <f t="shared" si="8"/>
        <v>45412</v>
      </c>
      <c r="P554" s="286" t="s">
        <v>58</v>
      </c>
    </row>
    <row r="555" spans="1:16" hidden="1" x14ac:dyDescent="0.15">
      <c r="A555" s="286">
        <v>534207</v>
      </c>
      <c r="B555" s="288">
        <v>45385.750694444447</v>
      </c>
      <c r="C555" s="286" t="s">
        <v>2096</v>
      </c>
      <c r="D555" s="286" t="s">
        <v>1105</v>
      </c>
      <c r="E555" s="286" t="s">
        <v>1106</v>
      </c>
      <c r="F555" s="286" t="s">
        <v>2155</v>
      </c>
      <c r="G555" s="286" t="s">
        <v>1010</v>
      </c>
      <c r="H555" s="286" t="s">
        <v>1010</v>
      </c>
      <c r="I555" s="286" t="s">
        <v>1199</v>
      </c>
      <c r="J555" s="286" t="s">
        <v>1312</v>
      </c>
      <c r="K555" s="286" t="s">
        <v>1796</v>
      </c>
      <c r="L555" s="286" t="s">
        <v>672</v>
      </c>
      <c r="M555" s="286">
        <v>1</v>
      </c>
      <c r="N555" s="287">
        <v>5556.46</v>
      </c>
      <c r="O555" s="294">
        <f t="shared" si="8"/>
        <v>45412</v>
      </c>
      <c r="P555" s="286" t="s">
        <v>58</v>
      </c>
    </row>
    <row r="556" spans="1:16" hidden="1" x14ac:dyDescent="0.15">
      <c r="A556" s="286">
        <v>614216</v>
      </c>
      <c r="B556" s="288">
        <v>45455.716666666667</v>
      </c>
      <c r="C556" s="286" t="s">
        <v>2116</v>
      </c>
      <c r="D556" s="286" t="s">
        <v>1105</v>
      </c>
      <c r="E556" s="286" t="s">
        <v>1106</v>
      </c>
      <c r="F556" s="286" t="s">
        <v>2156</v>
      </c>
      <c r="G556" s="286" t="s">
        <v>1010</v>
      </c>
      <c r="H556" s="286" t="s">
        <v>1010</v>
      </c>
      <c r="I556" s="286" t="s">
        <v>1199</v>
      </c>
      <c r="J556" s="286" t="s">
        <v>1312</v>
      </c>
      <c r="K556" s="286" t="s">
        <v>1797</v>
      </c>
      <c r="L556" s="286" t="s">
        <v>672</v>
      </c>
      <c r="M556" s="286">
        <v>1</v>
      </c>
      <c r="N556" s="287">
        <v>5556.46</v>
      </c>
      <c r="O556" s="294">
        <f t="shared" si="8"/>
        <v>45473</v>
      </c>
      <c r="P556" s="286" t="s">
        <v>58</v>
      </c>
    </row>
    <row r="557" spans="1:16" hidden="1" x14ac:dyDescent="0.15">
      <c r="A557" s="286">
        <v>614216</v>
      </c>
      <c r="B557" s="288">
        <v>45455.716666666667</v>
      </c>
      <c r="C557" s="286" t="s">
        <v>2116</v>
      </c>
      <c r="D557" s="286" t="s">
        <v>1105</v>
      </c>
      <c r="E557" s="286" t="s">
        <v>1106</v>
      </c>
      <c r="F557" s="286" t="s">
        <v>2156</v>
      </c>
      <c r="G557" s="286" t="s">
        <v>1010</v>
      </c>
      <c r="H557" s="286" t="s">
        <v>1010</v>
      </c>
      <c r="I557" s="286" t="s">
        <v>1199</v>
      </c>
      <c r="J557" s="286" t="s">
        <v>1312</v>
      </c>
      <c r="K557" s="286" t="s">
        <v>1796</v>
      </c>
      <c r="L557" s="286" t="s">
        <v>672</v>
      </c>
      <c r="M557" s="286">
        <v>1</v>
      </c>
      <c r="N557" s="287">
        <v>5556.46</v>
      </c>
      <c r="O557" s="294">
        <f t="shared" si="8"/>
        <v>45473</v>
      </c>
      <c r="P557" s="286" t="s">
        <v>58</v>
      </c>
    </row>
    <row r="558" spans="1:16" hidden="1" x14ac:dyDescent="0.15">
      <c r="A558" s="286">
        <v>608480</v>
      </c>
      <c r="B558" s="288">
        <v>45450.422222222223</v>
      </c>
      <c r="C558" s="286" t="s">
        <v>2092</v>
      </c>
      <c r="D558" s="286" t="s">
        <v>1105</v>
      </c>
      <c r="E558" s="286" t="s">
        <v>1106</v>
      </c>
      <c r="F558" s="286" t="s">
        <v>2157</v>
      </c>
      <c r="G558" s="286" t="s">
        <v>1010</v>
      </c>
      <c r="H558" s="286" t="s">
        <v>1010</v>
      </c>
      <c r="I558" s="286" t="s">
        <v>1199</v>
      </c>
      <c r="J558" s="286" t="s">
        <v>1312</v>
      </c>
      <c r="K558" s="286" t="s">
        <v>1797</v>
      </c>
      <c r="L558" s="286" t="s">
        <v>672</v>
      </c>
      <c r="M558" s="286">
        <v>1</v>
      </c>
      <c r="N558" s="287">
        <v>5556.46</v>
      </c>
      <c r="O558" s="294">
        <f t="shared" si="8"/>
        <v>45473</v>
      </c>
      <c r="P558" s="286" t="s">
        <v>58</v>
      </c>
    </row>
    <row r="559" spans="1:16" hidden="1" x14ac:dyDescent="0.15">
      <c r="A559" s="286">
        <v>608480</v>
      </c>
      <c r="B559" s="288">
        <v>45450.422222222223</v>
      </c>
      <c r="C559" s="286" t="s">
        <v>2092</v>
      </c>
      <c r="D559" s="286" t="s">
        <v>1105</v>
      </c>
      <c r="E559" s="286" t="s">
        <v>1106</v>
      </c>
      <c r="F559" s="286" t="s">
        <v>2157</v>
      </c>
      <c r="G559" s="286" t="s">
        <v>1010</v>
      </c>
      <c r="H559" s="286" t="s">
        <v>1010</v>
      </c>
      <c r="I559" s="286" t="s">
        <v>1199</v>
      </c>
      <c r="J559" s="286" t="s">
        <v>1312</v>
      </c>
      <c r="K559" s="286" t="s">
        <v>1796</v>
      </c>
      <c r="L559" s="286" t="s">
        <v>672</v>
      </c>
      <c r="M559" s="286">
        <v>1</v>
      </c>
      <c r="N559" s="287">
        <v>5556.46</v>
      </c>
      <c r="O559" s="294">
        <f t="shared" si="8"/>
        <v>45473</v>
      </c>
      <c r="P559" s="286" t="s">
        <v>58</v>
      </c>
    </row>
    <row r="560" spans="1:16" hidden="1" x14ac:dyDescent="0.15">
      <c r="A560" s="286">
        <v>646075</v>
      </c>
      <c r="B560" s="288">
        <v>45474.519444444442</v>
      </c>
      <c r="C560" s="286" t="s">
        <v>2111</v>
      </c>
      <c r="D560" s="286" t="s">
        <v>1105</v>
      </c>
      <c r="E560" s="286" t="s">
        <v>1106</v>
      </c>
      <c r="F560" s="286" t="s">
        <v>2137</v>
      </c>
      <c r="G560" s="286" t="s">
        <v>1010</v>
      </c>
      <c r="H560" s="286" t="s">
        <v>1010</v>
      </c>
      <c r="I560" s="286" t="s">
        <v>1199</v>
      </c>
      <c r="J560" s="286" t="s">
        <v>1312</v>
      </c>
      <c r="K560" s="286" t="s">
        <v>1797</v>
      </c>
      <c r="L560" s="286" t="s">
        <v>672</v>
      </c>
      <c r="M560" s="286">
        <v>1</v>
      </c>
      <c r="N560" s="287">
        <v>5556.46</v>
      </c>
      <c r="O560" s="294">
        <f t="shared" si="8"/>
        <v>45504</v>
      </c>
      <c r="P560" s="286" t="s">
        <v>58</v>
      </c>
    </row>
    <row r="561" spans="1:16" hidden="1" x14ac:dyDescent="0.15">
      <c r="A561" s="286">
        <v>646075</v>
      </c>
      <c r="B561" s="288">
        <v>45474.519444444442</v>
      </c>
      <c r="C561" s="286" t="s">
        <v>2111</v>
      </c>
      <c r="D561" s="286" t="s">
        <v>1105</v>
      </c>
      <c r="E561" s="286" t="s">
        <v>1106</v>
      </c>
      <c r="F561" s="286" t="s">
        <v>2137</v>
      </c>
      <c r="G561" s="286" t="s">
        <v>1010</v>
      </c>
      <c r="H561" s="286" t="s">
        <v>1010</v>
      </c>
      <c r="I561" s="286" t="s">
        <v>1199</v>
      </c>
      <c r="J561" s="286" t="s">
        <v>1312</v>
      </c>
      <c r="K561" s="286" t="s">
        <v>1796</v>
      </c>
      <c r="L561" s="286" t="s">
        <v>672</v>
      </c>
      <c r="M561" s="286">
        <v>1</v>
      </c>
      <c r="N561" s="287">
        <v>5556.46</v>
      </c>
      <c r="O561" s="294">
        <f t="shared" si="8"/>
        <v>45504</v>
      </c>
      <c r="P561" s="286" t="s">
        <v>58</v>
      </c>
    </row>
    <row r="562" spans="1:16" hidden="1" x14ac:dyDescent="0.15">
      <c r="A562" s="286">
        <v>697810</v>
      </c>
      <c r="B562" s="288">
        <v>45510.366666666669</v>
      </c>
      <c r="C562" s="286" t="s">
        <v>2102</v>
      </c>
      <c r="D562" s="286" t="s">
        <v>1105</v>
      </c>
      <c r="E562" s="286" t="s">
        <v>1106</v>
      </c>
      <c r="F562" s="286" t="s">
        <v>2138</v>
      </c>
      <c r="G562" s="286" t="s">
        <v>1010</v>
      </c>
      <c r="H562" s="286" t="s">
        <v>1010</v>
      </c>
      <c r="I562" s="286" t="s">
        <v>1199</v>
      </c>
      <c r="J562" s="286" t="s">
        <v>1312</v>
      </c>
      <c r="K562" s="286" t="s">
        <v>1797</v>
      </c>
      <c r="L562" s="286" t="s">
        <v>672</v>
      </c>
      <c r="M562" s="286">
        <v>1</v>
      </c>
      <c r="N562" s="287">
        <v>5556.46</v>
      </c>
      <c r="O562" s="294">
        <f t="shared" si="8"/>
        <v>45535</v>
      </c>
      <c r="P562" s="286" t="s">
        <v>58</v>
      </c>
    </row>
    <row r="563" spans="1:16" hidden="1" x14ac:dyDescent="0.15">
      <c r="A563" s="286">
        <v>697810</v>
      </c>
      <c r="B563" s="288">
        <v>45510.366666666669</v>
      </c>
      <c r="C563" s="286" t="s">
        <v>2102</v>
      </c>
      <c r="D563" s="286" t="s">
        <v>1105</v>
      </c>
      <c r="E563" s="286" t="s">
        <v>1106</v>
      </c>
      <c r="F563" s="286" t="s">
        <v>2138</v>
      </c>
      <c r="G563" s="286" t="s">
        <v>1010</v>
      </c>
      <c r="H563" s="286" t="s">
        <v>1010</v>
      </c>
      <c r="I563" s="286" t="s">
        <v>1199</v>
      </c>
      <c r="J563" s="286" t="s">
        <v>1312</v>
      </c>
      <c r="K563" s="286" t="s">
        <v>1796</v>
      </c>
      <c r="L563" s="286" t="s">
        <v>672</v>
      </c>
      <c r="M563" s="286">
        <v>1</v>
      </c>
      <c r="N563" s="287">
        <v>5556.46</v>
      </c>
      <c r="O563" s="294">
        <f t="shared" si="8"/>
        <v>45535</v>
      </c>
      <c r="P563" s="286" t="s">
        <v>58</v>
      </c>
    </row>
    <row r="564" spans="1:16" hidden="1" x14ac:dyDescent="0.15">
      <c r="A564" s="286">
        <v>745911</v>
      </c>
      <c r="B564" s="288">
        <v>45538.44027777778</v>
      </c>
      <c r="C564" s="286" t="s">
        <v>2132</v>
      </c>
      <c r="D564" s="286" t="s">
        <v>1105</v>
      </c>
      <c r="E564" s="286" t="s">
        <v>1106</v>
      </c>
      <c r="F564" s="286" t="s">
        <v>2139</v>
      </c>
      <c r="G564" s="286" t="s">
        <v>1010</v>
      </c>
      <c r="H564" s="286" t="s">
        <v>1010</v>
      </c>
      <c r="I564" s="286" t="s">
        <v>1199</v>
      </c>
      <c r="J564" s="286" t="s">
        <v>1312</v>
      </c>
      <c r="K564" s="286" t="s">
        <v>1797</v>
      </c>
      <c r="L564" s="286" t="s">
        <v>672</v>
      </c>
      <c r="M564" s="286">
        <v>1</v>
      </c>
      <c r="N564" s="287">
        <v>5556.42</v>
      </c>
      <c r="O564" s="294">
        <f t="shared" si="8"/>
        <v>45565</v>
      </c>
      <c r="P564" s="286" t="s">
        <v>58</v>
      </c>
    </row>
    <row r="565" spans="1:16" hidden="1" x14ac:dyDescent="0.15">
      <c r="A565" s="286">
        <v>745911</v>
      </c>
      <c r="B565" s="288">
        <v>45538.44027777778</v>
      </c>
      <c r="C565" s="286" t="s">
        <v>2132</v>
      </c>
      <c r="D565" s="286" t="s">
        <v>1105</v>
      </c>
      <c r="E565" s="286" t="s">
        <v>1106</v>
      </c>
      <c r="F565" s="286" t="s">
        <v>2139</v>
      </c>
      <c r="G565" s="286" t="s">
        <v>1010</v>
      </c>
      <c r="H565" s="286" t="s">
        <v>1010</v>
      </c>
      <c r="I565" s="286" t="s">
        <v>1199</v>
      </c>
      <c r="J565" s="286" t="s">
        <v>1312</v>
      </c>
      <c r="K565" s="286" t="s">
        <v>1796</v>
      </c>
      <c r="L565" s="286" t="s">
        <v>672</v>
      </c>
      <c r="M565" s="286">
        <v>1</v>
      </c>
      <c r="N565" s="287">
        <v>5556.42</v>
      </c>
      <c r="O565" s="294">
        <f t="shared" si="8"/>
        <v>45565</v>
      </c>
      <c r="P565" s="286" t="s">
        <v>58</v>
      </c>
    </row>
    <row r="566" spans="1:16" hidden="1" x14ac:dyDescent="0.15">
      <c r="A566" s="286">
        <v>745911</v>
      </c>
      <c r="B566" s="288">
        <v>45538.44027777778</v>
      </c>
      <c r="C566" s="286" t="s">
        <v>2132</v>
      </c>
      <c r="D566" s="286" t="s">
        <v>1105</v>
      </c>
      <c r="E566" s="286" t="s">
        <v>1106</v>
      </c>
      <c r="F566" s="286" t="s">
        <v>2139</v>
      </c>
      <c r="G566" s="286" t="s">
        <v>1016</v>
      </c>
      <c r="H566" s="286" t="s">
        <v>1016</v>
      </c>
      <c r="I566" s="286" t="s">
        <v>1199</v>
      </c>
      <c r="J566" s="286" t="s">
        <v>1312</v>
      </c>
      <c r="K566" s="286" t="s">
        <v>1767</v>
      </c>
      <c r="L566" s="286" t="s">
        <v>53</v>
      </c>
      <c r="M566" s="286">
        <v>1</v>
      </c>
      <c r="N566" s="287">
        <v>5554.9</v>
      </c>
      <c r="O566" s="294">
        <f t="shared" si="8"/>
        <v>45565</v>
      </c>
      <c r="P566" s="286" t="s">
        <v>58</v>
      </c>
    </row>
    <row r="567" spans="1:16" hidden="1" x14ac:dyDescent="0.15">
      <c r="A567" s="286">
        <v>848917</v>
      </c>
      <c r="B567" s="288">
        <v>45607.660416666666</v>
      </c>
      <c r="C567" s="286" t="s">
        <v>2100</v>
      </c>
      <c r="D567" s="286" t="s">
        <v>1105</v>
      </c>
      <c r="E567" s="286" t="s">
        <v>1106</v>
      </c>
      <c r="F567" s="286" t="s">
        <v>2141</v>
      </c>
      <c r="G567" s="286" t="s">
        <v>1036</v>
      </c>
      <c r="H567" s="286" t="s">
        <v>1036</v>
      </c>
      <c r="I567" s="286" t="s">
        <v>1199</v>
      </c>
      <c r="J567" s="286" t="s">
        <v>53</v>
      </c>
      <c r="K567" s="286" t="s">
        <v>53</v>
      </c>
      <c r="L567" s="286" t="s">
        <v>53</v>
      </c>
      <c r="M567" s="286" t="s">
        <v>53</v>
      </c>
      <c r="N567" s="287">
        <v>5497.72</v>
      </c>
      <c r="O567" s="294">
        <f t="shared" si="8"/>
        <v>45626</v>
      </c>
      <c r="P567" s="286" t="s">
        <v>58</v>
      </c>
    </row>
    <row r="568" spans="1:16" hidden="1" x14ac:dyDescent="0.15">
      <c r="A568" s="286">
        <v>455870</v>
      </c>
      <c r="B568" s="288">
        <v>45310.583333333336</v>
      </c>
      <c r="C568" s="286" t="s">
        <v>2125</v>
      </c>
      <c r="D568" s="286" t="s">
        <v>1105</v>
      </c>
      <c r="E568" s="286" t="s">
        <v>1106</v>
      </c>
      <c r="F568" s="286" t="s">
        <v>2280</v>
      </c>
      <c r="G568" s="286" t="s">
        <v>1036</v>
      </c>
      <c r="H568" s="286" t="s">
        <v>1036</v>
      </c>
      <c r="I568" s="286" t="s">
        <v>1199</v>
      </c>
      <c r="J568" s="286" t="s">
        <v>53</v>
      </c>
      <c r="K568" s="286" t="s">
        <v>53</v>
      </c>
      <c r="L568" s="286" t="s">
        <v>53</v>
      </c>
      <c r="M568" s="286" t="s">
        <v>53</v>
      </c>
      <c r="N568" s="287">
        <v>5497.71</v>
      </c>
      <c r="O568" s="294">
        <f t="shared" si="8"/>
        <v>45322</v>
      </c>
      <c r="P568" s="286" t="s">
        <v>58</v>
      </c>
    </row>
    <row r="569" spans="1:16" hidden="1" x14ac:dyDescent="0.15">
      <c r="A569" s="286">
        <v>472168</v>
      </c>
      <c r="B569" s="288">
        <v>45331.416666666664</v>
      </c>
      <c r="C569" s="286" t="s">
        <v>2113</v>
      </c>
      <c r="D569" s="286" t="s">
        <v>1105</v>
      </c>
      <c r="E569" s="286" t="s">
        <v>1106</v>
      </c>
      <c r="F569" s="286" t="s">
        <v>2153</v>
      </c>
      <c r="G569" s="286" t="s">
        <v>1036</v>
      </c>
      <c r="H569" s="286" t="s">
        <v>1036</v>
      </c>
      <c r="I569" s="286" t="s">
        <v>1199</v>
      </c>
      <c r="J569" s="286" t="s">
        <v>53</v>
      </c>
      <c r="K569" s="286" t="s">
        <v>53</v>
      </c>
      <c r="L569" s="286" t="s">
        <v>53</v>
      </c>
      <c r="M569" s="286" t="s">
        <v>53</v>
      </c>
      <c r="N569" s="287">
        <v>5497.71</v>
      </c>
      <c r="O569" s="294">
        <f t="shared" si="8"/>
        <v>45351</v>
      </c>
      <c r="P569" s="286" t="s">
        <v>58</v>
      </c>
    </row>
    <row r="570" spans="1:16" hidden="1" x14ac:dyDescent="0.15">
      <c r="A570" s="286">
        <v>504817</v>
      </c>
      <c r="B570" s="288">
        <v>45359.645138888889</v>
      </c>
      <c r="C570" s="286" t="s">
        <v>2109</v>
      </c>
      <c r="D570" s="286" t="s">
        <v>1105</v>
      </c>
      <c r="E570" s="286" t="s">
        <v>1106</v>
      </c>
      <c r="F570" s="286" t="s">
        <v>2154</v>
      </c>
      <c r="G570" s="286" t="s">
        <v>1036</v>
      </c>
      <c r="H570" s="286" t="s">
        <v>1036</v>
      </c>
      <c r="I570" s="286" t="s">
        <v>1199</v>
      </c>
      <c r="J570" s="286" t="s">
        <v>53</v>
      </c>
      <c r="K570" s="286" t="s">
        <v>53</v>
      </c>
      <c r="L570" s="286" t="s">
        <v>53</v>
      </c>
      <c r="M570" s="286" t="s">
        <v>53</v>
      </c>
      <c r="N570" s="287">
        <v>5497.71</v>
      </c>
      <c r="O570" s="294">
        <f t="shared" si="8"/>
        <v>45382</v>
      </c>
      <c r="P570" s="286" t="s">
        <v>58</v>
      </c>
    </row>
    <row r="571" spans="1:16" hidden="1" x14ac:dyDescent="0.15">
      <c r="A571" s="286">
        <v>534207</v>
      </c>
      <c r="B571" s="288">
        <v>45385.750694444447</v>
      </c>
      <c r="C571" s="286" t="s">
        <v>2096</v>
      </c>
      <c r="D571" s="286" t="s">
        <v>1105</v>
      </c>
      <c r="E571" s="286" t="s">
        <v>1106</v>
      </c>
      <c r="F571" s="286" t="s">
        <v>2155</v>
      </c>
      <c r="G571" s="286" t="s">
        <v>1036</v>
      </c>
      <c r="H571" s="286" t="s">
        <v>1036</v>
      </c>
      <c r="I571" s="286" t="s">
        <v>1199</v>
      </c>
      <c r="J571" s="286" t="s">
        <v>53</v>
      </c>
      <c r="K571" s="286" t="s">
        <v>53</v>
      </c>
      <c r="L571" s="286" t="s">
        <v>53</v>
      </c>
      <c r="M571" s="286" t="s">
        <v>53</v>
      </c>
      <c r="N571" s="287">
        <v>5497.71</v>
      </c>
      <c r="O571" s="294">
        <f t="shared" si="8"/>
        <v>45412</v>
      </c>
      <c r="P571" s="286" t="s">
        <v>58</v>
      </c>
    </row>
    <row r="572" spans="1:16" hidden="1" x14ac:dyDescent="0.15">
      <c r="A572" s="286">
        <v>614216</v>
      </c>
      <c r="B572" s="288">
        <v>45455.716666666667</v>
      </c>
      <c r="C572" s="286" t="s">
        <v>2116</v>
      </c>
      <c r="D572" s="286" t="s">
        <v>1105</v>
      </c>
      <c r="E572" s="286" t="s">
        <v>1106</v>
      </c>
      <c r="F572" s="286" t="s">
        <v>2156</v>
      </c>
      <c r="G572" s="286" t="s">
        <v>1036</v>
      </c>
      <c r="H572" s="286" t="s">
        <v>1036</v>
      </c>
      <c r="I572" s="286" t="s">
        <v>1199</v>
      </c>
      <c r="J572" s="286" t="s">
        <v>53</v>
      </c>
      <c r="K572" s="286" t="s">
        <v>53</v>
      </c>
      <c r="L572" s="286" t="s">
        <v>53</v>
      </c>
      <c r="M572" s="286" t="s">
        <v>53</v>
      </c>
      <c r="N572" s="287">
        <v>5497.71</v>
      </c>
      <c r="O572" s="294">
        <f t="shared" si="8"/>
        <v>45473</v>
      </c>
      <c r="P572" s="286" t="s">
        <v>58</v>
      </c>
    </row>
    <row r="573" spans="1:16" hidden="1" x14ac:dyDescent="0.15">
      <c r="A573" s="286">
        <v>614316</v>
      </c>
      <c r="B573" s="288">
        <v>45455.717361111114</v>
      </c>
      <c r="C573" s="286" t="s">
        <v>2092</v>
      </c>
      <c r="D573" s="286" t="s">
        <v>1105</v>
      </c>
      <c r="E573" s="286" t="s">
        <v>1106</v>
      </c>
      <c r="F573" s="286" t="s">
        <v>2167</v>
      </c>
      <c r="G573" s="286" t="s">
        <v>1036</v>
      </c>
      <c r="H573" s="286" t="s">
        <v>1036</v>
      </c>
      <c r="I573" s="286" t="s">
        <v>1199</v>
      </c>
      <c r="J573" s="286" t="s">
        <v>53</v>
      </c>
      <c r="K573" s="286" t="s">
        <v>53</v>
      </c>
      <c r="L573" s="286" t="s">
        <v>53</v>
      </c>
      <c r="M573" s="286" t="s">
        <v>53</v>
      </c>
      <c r="N573" s="287">
        <v>5497.71</v>
      </c>
      <c r="O573" s="294">
        <f t="shared" si="8"/>
        <v>45473</v>
      </c>
      <c r="P573" s="286" t="s">
        <v>58</v>
      </c>
    </row>
    <row r="574" spans="1:16" hidden="1" x14ac:dyDescent="0.15">
      <c r="A574" s="286">
        <v>646075</v>
      </c>
      <c r="B574" s="288">
        <v>45474.519444444442</v>
      </c>
      <c r="C574" s="286" t="s">
        <v>2111</v>
      </c>
      <c r="D574" s="286" t="s">
        <v>1105</v>
      </c>
      <c r="E574" s="286" t="s">
        <v>1106</v>
      </c>
      <c r="F574" s="286" t="s">
        <v>2137</v>
      </c>
      <c r="G574" s="286" t="s">
        <v>1036</v>
      </c>
      <c r="H574" s="286" t="s">
        <v>1036</v>
      </c>
      <c r="I574" s="286" t="s">
        <v>1199</v>
      </c>
      <c r="J574" s="286" t="s">
        <v>53</v>
      </c>
      <c r="K574" s="286" t="s">
        <v>53</v>
      </c>
      <c r="L574" s="286" t="s">
        <v>53</v>
      </c>
      <c r="M574" s="286" t="s">
        <v>53</v>
      </c>
      <c r="N574" s="287">
        <v>5497.71</v>
      </c>
      <c r="O574" s="294">
        <f t="shared" si="8"/>
        <v>45504</v>
      </c>
      <c r="P574" s="286" t="s">
        <v>58</v>
      </c>
    </row>
    <row r="575" spans="1:16" hidden="1" x14ac:dyDescent="0.15">
      <c r="A575" s="286">
        <v>697810</v>
      </c>
      <c r="B575" s="288">
        <v>45510.366666666669</v>
      </c>
      <c r="C575" s="286" t="s">
        <v>2102</v>
      </c>
      <c r="D575" s="286" t="s">
        <v>1105</v>
      </c>
      <c r="E575" s="286" t="s">
        <v>1106</v>
      </c>
      <c r="F575" s="286" t="s">
        <v>2138</v>
      </c>
      <c r="G575" s="286" t="s">
        <v>1036</v>
      </c>
      <c r="H575" s="286" t="s">
        <v>1036</v>
      </c>
      <c r="I575" s="286" t="s">
        <v>1199</v>
      </c>
      <c r="J575" s="286" t="s">
        <v>53</v>
      </c>
      <c r="K575" s="286" t="s">
        <v>53</v>
      </c>
      <c r="L575" s="286" t="s">
        <v>53</v>
      </c>
      <c r="M575" s="286" t="s">
        <v>53</v>
      </c>
      <c r="N575" s="287">
        <v>5497.71</v>
      </c>
      <c r="O575" s="294">
        <f t="shared" si="8"/>
        <v>45535</v>
      </c>
      <c r="P575" s="286" t="s">
        <v>58</v>
      </c>
    </row>
    <row r="576" spans="1:16" hidden="1" x14ac:dyDescent="0.15">
      <c r="A576" s="286">
        <v>745911</v>
      </c>
      <c r="B576" s="288">
        <v>45538.44027777778</v>
      </c>
      <c r="C576" s="286" t="s">
        <v>2132</v>
      </c>
      <c r="D576" s="286" t="s">
        <v>1105</v>
      </c>
      <c r="E576" s="286" t="s">
        <v>1106</v>
      </c>
      <c r="F576" s="286" t="s">
        <v>2139</v>
      </c>
      <c r="G576" s="286" t="s">
        <v>1036</v>
      </c>
      <c r="H576" s="286" t="s">
        <v>1036</v>
      </c>
      <c r="I576" s="286" t="s">
        <v>1199</v>
      </c>
      <c r="J576" s="286" t="s">
        <v>53</v>
      </c>
      <c r="K576" s="286" t="s">
        <v>53</v>
      </c>
      <c r="L576" s="286" t="s">
        <v>53</v>
      </c>
      <c r="M576" s="286" t="s">
        <v>53</v>
      </c>
      <c r="N576" s="287">
        <v>5497.71</v>
      </c>
      <c r="O576" s="294">
        <f t="shared" si="8"/>
        <v>45565</v>
      </c>
      <c r="P576" s="286" t="s">
        <v>58</v>
      </c>
    </row>
    <row r="577" spans="1:16" hidden="1" x14ac:dyDescent="0.15">
      <c r="A577" s="286">
        <v>848817</v>
      </c>
      <c r="B577" s="288">
        <v>45607.65902777778</v>
      </c>
      <c r="C577" s="286" t="s">
        <v>2130</v>
      </c>
      <c r="D577" s="286" t="s">
        <v>1105</v>
      </c>
      <c r="E577" s="286" t="s">
        <v>1106</v>
      </c>
      <c r="F577" s="286" t="s">
        <v>2140</v>
      </c>
      <c r="G577" s="286" t="s">
        <v>1036</v>
      </c>
      <c r="H577" s="286" t="s">
        <v>1036</v>
      </c>
      <c r="I577" s="286" t="s">
        <v>1199</v>
      </c>
      <c r="J577" s="286" t="s">
        <v>53</v>
      </c>
      <c r="K577" s="286" t="s">
        <v>53</v>
      </c>
      <c r="L577" s="286" t="s">
        <v>53</v>
      </c>
      <c r="M577" s="286" t="s">
        <v>53</v>
      </c>
      <c r="N577" s="287">
        <v>5497.71</v>
      </c>
      <c r="O577" s="294">
        <f t="shared" si="8"/>
        <v>45626</v>
      </c>
      <c r="P577" s="286" t="s">
        <v>58</v>
      </c>
    </row>
    <row r="578" spans="1:16" hidden="1" x14ac:dyDescent="0.15">
      <c r="A578" s="286">
        <v>874698</v>
      </c>
      <c r="B578" s="288">
        <v>45628.357638888891</v>
      </c>
      <c r="C578" s="286" t="s">
        <v>2098</v>
      </c>
      <c r="D578" s="286" t="s">
        <v>1105</v>
      </c>
      <c r="E578" s="286" t="s">
        <v>1106</v>
      </c>
      <c r="F578" s="286" t="s">
        <v>2142</v>
      </c>
      <c r="G578" s="286" t="s">
        <v>1077</v>
      </c>
      <c r="H578" s="286" t="s">
        <v>1077</v>
      </c>
      <c r="I578" s="286" t="s">
        <v>1152</v>
      </c>
      <c r="J578" s="286" t="s">
        <v>1312</v>
      </c>
      <c r="K578" s="286" t="s">
        <v>2281</v>
      </c>
      <c r="L578" s="286" t="s">
        <v>2282</v>
      </c>
      <c r="M578" s="286">
        <v>1</v>
      </c>
      <c r="N578" s="287">
        <v>5451.61</v>
      </c>
      <c r="O578" s="294">
        <f t="shared" si="8"/>
        <v>45657</v>
      </c>
      <c r="P578" s="286" t="s">
        <v>58</v>
      </c>
    </row>
    <row r="579" spans="1:16" hidden="1" x14ac:dyDescent="0.15">
      <c r="A579" s="286">
        <v>749526</v>
      </c>
      <c r="B579" s="288">
        <v>45540.356944444444</v>
      </c>
      <c r="C579" s="286" t="s">
        <v>2102</v>
      </c>
      <c r="D579" s="286" t="s">
        <v>1105</v>
      </c>
      <c r="E579" s="286" t="s">
        <v>1106</v>
      </c>
      <c r="F579" s="286" t="s">
        <v>2168</v>
      </c>
      <c r="G579" s="286" t="s">
        <v>1011</v>
      </c>
      <c r="H579" s="286" t="s">
        <v>1011</v>
      </c>
      <c r="I579" s="286" t="s">
        <v>1129</v>
      </c>
      <c r="J579" s="286" t="s">
        <v>1312</v>
      </c>
      <c r="K579" s="286" t="s">
        <v>2283</v>
      </c>
      <c r="L579" s="286" t="s">
        <v>2284</v>
      </c>
      <c r="M579" s="286">
        <v>1</v>
      </c>
      <c r="N579" s="287">
        <v>5414.29</v>
      </c>
      <c r="O579" s="294">
        <f t="shared" si="8"/>
        <v>45565</v>
      </c>
      <c r="P579" s="286" t="s">
        <v>164</v>
      </c>
    </row>
    <row r="580" spans="1:16" hidden="1" x14ac:dyDescent="0.15">
      <c r="A580" s="286">
        <v>438112</v>
      </c>
      <c r="B580" s="288">
        <v>45293.53402777778</v>
      </c>
      <c r="C580" s="286" t="s">
        <v>2125</v>
      </c>
      <c r="D580" s="286" t="s">
        <v>1105</v>
      </c>
      <c r="E580" s="286" t="s">
        <v>1106</v>
      </c>
      <c r="F580" s="286" t="s">
        <v>2152</v>
      </c>
      <c r="G580" s="286" t="s">
        <v>1007</v>
      </c>
      <c r="H580" s="286" t="s">
        <v>1007</v>
      </c>
      <c r="I580" s="286" t="s">
        <v>1228</v>
      </c>
      <c r="J580" s="286" t="s">
        <v>53</v>
      </c>
      <c r="K580" s="286" t="s">
        <v>53</v>
      </c>
      <c r="L580" s="286" t="s">
        <v>53</v>
      </c>
      <c r="M580" s="286" t="s">
        <v>53</v>
      </c>
      <c r="N580" s="287">
        <v>5311.34</v>
      </c>
      <c r="O580" s="294">
        <f t="shared" ref="O580:O643" si="9">EOMONTH(B580,0)</f>
        <v>45322</v>
      </c>
      <c r="P580" s="286" t="s">
        <v>58</v>
      </c>
    </row>
    <row r="581" spans="1:16" hidden="1" x14ac:dyDescent="0.15">
      <c r="A581" s="286">
        <v>472168</v>
      </c>
      <c r="B581" s="288">
        <v>45331.416666666664</v>
      </c>
      <c r="C581" s="286" t="s">
        <v>2113</v>
      </c>
      <c r="D581" s="286" t="s">
        <v>1105</v>
      </c>
      <c r="E581" s="286" t="s">
        <v>1106</v>
      </c>
      <c r="F581" s="286" t="s">
        <v>2153</v>
      </c>
      <c r="G581" s="286" t="s">
        <v>1007</v>
      </c>
      <c r="H581" s="286" t="s">
        <v>1007</v>
      </c>
      <c r="I581" s="286" t="s">
        <v>1228</v>
      </c>
      <c r="J581" s="286" t="s">
        <v>53</v>
      </c>
      <c r="K581" s="286" t="s">
        <v>53</v>
      </c>
      <c r="L581" s="286" t="s">
        <v>53</v>
      </c>
      <c r="M581" s="286" t="s">
        <v>53</v>
      </c>
      <c r="N581" s="287">
        <v>5311.34</v>
      </c>
      <c r="O581" s="294">
        <f t="shared" si="9"/>
        <v>45351</v>
      </c>
      <c r="P581" s="286" t="s">
        <v>58</v>
      </c>
    </row>
    <row r="582" spans="1:16" hidden="1" x14ac:dyDescent="0.15">
      <c r="A582" s="286">
        <v>504817</v>
      </c>
      <c r="B582" s="288">
        <v>45359.645138888889</v>
      </c>
      <c r="C582" s="286" t="s">
        <v>2109</v>
      </c>
      <c r="D582" s="286" t="s">
        <v>1105</v>
      </c>
      <c r="E582" s="286" t="s">
        <v>1106</v>
      </c>
      <c r="F582" s="286" t="s">
        <v>2154</v>
      </c>
      <c r="G582" s="286" t="s">
        <v>1007</v>
      </c>
      <c r="H582" s="286" t="s">
        <v>1007</v>
      </c>
      <c r="I582" s="286" t="s">
        <v>1228</v>
      </c>
      <c r="J582" s="286" t="s">
        <v>53</v>
      </c>
      <c r="K582" s="286" t="s">
        <v>53</v>
      </c>
      <c r="L582" s="286" t="s">
        <v>53</v>
      </c>
      <c r="M582" s="286" t="s">
        <v>53</v>
      </c>
      <c r="N582" s="287">
        <v>5311.34</v>
      </c>
      <c r="O582" s="294">
        <f t="shared" si="9"/>
        <v>45382</v>
      </c>
      <c r="P582" s="286" t="s">
        <v>58</v>
      </c>
    </row>
    <row r="583" spans="1:16" hidden="1" x14ac:dyDescent="0.15">
      <c r="A583" s="286">
        <v>534207</v>
      </c>
      <c r="B583" s="288">
        <v>45385.750694444447</v>
      </c>
      <c r="C583" s="286" t="s">
        <v>2096</v>
      </c>
      <c r="D583" s="286" t="s">
        <v>1105</v>
      </c>
      <c r="E583" s="286" t="s">
        <v>1106</v>
      </c>
      <c r="F583" s="286" t="s">
        <v>2155</v>
      </c>
      <c r="G583" s="286" t="s">
        <v>1007</v>
      </c>
      <c r="H583" s="286" t="s">
        <v>1007</v>
      </c>
      <c r="I583" s="286" t="s">
        <v>1228</v>
      </c>
      <c r="J583" s="286" t="s">
        <v>53</v>
      </c>
      <c r="K583" s="286" t="s">
        <v>53</v>
      </c>
      <c r="L583" s="286" t="s">
        <v>53</v>
      </c>
      <c r="M583" s="286" t="s">
        <v>53</v>
      </c>
      <c r="N583" s="287">
        <v>5311.34</v>
      </c>
      <c r="O583" s="294">
        <f t="shared" si="9"/>
        <v>45412</v>
      </c>
      <c r="P583" s="286" t="s">
        <v>58</v>
      </c>
    </row>
    <row r="584" spans="1:16" hidden="1" x14ac:dyDescent="0.15">
      <c r="A584" s="286">
        <v>614216</v>
      </c>
      <c r="B584" s="288">
        <v>45455.716666666667</v>
      </c>
      <c r="C584" s="286" t="s">
        <v>2116</v>
      </c>
      <c r="D584" s="286" t="s">
        <v>1105</v>
      </c>
      <c r="E584" s="286" t="s">
        <v>1106</v>
      </c>
      <c r="F584" s="286" t="s">
        <v>2156</v>
      </c>
      <c r="G584" s="286" t="s">
        <v>1007</v>
      </c>
      <c r="H584" s="286" t="s">
        <v>1007</v>
      </c>
      <c r="I584" s="286" t="s">
        <v>1228</v>
      </c>
      <c r="J584" s="286" t="s">
        <v>53</v>
      </c>
      <c r="K584" s="286" t="s">
        <v>53</v>
      </c>
      <c r="L584" s="286" t="s">
        <v>53</v>
      </c>
      <c r="M584" s="286" t="s">
        <v>53</v>
      </c>
      <c r="N584" s="287">
        <v>5311.34</v>
      </c>
      <c r="O584" s="294">
        <f t="shared" si="9"/>
        <v>45473</v>
      </c>
      <c r="P584" s="286" t="s">
        <v>58</v>
      </c>
    </row>
    <row r="585" spans="1:16" hidden="1" x14ac:dyDescent="0.15">
      <c r="A585" s="286">
        <v>608480</v>
      </c>
      <c r="B585" s="288">
        <v>45450.422222222223</v>
      </c>
      <c r="C585" s="286" t="s">
        <v>2092</v>
      </c>
      <c r="D585" s="286" t="s">
        <v>1105</v>
      </c>
      <c r="E585" s="286" t="s">
        <v>1106</v>
      </c>
      <c r="F585" s="286" t="s">
        <v>2157</v>
      </c>
      <c r="G585" s="286" t="s">
        <v>1007</v>
      </c>
      <c r="H585" s="286" t="s">
        <v>1007</v>
      </c>
      <c r="I585" s="286" t="s">
        <v>1228</v>
      </c>
      <c r="J585" s="286" t="s">
        <v>53</v>
      </c>
      <c r="K585" s="286" t="s">
        <v>53</v>
      </c>
      <c r="L585" s="286" t="s">
        <v>53</v>
      </c>
      <c r="M585" s="286" t="s">
        <v>53</v>
      </c>
      <c r="N585" s="287">
        <v>5311.34</v>
      </c>
      <c r="O585" s="294">
        <f t="shared" si="9"/>
        <v>45473</v>
      </c>
      <c r="P585" s="286" t="s">
        <v>58</v>
      </c>
    </row>
    <row r="586" spans="1:16" hidden="1" x14ac:dyDescent="0.15">
      <c r="A586" s="286">
        <v>646075</v>
      </c>
      <c r="B586" s="288">
        <v>45474.519444444442</v>
      </c>
      <c r="C586" s="286" t="s">
        <v>2111</v>
      </c>
      <c r="D586" s="286" t="s">
        <v>1105</v>
      </c>
      <c r="E586" s="286" t="s">
        <v>1106</v>
      </c>
      <c r="F586" s="286" t="s">
        <v>2137</v>
      </c>
      <c r="G586" s="286" t="s">
        <v>1007</v>
      </c>
      <c r="H586" s="286" t="s">
        <v>1007</v>
      </c>
      <c r="I586" s="286" t="s">
        <v>1228</v>
      </c>
      <c r="J586" s="286" t="s">
        <v>53</v>
      </c>
      <c r="K586" s="286" t="s">
        <v>53</v>
      </c>
      <c r="L586" s="286" t="s">
        <v>53</v>
      </c>
      <c r="M586" s="286" t="s">
        <v>53</v>
      </c>
      <c r="N586" s="287">
        <v>5311.29</v>
      </c>
      <c r="O586" s="294">
        <f t="shared" si="9"/>
        <v>45504</v>
      </c>
      <c r="P586" s="286" t="s">
        <v>58</v>
      </c>
    </row>
    <row r="587" spans="1:16" hidden="1" x14ac:dyDescent="0.15">
      <c r="A587" s="286">
        <v>697810</v>
      </c>
      <c r="B587" s="288">
        <v>45510.366666666669</v>
      </c>
      <c r="C587" s="286" t="s">
        <v>2102</v>
      </c>
      <c r="D587" s="286" t="s">
        <v>1105</v>
      </c>
      <c r="E587" s="286" t="s">
        <v>1106</v>
      </c>
      <c r="F587" s="286" t="s">
        <v>2138</v>
      </c>
      <c r="G587" s="286" t="s">
        <v>1078</v>
      </c>
      <c r="H587" s="286" t="s">
        <v>1078</v>
      </c>
      <c r="I587" s="286" t="s">
        <v>1199</v>
      </c>
      <c r="J587" s="286" t="s">
        <v>1312</v>
      </c>
      <c r="K587" s="286" t="s">
        <v>1797</v>
      </c>
      <c r="L587" s="286" t="s">
        <v>672</v>
      </c>
      <c r="M587" s="286">
        <v>1</v>
      </c>
      <c r="N587" s="287">
        <v>5217.22</v>
      </c>
      <c r="O587" s="294">
        <f t="shared" si="9"/>
        <v>45535</v>
      </c>
      <c r="P587" s="286" t="s">
        <v>58</v>
      </c>
    </row>
    <row r="588" spans="1:16" hidden="1" x14ac:dyDescent="0.15">
      <c r="A588" s="286">
        <v>745911</v>
      </c>
      <c r="B588" s="288">
        <v>45538.44027777778</v>
      </c>
      <c r="C588" s="286" t="s">
        <v>2132</v>
      </c>
      <c r="D588" s="286" t="s">
        <v>1105</v>
      </c>
      <c r="E588" s="286" t="s">
        <v>1106</v>
      </c>
      <c r="F588" s="286" t="s">
        <v>2139</v>
      </c>
      <c r="G588" s="286" t="s">
        <v>1078</v>
      </c>
      <c r="H588" s="286" t="s">
        <v>1078</v>
      </c>
      <c r="I588" s="286" t="s">
        <v>1199</v>
      </c>
      <c r="J588" s="286" t="s">
        <v>1312</v>
      </c>
      <c r="K588" s="286" t="s">
        <v>1797</v>
      </c>
      <c r="L588" s="286" t="s">
        <v>672</v>
      </c>
      <c r="M588" s="286">
        <v>1</v>
      </c>
      <c r="N588" s="287">
        <v>5217.22</v>
      </c>
      <c r="O588" s="294">
        <f t="shared" si="9"/>
        <v>45565</v>
      </c>
      <c r="P588" s="286" t="s">
        <v>58</v>
      </c>
    </row>
    <row r="589" spans="1:16" hidden="1" x14ac:dyDescent="0.15">
      <c r="A589" s="286">
        <v>848817</v>
      </c>
      <c r="B589" s="288">
        <v>45607.65902777778</v>
      </c>
      <c r="C589" s="286" t="s">
        <v>2130</v>
      </c>
      <c r="D589" s="286" t="s">
        <v>1105</v>
      </c>
      <c r="E589" s="286" t="s">
        <v>1106</v>
      </c>
      <c r="F589" s="286" t="s">
        <v>2140</v>
      </c>
      <c r="G589" s="286" t="s">
        <v>1078</v>
      </c>
      <c r="H589" s="286" t="s">
        <v>1078</v>
      </c>
      <c r="I589" s="286" t="s">
        <v>1199</v>
      </c>
      <c r="J589" s="286" t="s">
        <v>1312</v>
      </c>
      <c r="K589" s="286" t="s">
        <v>1797</v>
      </c>
      <c r="L589" s="286" t="s">
        <v>672</v>
      </c>
      <c r="M589" s="286">
        <v>1</v>
      </c>
      <c r="N589" s="287">
        <v>5217.22</v>
      </c>
      <c r="O589" s="294">
        <f t="shared" si="9"/>
        <v>45626</v>
      </c>
      <c r="P589" s="286" t="s">
        <v>58</v>
      </c>
    </row>
    <row r="590" spans="1:16" hidden="1" x14ac:dyDescent="0.15">
      <c r="A590" s="286">
        <v>848917</v>
      </c>
      <c r="B590" s="288">
        <v>45607.660416666666</v>
      </c>
      <c r="C590" s="286" t="s">
        <v>2100</v>
      </c>
      <c r="D590" s="286" t="s">
        <v>1105</v>
      </c>
      <c r="E590" s="286" t="s">
        <v>1106</v>
      </c>
      <c r="F590" s="286" t="s">
        <v>2141</v>
      </c>
      <c r="G590" s="286" t="s">
        <v>1078</v>
      </c>
      <c r="H590" s="286" t="s">
        <v>1078</v>
      </c>
      <c r="I590" s="286" t="s">
        <v>1199</v>
      </c>
      <c r="J590" s="286" t="s">
        <v>1312</v>
      </c>
      <c r="K590" s="286" t="s">
        <v>1797</v>
      </c>
      <c r="L590" s="286" t="s">
        <v>672</v>
      </c>
      <c r="M590" s="286">
        <v>1</v>
      </c>
      <c r="N590" s="287">
        <v>5217.22</v>
      </c>
      <c r="O590" s="294">
        <f t="shared" si="9"/>
        <v>45626</v>
      </c>
      <c r="P590" s="286" t="s">
        <v>58</v>
      </c>
    </row>
    <row r="591" spans="1:16" hidden="1" x14ac:dyDescent="0.15">
      <c r="A591" s="286">
        <v>874698</v>
      </c>
      <c r="B591" s="288">
        <v>45628.357638888891</v>
      </c>
      <c r="C591" s="286" t="s">
        <v>2098</v>
      </c>
      <c r="D591" s="286" t="s">
        <v>1105</v>
      </c>
      <c r="E591" s="286" t="s">
        <v>1106</v>
      </c>
      <c r="F591" s="286" t="s">
        <v>2142</v>
      </c>
      <c r="G591" s="286" t="s">
        <v>1078</v>
      </c>
      <c r="H591" s="286" t="s">
        <v>1078</v>
      </c>
      <c r="I591" s="286" t="s">
        <v>1199</v>
      </c>
      <c r="J591" s="286" t="s">
        <v>1312</v>
      </c>
      <c r="K591" s="286" t="s">
        <v>1797</v>
      </c>
      <c r="L591" s="286" t="s">
        <v>672</v>
      </c>
      <c r="M591" s="286">
        <v>1</v>
      </c>
      <c r="N591" s="287">
        <v>5217.22</v>
      </c>
      <c r="O591" s="294">
        <f t="shared" si="9"/>
        <v>45657</v>
      </c>
      <c r="P591" s="286" t="s">
        <v>58</v>
      </c>
    </row>
    <row r="592" spans="1:16" hidden="1" x14ac:dyDescent="0.15">
      <c r="A592" s="286">
        <v>438112</v>
      </c>
      <c r="B592" s="288">
        <v>45293.53402777778</v>
      </c>
      <c r="C592" s="286" t="s">
        <v>2125</v>
      </c>
      <c r="D592" s="286" t="s">
        <v>1105</v>
      </c>
      <c r="E592" s="286" t="s">
        <v>1106</v>
      </c>
      <c r="F592" s="286" t="s">
        <v>2152</v>
      </c>
      <c r="G592" s="286" t="s">
        <v>1021</v>
      </c>
      <c r="H592" s="286" t="s">
        <v>1021</v>
      </c>
      <c r="I592" s="286" t="s">
        <v>1199</v>
      </c>
      <c r="J592" s="286" t="s">
        <v>1312</v>
      </c>
      <c r="K592" s="286" t="s">
        <v>53</v>
      </c>
      <c r="L592" s="286" t="s">
        <v>53</v>
      </c>
      <c r="M592" s="286" t="s">
        <v>53</v>
      </c>
      <c r="N592" s="287">
        <v>5122.5</v>
      </c>
      <c r="O592" s="294">
        <f t="shared" si="9"/>
        <v>45322</v>
      </c>
      <c r="P592" s="286" t="s">
        <v>58</v>
      </c>
    </row>
    <row r="593" spans="1:16" hidden="1" x14ac:dyDescent="0.15">
      <c r="A593" s="286">
        <v>472168</v>
      </c>
      <c r="B593" s="288">
        <v>45331.416666666664</v>
      </c>
      <c r="C593" s="286" t="s">
        <v>2113</v>
      </c>
      <c r="D593" s="286" t="s">
        <v>1105</v>
      </c>
      <c r="E593" s="286" t="s">
        <v>1106</v>
      </c>
      <c r="F593" s="286" t="s">
        <v>2153</v>
      </c>
      <c r="G593" s="286" t="s">
        <v>1021</v>
      </c>
      <c r="H593" s="286" t="s">
        <v>1021</v>
      </c>
      <c r="I593" s="286" t="s">
        <v>1199</v>
      </c>
      <c r="J593" s="286" t="s">
        <v>1312</v>
      </c>
      <c r="K593" s="286" t="s">
        <v>53</v>
      </c>
      <c r="L593" s="286" t="s">
        <v>53</v>
      </c>
      <c r="M593" s="286" t="s">
        <v>53</v>
      </c>
      <c r="N593" s="287">
        <v>5122.5</v>
      </c>
      <c r="O593" s="294">
        <f t="shared" si="9"/>
        <v>45351</v>
      </c>
      <c r="P593" s="286" t="s">
        <v>58</v>
      </c>
    </row>
    <row r="594" spans="1:16" hidden="1" x14ac:dyDescent="0.15">
      <c r="A594" s="286">
        <v>504817</v>
      </c>
      <c r="B594" s="288">
        <v>45359.645138888889</v>
      </c>
      <c r="C594" s="286" t="s">
        <v>2109</v>
      </c>
      <c r="D594" s="286" t="s">
        <v>1105</v>
      </c>
      <c r="E594" s="286" t="s">
        <v>1106</v>
      </c>
      <c r="F594" s="286" t="s">
        <v>2154</v>
      </c>
      <c r="G594" s="286" t="s">
        <v>1021</v>
      </c>
      <c r="H594" s="286" t="s">
        <v>1021</v>
      </c>
      <c r="I594" s="286" t="s">
        <v>1199</v>
      </c>
      <c r="J594" s="286" t="s">
        <v>1312</v>
      </c>
      <c r="K594" s="286" t="s">
        <v>53</v>
      </c>
      <c r="L594" s="286" t="s">
        <v>53</v>
      </c>
      <c r="M594" s="286" t="s">
        <v>53</v>
      </c>
      <c r="N594" s="287">
        <v>5122.5</v>
      </c>
      <c r="O594" s="294">
        <f t="shared" si="9"/>
        <v>45382</v>
      </c>
      <c r="P594" s="286" t="s">
        <v>58</v>
      </c>
    </row>
    <row r="595" spans="1:16" hidden="1" x14ac:dyDescent="0.15">
      <c r="A595" s="286">
        <v>534207</v>
      </c>
      <c r="B595" s="288">
        <v>45385.750694444447</v>
      </c>
      <c r="C595" s="286" t="s">
        <v>2096</v>
      </c>
      <c r="D595" s="286" t="s">
        <v>1105</v>
      </c>
      <c r="E595" s="286" t="s">
        <v>1106</v>
      </c>
      <c r="F595" s="286" t="s">
        <v>2155</v>
      </c>
      <c r="G595" s="286" t="s">
        <v>1021</v>
      </c>
      <c r="H595" s="286" t="s">
        <v>1021</v>
      </c>
      <c r="I595" s="286" t="s">
        <v>1199</v>
      </c>
      <c r="J595" s="286" t="s">
        <v>1312</v>
      </c>
      <c r="K595" s="286" t="s">
        <v>53</v>
      </c>
      <c r="L595" s="286" t="s">
        <v>53</v>
      </c>
      <c r="M595" s="286" t="s">
        <v>53</v>
      </c>
      <c r="N595" s="287">
        <v>5122.5</v>
      </c>
      <c r="O595" s="294">
        <f t="shared" si="9"/>
        <v>45412</v>
      </c>
      <c r="P595" s="286" t="s">
        <v>58</v>
      </c>
    </row>
    <row r="596" spans="1:16" hidden="1" x14ac:dyDescent="0.15">
      <c r="A596" s="286">
        <v>614216</v>
      </c>
      <c r="B596" s="288">
        <v>45455.716666666667</v>
      </c>
      <c r="C596" s="286" t="s">
        <v>2116</v>
      </c>
      <c r="D596" s="286" t="s">
        <v>1105</v>
      </c>
      <c r="E596" s="286" t="s">
        <v>1106</v>
      </c>
      <c r="F596" s="286" t="s">
        <v>2156</v>
      </c>
      <c r="G596" s="286" t="s">
        <v>1021</v>
      </c>
      <c r="H596" s="286" t="s">
        <v>1021</v>
      </c>
      <c r="I596" s="286" t="s">
        <v>1199</v>
      </c>
      <c r="J596" s="286" t="s">
        <v>1312</v>
      </c>
      <c r="K596" s="286" t="s">
        <v>53</v>
      </c>
      <c r="L596" s="286" t="s">
        <v>53</v>
      </c>
      <c r="M596" s="286" t="s">
        <v>53</v>
      </c>
      <c r="N596" s="287">
        <v>5122.5</v>
      </c>
      <c r="O596" s="294">
        <f t="shared" si="9"/>
        <v>45473</v>
      </c>
      <c r="P596" s="286" t="s">
        <v>58</v>
      </c>
    </row>
    <row r="597" spans="1:16" hidden="1" x14ac:dyDescent="0.15">
      <c r="A597" s="286">
        <v>614316</v>
      </c>
      <c r="B597" s="288">
        <v>45455.717361111114</v>
      </c>
      <c r="C597" s="286" t="s">
        <v>2092</v>
      </c>
      <c r="D597" s="286" t="s">
        <v>1105</v>
      </c>
      <c r="E597" s="286" t="s">
        <v>1106</v>
      </c>
      <c r="F597" s="286" t="s">
        <v>2167</v>
      </c>
      <c r="G597" s="286" t="s">
        <v>1021</v>
      </c>
      <c r="H597" s="286" t="s">
        <v>1021</v>
      </c>
      <c r="I597" s="286" t="s">
        <v>1199</v>
      </c>
      <c r="J597" s="286" t="s">
        <v>1312</v>
      </c>
      <c r="K597" s="286" t="s">
        <v>53</v>
      </c>
      <c r="L597" s="286" t="s">
        <v>53</v>
      </c>
      <c r="M597" s="286" t="s">
        <v>53</v>
      </c>
      <c r="N597" s="287">
        <v>5122.5</v>
      </c>
      <c r="O597" s="294">
        <f t="shared" si="9"/>
        <v>45473</v>
      </c>
      <c r="P597" s="286" t="s">
        <v>58</v>
      </c>
    </row>
    <row r="598" spans="1:16" hidden="1" x14ac:dyDescent="0.15">
      <c r="A598" s="286">
        <v>646075</v>
      </c>
      <c r="B598" s="288">
        <v>45474.519444444442</v>
      </c>
      <c r="C598" s="286" t="s">
        <v>2111</v>
      </c>
      <c r="D598" s="286" t="s">
        <v>1105</v>
      </c>
      <c r="E598" s="286" t="s">
        <v>1106</v>
      </c>
      <c r="F598" s="286" t="s">
        <v>2137</v>
      </c>
      <c r="G598" s="286" t="s">
        <v>1021</v>
      </c>
      <c r="H598" s="286" t="s">
        <v>1021</v>
      </c>
      <c r="I598" s="286" t="s">
        <v>1199</v>
      </c>
      <c r="J598" s="286" t="s">
        <v>1312</v>
      </c>
      <c r="K598" s="286" t="s">
        <v>53</v>
      </c>
      <c r="L598" s="286" t="s">
        <v>53</v>
      </c>
      <c r="M598" s="286" t="s">
        <v>53</v>
      </c>
      <c r="N598" s="287">
        <v>5122.5</v>
      </c>
      <c r="O598" s="294">
        <f t="shared" si="9"/>
        <v>45504</v>
      </c>
      <c r="P598" s="286" t="s">
        <v>58</v>
      </c>
    </row>
    <row r="599" spans="1:16" hidden="1" x14ac:dyDescent="0.15">
      <c r="A599" s="286">
        <v>697810</v>
      </c>
      <c r="B599" s="288">
        <v>45510.366666666669</v>
      </c>
      <c r="C599" s="286" t="s">
        <v>2102</v>
      </c>
      <c r="D599" s="286" t="s">
        <v>1105</v>
      </c>
      <c r="E599" s="286" t="s">
        <v>1106</v>
      </c>
      <c r="F599" s="286" t="s">
        <v>2138</v>
      </c>
      <c r="G599" s="286" t="s">
        <v>1021</v>
      </c>
      <c r="H599" s="286" t="s">
        <v>1021</v>
      </c>
      <c r="I599" s="286" t="s">
        <v>1199</v>
      </c>
      <c r="J599" s="286" t="s">
        <v>1312</v>
      </c>
      <c r="K599" s="286" t="s">
        <v>53</v>
      </c>
      <c r="L599" s="286" t="s">
        <v>53</v>
      </c>
      <c r="M599" s="286" t="s">
        <v>53</v>
      </c>
      <c r="N599" s="287">
        <v>5122.5</v>
      </c>
      <c r="O599" s="294">
        <f t="shared" si="9"/>
        <v>45535</v>
      </c>
      <c r="P599" s="286" t="s">
        <v>58</v>
      </c>
    </row>
    <row r="600" spans="1:16" hidden="1" x14ac:dyDescent="0.15">
      <c r="A600" s="286">
        <v>745911</v>
      </c>
      <c r="B600" s="288">
        <v>45538.44027777778</v>
      </c>
      <c r="C600" s="286" t="s">
        <v>2132</v>
      </c>
      <c r="D600" s="286" t="s">
        <v>1105</v>
      </c>
      <c r="E600" s="286" t="s">
        <v>1106</v>
      </c>
      <c r="F600" s="286" t="s">
        <v>2139</v>
      </c>
      <c r="G600" s="286" t="s">
        <v>1021</v>
      </c>
      <c r="H600" s="286" t="s">
        <v>1021</v>
      </c>
      <c r="I600" s="286" t="s">
        <v>1199</v>
      </c>
      <c r="J600" s="286" t="s">
        <v>1312</v>
      </c>
      <c r="K600" s="286" t="s">
        <v>53</v>
      </c>
      <c r="L600" s="286" t="s">
        <v>53</v>
      </c>
      <c r="M600" s="286" t="s">
        <v>53</v>
      </c>
      <c r="N600" s="287">
        <v>5122.5</v>
      </c>
      <c r="O600" s="294">
        <f t="shared" si="9"/>
        <v>45565</v>
      </c>
      <c r="P600" s="286" t="s">
        <v>58</v>
      </c>
    </row>
    <row r="601" spans="1:16" hidden="1" x14ac:dyDescent="0.15">
      <c r="A601" s="286">
        <v>848817</v>
      </c>
      <c r="B601" s="288">
        <v>45607.65902777778</v>
      </c>
      <c r="C601" s="286" t="s">
        <v>2130</v>
      </c>
      <c r="D601" s="286" t="s">
        <v>1105</v>
      </c>
      <c r="E601" s="286" t="s">
        <v>1106</v>
      </c>
      <c r="F601" s="286" t="s">
        <v>2140</v>
      </c>
      <c r="G601" s="286" t="s">
        <v>1021</v>
      </c>
      <c r="H601" s="286" t="s">
        <v>1021</v>
      </c>
      <c r="I601" s="286" t="s">
        <v>1199</v>
      </c>
      <c r="J601" s="286" t="s">
        <v>1312</v>
      </c>
      <c r="K601" s="286" t="s">
        <v>53</v>
      </c>
      <c r="L601" s="286" t="s">
        <v>53</v>
      </c>
      <c r="M601" s="286" t="s">
        <v>53</v>
      </c>
      <c r="N601" s="287">
        <v>5122.5</v>
      </c>
      <c r="O601" s="294">
        <f t="shared" si="9"/>
        <v>45626</v>
      </c>
      <c r="P601" s="286" t="s">
        <v>58</v>
      </c>
    </row>
    <row r="602" spans="1:16" hidden="1" x14ac:dyDescent="0.15">
      <c r="A602" s="286">
        <v>848917</v>
      </c>
      <c r="B602" s="288">
        <v>45607.660416666666</v>
      </c>
      <c r="C602" s="286" t="s">
        <v>2100</v>
      </c>
      <c r="D602" s="286" t="s">
        <v>1105</v>
      </c>
      <c r="E602" s="286" t="s">
        <v>1106</v>
      </c>
      <c r="F602" s="286" t="s">
        <v>2141</v>
      </c>
      <c r="G602" s="286" t="s">
        <v>1021</v>
      </c>
      <c r="H602" s="286" t="s">
        <v>1021</v>
      </c>
      <c r="I602" s="286" t="s">
        <v>1199</v>
      </c>
      <c r="J602" s="286" t="s">
        <v>1312</v>
      </c>
      <c r="K602" s="286" t="s">
        <v>53</v>
      </c>
      <c r="L602" s="286" t="s">
        <v>53</v>
      </c>
      <c r="M602" s="286" t="s">
        <v>53</v>
      </c>
      <c r="N602" s="287">
        <v>5122.5</v>
      </c>
      <c r="O602" s="294">
        <f t="shared" si="9"/>
        <v>45626</v>
      </c>
      <c r="P602" s="286" t="s">
        <v>58</v>
      </c>
    </row>
    <row r="603" spans="1:16" hidden="1" x14ac:dyDescent="0.15">
      <c r="A603" s="286">
        <v>874698</v>
      </c>
      <c r="B603" s="288">
        <v>45628.357638888891</v>
      </c>
      <c r="C603" s="286" t="s">
        <v>2098</v>
      </c>
      <c r="D603" s="286" t="s">
        <v>1105</v>
      </c>
      <c r="E603" s="286" t="s">
        <v>1106</v>
      </c>
      <c r="F603" s="286" t="s">
        <v>2142</v>
      </c>
      <c r="G603" s="286" t="s">
        <v>1021</v>
      </c>
      <c r="H603" s="286" t="s">
        <v>1021</v>
      </c>
      <c r="I603" s="286" t="s">
        <v>1199</v>
      </c>
      <c r="J603" s="286" t="s">
        <v>1312</v>
      </c>
      <c r="K603" s="286" t="s">
        <v>53</v>
      </c>
      <c r="L603" s="286" t="s">
        <v>53</v>
      </c>
      <c r="M603" s="286" t="s">
        <v>53</v>
      </c>
      <c r="N603" s="287">
        <v>5122.5</v>
      </c>
      <c r="O603" s="294">
        <f t="shared" si="9"/>
        <v>45657</v>
      </c>
      <c r="P603" s="286" t="s">
        <v>58</v>
      </c>
    </row>
    <row r="604" spans="1:16" hidden="1" x14ac:dyDescent="0.15">
      <c r="A604" s="286">
        <v>584551</v>
      </c>
      <c r="B604" s="288">
        <v>45432.695833333331</v>
      </c>
      <c r="C604" s="286" t="s">
        <v>2116</v>
      </c>
      <c r="D604" s="286" t="s">
        <v>1105</v>
      </c>
      <c r="E604" s="286" t="s">
        <v>1106</v>
      </c>
      <c r="F604" s="286" t="s">
        <v>2285</v>
      </c>
      <c r="G604" s="286" t="s">
        <v>1016</v>
      </c>
      <c r="H604" s="286" t="s">
        <v>1016</v>
      </c>
      <c r="I604" s="286" t="s">
        <v>1112</v>
      </c>
      <c r="J604" s="286" t="s">
        <v>1312</v>
      </c>
      <c r="K604" s="286" t="s">
        <v>2046</v>
      </c>
      <c r="L604" s="286" t="s">
        <v>53</v>
      </c>
      <c r="M604" s="286">
        <v>1</v>
      </c>
      <c r="N604" s="287">
        <v>5026</v>
      </c>
      <c r="O604" s="294">
        <f t="shared" si="9"/>
        <v>45443</v>
      </c>
      <c r="P604" s="286" t="s">
        <v>175</v>
      </c>
    </row>
    <row r="605" spans="1:16" hidden="1" x14ac:dyDescent="0.15">
      <c r="A605" s="286">
        <v>584551</v>
      </c>
      <c r="B605" s="288">
        <v>45432.695833333331</v>
      </c>
      <c r="C605" s="286" t="s">
        <v>2116</v>
      </c>
      <c r="D605" s="286" t="s">
        <v>1105</v>
      </c>
      <c r="E605" s="286" t="s">
        <v>1106</v>
      </c>
      <c r="F605" s="286" t="s">
        <v>2285</v>
      </c>
      <c r="G605" s="286" t="s">
        <v>1016</v>
      </c>
      <c r="H605" s="286" t="s">
        <v>1016</v>
      </c>
      <c r="I605" s="286" t="s">
        <v>1112</v>
      </c>
      <c r="J605" s="286" t="s">
        <v>1312</v>
      </c>
      <c r="K605" s="286" t="s">
        <v>2046</v>
      </c>
      <c r="L605" s="286" t="s">
        <v>53</v>
      </c>
      <c r="M605" s="286">
        <v>1</v>
      </c>
      <c r="N605" s="287">
        <v>5026</v>
      </c>
      <c r="O605" s="294">
        <f t="shared" si="9"/>
        <v>45443</v>
      </c>
      <c r="P605" s="286" t="s">
        <v>175</v>
      </c>
    </row>
    <row r="606" spans="1:16" hidden="1" x14ac:dyDescent="0.15">
      <c r="A606" s="286">
        <v>697810</v>
      </c>
      <c r="B606" s="288">
        <v>45510.366666666669</v>
      </c>
      <c r="C606" s="286" t="s">
        <v>2102</v>
      </c>
      <c r="D606" s="286" t="s">
        <v>1105</v>
      </c>
      <c r="E606" s="286" t="s">
        <v>1106</v>
      </c>
      <c r="F606" s="286" t="s">
        <v>2138</v>
      </c>
      <c r="G606" s="286" t="s">
        <v>1007</v>
      </c>
      <c r="H606" s="286" t="s">
        <v>1007</v>
      </c>
      <c r="I606" s="286" t="s">
        <v>1199</v>
      </c>
      <c r="J606" s="286" t="s">
        <v>1312</v>
      </c>
      <c r="K606" s="286" t="s">
        <v>1787</v>
      </c>
      <c r="L606" s="286" t="s">
        <v>672</v>
      </c>
      <c r="M606" s="286">
        <v>1</v>
      </c>
      <c r="N606" s="287">
        <v>4917.79</v>
      </c>
      <c r="O606" s="294">
        <f t="shared" si="9"/>
        <v>45535</v>
      </c>
      <c r="P606" s="286" t="s">
        <v>58</v>
      </c>
    </row>
    <row r="607" spans="1:16" hidden="1" x14ac:dyDescent="0.15">
      <c r="A607" s="286">
        <v>714130</v>
      </c>
      <c r="B607" s="288">
        <v>45518.59097222222</v>
      </c>
      <c r="C607" s="286" t="s">
        <v>2102</v>
      </c>
      <c r="D607" s="286" t="s">
        <v>1105</v>
      </c>
      <c r="E607" s="286" t="s">
        <v>1106</v>
      </c>
      <c r="F607" s="286" t="s">
        <v>2286</v>
      </c>
      <c r="G607" s="286" t="s">
        <v>1021</v>
      </c>
      <c r="H607" s="286" t="s">
        <v>1021</v>
      </c>
      <c r="I607" s="286" t="s">
        <v>1152</v>
      </c>
      <c r="J607" s="286" t="s">
        <v>1312</v>
      </c>
      <c r="K607" s="286" t="s">
        <v>2287</v>
      </c>
      <c r="L607" s="286" t="s">
        <v>2288</v>
      </c>
      <c r="M607" s="286">
        <v>1</v>
      </c>
      <c r="N607" s="287">
        <v>4838.51</v>
      </c>
      <c r="O607" s="294">
        <f t="shared" si="9"/>
        <v>45535</v>
      </c>
      <c r="P607" s="286" t="s">
        <v>58</v>
      </c>
    </row>
    <row r="608" spans="1:16" hidden="1" x14ac:dyDescent="0.15">
      <c r="A608" s="286">
        <v>714130</v>
      </c>
      <c r="B608" s="288">
        <v>45518.59097222222</v>
      </c>
      <c r="C608" s="286" t="s">
        <v>2102</v>
      </c>
      <c r="D608" s="286" t="s">
        <v>1105</v>
      </c>
      <c r="E608" s="286" t="s">
        <v>1106</v>
      </c>
      <c r="F608" s="286" t="s">
        <v>2286</v>
      </c>
      <c r="G608" s="286" t="s">
        <v>1021</v>
      </c>
      <c r="H608" s="286" t="s">
        <v>1021</v>
      </c>
      <c r="I608" s="286" t="s">
        <v>1152</v>
      </c>
      <c r="J608" s="286" t="s">
        <v>1312</v>
      </c>
      <c r="K608" s="286" t="s">
        <v>1652</v>
      </c>
      <c r="L608" s="286" t="s">
        <v>1653</v>
      </c>
      <c r="M608" s="286">
        <v>1</v>
      </c>
      <c r="N608" s="287">
        <v>4838.51</v>
      </c>
      <c r="O608" s="294">
        <f t="shared" si="9"/>
        <v>45535</v>
      </c>
      <c r="P608" s="286" t="s">
        <v>58</v>
      </c>
    </row>
    <row r="609" spans="1:16" hidden="1" x14ac:dyDescent="0.15">
      <c r="A609" s="286">
        <v>745911</v>
      </c>
      <c r="B609" s="288">
        <v>45538.44027777778</v>
      </c>
      <c r="C609" s="286" t="s">
        <v>2132</v>
      </c>
      <c r="D609" s="286" t="s">
        <v>1105</v>
      </c>
      <c r="E609" s="286" t="s">
        <v>1106</v>
      </c>
      <c r="F609" s="286" t="s">
        <v>2139</v>
      </c>
      <c r="G609" s="286" t="s">
        <v>1021</v>
      </c>
      <c r="H609" s="286" t="s">
        <v>1021</v>
      </c>
      <c r="I609" s="286" t="s">
        <v>1152</v>
      </c>
      <c r="J609" s="286" t="s">
        <v>1312</v>
      </c>
      <c r="K609" s="286" t="s">
        <v>1652</v>
      </c>
      <c r="L609" s="286" t="s">
        <v>1653</v>
      </c>
      <c r="M609" s="286">
        <v>1</v>
      </c>
      <c r="N609" s="287">
        <v>4838.51</v>
      </c>
      <c r="O609" s="294">
        <f t="shared" si="9"/>
        <v>45565</v>
      </c>
      <c r="P609" s="286" t="s">
        <v>58</v>
      </c>
    </row>
    <row r="610" spans="1:16" hidden="1" x14ac:dyDescent="0.15">
      <c r="A610" s="286">
        <v>745911</v>
      </c>
      <c r="B610" s="288">
        <v>45538.44027777778</v>
      </c>
      <c r="C610" s="286" t="s">
        <v>2132</v>
      </c>
      <c r="D610" s="286" t="s">
        <v>1105</v>
      </c>
      <c r="E610" s="286" t="s">
        <v>1106</v>
      </c>
      <c r="F610" s="286" t="s">
        <v>2139</v>
      </c>
      <c r="G610" s="286" t="s">
        <v>1021</v>
      </c>
      <c r="H610" s="286" t="s">
        <v>1021</v>
      </c>
      <c r="I610" s="286" t="s">
        <v>1152</v>
      </c>
      <c r="J610" s="286" t="s">
        <v>1312</v>
      </c>
      <c r="K610" s="286" t="s">
        <v>2287</v>
      </c>
      <c r="L610" s="286" t="s">
        <v>2288</v>
      </c>
      <c r="M610" s="286">
        <v>1</v>
      </c>
      <c r="N610" s="287">
        <v>4838.51</v>
      </c>
      <c r="O610" s="294">
        <f t="shared" si="9"/>
        <v>45565</v>
      </c>
      <c r="P610" s="286" t="s">
        <v>58</v>
      </c>
    </row>
    <row r="611" spans="1:16" hidden="1" x14ac:dyDescent="0.15">
      <c r="A611" s="286">
        <v>848817</v>
      </c>
      <c r="B611" s="288">
        <v>45607.65902777778</v>
      </c>
      <c r="C611" s="286" t="s">
        <v>2130</v>
      </c>
      <c r="D611" s="286" t="s">
        <v>1105</v>
      </c>
      <c r="E611" s="286" t="s">
        <v>1106</v>
      </c>
      <c r="F611" s="286" t="s">
        <v>2140</v>
      </c>
      <c r="G611" s="286" t="s">
        <v>1021</v>
      </c>
      <c r="H611" s="286" t="s">
        <v>1021</v>
      </c>
      <c r="I611" s="286" t="s">
        <v>1152</v>
      </c>
      <c r="J611" s="286" t="s">
        <v>1312</v>
      </c>
      <c r="K611" s="286" t="s">
        <v>1652</v>
      </c>
      <c r="L611" s="286" t="s">
        <v>1653</v>
      </c>
      <c r="M611" s="286">
        <v>1</v>
      </c>
      <c r="N611" s="287">
        <v>4838.51</v>
      </c>
      <c r="O611" s="294">
        <f t="shared" si="9"/>
        <v>45626</v>
      </c>
      <c r="P611" s="286" t="s">
        <v>58</v>
      </c>
    </row>
    <row r="612" spans="1:16" hidden="1" x14ac:dyDescent="0.15">
      <c r="A612" s="286">
        <v>848817</v>
      </c>
      <c r="B612" s="288">
        <v>45607.65902777778</v>
      </c>
      <c r="C612" s="286" t="s">
        <v>2130</v>
      </c>
      <c r="D612" s="286" t="s">
        <v>1105</v>
      </c>
      <c r="E612" s="286" t="s">
        <v>1106</v>
      </c>
      <c r="F612" s="286" t="s">
        <v>2140</v>
      </c>
      <c r="G612" s="286" t="s">
        <v>1021</v>
      </c>
      <c r="H612" s="286" t="s">
        <v>1021</v>
      </c>
      <c r="I612" s="286" t="s">
        <v>1152</v>
      </c>
      <c r="J612" s="286" t="s">
        <v>1312</v>
      </c>
      <c r="K612" s="286" t="s">
        <v>2287</v>
      </c>
      <c r="L612" s="286" t="s">
        <v>2288</v>
      </c>
      <c r="M612" s="286">
        <v>1</v>
      </c>
      <c r="N612" s="287">
        <v>4838.51</v>
      </c>
      <c r="O612" s="294">
        <f t="shared" si="9"/>
        <v>45626</v>
      </c>
      <c r="P612" s="286" t="s">
        <v>58</v>
      </c>
    </row>
    <row r="613" spans="1:16" hidden="1" x14ac:dyDescent="0.15">
      <c r="A613" s="286">
        <v>848917</v>
      </c>
      <c r="B613" s="288">
        <v>45607.660416666666</v>
      </c>
      <c r="C613" s="286" t="s">
        <v>2100</v>
      </c>
      <c r="D613" s="286" t="s">
        <v>1105</v>
      </c>
      <c r="E613" s="286" t="s">
        <v>1106</v>
      </c>
      <c r="F613" s="286" t="s">
        <v>2141</v>
      </c>
      <c r="G613" s="286" t="s">
        <v>1021</v>
      </c>
      <c r="H613" s="286" t="s">
        <v>1021</v>
      </c>
      <c r="I613" s="286" t="s">
        <v>1152</v>
      </c>
      <c r="J613" s="286" t="s">
        <v>1312</v>
      </c>
      <c r="K613" s="286" t="s">
        <v>1652</v>
      </c>
      <c r="L613" s="286" t="s">
        <v>1653</v>
      </c>
      <c r="M613" s="286">
        <v>1</v>
      </c>
      <c r="N613" s="287">
        <v>4838.51</v>
      </c>
      <c r="O613" s="294">
        <f t="shared" si="9"/>
        <v>45626</v>
      </c>
      <c r="P613" s="286" t="s">
        <v>58</v>
      </c>
    </row>
    <row r="614" spans="1:16" hidden="1" x14ac:dyDescent="0.15">
      <c r="A614" s="286">
        <v>848917</v>
      </c>
      <c r="B614" s="288">
        <v>45607.660416666666</v>
      </c>
      <c r="C614" s="286" t="s">
        <v>2100</v>
      </c>
      <c r="D614" s="286" t="s">
        <v>1105</v>
      </c>
      <c r="E614" s="286" t="s">
        <v>1106</v>
      </c>
      <c r="F614" s="286" t="s">
        <v>2141</v>
      </c>
      <c r="G614" s="286" t="s">
        <v>1021</v>
      </c>
      <c r="H614" s="286" t="s">
        <v>1021</v>
      </c>
      <c r="I614" s="286" t="s">
        <v>1152</v>
      </c>
      <c r="J614" s="286" t="s">
        <v>1312</v>
      </c>
      <c r="K614" s="286" t="s">
        <v>2287</v>
      </c>
      <c r="L614" s="286" t="s">
        <v>2288</v>
      </c>
      <c r="M614" s="286">
        <v>1</v>
      </c>
      <c r="N614" s="287">
        <v>4838.51</v>
      </c>
      <c r="O614" s="294">
        <f t="shared" si="9"/>
        <v>45626</v>
      </c>
      <c r="P614" s="286" t="s">
        <v>58</v>
      </c>
    </row>
    <row r="615" spans="1:16" hidden="1" x14ac:dyDescent="0.15">
      <c r="A615" s="286">
        <v>874698</v>
      </c>
      <c r="B615" s="288">
        <v>45628.357638888891</v>
      </c>
      <c r="C615" s="286" t="s">
        <v>2098</v>
      </c>
      <c r="D615" s="286" t="s">
        <v>1105</v>
      </c>
      <c r="E615" s="286" t="s">
        <v>1106</v>
      </c>
      <c r="F615" s="286" t="s">
        <v>2142</v>
      </c>
      <c r="G615" s="286" t="s">
        <v>1021</v>
      </c>
      <c r="H615" s="286" t="s">
        <v>1021</v>
      </c>
      <c r="I615" s="286" t="s">
        <v>1152</v>
      </c>
      <c r="J615" s="286" t="s">
        <v>1312</v>
      </c>
      <c r="K615" s="286" t="s">
        <v>1652</v>
      </c>
      <c r="L615" s="286" t="s">
        <v>1653</v>
      </c>
      <c r="M615" s="286">
        <v>1</v>
      </c>
      <c r="N615" s="287">
        <v>4838.51</v>
      </c>
      <c r="O615" s="294">
        <f t="shared" si="9"/>
        <v>45657</v>
      </c>
      <c r="P615" s="286" t="s">
        <v>58</v>
      </c>
    </row>
    <row r="616" spans="1:16" hidden="1" x14ac:dyDescent="0.15">
      <c r="A616" s="286">
        <v>874698</v>
      </c>
      <c r="B616" s="288">
        <v>45628.357638888891</v>
      </c>
      <c r="C616" s="286" t="s">
        <v>2098</v>
      </c>
      <c r="D616" s="286" t="s">
        <v>1105</v>
      </c>
      <c r="E616" s="286" t="s">
        <v>1106</v>
      </c>
      <c r="F616" s="286" t="s">
        <v>2142</v>
      </c>
      <c r="G616" s="286" t="s">
        <v>1021</v>
      </c>
      <c r="H616" s="286" t="s">
        <v>1021</v>
      </c>
      <c r="I616" s="286" t="s">
        <v>1152</v>
      </c>
      <c r="J616" s="286" t="s">
        <v>1312</v>
      </c>
      <c r="K616" s="286" t="s">
        <v>2287</v>
      </c>
      <c r="L616" s="286" t="s">
        <v>2288</v>
      </c>
      <c r="M616" s="286">
        <v>1</v>
      </c>
      <c r="N616" s="287">
        <v>4838.51</v>
      </c>
      <c r="O616" s="294">
        <f t="shared" si="9"/>
        <v>45657</v>
      </c>
      <c r="P616" s="286" t="s">
        <v>58</v>
      </c>
    </row>
    <row r="617" spans="1:16" hidden="1" x14ac:dyDescent="0.15">
      <c r="A617" s="286">
        <v>556087</v>
      </c>
      <c r="B617" s="288">
        <v>45406.408333333333</v>
      </c>
      <c r="C617" s="286" t="s">
        <v>2096</v>
      </c>
      <c r="D617" s="286" t="s">
        <v>1105</v>
      </c>
      <c r="E617" s="286" t="s">
        <v>1106</v>
      </c>
      <c r="F617" s="286" t="s">
        <v>2105</v>
      </c>
      <c r="G617" s="286" t="s">
        <v>1059</v>
      </c>
      <c r="H617" s="286" t="s">
        <v>1059</v>
      </c>
      <c r="I617" s="286" t="s">
        <v>1301</v>
      </c>
      <c r="J617" s="286" t="s">
        <v>1312</v>
      </c>
      <c r="K617" s="286" t="s">
        <v>56</v>
      </c>
      <c r="L617" s="286" t="s">
        <v>71</v>
      </c>
      <c r="M617" s="286">
        <v>1</v>
      </c>
      <c r="N617" s="287">
        <v>4783</v>
      </c>
      <c r="O617" s="294">
        <f t="shared" si="9"/>
        <v>45412</v>
      </c>
      <c r="P617" s="286" t="s">
        <v>55</v>
      </c>
    </row>
    <row r="618" spans="1:16" hidden="1" x14ac:dyDescent="0.15">
      <c r="A618" s="286">
        <v>438112</v>
      </c>
      <c r="B618" s="288">
        <v>45293.53402777778</v>
      </c>
      <c r="C618" s="286" t="s">
        <v>2125</v>
      </c>
      <c r="D618" s="286" t="s">
        <v>1105</v>
      </c>
      <c r="E618" s="286" t="s">
        <v>1106</v>
      </c>
      <c r="F618" s="286" t="s">
        <v>2152</v>
      </c>
      <c r="G618" s="286" t="s">
        <v>1008</v>
      </c>
      <c r="H618" s="286" t="s">
        <v>1008</v>
      </c>
      <c r="I618" s="286" t="s">
        <v>1199</v>
      </c>
      <c r="J618" s="286" t="s">
        <v>1312</v>
      </c>
      <c r="K618" s="286" t="s">
        <v>53</v>
      </c>
      <c r="L618" s="286" t="s">
        <v>53</v>
      </c>
      <c r="M618" s="286" t="s">
        <v>53</v>
      </c>
      <c r="N618" s="287">
        <v>4762.92</v>
      </c>
      <c r="O618" s="294">
        <f t="shared" si="9"/>
        <v>45322</v>
      </c>
      <c r="P618" s="286" t="s">
        <v>58</v>
      </c>
    </row>
    <row r="619" spans="1:16" hidden="1" x14ac:dyDescent="0.15">
      <c r="A619" s="286">
        <v>438112</v>
      </c>
      <c r="B619" s="288">
        <v>45293.53402777778</v>
      </c>
      <c r="C619" s="286" t="s">
        <v>2125</v>
      </c>
      <c r="D619" s="286" t="s">
        <v>1105</v>
      </c>
      <c r="E619" s="286" t="s">
        <v>1106</v>
      </c>
      <c r="F619" s="286" t="s">
        <v>2152</v>
      </c>
      <c r="G619" s="286" t="s">
        <v>1008</v>
      </c>
      <c r="H619" s="286" t="s">
        <v>1008</v>
      </c>
      <c r="I619" s="286" t="s">
        <v>1228</v>
      </c>
      <c r="J619" s="286" t="s">
        <v>53</v>
      </c>
      <c r="K619" s="286" t="s">
        <v>53</v>
      </c>
      <c r="L619" s="286" t="s">
        <v>53</v>
      </c>
      <c r="M619" s="286" t="s">
        <v>53</v>
      </c>
      <c r="N619" s="287">
        <v>4762.92</v>
      </c>
      <c r="O619" s="294">
        <f t="shared" si="9"/>
        <v>45322</v>
      </c>
      <c r="P619" s="286" t="s">
        <v>58</v>
      </c>
    </row>
    <row r="620" spans="1:16" hidden="1" x14ac:dyDescent="0.15">
      <c r="A620" s="286">
        <v>472168</v>
      </c>
      <c r="B620" s="288">
        <v>45331.416666666664</v>
      </c>
      <c r="C620" s="286" t="s">
        <v>2113</v>
      </c>
      <c r="D620" s="286" t="s">
        <v>1105</v>
      </c>
      <c r="E620" s="286" t="s">
        <v>1106</v>
      </c>
      <c r="F620" s="286" t="s">
        <v>2153</v>
      </c>
      <c r="G620" s="286" t="s">
        <v>1008</v>
      </c>
      <c r="H620" s="286" t="s">
        <v>1008</v>
      </c>
      <c r="I620" s="286" t="s">
        <v>1199</v>
      </c>
      <c r="J620" s="286" t="s">
        <v>1312</v>
      </c>
      <c r="K620" s="286" t="s">
        <v>53</v>
      </c>
      <c r="L620" s="286" t="s">
        <v>53</v>
      </c>
      <c r="M620" s="286" t="s">
        <v>53</v>
      </c>
      <c r="N620" s="287">
        <v>4762.8900000000003</v>
      </c>
      <c r="O620" s="294">
        <f t="shared" si="9"/>
        <v>45351</v>
      </c>
      <c r="P620" s="286" t="s">
        <v>58</v>
      </c>
    </row>
    <row r="621" spans="1:16" hidden="1" x14ac:dyDescent="0.15">
      <c r="A621" s="286">
        <v>472168</v>
      </c>
      <c r="B621" s="288">
        <v>45331.416666666664</v>
      </c>
      <c r="C621" s="286" t="s">
        <v>2113</v>
      </c>
      <c r="D621" s="286" t="s">
        <v>1105</v>
      </c>
      <c r="E621" s="286" t="s">
        <v>1106</v>
      </c>
      <c r="F621" s="286" t="s">
        <v>2153</v>
      </c>
      <c r="G621" s="286" t="s">
        <v>1008</v>
      </c>
      <c r="H621" s="286" t="s">
        <v>1008</v>
      </c>
      <c r="I621" s="286" t="s">
        <v>1228</v>
      </c>
      <c r="J621" s="286" t="s">
        <v>53</v>
      </c>
      <c r="K621" s="286" t="s">
        <v>53</v>
      </c>
      <c r="L621" s="286" t="s">
        <v>53</v>
      </c>
      <c r="M621" s="286" t="s">
        <v>53</v>
      </c>
      <c r="N621" s="287">
        <v>4762.8900000000003</v>
      </c>
      <c r="O621" s="294">
        <f t="shared" si="9"/>
        <v>45351</v>
      </c>
      <c r="P621" s="286" t="s">
        <v>58</v>
      </c>
    </row>
    <row r="622" spans="1:16" hidden="1" x14ac:dyDescent="0.15">
      <c r="A622" s="286">
        <v>438112</v>
      </c>
      <c r="B622" s="288">
        <v>45293.53402777778</v>
      </c>
      <c r="C622" s="286" t="s">
        <v>2125</v>
      </c>
      <c r="D622" s="286" t="s">
        <v>1105</v>
      </c>
      <c r="E622" s="286" t="s">
        <v>1106</v>
      </c>
      <c r="F622" s="286" t="s">
        <v>2152</v>
      </c>
      <c r="G622" s="286" t="s">
        <v>1078</v>
      </c>
      <c r="H622" s="286" t="s">
        <v>1078</v>
      </c>
      <c r="I622" s="286" t="s">
        <v>1199</v>
      </c>
      <c r="J622" s="286" t="s">
        <v>1312</v>
      </c>
      <c r="K622" s="286" t="s">
        <v>1797</v>
      </c>
      <c r="L622" s="286" t="s">
        <v>672</v>
      </c>
      <c r="M622" s="286">
        <v>1</v>
      </c>
      <c r="N622" s="287">
        <v>4762.5600000000004</v>
      </c>
      <c r="O622" s="294">
        <f t="shared" si="9"/>
        <v>45322</v>
      </c>
      <c r="P622" s="286" t="s">
        <v>58</v>
      </c>
    </row>
    <row r="623" spans="1:16" hidden="1" x14ac:dyDescent="0.15">
      <c r="A623" s="286">
        <v>472168</v>
      </c>
      <c r="B623" s="288">
        <v>45331.416666666664</v>
      </c>
      <c r="C623" s="286" t="s">
        <v>2113</v>
      </c>
      <c r="D623" s="286" t="s">
        <v>1105</v>
      </c>
      <c r="E623" s="286" t="s">
        <v>1106</v>
      </c>
      <c r="F623" s="286" t="s">
        <v>2153</v>
      </c>
      <c r="G623" s="286" t="s">
        <v>1078</v>
      </c>
      <c r="H623" s="286" t="s">
        <v>1078</v>
      </c>
      <c r="I623" s="286" t="s">
        <v>1199</v>
      </c>
      <c r="J623" s="286" t="s">
        <v>1312</v>
      </c>
      <c r="K623" s="286" t="s">
        <v>1797</v>
      </c>
      <c r="L623" s="286" t="s">
        <v>672</v>
      </c>
      <c r="M623" s="286">
        <v>1</v>
      </c>
      <c r="N623" s="287">
        <v>4762.5600000000004</v>
      </c>
      <c r="O623" s="294">
        <f t="shared" si="9"/>
        <v>45351</v>
      </c>
      <c r="P623" s="286" t="s">
        <v>58</v>
      </c>
    </row>
    <row r="624" spans="1:16" hidden="1" x14ac:dyDescent="0.15">
      <c r="A624" s="286">
        <v>504817</v>
      </c>
      <c r="B624" s="288">
        <v>45359.645138888889</v>
      </c>
      <c r="C624" s="286" t="s">
        <v>2109</v>
      </c>
      <c r="D624" s="286" t="s">
        <v>1105</v>
      </c>
      <c r="E624" s="286" t="s">
        <v>1106</v>
      </c>
      <c r="F624" s="286" t="s">
        <v>2154</v>
      </c>
      <c r="G624" s="286" t="s">
        <v>1078</v>
      </c>
      <c r="H624" s="286" t="s">
        <v>1078</v>
      </c>
      <c r="I624" s="286" t="s">
        <v>1199</v>
      </c>
      <c r="J624" s="286" t="s">
        <v>1312</v>
      </c>
      <c r="K624" s="286" t="s">
        <v>1797</v>
      </c>
      <c r="L624" s="286" t="s">
        <v>672</v>
      </c>
      <c r="M624" s="286">
        <v>1</v>
      </c>
      <c r="N624" s="287">
        <v>4762.5600000000004</v>
      </c>
      <c r="O624" s="294">
        <f t="shared" si="9"/>
        <v>45382</v>
      </c>
      <c r="P624" s="286" t="s">
        <v>58</v>
      </c>
    </row>
    <row r="625" spans="1:16" hidden="1" x14ac:dyDescent="0.15">
      <c r="A625" s="286">
        <v>534207</v>
      </c>
      <c r="B625" s="288">
        <v>45385.750694444447</v>
      </c>
      <c r="C625" s="286" t="s">
        <v>2096</v>
      </c>
      <c r="D625" s="286" t="s">
        <v>1105</v>
      </c>
      <c r="E625" s="286" t="s">
        <v>1106</v>
      </c>
      <c r="F625" s="286" t="s">
        <v>2155</v>
      </c>
      <c r="G625" s="286" t="s">
        <v>1078</v>
      </c>
      <c r="H625" s="286" t="s">
        <v>1078</v>
      </c>
      <c r="I625" s="286" t="s">
        <v>1199</v>
      </c>
      <c r="J625" s="286" t="s">
        <v>1312</v>
      </c>
      <c r="K625" s="286" t="s">
        <v>1797</v>
      </c>
      <c r="L625" s="286" t="s">
        <v>672</v>
      </c>
      <c r="M625" s="286">
        <v>1</v>
      </c>
      <c r="N625" s="287">
        <v>4762.5600000000004</v>
      </c>
      <c r="O625" s="294">
        <f t="shared" si="9"/>
        <v>45412</v>
      </c>
      <c r="P625" s="286" t="s">
        <v>58</v>
      </c>
    </row>
    <row r="626" spans="1:16" hidden="1" x14ac:dyDescent="0.15">
      <c r="A626" s="286">
        <v>614216</v>
      </c>
      <c r="B626" s="288">
        <v>45455.716666666667</v>
      </c>
      <c r="C626" s="286" t="s">
        <v>2116</v>
      </c>
      <c r="D626" s="286" t="s">
        <v>1105</v>
      </c>
      <c r="E626" s="286" t="s">
        <v>1106</v>
      </c>
      <c r="F626" s="286" t="s">
        <v>2156</v>
      </c>
      <c r="G626" s="286" t="s">
        <v>1078</v>
      </c>
      <c r="H626" s="286" t="s">
        <v>1078</v>
      </c>
      <c r="I626" s="286" t="s">
        <v>1199</v>
      </c>
      <c r="J626" s="286" t="s">
        <v>1312</v>
      </c>
      <c r="K626" s="286" t="s">
        <v>1797</v>
      </c>
      <c r="L626" s="286" t="s">
        <v>672</v>
      </c>
      <c r="M626" s="286">
        <v>1</v>
      </c>
      <c r="N626" s="287">
        <v>4762.5600000000004</v>
      </c>
      <c r="O626" s="294">
        <f t="shared" si="9"/>
        <v>45473</v>
      </c>
      <c r="P626" s="286" t="s">
        <v>58</v>
      </c>
    </row>
    <row r="627" spans="1:16" hidden="1" x14ac:dyDescent="0.15">
      <c r="A627" s="286">
        <v>608480</v>
      </c>
      <c r="B627" s="288">
        <v>45450.422222222223</v>
      </c>
      <c r="C627" s="286" t="s">
        <v>2092</v>
      </c>
      <c r="D627" s="286" t="s">
        <v>1105</v>
      </c>
      <c r="E627" s="286" t="s">
        <v>1106</v>
      </c>
      <c r="F627" s="286" t="s">
        <v>2157</v>
      </c>
      <c r="G627" s="286" t="s">
        <v>1078</v>
      </c>
      <c r="H627" s="286" t="s">
        <v>1078</v>
      </c>
      <c r="I627" s="286" t="s">
        <v>1199</v>
      </c>
      <c r="J627" s="286" t="s">
        <v>1312</v>
      </c>
      <c r="K627" s="286" t="s">
        <v>1797</v>
      </c>
      <c r="L627" s="286" t="s">
        <v>672</v>
      </c>
      <c r="M627" s="286">
        <v>1</v>
      </c>
      <c r="N627" s="287">
        <v>4762.54</v>
      </c>
      <c r="O627" s="294">
        <f t="shared" si="9"/>
        <v>45473</v>
      </c>
      <c r="P627" s="286" t="s">
        <v>58</v>
      </c>
    </row>
    <row r="628" spans="1:16" hidden="1" x14ac:dyDescent="0.15">
      <c r="A628" s="286">
        <v>504817</v>
      </c>
      <c r="B628" s="288">
        <v>45359.645138888889</v>
      </c>
      <c r="C628" s="286" t="s">
        <v>2109</v>
      </c>
      <c r="D628" s="286" t="s">
        <v>1105</v>
      </c>
      <c r="E628" s="286" t="s">
        <v>1106</v>
      </c>
      <c r="F628" s="286" t="s">
        <v>2154</v>
      </c>
      <c r="G628" s="286" t="s">
        <v>1045</v>
      </c>
      <c r="H628" s="286" t="s">
        <v>1045</v>
      </c>
      <c r="I628" s="286" t="s">
        <v>1199</v>
      </c>
      <c r="J628" s="286" t="s">
        <v>1312</v>
      </c>
      <c r="K628" s="286" t="s">
        <v>1828</v>
      </c>
      <c r="L628" s="286" t="s">
        <v>672</v>
      </c>
      <c r="M628" s="286">
        <v>1</v>
      </c>
      <c r="N628" s="287">
        <v>4710.88</v>
      </c>
      <c r="O628" s="294">
        <f t="shared" si="9"/>
        <v>45382</v>
      </c>
      <c r="P628" s="286" t="s">
        <v>58</v>
      </c>
    </row>
    <row r="629" spans="1:16" hidden="1" x14ac:dyDescent="0.15">
      <c r="A629" s="286">
        <v>534207</v>
      </c>
      <c r="B629" s="288">
        <v>45385.750694444447</v>
      </c>
      <c r="C629" s="286" t="s">
        <v>2096</v>
      </c>
      <c r="D629" s="286" t="s">
        <v>1105</v>
      </c>
      <c r="E629" s="286" t="s">
        <v>1106</v>
      </c>
      <c r="F629" s="286" t="s">
        <v>2155</v>
      </c>
      <c r="G629" s="286" t="s">
        <v>1045</v>
      </c>
      <c r="H629" s="286" t="s">
        <v>1045</v>
      </c>
      <c r="I629" s="286" t="s">
        <v>1199</v>
      </c>
      <c r="J629" s="286" t="s">
        <v>1312</v>
      </c>
      <c r="K629" s="286" t="s">
        <v>1828</v>
      </c>
      <c r="L629" s="286" t="s">
        <v>672</v>
      </c>
      <c r="M629" s="286">
        <v>1</v>
      </c>
      <c r="N629" s="287">
        <v>4710.88</v>
      </c>
      <c r="O629" s="294">
        <f t="shared" si="9"/>
        <v>45412</v>
      </c>
      <c r="P629" s="286" t="s">
        <v>58</v>
      </c>
    </row>
    <row r="630" spans="1:16" hidden="1" x14ac:dyDescent="0.15">
      <c r="A630" s="286">
        <v>614216</v>
      </c>
      <c r="B630" s="288">
        <v>45455.716666666667</v>
      </c>
      <c r="C630" s="286" t="s">
        <v>2116</v>
      </c>
      <c r="D630" s="286" t="s">
        <v>1105</v>
      </c>
      <c r="E630" s="286" t="s">
        <v>1106</v>
      </c>
      <c r="F630" s="286" t="s">
        <v>2156</v>
      </c>
      <c r="G630" s="286" t="s">
        <v>1045</v>
      </c>
      <c r="H630" s="286" t="s">
        <v>1045</v>
      </c>
      <c r="I630" s="286" t="s">
        <v>1199</v>
      </c>
      <c r="J630" s="286" t="s">
        <v>1312</v>
      </c>
      <c r="K630" s="286" t="s">
        <v>1828</v>
      </c>
      <c r="L630" s="286" t="s">
        <v>672</v>
      </c>
      <c r="M630" s="286">
        <v>1</v>
      </c>
      <c r="N630" s="287">
        <v>4710.88</v>
      </c>
      <c r="O630" s="294">
        <f t="shared" si="9"/>
        <v>45473</v>
      </c>
      <c r="P630" s="286" t="s">
        <v>58</v>
      </c>
    </row>
    <row r="631" spans="1:16" hidden="1" x14ac:dyDescent="0.15">
      <c r="A631" s="286">
        <v>608480</v>
      </c>
      <c r="B631" s="288">
        <v>45450.422222222223</v>
      </c>
      <c r="C631" s="286" t="s">
        <v>2092</v>
      </c>
      <c r="D631" s="286" t="s">
        <v>1105</v>
      </c>
      <c r="E631" s="286" t="s">
        <v>1106</v>
      </c>
      <c r="F631" s="286" t="s">
        <v>2157</v>
      </c>
      <c r="G631" s="286" t="s">
        <v>1045</v>
      </c>
      <c r="H631" s="286" t="s">
        <v>1045</v>
      </c>
      <c r="I631" s="286" t="s">
        <v>1199</v>
      </c>
      <c r="J631" s="286" t="s">
        <v>1312</v>
      </c>
      <c r="K631" s="286" t="s">
        <v>1828</v>
      </c>
      <c r="L631" s="286" t="s">
        <v>672</v>
      </c>
      <c r="M631" s="286">
        <v>1</v>
      </c>
      <c r="N631" s="287">
        <v>4710.88</v>
      </c>
      <c r="O631" s="294">
        <f t="shared" si="9"/>
        <v>45473</v>
      </c>
      <c r="P631" s="286" t="s">
        <v>58</v>
      </c>
    </row>
    <row r="632" spans="1:16" hidden="1" x14ac:dyDescent="0.15">
      <c r="A632" s="286">
        <v>646075</v>
      </c>
      <c r="B632" s="288">
        <v>45474.519444444442</v>
      </c>
      <c r="C632" s="286" t="s">
        <v>2111</v>
      </c>
      <c r="D632" s="286" t="s">
        <v>1105</v>
      </c>
      <c r="E632" s="286" t="s">
        <v>1106</v>
      </c>
      <c r="F632" s="286" t="s">
        <v>2137</v>
      </c>
      <c r="G632" s="286" t="s">
        <v>1045</v>
      </c>
      <c r="H632" s="286" t="s">
        <v>1045</v>
      </c>
      <c r="I632" s="286" t="s">
        <v>1199</v>
      </c>
      <c r="J632" s="286" t="s">
        <v>1312</v>
      </c>
      <c r="K632" s="286" t="s">
        <v>1828</v>
      </c>
      <c r="L632" s="286" t="s">
        <v>672</v>
      </c>
      <c r="M632" s="286">
        <v>1</v>
      </c>
      <c r="N632" s="287">
        <v>4710.88</v>
      </c>
      <c r="O632" s="294">
        <f t="shared" si="9"/>
        <v>45504</v>
      </c>
      <c r="P632" s="286" t="s">
        <v>58</v>
      </c>
    </row>
    <row r="633" spans="1:16" hidden="1" x14ac:dyDescent="0.15">
      <c r="A633" s="286">
        <v>697810</v>
      </c>
      <c r="B633" s="288">
        <v>45510.366666666669</v>
      </c>
      <c r="C633" s="286" t="s">
        <v>2102</v>
      </c>
      <c r="D633" s="286" t="s">
        <v>1105</v>
      </c>
      <c r="E633" s="286" t="s">
        <v>1106</v>
      </c>
      <c r="F633" s="286" t="s">
        <v>2138</v>
      </c>
      <c r="G633" s="286" t="s">
        <v>1045</v>
      </c>
      <c r="H633" s="286" t="s">
        <v>1045</v>
      </c>
      <c r="I633" s="286" t="s">
        <v>1199</v>
      </c>
      <c r="J633" s="286" t="s">
        <v>1312</v>
      </c>
      <c r="K633" s="286" t="s">
        <v>1828</v>
      </c>
      <c r="L633" s="286" t="s">
        <v>672</v>
      </c>
      <c r="M633" s="286">
        <v>1</v>
      </c>
      <c r="N633" s="287">
        <v>4710.88</v>
      </c>
      <c r="O633" s="294">
        <f t="shared" si="9"/>
        <v>45535</v>
      </c>
      <c r="P633" s="286" t="s">
        <v>58</v>
      </c>
    </row>
    <row r="634" spans="1:16" hidden="1" x14ac:dyDescent="0.15">
      <c r="A634" s="286">
        <v>745911</v>
      </c>
      <c r="B634" s="288">
        <v>45538.44027777778</v>
      </c>
      <c r="C634" s="286" t="s">
        <v>2132</v>
      </c>
      <c r="D634" s="286" t="s">
        <v>1105</v>
      </c>
      <c r="E634" s="286" t="s">
        <v>1106</v>
      </c>
      <c r="F634" s="286" t="s">
        <v>2139</v>
      </c>
      <c r="G634" s="286" t="s">
        <v>1045</v>
      </c>
      <c r="H634" s="286" t="s">
        <v>1045</v>
      </c>
      <c r="I634" s="286" t="s">
        <v>1199</v>
      </c>
      <c r="J634" s="286" t="s">
        <v>1312</v>
      </c>
      <c r="K634" s="286" t="s">
        <v>1828</v>
      </c>
      <c r="L634" s="286" t="s">
        <v>672</v>
      </c>
      <c r="M634" s="286">
        <v>1</v>
      </c>
      <c r="N634" s="287">
        <v>4710.88</v>
      </c>
      <c r="O634" s="294">
        <f t="shared" si="9"/>
        <v>45565</v>
      </c>
      <c r="P634" s="286" t="s">
        <v>58</v>
      </c>
    </row>
    <row r="635" spans="1:16" hidden="1" x14ac:dyDescent="0.15">
      <c r="A635" s="286">
        <v>848817</v>
      </c>
      <c r="B635" s="288">
        <v>45607.65902777778</v>
      </c>
      <c r="C635" s="286" t="s">
        <v>2130</v>
      </c>
      <c r="D635" s="286" t="s">
        <v>1105</v>
      </c>
      <c r="E635" s="286" t="s">
        <v>1106</v>
      </c>
      <c r="F635" s="286" t="s">
        <v>2140</v>
      </c>
      <c r="G635" s="286" t="s">
        <v>1045</v>
      </c>
      <c r="H635" s="286" t="s">
        <v>1045</v>
      </c>
      <c r="I635" s="286" t="s">
        <v>1199</v>
      </c>
      <c r="J635" s="286" t="s">
        <v>1312</v>
      </c>
      <c r="K635" s="286" t="s">
        <v>1828</v>
      </c>
      <c r="L635" s="286" t="s">
        <v>672</v>
      </c>
      <c r="M635" s="286">
        <v>1</v>
      </c>
      <c r="N635" s="287">
        <v>4710.88</v>
      </c>
      <c r="O635" s="294">
        <f t="shared" si="9"/>
        <v>45626</v>
      </c>
      <c r="P635" s="286" t="s">
        <v>58</v>
      </c>
    </row>
    <row r="636" spans="1:16" hidden="1" x14ac:dyDescent="0.15">
      <c r="A636" s="286">
        <v>848917</v>
      </c>
      <c r="B636" s="288">
        <v>45607.660416666666</v>
      </c>
      <c r="C636" s="286" t="s">
        <v>2100</v>
      </c>
      <c r="D636" s="286" t="s">
        <v>1105</v>
      </c>
      <c r="E636" s="286" t="s">
        <v>1106</v>
      </c>
      <c r="F636" s="286" t="s">
        <v>2141</v>
      </c>
      <c r="G636" s="286" t="s">
        <v>1045</v>
      </c>
      <c r="H636" s="286" t="s">
        <v>1045</v>
      </c>
      <c r="I636" s="286" t="s">
        <v>1199</v>
      </c>
      <c r="J636" s="286" t="s">
        <v>1312</v>
      </c>
      <c r="K636" s="286" t="s">
        <v>1828</v>
      </c>
      <c r="L636" s="286" t="s">
        <v>672</v>
      </c>
      <c r="M636" s="286">
        <v>1</v>
      </c>
      <c r="N636" s="287">
        <v>4710.88</v>
      </c>
      <c r="O636" s="294">
        <f t="shared" si="9"/>
        <v>45626</v>
      </c>
      <c r="P636" s="286" t="s">
        <v>58</v>
      </c>
    </row>
    <row r="637" spans="1:16" hidden="1" x14ac:dyDescent="0.15">
      <c r="A637" s="286">
        <v>874698</v>
      </c>
      <c r="B637" s="288">
        <v>45628.357638888891</v>
      </c>
      <c r="C637" s="286" t="s">
        <v>2098</v>
      </c>
      <c r="D637" s="286" t="s">
        <v>1105</v>
      </c>
      <c r="E637" s="286" t="s">
        <v>1106</v>
      </c>
      <c r="F637" s="286" t="s">
        <v>2142</v>
      </c>
      <c r="G637" s="286" t="s">
        <v>1045</v>
      </c>
      <c r="H637" s="286" t="s">
        <v>1045</v>
      </c>
      <c r="I637" s="286" t="s">
        <v>1199</v>
      </c>
      <c r="J637" s="286" t="s">
        <v>1312</v>
      </c>
      <c r="K637" s="286" t="s">
        <v>1828</v>
      </c>
      <c r="L637" s="286" t="s">
        <v>672</v>
      </c>
      <c r="M637" s="286">
        <v>1</v>
      </c>
      <c r="N637" s="287">
        <v>4710.88</v>
      </c>
      <c r="O637" s="294">
        <f t="shared" si="9"/>
        <v>45657</v>
      </c>
      <c r="P637" s="286" t="s">
        <v>58</v>
      </c>
    </row>
    <row r="638" spans="1:16" hidden="1" x14ac:dyDescent="0.15">
      <c r="A638" s="286">
        <v>464905</v>
      </c>
      <c r="B638" s="288">
        <v>45323.521527777775</v>
      </c>
      <c r="C638" s="286" t="s">
        <v>2125</v>
      </c>
      <c r="D638" s="286" t="s">
        <v>1105</v>
      </c>
      <c r="E638" s="286" t="s">
        <v>1106</v>
      </c>
      <c r="F638" s="286" t="s">
        <v>2212</v>
      </c>
      <c r="G638" s="286" t="s">
        <v>1047</v>
      </c>
      <c r="H638" s="286" t="s">
        <v>1047</v>
      </c>
      <c r="I638" s="286" t="s">
        <v>1129</v>
      </c>
      <c r="J638" s="286" t="s">
        <v>1312</v>
      </c>
      <c r="K638" s="286" t="s">
        <v>720</v>
      </c>
      <c r="L638" s="286" t="s">
        <v>857</v>
      </c>
      <c r="M638" s="286">
        <v>1</v>
      </c>
      <c r="N638" s="287">
        <v>4709</v>
      </c>
      <c r="O638" s="294">
        <f t="shared" si="9"/>
        <v>45351</v>
      </c>
      <c r="P638" s="286" t="s">
        <v>164</v>
      </c>
    </row>
    <row r="639" spans="1:16" hidden="1" x14ac:dyDescent="0.15">
      <c r="A639" s="286">
        <v>776534</v>
      </c>
      <c r="B639" s="288">
        <v>45554.480555555558</v>
      </c>
      <c r="C639" s="286" t="s">
        <v>2132</v>
      </c>
      <c r="D639" s="286" t="s">
        <v>1105</v>
      </c>
      <c r="E639" s="286" t="s">
        <v>1106</v>
      </c>
      <c r="F639" s="286" t="s">
        <v>2289</v>
      </c>
      <c r="G639" s="286" t="s">
        <v>1076</v>
      </c>
      <c r="H639" s="286" t="s">
        <v>1076</v>
      </c>
      <c r="I639" s="286" t="s">
        <v>1129</v>
      </c>
      <c r="J639" s="286" t="s">
        <v>1312</v>
      </c>
      <c r="K639" s="286" t="s">
        <v>720</v>
      </c>
      <c r="L639" s="286" t="s">
        <v>857</v>
      </c>
      <c r="M639" s="286">
        <v>1</v>
      </c>
      <c r="N639" s="287">
        <v>4709</v>
      </c>
      <c r="O639" s="294">
        <f t="shared" si="9"/>
        <v>45565</v>
      </c>
      <c r="P639" s="286" t="s">
        <v>164</v>
      </c>
    </row>
    <row r="640" spans="1:16" hidden="1" x14ac:dyDescent="0.15">
      <c r="A640" s="286">
        <v>848817</v>
      </c>
      <c r="B640" s="288">
        <v>45607.65902777778</v>
      </c>
      <c r="C640" s="286" t="s">
        <v>2130</v>
      </c>
      <c r="D640" s="286" t="s">
        <v>1105</v>
      </c>
      <c r="E640" s="286" t="s">
        <v>1106</v>
      </c>
      <c r="F640" s="286" t="s">
        <v>2140</v>
      </c>
      <c r="G640" s="286" t="s">
        <v>1002</v>
      </c>
      <c r="H640" s="286" t="s">
        <v>1002</v>
      </c>
      <c r="I640" s="286" t="s">
        <v>1199</v>
      </c>
      <c r="J640" s="286" t="s">
        <v>1312</v>
      </c>
      <c r="K640" s="286" t="s">
        <v>1796</v>
      </c>
      <c r="L640" s="286" t="s">
        <v>672</v>
      </c>
      <c r="M640" s="286">
        <v>1</v>
      </c>
      <c r="N640" s="287">
        <v>4696.59</v>
      </c>
      <c r="O640" s="294">
        <f t="shared" si="9"/>
        <v>45626</v>
      </c>
      <c r="P640" s="286" t="s">
        <v>58</v>
      </c>
    </row>
    <row r="641" spans="1:16" hidden="1" x14ac:dyDescent="0.15">
      <c r="A641" s="286">
        <v>848917</v>
      </c>
      <c r="B641" s="288">
        <v>45607.660416666666</v>
      </c>
      <c r="C641" s="286" t="s">
        <v>2100</v>
      </c>
      <c r="D641" s="286" t="s">
        <v>1105</v>
      </c>
      <c r="E641" s="286" t="s">
        <v>1106</v>
      </c>
      <c r="F641" s="286" t="s">
        <v>2141</v>
      </c>
      <c r="G641" s="286" t="s">
        <v>1002</v>
      </c>
      <c r="H641" s="286" t="s">
        <v>1002</v>
      </c>
      <c r="I641" s="286" t="s">
        <v>1199</v>
      </c>
      <c r="J641" s="286" t="s">
        <v>1312</v>
      </c>
      <c r="K641" s="286" t="s">
        <v>1796</v>
      </c>
      <c r="L641" s="286" t="s">
        <v>672</v>
      </c>
      <c r="M641" s="286">
        <v>1</v>
      </c>
      <c r="N641" s="287">
        <v>4696.59</v>
      </c>
      <c r="O641" s="294">
        <f t="shared" si="9"/>
        <v>45626</v>
      </c>
      <c r="P641" s="286" t="s">
        <v>58</v>
      </c>
    </row>
    <row r="642" spans="1:16" hidden="1" x14ac:dyDescent="0.15">
      <c r="A642" s="286">
        <v>874698</v>
      </c>
      <c r="B642" s="288">
        <v>45628.357638888891</v>
      </c>
      <c r="C642" s="286" t="s">
        <v>2098</v>
      </c>
      <c r="D642" s="286" t="s">
        <v>1105</v>
      </c>
      <c r="E642" s="286" t="s">
        <v>1106</v>
      </c>
      <c r="F642" s="286" t="s">
        <v>2142</v>
      </c>
      <c r="G642" s="286" t="s">
        <v>1002</v>
      </c>
      <c r="H642" s="286" t="s">
        <v>1002</v>
      </c>
      <c r="I642" s="286" t="s">
        <v>1199</v>
      </c>
      <c r="J642" s="286" t="s">
        <v>1312</v>
      </c>
      <c r="K642" s="286" t="s">
        <v>1796</v>
      </c>
      <c r="L642" s="286" t="s">
        <v>672</v>
      </c>
      <c r="M642" s="286">
        <v>1</v>
      </c>
      <c r="N642" s="287">
        <v>4696.59</v>
      </c>
      <c r="O642" s="294">
        <f t="shared" si="9"/>
        <v>45657</v>
      </c>
      <c r="P642" s="286" t="s">
        <v>58</v>
      </c>
    </row>
    <row r="643" spans="1:16" hidden="1" x14ac:dyDescent="0.15">
      <c r="A643" s="286">
        <v>770094</v>
      </c>
      <c r="B643" s="288">
        <v>45548.6875</v>
      </c>
      <c r="C643" s="286" t="s">
        <v>2132</v>
      </c>
      <c r="D643" s="286" t="s">
        <v>1105</v>
      </c>
      <c r="E643" s="286" t="s">
        <v>1106</v>
      </c>
      <c r="F643" s="286" t="s">
        <v>2221</v>
      </c>
      <c r="G643" s="286" t="s">
        <v>1029</v>
      </c>
      <c r="H643" s="286" t="s">
        <v>1029</v>
      </c>
      <c r="I643" s="286" t="s">
        <v>1199</v>
      </c>
      <c r="J643" s="286" t="s">
        <v>1312</v>
      </c>
      <c r="K643" s="286" t="s">
        <v>1828</v>
      </c>
      <c r="L643" s="286" t="s">
        <v>672</v>
      </c>
      <c r="M643" s="286">
        <v>1</v>
      </c>
      <c r="N643" s="287">
        <v>4682.57</v>
      </c>
      <c r="O643" s="294">
        <f t="shared" si="9"/>
        <v>45565</v>
      </c>
      <c r="P643" s="286" t="s">
        <v>58</v>
      </c>
    </row>
    <row r="644" spans="1:16" hidden="1" x14ac:dyDescent="0.15">
      <c r="A644" s="286">
        <v>848817</v>
      </c>
      <c r="B644" s="288">
        <v>45607.65902777778</v>
      </c>
      <c r="C644" s="286" t="s">
        <v>2130</v>
      </c>
      <c r="D644" s="286" t="s">
        <v>1105</v>
      </c>
      <c r="E644" s="286" t="s">
        <v>1106</v>
      </c>
      <c r="F644" s="286" t="s">
        <v>2140</v>
      </c>
      <c r="G644" s="286" t="s">
        <v>1029</v>
      </c>
      <c r="H644" s="286" t="s">
        <v>1029</v>
      </c>
      <c r="I644" s="286" t="s">
        <v>1199</v>
      </c>
      <c r="J644" s="286" t="s">
        <v>1312</v>
      </c>
      <c r="K644" s="286" t="s">
        <v>1828</v>
      </c>
      <c r="L644" s="286" t="s">
        <v>672</v>
      </c>
      <c r="M644" s="286">
        <v>1</v>
      </c>
      <c r="N644" s="287">
        <v>4682.57</v>
      </c>
      <c r="O644" s="294">
        <f t="shared" ref="O644:O707" si="10">EOMONTH(B644,0)</f>
        <v>45626</v>
      </c>
      <c r="P644" s="286" t="s">
        <v>58</v>
      </c>
    </row>
    <row r="645" spans="1:16" hidden="1" x14ac:dyDescent="0.15">
      <c r="A645" s="286">
        <v>848917</v>
      </c>
      <c r="B645" s="288">
        <v>45607.660416666666</v>
      </c>
      <c r="C645" s="286" t="s">
        <v>2100</v>
      </c>
      <c r="D645" s="286" t="s">
        <v>1105</v>
      </c>
      <c r="E645" s="286" t="s">
        <v>1106</v>
      </c>
      <c r="F645" s="286" t="s">
        <v>2141</v>
      </c>
      <c r="G645" s="286" t="s">
        <v>1029</v>
      </c>
      <c r="H645" s="286" t="s">
        <v>1029</v>
      </c>
      <c r="I645" s="286" t="s">
        <v>1199</v>
      </c>
      <c r="J645" s="286" t="s">
        <v>1312</v>
      </c>
      <c r="K645" s="286" t="s">
        <v>1828</v>
      </c>
      <c r="L645" s="286" t="s">
        <v>672</v>
      </c>
      <c r="M645" s="286">
        <v>1</v>
      </c>
      <c r="N645" s="287">
        <v>4682.57</v>
      </c>
      <c r="O645" s="294">
        <f t="shared" si="10"/>
        <v>45626</v>
      </c>
      <c r="P645" s="286" t="s">
        <v>58</v>
      </c>
    </row>
    <row r="646" spans="1:16" hidden="1" x14ac:dyDescent="0.15">
      <c r="A646" s="286">
        <v>874698</v>
      </c>
      <c r="B646" s="288">
        <v>45628.357638888891</v>
      </c>
      <c r="C646" s="286" t="s">
        <v>2098</v>
      </c>
      <c r="D646" s="286" t="s">
        <v>1105</v>
      </c>
      <c r="E646" s="286" t="s">
        <v>1106</v>
      </c>
      <c r="F646" s="286" t="s">
        <v>2142</v>
      </c>
      <c r="G646" s="286" t="s">
        <v>1029</v>
      </c>
      <c r="H646" s="286" t="s">
        <v>1029</v>
      </c>
      <c r="I646" s="286" t="s">
        <v>1199</v>
      </c>
      <c r="J646" s="286" t="s">
        <v>1312</v>
      </c>
      <c r="K646" s="286" t="s">
        <v>1828</v>
      </c>
      <c r="L646" s="286" t="s">
        <v>672</v>
      </c>
      <c r="M646" s="286">
        <v>1</v>
      </c>
      <c r="N646" s="287">
        <v>4682.57</v>
      </c>
      <c r="O646" s="294">
        <f t="shared" si="10"/>
        <v>45657</v>
      </c>
      <c r="P646" s="286" t="s">
        <v>58</v>
      </c>
    </row>
    <row r="647" spans="1:16" hidden="1" x14ac:dyDescent="0.15">
      <c r="A647" s="286">
        <v>697810</v>
      </c>
      <c r="B647" s="288">
        <v>45510.366666666669</v>
      </c>
      <c r="C647" s="286" t="s">
        <v>2102</v>
      </c>
      <c r="D647" s="286" t="s">
        <v>1105</v>
      </c>
      <c r="E647" s="286" t="s">
        <v>1106</v>
      </c>
      <c r="F647" s="286" t="s">
        <v>2138</v>
      </c>
      <c r="G647" s="286" t="s">
        <v>1035</v>
      </c>
      <c r="H647" s="286" t="s">
        <v>1035</v>
      </c>
      <c r="I647" s="286" t="s">
        <v>1199</v>
      </c>
      <c r="J647" s="286" t="s">
        <v>1312</v>
      </c>
      <c r="K647" s="286" t="s">
        <v>1797</v>
      </c>
      <c r="L647" s="286" t="s">
        <v>672</v>
      </c>
      <c r="M647" s="286">
        <v>1</v>
      </c>
      <c r="N647" s="287">
        <v>4681.74</v>
      </c>
      <c r="O647" s="294">
        <f t="shared" si="10"/>
        <v>45535</v>
      </c>
      <c r="P647" s="286" t="s">
        <v>58</v>
      </c>
    </row>
    <row r="648" spans="1:16" hidden="1" x14ac:dyDescent="0.15">
      <c r="A648" s="286">
        <v>745911</v>
      </c>
      <c r="B648" s="288">
        <v>45538.44027777778</v>
      </c>
      <c r="C648" s="286" t="s">
        <v>2132</v>
      </c>
      <c r="D648" s="286" t="s">
        <v>1105</v>
      </c>
      <c r="E648" s="286" t="s">
        <v>1106</v>
      </c>
      <c r="F648" s="286" t="s">
        <v>2139</v>
      </c>
      <c r="G648" s="286" t="s">
        <v>1035</v>
      </c>
      <c r="H648" s="286" t="s">
        <v>1035</v>
      </c>
      <c r="I648" s="286" t="s">
        <v>1199</v>
      </c>
      <c r="J648" s="286" t="s">
        <v>1312</v>
      </c>
      <c r="K648" s="286" t="s">
        <v>1797</v>
      </c>
      <c r="L648" s="286" t="s">
        <v>672</v>
      </c>
      <c r="M648" s="286">
        <v>1</v>
      </c>
      <c r="N648" s="287">
        <v>4681.74</v>
      </c>
      <c r="O648" s="294">
        <f t="shared" si="10"/>
        <v>45565</v>
      </c>
      <c r="P648" s="286" t="s">
        <v>58</v>
      </c>
    </row>
    <row r="649" spans="1:16" hidden="1" x14ac:dyDescent="0.15">
      <c r="A649" s="286">
        <v>848817</v>
      </c>
      <c r="B649" s="288">
        <v>45607.65902777778</v>
      </c>
      <c r="C649" s="286" t="s">
        <v>2130</v>
      </c>
      <c r="D649" s="286" t="s">
        <v>1105</v>
      </c>
      <c r="E649" s="286" t="s">
        <v>1106</v>
      </c>
      <c r="F649" s="286" t="s">
        <v>2140</v>
      </c>
      <c r="G649" s="286" t="s">
        <v>1035</v>
      </c>
      <c r="H649" s="286" t="s">
        <v>1035</v>
      </c>
      <c r="I649" s="286" t="s">
        <v>1199</v>
      </c>
      <c r="J649" s="286" t="s">
        <v>1312</v>
      </c>
      <c r="K649" s="286" t="s">
        <v>1797</v>
      </c>
      <c r="L649" s="286" t="s">
        <v>672</v>
      </c>
      <c r="M649" s="286">
        <v>1</v>
      </c>
      <c r="N649" s="287">
        <v>4681.74</v>
      </c>
      <c r="O649" s="294">
        <f t="shared" si="10"/>
        <v>45626</v>
      </c>
      <c r="P649" s="286" t="s">
        <v>58</v>
      </c>
    </row>
    <row r="650" spans="1:16" hidden="1" x14ac:dyDescent="0.15">
      <c r="A650" s="286">
        <v>848917</v>
      </c>
      <c r="B650" s="288">
        <v>45607.660416666666</v>
      </c>
      <c r="C650" s="286" t="s">
        <v>2100</v>
      </c>
      <c r="D650" s="286" t="s">
        <v>1105</v>
      </c>
      <c r="E650" s="286" t="s">
        <v>1106</v>
      </c>
      <c r="F650" s="286" t="s">
        <v>2141</v>
      </c>
      <c r="G650" s="286" t="s">
        <v>1035</v>
      </c>
      <c r="H650" s="286" t="s">
        <v>1035</v>
      </c>
      <c r="I650" s="286" t="s">
        <v>1199</v>
      </c>
      <c r="J650" s="286" t="s">
        <v>1312</v>
      </c>
      <c r="K650" s="286" t="s">
        <v>1797</v>
      </c>
      <c r="L650" s="286" t="s">
        <v>672</v>
      </c>
      <c r="M650" s="286">
        <v>1</v>
      </c>
      <c r="N650" s="287">
        <v>4681.74</v>
      </c>
      <c r="O650" s="294">
        <f t="shared" si="10"/>
        <v>45626</v>
      </c>
      <c r="P650" s="286" t="s">
        <v>58</v>
      </c>
    </row>
    <row r="651" spans="1:16" hidden="1" x14ac:dyDescent="0.15">
      <c r="A651" s="286">
        <v>874698</v>
      </c>
      <c r="B651" s="288">
        <v>45628.357638888891</v>
      </c>
      <c r="C651" s="286" t="s">
        <v>2098</v>
      </c>
      <c r="D651" s="286" t="s">
        <v>1105</v>
      </c>
      <c r="E651" s="286" t="s">
        <v>1106</v>
      </c>
      <c r="F651" s="286" t="s">
        <v>2142</v>
      </c>
      <c r="G651" s="286" t="s">
        <v>1035</v>
      </c>
      <c r="H651" s="286" t="s">
        <v>1035</v>
      </c>
      <c r="I651" s="286" t="s">
        <v>1199</v>
      </c>
      <c r="J651" s="286" t="s">
        <v>1312</v>
      </c>
      <c r="K651" s="286" t="s">
        <v>1797</v>
      </c>
      <c r="L651" s="286" t="s">
        <v>672</v>
      </c>
      <c r="M651" s="286">
        <v>1</v>
      </c>
      <c r="N651" s="287">
        <v>4681.74</v>
      </c>
      <c r="O651" s="294">
        <f t="shared" si="10"/>
        <v>45657</v>
      </c>
      <c r="P651" s="286" t="s">
        <v>58</v>
      </c>
    </row>
    <row r="652" spans="1:16" hidden="1" x14ac:dyDescent="0.15">
      <c r="A652" s="286">
        <v>438112</v>
      </c>
      <c r="B652" s="288">
        <v>45293.53402777778</v>
      </c>
      <c r="C652" s="286" t="s">
        <v>2125</v>
      </c>
      <c r="D652" s="286" t="s">
        <v>1105</v>
      </c>
      <c r="E652" s="286" t="s">
        <v>1106</v>
      </c>
      <c r="F652" s="286" t="s">
        <v>2152</v>
      </c>
      <c r="G652" s="286" t="s">
        <v>1082</v>
      </c>
      <c r="H652" s="286" t="s">
        <v>1082</v>
      </c>
      <c r="I652" s="286" t="s">
        <v>1199</v>
      </c>
      <c r="J652" s="286" t="s">
        <v>53</v>
      </c>
      <c r="K652" s="286" t="s">
        <v>53</v>
      </c>
      <c r="L652" s="286" t="s">
        <v>53</v>
      </c>
      <c r="M652" s="286" t="s">
        <v>53</v>
      </c>
      <c r="N652" s="287">
        <v>4605.1899999999996</v>
      </c>
      <c r="O652" s="294">
        <f t="shared" si="10"/>
        <v>45322</v>
      </c>
      <c r="P652" s="286" t="s">
        <v>58</v>
      </c>
    </row>
    <row r="653" spans="1:16" hidden="1" x14ac:dyDescent="0.15">
      <c r="A653" s="286">
        <v>472168</v>
      </c>
      <c r="B653" s="288">
        <v>45331.416666666664</v>
      </c>
      <c r="C653" s="286" t="s">
        <v>2113</v>
      </c>
      <c r="D653" s="286" t="s">
        <v>1105</v>
      </c>
      <c r="E653" s="286" t="s">
        <v>1106</v>
      </c>
      <c r="F653" s="286" t="s">
        <v>2153</v>
      </c>
      <c r="G653" s="286" t="s">
        <v>1082</v>
      </c>
      <c r="H653" s="286" t="s">
        <v>1082</v>
      </c>
      <c r="I653" s="286" t="s">
        <v>1199</v>
      </c>
      <c r="J653" s="286" t="s">
        <v>53</v>
      </c>
      <c r="K653" s="286" t="s">
        <v>53</v>
      </c>
      <c r="L653" s="286" t="s">
        <v>53</v>
      </c>
      <c r="M653" s="286" t="s">
        <v>53</v>
      </c>
      <c r="N653" s="287">
        <v>4605.1899999999996</v>
      </c>
      <c r="O653" s="294">
        <f t="shared" si="10"/>
        <v>45351</v>
      </c>
      <c r="P653" s="286" t="s">
        <v>58</v>
      </c>
    </row>
    <row r="654" spans="1:16" hidden="1" x14ac:dyDescent="0.15">
      <c r="A654" s="286">
        <v>504817</v>
      </c>
      <c r="B654" s="288">
        <v>45359.645138888889</v>
      </c>
      <c r="C654" s="286" t="s">
        <v>2109</v>
      </c>
      <c r="D654" s="286" t="s">
        <v>1105</v>
      </c>
      <c r="E654" s="286" t="s">
        <v>1106</v>
      </c>
      <c r="F654" s="286" t="s">
        <v>2154</v>
      </c>
      <c r="G654" s="286" t="s">
        <v>1082</v>
      </c>
      <c r="H654" s="286" t="s">
        <v>1082</v>
      </c>
      <c r="I654" s="286" t="s">
        <v>1199</v>
      </c>
      <c r="J654" s="286" t="s">
        <v>53</v>
      </c>
      <c r="K654" s="286" t="s">
        <v>53</v>
      </c>
      <c r="L654" s="286" t="s">
        <v>53</v>
      </c>
      <c r="M654" s="286" t="s">
        <v>53</v>
      </c>
      <c r="N654" s="287">
        <v>4605.1899999999996</v>
      </c>
      <c r="O654" s="294">
        <f t="shared" si="10"/>
        <v>45382</v>
      </c>
      <c r="P654" s="286" t="s">
        <v>58</v>
      </c>
    </row>
    <row r="655" spans="1:16" hidden="1" x14ac:dyDescent="0.15">
      <c r="A655" s="286">
        <v>534207</v>
      </c>
      <c r="B655" s="288">
        <v>45385.750694444447</v>
      </c>
      <c r="C655" s="286" t="s">
        <v>2096</v>
      </c>
      <c r="D655" s="286" t="s">
        <v>1105</v>
      </c>
      <c r="E655" s="286" t="s">
        <v>1106</v>
      </c>
      <c r="F655" s="286" t="s">
        <v>2155</v>
      </c>
      <c r="G655" s="286" t="s">
        <v>1082</v>
      </c>
      <c r="H655" s="286" t="s">
        <v>1082</v>
      </c>
      <c r="I655" s="286" t="s">
        <v>1199</v>
      </c>
      <c r="J655" s="286" t="s">
        <v>53</v>
      </c>
      <c r="K655" s="286" t="s">
        <v>53</v>
      </c>
      <c r="L655" s="286" t="s">
        <v>53</v>
      </c>
      <c r="M655" s="286" t="s">
        <v>53</v>
      </c>
      <c r="N655" s="287">
        <v>4605.1899999999996</v>
      </c>
      <c r="O655" s="294">
        <f t="shared" si="10"/>
        <v>45412</v>
      </c>
      <c r="P655" s="286" t="s">
        <v>58</v>
      </c>
    </row>
    <row r="656" spans="1:16" hidden="1" x14ac:dyDescent="0.15">
      <c r="A656" s="286">
        <v>614216</v>
      </c>
      <c r="B656" s="288">
        <v>45455.716666666667</v>
      </c>
      <c r="C656" s="286" t="s">
        <v>2116</v>
      </c>
      <c r="D656" s="286" t="s">
        <v>1105</v>
      </c>
      <c r="E656" s="286" t="s">
        <v>1106</v>
      </c>
      <c r="F656" s="286" t="s">
        <v>2156</v>
      </c>
      <c r="G656" s="286" t="s">
        <v>1082</v>
      </c>
      <c r="H656" s="286" t="s">
        <v>1082</v>
      </c>
      <c r="I656" s="286" t="s">
        <v>1199</v>
      </c>
      <c r="J656" s="286" t="s">
        <v>53</v>
      </c>
      <c r="K656" s="286" t="s">
        <v>53</v>
      </c>
      <c r="L656" s="286" t="s">
        <v>53</v>
      </c>
      <c r="M656" s="286" t="s">
        <v>53</v>
      </c>
      <c r="N656" s="287">
        <v>4605.1499999999996</v>
      </c>
      <c r="O656" s="294">
        <f t="shared" si="10"/>
        <v>45473</v>
      </c>
      <c r="P656" s="286" t="s">
        <v>58</v>
      </c>
    </row>
    <row r="657" spans="1:16" hidden="1" x14ac:dyDescent="0.15">
      <c r="A657" s="286">
        <v>646075</v>
      </c>
      <c r="B657" s="288">
        <v>45474.519444444442</v>
      </c>
      <c r="C657" s="286" t="s">
        <v>2111</v>
      </c>
      <c r="D657" s="286" t="s">
        <v>1105</v>
      </c>
      <c r="E657" s="286" t="s">
        <v>1106</v>
      </c>
      <c r="F657" s="286" t="s">
        <v>2137</v>
      </c>
      <c r="G657" s="286" t="s">
        <v>1082</v>
      </c>
      <c r="H657" s="286" t="s">
        <v>1082</v>
      </c>
      <c r="I657" s="286" t="s">
        <v>1199</v>
      </c>
      <c r="J657" s="286" t="s">
        <v>1312</v>
      </c>
      <c r="K657" s="286" t="s">
        <v>1754</v>
      </c>
      <c r="L657" s="286" t="s">
        <v>672</v>
      </c>
      <c r="M657" s="286">
        <v>1</v>
      </c>
      <c r="N657" s="287">
        <v>4604.0600000000004</v>
      </c>
      <c r="O657" s="294">
        <f t="shared" si="10"/>
        <v>45504</v>
      </c>
      <c r="P657" s="286" t="s">
        <v>58</v>
      </c>
    </row>
    <row r="658" spans="1:16" hidden="1" x14ac:dyDescent="0.15">
      <c r="A658" s="286">
        <v>697810</v>
      </c>
      <c r="B658" s="288">
        <v>45510.366666666669</v>
      </c>
      <c r="C658" s="286" t="s">
        <v>2102</v>
      </c>
      <c r="D658" s="286" t="s">
        <v>1105</v>
      </c>
      <c r="E658" s="286" t="s">
        <v>1106</v>
      </c>
      <c r="F658" s="286" t="s">
        <v>2138</v>
      </c>
      <c r="G658" s="286" t="s">
        <v>1082</v>
      </c>
      <c r="H658" s="286" t="s">
        <v>1082</v>
      </c>
      <c r="I658" s="286" t="s">
        <v>1199</v>
      </c>
      <c r="J658" s="286" t="s">
        <v>1312</v>
      </c>
      <c r="K658" s="286" t="s">
        <v>1754</v>
      </c>
      <c r="L658" s="286" t="s">
        <v>672</v>
      </c>
      <c r="M658" s="286">
        <v>1</v>
      </c>
      <c r="N658" s="287">
        <v>4604.0600000000004</v>
      </c>
      <c r="O658" s="294">
        <f t="shared" si="10"/>
        <v>45535</v>
      </c>
      <c r="P658" s="286" t="s">
        <v>58</v>
      </c>
    </row>
    <row r="659" spans="1:16" hidden="1" x14ac:dyDescent="0.15">
      <c r="A659" s="286">
        <v>745911</v>
      </c>
      <c r="B659" s="288">
        <v>45538.44027777778</v>
      </c>
      <c r="C659" s="286" t="s">
        <v>2132</v>
      </c>
      <c r="D659" s="286" t="s">
        <v>1105</v>
      </c>
      <c r="E659" s="286" t="s">
        <v>1106</v>
      </c>
      <c r="F659" s="286" t="s">
        <v>2139</v>
      </c>
      <c r="G659" s="286" t="s">
        <v>1082</v>
      </c>
      <c r="H659" s="286" t="s">
        <v>1082</v>
      </c>
      <c r="I659" s="286" t="s">
        <v>1199</v>
      </c>
      <c r="J659" s="286" t="s">
        <v>1312</v>
      </c>
      <c r="K659" s="286" t="s">
        <v>1754</v>
      </c>
      <c r="L659" s="286" t="s">
        <v>672</v>
      </c>
      <c r="M659" s="286">
        <v>1</v>
      </c>
      <c r="N659" s="287">
        <v>4604.0600000000004</v>
      </c>
      <c r="O659" s="294">
        <f t="shared" si="10"/>
        <v>45565</v>
      </c>
      <c r="P659" s="286" t="s">
        <v>58</v>
      </c>
    </row>
    <row r="660" spans="1:16" hidden="1" x14ac:dyDescent="0.15">
      <c r="A660" s="286">
        <v>848817</v>
      </c>
      <c r="B660" s="288">
        <v>45607.65902777778</v>
      </c>
      <c r="C660" s="286" t="s">
        <v>2130</v>
      </c>
      <c r="D660" s="286" t="s">
        <v>1105</v>
      </c>
      <c r="E660" s="286" t="s">
        <v>1106</v>
      </c>
      <c r="F660" s="286" t="s">
        <v>2140</v>
      </c>
      <c r="G660" s="286" t="s">
        <v>1082</v>
      </c>
      <c r="H660" s="286" t="s">
        <v>1082</v>
      </c>
      <c r="I660" s="286" t="s">
        <v>1199</v>
      </c>
      <c r="J660" s="286" t="s">
        <v>1312</v>
      </c>
      <c r="K660" s="286" t="s">
        <v>1754</v>
      </c>
      <c r="L660" s="286" t="s">
        <v>672</v>
      </c>
      <c r="M660" s="286">
        <v>1</v>
      </c>
      <c r="N660" s="287">
        <v>4604.0600000000004</v>
      </c>
      <c r="O660" s="294">
        <f t="shared" si="10"/>
        <v>45626</v>
      </c>
      <c r="P660" s="286" t="s">
        <v>58</v>
      </c>
    </row>
    <row r="661" spans="1:16" hidden="1" x14ac:dyDescent="0.15">
      <c r="A661" s="286">
        <v>848917</v>
      </c>
      <c r="B661" s="288">
        <v>45607.660416666666</v>
      </c>
      <c r="C661" s="286" t="s">
        <v>2100</v>
      </c>
      <c r="D661" s="286" t="s">
        <v>1105</v>
      </c>
      <c r="E661" s="286" t="s">
        <v>1106</v>
      </c>
      <c r="F661" s="286" t="s">
        <v>2141</v>
      </c>
      <c r="G661" s="286" t="s">
        <v>1082</v>
      </c>
      <c r="H661" s="286" t="s">
        <v>1082</v>
      </c>
      <c r="I661" s="286" t="s">
        <v>1199</v>
      </c>
      <c r="J661" s="286" t="s">
        <v>1312</v>
      </c>
      <c r="K661" s="286" t="s">
        <v>1754</v>
      </c>
      <c r="L661" s="286" t="s">
        <v>672</v>
      </c>
      <c r="M661" s="286">
        <v>1</v>
      </c>
      <c r="N661" s="287">
        <v>4604.0600000000004</v>
      </c>
      <c r="O661" s="294">
        <f t="shared" si="10"/>
        <v>45626</v>
      </c>
      <c r="P661" s="286" t="s">
        <v>58</v>
      </c>
    </row>
    <row r="662" spans="1:16" hidden="1" x14ac:dyDescent="0.15">
      <c r="A662" s="286">
        <v>874698</v>
      </c>
      <c r="B662" s="288">
        <v>45628.357638888891</v>
      </c>
      <c r="C662" s="286" t="s">
        <v>2098</v>
      </c>
      <c r="D662" s="286" t="s">
        <v>1105</v>
      </c>
      <c r="E662" s="286" t="s">
        <v>1106</v>
      </c>
      <c r="F662" s="286" t="s">
        <v>2142</v>
      </c>
      <c r="G662" s="286" t="s">
        <v>1082</v>
      </c>
      <c r="H662" s="286" t="s">
        <v>1082</v>
      </c>
      <c r="I662" s="286" t="s">
        <v>1199</v>
      </c>
      <c r="J662" s="286" t="s">
        <v>1312</v>
      </c>
      <c r="K662" s="286" t="s">
        <v>1754</v>
      </c>
      <c r="L662" s="286" t="s">
        <v>672</v>
      </c>
      <c r="M662" s="286">
        <v>1</v>
      </c>
      <c r="N662" s="287">
        <v>4604.0600000000004</v>
      </c>
      <c r="O662" s="294">
        <f t="shared" si="10"/>
        <v>45657</v>
      </c>
      <c r="P662" s="286" t="s">
        <v>58</v>
      </c>
    </row>
    <row r="663" spans="1:16" hidden="1" x14ac:dyDescent="0.15">
      <c r="A663" s="286">
        <v>652082</v>
      </c>
      <c r="B663" s="288">
        <v>45481.518055555556</v>
      </c>
      <c r="C663" s="286" t="s">
        <v>2111</v>
      </c>
      <c r="D663" s="286" t="s">
        <v>1105</v>
      </c>
      <c r="E663" s="286" t="s">
        <v>1106</v>
      </c>
      <c r="F663" s="286" t="s">
        <v>2290</v>
      </c>
      <c r="G663" s="286" t="s">
        <v>1050</v>
      </c>
      <c r="H663" s="286" t="s">
        <v>1050</v>
      </c>
      <c r="I663" s="286" t="s">
        <v>1152</v>
      </c>
      <c r="J663" s="286" t="s">
        <v>1312</v>
      </c>
      <c r="K663" s="286" t="s">
        <v>1652</v>
      </c>
      <c r="L663" s="286" t="s">
        <v>1653</v>
      </c>
      <c r="M663" s="286">
        <v>1</v>
      </c>
      <c r="N663" s="287">
        <v>4603.8900000000003</v>
      </c>
      <c r="O663" s="294">
        <f t="shared" si="10"/>
        <v>45504</v>
      </c>
      <c r="P663" s="286" t="s">
        <v>58</v>
      </c>
    </row>
    <row r="664" spans="1:16" hidden="1" x14ac:dyDescent="0.15">
      <c r="A664" s="286">
        <v>697810</v>
      </c>
      <c r="B664" s="288">
        <v>45510.366666666669</v>
      </c>
      <c r="C664" s="286" t="s">
        <v>2102</v>
      </c>
      <c r="D664" s="286" t="s">
        <v>1105</v>
      </c>
      <c r="E664" s="286" t="s">
        <v>1106</v>
      </c>
      <c r="F664" s="286" t="s">
        <v>2138</v>
      </c>
      <c r="G664" s="286" t="s">
        <v>1050</v>
      </c>
      <c r="H664" s="286" t="s">
        <v>1050</v>
      </c>
      <c r="I664" s="286" t="s">
        <v>1152</v>
      </c>
      <c r="J664" s="286" t="s">
        <v>1312</v>
      </c>
      <c r="K664" s="286" t="s">
        <v>1652</v>
      </c>
      <c r="L664" s="286" t="s">
        <v>1653</v>
      </c>
      <c r="M664" s="286">
        <v>1</v>
      </c>
      <c r="N664" s="287">
        <v>4603.8900000000003</v>
      </c>
      <c r="O664" s="294">
        <f t="shared" si="10"/>
        <v>45535</v>
      </c>
      <c r="P664" s="286" t="s">
        <v>58</v>
      </c>
    </row>
    <row r="665" spans="1:16" hidden="1" x14ac:dyDescent="0.15">
      <c r="A665" s="286">
        <v>745911</v>
      </c>
      <c r="B665" s="288">
        <v>45538.44027777778</v>
      </c>
      <c r="C665" s="286" t="s">
        <v>2132</v>
      </c>
      <c r="D665" s="286" t="s">
        <v>1105</v>
      </c>
      <c r="E665" s="286" t="s">
        <v>1106</v>
      </c>
      <c r="F665" s="286" t="s">
        <v>2139</v>
      </c>
      <c r="G665" s="286" t="s">
        <v>1050</v>
      </c>
      <c r="H665" s="286" t="s">
        <v>1050</v>
      </c>
      <c r="I665" s="286" t="s">
        <v>1152</v>
      </c>
      <c r="J665" s="286" t="s">
        <v>1312</v>
      </c>
      <c r="K665" s="286" t="s">
        <v>1652</v>
      </c>
      <c r="L665" s="286" t="s">
        <v>1653</v>
      </c>
      <c r="M665" s="286">
        <v>1</v>
      </c>
      <c r="N665" s="287">
        <v>4603.8900000000003</v>
      </c>
      <c r="O665" s="294">
        <f t="shared" si="10"/>
        <v>45565</v>
      </c>
      <c r="P665" s="286" t="s">
        <v>58</v>
      </c>
    </row>
    <row r="666" spans="1:16" hidden="1" x14ac:dyDescent="0.15">
      <c r="A666" s="286">
        <v>848817</v>
      </c>
      <c r="B666" s="288">
        <v>45607.65902777778</v>
      </c>
      <c r="C666" s="286" t="s">
        <v>2130</v>
      </c>
      <c r="D666" s="286" t="s">
        <v>1105</v>
      </c>
      <c r="E666" s="286" t="s">
        <v>1106</v>
      </c>
      <c r="F666" s="286" t="s">
        <v>2140</v>
      </c>
      <c r="G666" s="286" t="s">
        <v>1050</v>
      </c>
      <c r="H666" s="286" t="s">
        <v>1050</v>
      </c>
      <c r="I666" s="286" t="s">
        <v>1152</v>
      </c>
      <c r="J666" s="286" t="s">
        <v>1312</v>
      </c>
      <c r="K666" s="286" t="s">
        <v>1652</v>
      </c>
      <c r="L666" s="286" t="s">
        <v>1653</v>
      </c>
      <c r="M666" s="286">
        <v>1</v>
      </c>
      <c r="N666" s="287">
        <v>4603.8900000000003</v>
      </c>
      <c r="O666" s="294">
        <f t="shared" si="10"/>
        <v>45626</v>
      </c>
      <c r="P666" s="286" t="s">
        <v>58</v>
      </c>
    </row>
    <row r="667" spans="1:16" hidden="1" x14ac:dyDescent="0.15">
      <c r="A667" s="286">
        <v>848917</v>
      </c>
      <c r="B667" s="288">
        <v>45607.660416666666</v>
      </c>
      <c r="C667" s="286" t="s">
        <v>2100</v>
      </c>
      <c r="D667" s="286" t="s">
        <v>1105</v>
      </c>
      <c r="E667" s="286" t="s">
        <v>1106</v>
      </c>
      <c r="F667" s="286" t="s">
        <v>2141</v>
      </c>
      <c r="G667" s="286" t="s">
        <v>1050</v>
      </c>
      <c r="H667" s="286" t="s">
        <v>1050</v>
      </c>
      <c r="I667" s="286" t="s">
        <v>1152</v>
      </c>
      <c r="J667" s="286" t="s">
        <v>1312</v>
      </c>
      <c r="K667" s="286" t="s">
        <v>1652</v>
      </c>
      <c r="L667" s="286" t="s">
        <v>1653</v>
      </c>
      <c r="M667" s="286">
        <v>1</v>
      </c>
      <c r="N667" s="287">
        <v>4603.8900000000003</v>
      </c>
      <c r="O667" s="294">
        <f t="shared" si="10"/>
        <v>45626</v>
      </c>
      <c r="P667" s="286" t="s">
        <v>58</v>
      </c>
    </row>
    <row r="668" spans="1:16" hidden="1" x14ac:dyDescent="0.15">
      <c r="A668" s="286">
        <v>874698</v>
      </c>
      <c r="B668" s="288">
        <v>45628.357638888891</v>
      </c>
      <c r="C668" s="286" t="s">
        <v>2098</v>
      </c>
      <c r="D668" s="286" t="s">
        <v>1105</v>
      </c>
      <c r="E668" s="286" t="s">
        <v>1106</v>
      </c>
      <c r="F668" s="286" t="s">
        <v>2142</v>
      </c>
      <c r="G668" s="286" t="s">
        <v>1050</v>
      </c>
      <c r="H668" s="286" t="s">
        <v>1050</v>
      </c>
      <c r="I668" s="286" t="s">
        <v>1152</v>
      </c>
      <c r="J668" s="286" t="s">
        <v>1312</v>
      </c>
      <c r="K668" s="286" t="s">
        <v>1652</v>
      </c>
      <c r="L668" s="286" t="s">
        <v>1653</v>
      </c>
      <c r="M668" s="286">
        <v>1</v>
      </c>
      <c r="N668" s="287">
        <v>4603.8900000000003</v>
      </c>
      <c r="O668" s="294">
        <f t="shared" si="10"/>
        <v>45657</v>
      </c>
      <c r="P668" s="286" t="s">
        <v>58</v>
      </c>
    </row>
    <row r="669" spans="1:16" hidden="1" x14ac:dyDescent="0.15">
      <c r="A669" s="286">
        <v>614216</v>
      </c>
      <c r="B669" s="288">
        <v>45455.716666666667</v>
      </c>
      <c r="C669" s="286" t="s">
        <v>2116</v>
      </c>
      <c r="D669" s="286" t="s">
        <v>1105</v>
      </c>
      <c r="E669" s="286" t="s">
        <v>1106</v>
      </c>
      <c r="F669" s="286" t="s">
        <v>2156</v>
      </c>
      <c r="G669" s="286" t="s">
        <v>1011</v>
      </c>
      <c r="H669" s="286" t="s">
        <v>1011</v>
      </c>
      <c r="I669" s="286" t="s">
        <v>1228</v>
      </c>
      <c r="J669" s="286" t="s">
        <v>1312</v>
      </c>
      <c r="K669" s="286" t="s">
        <v>1770</v>
      </c>
      <c r="L669" s="286" t="s">
        <v>672</v>
      </c>
      <c r="M669" s="286">
        <v>1</v>
      </c>
      <c r="N669" s="287">
        <v>4588.62</v>
      </c>
      <c r="O669" s="294">
        <f t="shared" si="10"/>
        <v>45473</v>
      </c>
      <c r="P669" s="286" t="s">
        <v>58</v>
      </c>
    </row>
    <row r="670" spans="1:16" hidden="1" x14ac:dyDescent="0.15">
      <c r="A670" s="286">
        <v>614316</v>
      </c>
      <c r="B670" s="288">
        <v>45455.717361111114</v>
      </c>
      <c r="C670" s="286" t="s">
        <v>2092</v>
      </c>
      <c r="D670" s="286" t="s">
        <v>1105</v>
      </c>
      <c r="E670" s="286" t="s">
        <v>1106</v>
      </c>
      <c r="F670" s="286" t="s">
        <v>2167</v>
      </c>
      <c r="G670" s="286" t="s">
        <v>1011</v>
      </c>
      <c r="H670" s="286" t="s">
        <v>1011</v>
      </c>
      <c r="I670" s="286" t="s">
        <v>1228</v>
      </c>
      <c r="J670" s="286" t="s">
        <v>1312</v>
      </c>
      <c r="K670" s="286" t="s">
        <v>1770</v>
      </c>
      <c r="L670" s="286" t="s">
        <v>672</v>
      </c>
      <c r="M670" s="286">
        <v>1</v>
      </c>
      <c r="N670" s="287">
        <v>4588.62</v>
      </c>
      <c r="O670" s="294">
        <f t="shared" si="10"/>
        <v>45473</v>
      </c>
      <c r="P670" s="286" t="s">
        <v>58</v>
      </c>
    </row>
    <row r="671" spans="1:16" hidden="1" x14ac:dyDescent="0.15">
      <c r="A671" s="286">
        <v>646075</v>
      </c>
      <c r="B671" s="288">
        <v>45474.519444444442</v>
      </c>
      <c r="C671" s="286" t="s">
        <v>2111</v>
      </c>
      <c r="D671" s="286" t="s">
        <v>1105</v>
      </c>
      <c r="E671" s="286" t="s">
        <v>1106</v>
      </c>
      <c r="F671" s="286" t="s">
        <v>2137</v>
      </c>
      <c r="G671" s="286" t="s">
        <v>1011</v>
      </c>
      <c r="H671" s="286" t="s">
        <v>1011</v>
      </c>
      <c r="I671" s="286" t="s">
        <v>1228</v>
      </c>
      <c r="J671" s="286" t="s">
        <v>1312</v>
      </c>
      <c r="K671" s="286" t="s">
        <v>1770</v>
      </c>
      <c r="L671" s="286" t="s">
        <v>672</v>
      </c>
      <c r="M671" s="286">
        <v>1</v>
      </c>
      <c r="N671" s="287">
        <v>4588.62</v>
      </c>
      <c r="O671" s="294">
        <f t="shared" si="10"/>
        <v>45504</v>
      </c>
      <c r="P671" s="286" t="s">
        <v>58</v>
      </c>
    </row>
    <row r="672" spans="1:16" hidden="1" x14ac:dyDescent="0.15">
      <c r="A672" s="286">
        <v>697810</v>
      </c>
      <c r="B672" s="288">
        <v>45510.366666666669</v>
      </c>
      <c r="C672" s="286" t="s">
        <v>2102</v>
      </c>
      <c r="D672" s="286" t="s">
        <v>1105</v>
      </c>
      <c r="E672" s="286" t="s">
        <v>1106</v>
      </c>
      <c r="F672" s="286" t="s">
        <v>2138</v>
      </c>
      <c r="G672" s="286" t="s">
        <v>1011</v>
      </c>
      <c r="H672" s="286" t="s">
        <v>1011</v>
      </c>
      <c r="I672" s="286" t="s">
        <v>1228</v>
      </c>
      <c r="J672" s="286" t="s">
        <v>1312</v>
      </c>
      <c r="K672" s="286" t="s">
        <v>1770</v>
      </c>
      <c r="L672" s="286" t="s">
        <v>672</v>
      </c>
      <c r="M672" s="286">
        <v>1</v>
      </c>
      <c r="N672" s="287">
        <v>4588.62</v>
      </c>
      <c r="O672" s="294">
        <f t="shared" si="10"/>
        <v>45535</v>
      </c>
      <c r="P672" s="286" t="s">
        <v>58</v>
      </c>
    </row>
    <row r="673" spans="1:16" hidden="1" x14ac:dyDescent="0.15">
      <c r="A673" s="286">
        <v>745911</v>
      </c>
      <c r="B673" s="288">
        <v>45538.44027777778</v>
      </c>
      <c r="C673" s="286" t="s">
        <v>2132</v>
      </c>
      <c r="D673" s="286" t="s">
        <v>1105</v>
      </c>
      <c r="E673" s="286" t="s">
        <v>1106</v>
      </c>
      <c r="F673" s="286" t="s">
        <v>2139</v>
      </c>
      <c r="G673" s="286" t="s">
        <v>1011</v>
      </c>
      <c r="H673" s="286" t="s">
        <v>1011</v>
      </c>
      <c r="I673" s="286" t="s">
        <v>1228</v>
      </c>
      <c r="J673" s="286" t="s">
        <v>1312</v>
      </c>
      <c r="K673" s="286" t="s">
        <v>1770</v>
      </c>
      <c r="L673" s="286" t="s">
        <v>672</v>
      </c>
      <c r="M673" s="286">
        <v>1</v>
      </c>
      <c r="N673" s="287">
        <v>4588.62</v>
      </c>
      <c r="O673" s="294">
        <f t="shared" si="10"/>
        <v>45565</v>
      </c>
      <c r="P673" s="286" t="s">
        <v>58</v>
      </c>
    </row>
    <row r="674" spans="1:16" hidden="1" x14ac:dyDescent="0.15">
      <c r="A674" s="286">
        <v>848817</v>
      </c>
      <c r="B674" s="288">
        <v>45607.65902777778</v>
      </c>
      <c r="C674" s="286" t="s">
        <v>2130</v>
      </c>
      <c r="D674" s="286" t="s">
        <v>1105</v>
      </c>
      <c r="E674" s="286" t="s">
        <v>1106</v>
      </c>
      <c r="F674" s="286" t="s">
        <v>2140</v>
      </c>
      <c r="G674" s="286" t="s">
        <v>1011</v>
      </c>
      <c r="H674" s="286" t="s">
        <v>1011</v>
      </c>
      <c r="I674" s="286" t="s">
        <v>1228</v>
      </c>
      <c r="J674" s="286" t="s">
        <v>1312</v>
      </c>
      <c r="K674" s="286" t="s">
        <v>1770</v>
      </c>
      <c r="L674" s="286" t="s">
        <v>672</v>
      </c>
      <c r="M674" s="286">
        <v>1</v>
      </c>
      <c r="N674" s="287">
        <v>4588.62</v>
      </c>
      <c r="O674" s="294">
        <f t="shared" si="10"/>
        <v>45626</v>
      </c>
      <c r="P674" s="286" t="s">
        <v>58</v>
      </c>
    </row>
    <row r="675" spans="1:16" hidden="1" x14ac:dyDescent="0.15">
      <c r="A675" s="286">
        <v>848917</v>
      </c>
      <c r="B675" s="288">
        <v>45607.660416666666</v>
      </c>
      <c r="C675" s="286" t="s">
        <v>2100</v>
      </c>
      <c r="D675" s="286" t="s">
        <v>1105</v>
      </c>
      <c r="E675" s="286" t="s">
        <v>1106</v>
      </c>
      <c r="F675" s="286" t="s">
        <v>2141</v>
      </c>
      <c r="G675" s="286" t="s">
        <v>1011</v>
      </c>
      <c r="H675" s="286" t="s">
        <v>1011</v>
      </c>
      <c r="I675" s="286" t="s">
        <v>1228</v>
      </c>
      <c r="J675" s="286" t="s">
        <v>1312</v>
      </c>
      <c r="K675" s="286" t="s">
        <v>1770</v>
      </c>
      <c r="L675" s="286" t="s">
        <v>672</v>
      </c>
      <c r="M675" s="286">
        <v>1</v>
      </c>
      <c r="N675" s="287">
        <v>4588.62</v>
      </c>
      <c r="O675" s="294">
        <f t="shared" si="10"/>
        <v>45626</v>
      </c>
      <c r="P675" s="286" t="s">
        <v>58</v>
      </c>
    </row>
    <row r="676" spans="1:16" hidden="1" x14ac:dyDescent="0.15">
      <c r="A676" s="286">
        <v>874698</v>
      </c>
      <c r="B676" s="288">
        <v>45628.357638888891</v>
      </c>
      <c r="C676" s="286" t="s">
        <v>2098</v>
      </c>
      <c r="D676" s="286" t="s">
        <v>1105</v>
      </c>
      <c r="E676" s="286" t="s">
        <v>1106</v>
      </c>
      <c r="F676" s="286" t="s">
        <v>2142</v>
      </c>
      <c r="G676" s="286" t="s">
        <v>1011</v>
      </c>
      <c r="H676" s="286" t="s">
        <v>1011</v>
      </c>
      <c r="I676" s="286" t="s">
        <v>1228</v>
      </c>
      <c r="J676" s="286" t="s">
        <v>1312</v>
      </c>
      <c r="K676" s="286" t="s">
        <v>1770</v>
      </c>
      <c r="L676" s="286" t="s">
        <v>672</v>
      </c>
      <c r="M676" s="286">
        <v>1</v>
      </c>
      <c r="N676" s="287">
        <v>4588.62</v>
      </c>
      <c r="O676" s="294">
        <f t="shared" si="10"/>
        <v>45657</v>
      </c>
      <c r="P676" s="286" t="s">
        <v>58</v>
      </c>
    </row>
    <row r="677" spans="1:16" hidden="1" x14ac:dyDescent="0.15">
      <c r="A677" s="286">
        <v>848817</v>
      </c>
      <c r="B677" s="288">
        <v>45607.65902777778</v>
      </c>
      <c r="C677" s="286" t="s">
        <v>2130</v>
      </c>
      <c r="D677" s="286" t="s">
        <v>1105</v>
      </c>
      <c r="E677" s="286" t="s">
        <v>1106</v>
      </c>
      <c r="F677" s="286" t="s">
        <v>2140</v>
      </c>
      <c r="G677" s="286" t="s">
        <v>1010</v>
      </c>
      <c r="H677" s="286" t="s">
        <v>1010</v>
      </c>
      <c r="I677" s="286" t="s">
        <v>1199</v>
      </c>
      <c r="J677" s="286" t="s">
        <v>53</v>
      </c>
      <c r="K677" s="286" t="s">
        <v>53</v>
      </c>
      <c r="L677" s="286" t="s">
        <v>53</v>
      </c>
      <c r="M677" s="286" t="s">
        <v>53</v>
      </c>
      <c r="N677" s="287">
        <v>4530.87</v>
      </c>
      <c r="O677" s="294">
        <f t="shared" si="10"/>
        <v>45626</v>
      </c>
      <c r="P677" s="286" t="s">
        <v>58</v>
      </c>
    </row>
    <row r="678" spans="1:16" hidden="1" x14ac:dyDescent="0.15">
      <c r="A678" s="286">
        <v>438112</v>
      </c>
      <c r="B678" s="288">
        <v>45293.53402777778</v>
      </c>
      <c r="C678" s="286" t="s">
        <v>2125</v>
      </c>
      <c r="D678" s="286" t="s">
        <v>1105</v>
      </c>
      <c r="E678" s="286" t="s">
        <v>1106</v>
      </c>
      <c r="F678" s="286" t="s">
        <v>2152</v>
      </c>
      <c r="G678" s="286" t="s">
        <v>1067</v>
      </c>
      <c r="H678" s="286" t="s">
        <v>1067</v>
      </c>
      <c r="I678" s="286" t="s">
        <v>1199</v>
      </c>
      <c r="J678" s="286" t="s">
        <v>53</v>
      </c>
      <c r="K678" s="286" t="s">
        <v>53</v>
      </c>
      <c r="L678" s="286" t="s">
        <v>53</v>
      </c>
      <c r="M678" s="286" t="s">
        <v>53</v>
      </c>
      <c r="N678" s="287">
        <v>4501.41</v>
      </c>
      <c r="O678" s="294">
        <f t="shared" si="10"/>
        <v>45322</v>
      </c>
      <c r="P678" s="286" t="s">
        <v>58</v>
      </c>
    </row>
    <row r="679" spans="1:16" hidden="1" x14ac:dyDescent="0.15">
      <c r="A679" s="286">
        <v>472168</v>
      </c>
      <c r="B679" s="288">
        <v>45331.416666666664</v>
      </c>
      <c r="C679" s="286" t="s">
        <v>2113</v>
      </c>
      <c r="D679" s="286" t="s">
        <v>1105</v>
      </c>
      <c r="E679" s="286" t="s">
        <v>1106</v>
      </c>
      <c r="F679" s="286" t="s">
        <v>2153</v>
      </c>
      <c r="G679" s="286" t="s">
        <v>1067</v>
      </c>
      <c r="H679" s="286" t="s">
        <v>1067</v>
      </c>
      <c r="I679" s="286" t="s">
        <v>1199</v>
      </c>
      <c r="J679" s="286" t="s">
        <v>53</v>
      </c>
      <c r="K679" s="286" t="s">
        <v>53</v>
      </c>
      <c r="L679" s="286" t="s">
        <v>53</v>
      </c>
      <c r="M679" s="286" t="s">
        <v>53</v>
      </c>
      <c r="N679" s="287">
        <v>4501.37</v>
      </c>
      <c r="O679" s="294">
        <f t="shared" si="10"/>
        <v>45351</v>
      </c>
      <c r="P679" s="286" t="s">
        <v>58</v>
      </c>
    </row>
    <row r="680" spans="1:16" hidden="1" x14ac:dyDescent="0.15">
      <c r="A680" s="286">
        <v>504817</v>
      </c>
      <c r="B680" s="288">
        <v>45359.645138888889</v>
      </c>
      <c r="C680" s="286" t="s">
        <v>2109</v>
      </c>
      <c r="D680" s="286" t="s">
        <v>1105</v>
      </c>
      <c r="E680" s="286" t="s">
        <v>1106</v>
      </c>
      <c r="F680" s="286" t="s">
        <v>2154</v>
      </c>
      <c r="G680" s="286" t="s">
        <v>1044</v>
      </c>
      <c r="H680" s="286" t="s">
        <v>1044</v>
      </c>
      <c r="I680" s="286" t="s">
        <v>1228</v>
      </c>
      <c r="J680" s="286" t="s">
        <v>1312</v>
      </c>
      <c r="K680" s="286" t="s">
        <v>2291</v>
      </c>
      <c r="L680" s="286" t="s">
        <v>672</v>
      </c>
      <c r="M680" s="286">
        <v>1</v>
      </c>
      <c r="N680" s="287">
        <v>4499.03</v>
      </c>
      <c r="O680" s="294">
        <f t="shared" si="10"/>
        <v>45382</v>
      </c>
      <c r="P680" s="286" t="s">
        <v>58</v>
      </c>
    </row>
    <row r="681" spans="1:16" hidden="1" x14ac:dyDescent="0.15">
      <c r="A681" s="286">
        <v>504817</v>
      </c>
      <c r="B681" s="288">
        <v>45359.645138888889</v>
      </c>
      <c r="C681" s="286" t="s">
        <v>2109</v>
      </c>
      <c r="D681" s="286" t="s">
        <v>1105</v>
      </c>
      <c r="E681" s="286" t="s">
        <v>1106</v>
      </c>
      <c r="F681" s="286" t="s">
        <v>2154</v>
      </c>
      <c r="G681" s="286" t="s">
        <v>1044</v>
      </c>
      <c r="H681" s="286" t="s">
        <v>1044</v>
      </c>
      <c r="I681" s="286" t="s">
        <v>1228</v>
      </c>
      <c r="J681" s="286" t="s">
        <v>1312</v>
      </c>
      <c r="K681" s="286" t="s">
        <v>2291</v>
      </c>
      <c r="L681" s="286" t="s">
        <v>672</v>
      </c>
      <c r="M681" s="286">
        <v>1</v>
      </c>
      <c r="N681" s="287">
        <v>4499.03</v>
      </c>
      <c r="O681" s="294">
        <f t="shared" si="10"/>
        <v>45382</v>
      </c>
      <c r="P681" s="286" t="s">
        <v>58</v>
      </c>
    </row>
    <row r="682" spans="1:16" hidden="1" x14ac:dyDescent="0.15">
      <c r="A682" s="286">
        <v>534207</v>
      </c>
      <c r="B682" s="288">
        <v>45385.750694444447</v>
      </c>
      <c r="C682" s="286" t="s">
        <v>2096</v>
      </c>
      <c r="D682" s="286" t="s">
        <v>1105</v>
      </c>
      <c r="E682" s="286" t="s">
        <v>1106</v>
      </c>
      <c r="F682" s="286" t="s">
        <v>2155</v>
      </c>
      <c r="G682" s="286" t="s">
        <v>1044</v>
      </c>
      <c r="H682" s="286" t="s">
        <v>1044</v>
      </c>
      <c r="I682" s="286" t="s">
        <v>1228</v>
      </c>
      <c r="J682" s="286" t="s">
        <v>1312</v>
      </c>
      <c r="K682" s="286" t="s">
        <v>2291</v>
      </c>
      <c r="L682" s="286" t="s">
        <v>672</v>
      </c>
      <c r="M682" s="286">
        <v>1</v>
      </c>
      <c r="N682" s="287">
        <v>4499.03</v>
      </c>
      <c r="O682" s="294">
        <f t="shared" si="10"/>
        <v>45412</v>
      </c>
      <c r="P682" s="286" t="s">
        <v>58</v>
      </c>
    </row>
    <row r="683" spans="1:16" hidden="1" x14ac:dyDescent="0.15">
      <c r="A683" s="286">
        <v>534207</v>
      </c>
      <c r="B683" s="288">
        <v>45385.750694444447</v>
      </c>
      <c r="C683" s="286" t="s">
        <v>2096</v>
      </c>
      <c r="D683" s="286" t="s">
        <v>1105</v>
      </c>
      <c r="E683" s="286" t="s">
        <v>1106</v>
      </c>
      <c r="F683" s="286" t="s">
        <v>2155</v>
      </c>
      <c r="G683" s="286" t="s">
        <v>1044</v>
      </c>
      <c r="H683" s="286" t="s">
        <v>1044</v>
      </c>
      <c r="I683" s="286" t="s">
        <v>1228</v>
      </c>
      <c r="J683" s="286" t="s">
        <v>1312</v>
      </c>
      <c r="K683" s="286" t="s">
        <v>2291</v>
      </c>
      <c r="L683" s="286" t="s">
        <v>672</v>
      </c>
      <c r="M683" s="286">
        <v>1</v>
      </c>
      <c r="N683" s="287">
        <v>4499.03</v>
      </c>
      <c r="O683" s="294">
        <f t="shared" si="10"/>
        <v>45412</v>
      </c>
      <c r="P683" s="286" t="s">
        <v>58</v>
      </c>
    </row>
    <row r="684" spans="1:16" hidden="1" x14ac:dyDescent="0.15">
      <c r="A684" s="286">
        <v>614216</v>
      </c>
      <c r="B684" s="288">
        <v>45455.716666666667</v>
      </c>
      <c r="C684" s="286" t="s">
        <v>2116</v>
      </c>
      <c r="D684" s="286" t="s">
        <v>1105</v>
      </c>
      <c r="E684" s="286" t="s">
        <v>1106</v>
      </c>
      <c r="F684" s="286" t="s">
        <v>2156</v>
      </c>
      <c r="G684" s="286" t="s">
        <v>1044</v>
      </c>
      <c r="H684" s="286" t="s">
        <v>1044</v>
      </c>
      <c r="I684" s="286" t="s">
        <v>1228</v>
      </c>
      <c r="J684" s="286" t="s">
        <v>1312</v>
      </c>
      <c r="K684" s="286" t="s">
        <v>2291</v>
      </c>
      <c r="L684" s="286" t="s">
        <v>672</v>
      </c>
      <c r="M684" s="286">
        <v>1</v>
      </c>
      <c r="N684" s="287">
        <v>4499.03</v>
      </c>
      <c r="O684" s="294">
        <f t="shared" si="10"/>
        <v>45473</v>
      </c>
      <c r="P684" s="286" t="s">
        <v>58</v>
      </c>
    </row>
    <row r="685" spans="1:16" hidden="1" x14ac:dyDescent="0.15">
      <c r="A685" s="286">
        <v>614216</v>
      </c>
      <c r="B685" s="288">
        <v>45455.716666666667</v>
      </c>
      <c r="C685" s="286" t="s">
        <v>2116</v>
      </c>
      <c r="D685" s="286" t="s">
        <v>1105</v>
      </c>
      <c r="E685" s="286" t="s">
        <v>1106</v>
      </c>
      <c r="F685" s="286" t="s">
        <v>2156</v>
      </c>
      <c r="G685" s="286" t="s">
        <v>1044</v>
      </c>
      <c r="H685" s="286" t="s">
        <v>1044</v>
      </c>
      <c r="I685" s="286" t="s">
        <v>1228</v>
      </c>
      <c r="J685" s="286" t="s">
        <v>1312</v>
      </c>
      <c r="K685" s="286" t="s">
        <v>2291</v>
      </c>
      <c r="L685" s="286" t="s">
        <v>672</v>
      </c>
      <c r="M685" s="286">
        <v>1</v>
      </c>
      <c r="N685" s="287">
        <v>4499.03</v>
      </c>
      <c r="O685" s="294">
        <f t="shared" si="10"/>
        <v>45473</v>
      </c>
      <c r="P685" s="286" t="s">
        <v>58</v>
      </c>
    </row>
    <row r="686" spans="1:16" hidden="1" x14ac:dyDescent="0.15">
      <c r="A686" s="286">
        <v>614316</v>
      </c>
      <c r="B686" s="288">
        <v>45455.717361111114</v>
      </c>
      <c r="C686" s="286" t="s">
        <v>2092</v>
      </c>
      <c r="D686" s="286" t="s">
        <v>1105</v>
      </c>
      <c r="E686" s="286" t="s">
        <v>1106</v>
      </c>
      <c r="F686" s="286" t="s">
        <v>2167</v>
      </c>
      <c r="G686" s="286" t="s">
        <v>1044</v>
      </c>
      <c r="H686" s="286" t="s">
        <v>1044</v>
      </c>
      <c r="I686" s="286" t="s">
        <v>1228</v>
      </c>
      <c r="J686" s="286" t="s">
        <v>1312</v>
      </c>
      <c r="K686" s="286" t="s">
        <v>2291</v>
      </c>
      <c r="L686" s="286" t="s">
        <v>672</v>
      </c>
      <c r="M686" s="286">
        <v>1</v>
      </c>
      <c r="N686" s="287">
        <v>4499.03</v>
      </c>
      <c r="O686" s="294">
        <f t="shared" si="10"/>
        <v>45473</v>
      </c>
      <c r="P686" s="286" t="s">
        <v>58</v>
      </c>
    </row>
    <row r="687" spans="1:16" hidden="1" x14ac:dyDescent="0.15">
      <c r="A687" s="286">
        <v>614316</v>
      </c>
      <c r="B687" s="288">
        <v>45455.717361111114</v>
      </c>
      <c r="C687" s="286" t="s">
        <v>2092</v>
      </c>
      <c r="D687" s="286" t="s">
        <v>1105</v>
      </c>
      <c r="E687" s="286" t="s">
        <v>1106</v>
      </c>
      <c r="F687" s="286" t="s">
        <v>2167</v>
      </c>
      <c r="G687" s="286" t="s">
        <v>1044</v>
      </c>
      <c r="H687" s="286" t="s">
        <v>1044</v>
      </c>
      <c r="I687" s="286" t="s">
        <v>1228</v>
      </c>
      <c r="J687" s="286" t="s">
        <v>1312</v>
      </c>
      <c r="K687" s="286" t="s">
        <v>2291</v>
      </c>
      <c r="L687" s="286" t="s">
        <v>672</v>
      </c>
      <c r="M687" s="286">
        <v>1</v>
      </c>
      <c r="N687" s="287">
        <v>4499.03</v>
      </c>
      <c r="O687" s="294">
        <f t="shared" si="10"/>
        <v>45473</v>
      </c>
      <c r="P687" s="286" t="s">
        <v>58</v>
      </c>
    </row>
    <row r="688" spans="1:16" hidden="1" x14ac:dyDescent="0.15">
      <c r="A688" s="286">
        <v>646075</v>
      </c>
      <c r="B688" s="288">
        <v>45474.519444444442</v>
      </c>
      <c r="C688" s="286" t="s">
        <v>2111</v>
      </c>
      <c r="D688" s="286" t="s">
        <v>1105</v>
      </c>
      <c r="E688" s="286" t="s">
        <v>1106</v>
      </c>
      <c r="F688" s="286" t="s">
        <v>2137</v>
      </c>
      <c r="G688" s="286" t="s">
        <v>1044</v>
      </c>
      <c r="H688" s="286" t="s">
        <v>1044</v>
      </c>
      <c r="I688" s="286" t="s">
        <v>1228</v>
      </c>
      <c r="J688" s="286" t="s">
        <v>1312</v>
      </c>
      <c r="K688" s="286" t="s">
        <v>2291</v>
      </c>
      <c r="L688" s="286" t="s">
        <v>672</v>
      </c>
      <c r="M688" s="286">
        <v>1</v>
      </c>
      <c r="N688" s="287">
        <v>4499.03</v>
      </c>
      <c r="O688" s="294">
        <f t="shared" si="10"/>
        <v>45504</v>
      </c>
      <c r="P688" s="286" t="s">
        <v>58</v>
      </c>
    </row>
    <row r="689" spans="1:16" hidden="1" x14ac:dyDescent="0.15">
      <c r="A689" s="286">
        <v>646075</v>
      </c>
      <c r="B689" s="288">
        <v>45474.519444444442</v>
      </c>
      <c r="C689" s="286" t="s">
        <v>2111</v>
      </c>
      <c r="D689" s="286" t="s">
        <v>1105</v>
      </c>
      <c r="E689" s="286" t="s">
        <v>1106</v>
      </c>
      <c r="F689" s="286" t="s">
        <v>2137</v>
      </c>
      <c r="G689" s="286" t="s">
        <v>1044</v>
      </c>
      <c r="H689" s="286" t="s">
        <v>1044</v>
      </c>
      <c r="I689" s="286" t="s">
        <v>1228</v>
      </c>
      <c r="J689" s="286" t="s">
        <v>1312</v>
      </c>
      <c r="K689" s="286" t="s">
        <v>2291</v>
      </c>
      <c r="L689" s="286" t="s">
        <v>672</v>
      </c>
      <c r="M689" s="286">
        <v>1</v>
      </c>
      <c r="N689" s="287">
        <v>4499.03</v>
      </c>
      <c r="O689" s="294">
        <f t="shared" si="10"/>
        <v>45504</v>
      </c>
      <c r="P689" s="286" t="s">
        <v>58</v>
      </c>
    </row>
    <row r="690" spans="1:16" hidden="1" x14ac:dyDescent="0.15">
      <c r="A690" s="286">
        <v>697810</v>
      </c>
      <c r="B690" s="288">
        <v>45510.366666666669</v>
      </c>
      <c r="C690" s="286" t="s">
        <v>2102</v>
      </c>
      <c r="D690" s="286" t="s">
        <v>1105</v>
      </c>
      <c r="E690" s="286" t="s">
        <v>1106</v>
      </c>
      <c r="F690" s="286" t="s">
        <v>2138</v>
      </c>
      <c r="G690" s="286" t="s">
        <v>1044</v>
      </c>
      <c r="H690" s="286" t="s">
        <v>1044</v>
      </c>
      <c r="I690" s="286" t="s">
        <v>1228</v>
      </c>
      <c r="J690" s="286" t="s">
        <v>1312</v>
      </c>
      <c r="K690" s="286" t="s">
        <v>2291</v>
      </c>
      <c r="L690" s="286" t="s">
        <v>672</v>
      </c>
      <c r="M690" s="286">
        <v>1</v>
      </c>
      <c r="N690" s="287">
        <v>4499.03</v>
      </c>
      <c r="O690" s="294">
        <f t="shared" si="10"/>
        <v>45535</v>
      </c>
      <c r="P690" s="286" t="s">
        <v>58</v>
      </c>
    </row>
    <row r="691" spans="1:16" hidden="1" x14ac:dyDescent="0.15">
      <c r="A691" s="286">
        <v>697810</v>
      </c>
      <c r="B691" s="288">
        <v>45510.366666666669</v>
      </c>
      <c r="C691" s="286" t="s">
        <v>2102</v>
      </c>
      <c r="D691" s="286" t="s">
        <v>1105</v>
      </c>
      <c r="E691" s="286" t="s">
        <v>1106</v>
      </c>
      <c r="F691" s="286" t="s">
        <v>2138</v>
      </c>
      <c r="G691" s="286" t="s">
        <v>1044</v>
      </c>
      <c r="H691" s="286" t="s">
        <v>1044</v>
      </c>
      <c r="I691" s="286" t="s">
        <v>1228</v>
      </c>
      <c r="J691" s="286" t="s">
        <v>1312</v>
      </c>
      <c r="K691" s="286" t="s">
        <v>2291</v>
      </c>
      <c r="L691" s="286" t="s">
        <v>672</v>
      </c>
      <c r="M691" s="286">
        <v>1</v>
      </c>
      <c r="N691" s="287">
        <v>4499.03</v>
      </c>
      <c r="O691" s="294">
        <f t="shared" si="10"/>
        <v>45535</v>
      </c>
      <c r="P691" s="286" t="s">
        <v>58</v>
      </c>
    </row>
    <row r="692" spans="1:16" hidden="1" x14ac:dyDescent="0.15">
      <c r="A692" s="286">
        <v>745911</v>
      </c>
      <c r="B692" s="288">
        <v>45538.44027777778</v>
      </c>
      <c r="C692" s="286" t="s">
        <v>2132</v>
      </c>
      <c r="D692" s="286" t="s">
        <v>1105</v>
      </c>
      <c r="E692" s="286" t="s">
        <v>1106</v>
      </c>
      <c r="F692" s="286" t="s">
        <v>2139</v>
      </c>
      <c r="G692" s="286" t="s">
        <v>1044</v>
      </c>
      <c r="H692" s="286" t="s">
        <v>1044</v>
      </c>
      <c r="I692" s="286" t="s">
        <v>1228</v>
      </c>
      <c r="J692" s="286" t="s">
        <v>1312</v>
      </c>
      <c r="K692" s="286" t="s">
        <v>2291</v>
      </c>
      <c r="L692" s="286" t="s">
        <v>672</v>
      </c>
      <c r="M692" s="286">
        <v>1</v>
      </c>
      <c r="N692" s="287">
        <v>4499.03</v>
      </c>
      <c r="O692" s="294">
        <f t="shared" si="10"/>
        <v>45565</v>
      </c>
      <c r="P692" s="286" t="s">
        <v>58</v>
      </c>
    </row>
    <row r="693" spans="1:16" hidden="1" x14ac:dyDescent="0.15">
      <c r="A693" s="286">
        <v>745911</v>
      </c>
      <c r="B693" s="288">
        <v>45538.44027777778</v>
      </c>
      <c r="C693" s="286" t="s">
        <v>2132</v>
      </c>
      <c r="D693" s="286" t="s">
        <v>1105</v>
      </c>
      <c r="E693" s="286" t="s">
        <v>1106</v>
      </c>
      <c r="F693" s="286" t="s">
        <v>2139</v>
      </c>
      <c r="G693" s="286" t="s">
        <v>1044</v>
      </c>
      <c r="H693" s="286" t="s">
        <v>1044</v>
      </c>
      <c r="I693" s="286" t="s">
        <v>1228</v>
      </c>
      <c r="J693" s="286" t="s">
        <v>1312</v>
      </c>
      <c r="K693" s="286" t="s">
        <v>2291</v>
      </c>
      <c r="L693" s="286" t="s">
        <v>672</v>
      </c>
      <c r="M693" s="286">
        <v>1</v>
      </c>
      <c r="N693" s="287">
        <v>4499.03</v>
      </c>
      <c r="O693" s="294">
        <f t="shared" si="10"/>
        <v>45565</v>
      </c>
      <c r="P693" s="286" t="s">
        <v>58</v>
      </c>
    </row>
    <row r="694" spans="1:16" hidden="1" x14ac:dyDescent="0.15">
      <c r="A694" s="286">
        <v>848817</v>
      </c>
      <c r="B694" s="288">
        <v>45607.65902777778</v>
      </c>
      <c r="C694" s="286" t="s">
        <v>2130</v>
      </c>
      <c r="D694" s="286" t="s">
        <v>1105</v>
      </c>
      <c r="E694" s="286" t="s">
        <v>1106</v>
      </c>
      <c r="F694" s="286" t="s">
        <v>2140</v>
      </c>
      <c r="G694" s="286" t="s">
        <v>1044</v>
      </c>
      <c r="H694" s="286" t="s">
        <v>1044</v>
      </c>
      <c r="I694" s="286" t="s">
        <v>1228</v>
      </c>
      <c r="J694" s="286" t="s">
        <v>1312</v>
      </c>
      <c r="K694" s="286" t="s">
        <v>2291</v>
      </c>
      <c r="L694" s="286" t="s">
        <v>672</v>
      </c>
      <c r="M694" s="286">
        <v>1</v>
      </c>
      <c r="N694" s="287">
        <v>4499.03</v>
      </c>
      <c r="O694" s="294">
        <f t="shared" si="10"/>
        <v>45626</v>
      </c>
      <c r="P694" s="286" t="s">
        <v>58</v>
      </c>
    </row>
    <row r="695" spans="1:16" hidden="1" x14ac:dyDescent="0.15">
      <c r="A695" s="286">
        <v>848817</v>
      </c>
      <c r="B695" s="288">
        <v>45607.65902777778</v>
      </c>
      <c r="C695" s="286" t="s">
        <v>2130</v>
      </c>
      <c r="D695" s="286" t="s">
        <v>1105</v>
      </c>
      <c r="E695" s="286" t="s">
        <v>1106</v>
      </c>
      <c r="F695" s="286" t="s">
        <v>2140</v>
      </c>
      <c r="G695" s="286" t="s">
        <v>1044</v>
      </c>
      <c r="H695" s="286" t="s">
        <v>1044</v>
      </c>
      <c r="I695" s="286" t="s">
        <v>1228</v>
      </c>
      <c r="J695" s="286" t="s">
        <v>1312</v>
      </c>
      <c r="K695" s="286" t="s">
        <v>2291</v>
      </c>
      <c r="L695" s="286" t="s">
        <v>672</v>
      </c>
      <c r="M695" s="286">
        <v>1</v>
      </c>
      <c r="N695" s="287">
        <v>4499.03</v>
      </c>
      <c r="O695" s="294">
        <f t="shared" si="10"/>
        <v>45626</v>
      </c>
      <c r="P695" s="286" t="s">
        <v>58</v>
      </c>
    </row>
    <row r="696" spans="1:16" hidden="1" x14ac:dyDescent="0.15">
      <c r="A696" s="286">
        <v>848917</v>
      </c>
      <c r="B696" s="288">
        <v>45607.660416666666</v>
      </c>
      <c r="C696" s="286" t="s">
        <v>2100</v>
      </c>
      <c r="D696" s="286" t="s">
        <v>1105</v>
      </c>
      <c r="E696" s="286" t="s">
        <v>1106</v>
      </c>
      <c r="F696" s="286" t="s">
        <v>2141</v>
      </c>
      <c r="G696" s="286" t="s">
        <v>1044</v>
      </c>
      <c r="H696" s="286" t="s">
        <v>1044</v>
      </c>
      <c r="I696" s="286" t="s">
        <v>1228</v>
      </c>
      <c r="J696" s="286" t="s">
        <v>1312</v>
      </c>
      <c r="K696" s="286" t="s">
        <v>2291</v>
      </c>
      <c r="L696" s="286" t="s">
        <v>672</v>
      </c>
      <c r="M696" s="286">
        <v>1</v>
      </c>
      <c r="N696" s="287">
        <v>4499.03</v>
      </c>
      <c r="O696" s="294">
        <f t="shared" si="10"/>
        <v>45626</v>
      </c>
      <c r="P696" s="286" t="s">
        <v>58</v>
      </c>
    </row>
    <row r="697" spans="1:16" hidden="1" x14ac:dyDescent="0.15">
      <c r="A697" s="286">
        <v>848917</v>
      </c>
      <c r="B697" s="288">
        <v>45607.660416666666</v>
      </c>
      <c r="C697" s="286" t="s">
        <v>2100</v>
      </c>
      <c r="D697" s="286" t="s">
        <v>1105</v>
      </c>
      <c r="E697" s="286" t="s">
        <v>1106</v>
      </c>
      <c r="F697" s="286" t="s">
        <v>2141</v>
      </c>
      <c r="G697" s="286" t="s">
        <v>1044</v>
      </c>
      <c r="H697" s="286" t="s">
        <v>1044</v>
      </c>
      <c r="I697" s="286" t="s">
        <v>1228</v>
      </c>
      <c r="J697" s="286" t="s">
        <v>1312</v>
      </c>
      <c r="K697" s="286" t="s">
        <v>2291</v>
      </c>
      <c r="L697" s="286" t="s">
        <v>672</v>
      </c>
      <c r="M697" s="286">
        <v>1</v>
      </c>
      <c r="N697" s="287">
        <v>4499.03</v>
      </c>
      <c r="O697" s="294">
        <f t="shared" si="10"/>
        <v>45626</v>
      </c>
      <c r="P697" s="286" t="s">
        <v>58</v>
      </c>
    </row>
    <row r="698" spans="1:16" hidden="1" x14ac:dyDescent="0.15">
      <c r="A698" s="286">
        <v>874698</v>
      </c>
      <c r="B698" s="288">
        <v>45628.357638888891</v>
      </c>
      <c r="C698" s="286" t="s">
        <v>2098</v>
      </c>
      <c r="D698" s="286" t="s">
        <v>1105</v>
      </c>
      <c r="E698" s="286" t="s">
        <v>1106</v>
      </c>
      <c r="F698" s="286" t="s">
        <v>2142</v>
      </c>
      <c r="G698" s="286" t="s">
        <v>1044</v>
      </c>
      <c r="H698" s="286" t="s">
        <v>1044</v>
      </c>
      <c r="I698" s="286" t="s">
        <v>1228</v>
      </c>
      <c r="J698" s="286" t="s">
        <v>1312</v>
      </c>
      <c r="K698" s="286" t="s">
        <v>2291</v>
      </c>
      <c r="L698" s="286" t="s">
        <v>672</v>
      </c>
      <c r="M698" s="286">
        <v>1</v>
      </c>
      <c r="N698" s="287">
        <v>4499.03</v>
      </c>
      <c r="O698" s="294">
        <f t="shared" si="10"/>
        <v>45657</v>
      </c>
      <c r="P698" s="286" t="s">
        <v>58</v>
      </c>
    </row>
    <row r="699" spans="1:16" hidden="1" x14ac:dyDescent="0.15">
      <c r="A699" s="286">
        <v>874698</v>
      </c>
      <c r="B699" s="288">
        <v>45628.357638888891</v>
      </c>
      <c r="C699" s="286" t="s">
        <v>2098</v>
      </c>
      <c r="D699" s="286" t="s">
        <v>1105</v>
      </c>
      <c r="E699" s="286" t="s">
        <v>1106</v>
      </c>
      <c r="F699" s="286" t="s">
        <v>2142</v>
      </c>
      <c r="G699" s="286" t="s">
        <v>1044</v>
      </c>
      <c r="H699" s="286" t="s">
        <v>1044</v>
      </c>
      <c r="I699" s="286" t="s">
        <v>1228</v>
      </c>
      <c r="J699" s="286" t="s">
        <v>1312</v>
      </c>
      <c r="K699" s="286" t="s">
        <v>2291</v>
      </c>
      <c r="L699" s="286" t="s">
        <v>672</v>
      </c>
      <c r="M699" s="286">
        <v>1</v>
      </c>
      <c r="N699" s="287">
        <v>4499.03</v>
      </c>
      <c r="O699" s="294">
        <f t="shared" si="10"/>
        <v>45657</v>
      </c>
      <c r="P699" s="286" t="s">
        <v>58</v>
      </c>
    </row>
    <row r="700" spans="1:16" hidden="1" x14ac:dyDescent="0.15">
      <c r="A700" s="286">
        <v>874698</v>
      </c>
      <c r="B700" s="288">
        <v>45628.357638888891</v>
      </c>
      <c r="C700" s="286" t="s">
        <v>2098</v>
      </c>
      <c r="D700" s="286" t="s">
        <v>1105</v>
      </c>
      <c r="E700" s="286" t="s">
        <v>1106</v>
      </c>
      <c r="F700" s="286" t="s">
        <v>2142</v>
      </c>
      <c r="G700" s="286" t="s">
        <v>1017</v>
      </c>
      <c r="H700" s="286" t="s">
        <v>1017</v>
      </c>
      <c r="I700" s="286" t="s">
        <v>1199</v>
      </c>
      <c r="J700" s="286" t="s">
        <v>1312</v>
      </c>
      <c r="K700" s="286" t="s">
        <v>1796</v>
      </c>
      <c r="L700" s="286" t="s">
        <v>672</v>
      </c>
      <c r="M700" s="286">
        <v>2</v>
      </c>
      <c r="N700" s="287">
        <v>4487.78</v>
      </c>
      <c r="O700" s="294">
        <f t="shared" si="10"/>
        <v>45657</v>
      </c>
      <c r="P700" s="286" t="s">
        <v>58</v>
      </c>
    </row>
    <row r="701" spans="1:16" hidden="1" x14ac:dyDescent="0.15">
      <c r="A701" s="286">
        <v>614216</v>
      </c>
      <c r="B701" s="288">
        <v>45455.716666666667</v>
      </c>
      <c r="C701" s="286" t="s">
        <v>2116</v>
      </c>
      <c r="D701" s="286" t="s">
        <v>1105</v>
      </c>
      <c r="E701" s="286" t="s">
        <v>1106</v>
      </c>
      <c r="F701" s="286" t="s">
        <v>2156</v>
      </c>
      <c r="G701" s="286" t="s">
        <v>1039</v>
      </c>
      <c r="H701" s="286" t="s">
        <v>1039</v>
      </c>
      <c r="I701" s="286" t="s">
        <v>1228</v>
      </c>
      <c r="J701" s="286" t="s">
        <v>1312</v>
      </c>
      <c r="K701" s="286" t="s">
        <v>1805</v>
      </c>
      <c r="L701" s="286" t="s">
        <v>672</v>
      </c>
      <c r="M701" s="286">
        <v>1</v>
      </c>
      <c r="N701" s="287">
        <v>4485.72</v>
      </c>
      <c r="O701" s="294">
        <f t="shared" si="10"/>
        <v>45473</v>
      </c>
      <c r="P701" s="286" t="s">
        <v>58</v>
      </c>
    </row>
    <row r="702" spans="1:16" hidden="1" x14ac:dyDescent="0.15">
      <c r="A702" s="286">
        <v>438112</v>
      </c>
      <c r="B702" s="288">
        <v>45293.53402777778</v>
      </c>
      <c r="C702" s="286" t="s">
        <v>2125</v>
      </c>
      <c r="D702" s="286" t="s">
        <v>1105</v>
      </c>
      <c r="E702" s="286" t="s">
        <v>1106</v>
      </c>
      <c r="F702" s="286" t="s">
        <v>2152</v>
      </c>
      <c r="G702" s="286" t="s">
        <v>1039</v>
      </c>
      <c r="H702" s="286" t="s">
        <v>1039</v>
      </c>
      <c r="I702" s="286" t="s">
        <v>1228</v>
      </c>
      <c r="J702" s="286" t="s">
        <v>1312</v>
      </c>
      <c r="K702" s="286" t="s">
        <v>1805</v>
      </c>
      <c r="L702" s="286" t="s">
        <v>672</v>
      </c>
      <c r="M702" s="286">
        <v>1</v>
      </c>
      <c r="N702" s="287">
        <v>4485.67</v>
      </c>
      <c r="O702" s="294">
        <f t="shared" si="10"/>
        <v>45322</v>
      </c>
      <c r="P702" s="286" t="s">
        <v>58</v>
      </c>
    </row>
    <row r="703" spans="1:16" hidden="1" x14ac:dyDescent="0.15">
      <c r="A703" s="286">
        <v>472168</v>
      </c>
      <c r="B703" s="288">
        <v>45331.416666666664</v>
      </c>
      <c r="C703" s="286" t="s">
        <v>2113</v>
      </c>
      <c r="D703" s="286" t="s">
        <v>1105</v>
      </c>
      <c r="E703" s="286" t="s">
        <v>1106</v>
      </c>
      <c r="F703" s="286" t="s">
        <v>2153</v>
      </c>
      <c r="G703" s="286" t="s">
        <v>1039</v>
      </c>
      <c r="H703" s="286" t="s">
        <v>1039</v>
      </c>
      <c r="I703" s="286" t="s">
        <v>1228</v>
      </c>
      <c r="J703" s="286" t="s">
        <v>1312</v>
      </c>
      <c r="K703" s="286" t="s">
        <v>1805</v>
      </c>
      <c r="L703" s="286" t="s">
        <v>672</v>
      </c>
      <c r="M703" s="286">
        <v>1</v>
      </c>
      <c r="N703" s="287">
        <v>4485.67</v>
      </c>
      <c r="O703" s="294">
        <f t="shared" si="10"/>
        <v>45351</v>
      </c>
      <c r="P703" s="286" t="s">
        <v>58</v>
      </c>
    </row>
    <row r="704" spans="1:16" hidden="1" x14ac:dyDescent="0.15">
      <c r="A704" s="286">
        <v>504817</v>
      </c>
      <c r="B704" s="288">
        <v>45359.645138888889</v>
      </c>
      <c r="C704" s="286" t="s">
        <v>2109</v>
      </c>
      <c r="D704" s="286" t="s">
        <v>1105</v>
      </c>
      <c r="E704" s="286" t="s">
        <v>1106</v>
      </c>
      <c r="F704" s="286" t="s">
        <v>2154</v>
      </c>
      <c r="G704" s="286" t="s">
        <v>1039</v>
      </c>
      <c r="H704" s="286" t="s">
        <v>1039</v>
      </c>
      <c r="I704" s="286" t="s">
        <v>1228</v>
      </c>
      <c r="J704" s="286" t="s">
        <v>1312</v>
      </c>
      <c r="K704" s="286" t="s">
        <v>1805</v>
      </c>
      <c r="L704" s="286" t="s">
        <v>672</v>
      </c>
      <c r="M704" s="286">
        <v>1</v>
      </c>
      <c r="N704" s="287">
        <v>4485.67</v>
      </c>
      <c r="O704" s="294">
        <f t="shared" si="10"/>
        <v>45382</v>
      </c>
      <c r="P704" s="286" t="s">
        <v>58</v>
      </c>
    </row>
    <row r="705" spans="1:16" hidden="1" x14ac:dyDescent="0.15">
      <c r="A705" s="286">
        <v>534207</v>
      </c>
      <c r="B705" s="288">
        <v>45385.750694444447</v>
      </c>
      <c r="C705" s="286" t="s">
        <v>2096</v>
      </c>
      <c r="D705" s="286" t="s">
        <v>1105</v>
      </c>
      <c r="E705" s="286" t="s">
        <v>1106</v>
      </c>
      <c r="F705" s="286" t="s">
        <v>2155</v>
      </c>
      <c r="G705" s="286" t="s">
        <v>1039</v>
      </c>
      <c r="H705" s="286" t="s">
        <v>1039</v>
      </c>
      <c r="I705" s="286" t="s">
        <v>1228</v>
      </c>
      <c r="J705" s="286" t="s">
        <v>1312</v>
      </c>
      <c r="K705" s="286" t="s">
        <v>1805</v>
      </c>
      <c r="L705" s="286" t="s">
        <v>672</v>
      </c>
      <c r="M705" s="286">
        <v>1</v>
      </c>
      <c r="N705" s="287">
        <v>4485.67</v>
      </c>
      <c r="O705" s="294">
        <f t="shared" si="10"/>
        <v>45412</v>
      </c>
      <c r="P705" s="286" t="s">
        <v>58</v>
      </c>
    </row>
    <row r="706" spans="1:16" hidden="1" x14ac:dyDescent="0.15">
      <c r="A706" s="286">
        <v>646075</v>
      </c>
      <c r="B706" s="288">
        <v>45474.519444444442</v>
      </c>
      <c r="C706" s="286" t="s">
        <v>2111</v>
      </c>
      <c r="D706" s="286" t="s">
        <v>1105</v>
      </c>
      <c r="E706" s="286" t="s">
        <v>1106</v>
      </c>
      <c r="F706" s="286" t="s">
        <v>2137</v>
      </c>
      <c r="G706" s="286" t="s">
        <v>1061</v>
      </c>
      <c r="H706" s="286" t="s">
        <v>1061</v>
      </c>
      <c r="I706" s="286" t="s">
        <v>1228</v>
      </c>
      <c r="J706" s="286" t="s">
        <v>1312</v>
      </c>
      <c r="K706" s="286" t="s">
        <v>2292</v>
      </c>
      <c r="L706" s="286" t="s">
        <v>53</v>
      </c>
      <c r="M706" s="286">
        <v>1</v>
      </c>
      <c r="N706" s="287">
        <v>4484.58</v>
      </c>
      <c r="O706" s="294">
        <f t="shared" si="10"/>
        <v>45504</v>
      </c>
      <c r="P706" s="286" t="s">
        <v>58</v>
      </c>
    </row>
    <row r="707" spans="1:16" hidden="1" x14ac:dyDescent="0.15">
      <c r="A707" s="286">
        <v>646075</v>
      </c>
      <c r="B707" s="288">
        <v>45474.519444444442</v>
      </c>
      <c r="C707" s="286" t="s">
        <v>2111</v>
      </c>
      <c r="D707" s="286" t="s">
        <v>1105</v>
      </c>
      <c r="E707" s="286" t="s">
        <v>1106</v>
      </c>
      <c r="F707" s="286" t="s">
        <v>2137</v>
      </c>
      <c r="G707" s="286" t="s">
        <v>1058</v>
      </c>
      <c r="H707" s="286" t="s">
        <v>1058</v>
      </c>
      <c r="I707" s="286" t="s">
        <v>1228</v>
      </c>
      <c r="J707" s="286" t="s">
        <v>1312</v>
      </c>
      <c r="K707" s="286" t="s">
        <v>2291</v>
      </c>
      <c r="L707" s="286" t="s">
        <v>672</v>
      </c>
      <c r="M707" s="286">
        <v>1</v>
      </c>
      <c r="N707" s="287">
        <v>4484.58</v>
      </c>
      <c r="O707" s="294">
        <f t="shared" si="10"/>
        <v>45504</v>
      </c>
      <c r="P707" s="286" t="s">
        <v>58</v>
      </c>
    </row>
    <row r="708" spans="1:16" hidden="1" x14ac:dyDescent="0.15">
      <c r="A708" s="286">
        <v>697810</v>
      </c>
      <c r="B708" s="288">
        <v>45510.366666666669</v>
      </c>
      <c r="C708" s="286" t="s">
        <v>2102</v>
      </c>
      <c r="D708" s="286" t="s">
        <v>1105</v>
      </c>
      <c r="E708" s="286" t="s">
        <v>1106</v>
      </c>
      <c r="F708" s="286" t="s">
        <v>2138</v>
      </c>
      <c r="G708" s="286" t="s">
        <v>1061</v>
      </c>
      <c r="H708" s="286" t="s">
        <v>1061</v>
      </c>
      <c r="I708" s="286" t="s">
        <v>1228</v>
      </c>
      <c r="J708" s="286" t="s">
        <v>1312</v>
      </c>
      <c r="K708" s="286" t="s">
        <v>2292</v>
      </c>
      <c r="L708" s="286" t="s">
        <v>53</v>
      </c>
      <c r="M708" s="286">
        <v>1</v>
      </c>
      <c r="N708" s="287">
        <v>4484.58</v>
      </c>
      <c r="O708" s="294">
        <f t="shared" ref="O708:O771" si="11">EOMONTH(B708,0)</f>
        <v>45535</v>
      </c>
      <c r="P708" s="286" t="s">
        <v>58</v>
      </c>
    </row>
    <row r="709" spans="1:16" hidden="1" x14ac:dyDescent="0.15">
      <c r="A709" s="286">
        <v>697810</v>
      </c>
      <c r="B709" s="288">
        <v>45510.366666666669</v>
      </c>
      <c r="C709" s="286" t="s">
        <v>2102</v>
      </c>
      <c r="D709" s="286" t="s">
        <v>1105</v>
      </c>
      <c r="E709" s="286" t="s">
        <v>1106</v>
      </c>
      <c r="F709" s="286" t="s">
        <v>2138</v>
      </c>
      <c r="G709" s="286" t="s">
        <v>1058</v>
      </c>
      <c r="H709" s="286" t="s">
        <v>1058</v>
      </c>
      <c r="I709" s="286" t="s">
        <v>1228</v>
      </c>
      <c r="J709" s="286" t="s">
        <v>1312</v>
      </c>
      <c r="K709" s="286" t="s">
        <v>2291</v>
      </c>
      <c r="L709" s="286" t="s">
        <v>672</v>
      </c>
      <c r="M709" s="286">
        <v>1</v>
      </c>
      <c r="N709" s="287">
        <v>4484.58</v>
      </c>
      <c r="O709" s="294">
        <f t="shared" si="11"/>
        <v>45535</v>
      </c>
      <c r="P709" s="286" t="s">
        <v>58</v>
      </c>
    </row>
    <row r="710" spans="1:16" hidden="1" x14ac:dyDescent="0.15">
      <c r="A710" s="286">
        <v>745911</v>
      </c>
      <c r="B710" s="288">
        <v>45538.44027777778</v>
      </c>
      <c r="C710" s="286" t="s">
        <v>2132</v>
      </c>
      <c r="D710" s="286" t="s">
        <v>1105</v>
      </c>
      <c r="E710" s="286" t="s">
        <v>1106</v>
      </c>
      <c r="F710" s="286" t="s">
        <v>2139</v>
      </c>
      <c r="G710" s="286" t="s">
        <v>1061</v>
      </c>
      <c r="H710" s="286" t="s">
        <v>1061</v>
      </c>
      <c r="I710" s="286" t="s">
        <v>1228</v>
      </c>
      <c r="J710" s="286" t="s">
        <v>1312</v>
      </c>
      <c r="K710" s="286" t="s">
        <v>2292</v>
      </c>
      <c r="L710" s="286" t="s">
        <v>53</v>
      </c>
      <c r="M710" s="286">
        <v>1</v>
      </c>
      <c r="N710" s="287">
        <v>4484.58</v>
      </c>
      <c r="O710" s="294">
        <f t="shared" si="11"/>
        <v>45565</v>
      </c>
      <c r="P710" s="286" t="s">
        <v>58</v>
      </c>
    </row>
    <row r="711" spans="1:16" hidden="1" x14ac:dyDescent="0.15">
      <c r="A711" s="286">
        <v>745911</v>
      </c>
      <c r="B711" s="288">
        <v>45538.44027777778</v>
      </c>
      <c r="C711" s="286" t="s">
        <v>2132</v>
      </c>
      <c r="D711" s="286" t="s">
        <v>1105</v>
      </c>
      <c r="E711" s="286" t="s">
        <v>1106</v>
      </c>
      <c r="F711" s="286" t="s">
        <v>2139</v>
      </c>
      <c r="G711" s="286" t="s">
        <v>1058</v>
      </c>
      <c r="H711" s="286" t="s">
        <v>1058</v>
      </c>
      <c r="I711" s="286" t="s">
        <v>1228</v>
      </c>
      <c r="J711" s="286" t="s">
        <v>1312</v>
      </c>
      <c r="K711" s="286" t="s">
        <v>2291</v>
      </c>
      <c r="L711" s="286" t="s">
        <v>672</v>
      </c>
      <c r="M711" s="286">
        <v>1</v>
      </c>
      <c r="N711" s="287">
        <v>4484.58</v>
      </c>
      <c r="O711" s="294">
        <f t="shared" si="11"/>
        <v>45565</v>
      </c>
      <c r="P711" s="286" t="s">
        <v>58</v>
      </c>
    </row>
    <row r="712" spans="1:16" hidden="1" x14ac:dyDescent="0.15">
      <c r="A712" s="286">
        <v>848817</v>
      </c>
      <c r="B712" s="288">
        <v>45607.65902777778</v>
      </c>
      <c r="C712" s="286" t="s">
        <v>2130</v>
      </c>
      <c r="D712" s="286" t="s">
        <v>1105</v>
      </c>
      <c r="E712" s="286" t="s">
        <v>1106</v>
      </c>
      <c r="F712" s="286" t="s">
        <v>2140</v>
      </c>
      <c r="G712" s="286" t="s">
        <v>1033</v>
      </c>
      <c r="H712" s="286" t="s">
        <v>1033</v>
      </c>
      <c r="I712" s="286" t="s">
        <v>1228</v>
      </c>
      <c r="J712" s="286" t="s">
        <v>1312</v>
      </c>
      <c r="K712" s="286" t="s">
        <v>1805</v>
      </c>
      <c r="L712" s="286" t="s">
        <v>672</v>
      </c>
      <c r="M712" s="286">
        <v>1</v>
      </c>
      <c r="N712" s="287">
        <v>4484.58</v>
      </c>
      <c r="O712" s="294">
        <f t="shared" si="11"/>
        <v>45626</v>
      </c>
      <c r="P712" s="286" t="s">
        <v>58</v>
      </c>
    </row>
    <row r="713" spans="1:16" hidden="1" x14ac:dyDescent="0.15">
      <c r="A713" s="286">
        <v>848817</v>
      </c>
      <c r="B713" s="288">
        <v>45607.65902777778</v>
      </c>
      <c r="C713" s="286" t="s">
        <v>2130</v>
      </c>
      <c r="D713" s="286" t="s">
        <v>1105</v>
      </c>
      <c r="E713" s="286" t="s">
        <v>1106</v>
      </c>
      <c r="F713" s="286" t="s">
        <v>2140</v>
      </c>
      <c r="G713" s="286" t="s">
        <v>1061</v>
      </c>
      <c r="H713" s="286" t="s">
        <v>1061</v>
      </c>
      <c r="I713" s="286" t="s">
        <v>1228</v>
      </c>
      <c r="J713" s="286" t="s">
        <v>1312</v>
      </c>
      <c r="K713" s="286" t="s">
        <v>2292</v>
      </c>
      <c r="L713" s="286" t="s">
        <v>53</v>
      </c>
      <c r="M713" s="286">
        <v>1</v>
      </c>
      <c r="N713" s="287">
        <v>4484.58</v>
      </c>
      <c r="O713" s="294">
        <f t="shared" si="11"/>
        <v>45626</v>
      </c>
      <c r="P713" s="286" t="s">
        <v>58</v>
      </c>
    </row>
    <row r="714" spans="1:16" hidden="1" x14ac:dyDescent="0.15">
      <c r="A714" s="286">
        <v>848817</v>
      </c>
      <c r="B714" s="288">
        <v>45607.65902777778</v>
      </c>
      <c r="C714" s="286" t="s">
        <v>2130</v>
      </c>
      <c r="D714" s="286" t="s">
        <v>1105</v>
      </c>
      <c r="E714" s="286" t="s">
        <v>1106</v>
      </c>
      <c r="F714" s="286" t="s">
        <v>2140</v>
      </c>
      <c r="G714" s="286" t="s">
        <v>1058</v>
      </c>
      <c r="H714" s="286" t="s">
        <v>1058</v>
      </c>
      <c r="I714" s="286" t="s">
        <v>1228</v>
      </c>
      <c r="J714" s="286" t="s">
        <v>1312</v>
      </c>
      <c r="K714" s="286" t="s">
        <v>2291</v>
      </c>
      <c r="L714" s="286" t="s">
        <v>672</v>
      </c>
      <c r="M714" s="286">
        <v>1</v>
      </c>
      <c r="N714" s="287">
        <v>4484.58</v>
      </c>
      <c r="O714" s="294">
        <f t="shared" si="11"/>
        <v>45626</v>
      </c>
      <c r="P714" s="286" t="s">
        <v>58</v>
      </c>
    </row>
    <row r="715" spans="1:16" hidden="1" x14ac:dyDescent="0.15">
      <c r="A715" s="286">
        <v>848917</v>
      </c>
      <c r="B715" s="288">
        <v>45607.660416666666</v>
      </c>
      <c r="C715" s="286" t="s">
        <v>2100</v>
      </c>
      <c r="D715" s="286" t="s">
        <v>1105</v>
      </c>
      <c r="E715" s="286" t="s">
        <v>1106</v>
      </c>
      <c r="F715" s="286" t="s">
        <v>2141</v>
      </c>
      <c r="G715" s="286" t="s">
        <v>1033</v>
      </c>
      <c r="H715" s="286" t="s">
        <v>1033</v>
      </c>
      <c r="I715" s="286" t="s">
        <v>1228</v>
      </c>
      <c r="J715" s="286" t="s">
        <v>1312</v>
      </c>
      <c r="K715" s="286" t="s">
        <v>1805</v>
      </c>
      <c r="L715" s="286" t="s">
        <v>672</v>
      </c>
      <c r="M715" s="286">
        <v>1</v>
      </c>
      <c r="N715" s="287">
        <v>4484.58</v>
      </c>
      <c r="O715" s="294">
        <f t="shared" si="11"/>
        <v>45626</v>
      </c>
      <c r="P715" s="286" t="s">
        <v>58</v>
      </c>
    </row>
    <row r="716" spans="1:16" hidden="1" x14ac:dyDescent="0.15">
      <c r="A716" s="286">
        <v>848917</v>
      </c>
      <c r="B716" s="288">
        <v>45607.660416666666</v>
      </c>
      <c r="C716" s="286" t="s">
        <v>2100</v>
      </c>
      <c r="D716" s="286" t="s">
        <v>1105</v>
      </c>
      <c r="E716" s="286" t="s">
        <v>1106</v>
      </c>
      <c r="F716" s="286" t="s">
        <v>2141</v>
      </c>
      <c r="G716" s="286" t="s">
        <v>1061</v>
      </c>
      <c r="H716" s="286" t="s">
        <v>1061</v>
      </c>
      <c r="I716" s="286" t="s">
        <v>1228</v>
      </c>
      <c r="J716" s="286" t="s">
        <v>1312</v>
      </c>
      <c r="K716" s="286" t="s">
        <v>2292</v>
      </c>
      <c r="L716" s="286" t="s">
        <v>53</v>
      </c>
      <c r="M716" s="286">
        <v>1</v>
      </c>
      <c r="N716" s="287">
        <v>4484.58</v>
      </c>
      <c r="O716" s="294">
        <f t="shared" si="11"/>
        <v>45626</v>
      </c>
      <c r="P716" s="286" t="s">
        <v>58</v>
      </c>
    </row>
    <row r="717" spans="1:16" hidden="1" x14ac:dyDescent="0.15">
      <c r="A717" s="286">
        <v>848917</v>
      </c>
      <c r="B717" s="288">
        <v>45607.660416666666</v>
      </c>
      <c r="C717" s="286" t="s">
        <v>2100</v>
      </c>
      <c r="D717" s="286" t="s">
        <v>1105</v>
      </c>
      <c r="E717" s="286" t="s">
        <v>1106</v>
      </c>
      <c r="F717" s="286" t="s">
        <v>2141</v>
      </c>
      <c r="G717" s="286" t="s">
        <v>1058</v>
      </c>
      <c r="H717" s="286" t="s">
        <v>1058</v>
      </c>
      <c r="I717" s="286" t="s">
        <v>1228</v>
      </c>
      <c r="J717" s="286" t="s">
        <v>1312</v>
      </c>
      <c r="K717" s="286" t="s">
        <v>2291</v>
      </c>
      <c r="L717" s="286" t="s">
        <v>672</v>
      </c>
      <c r="M717" s="286">
        <v>1</v>
      </c>
      <c r="N717" s="287">
        <v>4484.58</v>
      </c>
      <c r="O717" s="294">
        <f t="shared" si="11"/>
        <v>45626</v>
      </c>
      <c r="P717" s="286" t="s">
        <v>58</v>
      </c>
    </row>
    <row r="718" spans="1:16" hidden="1" x14ac:dyDescent="0.15">
      <c r="A718" s="286">
        <v>874698</v>
      </c>
      <c r="B718" s="288">
        <v>45628.357638888891</v>
      </c>
      <c r="C718" s="286" t="s">
        <v>2098</v>
      </c>
      <c r="D718" s="286" t="s">
        <v>1105</v>
      </c>
      <c r="E718" s="286" t="s">
        <v>1106</v>
      </c>
      <c r="F718" s="286" t="s">
        <v>2142</v>
      </c>
      <c r="G718" s="286" t="s">
        <v>1856</v>
      </c>
      <c r="H718" s="286" t="s">
        <v>1856</v>
      </c>
      <c r="I718" s="286" t="s">
        <v>1199</v>
      </c>
      <c r="J718" s="286" t="s">
        <v>1312</v>
      </c>
      <c r="K718" s="286" t="s">
        <v>2293</v>
      </c>
      <c r="L718" s="286" t="s">
        <v>672</v>
      </c>
      <c r="M718" s="286">
        <v>1</v>
      </c>
      <c r="N718" s="287">
        <v>4484.58</v>
      </c>
      <c r="O718" s="294">
        <f t="shared" si="11"/>
        <v>45657</v>
      </c>
      <c r="P718" s="286" t="s">
        <v>58</v>
      </c>
    </row>
    <row r="719" spans="1:16" hidden="1" x14ac:dyDescent="0.15">
      <c r="A719" s="286">
        <v>874698</v>
      </c>
      <c r="B719" s="288">
        <v>45628.357638888891</v>
      </c>
      <c r="C719" s="286" t="s">
        <v>2098</v>
      </c>
      <c r="D719" s="286" t="s">
        <v>1105</v>
      </c>
      <c r="E719" s="286" t="s">
        <v>1106</v>
      </c>
      <c r="F719" s="286" t="s">
        <v>2142</v>
      </c>
      <c r="G719" s="286" t="s">
        <v>1074</v>
      </c>
      <c r="H719" s="286" t="s">
        <v>1034</v>
      </c>
      <c r="I719" s="286" t="s">
        <v>1199</v>
      </c>
      <c r="J719" s="286" t="s">
        <v>1312</v>
      </c>
      <c r="K719" s="286" t="s">
        <v>1828</v>
      </c>
      <c r="L719" s="286" t="s">
        <v>672</v>
      </c>
      <c r="M719" s="286">
        <v>1</v>
      </c>
      <c r="N719" s="287">
        <v>4484.58</v>
      </c>
      <c r="O719" s="294">
        <f t="shared" si="11"/>
        <v>45657</v>
      </c>
      <c r="P719" s="286" t="s">
        <v>58</v>
      </c>
    </row>
    <row r="720" spans="1:16" hidden="1" x14ac:dyDescent="0.15">
      <c r="A720" s="286">
        <v>874698</v>
      </c>
      <c r="B720" s="288">
        <v>45628.357638888891</v>
      </c>
      <c r="C720" s="286" t="s">
        <v>2098</v>
      </c>
      <c r="D720" s="286" t="s">
        <v>1105</v>
      </c>
      <c r="E720" s="286" t="s">
        <v>1106</v>
      </c>
      <c r="F720" s="286" t="s">
        <v>2142</v>
      </c>
      <c r="G720" s="286" t="s">
        <v>1015</v>
      </c>
      <c r="H720" s="286" t="s">
        <v>1015</v>
      </c>
      <c r="I720" s="286" t="s">
        <v>1228</v>
      </c>
      <c r="J720" s="286" t="s">
        <v>1312</v>
      </c>
      <c r="K720" s="286" t="s">
        <v>1805</v>
      </c>
      <c r="L720" s="286" t="s">
        <v>672</v>
      </c>
      <c r="M720" s="286">
        <v>1</v>
      </c>
      <c r="N720" s="287">
        <v>4484.58</v>
      </c>
      <c r="O720" s="294">
        <f t="shared" si="11"/>
        <v>45657</v>
      </c>
      <c r="P720" s="286" t="s">
        <v>58</v>
      </c>
    </row>
    <row r="721" spans="1:16" hidden="1" x14ac:dyDescent="0.15">
      <c r="A721" s="286">
        <v>874698</v>
      </c>
      <c r="B721" s="288">
        <v>45628.357638888891</v>
      </c>
      <c r="C721" s="286" t="s">
        <v>2098</v>
      </c>
      <c r="D721" s="286" t="s">
        <v>1105</v>
      </c>
      <c r="E721" s="286" t="s">
        <v>1106</v>
      </c>
      <c r="F721" s="286" t="s">
        <v>2142</v>
      </c>
      <c r="G721" s="286" t="s">
        <v>1061</v>
      </c>
      <c r="H721" s="286" t="s">
        <v>1061</v>
      </c>
      <c r="I721" s="286" t="s">
        <v>1228</v>
      </c>
      <c r="J721" s="286" t="s">
        <v>1312</v>
      </c>
      <c r="K721" s="286" t="s">
        <v>2292</v>
      </c>
      <c r="L721" s="286" t="s">
        <v>53</v>
      </c>
      <c r="M721" s="286">
        <v>1</v>
      </c>
      <c r="N721" s="287">
        <v>4484.58</v>
      </c>
      <c r="O721" s="294">
        <f t="shared" si="11"/>
        <v>45657</v>
      </c>
      <c r="P721" s="286" t="s">
        <v>58</v>
      </c>
    </row>
    <row r="722" spans="1:16" hidden="1" x14ac:dyDescent="0.15">
      <c r="A722" s="286">
        <v>874698</v>
      </c>
      <c r="B722" s="288">
        <v>45628.357638888891</v>
      </c>
      <c r="C722" s="286" t="s">
        <v>2098</v>
      </c>
      <c r="D722" s="286" t="s">
        <v>1105</v>
      </c>
      <c r="E722" s="286" t="s">
        <v>1106</v>
      </c>
      <c r="F722" s="286" t="s">
        <v>2142</v>
      </c>
      <c r="G722" s="286" t="s">
        <v>1058</v>
      </c>
      <c r="H722" s="286" t="s">
        <v>1058</v>
      </c>
      <c r="I722" s="286" t="s">
        <v>1228</v>
      </c>
      <c r="J722" s="286" t="s">
        <v>1312</v>
      </c>
      <c r="K722" s="286" t="s">
        <v>2291</v>
      </c>
      <c r="L722" s="286" t="s">
        <v>672</v>
      </c>
      <c r="M722" s="286">
        <v>1</v>
      </c>
      <c r="N722" s="287">
        <v>4484.58</v>
      </c>
      <c r="O722" s="294">
        <f t="shared" si="11"/>
        <v>45657</v>
      </c>
      <c r="P722" s="286" t="s">
        <v>58</v>
      </c>
    </row>
    <row r="723" spans="1:16" hidden="1" x14ac:dyDescent="0.15">
      <c r="A723" s="286">
        <v>874698</v>
      </c>
      <c r="B723" s="288">
        <v>45628.357638888891</v>
      </c>
      <c r="C723" s="286" t="s">
        <v>2098</v>
      </c>
      <c r="D723" s="286" t="s">
        <v>1105</v>
      </c>
      <c r="E723" s="286" t="s">
        <v>1106</v>
      </c>
      <c r="F723" s="286" t="s">
        <v>2142</v>
      </c>
      <c r="G723" s="286" t="s">
        <v>1033</v>
      </c>
      <c r="H723" s="286" t="s">
        <v>1033</v>
      </c>
      <c r="I723" s="286" t="s">
        <v>1228</v>
      </c>
      <c r="J723" s="286" t="s">
        <v>1312</v>
      </c>
      <c r="K723" s="286" t="s">
        <v>1805</v>
      </c>
      <c r="L723" s="286" t="s">
        <v>672</v>
      </c>
      <c r="M723" s="286">
        <v>1</v>
      </c>
      <c r="N723" s="287">
        <v>4484.58</v>
      </c>
      <c r="O723" s="294">
        <f t="shared" si="11"/>
        <v>45657</v>
      </c>
      <c r="P723" s="286" t="s">
        <v>58</v>
      </c>
    </row>
    <row r="724" spans="1:16" hidden="1" x14ac:dyDescent="0.15">
      <c r="A724" s="286">
        <v>646075</v>
      </c>
      <c r="B724" s="288">
        <v>45474.519444444442</v>
      </c>
      <c r="C724" s="286" t="s">
        <v>2111</v>
      </c>
      <c r="D724" s="286" t="s">
        <v>1105</v>
      </c>
      <c r="E724" s="286" t="s">
        <v>1106</v>
      </c>
      <c r="F724" s="286" t="s">
        <v>2137</v>
      </c>
      <c r="G724" s="286" t="s">
        <v>1084</v>
      </c>
      <c r="H724" s="286" t="s">
        <v>1442</v>
      </c>
      <c r="I724" s="286" t="s">
        <v>1228</v>
      </c>
      <c r="J724" s="286" t="s">
        <v>1312</v>
      </c>
      <c r="K724" s="286" t="s">
        <v>2269</v>
      </c>
      <c r="L724" s="286" t="s">
        <v>672</v>
      </c>
      <c r="M724" s="286">
        <v>1</v>
      </c>
      <c r="N724" s="287">
        <v>4479</v>
      </c>
      <c r="O724" s="294">
        <f t="shared" si="11"/>
        <v>45504</v>
      </c>
      <c r="P724" s="286" t="s">
        <v>58</v>
      </c>
    </row>
    <row r="725" spans="1:16" hidden="1" x14ac:dyDescent="0.15">
      <c r="A725" s="286">
        <v>697810</v>
      </c>
      <c r="B725" s="288">
        <v>45510.366666666669</v>
      </c>
      <c r="C725" s="286" t="s">
        <v>2102</v>
      </c>
      <c r="D725" s="286" t="s">
        <v>1105</v>
      </c>
      <c r="E725" s="286" t="s">
        <v>1106</v>
      </c>
      <c r="F725" s="286" t="s">
        <v>2138</v>
      </c>
      <c r="G725" s="286" t="s">
        <v>1084</v>
      </c>
      <c r="H725" s="286" t="s">
        <v>1442</v>
      </c>
      <c r="I725" s="286" t="s">
        <v>1228</v>
      </c>
      <c r="J725" s="286" t="s">
        <v>1312</v>
      </c>
      <c r="K725" s="286" t="s">
        <v>2269</v>
      </c>
      <c r="L725" s="286" t="s">
        <v>672</v>
      </c>
      <c r="M725" s="286">
        <v>1</v>
      </c>
      <c r="N725" s="287">
        <v>4479</v>
      </c>
      <c r="O725" s="294">
        <f t="shared" si="11"/>
        <v>45535</v>
      </c>
      <c r="P725" s="286" t="s">
        <v>58</v>
      </c>
    </row>
    <row r="726" spans="1:16" hidden="1" x14ac:dyDescent="0.15">
      <c r="A726" s="286">
        <v>745911</v>
      </c>
      <c r="B726" s="288">
        <v>45538.44027777778</v>
      </c>
      <c r="C726" s="286" t="s">
        <v>2132</v>
      </c>
      <c r="D726" s="286" t="s">
        <v>1105</v>
      </c>
      <c r="E726" s="286" t="s">
        <v>1106</v>
      </c>
      <c r="F726" s="286" t="s">
        <v>2139</v>
      </c>
      <c r="G726" s="286" t="s">
        <v>1084</v>
      </c>
      <c r="H726" s="286" t="s">
        <v>1442</v>
      </c>
      <c r="I726" s="286" t="s">
        <v>1228</v>
      </c>
      <c r="J726" s="286" t="s">
        <v>1312</v>
      </c>
      <c r="K726" s="286" t="s">
        <v>2269</v>
      </c>
      <c r="L726" s="286" t="s">
        <v>672</v>
      </c>
      <c r="M726" s="286">
        <v>1</v>
      </c>
      <c r="N726" s="287">
        <v>4479</v>
      </c>
      <c r="O726" s="294">
        <f t="shared" si="11"/>
        <v>45565</v>
      </c>
      <c r="P726" s="286" t="s">
        <v>58</v>
      </c>
    </row>
    <row r="727" spans="1:16" hidden="1" x14ac:dyDescent="0.15">
      <c r="A727" s="286">
        <v>848817</v>
      </c>
      <c r="B727" s="288">
        <v>45607.65902777778</v>
      </c>
      <c r="C727" s="286" t="s">
        <v>2130</v>
      </c>
      <c r="D727" s="286" t="s">
        <v>1105</v>
      </c>
      <c r="E727" s="286" t="s">
        <v>1106</v>
      </c>
      <c r="F727" s="286" t="s">
        <v>2140</v>
      </c>
      <c r="G727" s="286" t="s">
        <v>1084</v>
      </c>
      <c r="H727" s="286" t="s">
        <v>1442</v>
      </c>
      <c r="I727" s="286" t="s">
        <v>1228</v>
      </c>
      <c r="J727" s="286" t="s">
        <v>1312</v>
      </c>
      <c r="K727" s="286" t="s">
        <v>2269</v>
      </c>
      <c r="L727" s="286" t="s">
        <v>672</v>
      </c>
      <c r="M727" s="286">
        <v>1</v>
      </c>
      <c r="N727" s="287">
        <v>4479</v>
      </c>
      <c r="O727" s="294">
        <f t="shared" si="11"/>
        <v>45626</v>
      </c>
      <c r="P727" s="286" t="s">
        <v>58</v>
      </c>
    </row>
    <row r="728" spans="1:16" hidden="1" x14ac:dyDescent="0.15">
      <c r="A728" s="286">
        <v>848917</v>
      </c>
      <c r="B728" s="288">
        <v>45607.660416666666</v>
      </c>
      <c r="C728" s="286" t="s">
        <v>2100</v>
      </c>
      <c r="D728" s="286" t="s">
        <v>1105</v>
      </c>
      <c r="E728" s="286" t="s">
        <v>1106</v>
      </c>
      <c r="F728" s="286" t="s">
        <v>2141</v>
      </c>
      <c r="G728" s="286" t="s">
        <v>1084</v>
      </c>
      <c r="H728" s="286" t="s">
        <v>1442</v>
      </c>
      <c r="I728" s="286" t="s">
        <v>1228</v>
      </c>
      <c r="J728" s="286" t="s">
        <v>1312</v>
      </c>
      <c r="K728" s="286" t="s">
        <v>2269</v>
      </c>
      <c r="L728" s="286" t="s">
        <v>672</v>
      </c>
      <c r="M728" s="286">
        <v>1</v>
      </c>
      <c r="N728" s="287">
        <v>4479</v>
      </c>
      <c r="O728" s="294">
        <f t="shared" si="11"/>
        <v>45626</v>
      </c>
      <c r="P728" s="286" t="s">
        <v>58</v>
      </c>
    </row>
    <row r="729" spans="1:16" hidden="1" x14ac:dyDescent="0.15">
      <c r="A729" s="286">
        <v>874698</v>
      </c>
      <c r="B729" s="288">
        <v>45628.357638888891</v>
      </c>
      <c r="C729" s="286" t="s">
        <v>2098</v>
      </c>
      <c r="D729" s="286" t="s">
        <v>1105</v>
      </c>
      <c r="E729" s="286" t="s">
        <v>1106</v>
      </c>
      <c r="F729" s="286" t="s">
        <v>2142</v>
      </c>
      <c r="G729" s="286" t="s">
        <v>1084</v>
      </c>
      <c r="H729" s="286" t="s">
        <v>1442</v>
      </c>
      <c r="I729" s="286" t="s">
        <v>1228</v>
      </c>
      <c r="J729" s="286" t="s">
        <v>1312</v>
      </c>
      <c r="K729" s="286" t="s">
        <v>2269</v>
      </c>
      <c r="L729" s="286" t="s">
        <v>672</v>
      </c>
      <c r="M729" s="286">
        <v>1</v>
      </c>
      <c r="N729" s="287">
        <v>4479</v>
      </c>
      <c r="O729" s="294">
        <f t="shared" si="11"/>
        <v>45657</v>
      </c>
      <c r="P729" s="286" t="s">
        <v>58</v>
      </c>
    </row>
    <row r="730" spans="1:16" hidden="1" x14ac:dyDescent="0.15">
      <c r="A730" s="286">
        <v>472168</v>
      </c>
      <c r="B730" s="288">
        <v>45331.416666666664</v>
      </c>
      <c r="C730" s="286" t="s">
        <v>2113</v>
      </c>
      <c r="D730" s="286" t="s">
        <v>1105</v>
      </c>
      <c r="E730" s="286" t="s">
        <v>1106</v>
      </c>
      <c r="F730" s="286" t="s">
        <v>2153</v>
      </c>
      <c r="G730" s="286" t="s">
        <v>1030</v>
      </c>
      <c r="H730" s="286" t="s">
        <v>1030</v>
      </c>
      <c r="I730" s="286" t="s">
        <v>1228</v>
      </c>
      <c r="J730" s="286" t="s">
        <v>1312</v>
      </c>
      <c r="K730" s="286" t="s">
        <v>2294</v>
      </c>
      <c r="L730" s="286" t="s">
        <v>672</v>
      </c>
      <c r="M730" s="286">
        <v>1</v>
      </c>
      <c r="N730" s="287">
        <v>4472.32</v>
      </c>
      <c r="O730" s="294">
        <f t="shared" si="11"/>
        <v>45351</v>
      </c>
      <c r="P730" s="286" t="s">
        <v>58</v>
      </c>
    </row>
    <row r="731" spans="1:16" hidden="1" x14ac:dyDescent="0.15">
      <c r="A731" s="286">
        <v>495601</v>
      </c>
      <c r="B731" s="288">
        <v>45351.455555555556</v>
      </c>
      <c r="C731" s="286" t="s">
        <v>2113</v>
      </c>
      <c r="D731" s="286" t="s">
        <v>1105</v>
      </c>
      <c r="E731" s="286" t="s">
        <v>1106</v>
      </c>
      <c r="F731" s="286" t="s">
        <v>2295</v>
      </c>
      <c r="G731" s="286" t="s">
        <v>1030</v>
      </c>
      <c r="H731" s="286" t="s">
        <v>1030</v>
      </c>
      <c r="I731" s="286" t="s">
        <v>1199</v>
      </c>
      <c r="J731" s="286" t="s">
        <v>53</v>
      </c>
      <c r="K731" s="286" t="s">
        <v>53</v>
      </c>
      <c r="L731" s="286" t="s">
        <v>53</v>
      </c>
      <c r="M731" s="286" t="s">
        <v>53</v>
      </c>
      <c r="N731" s="287">
        <v>4472.32</v>
      </c>
      <c r="O731" s="294">
        <f t="shared" si="11"/>
        <v>45351</v>
      </c>
      <c r="P731" s="286" t="s">
        <v>58</v>
      </c>
    </row>
    <row r="732" spans="1:16" hidden="1" x14ac:dyDescent="0.15">
      <c r="A732" s="286">
        <v>504817</v>
      </c>
      <c r="B732" s="288">
        <v>45359.645138888889</v>
      </c>
      <c r="C732" s="286" t="s">
        <v>2109</v>
      </c>
      <c r="D732" s="286" t="s">
        <v>1105</v>
      </c>
      <c r="E732" s="286" t="s">
        <v>1106</v>
      </c>
      <c r="F732" s="286" t="s">
        <v>2154</v>
      </c>
      <c r="G732" s="286" t="s">
        <v>1030</v>
      </c>
      <c r="H732" s="286" t="s">
        <v>1030</v>
      </c>
      <c r="I732" s="286" t="s">
        <v>1228</v>
      </c>
      <c r="J732" s="286" t="s">
        <v>1312</v>
      </c>
      <c r="K732" s="286" t="s">
        <v>2294</v>
      </c>
      <c r="L732" s="286" t="s">
        <v>672</v>
      </c>
      <c r="M732" s="286">
        <v>1</v>
      </c>
      <c r="N732" s="287">
        <v>4472.32</v>
      </c>
      <c r="O732" s="294">
        <f t="shared" si="11"/>
        <v>45382</v>
      </c>
      <c r="P732" s="286" t="s">
        <v>58</v>
      </c>
    </row>
    <row r="733" spans="1:16" hidden="1" x14ac:dyDescent="0.15">
      <c r="A733" s="286">
        <v>559626</v>
      </c>
      <c r="B733" s="288">
        <v>45408.642361111109</v>
      </c>
      <c r="C733" s="286" t="s">
        <v>2109</v>
      </c>
      <c r="D733" s="286" t="s">
        <v>1105</v>
      </c>
      <c r="E733" s="286" t="s">
        <v>1106</v>
      </c>
      <c r="F733" s="286" t="s">
        <v>2231</v>
      </c>
      <c r="G733" s="286" t="s">
        <v>1030</v>
      </c>
      <c r="H733" s="286" t="s">
        <v>1030</v>
      </c>
      <c r="I733" s="286" t="s">
        <v>1199</v>
      </c>
      <c r="J733" s="286" t="s">
        <v>1312</v>
      </c>
      <c r="K733" s="286" t="s">
        <v>53</v>
      </c>
      <c r="L733" s="286" t="s">
        <v>53</v>
      </c>
      <c r="M733" s="286" t="s">
        <v>53</v>
      </c>
      <c r="N733" s="287">
        <v>4472.32</v>
      </c>
      <c r="O733" s="294">
        <f t="shared" si="11"/>
        <v>45412</v>
      </c>
      <c r="P733" s="286" t="s">
        <v>58</v>
      </c>
    </row>
    <row r="734" spans="1:16" hidden="1" x14ac:dyDescent="0.15">
      <c r="A734" s="286">
        <v>534207</v>
      </c>
      <c r="B734" s="288">
        <v>45385.750694444447</v>
      </c>
      <c r="C734" s="286" t="s">
        <v>2096</v>
      </c>
      <c r="D734" s="286" t="s">
        <v>1105</v>
      </c>
      <c r="E734" s="286" t="s">
        <v>1106</v>
      </c>
      <c r="F734" s="286" t="s">
        <v>2155</v>
      </c>
      <c r="G734" s="286" t="s">
        <v>1030</v>
      </c>
      <c r="H734" s="286" t="s">
        <v>1030</v>
      </c>
      <c r="I734" s="286" t="s">
        <v>1228</v>
      </c>
      <c r="J734" s="286" t="s">
        <v>1312</v>
      </c>
      <c r="K734" s="286" t="s">
        <v>2294</v>
      </c>
      <c r="L734" s="286" t="s">
        <v>672</v>
      </c>
      <c r="M734" s="286">
        <v>1</v>
      </c>
      <c r="N734" s="287">
        <v>4472.32</v>
      </c>
      <c r="O734" s="294">
        <f t="shared" si="11"/>
        <v>45412</v>
      </c>
      <c r="P734" s="286" t="s">
        <v>58</v>
      </c>
    </row>
    <row r="735" spans="1:16" hidden="1" x14ac:dyDescent="0.15">
      <c r="A735" s="286">
        <v>577185</v>
      </c>
      <c r="B735" s="288">
        <v>45425.680555555555</v>
      </c>
      <c r="C735" s="286" t="s">
        <v>2096</v>
      </c>
      <c r="D735" s="286" t="s">
        <v>1105</v>
      </c>
      <c r="E735" s="286" t="s">
        <v>1106</v>
      </c>
      <c r="F735" s="286" t="s">
        <v>2232</v>
      </c>
      <c r="G735" s="286" t="s">
        <v>1030</v>
      </c>
      <c r="H735" s="286" t="s">
        <v>1030</v>
      </c>
      <c r="I735" s="286" t="s">
        <v>1199</v>
      </c>
      <c r="J735" s="286" t="s">
        <v>53</v>
      </c>
      <c r="K735" s="286" t="s">
        <v>53</v>
      </c>
      <c r="L735" s="286" t="s">
        <v>53</v>
      </c>
      <c r="M735" s="286" t="s">
        <v>53</v>
      </c>
      <c r="N735" s="287">
        <v>4472.32</v>
      </c>
      <c r="O735" s="294">
        <f t="shared" si="11"/>
        <v>45443</v>
      </c>
      <c r="P735" s="286" t="s">
        <v>58</v>
      </c>
    </row>
    <row r="736" spans="1:16" hidden="1" x14ac:dyDescent="0.15">
      <c r="A736" s="286">
        <v>614216</v>
      </c>
      <c r="B736" s="288">
        <v>45455.716666666667</v>
      </c>
      <c r="C736" s="286" t="s">
        <v>2116</v>
      </c>
      <c r="D736" s="286" t="s">
        <v>1105</v>
      </c>
      <c r="E736" s="286" t="s">
        <v>1106</v>
      </c>
      <c r="F736" s="286" t="s">
        <v>2156</v>
      </c>
      <c r="G736" s="286" t="s">
        <v>1030</v>
      </c>
      <c r="H736" s="286" t="s">
        <v>1030</v>
      </c>
      <c r="I736" s="286" t="s">
        <v>1228</v>
      </c>
      <c r="J736" s="286" t="s">
        <v>1312</v>
      </c>
      <c r="K736" s="286" t="s">
        <v>2294</v>
      </c>
      <c r="L736" s="286" t="s">
        <v>672</v>
      </c>
      <c r="M736" s="286">
        <v>1</v>
      </c>
      <c r="N736" s="287">
        <v>4472.32</v>
      </c>
      <c r="O736" s="294">
        <f t="shared" si="11"/>
        <v>45473</v>
      </c>
      <c r="P736" s="286" t="s">
        <v>58</v>
      </c>
    </row>
    <row r="737" spans="1:16" hidden="1" x14ac:dyDescent="0.15">
      <c r="A737" s="286">
        <v>618175</v>
      </c>
      <c r="B737" s="288">
        <v>45457.602083333331</v>
      </c>
      <c r="C737" s="286" t="s">
        <v>2116</v>
      </c>
      <c r="D737" s="286" t="s">
        <v>1105</v>
      </c>
      <c r="E737" s="286" t="s">
        <v>1106</v>
      </c>
      <c r="F737" s="286" t="s">
        <v>2158</v>
      </c>
      <c r="G737" s="286" t="s">
        <v>1030</v>
      </c>
      <c r="H737" s="286" t="s">
        <v>1030</v>
      </c>
      <c r="I737" s="286" t="s">
        <v>1199</v>
      </c>
      <c r="J737" s="286" t="s">
        <v>1312</v>
      </c>
      <c r="K737" s="286" t="s">
        <v>53</v>
      </c>
      <c r="L737" s="286" t="s">
        <v>53</v>
      </c>
      <c r="M737" s="286" t="s">
        <v>53</v>
      </c>
      <c r="N737" s="287">
        <v>4472.32</v>
      </c>
      <c r="O737" s="294">
        <f t="shared" si="11"/>
        <v>45473</v>
      </c>
      <c r="P737" s="286" t="s">
        <v>58</v>
      </c>
    </row>
    <row r="738" spans="1:16" hidden="1" x14ac:dyDescent="0.15">
      <c r="A738" s="286">
        <v>608480</v>
      </c>
      <c r="B738" s="288">
        <v>45450.422222222223</v>
      </c>
      <c r="C738" s="286" t="s">
        <v>2092</v>
      </c>
      <c r="D738" s="286" t="s">
        <v>1105</v>
      </c>
      <c r="E738" s="286" t="s">
        <v>1106</v>
      </c>
      <c r="F738" s="286" t="s">
        <v>2157</v>
      </c>
      <c r="G738" s="286" t="s">
        <v>1030</v>
      </c>
      <c r="H738" s="286" t="s">
        <v>1030</v>
      </c>
      <c r="I738" s="286" t="s">
        <v>1228</v>
      </c>
      <c r="J738" s="286" t="s">
        <v>1312</v>
      </c>
      <c r="K738" s="286" t="s">
        <v>2294</v>
      </c>
      <c r="L738" s="286" t="s">
        <v>672</v>
      </c>
      <c r="M738" s="286">
        <v>1</v>
      </c>
      <c r="N738" s="287">
        <v>4472.32</v>
      </c>
      <c r="O738" s="294">
        <f t="shared" si="11"/>
        <v>45473</v>
      </c>
      <c r="P738" s="286" t="s">
        <v>58</v>
      </c>
    </row>
    <row r="739" spans="1:16" hidden="1" x14ac:dyDescent="0.15">
      <c r="A739" s="286">
        <v>659936</v>
      </c>
      <c r="B739" s="288">
        <v>45484.529861111114</v>
      </c>
      <c r="C739" s="286" t="s">
        <v>2092</v>
      </c>
      <c r="D739" s="286" t="s">
        <v>1105</v>
      </c>
      <c r="E739" s="286" t="s">
        <v>1106</v>
      </c>
      <c r="F739" s="286" t="s">
        <v>2159</v>
      </c>
      <c r="G739" s="286" t="s">
        <v>1030</v>
      </c>
      <c r="H739" s="286" t="s">
        <v>1030</v>
      </c>
      <c r="I739" s="286" t="s">
        <v>1199</v>
      </c>
      <c r="J739" s="286" t="s">
        <v>1312</v>
      </c>
      <c r="K739" s="286" t="s">
        <v>53</v>
      </c>
      <c r="L739" s="286" t="s">
        <v>53</v>
      </c>
      <c r="M739" s="286" t="s">
        <v>53</v>
      </c>
      <c r="N739" s="287">
        <v>4472.32</v>
      </c>
      <c r="O739" s="294">
        <f t="shared" si="11"/>
        <v>45504</v>
      </c>
      <c r="P739" s="286" t="s">
        <v>58</v>
      </c>
    </row>
    <row r="740" spans="1:16" hidden="1" x14ac:dyDescent="0.15">
      <c r="A740" s="286">
        <v>646075</v>
      </c>
      <c r="B740" s="288">
        <v>45474.519444444442</v>
      </c>
      <c r="C740" s="286" t="s">
        <v>2111</v>
      </c>
      <c r="D740" s="286" t="s">
        <v>1105</v>
      </c>
      <c r="E740" s="286" t="s">
        <v>1106</v>
      </c>
      <c r="F740" s="286" t="s">
        <v>2137</v>
      </c>
      <c r="G740" s="286" t="s">
        <v>1030</v>
      </c>
      <c r="H740" s="286" t="s">
        <v>1030</v>
      </c>
      <c r="I740" s="286" t="s">
        <v>1228</v>
      </c>
      <c r="J740" s="286" t="s">
        <v>1312</v>
      </c>
      <c r="K740" s="286" t="s">
        <v>2294</v>
      </c>
      <c r="L740" s="286" t="s">
        <v>672</v>
      </c>
      <c r="M740" s="286">
        <v>1</v>
      </c>
      <c r="N740" s="287">
        <v>4472.32</v>
      </c>
      <c r="O740" s="294">
        <f t="shared" si="11"/>
        <v>45504</v>
      </c>
      <c r="P740" s="286" t="s">
        <v>58</v>
      </c>
    </row>
    <row r="741" spans="1:16" hidden="1" x14ac:dyDescent="0.15">
      <c r="A741" s="286">
        <v>712645</v>
      </c>
      <c r="B741" s="288">
        <v>45517.640972222223</v>
      </c>
      <c r="C741" s="286" t="s">
        <v>2111</v>
      </c>
      <c r="D741" s="286" t="s">
        <v>1105</v>
      </c>
      <c r="E741" s="286" t="s">
        <v>1106</v>
      </c>
      <c r="F741" s="286" t="s">
        <v>2160</v>
      </c>
      <c r="G741" s="286" t="s">
        <v>1030</v>
      </c>
      <c r="H741" s="286" t="s">
        <v>1030</v>
      </c>
      <c r="I741" s="286" t="s">
        <v>1199</v>
      </c>
      <c r="J741" s="286" t="s">
        <v>1312</v>
      </c>
      <c r="K741" s="286" t="s">
        <v>53</v>
      </c>
      <c r="L741" s="286" t="s">
        <v>53</v>
      </c>
      <c r="M741" s="286" t="s">
        <v>53</v>
      </c>
      <c r="N741" s="287">
        <v>4472.32</v>
      </c>
      <c r="O741" s="294">
        <f t="shared" si="11"/>
        <v>45535</v>
      </c>
      <c r="P741" s="286" t="s">
        <v>58</v>
      </c>
    </row>
    <row r="742" spans="1:16" hidden="1" x14ac:dyDescent="0.15">
      <c r="A742" s="286">
        <v>697810</v>
      </c>
      <c r="B742" s="288">
        <v>45510.366666666669</v>
      </c>
      <c r="C742" s="286" t="s">
        <v>2102</v>
      </c>
      <c r="D742" s="286" t="s">
        <v>1105</v>
      </c>
      <c r="E742" s="286" t="s">
        <v>1106</v>
      </c>
      <c r="F742" s="286" t="s">
        <v>2138</v>
      </c>
      <c r="G742" s="286" t="s">
        <v>1030</v>
      </c>
      <c r="H742" s="286" t="s">
        <v>1030</v>
      </c>
      <c r="I742" s="286" t="s">
        <v>1228</v>
      </c>
      <c r="J742" s="286" t="s">
        <v>1312</v>
      </c>
      <c r="K742" s="286" t="s">
        <v>2294</v>
      </c>
      <c r="L742" s="286" t="s">
        <v>672</v>
      </c>
      <c r="M742" s="286">
        <v>1</v>
      </c>
      <c r="N742" s="287">
        <v>4472.32</v>
      </c>
      <c r="O742" s="294">
        <f t="shared" si="11"/>
        <v>45535</v>
      </c>
      <c r="P742" s="286" t="s">
        <v>58</v>
      </c>
    </row>
    <row r="743" spans="1:16" hidden="1" x14ac:dyDescent="0.15">
      <c r="A743" s="286">
        <v>741366</v>
      </c>
      <c r="B743" s="288">
        <v>45532.655555555553</v>
      </c>
      <c r="C743" s="286" t="s">
        <v>2102</v>
      </c>
      <c r="D743" s="286" t="s">
        <v>1105</v>
      </c>
      <c r="E743" s="286" t="s">
        <v>1106</v>
      </c>
      <c r="F743" s="286" t="s">
        <v>2161</v>
      </c>
      <c r="G743" s="286" t="s">
        <v>1030</v>
      </c>
      <c r="H743" s="286" t="s">
        <v>1030</v>
      </c>
      <c r="I743" s="286" t="s">
        <v>1199</v>
      </c>
      <c r="J743" s="286" t="s">
        <v>1312</v>
      </c>
      <c r="K743" s="286" t="s">
        <v>53</v>
      </c>
      <c r="L743" s="286" t="s">
        <v>53</v>
      </c>
      <c r="M743" s="286" t="s">
        <v>53</v>
      </c>
      <c r="N743" s="287">
        <v>4472.32</v>
      </c>
      <c r="O743" s="294">
        <f t="shared" si="11"/>
        <v>45535</v>
      </c>
      <c r="P743" s="286" t="s">
        <v>58</v>
      </c>
    </row>
    <row r="744" spans="1:16" hidden="1" x14ac:dyDescent="0.15">
      <c r="A744" s="286">
        <v>745911</v>
      </c>
      <c r="B744" s="288">
        <v>45538.44027777778</v>
      </c>
      <c r="C744" s="286" t="s">
        <v>2132</v>
      </c>
      <c r="D744" s="286" t="s">
        <v>1105</v>
      </c>
      <c r="E744" s="286" t="s">
        <v>1106</v>
      </c>
      <c r="F744" s="286" t="s">
        <v>2139</v>
      </c>
      <c r="G744" s="286" t="s">
        <v>1030</v>
      </c>
      <c r="H744" s="286" t="s">
        <v>1030</v>
      </c>
      <c r="I744" s="286" t="s">
        <v>1228</v>
      </c>
      <c r="J744" s="286" t="s">
        <v>1312</v>
      </c>
      <c r="K744" s="286" t="s">
        <v>2294</v>
      </c>
      <c r="L744" s="286" t="s">
        <v>672</v>
      </c>
      <c r="M744" s="286">
        <v>1</v>
      </c>
      <c r="N744" s="287">
        <v>4472.32</v>
      </c>
      <c r="O744" s="294">
        <f t="shared" si="11"/>
        <v>45565</v>
      </c>
      <c r="P744" s="286" t="s">
        <v>58</v>
      </c>
    </row>
    <row r="745" spans="1:16" hidden="1" x14ac:dyDescent="0.15">
      <c r="A745" s="286">
        <v>785030</v>
      </c>
      <c r="B745" s="288">
        <v>45559.581944444442</v>
      </c>
      <c r="C745" s="286" t="s">
        <v>2132</v>
      </c>
      <c r="D745" s="286" t="s">
        <v>1105</v>
      </c>
      <c r="E745" s="286" t="s">
        <v>1106</v>
      </c>
      <c r="F745" s="286" t="s">
        <v>2162</v>
      </c>
      <c r="G745" s="286" t="s">
        <v>1030</v>
      </c>
      <c r="H745" s="286" t="s">
        <v>1030</v>
      </c>
      <c r="I745" s="286" t="s">
        <v>1199</v>
      </c>
      <c r="J745" s="286" t="s">
        <v>1312</v>
      </c>
      <c r="K745" s="286" t="s">
        <v>53</v>
      </c>
      <c r="L745" s="286" t="s">
        <v>53</v>
      </c>
      <c r="M745" s="286" t="s">
        <v>53</v>
      </c>
      <c r="N745" s="287">
        <v>4472.32</v>
      </c>
      <c r="O745" s="294">
        <f t="shared" si="11"/>
        <v>45565</v>
      </c>
      <c r="P745" s="286" t="s">
        <v>58</v>
      </c>
    </row>
    <row r="746" spans="1:16" hidden="1" x14ac:dyDescent="0.15">
      <c r="A746" s="286">
        <v>821955</v>
      </c>
      <c r="B746" s="288">
        <v>45587.62777777778</v>
      </c>
      <c r="C746" s="286" t="s">
        <v>2130</v>
      </c>
      <c r="D746" s="286" t="s">
        <v>1105</v>
      </c>
      <c r="E746" s="286" t="s">
        <v>1106</v>
      </c>
      <c r="F746" s="286" t="s">
        <v>2163</v>
      </c>
      <c r="G746" s="286" t="s">
        <v>1030</v>
      </c>
      <c r="H746" s="286" t="s">
        <v>1030</v>
      </c>
      <c r="I746" s="286" t="s">
        <v>1199</v>
      </c>
      <c r="J746" s="286" t="s">
        <v>1312</v>
      </c>
      <c r="K746" s="286" t="s">
        <v>53</v>
      </c>
      <c r="L746" s="286" t="s">
        <v>53</v>
      </c>
      <c r="M746" s="286" t="s">
        <v>53</v>
      </c>
      <c r="N746" s="287">
        <v>4472.32</v>
      </c>
      <c r="O746" s="294">
        <f t="shared" si="11"/>
        <v>45596</v>
      </c>
      <c r="P746" s="286" t="s">
        <v>58</v>
      </c>
    </row>
    <row r="747" spans="1:16" hidden="1" x14ac:dyDescent="0.15">
      <c r="A747" s="286">
        <v>848817</v>
      </c>
      <c r="B747" s="288">
        <v>45607.65902777778</v>
      </c>
      <c r="C747" s="286" t="s">
        <v>2130</v>
      </c>
      <c r="D747" s="286" t="s">
        <v>1105</v>
      </c>
      <c r="E747" s="286" t="s">
        <v>1106</v>
      </c>
      <c r="F747" s="286" t="s">
        <v>2140</v>
      </c>
      <c r="G747" s="286" t="s">
        <v>1030</v>
      </c>
      <c r="H747" s="286" t="s">
        <v>1030</v>
      </c>
      <c r="I747" s="286" t="s">
        <v>1228</v>
      </c>
      <c r="J747" s="286" t="s">
        <v>1312</v>
      </c>
      <c r="K747" s="286" t="s">
        <v>2294</v>
      </c>
      <c r="L747" s="286" t="s">
        <v>672</v>
      </c>
      <c r="M747" s="286">
        <v>1</v>
      </c>
      <c r="N747" s="287">
        <v>4472.32</v>
      </c>
      <c r="O747" s="294">
        <f t="shared" si="11"/>
        <v>45626</v>
      </c>
      <c r="P747" s="286" t="s">
        <v>58</v>
      </c>
    </row>
    <row r="748" spans="1:16" hidden="1" x14ac:dyDescent="0.15">
      <c r="A748" s="286">
        <v>848917</v>
      </c>
      <c r="B748" s="288">
        <v>45607.660416666666</v>
      </c>
      <c r="C748" s="286" t="s">
        <v>2100</v>
      </c>
      <c r="D748" s="286" t="s">
        <v>1105</v>
      </c>
      <c r="E748" s="286" t="s">
        <v>1106</v>
      </c>
      <c r="F748" s="286" t="s">
        <v>2141</v>
      </c>
      <c r="G748" s="286" t="s">
        <v>1030</v>
      </c>
      <c r="H748" s="286" t="s">
        <v>1030</v>
      </c>
      <c r="I748" s="286" t="s">
        <v>1228</v>
      </c>
      <c r="J748" s="286" t="s">
        <v>1312</v>
      </c>
      <c r="K748" s="286" t="s">
        <v>2294</v>
      </c>
      <c r="L748" s="286" t="s">
        <v>672</v>
      </c>
      <c r="M748" s="286">
        <v>1</v>
      </c>
      <c r="N748" s="287">
        <v>4472.32</v>
      </c>
      <c r="O748" s="294">
        <f t="shared" si="11"/>
        <v>45626</v>
      </c>
      <c r="P748" s="286" t="s">
        <v>58</v>
      </c>
    </row>
    <row r="749" spans="1:16" hidden="1" x14ac:dyDescent="0.15">
      <c r="A749" s="286">
        <v>864918</v>
      </c>
      <c r="B749" s="288">
        <v>45617.508333333331</v>
      </c>
      <c r="C749" s="286" t="s">
        <v>2100</v>
      </c>
      <c r="D749" s="286" t="s">
        <v>1105</v>
      </c>
      <c r="E749" s="286" t="s">
        <v>1106</v>
      </c>
      <c r="F749" s="286" t="s">
        <v>2233</v>
      </c>
      <c r="G749" s="286" t="s">
        <v>1030</v>
      </c>
      <c r="H749" s="286" t="s">
        <v>1030</v>
      </c>
      <c r="I749" s="286" t="s">
        <v>1199</v>
      </c>
      <c r="J749" s="286" t="s">
        <v>53</v>
      </c>
      <c r="K749" s="286" t="s">
        <v>53</v>
      </c>
      <c r="L749" s="286" t="s">
        <v>53</v>
      </c>
      <c r="M749" s="286" t="s">
        <v>53</v>
      </c>
      <c r="N749" s="287">
        <v>4472.32</v>
      </c>
      <c r="O749" s="294">
        <f t="shared" si="11"/>
        <v>45626</v>
      </c>
      <c r="P749" s="286" t="s">
        <v>58</v>
      </c>
    </row>
    <row r="750" spans="1:16" hidden="1" x14ac:dyDescent="0.15">
      <c r="A750" s="286">
        <v>874698</v>
      </c>
      <c r="B750" s="288">
        <v>45628.357638888891</v>
      </c>
      <c r="C750" s="286" t="s">
        <v>2098</v>
      </c>
      <c r="D750" s="286" t="s">
        <v>1105</v>
      </c>
      <c r="E750" s="286" t="s">
        <v>1106</v>
      </c>
      <c r="F750" s="286" t="s">
        <v>2142</v>
      </c>
      <c r="G750" s="286" t="s">
        <v>1030</v>
      </c>
      <c r="H750" s="286" t="s">
        <v>1030</v>
      </c>
      <c r="I750" s="286" t="s">
        <v>1228</v>
      </c>
      <c r="J750" s="286" t="s">
        <v>1312</v>
      </c>
      <c r="K750" s="286" t="s">
        <v>2294</v>
      </c>
      <c r="L750" s="286" t="s">
        <v>672</v>
      </c>
      <c r="M750" s="286">
        <v>1</v>
      </c>
      <c r="N750" s="287">
        <v>4472.32</v>
      </c>
      <c r="O750" s="294">
        <f t="shared" si="11"/>
        <v>45657</v>
      </c>
      <c r="P750" s="286" t="s">
        <v>58</v>
      </c>
    </row>
    <row r="751" spans="1:16" hidden="1" x14ac:dyDescent="0.15">
      <c r="A751" s="286">
        <v>898877</v>
      </c>
      <c r="B751" s="288">
        <v>45644.552083333336</v>
      </c>
      <c r="C751" s="286" t="s">
        <v>2098</v>
      </c>
      <c r="D751" s="286" t="s">
        <v>1105</v>
      </c>
      <c r="E751" s="286" t="s">
        <v>1106</v>
      </c>
      <c r="F751" s="286" t="s">
        <v>2234</v>
      </c>
      <c r="G751" s="286" t="s">
        <v>1030</v>
      </c>
      <c r="H751" s="286" t="s">
        <v>1030</v>
      </c>
      <c r="I751" s="286" t="s">
        <v>1199</v>
      </c>
      <c r="J751" s="286" t="s">
        <v>1312</v>
      </c>
      <c r="K751" s="286" t="s">
        <v>53</v>
      </c>
      <c r="L751" s="286" t="s">
        <v>53</v>
      </c>
      <c r="M751" s="286" t="s">
        <v>53</v>
      </c>
      <c r="N751" s="287">
        <v>4472.32</v>
      </c>
      <c r="O751" s="294">
        <f t="shared" si="11"/>
        <v>45657</v>
      </c>
      <c r="P751" s="286" t="s">
        <v>58</v>
      </c>
    </row>
    <row r="752" spans="1:16" hidden="1" x14ac:dyDescent="0.15">
      <c r="A752" s="286">
        <v>556087</v>
      </c>
      <c r="B752" s="288">
        <v>45406.408333333333</v>
      </c>
      <c r="C752" s="286" t="s">
        <v>2096</v>
      </c>
      <c r="D752" s="286" t="s">
        <v>1105</v>
      </c>
      <c r="E752" s="286" t="s">
        <v>1106</v>
      </c>
      <c r="F752" s="286" t="s">
        <v>2105</v>
      </c>
      <c r="G752" s="286" t="s">
        <v>1004</v>
      </c>
      <c r="H752" s="286" t="s">
        <v>1004</v>
      </c>
      <c r="I752" s="286" t="s">
        <v>1152</v>
      </c>
      <c r="J752" s="286" t="s">
        <v>1312</v>
      </c>
      <c r="K752" s="286" t="s">
        <v>2287</v>
      </c>
      <c r="L752" s="286" t="s">
        <v>2288</v>
      </c>
      <c r="M752" s="286">
        <v>1</v>
      </c>
      <c r="N752" s="287">
        <v>4471.1899999999996</v>
      </c>
      <c r="O752" s="294">
        <f t="shared" si="11"/>
        <v>45412</v>
      </c>
      <c r="P752" s="286" t="s">
        <v>58</v>
      </c>
    </row>
    <row r="753" spans="1:16" hidden="1" x14ac:dyDescent="0.15">
      <c r="A753" s="286">
        <v>614216</v>
      </c>
      <c r="B753" s="288">
        <v>45455.716666666667</v>
      </c>
      <c r="C753" s="286" t="s">
        <v>2116</v>
      </c>
      <c r="D753" s="286" t="s">
        <v>1105</v>
      </c>
      <c r="E753" s="286" t="s">
        <v>1106</v>
      </c>
      <c r="F753" s="286" t="s">
        <v>2156</v>
      </c>
      <c r="G753" s="286" t="s">
        <v>1004</v>
      </c>
      <c r="H753" s="286" t="s">
        <v>1004</v>
      </c>
      <c r="I753" s="286" t="s">
        <v>1152</v>
      </c>
      <c r="J753" s="286" t="s">
        <v>1312</v>
      </c>
      <c r="K753" s="286" t="s">
        <v>2287</v>
      </c>
      <c r="L753" s="286" t="s">
        <v>2288</v>
      </c>
      <c r="M753" s="286">
        <v>1</v>
      </c>
      <c r="N753" s="287">
        <v>4471.1899999999996</v>
      </c>
      <c r="O753" s="294">
        <f t="shared" si="11"/>
        <v>45473</v>
      </c>
      <c r="P753" s="286" t="s">
        <v>58</v>
      </c>
    </row>
    <row r="754" spans="1:16" hidden="1" x14ac:dyDescent="0.15">
      <c r="A754" s="286">
        <v>614316</v>
      </c>
      <c r="B754" s="288">
        <v>45455.717361111114</v>
      </c>
      <c r="C754" s="286" t="s">
        <v>2092</v>
      </c>
      <c r="D754" s="286" t="s">
        <v>1105</v>
      </c>
      <c r="E754" s="286" t="s">
        <v>1106</v>
      </c>
      <c r="F754" s="286" t="s">
        <v>2167</v>
      </c>
      <c r="G754" s="286" t="s">
        <v>1004</v>
      </c>
      <c r="H754" s="286" t="s">
        <v>1004</v>
      </c>
      <c r="I754" s="286" t="s">
        <v>1152</v>
      </c>
      <c r="J754" s="286" t="s">
        <v>1312</v>
      </c>
      <c r="K754" s="286" t="s">
        <v>2287</v>
      </c>
      <c r="L754" s="286" t="s">
        <v>2288</v>
      </c>
      <c r="M754" s="286">
        <v>1</v>
      </c>
      <c r="N754" s="287">
        <v>4471.1899999999996</v>
      </c>
      <c r="O754" s="294">
        <f t="shared" si="11"/>
        <v>45473</v>
      </c>
      <c r="P754" s="286" t="s">
        <v>58</v>
      </c>
    </row>
    <row r="755" spans="1:16" hidden="1" x14ac:dyDescent="0.15">
      <c r="A755" s="286">
        <v>614316</v>
      </c>
      <c r="B755" s="288">
        <v>45455.717361111114</v>
      </c>
      <c r="C755" s="286" t="s">
        <v>2092</v>
      </c>
      <c r="D755" s="286" t="s">
        <v>1105</v>
      </c>
      <c r="E755" s="286" t="s">
        <v>1106</v>
      </c>
      <c r="F755" s="286" t="s">
        <v>2167</v>
      </c>
      <c r="G755" s="286" t="s">
        <v>1090</v>
      </c>
      <c r="H755" s="286" t="s">
        <v>1090</v>
      </c>
      <c r="I755" s="286" t="s">
        <v>1228</v>
      </c>
      <c r="J755" s="286" t="s">
        <v>1312</v>
      </c>
      <c r="K755" s="286" t="s">
        <v>2291</v>
      </c>
      <c r="L755" s="286" t="s">
        <v>672</v>
      </c>
      <c r="M755" s="286">
        <v>1</v>
      </c>
      <c r="N755" s="287">
        <v>4471.1899999999996</v>
      </c>
      <c r="O755" s="294">
        <f t="shared" si="11"/>
        <v>45473</v>
      </c>
      <c r="P755" s="286" t="s">
        <v>58</v>
      </c>
    </row>
    <row r="756" spans="1:16" hidden="1" x14ac:dyDescent="0.15">
      <c r="A756" s="286">
        <v>665446</v>
      </c>
      <c r="B756" s="288">
        <v>45489.461111111108</v>
      </c>
      <c r="C756" s="286" t="s">
        <v>2092</v>
      </c>
      <c r="D756" s="286" t="s">
        <v>1105</v>
      </c>
      <c r="E756" s="286" t="s">
        <v>1106</v>
      </c>
      <c r="F756" s="286" t="s">
        <v>2296</v>
      </c>
      <c r="G756" s="286" t="s">
        <v>1090</v>
      </c>
      <c r="H756" s="286" t="s">
        <v>1090</v>
      </c>
      <c r="I756" s="286" t="s">
        <v>1199</v>
      </c>
      <c r="J756" s="286" t="s">
        <v>1312</v>
      </c>
      <c r="K756" s="286" t="s">
        <v>53</v>
      </c>
      <c r="L756" s="286" t="s">
        <v>53</v>
      </c>
      <c r="M756" s="286" t="s">
        <v>53</v>
      </c>
      <c r="N756" s="287">
        <v>4471.1899999999996</v>
      </c>
      <c r="O756" s="294">
        <f t="shared" si="11"/>
        <v>45504</v>
      </c>
      <c r="P756" s="286" t="s">
        <v>58</v>
      </c>
    </row>
    <row r="757" spans="1:16" hidden="1" x14ac:dyDescent="0.15">
      <c r="A757" s="286">
        <v>646075</v>
      </c>
      <c r="B757" s="288">
        <v>45474.519444444442</v>
      </c>
      <c r="C757" s="286" t="s">
        <v>2111</v>
      </c>
      <c r="D757" s="286" t="s">
        <v>1105</v>
      </c>
      <c r="E757" s="286" t="s">
        <v>1106</v>
      </c>
      <c r="F757" s="286" t="s">
        <v>2137</v>
      </c>
      <c r="G757" s="286" t="s">
        <v>1004</v>
      </c>
      <c r="H757" s="286" t="s">
        <v>1004</v>
      </c>
      <c r="I757" s="286" t="s">
        <v>1152</v>
      </c>
      <c r="J757" s="286" t="s">
        <v>1312</v>
      </c>
      <c r="K757" s="286" t="s">
        <v>2287</v>
      </c>
      <c r="L757" s="286" t="s">
        <v>2288</v>
      </c>
      <c r="M757" s="286">
        <v>1</v>
      </c>
      <c r="N757" s="287">
        <v>4471.1899999999996</v>
      </c>
      <c r="O757" s="294">
        <f t="shared" si="11"/>
        <v>45504</v>
      </c>
      <c r="P757" s="286" t="s">
        <v>58</v>
      </c>
    </row>
    <row r="758" spans="1:16" hidden="1" x14ac:dyDescent="0.15">
      <c r="A758" s="286">
        <v>646075</v>
      </c>
      <c r="B758" s="288">
        <v>45474.519444444442</v>
      </c>
      <c r="C758" s="286" t="s">
        <v>2111</v>
      </c>
      <c r="D758" s="286" t="s">
        <v>1105</v>
      </c>
      <c r="E758" s="286" t="s">
        <v>1106</v>
      </c>
      <c r="F758" s="286" t="s">
        <v>2137</v>
      </c>
      <c r="G758" s="286" t="s">
        <v>1090</v>
      </c>
      <c r="H758" s="286" t="s">
        <v>1090</v>
      </c>
      <c r="I758" s="286" t="s">
        <v>1228</v>
      </c>
      <c r="J758" s="286" t="s">
        <v>1312</v>
      </c>
      <c r="K758" s="286" t="s">
        <v>2291</v>
      </c>
      <c r="L758" s="286" t="s">
        <v>672</v>
      </c>
      <c r="M758" s="286">
        <v>1</v>
      </c>
      <c r="N758" s="287">
        <v>4471.1899999999996</v>
      </c>
      <c r="O758" s="294">
        <f t="shared" si="11"/>
        <v>45504</v>
      </c>
      <c r="P758" s="286" t="s">
        <v>58</v>
      </c>
    </row>
    <row r="759" spans="1:16" hidden="1" x14ac:dyDescent="0.15">
      <c r="A759" s="286">
        <v>665546</v>
      </c>
      <c r="B759" s="288">
        <v>45489.461805555555</v>
      </c>
      <c r="C759" s="286" t="s">
        <v>2111</v>
      </c>
      <c r="D759" s="286" t="s">
        <v>1105</v>
      </c>
      <c r="E759" s="286" t="s">
        <v>1106</v>
      </c>
      <c r="F759" s="286" t="s">
        <v>2297</v>
      </c>
      <c r="G759" s="286" t="s">
        <v>1090</v>
      </c>
      <c r="H759" s="286" t="s">
        <v>1090</v>
      </c>
      <c r="I759" s="286" t="s">
        <v>1199</v>
      </c>
      <c r="J759" s="286" t="s">
        <v>1312</v>
      </c>
      <c r="K759" s="286" t="s">
        <v>53</v>
      </c>
      <c r="L759" s="286" t="s">
        <v>53</v>
      </c>
      <c r="M759" s="286" t="s">
        <v>53</v>
      </c>
      <c r="N759" s="287">
        <v>4471.1899999999996</v>
      </c>
      <c r="O759" s="294">
        <f t="shared" si="11"/>
        <v>45504</v>
      </c>
      <c r="P759" s="286" t="s">
        <v>58</v>
      </c>
    </row>
    <row r="760" spans="1:16" hidden="1" x14ac:dyDescent="0.15">
      <c r="A760" s="286">
        <v>697810</v>
      </c>
      <c r="B760" s="288">
        <v>45510.366666666669</v>
      </c>
      <c r="C760" s="286" t="s">
        <v>2102</v>
      </c>
      <c r="D760" s="286" t="s">
        <v>1105</v>
      </c>
      <c r="E760" s="286" t="s">
        <v>1106</v>
      </c>
      <c r="F760" s="286" t="s">
        <v>2138</v>
      </c>
      <c r="G760" s="286" t="s">
        <v>1004</v>
      </c>
      <c r="H760" s="286" t="s">
        <v>1004</v>
      </c>
      <c r="I760" s="286" t="s">
        <v>1152</v>
      </c>
      <c r="J760" s="286" t="s">
        <v>1312</v>
      </c>
      <c r="K760" s="286" t="s">
        <v>2287</v>
      </c>
      <c r="L760" s="286" t="s">
        <v>2288</v>
      </c>
      <c r="M760" s="286">
        <v>1</v>
      </c>
      <c r="N760" s="287">
        <v>4471.1899999999996</v>
      </c>
      <c r="O760" s="294">
        <f t="shared" si="11"/>
        <v>45535</v>
      </c>
      <c r="P760" s="286" t="s">
        <v>58</v>
      </c>
    </row>
    <row r="761" spans="1:16" hidden="1" x14ac:dyDescent="0.15">
      <c r="A761" s="286">
        <v>697810</v>
      </c>
      <c r="B761" s="288">
        <v>45510.366666666669</v>
      </c>
      <c r="C761" s="286" t="s">
        <v>2102</v>
      </c>
      <c r="D761" s="286" t="s">
        <v>1105</v>
      </c>
      <c r="E761" s="286" t="s">
        <v>1106</v>
      </c>
      <c r="F761" s="286" t="s">
        <v>2138</v>
      </c>
      <c r="G761" s="286" t="s">
        <v>1055</v>
      </c>
      <c r="H761" s="286" t="s">
        <v>1055</v>
      </c>
      <c r="I761" s="286" t="s">
        <v>1199</v>
      </c>
      <c r="J761" s="286" t="s">
        <v>1312</v>
      </c>
      <c r="K761" s="286" t="s">
        <v>1806</v>
      </c>
      <c r="L761" s="286" t="s">
        <v>672</v>
      </c>
      <c r="M761" s="286">
        <v>1</v>
      </c>
      <c r="N761" s="287">
        <v>4471.1899999999996</v>
      </c>
      <c r="O761" s="294">
        <f t="shared" si="11"/>
        <v>45535</v>
      </c>
      <c r="P761" s="286" t="s">
        <v>58</v>
      </c>
    </row>
    <row r="762" spans="1:16" hidden="1" x14ac:dyDescent="0.15">
      <c r="A762" s="286">
        <v>697810</v>
      </c>
      <c r="B762" s="288">
        <v>45510.366666666669</v>
      </c>
      <c r="C762" s="286" t="s">
        <v>2102</v>
      </c>
      <c r="D762" s="286" t="s">
        <v>1105</v>
      </c>
      <c r="E762" s="286" t="s">
        <v>1106</v>
      </c>
      <c r="F762" s="286" t="s">
        <v>2138</v>
      </c>
      <c r="G762" s="286" t="s">
        <v>1856</v>
      </c>
      <c r="H762" s="286" t="s">
        <v>1856</v>
      </c>
      <c r="I762" s="286" t="s">
        <v>1199</v>
      </c>
      <c r="J762" s="286" t="s">
        <v>1312</v>
      </c>
      <c r="K762" s="286" t="s">
        <v>2293</v>
      </c>
      <c r="L762" s="286" t="s">
        <v>672</v>
      </c>
      <c r="M762" s="286">
        <v>1</v>
      </c>
      <c r="N762" s="287">
        <v>4471.1899999999996</v>
      </c>
      <c r="O762" s="294">
        <f t="shared" si="11"/>
        <v>45535</v>
      </c>
      <c r="P762" s="286" t="s">
        <v>58</v>
      </c>
    </row>
    <row r="763" spans="1:16" hidden="1" x14ac:dyDescent="0.15">
      <c r="A763" s="286">
        <v>697810</v>
      </c>
      <c r="B763" s="288">
        <v>45510.366666666669</v>
      </c>
      <c r="C763" s="286" t="s">
        <v>2102</v>
      </c>
      <c r="D763" s="286" t="s">
        <v>1105</v>
      </c>
      <c r="E763" s="286" t="s">
        <v>1106</v>
      </c>
      <c r="F763" s="286" t="s">
        <v>2138</v>
      </c>
      <c r="G763" s="286" t="s">
        <v>1090</v>
      </c>
      <c r="H763" s="286" t="s">
        <v>1090</v>
      </c>
      <c r="I763" s="286" t="s">
        <v>1228</v>
      </c>
      <c r="J763" s="286" t="s">
        <v>1312</v>
      </c>
      <c r="K763" s="286" t="s">
        <v>2291</v>
      </c>
      <c r="L763" s="286" t="s">
        <v>672</v>
      </c>
      <c r="M763" s="286">
        <v>1</v>
      </c>
      <c r="N763" s="287">
        <v>4471.1899999999996</v>
      </c>
      <c r="O763" s="294">
        <f t="shared" si="11"/>
        <v>45535</v>
      </c>
      <c r="P763" s="286" t="s">
        <v>58</v>
      </c>
    </row>
    <row r="764" spans="1:16" hidden="1" x14ac:dyDescent="0.15">
      <c r="A764" s="286">
        <v>697810</v>
      </c>
      <c r="B764" s="288">
        <v>45510.366666666669</v>
      </c>
      <c r="C764" s="286" t="s">
        <v>2102</v>
      </c>
      <c r="D764" s="286" t="s">
        <v>1105</v>
      </c>
      <c r="E764" s="286" t="s">
        <v>1106</v>
      </c>
      <c r="F764" s="286" t="s">
        <v>2138</v>
      </c>
      <c r="G764" s="286" t="s">
        <v>1090</v>
      </c>
      <c r="H764" s="286" t="s">
        <v>1090</v>
      </c>
      <c r="I764" s="286" t="s">
        <v>1199</v>
      </c>
      <c r="J764" s="286" t="s">
        <v>1312</v>
      </c>
      <c r="K764" s="286" t="s">
        <v>53</v>
      </c>
      <c r="L764" s="286" t="s">
        <v>53</v>
      </c>
      <c r="M764" s="286" t="s">
        <v>53</v>
      </c>
      <c r="N764" s="287">
        <v>4471.1899999999996</v>
      </c>
      <c r="O764" s="294">
        <f t="shared" si="11"/>
        <v>45535</v>
      </c>
      <c r="P764" s="286" t="s">
        <v>58</v>
      </c>
    </row>
    <row r="765" spans="1:16" hidden="1" x14ac:dyDescent="0.15">
      <c r="A765" s="286">
        <v>745911</v>
      </c>
      <c r="B765" s="288">
        <v>45538.44027777778</v>
      </c>
      <c r="C765" s="286" t="s">
        <v>2132</v>
      </c>
      <c r="D765" s="286" t="s">
        <v>1105</v>
      </c>
      <c r="E765" s="286" t="s">
        <v>1106</v>
      </c>
      <c r="F765" s="286" t="s">
        <v>2139</v>
      </c>
      <c r="G765" s="286" t="s">
        <v>1004</v>
      </c>
      <c r="H765" s="286" t="s">
        <v>1004</v>
      </c>
      <c r="I765" s="286" t="s">
        <v>1152</v>
      </c>
      <c r="J765" s="286" t="s">
        <v>1312</v>
      </c>
      <c r="K765" s="286" t="s">
        <v>2287</v>
      </c>
      <c r="L765" s="286" t="s">
        <v>2288</v>
      </c>
      <c r="M765" s="286">
        <v>1</v>
      </c>
      <c r="N765" s="287">
        <v>4471.1899999999996</v>
      </c>
      <c r="O765" s="294">
        <f t="shared" si="11"/>
        <v>45565</v>
      </c>
      <c r="P765" s="286" t="s">
        <v>58</v>
      </c>
    </row>
    <row r="766" spans="1:16" hidden="1" x14ac:dyDescent="0.15">
      <c r="A766" s="286">
        <v>745911</v>
      </c>
      <c r="B766" s="288">
        <v>45538.44027777778</v>
      </c>
      <c r="C766" s="286" t="s">
        <v>2132</v>
      </c>
      <c r="D766" s="286" t="s">
        <v>1105</v>
      </c>
      <c r="E766" s="286" t="s">
        <v>1106</v>
      </c>
      <c r="F766" s="286" t="s">
        <v>2139</v>
      </c>
      <c r="G766" s="286" t="s">
        <v>1048</v>
      </c>
      <c r="H766" s="286" t="s">
        <v>1048</v>
      </c>
      <c r="I766" s="286" t="s">
        <v>1199</v>
      </c>
      <c r="J766" s="286" t="s">
        <v>1312</v>
      </c>
      <c r="K766" s="286" t="s">
        <v>1828</v>
      </c>
      <c r="L766" s="286" t="s">
        <v>672</v>
      </c>
      <c r="M766" s="286">
        <v>1</v>
      </c>
      <c r="N766" s="287">
        <v>4471.1899999999996</v>
      </c>
      <c r="O766" s="294">
        <f t="shared" si="11"/>
        <v>45565</v>
      </c>
      <c r="P766" s="286" t="s">
        <v>58</v>
      </c>
    </row>
    <row r="767" spans="1:16" hidden="1" x14ac:dyDescent="0.15">
      <c r="A767" s="286">
        <v>745911</v>
      </c>
      <c r="B767" s="288">
        <v>45538.44027777778</v>
      </c>
      <c r="C767" s="286" t="s">
        <v>2132</v>
      </c>
      <c r="D767" s="286" t="s">
        <v>1105</v>
      </c>
      <c r="E767" s="286" t="s">
        <v>1106</v>
      </c>
      <c r="F767" s="286" t="s">
        <v>2139</v>
      </c>
      <c r="G767" s="286" t="s">
        <v>1055</v>
      </c>
      <c r="H767" s="286" t="s">
        <v>1055</v>
      </c>
      <c r="I767" s="286" t="s">
        <v>1199</v>
      </c>
      <c r="J767" s="286" t="s">
        <v>1312</v>
      </c>
      <c r="K767" s="286" t="s">
        <v>1806</v>
      </c>
      <c r="L767" s="286" t="s">
        <v>672</v>
      </c>
      <c r="M767" s="286">
        <v>1</v>
      </c>
      <c r="N767" s="287">
        <v>4471.1899999999996</v>
      </c>
      <c r="O767" s="294">
        <f t="shared" si="11"/>
        <v>45565</v>
      </c>
      <c r="P767" s="286" t="s">
        <v>58</v>
      </c>
    </row>
    <row r="768" spans="1:16" hidden="1" x14ac:dyDescent="0.15">
      <c r="A768" s="286">
        <v>745911</v>
      </c>
      <c r="B768" s="288">
        <v>45538.44027777778</v>
      </c>
      <c r="C768" s="286" t="s">
        <v>2132</v>
      </c>
      <c r="D768" s="286" t="s">
        <v>1105</v>
      </c>
      <c r="E768" s="286" t="s">
        <v>1106</v>
      </c>
      <c r="F768" s="286" t="s">
        <v>2139</v>
      </c>
      <c r="G768" s="286" t="s">
        <v>1856</v>
      </c>
      <c r="H768" s="286" t="s">
        <v>1856</v>
      </c>
      <c r="I768" s="286" t="s">
        <v>1199</v>
      </c>
      <c r="J768" s="286" t="s">
        <v>1312</v>
      </c>
      <c r="K768" s="286" t="s">
        <v>2293</v>
      </c>
      <c r="L768" s="286" t="s">
        <v>672</v>
      </c>
      <c r="M768" s="286">
        <v>1</v>
      </c>
      <c r="N768" s="287">
        <v>4471.1899999999996</v>
      </c>
      <c r="O768" s="294">
        <f t="shared" si="11"/>
        <v>45565</v>
      </c>
      <c r="P768" s="286" t="s">
        <v>58</v>
      </c>
    </row>
    <row r="769" spans="1:16" hidden="1" x14ac:dyDescent="0.15">
      <c r="A769" s="286">
        <v>745911</v>
      </c>
      <c r="B769" s="288">
        <v>45538.44027777778</v>
      </c>
      <c r="C769" s="286" t="s">
        <v>2132</v>
      </c>
      <c r="D769" s="286" t="s">
        <v>1105</v>
      </c>
      <c r="E769" s="286" t="s">
        <v>1106</v>
      </c>
      <c r="F769" s="286" t="s">
        <v>2139</v>
      </c>
      <c r="G769" s="286" t="s">
        <v>1841</v>
      </c>
      <c r="H769" s="286" t="s">
        <v>1841</v>
      </c>
      <c r="I769" s="286" t="s">
        <v>1228</v>
      </c>
      <c r="J769" s="286" t="s">
        <v>1312</v>
      </c>
      <c r="K769" s="286" t="s">
        <v>1805</v>
      </c>
      <c r="L769" s="286" t="s">
        <v>672</v>
      </c>
      <c r="M769" s="286">
        <v>1</v>
      </c>
      <c r="N769" s="287">
        <v>4471.1899999999996</v>
      </c>
      <c r="O769" s="294">
        <f t="shared" si="11"/>
        <v>45565</v>
      </c>
      <c r="P769" s="286" t="s">
        <v>58</v>
      </c>
    </row>
    <row r="770" spans="1:16" hidden="1" x14ac:dyDescent="0.15">
      <c r="A770" s="286">
        <v>745911</v>
      </c>
      <c r="B770" s="288">
        <v>45538.44027777778</v>
      </c>
      <c r="C770" s="286" t="s">
        <v>2132</v>
      </c>
      <c r="D770" s="286" t="s">
        <v>1105</v>
      </c>
      <c r="E770" s="286" t="s">
        <v>1106</v>
      </c>
      <c r="F770" s="286" t="s">
        <v>2139</v>
      </c>
      <c r="G770" s="286" t="s">
        <v>1007</v>
      </c>
      <c r="H770" s="286" t="s">
        <v>1007</v>
      </c>
      <c r="I770" s="286" t="s">
        <v>1228</v>
      </c>
      <c r="J770" s="286" t="s">
        <v>1312</v>
      </c>
      <c r="K770" s="286" t="s">
        <v>1808</v>
      </c>
      <c r="L770" s="286" t="s">
        <v>53</v>
      </c>
      <c r="M770" s="286">
        <v>1</v>
      </c>
      <c r="N770" s="287">
        <v>4471.1899999999996</v>
      </c>
      <c r="O770" s="294">
        <f t="shared" si="11"/>
        <v>45565</v>
      </c>
      <c r="P770" s="286" t="s">
        <v>58</v>
      </c>
    </row>
    <row r="771" spans="1:16" hidden="1" x14ac:dyDescent="0.15">
      <c r="A771" s="286">
        <v>745911</v>
      </c>
      <c r="B771" s="288">
        <v>45538.44027777778</v>
      </c>
      <c r="C771" s="286" t="s">
        <v>2132</v>
      </c>
      <c r="D771" s="286" t="s">
        <v>1105</v>
      </c>
      <c r="E771" s="286" t="s">
        <v>1106</v>
      </c>
      <c r="F771" s="286" t="s">
        <v>2139</v>
      </c>
      <c r="G771" s="286" t="s">
        <v>1007</v>
      </c>
      <c r="H771" s="286" t="s">
        <v>1007</v>
      </c>
      <c r="I771" s="286" t="s">
        <v>1228</v>
      </c>
      <c r="J771" s="286" t="s">
        <v>1312</v>
      </c>
      <c r="K771" s="286" t="s">
        <v>1770</v>
      </c>
      <c r="L771" s="286" t="s">
        <v>672</v>
      </c>
      <c r="M771" s="286">
        <v>1</v>
      </c>
      <c r="N771" s="287">
        <v>4471.1899999999996</v>
      </c>
      <c r="O771" s="294">
        <f t="shared" si="11"/>
        <v>45565</v>
      </c>
      <c r="P771" s="286" t="s">
        <v>58</v>
      </c>
    </row>
    <row r="772" spans="1:16" hidden="1" x14ac:dyDescent="0.15">
      <c r="A772" s="286">
        <v>745911</v>
      </c>
      <c r="B772" s="288">
        <v>45538.44027777778</v>
      </c>
      <c r="C772" s="286" t="s">
        <v>2132</v>
      </c>
      <c r="D772" s="286" t="s">
        <v>1105</v>
      </c>
      <c r="E772" s="286" t="s">
        <v>1106</v>
      </c>
      <c r="F772" s="286" t="s">
        <v>2139</v>
      </c>
      <c r="G772" s="286" t="s">
        <v>1090</v>
      </c>
      <c r="H772" s="286" t="s">
        <v>1090</v>
      </c>
      <c r="I772" s="286" t="s">
        <v>1228</v>
      </c>
      <c r="J772" s="286" t="s">
        <v>1312</v>
      </c>
      <c r="K772" s="286" t="s">
        <v>2291</v>
      </c>
      <c r="L772" s="286" t="s">
        <v>672</v>
      </c>
      <c r="M772" s="286">
        <v>1</v>
      </c>
      <c r="N772" s="287">
        <v>4471.1899999999996</v>
      </c>
      <c r="O772" s="294">
        <f t="shared" ref="O772:O835" si="12">EOMONTH(B772,0)</f>
        <v>45565</v>
      </c>
      <c r="P772" s="286" t="s">
        <v>58</v>
      </c>
    </row>
    <row r="773" spans="1:16" hidden="1" x14ac:dyDescent="0.15">
      <c r="A773" s="286">
        <v>745911</v>
      </c>
      <c r="B773" s="288">
        <v>45538.44027777778</v>
      </c>
      <c r="C773" s="286" t="s">
        <v>2132</v>
      </c>
      <c r="D773" s="286" t="s">
        <v>1105</v>
      </c>
      <c r="E773" s="286" t="s">
        <v>1106</v>
      </c>
      <c r="F773" s="286" t="s">
        <v>2139</v>
      </c>
      <c r="G773" s="286" t="s">
        <v>1090</v>
      </c>
      <c r="H773" s="286" t="s">
        <v>1090</v>
      </c>
      <c r="I773" s="286" t="s">
        <v>1199</v>
      </c>
      <c r="J773" s="286" t="s">
        <v>1312</v>
      </c>
      <c r="K773" s="286" t="s">
        <v>53</v>
      </c>
      <c r="L773" s="286" t="s">
        <v>53</v>
      </c>
      <c r="M773" s="286" t="s">
        <v>53</v>
      </c>
      <c r="N773" s="287">
        <v>4471.1899999999996</v>
      </c>
      <c r="O773" s="294">
        <f t="shared" si="12"/>
        <v>45565</v>
      </c>
      <c r="P773" s="286" t="s">
        <v>58</v>
      </c>
    </row>
    <row r="774" spans="1:16" hidden="1" x14ac:dyDescent="0.15">
      <c r="A774" s="286">
        <v>848817</v>
      </c>
      <c r="B774" s="288">
        <v>45607.65902777778</v>
      </c>
      <c r="C774" s="286" t="s">
        <v>2130</v>
      </c>
      <c r="D774" s="286" t="s">
        <v>1105</v>
      </c>
      <c r="E774" s="286" t="s">
        <v>1106</v>
      </c>
      <c r="F774" s="286" t="s">
        <v>2140</v>
      </c>
      <c r="G774" s="286" t="s">
        <v>1004</v>
      </c>
      <c r="H774" s="286" t="s">
        <v>1004</v>
      </c>
      <c r="I774" s="286" t="s">
        <v>1152</v>
      </c>
      <c r="J774" s="286" t="s">
        <v>1312</v>
      </c>
      <c r="K774" s="286" t="s">
        <v>2287</v>
      </c>
      <c r="L774" s="286" t="s">
        <v>2288</v>
      </c>
      <c r="M774" s="286">
        <v>1</v>
      </c>
      <c r="N774" s="287">
        <v>4471.1899999999996</v>
      </c>
      <c r="O774" s="294">
        <f t="shared" si="12"/>
        <v>45626</v>
      </c>
      <c r="P774" s="286" t="s">
        <v>58</v>
      </c>
    </row>
    <row r="775" spans="1:16" hidden="1" x14ac:dyDescent="0.15">
      <c r="A775" s="286">
        <v>848817</v>
      </c>
      <c r="B775" s="288">
        <v>45607.65902777778</v>
      </c>
      <c r="C775" s="286" t="s">
        <v>2130</v>
      </c>
      <c r="D775" s="286" t="s">
        <v>1105</v>
      </c>
      <c r="E775" s="286" t="s">
        <v>1106</v>
      </c>
      <c r="F775" s="286" t="s">
        <v>2140</v>
      </c>
      <c r="G775" s="286" t="s">
        <v>1055</v>
      </c>
      <c r="H775" s="286" t="s">
        <v>1055</v>
      </c>
      <c r="I775" s="286" t="s">
        <v>1199</v>
      </c>
      <c r="J775" s="286" t="s">
        <v>1312</v>
      </c>
      <c r="K775" s="286" t="s">
        <v>1806</v>
      </c>
      <c r="L775" s="286" t="s">
        <v>672</v>
      </c>
      <c r="M775" s="286">
        <v>1</v>
      </c>
      <c r="N775" s="287">
        <v>4471.1899999999996</v>
      </c>
      <c r="O775" s="294">
        <f t="shared" si="12"/>
        <v>45626</v>
      </c>
      <c r="P775" s="286" t="s">
        <v>58</v>
      </c>
    </row>
    <row r="776" spans="1:16" hidden="1" x14ac:dyDescent="0.15">
      <c r="A776" s="286">
        <v>848817</v>
      </c>
      <c r="B776" s="288">
        <v>45607.65902777778</v>
      </c>
      <c r="C776" s="286" t="s">
        <v>2130</v>
      </c>
      <c r="D776" s="286" t="s">
        <v>1105</v>
      </c>
      <c r="E776" s="286" t="s">
        <v>1106</v>
      </c>
      <c r="F776" s="286" t="s">
        <v>2140</v>
      </c>
      <c r="G776" s="286" t="s">
        <v>1856</v>
      </c>
      <c r="H776" s="286" t="s">
        <v>1856</v>
      </c>
      <c r="I776" s="286" t="s">
        <v>1199</v>
      </c>
      <c r="J776" s="286" t="s">
        <v>1312</v>
      </c>
      <c r="K776" s="286" t="s">
        <v>2293</v>
      </c>
      <c r="L776" s="286" t="s">
        <v>672</v>
      </c>
      <c r="M776" s="286">
        <v>1</v>
      </c>
      <c r="N776" s="287">
        <v>4471.1899999999996</v>
      </c>
      <c r="O776" s="294">
        <f t="shared" si="12"/>
        <v>45626</v>
      </c>
      <c r="P776" s="286" t="s">
        <v>58</v>
      </c>
    </row>
    <row r="777" spans="1:16" hidden="1" x14ac:dyDescent="0.15">
      <c r="A777" s="286">
        <v>848817</v>
      </c>
      <c r="B777" s="288">
        <v>45607.65902777778</v>
      </c>
      <c r="C777" s="286" t="s">
        <v>2130</v>
      </c>
      <c r="D777" s="286" t="s">
        <v>1105</v>
      </c>
      <c r="E777" s="286" t="s">
        <v>1106</v>
      </c>
      <c r="F777" s="286" t="s">
        <v>2140</v>
      </c>
      <c r="G777" s="286" t="s">
        <v>1048</v>
      </c>
      <c r="H777" s="286" t="s">
        <v>1048</v>
      </c>
      <c r="I777" s="286" t="s">
        <v>1199</v>
      </c>
      <c r="J777" s="286" t="s">
        <v>1312</v>
      </c>
      <c r="K777" s="286" t="s">
        <v>1828</v>
      </c>
      <c r="L777" s="286" t="s">
        <v>672</v>
      </c>
      <c r="M777" s="286">
        <v>1</v>
      </c>
      <c r="N777" s="287">
        <v>4471.1899999999996</v>
      </c>
      <c r="O777" s="294">
        <f t="shared" si="12"/>
        <v>45626</v>
      </c>
      <c r="P777" s="286" t="s">
        <v>58</v>
      </c>
    </row>
    <row r="778" spans="1:16" hidden="1" x14ac:dyDescent="0.15">
      <c r="A778" s="286">
        <v>848817</v>
      </c>
      <c r="B778" s="288">
        <v>45607.65902777778</v>
      </c>
      <c r="C778" s="286" t="s">
        <v>2130</v>
      </c>
      <c r="D778" s="286" t="s">
        <v>1105</v>
      </c>
      <c r="E778" s="286" t="s">
        <v>1106</v>
      </c>
      <c r="F778" s="286" t="s">
        <v>2140</v>
      </c>
      <c r="G778" s="286" t="s">
        <v>1841</v>
      </c>
      <c r="H778" s="286" t="s">
        <v>1841</v>
      </c>
      <c r="I778" s="286" t="s">
        <v>1228</v>
      </c>
      <c r="J778" s="286" t="s">
        <v>1312</v>
      </c>
      <c r="K778" s="286" t="s">
        <v>1805</v>
      </c>
      <c r="L778" s="286" t="s">
        <v>672</v>
      </c>
      <c r="M778" s="286">
        <v>1</v>
      </c>
      <c r="N778" s="287">
        <v>4471.1899999999996</v>
      </c>
      <c r="O778" s="294">
        <f t="shared" si="12"/>
        <v>45626</v>
      </c>
      <c r="P778" s="286" t="s">
        <v>58</v>
      </c>
    </row>
    <row r="779" spans="1:16" hidden="1" x14ac:dyDescent="0.15">
      <c r="A779" s="286">
        <v>848817</v>
      </c>
      <c r="B779" s="288">
        <v>45607.65902777778</v>
      </c>
      <c r="C779" s="286" t="s">
        <v>2130</v>
      </c>
      <c r="D779" s="286" t="s">
        <v>1105</v>
      </c>
      <c r="E779" s="286" t="s">
        <v>1106</v>
      </c>
      <c r="F779" s="286" t="s">
        <v>2140</v>
      </c>
      <c r="G779" s="286" t="s">
        <v>1007</v>
      </c>
      <c r="H779" s="286" t="s">
        <v>1007</v>
      </c>
      <c r="I779" s="286" t="s">
        <v>1228</v>
      </c>
      <c r="J779" s="286" t="s">
        <v>1312</v>
      </c>
      <c r="K779" s="286" t="s">
        <v>1808</v>
      </c>
      <c r="L779" s="286" t="s">
        <v>53</v>
      </c>
      <c r="M779" s="286">
        <v>1</v>
      </c>
      <c r="N779" s="287">
        <v>4471.1899999999996</v>
      </c>
      <c r="O779" s="294">
        <f t="shared" si="12"/>
        <v>45626</v>
      </c>
      <c r="P779" s="286" t="s">
        <v>58</v>
      </c>
    </row>
    <row r="780" spans="1:16" hidden="1" x14ac:dyDescent="0.15">
      <c r="A780" s="286">
        <v>848817</v>
      </c>
      <c r="B780" s="288">
        <v>45607.65902777778</v>
      </c>
      <c r="C780" s="286" t="s">
        <v>2130</v>
      </c>
      <c r="D780" s="286" t="s">
        <v>1105</v>
      </c>
      <c r="E780" s="286" t="s">
        <v>1106</v>
      </c>
      <c r="F780" s="286" t="s">
        <v>2140</v>
      </c>
      <c r="G780" s="286" t="s">
        <v>1007</v>
      </c>
      <c r="H780" s="286" t="s">
        <v>1007</v>
      </c>
      <c r="I780" s="286" t="s">
        <v>1228</v>
      </c>
      <c r="J780" s="286" t="s">
        <v>1312</v>
      </c>
      <c r="K780" s="286" t="s">
        <v>1770</v>
      </c>
      <c r="L780" s="286" t="s">
        <v>672</v>
      </c>
      <c r="M780" s="286">
        <v>1</v>
      </c>
      <c r="N780" s="287">
        <v>4471.1899999999996</v>
      </c>
      <c r="O780" s="294">
        <f t="shared" si="12"/>
        <v>45626</v>
      </c>
      <c r="P780" s="286" t="s">
        <v>58</v>
      </c>
    </row>
    <row r="781" spans="1:16" hidden="1" x14ac:dyDescent="0.15">
      <c r="A781" s="286">
        <v>848817</v>
      </c>
      <c r="B781" s="288">
        <v>45607.65902777778</v>
      </c>
      <c r="C781" s="286" t="s">
        <v>2130</v>
      </c>
      <c r="D781" s="286" t="s">
        <v>1105</v>
      </c>
      <c r="E781" s="286" t="s">
        <v>1106</v>
      </c>
      <c r="F781" s="286" t="s">
        <v>2140</v>
      </c>
      <c r="G781" s="286" t="s">
        <v>1090</v>
      </c>
      <c r="H781" s="286" t="s">
        <v>1090</v>
      </c>
      <c r="I781" s="286" t="s">
        <v>1228</v>
      </c>
      <c r="J781" s="286" t="s">
        <v>1312</v>
      </c>
      <c r="K781" s="286" t="s">
        <v>2291</v>
      </c>
      <c r="L781" s="286" t="s">
        <v>672</v>
      </c>
      <c r="M781" s="286">
        <v>1</v>
      </c>
      <c r="N781" s="287">
        <v>4471.1899999999996</v>
      </c>
      <c r="O781" s="294">
        <f t="shared" si="12"/>
        <v>45626</v>
      </c>
      <c r="P781" s="286" t="s">
        <v>58</v>
      </c>
    </row>
    <row r="782" spans="1:16" hidden="1" x14ac:dyDescent="0.15">
      <c r="A782" s="286">
        <v>848817</v>
      </c>
      <c r="B782" s="288">
        <v>45607.65902777778</v>
      </c>
      <c r="C782" s="286" t="s">
        <v>2130</v>
      </c>
      <c r="D782" s="286" t="s">
        <v>1105</v>
      </c>
      <c r="E782" s="286" t="s">
        <v>1106</v>
      </c>
      <c r="F782" s="286" t="s">
        <v>2140</v>
      </c>
      <c r="G782" s="286" t="s">
        <v>1090</v>
      </c>
      <c r="H782" s="286" t="s">
        <v>1090</v>
      </c>
      <c r="I782" s="286" t="s">
        <v>1199</v>
      </c>
      <c r="J782" s="286" t="s">
        <v>1312</v>
      </c>
      <c r="K782" s="286" t="s">
        <v>53</v>
      </c>
      <c r="L782" s="286" t="s">
        <v>53</v>
      </c>
      <c r="M782" s="286" t="s">
        <v>53</v>
      </c>
      <c r="N782" s="287">
        <v>4471.1899999999996</v>
      </c>
      <c r="O782" s="294">
        <f t="shared" si="12"/>
        <v>45626</v>
      </c>
      <c r="P782" s="286" t="s">
        <v>58</v>
      </c>
    </row>
    <row r="783" spans="1:16" hidden="1" x14ac:dyDescent="0.15">
      <c r="A783" s="286">
        <v>848917</v>
      </c>
      <c r="B783" s="288">
        <v>45607.660416666666</v>
      </c>
      <c r="C783" s="286" t="s">
        <v>2100</v>
      </c>
      <c r="D783" s="286" t="s">
        <v>1105</v>
      </c>
      <c r="E783" s="286" t="s">
        <v>1106</v>
      </c>
      <c r="F783" s="286" t="s">
        <v>2141</v>
      </c>
      <c r="G783" s="286" t="s">
        <v>1004</v>
      </c>
      <c r="H783" s="286" t="s">
        <v>1004</v>
      </c>
      <c r="I783" s="286" t="s">
        <v>1152</v>
      </c>
      <c r="J783" s="286" t="s">
        <v>1312</v>
      </c>
      <c r="K783" s="286" t="s">
        <v>2287</v>
      </c>
      <c r="L783" s="286" t="s">
        <v>2288</v>
      </c>
      <c r="M783" s="286">
        <v>1</v>
      </c>
      <c r="N783" s="287">
        <v>4471.1899999999996</v>
      </c>
      <c r="O783" s="294">
        <f t="shared" si="12"/>
        <v>45626</v>
      </c>
      <c r="P783" s="286" t="s">
        <v>58</v>
      </c>
    </row>
    <row r="784" spans="1:16" hidden="1" x14ac:dyDescent="0.15">
      <c r="A784" s="286">
        <v>848917</v>
      </c>
      <c r="B784" s="288">
        <v>45607.660416666666</v>
      </c>
      <c r="C784" s="286" t="s">
        <v>2100</v>
      </c>
      <c r="D784" s="286" t="s">
        <v>1105</v>
      </c>
      <c r="E784" s="286" t="s">
        <v>1106</v>
      </c>
      <c r="F784" s="286" t="s">
        <v>2141</v>
      </c>
      <c r="G784" s="286" t="s">
        <v>1055</v>
      </c>
      <c r="H784" s="286" t="s">
        <v>1055</v>
      </c>
      <c r="I784" s="286" t="s">
        <v>1199</v>
      </c>
      <c r="J784" s="286" t="s">
        <v>1312</v>
      </c>
      <c r="K784" s="286" t="s">
        <v>1806</v>
      </c>
      <c r="L784" s="286" t="s">
        <v>672</v>
      </c>
      <c r="M784" s="286">
        <v>1</v>
      </c>
      <c r="N784" s="287">
        <v>4471.1899999999996</v>
      </c>
      <c r="O784" s="294">
        <f t="shared" si="12"/>
        <v>45626</v>
      </c>
      <c r="P784" s="286" t="s">
        <v>58</v>
      </c>
    </row>
    <row r="785" spans="1:16" hidden="1" x14ac:dyDescent="0.15">
      <c r="A785" s="286">
        <v>848917</v>
      </c>
      <c r="B785" s="288">
        <v>45607.660416666666</v>
      </c>
      <c r="C785" s="286" t="s">
        <v>2100</v>
      </c>
      <c r="D785" s="286" t="s">
        <v>1105</v>
      </c>
      <c r="E785" s="286" t="s">
        <v>1106</v>
      </c>
      <c r="F785" s="286" t="s">
        <v>2141</v>
      </c>
      <c r="G785" s="286" t="s">
        <v>1856</v>
      </c>
      <c r="H785" s="286" t="s">
        <v>1856</v>
      </c>
      <c r="I785" s="286" t="s">
        <v>1199</v>
      </c>
      <c r="J785" s="286" t="s">
        <v>1312</v>
      </c>
      <c r="K785" s="286" t="s">
        <v>2293</v>
      </c>
      <c r="L785" s="286" t="s">
        <v>672</v>
      </c>
      <c r="M785" s="286">
        <v>1</v>
      </c>
      <c r="N785" s="287">
        <v>4471.1899999999996</v>
      </c>
      <c r="O785" s="294">
        <f t="shared" si="12"/>
        <v>45626</v>
      </c>
      <c r="P785" s="286" t="s">
        <v>58</v>
      </c>
    </row>
    <row r="786" spans="1:16" hidden="1" x14ac:dyDescent="0.15">
      <c r="A786" s="286">
        <v>848917</v>
      </c>
      <c r="B786" s="288">
        <v>45607.660416666666</v>
      </c>
      <c r="C786" s="286" t="s">
        <v>2100</v>
      </c>
      <c r="D786" s="286" t="s">
        <v>1105</v>
      </c>
      <c r="E786" s="286" t="s">
        <v>1106</v>
      </c>
      <c r="F786" s="286" t="s">
        <v>2141</v>
      </c>
      <c r="G786" s="286" t="s">
        <v>1048</v>
      </c>
      <c r="H786" s="286" t="s">
        <v>1048</v>
      </c>
      <c r="I786" s="286" t="s">
        <v>1199</v>
      </c>
      <c r="J786" s="286" t="s">
        <v>1312</v>
      </c>
      <c r="K786" s="286" t="s">
        <v>1828</v>
      </c>
      <c r="L786" s="286" t="s">
        <v>672</v>
      </c>
      <c r="M786" s="286">
        <v>1</v>
      </c>
      <c r="N786" s="287">
        <v>4471.1899999999996</v>
      </c>
      <c r="O786" s="294">
        <f t="shared" si="12"/>
        <v>45626</v>
      </c>
      <c r="P786" s="286" t="s">
        <v>58</v>
      </c>
    </row>
    <row r="787" spans="1:16" hidden="1" x14ac:dyDescent="0.15">
      <c r="A787" s="286">
        <v>848917</v>
      </c>
      <c r="B787" s="288">
        <v>45607.660416666666</v>
      </c>
      <c r="C787" s="286" t="s">
        <v>2100</v>
      </c>
      <c r="D787" s="286" t="s">
        <v>1105</v>
      </c>
      <c r="E787" s="286" t="s">
        <v>1106</v>
      </c>
      <c r="F787" s="286" t="s">
        <v>2141</v>
      </c>
      <c r="G787" s="286" t="s">
        <v>1841</v>
      </c>
      <c r="H787" s="286" t="s">
        <v>1841</v>
      </c>
      <c r="I787" s="286" t="s">
        <v>1228</v>
      </c>
      <c r="J787" s="286" t="s">
        <v>1312</v>
      </c>
      <c r="K787" s="286" t="s">
        <v>1805</v>
      </c>
      <c r="L787" s="286" t="s">
        <v>672</v>
      </c>
      <c r="M787" s="286">
        <v>1</v>
      </c>
      <c r="N787" s="287">
        <v>4471.1899999999996</v>
      </c>
      <c r="O787" s="294">
        <f t="shared" si="12"/>
        <v>45626</v>
      </c>
      <c r="P787" s="286" t="s">
        <v>58</v>
      </c>
    </row>
    <row r="788" spans="1:16" hidden="1" x14ac:dyDescent="0.15">
      <c r="A788" s="286">
        <v>848917</v>
      </c>
      <c r="B788" s="288">
        <v>45607.660416666666</v>
      </c>
      <c r="C788" s="286" t="s">
        <v>2100</v>
      </c>
      <c r="D788" s="286" t="s">
        <v>1105</v>
      </c>
      <c r="E788" s="286" t="s">
        <v>1106</v>
      </c>
      <c r="F788" s="286" t="s">
        <v>2141</v>
      </c>
      <c r="G788" s="286" t="s">
        <v>1007</v>
      </c>
      <c r="H788" s="286" t="s">
        <v>1007</v>
      </c>
      <c r="I788" s="286" t="s">
        <v>1228</v>
      </c>
      <c r="J788" s="286" t="s">
        <v>1312</v>
      </c>
      <c r="K788" s="286" t="s">
        <v>1808</v>
      </c>
      <c r="L788" s="286" t="s">
        <v>53</v>
      </c>
      <c r="M788" s="286">
        <v>1</v>
      </c>
      <c r="N788" s="287">
        <v>4471.1899999999996</v>
      </c>
      <c r="O788" s="294">
        <f t="shared" si="12"/>
        <v>45626</v>
      </c>
      <c r="P788" s="286" t="s">
        <v>58</v>
      </c>
    </row>
    <row r="789" spans="1:16" hidden="1" x14ac:dyDescent="0.15">
      <c r="A789" s="286">
        <v>848917</v>
      </c>
      <c r="B789" s="288">
        <v>45607.660416666666</v>
      </c>
      <c r="C789" s="286" t="s">
        <v>2100</v>
      </c>
      <c r="D789" s="286" t="s">
        <v>1105</v>
      </c>
      <c r="E789" s="286" t="s">
        <v>1106</v>
      </c>
      <c r="F789" s="286" t="s">
        <v>2141</v>
      </c>
      <c r="G789" s="286" t="s">
        <v>1007</v>
      </c>
      <c r="H789" s="286" t="s">
        <v>1007</v>
      </c>
      <c r="I789" s="286" t="s">
        <v>1228</v>
      </c>
      <c r="J789" s="286" t="s">
        <v>1312</v>
      </c>
      <c r="K789" s="286" t="s">
        <v>1770</v>
      </c>
      <c r="L789" s="286" t="s">
        <v>672</v>
      </c>
      <c r="M789" s="286">
        <v>1</v>
      </c>
      <c r="N789" s="287">
        <v>4471.1899999999996</v>
      </c>
      <c r="O789" s="294">
        <f t="shared" si="12"/>
        <v>45626</v>
      </c>
      <c r="P789" s="286" t="s">
        <v>58</v>
      </c>
    </row>
    <row r="790" spans="1:16" hidden="1" x14ac:dyDescent="0.15">
      <c r="A790" s="286">
        <v>848917</v>
      </c>
      <c r="B790" s="288">
        <v>45607.660416666666</v>
      </c>
      <c r="C790" s="286" t="s">
        <v>2100</v>
      </c>
      <c r="D790" s="286" t="s">
        <v>1105</v>
      </c>
      <c r="E790" s="286" t="s">
        <v>1106</v>
      </c>
      <c r="F790" s="286" t="s">
        <v>2141</v>
      </c>
      <c r="G790" s="286" t="s">
        <v>1024</v>
      </c>
      <c r="H790" s="286" t="s">
        <v>1024</v>
      </c>
      <c r="I790" s="286" t="s">
        <v>1228</v>
      </c>
      <c r="J790" s="286" t="s">
        <v>1312</v>
      </c>
      <c r="K790" s="286" t="s">
        <v>2291</v>
      </c>
      <c r="L790" s="286" t="s">
        <v>672</v>
      </c>
      <c r="M790" s="286">
        <v>1</v>
      </c>
      <c r="N790" s="287">
        <v>4471.1899999999996</v>
      </c>
      <c r="O790" s="294">
        <f t="shared" si="12"/>
        <v>45626</v>
      </c>
      <c r="P790" s="286" t="s">
        <v>58</v>
      </c>
    </row>
    <row r="791" spans="1:16" hidden="1" x14ac:dyDescent="0.15">
      <c r="A791" s="286">
        <v>848917</v>
      </c>
      <c r="B791" s="288">
        <v>45607.660416666666</v>
      </c>
      <c r="C791" s="286" t="s">
        <v>2100</v>
      </c>
      <c r="D791" s="286" t="s">
        <v>1105</v>
      </c>
      <c r="E791" s="286" t="s">
        <v>1106</v>
      </c>
      <c r="F791" s="286" t="s">
        <v>2141</v>
      </c>
      <c r="G791" s="286" t="s">
        <v>1024</v>
      </c>
      <c r="H791" s="286" t="s">
        <v>1024</v>
      </c>
      <c r="I791" s="286" t="s">
        <v>1228</v>
      </c>
      <c r="J791" s="286" t="s">
        <v>1312</v>
      </c>
      <c r="K791" s="286" t="s">
        <v>2298</v>
      </c>
      <c r="L791" s="286" t="s">
        <v>672</v>
      </c>
      <c r="M791" s="286">
        <v>1</v>
      </c>
      <c r="N791" s="287">
        <v>4471.1899999999996</v>
      </c>
      <c r="O791" s="294">
        <f t="shared" si="12"/>
        <v>45626</v>
      </c>
      <c r="P791" s="286" t="s">
        <v>58</v>
      </c>
    </row>
    <row r="792" spans="1:16" hidden="1" x14ac:dyDescent="0.15">
      <c r="A792" s="286">
        <v>848917</v>
      </c>
      <c r="B792" s="288">
        <v>45607.660416666666</v>
      </c>
      <c r="C792" s="286" t="s">
        <v>2100</v>
      </c>
      <c r="D792" s="286" t="s">
        <v>1105</v>
      </c>
      <c r="E792" s="286" t="s">
        <v>1106</v>
      </c>
      <c r="F792" s="286" t="s">
        <v>2141</v>
      </c>
      <c r="G792" s="286" t="s">
        <v>1090</v>
      </c>
      <c r="H792" s="286" t="s">
        <v>1090</v>
      </c>
      <c r="I792" s="286" t="s">
        <v>1228</v>
      </c>
      <c r="J792" s="286" t="s">
        <v>1312</v>
      </c>
      <c r="K792" s="286" t="s">
        <v>2291</v>
      </c>
      <c r="L792" s="286" t="s">
        <v>672</v>
      </c>
      <c r="M792" s="286">
        <v>1</v>
      </c>
      <c r="N792" s="287">
        <v>4471.1899999999996</v>
      </c>
      <c r="O792" s="294">
        <f t="shared" si="12"/>
        <v>45626</v>
      </c>
      <c r="P792" s="286" t="s">
        <v>58</v>
      </c>
    </row>
    <row r="793" spans="1:16" hidden="1" x14ac:dyDescent="0.15">
      <c r="A793" s="286">
        <v>848917</v>
      </c>
      <c r="B793" s="288">
        <v>45607.660416666666</v>
      </c>
      <c r="C793" s="286" t="s">
        <v>2100</v>
      </c>
      <c r="D793" s="286" t="s">
        <v>1105</v>
      </c>
      <c r="E793" s="286" t="s">
        <v>1106</v>
      </c>
      <c r="F793" s="286" t="s">
        <v>2141</v>
      </c>
      <c r="G793" s="286" t="s">
        <v>1090</v>
      </c>
      <c r="H793" s="286" t="s">
        <v>1090</v>
      </c>
      <c r="I793" s="286" t="s">
        <v>1199</v>
      </c>
      <c r="J793" s="286" t="s">
        <v>1312</v>
      </c>
      <c r="K793" s="286" t="s">
        <v>53</v>
      </c>
      <c r="L793" s="286" t="s">
        <v>53</v>
      </c>
      <c r="M793" s="286" t="s">
        <v>53</v>
      </c>
      <c r="N793" s="287">
        <v>4471.1899999999996</v>
      </c>
      <c r="O793" s="294">
        <f t="shared" si="12"/>
        <v>45626</v>
      </c>
      <c r="P793" s="286" t="s">
        <v>58</v>
      </c>
    </row>
    <row r="794" spans="1:16" hidden="1" x14ac:dyDescent="0.15">
      <c r="A794" s="286">
        <v>874698</v>
      </c>
      <c r="B794" s="288">
        <v>45628.357638888891</v>
      </c>
      <c r="C794" s="286" t="s">
        <v>2098</v>
      </c>
      <c r="D794" s="286" t="s">
        <v>1105</v>
      </c>
      <c r="E794" s="286" t="s">
        <v>1106</v>
      </c>
      <c r="F794" s="286" t="s">
        <v>2142</v>
      </c>
      <c r="G794" s="286" t="s">
        <v>1004</v>
      </c>
      <c r="H794" s="286" t="s">
        <v>1004</v>
      </c>
      <c r="I794" s="286" t="s">
        <v>1152</v>
      </c>
      <c r="J794" s="286" t="s">
        <v>1312</v>
      </c>
      <c r="K794" s="286" t="s">
        <v>2287</v>
      </c>
      <c r="L794" s="286" t="s">
        <v>2288</v>
      </c>
      <c r="M794" s="286">
        <v>1</v>
      </c>
      <c r="N794" s="287">
        <v>4471.1899999999996</v>
      </c>
      <c r="O794" s="294">
        <f t="shared" si="12"/>
        <v>45657</v>
      </c>
      <c r="P794" s="286" t="s">
        <v>58</v>
      </c>
    </row>
    <row r="795" spans="1:16" hidden="1" x14ac:dyDescent="0.15">
      <c r="A795" s="286">
        <v>874698</v>
      </c>
      <c r="B795" s="288">
        <v>45628.357638888891</v>
      </c>
      <c r="C795" s="286" t="s">
        <v>2098</v>
      </c>
      <c r="D795" s="286" t="s">
        <v>1105</v>
      </c>
      <c r="E795" s="286" t="s">
        <v>1106</v>
      </c>
      <c r="F795" s="286" t="s">
        <v>2142</v>
      </c>
      <c r="G795" s="286" t="s">
        <v>1048</v>
      </c>
      <c r="H795" s="286" t="s">
        <v>1048</v>
      </c>
      <c r="I795" s="286" t="s">
        <v>1199</v>
      </c>
      <c r="J795" s="286" t="s">
        <v>1312</v>
      </c>
      <c r="K795" s="286" t="s">
        <v>1828</v>
      </c>
      <c r="L795" s="286" t="s">
        <v>672</v>
      </c>
      <c r="M795" s="286">
        <v>1</v>
      </c>
      <c r="N795" s="287">
        <v>4471.1899999999996</v>
      </c>
      <c r="O795" s="294">
        <f t="shared" si="12"/>
        <v>45657</v>
      </c>
      <c r="P795" s="286" t="s">
        <v>58</v>
      </c>
    </row>
    <row r="796" spans="1:16" hidden="1" x14ac:dyDescent="0.15">
      <c r="A796" s="286">
        <v>874698</v>
      </c>
      <c r="B796" s="288">
        <v>45628.357638888891</v>
      </c>
      <c r="C796" s="286" t="s">
        <v>2098</v>
      </c>
      <c r="D796" s="286" t="s">
        <v>1105</v>
      </c>
      <c r="E796" s="286" t="s">
        <v>1106</v>
      </c>
      <c r="F796" s="286" t="s">
        <v>2142</v>
      </c>
      <c r="G796" s="286" t="s">
        <v>1055</v>
      </c>
      <c r="H796" s="286" t="s">
        <v>1055</v>
      </c>
      <c r="I796" s="286" t="s">
        <v>1199</v>
      </c>
      <c r="J796" s="286" t="s">
        <v>1312</v>
      </c>
      <c r="K796" s="286" t="s">
        <v>1806</v>
      </c>
      <c r="L796" s="286" t="s">
        <v>672</v>
      </c>
      <c r="M796" s="286">
        <v>1</v>
      </c>
      <c r="N796" s="287">
        <v>4471.1899999999996</v>
      </c>
      <c r="O796" s="294">
        <f t="shared" si="12"/>
        <v>45657</v>
      </c>
      <c r="P796" s="286" t="s">
        <v>58</v>
      </c>
    </row>
    <row r="797" spans="1:16" hidden="1" x14ac:dyDescent="0.15">
      <c r="A797" s="286">
        <v>874698</v>
      </c>
      <c r="B797" s="288">
        <v>45628.357638888891</v>
      </c>
      <c r="C797" s="286" t="s">
        <v>2098</v>
      </c>
      <c r="D797" s="286" t="s">
        <v>1105</v>
      </c>
      <c r="E797" s="286" t="s">
        <v>1106</v>
      </c>
      <c r="F797" s="286" t="s">
        <v>2142</v>
      </c>
      <c r="G797" s="286" t="s">
        <v>1856</v>
      </c>
      <c r="H797" s="286" t="s">
        <v>1856</v>
      </c>
      <c r="I797" s="286" t="s">
        <v>1199</v>
      </c>
      <c r="J797" s="286" t="s">
        <v>1312</v>
      </c>
      <c r="K797" s="286" t="s">
        <v>2293</v>
      </c>
      <c r="L797" s="286" t="s">
        <v>672</v>
      </c>
      <c r="M797" s="286">
        <v>1</v>
      </c>
      <c r="N797" s="287">
        <v>4471.1899999999996</v>
      </c>
      <c r="O797" s="294">
        <f t="shared" si="12"/>
        <v>45657</v>
      </c>
      <c r="P797" s="286" t="s">
        <v>58</v>
      </c>
    </row>
    <row r="798" spans="1:16" hidden="1" x14ac:dyDescent="0.15">
      <c r="A798" s="286">
        <v>874698</v>
      </c>
      <c r="B798" s="288">
        <v>45628.357638888891</v>
      </c>
      <c r="C798" s="286" t="s">
        <v>2098</v>
      </c>
      <c r="D798" s="286" t="s">
        <v>1105</v>
      </c>
      <c r="E798" s="286" t="s">
        <v>1106</v>
      </c>
      <c r="F798" s="286" t="s">
        <v>2142</v>
      </c>
      <c r="G798" s="286" t="s">
        <v>1007</v>
      </c>
      <c r="H798" s="286" t="s">
        <v>1007</v>
      </c>
      <c r="I798" s="286" t="s">
        <v>1228</v>
      </c>
      <c r="J798" s="286" t="s">
        <v>1312</v>
      </c>
      <c r="K798" s="286" t="s">
        <v>1808</v>
      </c>
      <c r="L798" s="286" t="s">
        <v>53</v>
      </c>
      <c r="M798" s="286">
        <v>1</v>
      </c>
      <c r="N798" s="287">
        <v>4471.1899999999996</v>
      </c>
      <c r="O798" s="294">
        <f t="shared" si="12"/>
        <v>45657</v>
      </c>
      <c r="P798" s="286" t="s">
        <v>58</v>
      </c>
    </row>
    <row r="799" spans="1:16" hidden="1" x14ac:dyDescent="0.15">
      <c r="A799" s="286">
        <v>874698</v>
      </c>
      <c r="B799" s="288">
        <v>45628.357638888891</v>
      </c>
      <c r="C799" s="286" t="s">
        <v>2098</v>
      </c>
      <c r="D799" s="286" t="s">
        <v>1105</v>
      </c>
      <c r="E799" s="286" t="s">
        <v>1106</v>
      </c>
      <c r="F799" s="286" t="s">
        <v>2142</v>
      </c>
      <c r="G799" s="286" t="s">
        <v>1007</v>
      </c>
      <c r="H799" s="286" t="s">
        <v>1007</v>
      </c>
      <c r="I799" s="286" t="s">
        <v>1228</v>
      </c>
      <c r="J799" s="286" t="s">
        <v>1312</v>
      </c>
      <c r="K799" s="286" t="s">
        <v>1770</v>
      </c>
      <c r="L799" s="286" t="s">
        <v>672</v>
      </c>
      <c r="M799" s="286">
        <v>1</v>
      </c>
      <c r="N799" s="287">
        <v>4471.1899999999996</v>
      </c>
      <c r="O799" s="294">
        <f t="shared" si="12"/>
        <v>45657</v>
      </c>
      <c r="P799" s="286" t="s">
        <v>58</v>
      </c>
    </row>
    <row r="800" spans="1:16" hidden="1" x14ac:dyDescent="0.15">
      <c r="A800" s="286">
        <v>874698</v>
      </c>
      <c r="B800" s="288">
        <v>45628.357638888891</v>
      </c>
      <c r="C800" s="286" t="s">
        <v>2098</v>
      </c>
      <c r="D800" s="286" t="s">
        <v>1105</v>
      </c>
      <c r="E800" s="286" t="s">
        <v>1106</v>
      </c>
      <c r="F800" s="286" t="s">
        <v>2142</v>
      </c>
      <c r="G800" s="286" t="s">
        <v>1024</v>
      </c>
      <c r="H800" s="286" t="s">
        <v>1024</v>
      </c>
      <c r="I800" s="286" t="s">
        <v>1228</v>
      </c>
      <c r="J800" s="286" t="s">
        <v>1312</v>
      </c>
      <c r="K800" s="286" t="s">
        <v>2291</v>
      </c>
      <c r="L800" s="286" t="s">
        <v>672</v>
      </c>
      <c r="M800" s="286">
        <v>1</v>
      </c>
      <c r="N800" s="287">
        <v>4471.1899999999996</v>
      </c>
      <c r="O800" s="294">
        <f t="shared" si="12"/>
        <v>45657</v>
      </c>
      <c r="P800" s="286" t="s">
        <v>58</v>
      </c>
    </row>
    <row r="801" spans="1:16" hidden="1" x14ac:dyDescent="0.15">
      <c r="A801" s="286">
        <v>874698</v>
      </c>
      <c r="B801" s="288">
        <v>45628.357638888891</v>
      </c>
      <c r="C801" s="286" t="s">
        <v>2098</v>
      </c>
      <c r="D801" s="286" t="s">
        <v>1105</v>
      </c>
      <c r="E801" s="286" t="s">
        <v>1106</v>
      </c>
      <c r="F801" s="286" t="s">
        <v>2142</v>
      </c>
      <c r="G801" s="286" t="s">
        <v>1024</v>
      </c>
      <c r="H801" s="286" t="s">
        <v>1024</v>
      </c>
      <c r="I801" s="286" t="s">
        <v>1228</v>
      </c>
      <c r="J801" s="286" t="s">
        <v>1312</v>
      </c>
      <c r="K801" s="286" t="s">
        <v>2298</v>
      </c>
      <c r="L801" s="286" t="s">
        <v>672</v>
      </c>
      <c r="M801" s="286">
        <v>1</v>
      </c>
      <c r="N801" s="287">
        <v>4471.1899999999996</v>
      </c>
      <c r="O801" s="294">
        <f t="shared" si="12"/>
        <v>45657</v>
      </c>
      <c r="P801" s="286" t="s">
        <v>58</v>
      </c>
    </row>
    <row r="802" spans="1:16" hidden="1" x14ac:dyDescent="0.15">
      <c r="A802" s="286">
        <v>874698</v>
      </c>
      <c r="B802" s="288">
        <v>45628.357638888891</v>
      </c>
      <c r="C802" s="286" t="s">
        <v>2098</v>
      </c>
      <c r="D802" s="286" t="s">
        <v>1105</v>
      </c>
      <c r="E802" s="286" t="s">
        <v>1106</v>
      </c>
      <c r="F802" s="286" t="s">
        <v>2142</v>
      </c>
      <c r="G802" s="286" t="s">
        <v>1090</v>
      </c>
      <c r="H802" s="286" t="s">
        <v>1090</v>
      </c>
      <c r="I802" s="286" t="s">
        <v>1228</v>
      </c>
      <c r="J802" s="286" t="s">
        <v>1312</v>
      </c>
      <c r="K802" s="286" t="s">
        <v>2291</v>
      </c>
      <c r="L802" s="286" t="s">
        <v>672</v>
      </c>
      <c r="M802" s="286">
        <v>1</v>
      </c>
      <c r="N802" s="287">
        <v>4471.1899999999996</v>
      </c>
      <c r="O802" s="294">
        <f t="shared" si="12"/>
        <v>45657</v>
      </c>
      <c r="P802" s="286" t="s">
        <v>58</v>
      </c>
    </row>
    <row r="803" spans="1:16" hidden="1" x14ac:dyDescent="0.15">
      <c r="A803" s="286">
        <v>874698</v>
      </c>
      <c r="B803" s="288">
        <v>45628.357638888891</v>
      </c>
      <c r="C803" s="286" t="s">
        <v>2098</v>
      </c>
      <c r="D803" s="286" t="s">
        <v>1105</v>
      </c>
      <c r="E803" s="286" t="s">
        <v>1106</v>
      </c>
      <c r="F803" s="286" t="s">
        <v>2142</v>
      </c>
      <c r="G803" s="286" t="s">
        <v>1841</v>
      </c>
      <c r="H803" s="286" t="s">
        <v>1841</v>
      </c>
      <c r="I803" s="286" t="s">
        <v>1228</v>
      </c>
      <c r="J803" s="286" t="s">
        <v>1312</v>
      </c>
      <c r="K803" s="286" t="s">
        <v>1805</v>
      </c>
      <c r="L803" s="286" t="s">
        <v>672</v>
      </c>
      <c r="M803" s="286">
        <v>1</v>
      </c>
      <c r="N803" s="287">
        <v>4471.1899999999996</v>
      </c>
      <c r="O803" s="294">
        <f t="shared" si="12"/>
        <v>45657</v>
      </c>
      <c r="P803" s="286" t="s">
        <v>58</v>
      </c>
    </row>
    <row r="804" spans="1:16" hidden="1" x14ac:dyDescent="0.15">
      <c r="A804" s="286">
        <v>874698</v>
      </c>
      <c r="B804" s="288">
        <v>45628.357638888891</v>
      </c>
      <c r="C804" s="286" t="s">
        <v>2098</v>
      </c>
      <c r="D804" s="286" t="s">
        <v>1105</v>
      </c>
      <c r="E804" s="286" t="s">
        <v>1106</v>
      </c>
      <c r="F804" s="286" t="s">
        <v>2142</v>
      </c>
      <c r="G804" s="286" t="s">
        <v>1090</v>
      </c>
      <c r="H804" s="286" t="s">
        <v>1090</v>
      </c>
      <c r="I804" s="286" t="s">
        <v>1199</v>
      </c>
      <c r="J804" s="286" t="s">
        <v>1312</v>
      </c>
      <c r="K804" s="286" t="s">
        <v>53</v>
      </c>
      <c r="L804" s="286" t="s">
        <v>53</v>
      </c>
      <c r="M804" s="286" t="s">
        <v>53</v>
      </c>
      <c r="N804" s="287">
        <v>4471.1899999999996</v>
      </c>
      <c r="O804" s="294">
        <f t="shared" si="12"/>
        <v>45657</v>
      </c>
      <c r="P804" s="286" t="s">
        <v>58</v>
      </c>
    </row>
    <row r="805" spans="1:16" hidden="1" x14ac:dyDescent="0.15">
      <c r="A805" s="286">
        <v>874698</v>
      </c>
      <c r="B805" s="288">
        <v>45628.357638888891</v>
      </c>
      <c r="C805" s="286" t="s">
        <v>2098</v>
      </c>
      <c r="D805" s="286" t="s">
        <v>1105</v>
      </c>
      <c r="E805" s="286" t="s">
        <v>1106</v>
      </c>
      <c r="F805" s="286" t="s">
        <v>2142</v>
      </c>
      <c r="G805" s="286" t="s">
        <v>1057</v>
      </c>
      <c r="H805" s="286" t="s">
        <v>1057</v>
      </c>
      <c r="I805" s="286" t="s">
        <v>1199</v>
      </c>
      <c r="J805" s="286" t="s">
        <v>1312</v>
      </c>
      <c r="K805" s="286" t="s">
        <v>1806</v>
      </c>
      <c r="L805" s="286" t="s">
        <v>672</v>
      </c>
      <c r="M805" s="286">
        <v>1</v>
      </c>
      <c r="N805" s="287">
        <v>4467.96</v>
      </c>
      <c r="O805" s="294">
        <f t="shared" si="12"/>
        <v>45657</v>
      </c>
      <c r="P805" s="286" t="s">
        <v>58</v>
      </c>
    </row>
    <row r="806" spans="1:16" hidden="1" x14ac:dyDescent="0.15">
      <c r="A806" s="286">
        <v>438112</v>
      </c>
      <c r="B806" s="288">
        <v>45293.53402777778</v>
      </c>
      <c r="C806" s="286" t="s">
        <v>2125</v>
      </c>
      <c r="D806" s="286" t="s">
        <v>1105</v>
      </c>
      <c r="E806" s="286" t="s">
        <v>1106</v>
      </c>
      <c r="F806" s="286" t="s">
        <v>2152</v>
      </c>
      <c r="G806" s="286" t="s">
        <v>1057</v>
      </c>
      <c r="H806" s="286" t="s">
        <v>1057</v>
      </c>
      <c r="I806" s="286" t="s">
        <v>1199</v>
      </c>
      <c r="J806" s="286" t="s">
        <v>1312</v>
      </c>
      <c r="K806" s="286" t="s">
        <v>1806</v>
      </c>
      <c r="L806" s="286" t="s">
        <v>672</v>
      </c>
      <c r="M806" s="286">
        <v>1</v>
      </c>
      <c r="N806" s="287">
        <v>4467.92</v>
      </c>
      <c r="O806" s="294">
        <f t="shared" si="12"/>
        <v>45322</v>
      </c>
      <c r="P806" s="286" t="s">
        <v>58</v>
      </c>
    </row>
    <row r="807" spans="1:16" hidden="1" x14ac:dyDescent="0.15">
      <c r="A807" s="286">
        <v>472168</v>
      </c>
      <c r="B807" s="288">
        <v>45331.416666666664</v>
      </c>
      <c r="C807" s="286" t="s">
        <v>2113</v>
      </c>
      <c r="D807" s="286" t="s">
        <v>1105</v>
      </c>
      <c r="E807" s="286" t="s">
        <v>1106</v>
      </c>
      <c r="F807" s="286" t="s">
        <v>2153</v>
      </c>
      <c r="G807" s="286" t="s">
        <v>1057</v>
      </c>
      <c r="H807" s="286" t="s">
        <v>1057</v>
      </c>
      <c r="I807" s="286" t="s">
        <v>1199</v>
      </c>
      <c r="J807" s="286" t="s">
        <v>1312</v>
      </c>
      <c r="K807" s="286" t="s">
        <v>1806</v>
      </c>
      <c r="L807" s="286" t="s">
        <v>672</v>
      </c>
      <c r="M807" s="286">
        <v>1</v>
      </c>
      <c r="N807" s="287">
        <v>4467.92</v>
      </c>
      <c r="O807" s="294">
        <f t="shared" si="12"/>
        <v>45351</v>
      </c>
      <c r="P807" s="286" t="s">
        <v>58</v>
      </c>
    </row>
    <row r="808" spans="1:16" hidden="1" x14ac:dyDescent="0.15">
      <c r="A808" s="286">
        <v>504817</v>
      </c>
      <c r="B808" s="288">
        <v>45359.645138888889</v>
      </c>
      <c r="C808" s="286" t="s">
        <v>2109</v>
      </c>
      <c r="D808" s="286" t="s">
        <v>1105</v>
      </c>
      <c r="E808" s="286" t="s">
        <v>1106</v>
      </c>
      <c r="F808" s="286" t="s">
        <v>2154</v>
      </c>
      <c r="G808" s="286" t="s">
        <v>1057</v>
      </c>
      <c r="H808" s="286" t="s">
        <v>1057</v>
      </c>
      <c r="I808" s="286" t="s">
        <v>1199</v>
      </c>
      <c r="J808" s="286" t="s">
        <v>1312</v>
      </c>
      <c r="K808" s="286" t="s">
        <v>1806</v>
      </c>
      <c r="L808" s="286" t="s">
        <v>672</v>
      </c>
      <c r="M808" s="286">
        <v>1</v>
      </c>
      <c r="N808" s="287">
        <v>4467.92</v>
      </c>
      <c r="O808" s="294">
        <f t="shared" si="12"/>
        <v>45382</v>
      </c>
      <c r="P808" s="286" t="s">
        <v>58</v>
      </c>
    </row>
    <row r="809" spans="1:16" hidden="1" x14ac:dyDescent="0.15">
      <c r="A809" s="286">
        <v>534207</v>
      </c>
      <c r="B809" s="288">
        <v>45385.750694444447</v>
      </c>
      <c r="C809" s="286" t="s">
        <v>2096</v>
      </c>
      <c r="D809" s="286" t="s">
        <v>1105</v>
      </c>
      <c r="E809" s="286" t="s">
        <v>1106</v>
      </c>
      <c r="F809" s="286" t="s">
        <v>2155</v>
      </c>
      <c r="G809" s="286" t="s">
        <v>1057</v>
      </c>
      <c r="H809" s="286" t="s">
        <v>1057</v>
      </c>
      <c r="I809" s="286" t="s">
        <v>1199</v>
      </c>
      <c r="J809" s="286" t="s">
        <v>1312</v>
      </c>
      <c r="K809" s="286" t="s">
        <v>1806</v>
      </c>
      <c r="L809" s="286" t="s">
        <v>672</v>
      </c>
      <c r="M809" s="286">
        <v>1</v>
      </c>
      <c r="N809" s="287">
        <v>4467.92</v>
      </c>
      <c r="O809" s="294">
        <f t="shared" si="12"/>
        <v>45412</v>
      </c>
      <c r="P809" s="286" t="s">
        <v>58</v>
      </c>
    </row>
    <row r="810" spans="1:16" hidden="1" x14ac:dyDescent="0.15">
      <c r="A810" s="286">
        <v>614216</v>
      </c>
      <c r="B810" s="288">
        <v>45455.716666666667</v>
      </c>
      <c r="C810" s="286" t="s">
        <v>2116</v>
      </c>
      <c r="D810" s="286" t="s">
        <v>1105</v>
      </c>
      <c r="E810" s="286" t="s">
        <v>1106</v>
      </c>
      <c r="F810" s="286" t="s">
        <v>2156</v>
      </c>
      <c r="G810" s="286" t="s">
        <v>1057</v>
      </c>
      <c r="H810" s="286" t="s">
        <v>1057</v>
      </c>
      <c r="I810" s="286" t="s">
        <v>1199</v>
      </c>
      <c r="J810" s="286" t="s">
        <v>1312</v>
      </c>
      <c r="K810" s="286" t="s">
        <v>1806</v>
      </c>
      <c r="L810" s="286" t="s">
        <v>672</v>
      </c>
      <c r="M810" s="286">
        <v>1</v>
      </c>
      <c r="N810" s="287">
        <v>4467.92</v>
      </c>
      <c r="O810" s="294">
        <f t="shared" si="12"/>
        <v>45473</v>
      </c>
      <c r="P810" s="286" t="s">
        <v>58</v>
      </c>
    </row>
    <row r="811" spans="1:16" hidden="1" x14ac:dyDescent="0.15">
      <c r="A811" s="286">
        <v>608480</v>
      </c>
      <c r="B811" s="288">
        <v>45450.422222222223</v>
      </c>
      <c r="C811" s="286" t="s">
        <v>2092</v>
      </c>
      <c r="D811" s="286" t="s">
        <v>1105</v>
      </c>
      <c r="E811" s="286" t="s">
        <v>1106</v>
      </c>
      <c r="F811" s="286" t="s">
        <v>2157</v>
      </c>
      <c r="G811" s="286" t="s">
        <v>1057</v>
      </c>
      <c r="H811" s="286" t="s">
        <v>1057</v>
      </c>
      <c r="I811" s="286" t="s">
        <v>1199</v>
      </c>
      <c r="J811" s="286" t="s">
        <v>1312</v>
      </c>
      <c r="K811" s="286" t="s">
        <v>1806</v>
      </c>
      <c r="L811" s="286" t="s">
        <v>672</v>
      </c>
      <c r="M811" s="286">
        <v>1</v>
      </c>
      <c r="N811" s="287">
        <v>4467.92</v>
      </c>
      <c r="O811" s="294">
        <f t="shared" si="12"/>
        <v>45473</v>
      </c>
      <c r="P811" s="286" t="s">
        <v>58</v>
      </c>
    </row>
    <row r="812" spans="1:16" hidden="1" x14ac:dyDescent="0.15">
      <c r="A812" s="286">
        <v>646075</v>
      </c>
      <c r="B812" s="288">
        <v>45474.519444444442</v>
      </c>
      <c r="C812" s="286" t="s">
        <v>2111</v>
      </c>
      <c r="D812" s="286" t="s">
        <v>1105</v>
      </c>
      <c r="E812" s="286" t="s">
        <v>1106</v>
      </c>
      <c r="F812" s="286" t="s">
        <v>2137</v>
      </c>
      <c r="G812" s="286" t="s">
        <v>1057</v>
      </c>
      <c r="H812" s="286" t="s">
        <v>1057</v>
      </c>
      <c r="I812" s="286" t="s">
        <v>1199</v>
      </c>
      <c r="J812" s="286" t="s">
        <v>1312</v>
      </c>
      <c r="K812" s="286" t="s">
        <v>1806</v>
      </c>
      <c r="L812" s="286" t="s">
        <v>672</v>
      </c>
      <c r="M812" s="286">
        <v>1</v>
      </c>
      <c r="N812" s="287">
        <v>4467.92</v>
      </c>
      <c r="O812" s="294">
        <f t="shared" si="12"/>
        <v>45504</v>
      </c>
      <c r="P812" s="286" t="s">
        <v>58</v>
      </c>
    </row>
    <row r="813" spans="1:16" hidden="1" x14ac:dyDescent="0.15">
      <c r="A813" s="286">
        <v>697810</v>
      </c>
      <c r="B813" s="288">
        <v>45510.366666666669</v>
      </c>
      <c r="C813" s="286" t="s">
        <v>2102</v>
      </c>
      <c r="D813" s="286" t="s">
        <v>1105</v>
      </c>
      <c r="E813" s="286" t="s">
        <v>1106</v>
      </c>
      <c r="F813" s="286" t="s">
        <v>2138</v>
      </c>
      <c r="G813" s="286" t="s">
        <v>1057</v>
      </c>
      <c r="H813" s="286" t="s">
        <v>1057</v>
      </c>
      <c r="I813" s="286" t="s">
        <v>1199</v>
      </c>
      <c r="J813" s="286" t="s">
        <v>1312</v>
      </c>
      <c r="K813" s="286" t="s">
        <v>1806</v>
      </c>
      <c r="L813" s="286" t="s">
        <v>672</v>
      </c>
      <c r="M813" s="286">
        <v>1</v>
      </c>
      <c r="N813" s="287">
        <v>4467.92</v>
      </c>
      <c r="O813" s="294">
        <f t="shared" si="12"/>
        <v>45535</v>
      </c>
      <c r="P813" s="286" t="s">
        <v>58</v>
      </c>
    </row>
    <row r="814" spans="1:16" hidden="1" x14ac:dyDescent="0.15">
      <c r="A814" s="286">
        <v>745911</v>
      </c>
      <c r="B814" s="288">
        <v>45538.44027777778</v>
      </c>
      <c r="C814" s="286" t="s">
        <v>2132</v>
      </c>
      <c r="D814" s="286" t="s">
        <v>1105</v>
      </c>
      <c r="E814" s="286" t="s">
        <v>1106</v>
      </c>
      <c r="F814" s="286" t="s">
        <v>2139</v>
      </c>
      <c r="G814" s="286" t="s">
        <v>1057</v>
      </c>
      <c r="H814" s="286" t="s">
        <v>1057</v>
      </c>
      <c r="I814" s="286" t="s">
        <v>1199</v>
      </c>
      <c r="J814" s="286" t="s">
        <v>1312</v>
      </c>
      <c r="K814" s="286" t="s">
        <v>1806</v>
      </c>
      <c r="L814" s="286" t="s">
        <v>672</v>
      </c>
      <c r="M814" s="286">
        <v>1</v>
      </c>
      <c r="N814" s="287">
        <v>4467.92</v>
      </c>
      <c r="O814" s="294">
        <f t="shared" si="12"/>
        <v>45565</v>
      </c>
      <c r="P814" s="286" t="s">
        <v>58</v>
      </c>
    </row>
    <row r="815" spans="1:16" hidden="1" x14ac:dyDescent="0.15">
      <c r="A815" s="286">
        <v>848817</v>
      </c>
      <c r="B815" s="288">
        <v>45607.65902777778</v>
      </c>
      <c r="C815" s="286" t="s">
        <v>2130</v>
      </c>
      <c r="D815" s="286" t="s">
        <v>1105</v>
      </c>
      <c r="E815" s="286" t="s">
        <v>1106</v>
      </c>
      <c r="F815" s="286" t="s">
        <v>2140</v>
      </c>
      <c r="G815" s="286" t="s">
        <v>1057</v>
      </c>
      <c r="H815" s="286" t="s">
        <v>1057</v>
      </c>
      <c r="I815" s="286" t="s">
        <v>1199</v>
      </c>
      <c r="J815" s="286" t="s">
        <v>1312</v>
      </c>
      <c r="K815" s="286" t="s">
        <v>1806</v>
      </c>
      <c r="L815" s="286" t="s">
        <v>672</v>
      </c>
      <c r="M815" s="286">
        <v>1</v>
      </c>
      <c r="N815" s="287">
        <v>4467.92</v>
      </c>
      <c r="O815" s="294">
        <f t="shared" si="12"/>
        <v>45626</v>
      </c>
      <c r="P815" s="286" t="s">
        <v>58</v>
      </c>
    </row>
    <row r="816" spans="1:16" hidden="1" x14ac:dyDescent="0.15">
      <c r="A816" s="286">
        <v>848917</v>
      </c>
      <c r="B816" s="288">
        <v>45607.660416666666</v>
      </c>
      <c r="C816" s="286" t="s">
        <v>2100</v>
      </c>
      <c r="D816" s="286" t="s">
        <v>1105</v>
      </c>
      <c r="E816" s="286" t="s">
        <v>1106</v>
      </c>
      <c r="F816" s="286" t="s">
        <v>2141</v>
      </c>
      <c r="G816" s="286" t="s">
        <v>1057</v>
      </c>
      <c r="H816" s="286" t="s">
        <v>1057</v>
      </c>
      <c r="I816" s="286" t="s">
        <v>1199</v>
      </c>
      <c r="J816" s="286" t="s">
        <v>1312</v>
      </c>
      <c r="K816" s="286" t="s">
        <v>1806</v>
      </c>
      <c r="L816" s="286" t="s">
        <v>672</v>
      </c>
      <c r="M816" s="286">
        <v>1</v>
      </c>
      <c r="N816" s="287">
        <v>4467.92</v>
      </c>
      <c r="O816" s="294">
        <f t="shared" si="12"/>
        <v>45626</v>
      </c>
      <c r="P816" s="286" t="s">
        <v>58</v>
      </c>
    </row>
    <row r="817" spans="1:16" hidden="1" x14ac:dyDescent="0.15">
      <c r="A817" s="286">
        <v>504817</v>
      </c>
      <c r="B817" s="288">
        <v>45359.645138888889</v>
      </c>
      <c r="C817" s="286" t="s">
        <v>2109</v>
      </c>
      <c r="D817" s="286" t="s">
        <v>1105</v>
      </c>
      <c r="E817" s="286" t="s">
        <v>1106</v>
      </c>
      <c r="F817" s="286" t="s">
        <v>2154</v>
      </c>
      <c r="G817" s="286" t="s">
        <v>1028</v>
      </c>
      <c r="H817" s="286" t="s">
        <v>1028</v>
      </c>
      <c r="I817" s="286" t="s">
        <v>1228</v>
      </c>
      <c r="J817" s="286" t="s">
        <v>1312</v>
      </c>
      <c r="K817" s="286" t="s">
        <v>2299</v>
      </c>
      <c r="L817" s="286" t="s">
        <v>672</v>
      </c>
      <c r="M817" s="286">
        <v>1</v>
      </c>
      <c r="N817" s="287">
        <v>4466.76</v>
      </c>
      <c r="O817" s="294">
        <f t="shared" si="12"/>
        <v>45382</v>
      </c>
      <c r="P817" s="286" t="s">
        <v>58</v>
      </c>
    </row>
    <row r="818" spans="1:16" hidden="1" x14ac:dyDescent="0.15">
      <c r="A818" s="286">
        <v>534207</v>
      </c>
      <c r="B818" s="288">
        <v>45385.750694444447</v>
      </c>
      <c r="C818" s="286" t="s">
        <v>2096</v>
      </c>
      <c r="D818" s="286" t="s">
        <v>1105</v>
      </c>
      <c r="E818" s="286" t="s">
        <v>1106</v>
      </c>
      <c r="F818" s="286" t="s">
        <v>2155</v>
      </c>
      <c r="G818" s="286" t="s">
        <v>1028</v>
      </c>
      <c r="H818" s="286" t="s">
        <v>1028</v>
      </c>
      <c r="I818" s="286" t="s">
        <v>1228</v>
      </c>
      <c r="J818" s="286" t="s">
        <v>1312</v>
      </c>
      <c r="K818" s="286" t="s">
        <v>2299</v>
      </c>
      <c r="L818" s="286" t="s">
        <v>672</v>
      </c>
      <c r="M818" s="286">
        <v>1</v>
      </c>
      <c r="N818" s="287">
        <v>4466.76</v>
      </c>
      <c r="O818" s="294">
        <f t="shared" si="12"/>
        <v>45412</v>
      </c>
      <c r="P818" s="286" t="s">
        <v>58</v>
      </c>
    </row>
    <row r="819" spans="1:16" hidden="1" x14ac:dyDescent="0.15">
      <c r="A819" s="286">
        <v>614216</v>
      </c>
      <c r="B819" s="288">
        <v>45455.716666666667</v>
      </c>
      <c r="C819" s="286" t="s">
        <v>2116</v>
      </c>
      <c r="D819" s="286" t="s">
        <v>1105</v>
      </c>
      <c r="E819" s="286" t="s">
        <v>1106</v>
      </c>
      <c r="F819" s="286" t="s">
        <v>2156</v>
      </c>
      <c r="G819" s="286" t="s">
        <v>1028</v>
      </c>
      <c r="H819" s="286" t="s">
        <v>1028</v>
      </c>
      <c r="I819" s="286" t="s">
        <v>1228</v>
      </c>
      <c r="J819" s="286" t="s">
        <v>1312</v>
      </c>
      <c r="K819" s="286" t="s">
        <v>2299</v>
      </c>
      <c r="L819" s="286" t="s">
        <v>672</v>
      </c>
      <c r="M819" s="286">
        <v>1</v>
      </c>
      <c r="N819" s="287">
        <v>4466.76</v>
      </c>
      <c r="O819" s="294">
        <f t="shared" si="12"/>
        <v>45473</v>
      </c>
      <c r="P819" s="286" t="s">
        <v>58</v>
      </c>
    </row>
    <row r="820" spans="1:16" hidden="1" x14ac:dyDescent="0.15">
      <c r="A820" s="286">
        <v>608480</v>
      </c>
      <c r="B820" s="288">
        <v>45450.422222222223</v>
      </c>
      <c r="C820" s="286" t="s">
        <v>2092</v>
      </c>
      <c r="D820" s="286" t="s">
        <v>1105</v>
      </c>
      <c r="E820" s="286" t="s">
        <v>1106</v>
      </c>
      <c r="F820" s="286" t="s">
        <v>2157</v>
      </c>
      <c r="G820" s="286" t="s">
        <v>1028</v>
      </c>
      <c r="H820" s="286" t="s">
        <v>1028</v>
      </c>
      <c r="I820" s="286" t="s">
        <v>1228</v>
      </c>
      <c r="J820" s="286" t="s">
        <v>1312</v>
      </c>
      <c r="K820" s="286" t="s">
        <v>2299</v>
      </c>
      <c r="L820" s="286" t="s">
        <v>672</v>
      </c>
      <c r="M820" s="286">
        <v>1</v>
      </c>
      <c r="N820" s="287">
        <v>4466.76</v>
      </c>
      <c r="O820" s="294">
        <f t="shared" si="12"/>
        <v>45473</v>
      </c>
      <c r="P820" s="286" t="s">
        <v>58</v>
      </c>
    </row>
    <row r="821" spans="1:16" hidden="1" x14ac:dyDescent="0.15">
      <c r="A821" s="286">
        <v>646075</v>
      </c>
      <c r="B821" s="288">
        <v>45474.519444444442</v>
      </c>
      <c r="C821" s="286" t="s">
        <v>2111</v>
      </c>
      <c r="D821" s="286" t="s">
        <v>1105</v>
      </c>
      <c r="E821" s="286" t="s">
        <v>1106</v>
      </c>
      <c r="F821" s="286" t="s">
        <v>2137</v>
      </c>
      <c r="G821" s="286" t="s">
        <v>1028</v>
      </c>
      <c r="H821" s="286" t="s">
        <v>1028</v>
      </c>
      <c r="I821" s="286" t="s">
        <v>1228</v>
      </c>
      <c r="J821" s="286" t="s">
        <v>1312</v>
      </c>
      <c r="K821" s="286" t="s">
        <v>2299</v>
      </c>
      <c r="L821" s="286" t="s">
        <v>672</v>
      </c>
      <c r="M821" s="286">
        <v>1</v>
      </c>
      <c r="N821" s="287">
        <v>4466.76</v>
      </c>
      <c r="O821" s="294">
        <f t="shared" si="12"/>
        <v>45504</v>
      </c>
      <c r="P821" s="286" t="s">
        <v>58</v>
      </c>
    </row>
    <row r="822" spans="1:16" hidden="1" x14ac:dyDescent="0.15">
      <c r="A822" s="286">
        <v>697810</v>
      </c>
      <c r="B822" s="288">
        <v>45510.366666666669</v>
      </c>
      <c r="C822" s="286" t="s">
        <v>2102</v>
      </c>
      <c r="D822" s="286" t="s">
        <v>1105</v>
      </c>
      <c r="E822" s="286" t="s">
        <v>1106</v>
      </c>
      <c r="F822" s="286" t="s">
        <v>2138</v>
      </c>
      <c r="G822" s="286" t="s">
        <v>1028</v>
      </c>
      <c r="H822" s="286" t="s">
        <v>1028</v>
      </c>
      <c r="I822" s="286" t="s">
        <v>1228</v>
      </c>
      <c r="J822" s="286" t="s">
        <v>1312</v>
      </c>
      <c r="K822" s="286" t="s">
        <v>2299</v>
      </c>
      <c r="L822" s="286" t="s">
        <v>672</v>
      </c>
      <c r="M822" s="286">
        <v>1</v>
      </c>
      <c r="N822" s="287">
        <v>4466.76</v>
      </c>
      <c r="O822" s="294">
        <f t="shared" si="12"/>
        <v>45535</v>
      </c>
      <c r="P822" s="286" t="s">
        <v>58</v>
      </c>
    </row>
    <row r="823" spans="1:16" hidden="1" x14ac:dyDescent="0.15">
      <c r="A823" s="286">
        <v>745911</v>
      </c>
      <c r="B823" s="288">
        <v>45538.44027777778</v>
      </c>
      <c r="C823" s="286" t="s">
        <v>2132</v>
      </c>
      <c r="D823" s="286" t="s">
        <v>1105</v>
      </c>
      <c r="E823" s="286" t="s">
        <v>1106</v>
      </c>
      <c r="F823" s="286" t="s">
        <v>2139</v>
      </c>
      <c r="G823" s="286" t="s">
        <v>1028</v>
      </c>
      <c r="H823" s="286" t="s">
        <v>1028</v>
      </c>
      <c r="I823" s="286" t="s">
        <v>1228</v>
      </c>
      <c r="J823" s="286" t="s">
        <v>1312</v>
      </c>
      <c r="K823" s="286" t="s">
        <v>2299</v>
      </c>
      <c r="L823" s="286" t="s">
        <v>672</v>
      </c>
      <c r="M823" s="286">
        <v>1</v>
      </c>
      <c r="N823" s="287">
        <v>4466.76</v>
      </c>
      <c r="O823" s="294">
        <f t="shared" si="12"/>
        <v>45565</v>
      </c>
      <c r="P823" s="286" t="s">
        <v>58</v>
      </c>
    </row>
    <row r="824" spans="1:16" hidden="1" x14ac:dyDescent="0.15">
      <c r="A824" s="286">
        <v>848817</v>
      </c>
      <c r="B824" s="288">
        <v>45607.65902777778</v>
      </c>
      <c r="C824" s="286" t="s">
        <v>2130</v>
      </c>
      <c r="D824" s="286" t="s">
        <v>1105</v>
      </c>
      <c r="E824" s="286" t="s">
        <v>1106</v>
      </c>
      <c r="F824" s="286" t="s">
        <v>2140</v>
      </c>
      <c r="G824" s="286" t="s">
        <v>1028</v>
      </c>
      <c r="H824" s="286" t="s">
        <v>1028</v>
      </c>
      <c r="I824" s="286" t="s">
        <v>1228</v>
      </c>
      <c r="J824" s="286" t="s">
        <v>1312</v>
      </c>
      <c r="K824" s="286" t="s">
        <v>2299</v>
      </c>
      <c r="L824" s="286" t="s">
        <v>672</v>
      </c>
      <c r="M824" s="286">
        <v>1</v>
      </c>
      <c r="N824" s="287">
        <v>4466.76</v>
      </c>
      <c r="O824" s="294">
        <f t="shared" si="12"/>
        <v>45626</v>
      </c>
      <c r="P824" s="286" t="s">
        <v>58</v>
      </c>
    </row>
    <row r="825" spans="1:16" hidden="1" x14ac:dyDescent="0.15">
      <c r="A825" s="286">
        <v>848917</v>
      </c>
      <c r="B825" s="288">
        <v>45607.660416666666</v>
      </c>
      <c r="C825" s="286" t="s">
        <v>2100</v>
      </c>
      <c r="D825" s="286" t="s">
        <v>1105</v>
      </c>
      <c r="E825" s="286" t="s">
        <v>1106</v>
      </c>
      <c r="F825" s="286" t="s">
        <v>2141</v>
      </c>
      <c r="G825" s="286" t="s">
        <v>1028</v>
      </c>
      <c r="H825" s="286" t="s">
        <v>1028</v>
      </c>
      <c r="I825" s="286" t="s">
        <v>1228</v>
      </c>
      <c r="J825" s="286" t="s">
        <v>1312</v>
      </c>
      <c r="K825" s="286" t="s">
        <v>2299</v>
      </c>
      <c r="L825" s="286" t="s">
        <v>672</v>
      </c>
      <c r="M825" s="286">
        <v>1</v>
      </c>
      <c r="N825" s="287">
        <v>4466.76</v>
      </c>
      <c r="O825" s="294">
        <f t="shared" si="12"/>
        <v>45626</v>
      </c>
      <c r="P825" s="286" t="s">
        <v>58</v>
      </c>
    </row>
    <row r="826" spans="1:16" hidden="1" x14ac:dyDescent="0.15">
      <c r="A826" s="286">
        <v>874698</v>
      </c>
      <c r="B826" s="288">
        <v>45628.357638888891</v>
      </c>
      <c r="C826" s="286" t="s">
        <v>2098</v>
      </c>
      <c r="D826" s="286" t="s">
        <v>1105</v>
      </c>
      <c r="E826" s="286" t="s">
        <v>1106</v>
      </c>
      <c r="F826" s="286" t="s">
        <v>2142</v>
      </c>
      <c r="G826" s="286" t="s">
        <v>1028</v>
      </c>
      <c r="H826" s="286" t="s">
        <v>1028</v>
      </c>
      <c r="I826" s="286" t="s">
        <v>1228</v>
      </c>
      <c r="J826" s="286" t="s">
        <v>1312</v>
      </c>
      <c r="K826" s="286" t="s">
        <v>2299</v>
      </c>
      <c r="L826" s="286" t="s">
        <v>672</v>
      </c>
      <c r="M826" s="286">
        <v>1</v>
      </c>
      <c r="N826" s="287">
        <v>4466.76</v>
      </c>
      <c r="O826" s="294">
        <f t="shared" si="12"/>
        <v>45657</v>
      </c>
      <c r="P826" s="286" t="s">
        <v>58</v>
      </c>
    </row>
    <row r="827" spans="1:16" hidden="1" x14ac:dyDescent="0.15">
      <c r="A827" s="286">
        <v>534207</v>
      </c>
      <c r="B827" s="288">
        <v>45385.750694444447</v>
      </c>
      <c r="C827" s="286" t="s">
        <v>2096</v>
      </c>
      <c r="D827" s="286" t="s">
        <v>1105</v>
      </c>
      <c r="E827" s="286" t="s">
        <v>1106</v>
      </c>
      <c r="F827" s="286" t="s">
        <v>2155</v>
      </c>
      <c r="G827" s="286" t="s">
        <v>1067</v>
      </c>
      <c r="H827" s="286" t="s">
        <v>1067</v>
      </c>
      <c r="I827" s="286" t="s">
        <v>1199</v>
      </c>
      <c r="J827" s="286" t="s">
        <v>1312</v>
      </c>
      <c r="K827" s="286" t="s">
        <v>1797</v>
      </c>
      <c r="L827" s="286" t="s">
        <v>672</v>
      </c>
      <c r="M827" s="286">
        <v>1</v>
      </c>
      <c r="N827" s="287">
        <v>4429.43</v>
      </c>
      <c r="O827" s="294">
        <f t="shared" si="12"/>
        <v>45412</v>
      </c>
      <c r="P827" s="286" t="s">
        <v>58</v>
      </c>
    </row>
    <row r="828" spans="1:16" hidden="1" x14ac:dyDescent="0.15">
      <c r="A828" s="286">
        <v>614216</v>
      </c>
      <c r="B828" s="288">
        <v>45455.716666666667</v>
      </c>
      <c r="C828" s="286" t="s">
        <v>2116</v>
      </c>
      <c r="D828" s="286" t="s">
        <v>1105</v>
      </c>
      <c r="E828" s="286" t="s">
        <v>1106</v>
      </c>
      <c r="F828" s="286" t="s">
        <v>2156</v>
      </c>
      <c r="G828" s="286" t="s">
        <v>1067</v>
      </c>
      <c r="H828" s="286" t="s">
        <v>1067</v>
      </c>
      <c r="I828" s="286" t="s">
        <v>1199</v>
      </c>
      <c r="J828" s="286" t="s">
        <v>1312</v>
      </c>
      <c r="K828" s="286" t="s">
        <v>1797</v>
      </c>
      <c r="L828" s="286" t="s">
        <v>672</v>
      </c>
      <c r="M828" s="286">
        <v>1</v>
      </c>
      <c r="N828" s="287">
        <v>4429.43</v>
      </c>
      <c r="O828" s="294">
        <f t="shared" si="12"/>
        <v>45473</v>
      </c>
      <c r="P828" s="286" t="s">
        <v>58</v>
      </c>
    </row>
    <row r="829" spans="1:16" hidden="1" x14ac:dyDescent="0.15">
      <c r="A829" s="286">
        <v>608480</v>
      </c>
      <c r="B829" s="288">
        <v>45450.422222222223</v>
      </c>
      <c r="C829" s="286" t="s">
        <v>2092</v>
      </c>
      <c r="D829" s="286" t="s">
        <v>1105</v>
      </c>
      <c r="E829" s="286" t="s">
        <v>1106</v>
      </c>
      <c r="F829" s="286" t="s">
        <v>2157</v>
      </c>
      <c r="G829" s="286" t="s">
        <v>1067</v>
      </c>
      <c r="H829" s="286" t="s">
        <v>1067</v>
      </c>
      <c r="I829" s="286" t="s">
        <v>1199</v>
      </c>
      <c r="J829" s="286" t="s">
        <v>1312</v>
      </c>
      <c r="K829" s="286" t="s">
        <v>1797</v>
      </c>
      <c r="L829" s="286" t="s">
        <v>672</v>
      </c>
      <c r="M829" s="286">
        <v>1</v>
      </c>
      <c r="N829" s="287">
        <v>4429.43</v>
      </c>
      <c r="O829" s="294">
        <f t="shared" si="12"/>
        <v>45473</v>
      </c>
      <c r="P829" s="286" t="s">
        <v>58</v>
      </c>
    </row>
    <row r="830" spans="1:16" hidden="1" x14ac:dyDescent="0.15">
      <c r="A830" s="286">
        <v>646075</v>
      </c>
      <c r="B830" s="288">
        <v>45474.519444444442</v>
      </c>
      <c r="C830" s="286" t="s">
        <v>2111</v>
      </c>
      <c r="D830" s="286" t="s">
        <v>1105</v>
      </c>
      <c r="E830" s="286" t="s">
        <v>1106</v>
      </c>
      <c r="F830" s="286" t="s">
        <v>2137</v>
      </c>
      <c r="G830" s="286" t="s">
        <v>1067</v>
      </c>
      <c r="H830" s="286" t="s">
        <v>1067</v>
      </c>
      <c r="I830" s="286" t="s">
        <v>1199</v>
      </c>
      <c r="J830" s="286" t="s">
        <v>1312</v>
      </c>
      <c r="K830" s="286" t="s">
        <v>1797</v>
      </c>
      <c r="L830" s="286" t="s">
        <v>672</v>
      </c>
      <c r="M830" s="286">
        <v>1</v>
      </c>
      <c r="N830" s="287">
        <v>4429.43</v>
      </c>
      <c r="O830" s="294">
        <f t="shared" si="12"/>
        <v>45504</v>
      </c>
      <c r="P830" s="286" t="s">
        <v>58</v>
      </c>
    </row>
    <row r="831" spans="1:16" hidden="1" x14ac:dyDescent="0.15">
      <c r="A831" s="286">
        <v>697810</v>
      </c>
      <c r="B831" s="288">
        <v>45510.366666666669</v>
      </c>
      <c r="C831" s="286" t="s">
        <v>2102</v>
      </c>
      <c r="D831" s="286" t="s">
        <v>1105</v>
      </c>
      <c r="E831" s="286" t="s">
        <v>1106</v>
      </c>
      <c r="F831" s="286" t="s">
        <v>2138</v>
      </c>
      <c r="G831" s="286" t="s">
        <v>1067</v>
      </c>
      <c r="H831" s="286" t="s">
        <v>1067</v>
      </c>
      <c r="I831" s="286" t="s">
        <v>1199</v>
      </c>
      <c r="J831" s="286" t="s">
        <v>1312</v>
      </c>
      <c r="K831" s="286" t="s">
        <v>1797</v>
      </c>
      <c r="L831" s="286" t="s">
        <v>672</v>
      </c>
      <c r="M831" s="286">
        <v>1</v>
      </c>
      <c r="N831" s="287">
        <v>4429.43</v>
      </c>
      <c r="O831" s="294">
        <f t="shared" si="12"/>
        <v>45535</v>
      </c>
      <c r="P831" s="286" t="s">
        <v>58</v>
      </c>
    </row>
    <row r="832" spans="1:16" hidden="1" x14ac:dyDescent="0.15">
      <c r="A832" s="286">
        <v>745911</v>
      </c>
      <c r="B832" s="288">
        <v>45538.44027777778</v>
      </c>
      <c r="C832" s="286" t="s">
        <v>2132</v>
      </c>
      <c r="D832" s="286" t="s">
        <v>1105</v>
      </c>
      <c r="E832" s="286" t="s">
        <v>1106</v>
      </c>
      <c r="F832" s="286" t="s">
        <v>2139</v>
      </c>
      <c r="G832" s="286" t="s">
        <v>1067</v>
      </c>
      <c r="H832" s="286" t="s">
        <v>1067</v>
      </c>
      <c r="I832" s="286" t="s">
        <v>1199</v>
      </c>
      <c r="J832" s="286" t="s">
        <v>1312</v>
      </c>
      <c r="K832" s="286" t="s">
        <v>1797</v>
      </c>
      <c r="L832" s="286" t="s">
        <v>672</v>
      </c>
      <c r="M832" s="286">
        <v>1</v>
      </c>
      <c r="N832" s="287">
        <v>4429.43</v>
      </c>
      <c r="O832" s="294">
        <f t="shared" si="12"/>
        <v>45565</v>
      </c>
      <c r="P832" s="286" t="s">
        <v>58</v>
      </c>
    </row>
    <row r="833" spans="1:16" hidden="1" x14ac:dyDescent="0.15">
      <c r="A833" s="286">
        <v>848817</v>
      </c>
      <c r="B833" s="288">
        <v>45607.65902777778</v>
      </c>
      <c r="C833" s="286" t="s">
        <v>2130</v>
      </c>
      <c r="D833" s="286" t="s">
        <v>1105</v>
      </c>
      <c r="E833" s="286" t="s">
        <v>1106</v>
      </c>
      <c r="F833" s="286" t="s">
        <v>2140</v>
      </c>
      <c r="G833" s="286" t="s">
        <v>1067</v>
      </c>
      <c r="H833" s="286" t="s">
        <v>1067</v>
      </c>
      <c r="I833" s="286" t="s">
        <v>1199</v>
      </c>
      <c r="J833" s="286" t="s">
        <v>1312</v>
      </c>
      <c r="K833" s="286" t="s">
        <v>1797</v>
      </c>
      <c r="L833" s="286" t="s">
        <v>672</v>
      </c>
      <c r="M833" s="286">
        <v>1</v>
      </c>
      <c r="N833" s="287">
        <v>4429.43</v>
      </c>
      <c r="O833" s="294">
        <f t="shared" si="12"/>
        <v>45626</v>
      </c>
      <c r="P833" s="286" t="s">
        <v>58</v>
      </c>
    </row>
    <row r="834" spans="1:16" hidden="1" x14ac:dyDescent="0.15">
      <c r="A834" s="286">
        <v>848917</v>
      </c>
      <c r="B834" s="288">
        <v>45607.660416666666</v>
      </c>
      <c r="C834" s="286" t="s">
        <v>2100</v>
      </c>
      <c r="D834" s="286" t="s">
        <v>1105</v>
      </c>
      <c r="E834" s="286" t="s">
        <v>1106</v>
      </c>
      <c r="F834" s="286" t="s">
        <v>2141</v>
      </c>
      <c r="G834" s="286" t="s">
        <v>1067</v>
      </c>
      <c r="H834" s="286" t="s">
        <v>1067</v>
      </c>
      <c r="I834" s="286" t="s">
        <v>1199</v>
      </c>
      <c r="J834" s="286" t="s">
        <v>1312</v>
      </c>
      <c r="K834" s="286" t="s">
        <v>1797</v>
      </c>
      <c r="L834" s="286" t="s">
        <v>672</v>
      </c>
      <c r="M834" s="286">
        <v>1</v>
      </c>
      <c r="N834" s="287">
        <v>4429.43</v>
      </c>
      <c r="O834" s="294">
        <f t="shared" si="12"/>
        <v>45626</v>
      </c>
      <c r="P834" s="286" t="s">
        <v>58</v>
      </c>
    </row>
    <row r="835" spans="1:16" hidden="1" x14ac:dyDescent="0.15">
      <c r="A835" s="286">
        <v>874698</v>
      </c>
      <c r="B835" s="288">
        <v>45628.357638888891</v>
      </c>
      <c r="C835" s="286" t="s">
        <v>2098</v>
      </c>
      <c r="D835" s="286" t="s">
        <v>1105</v>
      </c>
      <c r="E835" s="286" t="s">
        <v>1106</v>
      </c>
      <c r="F835" s="286" t="s">
        <v>2142</v>
      </c>
      <c r="G835" s="286" t="s">
        <v>1067</v>
      </c>
      <c r="H835" s="286" t="s">
        <v>1067</v>
      </c>
      <c r="I835" s="286" t="s">
        <v>1199</v>
      </c>
      <c r="J835" s="286" t="s">
        <v>1312</v>
      </c>
      <c r="K835" s="286" t="s">
        <v>1797</v>
      </c>
      <c r="L835" s="286" t="s">
        <v>672</v>
      </c>
      <c r="M835" s="286">
        <v>1</v>
      </c>
      <c r="N835" s="287">
        <v>4429.43</v>
      </c>
      <c r="O835" s="294">
        <f t="shared" si="12"/>
        <v>45657</v>
      </c>
      <c r="P835" s="286" t="s">
        <v>58</v>
      </c>
    </row>
    <row r="836" spans="1:16" hidden="1" x14ac:dyDescent="0.15">
      <c r="A836" s="286">
        <v>697810</v>
      </c>
      <c r="B836" s="288">
        <v>45510.366666666669</v>
      </c>
      <c r="C836" s="286" t="s">
        <v>2102</v>
      </c>
      <c r="D836" s="286" t="s">
        <v>1105</v>
      </c>
      <c r="E836" s="286" t="s">
        <v>1106</v>
      </c>
      <c r="F836" s="286" t="s">
        <v>2138</v>
      </c>
      <c r="G836" s="286" t="s">
        <v>1048</v>
      </c>
      <c r="H836" s="286" t="s">
        <v>1048</v>
      </c>
      <c r="I836" s="286" t="s">
        <v>1199</v>
      </c>
      <c r="J836" s="286" t="s">
        <v>1312</v>
      </c>
      <c r="K836" s="286" t="s">
        <v>1828</v>
      </c>
      <c r="L836" s="286" t="s">
        <v>672</v>
      </c>
      <c r="M836" s="286">
        <v>1</v>
      </c>
      <c r="N836" s="287">
        <v>4417.6400000000003</v>
      </c>
      <c r="O836" s="294">
        <f t="shared" ref="O836:O899" si="13">EOMONTH(B836,0)</f>
        <v>45535</v>
      </c>
      <c r="P836" s="286" t="s">
        <v>58</v>
      </c>
    </row>
    <row r="837" spans="1:16" hidden="1" x14ac:dyDescent="0.15">
      <c r="A837" s="286">
        <v>646075</v>
      </c>
      <c r="B837" s="288">
        <v>45474.519444444442</v>
      </c>
      <c r="C837" s="286" t="s">
        <v>2111</v>
      </c>
      <c r="D837" s="286" t="s">
        <v>1105</v>
      </c>
      <c r="E837" s="286" t="s">
        <v>1106</v>
      </c>
      <c r="F837" s="286" t="s">
        <v>2137</v>
      </c>
      <c r="G837" s="286" t="s">
        <v>1058</v>
      </c>
      <c r="H837" s="286" t="s">
        <v>1058</v>
      </c>
      <c r="I837" s="286" t="s">
        <v>1199</v>
      </c>
      <c r="J837" s="286" t="s">
        <v>1312</v>
      </c>
      <c r="K837" s="286" t="s">
        <v>2300</v>
      </c>
      <c r="L837" s="286" t="s">
        <v>53</v>
      </c>
      <c r="M837" s="286">
        <v>1</v>
      </c>
      <c r="N837" s="287">
        <v>4390.78</v>
      </c>
      <c r="O837" s="294">
        <f t="shared" si="13"/>
        <v>45504</v>
      </c>
      <c r="P837" s="286" t="s">
        <v>58</v>
      </c>
    </row>
    <row r="838" spans="1:16" hidden="1" x14ac:dyDescent="0.15">
      <c r="A838" s="286">
        <v>697810</v>
      </c>
      <c r="B838" s="288">
        <v>45510.366666666669</v>
      </c>
      <c r="C838" s="286" t="s">
        <v>2102</v>
      </c>
      <c r="D838" s="286" t="s">
        <v>1105</v>
      </c>
      <c r="E838" s="286" t="s">
        <v>1106</v>
      </c>
      <c r="F838" s="286" t="s">
        <v>2138</v>
      </c>
      <c r="G838" s="286" t="s">
        <v>1058</v>
      </c>
      <c r="H838" s="286" t="s">
        <v>1058</v>
      </c>
      <c r="I838" s="286" t="s">
        <v>1199</v>
      </c>
      <c r="J838" s="286" t="s">
        <v>1312</v>
      </c>
      <c r="K838" s="286" t="s">
        <v>2300</v>
      </c>
      <c r="L838" s="286" t="s">
        <v>53</v>
      </c>
      <c r="M838" s="286">
        <v>1</v>
      </c>
      <c r="N838" s="287">
        <v>4390.78</v>
      </c>
      <c r="O838" s="294">
        <f t="shared" si="13"/>
        <v>45535</v>
      </c>
      <c r="P838" s="286" t="s">
        <v>58</v>
      </c>
    </row>
    <row r="839" spans="1:16" hidden="1" x14ac:dyDescent="0.15">
      <c r="A839" s="286">
        <v>745911</v>
      </c>
      <c r="B839" s="288">
        <v>45538.44027777778</v>
      </c>
      <c r="C839" s="286" t="s">
        <v>2132</v>
      </c>
      <c r="D839" s="286" t="s">
        <v>1105</v>
      </c>
      <c r="E839" s="286" t="s">
        <v>1106</v>
      </c>
      <c r="F839" s="286" t="s">
        <v>2139</v>
      </c>
      <c r="G839" s="286" t="s">
        <v>1058</v>
      </c>
      <c r="H839" s="286" t="s">
        <v>1058</v>
      </c>
      <c r="I839" s="286" t="s">
        <v>1199</v>
      </c>
      <c r="J839" s="286" t="s">
        <v>1312</v>
      </c>
      <c r="K839" s="286" t="s">
        <v>2300</v>
      </c>
      <c r="L839" s="286" t="s">
        <v>53</v>
      </c>
      <c r="M839" s="286">
        <v>1</v>
      </c>
      <c r="N839" s="287">
        <v>4390.78</v>
      </c>
      <c r="O839" s="294">
        <f t="shared" si="13"/>
        <v>45565</v>
      </c>
      <c r="P839" s="286" t="s">
        <v>58</v>
      </c>
    </row>
    <row r="840" spans="1:16" hidden="1" x14ac:dyDescent="0.15">
      <c r="A840" s="286">
        <v>848817</v>
      </c>
      <c r="B840" s="288">
        <v>45607.65902777778</v>
      </c>
      <c r="C840" s="286" t="s">
        <v>2130</v>
      </c>
      <c r="D840" s="286" t="s">
        <v>1105</v>
      </c>
      <c r="E840" s="286" t="s">
        <v>1106</v>
      </c>
      <c r="F840" s="286" t="s">
        <v>2140</v>
      </c>
      <c r="G840" s="286" t="s">
        <v>1058</v>
      </c>
      <c r="H840" s="286" t="s">
        <v>1058</v>
      </c>
      <c r="I840" s="286" t="s">
        <v>1199</v>
      </c>
      <c r="J840" s="286" t="s">
        <v>1312</v>
      </c>
      <c r="K840" s="286" t="s">
        <v>2300</v>
      </c>
      <c r="L840" s="286" t="s">
        <v>53</v>
      </c>
      <c r="M840" s="286">
        <v>1</v>
      </c>
      <c r="N840" s="287">
        <v>4390.78</v>
      </c>
      <c r="O840" s="294">
        <f t="shared" si="13"/>
        <v>45626</v>
      </c>
      <c r="P840" s="286" t="s">
        <v>58</v>
      </c>
    </row>
    <row r="841" spans="1:16" hidden="1" x14ac:dyDescent="0.15">
      <c r="A841" s="286">
        <v>848917</v>
      </c>
      <c r="B841" s="288">
        <v>45607.660416666666</v>
      </c>
      <c r="C841" s="286" t="s">
        <v>2100</v>
      </c>
      <c r="D841" s="286" t="s">
        <v>1105</v>
      </c>
      <c r="E841" s="286" t="s">
        <v>1106</v>
      </c>
      <c r="F841" s="286" t="s">
        <v>2141</v>
      </c>
      <c r="G841" s="286" t="s">
        <v>1058</v>
      </c>
      <c r="H841" s="286" t="s">
        <v>1058</v>
      </c>
      <c r="I841" s="286" t="s">
        <v>1199</v>
      </c>
      <c r="J841" s="286" t="s">
        <v>1312</v>
      </c>
      <c r="K841" s="286" t="s">
        <v>2300</v>
      </c>
      <c r="L841" s="286" t="s">
        <v>53</v>
      </c>
      <c r="M841" s="286">
        <v>1</v>
      </c>
      <c r="N841" s="287">
        <v>4390.78</v>
      </c>
      <c r="O841" s="294">
        <f t="shared" si="13"/>
        <v>45626</v>
      </c>
      <c r="P841" s="286" t="s">
        <v>58</v>
      </c>
    </row>
    <row r="842" spans="1:16" hidden="1" x14ac:dyDescent="0.15">
      <c r="A842" s="286">
        <v>874698</v>
      </c>
      <c r="B842" s="288">
        <v>45628.357638888891</v>
      </c>
      <c r="C842" s="286" t="s">
        <v>2098</v>
      </c>
      <c r="D842" s="286" t="s">
        <v>1105</v>
      </c>
      <c r="E842" s="286" t="s">
        <v>1106</v>
      </c>
      <c r="F842" s="286" t="s">
        <v>2142</v>
      </c>
      <c r="G842" s="286" t="s">
        <v>1058</v>
      </c>
      <c r="H842" s="286" t="s">
        <v>1058</v>
      </c>
      <c r="I842" s="286" t="s">
        <v>1199</v>
      </c>
      <c r="J842" s="286" t="s">
        <v>1312</v>
      </c>
      <c r="K842" s="286" t="s">
        <v>2300</v>
      </c>
      <c r="L842" s="286" t="s">
        <v>53</v>
      </c>
      <c r="M842" s="286">
        <v>1</v>
      </c>
      <c r="N842" s="287">
        <v>4390.78</v>
      </c>
      <c r="O842" s="294">
        <f t="shared" si="13"/>
        <v>45657</v>
      </c>
      <c r="P842" s="286" t="s">
        <v>58</v>
      </c>
    </row>
    <row r="843" spans="1:16" hidden="1" x14ac:dyDescent="0.15">
      <c r="A843" s="286">
        <v>438112</v>
      </c>
      <c r="B843" s="288">
        <v>45293.53402777778</v>
      </c>
      <c r="C843" s="286" t="s">
        <v>2125</v>
      </c>
      <c r="D843" s="286" t="s">
        <v>1105</v>
      </c>
      <c r="E843" s="286" t="s">
        <v>1106</v>
      </c>
      <c r="F843" s="286" t="s">
        <v>2152</v>
      </c>
      <c r="G843" s="286" t="s">
        <v>1026</v>
      </c>
      <c r="H843" s="286" t="s">
        <v>1026</v>
      </c>
      <c r="I843" s="286" t="s">
        <v>1152</v>
      </c>
      <c r="J843" s="286" t="s">
        <v>1312</v>
      </c>
      <c r="K843" s="286" t="s">
        <v>53</v>
      </c>
      <c r="L843" s="286" t="s">
        <v>53</v>
      </c>
      <c r="M843" s="286" t="s">
        <v>53</v>
      </c>
      <c r="N843" s="287">
        <v>4377.1000000000004</v>
      </c>
      <c r="O843" s="294">
        <f t="shared" si="13"/>
        <v>45322</v>
      </c>
      <c r="P843" s="286" t="s">
        <v>58</v>
      </c>
    </row>
    <row r="844" spans="1:16" hidden="1" x14ac:dyDescent="0.15">
      <c r="A844" s="286">
        <v>472168</v>
      </c>
      <c r="B844" s="288">
        <v>45331.416666666664</v>
      </c>
      <c r="C844" s="286" t="s">
        <v>2113</v>
      </c>
      <c r="D844" s="286" t="s">
        <v>1105</v>
      </c>
      <c r="E844" s="286" t="s">
        <v>1106</v>
      </c>
      <c r="F844" s="286" t="s">
        <v>2153</v>
      </c>
      <c r="G844" s="286" t="s">
        <v>1026</v>
      </c>
      <c r="H844" s="286" t="s">
        <v>1026</v>
      </c>
      <c r="I844" s="286" t="s">
        <v>1152</v>
      </c>
      <c r="J844" s="286" t="s">
        <v>1312</v>
      </c>
      <c r="K844" s="286" t="s">
        <v>53</v>
      </c>
      <c r="L844" s="286" t="s">
        <v>53</v>
      </c>
      <c r="M844" s="286" t="s">
        <v>53</v>
      </c>
      <c r="N844" s="287">
        <v>4377.1000000000004</v>
      </c>
      <c r="O844" s="294">
        <f t="shared" si="13"/>
        <v>45351</v>
      </c>
      <c r="P844" s="286" t="s">
        <v>58</v>
      </c>
    </row>
    <row r="845" spans="1:16" hidden="1" x14ac:dyDescent="0.15">
      <c r="A845" s="286">
        <v>504817</v>
      </c>
      <c r="B845" s="288">
        <v>45359.645138888889</v>
      </c>
      <c r="C845" s="286" t="s">
        <v>2109</v>
      </c>
      <c r="D845" s="286" t="s">
        <v>1105</v>
      </c>
      <c r="E845" s="286" t="s">
        <v>1106</v>
      </c>
      <c r="F845" s="286" t="s">
        <v>2154</v>
      </c>
      <c r="G845" s="286" t="s">
        <v>1026</v>
      </c>
      <c r="H845" s="286" t="s">
        <v>1026</v>
      </c>
      <c r="I845" s="286" t="s">
        <v>1152</v>
      </c>
      <c r="J845" s="286" t="s">
        <v>1312</v>
      </c>
      <c r="K845" s="286" t="s">
        <v>53</v>
      </c>
      <c r="L845" s="286" t="s">
        <v>53</v>
      </c>
      <c r="M845" s="286" t="s">
        <v>53</v>
      </c>
      <c r="N845" s="287">
        <v>4377.1000000000004</v>
      </c>
      <c r="O845" s="294">
        <f t="shared" si="13"/>
        <v>45382</v>
      </c>
      <c r="P845" s="286" t="s">
        <v>58</v>
      </c>
    </row>
    <row r="846" spans="1:16" hidden="1" x14ac:dyDescent="0.15">
      <c r="A846" s="286">
        <v>534207</v>
      </c>
      <c r="B846" s="288">
        <v>45385.750694444447</v>
      </c>
      <c r="C846" s="286" t="s">
        <v>2096</v>
      </c>
      <c r="D846" s="286" t="s">
        <v>1105</v>
      </c>
      <c r="E846" s="286" t="s">
        <v>1106</v>
      </c>
      <c r="F846" s="286" t="s">
        <v>2155</v>
      </c>
      <c r="G846" s="286" t="s">
        <v>1026</v>
      </c>
      <c r="H846" s="286" t="s">
        <v>1026</v>
      </c>
      <c r="I846" s="286" t="s">
        <v>1152</v>
      </c>
      <c r="J846" s="286" t="s">
        <v>1312</v>
      </c>
      <c r="K846" s="286" t="s">
        <v>53</v>
      </c>
      <c r="L846" s="286" t="s">
        <v>53</v>
      </c>
      <c r="M846" s="286" t="s">
        <v>53</v>
      </c>
      <c r="N846" s="287">
        <v>4377.1000000000004</v>
      </c>
      <c r="O846" s="294">
        <f t="shared" si="13"/>
        <v>45412</v>
      </c>
      <c r="P846" s="286" t="s">
        <v>58</v>
      </c>
    </row>
    <row r="847" spans="1:16" hidden="1" x14ac:dyDescent="0.15">
      <c r="A847" s="286">
        <v>614216</v>
      </c>
      <c r="B847" s="288">
        <v>45455.716666666667</v>
      </c>
      <c r="C847" s="286" t="s">
        <v>2116</v>
      </c>
      <c r="D847" s="286" t="s">
        <v>1105</v>
      </c>
      <c r="E847" s="286" t="s">
        <v>1106</v>
      </c>
      <c r="F847" s="286" t="s">
        <v>2156</v>
      </c>
      <c r="G847" s="286" t="s">
        <v>1026</v>
      </c>
      <c r="H847" s="286" t="s">
        <v>1026</v>
      </c>
      <c r="I847" s="286" t="s">
        <v>1152</v>
      </c>
      <c r="J847" s="286" t="s">
        <v>1312</v>
      </c>
      <c r="K847" s="286" t="s">
        <v>53</v>
      </c>
      <c r="L847" s="286" t="s">
        <v>53</v>
      </c>
      <c r="M847" s="286" t="s">
        <v>53</v>
      </c>
      <c r="N847" s="287">
        <v>4377.1000000000004</v>
      </c>
      <c r="O847" s="294">
        <f t="shared" si="13"/>
        <v>45473</v>
      </c>
      <c r="P847" s="286" t="s">
        <v>58</v>
      </c>
    </row>
    <row r="848" spans="1:16" hidden="1" x14ac:dyDescent="0.15">
      <c r="A848" s="286">
        <v>608480</v>
      </c>
      <c r="B848" s="288">
        <v>45450.422222222223</v>
      </c>
      <c r="C848" s="286" t="s">
        <v>2092</v>
      </c>
      <c r="D848" s="286" t="s">
        <v>1105</v>
      </c>
      <c r="E848" s="286" t="s">
        <v>1106</v>
      </c>
      <c r="F848" s="286" t="s">
        <v>2157</v>
      </c>
      <c r="G848" s="286" t="s">
        <v>1026</v>
      </c>
      <c r="H848" s="286" t="s">
        <v>1026</v>
      </c>
      <c r="I848" s="286" t="s">
        <v>1152</v>
      </c>
      <c r="J848" s="286" t="s">
        <v>1312</v>
      </c>
      <c r="K848" s="286" t="s">
        <v>53</v>
      </c>
      <c r="L848" s="286" t="s">
        <v>53</v>
      </c>
      <c r="M848" s="286" t="s">
        <v>53</v>
      </c>
      <c r="N848" s="287">
        <v>4377.1000000000004</v>
      </c>
      <c r="O848" s="294">
        <f t="shared" si="13"/>
        <v>45473</v>
      </c>
      <c r="P848" s="286" t="s">
        <v>58</v>
      </c>
    </row>
    <row r="849" spans="1:16" hidden="1" x14ac:dyDescent="0.15">
      <c r="A849" s="286">
        <v>646075</v>
      </c>
      <c r="B849" s="288">
        <v>45474.519444444442</v>
      </c>
      <c r="C849" s="286" t="s">
        <v>2111</v>
      </c>
      <c r="D849" s="286" t="s">
        <v>1105</v>
      </c>
      <c r="E849" s="286" t="s">
        <v>1106</v>
      </c>
      <c r="F849" s="286" t="s">
        <v>2137</v>
      </c>
      <c r="G849" s="286" t="s">
        <v>1026</v>
      </c>
      <c r="H849" s="286" t="s">
        <v>1026</v>
      </c>
      <c r="I849" s="286" t="s">
        <v>1152</v>
      </c>
      <c r="J849" s="286" t="s">
        <v>1312</v>
      </c>
      <c r="K849" s="286" t="s">
        <v>53</v>
      </c>
      <c r="L849" s="286" t="s">
        <v>53</v>
      </c>
      <c r="M849" s="286" t="s">
        <v>53</v>
      </c>
      <c r="N849" s="287">
        <v>4377.1000000000004</v>
      </c>
      <c r="O849" s="294">
        <f t="shared" si="13"/>
        <v>45504</v>
      </c>
      <c r="P849" s="286" t="s">
        <v>58</v>
      </c>
    </row>
    <row r="850" spans="1:16" hidden="1" x14ac:dyDescent="0.15">
      <c r="A850" s="286">
        <v>697810</v>
      </c>
      <c r="B850" s="288">
        <v>45510.366666666669</v>
      </c>
      <c r="C850" s="286" t="s">
        <v>2102</v>
      </c>
      <c r="D850" s="286" t="s">
        <v>1105</v>
      </c>
      <c r="E850" s="286" t="s">
        <v>1106</v>
      </c>
      <c r="F850" s="286" t="s">
        <v>2138</v>
      </c>
      <c r="G850" s="286" t="s">
        <v>1026</v>
      </c>
      <c r="H850" s="286" t="s">
        <v>1026</v>
      </c>
      <c r="I850" s="286" t="s">
        <v>1152</v>
      </c>
      <c r="J850" s="286" t="s">
        <v>1312</v>
      </c>
      <c r="K850" s="286" t="s">
        <v>53</v>
      </c>
      <c r="L850" s="286" t="s">
        <v>53</v>
      </c>
      <c r="M850" s="286" t="s">
        <v>53</v>
      </c>
      <c r="N850" s="287">
        <v>4377.1000000000004</v>
      </c>
      <c r="O850" s="294">
        <f t="shared" si="13"/>
        <v>45535</v>
      </c>
      <c r="P850" s="286" t="s">
        <v>58</v>
      </c>
    </row>
    <row r="851" spans="1:16" hidden="1" x14ac:dyDescent="0.15">
      <c r="A851" s="286">
        <v>745911</v>
      </c>
      <c r="B851" s="288">
        <v>45538.44027777778</v>
      </c>
      <c r="C851" s="286" t="s">
        <v>2132</v>
      </c>
      <c r="D851" s="286" t="s">
        <v>1105</v>
      </c>
      <c r="E851" s="286" t="s">
        <v>1106</v>
      </c>
      <c r="F851" s="286" t="s">
        <v>2139</v>
      </c>
      <c r="G851" s="286" t="s">
        <v>1026</v>
      </c>
      <c r="H851" s="286" t="s">
        <v>1026</v>
      </c>
      <c r="I851" s="286" t="s">
        <v>1152</v>
      </c>
      <c r="J851" s="286" t="s">
        <v>1312</v>
      </c>
      <c r="K851" s="286" t="s">
        <v>53</v>
      </c>
      <c r="L851" s="286" t="s">
        <v>53</v>
      </c>
      <c r="M851" s="286" t="s">
        <v>53</v>
      </c>
      <c r="N851" s="287">
        <v>4377.1000000000004</v>
      </c>
      <c r="O851" s="294">
        <f t="shared" si="13"/>
        <v>45565</v>
      </c>
      <c r="P851" s="286" t="s">
        <v>58</v>
      </c>
    </row>
    <row r="852" spans="1:16" hidden="1" x14ac:dyDescent="0.15">
      <c r="A852" s="286">
        <v>848817</v>
      </c>
      <c r="B852" s="288">
        <v>45607.65902777778</v>
      </c>
      <c r="C852" s="286" t="s">
        <v>2130</v>
      </c>
      <c r="D852" s="286" t="s">
        <v>1105</v>
      </c>
      <c r="E852" s="286" t="s">
        <v>1106</v>
      </c>
      <c r="F852" s="286" t="s">
        <v>2140</v>
      </c>
      <c r="G852" s="286" t="s">
        <v>1026</v>
      </c>
      <c r="H852" s="286" t="s">
        <v>1026</v>
      </c>
      <c r="I852" s="286" t="s">
        <v>1152</v>
      </c>
      <c r="J852" s="286" t="s">
        <v>1312</v>
      </c>
      <c r="K852" s="286" t="s">
        <v>53</v>
      </c>
      <c r="L852" s="286" t="s">
        <v>53</v>
      </c>
      <c r="M852" s="286" t="s">
        <v>53</v>
      </c>
      <c r="N852" s="287">
        <v>4377.1000000000004</v>
      </c>
      <c r="O852" s="294">
        <f t="shared" si="13"/>
        <v>45626</v>
      </c>
      <c r="P852" s="286" t="s">
        <v>58</v>
      </c>
    </row>
    <row r="853" spans="1:16" hidden="1" x14ac:dyDescent="0.15">
      <c r="A853" s="286">
        <v>848917</v>
      </c>
      <c r="B853" s="288">
        <v>45607.660416666666</v>
      </c>
      <c r="C853" s="286" t="s">
        <v>2100</v>
      </c>
      <c r="D853" s="286" t="s">
        <v>1105</v>
      </c>
      <c r="E853" s="286" t="s">
        <v>1106</v>
      </c>
      <c r="F853" s="286" t="s">
        <v>2141</v>
      </c>
      <c r="G853" s="286" t="s">
        <v>1026</v>
      </c>
      <c r="H853" s="286" t="s">
        <v>1026</v>
      </c>
      <c r="I853" s="286" t="s">
        <v>1152</v>
      </c>
      <c r="J853" s="286" t="s">
        <v>1312</v>
      </c>
      <c r="K853" s="286" t="s">
        <v>53</v>
      </c>
      <c r="L853" s="286" t="s">
        <v>53</v>
      </c>
      <c r="M853" s="286" t="s">
        <v>53</v>
      </c>
      <c r="N853" s="287">
        <v>4377.1000000000004</v>
      </c>
      <c r="O853" s="294">
        <f t="shared" si="13"/>
        <v>45626</v>
      </c>
      <c r="P853" s="286" t="s">
        <v>58</v>
      </c>
    </row>
    <row r="854" spans="1:16" hidden="1" x14ac:dyDescent="0.15">
      <c r="A854" s="286">
        <v>874698</v>
      </c>
      <c r="B854" s="288">
        <v>45628.357638888891</v>
      </c>
      <c r="C854" s="286" t="s">
        <v>2098</v>
      </c>
      <c r="D854" s="286" t="s">
        <v>1105</v>
      </c>
      <c r="E854" s="286" t="s">
        <v>1106</v>
      </c>
      <c r="F854" s="286" t="s">
        <v>2142</v>
      </c>
      <c r="G854" s="286" t="s">
        <v>1026</v>
      </c>
      <c r="H854" s="286" t="s">
        <v>1026</v>
      </c>
      <c r="I854" s="286" t="s">
        <v>1152</v>
      </c>
      <c r="J854" s="286" t="s">
        <v>1312</v>
      </c>
      <c r="K854" s="286" t="s">
        <v>53</v>
      </c>
      <c r="L854" s="286" t="s">
        <v>53</v>
      </c>
      <c r="M854" s="286" t="s">
        <v>53</v>
      </c>
      <c r="N854" s="287">
        <v>4377.1000000000004</v>
      </c>
      <c r="O854" s="294">
        <f t="shared" si="13"/>
        <v>45657</v>
      </c>
      <c r="P854" s="286" t="s">
        <v>58</v>
      </c>
    </row>
    <row r="855" spans="1:16" hidden="1" x14ac:dyDescent="0.15">
      <c r="A855" s="286">
        <v>898877</v>
      </c>
      <c r="B855" s="288">
        <v>45644.552083333336</v>
      </c>
      <c r="C855" s="286" t="s">
        <v>2098</v>
      </c>
      <c r="D855" s="286" t="s">
        <v>1105</v>
      </c>
      <c r="E855" s="286" t="s">
        <v>1106</v>
      </c>
      <c r="F855" s="286" t="s">
        <v>2234</v>
      </c>
      <c r="G855" s="286" t="s">
        <v>1026</v>
      </c>
      <c r="H855" s="286" t="s">
        <v>1026</v>
      </c>
      <c r="I855" s="286" t="s">
        <v>1199</v>
      </c>
      <c r="J855" s="286" t="s">
        <v>1312</v>
      </c>
      <c r="K855" s="286" t="s">
        <v>53</v>
      </c>
      <c r="L855" s="286" t="s">
        <v>53</v>
      </c>
      <c r="M855" s="286" t="s">
        <v>53</v>
      </c>
      <c r="N855" s="287">
        <v>4377.1000000000004</v>
      </c>
      <c r="O855" s="294">
        <f t="shared" si="13"/>
        <v>45657</v>
      </c>
      <c r="P855" s="286" t="s">
        <v>58</v>
      </c>
    </row>
    <row r="856" spans="1:16" hidden="1" x14ac:dyDescent="0.15">
      <c r="A856" s="286">
        <v>874698</v>
      </c>
      <c r="B856" s="288">
        <v>45628.357638888891</v>
      </c>
      <c r="C856" s="286" t="s">
        <v>2098</v>
      </c>
      <c r="D856" s="286" t="s">
        <v>1105</v>
      </c>
      <c r="E856" s="286" t="s">
        <v>1106</v>
      </c>
      <c r="F856" s="286" t="s">
        <v>2142</v>
      </c>
      <c r="G856" s="286" t="s">
        <v>1052</v>
      </c>
      <c r="H856" s="286" t="s">
        <v>1052</v>
      </c>
      <c r="I856" s="286" t="s">
        <v>1228</v>
      </c>
      <c r="J856" s="286" t="s">
        <v>1312</v>
      </c>
      <c r="K856" s="286" t="s">
        <v>1808</v>
      </c>
      <c r="L856" s="286" t="s">
        <v>53</v>
      </c>
      <c r="M856" s="286">
        <v>1</v>
      </c>
      <c r="N856" s="287">
        <v>4367.72</v>
      </c>
      <c r="O856" s="294">
        <f t="shared" si="13"/>
        <v>45657</v>
      </c>
      <c r="P856" s="286" t="s">
        <v>58</v>
      </c>
    </row>
    <row r="857" spans="1:16" hidden="1" x14ac:dyDescent="0.15">
      <c r="A857" s="286">
        <v>438112</v>
      </c>
      <c r="B857" s="288">
        <v>45293.53402777778</v>
      </c>
      <c r="C857" s="286" t="s">
        <v>2125</v>
      </c>
      <c r="D857" s="286" t="s">
        <v>1105</v>
      </c>
      <c r="E857" s="286" t="s">
        <v>1106</v>
      </c>
      <c r="F857" s="286" t="s">
        <v>2152</v>
      </c>
      <c r="G857" s="286" t="s">
        <v>1052</v>
      </c>
      <c r="H857" s="286" t="s">
        <v>1052</v>
      </c>
      <c r="I857" s="286" t="s">
        <v>1228</v>
      </c>
      <c r="J857" s="286" t="s">
        <v>1312</v>
      </c>
      <c r="K857" s="286" t="s">
        <v>1808</v>
      </c>
      <c r="L857" s="286" t="s">
        <v>53</v>
      </c>
      <c r="M857" s="286">
        <v>1</v>
      </c>
      <c r="N857" s="287">
        <v>4367.6899999999996</v>
      </c>
      <c r="O857" s="294">
        <f t="shared" si="13"/>
        <v>45322</v>
      </c>
      <c r="P857" s="286" t="s">
        <v>58</v>
      </c>
    </row>
    <row r="858" spans="1:16" hidden="1" x14ac:dyDescent="0.15">
      <c r="A858" s="286">
        <v>472168</v>
      </c>
      <c r="B858" s="288">
        <v>45331.416666666664</v>
      </c>
      <c r="C858" s="286" t="s">
        <v>2113</v>
      </c>
      <c r="D858" s="286" t="s">
        <v>1105</v>
      </c>
      <c r="E858" s="286" t="s">
        <v>1106</v>
      </c>
      <c r="F858" s="286" t="s">
        <v>2153</v>
      </c>
      <c r="G858" s="286" t="s">
        <v>1052</v>
      </c>
      <c r="H858" s="286" t="s">
        <v>1052</v>
      </c>
      <c r="I858" s="286" t="s">
        <v>1228</v>
      </c>
      <c r="J858" s="286" t="s">
        <v>1312</v>
      </c>
      <c r="K858" s="286" t="s">
        <v>1808</v>
      </c>
      <c r="L858" s="286" t="s">
        <v>53</v>
      </c>
      <c r="M858" s="286">
        <v>1</v>
      </c>
      <c r="N858" s="287">
        <v>4367.6899999999996</v>
      </c>
      <c r="O858" s="294">
        <f t="shared" si="13"/>
        <v>45351</v>
      </c>
      <c r="P858" s="286" t="s">
        <v>58</v>
      </c>
    </row>
    <row r="859" spans="1:16" hidden="1" x14ac:dyDescent="0.15">
      <c r="A859" s="286">
        <v>504817</v>
      </c>
      <c r="B859" s="288">
        <v>45359.645138888889</v>
      </c>
      <c r="C859" s="286" t="s">
        <v>2109</v>
      </c>
      <c r="D859" s="286" t="s">
        <v>1105</v>
      </c>
      <c r="E859" s="286" t="s">
        <v>1106</v>
      </c>
      <c r="F859" s="286" t="s">
        <v>2154</v>
      </c>
      <c r="G859" s="286" t="s">
        <v>1052</v>
      </c>
      <c r="H859" s="286" t="s">
        <v>1052</v>
      </c>
      <c r="I859" s="286" t="s">
        <v>1228</v>
      </c>
      <c r="J859" s="286" t="s">
        <v>1312</v>
      </c>
      <c r="K859" s="286" t="s">
        <v>1808</v>
      </c>
      <c r="L859" s="286" t="s">
        <v>53</v>
      </c>
      <c r="M859" s="286">
        <v>1</v>
      </c>
      <c r="N859" s="287">
        <v>4367.6899999999996</v>
      </c>
      <c r="O859" s="294">
        <f t="shared" si="13"/>
        <v>45382</v>
      </c>
      <c r="P859" s="286" t="s">
        <v>58</v>
      </c>
    </row>
    <row r="860" spans="1:16" hidden="1" x14ac:dyDescent="0.15">
      <c r="A860" s="286">
        <v>534207</v>
      </c>
      <c r="B860" s="288">
        <v>45385.750694444447</v>
      </c>
      <c r="C860" s="286" t="s">
        <v>2096</v>
      </c>
      <c r="D860" s="286" t="s">
        <v>1105</v>
      </c>
      <c r="E860" s="286" t="s">
        <v>1106</v>
      </c>
      <c r="F860" s="286" t="s">
        <v>2155</v>
      </c>
      <c r="G860" s="286" t="s">
        <v>1052</v>
      </c>
      <c r="H860" s="286" t="s">
        <v>1052</v>
      </c>
      <c r="I860" s="286" t="s">
        <v>1228</v>
      </c>
      <c r="J860" s="286" t="s">
        <v>1312</v>
      </c>
      <c r="K860" s="286" t="s">
        <v>1808</v>
      </c>
      <c r="L860" s="286" t="s">
        <v>53</v>
      </c>
      <c r="M860" s="286">
        <v>1</v>
      </c>
      <c r="N860" s="287">
        <v>4367.6899999999996</v>
      </c>
      <c r="O860" s="294">
        <f t="shared" si="13"/>
        <v>45412</v>
      </c>
      <c r="P860" s="286" t="s">
        <v>58</v>
      </c>
    </row>
    <row r="861" spans="1:16" hidden="1" x14ac:dyDescent="0.15">
      <c r="A861" s="286">
        <v>614216</v>
      </c>
      <c r="B861" s="288">
        <v>45455.716666666667</v>
      </c>
      <c r="C861" s="286" t="s">
        <v>2116</v>
      </c>
      <c r="D861" s="286" t="s">
        <v>1105</v>
      </c>
      <c r="E861" s="286" t="s">
        <v>1106</v>
      </c>
      <c r="F861" s="286" t="s">
        <v>2156</v>
      </c>
      <c r="G861" s="286" t="s">
        <v>1052</v>
      </c>
      <c r="H861" s="286" t="s">
        <v>1052</v>
      </c>
      <c r="I861" s="286" t="s">
        <v>1228</v>
      </c>
      <c r="J861" s="286" t="s">
        <v>1312</v>
      </c>
      <c r="K861" s="286" t="s">
        <v>1808</v>
      </c>
      <c r="L861" s="286" t="s">
        <v>53</v>
      </c>
      <c r="M861" s="286">
        <v>1</v>
      </c>
      <c r="N861" s="287">
        <v>4367.6899999999996</v>
      </c>
      <c r="O861" s="294">
        <f t="shared" si="13"/>
        <v>45473</v>
      </c>
      <c r="P861" s="286" t="s">
        <v>58</v>
      </c>
    </row>
    <row r="862" spans="1:16" hidden="1" x14ac:dyDescent="0.15">
      <c r="A862" s="286">
        <v>608480</v>
      </c>
      <c r="B862" s="288">
        <v>45450.422222222223</v>
      </c>
      <c r="C862" s="286" t="s">
        <v>2092</v>
      </c>
      <c r="D862" s="286" t="s">
        <v>1105</v>
      </c>
      <c r="E862" s="286" t="s">
        <v>1106</v>
      </c>
      <c r="F862" s="286" t="s">
        <v>2157</v>
      </c>
      <c r="G862" s="286" t="s">
        <v>1052</v>
      </c>
      <c r="H862" s="286" t="s">
        <v>1052</v>
      </c>
      <c r="I862" s="286" t="s">
        <v>1228</v>
      </c>
      <c r="J862" s="286" t="s">
        <v>1312</v>
      </c>
      <c r="K862" s="286" t="s">
        <v>1808</v>
      </c>
      <c r="L862" s="286" t="s">
        <v>53</v>
      </c>
      <c r="M862" s="286">
        <v>1</v>
      </c>
      <c r="N862" s="287">
        <v>4367.6899999999996</v>
      </c>
      <c r="O862" s="294">
        <f t="shared" si="13"/>
        <v>45473</v>
      </c>
      <c r="P862" s="286" t="s">
        <v>58</v>
      </c>
    </row>
    <row r="863" spans="1:16" hidden="1" x14ac:dyDescent="0.15">
      <c r="A863" s="286">
        <v>646075</v>
      </c>
      <c r="B863" s="288">
        <v>45474.519444444442</v>
      </c>
      <c r="C863" s="286" t="s">
        <v>2111</v>
      </c>
      <c r="D863" s="286" t="s">
        <v>1105</v>
      </c>
      <c r="E863" s="286" t="s">
        <v>1106</v>
      </c>
      <c r="F863" s="286" t="s">
        <v>2137</v>
      </c>
      <c r="G863" s="286" t="s">
        <v>1052</v>
      </c>
      <c r="H863" s="286" t="s">
        <v>1052</v>
      </c>
      <c r="I863" s="286" t="s">
        <v>1228</v>
      </c>
      <c r="J863" s="286" t="s">
        <v>1312</v>
      </c>
      <c r="K863" s="286" t="s">
        <v>1808</v>
      </c>
      <c r="L863" s="286" t="s">
        <v>53</v>
      </c>
      <c r="M863" s="286">
        <v>1</v>
      </c>
      <c r="N863" s="287">
        <v>4367.6899999999996</v>
      </c>
      <c r="O863" s="294">
        <f t="shared" si="13"/>
        <v>45504</v>
      </c>
      <c r="P863" s="286" t="s">
        <v>58</v>
      </c>
    </row>
    <row r="864" spans="1:16" hidden="1" x14ac:dyDescent="0.15">
      <c r="A864" s="286">
        <v>697810</v>
      </c>
      <c r="B864" s="288">
        <v>45510.366666666669</v>
      </c>
      <c r="C864" s="286" t="s">
        <v>2102</v>
      </c>
      <c r="D864" s="286" t="s">
        <v>1105</v>
      </c>
      <c r="E864" s="286" t="s">
        <v>1106</v>
      </c>
      <c r="F864" s="286" t="s">
        <v>2138</v>
      </c>
      <c r="G864" s="286" t="s">
        <v>1052</v>
      </c>
      <c r="H864" s="286" t="s">
        <v>1052</v>
      </c>
      <c r="I864" s="286" t="s">
        <v>1228</v>
      </c>
      <c r="J864" s="286" t="s">
        <v>1312</v>
      </c>
      <c r="K864" s="286" t="s">
        <v>1808</v>
      </c>
      <c r="L864" s="286" t="s">
        <v>53</v>
      </c>
      <c r="M864" s="286">
        <v>1</v>
      </c>
      <c r="N864" s="287">
        <v>4367.6899999999996</v>
      </c>
      <c r="O864" s="294">
        <f t="shared" si="13"/>
        <v>45535</v>
      </c>
      <c r="P864" s="286" t="s">
        <v>58</v>
      </c>
    </row>
    <row r="865" spans="1:16" hidden="1" x14ac:dyDescent="0.15">
      <c r="A865" s="286">
        <v>745911</v>
      </c>
      <c r="B865" s="288">
        <v>45538.44027777778</v>
      </c>
      <c r="C865" s="286" t="s">
        <v>2132</v>
      </c>
      <c r="D865" s="286" t="s">
        <v>1105</v>
      </c>
      <c r="E865" s="286" t="s">
        <v>1106</v>
      </c>
      <c r="F865" s="286" t="s">
        <v>2139</v>
      </c>
      <c r="G865" s="286" t="s">
        <v>1052</v>
      </c>
      <c r="H865" s="286" t="s">
        <v>1052</v>
      </c>
      <c r="I865" s="286" t="s">
        <v>1228</v>
      </c>
      <c r="J865" s="286" t="s">
        <v>1312</v>
      </c>
      <c r="K865" s="286" t="s">
        <v>1808</v>
      </c>
      <c r="L865" s="286" t="s">
        <v>53</v>
      </c>
      <c r="M865" s="286">
        <v>1</v>
      </c>
      <c r="N865" s="287">
        <v>4367.6899999999996</v>
      </c>
      <c r="O865" s="294">
        <f t="shared" si="13"/>
        <v>45565</v>
      </c>
      <c r="P865" s="286" t="s">
        <v>58</v>
      </c>
    </row>
    <row r="866" spans="1:16" hidden="1" x14ac:dyDescent="0.15">
      <c r="A866" s="286">
        <v>848817</v>
      </c>
      <c r="B866" s="288">
        <v>45607.65902777778</v>
      </c>
      <c r="C866" s="286" t="s">
        <v>2130</v>
      </c>
      <c r="D866" s="286" t="s">
        <v>1105</v>
      </c>
      <c r="E866" s="286" t="s">
        <v>1106</v>
      </c>
      <c r="F866" s="286" t="s">
        <v>2140</v>
      </c>
      <c r="G866" s="286" t="s">
        <v>1052</v>
      </c>
      <c r="H866" s="286" t="s">
        <v>1052</v>
      </c>
      <c r="I866" s="286" t="s">
        <v>1228</v>
      </c>
      <c r="J866" s="286" t="s">
        <v>1312</v>
      </c>
      <c r="K866" s="286" t="s">
        <v>1808</v>
      </c>
      <c r="L866" s="286" t="s">
        <v>53</v>
      </c>
      <c r="M866" s="286">
        <v>1</v>
      </c>
      <c r="N866" s="287">
        <v>4367.6899999999996</v>
      </c>
      <c r="O866" s="294">
        <f t="shared" si="13"/>
        <v>45626</v>
      </c>
      <c r="P866" s="286" t="s">
        <v>58</v>
      </c>
    </row>
    <row r="867" spans="1:16" hidden="1" x14ac:dyDescent="0.15">
      <c r="A867" s="286">
        <v>848917</v>
      </c>
      <c r="B867" s="288">
        <v>45607.660416666666</v>
      </c>
      <c r="C867" s="286" t="s">
        <v>2100</v>
      </c>
      <c r="D867" s="286" t="s">
        <v>1105</v>
      </c>
      <c r="E867" s="286" t="s">
        <v>1106</v>
      </c>
      <c r="F867" s="286" t="s">
        <v>2141</v>
      </c>
      <c r="G867" s="286" t="s">
        <v>1052</v>
      </c>
      <c r="H867" s="286" t="s">
        <v>1052</v>
      </c>
      <c r="I867" s="286" t="s">
        <v>1228</v>
      </c>
      <c r="J867" s="286" t="s">
        <v>1312</v>
      </c>
      <c r="K867" s="286" t="s">
        <v>1808</v>
      </c>
      <c r="L867" s="286" t="s">
        <v>53</v>
      </c>
      <c r="M867" s="286">
        <v>1</v>
      </c>
      <c r="N867" s="287">
        <v>4367.6899999999996</v>
      </c>
      <c r="O867" s="294">
        <f t="shared" si="13"/>
        <v>45626</v>
      </c>
      <c r="P867" s="286" t="s">
        <v>58</v>
      </c>
    </row>
    <row r="868" spans="1:16" hidden="1" x14ac:dyDescent="0.15">
      <c r="A868" s="286">
        <v>438112</v>
      </c>
      <c r="B868" s="288">
        <v>45293.53402777778</v>
      </c>
      <c r="C868" s="286" t="s">
        <v>2125</v>
      </c>
      <c r="D868" s="286" t="s">
        <v>1105</v>
      </c>
      <c r="E868" s="286" t="s">
        <v>1106</v>
      </c>
      <c r="F868" s="286" t="s">
        <v>2152</v>
      </c>
      <c r="G868" s="286" t="s">
        <v>1078</v>
      </c>
      <c r="H868" s="286" t="s">
        <v>1078</v>
      </c>
      <c r="I868" s="286" t="s">
        <v>1228</v>
      </c>
      <c r="J868" s="286" t="s">
        <v>53</v>
      </c>
      <c r="K868" s="286" t="s">
        <v>53</v>
      </c>
      <c r="L868" s="286" t="s">
        <v>53</v>
      </c>
      <c r="M868" s="286" t="s">
        <v>53</v>
      </c>
      <c r="N868" s="287">
        <v>4256.3100000000004</v>
      </c>
      <c r="O868" s="294">
        <f t="shared" si="13"/>
        <v>45322</v>
      </c>
      <c r="P868" s="286" t="s">
        <v>58</v>
      </c>
    </row>
    <row r="869" spans="1:16" hidden="1" x14ac:dyDescent="0.15">
      <c r="A869" s="286">
        <v>472168</v>
      </c>
      <c r="B869" s="288">
        <v>45331.416666666664</v>
      </c>
      <c r="C869" s="286" t="s">
        <v>2113</v>
      </c>
      <c r="D869" s="286" t="s">
        <v>1105</v>
      </c>
      <c r="E869" s="286" t="s">
        <v>1106</v>
      </c>
      <c r="F869" s="286" t="s">
        <v>2153</v>
      </c>
      <c r="G869" s="286" t="s">
        <v>1078</v>
      </c>
      <c r="H869" s="286" t="s">
        <v>1078</v>
      </c>
      <c r="I869" s="286" t="s">
        <v>1228</v>
      </c>
      <c r="J869" s="286" t="s">
        <v>53</v>
      </c>
      <c r="K869" s="286" t="s">
        <v>53</v>
      </c>
      <c r="L869" s="286" t="s">
        <v>53</v>
      </c>
      <c r="M869" s="286" t="s">
        <v>53</v>
      </c>
      <c r="N869" s="287">
        <v>4256.3100000000004</v>
      </c>
      <c r="O869" s="294">
        <f t="shared" si="13"/>
        <v>45351</v>
      </c>
      <c r="P869" s="286" t="s">
        <v>58</v>
      </c>
    </row>
    <row r="870" spans="1:16" hidden="1" x14ac:dyDescent="0.15">
      <c r="A870" s="286">
        <v>504817</v>
      </c>
      <c r="B870" s="288">
        <v>45359.645138888889</v>
      </c>
      <c r="C870" s="286" t="s">
        <v>2109</v>
      </c>
      <c r="D870" s="286" t="s">
        <v>1105</v>
      </c>
      <c r="E870" s="286" t="s">
        <v>1106</v>
      </c>
      <c r="F870" s="286" t="s">
        <v>2154</v>
      </c>
      <c r="G870" s="286" t="s">
        <v>1078</v>
      </c>
      <c r="H870" s="286" t="s">
        <v>1078</v>
      </c>
      <c r="I870" s="286" t="s">
        <v>1228</v>
      </c>
      <c r="J870" s="286" t="s">
        <v>53</v>
      </c>
      <c r="K870" s="286" t="s">
        <v>53</v>
      </c>
      <c r="L870" s="286" t="s">
        <v>53</v>
      </c>
      <c r="M870" s="286" t="s">
        <v>53</v>
      </c>
      <c r="N870" s="287">
        <v>4256.3100000000004</v>
      </c>
      <c r="O870" s="294">
        <f t="shared" si="13"/>
        <v>45382</v>
      </c>
      <c r="P870" s="286" t="s">
        <v>58</v>
      </c>
    </row>
    <row r="871" spans="1:16" hidden="1" x14ac:dyDescent="0.15">
      <c r="A871" s="286">
        <v>534207</v>
      </c>
      <c r="B871" s="288">
        <v>45385.750694444447</v>
      </c>
      <c r="C871" s="286" t="s">
        <v>2096</v>
      </c>
      <c r="D871" s="286" t="s">
        <v>1105</v>
      </c>
      <c r="E871" s="286" t="s">
        <v>1106</v>
      </c>
      <c r="F871" s="286" t="s">
        <v>2155</v>
      </c>
      <c r="G871" s="286" t="s">
        <v>1078</v>
      </c>
      <c r="H871" s="286" t="s">
        <v>1078</v>
      </c>
      <c r="I871" s="286" t="s">
        <v>1228</v>
      </c>
      <c r="J871" s="286" t="s">
        <v>53</v>
      </c>
      <c r="K871" s="286" t="s">
        <v>53</v>
      </c>
      <c r="L871" s="286" t="s">
        <v>53</v>
      </c>
      <c r="M871" s="286" t="s">
        <v>53</v>
      </c>
      <c r="N871" s="287">
        <v>4256.3100000000004</v>
      </c>
      <c r="O871" s="294">
        <f t="shared" si="13"/>
        <v>45412</v>
      </c>
      <c r="P871" s="286" t="s">
        <v>58</v>
      </c>
    </row>
    <row r="872" spans="1:16" hidden="1" x14ac:dyDescent="0.15">
      <c r="A872" s="286">
        <v>614216</v>
      </c>
      <c r="B872" s="288">
        <v>45455.716666666667</v>
      </c>
      <c r="C872" s="286" t="s">
        <v>2116</v>
      </c>
      <c r="D872" s="286" t="s">
        <v>1105</v>
      </c>
      <c r="E872" s="286" t="s">
        <v>1106</v>
      </c>
      <c r="F872" s="286" t="s">
        <v>2156</v>
      </c>
      <c r="G872" s="286" t="s">
        <v>1078</v>
      </c>
      <c r="H872" s="286" t="s">
        <v>1078</v>
      </c>
      <c r="I872" s="286" t="s">
        <v>1228</v>
      </c>
      <c r="J872" s="286" t="s">
        <v>53</v>
      </c>
      <c r="K872" s="286" t="s">
        <v>53</v>
      </c>
      <c r="L872" s="286" t="s">
        <v>53</v>
      </c>
      <c r="M872" s="286" t="s">
        <v>53</v>
      </c>
      <c r="N872" s="287">
        <v>4256.3100000000004</v>
      </c>
      <c r="O872" s="294">
        <f t="shared" si="13"/>
        <v>45473</v>
      </c>
      <c r="P872" s="286" t="s">
        <v>58</v>
      </c>
    </row>
    <row r="873" spans="1:16" hidden="1" x14ac:dyDescent="0.15">
      <c r="A873" s="286">
        <v>608480</v>
      </c>
      <c r="B873" s="288">
        <v>45450.422222222223</v>
      </c>
      <c r="C873" s="286" t="s">
        <v>2092</v>
      </c>
      <c r="D873" s="286" t="s">
        <v>1105</v>
      </c>
      <c r="E873" s="286" t="s">
        <v>1106</v>
      </c>
      <c r="F873" s="286" t="s">
        <v>2157</v>
      </c>
      <c r="G873" s="286" t="s">
        <v>1078</v>
      </c>
      <c r="H873" s="286" t="s">
        <v>1078</v>
      </c>
      <c r="I873" s="286" t="s">
        <v>1228</v>
      </c>
      <c r="J873" s="286" t="s">
        <v>53</v>
      </c>
      <c r="K873" s="286" t="s">
        <v>53</v>
      </c>
      <c r="L873" s="286" t="s">
        <v>53</v>
      </c>
      <c r="M873" s="286" t="s">
        <v>53</v>
      </c>
      <c r="N873" s="287">
        <v>4256.3100000000004</v>
      </c>
      <c r="O873" s="294">
        <f t="shared" si="13"/>
        <v>45473</v>
      </c>
      <c r="P873" s="286" t="s">
        <v>58</v>
      </c>
    </row>
    <row r="874" spans="1:16" hidden="1" x14ac:dyDescent="0.15">
      <c r="A874" s="286">
        <v>534207</v>
      </c>
      <c r="B874" s="288">
        <v>45385.750694444447</v>
      </c>
      <c r="C874" s="286" t="s">
        <v>2096</v>
      </c>
      <c r="D874" s="286" t="s">
        <v>1105</v>
      </c>
      <c r="E874" s="286" t="s">
        <v>1106</v>
      </c>
      <c r="F874" s="286" t="s">
        <v>2155</v>
      </c>
      <c r="G874" s="286" t="s">
        <v>1008</v>
      </c>
      <c r="H874" s="286" t="s">
        <v>1008</v>
      </c>
      <c r="I874" s="286" t="s">
        <v>1199</v>
      </c>
      <c r="J874" s="286" t="s">
        <v>1312</v>
      </c>
      <c r="K874" s="286" t="s">
        <v>2301</v>
      </c>
      <c r="L874" s="286" t="s">
        <v>672</v>
      </c>
      <c r="M874" s="286">
        <v>1</v>
      </c>
      <c r="N874" s="287">
        <v>4254.24</v>
      </c>
      <c r="O874" s="294">
        <f t="shared" si="13"/>
        <v>45412</v>
      </c>
      <c r="P874" s="286" t="s">
        <v>58</v>
      </c>
    </row>
    <row r="875" spans="1:16" hidden="1" x14ac:dyDescent="0.15">
      <c r="A875" s="286">
        <v>614216</v>
      </c>
      <c r="B875" s="288">
        <v>45455.716666666667</v>
      </c>
      <c r="C875" s="286" t="s">
        <v>2116</v>
      </c>
      <c r="D875" s="286" t="s">
        <v>1105</v>
      </c>
      <c r="E875" s="286" t="s">
        <v>1106</v>
      </c>
      <c r="F875" s="286" t="s">
        <v>2156</v>
      </c>
      <c r="G875" s="286" t="s">
        <v>1008</v>
      </c>
      <c r="H875" s="286" t="s">
        <v>1008</v>
      </c>
      <c r="I875" s="286" t="s">
        <v>1199</v>
      </c>
      <c r="J875" s="286" t="s">
        <v>1312</v>
      </c>
      <c r="K875" s="286" t="s">
        <v>2301</v>
      </c>
      <c r="L875" s="286" t="s">
        <v>672</v>
      </c>
      <c r="M875" s="286">
        <v>1</v>
      </c>
      <c r="N875" s="287">
        <v>4254.24</v>
      </c>
      <c r="O875" s="294">
        <f t="shared" si="13"/>
        <v>45473</v>
      </c>
      <c r="P875" s="286" t="s">
        <v>58</v>
      </c>
    </row>
    <row r="876" spans="1:16" hidden="1" x14ac:dyDescent="0.15">
      <c r="A876" s="286">
        <v>608480</v>
      </c>
      <c r="B876" s="288">
        <v>45450.422222222223</v>
      </c>
      <c r="C876" s="286" t="s">
        <v>2092</v>
      </c>
      <c r="D876" s="286" t="s">
        <v>1105</v>
      </c>
      <c r="E876" s="286" t="s">
        <v>1106</v>
      </c>
      <c r="F876" s="286" t="s">
        <v>2157</v>
      </c>
      <c r="G876" s="286" t="s">
        <v>1008</v>
      </c>
      <c r="H876" s="286" t="s">
        <v>1008</v>
      </c>
      <c r="I876" s="286" t="s">
        <v>1199</v>
      </c>
      <c r="J876" s="286" t="s">
        <v>1312</v>
      </c>
      <c r="K876" s="286" t="s">
        <v>2301</v>
      </c>
      <c r="L876" s="286" t="s">
        <v>672</v>
      </c>
      <c r="M876" s="286">
        <v>1</v>
      </c>
      <c r="N876" s="287">
        <v>4254.24</v>
      </c>
      <c r="O876" s="294">
        <f t="shared" si="13"/>
        <v>45473</v>
      </c>
      <c r="P876" s="286" t="s">
        <v>58</v>
      </c>
    </row>
    <row r="877" spans="1:16" hidden="1" x14ac:dyDescent="0.15">
      <c r="A877" s="286">
        <v>646075</v>
      </c>
      <c r="B877" s="288">
        <v>45474.519444444442</v>
      </c>
      <c r="C877" s="286" t="s">
        <v>2111</v>
      </c>
      <c r="D877" s="286" t="s">
        <v>1105</v>
      </c>
      <c r="E877" s="286" t="s">
        <v>1106</v>
      </c>
      <c r="F877" s="286" t="s">
        <v>2137</v>
      </c>
      <c r="G877" s="286" t="s">
        <v>1008</v>
      </c>
      <c r="H877" s="286" t="s">
        <v>1008</v>
      </c>
      <c r="I877" s="286" t="s">
        <v>1199</v>
      </c>
      <c r="J877" s="286" t="s">
        <v>1312</v>
      </c>
      <c r="K877" s="286" t="s">
        <v>2301</v>
      </c>
      <c r="L877" s="286" t="s">
        <v>672</v>
      </c>
      <c r="M877" s="286">
        <v>1</v>
      </c>
      <c r="N877" s="287">
        <v>4254.24</v>
      </c>
      <c r="O877" s="294">
        <f t="shared" si="13"/>
        <v>45504</v>
      </c>
      <c r="P877" s="286" t="s">
        <v>58</v>
      </c>
    </row>
    <row r="878" spans="1:16" hidden="1" x14ac:dyDescent="0.15">
      <c r="A878" s="286">
        <v>697810</v>
      </c>
      <c r="B878" s="288">
        <v>45510.366666666669</v>
      </c>
      <c r="C878" s="286" t="s">
        <v>2102</v>
      </c>
      <c r="D878" s="286" t="s">
        <v>1105</v>
      </c>
      <c r="E878" s="286" t="s">
        <v>1106</v>
      </c>
      <c r="F878" s="286" t="s">
        <v>2138</v>
      </c>
      <c r="G878" s="286" t="s">
        <v>1008</v>
      </c>
      <c r="H878" s="286" t="s">
        <v>1008</v>
      </c>
      <c r="I878" s="286" t="s">
        <v>1199</v>
      </c>
      <c r="J878" s="286" t="s">
        <v>1312</v>
      </c>
      <c r="K878" s="286" t="s">
        <v>2301</v>
      </c>
      <c r="L878" s="286" t="s">
        <v>672</v>
      </c>
      <c r="M878" s="286">
        <v>1</v>
      </c>
      <c r="N878" s="287">
        <v>4254.24</v>
      </c>
      <c r="O878" s="294">
        <f t="shared" si="13"/>
        <v>45535</v>
      </c>
      <c r="P878" s="286" t="s">
        <v>58</v>
      </c>
    </row>
    <row r="879" spans="1:16" hidden="1" x14ac:dyDescent="0.15">
      <c r="A879" s="286">
        <v>745911</v>
      </c>
      <c r="B879" s="288">
        <v>45538.44027777778</v>
      </c>
      <c r="C879" s="286" t="s">
        <v>2132</v>
      </c>
      <c r="D879" s="286" t="s">
        <v>1105</v>
      </c>
      <c r="E879" s="286" t="s">
        <v>1106</v>
      </c>
      <c r="F879" s="286" t="s">
        <v>2139</v>
      </c>
      <c r="G879" s="286" t="s">
        <v>1008</v>
      </c>
      <c r="H879" s="286" t="s">
        <v>1008</v>
      </c>
      <c r="I879" s="286" t="s">
        <v>1199</v>
      </c>
      <c r="J879" s="286" t="s">
        <v>1312</v>
      </c>
      <c r="K879" s="286" t="s">
        <v>2301</v>
      </c>
      <c r="L879" s="286" t="s">
        <v>672</v>
      </c>
      <c r="M879" s="286">
        <v>1</v>
      </c>
      <c r="N879" s="287">
        <v>4254.24</v>
      </c>
      <c r="O879" s="294">
        <f t="shared" si="13"/>
        <v>45565</v>
      </c>
      <c r="P879" s="286" t="s">
        <v>58</v>
      </c>
    </row>
    <row r="880" spans="1:16" hidden="1" x14ac:dyDescent="0.15">
      <c r="A880" s="286">
        <v>848817</v>
      </c>
      <c r="B880" s="288">
        <v>45607.65902777778</v>
      </c>
      <c r="C880" s="286" t="s">
        <v>2130</v>
      </c>
      <c r="D880" s="286" t="s">
        <v>1105</v>
      </c>
      <c r="E880" s="286" t="s">
        <v>1106</v>
      </c>
      <c r="F880" s="286" t="s">
        <v>2140</v>
      </c>
      <c r="G880" s="286" t="s">
        <v>1008</v>
      </c>
      <c r="H880" s="286" t="s">
        <v>1008</v>
      </c>
      <c r="I880" s="286" t="s">
        <v>1199</v>
      </c>
      <c r="J880" s="286" t="s">
        <v>1312</v>
      </c>
      <c r="K880" s="286" t="s">
        <v>2301</v>
      </c>
      <c r="L880" s="286" t="s">
        <v>672</v>
      </c>
      <c r="M880" s="286">
        <v>1</v>
      </c>
      <c r="N880" s="287">
        <v>4254.24</v>
      </c>
      <c r="O880" s="294">
        <f t="shared" si="13"/>
        <v>45626</v>
      </c>
      <c r="P880" s="286" t="s">
        <v>58</v>
      </c>
    </row>
    <row r="881" spans="1:16" hidden="1" x14ac:dyDescent="0.15">
      <c r="A881" s="286">
        <v>848917</v>
      </c>
      <c r="B881" s="288">
        <v>45607.660416666666</v>
      </c>
      <c r="C881" s="286" t="s">
        <v>2100</v>
      </c>
      <c r="D881" s="286" t="s">
        <v>1105</v>
      </c>
      <c r="E881" s="286" t="s">
        <v>1106</v>
      </c>
      <c r="F881" s="286" t="s">
        <v>2141</v>
      </c>
      <c r="G881" s="286" t="s">
        <v>1008</v>
      </c>
      <c r="H881" s="286" t="s">
        <v>1008</v>
      </c>
      <c r="I881" s="286" t="s">
        <v>1199</v>
      </c>
      <c r="J881" s="286" t="s">
        <v>1312</v>
      </c>
      <c r="K881" s="286" t="s">
        <v>2301</v>
      </c>
      <c r="L881" s="286" t="s">
        <v>672</v>
      </c>
      <c r="M881" s="286">
        <v>1</v>
      </c>
      <c r="N881" s="287">
        <v>4254.24</v>
      </c>
      <c r="O881" s="294">
        <f t="shared" si="13"/>
        <v>45626</v>
      </c>
      <c r="P881" s="286" t="s">
        <v>58</v>
      </c>
    </row>
    <row r="882" spans="1:16" hidden="1" x14ac:dyDescent="0.15">
      <c r="A882" s="286">
        <v>874698</v>
      </c>
      <c r="B882" s="288">
        <v>45628.357638888891</v>
      </c>
      <c r="C882" s="286" t="s">
        <v>2098</v>
      </c>
      <c r="D882" s="286" t="s">
        <v>1105</v>
      </c>
      <c r="E882" s="286" t="s">
        <v>1106</v>
      </c>
      <c r="F882" s="286" t="s">
        <v>2142</v>
      </c>
      <c r="G882" s="286" t="s">
        <v>1008</v>
      </c>
      <c r="H882" s="286" t="s">
        <v>1008</v>
      </c>
      <c r="I882" s="286" t="s">
        <v>1199</v>
      </c>
      <c r="J882" s="286" t="s">
        <v>1312</v>
      </c>
      <c r="K882" s="286" t="s">
        <v>2301</v>
      </c>
      <c r="L882" s="286" t="s">
        <v>672</v>
      </c>
      <c r="M882" s="286">
        <v>1</v>
      </c>
      <c r="N882" s="287">
        <v>4254.24</v>
      </c>
      <c r="O882" s="294">
        <f t="shared" si="13"/>
        <v>45657</v>
      </c>
      <c r="P882" s="286" t="s">
        <v>58</v>
      </c>
    </row>
    <row r="883" spans="1:16" hidden="1" x14ac:dyDescent="0.15">
      <c r="A883" s="286">
        <v>438112</v>
      </c>
      <c r="B883" s="288">
        <v>45293.53402777778</v>
      </c>
      <c r="C883" s="286" t="s">
        <v>2125</v>
      </c>
      <c r="D883" s="286" t="s">
        <v>1105</v>
      </c>
      <c r="E883" s="286" t="s">
        <v>1106</v>
      </c>
      <c r="F883" s="286" t="s">
        <v>2152</v>
      </c>
      <c r="G883" s="286" t="s">
        <v>1025</v>
      </c>
      <c r="H883" s="286" t="s">
        <v>1025</v>
      </c>
      <c r="I883" s="286" t="s">
        <v>1199</v>
      </c>
      <c r="J883" s="286" t="s">
        <v>53</v>
      </c>
      <c r="K883" s="286" t="s">
        <v>53</v>
      </c>
      <c r="L883" s="286" t="s">
        <v>53</v>
      </c>
      <c r="M883" s="286" t="s">
        <v>53</v>
      </c>
      <c r="N883" s="287">
        <v>4201.03</v>
      </c>
      <c r="O883" s="294">
        <f t="shared" si="13"/>
        <v>45322</v>
      </c>
      <c r="P883" s="286" t="s">
        <v>58</v>
      </c>
    </row>
    <row r="884" spans="1:16" hidden="1" x14ac:dyDescent="0.15">
      <c r="A884" s="286">
        <v>472168</v>
      </c>
      <c r="B884" s="288">
        <v>45331.416666666664</v>
      </c>
      <c r="C884" s="286" t="s">
        <v>2113</v>
      </c>
      <c r="D884" s="286" t="s">
        <v>1105</v>
      </c>
      <c r="E884" s="286" t="s">
        <v>1106</v>
      </c>
      <c r="F884" s="286" t="s">
        <v>2153</v>
      </c>
      <c r="G884" s="286" t="s">
        <v>1025</v>
      </c>
      <c r="H884" s="286" t="s">
        <v>1025</v>
      </c>
      <c r="I884" s="286" t="s">
        <v>1199</v>
      </c>
      <c r="J884" s="286" t="s">
        <v>53</v>
      </c>
      <c r="K884" s="286" t="s">
        <v>53</v>
      </c>
      <c r="L884" s="286" t="s">
        <v>53</v>
      </c>
      <c r="M884" s="286" t="s">
        <v>53</v>
      </c>
      <c r="N884" s="287">
        <v>4201.03</v>
      </c>
      <c r="O884" s="294">
        <f t="shared" si="13"/>
        <v>45351</v>
      </c>
      <c r="P884" s="286" t="s">
        <v>58</v>
      </c>
    </row>
    <row r="885" spans="1:16" hidden="1" x14ac:dyDescent="0.15">
      <c r="A885" s="286">
        <v>504817</v>
      </c>
      <c r="B885" s="288">
        <v>45359.645138888889</v>
      </c>
      <c r="C885" s="286" t="s">
        <v>2109</v>
      </c>
      <c r="D885" s="286" t="s">
        <v>1105</v>
      </c>
      <c r="E885" s="286" t="s">
        <v>1106</v>
      </c>
      <c r="F885" s="286" t="s">
        <v>2154</v>
      </c>
      <c r="G885" s="286" t="s">
        <v>1025</v>
      </c>
      <c r="H885" s="286" t="s">
        <v>1025</v>
      </c>
      <c r="I885" s="286" t="s">
        <v>1199</v>
      </c>
      <c r="J885" s="286" t="s">
        <v>53</v>
      </c>
      <c r="K885" s="286" t="s">
        <v>53</v>
      </c>
      <c r="L885" s="286" t="s">
        <v>53</v>
      </c>
      <c r="M885" s="286" t="s">
        <v>53</v>
      </c>
      <c r="N885" s="287">
        <v>4201.01</v>
      </c>
      <c r="O885" s="294">
        <f t="shared" si="13"/>
        <v>45382</v>
      </c>
      <c r="P885" s="286" t="s">
        <v>58</v>
      </c>
    </row>
    <row r="886" spans="1:16" hidden="1" x14ac:dyDescent="0.15">
      <c r="A886" s="286">
        <v>504817</v>
      </c>
      <c r="B886" s="288">
        <v>45359.645138888889</v>
      </c>
      <c r="C886" s="286" t="s">
        <v>2109</v>
      </c>
      <c r="D886" s="286" t="s">
        <v>1105</v>
      </c>
      <c r="E886" s="286" t="s">
        <v>1106</v>
      </c>
      <c r="F886" s="286" t="s">
        <v>2154</v>
      </c>
      <c r="G886" s="286" t="s">
        <v>1019</v>
      </c>
      <c r="H886" s="286" t="s">
        <v>1019</v>
      </c>
      <c r="I886" s="286" t="s">
        <v>1152</v>
      </c>
      <c r="J886" s="286" t="s">
        <v>1312</v>
      </c>
      <c r="K886" s="286" t="s">
        <v>1811</v>
      </c>
      <c r="L886" s="286" t="s">
        <v>672</v>
      </c>
      <c r="M886" s="286">
        <v>1</v>
      </c>
      <c r="N886" s="287">
        <v>4185.04</v>
      </c>
      <c r="O886" s="294">
        <f t="shared" si="13"/>
        <v>45382</v>
      </c>
      <c r="P886" s="286" t="s">
        <v>58</v>
      </c>
    </row>
    <row r="887" spans="1:16" hidden="1" x14ac:dyDescent="0.15">
      <c r="A887" s="286">
        <v>534207</v>
      </c>
      <c r="B887" s="288">
        <v>45385.750694444447</v>
      </c>
      <c r="C887" s="286" t="s">
        <v>2096</v>
      </c>
      <c r="D887" s="286" t="s">
        <v>1105</v>
      </c>
      <c r="E887" s="286" t="s">
        <v>1106</v>
      </c>
      <c r="F887" s="286" t="s">
        <v>2155</v>
      </c>
      <c r="G887" s="286" t="s">
        <v>1019</v>
      </c>
      <c r="H887" s="286" t="s">
        <v>1019</v>
      </c>
      <c r="I887" s="286" t="s">
        <v>1152</v>
      </c>
      <c r="J887" s="286" t="s">
        <v>1312</v>
      </c>
      <c r="K887" s="286" t="s">
        <v>1811</v>
      </c>
      <c r="L887" s="286" t="s">
        <v>672</v>
      </c>
      <c r="M887" s="286">
        <v>1</v>
      </c>
      <c r="N887" s="287">
        <v>4185.04</v>
      </c>
      <c r="O887" s="294">
        <f t="shared" si="13"/>
        <v>45412</v>
      </c>
      <c r="P887" s="286" t="s">
        <v>58</v>
      </c>
    </row>
    <row r="888" spans="1:16" hidden="1" x14ac:dyDescent="0.15">
      <c r="A888" s="286">
        <v>614216</v>
      </c>
      <c r="B888" s="288">
        <v>45455.716666666667</v>
      </c>
      <c r="C888" s="286" t="s">
        <v>2116</v>
      </c>
      <c r="D888" s="286" t="s">
        <v>1105</v>
      </c>
      <c r="E888" s="286" t="s">
        <v>1106</v>
      </c>
      <c r="F888" s="286" t="s">
        <v>2156</v>
      </c>
      <c r="G888" s="286" t="s">
        <v>1019</v>
      </c>
      <c r="H888" s="286" t="s">
        <v>1019</v>
      </c>
      <c r="I888" s="286" t="s">
        <v>1152</v>
      </c>
      <c r="J888" s="286" t="s">
        <v>1312</v>
      </c>
      <c r="K888" s="286" t="s">
        <v>1811</v>
      </c>
      <c r="L888" s="286" t="s">
        <v>672</v>
      </c>
      <c r="M888" s="286">
        <v>1</v>
      </c>
      <c r="N888" s="287">
        <v>4185.04</v>
      </c>
      <c r="O888" s="294">
        <f t="shared" si="13"/>
        <v>45473</v>
      </c>
      <c r="P888" s="286" t="s">
        <v>58</v>
      </c>
    </row>
    <row r="889" spans="1:16" hidden="1" x14ac:dyDescent="0.15">
      <c r="A889" s="286">
        <v>614316</v>
      </c>
      <c r="B889" s="288">
        <v>45455.717361111114</v>
      </c>
      <c r="C889" s="286" t="s">
        <v>2092</v>
      </c>
      <c r="D889" s="286" t="s">
        <v>1105</v>
      </c>
      <c r="E889" s="286" t="s">
        <v>1106</v>
      </c>
      <c r="F889" s="286" t="s">
        <v>2167</v>
      </c>
      <c r="G889" s="286" t="s">
        <v>1019</v>
      </c>
      <c r="H889" s="286" t="s">
        <v>1019</v>
      </c>
      <c r="I889" s="286" t="s">
        <v>1152</v>
      </c>
      <c r="J889" s="286" t="s">
        <v>1312</v>
      </c>
      <c r="K889" s="286" t="s">
        <v>1811</v>
      </c>
      <c r="L889" s="286" t="s">
        <v>672</v>
      </c>
      <c r="M889" s="286">
        <v>1</v>
      </c>
      <c r="N889" s="287">
        <v>4185.04</v>
      </c>
      <c r="O889" s="294">
        <f t="shared" si="13"/>
        <v>45473</v>
      </c>
      <c r="P889" s="286" t="s">
        <v>58</v>
      </c>
    </row>
    <row r="890" spans="1:16" hidden="1" x14ac:dyDescent="0.15">
      <c r="A890" s="286">
        <v>646075</v>
      </c>
      <c r="B890" s="288">
        <v>45474.519444444442</v>
      </c>
      <c r="C890" s="286" t="s">
        <v>2111</v>
      </c>
      <c r="D890" s="286" t="s">
        <v>1105</v>
      </c>
      <c r="E890" s="286" t="s">
        <v>1106</v>
      </c>
      <c r="F890" s="286" t="s">
        <v>2137</v>
      </c>
      <c r="G890" s="286" t="s">
        <v>1019</v>
      </c>
      <c r="H890" s="286" t="s">
        <v>1019</v>
      </c>
      <c r="I890" s="286" t="s">
        <v>1152</v>
      </c>
      <c r="J890" s="286" t="s">
        <v>1312</v>
      </c>
      <c r="K890" s="286" t="s">
        <v>1811</v>
      </c>
      <c r="L890" s="286" t="s">
        <v>672</v>
      </c>
      <c r="M890" s="286">
        <v>1</v>
      </c>
      <c r="N890" s="287">
        <v>4185.04</v>
      </c>
      <c r="O890" s="294">
        <f t="shared" si="13"/>
        <v>45504</v>
      </c>
      <c r="P890" s="286" t="s">
        <v>58</v>
      </c>
    </row>
    <row r="891" spans="1:16" hidden="1" x14ac:dyDescent="0.15">
      <c r="A891" s="286">
        <v>697810</v>
      </c>
      <c r="B891" s="288">
        <v>45510.366666666669</v>
      </c>
      <c r="C891" s="286" t="s">
        <v>2102</v>
      </c>
      <c r="D891" s="286" t="s">
        <v>1105</v>
      </c>
      <c r="E891" s="286" t="s">
        <v>1106</v>
      </c>
      <c r="F891" s="286" t="s">
        <v>2138</v>
      </c>
      <c r="G891" s="286" t="s">
        <v>1019</v>
      </c>
      <c r="H891" s="286" t="s">
        <v>1019</v>
      </c>
      <c r="I891" s="286" t="s">
        <v>1152</v>
      </c>
      <c r="J891" s="286" t="s">
        <v>1312</v>
      </c>
      <c r="K891" s="286" t="s">
        <v>1811</v>
      </c>
      <c r="L891" s="286" t="s">
        <v>672</v>
      </c>
      <c r="M891" s="286">
        <v>1</v>
      </c>
      <c r="N891" s="287">
        <v>4185.04</v>
      </c>
      <c r="O891" s="294">
        <f t="shared" si="13"/>
        <v>45535</v>
      </c>
      <c r="P891" s="286" t="s">
        <v>58</v>
      </c>
    </row>
    <row r="892" spans="1:16" hidden="1" x14ac:dyDescent="0.15">
      <c r="A892" s="286">
        <v>745911</v>
      </c>
      <c r="B892" s="288">
        <v>45538.44027777778</v>
      </c>
      <c r="C892" s="286" t="s">
        <v>2132</v>
      </c>
      <c r="D892" s="286" t="s">
        <v>1105</v>
      </c>
      <c r="E892" s="286" t="s">
        <v>1106</v>
      </c>
      <c r="F892" s="286" t="s">
        <v>2139</v>
      </c>
      <c r="G892" s="286" t="s">
        <v>1019</v>
      </c>
      <c r="H892" s="286" t="s">
        <v>1019</v>
      </c>
      <c r="I892" s="286" t="s">
        <v>1152</v>
      </c>
      <c r="J892" s="286" t="s">
        <v>1312</v>
      </c>
      <c r="K892" s="286" t="s">
        <v>1811</v>
      </c>
      <c r="L892" s="286" t="s">
        <v>672</v>
      </c>
      <c r="M892" s="286">
        <v>1</v>
      </c>
      <c r="N892" s="287">
        <v>4185.04</v>
      </c>
      <c r="O892" s="294">
        <f t="shared" si="13"/>
        <v>45565</v>
      </c>
      <c r="P892" s="286" t="s">
        <v>58</v>
      </c>
    </row>
    <row r="893" spans="1:16" hidden="1" x14ac:dyDescent="0.15">
      <c r="A893" s="286">
        <v>848817</v>
      </c>
      <c r="B893" s="288">
        <v>45607.65902777778</v>
      </c>
      <c r="C893" s="286" t="s">
        <v>2130</v>
      </c>
      <c r="D893" s="286" t="s">
        <v>1105</v>
      </c>
      <c r="E893" s="286" t="s">
        <v>1106</v>
      </c>
      <c r="F893" s="286" t="s">
        <v>2140</v>
      </c>
      <c r="G893" s="286" t="s">
        <v>1019</v>
      </c>
      <c r="H893" s="286" t="s">
        <v>1019</v>
      </c>
      <c r="I893" s="286" t="s">
        <v>1152</v>
      </c>
      <c r="J893" s="286" t="s">
        <v>1312</v>
      </c>
      <c r="K893" s="286" t="s">
        <v>1811</v>
      </c>
      <c r="L893" s="286" t="s">
        <v>672</v>
      </c>
      <c r="M893" s="286">
        <v>1</v>
      </c>
      <c r="N893" s="287">
        <v>4185.04</v>
      </c>
      <c r="O893" s="294">
        <f t="shared" si="13"/>
        <v>45626</v>
      </c>
      <c r="P893" s="286" t="s">
        <v>58</v>
      </c>
    </row>
    <row r="894" spans="1:16" hidden="1" x14ac:dyDescent="0.15">
      <c r="A894" s="286">
        <v>848917</v>
      </c>
      <c r="B894" s="288">
        <v>45607.660416666666</v>
      </c>
      <c r="C894" s="286" t="s">
        <v>2100</v>
      </c>
      <c r="D894" s="286" t="s">
        <v>1105</v>
      </c>
      <c r="E894" s="286" t="s">
        <v>1106</v>
      </c>
      <c r="F894" s="286" t="s">
        <v>2141</v>
      </c>
      <c r="G894" s="286" t="s">
        <v>1019</v>
      </c>
      <c r="H894" s="286" t="s">
        <v>1019</v>
      </c>
      <c r="I894" s="286" t="s">
        <v>1152</v>
      </c>
      <c r="J894" s="286" t="s">
        <v>1312</v>
      </c>
      <c r="K894" s="286" t="s">
        <v>1811</v>
      </c>
      <c r="L894" s="286" t="s">
        <v>672</v>
      </c>
      <c r="M894" s="286">
        <v>1</v>
      </c>
      <c r="N894" s="287">
        <v>4185.04</v>
      </c>
      <c r="O894" s="294">
        <f t="shared" si="13"/>
        <v>45626</v>
      </c>
      <c r="P894" s="286" t="s">
        <v>58</v>
      </c>
    </row>
    <row r="895" spans="1:16" hidden="1" x14ac:dyDescent="0.15">
      <c r="A895" s="286">
        <v>874698</v>
      </c>
      <c r="B895" s="288">
        <v>45628.357638888891</v>
      </c>
      <c r="C895" s="286" t="s">
        <v>2098</v>
      </c>
      <c r="D895" s="286" t="s">
        <v>1105</v>
      </c>
      <c r="E895" s="286" t="s">
        <v>1106</v>
      </c>
      <c r="F895" s="286" t="s">
        <v>2142</v>
      </c>
      <c r="G895" s="286" t="s">
        <v>1019</v>
      </c>
      <c r="H895" s="286" t="s">
        <v>1019</v>
      </c>
      <c r="I895" s="286" t="s">
        <v>1152</v>
      </c>
      <c r="J895" s="286" t="s">
        <v>1312</v>
      </c>
      <c r="K895" s="286" t="s">
        <v>1811</v>
      </c>
      <c r="L895" s="286" t="s">
        <v>672</v>
      </c>
      <c r="M895" s="286">
        <v>1</v>
      </c>
      <c r="N895" s="287">
        <v>4185.04</v>
      </c>
      <c r="O895" s="294">
        <f t="shared" si="13"/>
        <v>45657</v>
      </c>
      <c r="P895" s="286" t="s">
        <v>58</v>
      </c>
    </row>
    <row r="896" spans="1:16" hidden="1" x14ac:dyDescent="0.15">
      <c r="A896" s="286">
        <v>438112</v>
      </c>
      <c r="B896" s="288">
        <v>45293.53402777778</v>
      </c>
      <c r="C896" s="286" t="s">
        <v>2125</v>
      </c>
      <c r="D896" s="286" t="s">
        <v>1105</v>
      </c>
      <c r="E896" s="286" t="s">
        <v>1106</v>
      </c>
      <c r="F896" s="286" t="s">
        <v>2152</v>
      </c>
      <c r="G896" s="286" t="s">
        <v>1074</v>
      </c>
      <c r="H896" s="286" t="s">
        <v>1034</v>
      </c>
      <c r="I896" s="286" t="s">
        <v>1152</v>
      </c>
      <c r="J896" s="286" t="s">
        <v>1312</v>
      </c>
      <c r="K896" s="286" t="s">
        <v>1811</v>
      </c>
      <c r="L896" s="286" t="s">
        <v>672</v>
      </c>
      <c r="M896" s="286">
        <v>1</v>
      </c>
      <c r="N896" s="287">
        <v>4172.63</v>
      </c>
      <c r="O896" s="294">
        <f t="shared" si="13"/>
        <v>45322</v>
      </c>
      <c r="P896" s="286" t="s">
        <v>58</v>
      </c>
    </row>
    <row r="897" spans="1:16" hidden="1" x14ac:dyDescent="0.15">
      <c r="A897" s="286">
        <v>438112</v>
      </c>
      <c r="B897" s="288">
        <v>45293.53402777778</v>
      </c>
      <c r="C897" s="286" t="s">
        <v>2125</v>
      </c>
      <c r="D897" s="286" t="s">
        <v>1105</v>
      </c>
      <c r="E897" s="286" t="s">
        <v>1106</v>
      </c>
      <c r="F897" s="286" t="s">
        <v>2152</v>
      </c>
      <c r="G897" s="286" t="s">
        <v>1766</v>
      </c>
      <c r="H897" s="286" t="s">
        <v>1766</v>
      </c>
      <c r="I897" s="286" t="s">
        <v>1199</v>
      </c>
      <c r="J897" s="286" t="s">
        <v>1312</v>
      </c>
      <c r="K897" s="286" t="s">
        <v>1690</v>
      </c>
      <c r="L897" s="286" t="s">
        <v>672</v>
      </c>
      <c r="M897" s="286">
        <v>1</v>
      </c>
      <c r="N897" s="287">
        <v>4172.63</v>
      </c>
      <c r="O897" s="294">
        <f t="shared" si="13"/>
        <v>45322</v>
      </c>
      <c r="P897" s="286" t="s">
        <v>58</v>
      </c>
    </row>
    <row r="898" spans="1:16" hidden="1" x14ac:dyDescent="0.15">
      <c r="A898" s="286">
        <v>472168</v>
      </c>
      <c r="B898" s="288">
        <v>45331.416666666664</v>
      </c>
      <c r="C898" s="286" t="s">
        <v>2113</v>
      </c>
      <c r="D898" s="286" t="s">
        <v>1105</v>
      </c>
      <c r="E898" s="286" t="s">
        <v>1106</v>
      </c>
      <c r="F898" s="286" t="s">
        <v>2153</v>
      </c>
      <c r="G898" s="286" t="s">
        <v>1074</v>
      </c>
      <c r="H898" s="286" t="s">
        <v>1034</v>
      </c>
      <c r="I898" s="286" t="s">
        <v>1152</v>
      </c>
      <c r="J898" s="286" t="s">
        <v>1312</v>
      </c>
      <c r="K898" s="286" t="s">
        <v>1811</v>
      </c>
      <c r="L898" s="286" t="s">
        <v>672</v>
      </c>
      <c r="M898" s="286">
        <v>1</v>
      </c>
      <c r="N898" s="287">
        <v>4172.63</v>
      </c>
      <c r="O898" s="294">
        <f t="shared" si="13"/>
        <v>45351</v>
      </c>
      <c r="P898" s="286" t="s">
        <v>58</v>
      </c>
    </row>
    <row r="899" spans="1:16" hidden="1" x14ac:dyDescent="0.15">
      <c r="A899" s="286">
        <v>472168</v>
      </c>
      <c r="B899" s="288">
        <v>45331.416666666664</v>
      </c>
      <c r="C899" s="286" t="s">
        <v>2113</v>
      </c>
      <c r="D899" s="286" t="s">
        <v>1105</v>
      </c>
      <c r="E899" s="286" t="s">
        <v>1106</v>
      </c>
      <c r="F899" s="286" t="s">
        <v>2153</v>
      </c>
      <c r="G899" s="286" t="s">
        <v>1766</v>
      </c>
      <c r="H899" s="286" t="s">
        <v>1766</v>
      </c>
      <c r="I899" s="286" t="s">
        <v>1199</v>
      </c>
      <c r="J899" s="286" t="s">
        <v>1312</v>
      </c>
      <c r="K899" s="286" t="s">
        <v>1690</v>
      </c>
      <c r="L899" s="286" t="s">
        <v>672</v>
      </c>
      <c r="M899" s="286">
        <v>1</v>
      </c>
      <c r="N899" s="287">
        <v>4172.63</v>
      </c>
      <c r="O899" s="294">
        <f t="shared" si="13"/>
        <v>45351</v>
      </c>
      <c r="P899" s="286" t="s">
        <v>58</v>
      </c>
    </row>
    <row r="900" spans="1:16" hidden="1" x14ac:dyDescent="0.15">
      <c r="A900" s="286">
        <v>504817</v>
      </c>
      <c r="B900" s="288">
        <v>45359.645138888889</v>
      </c>
      <c r="C900" s="286" t="s">
        <v>2109</v>
      </c>
      <c r="D900" s="286" t="s">
        <v>1105</v>
      </c>
      <c r="E900" s="286" t="s">
        <v>1106</v>
      </c>
      <c r="F900" s="286" t="s">
        <v>2154</v>
      </c>
      <c r="G900" s="286" t="s">
        <v>1074</v>
      </c>
      <c r="H900" s="286" t="s">
        <v>1034</v>
      </c>
      <c r="I900" s="286" t="s">
        <v>1152</v>
      </c>
      <c r="J900" s="286" t="s">
        <v>1312</v>
      </c>
      <c r="K900" s="286" t="s">
        <v>1811</v>
      </c>
      <c r="L900" s="286" t="s">
        <v>672</v>
      </c>
      <c r="M900" s="286">
        <v>1</v>
      </c>
      <c r="N900" s="287">
        <v>4172.63</v>
      </c>
      <c r="O900" s="294">
        <f t="shared" ref="O900:O963" si="14">EOMONTH(B900,0)</f>
        <v>45382</v>
      </c>
      <c r="P900" s="286" t="s">
        <v>58</v>
      </c>
    </row>
    <row r="901" spans="1:16" hidden="1" x14ac:dyDescent="0.15">
      <c r="A901" s="286">
        <v>504817</v>
      </c>
      <c r="B901" s="288">
        <v>45359.645138888889</v>
      </c>
      <c r="C901" s="286" t="s">
        <v>2109</v>
      </c>
      <c r="D901" s="286" t="s">
        <v>1105</v>
      </c>
      <c r="E901" s="286" t="s">
        <v>1106</v>
      </c>
      <c r="F901" s="286" t="s">
        <v>2154</v>
      </c>
      <c r="G901" s="286" t="s">
        <v>1766</v>
      </c>
      <c r="H901" s="286" t="s">
        <v>1766</v>
      </c>
      <c r="I901" s="286" t="s">
        <v>1199</v>
      </c>
      <c r="J901" s="286" t="s">
        <v>1312</v>
      </c>
      <c r="K901" s="286" t="s">
        <v>1690</v>
      </c>
      <c r="L901" s="286" t="s">
        <v>672</v>
      </c>
      <c r="M901" s="286">
        <v>1</v>
      </c>
      <c r="N901" s="287">
        <v>4172.63</v>
      </c>
      <c r="O901" s="294">
        <f t="shared" si="14"/>
        <v>45382</v>
      </c>
      <c r="P901" s="286" t="s">
        <v>58</v>
      </c>
    </row>
    <row r="902" spans="1:16" hidden="1" x14ac:dyDescent="0.15">
      <c r="A902" s="286">
        <v>534207</v>
      </c>
      <c r="B902" s="288">
        <v>45385.750694444447</v>
      </c>
      <c r="C902" s="286" t="s">
        <v>2096</v>
      </c>
      <c r="D902" s="286" t="s">
        <v>1105</v>
      </c>
      <c r="E902" s="286" t="s">
        <v>1106</v>
      </c>
      <c r="F902" s="286" t="s">
        <v>2155</v>
      </c>
      <c r="G902" s="286" t="s">
        <v>1074</v>
      </c>
      <c r="H902" s="286" t="s">
        <v>1034</v>
      </c>
      <c r="I902" s="286" t="s">
        <v>1152</v>
      </c>
      <c r="J902" s="286" t="s">
        <v>1312</v>
      </c>
      <c r="K902" s="286" t="s">
        <v>1811</v>
      </c>
      <c r="L902" s="286" t="s">
        <v>672</v>
      </c>
      <c r="M902" s="286">
        <v>1</v>
      </c>
      <c r="N902" s="287">
        <v>4172.63</v>
      </c>
      <c r="O902" s="294">
        <f t="shared" si="14"/>
        <v>45412</v>
      </c>
      <c r="P902" s="286" t="s">
        <v>58</v>
      </c>
    </row>
    <row r="903" spans="1:16" hidden="1" x14ac:dyDescent="0.15">
      <c r="A903" s="286">
        <v>534207</v>
      </c>
      <c r="B903" s="288">
        <v>45385.750694444447</v>
      </c>
      <c r="C903" s="286" t="s">
        <v>2096</v>
      </c>
      <c r="D903" s="286" t="s">
        <v>1105</v>
      </c>
      <c r="E903" s="286" t="s">
        <v>1106</v>
      </c>
      <c r="F903" s="286" t="s">
        <v>2155</v>
      </c>
      <c r="G903" s="286" t="s">
        <v>1766</v>
      </c>
      <c r="H903" s="286" t="s">
        <v>1766</v>
      </c>
      <c r="I903" s="286" t="s">
        <v>1199</v>
      </c>
      <c r="J903" s="286" t="s">
        <v>1312</v>
      </c>
      <c r="K903" s="286" t="s">
        <v>1690</v>
      </c>
      <c r="L903" s="286" t="s">
        <v>672</v>
      </c>
      <c r="M903" s="286">
        <v>1</v>
      </c>
      <c r="N903" s="287">
        <v>4172.63</v>
      </c>
      <c r="O903" s="294">
        <f t="shared" si="14"/>
        <v>45412</v>
      </c>
      <c r="P903" s="286" t="s">
        <v>58</v>
      </c>
    </row>
    <row r="904" spans="1:16" hidden="1" x14ac:dyDescent="0.15">
      <c r="A904" s="286">
        <v>614216</v>
      </c>
      <c r="B904" s="288">
        <v>45455.716666666667</v>
      </c>
      <c r="C904" s="286" t="s">
        <v>2116</v>
      </c>
      <c r="D904" s="286" t="s">
        <v>1105</v>
      </c>
      <c r="E904" s="286" t="s">
        <v>1106</v>
      </c>
      <c r="F904" s="286" t="s">
        <v>2156</v>
      </c>
      <c r="G904" s="286" t="s">
        <v>1074</v>
      </c>
      <c r="H904" s="286" t="s">
        <v>1034</v>
      </c>
      <c r="I904" s="286" t="s">
        <v>1152</v>
      </c>
      <c r="J904" s="286" t="s">
        <v>1312</v>
      </c>
      <c r="K904" s="286" t="s">
        <v>1811</v>
      </c>
      <c r="L904" s="286" t="s">
        <v>672</v>
      </c>
      <c r="M904" s="286">
        <v>1</v>
      </c>
      <c r="N904" s="287">
        <v>4172.63</v>
      </c>
      <c r="O904" s="294">
        <f t="shared" si="14"/>
        <v>45473</v>
      </c>
      <c r="P904" s="286" t="s">
        <v>58</v>
      </c>
    </row>
    <row r="905" spans="1:16" hidden="1" x14ac:dyDescent="0.15">
      <c r="A905" s="286">
        <v>614216</v>
      </c>
      <c r="B905" s="288">
        <v>45455.716666666667</v>
      </c>
      <c r="C905" s="286" t="s">
        <v>2116</v>
      </c>
      <c r="D905" s="286" t="s">
        <v>1105</v>
      </c>
      <c r="E905" s="286" t="s">
        <v>1106</v>
      </c>
      <c r="F905" s="286" t="s">
        <v>2156</v>
      </c>
      <c r="G905" s="286" t="s">
        <v>1016</v>
      </c>
      <c r="H905" s="286" t="s">
        <v>1016</v>
      </c>
      <c r="I905" s="286" t="s">
        <v>1199</v>
      </c>
      <c r="J905" s="286" t="s">
        <v>1312</v>
      </c>
      <c r="K905" s="286" t="s">
        <v>1690</v>
      </c>
      <c r="L905" s="286" t="s">
        <v>672</v>
      </c>
      <c r="M905" s="286">
        <v>1</v>
      </c>
      <c r="N905" s="287">
        <v>4172.63</v>
      </c>
      <c r="O905" s="294">
        <f t="shared" si="14"/>
        <v>45473</v>
      </c>
      <c r="P905" s="286" t="s">
        <v>58</v>
      </c>
    </row>
    <row r="906" spans="1:16" hidden="1" x14ac:dyDescent="0.15">
      <c r="A906" s="286">
        <v>608480</v>
      </c>
      <c r="B906" s="288">
        <v>45450.422222222223</v>
      </c>
      <c r="C906" s="286" t="s">
        <v>2092</v>
      </c>
      <c r="D906" s="286" t="s">
        <v>1105</v>
      </c>
      <c r="E906" s="286" t="s">
        <v>1106</v>
      </c>
      <c r="F906" s="286" t="s">
        <v>2157</v>
      </c>
      <c r="G906" s="286" t="s">
        <v>1016</v>
      </c>
      <c r="H906" s="286" t="s">
        <v>1016</v>
      </c>
      <c r="I906" s="286" t="s">
        <v>1199</v>
      </c>
      <c r="J906" s="286" t="s">
        <v>1312</v>
      </c>
      <c r="K906" s="286" t="s">
        <v>1690</v>
      </c>
      <c r="L906" s="286" t="s">
        <v>672</v>
      </c>
      <c r="M906" s="286">
        <v>1</v>
      </c>
      <c r="N906" s="287">
        <v>4172.63</v>
      </c>
      <c r="O906" s="294">
        <f t="shared" si="14"/>
        <v>45473</v>
      </c>
      <c r="P906" s="286" t="s">
        <v>58</v>
      </c>
    </row>
    <row r="907" spans="1:16" hidden="1" x14ac:dyDescent="0.15">
      <c r="A907" s="286">
        <v>614316</v>
      </c>
      <c r="B907" s="288">
        <v>45455.717361111114</v>
      </c>
      <c r="C907" s="286" t="s">
        <v>2092</v>
      </c>
      <c r="D907" s="286" t="s">
        <v>1105</v>
      </c>
      <c r="E907" s="286" t="s">
        <v>1106</v>
      </c>
      <c r="F907" s="286" t="s">
        <v>2167</v>
      </c>
      <c r="G907" s="286" t="s">
        <v>1074</v>
      </c>
      <c r="H907" s="286" t="s">
        <v>1034</v>
      </c>
      <c r="I907" s="286" t="s">
        <v>1152</v>
      </c>
      <c r="J907" s="286" t="s">
        <v>1312</v>
      </c>
      <c r="K907" s="286" t="s">
        <v>1811</v>
      </c>
      <c r="L907" s="286" t="s">
        <v>672</v>
      </c>
      <c r="M907" s="286">
        <v>1</v>
      </c>
      <c r="N907" s="287">
        <v>4172.63</v>
      </c>
      <c r="O907" s="294">
        <f t="shared" si="14"/>
        <v>45473</v>
      </c>
      <c r="P907" s="286" t="s">
        <v>58</v>
      </c>
    </row>
    <row r="908" spans="1:16" hidden="1" x14ac:dyDescent="0.15">
      <c r="A908" s="286">
        <v>646075</v>
      </c>
      <c r="B908" s="288">
        <v>45474.519444444442</v>
      </c>
      <c r="C908" s="286" t="s">
        <v>2111</v>
      </c>
      <c r="D908" s="286" t="s">
        <v>1105</v>
      </c>
      <c r="E908" s="286" t="s">
        <v>1106</v>
      </c>
      <c r="F908" s="286" t="s">
        <v>2137</v>
      </c>
      <c r="G908" s="286" t="s">
        <v>1074</v>
      </c>
      <c r="H908" s="286" t="s">
        <v>1034</v>
      </c>
      <c r="I908" s="286" t="s">
        <v>1152</v>
      </c>
      <c r="J908" s="286" t="s">
        <v>1312</v>
      </c>
      <c r="K908" s="286" t="s">
        <v>1811</v>
      </c>
      <c r="L908" s="286" t="s">
        <v>672</v>
      </c>
      <c r="M908" s="286">
        <v>1</v>
      </c>
      <c r="N908" s="287">
        <v>4172.63</v>
      </c>
      <c r="O908" s="294">
        <f t="shared" si="14"/>
        <v>45504</v>
      </c>
      <c r="P908" s="286" t="s">
        <v>58</v>
      </c>
    </row>
    <row r="909" spans="1:16" hidden="1" x14ac:dyDescent="0.15">
      <c r="A909" s="286">
        <v>646075</v>
      </c>
      <c r="B909" s="288">
        <v>45474.519444444442</v>
      </c>
      <c r="C909" s="286" t="s">
        <v>2111</v>
      </c>
      <c r="D909" s="286" t="s">
        <v>1105</v>
      </c>
      <c r="E909" s="286" t="s">
        <v>1106</v>
      </c>
      <c r="F909" s="286" t="s">
        <v>2137</v>
      </c>
      <c r="G909" s="286" t="s">
        <v>1016</v>
      </c>
      <c r="H909" s="286" t="s">
        <v>1016</v>
      </c>
      <c r="I909" s="286" t="s">
        <v>1199</v>
      </c>
      <c r="J909" s="286" t="s">
        <v>1312</v>
      </c>
      <c r="K909" s="286" t="s">
        <v>1690</v>
      </c>
      <c r="L909" s="286" t="s">
        <v>672</v>
      </c>
      <c r="M909" s="286">
        <v>1</v>
      </c>
      <c r="N909" s="287">
        <v>4172.63</v>
      </c>
      <c r="O909" s="294">
        <f t="shared" si="14"/>
        <v>45504</v>
      </c>
      <c r="P909" s="286" t="s">
        <v>58</v>
      </c>
    </row>
    <row r="910" spans="1:16" hidden="1" x14ac:dyDescent="0.15">
      <c r="A910" s="286">
        <v>697810</v>
      </c>
      <c r="B910" s="288">
        <v>45510.366666666669</v>
      </c>
      <c r="C910" s="286" t="s">
        <v>2102</v>
      </c>
      <c r="D910" s="286" t="s">
        <v>1105</v>
      </c>
      <c r="E910" s="286" t="s">
        <v>1106</v>
      </c>
      <c r="F910" s="286" t="s">
        <v>2138</v>
      </c>
      <c r="G910" s="286" t="s">
        <v>1074</v>
      </c>
      <c r="H910" s="286" t="s">
        <v>1034</v>
      </c>
      <c r="I910" s="286" t="s">
        <v>1152</v>
      </c>
      <c r="J910" s="286" t="s">
        <v>1312</v>
      </c>
      <c r="K910" s="286" t="s">
        <v>1811</v>
      </c>
      <c r="L910" s="286" t="s">
        <v>672</v>
      </c>
      <c r="M910" s="286">
        <v>1</v>
      </c>
      <c r="N910" s="287">
        <v>4172.63</v>
      </c>
      <c r="O910" s="294">
        <f t="shared" si="14"/>
        <v>45535</v>
      </c>
      <c r="P910" s="286" t="s">
        <v>58</v>
      </c>
    </row>
    <row r="911" spans="1:16" hidden="1" x14ac:dyDescent="0.15">
      <c r="A911" s="286">
        <v>745911</v>
      </c>
      <c r="B911" s="288">
        <v>45538.44027777778</v>
      </c>
      <c r="C911" s="286" t="s">
        <v>2132</v>
      </c>
      <c r="D911" s="286" t="s">
        <v>1105</v>
      </c>
      <c r="E911" s="286" t="s">
        <v>1106</v>
      </c>
      <c r="F911" s="286" t="s">
        <v>2139</v>
      </c>
      <c r="G911" s="286" t="s">
        <v>1074</v>
      </c>
      <c r="H911" s="286" t="s">
        <v>1034</v>
      </c>
      <c r="I911" s="286" t="s">
        <v>1152</v>
      </c>
      <c r="J911" s="286" t="s">
        <v>1312</v>
      </c>
      <c r="K911" s="286" t="s">
        <v>1811</v>
      </c>
      <c r="L911" s="286" t="s">
        <v>672</v>
      </c>
      <c r="M911" s="286">
        <v>1</v>
      </c>
      <c r="N911" s="287">
        <v>4172.63</v>
      </c>
      <c r="O911" s="294">
        <f t="shared" si="14"/>
        <v>45565</v>
      </c>
      <c r="P911" s="286" t="s">
        <v>58</v>
      </c>
    </row>
    <row r="912" spans="1:16" hidden="1" x14ac:dyDescent="0.15">
      <c r="A912" s="286">
        <v>697810</v>
      </c>
      <c r="B912" s="288">
        <v>45510.366666666669</v>
      </c>
      <c r="C912" s="286" t="s">
        <v>2102</v>
      </c>
      <c r="D912" s="286" t="s">
        <v>1105</v>
      </c>
      <c r="E912" s="286" t="s">
        <v>1106</v>
      </c>
      <c r="F912" s="286" t="s">
        <v>2138</v>
      </c>
      <c r="G912" s="286" t="s">
        <v>1016</v>
      </c>
      <c r="H912" s="286" t="s">
        <v>1016</v>
      </c>
      <c r="I912" s="286" t="s">
        <v>1199</v>
      </c>
      <c r="J912" s="286" t="s">
        <v>1312</v>
      </c>
      <c r="K912" s="286" t="s">
        <v>1690</v>
      </c>
      <c r="L912" s="286" t="s">
        <v>672</v>
      </c>
      <c r="M912" s="286">
        <v>1</v>
      </c>
      <c r="N912" s="287">
        <v>4172.59</v>
      </c>
      <c r="O912" s="294">
        <f t="shared" si="14"/>
        <v>45535</v>
      </c>
      <c r="P912" s="286" t="s">
        <v>58</v>
      </c>
    </row>
    <row r="913" spans="1:16" hidden="1" x14ac:dyDescent="0.15">
      <c r="A913" s="286">
        <v>848817</v>
      </c>
      <c r="B913" s="288">
        <v>45607.65902777778</v>
      </c>
      <c r="C913" s="286" t="s">
        <v>2130</v>
      </c>
      <c r="D913" s="286" t="s">
        <v>1105</v>
      </c>
      <c r="E913" s="286" t="s">
        <v>1106</v>
      </c>
      <c r="F913" s="286" t="s">
        <v>2140</v>
      </c>
      <c r="G913" s="286" t="s">
        <v>1074</v>
      </c>
      <c r="H913" s="286" t="s">
        <v>1034</v>
      </c>
      <c r="I913" s="286" t="s">
        <v>1152</v>
      </c>
      <c r="J913" s="286" t="s">
        <v>1312</v>
      </c>
      <c r="K913" s="286" t="s">
        <v>1811</v>
      </c>
      <c r="L913" s="286" t="s">
        <v>672</v>
      </c>
      <c r="M913" s="286">
        <v>1</v>
      </c>
      <c r="N913" s="287">
        <v>4172.58</v>
      </c>
      <c r="O913" s="294">
        <f t="shared" si="14"/>
        <v>45626</v>
      </c>
      <c r="P913" s="286" t="s">
        <v>58</v>
      </c>
    </row>
    <row r="914" spans="1:16" hidden="1" x14ac:dyDescent="0.15">
      <c r="A914" s="286">
        <v>614216</v>
      </c>
      <c r="B914" s="288">
        <v>45455.716666666667</v>
      </c>
      <c r="C914" s="286" t="s">
        <v>2116</v>
      </c>
      <c r="D914" s="286" t="s">
        <v>1105</v>
      </c>
      <c r="E914" s="286" t="s">
        <v>1106</v>
      </c>
      <c r="F914" s="286" t="s">
        <v>2156</v>
      </c>
      <c r="G914" s="286" t="s">
        <v>1054</v>
      </c>
      <c r="H914" s="286" t="s">
        <v>1054</v>
      </c>
      <c r="I914" s="286" t="s">
        <v>1152</v>
      </c>
      <c r="J914" s="286" t="s">
        <v>1312</v>
      </c>
      <c r="K914" s="286" t="s">
        <v>2302</v>
      </c>
      <c r="L914" s="286" t="s">
        <v>2303</v>
      </c>
      <c r="M914" s="286">
        <v>1</v>
      </c>
      <c r="N914" s="287">
        <v>4171.6099999999997</v>
      </c>
      <c r="O914" s="294">
        <f t="shared" si="14"/>
        <v>45473</v>
      </c>
      <c r="P914" s="286" t="s">
        <v>58</v>
      </c>
    </row>
    <row r="915" spans="1:16" hidden="1" x14ac:dyDescent="0.15">
      <c r="A915" s="286">
        <v>614517</v>
      </c>
      <c r="B915" s="288">
        <v>45455.734027777777</v>
      </c>
      <c r="C915" s="286" t="s">
        <v>2116</v>
      </c>
      <c r="D915" s="286" t="s">
        <v>1105</v>
      </c>
      <c r="E915" s="286" t="s">
        <v>1106</v>
      </c>
      <c r="F915" s="286" t="s">
        <v>2304</v>
      </c>
      <c r="G915" s="286" t="s">
        <v>1054</v>
      </c>
      <c r="H915" s="286" t="s">
        <v>1054</v>
      </c>
      <c r="I915" s="286" t="s">
        <v>1152</v>
      </c>
      <c r="J915" s="286" t="s">
        <v>1312</v>
      </c>
      <c r="K915" s="286" t="s">
        <v>53</v>
      </c>
      <c r="L915" s="286" t="s">
        <v>53</v>
      </c>
      <c r="M915" s="286" t="s">
        <v>53</v>
      </c>
      <c r="N915" s="287">
        <v>4171.6099999999997</v>
      </c>
      <c r="O915" s="294">
        <f t="shared" si="14"/>
        <v>45473</v>
      </c>
      <c r="P915" s="286" t="s">
        <v>58</v>
      </c>
    </row>
    <row r="916" spans="1:16" hidden="1" x14ac:dyDescent="0.15">
      <c r="A916" s="286">
        <v>614316</v>
      </c>
      <c r="B916" s="288">
        <v>45455.717361111114</v>
      </c>
      <c r="C916" s="286" t="s">
        <v>2092</v>
      </c>
      <c r="D916" s="286" t="s">
        <v>1105</v>
      </c>
      <c r="E916" s="286" t="s">
        <v>1106</v>
      </c>
      <c r="F916" s="286" t="s">
        <v>2167</v>
      </c>
      <c r="G916" s="286" t="s">
        <v>1054</v>
      </c>
      <c r="H916" s="286" t="s">
        <v>1054</v>
      </c>
      <c r="I916" s="286" t="s">
        <v>1152</v>
      </c>
      <c r="J916" s="286" t="s">
        <v>1312</v>
      </c>
      <c r="K916" s="286" t="s">
        <v>2302</v>
      </c>
      <c r="L916" s="286" t="s">
        <v>2303</v>
      </c>
      <c r="M916" s="286">
        <v>1</v>
      </c>
      <c r="N916" s="287">
        <v>4171.6099999999997</v>
      </c>
      <c r="O916" s="294">
        <f t="shared" si="14"/>
        <v>45473</v>
      </c>
      <c r="P916" s="286" t="s">
        <v>58</v>
      </c>
    </row>
    <row r="917" spans="1:16" hidden="1" x14ac:dyDescent="0.15">
      <c r="A917" s="286">
        <v>614617</v>
      </c>
      <c r="B917" s="288">
        <v>45455.734722222223</v>
      </c>
      <c r="C917" s="286" t="s">
        <v>2092</v>
      </c>
      <c r="D917" s="286" t="s">
        <v>1105</v>
      </c>
      <c r="E917" s="286" t="s">
        <v>1106</v>
      </c>
      <c r="F917" s="286" t="s">
        <v>2305</v>
      </c>
      <c r="G917" s="286" t="s">
        <v>1054</v>
      </c>
      <c r="H917" s="286" t="s">
        <v>1054</v>
      </c>
      <c r="I917" s="286" t="s">
        <v>1152</v>
      </c>
      <c r="J917" s="286" t="s">
        <v>1312</v>
      </c>
      <c r="K917" s="286" t="s">
        <v>53</v>
      </c>
      <c r="L917" s="286" t="s">
        <v>53</v>
      </c>
      <c r="M917" s="286" t="s">
        <v>53</v>
      </c>
      <c r="N917" s="287">
        <v>4171.6099999999997</v>
      </c>
      <c r="O917" s="294">
        <f t="shared" si="14"/>
        <v>45473</v>
      </c>
      <c r="P917" s="286" t="s">
        <v>58</v>
      </c>
    </row>
    <row r="918" spans="1:16" hidden="1" x14ac:dyDescent="0.15">
      <c r="A918" s="286">
        <v>646075</v>
      </c>
      <c r="B918" s="288">
        <v>45474.519444444442</v>
      </c>
      <c r="C918" s="286" t="s">
        <v>2111</v>
      </c>
      <c r="D918" s="286" t="s">
        <v>1105</v>
      </c>
      <c r="E918" s="286" t="s">
        <v>1106</v>
      </c>
      <c r="F918" s="286" t="s">
        <v>2137</v>
      </c>
      <c r="G918" s="286" t="s">
        <v>1054</v>
      </c>
      <c r="H918" s="286" t="s">
        <v>1054</v>
      </c>
      <c r="I918" s="286" t="s">
        <v>1152</v>
      </c>
      <c r="J918" s="286" t="s">
        <v>1312</v>
      </c>
      <c r="K918" s="286" t="s">
        <v>2302</v>
      </c>
      <c r="L918" s="286" t="s">
        <v>2303</v>
      </c>
      <c r="M918" s="286">
        <v>1</v>
      </c>
      <c r="N918" s="287">
        <v>4171.6099999999997</v>
      </c>
      <c r="O918" s="294">
        <f t="shared" si="14"/>
        <v>45504</v>
      </c>
      <c r="P918" s="286" t="s">
        <v>58</v>
      </c>
    </row>
    <row r="919" spans="1:16" hidden="1" x14ac:dyDescent="0.15">
      <c r="A919" s="286">
        <v>646075</v>
      </c>
      <c r="B919" s="288">
        <v>45474.519444444442</v>
      </c>
      <c r="C919" s="286" t="s">
        <v>2111</v>
      </c>
      <c r="D919" s="286" t="s">
        <v>1105</v>
      </c>
      <c r="E919" s="286" t="s">
        <v>1106</v>
      </c>
      <c r="F919" s="286" t="s">
        <v>2137</v>
      </c>
      <c r="G919" s="286" t="s">
        <v>1054</v>
      </c>
      <c r="H919" s="286" t="s">
        <v>1054</v>
      </c>
      <c r="I919" s="286" t="s">
        <v>1152</v>
      </c>
      <c r="J919" s="286" t="s">
        <v>1312</v>
      </c>
      <c r="K919" s="286" t="s">
        <v>53</v>
      </c>
      <c r="L919" s="286" t="s">
        <v>53</v>
      </c>
      <c r="M919" s="286" t="s">
        <v>53</v>
      </c>
      <c r="N919" s="287">
        <v>4171.6099999999997</v>
      </c>
      <c r="O919" s="294">
        <f t="shared" si="14"/>
        <v>45504</v>
      </c>
      <c r="P919" s="286" t="s">
        <v>58</v>
      </c>
    </row>
    <row r="920" spans="1:16" hidden="1" x14ac:dyDescent="0.15">
      <c r="A920" s="286">
        <v>697810</v>
      </c>
      <c r="B920" s="288">
        <v>45510.366666666669</v>
      </c>
      <c r="C920" s="286" t="s">
        <v>2102</v>
      </c>
      <c r="D920" s="286" t="s">
        <v>1105</v>
      </c>
      <c r="E920" s="286" t="s">
        <v>1106</v>
      </c>
      <c r="F920" s="286" t="s">
        <v>2138</v>
      </c>
      <c r="G920" s="286" t="s">
        <v>1054</v>
      </c>
      <c r="H920" s="286" t="s">
        <v>1054</v>
      </c>
      <c r="I920" s="286" t="s">
        <v>1152</v>
      </c>
      <c r="J920" s="286" t="s">
        <v>1312</v>
      </c>
      <c r="K920" s="286" t="s">
        <v>2302</v>
      </c>
      <c r="L920" s="286" t="s">
        <v>2303</v>
      </c>
      <c r="M920" s="286">
        <v>1</v>
      </c>
      <c r="N920" s="287">
        <v>4171.6099999999997</v>
      </c>
      <c r="O920" s="294">
        <f t="shared" si="14"/>
        <v>45535</v>
      </c>
      <c r="P920" s="286" t="s">
        <v>58</v>
      </c>
    </row>
    <row r="921" spans="1:16" hidden="1" x14ac:dyDescent="0.15">
      <c r="A921" s="286">
        <v>697810</v>
      </c>
      <c r="B921" s="288">
        <v>45510.366666666669</v>
      </c>
      <c r="C921" s="286" t="s">
        <v>2102</v>
      </c>
      <c r="D921" s="286" t="s">
        <v>1105</v>
      </c>
      <c r="E921" s="286" t="s">
        <v>1106</v>
      </c>
      <c r="F921" s="286" t="s">
        <v>2138</v>
      </c>
      <c r="G921" s="286" t="s">
        <v>1054</v>
      </c>
      <c r="H921" s="286" t="s">
        <v>1054</v>
      </c>
      <c r="I921" s="286" t="s">
        <v>1152</v>
      </c>
      <c r="J921" s="286" t="s">
        <v>1312</v>
      </c>
      <c r="K921" s="286" t="s">
        <v>53</v>
      </c>
      <c r="L921" s="286" t="s">
        <v>53</v>
      </c>
      <c r="M921" s="286" t="s">
        <v>53</v>
      </c>
      <c r="N921" s="287">
        <v>4171.6099999999997</v>
      </c>
      <c r="O921" s="294">
        <f t="shared" si="14"/>
        <v>45535</v>
      </c>
      <c r="P921" s="286" t="s">
        <v>58</v>
      </c>
    </row>
    <row r="922" spans="1:16" hidden="1" x14ac:dyDescent="0.15">
      <c r="A922" s="286">
        <v>745911</v>
      </c>
      <c r="B922" s="288">
        <v>45538.44027777778</v>
      </c>
      <c r="C922" s="286" t="s">
        <v>2132</v>
      </c>
      <c r="D922" s="286" t="s">
        <v>1105</v>
      </c>
      <c r="E922" s="286" t="s">
        <v>1106</v>
      </c>
      <c r="F922" s="286" t="s">
        <v>2139</v>
      </c>
      <c r="G922" s="286" t="s">
        <v>1054</v>
      </c>
      <c r="H922" s="286" t="s">
        <v>1054</v>
      </c>
      <c r="I922" s="286" t="s">
        <v>1152</v>
      </c>
      <c r="J922" s="286" t="s">
        <v>1312</v>
      </c>
      <c r="K922" s="286" t="s">
        <v>2302</v>
      </c>
      <c r="L922" s="286" t="s">
        <v>2303</v>
      </c>
      <c r="M922" s="286">
        <v>1</v>
      </c>
      <c r="N922" s="287">
        <v>4171.6099999999997</v>
      </c>
      <c r="O922" s="294">
        <f t="shared" si="14"/>
        <v>45565</v>
      </c>
      <c r="P922" s="286" t="s">
        <v>58</v>
      </c>
    </row>
    <row r="923" spans="1:16" hidden="1" x14ac:dyDescent="0.15">
      <c r="A923" s="286">
        <v>745911</v>
      </c>
      <c r="B923" s="288">
        <v>45538.44027777778</v>
      </c>
      <c r="C923" s="286" t="s">
        <v>2132</v>
      </c>
      <c r="D923" s="286" t="s">
        <v>1105</v>
      </c>
      <c r="E923" s="286" t="s">
        <v>1106</v>
      </c>
      <c r="F923" s="286" t="s">
        <v>2139</v>
      </c>
      <c r="G923" s="286" t="s">
        <v>1054</v>
      </c>
      <c r="H923" s="286" t="s">
        <v>1054</v>
      </c>
      <c r="I923" s="286" t="s">
        <v>1152</v>
      </c>
      <c r="J923" s="286" t="s">
        <v>1312</v>
      </c>
      <c r="K923" s="286" t="s">
        <v>53</v>
      </c>
      <c r="L923" s="286" t="s">
        <v>53</v>
      </c>
      <c r="M923" s="286" t="s">
        <v>53</v>
      </c>
      <c r="N923" s="287">
        <v>4171.6099999999997</v>
      </c>
      <c r="O923" s="294">
        <f t="shared" si="14"/>
        <v>45565</v>
      </c>
      <c r="P923" s="286" t="s">
        <v>58</v>
      </c>
    </row>
    <row r="924" spans="1:16" hidden="1" x14ac:dyDescent="0.15">
      <c r="A924" s="286">
        <v>848817</v>
      </c>
      <c r="B924" s="288">
        <v>45607.65902777778</v>
      </c>
      <c r="C924" s="286" t="s">
        <v>2130</v>
      </c>
      <c r="D924" s="286" t="s">
        <v>1105</v>
      </c>
      <c r="E924" s="286" t="s">
        <v>1106</v>
      </c>
      <c r="F924" s="286" t="s">
        <v>2140</v>
      </c>
      <c r="G924" s="286" t="s">
        <v>1054</v>
      </c>
      <c r="H924" s="286" t="s">
        <v>1054</v>
      </c>
      <c r="I924" s="286" t="s">
        <v>1152</v>
      </c>
      <c r="J924" s="286" t="s">
        <v>1312</v>
      </c>
      <c r="K924" s="286" t="s">
        <v>2302</v>
      </c>
      <c r="L924" s="286" t="s">
        <v>2303</v>
      </c>
      <c r="M924" s="286">
        <v>1</v>
      </c>
      <c r="N924" s="287">
        <v>4171.6099999999997</v>
      </c>
      <c r="O924" s="294">
        <f t="shared" si="14"/>
        <v>45626</v>
      </c>
      <c r="P924" s="286" t="s">
        <v>58</v>
      </c>
    </row>
    <row r="925" spans="1:16" hidden="1" x14ac:dyDescent="0.15">
      <c r="A925" s="286">
        <v>848817</v>
      </c>
      <c r="B925" s="288">
        <v>45607.65902777778</v>
      </c>
      <c r="C925" s="286" t="s">
        <v>2130</v>
      </c>
      <c r="D925" s="286" t="s">
        <v>1105</v>
      </c>
      <c r="E925" s="286" t="s">
        <v>1106</v>
      </c>
      <c r="F925" s="286" t="s">
        <v>2140</v>
      </c>
      <c r="G925" s="286" t="s">
        <v>1054</v>
      </c>
      <c r="H925" s="286" t="s">
        <v>1054</v>
      </c>
      <c r="I925" s="286" t="s">
        <v>1152</v>
      </c>
      <c r="J925" s="286" t="s">
        <v>1312</v>
      </c>
      <c r="K925" s="286" t="s">
        <v>53</v>
      </c>
      <c r="L925" s="286" t="s">
        <v>53</v>
      </c>
      <c r="M925" s="286" t="s">
        <v>53</v>
      </c>
      <c r="N925" s="287">
        <v>4171.6099999999997</v>
      </c>
      <c r="O925" s="294">
        <f t="shared" si="14"/>
        <v>45626</v>
      </c>
      <c r="P925" s="286" t="s">
        <v>58</v>
      </c>
    </row>
    <row r="926" spans="1:16" hidden="1" x14ac:dyDescent="0.15">
      <c r="A926" s="286">
        <v>848917</v>
      </c>
      <c r="B926" s="288">
        <v>45607.660416666666</v>
      </c>
      <c r="C926" s="286" t="s">
        <v>2100</v>
      </c>
      <c r="D926" s="286" t="s">
        <v>1105</v>
      </c>
      <c r="E926" s="286" t="s">
        <v>1106</v>
      </c>
      <c r="F926" s="286" t="s">
        <v>2141</v>
      </c>
      <c r="G926" s="286" t="s">
        <v>1054</v>
      </c>
      <c r="H926" s="286" t="s">
        <v>1054</v>
      </c>
      <c r="I926" s="286" t="s">
        <v>1152</v>
      </c>
      <c r="J926" s="286" t="s">
        <v>1312</v>
      </c>
      <c r="K926" s="286" t="s">
        <v>2302</v>
      </c>
      <c r="L926" s="286" t="s">
        <v>2303</v>
      </c>
      <c r="M926" s="286">
        <v>1</v>
      </c>
      <c r="N926" s="287">
        <v>4171.6099999999997</v>
      </c>
      <c r="O926" s="294">
        <f t="shared" si="14"/>
        <v>45626</v>
      </c>
      <c r="P926" s="286" t="s">
        <v>58</v>
      </c>
    </row>
    <row r="927" spans="1:16" hidden="1" x14ac:dyDescent="0.15">
      <c r="A927" s="286">
        <v>848917</v>
      </c>
      <c r="B927" s="288">
        <v>45607.660416666666</v>
      </c>
      <c r="C927" s="286" t="s">
        <v>2100</v>
      </c>
      <c r="D927" s="286" t="s">
        <v>1105</v>
      </c>
      <c r="E927" s="286" t="s">
        <v>1106</v>
      </c>
      <c r="F927" s="286" t="s">
        <v>2141</v>
      </c>
      <c r="G927" s="286" t="s">
        <v>1054</v>
      </c>
      <c r="H927" s="286" t="s">
        <v>1054</v>
      </c>
      <c r="I927" s="286" t="s">
        <v>1152</v>
      </c>
      <c r="J927" s="286" t="s">
        <v>1312</v>
      </c>
      <c r="K927" s="286" t="s">
        <v>53</v>
      </c>
      <c r="L927" s="286" t="s">
        <v>53</v>
      </c>
      <c r="M927" s="286" t="s">
        <v>53</v>
      </c>
      <c r="N927" s="287">
        <v>4171.6099999999997</v>
      </c>
      <c r="O927" s="294">
        <f t="shared" si="14"/>
        <v>45626</v>
      </c>
      <c r="P927" s="286" t="s">
        <v>58</v>
      </c>
    </row>
    <row r="928" spans="1:16" hidden="1" x14ac:dyDescent="0.15">
      <c r="A928" s="286">
        <v>874698</v>
      </c>
      <c r="B928" s="288">
        <v>45628.357638888891</v>
      </c>
      <c r="C928" s="286" t="s">
        <v>2098</v>
      </c>
      <c r="D928" s="286" t="s">
        <v>1105</v>
      </c>
      <c r="E928" s="286" t="s">
        <v>1106</v>
      </c>
      <c r="F928" s="286" t="s">
        <v>2142</v>
      </c>
      <c r="G928" s="286" t="s">
        <v>1054</v>
      </c>
      <c r="H928" s="286" t="s">
        <v>1054</v>
      </c>
      <c r="I928" s="286" t="s">
        <v>1152</v>
      </c>
      <c r="J928" s="286" t="s">
        <v>1312</v>
      </c>
      <c r="K928" s="286" t="s">
        <v>2302</v>
      </c>
      <c r="L928" s="286" t="s">
        <v>2303</v>
      </c>
      <c r="M928" s="286">
        <v>1</v>
      </c>
      <c r="N928" s="287">
        <v>4171.6099999999997</v>
      </c>
      <c r="O928" s="294">
        <f t="shared" si="14"/>
        <v>45657</v>
      </c>
      <c r="P928" s="286" t="s">
        <v>58</v>
      </c>
    </row>
    <row r="929" spans="1:16" hidden="1" x14ac:dyDescent="0.15">
      <c r="A929" s="286">
        <v>874698</v>
      </c>
      <c r="B929" s="288">
        <v>45628.357638888891</v>
      </c>
      <c r="C929" s="286" t="s">
        <v>2098</v>
      </c>
      <c r="D929" s="286" t="s">
        <v>1105</v>
      </c>
      <c r="E929" s="286" t="s">
        <v>1106</v>
      </c>
      <c r="F929" s="286" t="s">
        <v>2142</v>
      </c>
      <c r="G929" s="286" t="s">
        <v>1054</v>
      </c>
      <c r="H929" s="286" t="s">
        <v>1054</v>
      </c>
      <c r="I929" s="286" t="s">
        <v>1152</v>
      </c>
      <c r="J929" s="286" t="s">
        <v>1312</v>
      </c>
      <c r="K929" s="286" t="s">
        <v>53</v>
      </c>
      <c r="L929" s="286" t="s">
        <v>53</v>
      </c>
      <c r="M929" s="286" t="s">
        <v>53</v>
      </c>
      <c r="N929" s="287">
        <v>4171.6099999999997</v>
      </c>
      <c r="O929" s="294">
        <f t="shared" si="14"/>
        <v>45657</v>
      </c>
      <c r="P929" s="286" t="s">
        <v>58</v>
      </c>
    </row>
    <row r="930" spans="1:16" hidden="1" x14ac:dyDescent="0.15">
      <c r="A930" s="286">
        <v>438112</v>
      </c>
      <c r="B930" s="288">
        <v>45293.53402777778</v>
      </c>
      <c r="C930" s="286" t="s">
        <v>2125</v>
      </c>
      <c r="D930" s="286" t="s">
        <v>1105</v>
      </c>
      <c r="E930" s="286" t="s">
        <v>1106</v>
      </c>
      <c r="F930" s="286" t="s">
        <v>2152</v>
      </c>
      <c r="G930" s="286" t="s">
        <v>1036</v>
      </c>
      <c r="H930" s="286" t="s">
        <v>1036</v>
      </c>
      <c r="I930" s="286" t="s">
        <v>1152</v>
      </c>
      <c r="J930" s="286" t="s">
        <v>1312</v>
      </c>
      <c r="K930" s="286" t="s">
        <v>1836</v>
      </c>
      <c r="L930" s="286" t="s">
        <v>672</v>
      </c>
      <c r="M930" s="286">
        <v>1</v>
      </c>
      <c r="N930" s="287">
        <v>4160.21</v>
      </c>
      <c r="O930" s="294">
        <f t="shared" si="14"/>
        <v>45322</v>
      </c>
      <c r="P930" s="286" t="s">
        <v>58</v>
      </c>
    </row>
    <row r="931" spans="1:16" hidden="1" x14ac:dyDescent="0.15">
      <c r="A931" s="286">
        <v>438112</v>
      </c>
      <c r="B931" s="288">
        <v>45293.53402777778</v>
      </c>
      <c r="C931" s="286" t="s">
        <v>2125</v>
      </c>
      <c r="D931" s="286" t="s">
        <v>1105</v>
      </c>
      <c r="E931" s="286" t="s">
        <v>1106</v>
      </c>
      <c r="F931" s="286" t="s">
        <v>2152</v>
      </c>
      <c r="G931" s="286" t="s">
        <v>1007</v>
      </c>
      <c r="H931" s="286" t="s">
        <v>1007</v>
      </c>
      <c r="I931" s="286" t="s">
        <v>1199</v>
      </c>
      <c r="J931" s="286" t="s">
        <v>1312</v>
      </c>
      <c r="K931" s="286" t="s">
        <v>1787</v>
      </c>
      <c r="L931" s="286" t="s">
        <v>672</v>
      </c>
      <c r="M931" s="286">
        <v>1</v>
      </c>
      <c r="N931" s="287">
        <v>4160.21</v>
      </c>
      <c r="O931" s="294">
        <f t="shared" si="14"/>
        <v>45322</v>
      </c>
      <c r="P931" s="286" t="s">
        <v>58</v>
      </c>
    </row>
    <row r="932" spans="1:16" hidden="1" x14ac:dyDescent="0.15">
      <c r="A932" s="286">
        <v>438112</v>
      </c>
      <c r="B932" s="288">
        <v>45293.53402777778</v>
      </c>
      <c r="C932" s="286" t="s">
        <v>2125</v>
      </c>
      <c r="D932" s="286" t="s">
        <v>1105</v>
      </c>
      <c r="E932" s="286" t="s">
        <v>1106</v>
      </c>
      <c r="F932" s="286" t="s">
        <v>2152</v>
      </c>
      <c r="G932" s="286" t="s">
        <v>1007</v>
      </c>
      <c r="H932" s="286" t="s">
        <v>1007</v>
      </c>
      <c r="I932" s="286" t="s">
        <v>1199</v>
      </c>
      <c r="J932" s="286" t="s">
        <v>1312</v>
      </c>
      <c r="K932" s="286" t="s">
        <v>1812</v>
      </c>
      <c r="L932" s="286" t="s">
        <v>672</v>
      </c>
      <c r="M932" s="286">
        <v>1</v>
      </c>
      <c r="N932" s="287">
        <v>4160.21</v>
      </c>
      <c r="O932" s="294">
        <f t="shared" si="14"/>
        <v>45322</v>
      </c>
      <c r="P932" s="286" t="s">
        <v>58</v>
      </c>
    </row>
    <row r="933" spans="1:16" hidden="1" x14ac:dyDescent="0.15">
      <c r="A933" s="286">
        <v>472168</v>
      </c>
      <c r="B933" s="288">
        <v>45331.416666666664</v>
      </c>
      <c r="C933" s="286" t="s">
        <v>2113</v>
      </c>
      <c r="D933" s="286" t="s">
        <v>1105</v>
      </c>
      <c r="E933" s="286" t="s">
        <v>1106</v>
      </c>
      <c r="F933" s="286" t="s">
        <v>2153</v>
      </c>
      <c r="G933" s="286" t="s">
        <v>1036</v>
      </c>
      <c r="H933" s="286" t="s">
        <v>1036</v>
      </c>
      <c r="I933" s="286" t="s">
        <v>1152</v>
      </c>
      <c r="J933" s="286" t="s">
        <v>1312</v>
      </c>
      <c r="K933" s="286" t="s">
        <v>1836</v>
      </c>
      <c r="L933" s="286" t="s">
        <v>672</v>
      </c>
      <c r="M933" s="286">
        <v>1</v>
      </c>
      <c r="N933" s="287">
        <v>4160.21</v>
      </c>
      <c r="O933" s="294">
        <f t="shared" si="14"/>
        <v>45351</v>
      </c>
      <c r="P933" s="286" t="s">
        <v>58</v>
      </c>
    </row>
    <row r="934" spans="1:16" hidden="1" x14ac:dyDescent="0.15">
      <c r="A934" s="286">
        <v>472168</v>
      </c>
      <c r="B934" s="288">
        <v>45331.416666666664</v>
      </c>
      <c r="C934" s="286" t="s">
        <v>2113</v>
      </c>
      <c r="D934" s="286" t="s">
        <v>1105</v>
      </c>
      <c r="E934" s="286" t="s">
        <v>1106</v>
      </c>
      <c r="F934" s="286" t="s">
        <v>2153</v>
      </c>
      <c r="G934" s="286" t="s">
        <v>1007</v>
      </c>
      <c r="H934" s="286" t="s">
        <v>1007</v>
      </c>
      <c r="I934" s="286" t="s">
        <v>1199</v>
      </c>
      <c r="J934" s="286" t="s">
        <v>1312</v>
      </c>
      <c r="K934" s="286" t="s">
        <v>1787</v>
      </c>
      <c r="L934" s="286" t="s">
        <v>672</v>
      </c>
      <c r="M934" s="286">
        <v>1</v>
      </c>
      <c r="N934" s="287">
        <v>4160.21</v>
      </c>
      <c r="O934" s="294">
        <f t="shared" si="14"/>
        <v>45351</v>
      </c>
      <c r="P934" s="286" t="s">
        <v>58</v>
      </c>
    </row>
    <row r="935" spans="1:16" hidden="1" x14ac:dyDescent="0.15">
      <c r="A935" s="286">
        <v>472168</v>
      </c>
      <c r="B935" s="288">
        <v>45331.416666666664</v>
      </c>
      <c r="C935" s="286" t="s">
        <v>2113</v>
      </c>
      <c r="D935" s="286" t="s">
        <v>1105</v>
      </c>
      <c r="E935" s="286" t="s">
        <v>1106</v>
      </c>
      <c r="F935" s="286" t="s">
        <v>2153</v>
      </c>
      <c r="G935" s="286" t="s">
        <v>1007</v>
      </c>
      <c r="H935" s="286" t="s">
        <v>1007</v>
      </c>
      <c r="I935" s="286" t="s">
        <v>1199</v>
      </c>
      <c r="J935" s="286" t="s">
        <v>1312</v>
      </c>
      <c r="K935" s="286" t="s">
        <v>1812</v>
      </c>
      <c r="L935" s="286" t="s">
        <v>672</v>
      </c>
      <c r="M935" s="286">
        <v>1</v>
      </c>
      <c r="N935" s="287">
        <v>4160.21</v>
      </c>
      <c r="O935" s="294">
        <f t="shared" si="14"/>
        <v>45351</v>
      </c>
      <c r="P935" s="286" t="s">
        <v>58</v>
      </c>
    </row>
    <row r="936" spans="1:16" hidden="1" x14ac:dyDescent="0.15">
      <c r="A936" s="286">
        <v>504817</v>
      </c>
      <c r="B936" s="288">
        <v>45359.645138888889</v>
      </c>
      <c r="C936" s="286" t="s">
        <v>2109</v>
      </c>
      <c r="D936" s="286" t="s">
        <v>1105</v>
      </c>
      <c r="E936" s="286" t="s">
        <v>1106</v>
      </c>
      <c r="F936" s="286" t="s">
        <v>2154</v>
      </c>
      <c r="G936" s="286" t="s">
        <v>1036</v>
      </c>
      <c r="H936" s="286" t="s">
        <v>1036</v>
      </c>
      <c r="I936" s="286" t="s">
        <v>1152</v>
      </c>
      <c r="J936" s="286" t="s">
        <v>1312</v>
      </c>
      <c r="K936" s="286" t="s">
        <v>1836</v>
      </c>
      <c r="L936" s="286" t="s">
        <v>672</v>
      </c>
      <c r="M936" s="286">
        <v>1</v>
      </c>
      <c r="N936" s="287">
        <v>4160.21</v>
      </c>
      <c r="O936" s="294">
        <f t="shared" si="14"/>
        <v>45382</v>
      </c>
      <c r="P936" s="286" t="s">
        <v>58</v>
      </c>
    </row>
    <row r="937" spans="1:16" hidden="1" x14ac:dyDescent="0.15">
      <c r="A937" s="286">
        <v>504817</v>
      </c>
      <c r="B937" s="288">
        <v>45359.645138888889</v>
      </c>
      <c r="C937" s="286" t="s">
        <v>2109</v>
      </c>
      <c r="D937" s="286" t="s">
        <v>1105</v>
      </c>
      <c r="E937" s="286" t="s">
        <v>1106</v>
      </c>
      <c r="F937" s="286" t="s">
        <v>2154</v>
      </c>
      <c r="G937" s="286" t="s">
        <v>1007</v>
      </c>
      <c r="H937" s="286" t="s">
        <v>1007</v>
      </c>
      <c r="I937" s="286" t="s">
        <v>1199</v>
      </c>
      <c r="J937" s="286" t="s">
        <v>1312</v>
      </c>
      <c r="K937" s="286" t="s">
        <v>1787</v>
      </c>
      <c r="L937" s="286" t="s">
        <v>672</v>
      </c>
      <c r="M937" s="286">
        <v>1</v>
      </c>
      <c r="N937" s="287">
        <v>4160.21</v>
      </c>
      <c r="O937" s="294">
        <f t="shared" si="14"/>
        <v>45382</v>
      </c>
      <c r="P937" s="286" t="s">
        <v>58</v>
      </c>
    </row>
    <row r="938" spans="1:16" hidden="1" x14ac:dyDescent="0.15">
      <c r="A938" s="286">
        <v>504817</v>
      </c>
      <c r="B938" s="288">
        <v>45359.645138888889</v>
      </c>
      <c r="C938" s="286" t="s">
        <v>2109</v>
      </c>
      <c r="D938" s="286" t="s">
        <v>1105</v>
      </c>
      <c r="E938" s="286" t="s">
        <v>1106</v>
      </c>
      <c r="F938" s="286" t="s">
        <v>2154</v>
      </c>
      <c r="G938" s="286" t="s">
        <v>1007</v>
      </c>
      <c r="H938" s="286" t="s">
        <v>1007</v>
      </c>
      <c r="I938" s="286" t="s">
        <v>1199</v>
      </c>
      <c r="J938" s="286" t="s">
        <v>1312</v>
      </c>
      <c r="K938" s="286" t="s">
        <v>1812</v>
      </c>
      <c r="L938" s="286" t="s">
        <v>672</v>
      </c>
      <c r="M938" s="286">
        <v>1</v>
      </c>
      <c r="N938" s="287">
        <v>4160.21</v>
      </c>
      <c r="O938" s="294">
        <f t="shared" si="14"/>
        <v>45382</v>
      </c>
      <c r="P938" s="286" t="s">
        <v>58</v>
      </c>
    </row>
    <row r="939" spans="1:16" hidden="1" x14ac:dyDescent="0.15">
      <c r="A939" s="286">
        <v>534207</v>
      </c>
      <c r="B939" s="288">
        <v>45385.750694444447</v>
      </c>
      <c r="C939" s="286" t="s">
        <v>2096</v>
      </c>
      <c r="D939" s="286" t="s">
        <v>1105</v>
      </c>
      <c r="E939" s="286" t="s">
        <v>1106</v>
      </c>
      <c r="F939" s="286" t="s">
        <v>2155</v>
      </c>
      <c r="G939" s="286" t="s">
        <v>1036</v>
      </c>
      <c r="H939" s="286" t="s">
        <v>1036</v>
      </c>
      <c r="I939" s="286" t="s">
        <v>1152</v>
      </c>
      <c r="J939" s="286" t="s">
        <v>1312</v>
      </c>
      <c r="K939" s="286" t="s">
        <v>1836</v>
      </c>
      <c r="L939" s="286" t="s">
        <v>672</v>
      </c>
      <c r="M939" s="286">
        <v>1</v>
      </c>
      <c r="N939" s="287">
        <v>4160.21</v>
      </c>
      <c r="O939" s="294">
        <f t="shared" si="14"/>
        <v>45412</v>
      </c>
      <c r="P939" s="286" t="s">
        <v>58</v>
      </c>
    </row>
    <row r="940" spans="1:16" hidden="1" x14ac:dyDescent="0.15">
      <c r="A940" s="286">
        <v>534207</v>
      </c>
      <c r="B940" s="288">
        <v>45385.750694444447</v>
      </c>
      <c r="C940" s="286" t="s">
        <v>2096</v>
      </c>
      <c r="D940" s="286" t="s">
        <v>1105</v>
      </c>
      <c r="E940" s="286" t="s">
        <v>1106</v>
      </c>
      <c r="F940" s="286" t="s">
        <v>2155</v>
      </c>
      <c r="G940" s="286" t="s">
        <v>1007</v>
      </c>
      <c r="H940" s="286" t="s">
        <v>1007</v>
      </c>
      <c r="I940" s="286" t="s">
        <v>1199</v>
      </c>
      <c r="J940" s="286" t="s">
        <v>1312</v>
      </c>
      <c r="K940" s="286" t="s">
        <v>1787</v>
      </c>
      <c r="L940" s="286" t="s">
        <v>672</v>
      </c>
      <c r="M940" s="286">
        <v>1</v>
      </c>
      <c r="N940" s="287">
        <v>4160.21</v>
      </c>
      <c r="O940" s="294">
        <f t="shared" si="14"/>
        <v>45412</v>
      </c>
      <c r="P940" s="286" t="s">
        <v>58</v>
      </c>
    </row>
    <row r="941" spans="1:16" hidden="1" x14ac:dyDescent="0.15">
      <c r="A941" s="286">
        <v>534207</v>
      </c>
      <c r="B941" s="288">
        <v>45385.750694444447</v>
      </c>
      <c r="C941" s="286" t="s">
        <v>2096</v>
      </c>
      <c r="D941" s="286" t="s">
        <v>1105</v>
      </c>
      <c r="E941" s="286" t="s">
        <v>1106</v>
      </c>
      <c r="F941" s="286" t="s">
        <v>2155</v>
      </c>
      <c r="G941" s="286" t="s">
        <v>1007</v>
      </c>
      <c r="H941" s="286" t="s">
        <v>1007</v>
      </c>
      <c r="I941" s="286" t="s">
        <v>1199</v>
      </c>
      <c r="J941" s="286" t="s">
        <v>1312</v>
      </c>
      <c r="K941" s="286" t="s">
        <v>1812</v>
      </c>
      <c r="L941" s="286" t="s">
        <v>672</v>
      </c>
      <c r="M941" s="286">
        <v>1</v>
      </c>
      <c r="N941" s="287">
        <v>4160.21</v>
      </c>
      <c r="O941" s="294">
        <f t="shared" si="14"/>
        <v>45412</v>
      </c>
      <c r="P941" s="286" t="s">
        <v>58</v>
      </c>
    </row>
    <row r="942" spans="1:16" hidden="1" x14ac:dyDescent="0.15">
      <c r="A942" s="286">
        <v>614216</v>
      </c>
      <c r="B942" s="288">
        <v>45455.716666666667</v>
      </c>
      <c r="C942" s="286" t="s">
        <v>2116</v>
      </c>
      <c r="D942" s="286" t="s">
        <v>1105</v>
      </c>
      <c r="E942" s="286" t="s">
        <v>1106</v>
      </c>
      <c r="F942" s="286" t="s">
        <v>2156</v>
      </c>
      <c r="G942" s="286" t="s">
        <v>1036</v>
      </c>
      <c r="H942" s="286" t="s">
        <v>1036</v>
      </c>
      <c r="I942" s="286" t="s">
        <v>1152</v>
      </c>
      <c r="J942" s="286" t="s">
        <v>1312</v>
      </c>
      <c r="K942" s="286" t="s">
        <v>1836</v>
      </c>
      <c r="L942" s="286" t="s">
        <v>672</v>
      </c>
      <c r="M942" s="286">
        <v>1</v>
      </c>
      <c r="N942" s="287">
        <v>4160.21</v>
      </c>
      <c r="O942" s="294">
        <f t="shared" si="14"/>
        <v>45473</v>
      </c>
      <c r="P942" s="286" t="s">
        <v>58</v>
      </c>
    </row>
    <row r="943" spans="1:16" hidden="1" x14ac:dyDescent="0.15">
      <c r="A943" s="286">
        <v>614216</v>
      </c>
      <c r="B943" s="288">
        <v>45455.716666666667</v>
      </c>
      <c r="C943" s="286" t="s">
        <v>2116</v>
      </c>
      <c r="D943" s="286" t="s">
        <v>1105</v>
      </c>
      <c r="E943" s="286" t="s">
        <v>1106</v>
      </c>
      <c r="F943" s="286" t="s">
        <v>2156</v>
      </c>
      <c r="G943" s="286" t="s">
        <v>1007</v>
      </c>
      <c r="H943" s="286" t="s">
        <v>1007</v>
      </c>
      <c r="I943" s="286" t="s">
        <v>1199</v>
      </c>
      <c r="J943" s="286" t="s">
        <v>1312</v>
      </c>
      <c r="K943" s="286" t="s">
        <v>1787</v>
      </c>
      <c r="L943" s="286" t="s">
        <v>672</v>
      </c>
      <c r="M943" s="286">
        <v>1</v>
      </c>
      <c r="N943" s="287">
        <v>4160.21</v>
      </c>
      <c r="O943" s="294">
        <f t="shared" si="14"/>
        <v>45473</v>
      </c>
      <c r="P943" s="286" t="s">
        <v>58</v>
      </c>
    </row>
    <row r="944" spans="1:16" hidden="1" x14ac:dyDescent="0.15">
      <c r="A944" s="286">
        <v>614216</v>
      </c>
      <c r="B944" s="288">
        <v>45455.716666666667</v>
      </c>
      <c r="C944" s="286" t="s">
        <v>2116</v>
      </c>
      <c r="D944" s="286" t="s">
        <v>1105</v>
      </c>
      <c r="E944" s="286" t="s">
        <v>1106</v>
      </c>
      <c r="F944" s="286" t="s">
        <v>2156</v>
      </c>
      <c r="G944" s="286" t="s">
        <v>1007</v>
      </c>
      <c r="H944" s="286" t="s">
        <v>1007</v>
      </c>
      <c r="I944" s="286" t="s">
        <v>1199</v>
      </c>
      <c r="J944" s="286" t="s">
        <v>1312</v>
      </c>
      <c r="K944" s="286" t="s">
        <v>1812</v>
      </c>
      <c r="L944" s="286" t="s">
        <v>672</v>
      </c>
      <c r="M944" s="286">
        <v>1</v>
      </c>
      <c r="N944" s="287">
        <v>4160.21</v>
      </c>
      <c r="O944" s="294">
        <f t="shared" si="14"/>
        <v>45473</v>
      </c>
      <c r="P944" s="286" t="s">
        <v>58</v>
      </c>
    </row>
    <row r="945" spans="1:16" hidden="1" x14ac:dyDescent="0.15">
      <c r="A945" s="286">
        <v>608480</v>
      </c>
      <c r="B945" s="288">
        <v>45450.422222222223</v>
      </c>
      <c r="C945" s="286" t="s">
        <v>2092</v>
      </c>
      <c r="D945" s="286" t="s">
        <v>1105</v>
      </c>
      <c r="E945" s="286" t="s">
        <v>1106</v>
      </c>
      <c r="F945" s="286" t="s">
        <v>2157</v>
      </c>
      <c r="G945" s="286" t="s">
        <v>1007</v>
      </c>
      <c r="H945" s="286" t="s">
        <v>1007</v>
      </c>
      <c r="I945" s="286" t="s">
        <v>1199</v>
      </c>
      <c r="J945" s="286" t="s">
        <v>1312</v>
      </c>
      <c r="K945" s="286" t="s">
        <v>1787</v>
      </c>
      <c r="L945" s="286" t="s">
        <v>672</v>
      </c>
      <c r="M945" s="286">
        <v>1</v>
      </c>
      <c r="N945" s="287">
        <v>4160.21</v>
      </c>
      <c r="O945" s="294">
        <f t="shared" si="14"/>
        <v>45473</v>
      </c>
      <c r="P945" s="286" t="s">
        <v>58</v>
      </c>
    </row>
    <row r="946" spans="1:16" hidden="1" x14ac:dyDescent="0.15">
      <c r="A946" s="286">
        <v>608480</v>
      </c>
      <c r="B946" s="288">
        <v>45450.422222222223</v>
      </c>
      <c r="C946" s="286" t="s">
        <v>2092</v>
      </c>
      <c r="D946" s="286" t="s">
        <v>1105</v>
      </c>
      <c r="E946" s="286" t="s">
        <v>1106</v>
      </c>
      <c r="F946" s="286" t="s">
        <v>2157</v>
      </c>
      <c r="G946" s="286" t="s">
        <v>1007</v>
      </c>
      <c r="H946" s="286" t="s">
        <v>1007</v>
      </c>
      <c r="I946" s="286" t="s">
        <v>1199</v>
      </c>
      <c r="J946" s="286" t="s">
        <v>1312</v>
      </c>
      <c r="K946" s="286" t="s">
        <v>1812</v>
      </c>
      <c r="L946" s="286" t="s">
        <v>672</v>
      </c>
      <c r="M946" s="286">
        <v>1</v>
      </c>
      <c r="N946" s="287">
        <v>4160.21</v>
      </c>
      <c r="O946" s="294">
        <f t="shared" si="14"/>
        <v>45473</v>
      </c>
      <c r="P946" s="286" t="s">
        <v>58</v>
      </c>
    </row>
    <row r="947" spans="1:16" hidden="1" x14ac:dyDescent="0.15">
      <c r="A947" s="286">
        <v>614316</v>
      </c>
      <c r="B947" s="288">
        <v>45455.717361111114</v>
      </c>
      <c r="C947" s="286" t="s">
        <v>2092</v>
      </c>
      <c r="D947" s="286" t="s">
        <v>1105</v>
      </c>
      <c r="E947" s="286" t="s">
        <v>1106</v>
      </c>
      <c r="F947" s="286" t="s">
        <v>2167</v>
      </c>
      <c r="G947" s="286" t="s">
        <v>1036</v>
      </c>
      <c r="H947" s="286" t="s">
        <v>1036</v>
      </c>
      <c r="I947" s="286" t="s">
        <v>1152</v>
      </c>
      <c r="J947" s="286" t="s">
        <v>1312</v>
      </c>
      <c r="K947" s="286" t="s">
        <v>1836</v>
      </c>
      <c r="L947" s="286" t="s">
        <v>672</v>
      </c>
      <c r="M947" s="286">
        <v>1</v>
      </c>
      <c r="N947" s="287">
        <v>4160.21</v>
      </c>
      <c r="O947" s="294">
        <f t="shared" si="14"/>
        <v>45473</v>
      </c>
      <c r="P947" s="286" t="s">
        <v>58</v>
      </c>
    </row>
    <row r="948" spans="1:16" hidden="1" x14ac:dyDescent="0.15">
      <c r="A948" s="286">
        <v>646075</v>
      </c>
      <c r="B948" s="288">
        <v>45474.519444444442</v>
      </c>
      <c r="C948" s="286" t="s">
        <v>2111</v>
      </c>
      <c r="D948" s="286" t="s">
        <v>1105</v>
      </c>
      <c r="E948" s="286" t="s">
        <v>1106</v>
      </c>
      <c r="F948" s="286" t="s">
        <v>2137</v>
      </c>
      <c r="G948" s="286" t="s">
        <v>1036</v>
      </c>
      <c r="H948" s="286" t="s">
        <v>1036</v>
      </c>
      <c r="I948" s="286" t="s">
        <v>1152</v>
      </c>
      <c r="J948" s="286" t="s">
        <v>1312</v>
      </c>
      <c r="K948" s="286" t="s">
        <v>1836</v>
      </c>
      <c r="L948" s="286" t="s">
        <v>672</v>
      </c>
      <c r="M948" s="286">
        <v>1</v>
      </c>
      <c r="N948" s="287">
        <v>4160.21</v>
      </c>
      <c r="O948" s="294">
        <f t="shared" si="14"/>
        <v>45504</v>
      </c>
      <c r="P948" s="286" t="s">
        <v>58</v>
      </c>
    </row>
    <row r="949" spans="1:16" hidden="1" x14ac:dyDescent="0.15">
      <c r="A949" s="286">
        <v>697810</v>
      </c>
      <c r="B949" s="288">
        <v>45510.366666666669</v>
      </c>
      <c r="C949" s="286" t="s">
        <v>2102</v>
      </c>
      <c r="D949" s="286" t="s">
        <v>1105</v>
      </c>
      <c r="E949" s="286" t="s">
        <v>1106</v>
      </c>
      <c r="F949" s="286" t="s">
        <v>2138</v>
      </c>
      <c r="G949" s="286" t="s">
        <v>1036</v>
      </c>
      <c r="H949" s="286" t="s">
        <v>1036</v>
      </c>
      <c r="I949" s="286" t="s">
        <v>1152</v>
      </c>
      <c r="J949" s="286" t="s">
        <v>1312</v>
      </c>
      <c r="K949" s="286" t="s">
        <v>1836</v>
      </c>
      <c r="L949" s="286" t="s">
        <v>672</v>
      </c>
      <c r="M949" s="286">
        <v>1</v>
      </c>
      <c r="N949" s="287">
        <v>4160.21</v>
      </c>
      <c r="O949" s="294">
        <f t="shared" si="14"/>
        <v>45535</v>
      </c>
      <c r="P949" s="286" t="s">
        <v>58</v>
      </c>
    </row>
    <row r="950" spans="1:16" hidden="1" x14ac:dyDescent="0.15">
      <c r="A950" s="286">
        <v>745911</v>
      </c>
      <c r="B950" s="288">
        <v>45538.44027777778</v>
      </c>
      <c r="C950" s="286" t="s">
        <v>2132</v>
      </c>
      <c r="D950" s="286" t="s">
        <v>1105</v>
      </c>
      <c r="E950" s="286" t="s">
        <v>1106</v>
      </c>
      <c r="F950" s="286" t="s">
        <v>2139</v>
      </c>
      <c r="G950" s="286" t="s">
        <v>1036</v>
      </c>
      <c r="H950" s="286" t="s">
        <v>1036</v>
      </c>
      <c r="I950" s="286" t="s">
        <v>1152</v>
      </c>
      <c r="J950" s="286" t="s">
        <v>1312</v>
      </c>
      <c r="K950" s="286" t="s">
        <v>1836</v>
      </c>
      <c r="L950" s="286" t="s">
        <v>672</v>
      </c>
      <c r="M950" s="286">
        <v>1</v>
      </c>
      <c r="N950" s="287">
        <v>4160.21</v>
      </c>
      <c r="O950" s="294">
        <f t="shared" si="14"/>
        <v>45565</v>
      </c>
      <c r="P950" s="286" t="s">
        <v>58</v>
      </c>
    </row>
    <row r="951" spans="1:16" hidden="1" x14ac:dyDescent="0.15">
      <c r="A951" s="286">
        <v>848817</v>
      </c>
      <c r="B951" s="288">
        <v>45607.65902777778</v>
      </c>
      <c r="C951" s="286" t="s">
        <v>2130</v>
      </c>
      <c r="D951" s="286" t="s">
        <v>1105</v>
      </c>
      <c r="E951" s="286" t="s">
        <v>1106</v>
      </c>
      <c r="F951" s="286" t="s">
        <v>2140</v>
      </c>
      <c r="G951" s="286" t="s">
        <v>1036</v>
      </c>
      <c r="H951" s="286" t="s">
        <v>1036</v>
      </c>
      <c r="I951" s="286" t="s">
        <v>1152</v>
      </c>
      <c r="J951" s="286" t="s">
        <v>1312</v>
      </c>
      <c r="K951" s="286" t="s">
        <v>1836</v>
      </c>
      <c r="L951" s="286" t="s">
        <v>672</v>
      </c>
      <c r="M951" s="286">
        <v>1</v>
      </c>
      <c r="N951" s="287">
        <v>4160.21</v>
      </c>
      <c r="O951" s="294">
        <f t="shared" si="14"/>
        <v>45626</v>
      </c>
      <c r="P951" s="286" t="s">
        <v>58</v>
      </c>
    </row>
    <row r="952" spans="1:16" hidden="1" x14ac:dyDescent="0.15">
      <c r="A952" s="286">
        <v>646075</v>
      </c>
      <c r="B952" s="288">
        <v>45474.519444444442</v>
      </c>
      <c r="C952" s="286" t="s">
        <v>2111</v>
      </c>
      <c r="D952" s="286" t="s">
        <v>1105</v>
      </c>
      <c r="E952" s="286" t="s">
        <v>1106</v>
      </c>
      <c r="F952" s="286" t="s">
        <v>2137</v>
      </c>
      <c r="G952" s="286" t="s">
        <v>1007</v>
      </c>
      <c r="H952" s="286" t="s">
        <v>1007</v>
      </c>
      <c r="I952" s="286" t="s">
        <v>1199</v>
      </c>
      <c r="J952" s="286" t="s">
        <v>1312</v>
      </c>
      <c r="K952" s="286" t="s">
        <v>1787</v>
      </c>
      <c r="L952" s="286" t="s">
        <v>672</v>
      </c>
      <c r="M952" s="286">
        <v>1</v>
      </c>
      <c r="N952" s="287">
        <v>4160.18</v>
      </c>
      <c r="O952" s="294">
        <f t="shared" si="14"/>
        <v>45504</v>
      </c>
      <c r="P952" s="286" t="s">
        <v>58</v>
      </c>
    </row>
    <row r="953" spans="1:16" hidden="1" x14ac:dyDescent="0.15">
      <c r="A953" s="286">
        <v>646075</v>
      </c>
      <c r="B953" s="288">
        <v>45474.519444444442</v>
      </c>
      <c r="C953" s="286" t="s">
        <v>2111</v>
      </c>
      <c r="D953" s="286" t="s">
        <v>1105</v>
      </c>
      <c r="E953" s="286" t="s">
        <v>1106</v>
      </c>
      <c r="F953" s="286" t="s">
        <v>2137</v>
      </c>
      <c r="G953" s="286" t="s">
        <v>1007</v>
      </c>
      <c r="H953" s="286" t="s">
        <v>1007</v>
      </c>
      <c r="I953" s="286" t="s">
        <v>1199</v>
      </c>
      <c r="J953" s="286" t="s">
        <v>1312</v>
      </c>
      <c r="K953" s="286" t="s">
        <v>1812</v>
      </c>
      <c r="L953" s="286" t="s">
        <v>672</v>
      </c>
      <c r="M953" s="286">
        <v>1</v>
      </c>
      <c r="N953" s="287">
        <v>4160.18</v>
      </c>
      <c r="O953" s="294">
        <f t="shared" si="14"/>
        <v>45504</v>
      </c>
      <c r="P953" s="286" t="s">
        <v>58</v>
      </c>
    </row>
    <row r="954" spans="1:16" hidden="1" x14ac:dyDescent="0.15">
      <c r="A954" s="286">
        <v>848917</v>
      </c>
      <c r="B954" s="288">
        <v>45607.660416666666</v>
      </c>
      <c r="C954" s="286" t="s">
        <v>2100</v>
      </c>
      <c r="D954" s="286" t="s">
        <v>1105</v>
      </c>
      <c r="E954" s="286" t="s">
        <v>1106</v>
      </c>
      <c r="F954" s="286" t="s">
        <v>2141</v>
      </c>
      <c r="G954" s="286" t="s">
        <v>1036</v>
      </c>
      <c r="H954" s="286" t="s">
        <v>1036</v>
      </c>
      <c r="I954" s="286" t="s">
        <v>1152</v>
      </c>
      <c r="J954" s="286" t="s">
        <v>1312</v>
      </c>
      <c r="K954" s="286" t="s">
        <v>1836</v>
      </c>
      <c r="L954" s="286" t="s">
        <v>672</v>
      </c>
      <c r="M954" s="286">
        <v>1</v>
      </c>
      <c r="N954" s="287">
        <v>4160.18</v>
      </c>
      <c r="O954" s="294">
        <f t="shared" si="14"/>
        <v>45626</v>
      </c>
      <c r="P954" s="286" t="s">
        <v>58</v>
      </c>
    </row>
    <row r="955" spans="1:16" hidden="1" x14ac:dyDescent="0.15">
      <c r="A955" s="286">
        <v>614316</v>
      </c>
      <c r="B955" s="288">
        <v>45455.717361111114</v>
      </c>
      <c r="C955" s="286" t="s">
        <v>2092</v>
      </c>
      <c r="D955" s="286" t="s">
        <v>1105</v>
      </c>
      <c r="E955" s="286" t="s">
        <v>1106</v>
      </c>
      <c r="F955" s="286" t="s">
        <v>2167</v>
      </c>
      <c r="G955" s="286" t="s">
        <v>1037</v>
      </c>
      <c r="H955" s="286" t="s">
        <v>1037</v>
      </c>
      <c r="I955" s="286" t="s">
        <v>1152</v>
      </c>
      <c r="J955" s="286" t="s">
        <v>1312</v>
      </c>
      <c r="K955" s="286" t="s">
        <v>2306</v>
      </c>
      <c r="L955" s="286" t="s">
        <v>672</v>
      </c>
      <c r="M955" s="286">
        <v>1</v>
      </c>
      <c r="N955" s="287">
        <v>4159.1499999999996</v>
      </c>
      <c r="O955" s="294">
        <f t="shared" si="14"/>
        <v>45473</v>
      </c>
      <c r="P955" s="286" t="s">
        <v>58</v>
      </c>
    </row>
    <row r="956" spans="1:16" hidden="1" x14ac:dyDescent="0.15">
      <c r="A956" s="286">
        <v>646075</v>
      </c>
      <c r="B956" s="288">
        <v>45474.519444444442</v>
      </c>
      <c r="C956" s="286" t="s">
        <v>2111</v>
      </c>
      <c r="D956" s="286" t="s">
        <v>1105</v>
      </c>
      <c r="E956" s="286" t="s">
        <v>1106</v>
      </c>
      <c r="F956" s="286" t="s">
        <v>2137</v>
      </c>
      <c r="G956" s="286" t="s">
        <v>1037</v>
      </c>
      <c r="H956" s="286" t="s">
        <v>1037</v>
      </c>
      <c r="I956" s="286" t="s">
        <v>1152</v>
      </c>
      <c r="J956" s="286" t="s">
        <v>1312</v>
      </c>
      <c r="K956" s="286" t="s">
        <v>2306</v>
      </c>
      <c r="L956" s="286" t="s">
        <v>672</v>
      </c>
      <c r="M956" s="286">
        <v>1</v>
      </c>
      <c r="N956" s="287">
        <v>4159.1499999999996</v>
      </c>
      <c r="O956" s="294">
        <f t="shared" si="14"/>
        <v>45504</v>
      </c>
      <c r="P956" s="286" t="s">
        <v>58</v>
      </c>
    </row>
    <row r="957" spans="1:16" hidden="1" x14ac:dyDescent="0.15">
      <c r="A957" s="286">
        <v>697810</v>
      </c>
      <c r="B957" s="288">
        <v>45510.366666666669</v>
      </c>
      <c r="C957" s="286" t="s">
        <v>2102</v>
      </c>
      <c r="D957" s="286" t="s">
        <v>1105</v>
      </c>
      <c r="E957" s="286" t="s">
        <v>1106</v>
      </c>
      <c r="F957" s="286" t="s">
        <v>2138</v>
      </c>
      <c r="G957" s="286" t="s">
        <v>1037</v>
      </c>
      <c r="H957" s="286" t="s">
        <v>1037</v>
      </c>
      <c r="I957" s="286" t="s">
        <v>1152</v>
      </c>
      <c r="J957" s="286" t="s">
        <v>1312</v>
      </c>
      <c r="K957" s="286" t="s">
        <v>2306</v>
      </c>
      <c r="L957" s="286" t="s">
        <v>672</v>
      </c>
      <c r="M957" s="286">
        <v>1</v>
      </c>
      <c r="N957" s="287">
        <v>4159.1499999999996</v>
      </c>
      <c r="O957" s="294">
        <f t="shared" si="14"/>
        <v>45535</v>
      </c>
      <c r="P957" s="286" t="s">
        <v>58</v>
      </c>
    </row>
    <row r="958" spans="1:16" hidden="1" x14ac:dyDescent="0.15">
      <c r="A958" s="286">
        <v>745911</v>
      </c>
      <c r="B958" s="288">
        <v>45538.44027777778</v>
      </c>
      <c r="C958" s="286" t="s">
        <v>2132</v>
      </c>
      <c r="D958" s="286" t="s">
        <v>1105</v>
      </c>
      <c r="E958" s="286" t="s">
        <v>1106</v>
      </c>
      <c r="F958" s="286" t="s">
        <v>2139</v>
      </c>
      <c r="G958" s="286" t="s">
        <v>1037</v>
      </c>
      <c r="H958" s="286" t="s">
        <v>1037</v>
      </c>
      <c r="I958" s="286" t="s">
        <v>1152</v>
      </c>
      <c r="J958" s="286" t="s">
        <v>1312</v>
      </c>
      <c r="K958" s="286" t="s">
        <v>2306</v>
      </c>
      <c r="L958" s="286" t="s">
        <v>672</v>
      </c>
      <c r="M958" s="286">
        <v>1</v>
      </c>
      <c r="N958" s="287">
        <v>4159.1499999999996</v>
      </c>
      <c r="O958" s="294">
        <f t="shared" si="14"/>
        <v>45565</v>
      </c>
      <c r="P958" s="286" t="s">
        <v>58</v>
      </c>
    </row>
    <row r="959" spans="1:16" hidden="1" x14ac:dyDescent="0.15">
      <c r="A959" s="286">
        <v>848817</v>
      </c>
      <c r="B959" s="288">
        <v>45607.65902777778</v>
      </c>
      <c r="C959" s="286" t="s">
        <v>2130</v>
      </c>
      <c r="D959" s="286" t="s">
        <v>1105</v>
      </c>
      <c r="E959" s="286" t="s">
        <v>1106</v>
      </c>
      <c r="F959" s="286" t="s">
        <v>2140</v>
      </c>
      <c r="G959" s="286" t="s">
        <v>1037</v>
      </c>
      <c r="H959" s="286" t="s">
        <v>1037</v>
      </c>
      <c r="I959" s="286" t="s">
        <v>1152</v>
      </c>
      <c r="J959" s="286" t="s">
        <v>1312</v>
      </c>
      <c r="K959" s="286" t="s">
        <v>2306</v>
      </c>
      <c r="L959" s="286" t="s">
        <v>672</v>
      </c>
      <c r="M959" s="286">
        <v>1</v>
      </c>
      <c r="N959" s="287">
        <v>4159.1499999999996</v>
      </c>
      <c r="O959" s="294">
        <f t="shared" si="14"/>
        <v>45626</v>
      </c>
      <c r="P959" s="286" t="s">
        <v>58</v>
      </c>
    </row>
    <row r="960" spans="1:16" hidden="1" x14ac:dyDescent="0.15">
      <c r="A960" s="286">
        <v>848917</v>
      </c>
      <c r="B960" s="288">
        <v>45607.660416666666</v>
      </c>
      <c r="C960" s="286" t="s">
        <v>2100</v>
      </c>
      <c r="D960" s="286" t="s">
        <v>1105</v>
      </c>
      <c r="E960" s="286" t="s">
        <v>1106</v>
      </c>
      <c r="F960" s="286" t="s">
        <v>2141</v>
      </c>
      <c r="G960" s="286" t="s">
        <v>1037</v>
      </c>
      <c r="H960" s="286" t="s">
        <v>1037</v>
      </c>
      <c r="I960" s="286" t="s">
        <v>1152</v>
      </c>
      <c r="J960" s="286" t="s">
        <v>1312</v>
      </c>
      <c r="K960" s="286" t="s">
        <v>2306</v>
      </c>
      <c r="L960" s="286" t="s">
        <v>672</v>
      </c>
      <c r="M960" s="286">
        <v>1</v>
      </c>
      <c r="N960" s="287">
        <v>4159.1499999999996</v>
      </c>
      <c r="O960" s="294">
        <f t="shared" si="14"/>
        <v>45626</v>
      </c>
      <c r="P960" s="286" t="s">
        <v>58</v>
      </c>
    </row>
    <row r="961" spans="1:16" hidden="1" x14ac:dyDescent="0.15">
      <c r="A961" s="286">
        <v>874698</v>
      </c>
      <c r="B961" s="288">
        <v>45628.357638888891</v>
      </c>
      <c r="C961" s="286" t="s">
        <v>2098</v>
      </c>
      <c r="D961" s="286" t="s">
        <v>1105</v>
      </c>
      <c r="E961" s="286" t="s">
        <v>1106</v>
      </c>
      <c r="F961" s="286" t="s">
        <v>2142</v>
      </c>
      <c r="G961" s="286" t="s">
        <v>1037</v>
      </c>
      <c r="H961" s="286" t="s">
        <v>1037</v>
      </c>
      <c r="I961" s="286" t="s">
        <v>1152</v>
      </c>
      <c r="J961" s="286" t="s">
        <v>1312</v>
      </c>
      <c r="K961" s="286" t="s">
        <v>2306</v>
      </c>
      <c r="L961" s="286" t="s">
        <v>672</v>
      </c>
      <c r="M961" s="286">
        <v>1</v>
      </c>
      <c r="N961" s="287">
        <v>4159.1499999999996</v>
      </c>
      <c r="O961" s="294">
        <f t="shared" si="14"/>
        <v>45657</v>
      </c>
      <c r="P961" s="286" t="s">
        <v>58</v>
      </c>
    </row>
    <row r="962" spans="1:16" hidden="1" x14ac:dyDescent="0.15">
      <c r="A962" s="286">
        <v>745911</v>
      </c>
      <c r="B962" s="288">
        <v>45538.44027777778</v>
      </c>
      <c r="C962" s="286" t="s">
        <v>2132</v>
      </c>
      <c r="D962" s="286" t="s">
        <v>1105</v>
      </c>
      <c r="E962" s="286" t="s">
        <v>1106</v>
      </c>
      <c r="F962" s="286" t="s">
        <v>2139</v>
      </c>
      <c r="G962" s="286" t="s">
        <v>1016</v>
      </c>
      <c r="H962" s="286" t="s">
        <v>1016</v>
      </c>
      <c r="I962" s="286" t="s">
        <v>1199</v>
      </c>
      <c r="J962" s="286" t="s">
        <v>1312</v>
      </c>
      <c r="K962" s="286" t="s">
        <v>53</v>
      </c>
      <c r="L962" s="286" t="s">
        <v>53</v>
      </c>
      <c r="M962" s="286" t="s">
        <v>53</v>
      </c>
      <c r="N962" s="287">
        <v>4126.2</v>
      </c>
      <c r="O962" s="294">
        <f t="shared" si="14"/>
        <v>45565</v>
      </c>
      <c r="P962" s="286" t="s">
        <v>58</v>
      </c>
    </row>
    <row r="963" spans="1:16" hidden="1" x14ac:dyDescent="0.15">
      <c r="A963" s="286">
        <v>472168</v>
      </c>
      <c r="B963" s="288">
        <v>45331.416666666664</v>
      </c>
      <c r="C963" s="286" t="s">
        <v>2113</v>
      </c>
      <c r="D963" s="286" t="s">
        <v>1105</v>
      </c>
      <c r="E963" s="286" t="s">
        <v>1106</v>
      </c>
      <c r="F963" s="286" t="s">
        <v>2153</v>
      </c>
      <c r="G963" s="286" t="s">
        <v>1044</v>
      </c>
      <c r="H963" s="286" t="s">
        <v>1044</v>
      </c>
      <c r="I963" s="286" t="s">
        <v>1228</v>
      </c>
      <c r="J963" s="286" t="s">
        <v>1312</v>
      </c>
      <c r="K963" s="286" t="s">
        <v>2291</v>
      </c>
      <c r="L963" s="286" t="s">
        <v>672</v>
      </c>
      <c r="M963" s="286">
        <v>1</v>
      </c>
      <c r="N963" s="287">
        <v>4111.87</v>
      </c>
      <c r="O963" s="294">
        <f t="shared" si="14"/>
        <v>45351</v>
      </c>
      <c r="P963" s="286" t="s">
        <v>58</v>
      </c>
    </row>
    <row r="964" spans="1:16" hidden="1" x14ac:dyDescent="0.15">
      <c r="A964" s="286">
        <v>483613</v>
      </c>
      <c r="B964" s="288">
        <v>45342.459027777775</v>
      </c>
      <c r="C964" s="286" t="s">
        <v>2113</v>
      </c>
      <c r="D964" s="286" t="s">
        <v>1105</v>
      </c>
      <c r="E964" s="286" t="s">
        <v>1106</v>
      </c>
      <c r="F964" s="286" t="s">
        <v>2263</v>
      </c>
      <c r="G964" s="286" t="s">
        <v>1044</v>
      </c>
      <c r="H964" s="286" t="s">
        <v>1044</v>
      </c>
      <c r="I964" s="286" t="s">
        <v>1228</v>
      </c>
      <c r="J964" s="286" t="s">
        <v>1312</v>
      </c>
      <c r="K964" s="286" t="s">
        <v>2291</v>
      </c>
      <c r="L964" s="286" t="s">
        <v>672</v>
      </c>
      <c r="M964" s="286">
        <v>1</v>
      </c>
      <c r="N964" s="287">
        <v>4111.87</v>
      </c>
      <c r="O964" s="294">
        <f t="shared" ref="O964:O1027" si="15">EOMONTH(B964,0)</f>
        <v>45351</v>
      </c>
      <c r="P964" s="286" t="s">
        <v>58</v>
      </c>
    </row>
    <row r="965" spans="1:16" hidden="1" x14ac:dyDescent="0.15">
      <c r="A965" s="286">
        <v>438112</v>
      </c>
      <c r="B965" s="288">
        <v>45293.53402777778</v>
      </c>
      <c r="C965" s="286" t="s">
        <v>2125</v>
      </c>
      <c r="D965" s="286" t="s">
        <v>1105</v>
      </c>
      <c r="E965" s="286" t="s">
        <v>1106</v>
      </c>
      <c r="F965" s="286" t="s">
        <v>2152</v>
      </c>
      <c r="G965" s="286" t="s">
        <v>1016</v>
      </c>
      <c r="H965" s="286" t="s">
        <v>1016</v>
      </c>
      <c r="I965" s="286" t="s">
        <v>1199</v>
      </c>
      <c r="J965" s="286" t="s">
        <v>53</v>
      </c>
      <c r="K965" s="286" t="s">
        <v>53</v>
      </c>
      <c r="L965" s="286" t="s">
        <v>53</v>
      </c>
      <c r="M965" s="286" t="s">
        <v>53</v>
      </c>
      <c r="N965" s="287">
        <v>4072.18</v>
      </c>
      <c r="O965" s="294">
        <f t="shared" si="15"/>
        <v>45322</v>
      </c>
      <c r="P965" s="286" t="s">
        <v>58</v>
      </c>
    </row>
    <row r="966" spans="1:16" hidden="1" x14ac:dyDescent="0.15">
      <c r="A966" s="286">
        <v>472168</v>
      </c>
      <c r="B966" s="288">
        <v>45331.416666666664</v>
      </c>
      <c r="C966" s="286" t="s">
        <v>2113</v>
      </c>
      <c r="D966" s="286" t="s">
        <v>1105</v>
      </c>
      <c r="E966" s="286" t="s">
        <v>1106</v>
      </c>
      <c r="F966" s="286" t="s">
        <v>2153</v>
      </c>
      <c r="G966" s="286" t="s">
        <v>1016</v>
      </c>
      <c r="H966" s="286" t="s">
        <v>1016</v>
      </c>
      <c r="I966" s="286" t="s">
        <v>1199</v>
      </c>
      <c r="J966" s="286" t="s">
        <v>53</v>
      </c>
      <c r="K966" s="286" t="s">
        <v>53</v>
      </c>
      <c r="L966" s="286" t="s">
        <v>53</v>
      </c>
      <c r="M966" s="286" t="s">
        <v>53</v>
      </c>
      <c r="N966" s="287">
        <v>4072.18</v>
      </c>
      <c r="O966" s="294">
        <f t="shared" si="15"/>
        <v>45351</v>
      </c>
      <c r="P966" s="286" t="s">
        <v>58</v>
      </c>
    </row>
    <row r="967" spans="1:16" hidden="1" x14ac:dyDescent="0.15">
      <c r="A967" s="286">
        <v>504817</v>
      </c>
      <c r="B967" s="288">
        <v>45359.645138888889</v>
      </c>
      <c r="C967" s="286" t="s">
        <v>2109</v>
      </c>
      <c r="D967" s="286" t="s">
        <v>1105</v>
      </c>
      <c r="E967" s="286" t="s">
        <v>1106</v>
      </c>
      <c r="F967" s="286" t="s">
        <v>2154</v>
      </c>
      <c r="G967" s="286" t="s">
        <v>1016</v>
      </c>
      <c r="H967" s="286" t="s">
        <v>1016</v>
      </c>
      <c r="I967" s="286" t="s">
        <v>1199</v>
      </c>
      <c r="J967" s="286" t="s">
        <v>53</v>
      </c>
      <c r="K967" s="286" t="s">
        <v>53</v>
      </c>
      <c r="L967" s="286" t="s">
        <v>53</v>
      </c>
      <c r="M967" s="286" t="s">
        <v>53</v>
      </c>
      <c r="N967" s="287">
        <v>4072.18</v>
      </c>
      <c r="O967" s="294">
        <f t="shared" si="15"/>
        <v>45382</v>
      </c>
      <c r="P967" s="286" t="s">
        <v>58</v>
      </c>
    </row>
    <row r="968" spans="1:16" hidden="1" x14ac:dyDescent="0.15">
      <c r="A968" s="286">
        <v>534207</v>
      </c>
      <c r="B968" s="288">
        <v>45385.750694444447</v>
      </c>
      <c r="C968" s="286" t="s">
        <v>2096</v>
      </c>
      <c r="D968" s="286" t="s">
        <v>1105</v>
      </c>
      <c r="E968" s="286" t="s">
        <v>1106</v>
      </c>
      <c r="F968" s="286" t="s">
        <v>2155</v>
      </c>
      <c r="G968" s="286" t="s">
        <v>1016</v>
      </c>
      <c r="H968" s="286" t="s">
        <v>1016</v>
      </c>
      <c r="I968" s="286" t="s">
        <v>1199</v>
      </c>
      <c r="J968" s="286" t="s">
        <v>53</v>
      </c>
      <c r="K968" s="286" t="s">
        <v>53</v>
      </c>
      <c r="L968" s="286" t="s">
        <v>53</v>
      </c>
      <c r="M968" s="286" t="s">
        <v>53</v>
      </c>
      <c r="N968" s="287">
        <v>4072.18</v>
      </c>
      <c r="O968" s="294">
        <f t="shared" si="15"/>
        <v>45412</v>
      </c>
      <c r="P968" s="286" t="s">
        <v>58</v>
      </c>
    </row>
    <row r="969" spans="1:16" hidden="1" x14ac:dyDescent="0.15">
      <c r="A969" s="286">
        <v>614216</v>
      </c>
      <c r="B969" s="288">
        <v>45455.716666666667</v>
      </c>
      <c r="C969" s="286" t="s">
        <v>2116</v>
      </c>
      <c r="D969" s="286" t="s">
        <v>1105</v>
      </c>
      <c r="E969" s="286" t="s">
        <v>1106</v>
      </c>
      <c r="F969" s="286" t="s">
        <v>2156</v>
      </c>
      <c r="G969" s="286" t="s">
        <v>1016</v>
      </c>
      <c r="H969" s="286" t="s">
        <v>1016</v>
      </c>
      <c r="I969" s="286" t="s">
        <v>1199</v>
      </c>
      <c r="J969" s="286" t="s">
        <v>53</v>
      </c>
      <c r="K969" s="286" t="s">
        <v>53</v>
      </c>
      <c r="L969" s="286" t="s">
        <v>53</v>
      </c>
      <c r="M969" s="286" t="s">
        <v>53</v>
      </c>
      <c r="N969" s="287">
        <v>4072.18</v>
      </c>
      <c r="O969" s="294">
        <f t="shared" si="15"/>
        <v>45473</v>
      </c>
      <c r="P969" s="286" t="s">
        <v>58</v>
      </c>
    </row>
    <row r="970" spans="1:16" hidden="1" x14ac:dyDescent="0.15">
      <c r="A970" s="286">
        <v>608480</v>
      </c>
      <c r="B970" s="288">
        <v>45450.422222222223</v>
      </c>
      <c r="C970" s="286" t="s">
        <v>2092</v>
      </c>
      <c r="D970" s="286" t="s">
        <v>1105</v>
      </c>
      <c r="E970" s="286" t="s">
        <v>1106</v>
      </c>
      <c r="F970" s="286" t="s">
        <v>2157</v>
      </c>
      <c r="G970" s="286" t="s">
        <v>1016</v>
      </c>
      <c r="H970" s="286" t="s">
        <v>1016</v>
      </c>
      <c r="I970" s="286" t="s">
        <v>1199</v>
      </c>
      <c r="J970" s="286" t="s">
        <v>53</v>
      </c>
      <c r="K970" s="286" t="s">
        <v>53</v>
      </c>
      <c r="L970" s="286" t="s">
        <v>53</v>
      </c>
      <c r="M970" s="286" t="s">
        <v>53</v>
      </c>
      <c r="N970" s="287">
        <v>4072.18</v>
      </c>
      <c r="O970" s="294">
        <f t="shared" si="15"/>
        <v>45473</v>
      </c>
      <c r="P970" s="286" t="s">
        <v>58</v>
      </c>
    </row>
    <row r="971" spans="1:16" hidden="1" x14ac:dyDescent="0.15">
      <c r="A971" s="286">
        <v>646075</v>
      </c>
      <c r="B971" s="288">
        <v>45474.519444444442</v>
      </c>
      <c r="C971" s="286" t="s">
        <v>2111</v>
      </c>
      <c r="D971" s="286" t="s">
        <v>1105</v>
      </c>
      <c r="E971" s="286" t="s">
        <v>1106</v>
      </c>
      <c r="F971" s="286" t="s">
        <v>2137</v>
      </c>
      <c r="G971" s="286" t="s">
        <v>1016</v>
      </c>
      <c r="H971" s="286" t="s">
        <v>1016</v>
      </c>
      <c r="I971" s="286" t="s">
        <v>1199</v>
      </c>
      <c r="J971" s="286" t="s">
        <v>53</v>
      </c>
      <c r="K971" s="286" t="s">
        <v>53</v>
      </c>
      <c r="L971" s="286" t="s">
        <v>53</v>
      </c>
      <c r="M971" s="286" t="s">
        <v>53</v>
      </c>
      <c r="N971" s="287">
        <v>4072.18</v>
      </c>
      <c r="O971" s="294">
        <f t="shared" si="15"/>
        <v>45504</v>
      </c>
      <c r="P971" s="286" t="s">
        <v>58</v>
      </c>
    </row>
    <row r="972" spans="1:16" hidden="1" x14ac:dyDescent="0.15">
      <c r="A972" s="286">
        <v>697810</v>
      </c>
      <c r="B972" s="288">
        <v>45510.366666666669</v>
      </c>
      <c r="C972" s="286" t="s">
        <v>2102</v>
      </c>
      <c r="D972" s="286" t="s">
        <v>1105</v>
      </c>
      <c r="E972" s="286" t="s">
        <v>1106</v>
      </c>
      <c r="F972" s="286" t="s">
        <v>2138</v>
      </c>
      <c r="G972" s="286" t="s">
        <v>1016</v>
      </c>
      <c r="H972" s="286" t="s">
        <v>1016</v>
      </c>
      <c r="I972" s="286" t="s">
        <v>1199</v>
      </c>
      <c r="J972" s="286" t="s">
        <v>53</v>
      </c>
      <c r="K972" s="286" t="s">
        <v>53</v>
      </c>
      <c r="L972" s="286" t="s">
        <v>53</v>
      </c>
      <c r="M972" s="286" t="s">
        <v>53</v>
      </c>
      <c r="N972" s="287">
        <v>4072.18</v>
      </c>
      <c r="O972" s="294">
        <f t="shared" si="15"/>
        <v>45535</v>
      </c>
      <c r="P972" s="286" t="s">
        <v>58</v>
      </c>
    </row>
    <row r="973" spans="1:16" hidden="1" x14ac:dyDescent="0.15">
      <c r="A973" s="286">
        <v>745911</v>
      </c>
      <c r="B973" s="288">
        <v>45538.44027777778</v>
      </c>
      <c r="C973" s="286" t="s">
        <v>2132</v>
      </c>
      <c r="D973" s="286" t="s">
        <v>1105</v>
      </c>
      <c r="E973" s="286" t="s">
        <v>1106</v>
      </c>
      <c r="F973" s="286" t="s">
        <v>2139</v>
      </c>
      <c r="G973" s="286" t="s">
        <v>1016</v>
      </c>
      <c r="H973" s="286" t="s">
        <v>1016</v>
      </c>
      <c r="I973" s="286" t="s">
        <v>1199</v>
      </c>
      <c r="J973" s="286" t="s">
        <v>53</v>
      </c>
      <c r="K973" s="286" t="s">
        <v>53</v>
      </c>
      <c r="L973" s="286" t="s">
        <v>53</v>
      </c>
      <c r="M973" s="286" t="s">
        <v>53</v>
      </c>
      <c r="N973" s="287">
        <v>4072.18</v>
      </c>
      <c r="O973" s="294">
        <f t="shared" si="15"/>
        <v>45565</v>
      </c>
      <c r="P973" s="286" t="s">
        <v>58</v>
      </c>
    </row>
    <row r="974" spans="1:16" hidden="1" x14ac:dyDescent="0.15">
      <c r="A974" s="286">
        <v>848817</v>
      </c>
      <c r="B974" s="288">
        <v>45607.65902777778</v>
      </c>
      <c r="C974" s="286" t="s">
        <v>2130</v>
      </c>
      <c r="D974" s="286" t="s">
        <v>1105</v>
      </c>
      <c r="E974" s="286" t="s">
        <v>1106</v>
      </c>
      <c r="F974" s="286" t="s">
        <v>2140</v>
      </c>
      <c r="G974" s="286" t="s">
        <v>1016</v>
      </c>
      <c r="H974" s="286" t="s">
        <v>1016</v>
      </c>
      <c r="I974" s="286" t="s">
        <v>1199</v>
      </c>
      <c r="J974" s="286" t="s">
        <v>53</v>
      </c>
      <c r="K974" s="286" t="s">
        <v>53</v>
      </c>
      <c r="L974" s="286" t="s">
        <v>53</v>
      </c>
      <c r="M974" s="286" t="s">
        <v>53</v>
      </c>
      <c r="N974" s="287">
        <v>4072.18</v>
      </c>
      <c r="O974" s="294">
        <f t="shared" si="15"/>
        <v>45626</v>
      </c>
      <c r="P974" s="286" t="s">
        <v>58</v>
      </c>
    </row>
    <row r="975" spans="1:16" hidden="1" x14ac:dyDescent="0.15">
      <c r="A975" s="286">
        <v>848917</v>
      </c>
      <c r="B975" s="288">
        <v>45607.660416666666</v>
      </c>
      <c r="C975" s="286" t="s">
        <v>2100</v>
      </c>
      <c r="D975" s="286" t="s">
        <v>1105</v>
      </c>
      <c r="E975" s="286" t="s">
        <v>1106</v>
      </c>
      <c r="F975" s="286" t="s">
        <v>2141</v>
      </c>
      <c r="G975" s="286" t="s">
        <v>1016</v>
      </c>
      <c r="H975" s="286" t="s">
        <v>1016</v>
      </c>
      <c r="I975" s="286" t="s">
        <v>1199</v>
      </c>
      <c r="J975" s="286" t="s">
        <v>53</v>
      </c>
      <c r="K975" s="286" t="s">
        <v>53</v>
      </c>
      <c r="L975" s="286" t="s">
        <v>53</v>
      </c>
      <c r="M975" s="286" t="s">
        <v>53</v>
      </c>
      <c r="N975" s="287">
        <v>4072.13</v>
      </c>
      <c r="O975" s="294">
        <f t="shared" si="15"/>
        <v>45626</v>
      </c>
      <c r="P975" s="286" t="s">
        <v>58</v>
      </c>
    </row>
    <row r="976" spans="1:16" hidden="1" x14ac:dyDescent="0.15">
      <c r="A976" s="286">
        <v>741701</v>
      </c>
      <c r="B976" s="288">
        <v>45533.373611111114</v>
      </c>
      <c r="C976" s="286" t="s">
        <v>2102</v>
      </c>
      <c r="D976" s="286" t="s">
        <v>1105</v>
      </c>
      <c r="E976" s="286" t="s">
        <v>1106</v>
      </c>
      <c r="F976" s="286" t="s">
        <v>2307</v>
      </c>
      <c r="G976" s="286" t="s">
        <v>1004</v>
      </c>
      <c r="H976" s="286" t="s">
        <v>1004</v>
      </c>
      <c r="I976" s="286" t="s">
        <v>1129</v>
      </c>
      <c r="J976" s="286" t="s">
        <v>1312</v>
      </c>
      <c r="K976" s="286" t="s">
        <v>2308</v>
      </c>
      <c r="L976" s="286" t="s">
        <v>2309</v>
      </c>
      <c r="M976" s="286">
        <v>1</v>
      </c>
      <c r="N976" s="287">
        <v>4069.31</v>
      </c>
      <c r="O976" s="294">
        <f t="shared" si="15"/>
        <v>45535</v>
      </c>
      <c r="P976" s="286" t="s">
        <v>164</v>
      </c>
    </row>
    <row r="977" spans="1:16" hidden="1" x14ac:dyDescent="0.15">
      <c r="A977" s="286">
        <v>646075</v>
      </c>
      <c r="B977" s="288">
        <v>45474.519444444442</v>
      </c>
      <c r="C977" s="286" t="s">
        <v>2111</v>
      </c>
      <c r="D977" s="286" t="s">
        <v>1105</v>
      </c>
      <c r="E977" s="286" t="s">
        <v>1106</v>
      </c>
      <c r="F977" s="286" t="s">
        <v>2137</v>
      </c>
      <c r="G977" s="286" t="s">
        <v>1078</v>
      </c>
      <c r="H977" s="286" t="s">
        <v>1078</v>
      </c>
      <c r="I977" s="286" t="s">
        <v>1199</v>
      </c>
      <c r="J977" s="286" t="s">
        <v>1312</v>
      </c>
      <c r="K977" s="286" t="s">
        <v>1797</v>
      </c>
      <c r="L977" s="286" t="s">
        <v>672</v>
      </c>
      <c r="M977" s="286">
        <v>1</v>
      </c>
      <c r="N977" s="287">
        <v>4065.95</v>
      </c>
      <c r="O977" s="294">
        <f t="shared" si="15"/>
        <v>45504</v>
      </c>
      <c r="P977" s="286" t="s">
        <v>58</v>
      </c>
    </row>
    <row r="978" spans="1:16" hidden="1" x14ac:dyDescent="0.15">
      <c r="A978" s="286">
        <v>646075</v>
      </c>
      <c r="B978" s="288">
        <v>45474.519444444442</v>
      </c>
      <c r="C978" s="286" t="s">
        <v>2111</v>
      </c>
      <c r="D978" s="286" t="s">
        <v>1105</v>
      </c>
      <c r="E978" s="286" t="s">
        <v>1106</v>
      </c>
      <c r="F978" s="286" t="s">
        <v>2137</v>
      </c>
      <c r="G978" s="286" t="s">
        <v>1786</v>
      </c>
      <c r="H978" s="286" t="s">
        <v>1786</v>
      </c>
      <c r="I978" s="286" t="s">
        <v>1199</v>
      </c>
      <c r="J978" s="286" t="s">
        <v>53</v>
      </c>
      <c r="K978" s="286" t="s">
        <v>53</v>
      </c>
      <c r="L978" s="286" t="s">
        <v>53</v>
      </c>
      <c r="M978" s="286" t="s">
        <v>53</v>
      </c>
      <c r="N978" s="287">
        <v>4046.06</v>
      </c>
      <c r="O978" s="294">
        <f t="shared" si="15"/>
        <v>45504</v>
      </c>
      <c r="P978" s="286" t="s">
        <v>58</v>
      </c>
    </row>
    <row r="979" spans="1:16" hidden="1" x14ac:dyDescent="0.15">
      <c r="A979" s="286">
        <v>438112</v>
      </c>
      <c r="B979" s="288">
        <v>45293.53402777778</v>
      </c>
      <c r="C979" s="286" t="s">
        <v>2125</v>
      </c>
      <c r="D979" s="286" t="s">
        <v>1105</v>
      </c>
      <c r="E979" s="286" t="s">
        <v>1106</v>
      </c>
      <c r="F979" s="286" t="s">
        <v>2152</v>
      </c>
      <c r="G979" s="286" t="s">
        <v>1029</v>
      </c>
      <c r="H979" s="286" t="s">
        <v>1029</v>
      </c>
      <c r="I979" s="286" t="s">
        <v>1199</v>
      </c>
      <c r="J979" s="286" t="s">
        <v>53</v>
      </c>
      <c r="K979" s="286" t="s">
        <v>53</v>
      </c>
      <c r="L979" s="286" t="s">
        <v>53</v>
      </c>
      <c r="M979" s="286" t="s">
        <v>53</v>
      </c>
      <c r="N979" s="287">
        <v>4044.96</v>
      </c>
      <c r="O979" s="294">
        <f t="shared" si="15"/>
        <v>45322</v>
      </c>
      <c r="P979" s="286" t="s">
        <v>58</v>
      </c>
    </row>
    <row r="980" spans="1:16" hidden="1" x14ac:dyDescent="0.15">
      <c r="A980" s="286">
        <v>472168</v>
      </c>
      <c r="B980" s="288">
        <v>45331.416666666664</v>
      </c>
      <c r="C980" s="286" t="s">
        <v>2113</v>
      </c>
      <c r="D980" s="286" t="s">
        <v>1105</v>
      </c>
      <c r="E980" s="286" t="s">
        <v>1106</v>
      </c>
      <c r="F980" s="286" t="s">
        <v>2153</v>
      </c>
      <c r="G980" s="286" t="s">
        <v>1029</v>
      </c>
      <c r="H980" s="286" t="s">
        <v>1029</v>
      </c>
      <c r="I980" s="286" t="s">
        <v>1199</v>
      </c>
      <c r="J980" s="286" t="s">
        <v>53</v>
      </c>
      <c r="K980" s="286" t="s">
        <v>53</v>
      </c>
      <c r="L980" s="286" t="s">
        <v>53</v>
      </c>
      <c r="M980" s="286" t="s">
        <v>53</v>
      </c>
      <c r="N980" s="287">
        <v>4044.96</v>
      </c>
      <c r="O980" s="294">
        <f t="shared" si="15"/>
        <v>45351</v>
      </c>
      <c r="P980" s="286" t="s">
        <v>58</v>
      </c>
    </row>
    <row r="981" spans="1:16" hidden="1" x14ac:dyDescent="0.15">
      <c r="A981" s="286">
        <v>504817</v>
      </c>
      <c r="B981" s="288">
        <v>45359.645138888889</v>
      </c>
      <c r="C981" s="286" t="s">
        <v>2109</v>
      </c>
      <c r="D981" s="286" t="s">
        <v>1105</v>
      </c>
      <c r="E981" s="286" t="s">
        <v>1106</v>
      </c>
      <c r="F981" s="286" t="s">
        <v>2154</v>
      </c>
      <c r="G981" s="286" t="s">
        <v>1029</v>
      </c>
      <c r="H981" s="286" t="s">
        <v>1029</v>
      </c>
      <c r="I981" s="286" t="s">
        <v>1199</v>
      </c>
      <c r="J981" s="286" t="s">
        <v>53</v>
      </c>
      <c r="K981" s="286" t="s">
        <v>53</v>
      </c>
      <c r="L981" s="286" t="s">
        <v>53</v>
      </c>
      <c r="M981" s="286" t="s">
        <v>53</v>
      </c>
      <c r="N981" s="287">
        <v>4044.96</v>
      </c>
      <c r="O981" s="294">
        <f t="shared" si="15"/>
        <v>45382</v>
      </c>
      <c r="P981" s="286" t="s">
        <v>58</v>
      </c>
    </row>
    <row r="982" spans="1:16" hidden="1" x14ac:dyDescent="0.15">
      <c r="A982" s="286">
        <v>534207</v>
      </c>
      <c r="B982" s="288">
        <v>45385.750694444447</v>
      </c>
      <c r="C982" s="286" t="s">
        <v>2096</v>
      </c>
      <c r="D982" s="286" t="s">
        <v>1105</v>
      </c>
      <c r="E982" s="286" t="s">
        <v>1106</v>
      </c>
      <c r="F982" s="286" t="s">
        <v>2155</v>
      </c>
      <c r="G982" s="286" t="s">
        <v>1029</v>
      </c>
      <c r="H982" s="286" t="s">
        <v>1029</v>
      </c>
      <c r="I982" s="286" t="s">
        <v>1199</v>
      </c>
      <c r="J982" s="286" t="s">
        <v>53</v>
      </c>
      <c r="K982" s="286" t="s">
        <v>53</v>
      </c>
      <c r="L982" s="286" t="s">
        <v>53</v>
      </c>
      <c r="M982" s="286" t="s">
        <v>53</v>
      </c>
      <c r="N982" s="287">
        <v>4044.96</v>
      </c>
      <c r="O982" s="294">
        <f t="shared" si="15"/>
        <v>45412</v>
      </c>
      <c r="P982" s="286" t="s">
        <v>58</v>
      </c>
    </row>
    <row r="983" spans="1:16" hidden="1" x14ac:dyDescent="0.15">
      <c r="A983" s="286">
        <v>614216</v>
      </c>
      <c r="B983" s="288">
        <v>45455.716666666667</v>
      </c>
      <c r="C983" s="286" t="s">
        <v>2116</v>
      </c>
      <c r="D983" s="286" t="s">
        <v>1105</v>
      </c>
      <c r="E983" s="286" t="s">
        <v>1106</v>
      </c>
      <c r="F983" s="286" t="s">
        <v>2156</v>
      </c>
      <c r="G983" s="286" t="s">
        <v>1029</v>
      </c>
      <c r="H983" s="286" t="s">
        <v>1029</v>
      </c>
      <c r="I983" s="286" t="s">
        <v>1199</v>
      </c>
      <c r="J983" s="286" t="s">
        <v>53</v>
      </c>
      <c r="K983" s="286" t="s">
        <v>53</v>
      </c>
      <c r="L983" s="286" t="s">
        <v>53</v>
      </c>
      <c r="M983" s="286" t="s">
        <v>53</v>
      </c>
      <c r="N983" s="287">
        <v>4044.96</v>
      </c>
      <c r="O983" s="294">
        <f t="shared" si="15"/>
        <v>45473</v>
      </c>
      <c r="P983" s="286" t="s">
        <v>58</v>
      </c>
    </row>
    <row r="984" spans="1:16" hidden="1" x14ac:dyDescent="0.15">
      <c r="A984" s="286">
        <v>608480</v>
      </c>
      <c r="B984" s="288">
        <v>45450.422222222223</v>
      </c>
      <c r="C984" s="286" t="s">
        <v>2092</v>
      </c>
      <c r="D984" s="286" t="s">
        <v>1105</v>
      </c>
      <c r="E984" s="286" t="s">
        <v>1106</v>
      </c>
      <c r="F984" s="286" t="s">
        <v>2157</v>
      </c>
      <c r="G984" s="286" t="s">
        <v>1029</v>
      </c>
      <c r="H984" s="286" t="s">
        <v>1029</v>
      </c>
      <c r="I984" s="286" t="s">
        <v>1199</v>
      </c>
      <c r="J984" s="286" t="s">
        <v>53</v>
      </c>
      <c r="K984" s="286" t="s">
        <v>53</v>
      </c>
      <c r="L984" s="286" t="s">
        <v>53</v>
      </c>
      <c r="M984" s="286" t="s">
        <v>53</v>
      </c>
      <c r="N984" s="287">
        <v>4044.96</v>
      </c>
      <c r="O984" s="294">
        <f t="shared" si="15"/>
        <v>45473</v>
      </c>
      <c r="P984" s="286" t="s">
        <v>58</v>
      </c>
    </row>
    <row r="985" spans="1:16" hidden="1" x14ac:dyDescent="0.15">
      <c r="A985" s="286">
        <v>646075</v>
      </c>
      <c r="B985" s="288">
        <v>45474.519444444442</v>
      </c>
      <c r="C985" s="286" t="s">
        <v>2111</v>
      </c>
      <c r="D985" s="286" t="s">
        <v>1105</v>
      </c>
      <c r="E985" s="286" t="s">
        <v>1106</v>
      </c>
      <c r="F985" s="286" t="s">
        <v>2137</v>
      </c>
      <c r="G985" s="286" t="s">
        <v>1029</v>
      </c>
      <c r="H985" s="286" t="s">
        <v>1029</v>
      </c>
      <c r="I985" s="286" t="s">
        <v>1199</v>
      </c>
      <c r="J985" s="286" t="s">
        <v>53</v>
      </c>
      <c r="K985" s="286" t="s">
        <v>53</v>
      </c>
      <c r="L985" s="286" t="s">
        <v>53</v>
      </c>
      <c r="M985" s="286" t="s">
        <v>53</v>
      </c>
      <c r="N985" s="287">
        <v>4044.96</v>
      </c>
      <c r="O985" s="294">
        <f t="shared" si="15"/>
        <v>45504</v>
      </c>
      <c r="P985" s="286" t="s">
        <v>58</v>
      </c>
    </row>
    <row r="986" spans="1:16" hidden="1" x14ac:dyDescent="0.15">
      <c r="A986" s="286">
        <v>438112</v>
      </c>
      <c r="B986" s="288">
        <v>45293.53402777778</v>
      </c>
      <c r="C986" s="286" t="s">
        <v>2125</v>
      </c>
      <c r="D986" s="286" t="s">
        <v>1105</v>
      </c>
      <c r="E986" s="286" t="s">
        <v>1106</v>
      </c>
      <c r="F986" s="286" t="s">
        <v>2152</v>
      </c>
      <c r="G986" s="286" t="s">
        <v>1035</v>
      </c>
      <c r="H986" s="286" t="s">
        <v>1035</v>
      </c>
      <c r="I986" s="286" t="s">
        <v>1199</v>
      </c>
      <c r="J986" s="286" t="s">
        <v>53</v>
      </c>
      <c r="K986" s="286" t="s">
        <v>53</v>
      </c>
      <c r="L986" s="286" t="s">
        <v>53</v>
      </c>
      <c r="M986" s="286" t="s">
        <v>53</v>
      </c>
      <c r="N986" s="287">
        <v>4028.15</v>
      </c>
      <c r="O986" s="294">
        <f t="shared" si="15"/>
        <v>45322</v>
      </c>
      <c r="P986" s="286" t="s">
        <v>58</v>
      </c>
    </row>
    <row r="987" spans="1:16" hidden="1" x14ac:dyDescent="0.15">
      <c r="A987" s="286">
        <v>472168</v>
      </c>
      <c r="B987" s="288">
        <v>45331.416666666664</v>
      </c>
      <c r="C987" s="286" t="s">
        <v>2113</v>
      </c>
      <c r="D987" s="286" t="s">
        <v>1105</v>
      </c>
      <c r="E987" s="286" t="s">
        <v>1106</v>
      </c>
      <c r="F987" s="286" t="s">
        <v>2153</v>
      </c>
      <c r="G987" s="286" t="s">
        <v>1035</v>
      </c>
      <c r="H987" s="286" t="s">
        <v>1035</v>
      </c>
      <c r="I987" s="286" t="s">
        <v>1199</v>
      </c>
      <c r="J987" s="286" t="s">
        <v>53</v>
      </c>
      <c r="K987" s="286" t="s">
        <v>53</v>
      </c>
      <c r="L987" s="286" t="s">
        <v>53</v>
      </c>
      <c r="M987" s="286" t="s">
        <v>53</v>
      </c>
      <c r="N987" s="287">
        <v>4028.15</v>
      </c>
      <c r="O987" s="294">
        <f t="shared" si="15"/>
        <v>45351</v>
      </c>
      <c r="P987" s="286" t="s">
        <v>58</v>
      </c>
    </row>
    <row r="988" spans="1:16" hidden="1" x14ac:dyDescent="0.15">
      <c r="A988" s="286">
        <v>504817</v>
      </c>
      <c r="B988" s="288">
        <v>45359.645138888889</v>
      </c>
      <c r="C988" s="286" t="s">
        <v>2109</v>
      </c>
      <c r="D988" s="286" t="s">
        <v>1105</v>
      </c>
      <c r="E988" s="286" t="s">
        <v>1106</v>
      </c>
      <c r="F988" s="286" t="s">
        <v>2154</v>
      </c>
      <c r="G988" s="286" t="s">
        <v>1035</v>
      </c>
      <c r="H988" s="286" t="s">
        <v>1035</v>
      </c>
      <c r="I988" s="286" t="s">
        <v>1199</v>
      </c>
      <c r="J988" s="286" t="s">
        <v>53</v>
      </c>
      <c r="K988" s="286" t="s">
        <v>53</v>
      </c>
      <c r="L988" s="286" t="s">
        <v>53</v>
      </c>
      <c r="M988" s="286" t="s">
        <v>53</v>
      </c>
      <c r="N988" s="287">
        <v>4028.15</v>
      </c>
      <c r="O988" s="294">
        <f t="shared" si="15"/>
        <v>45382</v>
      </c>
      <c r="P988" s="286" t="s">
        <v>58</v>
      </c>
    </row>
    <row r="989" spans="1:16" hidden="1" x14ac:dyDescent="0.15">
      <c r="A989" s="286">
        <v>534207</v>
      </c>
      <c r="B989" s="288">
        <v>45385.750694444447</v>
      </c>
      <c r="C989" s="286" t="s">
        <v>2096</v>
      </c>
      <c r="D989" s="286" t="s">
        <v>1105</v>
      </c>
      <c r="E989" s="286" t="s">
        <v>1106</v>
      </c>
      <c r="F989" s="286" t="s">
        <v>2155</v>
      </c>
      <c r="G989" s="286" t="s">
        <v>1035</v>
      </c>
      <c r="H989" s="286" t="s">
        <v>1035</v>
      </c>
      <c r="I989" s="286" t="s">
        <v>1199</v>
      </c>
      <c r="J989" s="286" t="s">
        <v>53</v>
      </c>
      <c r="K989" s="286" t="s">
        <v>53</v>
      </c>
      <c r="L989" s="286" t="s">
        <v>53</v>
      </c>
      <c r="M989" s="286" t="s">
        <v>53</v>
      </c>
      <c r="N989" s="287">
        <v>4028.15</v>
      </c>
      <c r="O989" s="294">
        <f t="shared" si="15"/>
        <v>45412</v>
      </c>
      <c r="P989" s="286" t="s">
        <v>58</v>
      </c>
    </row>
    <row r="990" spans="1:16" hidden="1" x14ac:dyDescent="0.15">
      <c r="A990" s="286">
        <v>614216</v>
      </c>
      <c r="B990" s="288">
        <v>45455.716666666667</v>
      </c>
      <c r="C990" s="286" t="s">
        <v>2116</v>
      </c>
      <c r="D990" s="286" t="s">
        <v>1105</v>
      </c>
      <c r="E990" s="286" t="s">
        <v>1106</v>
      </c>
      <c r="F990" s="286" t="s">
        <v>2156</v>
      </c>
      <c r="G990" s="286" t="s">
        <v>1035</v>
      </c>
      <c r="H990" s="286" t="s">
        <v>1035</v>
      </c>
      <c r="I990" s="286" t="s">
        <v>1199</v>
      </c>
      <c r="J990" s="286" t="s">
        <v>53</v>
      </c>
      <c r="K990" s="286" t="s">
        <v>53</v>
      </c>
      <c r="L990" s="286" t="s">
        <v>53</v>
      </c>
      <c r="M990" s="286" t="s">
        <v>53</v>
      </c>
      <c r="N990" s="287">
        <v>4028.15</v>
      </c>
      <c r="O990" s="294">
        <f t="shared" si="15"/>
        <v>45473</v>
      </c>
      <c r="P990" s="286" t="s">
        <v>58</v>
      </c>
    </row>
    <row r="991" spans="1:16" hidden="1" x14ac:dyDescent="0.15">
      <c r="A991" s="286">
        <v>608480</v>
      </c>
      <c r="B991" s="288">
        <v>45450.422222222223</v>
      </c>
      <c r="C991" s="286" t="s">
        <v>2092</v>
      </c>
      <c r="D991" s="286" t="s">
        <v>1105</v>
      </c>
      <c r="E991" s="286" t="s">
        <v>1106</v>
      </c>
      <c r="F991" s="286" t="s">
        <v>2157</v>
      </c>
      <c r="G991" s="286" t="s">
        <v>1035</v>
      </c>
      <c r="H991" s="286" t="s">
        <v>1035</v>
      </c>
      <c r="I991" s="286" t="s">
        <v>1199</v>
      </c>
      <c r="J991" s="286" t="s">
        <v>53</v>
      </c>
      <c r="K991" s="286" t="s">
        <v>53</v>
      </c>
      <c r="L991" s="286" t="s">
        <v>53</v>
      </c>
      <c r="M991" s="286" t="s">
        <v>53</v>
      </c>
      <c r="N991" s="287">
        <v>4028.15</v>
      </c>
      <c r="O991" s="294">
        <f t="shared" si="15"/>
        <v>45473</v>
      </c>
      <c r="P991" s="286" t="s">
        <v>58</v>
      </c>
    </row>
    <row r="992" spans="1:16" hidden="1" x14ac:dyDescent="0.15">
      <c r="A992" s="286">
        <v>769994</v>
      </c>
      <c r="B992" s="288">
        <v>45548.686111111114</v>
      </c>
      <c r="C992" s="286" t="s">
        <v>2102</v>
      </c>
      <c r="D992" s="286" t="s">
        <v>1105</v>
      </c>
      <c r="E992" s="286" t="s">
        <v>1106</v>
      </c>
      <c r="F992" s="286" t="s">
        <v>2242</v>
      </c>
      <c r="G992" s="286" t="s">
        <v>1029</v>
      </c>
      <c r="H992" s="286" t="s">
        <v>1029</v>
      </c>
      <c r="I992" s="286" t="s">
        <v>1199</v>
      </c>
      <c r="J992" s="286" t="s">
        <v>1312</v>
      </c>
      <c r="K992" s="286" t="s">
        <v>1828</v>
      </c>
      <c r="L992" s="286" t="s">
        <v>672</v>
      </c>
      <c r="M992" s="286">
        <v>1</v>
      </c>
      <c r="N992" s="287">
        <v>4009.63</v>
      </c>
      <c r="O992" s="294">
        <f t="shared" si="15"/>
        <v>45565</v>
      </c>
      <c r="P992" s="286" t="s">
        <v>58</v>
      </c>
    </row>
    <row r="993" spans="1:16" hidden="1" x14ac:dyDescent="0.15">
      <c r="A993" s="286">
        <v>534207</v>
      </c>
      <c r="B993" s="288">
        <v>45385.750694444447</v>
      </c>
      <c r="C993" s="286" t="s">
        <v>2096</v>
      </c>
      <c r="D993" s="286" t="s">
        <v>1105</v>
      </c>
      <c r="E993" s="286" t="s">
        <v>1106</v>
      </c>
      <c r="F993" s="286" t="s">
        <v>2155</v>
      </c>
      <c r="G993" s="286" t="s">
        <v>1056</v>
      </c>
      <c r="H993" s="286" t="s">
        <v>1056</v>
      </c>
      <c r="I993" s="286" t="s">
        <v>1199</v>
      </c>
      <c r="J993" s="286" t="s">
        <v>1312</v>
      </c>
      <c r="K993" s="286" t="s">
        <v>2214</v>
      </c>
      <c r="L993" s="286" t="s">
        <v>53</v>
      </c>
      <c r="M993" s="286">
        <v>1</v>
      </c>
      <c r="N993" s="287">
        <v>3991.26</v>
      </c>
      <c r="O993" s="294">
        <f t="shared" si="15"/>
        <v>45412</v>
      </c>
      <c r="P993" s="286" t="s">
        <v>58</v>
      </c>
    </row>
    <row r="994" spans="1:16" hidden="1" x14ac:dyDescent="0.15">
      <c r="A994" s="286">
        <v>468985</v>
      </c>
      <c r="B994" s="288">
        <v>45328.734027777777</v>
      </c>
      <c r="C994" s="286" t="s">
        <v>2125</v>
      </c>
      <c r="D994" s="286" t="s">
        <v>1105</v>
      </c>
      <c r="E994" s="286" t="s">
        <v>1106</v>
      </c>
      <c r="F994" s="286" t="s">
        <v>2310</v>
      </c>
      <c r="G994" s="286" t="s">
        <v>1084</v>
      </c>
      <c r="H994" s="286" t="s">
        <v>1442</v>
      </c>
      <c r="I994" s="286" t="s">
        <v>1230</v>
      </c>
      <c r="J994" s="286" t="s">
        <v>1312</v>
      </c>
      <c r="K994" s="286" t="s">
        <v>53</v>
      </c>
      <c r="L994" s="286" t="s">
        <v>53</v>
      </c>
      <c r="M994" s="286" t="s">
        <v>53</v>
      </c>
      <c r="N994" s="287">
        <v>3983</v>
      </c>
      <c r="O994" s="294">
        <f t="shared" si="15"/>
        <v>45351</v>
      </c>
      <c r="P994" s="286" t="s">
        <v>175</v>
      </c>
    </row>
    <row r="995" spans="1:16" hidden="1" x14ac:dyDescent="0.15">
      <c r="A995" s="286">
        <v>575592</v>
      </c>
      <c r="B995" s="288">
        <v>45425.339583333334</v>
      </c>
      <c r="C995" s="286" t="s">
        <v>2116</v>
      </c>
      <c r="D995" s="286" t="s">
        <v>1105</v>
      </c>
      <c r="E995" s="286" t="s">
        <v>1106</v>
      </c>
      <c r="F995" s="286" t="s">
        <v>2249</v>
      </c>
      <c r="G995" s="286" t="s">
        <v>1037</v>
      </c>
      <c r="H995" s="286" t="s">
        <v>1037</v>
      </c>
      <c r="I995" s="286" t="s">
        <v>1152</v>
      </c>
      <c r="J995" s="286" t="s">
        <v>1312</v>
      </c>
      <c r="K995" s="286" t="s">
        <v>2306</v>
      </c>
      <c r="L995" s="286" t="s">
        <v>672</v>
      </c>
      <c r="M995" s="286">
        <v>1</v>
      </c>
      <c r="N995" s="287">
        <v>3972.36</v>
      </c>
      <c r="O995" s="294">
        <f t="shared" si="15"/>
        <v>45443</v>
      </c>
      <c r="P995" s="286" t="s">
        <v>58</v>
      </c>
    </row>
    <row r="996" spans="1:16" hidden="1" x14ac:dyDescent="0.15">
      <c r="A996" s="286">
        <v>751756</v>
      </c>
      <c r="B996" s="288">
        <v>45540.734722222223</v>
      </c>
      <c r="C996" s="286" t="s">
        <v>2102</v>
      </c>
      <c r="D996" s="286" t="s">
        <v>1105</v>
      </c>
      <c r="E996" s="286" t="s">
        <v>1106</v>
      </c>
      <c r="F996" s="286" t="s">
        <v>2103</v>
      </c>
      <c r="G996" s="286" t="s">
        <v>1011</v>
      </c>
      <c r="H996" s="286" t="s">
        <v>1011</v>
      </c>
      <c r="I996" s="286" t="s">
        <v>1301</v>
      </c>
      <c r="J996" s="286" t="s">
        <v>1312</v>
      </c>
      <c r="K996" s="286" t="s">
        <v>56</v>
      </c>
      <c r="L996" s="286" t="s">
        <v>71</v>
      </c>
      <c r="M996" s="286">
        <v>1</v>
      </c>
      <c r="N996" s="287">
        <v>3955</v>
      </c>
      <c r="O996" s="294">
        <f t="shared" si="15"/>
        <v>45565</v>
      </c>
      <c r="P996" s="286" t="s">
        <v>55</v>
      </c>
    </row>
    <row r="997" spans="1:16" hidden="1" x14ac:dyDescent="0.15">
      <c r="A997" s="286">
        <v>608480</v>
      </c>
      <c r="B997" s="288">
        <v>45450.422222222223</v>
      </c>
      <c r="C997" s="286" t="s">
        <v>2092</v>
      </c>
      <c r="D997" s="286" t="s">
        <v>1105</v>
      </c>
      <c r="E997" s="286" t="s">
        <v>1106</v>
      </c>
      <c r="F997" s="286" t="s">
        <v>2157</v>
      </c>
      <c r="G997" s="286" t="s">
        <v>1082</v>
      </c>
      <c r="H997" s="286" t="s">
        <v>1082</v>
      </c>
      <c r="I997" s="286" t="s">
        <v>1199</v>
      </c>
      <c r="J997" s="286" t="s">
        <v>53</v>
      </c>
      <c r="K997" s="286" t="s">
        <v>53</v>
      </c>
      <c r="L997" s="286" t="s">
        <v>53</v>
      </c>
      <c r="M997" s="286" t="s">
        <v>53</v>
      </c>
      <c r="N997" s="287">
        <v>3919.89</v>
      </c>
      <c r="O997" s="294">
        <f t="shared" si="15"/>
        <v>45473</v>
      </c>
      <c r="P997" s="286" t="s">
        <v>58</v>
      </c>
    </row>
    <row r="998" spans="1:16" hidden="1" x14ac:dyDescent="0.15">
      <c r="A998" s="286">
        <v>825672</v>
      </c>
      <c r="B998" s="288">
        <v>45589.395138888889</v>
      </c>
      <c r="C998" s="286" t="s">
        <v>2130</v>
      </c>
      <c r="D998" s="286" t="s">
        <v>1105</v>
      </c>
      <c r="E998" s="286" t="s">
        <v>1106</v>
      </c>
      <c r="F998" s="286" t="s">
        <v>2311</v>
      </c>
      <c r="G998" s="286" t="s">
        <v>1017</v>
      </c>
      <c r="H998" s="286" t="s">
        <v>1017</v>
      </c>
      <c r="I998" s="286" t="s">
        <v>1152</v>
      </c>
      <c r="J998" s="286" t="s">
        <v>1312</v>
      </c>
      <c r="K998" s="286" t="s">
        <v>53</v>
      </c>
      <c r="L998" s="286" t="s">
        <v>53</v>
      </c>
      <c r="M998" s="286" t="s">
        <v>53</v>
      </c>
      <c r="N998" s="287">
        <v>3860.08</v>
      </c>
      <c r="O998" s="294">
        <f t="shared" si="15"/>
        <v>45596</v>
      </c>
      <c r="P998" s="286" t="s">
        <v>58</v>
      </c>
    </row>
    <row r="999" spans="1:16" hidden="1" x14ac:dyDescent="0.15">
      <c r="A999" s="286">
        <v>745911</v>
      </c>
      <c r="B999" s="288">
        <v>45538.44027777778</v>
      </c>
      <c r="C999" s="286" t="s">
        <v>2132</v>
      </c>
      <c r="D999" s="286" t="s">
        <v>1105</v>
      </c>
      <c r="E999" s="286" t="s">
        <v>1106</v>
      </c>
      <c r="F999" s="286" t="s">
        <v>2139</v>
      </c>
      <c r="G999" s="286" t="s">
        <v>1002</v>
      </c>
      <c r="H999" s="286" t="s">
        <v>1002</v>
      </c>
      <c r="I999" s="286" t="s">
        <v>1199</v>
      </c>
      <c r="J999" s="286" t="s">
        <v>1312</v>
      </c>
      <c r="K999" s="286" t="s">
        <v>1796</v>
      </c>
      <c r="L999" s="286" t="s">
        <v>672</v>
      </c>
      <c r="M999" s="286">
        <v>1</v>
      </c>
      <c r="N999" s="287">
        <v>3855.41</v>
      </c>
      <c r="O999" s="294">
        <f t="shared" si="15"/>
        <v>45565</v>
      </c>
      <c r="P999" s="286" t="s">
        <v>58</v>
      </c>
    </row>
    <row r="1000" spans="1:16" hidden="1" x14ac:dyDescent="0.15">
      <c r="A1000" s="286">
        <v>874698</v>
      </c>
      <c r="B1000" s="288">
        <v>45628.357638888891</v>
      </c>
      <c r="C1000" s="286" t="s">
        <v>2098</v>
      </c>
      <c r="D1000" s="286" t="s">
        <v>1105</v>
      </c>
      <c r="E1000" s="286" t="s">
        <v>1106</v>
      </c>
      <c r="F1000" s="286" t="s">
        <v>2142</v>
      </c>
      <c r="G1000" s="286" t="s">
        <v>1069</v>
      </c>
      <c r="H1000" s="286" t="s">
        <v>1069</v>
      </c>
      <c r="I1000" s="286" t="s">
        <v>1228</v>
      </c>
      <c r="J1000" s="286" t="s">
        <v>1312</v>
      </c>
      <c r="K1000" s="286" t="s">
        <v>1813</v>
      </c>
      <c r="L1000" s="286" t="s">
        <v>672</v>
      </c>
      <c r="M1000" s="286">
        <v>1</v>
      </c>
      <c r="N1000" s="287">
        <v>3845.96</v>
      </c>
      <c r="O1000" s="294">
        <f t="shared" si="15"/>
        <v>45657</v>
      </c>
      <c r="P1000" s="286" t="s">
        <v>58</v>
      </c>
    </row>
    <row r="1001" spans="1:16" hidden="1" x14ac:dyDescent="0.15">
      <c r="A1001" s="286">
        <v>438112</v>
      </c>
      <c r="B1001" s="288">
        <v>45293.53402777778</v>
      </c>
      <c r="C1001" s="286" t="s">
        <v>2125</v>
      </c>
      <c r="D1001" s="286" t="s">
        <v>1105</v>
      </c>
      <c r="E1001" s="286" t="s">
        <v>1106</v>
      </c>
      <c r="F1001" s="286" t="s">
        <v>2152</v>
      </c>
      <c r="G1001" s="286" t="s">
        <v>1069</v>
      </c>
      <c r="H1001" s="286" t="s">
        <v>1069</v>
      </c>
      <c r="I1001" s="286" t="s">
        <v>1228</v>
      </c>
      <c r="J1001" s="286" t="s">
        <v>1312</v>
      </c>
      <c r="K1001" s="286" t="s">
        <v>1813</v>
      </c>
      <c r="L1001" s="286" t="s">
        <v>672</v>
      </c>
      <c r="M1001" s="286">
        <v>1</v>
      </c>
      <c r="N1001" s="287">
        <v>3845.92</v>
      </c>
      <c r="O1001" s="294">
        <f t="shared" si="15"/>
        <v>45322</v>
      </c>
      <c r="P1001" s="286" t="s">
        <v>58</v>
      </c>
    </row>
    <row r="1002" spans="1:16" hidden="1" x14ac:dyDescent="0.15">
      <c r="A1002" s="286">
        <v>472168</v>
      </c>
      <c r="B1002" s="288">
        <v>45331.416666666664</v>
      </c>
      <c r="C1002" s="286" t="s">
        <v>2113</v>
      </c>
      <c r="D1002" s="286" t="s">
        <v>1105</v>
      </c>
      <c r="E1002" s="286" t="s">
        <v>1106</v>
      </c>
      <c r="F1002" s="286" t="s">
        <v>2153</v>
      </c>
      <c r="G1002" s="286" t="s">
        <v>1069</v>
      </c>
      <c r="H1002" s="286" t="s">
        <v>1069</v>
      </c>
      <c r="I1002" s="286" t="s">
        <v>1228</v>
      </c>
      <c r="J1002" s="286" t="s">
        <v>1312</v>
      </c>
      <c r="K1002" s="286" t="s">
        <v>1813</v>
      </c>
      <c r="L1002" s="286" t="s">
        <v>672</v>
      </c>
      <c r="M1002" s="286">
        <v>1</v>
      </c>
      <c r="N1002" s="287">
        <v>3845.92</v>
      </c>
      <c r="O1002" s="294">
        <f t="shared" si="15"/>
        <v>45351</v>
      </c>
      <c r="P1002" s="286" t="s">
        <v>58</v>
      </c>
    </row>
    <row r="1003" spans="1:16" hidden="1" x14ac:dyDescent="0.15">
      <c r="A1003" s="286">
        <v>504817</v>
      </c>
      <c r="B1003" s="288">
        <v>45359.645138888889</v>
      </c>
      <c r="C1003" s="286" t="s">
        <v>2109</v>
      </c>
      <c r="D1003" s="286" t="s">
        <v>1105</v>
      </c>
      <c r="E1003" s="286" t="s">
        <v>1106</v>
      </c>
      <c r="F1003" s="286" t="s">
        <v>2154</v>
      </c>
      <c r="G1003" s="286" t="s">
        <v>1069</v>
      </c>
      <c r="H1003" s="286" t="s">
        <v>1069</v>
      </c>
      <c r="I1003" s="286" t="s">
        <v>1228</v>
      </c>
      <c r="J1003" s="286" t="s">
        <v>1312</v>
      </c>
      <c r="K1003" s="286" t="s">
        <v>1813</v>
      </c>
      <c r="L1003" s="286" t="s">
        <v>672</v>
      </c>
      <c r="M1003" s="286">
        <v>1</v>
      </c>
      <c r="N1003" s="287">
        <v>3845.92</v>
      </c>
      <c r="O1003" s="294">
        <f t="shared" si="15"/>
        <v>45382</v>
      </c>
      <c r="P1003" s="286" t="s">
        <v>58</v>
      </c>
    </row>
    <row r="1004" spans="1:16" hidden="1" x14ac:dyDescent="0.15">
      <c r="A1004" s="286">
        <v>534207</v>
      </c>
      <c r="B1004" s="288">
        <v>45385.750694444447</v>
      </c>
      <c r="C1004" s="286" t="s">
        <v>2096</v>
      </c>
      <c r="D1004" s="286" t="s">
        <v>1105</v>
      </c>
      <c r="E1004" s="286" t="s">
        <v>1106</v>
      </c>
      <c r="F1004" s="286" t="s">
        <v>2155</v>
      </c>
      <c r="G1004" s="286" t="s">
        <v>1069</v>
      </c>
      <c r="H1004" s="286" t="s">
        <v>1069</v>
      </c>
      <c r="I1004" s="286" t="s">
        <v>1228</v>
      </c>
      <c r="J1004" s="286" t="s">
        <v>1312</v>
      </c>
      <c r="K1004" s="286" t="s">
        <v>1813</v>
      </c>
      <c r="L1004" s="286" t="s">
        <v>672</v>
      </c>
      <c r="M1004" s="286">
        <v>1</v>
      </c>
      <c r="N1004" s="287">
        <v>3845.92</v>
      </c>
      <c r="O1004" s="294">
        <f t="shared" si="15"/>
        <v>45412</v>
      </c>
      <c r="P1004" s="286" t="s">
        <v>58</v>
      </c>
    </row>
    <row r="1005" spans="1:16" hidden="1" x14ac:dyDescent="0.15">
      <c r="A1005" s="286">
        <v>614216</v>
      </c>
      <c r="B1005" s="288">
        <v>45455.716666666667</v>
      </c>
      <c r="C1005" s="286" t="s">
        <v>2116</v>
      </c>
      <c r="D1005" s="286" t="s">
        <v>1105</v>
      </c>
      <c r="E1005" s="286" t="s">
        <v>1106</v>
      </c>
      <c r="F1005" s="286" t="s">
        <v>2156</v>
      </c>
      <c r="G1005" s="286" t="s">
        <v>1069</v>
      </c>
      <c r="H1005" s="286" t="s">
        <v>1069</v>
      </c>
      <c r="I1005" s="286" t="s">
        <v>1228</v>
      </c>
      <c r="J1005" s="286" t="s">
        <v>1312</v>
      </c>
      <c r="K1005" s="286" t="s">
        <v>1813</v>
      </c>
      <c r="L1005" s="286" t="s">
        <v>672</v>
      </c>
      <c r="M1005" s="286">
        <v>1</v>
      </c>
      <c r="N1005" s="287">
        <v>3845.92</v>
      </c>
      <c r="O1005" s="294">
        <f t="shared" si="15"/>
        <v>45473</v>
      </c>
      <c r="P1005" s="286" t="s">
        <v>58</v>
      </c>
    </row>
    <row r="1006" spans="1:16" hidden="1" x14ac:dyDescent="0.15">
      <c r="A1006" s="286">
        <v>608480</v>
      </c>
      <c r="B1006" s="288">
        <v>45450.422222222223</v>
      </c>
      <c r="C1006" s="286" t="s">
        <v>2092</v>
      </c>
      <c r="D1006" s="286" t="s">
        <v>1105</v>
      </c>
      <c r="E1006" s="286" t="s">
        <v>1106</v>
      </c>
      <c r="F1006" s="286" t="s">
        <v>2157</v>
      </c>
      <c r="G1006" s="286" t="s">
        <v>1069</v>
      </c>
      <c r="H1006" s="286" t="s">
        <v>1069</v>
      </c>
      <c r="I1006" s="286" t="s">
        <v>1228</v>
      </c>
      <c r="J1006" s="286" t="s">
        <v>1312</v>
      </c>
      <c r="K1006" s="286" t="s">
        <v>1813</v>
      </c>
      <c r="L1006" s="286" t="s">
        <v>672</v>
      </c>
      <c r="M1006" s="286">
        <v>1</v>
      </c>
      <c r="N1006" s="287">
        <v>3845.92</v>
      </c>
      <c r="O1006" s="294">
        <f t="shared" si="15"/>
        <v>45473</v>
      </c>
      <c r="P1006" s="286" t="s">
        <v>58</v>
      </c>
    </row>
    <row r="1007" spans="1:16" hidden="1" x14ac:dyDescent="0.15">
      <c r="A1007" s="286">
        <v>646075</v>
      </c>
      <c r="B1007" s="288">
        <v>45474.519444444442</v>
      </c>
      <c r="C1007" s="286" t="s">
        <v>2111</v>
      </c>
      <c r="D1007" s="286" t="s">
        <v>1105</v>
      </c>
      <c r="E1007" s="286" t="s">
        <v>1106</v>
      </c>
      <c r="F1007" s="286" t="s">
        <v>2137</v>
      </c>
      <c r="G1007" s="286" t="s">
        <v>1069</v>
      </c>
      <c r="H1007" s="286" t="s">
        <v>1069</v>
      </c>
      <c r="I1007" s="286" t="s">
        <v>1228</v>
      </c>
      <c r="J1007" s="286" t="s">
        <v>1312</v>
      </c>
      <c r="K1007" s="286" t="s">
        <v>1813</v>
      </c>
      <c r="L1007" s="286" t="s">
        <v>672</v>
      </c>
      <c r="M1007" s="286">
        <v>1</v>
      </c>
      <c r="N1007" s="287">
        <v>3845.92</v>
      </c>
      <c r="O1007" s="294">
        <f t="shared" si="15"/>
        <v>45504</v>
      </c>
      <c r="P1007" s="286" t="s">
        <v>58</v>
      </c>
    </row>
    <row r="1008" spans="1:16" hidden="1" x14ac:dyDescent="0.15">
      <c r="A1008" s="286">
        <v>697810</v>
      </c>
      <c r="B1008" s="288">
        <v>45510.366666666669</v>
      </c>
      <c r="C1008" s="286" t="s">
        <v>2102</v>
      </c>
      <c r="D1008" s="286" t="s">
        <v>1105</v>
      </c>
      <c r="E1008" s="286" t="s">
        <v>1106</v>
      </c>
      <c r="F1008" s="286" t="s">
        <v>2138</v>
      </c>
      <c r="G1008" s="286" t="s">
        <v>1069</v>
      </c>
      <c r="H1008" s="286" t="s">
        <v>1069</v>
      </c>
      <c r="I1008" s="286" t="s">
        <v>1228</v>
      </c>
      <c r="J1008" s="286" t="s">
        <v>1312</v>
      </c>
      <c r="K1008" s="286" t="s">
        <v>1813</v>
      </c>
      <c r="L1008" s="286" t="s">
        <v>672</v>
      </c>
      <c r="M1008" s="286">
        <v>1</v>
      </c>
      <c r="N1008" s="287">
        <v>3845.92</v>
      </c>
      <c r="O1008" s="294">
        <f t="shared" si="15"/>
        <v>45535</v>
      </c>
      <c r="P1008" s="286" t="s">
        <v>58</v>
      </c>
    </row>
    <row r="1009" spans="1:16" hidden="1" x14ac:dyDescent="0.15">
      <c r="A1009" s="286">
        <v>745911</v>
      </c>
      <c r="B1009" s="288">
        <v>45538.44027777778</v>
      </c>
      <c r="C1009" s="286" t="s">
        <v>2132</v>
      </c>
      <c r="D1009" s="286" t="s">
        <v>1105</v>
      </c>
      <c r="E1009" s="286" t="s">
        <v>1106</v>
      </c>
      <c r="F1009" s="286" t="s">
        <v>2139</v>
      </c>
      <c r="G1009" s="286" t="s">
        <v>1069</v>
      </c>
      <c r="H1009" s="286" t="s">
        <v>1069</v>
      </c>
      <c r="I1009" s="286" t="s">
        <v>1228</v>
      </c>
      <c r="J1009" s="286" t="s">
        <v>1312</v>
      </c>
      <c r="K1009" s="286" t="s">
        <v>1813</v>
      </c>
      <c r="L1009" s="286" t="s">
        <v>672</v>
      </c>
      <c r="M1009" s="286">
        <v>1</v>
      </c>
      <c r="N1009" s="287">
        <v>3845.92</v>
      </c>
      <c r="O1009" s="294">
        <f t="shared" si="15"/>
        <v>45565</v>
      </c>
      <c r="P1009" s="286" t="s">
        <v>58</v>
      </c>
    </row>
    <row r="1010" spans="1:16" hidden="1" x14ac:dyDescent="0.15">
      <c r="A1010" s="286">
        <v>848817</v>
      </c>
      <c r="B1010" s="288">
        <v>45607.65902777778</v>
      </c>
      <c r="C1010" s="286" t="s">
        <v>2130</v>
      </c>
      <c r="D1010" s="286" t="s">
        <v>1105</v>
      </c>
      <c r="E1010" s="286" t="s">
        <v>1106</v>
      </c>
      <c r="F1010" s="286" t="s">
        <v>2140</v>
      </c>
      <c r="G1010" s="286" t="s">
        <v>1069</v>
      </c>
      <c r="H1010" s="286" t="s">
        <v>1069</v>
      </c>
      <c r="I1010" s="286" t="s">
        <v>1228</v>
      </c>
      <c r="J1010" s="286" t="s">
        <v>1312</v>
      </c>
      <c r="K1010" s="286" t="s">
        <v>1813</v>
      </c>
      <c r="L1010" s="286" t="s">
        <v>672</v>
      </c>
      <c r="M1010" s="286">
        <v>1</v>
      </c>
      <c r="N1010" s="287">
        <v>3845.92</v>
      </c>
      <c r="O1010" s="294">
        <f t="shared" si="15"/>
        <v>45626</v>
      </c>
      <c r="P1010" s="286" t="s">
        <v>58</v>
      </c>
    </row>
    <row r="1011" spans="1:16" hidden="1" x14ac:dyDescent="0.15">
      <c r="A1011" s="286">
        <v>848917</v>
      </c>
      <c r="B1011" s="288">
        <v>45607.660416666666</v>
      </c>
      <c r="C1011" s="286" t="s">
        <v>2100</v>
      </c>
      <c r="D1011" s="286" t="s">
        <v>1105</v>
      </c>
      <c r="E1011" s="286" t="s">
        <v>1106</v>
      </c>
      <c r="F1011" s="286" t="s">
        <v>2141</v>
      </c>
      <c r="G1011" s="286" t="s">
        <v>1069</v>
      </c>
      <c r="H1011" s="286" t="s">
        <v>1069</v>
      </c>
      <c r="I1011" s="286" t="s">
        <v>1228</v>
      </c>
      <c r="J1011" s="286" t="s">
        <v>1312</v>
      </c>
      <c r="K1011" s="286" t="s">
        <v>1813</v>
      </c>
      <c r="L1011" s="286" t="s">
        <v>672</v>
      </c>
      <c r="M1011" s="286">
        <v>1</v>
      </c>
      <c r="N1011" s="287">
        <v>3845.92</v>
      </c>
      <c r="O1011" s="294">
        <f t="shared" si="15"/>
        <v>45626</v>
      </c>
      <c r="P1011" s="286" t="s">
        <v>58</v>
      </c>
    </row>
    <row r="1012" spans="1:16" hidden="1" x14ac:dyDescent="0.15">
      <c r="A1012" s="286">
        <v>745911</v>
      </c>
      <c r="B1012" s="288">
        <v>45538.44027777778</v>
      </c>
      <c r="C1012" s="286" t="s">
        <v>2132</v>
      </c>
      <c r="D1012" s="286" t="s">
        <v>1105</v>
      </c>
      <c r="E1012" s="286" t="s">
        <v>1106</v>
      </c>
      <c r="F1012" s="286" t="s">
        <v>2139</v>
      </c>
      <c r="G1012" s="286" t="s">
        <v>1023</v>
      </c>
      <c r="H1012" s="286" t="s">
        <v>1023</v>
      </c>
      <c r="I1012" s="286" t="s">
        <v>1199</v>
      </c>
      <c r="J1012" s="286" t="s">
        <v>1312</v>
      </c>
      <c r="K1012" s="286" t="s">
        <v>1796</v>
      </c>
      <c r="L1012" s="286" t="s">
        <v>672</v>
      </c>
      <c r="M1012" s="286">
        <v>1</v>
      </c>
      <c r="N1012" s="287">
        <v>3833.8</v>
      </c>
      <c r="O1012" s="294">
        <f t="shared" si="15"/>
        <v>45565</v>
      </c>
      <c r="P1012" s="286" t="s">
        <v>58</v>
      </c>
    </row>
    <row r="1013" spans="1:16" hidden="1" x14ac:dyDescent="0.15">
      <c r="A1013" s="286">
        <v>745911</v>
      </c>
      <c r="B1013" s="288">
        <v>45538.44027777778</v>
      </c>
      <c r="C1013" s="286" t="s">
        <v>2132</v>
      </c>
      <c r="D1013" s="286" t="s">
        <v>1105</v>
      </c>
      <c r="E1013" s="286" t="s">
        <v>1106</v>
      </c>
      <c r="F1013" s="286" t="s">
        <v>2139</v>
      </c>
      <c r="G1013" s="286" t="s">
        <v>1023</v>
      </c>
      <c r="H1013" s="286" t="s">
        <v>1023</v>
      </c>
      <c r="I1013" s="286" t="s">
        <v>1199</v>
      </c>
      <c r="J1013" s="286" t="s">
        <v>1312</v>
      </c>
      <c r="K1013" s="286" t="s">
        <v>1797</v>
      </c>
      <c r="L1013" s="286" t="s">
        <v>672</v>
      </c>
      <c r="M1013" s="286">
        <v>1</v>
      </c>
      <c r="N1013" s="287">
        <v>3833.8</v>
      </c>
      <c r="O1013" s="294">
        <f t="shared" si="15"/>
        <v>45565</v>
      </c>
      <c r="P1013" s="286" t="s">
        <v>58</v>
      </c>
    </row>
    <row r="1014" spans="1:16" hidden="1" x14ac:dyDescent="0.15">
      <c r="A1014" s="286">
        <v>848817</v>
      </c>
      <c r="B1014" s="288">
        <v>45607.65902777778</v>
      </c>
      <c r="C1014" s="286" t="s">
        <v>2130</v>
      </c>
      <c r="D1014" s="286" t="s">
        <v>1105</v>
      </c>
      <c r="E1014" s="286" t="s">
        <v>1106</v>
      </c>
      <c r="F1014" s="286" t="s">
        <v>2140</v>
      </c>
      <c r="G1014" s="286" t="s">
        <v>1023</v>
      </c>
      <c r="H1014" s="286" t="s">
        <v>1023</v>
      </c>
      <c r="I1014" s="286" t="s">
        <v>1199</v>
      </c>
      <c r="J1014" s="286" t="s">
        <v>1312</v>
      </c>
      <c r="K1014" s="286" t="s">
        <v>1796</v>
      </c>
      <c r="L1014" s="286" t="s">
        <v>672</v>
      </c>
      <c r="M1014" s="286">
        <v>1</v>
      </c>
      <c r="N1014" s="287">
        <v>3833.8</v>
      </c>
      <c r="O1014" s="294">
        <f t="shared" si="15"/>
        <v>45626</v>
      </c>
      <c r="P1014" s="286" t="s">
        <v>58</v>
      </c>
    </row>
    <row r="1015" spans="1:16" hidden="1" x14ac:dyDescent="0.15">
      <c r="A1015" s="286">
        <v>848817</v>
      </c>
      <c r="B1015" s="288">
        <v>45607.65902777778</v>
      </c>
      <c r="C1015" s="286" t="s">
        <v>2130</v>
      </c>
      <c r="D1015" s="286" t="s">
        <v>1105</v>
      </c>
      <c r="E1015" s="286" t="s">
        <v>1106</v>
      </c>
      <c r="F1015" s="286" t="s">
        <v>2140</v>
      </c>
      <c r="G1015" s="286" t="s">
        <v>1023</v>
      </c>
      <c r="H1015" s="286" t="s">
        <v>1023</v>
      </c>
      <c r="I1015" s="286" t="s">
        <v>1199</v>
      </c>
      <c r="J1015" s="286" t="s">
        <v>1312</v>
      </c>
      <c r="K1015" s="286" t="s">
        <v>1797</v>
      </c>
      <c r="L1015" s="286" t="s">
        <v>672</v>
      </c>
      <c r="M1015" s="286">
        <v>1</v>
      </c>
      <c r="N1015" s="287">
        <v>3833.8</v>
      </c>
      <c r="O1015" s="294">
        <f t="shared" si="15"/>
        <v>45626</v>
      </c>
      <c r="P1015" s="286" t="s">
        <v>58</v>
      </c>
    </row>
    <row r="1016" spans="1:16" hidden="1" x14ac:dyDescent="0.15">
      <c r="A1016" s="286">
        <v>848917</v>
      </c>
      <c r="B1016" s="288">
        <v>45607.660416666666</v>
      </c>
      <c r="C1016" s="286" t="s">
        <v>2100</v>
      </c>
      <c r="D1016" s="286" t="s">
        <v>1105</v>
      </c>
      <c r="E1016" s="286" t="s">
        <v>1106</v>
      </c>
      <c r="F1016" s="286" t="s">
        <v>2141</v>
      </c>
      <c r="G1016" s="286" t="s">
        <v>1023</v>
      </c>
      <c r="H1016" s="286" t="s">
        <v>1023</v>
      </c>
      <c r="I1016" s="286" t="s">
        <v>1199</v>
      </c>
      <c r="J1016" s="286" t="s">
        <v>1312</v>
      </c>
      <c r="K1016" s="286" t="s">
        <v>1796</v>
      </c>
      <c r="L1016" s="286" t="s">
        <v>672</v>
      </c>
      <c r="M1016" s="286">
        <v>1</v>
      </c>
      <c r="N1016" s="287">
        <v>3833.8</v>
      </c>
      <c r="O1016" s="294">
        <f t="shared" si="15"/>
        <v>45626</v>
      </c>
      <c r="P1016" s="286" t="s">
        <v>58</v>
      </c>
    </row>
    <row r="1017" spans="1:16" hidden="1" x14ac:dyDescent="0.15">
      <c r="A1017" s="286">
        <v>848917</v>
      </c>
      <c r="B1017" s="288">
        <v>45607.660416666666</v>
      </c>
      <c r="C1017" s="286" t="s">
        <v>2100</v>
      </c>
      <c r="D1017" s="286" t="s">
        <v>1105</v>
      </c>
      <c r="E1017" s="286" t="s">
        <v>1106</v>
      </c>
      <c r="F1017" s="286" t="s">
        <v>2141</v>
      </c>
      <c r="G1017" s="286" t="s">
        <v>1023</v>
      </c>
      <c r="H1017" s="286" t="s">
        <v>1023</v>
      </c>
      <c r="I1017" s="286" t="s">
        <v>1199</v>
      </c>
      <c r="J1017" s="286" t="s">
        <v>1312</v>
      </c>
      <c r="K1017" s="286" t="s">
        <v>1797</v>
      </c>
      <c r="L1017" s="286" t="s">
        <v>672</v>
      </c>
      <c r="M1017" s="286">
        <v>1</v>
      </c>
      <c r="N1017" s="287">
        <v>3833.8</v>
      </c>
      <c r="O1017" s="294">
        <f t="shared" si="15"/>
        <v>45626</v>
      </c>
      <c r="P1017" s="286" t="s">
        <v>58</v>
      </c>
    </row>
    <row r="1018" spans="1:16" hidden="1" x14ac:dyDescent="0.15">
      <c r="A1018" s="286">
        <v>874698</v>
      </c>
      <c r="B1018" s="288">
        <v>45628.357638888891</v>
      </c>
      <c r="C1018" s="286" t="s">
        <v>2098</v>
      </c>
      <c r="D1018" s="286" t="s">
        <v>1105</v>
      </c>
      <c r="E1018" s="286" t="s">
        <v>1106</v>
      </c>
      <c r="F1018" s="286" t="s">
        <v>2142</v>
      </c>
      <c r="G1018" s="286" t="s">
        <v>1023</v>
      </c>
      <c r="H1018" s="286" t="s">
        <v>1023</v>
      </c>
      <c r="I1018" s="286" t="s">
        <v>1199</v>
      </c>
      <c r="J1018" s="286" t="s">
        <v>1312</v>
      </c>
      <c r="K1018" s="286" t="s">
        <v>1796</v>
      </c>
      <c r="L1018" s="286" t="s">
        <v>672</v>
      </c>
      <c r="M1018" s="286">
        <v>1</v>
      </c>
      <c r="N1018" s="287">
        <v>3833.8</v>
      </c>
      <c r="O1018" s="294">
        <f t="shared" si="15"/>
        <v>45657</v>
      </c>
      <c r="P1018" s="286" t="s">
        <v>58</v>
      </c>
    </row>
    <row r="1019" spans="1:16" hidden="1" x14ac:dyDescent="0.15">
      <c r="A1019" s="286">
        <v>874698</v>
      </c>
      <c r="B1019" s="288">
        <v>45628.357638888891</v>
      </c>
      <c r="C1019" s="286" t="s">
        <v>2098</v>
      </c>
      <c r="D1019" s="286" t="s">
        <v>1105</v>
      </c>
      <c r="E1019" s="286" t="s">
        <v>1106</v>
      </c>
      <c r="F1019" s="286" t="s">
        <v>2142</v>
      </c>
      <c r="G1019" s="286" t="s">
        <v>1023</v>
      </c>
      <c r="H1019" s="286" t="s">
        <v>1023</v>
      </c>
      <c r="I1019" s="286" t="s">
        <v>1199</v>
      </c>
      <c r="J1019" s="286" t="s">
        <v>1312</v>
      </c>
      <c r="K1019" s="286" t="s">
        <v>1797</v>
      </c>
      <c r="L1019" s="286" t="s">
        <v>672</v>
      </c>
      <c r="M1019" s="286">
        <v>1</v>
      </c>
      <c r="N1019" s="287">
        <v>3833.8</v>
      </c>
      <c r="O1019" s="294">
        <f t="shared" si="15"/>
        <v>45657</v>
      </c>
      <c r="P1019" s="286" t="s">
        <v>58</v>
      </c>
    </row>
    <row r="1020" spans="1:16" hidden="1" x14ac:dyDescent="0.15">
      <c r="A1020" s="286">
        <v>697810</v>
      </c>
      <c r="B1020" s="288">
        <v>45510.366666666669</v>
      </c>
      <c r="C1020" s="286" t="s">
        <v>2102</v>
      </c>
      <c r="D1020" s="286" t="s">
        <v>1105</v>
      </c>
      <c r="E1020" s="286" t="s">
        <v>1106</v>
      </c>
      <c r="F1020" s="286" t="s">
        <v>2138</v>
      </c>
      <c r="G1020" s="286" t="s">
        <v>1007</v>
      </c>
      <c r="H1020" s="286" t="s">
        <v>1007</v>
      </c>
      <c r="I1020" s="286" t="s">
        <v>1228</v>
      </c>
      <c r="J1020" s="286" t="s">
        <v>1312</v>
      </c>
      <c r="K1020" s="286" t="s">
        <v>1770</v>
      </c>
      <c r="L1020" s="286" t="s">
        <v>672</v>
      </c>
      <c r="M1020" s="286">
        <v>2</v>
      </c>
      <c r="N1020" s="287">
        <v>3828.62</v>
      </c>
      <c r="O1020" s="294">
        <f t="shared" si="15"/>
        <v>45535</v>
      </c>
      <c r="P1020" s="286" t="s">
        <v>58</v>
      </c>
    </row>
    <row r="1021" spans="1:16" hidden="1" x14ac:dyDescent="0.15">
      <c r="A1021" s="286">
        <v>646075</v>
      </c>
      <c r="B1021" s="288">
        <v>45474.519444444442</v>
      </c>
      <c r="C1021" s="286" t="s">
        <v>2111</v>
      </c>
      <c r="D1021" s="286" t="s">
        <v>1105</v>
      </c>
      <c r="E1021" s="286" t="s">
        <v>1106</v>
      </c>
      <c r="F1021" s="286" t="s">
        <v>2137</v>
      </c>
      <c r="G1021" s="286" t="s">
        <v>1078</v>
      </c>
      <c r="H1021" s="286" t="s">
        <v>1078</v>
      </c>
      <c r="I1021" s="286" t="s">
        <v>1228</v>
      </c>
      <c r="J1021" s="286" t="s">
        <v>53</v>
      </c>
      <c r="K1021" s="286" t="s">
        <v>53</v>
      </c>
      <c r="L1021" s="286" t="s">
        <v>53</v>
      </c>
      <c r="M1021" s="286" t="s">
        <v>53</v>
      </c>
      <c r="N1021" s="287">
        <v>3773.55</v>
      </c>
      <c r="O1021" s="294">
        <f t="shared" si="15"/>
        <v>45504</v>
      </c>
      <c r="P1021" s="286" t="s">
        <v>58</v>
      </c>
    </row>
    <row r="1022" spans="1:16" hidden="1" x14ac:dyDescent="0.15">
      <c r="A1022" s="286">
        <v>578060</v>
      </c>
      <c r="B1022" s="288">
        <v>45426.430555555555</v>
      </c>
      <c r="C1022" s="286" t="s">
        <v>2096</v>
      </c>
      <c r="D1022" s="286" t="s">
        <v>1105</v>
      </c>
      <c r="E1022" s="286" t="s">
        <v>1106</v>
      </c>
      <c r="F1022" s="286" t="s">
        <v>2115</v>
      </c>
      <c r="G1022" s="286" t="s">
        <v>1037</v>
      </c>
      <c r="H1022" s="286" t="s">
        <v>1037</v>
      </c>
      <c r="I1022" s="286" t="s">
        <v>1301</v>
      </c>
      <c r="J1022" s="286" t="s">
        <v>1312</v>
      </c>
      <c r="K1022" s="286" t="s">
        <v>56</v>
      </c>
      <c r="L1022" s="286" t="s">
        <v>71</v>
      </c>
      <c r="M1022" s="286">
        <v>1</v>
      </c>
      <c r="N1022" s="287">
        <v>3677</v>
      </c>
      <c r="O1022" s="294">
        <f t="shared" si="15"/>
        <v>45443</v>
      </c>
      <c r="P1022" s="286" t="s">
        <v>55</v>
      </c>
    </row>
    <row r="1023" spans="1:16" hidden="1" x14ac:dyDescent="0.15">
      <c r="A1023" s="286">
        <v>590580</v>
      </c>
      <c r="B1023" s="288">
        <v>45435.646527777775</v>
      </c>
      <c r="C1023" s="286" t="s">
        <v>2116</v>
      </c>
      <c r="D1023" s="286" t="s">
        <v>1105</v>
      </c>
      <c r="E1023" s="286" t="s">
        <v>1106</v>
      </c>
      <c r="F1023" s="286" t="s">
        <v>2135</v>
      </c>
      <c r="G1023" s="286" t="s">
        <v>1028</v>
      </c>
      <c r="H1023" s="286" t="s">
        <v>1028</v>
      </c>
      <c r="I1023" s="286" t="s">
        <v>1129</v>
      </c>
      <c r="J1023" s="286" t="s">
        <v>1312</v>
      </c>
      <c r="K1023" s="286" t="s">
        <v>964</v>
      </c>
      <c r="L1023" s="286" t="s">
        <v>2312</v>
      </c>
      <c r="M1023" s="286">
        <v>1</v>
      </c>
      <c r="N1023" s="287">
        <v>3672.2</v>
      </c>
      <c r="O1023" s="294">
        <f t="shared" si="15"/>
        <v>45443</v>
      </c>
      <c r="P1023" s="286" t="s">
        <v>164</v>
      </c>
    </row>
    <row r="1024" spans="1:16" hidden="1" x14ac:dyDescent="0.15">
      <c r="A1024" s="286">
        <v>720637</v>
      </c>
      <c r="B1024" s="288">
        <v>45523.415277777778</v>
      </c>
      <c r="C1024" s="286" t="s">
        <v>2102</v>
      </c>
      <c r="D1024" s="286" t="s">
        <v>1105</v>
      </c>
      <c r="E1024" s="286" t="s">
        <v>1106</v>
      </c>
      <c r="F1024" s="286" t="s">
        <v>2313</v>
      </c>
      <c r="G1024" s="286" t="s">
        <v>1028</v>
      </c>
      <c r="H1024" s="286" t="s">
        <v>1028</v>
      </c>
      <c r="I1024" s="286" t="s">
        <v>1129</v>
      </c>
      <c r="J1024" s="286" t="s">
        <v>1312</v>
      </c>
      <c r="K1024" s="286" t="s">
        <v>964</v>
      </c>
      <c r="L1024" s="286" t="s">
        <v>2312</v>
      </c>
      <c r="M1024" s="286">
        <v>1</v>
      </c>
      <c r="N1024" s="287">
        <v>3672.17</v>
      </c>
      <c r="O1024" s="294">
        <f t="shared" si="15"/>
        <v>45535</v>
      </c>
      <c r="P1024" s="286" t="s">
        <v>164</v>
      </c>
    </row>
    <row r="1025" spans="1:16" hidden="1" x14ac:dyDescent="0.15">
      <c r="A1025" s="286">
        <v>901365</v>
      </c>
      <c r="B1025" s="288">
        <v>45646.486805555556</v>
      </c>
      <c r="C1025" s="286" t="s">
        <v>2098</v>
      </c>
      <c r="D1025" s="286" t="s">
        <v>1105</v>
      </c>
      <c r="E1025" s="286" t="s">
        <v>1106</v>
      </c>
      <c r="F1025" s="286" t="s">
        <v>2099</v>
      </c>
      <c r="G1025" s="286" t="s">
        <v>1022</v>
      </c>
      <c r="H1025" s="286" t="s">
        <v>1022</v>
      </c>
      <c r="I1025" s="286" t="s">
        <v>1301</v>
      </c>
      <c r="J1025" s="286" t="s">
        <v>1312</v>
      </c>
      <c r="K1025" s="286" t="s">
        <v>56</v>
      </c>
      <c r="L1025" s="286" t="s">
        <v>71</v>
      </c>
      <c r="M1025" s="286">
        <v>1</v>
      </c>
      <c r="N1025" s="287">
        <v>3619</v>
      </c>
      <c r="O1025" s="294">
        <f t="shared" si="15"/>
        <v>45657</v>
      </c>
      <c r="P1025" s="286" t="s">
        <v>55</v>
      </c>
    </row>
    <row r="1026" spans="1:16" hidden="1" x14ac:dyDescent="0.15">
      <c r="A1026" s="286">
        <v>438112</v>
      </c>
      <c r="B1026" s="288">
        <v>45293.53402777778</v>
      </c>
      <c r="C1026" s="286" t="s">
        <v>2125</v>
      </c>
      <c r="D1026" s="286" t="s">
        <v>1105</v>
      </c>
      <c r="E1026" s="286" t="s">
        <v>1106</v>
      </c>
      <c r="F1026" s="286" t="s">
        <v>2152</v>
      </c>
      <c r="G1026" s="286" t="s">
        <v>1017</v>
      </c>
      <c r="H1026" s="286" t="s">
        <v>1017</v>
      </c>
      <c r="I1026" s="286" t="s">
        <v>1228</v>
      </c>
      <c r="J1026" s="286" t="s">
        <v>1312</v>
      </c>
      <c r="K1026" s="286" t="s">
        <v>2314</v>
      </c>
      <c r="L1026" s="286" t="s">
        <v>672</v>
      </c>
      <c r="M1026" s="286">
        <v>3</v>
      </c>
      <c r="N1026" s="287">
        <v>3571.25</v>
      </c>
      <c r="O1026" s="294">
        <f t="shared" si="15"/>
        <v>45322</v>
      </c>
      <c r="P1026" s="286" t="s">
        <v>58</v>
      </c>
    </row>
    <row r="1027" spans="1:16" hidden="1" x14ac:dyDescent="0.15">
      <c r="A1027" s="286">
        <v>472168</v>
      </c>
      <c r="B1027" s="288">
        <v>45331.416666666664</v>
      </c>
      <c r="C1027" s="286" t="s">
        <v>2113</v>
      </c>
      <c r="D1027" s="286" t="s">
        <v>1105</v>
      </c>
      <c r="E1027" s="286" t="s">
        <v>1106</v>
      </c>
      <c r="F1027" s="286" t="s">
        <v>2153</v>
      </c>
      <c r="G1027" s="286" t="s">
        <v>1017</v>
      </c>
      <c r="H1027" s="286" t="s">
        <v>1017</v>
      </c>
      <c r="I1027" s="286" t="s">
        <v>1228</v>
      </c>
      <c r="J1027" s="286" t="s">
        <v>1312</v>
      </c>
      <c r="K1027" s="286" t="s">
        <v>2314</v>
      </c>
      <c r="L1027" s="286" t="s">
        <v>672</v>
      </c>
      <c r="M1027" s="286">
        <v>3</v>
      </c>
      <c r="N1027" s="287">
        <v>3571.25</v>
      </c>
      <c r="O1027" s="294">
        <f t="shared" si="15"/>
        <v>45351</v>
      </c>
      <c r="P1027" s="286" t="s">
        <v>58</v>
      </c>
    </row>
    <row r="1028" spans="1:16" hidden="1" x14ac:dyDescent="0.15">
      <c r="A1028" s="286">
        <v>504817</v>
      </c>
      <c r="B1028" s="288">
        <v>45359.645138888889</v>
      </c>
      <c r="C1028" s="286" t="s">
        <v>2109</v>
      </c>
      <c r="D1028" s="286" t="s">
        <v>1105</v>
      </c>
      <c r="E1028" s="286" t="s">
        <v>1106</v>
      </c>
      <c r="F1028" s="286" t="s">
        <v>2154</v>
      </c>
      <c r="G1028" s="286" t="s">
        <v>1017</v>
      </c>
      <c r="H1028" s="286" t="s">
        <v>1017</v>
      </c>
      <c r="I1028" s="286" t="s">
        <v>1228</v>
      </c>
      <c r="J1028" s="286" t="s">
        <v>1312</v>
      </c>
      <c r="K1028" s="286" t="s">
        <v>2314</v>
      </c>
      <c r="L1028" s="286" t="s">
        <v>672</v>
      </c>
      <c r="M1028" s="286">
        <v>3</v>
      </c>
      <c r="N1028" s="287">
        <v>3571.25</v>
      </c>
      <c r="O1028" s="294">
        <f t="shared" ref="O1028:O1091" si="16">EOMONTH(B1028,0)</f>
        <v>45382</v>
      </c>
      <c r="P1028" s="286" t="s">
        <v>58</v>
      </c>
    </row>
    <row r="1029" spans="1:16" hidden="1" x14ac:dyDescent="0.15">
      <c r="A1029" s="286">
        <v>534207</v>
      </c>
      <c r="B1029" s="288">
        <v>45385.750694444447</v>
      </c>
      <c r="C1029" s="286" t="s">
        <v>2096</v>
      </c>
      <c r="D1029" s="286" t="s">
        <v>1105</v>
      </c>
      <c r="E1029" s="286" t="s">
        <v>1106</v>
      </c>
      <c r="F1029" s="286" t="s">
        <v>2155</v>
      </c>
      <c r="G1029" s="286" t="s">
        <v>1017</v>
      </c>
      <c r="H1029" s="286" t="s">
        <v>1017</v>
      </c>
      <c r="I1029" s="286" t="s">
        <v>1228</v>
      </c>
      <c r="J1029" s="286" t="s">
        <v>1312</v>
      </c>
      <c r="K1029" s="286" t="s">
        <v>2314</v>
      </c>
      <c r="L1029" s="286" t="s">
        <v>672</v>
      </c>
      <c r="M1029" s="286">
        <v>3</v>
      </c>
      <c r="N1029" s="287">
        <v>3571.25</v>
      </c>
      <c r="O1029" s="294">
        <f t="shared" si="16"/>
        <v>45412</v>
      </c>
      <c r="P1029" s="286" t="s">
        <v>58</v>
      </c>
    </row>
    <row r="1030" spans="1:16" hidden="1" x14ac:dyDescent="0.15">
      <c r="A1030" s="286">
        <v>614216</v>
      </c>
      <c r="B1030" s="288">
        <v>45455.716666666667</v>
      </c>
      <c r="C1030" s="286" t="s">
        <v>2116</v>
      </c>
      <c r="D1030" s="286" t="s">
        <v>1105</v>
      </c>
      <c r="E1030" s="286" t="s">
        <v>1106</v>
      </c>
      <c r="F1030" s="286" t="s">
        <v>2156</v>
      </c>
      <c r="G1030" s="286" t="s">
        <v>1017</v>
      </c>
      <c r="H1030" s="286" t="s">
        <v>1017</v>
      </c>
      <c r="I1030" s="286" t="s">
        <v>1228</v>
      </c>
      <c r="J1030" s="286" t="s">
        <v>1312</v>
      </c>
      <c r="K1030" s="286" t="s">
        <v>2314</v>
      </c>
      <c r="L1030" s="286" t="s">
        <v>672</v>
      </c>
      <c r="M1030" s="286">
        <v>3</v>
      </c>
      <c r="N1030" s="287">
        <v>3571.25</v>
      </c>
      <c r="O1030" s="294">
        <f t="shared" si="16"/>
        <v>45473</v>
      </c>
      <c r="P1030" s="286" t="s">
        <v>58</v>
      </c>
    </row>
    <row r="1031" spans="1:16" hidden="1" x14ac:dyDescent="0.15">
      <c r="A1031" s="286">
        <v>614316</v>
      </c>
      <c r="B1031" s="288">
        <v>45455.717361111114</v>
      </c>
      <c r="C1031" s="286" t="s">
        <v>2092</v>
      </c>
      <c r="D1031" s="286" t="s">
        <v>1105</v>
      </c>
      <c r="E1031" s="286" t="s">
        <v>1106</v>
      </c>
      <c r="F1031" s="286" t="s">
        <v>2167</v>
      </c>
      <c r="G1031" s="286" t="s">
        <v>1017</v>
      </c>
      <c r="H1031" s="286" t="s">
        <v>1017</v>
      </c>
      <c r="I1031" s="286" t="s">
        <v>1228</v>
      </c>
      <c r="J1031" s="286" t="s">
        <v>1312</v>
      </c>
      <c r="K1031" s="286" t="s">
        <v>2314</v>
      </c>
      <c r="L1031" s="286" t="s">
        <v>672</v>
      </c>
      <c r="M1031" s="286">
        <v>3</v>
      </c>
      <c r="N1031" s="287">
        <v>3571.25</v>
      </c>
      <c r="O1031" s="294">
        <f t="shared" si="16"/>
        <v>45473</v>
      </c>
      <c r="P1031" s="286" t="s">
        <v>58</v>
      </c>
    </row>
    <row r="1032" spans="1:16" hidden="1" x14ac:dyDescent="0.15">
      <c r="A1032" s="286">
        <v>646075</v>
      </c>
      <c r="B1032" s="288">
        <v>45474.519444444442</v>
      </c>
      <c r="C1032" s="286" t="s">
        <v>2111</v>
      </c>
      <c r="D1032" s="286" t="s">
        <v>1105</v>
      </c>
      <c r="E1032" s="286" t="s">
        <v>1106</v>
      </c>
      <c r="F1032" s="286" t="s">
        <v>2137</v>
      </c>
      <c r="G1032" s="286" t="s">
        <v>1017</v>
      </c>
      <c r="H1032" s="286" t="s">
        <v>1017</v>
      </c>
      <c r="I1032" s="286" t="s">
        <v>1228</v>
      </c>
      <c r="J1032" s="286" t="s">
        <v>1312</v>
      </c>
      <c r="K1032" s="286" t="s">
        <v>2314</v>
      </c>
      <c r="L1032" s="286" t="s">
        <v>672</v>
      </c>
      <c r="M1032" s="286">
        <v>3</v>
      </c>
      <c r="N1032" s="287">
        <v>3571.25</v>
      </c>
      <c r="O1032" s="294">
        <f t="shared" si="16"/>
        <v>45504</v>
      </c>
      <c r="P1032" s="286" t="s">
        <v>58</v>
      </c>
    </row>
    <row r="1033" spans="1:16" hidden="1" x14ac:dyDescent="0.15">
      <c r="A1033" s="286">
        <v>697810</v>
      </c>
      <c r="B1033" s="288">
        <v>45510.366666666669</v>
      </c>
      <c r="C1033" s="286" t="s">
        <v>2102</v>
      </c>
      <c r="D1033" s="286" t="s">
        <v>1105</v>
      </c>
      <c r="E1033" s="286" t="s">
        <v>1106</v>
      </c>
      <c r="F1033" s="286" t="s">
        <v>2138</v>
      </c>
      <c r="G1033" s="286" t="s">
        <v>1017</v>
      </c>
      <c r="H1033" s="286" t="s">
        <v>1017</v>
      </c>
      <c r="I1033" s="286" t="s">
        <v>1228</v>
      </c>
      <c r="J1033" s="286" t="s">
        <v>1312</v>
      </c>
      <c r="K1033" s="286" t="s">
        <v>2314</v>
      </c>
      <c r="L1033" s="286" t="s">
        <v>672</v>
      </c>
      <c r="M1033" s="286">
        <v>3</v>
      </c>
      <c r="N1033" s="287">
        <v>3571.25</v>
      </c>
      <c r="O1033" s="294">
        <f t="shared" si="16"/>
        <v>45535</v>
      </c>
      <c r="P1033" s="286" t="s">
        <v>58</v>
      </c>
    </row>
    <row r="1034" spans="1:16" hidden="1" x14ac:dyDescent="0.15">
      <c r="A1034" s="286">
        <v>745911</v>
      </c>
      <c r="B1034" s="288">
        <v>45538.44027777778</v>
      </c>
      <c r="C1034" s="286" t="s">
        <v>2132</v>
      </c>
      <c r="D1034" s="286" t="s">
        <v>1105</v>
      </c>
      <c r="E1034" s="286" t="s">
        <v>1106</v>
      </c>
      <c r="F1034" s="286" t="s">
        <v>2139</v>
      </c>
      <c r="G1034" s="286" t="s">
        <v>1017</v>
      </c>
      <c r="H1034" s="286" t="s">
        <v>1017</v>
      </c>
      <c r="I1034" s="286" t="s">
        <v>1228</v>
      </c>
      <c r="J1034" s="286" t="s">
        <v>1312</v>
      </c>
      <c r="K1034" s="286" t="s">
        <v>2314</v>
      </c>
      <c r="L1034" s="286" t="s">
        <v>672</v>
      </c>
      <c r="M1034" s="286">
        <v>3</v>
      </c>
      <c r="N1034" s="287">
        <v>3571.25</v>
      </c>
      <c r="O1034" s="294">
        <f t="shared" si="16"/>
        <v>45565</v>
      </c>
      <c r="P1034" s="286" t="s">
        <v>58</v>
      </c>
    </row>
    <row r="1035" spans="1:16" hidden="1" x14ac:dyDescent="0.15">
      <c r="A1035" s="286">
        <v>848817</v>
      </c>
      <c r="B1035" s="288">
        <v>45607.65902777778</v>
      </c>
      <c r="C1035" s="286" t="s">
        <v>2130</v>
      </c>
      <c r="D1035" s="286" t="s">
        <v>1105</v>
      </c>
      <c r="E1035" s="286" t="s">
        <v>1106</v>
      </c>
      <c r="F1035" s="286" t="s">
        <v>2140</v>
      </c>
      <c r="G1035" s="286" t="s">
        <v>1017</v>
      </c>
      <c r="H1035" s="286" t="s">
        <v>1017</v>
      </c>
      <c r="I1035" s="286" t="s">
        <v>1228</v>
      </c>
      <c r="J1035" s="286" t="s">
        <v>1312</v>
      </c>
      <c r="K1035" s="286" t="s">
        <v>2314</v>
      </c>
      <c r="L1035" s="286" t="s">
        <v>672</v>
      </c>
      <c r="M1035" s="286">
        <v>3</v>
      </c>
      <c r="N1035" s="287">
        <v>3571.25</v>
      </c>
      <c r="O1035" s="294">
        <f t="shared" si="16"/>
        <v>45626</v>
      </c>
      <c r="P1035" s="286" t="s">
        <v>58</v>
      </c>
    </row>
    <row r="1036" spans="1:16" hidden="1" x14ac:dyDescent="0.15">
      <c r="A1036" s="286">
        <v>848917</v>
      </c>
      <c r="B1036" s="288">
        <v>45607.660416666666</v>
      </c>
      <c r="C1036" s="286" t="s">
        <v>2100</v>
      </c>
      <c r="D1036" s="286" t="s">
        <v>1105</v>
      </c>
      <c r="E1036" s="286" t="s">
        <v>1106</v>
      </c>
      <c r="F1036" s="286" t="s">
        <v>2141</v>
      </c>
      <c r="G1036" s="286" t="s">
        <v>1017</v>
      </c>
      <c r="H1036" s="286" t="s">
        <v>1017</v>
      </c>
      <c r="I1036" s="286" t="s">
        <v>1228</v>
      </c>
      <c r="J1036" s="286" t="s">
        <v>1312</v>
      </c>
      <c r="K1036" s="286" t="s">
        <v>2314</v>
      </c>
      <c r="L1036" s="286" t="s">
        <v>672</v>
      </c>
      <c r="M1036" s="286">
        <v>3</v>
      </c>
      <c r="N1036" s="287">
        <v>3571.25</v>
      </c>
      <c r="O1036" s="294">
        <f t="shared" si="16"/>
        <v>45626</v>
      </c>
      <c r="P1036" s="286" t="s">
        <v>58</v>
      </c>
    </row>
    <row r="1037" spans="1:16" hidden="1" x14ac:dyDescent="0.15">
      <c r="A1037" s="286">
        <v>874698</v>
      </c>
      <c r="B1037" s="288">
        <v>45628.357638888891</v>
      </c>
      <c r="C1037" s="286" t="s">
        <v>2098</v>
      </c>
      <c r="D1037" s="286" t="s">
        <v>1105</v>
      </c>
      <c r="E1037" s="286" t="s">
        <v>1106</v>
      </c>
      <c r="F1037" s="286" t="s">
        <v>2142</v>
      </c>
      <c r="G1037" s="286" t="s">
        <v>1017</v>
      </c>
      <c r="H1037" s="286" t="s">
        <v>1017</v>
      </c>
      <c r="I1037" s="286" t="s">
        <v>1228</v>
      </c>
      <c r="J1037" s="286" t="s">
        <v>1312</v>
      </c>
      <c r="K1037" s="286" t="s">
        <v>2314</v>
      </c>
      <c r="L1037" s="286" t="s">
        <v>672</v>
      </c>
      <c r="M1037" s="286">
        <v>3</v>
      </c>
      <c r="N1037" s="287">
        <v>3571.25</v>
      </c>
      <c r="O1037" s="294">
        <f t="shared" si="16"/>
        <v>45657</v>
      </c>
      <c r="P1037" s="286" t="s">
        <v>58</v>
      </c>
    </row>
    <row r="1038" spans="1:16" hidden="1" x14ac:dyDescent="0.15">
      <c r="A1038" s="286">
        <v>848917</v>
      </c>
      <c r="B1038" s="288">
        <v>45607.660416666666</v>
      </c>
      <c r="C1038" s="286" t="s">
        <v>2100</v>
      </c>
      <c r="D1038" s="286" t="s">
        <v>1105</v>
      </c>
      <c r="E1038" s="286" t="s">
        <v>1106</v>
      </c>
      <c r="F1038" s="286" t="s">
        <v>2141</v>
      </c>
      <c r="G1038" s="286" t="s">
        <v>1074</v>
      </c>
      <c r="H1038" s="286" t="s">
        <v>1034</v>
      </c>
      <c r="I1038" s="286" t="s">
        <v>1152</v>
      </c>
      <c r="J1038" s="286" t="s">
        <v>1312</v>
      </c>
      <c r="K1038" s="286" t="s">
        <v>1811</v>
      </c>
      <c r="L1038" s="286" t="s">
        <v>672</v>
      </c>
      <c r="M1038" s="286">
        <v>1</v>
      </c>
      <c r="N1038" s="287">
        <v>3551.7</v>
      </c>
      <c r="O1038" s="294">
        <f t="shared" si="16"/>
        <v>45626</v>
      </c>
      <c r="P1038" s="286" t="s">
        <v>58</v>
      </c>
    </row>
    <row r="1039" spans="1:16" hidden="1" x14ac:dyDescent="0.15">
      <c r="A1039" s="286">
        <v>580948</v>
      </c>
      <c r="B1039" s="288">
        <v>45427.684027777781</v>
      </c>
      <c r="C1039" s="286" t="s">
        <v>2096</v>
      </c>
      <c r="D1039" s="286" t="s">
        <v>1105</v>
      </c>
      <c r="E1039" s="286" t="s">
        <v>1106</v>
      </c>
      <c r="F1039" s="286" t="s">
        <v>2315</v>
      </c>
      <c r="G1039" s="286" t="s">
        <v>1025</v>
      </c>
      <c r="H1039" s="286" t="s">
        <v>1025</v>
      </c>
      <c r="I1039" s="286" t="s">
        <v>1109</v>
      </c>
      <c r="J1039" s="286" t="s">
        <v>1312</v>
      </c>
      <c r="K1039" s="286" t="s">
        <v>53</v>
      </c>
      <c r="L1039" s="286" t="s">
        <v>53</v>
      </c>
      <c r="M1039" s="286" t="s">
        <v>53</v>
      </c>
      <c r="N1039" s="287">
        <v>3527.86</v>
      </c>
      <c r="O1039" s="294">
        <f t="shared" si="16"/>
        <v>45443</v>
      </c>
      <c r="P1039" s="286" t="s">
        <v>998</v>
      </c>
    </row>
    <row r="1040" spans="1:16" hidden="1" x14ac:dyDescent="0.15">
      <c r="A1040" s="286">
        <v>848817</v>
      </c>
      <c r="B1040" s="288">
        <v>45607.65902777778</v>
      </c>
      <c r="C1040" s="286" t="s">
        <v>2130</v>
      </c>
      <c r="D1040" s="286" t="s">
        <v>1105</v>
      </c>
      <c r="E1040" s="286" t="s">
        <v>1106</v>
      </c>
      <c r="F1040" s="286" t="s">
        <v>2140</v>
      </c>
      <c r="G1040" s="286" t="s">
        <v>1010</v>
      </c>
      <c r="H1040" s="286" t="s">
        <v>1010</v>
      </c>
      <c r="I1040" s="286" t="s">
        <v>1199</v>
      </c>
      <c r="J1040" s="286" t="s">
        <v>1312</v>
      </c>
      <c r="K1040" s="286" t="s">
        <v>1797</v>
      </c>
      <c r="L1040" s="286" t="s">
        <v>672</v>
      </c>
      <c r="M1040" s="286">
        <v>1</v>
      </c>
      <c r="N1040" s="287">
        <v>3466.57</v>
      </c>
      <c r="O1040" s="294">
        <f t="shared" si="16"/>
        <v>45626</v>
      </c>
      <c r="P1040" s="286" t="s">
        <v>58</v>
      </c>
    </row>
    <row r="1041" spans="1:16" hidden="1" x14ac:dyDescent="0.15">
      <c r="A1041" s="286">
        <v>848817</v>
      </c>
      <c r="B1041" s="288">
        <v>45607.65902777778</v>
      </c>
      <c r="C1041" s="286" t="s">
        <v>2130</v>
      </c>
      <c r="D1041" s="286" t="s">
        <v>1105</v>
      </c>
      <c r="E1041" s="286" t="s">
        <v>1106</v>
      </c>
      <c r="F1041" s="286" t="s">
        <v>2140</v>
      </c>
      <c r="G1041" s="286" t="s">
        <v>1010</v>
      </c>
      <c r="H1041" s="286" t="s">
        <v>1010</v>
      </c>
      <c r="I1041" s="286" t="s">
        <v>1199</v>
      </c>
      <c r="J1041" s="286" t="s">
        <v>1312</v>
      </c>
      <c r="K1041" s="286" t="s">
        <v>1796</v>
      </c>
      <c r="L1041" s="286" t="s">
        <v>672</v>
      </c>
      <c r="M1041" s="286">
        <v>1</v>
      </c>
      <c r="N1041" s="287">
        <v>3466.57</v>
      </c>
      <c r="O1041" s="294">
        <f t="shared" si="16"/>
        <v>45626</v>
      </c>
      <c r="P1041" s="286" t="s">
        <v>58</v>
      </c>
    </row>
    <row r="1042" spans="1:16" hidden="1" x14ac:dyDescent="0.15">
      <c r="A1042" s="286">
        <v>504817</v>
      </c>
      <c r="B1042" s="288">
        <v>45359.645138888889</v>
      </c>
      <c r="C1042" s="286" t="s">
        <v>2109</v>
      </c>
      <c r="D1042" s="286" t="s">
        <v>1105</v>
      </c>
      <c r="E1042" s="286" t="s">
        <v>1106</v>
      </c>
      <c r="F1042" s="286" t="s">
        <v>2154</v>
      </c>
      <c r="G1042" s="286" t="s">
        <v>1089</v>
      </c>
      <c r="H1042" s="286" t="s">
        <v>1089</v>
      </c>
      <c r="I1042" s="286" t="s">
        <v>1199</v>
      </c>
      <c r="J1042" s="286" t="s">
        <v>1312</v>
      </c>
      <c r="K1042" s="286" t="s">
        <v>1805</v>
      </c>
      <c r="L1042" s="286" t="s">
        <v>672</v>
      </c>
      <c r="M1042" s="286">
        <v>1</v>
      </c>
      <c r="N1042" s="287">
        <v>3427.84</v>
      </c>
      <c r="O1042" s="294">
        <f t="shared" si="16"/>
        <v>45382</v>
      </c>
      <c r="P1042" s="286" t="s">
        <v>58</v>
      </c>
    </row>
    <row r="1043" spans="1:16" hidden="1" x14ac:dyDescent="0.15">
      <c r="A1043" s="286">
        <v>534207</v>
      </c>
      <c r="B1043" s="288">
        <v>45385.750694444447</v>
      </c>
      <c r="C1043" s="286" t="s">
        <v>2096</v>
      </c>
      <c r="D1043" s="286" t="s">
        <v>1105</v>
      </c>
      <c r="E1043" s="286" t="s">
        <v>1106</v>
      </c>
      <c r="F1043" s="286" t="s">
        <v>2155</v>
      </c>
      <c r="G1043" s="286" t="s">
        <v>1089</v>
      </c>
      <c r="H1043" s="286" t="s">
        <v>1089</v>
      </c>
      <c r="I1043" s="286" t="s">
        <v>1199</v>
      </c>
      <c r="J1043" s="286" t="s">
        <v>1312</v>
      </c>
      <c r="K1043" s="286" t="s">
        <v>1805</v>
      </c>
      <c r="L1043" s="286" t="s">
        <v>672</v>
      </c>
      <c r="M1043" s="286">
        <v>1</v>
      </c>
      <c r="N1043" s="287">
        <v>3427.84</v>
      </c>
      <c r="O1043" s="294">
        <f t="shared" si="16"/>
        <v>45412</v>
      </c>
      <c r="P1043" s="286" t="s">
        <v>58</v>
      </c>
    </row>
    <row r="1044" spans="1:16" hidden="1" x14ac:dyDescent="0.15">
      <c r="A1044" s="286">
        <v>614216</v>
      </c>
      <c r="B1044" s="288">
        <v>45455.716666666667</v>
      </c>
      <c r="C1044" s="286" t="s">
        <v>2116</v>
      </c>
      <c r="D1044" s="286" t="s">
        <v>1105</v>
      </c>
      <c r="E1044" s="286" t="s">
        <v>1106</v>
      </c>
      <c r="F1044" s="286" t="s">
        <v>2156</v>
      </c>
      <c r="G1044" s="286" t="s">
        <v>1089</v>
      </c>
      <c r="H1044" s="286" t="s">
        <v>1089</v>
      </c>
      <c r="I1044" s="286" t="s">
        <v>1199</v>
      </c>
      <c r="J1044" s="286" t="s">
        <v>1312</v>
      </c>
      <c r="K1044" s="286" t="s">
        <v>1805</v>
      </c>
      <c r="L1044" s="286" t="s">
        <v>672</v>
      </c>
      <c r="M1044" s="286">
        <v>1</v>
      </c>
      <c r="N1044" s="287">
        <v>3427.84</v>
      </c>
      <c r="O1044" s="294">
        <f t="shared" si="16"/>
        <v>45473</v>
      </c>
      <c r="P1044" s="286" t="s">
        <v>58</v>
      </c>
    </row>
    <row r="1045" spans="1:16" hidden="1" x14ac:dyDescent="0.15">
      <c r="A1045" s="286">
        <v>608480</v>
      </c>
      <c r="B1045" s="288">
        <v>45450.422222222223</v>
      </c>
      <c r="C1045" s="286" t="s">
        <v>2092</v>
      </c>
      <c r="D1045" s="286" t="s">
        <v>1105</v>
      </c>
      <c r="E1045" s="286" t="s">
        <v>1106</v>
      </c>
      <c r="F1045" s="286" t="s">
        <v>2157</v>
      </c>
      <c r="G1045" s="286" t="s">
        <v>1089</v>
      </c>
      <c r="H1045" s="286" t="s">
        <v>1089</v>
      </c>
      <c r="I1045" s="286" t="s">
        <v>1199</v>
      </c>
      <c r="J1045" s="286" t="s">
        <v>1312</v>
      </c>
      <c r="K1045" s="286" t="s">
        <v>1805</v>
      </c>
      <c r="L1045" s="286" t="s">
        <v>672</v>
      </c>
      <c r="M1045" s="286">
        <v>1</v>
      </c>
      <c r="N1045" s="287">
        <v>3427.84</v>
      </c>
      <c r="O1045" s="294">
        <f t="shared" si="16"/>
        <v>45473</v>
      </c>
      <c r="P1045" s="286" t="s">
        <v>58</v>
      </c>
    </row>
    <row r="1046" spans="1:16" hidden="1" x14ac:dyDescent="0.15">
      <c r="A1046" s="286">
        <v>646075</v>
      </c>
      <c r="B1046" s="288">
        <v>45474.519444444442</v>
      </c>
      <c r="C1046" s="286" t="s">
        <v>2111</v>
      </c>
      <c r="D1046" s="286" t="s">
        <v>1105</v>
      </c>
      <c r="E1046" s="286" t="s">
        <v>1106</v>
      </c>
      <c r="F1046" s="286" t="s">
        <v>2137</v>
      </c>
      <c r="G1046" s="286" t="s">
        <v>1089</v>
      </c>
      <c r="H1046" s="286" t="s">
        <v>1089</v>
      </c>
      <c r="I1046" s="286" t="s">
        <v>1199</v>
      </c>
      <c r="J1046" s="286" t="s">
        <v>1312</v>
      </c>
      <c r="K1046" s="286" t="s">
        <v>1805</v>
      </c>
      <c r="L1046" s="286" t="s">
        <v>672</v>
      </c>
      <c r="M1046" s="286">
        <v>1</v>
      </c>
      <c r="N1046" s="287">
        <v>3427.84</v>
      </c>
      <c r="O1046" s="294">
        <f t="shared" si="16"/>
        <v>45504</v>
      </c>
      <c r="P1046" s="286" t="s">
        <v>58</v>
      </c>
    </row>
    <row r="1047" spans="1:16" hidden="1" x14ac:dyDescent="0.15">
      <c r="A1047" s="286">
        <v>697810</v>
      </c>
      <c r="B1047" s="288">
        <v>45510.366666666669</v>
      </c>
      <c r="C1047" s="286" t="s">
        <v>2102</v>
      </c>
      <c r="D1047" s="286" t="s">
        <v>1105</v>
      </c>
      <c r="E1047" s="286" t="s">
        <v>1106</v>
      </c>
      <c r="F1047" s="286" t="s">
        <v>2138</v>
      </c>
      <c r="G1047" s="286" t="s">
        <v>1089</v>
      </c>
      <c r="H1047" s="286" t="s">
        <v>1089</v>
      </c>
      <c r="I1047" s="286" t="s">
        <v>1199</v>
      </c>
      <c r="J1047" s="286" t="s">
        <v>1312</v>
      </c>
      <c r="K1047" s="286" t="s">
        <v>1805</v>
      </c>
      <c r="L1047" s="286" t="s">
        <v>672</v>
      </c>
      <c r="M1047" s="286">
        <v>1</v>
      </c>
      <c r="N1047" s="287">
        <v>3427.84</v>
      </c>
      <c r="O1047" s="294">
        <f t="shared" si="16"/>
        <v>45535</v>
      </c>
      <c r="P1047" s="286" t="s">
        <v>58</v>
      </c>
    </row>
    <row r="1048" spans="1:16" hidden="1" x14ac:dyDescent="0.15">
      <c r="A1048" s="286">
        <v>745911</v>
      </c>
      <c r="B1048" s="288">
        <v>45538.44027777778</v>
      </c>
      <c r="C1048" s="286" t="s">
        <v>2132</v>
      </c>
      <c r="D1048" s="286" t="s">
        <v>1105</v>
      </c>
      <c r="E1048" s="286" t="s">
        <v>1106</v>
      </c>
      <c r="F1048" s="286" t="s">
        <v>2139</v>
      </c>
      <c r="G1048" s="286" t="s">
        <v>1089</v>
      </c>
      <c r="H1048" s="286" t="s">
        <v>1089</v>
      </c>
      <c r="I1048" s="286" t="s">
        <v>1199</v>
      </c>
      <c r="J1048" s="286" t="s">
        <v>1312</v>
      </c>
      <c r="K1048" s="286" t="s">
        <v>1805</v>
      </c>
      <c r="L1048" s="286" t="s">
        <v>672</v>
      </c>
      <c r="M1048" s="286">
        <v>1</v>
      </c>
      <c r="N1048" s="287">
        <v>3427.84</v>
      </c>
      <c r="O1048" s="294">
        <f t="shared" si="16"/>
        <v>45565</v>
      </c>
      <c r="P1048" s="286" t="s">
        <v>58</v>
      </c>
    </row>
    <row r="1049" spans="1:16" hidden="1" x14ac:dyDescent="0.15">
      <c r="A1049" s="286">
        <v>848817</v>
      </c>
      <c r="B1049" s="288">
        <v>45607.65902777778</v>
      </c>
      <c r="C1049" s="286" t="s">
        <v>2130</v>
      </c>
      <c r="D1049" s="286" t="s">
        <v>1105</v>
      </c>
      <c r="E1049" s="286" t="s">
        <v>1106</v>
      </c>
      <c r="F1049" s="286" t="s">
        <v>2140</v>
      </c>
      <c r="G1049" s="286" t="s">
        <v>1089</v>
      </c>
      <c r="H1049" s="286" t="s">
        <v>1089</v>
      </c>
      <c r="I1049" s="286" t="s">
        <v>1199</v>
      </c>
      <c r="J1049" s="286" t="s">
        <v>1312</v>
      </c>
      <c r="K1049" s="286" t="s">
        <v>1805</v>
      </c>
      <c r="L1049" s="286" t="s">
        <v>672</v>
      </c>
      <c r="M1049" s="286">
        <v>1</v>
      </c>
      <c r="N1049" s="287">
        <v>3427.84</v>
      </c>
      <c r="O1049" s="294">
        <f t="shared" si="16"/>
        <v>45626</v>
      </c>
      <c r="P1049" s="286" t="s">
        <v>58</v>
      </c>
    </row>
    <row r="1050" spans="1:16" hidden="1" x14ac:dyDescent="0.15">
      <c r="A1050" s="286">
        <v>848917</v>
      </c>
      <c r="B1050" s="288">
        <v>45607.660416666666</v>
      </c>
      <c r="C1050" s="286" t="s">
        <v>2100</v>
      </c>
      <c r="D1050" s="286" t="s">
        <v>1105</v>
      </c>
      <c r="E1050" s="286" t="s">
        <v>1106</v>
      </c>
      <c r="F1050" s="286" t="s">
        <v>2141</v>
      </c>
      <c r="G1050" s="286" t="s">
        <v>1089</v>
      </c>
      <c r="H1050" s="286" t="s">
        <v>1089</v>
      </c>
      <c r="I1050" s="286" t="s">
        <v>1199</v>
      </c>
      <c r="J1050" s="286" t="s">
        <v>1312</v>
      </c>
      <c r="K1050" s="286" t="s">
        <v>1805</v>
      </c>
      <c r="L1050" s="286" t="s">
        <v>672</v>
      </c>
      <c r="M1050" s="286">
        <v>1</v>
      </c>
      <c r="N1050" s="287">
        <v>3427.84</v>
      </c>
      <c r="O1050" s="294">
        <f t="shared" si="16"/>
        <v>45626</v>
      </c>
      <c r="P1050" s="286" t="s">
        <v>58</v>
      </c>
    </row>
    <row r="1051" spans="1:16" hidden="1" x14ac:dyDescent="0.15">
      <c r="A1051" s="286">
        <v>874698</v>
      </c>
      <c r="B1051" s="288">
        <v>45628.357638888891</v>
      </c>
      <c r="C1051" s="286" t="s">
        <v>2098</v>
      </c>
      <c r="D1051" s="286" t="s">
        <v>1105</v>
      </c>
      <c r="E1051" s="286" t="s">
        <v>1106</v>
      </c>
      <c r="F1051" s="286" t="s">
        <v>2142</v>
      </c>
      <c r="G1051" s="286" t="s">
        <v>1089</v>
      </c>
      <c r="H1051" s="286" t="s">
        <v>1089</v>
      </c>
      <c r="I1051" s="286" t="s">
        <v>1199</v>
      </c>
      <c r="J1051" s="286" t="s">
        <v>1312</v>
      </c>
      <c r="K1051" s="286" t="s">
        <v>1805</v>
      </c>
      <c r="L1051" s="286" t="s">
        <v>672</v>
      </c>
      <c r="M1051" s="286">
        <v>1</v>
      </c>
      <c r="N1051" s="287">
        <v>3427.84</v>
      </c>
      <c r="O1051" s="294">
        <f t="shared" si="16"/>
        <v>45657</v>
      </c>
      <c r="P1051" s="286" t="s">
        <v>58</v>
      </c>
    </row>
    <row r="1052" spans="1:16" hidden="1" x14ac:dyDescent="0.15">
      <c r="A1052" s="286">
        <v>536791</v>
      </c>
      <c r="B1052" s="288">
        <v>45390.404166666667</v>
      </c>
      <c r="C1052" s="286" t="s">
        <v>2109</v>
      </c>
      <c r="D1052" s="286" t="s">
        <v>1105</v>
      </c>
      <c r="E1052" s="286" t="s">
        <v>1106</v>
      </c>
      <c r="F1052" s="286" t="s">
        <v>2110</v>
      </c>
      <c r="G1052" s="286" t="s">
        <v>1004</v>
      </c>
      <c r="H1052" s="286" t="s">
        <v>1004</v>
      </c>
      <c r="I1052" s="286" t="s">
        <v>1301</v>
      </c>
      <c r="J1052" s="286" t="s">
        <v>1312</v>
      </c>
      <c r="K1052" s="286" t="s">
        <v>56</v>
      </c>
      <c r="L1052" s="286" t="s">
        <v>71</v>
      </c>
      <c r="M1052" s="286">
        <v>1</v>
      </c>
      <c r="N1052" s="287">
        <v>3427</v>
      </c>
      <c r="O1052" s="294">
        <f t="shared" si="16"/>
        <v>45412</v>
      </c>
      <c r="P1052" s="286" t="s">
        <v>55</v>
      </c>
    </row>
    <row r="1053" spans="1:16" hidden="1" x14ac:dyDescent="0.15">
      <c r="A1053" s="286">
        <v>646075</v>
      </c>
      <c r="B1053" s="288">
        <v>45474.519444444442</v>
      </c>
      <c r="C1053" s="286" t="s">
        <v>2111</v>
      </c>
      <c r="D1053" s="286" t="s">
        <v>1105</v>
      </c>
      <c r="E1053" s="286" t="s">
        <v>1106</v>
      </c>
      <c r="F1053" s="286" t="s">
        <v>2137</v>
      </c>
      <c r="G1053" s="286" t="s">
        <v>1022</v>
      </c>
      <c r="H1053" s="286" t="s">
        <v>1022</v>
      </c>
      <c r="I1053" s="286" t="s">
        <v>1228</v>
      </c>
      <c r="J1053" s="286" t="s">
        <v>1312</v>
      </c>
      <c r="K1053" s="286" t="s">
        <v>2316</v>
      </c>
      <c r="L1053" s="286" t="s">
        <v>672</v>
      </c>
      <c r="M1053" s="286">
        <v>1</v>
      </c>
      <c r="N1053" s="287">
        <v>3416.83</v>
      </c>
      <c r="O1053" s="294">
        <f t="shared" si="16"/>
        <v>45504</v>
      </c>
      <c r="P1053" s="286" t="s">
        <v>58</v>
      </c>
    </row>
    <row r="1054" spans="1:16" hidden="1" x14ac:dyDescent="0.15">
      <c r="A1054" s="286">
        <v>646075</v>
      </c>
      <c r="B1054" s="288">
        <v>45474.519444444442</v>
      </c>
      <c r="C1054" s="286" t="s">
        <v>2111</v>
      </c>
      <c r="D1054" s="286" t="s">
        <v>1105</v>
      </c>
      <c r="E1054" s="286" t="s">
        <v>1106</v>
      </c>
      <c r="F1054" s="286" t="s">
        <v>2137</v>
      </c>
      <c r="G1054" s="286" t="s">
        <v>1022</v>
      </c>
      <c r="H1054" s="286" t="s">
        <v>1022</v>
      </c>
      <c r="I1054" s="286" t="s">
        <v>1228</v>
      </c>
      <c r="J1054" s="286" t="s">
        <v>1312</v>
      </c>
      <c r="K1054" s="286" t="s">
        <v>2316</v>
      </c>
      <c r="L1054" s="286" t="s">
        <v>672</v>
      </c>
      <c r="M1054" s="286">
        <v>1</v>
      </c>
      <c r="N1054" s="287">
        <v>3416.83</v>
      </c>
      <c r="O1054" s="294">
        <f t="shared" si="16"/>
        <v>45504</v>
      </c>
      <c r="P1054" s="286" t="s">
        <v>58</v>
      </c>
    </row>
    <row r="1055" spans="1:16" hidden="1" x14ac:dyDescent="0.15">
      <c r="A1055" s="286">
        <v>697810</v>
      </c>
      <c r="B1055" s="288">
        <v>45510.366666666669</v>
      </c>
      <c r="C1055" s="286" t="s">
        <v>2102</v>
      </c>
      <c r="D1055" s="286" t="s">
        <v>1105</v>
      </c>
      <c r="E1055" s="286" t="s">
        <v>1106</v>
      </c>
      <c r="F1055" s="286" t="s">
        <v>2138</v>
      </c>
      <c r="G1055" s="286" t="s">
        <v>1022</v>
      </c>
      <c r="H1055" s="286" t="s">
        <v>1022</v>
      </c>
      <c r="I1055" s="286" t="s">
        <v>1228</v>
      </c>
      <c r="J1055" s="286" t="s">
        <v>1312</v>
      </c>
      <c r="K1055" s="286" t="s">
        <v>2316</v>
      </c>
      <c r="L1055" s="286" t="s">
        <v>672</v>
      </c>
      <c r="M1055" s="286">
        <v>1</v>
      </c>
      <c r="N1055" s="287">
        <v>3416.83</v>
      </c>
      <c r="O1055" s="294">
        <f t="shared" si="16"/>
        <v>45535</v>
      </c>
      <c r="P1055" s="286" t="s">
        <v>58</v>
      </c>
    </row>
    <row r="1056" spans="1:16" hidden="1" x14ac:dyDescent="0.15">
      <c r="A1056" s="286">
        <v>697810</v>
      </c>
      <c r="B1056" s="288">
        <v>45510.366666666669</v>
      </c>
      <c r="C1056" s="286" t="s">
        <v>2102</v>
      </c>
      <c r="D1056" s="286" t="s">
        <v>1105</v>
      </c>
      <c r="E1056" s="286" t="s">
        <v>1106</v>
      </c>
      <c r="F1056" s="286" t="s">
        <v>2138</v>
      </c>
      <c r="G1056" s="286" t="s">
        <v>1022</v>
      </c>
      <c r="H1056" s="286" t="s">
        <v>1022</v>
      </c>
      <c r="I1056" s="286" t="s">
        <v>1228</v>
      </c>
      <c r="J1056" s="286" t="s">
        <v>1312</v>
      </c>
      <c r="K1056" s="286" t="s">
        <v>2316</v>
      </c>
      <c r="L1056" s="286" t="s">
        <v>672</v>
      </c>
      <c r="M1056" s="286">
        <v>1</v>
      </c>
      <c r="N1056" s="287">
        <v>3416.83</v>
      </c>
      <c r="O1056" s="294">
        <f t="shared" si="16"/>
        <v>45535</v>
      </c>
      <c r="P1056" s="286" t="s">
        <v>58</v>
      </c>
    </row>
    <row r="1057" spans="1:16" hidden="1" x14ac:dyDescent="0.15">
      <c r="A1057" s="286">
        <v>745911</v>
      </c>
      <c r="B1057" s="288">
        <v>45538.44027777778</v>
      </c>
      <c r="C1057" s="286" t="s">
        <v>2132</v>
      </c>
      <c r="D1057" s="286" t="s">
        <v>1105</v>
      </c>
      <c r="E1057" s="286" t="s">
        <v>1106</v>
      </c>
      <c r="F1057" s="286" t="s">
        <v>2139</v>
      </c>
      <c r="G1057" s="286" t="s">
        <v>1022</v>
      </c>
      <c r="H1057" s="286" t="s">
        <v>1022</v>
      </c>
      <c r="I1057" s="286" t="s">
        <v>1228</v>
      </c>
      <c r="J1057" s="286" t="s">
        <v>1312</v>
      </c>
      <c r="K1057" s="286" t="s">
        <v>2316</v>
      </c>
      <c r="L1057" s="286" t="s">
        <v>672</v>
      </c>
      <c r="M1057" s="286">
        <v>1</v>
      </c>
      <c r="N1057" s="287">
        <v>3416.83</v>
      </c>
      <c r="O1057" s="294">
        <f t="shared" si="16"/>
        <v>45565</v>
      </c>
      <c r="P1057" s="286" t="s">
        <v>58</v>
      </c>
    </row>
    <row r="1058" spans="1:16" hidden="1" x14ac:dyDescent="0.15">
      <c r="A1058" s="286">
        <v>745911</v>
      </c>
      <c r="B1058" s="288">
        <v>45538.44027777778</v>
      </c>
      <c r="C1058" s="286" t="s">
        <v>2132</v>
      </c>
      <c r="D1058" s="286" t="s">
        <v>1105</v>
      </c>
      <c r="E1058" s="286" t="s">
        <v>1106</v>
      </c>
      <c r="F1058" s="286" t="s">
        <v>2139</v>
      </c>
      <c r="G1058" s="286" t="s">
        <v>1022</v>
      </c>
      <c r="H1058" s="286" t="s">
        <v>1022</v>
      </c>
      <c r="I1058" s="286" t="s">
        <v>1228</v>
      </c>
      <c r="J1058" s="286" t="s">
        <v>1312</v>
      </c>
      <c r="K1058" s="286" t="s">
        <v>2316</v>
      </c>
      <c r="L1058" s="286" t="s">
        <v>672</v>
      </c>
      <c r="M1058" s="286">
        <v>1</v>
      </c>
      <c r="N1058" s="287">
        <v>3416.83</v>
      </c>
      <c r="O1058" s="294">
        <f t="shared" si="16"/>
        <v>45565</v>
      </c>
      <c r="P1058" s="286" t="s">
        <v>58</v>
      </c>
    </row>
    <row r="1059" spans="1:16" hidden="1" x14ac:dyDescent="0.15">
      <c r="A1059" s="286">
        <v>848817</v>
      </c>
      <c r="B1059" s="288">
        <v>45607.65902777778</v>
      </c>
      <c r="C1059" s="286" t="s">
        <v>2130</v>
      </c>
      <c r="D1059" s="286" t="s">
        <v>1105</v>
      </c>
      <c r="E1059" s="286" t="s">
        <v>1106</v>
      </c>
      <c r="F1059" s="286" t="s">
        <v>2140</v>
      </c>
      <c r="G1059" s="286" t="s">
        <v>1022</v>
      </c>
      <c r="H1059" s="286" t="s">
        <v>1022</v>
      </c>
      <c r="I1059" s="286" t="s">
        <v>1228</v>
      </c>
      <c r="J1059" s="286" t="s">
        <v>1312</v>
      </c>
      <c r="K1059" s="286" t="s">
        <v>2316</v>
      </c>
      <c r="L1059" s="286" t="s">
        <v>672</v>
      </c>
      <c r="M1059" s="286">
        <v>1</v>
      </c>
      <c r="N1059" s="287">
        <v>3416.83</v>
      </c>
      <c r="O1059" s="294">
        <f t="shared" si="16"/>
        <v>45626</v>
      </c>
      <c r="P1059" s="286" t="s">
        <v>58</v>
      </c>
    </row>
    <row r="1060" spans="1:16" hidden="1" x14ac:dyDescent="0.15">
      <c r="A1060" s="286">
        <v>848817</v>
      </c>
      <c r="B1060" s="288">
        <v>45607.65902777778</v>
      </c>
      <c r="C1060" s="286" t="s">
        <v>2130</v>
      </c>
      <c r="D1060" s="286" t="s">
        <v>1105</v>
      </c>
      <c r="E1060" s="286" t="s">
        <v>1106</v>
      </c>
      <c r="F1060" s="286" t="s">
        <v>2140</v>
      </c>
      <c r="G1060" s="286" t="s">
        <v>1022</v>
      </c>
      <c r="H1060" s="286" t="s">
        <v>1022</v>
      </c>
      <c r="I1060" s="286" t="s">
        <v>1228</v>
      </c>
      <c r="J1060" s="286" t="s">
        <v>1312</v>
      </c>
      <c r="K1060" s="286" t="s">
        <v>2316</v>
      </c>
      <c r="L1060" s="286" t="s">
        <v>672</v>
      </c>
      <c r="M1060" s="286">
        <v>1</v>
      </c>
      <c r="N1060" s="287">
        <v>3416.83</v>
      </c>
      <c r="O1060" s="294">
        <f t="shared" si="16"/>
        <v>45626</v>
      </c>
      <c r="P1060" s="286" t="s">
        <v>58</v>
      </c>
    </row>
    <row r="1061" spans="1:16" hidden="1" x14ac:dyDescent="0.15">
      <c r="A1061" s="286">
        <v>848917</v>
      </c>
      <c r="B1061" s="288">
        <v>45607.660416666666</v>
      </c>
      <c r="C1061" s="286" t="s">
        <v>2100</v>
      </c>
      <c r="D1061" s="286" t="s">
        <v>1105</v>
      </c>
      <c r="E1061" s="286" t="s">
        <v>1106</v>
      </c>
      <c r="F1061" s="286" t="s">
        <v>2141</v>
      </c>
      <c r="G1061" s="286" t="s">
        <v>1022</v>
      </c>
      <c r="H1061" s="286" t="s">
        <v>1022</v>
      </c>
      <c r="I1061" s="286" t="s">
        <v>1228</v>
      </c>
      <c r="J1061" s="286" t="s">
        <v>1312</v>
      </c>
      <c r="K1061" s="286" t="s">
        <v>2316</v>
      </c>
      <c r="L1061" s="286" t="s">
        <v>672</v>
      </c>
      <c r="M1061" s="286">
        <v>1</v>
      </c>
      <c r="N1061" s="287">
        <v>3416.83</v>
      </c>
      <c r="O1061" s="294">
        <f t="shared" si="16"/>
        <v>45626</v>
      </c>
      <c r="P1061" s="286" t="s">
        <v>58</v>
      </c>
    </row>
    <row r="1062" spans="1:16" hidden="1" x14ac:dyDescent="0.15">
      <c r="A1062" s="286">
        <v>848917</v>
      </c>
      <c r="B1062" s="288">
        <v>45607.660416666666</v>
      </c>
      <c r="C1062" s="286" t="s">
        <v>2100</v>
      </c>
      <c r="D1062" s="286" t="s">
        <v>1105</v>
      </c>
      <c r="E1062" s="286" t="s">
        <v>1106</v>
      </c>
      <c r="F1062" s="286" t="s">
        <v>2141</v>
      </c>
      <c r="G1062" s="286" t="s">
        <v>1022</v>
      </c>
      <c r="H1062" s="286" t="s">
        <v>1022</v>
      </c>
      <c r="I1062" s="286" t="s">
        <v>1228</v>
      </c>
      <c r="J1062" s="286" t="s">
        <v>1312</v>
      </c>
      <c r="K1062" s="286" t="s">
        <v>2316</v>
      </c>
      <c r="L1062" s="286" t="s">
        <v>672</v>
      </c>
      <c r="M1062" s="286">
        <v>1</v>
      </c>
      <c r="N1062" s="287">
        <v>3416.83</v>
      </c>
      <c r="O1062" s="294">
        <f t="shared" si="16"/>
        <v>45626</v>
      </c>
      <c r="P1062" s="286" t="s">
        <v>58</v>
      </c>
    </row>
    <row r="1063" spans="1:16" hidden="1" x14ac:dyDescent="0.15">
      <c r="A1063" s="286">
        <v>874698</v>
      </c>
      <c r="B1063" s="288">
        <v>45628.357638888891</v>
      </c>
      <c r="C1063" s="286" t="s">
        <v>2098</v>
      </c>
      <c r="D1063" s="286" t="s">
        <v>1105</v>
      </c>
      <c r="E1063" s="286" t="s">
        <v>1106</v>
      </c>
      <c r="F1063" s="286" t="s">
        <v>2142</v>
      </c>
      <c r="G1063" s="286" t="s">
        <v>1022</v>
      </c>
      <c r="H1063" s="286" t="s">
        <v>1022</v>
      </c>
      <c r="I1063" s="286" t="s">
        <v>1228</v>
      </c>
      <c r="J1063" s="286" t="s">
        <v>1312</v>
      </c>
      <c r="K1063" s="286" t="s">
        <v>2316</v>
      </c>
      <c r="L1063" s="286" t="s">
        <v>672</v>
      </c>
      <c r="M1063" s="286">
        <v>1</v>
      </c>
      <c r="N1063" s="287">
        <v>3416.83</v>
      </c>
      <c r="O1063" s="294">
        <f t="shared" si="16"/>
        <v>45657</v>
      </c>
      <c r="P1063" s="286" t="s">
        <v>58</v>
      </c>
    </row>
    <row r="1064" spans="1:16" hidden="1" x14ac:dyDescent="0.15">
      <c r="A1064" s="286">
        <v>874698</v>
      </c>
      <c r="B1064" s="288">
        <v>45628.357638888891</v>
      </c>
      <c r="C1064" s="286" t="s">
        <v>2098</v>
      </c>
      <c r="D1064" s="286" t="s">
        <v>1105</v>
      </c>
      <c r="E1064" s="286" t="s">
        <v>1106</v>
      </c>
      <c r="F1064" s="286" t="s">
        <v>2142</v>
      </c>
      <c r="G1064" s="286" t="s">
        <v>1022</v>
      </c>
      <c r="H1064" s="286" t="s">
        <v>1022</v>
      </c>
      <c r="I1064" s="286" t="s">
        <v>1228</v>
      </c>
      <c r="J1064" s="286" t="s">
        <v>1312</v>
      </c>
      <c r="K1064" s="286" t="s">
        <v>2316</v>
      </c>
      <c r="L1064" s="286" t="s">
        <v>672</v>
      </c>
      <c r="M1064" s="286">
        <v>1</v>
      </c>
      <c r="N1064" s="287">
        <v>3416.83</v>
      </c>
      <c r="O1064" s="294">
        <f t="shared" si="16"/>
        <v>45657</v>
      </c>
      <c r="P1064" s="286" t="s">
        <v>58</v>
      </c>
    </row>
    <row r="1065" spans="1:16" hidden="1" x14ac:dyDescent="0.15">
      <c r="A1065" s="286">
        <v>438112</v>
      </c>
      <c r="B1065" s="288">
        <v>45293.53402777778</v>
      </c>
      <c r="C1065" s="286" t="s">
        <v>2125</v>
      </c>
      <c r="D1065" s="286" t="s">
        <v>1105</v>
      </c>
      <c r="E1065" s="286" t="s">
        <v>1106</v>
      </c>
      <c r="F1065" s="286" t="s">
        <v>2152</v>
      </c>
      <c r="G1065" s="286" t="s">
        <v>1062</v>
      </c>
      <c r="H1065" s="286" t="s">
        <v>1062</v>
      </c>
      <c r="I1065" s="286" t="s">
        <v>1228</v>
      </c>
      <c r="J1065" s="286" t="s">
        <v>1312</v>
      </c>
      <c r="K1065" s="286" t="s">
        <v>2317</v>
      </c>
      <c r="L1065" s="286" t="s">
        <v>672</v>
      </c>
      <c r="M1065" s="286">
        <v>1</v>
      </c>
      <c r="N1065" s="287">
        <v>3412.42</v>
      </c>
      <c r="O1065" s="294">
        <f t="shared" si="16"/>
        <v>45322</v>
      </c>
      <c r="P1065" s="286" t="s">
        <v>58</v>
      </c>
    </row>
    <row r="1066" spans="1:16" hidden="1" x14ac:dyDescent="0.15">
      <c r="A1066" s="286">
        <v>472168</v>
      </c>
      <c r="B1066" s="288">
        <v>45331.416666666664</v>
      </c>
      <c r="C1066" s="286" t="s">
        <v>2113</v>
      </c>
      <c r="D1066" s="286" t="s">
        <v>1105</v>
      </c>
      <c r="E1066" s="286" t="s">
        <v>1106</v>
      </c>
      <c r="F1066" s="286" t="s">
        <v>2153</v>
      </c>
      <c r="G1066" s="286" t="s">
        <v>1062</v>
      </c>
      <c r="H1066" s="286" t="s">
        <v>1062</v>
      </c>
      <c r="I1066" s="286" t="s">
        <v>1228</v>
      </c>
      <c r="J1066" s="286" t="s">
        <v>1312</v>
      </c>
      <c r="K1066" s="286" t="s">
        <v>2317</v>
      </c>
      <c r="L1066" s="286" t="s">
        <v>672</v>
      </c>
      <c r="M1066" s="286">
        <v>1</v>
      </c>
      <c r="N1066" s="287">
        <v>3412.42</v>
      </c>
      <c r="O1066" s="294">
        <f t="shared" si="16"/>
        <v>45351</v>
      </c>
      <c r="P1066" s="286" t="s">
        <v>58</v>
      </c>
    </row>
    <row r="1067" spans="1:16" hidden="1" x14ac:dyDescent="0.15">
      <c r="A1067" s="286">
        <v>504817</v>
      </c>
      <c r="B1067" s="288">
        <v>45359.645138888889</v>
      </c>
      <c r="C1067" s="286" t="s">
        <v>2109</v>
      </c>
      <c r="D1067" s="286" t="s">
        <v>1105</v>
      </c>
      <c r="E1067" s="286" t="s">
        <v>1106</v>
      </c>
      <c r="F1067" s="286" t="s">
        <v>2154</v>
      </c>
      <c r="G1067" s="286" t="s">
        <v>1062</v>
      </c>
      <c r="H1067" s="286" t="s">
        <v>1062</v>
      </c>
      <c r="I1067" s="286" t="s">
        <v>1228</v>
      </c>
      <c r="J1067" s="286" t="s">
        <v>1312</v>
      </c>
      <c r="K1067" s="286" t="s">
        <v>2317</v>
      </c>
      <c r="L1067" s="286" t="s">
        <v>672</v>
      </c>
      <c r="M1067" s="286">
        <v>1</v>
      </c>
      <c r="N1067" s="287">
        <v>3412.42</v>
      </c>
      <c r="O1067" s="294">
        <f t="shared" si="16"/>
        <v>45382</v>
      </c>
      <c r="P1067" s="286" t="s">
        <v>58</v>
      </c>
    </row>
    <row r="1068" spans="1:16" hidden="1" x14ac:dyDescent="0.15">
      <c r="A1068" s="286">
        <v>534207</v>
      </c>
      <c r="B1068" s="288">
        <v>45385.750694444447</v>
      </c>
      <c r="C1068" s="286" t="s">
        <v>2096</v>
      </c>
      <c r="D1068" s="286" t="s">
        <v>1105</v>
      </c>
      <c r="E1068" s="286" t="s">
        <v>1106</v>
      </c>
      <c r="F1068" s="286" t="s">
        <v>2155</v>
      </c>
      <c r="G1068" s="286" t="s">
        <v>1062</v>
      </c>
      <c r="H1068" s="286" t="s">
        <v>1062</v>
      </c>
      <c r="I1068" s="286" t="s">
        <v>1228</v>
      </c>
      <c r="J1068" s="286" t="s">
        <v>1312</v>
      </c>
      <c r="K1068" s="286" t="s">
        <v>2317</v>
      </c>
      <c r="L1068" s="286" t="s">
        <v>672</v>
      </c>
      <c r="M1068" s="286">
        <v>1</v>
      </c>
      <c r="N1068" s="287">
        <v>3412.42</v>
      </c>
      <c r="O1068" s="294">
        <f t="shared" si="16"/>
        <v>45412</v>
      </c>
      <c r="P1068" s="286" t="s">
        <v>58</v>
      </c>
    </row>
    <row r="1069" spans="1:16" hidden="1" x14ac:dyDescent="0.15">
      <c r="A1069" s="286">
        <v>614216</v>
      </c>
      <c r="B1069" s="288">
        <v>45455.716666666667</v>
      </c>
      <c r="C1069" s="286" t="s">
        <v>2116</v>
      </c>
      <c r="D1069" s="286" t="s">
        <v>1105</v>
      </c>
      <c r="E1069" s="286" t="s">
        <v>1106</v>
      </c>
      <c r="F1069" s="286" t="s">
        <v>2156</v>
      </c>
      <c r="G1069" s="286" t="s">
        <v>1062</v>
      </c>
      <c r="H1069" s="286" t="s">
        <v>1062</v>
      </c>
      <c r="I1069" s="286" t="s">
        <v>1228</v>
      </c>
      <c r="J1069" s="286" t="s">
        <v>1312</v>
      </c>
      <c r="K1069" s="286" t="s">
        <v>2317</v>
      </c>
      <c r="L1069" s="286" t="s">
        <v>672</v>
      </c>
      <c r="M1069" s="286">
        <v>1</v>
      </c>
      <c r="N1069" s="287">
        <v>3412.42</v>
      </c>
      <c r="O1069" s="294">
        <f t="shared" si="16"/>
        <v>45473</v>
      </c>
      <c r="P1069" s="286" t="s">
        <v>58</v>
      </c>
    </row>
    <row r="1070" spans="1:16" hidden="1" x14ac:dyDescent="0.15">
      <c r="A1070" s="286">
        <v>614316</v>
      </c>
      <c r="B1070" s="288">
        <v>45455.717361111114</v>
      </c>
      <c r="C1070" s="286" t="s">
        <v>2092</v>
      </c>
      <c r="D1070" s="286" t="s">
        <v>1105</v>
      </c>
      <c r="E1070" s="286" t="s">
        <v>1106</v>
      </c>
      <c r="F1070" s="286" t="s">
        <v>2167</v>
      </c>
      <c r="G1070" s="286" t="s">
        <v>1062</v>
      </c>
      <c r="H1070" s="286" t="s">
        <v>1062</v>
      </c>
      <c r="I1070" s="286" t="s">
        <v>1228</v>
      </c>
      <c r="J1070" s="286" t="s">
        <v>1312</v>
      </c>
      <c r="K1070" s="286" t="s">
        <v>2317</v>
      </c>
      <c r="L1070" s="286" t="s">
        <v>672</v>
      </c>
      <c r="M1070" s="286">
        <v>1</v>
      </c>
      <c r="N1070" s="287">
        <v>3412.42</v>
      </c>
      <c r="O1070" s="294">
        <f t="shared" si="16"/>
        <v>45473</v>
      </c>
      <c r="P1070" s="286" t="s">
        <v>58</v>
      </c>
    </row>
    <row r="1071" spans="1:16" hidden="1" x14ac:dyDescent="0.15">
      <c r="A1071" s="286">
        <v>646075</v>
      </c>
      <c r="B1071" s="288">
        <v>45474.519444444442</v>
      </c>
      <c r="C1071" s="286" t="s">
        <v>2111</v>
      </c>
      <c r="D1071" s="286" t="s">
        <v>1105</v>
      </c>
      <c r="E1071" s="286" t="s">
        <v>1106</v>
      </c>
      <c r="F1071" s="286" t="s">
        <v>2137</v>
      </c>
      <c r="G1071" s="286" t="s">
        <v>1062</v>
      </c>
      <c r="H1071" s="286" t="s">
        <v>1062</v>
      </c>
      <c r="I1071" s="286" t="s">
        <v>1228</v>
      </c>
      <c r="J1071" s="286" t="s">
        <v>1312</v>
      </c>
      <c r="K1071" s="286" t="s">
        <v>2317</v>
      </c>
      <c r="L1071" s="286" t="s">
        <v>672</v>
      </c>
      <c r="M1071" s="286">
        <v>1</v>
      </c>
      <c r="N1071" s="287">
        <v>3412.42</v>
      </c>
      <c r="O1071" s="294">
        <f t="shared" si="16"/>
        <v>45504</v>
      </c>
      <c r="P1071" s="286" t="s">
        <v>58</v>
      </c>
    </row>
    <row r="1072" spans="1:16" hidden="1" x14ac:dyDescent="0.15">
      <c r="A1072" s="286">
        <v>697810</v>
      </c>
      <c r="B1072" s="288">
        <v>45510.366666666669</v>
      </c>
      <c r="C1072" s="286" t="s">
        <v>2102</v>
      </c>
      <c r="D1072" s="286" t="s">
        <v>1105</v>
      </c>
      <c r="E1072" s="286" t="s">
        <v>1106</v>
      </c>
      <c r="F1072" s="286" t="s">
        <v>2138</v>
      </c>
      <c r="G1072" s="286" t="s">
        <v>1062</v>
      </c>
      <c r="H1072" s="286" t="s">
        <v>1062</v>
      </c>
      <c r="I1072" s="286" t="s">
        <v>1228</v>
      </c>
      <c r="J1072" s="286" t="s">
        <v>1312</v>
      </c>
      <c r="K1072" s="286" t="s">
        <v>2317</v>
      </c>
      <c r="L1072" s="286" t="s">
        <v>672</v>
      </c>
      <c r="M1072" s="286">
        <v>1</v>
      </c>
      <c r="N1072" s="287">
        <v>3412.42</v>
      </c>
      <c r="O1072" s="294">
        <f t="shared" si="16"/>
        <v>45535</v>
      </c>
      <c r="P1072" s="286" t="s">
        <v>58</v>
      </c>
    </row>
    <row r="1073" spans="1:16" hidden="1" x14ac:dyDescent="0.15">
      <c r="A1073" s="286">
        <v>745911</v>
      </c>
      <c r="B1073" s="288">
        <v>45538.44027777778</v>
      </c>
      <c r="C1073" s="286" t="s">
        <v>2132</v>
      </c>
      <c r="D1073" s="286" t="s">
        <v>1105</v>
      </c>
      <c r="E1073" s="286" t="s">
        <v>1106</v>
      </c>
      <c r="F1073" s="286" t="s">
        <v>2139</v>
      </c>
      <c r="G1073" s="286" t="s">
        <v>1062</v>
      </c>
      <c r="H1073" s="286" t="s">
        <v>1062</v>
      </c>
      <c r="I1073" s="286" t="s">
        <v>1228</v>
      </c>
      <c r="J1073" s="286" t="s">
        <v>1312</v>
      </c>
      <c r="K1073" s="286" t="s">
        <v>2317</v>
      </c>
      <c r="L1073" s="286" t="s">
        <v>672</v>
      </c>
      <c r="M1073" s="286">
        <v>1</v>
      </c>
      <c r="N1073" s="287">
        <v>3412.42</v>
      </c>
      <c r="O1073" s="294">
        <f t="shared" si="16"/>
        <v>45565</v>
      </c>
      <c r="P1073" s="286" t="s">
        <v>58</v>
      </c>
    </row>
    <row r="1074" spans="1:16" hidden="1" x14ac:dyDescent="0.15">
      <c r="A1074" s="286">
        <v>848817</v>
      </c>
      <c r="B1074" s="288">
        <v>45607.65902777778</v>
      </c>
      <c r="C1074" s="286" t="s">
        <v>2130</v>
      </c>
      <c r="D1074" s="286" t="s">
        <v>1105</v>
      </c>
      <c r="E1074" s="286" t="s">
        <v>1106</v>
      </c>
      <c r="F1074" s="286" t="s">
        <v>2140</v>
      </c>
      <c r="G1074" s="286" t="s">
        <v>1062</v>
      </c>
      <c r="H1074" s="286" t="s">
        <v>1062</v>
      </c>
      <c r="I1074" s="286" t="s">
        <v>1228</v>
      </c>
      <c r="J1074" s="286" t="s">
        <v>1312</v>
      </c>
      <c r="K1074" s="286" t="s">
        <v>2317</v>
      </c>
      <c r="L1074" s="286" t="s">
        <v>672</v>
      </c>
      <c r="M1074" s="286">
        <v>1</v>
      </c>
      <c r="N1074" s="287">
        <v>3412.42</v>
      </c>
      <c r="O1074" s="294">
        <f t="shared" si="16"/>
        <v>45626</v>
      </c>
      <c r="P1074" s="286" t="s">
        <v>58</v>
      </c>
    </row>
    <row r="1075" spans="1:16" hidden="1" x14ac:dyDescent="0.15">
      <c r="A1075" s="286">
        <v>848917</v>
      </c>
      <c r="B1075" s="288">
        <v>45607.660416666666</v>
      </c>
      <c r="C1075" s="286" t="s">
        <v>2100</v>
      </c>
      <c r="D1075" s="286" t="s">
        <v>1105</v>
      </c>
      <c r="E1075" s="286" t="s">
        <v>1106</v>
      </c>
      <c r="F1075" s="286" t="s">
        <v>2141</v>
      </c>
      <c r="G1075" s="286" t="s">
        <v>1062</v>
      </c>
      <c r="H1075" s="286" t="s">
        <v>1062</v>
      </c>
      <c r="I1075" s="286" t="s">
        <v>1228</v>
      </c>
      <c r="J1075" s="286" t="s">
        <v>1312</v>
      </c>
      <c r="K1075" s="286" t="s">
        <v>2317</v>
      </c>
      <c r="L1075" s="286" t="s">
        <v>672</v>
      </c>
      <c r="M1075" s="286">
        <v>1</v>
      </c>
      <c r="N1075" s="287">
        <v>3412.42</v>
      </c>
      <c r="O1075" s="294">
        <f t="shared" si="16"/>
        <v>45626</v>
      </c>
      <c r="P1075" s="286" t="s">
        <v>58</v>
      </c>
    </row>
    <row r="1076" spans="1:16" hidden="1" x14ac:dyDescent="0.15">
      <c r="A1076" s="286">
        <v>874698</v>
      </c>
      <c r="B1076" s="288">
        <v>45628.357638888891</v>
      </c>
      <c r="C1076" s="286" t="s">
        <v>2098</v>
      </c>
      <c r="D1076" s="286" t="s">
        <v>1105</v>
      </c>
      <c r="E1076" s="286" t="s">
        <v>1106</v>
      </c>
      <c r="F1076" s="286" t="s">
        <v>2142</v>
      </c>
      <c r="G1076" s="286" t="s">
        <v>1062</v>
      </c>
      <c r="H1076" s="286" t="s">
        <v>1062</v>
      </c>
      <c r="I1076" s="286" t="s">
        <v>1228</v>
      </c>
      <c r="J1076" s="286" t="s">
        <v>1312</v>
      </c>
      <c r="K1076" s="286" t="s">
        <v>2317</v>
      </c>
      <c r="L1076" s="286" t="s">
        <v>672</v>
      </c>
      <c r="M1076" s="286">
        <v>1</v>
      </c>
      <c r="N1076" s="287">
        <v>3412.38</v>
      </c>
      <c r="O1076" s="294">
        <f t="shared" si="16"/>
        <v>45657</v>
      </c>
      <c r="P1076" s="286" t="s">
        <v>58</v>
      </c>
    </row>
    <row r="1077" spans="1:16" hidden="1" x14ac:dyDescent="0.15">
      <c r="A1077" s="286">
        <v>472168</v>
      </c>
      <c r="B1077" s="288">
        <v>45331.416666666664</v>
      </c>
      <c r="C1077" s="286" t="s">
        <v>2113</v>
      </c>
      <c r="D1077" s="286" t="s">
        <v>1105</v>
      </c>
      <c r="E1077" s="286" t="s">
        <v>1106</v>
      </c>
      <c r="F1077" s="286" t="s">
        <v>2153</v>
      </c>
      <c r="G1077" s="286" t="s">
        <v>1027</v>
      </c>
      <c r="H1077" s="286" t="s">
        <v>1027</v>
      </c>
      <c r="I1077" s="286" t="s">
        <v>1228</v>
      </c>
      <c r="J1077" s="286" t="s">
        <v>1312</v>
      </c>
      <c r="K1077" s="286" t="s">
        <v>2292</v>
      </c>
      <c r="L1077" s="286" t="s">
        <v>53</v>
      </c>
      <c r="M1077" s="286">
        <v>1</v>
      </c>
      <c r="N1077" s="287">
        <v>3407.5</v>
      </c>
      <c r="O1077" s="294">
        <f t="shared" si="16"/>
        <v>45351</v>
      </c>
      <c r="P1077" s="286" t="s">
        <v>58</v>
      </c>
    </row>
    <row r="1078" spans="1:16" hidden="1" x14ac:dyDescent="0.15">
      <c r="A1078" s="286">
        <v>504817</v>
      </c>
      <c r="B1078" s="288">
        <v>45359.645138888889</v>
      </c>
      <c r="C1078" s="286" t="s">
        <v>2109</v>
      </c>
      <c r="D1078" s="286" t="s">
        <v>1105</v>
      </c>
      <c r="E1078" s="286" t="s">
        <v>1106</v>
      </c>
      <c r="F1078" s="286" t="s">
        <v>2154</v>
      </c>
      <c r="G1078" s="286" t="s">
        <v>1027</v>
      </c>
      <c r="H1078" s="286" t="s">
        <v>1027</v>
      </c>
      <c r="I1078" s="286" t="s">
        <v>1228</v>
      </c>
      <c r="J1078" s="286" t="s">
        <v>1312</v>
      </c>
      <c r="K1078" s="286" t="s">
        <v>2292</v>
      </c>
      <c r="L1078" s="286" t="s">
        <v>53</v>
      </c>
      <c r="M1078" s="286">
        <v>1</v>
      </c>
      <c r="N1078" s="287">
        <v>3407.5</v>
      </c>
      <c r="O1078" s="294">
        <f t="shared" si="16"/>
        <v>45382</v>
      </c>
      <c r="P1078" s="286" t="s">
        <v>58</v>
      </c>
    </row>
    <row r="1079" spans="1:16" hidden="1" x14ac:dyDescent="0.15">
      <c r="A1079" s="286">
        <v>534207</v>
      </c>
      <c r="B1079" s="288">
        <v>45385.750694444447</v>
      </c>
      <c r="C1079" s="286" t="s">
        <v>2096</v>
      </c>
      <c r="D1079" s="286" t="s">
        <v>1105</v>
      </c>
      <c r="E1079" s="286" t="s">
        <v>1106</v>
      </c>
      <c r="F1079" s="286" t="s">
        <v>2155</v>
      </c>
      <c r="G1079" s="286" t="s">
        <v>1027</v>
      </c>
      <c r="H1079" s="286" t="s">
        <v>1027</v>
      </c>
      <c r="I1079" s="286" t="s">
        <v>1228</v>
      </c>
      <c r="J1079" s="286" t="s">
        <v>1312</v>
      </c>
      <c r="K1079" s="286" t="s">
        <v>2292</v>
      </c>
      <c r="L1079" s="286" t="s">
        <v>53</v>
      </c>
      <c r="M1079" s="286">
        <v>1</v>
      </c>
      <c r="N1079" s="287">
        <v>3407.5</v>
      </c>
      <c r="O1079" s="294">
        <f t="shared" si="16"/>
        <v>45412</v>
      </c>
      <c r="P1079" s="286" t="s">
        <v>58</v>
      </c>
    </row>
    <row r="1080" spans="1:16" hidden="1" x14ac:dyDescent="0.15">
      <c r="A1080" s="286">
        <v>614216</v>
      </c>
      <c r="B1080" s="288">
        <v>45455.716666666667</v>
      </c>
      <c r="C1080" s="286" t="s">
        <v>2116</v>
      </c>
      <c r="D1080" s="286" t="s">
        <v>1105</v>
      </c>
      <c r="E1080" s="286" t="s">
        <v>1106</v>
      </c>
      <c r="F1080" s="286" t="s">
        <v>2156</v>
      </c>
      <c r="G1080" s="286" t="s">
        <v>1027</v>
      </c>
      <c r="H1080" s="286" t="s">
        <v>1027</v>
      </c>
      <c r="I1080" s="286" t="s">
        <v>1228</v>
      </c>
      <c r="J1080" s="286" t="s">
        <v>1312</v>
      </c>
      <c r="K1080" s="286" t="s">
        <v>2292</v>
      </c>
      <c r="L1080" s="286" t="s">
        <v>53</v>
      </c>
      <c r="M1080" s="286">
        <v>1</v>
      </c>
      <c r="N1080" s="287">
        <v>3407.5</v>
      </c>
      <c r="O1080" s="294">
        <f t="shared" si="16"/>
        <v>45473</v>
      </c>
      <c r="P1080" s="286" t="s">
        <v>58</v>
      </c>
    </row>
    <row r="1081" spans="1:16" hidden="1" x14ac:dyDescent="0.15">
      <c r="A1081" s="286">
        <v>608480</v>
      </c>
      <c r="B1081" s="288">
        <v>45450.422222222223</v>
      </c>
      <c r="C1081" s="286" t="s">
        <v>2092</v>
      </c>
      <c r="D1081" s="286" t="s">
        <v>1105</v>
      </c>
      <c r="E1081" s="286" t="s">
        <v>1106</v>
      </c>
      <c r="F1081" s="286" t="s">
        <v>2157</v>
      </c>
      <c r="G1081" s="286" t="s">
        <v>1027</v>
      </c>
      <c r="H1081" s="286" t="s">
        <v>1027</v>
      </c>
      <c r="I1081" s="286" t="s">
        <v>1228</v>
      </c>
      <c r="J1081" s="286" t="s">
        <v>1312</v>
      </c>
      <c r="K1081" s="286" t="s">
        <v>2292</v>
      </c>
      <c r="L1081" s="286" t="s">
        <v>53</v>
      </c>
      <c r="M1081" s="286">
        <v>1</v>
      </c>
      <c r="N1081" s="287">
        <v>3407.5</v>
      </c>
      <c r="O1081" s="294">
        <f t="shared" si="16"/>
        <v>45473</v>
      </c>
      <c r="P1081" s="286" t="s">
        <v>58</v>
      </c>
    </row>
    <row r="1082" spans="1:16" hidden="1" x14ac:dyDescent="0.15">
      <c r="A1082" s="286">
        <v>646075</v>
      </c>
      <c r="B1082" s="288">
        <v>45474.519444444442</v>
      </c>
      <c r="C1082" s="286" t="s">
        <v>2111</v>
      </c>
      <c r="D1082" s="286" t="s">
        <v>1105</v>
      </c>
      <c r="E1082" s="286" t="s">
        <v>1106</v>
      </c>
      <c r="F1082" s="286" t="s">
        <v>2137</v>
      </c>
      <c r="G1082" s="286" t="s">
        <v>1027</v>
      </c>
      <c r="H1082" s="286" t="s">
        <v>1027</v>
      </c>
      <c r="I1082" s="286" t="s">
        <v>1228</v>
      </c>
      <c r="J1082" s="286" t="s">
        <v>1312</v>
      </c>
      <c r="K1082" s="286" t="s">
        <v>2292</v>
      </c>
      <c r="L1082" s="286" t="s">
        <v>53</v>
      </c>
      <c r="M1082" s="286">
        <v>1</v>
      </c>
      <c r="N1082" s="287">
        <v>3407.5</v>
      </c>
      <c r="O1082" s="294">
        <f t="shared" si="16"/>
        <v>45504</v>
      </c>
      <c r="P1082" s="286" t="s">
        <v>58</v>
      </c>
    </row>
    <row r="1083" spans="1:16" hidden="1" x14ac:dyDescent="0.15">
      <c r="A1083" s="286">
        <v>697810</v>
      </c>
      <c r="B1083" s="288">
        <v>45510.366666666669</v>
      </c>
      <c r="C1083" s="286" t="s">
        <v>2102</v>
      </c>
      <c r="D1083" s="286" t="s">
        <v>1105</v>
      </c>
      <c r="E1083" s="286" t="s">
        <v>1106</v>
      </c>
      <c r="F1083" s="286" t="s">
        <v>2138</v>
      </c>
      <c r="G1083" s="286" t="s">
        <v>1027</v>
      </c>
      <c r="H1083" s="286" t="s">
        <v>1027</v>
      </c>
      <c r="I1083" s="286" t="s">
        <v>1228</v>
      </c>
      <c r="J1083" s="286" t="s">
        <v>1312</v>
      </c>
      <c r="K1083" s="286" t="s">
        <v>2292</v>
      </c>
      <c r="L1083" s="286" t="s">
        <v>53</v>
      </c>
      <c r="M1083" s="286">
        <v>1</v>
      </c>
      <c r="N1083" s="287">
        <v>3407.5</v>
      </c>
      <c r="O1083" s="294">
        <f t="shared" si="16"/>
        <v>45535</v>
      </c>
      <c r="P1083" s="286" t="s">
        <v>58</v>
      </c>
    </row>
    <row r="1084" spans="1:16" hidden="1" x14ac:dyDescent="0.15">
      <c r="A1084" s="286">
        <v>745911</v>
      </c>
      <c r="B1084" s="288">
        <v>45538.44027777778</v>
      </c>
      <c r="C1084" s="286" t="s">
        <v>2132</v>
      </c>
      <c r="D1084" s="286" t="s">
        <v>1105</v>
      </c>
      <c r="E1084" s="286" t="s">
        <v>1106</v>
      </c>
      <c r="F1084" s="286" t="s">
        <v>2139</v>
      </c>
      <c r="G1084" s="286" t="s">
        <v>1027</v>
      </c>
      <c r="H1084" s="286" t="s">
        <v>1027</v>
      </c>
      <c r="I1084" s="286" t="s">
        <v>1228</v>
      </c>
      <c r="J1084" s="286" t="s">
        <v>1312</v>
      </c>
      <c r="K1084" s="286" t="s">
        <v>2292</v>
      </c>
      <c r="L1084" s="286" t="s">
        <v>53</v>
      </c>
      <c r="M1084" s="286">
        <v>1</v>
      </c>
      <c r="N1084" s="287">
        <v>3407.5</v>
      </c>
      <c r="O1084" s="294">
        <f t="shared" si="16"/>
        <v>45565</v>
      </c>
      <c r="P1084" s="286" t="s">
        <v>58</v>
      </c>
    </row>
    <row r="1085" spans="1:16" hidden="1" x14ac:dyDescent="0.15">
      <c r="A1085" s="286">
        <v>848817</v>
      </c>
      <c r="B1085" s="288">
        <v>45607.65902777778</v>
      </c>
      <c r="C1085" s="286" t="s">
        <v>2130</v>
      </c>
      <c r="D1085" s="286" t="s">
        <v>1105</v>
      </c>
      <c r="E1085" s="286" t="s">
        <v>1106</v>
      </c>
      <c r="F1085" s="286" t="s">
        <v>2140</v>
      </c>
      <c r="G1085" s="286" t="s">
        <v>1027</v>
      </c>
      <c r="H1085" s="286" t="s">
        <v>1027</v>
      </c>
      <c r="I1085" s="286" t="s">
        <v>1228</v>
      </c>
      <c r="J1085" s="286" t="s">
        <v>1312</v>
      </c>
      <c r="K1085" s="286" t="s">
        <v>2292</v>
      </c>
      <c r="L1085" s="286" t="s">
        <v>53</v>
      </c>
      <c r="M1085" s="286">
        <v>1</v>
      </c>
      <c r="N1085" s="287">
        <v>3407.5</v>
      </c>
      <c r="O1085" s="294">
        <f t="shared" si="16"/>
        <v>45626</v>
      </c>
      <c r="P1085" s="286" t="s">
        <v>58</v>
      </c>
    </row>
    <row r="1086" spans="1:16" hidden="1" x14ac:dyDescent="0.15">
      <c r="A1086" s="286">
        <v>848917</v>
      </c>
      <c r="B1086" s="288">
        <v>45607.660416666666</v>
      </c>
      <c r="C1086" s="286" t="s">
        <v>2100</v>
      </c>
      <c r="D1086" s="286" t="s">
        <v>1105</v>
      </c>
      <c r="E1086" s="286" t="s">
        <v>1106</v>
      </c>
      <c r="F1086" s="286" t="s">
        <v>2141</v>
      </c>
      <c r="G1086" s="286" t="s">
        <v>1027</v>
      </c>
      <c r="H1086" s="286" t="s">
        <v>1027</v>
      </c>
      <c r="I1086" s="286" t="s">
        <v>1228</v>
      </c>
      <c r="J1086" s="286" t="s">
        <v>1312</v>
      </c>
      <c r="K1086" s="286" t="s">
        <v>2292</v>
      </c>
      <c r="L1086" s="286" t="s">
        <v>53</v>
      </c>
      <c r="M1086" s="286">
        <v>1</v>
      </c>
      <c r="N1086" s="287">
        <v>3407.5</v>
      </c>
      <c r="O1086" s="294">
        <f t="shared" si="16"/>
        <v>45626</v>
      </c>
      <c r="P1086" s="286" t="s">
        <v>58</v>
      </c>
    </row>
    <row r="1087" spans="1:16" hidden="1" x14ac:dyDescent="0.15">
      <c r="A1087" s="286">
        <v>874698</v>
      </c>
      <c r="B1087" s="288">
        <v>45628.357638888891</v>
      </c>
      <c r="C1087" s="286" t="s">
        <v>2098</v>
      </c>
      <c r="D1087" s="286" t="s">
        <v>1105</v>
      </c>
      <c r="E1087" s="286" t="s">
        <v>1106</v>
      </c>
      <c r="F1087" s="286" t="s">
        <v>2142</v>
      </c>
      <c r="G1087" s="286" t="s">
        <v>1027</v>
      </c>
      <c r="H1087" s="286" t="s">
        <v>1027</v>
      </c>
      <c r="I1087" s="286" t="s">
        <v>1228</v>
      </c>
      <c r="J1087" s="286" t="s">
        <v>1312</v>
      </c>
      <c r="K1087" s="286" t="s">
        <v>2292</v>
      </c>
      <c r="L1087" s="286" t="s">
        <v>53</v>
      </c>
      <c r="M1087" s="286">
        <v>1</v>
      </c>
      <c r="N1087" s="287">
        <v>3407.47</v>
      </c>
      <c r="O1087" s="294">
        <f t="shared" si="16"/>
        <v>45657</v>
      </c>
      <c r="P1087" s="286" t="s">
        <v>58</v>
      </c>
    </row>
    <row r="1088" spans="1:16" hidden="1" x14ac:dyDescent="0.15">
      <c r="A1088" s="286">
        <v>614316</v>
      </c>
      <c r="B1088" s="288">
        <v>45455.717361111114</v>
      </c>
      <c r="C1088" s="286" t="s">
        <v>2092</v>
      </c>
      <c r="D1088" s="286" t="s">
        <v>1105</v>
      </c>
      <c r="E1088" s="286" t="s">
        <v>1106</v>
      </c>
      <c r="F1088" s="286" t="s">
        <v>2167</v>
      </c>
      <c r="G1088" s="286" t="s">
        <v>1063</v>
      </c>
      <c r="H1088" s="286" t="s">
        <v>1063</v>
      </c>
      <c r="I1088" s="286" t="s">
        <v>1228</v>
      </c>
      <c r="J1088" s="286" t="s">
        <v>1312</v>
      </c>
      <c r="K1088" s="286" t="s">
        <v>2298</v>
      </c>
      <c r="L1088" s="286" t="s">
        <v>672</v>
      </c>
      <c r="M1088" s="286">
        <v>1</v>
      </c>
      <c r="N1088" s="287">
        <v>3406.63</v>
      </c>
      <c r="O1088" s="294">
        <f t="shared" si="16"/>
        <v>45473</v>
      </c>
      <c r="P1088" s="286" t="s">
        <v>58</v>
      </c>
    </row>
    <row r="1089" spans="1:16" hidden="1" x14ac:dyDescent="0.15">
      <c r="A1089" s="286">
        <v>646075</v>
      </c>
      <c r="B1089" s="288">
        <v>45474.519444444442</v>
      </c>
      <c r="C1089" s="286" t="s">
        <v>2111</v>
      </c>
      <c r="D1089" s="286" t="s">
        <v>1105</v>
      </c>
      <c r="E1089" s="286" t="s">
        <v>1106</v>
      </c>
      <c r="F1089" s="286" t="s">
        <v>2137</v>
      </c>
      <c r="G1089" s="286" t="s">
        <v>1063</v>
      </c>
      <c r="H1089" s="286" t="s">
        <v>1063</v>
      </c>
      <c r="I1089" s="286" t="s">
        <v>1228</v>
      </c>
      <c r="J1089" s="286" t="s">
        <v>1312</v>
      </c>
      <c r="K1089" s="286" t="s">
        <v>2298</v>
      </c>
      <c r="L1089" s="286" t="s">
        <v>672</v>
      </c>
      <c r="M1089" s="286">
        <v>1</v>
      </c>
      <c r="N1089" s="287">
        <v>3406.63</v>
      </c>
      <c r="O1089" s="294">
        <f t="shared" si="16"/>
        <v>45504</v>
      </c>
      <c r="P1089" s="286" t="s">
        <v>58</v>
      </c>
    </row>
    <row r="1090" spans="1:16" hidden="1" x14ac:dyDescent="0.15">
      <c r="A1090" s="286">
        <v>697810</v>
      </c>
      <c r="B1090" s="288">
        <v>45510.366666666669</v>
      </c>
      <c r="C1090" s="286" t="s">
        <v>2102</v>
      </c>
      <c r="D1090" s="286" t="s">
        <v>1105</v>
      </c>
      <c r="E1090" s="286" t="s">
        <v>1106</v>
      </c>
      <c r="F1090" s="286" t="s">
        <v>2138</v>
      </c>
      <c r="G1090" s="286" t="s">
        <v>1063</v>
      </c>
      <c r="H1090" s="286" t="s">
        <v>1063</v>
      </c>
      <c r="I1090" s="286" t="s">
        <v>1228</v>
      </c>
      <c r="J1090" s="286" t="s">
        <v>1312</v>
      </c>
      <c r="K1090" s="286" t="s">
        <v>2298</v>
      </c>
      <c r="L1090" s="286" t="s">
        <v>672</v>
      </c>
      <c r="M1090" s="286">
        <v>1</v>
      </c>
      <c r="N1090" s="287">
        <v>3406.63</v>
      </c>
      <c r="O1090" s="294">
        <f t="shared" si="16"/>
        <v>45535</v>
      </c>
      <c r="P1090" s="286" t="s">
        <v>58</v>
      </c>
    </row>
    <row r="1091" spans="1:16" hidden="1" x14ac:dyDescent="0.15">
      <c r="A1091" s="286">
        <v>745911</v>
      </c>
      <c r="B1091" s="288">
        <v>45538.44027777778</v>
      </c>
      <c r="C1091" s="286" t="s">
        <v>2132</v>
      </c>
      <c r="D1091" s="286" t="s">
        <v>1105</v>
      </c>
      <c r="E1091" s="286" t="s">
        <v>1106</v>
      </c>
      <c r="F1091" s="286" t="s">
        <v>2139</v>
      </c>
      <c r="G1091" s="286" t="s">
        <v>1063</v>
      </c>
      <c r="H1091" s="286" t="s">
        <v>1063</v>
      </c>
      <c r="I1091" s="286" t="s">
        <v>1228</v>
      </c>
      <c r="J1091" s="286" t="s">
        <v>1312</v>
      </c>
      <c r="K1091" s="286" t="s">
        <v>2298</v>
      </c>
      <c r="L1091" s="286" t="s">
        <v>672</v>
      </c>
      <c r="M1091" s="286">
        <v>1</v>
      </c>
      <c r="N1091" s="287">
        <v>3406.63</v>
      </c>
      <c r="O1091" s="294">
        <f t="shared" si="16"/>
        <v>45565</v>
      </c>
      <c r="P1091" s="286" t="s">
        <v>58</v>
      </c>
    </row>
    <row r="1092" spans="1:16" hidden="1" x14ac:dyDescent="0.15">
      <c r="A1092" s="286">
        <v>848817</v>
      </c>
      <c r="B1092" s="288">
        <v>45607.65902777778</v>
      </c>
      <c r="C1092" s="286" t="s">
        <v>2130</v>
      </c>
      <c r="D1092" s="286" t="s">
        <v>1105</v>
      </c>
      <c r="E1092" s="286" t="s">
        <v>1106</v>
      </c>
      <c r="F1092" s="286" t="s">
        <v>2140</v>
      </c>
      <c r="G1092" s="286" t="s">
        <v>1063</v>
      </c>
      <c r="H1092" s="286" t="s">
        <v>1063</v>
      </c>
      <c r="I1092" s="286" t="s">
        <v>1228</v>
      </c>
      <c r="J1092" s="286" t="s">
        <v>1312</v>
      </c>
      <c r="K1092" s="286" t="s">
        <v>2298</v>
      </c>
      <c r="L1092" s="286" t="s">
        <v>672</v>
      </c>
      <c r="M1092" s="286">
        <v>1</v>
      </c>
      <c r="N1092" s="287">
        <v>3406.63</v>
      </c>
      <c r="O1092" s="294">
        <f t="shared" ref="O1092:O1155" si="17">EOMONTH(B1092,0)</f>
        <v>45626</v>
      </c>
      <c r="P1092" s="286" t="s">
        <v>58</v>
      </c>
    </row>
    <row r="1093" spans="1:16" hidden="1" x14ac:dyDescent="0.15">
      <c r="A1093" s="286">
        <v>848917</v>
      </c>
      <c r="B1093" s="288">
        <v>45607.660416666666</v>
      </c>
      <c r="C1093" s="286" t="s">
        <v>2100</v>
      </c>
      <c r="D1093" s="286" t="s">
        <v>1105</v>
      </c>
      <c r="E1093" s="286" t="s">
        <v>1106</v>
      </c>
      <c r="F1093" s="286" t="s">
        <v>2141</v>
      </c>
      <c r="G1093" s="286" t="s">
        <v>1063</v>
      </c>
      <c r="H1093" s="286" t="s">
        <v>1063</v>
      </c>
      <c r="I1093" s="286" t="s">
        <v>1228</v>
      </c>
      <c r="J1093" s="286" t="s">
        <v>1312</v>
      </c>
      <c r="K1093" s="286" t="s">
        <v>2298</v>
      </c>
      <c r="L1093" s="286" t="s">
        <v>672</v>
      </c>
      <c r="M1093" s="286">
        <v>1</v>
      </c>
      <c r="N1093" s="287">
        <v>3406.63</v>
      </c>
      <c r="O1093" s="294">
        <f t="shared" si="17"/>
        <v>45626</v>
      </c>
      <c r="P1093" s="286" t="s">
        <v>58</v>
      </c>
    </row>
    <row r="1094" spans="1:16" hidden="1" x14ac:dyDescent="0.15">
      <c r="A1094" s="286">
        <v>874698</v>
      </c>
      <c r="B1094" s="288">
        <v>45628.357638888891</v>
      </c>
      <c r="C1094" s="286" t="s">
        <v>2098</v>
      </c>
      <c r="D1094" s="286" t="s">
        <v>1105</v>
      </c>
      <c r="E1094" s="286" t="s">
        <v>1106</v>
      </c>
      <c r="F1094" s="286" t="s">
        <v>2142</v>
      </c>
      <c r="G1094" s="286" t="s">
        <v>1063</v>
      </c>
      <c r="H1094" s="286" t="s">
        <v>1063</v>
      </c>
      <c r="I1094" s="286" t="s">
        <v>1228</v>
      </c>
      <c r="J1094" s="286" t="s">
        <v>1312</v>
      </c>
      <c r="K1094" s="286" t="s">
        <v>2298</v>
      </c>
      <c r="L1094" s="286" t="s">
        <v>672</v>
      </c>
      <c r="M1094" s="286">
        <v>1</v>
      </c>
      <c r="N1094" s="287">
        <v>3406.63</v>
      </c>
      <c r="O1094" s="294">
        <f t="shared" si="17"/>
        <v>45657</v>
      </c>
      <c r="P1094" s="286" t="s">
        <v>58</v>
      </c>
    </row>
    <row r="1095" spans="1:16" hidden="1" x14ac:dyDescent="0.15">
      <c r="A1095" s="286">
        <v>646075</v>
      </c>
      <c r="B1095" s="288">
        <v>45474.519444444442</v>
      </c>
      <c r="C1095" s="286" t="s">
        <v>2111</v>
      </c>
      <c r="D1095" s="286" t="s">
        <v>1105</v>
      </c>
      <c r="E1095" s="286" t="s">
        <v>1106</v>
      </c>
      <c r="F1095" s="286" t="s">
        <v>2137</v>
      </c>
      <c r="G1095" s="286" t="s">
        <v>1035</v>
      </c>
      <c r="H1095" s="286" t="s">
        <v>1035</v>
      </c>
      <c r="I1095" s="286" t="s">
        <v>1199</v>
      </c>
      <c r="J1095" s="286" t="s">
        <v>1312</v>
      </c>
      <c r="K1095" s="286" t="s">
        <v>1797</v>
      </c>
      <c r="L1095" s="286" t="s">
        <v>672</v>
      </c>
      <c r="M1095" s="286">
        <v>1</v>
      </c>
      <c r="N1095" s="287">
        <v>3392.16</v>
      </c>
      <c r="O1095" s="294">
        <f t="shared" si="17"/>
        <v>45504</v>
      </c>
      <c r="P1095" s="286" t="s">
        <v>58</v>
      </c>
    </row>
    <row r="1096" spans="1:16" hidden="1" x14ac:dyDescent="0.15">
      <c r="A1096" s="286">
        <v>697810</v>
      </c>
      <c r="B1096" s="288">
        <v>45510.366666666669</v>
      </c>
      <c r="C1096" s="286" t="s">
        <v>2102</v>
      </c>
      <c r="D1096" s="286" t="s">
        <v>1105</v>
      </c>
      <c r="E1096" s="286" t="s">
        <v>1106</v>
      </c>
      <c r="F1096" s="286" t="s">
        <v>2138</v>
      </c>
      <c r="G1096" s="286" t="s">
        <v>1841</v>
      </c>
      <c r="H1096" s="286" t="s">
        <v>1841</v>
      </c>
      <c r="I1096" s="286" t="s">
        <v>1228</v>
      </c>
      <c r="J1096" s="286" t="s">
        <v>1312</v>
      </c>
      <c r="K1096" s="286" t="s">
        <v>1805</v>
      </c>
      <c r="L1096" s="286" t="s">
        <v>672</v>
      </c>
      <c r="M1096" s="286">
        <v>1</v>
      </c>
      <c r="N1096" s="287">
        <v>3386.86</v>
      </c>
      <c r="O1096" s="294">
        <f t="shared" si="17"/>
        <v>45535</v>
      </c>
      <c r="P1096" s="286" t="s">
        <v>58</v>
      </c>
    </row>
    <row r="1097" spans="1:16" hidden="1" x14ac:dyDescent="0.15">
      <c r="A1097" s="286">
        <v>504817</v>
      </c>
      <c r="B1097" s="288">
        <v>45359.645138888889</v>
      </c>
      <c r="C1097" s="286" t="s">
        <v>2109</v>
      </c>
      <c r="D1097" s="286" t="s">
        <v>1105</v>
      </c>
      <c r="E1097" s="286" t="s">
        <v>1106</v>
      </c>
      <c r="F1097" s="286" t="s">
        <v>2154</v>
      </c>
      <c r="G1097" s="286" t="s">
        <v>1089</v>
      </c>
      <c r="H1097" s="286" t="s">
        <v>1089</v>
      </c>
      <c r="I1097" s="286" t="s">
        <v>1228</v>
      </c>
      <c r="J1097" s="286" t="s">
        <v>1312</v>
      </c>
      <c r="K1097" s="286" t="s">
        <v>1813</v>
      </c>
      <c r="L1097" s="286" t="s">
        <v>672</v>
      </c>
      <c r="M1097" s="286">
        <v>1</v>
      </c>
      <c r="N1097" s="287">
        <v>3339.39</v>
      </c>
      <c r="O1097" s="294">
        <f t="shared" si="17"/>
        <v>45382</v>
      </c>
      <c r="P1097" s="286" t="s">
        <v>58</v>
      </c>
    </row>
    <row r="1098" spans="1:16" hidden="1" x14ac:dyDescent="0.15">
      <c r="A1098" s="286">
        <v>534207</v>
      </c>
      <c r="B1098" s="288">
        <v>45385.750694444447</v>
      </c>
      <c r="C1098" s="286" t="s">
        <v>2096</v>
      </c>
      <c r="D1098" s="286" t="s">
        <v>1105</v>
      </c>
      <c r="E1098" s="286" t="s">
        <v>1106</v>
      </c>
      <c r="F1098" s="286" t="s">
        <v>2155</v>
      </c>
      <c r="G1098" s="286" t="s">
        <v>1089</v>
      </c>
      <c r="H1098" s="286" t="s">
        <v>1089</v>
      </c>
      <c r="I1098" s="286" t="s">
        <v>1228</v>
      </c>
      <c r="J1098" s="286" t="s">
        <v>1312</v>
      </c>
      <c r="K1098" s="286" t="s">
        <v>1813</v>
      </c>
      <c r="L1098" s="286" t="s">
        <v>672</v>
      </c>
      <c r="M1098" s="286">
        <v>1</v>
      </c>
      <c r="N1098" s="287">
        <v>3339.39</v>
      </c>
      <c r="O1098" s="294">
        <f t="shared" si="17"/>
        <v>45412</v>
      </c>
      <c r="P1098" s="286" t="s">
        <v>58</v>
      </c>
    </row>
    <row r="1099" spans="1:16" hidden="1" x14ac:dyDescent="0.15">
      <c r="A1099" s="286">
        <v>614216</v>
      </c>
      <c r="B1099" s="288">
        <v>45455.716666666667</v>
      </c>
      <c r="C1099" s="286" t="s">
        <v>2116</v>
      </c>
      <c r="D1099" s="286" t="s">
        <v>1105</v>
      </c>
      <c r="E1099" s="286" t="s">
        <v>1106</v>
      </c>
      <c r="F1099" s="286" t="s">
        <v>2156</v>
      </c>
      <c r="G1099" s="286" t="s">
        <v>1089</v>
      </c>
      <c r="H1099" s="286" t="s">
        <v>1089</v>
      </c>
      <c r="I1099" s="286" t="s">
        <v>1228</v>
      </c>
      <c r="J1099" s="286" t="s">
        <v>1312</v>
      </c>
      <c r="K1099" s="286" t="s">
        <v>1813</v>
      </c>
      <c r="L1099" s="286" t="s">
        <v>672</v>
      </c>
      <c r="M1099" s="286">
        <v>1</v>
      </c>
      <c r="N1099" s="287">
        <v>3339.39</v>
      </c>
      <c r="O1099" s="294">
        <f t="shared" si="17"/>
        <v>45473</v>
      </c>
      <c r="P1099" s="286" t="s">
        <v>58</v>
      </c>
    </row>
    <row r="1100" spans="1:16" hidden="1" x14ac:dyDescent="0.15">
      <c r="A1100" s="286">
        <v>614316</v>
      </c>
      <c r="B1100" s="288">
        <v>45455.717361111114</v>
      </c>
      <c r="C1100" s="286" t="s">
        <v>2092</v>
      </c>
      <c r="D1100" s="286" t="s">
        <v>1105</v>
      </c>
      <c r="E1100" s="286" t="s">
        <v>1106</v>
      </c>
      <c r="F1100" s="286" t="s">
        <v>2167</v>
      </c>
      <c r="G1100" s="286" t="s">
        <v>1089</v>
      </c>
      <c r="H1100" s="286" t="s">
        <v>1089</v>
      </c>
      <c r="I1100" s="286" t="s">
        <v>1228</v>
      </c>
      <c r="J1100" s="286" t="s">
        <v>1312</v>
      </c>
      <c r="K1100" s="286" t="s">
        <v>1813</v>
      </c>
      <c r="L1100" s="286" t="s">
        <v>672</v>
      </c>
      <c r="M1100" s="286">
        <v>1</v>
      </c>
      <c r="N1100" s="287">
        <v>3339.39</v>
      </c>
      <c r="O1100" s="294">
        <f t="shared" si="17"/>
        <v>45473</v>
      </c>
      <c r="P1100" s="286" t="s">
        <v>58</v>
      </c>
    </row>
    <row r="1101" spans="1:16" hidden="1" x14ac:dyDescent="0.15">
      <c r="A1101" s="286">
        <v>646075</v>
      </c>
      <c r="B1101" s="288">
        <v>45474.519444444442</v>
      </c>
      <c r="C1101" s="286" t="s">
        <v>2111</v>
      </c>
      <c r="D1101" s="286" t="s">
        <v>1105</v>
      </c>
      <c r="E1101" s="286" t="s">
        <v>1106</v>
      </c>
      <c r="F1101" s="286" t="s">
        <v>2137</v>
      </c>
      <c r="G1101" s="286" t="s">
        <v>1089</v>
      </c>
      <c r="H1101" s="286" t="s">
        <v>1089</v>
      </c>
      <c r="I1101" s="286" t="s">
        <v>1228</v>
      </c>
      <c r="J1101" s="286" t="s">
        <v>1312</v>
      </c>
      <c r="K1101" s="286" t="s">
        <v>1813</v>
      </c>
      <c r="L1101" s="286" t="s">
        <v>672</v>
      </c>
      <c r="M1101" s="286">
        <v>1</v>
      </c>
      <c r="N1101" s="287">
        <v>3339.39</v>
      </c>
      <c r="O1101" s="294">
        <f t="shared" si="17"/>
        <v>45504</v>
      </c>
      <c r="P1101" s="286" t="s">
        <v>58</v>
      </c>
    </row>
    <row r="1102" spans="1:16" hidden="1" x14ac:dyDescent="0.15">
      <c r="A1102" s="286">
        <v>697810</v>
      </c>
      <c r="B1102" s="288">
        <v>45510.366666666669</v>
      </c>
      <c r="C1102" s="286" t="s">
        <v>2102</v>
      </c>
      <c r="D1102" s="286" t="s">
        <v>1105</v>
      </c>
      <c r="E1102" s="286" t="s">
        <v>1106</v>
      </c>
      <c r="F1102" s="286" t="s">
        <v>2138</v>
      </c>
      <c r="G1102" s="286" t="s">
        <v>1089</v>
      </c>
      <c r="H1102" s="286" t="s">
        <v>1089</v>
      </c>
      <c r="I1102" s="286" t="s">
        <v>1228</v>
      </c>
      <c r="J1102" s="286" t="s">
        <v>1312</v>
      </c>
      <c r="K1102" s="286" t="s">
        <v>1813</v>
      </c>
      <c r="L1102" s="286" t="s">
        <v>672</v>
      </c>
      <c r="M1102" s="286">
        <v>1</v>
      </c>
      <c r="N1102" s="287">
        <v>3339.39</v>
      </c>
      <c r="O1102" s="294">
        <f t="shared" si="17"/>
        <v>45535</v>
      </c>
      <c r="P1102" s="286" t="s">
        <v>58</v>
      </c>
    </row>
    <row r="1103" spans="1:16" hidden="1" x14ac:dyDescent="0.15">
      <c r="A1103" s="286">
        <v>745911</v>
      </c>
      <c r="B1103" s="288">
        <v>45538.44027777778</v>
      </c>
      <c r="C1103" s="286" t="s">
        <v>2132</v>
      </c>
      <c r="D1103" s="286" t="s">
        <v>1105</v>
      </c>
      <c r="E1103" s="286" t="s">
        <v>1106</v>
      </c>
      <c r="F1103" s="286" t="s">
        <v>2139</v>
      </c>
      <c r="G1103" s="286" t="s">
        <v>1089</v>
      </c>
      <c r="H1103" s="286" t="s">
        <v>1089</v>
      </c>
      <c r="I1103" s="286" t="s">
        <v>1228</v>
      </c>
      <c r="J1103" s="286" t="s">
        <v>1312</v>
      </c>
      <c r="K1103" s="286" t="s">
        <v>1813</v>
      </c>
      <c r="L1103" s="286" t="s">
        <v>672</v>
      </c>
      <c r="M1103" s="286">
        <v>1</v>
      </c>
      <c r="N1103" s="287">
        <v>3339.39</v>
      </c>
      <c r="O1103" s="294">
        <f t="shared" si="17"/>
        <v>45565</v>
      </c>
      <c r="P1103" s="286" t="s">
        <v>58</v>
      </c>
    </row>
    <row r="1104" spans="1:16" hidden="1" x14ac:dyDescent="0.15">
      <c r="A1104" s="286">
        <v>848817</v>
      </c>
      <c r="B1104" s="288">
        <v>45607.65902777778</v>
      </c>
      <c r="C1104" s="286" t="s">
        <v>2130</v>
      </c>
      <c r="D1104" s="286" t="s">
        <v>1105</v>
      </c>
      <c r="E1104" s="286" t="s">
        <v>1106</v>
      </c>
      <c r="F1104" s="286" t="s">
        <v>2140</v>
      </c>
      <c r="G1104" s="286" t="s">
        <v>1089</v>
      </c>
      <c r="H1104" s="286" t="s">
        <v>1089</v>
      </c>
      <c r="I1104" s="286" t="s">
        <v>1228</v>
      </c>
      <c r="J1104" s="286" t="s">
        <v>1312</v>
      </c>
      <c r="K1104" s="286" t="s">
        <v>1813</v>
      </c>
      <c r="L1104" s="286" t="s">
        <v>672</v>
      </c>
      <c r="M1104" s="286">
        <v>1</v>
      </c>
      <c r="N1104" s="287">
        <v>3339.39</v>
      </c>
      <c r="O1104" s="294">
        <f t="shared" si="17"/>
        <v>45626</v>
      </c>
      <c r="P1104" s="286" t="s">
        <v>58</v>
      </c>
    </row>
    <row r="1105" spans="1:16" hidden="1" x14ac:dyDescent="0.15">
      <c r="A1105" s="286">
        <v>848917</v>
      </c>
      <c r="B1105" s="288">
        <v>45607.660416666666</v>
      </c>
      <c r="C1105" s="286" t="s">
        <v>2100</v>
      </c>
      <c r="D1105" s="286" t="s">
        <v>1105</v>
      </c>
      <c r="E1105" s="286" t="s">
        <v>1106</v>
      </c>
      <c r="F1105" s="286" t="s">
        <v>2141</v>
      </c>
      <c r="G1105" s="286" t="s">
        <v>1089</v>
      </c>
      <c r="H1105" s="286" t="s">
        <v>1089</v>
      </c>
      <c r="I1105" s="286" t="s">
        <v>1228</v>
      </c>
      <c r="J1105" s="286" t="s">
        <v>1312</v>
      </c>
      <c r="K1105" s="286" t="s">
        <v>1813</v>
      </c>
      <c r="L1105" s="286" t="s">
        <v>672</v>
      </c>
      <c r="M1105" s="286">
        <v>1</v>
      </c>
      <c r="N1105" s="287">
        <v>3339.39</v>
      </c>
      <c r="O1105" s="294">
        <f t="shared" si="17"/>
        <v>45626</v>
      </c>
      <c r="P1105" s="286" t="s">
        <v>58</v>
      </c>
    </row>
    <row r="1106" spans="1:16" hidden="1" x14ac:dyDescent="0.15">
      <c r="A1106" s="286">
        <v>874698</v>
      </c>
      <c r="B1106" s="288">
        <v>45628.357638888891</v>
      </c>
      <c r="C1106" s="286" t="s">
        <v>2098</v>
      </c>
      <c r="D1106" s="286" t="s">
        <v>1105</v>
      </c>
      <c r="E1106" s="286" t="s">
        <v>1106</v>
      </c>
      <c r="F1106" s="286" t="s">
        <v>2142</v>
      </c>
      <c r="G1106" s="286" t="s">
        <v>1089</v>
      </c>
      <c r="H1106" s="286" t="s">
        <v>1089</v>
      </c>
      <c r="I1106" s="286" t="s">
        <v>1228</v>
      </c>
      <c r="J1106" s="286" t="s">
        <v>1312</v>
      </c>
      <c r="K1106" s="286" t="s">
        <v>1813</v>
      </c>
      <c r="L1106" s="286" t="s">
        <v>672</v>
      </c>
      <c r="M1106" s="286">
        <v>1</v>
      </c>
      <c r="N1106" s="287">
        <v>3339.39</v>
      </c>
      <c r="O1106" s="294">
        <f t="shared" si="17"/>
        <v>45657</v>
      </c>
      <c r="P1106" s="286" t="s">
        <v>58</v>
      </c>
    </row>
    <row r="1107" spans="1:16" hidden="1" x14ac:dyDescent="0.15">
      <c r="A1107" s="286">
        <v>438112</v>
      </c>
      <c r="B1107" s="288">
        <v>45293.53402777778</v>
      </c>
      <c r="C1107" s="286" t="s">
        <v>2125</v>
      </c>
      <c r="D1107" s="286" t="s">
        <v>1105</v>
      </c>
      <c r="E1107" s="286" t="s">
        <v>1106</v>
      </c>
      <c r="F1107" s="286" t="s">
        <v>2152</v>
      </c>
      <c r="G1107" s="286" t="s">
        <v>1040</v>
      </c>
      <c r="H1107" s="286" t="s">
        <v>1040</v>
      </c>
      <c r="I1107" s="286" t="s">
        <v>1228</v>
      </c>
      <c r="J1107" s="286" t="s">
        <v>53</v>
      </c>
      <c r="K1107" s="286" t="s">
        <v>53</v>
      </c>
      <c r="L1107" s="286" t="s">
        <v>53</v>
      </c>
      <c r="M1107" s="286" t="s">
        <v>53</v>
      </c>
      <c r="N1107" s="287">
        <v>3312.18</v>
      </c>
      <c r="O1107" s="294">
        <f t="shared" si="17"/>
        <v>45322</v>
      </c>
      <c r="P1107" s="286" t="s">
        <v>58</v>
      </c>
    </row>
    <row r="1108" spans="1:16" hidden="1" x14ac:dyDescent="0.15">
      <c r="A1108" s="286">
        <v>472168</v>
      </c>
      <c r="B1108" s="288">
        <v>45331.416666666664</v>
      </c>
      <c r="C1108" s="286" t="s">
        <v>2113</v>
      </c>
      <c r="D1108" s="286" t="s">
        <v>1105</v>
      </c>
      <c r="E1108" s="286" t="s">
        <v>1106</v>
      </c>
      <c r="F1108" s="286" t="s">
        <v>2153</v>
      </c>
      <c r="G1108" s="286" t="s">
        <v>1040</v>
      </c>
      <c r="H1108" s="286" t="s">
        <v>1040</v>
      </c>
      <c r="I1108" s="286" t="s">
        <v>1228</v>
      </c>
      <c r="J1108" s="286" t="s">
        <v>53</v>
      </c>
      <c r="K1108" s="286" t="s">
        <v>53</v>
      </c>
      <c r="L1108" s="286" t="s">
        <v>53</v>
      </c>
      <c r="M1108" s="286" t="s">
        <v>53</v>
      </c>
      <c r="N1108" s="287">
        <v>3312.18</v>
      </c>
      <c r="O1108" s="294">
        <f t="shared" si="17"/>
        <v>45351</v>
      </c>
      <c r="P1108" s="286" t="s">
        <v>58</v>
      </c>
    </row>
    <row r="1109" spans="1:16" hidden="1" x14ac:dyDescent="0.15">
      <c r="A1109" s="286">
        <v>504817</v>
      </c>
      <c r="B1109" s="288">
        <v>45359.645138888889</v>
      </c>
      <c r="C1109" s="286" t="s">
        <v>2109</v>
      </c>
      <c r="D1109" s="286" t="s">
        <v>1105</v>
      </c>
      <c r="E1109" s="286" t="s">
        <v>1106</v>
      </c>
      <c r="F1109" s="286" t="s">
        <v>2154</v>
      </c>
      <c r="G1109" s="286" t="s">
        <v>1040</v>
      </c>
      <c r="H1109" s="286" t="s">
        <v>1040</v>
      </c>
      <c r="I1109" s="286" t="s">
        <v>1228</v>
      </c>
      <c r="J1109" s="286" t="s">
        <v>53</v>
      </c>
      <c r="K1109" s="286" t="s">
        <v>53</v>
      </c>
      <c r="L1109" s="286" t="s">
        <v>53</v>
      </c>
      <c r="M1109" s="286" t="s">
        <v>53</v>
      </c>
      <c r="N1109" s="287">
        <v>3312.18</v>
      </c>
      <c r="O1109" s="294">
        <f t="shared" si="17"/>
        <v>45382</v>
      </c>
      <c r="P1109" s="286" t="s">
        <v>58</v>
      </c>
    </row>
    <row r="1110" spans="1:16" hidden="1" x14ac:dyDescent="0.15">
      <c r="A1110" s="286">
        <v>534207</v>
      </c>
      <c r="B1110" s="288">
        <v>45385.750694444447</v>
      </c>
      <c r="C1110" s="286" t="s">
        <v>2096</v>
      </c>
      <c r="D1110" s="286" t="s">
        <v>1105</v>
      </c>
      <c r="E1110" s="286" t="s">
        <v>1106</v>
      </c>
      <c r="F1110" s="286" t="s">
        <v>2155</v>
      </c>
      <c r="G1110" s="286" t="s">
        <v>1040</v>
      </c>
      <c r="H1110" s="286" t="s">
        <v>1040</v>
      </c>
      <c r="I1110" s="286" t="s">
        <v>1228</v>
      </c>
      <c r="J1110" s="286" t="s">
        <v>53</v>
      </c>
      <c r="K1110" s="286" t="s">
        <v>53</v>
      </c>
      <c r="L1110" s="286" t="s">
        <v>53</v>
      </c>
      <c r="M1110" s="286" t="s">
        <v>53</v>
      </c>
      <c r="N1110" s="287">
        <v>3312.18</v>
      </c>
      <c r="O1110" s="294">
        <f t="shared" si="17"/>
        <v>45412</v>
      </c>
      <c r="P1110" s="286" t="s">
        <v>58</v>
      </c>
    </row>
    <row r="1111" spans="1:16" hidden="1" x14ac:dyDescent="0.15">
      <c r="A1111" s="286">
        <v>438112</v>
      </c>
      <c r="B1111" s="288">
        <v>45293.53402777778</v>
      </c>
      <c r="C1111" s="286" t="s">
        <v>2125</v>
      </c>
      <c r="D1111" s="286" t="s">
        <v>1105</v>
      </c>
      <c r="E1111" s="286" t="s">
        <v>1106</v>
      </c>
      <c r="F1111" s="286" t="s">
        <v>2152</v>
      </c>
      <c r="G1111" s="286" t="s">
        <v>1027</v>
      </c>
      <c r="H1111" s="286" t="s">
        <v>1027</v>
      </c>
      <c r="I1111" s="286" t="s">
        <v>1228</v>
      </c>
      <c r="J1111" s="286" t="s">
        <v>53</v>
      </c>
      <c r="K1111" s="286" t="s">
        <v>53</v>
      </c>
      <c r="L1111" s="286" t="s">
        <v>53</v>
      </c>
      <c r="M1111" s="286" t="s">
        <v>53</v>
      </c>
      <c r="N1111" s="287">
        <v>3294.54</v>
      </c>
      <c r="O1111" s="294">
        <f t="shared" si="17"/>
        <v>45322</v>
      </c>
      <c r="P1111" s="286" t="s">
        <v>58</v>
      </c>
    </row>
    <row r="1112" spans="1:16" hidden="1" x14ac:dyDescent="0.15">
      <c r="A1112" s="286">
        <v>848817</v>
      </c>
      <c r="B1112" s="288">
        <v>45607.65902777778</v>
      </c>
      <c r="C1112" s="286" t="s">
        <v>2130</v>
      </c>
      <c r="D1112" s="286" t="s">
        <v>1105</v>
      </c>
      <c r="E1112" s="286" t="s">
        <v>1106</v>
      </c>
      <c r="F1112" s="286" t="s">
        <v>2140</v>
      </c>
      <c r="G1112" s="286" t="s">
        <v>2318</v>
      </c>
      <c r="H1112" s="286" t="s">
        <v>2318</v>
      </c>
      <c r="I1112" s="286" t="s">
        <v>1129</v>
      </c>
      <c r="J1112" s="286" t="s">
        <v>1312</v>
      </c>
      <c r="K1112" s="286" t="s">
        <v>2319</v>
      </c>
      <c r="L1112" s="286" t="s">
        <v>2320</v>
      </c>
      <c r="M1112" s="286">
        <v>300</v>
      </c>
      <c r="N1112" s="287">
        <v>3294</v>
      </c>
      <c r="O1112" s="294">
        <f t="shared" si="17"/>
        <v>45626</v>
      </c>
      <c r="P1112" s="286" t="s">
        <v>164</v>
      </c>
    </row>
    <row r="1113" spans="1:16" hidden="1" x14ac:dyDescent="0.15">
      <c r="A1113" s="286">
        <v>438112</v>
      </c>
      <c r="B1113" s="288">
        <v>45293.53402777778</v>
      </c>
      <c r="C1113" s="286" t="s">
        <v>2125</v>
      </c>
      <c r="D1113" s="286" t="s">
        <v>1105</v>
      </c>
      <c r="E1113" s="286" t="s">
        <v>1106</v>
      </c>
      <c r="F1113" s="286" t="s">
        <v>2152</v>
      </c>
      <c r="G1113" s="286" t="s">
        <v>1011</v>
      </c>
      <c r="H1113" s="286" t="s">
        <v>1011</v>
      </c>
      <c r="I1113" s="286" t="s">
        <v>1152</v>
      </c>
      <c r="J1113" s="286" t="s">
        <v>53</v>
      </c>
      <c r="K1113" s="286" t="s">
        <v>53</v>
      </c>
      <c r="L1113" s="286" t="s">
        <v>53</v>
      </c>
      <c r="M1113" s="286" t="s">
        <v>53</v>
      </c>
      <c r="N1113" s="287">
        <v>3255.73</v>
      </c>
      <c r="O1113" s="294">
        <f t="shared" si="17"/>
        <v>45322</v>
      </c>
      <c r="P1113" s="286" t="s">
        <v>58</v>
      </c>
    </row>
    <row r="1114" spans="1:16" hidden="1" x14ac:dyDescent="0.15">
      <c r="A1114" s="286">
        <v>472168</v>
      </c>
      <c r="B1114" s="288">
        <v>45331.416666666664</v>
      </c>
      <c r="C1114" s="286" t="s">
        <v>2113</v>
      </c>
      <c r="D1114" s="286" t="s">
        <v>1105</v>
      </c>
      <c r="E1114" s="286" t="s">
        <v>1106</v>
      </c>
      <c r="F1114" s="286" t="s">
        <v>2153</v>
      </c>
      <c r="G1114" s="286" t="s">
        <v>1011</v>
      </c>
      <c r="H1114" s="286" t="s">
        <v>1011</v>
      </c>
      <c r="I1114" s="286" t="s">
        <v>1152</v>
      </c>
      <c r="J1114" s="286" t="s">
        <v>53</v>
      </c>
      <c r="K1114" s="286" t="s">
        <v>53</v>
      </c>
      <c r="L1114" s="286" t="s">
        <v>53</v>
      </c>
      <c r="M1114" s="286" t="s">
        <v>53</v>
      </c>
      <c r="N1114" s="287">
        <v>3255.73</v>
      </c>
      <c r="O1114" s="294">
        <f t="shared" si="17"/>
        <v>45351</v>
      </c>
      <c r="P1114" s="286" t="s">
        <v>58</v>
      </c>
    </row>
    <row r="1115" spans="1:16" hidden="1" x14ac:dyDescent="0.15">
      <c r="A1115" s="286">
        <v>504817</v>
      </c>
      <c r="B1115" s="288">
        <v>45359.645138888889</v>
      </c>
      <c r="C1115" s="286" t="s">
        <v>2109</v>
      </c>
      <c r="D1115" s="286" t="s">
        <v>1105</v>
      </c>
      <c r="E1115" s="286" t="s">
        <v>1106</v>
      </c>
      <c r="F1115" s="286" t="s">
        <v>2154</v>
      </c>
      <c r="G1115" s="286" t="s">
        <v>1011</v>
      </c>
      <c r="H1115" s="286" t="s">
        <v>1011</v>
      </c>
      <c r="I1115" s="286" t="s">
        <v>1152</v>
      </c>
      <c r="J1115" s="286" t="s">
        <v>53</v>
      </c>
      <c r="K1115" s="286" t="s">
        <v>53</v>
      </c>
      <c r="L1115" s="286" t="s">
        <v>53</v>
      </c>
      <c r="M1115" s="286" t="s">
        <v>53</v>
      </c>
      <c r="N1115" s="287">
        <v>3255.73</v>
      </c>
      <c r="O1115" s="294">
        <f t="shared" si="17"/>
        <v>45382</v>
      </c>
      <c r="P1115" s="286" t="s">
        <v>58</v>
      </c>
    </row>
    <row r="1116" spans="1:16" hidden="1" x14ac:dyDescent="0.15">
      <c r="A1116" s="286">
        <v>764381</v>
      </c>
      <c r="B1116" s="288">
        <v>45546.6875</v>
      </c>
      <c r="C1116" s="286" t="s">
        <v>2132</v>
      </c>
      <c r="D1116" s="286" t="s">
        <v>1105</v>
      </c>
      <c r="E1116" s="286" t="s">
        <v>1106</v>
      </c>
      <c r="F1116" s="286" t="s">
        <v>2321</v>
      </c>
      <c r="G1116" s="286" t="s">
        <v>1041</v>
      </c>
      <c r="H1116" s="286" t="s">
        <v>1041</v>
      </c>
      <c r="I1116" s="286" t="s">
        <v>1129</v>
      </c>
      <c r="J1116" s="286" t="s">
        <v>1312</v>
      </c>
      <c r="K1116" s="286" t="s">
        <v>2322</v>
      </c>
      <c r="L1116" s="286" t="s">
        <v>2323</v>
      </c>
      <c r="M1116" s="286">
        <v>1</v>
      </c>
      <c r="N1116" s="287">
        <v>3243.85</v>
      </c>
      <c r="O1116" s="294">
        <f t="shared" si="17"/>
        <v>45565</v>
      </c>
      <c r="P1116" s="286" t="s">
        <v>164</v>
      </c>
    </row>
    <row r="1117" spans="1:16" hidden="1" x14ac:dyDescent="0.15">
      <c r="A1117" s="286">
        <v>438112</v>
      </c>
      <c r="B1117" s="288">
        <v>45293.53402777778</v>
      </c>
      <c r="C1117" s="286" t="s">
        <v>2125</v>
      </c>
      <c r="D1117" s="286" t="s">
        <v>1105</v>
      </c>
      <c r="E1117" s="286" t="s">
        <v>1106</v>
      </c>
      <c r="F1117" s="286" t="s">
        <v>2152</v>
      </c>
      <c r="G1117" s="286" t="s">
        <v>1084</v>
      </c>
      <c r="H1117" s="286" t="s">
        <v>1442</v>
      </c>
      <c r="I1117" s="286" t="s">
        <v>1228</v>
      </c>
      <c r="J1117" s="286" t="s">
        <v>53</v>
      </c>
      <c r="K1117" s="286" t="s">
        <v>53</v>
      </c>
      <c r="L1117" s="286" t="s">
        <v>53</v>
      </c>
      <c r="M1117" s="286" t="s">
        <v>53</v>
      </c>
      <c r="N1117" s="287">
        <v>3178.48</v>
      </c>
      <c r="O1117" s="294">
        <f t="shared" si="17"/>
        <v>45322</v>
      </c>
      <c r="P1117" s="286" t="s">
        <v>58</v>
      </c>
    </row>
    <row r="1118" spans="1:16" hidden="1" x14ac:dyDescent="0.15">
      <c r="A1118" s="286">
        <v>472168</v>
      </c>
      <c r="B1118" s="288">
        <v>45331.416666666664</v>
      </c>
      <c r="C1118" s="286" t="s">
        <v>2113</v>
      </c>
      <c r="D1118" s="286" t="s">
        <v>1105</v>
      </c>
      <c r="E1118" s="286" t="s">
        <v>1106</v>
      </c>
      <c r="F1118" s="286" t="s">
        <v>2153</v>
      </c>
      <c r="G1118" s="286" t="s">
        <v>1084</v>
      </c>
      <c r="H1118" s="286" t="s">
        <v>1442</v>
      </c>
      <c r="I1118" s="286" t="s">
        <v>1228</v>
      </c>
      <c r="J1118" s="286" t="s">
        <v>53</v>
      </c>
      <c r="K1118" s="286" t="s">
        <v>53</v>
      </c>
      <c r="L1118" s="286" t="s">
        <v>53</v>
      </c>
      <c r="M1118" s="286" t="s">
        <v>53</v>
      </c>
      <c r="N1118" s="287">
        <v>3178.48</v>
      </c>
      <c r="O1118" s="294">
        <f t="shared" si="17"/>
        <v>45351</v>
      </c>
      <c r="P1118" s="286" t="s">
        <v>58</v>
      </c>
    </row>
    <row r="1119" spans="1:16" hidden="1" x14ac:dyDescent="0.15">
      <c r="A1119" s="286">
        <v>504817</v>
      </c>
      <c r="B1119" s="288">
        <v>45359.645138888889</v>
      </c>
      <c r="C1119" s="286" t="s">
        <v>2109</v>
      </c>
      <c r="D1119" s="286" t="s">
        <v>1105</v>
      </c>
      <c r="E1119" s="286" t="s">
        <v>1106</v>
      </c>
      <c r="F1119" s="286" t="s">
        <v>2154</v>
      </c>
      <c r="G1119" s="286" t="s">
        <v>1084</v>
      </c>
      <c r="H1119" s="286" t="s">
        <v>1442</v>
      </c>
      <c r="I1119" s="286" t="s">
        <v>1228</v>
      </c>
      <c r="J1119" s="286" t="s">
        <v>53</v>
      </c>
      <c r="K1119" s="286" t="s">
        <v>53</v>
      </c>
      <c r="L1119" s="286" t="s">
        <v>53</v>
      </c>
      <c r="M1119" s="286" t="s">
        <v>53</v>
      </c>
      <c r="N1119" s="287">
        <v>3178.48</v>
      </c>
      <c r="O1119" s="294">
        <f t="shared" si="17"/>
        <v>45382</v>
      </c>
      <c r="P1119" s="286" t="s">
        <v>58</v>
      </c>
    </row>
    <row r="1120" spans="1:16" hidden="1" x14ac:dyDescent="0.15">
      <c r="A1120" s="286">
        <v>534207</v>
      </c>
      <c r="B1120" s="288">
        <v>45385.750694444447</v>
      </c>
      <c r="C1120" s="286" t="s">
        <v>2096</v>
      </c>
      <c r="D1120" s="286" t="s">
        <v>1105</v>
      </c>
      <c r="E1120" s="286" t="s">
        <v>1106</v>
      </c>
      <c r="F1120" s="286" t="s">
        <v>2155</v>
      </c>
      <c r="G1120" s="286" t="s">
        <v>1084</v>
      </c>
      <c r="H1120" s="286" t="s">
        <v>1442</v>
      </c>
      <c r="I1120" s="286" t="s">
        <v>1228</v>
      </c>
      <c r="J1120" s="286" t="s">
        <v>53</v>
      </c>
      <c r="K1120" s="286" t="s">
        <v>53</v>
      </c>
      <c r="L1120" s="286" t="s">
        <v>53</v>
      </c>
      <c r="M1120" s="286" t="s">
        <v>53</v>
      </c>
      <c r="N1120" s="287">
        <v>3178.48</v>
      </c>
      <c r="O1120" s="294">
        <f t="shared" si="17"/>
        <v>45412</v>
      </c>
      <c r="P1120" s="286" t="s">
        <v>58</v>
      </c>
    </row>
    <row r="1121" spans="1:16" hidden="1" x14ac:dyDescent="0.15">
      <c r="A1121" s="286">
        <v>614216</v>
      </c>
      <c r="B1121" s="288">
        <v>45455.716666666667</v>
      </c>
      <c r="C1121" s="286" t="s">
        <v>2116</v>
      </c>
      <c r="D1121" s="286" t="s">
        <v>1105</v>
      </c>
      <c r="E1121" s="286" t="s">
        <v>1106</v>
      </c>
      <c r="F1121" s="286" t="s">
        <v>2156</v>
      </c>
      <c r="G1121" s="286" t="s">
        <v>1084</v>
      </c>
      <c r="H1121" s="286" t="s">
        <v>1442</v>
      </c>
      <c r="I1121" s="286" t="s">
        <v>1228</v>
      </c>
      <c r="J1121" s="286" t="s">
        <v>53</v>
      </c>
      <c r="K1121" s="286" t="s">
        <v>53</v>
      </c>
      <c r="L1121" s="286" t="s">
        <v>53</v>
      </c>
      <c r="M1121" s="286" t="s">
        <v>53</v>
      </c>
      <c r="N1121" s="287">
        <v>3178.48</v>
      </c>
      <c r="O1121" s="294">
        <f t="shared" si="17"/>
        <v>45473</v>
      </c>
      <c r="P1121" s="286" t="s">
        <v>58</v>
      </c>
    </row>
    <row r="1122" spans="1:16" hidden="1" x14ac:dyDescent="0.15">
      <c r="A1122" s="286">
        <v>438112</v>
      </c>
      <c r="B1122" s="288">
        <v>45293.53402777778</v>
      </c>
      <c r="C1122" s="286" t="s">
        <v>2125</v>
      </c>
      <c r="D1122" s="286" t="s">
        <v>1105</v>
      </c>
      <c r="E1122" s="286" t="s">
        <v>1106</v>
      </c>
      <c r="F1122" s="286" t="s">
        <v>2152</v>
      </c>
      <c r="G1122" s="286" t="s">
        <v>1036</v>
      </c>
      <c r="H1122" s="286" t="s">
        <v>1036</v>
      </c>
      <c r="I1122" s="286" t="s">
        <v>1152</v>
      </c>
      <c r="J1122" s="286" t="s">
        <v>1312</v>
      </c>
      <c r="K1122" s="286" t="s">
        <v>1839</v>
      </c>
      <c r="L1122" s="286" t="s">
        <v>672</v>
      </c>
      <c r="M1122" s="286">
        <v>1</v>
      </c>
      <c r="N1122" s="287">
        <v>3169.69</v>
      </c>
      <c r="O1122" s="294">
        <f t="shared" si="17"/>
        <v>45322</v>
      </c>
      <c r="P1122" s="286" t="s">
        <v>58</v>
      </c>
    </row>
    <row r="1123" spans="1:16" hidden="1" x14ac:dyDescent="0.15">
      <c r="A1123" s="286">
        <v>472168</v>
      </c>
      <c r="B1123" s="288">
        <v>45331.416666666664</v>
      </c>
      <c r="C1123" s="286" t="s">
        <v>2113</v>
      </c>
      <c r="D1123" s="286" t="s">
        <v>1105</v>
      </c>
      <c r="E1123" s="286" t="s">
        <v>1106</v>
      </c>
      <c r="F1123" s="286" t="s">
        <v>2153</v>
      </c>
      <c r="G1123" s="286" t="s">
        <v>1036</v>
      </c>
      <c r="H1123" s="286" t="s">
        <v>1036</v>
      </c>
      <c r="I1123" s="286" t="s">
        <v>1152</v>
      </c>
      <c r="J1123" s="286" t="s">
        <v>1312</v>
      </c>
      <c r="K1123" s="286" t="s">
        <v>1839</v>
      </c>
      <c r="L1123" s="286" t="s">
        <v>672</v>
      </c>
      <c r="M1123" s="286">
        <v>1</v>
      </c>
      <c r="N1123" s="287">
        <v>3169.69</v>
      </c>
      <c r="O1123" s="294">
        <f t="shared" si="17"/>
        <v>45351</v>
      </c>
      <c r="P1123" s="286" t="s">
        <v>58</v>
      </c>
    </row>
    <row r="1124" spans="1:16" hidden="1" x14ac:dyDescent="0.15">
      <c r="A1124" s="286">
        <v>504817</v>
      </c>
      <c r="B1124" s="288">
        <v>45359.645138888889</v>
      </c>
      <c r="C1124" s="286" t="s">
        <v>2109</v>
      </c>
      <c r="D1124" s="286" t="s">
        <v>1105</v>
      </c>
      <c r="E1124" s="286" t="s">
        <v>1106</v>
      </c>
      <c r="F1124" s="286" t="s">
        <v>2154</v>
      </c>
      <c r="G1124" s="286" t="s">
        <v>1036</v>
      </c>
      <c r="H1124" s="286" t="s">
        <v>1036</v>
      </c>
      <c r="I1124" s="286" t="s">
        <v>1152</v>
      </c>
      <c r="J1124" s="286" t="s">
        <v>1312</v>
      </c>
      <c r="K1124" s="286" t="s">
        <v>1839</v>
      </c>
      <c r="L1124" s="286" t="s">
        <v>672</v>
      </c>
      <c r="M1124" s="286">
        <v>1</v>
      </c>
      <c r="N1124" s="287">
        <v>3169.69</v>
      </c>
      <c r="O1124" s="294">
        <f t="shared" si="17"/>
        <v>45382</v>
      </c>
      <c r="P1124" s="286" t="s">
        <v>58</v>
      </c>
    </row>
    <row r="1125" spans="1:16" hidden="1" x14ac:dyDescent="0.15">
      <c r="A1125" s="286">
        <v>534207</v>
      </c>
      <c r="B1125" s="288">
        <v>45385.750694444447</v>
      </c>
      <c r="C1125" s="286" t="s">
        <v>2096</v>
      </c>
      <c r="D1125" s="286" t="s">
        <v>1105</v>
      </c>
      <c r="E1125" s="286" t="s">
        <v>1106</v>
      </c>
      <c r="F1125" s="286" t="s">
        <v>2155</v>
      </c>
      <c r="G1125" s="286" t="s">
        <v>1036</v>
      </c>
      <c r="H1125" s="286" t="s">
        <v>1036</v>
      </c>
      <c r="I1125" s="286" t="s">
        <v>1152</v>
      </c>
      <c r="J1125" s="286" t="s">
        <v>1312</v>
      </c>
      <c r="K1125" s="286" t="s">
        <v>1839</v>
      </c>
      <c r="L1125" s="286" t="s">
        <v>672</v>
      </c>
      <c r="M1125" s="286">
        <v>1</v>
      </c>
      <c r="N1125" s="287">
        <v>3169.69</v>
      </c>
      <c r="O1125" s="294">
        <f t="shared" si="17"/>
        <v>45412</v>
      </c>
      <c r="P1125" s="286" t="s">
        <v>58</v>
      </c>
    </row>
    <row r="1126" spans="1:16" hidden="1" x14ac:dyDescent="0.15">
      <c r="A1126" s="286">
        <v>614216</v>
      </c>
      <c r="B1126" s="288">
        <v>45455.716666666667</v>
      </c>
      <c r="C1126" s="286" t="s">
        <v>2116</v>
      </c>
      <c r="D1126" s="286" t="s">
        <v>1105</v>
      </c>
      <c r="E1126" s="286" t="s">
        <v>1106</v>
      </c>
      <c r="F1126" s="286" t="s">
        <v>2156</v>
      </c>
      <c r="G1126" s="286" t="s">
        <v>1036</v>
      </c>
      <c r="H1126" s="286" t="s">
        <v>1036</v>
      </c>
      <c r="I1126" s="286" t="s">
        <v>1152</v>
      </c>
      <c r="J1126" s="286" t="s">
        <v>1312</v>
      </c>
      <c r="K1126" s="286" t="s">
        <v>1839</v>
      </c>
      <c r="L1126" s="286" t="s">
        <v>672</v>
      </c>
      <c r="M1126" s="286">
        <v>1</v>
      </c>
      <c r="N1126" s="287">
        <v>3169.69</v>
      </c>
      <c r="O1126" s="294">
        <f t="shared" si="17"/>
        <v>45473</v>
      </c>
      <c r="P1126" s="286" t="s">
        <v>58</v>
      </c>
    </row>
    <row r="1127" spans="1:16" hidden="1" x14ac:dyDescent="0.15">
      <c r="A1127" s="286">
        <v>614316</v>
      </c>
      <c r="B1127" s="288">
        <v>45455.717361111114</v>
      </c>
      <c r="C1127" s="286" t="s">
        <v>2092</v>
      </c>
      <c r="D1127" s="286" t="s">
        <v>1105</v>
      </c>
      <c r="E1127" s="286" t="s">
        <v>1106</v>
      </c>
      <c r="F1127" s="286" t="s">
        <v>2167</v>
      </c>
      <c r="G1127" s="286" t="s">
        <v>1036</v>
      </c>
      <c r="H1127" s="286" t="s">
        <v>1036</v>
      </c>
      <c r="I1127" s="286" t="s">
        <v>1152</v>
      </c>
      <c r="J1127" s="286" t="s">
        <v>1312</v>
      </c>
      <c r="K1127" s="286" t="s">
        <v>1839</v>
      </c>
      <c r="L1127" s="286" t="s">
        <v>672</v>
      </c>
      <c r="M1127" s="286">
        <v>1</v>
      </c>
      <c r="N1127" s="287">
        <v>3169.69</v>
      </c>
      <c r="O1127" s="294">
        <f t="shared" si="17"/>
        <v>45473</v>
      </c>
      <c r="P1127" s="286" t="s">
        <v>58</v>
      </c>
    </row>
    <row r="1128" spans="1:16" hidden="1" x14ac:dyDescent="0.15">
      <c r="A1128" s="286">
        <v>646075</v>
      </c>
      <c r="B1128" s="288">
        <v>45474.519444444442</v>
      </c>
      <c r="C1128" s="286" t="s">
        <v>2111</v>
      </c>
      <c r="D1128" s="286" t="s">
        <v>1105</v>
      </c>
      <c r="E1128" s="286" t="s">
        <v>1106</v>
      </c>
      <c r="F1128" s="286" t="s">
        <v>2137</v>
      </c>
      <c r="G1128" s="286" t="s">
        <v>1036</v>
      </c>
      <c r="H1128" s="286" t="s">
        <v>1036</v>
      </c>
      <c r="I1128" s="286" t="s">
        <v>1152</v>
      </c>
      <c r="J1128" s="286" t="s">
        <v>1312</v>
      </c>
      <c r="K1128" s="286" t="s">
        <v>1839</v>
      </c>
      <c r="L1128" s="286" t="s">
        <v>672</v>
      </c>
      <c r="M1128" s="286">
        <v>1</v>
      </c>
      <c r="N1128" s="287">
        <v>3169.69</v>
      </c>
      <c r="O1128" s="294">
        <f t="shared" si="17"/>
        <v>45504</v>
      </c>
      <c r="P1128" s="286" t="s">
        <v>58</v>
      </c>
    </row>
    <row r="1129" spans="1:16" hidden="1" x14ac:dyDescent="0.15">
      <c r="A1129" s="286">
        <v>697810</v>
      </c>
      <c r="B1129" s="288">
        <v>45510.366666666669</v>
      </c>
      <c r="C1129" s="286" t="s">
        <v>2102</v>
      </c>
      <c r="D1129" s="286" t="s">
        <v>1105</v>
      </c>
      <c r="E1129" s="286" t="s">
        <v>1106</v>
      </c>
      <c r="F1129" s="286" t="s">
        <v>2138</v>
      </c>
      <c r="G1129" s="286" t="s">
        <v>1036</v>
      </c>
      <c r="H1129" s="286" t="s">
        <v>1036</v>
      </c>
      <c r="I1129" s="286" t="s">
        <v>1152</v>
      </c>
      <c r="J1129" s="286" t="s">
        <v>1312</v>
      </c>
      <c r="K1129" s="286" t="s">
        <v>1839</v>
      </c>
      <c r="L1129" s="286" t="s">
        <v>672</v>
      </c>
      <c r="M1129" s="286">
        <v>1</v>
      </c>
      <c r="N1129" s="287">
        <v>3169.69</v>
      </c>
      <c r="O1129" s="294">
        <f t="shared" si="17"/>
        <v>45535</v>
      </c>
      <c r="P1129" s="286" t="s">
        <v>58</v>
      </c>
    </row>
    <row r="1130" spans="1:16" hidden="1" x14ac:dyDescent="0.15">
      <c r="A1130" s="286">
        <v>745911</v>
      </c>
      <c r="B1130" s="288">
        <v>45538.44027777778</v>
      </c>
      <c r="C1130" s="286" t="s">
        <v>2132</v>
      </c>
      <c r="D1130" s="286" t="s">
        <v>1105</v>
      </c>
      <c r="E1130" s="286" t="s">
        <v>1106</v>
      </c>
      <c r="F1130" s="286" t="s">
        <v>2139</v>
      </c>
      <c r="G1130" s="286" t="s">
        <v>1036</v>
      </c>
      <c r="H1130" s="286" t="s">
        <v>1036</v>
      </c>
      <c r="I1130" s="286" t="s">
        <v>1152</v>
      </c>
      <c r="J1130" s="286" t="s">
        <v>1312</v>
      </c>
      <c r="K1130" s="286" t="s">
        <v>1839</v>
      </c>
      <c r="L1130" s="286" t="s">
        <v>672</v>
      </c>
      <c r="M1130" s="286">
        <v>1</v>
      </c>
      <c r="N1130" s="287">
        <v>3169.69</v>
      </c>
      <c r="O1130" s="294">
        <f t="shared" si="17"/>
        <v>45565</v>
      </c>
      <c r="P1130" s="286" t="s">
        <v>58</v>
      </c>
    </row>
    <row r="1131" spans="1:16" hidden="1" x14ac:dyDescent="0.15">
      <c r="A1131" s="286">
        <v>848817</v>
      </c>
      <c r="B1131" s="288">
        <v>45607.65902777778</v>
      </c>
      <c r="C1131" s="286" t="s">
        <v>2130</v>
      </c>
      <c r="D1131" s="286" t="s">
        <v>1105</v>
      </c>
      <c r="E1131" s="286" t="s">
        <v>1106</v>
      </c>
      <c r="F1131" s="286" t="s">
        <v>2140</v>
      </c>
      <c r="G1131" s="286" t="s">
        <v>1036</v>
      </c>
      <c r="H1131" s="286" t="s">
        <v>1036</v>
      </c>
      <c r="I1131" s="286" t="s">
        <v>1152</v>
      </c>
      <c r="J1131" s="286" t="s">
        <v>1312</v>
      </c>
      <c r="K1131" s="286" t="s">
        <v>1839</v>
      </c>
      <c r="L1131" s="286" t="s">
        <v>672</v>
      </c>
      <c r="M1131" s="286">
        <v>1</v>
      </c>
      <c r="N1131" s="287">
        <v>3169.69</v>
      </c>
      <c r="O1131" s="294">
        <f t="shared" si="17"/>
        <v>45626</v>
      </c>
      <c r="P1131" s="286" t="s">
        <v>58</v>
      </c>
    </row>
    <row r="1132" spans="1:16" hidden="1" x14ac:dyDescent="0.15">
      <c r="A1132" s="286">
        <v>848917</v>
      </c>
      <c r="B1132" s="288">
        <v>45607.660416666666</v>
      </c>
      <c r="C1132" s="286" t="s">
        <v>2100</v>
      </c>
      <c r="D1132" s="286" t="s">
        <v>1105</v>
      </c>
      <c r="E1132" s="286" t="s">
        <v>1106</v>
      </c>
      <c r="F1132" s="286" t="s">
        <v>2141</v>
      </c>
      <c r="G1132" s="286" t="s">
        <v>1036</v>
      </c>
      <c r="H1132" s="286" t="s">
        <v>1036</v>
      </c>
      <c r="I1132" s="286" t="s">
        <v>1152</v>
      </c>
      <c r="J1132" s="286" t="s">
        <v>1312</v>
      </c>
      <c r="K1132" s="286" t="s">
        <v>1839</v>
      </c>
      <c r="L1132" s="286" t="s">
        <v>672</v>
      </c>
      <c r="M1132" s="286">
        <v>1</v>
      </c>
      <c r="N1132" s="287">
        <v>3169.64</v>
      </c>
      <c r="O1132" s="294">
        <f t="shared" si="17"/>
        <v>45626</v>
      </c>
      <c r="P1132" s="286" t="s">
        <v>58</v>
      </c>
    </row>
    <row r="1133" spans="1:16" hidden="1" x14ac:dyDescent="0.15">
      <c r="A1133" s="286">
        <v>614216</v>
      </c>
      <c r="B1133" s="288">
        <v>45455.716666666667</v>
      </c>
      <c r="C1133" s="286" t="s">
        <v>2116</v>
      </c>
      <c r="D1133" s="286" t="s">
        <v>1105</v>
      </c>
      <c r="E1133" s="286" t="s">
        <v>1106</v>
      </c>
      <c r="F1133" s="286" t="s">
        <v>2156</v>
      </c>
      <c r="G1133" s="286" t="s">
        <v>1040</v>
      </c>
      <c r="H1133" s="286" t="s">
        <v>1040</v>
      </c>
      <c r="I1133" s="286" t="s">
        <v>1228</v>
      </c>
      <c r="J1133" s="286" t="s">
        <v>53</v>
      </c>
      <c r="K1133" s="286" t="s">
        <v>53</v>
      </c>
      <c r="L1133" s="286" t="s">
        <v>53</v>
      </c>
      <c r="M1133" s="286" t="s">
        <v>53</v>
      </c>
      <c r="N1133" s="287">
        <v>3154.02</v>
      </c>
      <c r="O1133" s="294">
        <f t="shared" si="17"/>
        <v>45473</v>
      </c>
      <c r="P1133" s="286" t="s">
        <v>58</v>
      </c>
    </row>
    <row r="1134" spans="1:16" hidden="1" x14ac:dyDescent="0.15">
      <c r="A1134" s="286">
        <v>697810</v>
      </c>
      <c r="B1134" s="288">
        <v>45510.366666666669</v>
      </c>
      <c r="C1134" s="286" t="s">
        <v>2102</v>
      </c>
      <c r="D1134" s="286" t="s">
        <v>1105</v>
      </c>
      <c r="E1134" s="286" t="s">
        <v>1106</v>
      </c>
      <c r="F1134" s="286" t="s">
        <v>2138</v>
      </c>
      <c r="G1134" s="286" t="s">
        <v>1007</v>
      </c>
      <c r="H1134" s="286" t="s">
        <v>1007</v>
      </c>
      <c r="I1134" s="286" t="s">
        <v>1228</v>
      </c>
      <c r="J1134" s="286" t="s">
        <v>53</v>
      </c>
      <c r="K1134" s="286" t="s">
        <v>53</v>
      </c>
      <c r="L1134" s="286" t="s">
        <v>53</v>
      </c>
      <c r="M1134" s="286" t="s">
        <v>53</v>
      </c>
      <c r="N1134" s="287">
        <v>3139.24</v>
      </c>
      <c r="O1134" s="294">
        <f t="shared" si="17"/>
        <v>45535</v>
      </c>
      <c r="P1134" s="286" t="s">
        <v>58</v>
      </c>
    </row>
    <row r="1135" spans="1:16" hidden="1" x14ac:dyDescent="0.15">
      <c r="A1135" s="286">
        <v>823696</v>
      </c>
      <c r="B1135" s="288">
        <v>45588.464583333334</v>
      </c>
      <c r="C1135" s="286" t="s">
        <v>2132</v>
      </c>
      <c r="D1135" s="286" t="s">
        <v>1105</v>
      </c>
      <c r="E1135" s="286" t="s">
        <v>1106</v>
      </c>
      <c r="F1135" s="286" t="s">
        <v>2324</v>
      </c>
      <c r="G1135" s="286" t="s">
        <v>1011</v>
      </c>
      <c r="H1135" s="286" t="s">
        <v>1011</v>
      </c>
      <c r="I1135" s="286" t="s">
        <v>1152</v>
      </c>
      <c r="J1135" s="286" t="s">
        <v>1312</v>
      </c>
      <c r="K1135" s="286" t="s">
        <v>918</v>
      </c>
      <c r="L1135" s="286" t="s">
        <v>2288</v>
      </c>
      <c r="M1135" s="286">
        <v>1</v>
      </c>
      <c r="N1135" s="287">
        <v>3130.07</v>
      </c>
      <c r="O1135" s="294">
        <f t="shared" si="17"/>
        <v>45596</v>
      </c>
      <c r="P1135" s="286" t="s">
        <v>58</v>
      </c>
    </row>
    <row r="1136" spans="1:16" hidden="1" x14ac:dyDescent="0.15">
      <c r="A1136" s="286">
        <v>823797</v>
      </c>
      <c r="B1136" s="288">
        <v>45588.468055555553</v>
      </c>
      <c r="C1136" s="286" t="s">
        <v>2130</v>
      </c>
      <c r="D1136" s="286" t="s">
        <v>1105</v>
      </c>
      <c r="E1136" s="286" t="s">
        <v>1106</v>
      </c>
      <c r="F1136" s="286" t="s">
        <v>2325</v>
      </c>
      <c r="G1136" s="286" t="s">
        <v>1011</v>
      </c>
      <c r="H1136" s="286" t="s">
        <v>1011</v>
      </c>
      <c r="I1136" s="286" t="s">
        <v>1152</v>
      </c>
      <c r="J1136" s="286" t="s">
        <v>1312</v>
      </c>
      <c r="K1136" s="286" t="s">
        <v>918</v>
      </c>
      <c r="L1136" s="286" t="s">
        <v>2288</v>
      </c>
      <c r="M1136" s="286">
        <v>1</v>
      </c>
      <c r="N1136" s="287">
        <v>3130.07</v>
      </c>
      <c r="O1136" s="294">
        <f t="shared" si="17"/>
        <v>45596</v>
      </c>
      <c r="P1136" s="286" t="s">
        <v>58</v>
      </c>
    </row>
    <row r="1137" spans="1:16" hidden="1" x14ac:dyDescent="0.15">
      <c r="A1137" s="286">
        <v>848917</v>
      </c>
      <c r="B1137" s="288">
        <v>45607.660416666666</v>
      </c>
      <c r="C1137" s="286" t="s">
        <v>2100</v>
      </c>
      <c r="D1137" s="286" t="s">
        <v>1105</v>
      </c>
      <c r="E1137" s="286" t="s">
        <v>1106</v>
      </c>
      <c r="F1137" s="286" t="s">
        <v>2141</v>
      </c>
      <c r="G1137" s="286" t="s">
        <v>1011</v>
      </c>
      <c r="H1137" s="286" t="s">
        <v>1011</v>
      </c>
      <c r="I1137" s="286" t="s">
        <v>1152</v>
      </c>
      <c r="J1137" s="286" t="s">
        <v>1312</v>
      </c>
      <c r="K1137" s="286" t="s">
        <v>918</v>
      </c>
      <c r="L1137" s="286" t="s">
        <v>2288</v>
      </c>
      <c r="M1137" s="286">
        <v>1</v>
      </c>
      <c r="N1137" s="287">
        <v>3130.07</v>
      </c>
      <c r="O1137" s="294">
        <f t="shared" si="17"/>
        <v>45626</v>
      </c>
      <c r="P1137" s="286" t="s">
        <v>58</v>
      </c>
    </row>
    <row r="1138" spans="1:16" hidden="1" x14ac:dyDescent="0.15">
      <c r="A1138" s="286">
        <v>874698</v>
      </c>
      <c r="B1138" s="288">
        <v>45628.357638888891</v>
      </c>
      <c r="C1138" s="286" t="s">
        <v>2098</v>
      </c>
      <c r="D1138" s="286" t="s">
        <v>1105</v>
      </c>
      <c r="E1138" s="286" t="s">
        <v>1106</v>
      </c>
      <c r="F1138" s="286" t="s">
        <v>2142</v>
      </c>
      <c r="G1138" s="286" t="s">
        <v>1011</v>
      </c>
      <c r="H1138" s="286" t="s">
        <v>1011</v>
      </c>
      <c r="I1138" s="286" t="s">
        <v>1152</v>
      </c>
      <c r="J1138" s="286" t="s">
        <v>1312</v>
      </c>
      <c r="K1138" s="286" t="s">
        <v>918</v>
      </c>
      <c r="L1138" s="286" t="s">
        <v>2288</v>
      </c>
      <c r="M1138" s="286">
        <v>1</v>
      </c>
      <c r="N1138" s="287">
        <v>3130.07</v>
      </c>
      <c r="O1138" s="294">
        <f t="shared" si="17"/>
        <v>45657</v>
      </c>
      <c r="P1138" s="286" t="s">
        <v>58</v>
      </c>
    </row>
    <row r="1139" spans="1:16" hidden="1" x14ac:dyDescent="0.15">
      <c r="A1139" s="286">
        <v>438112</v>
      </c>
      <c r="B1139" s="288">
        <v>45293.53402777778</v>
      </c>
      <c r="C1139" s="286" t="s">
        <v>2125</v>
      </c>
      <c r="D1139" s="286" t="s">
        <v>1105</v>
      </c>
      <c r="E1139" s="286" t="s">
        <v>1106</v>
      </c>
      <c r="F1139" s="286" t="s">
        <v>2152</v>
      </c>
      <c r="G1139" s="286" t="s">
        <v>1044</v>
      </c>
      <c r="H1139" s="286" t="s">
        <v>1044</v>
      </c>
      <c r="I1139" s="286" t="s">
        <v>1152</v>
      </c>
      <c r="J1139" s="286" t="s">
        <v>53</v>
      </c>
      <c r="K1139" s="286" t="s">
        <v>53</v>
      </c>
      <c r="L1139" s="286" t="s">
        <v>53</v>
      </c>
      <c r="M1139" s="286" t="s">
        <v>53</v>
      </c>
      <c r="N1139" s="287">
        <v>3112.77</v>
      </c>
      <c r="O1139" s="294">
        <f t="shared" si="17"/>
        <v>45322</v>
      </c>
      <c r="P1139" s="286" t="s">
        <v>58</v>
      </c>
    </row>
    <row r="1140" spans="1:16" hidden="1" x14ac:dyDescent="0.15">
      <c r="A1140" s="286">
        <v>848917</v>
      </c>
      <c r="B1140" s="288">
        <v>45607.660416666666</v>
      </c>
      <c r="C1140" s="286" t="s">
        <v>2100</v>
      </c>
      <c r="D1140" s="286" t="s">
        <v>1105</v>
      </c>
      <c r="E1140" s="286" t="s">
        <v>1106</v>
      </c>
      <c r="F1140" s="286" t="s">
        <v>2141</v>
      </c>
      <c r="G1140" s="286" t="s">
        <v>1015</v>
      </c>
      <c r="H1140" s="286" t="s">
        <v>1015</v>
      </c>
      <c r="I1140" s="286" t="s">
        <v>1228</v>
      </c>
      <c r="J1140" s="286" t="s">
        <v>1312</v>
      </c>
      <c r="K1140" s="286" t="s">
        <v>1805</v>
      </c>
      <c r="L1140" s="286" t="s">
        <v>672</v>
      </c>
      <c r="M1140" s="286">
        <v>1</v>
      </c>
      <c r="N1140" s="287">
        <v>3092.35</v>
      </c>
      <c r="O1140" s="294">
        <f t="shared" si="17"/>
        <v>45626</v>
      </c>
      <c r="P1140" s="286" t="s">
        <v>58</v>
      </c>
    </row>
    <row r="1141" spans="1:16" hidden="1" x14ac:dyDescent="0.15">
      <c r="A1141" s="286">
        <v>517381</v>
      </c>
      <c r="B1141" s="288">
        <v>45370.440972222219</v>
      </c>
      <c r="C1141" s="286" t="s">
        <v>2113</v>
      </c>
      <c r="D1141" s="286" t="s">
        <v>1105</v>
      </c>
      <c r="E1141" s="286" t="s">
        <v>1106</v>
      </c>
      <c r="F1141" s="286" t="s">
        <v>2118</v>
      </c>
      <c r="G1141" s="286" t="s">
        <v>1019</v>
      </c>
      <c r="H1141" s="286" t="s">
        <v>1019</v>
      </c>
      <c r="I1141" s="286" t="s">
        <v>1301</v>
      </c>
      <c r="J1141" s="286" t="s">
        <v>1312</v>
      </c>
      <c r="K1141" s="286" t="s">
        <v>56</v>
      </c>
      <c r="L1141" s="286" t="s">
        <v>71</v>
      </c>
      <c r="M1141" s="286">
        <v>1</v>
      </c>
      <c r="N1141" s="287">
        <v>3083</v>
      </c>
      <c r="O1141" s="294">
        <f t="shared" si="17"/>
        <v>45382</v>
      </c>
      <c r="P1141" s="286" t="s">
        <v>55</v>
      </c>
    </row>
    <row r="1142" spans="1:16" hidden="1" x14ac:dyDescent="0.15">
      <c r="A1142" s="286">
        <v>874698</v>
      </c>
      <c r="B1142" s="288">
        <v>45628.357638888891</v>
      </c>
      <c r="C1142" s="286" t="s">
        <v>2098</v>
      </c>
      <c r="D1142" s="286" t="s">
        <v>1105</v>
      </c>
      <c r="E1142" s="286" t="s">
        <v>1106</v>
      </c>
      <c r="F1142" s="286" t="s">
        <v>2142</v>
      </c>
      <c r="G1142" s="286" t="s">
        <v>1036</v>
      </c>
      <c r="H1142" s="286" t="s">
        <v>1036</v>
      </c>
      <c r="I1142" s="286" t="s">
        <v>1199</v>
      </c>
      <c r="J1142" s="286" t="s">
        <v>53</v>
      </c>
      <c r="K1142" s="286" t="s">
        <v>53</v>
      </c>
      <c r="L1142" s="286" t="s">
        <v>53</v>
      </c>
      <c r="M1142" s="286" t="s">
        <v>53</v>
      </c>
      <c r="N1142" s="287">
        <v>3068.87</v>
      </c>
      <c r="O1142" s="294">
        <f t="shared" si="17"/>
        <v>45657</v>
      </c>
      <c r="P1142" s="286" t="s">
        <v>58</v>
      </c>
    </row>
    <row r="1143" spans="1:16" hidden="1" x14ac:dyDescent="0.15">
      <c r="A1143" s="286">
        <v>859399</v>
      </c>
      <c r="B1143" s="288">
        <v>45615.35833333333</v>
      </c>
      <c r="C1143" s="286" t="s">
        <v>2100</v>
      </c>
      <c r="D1143" s="286" t="s">
        <v>1105</v>
      </c>
      <c r="E1143" s="286" t="s">
        <v>1106</v>
      </c>
      <c r="F1143" s="286" t="s">
        <v>2326</v>
      </c>
      <c r="G1143" s="286" t="s">
        <v>1077</v>
      </c>
      <c r="H1143" s="286" t="s">
        <v>1077</v>
      </c>
      <c r="I1143" s="286" t="s">
        <v>1152</v>
      </c>
      <c r="J1143" s="286" t="s">
        <v>1312</v>
      </c>
      <c r="K1143" s="286" t="s">
        <v>2281</v>
      </c>
      <c r="L1143" s="286" t="s">
        <v>2282</v>
      </c>
      <c r="M1143" s="286">
        <v>1</v>
      </c>
      <c r="N1143" s="287">
        <v>3043.14</v>
      </c>
      <c r="O1143" s="294">
        <f t="shared" si="17"/>
        <v>45626</v>
      </c>
      <c r="P1143" s="286" t="s">
        <v>58</v>
      </c>
    </row>
    <row r="1144" spans="1:16" hidden="1" x14ac:dyDescent="0.15">
      <c r="A1144" s="286">
        <v>608480</v>
      </c>
      <c r="B1144" s="288">
        <v>45450.422222222223</v>
      </c>
      <c r="C1144" s="286" t="s">
        <v>2092</v>
      </c>
      <c r="D1144" s="286" t="s">
        <v>1105</v>
      </c>
      <c r="E1144" s="286" t="s">
        <v>1106</v>
      </c>
      <c r="F1144" s="286" t="s">
        <v>2157</v>
      </c>
      <c r="G1144" s="286" t="s">
        <v>1084</v>
      </c>
      <c r="H1144" s="286" t="s">
        <v>1442</v>
      </c>
      <c r="I1144" s="286" t="s">
        <v>1228</v>
      </c>
      <c r="J1144" s="286" t="s">
        <v>53</v>
      </c>
      <c r="K1144" s="286" t="s">
        <v>53</v>
      </c>
      <c r="L1144" s="286" t="s">
        <v>53</v>
      </c>
      <c r="M1144" s="286" t="s">
        <v>53</v>
      </c>
      <c r="N1144" s="287">
        <v>3017.66</v>
      </c>
      <c r="O1144" s="294">
        <f t="shared" si="17"/>
        <v>45473</v>
      </c>
      <c r="P1144" s="286" t="s">
        <v>58</v>
      </c>
    </row>
    <row r="1145" spans="1:16" hidden="1" x14ac:dyDescent="0.15">
      <c r="A1145" s="286">
        <v>534207</v>
      </c>
      <c r="B1145" s="288">
        <v>45385.750694444447</v>
      </c>
      <c r="C1145" s="286" t="s">
        <v>2096</v>
      </c>
      <c r="D1145" s="286" t="s">
        <v>1105</v>
      </c>
      <c r="E1145" s="286" t="s">
        <v>1106</v>
      </c>
      <c r="F1145" s="286" t="s">
        <v>2155</v>
      </c>
      <c r="G1145" s="286" t="s">
        <v>1056</v>
      </c>
      <c r="H1145" s="286" t="s">
        <v>1056</v>
      </c>
      <c r="I1145" s="286" t="s">
        <v>1199</v>
      </c>
      <c r="J1145" s="286" t="s">
        <v>1312</v>
      </c>
      <c r="K1145" s="286" t="s">
        <v>1796</v>
      </c>
      <c r="L1145" s="286" t="s">
        <v>672</v>
      </c>
      <c r="M1145" s="286">
        <v>2</v>
      </c>
      <c r="N1145" s="287">
        <v>3010.95</v>
      </c>
      <c r="O1145" s="294">
        <f t="shared" si="17"/>
        <v>45412</v>
      </c>
      <c r="P1145" s="286" t="s">
        <v>58</v>
      </c>
    </row>
    <row r="1146" spans="1:16" hidden="1" x14ac:dyDescent="0.15">
      <c r="A1146" s="286">
        <v>496295</v>
      </c>
      <c r="B1146" s="288">
        <v>45352.356944444444</v>
      </c>
      <c r="C1146" s="286" t="s">
        <v>2113</v>
      </c>
      <c r="D1146" s="286" t="s">
        <v>1105</v>
      </c>
      <c r="E1146" s="286" t="s">
        <v>1106</v>
      </c>
      <c r="F1146" s="286" t="s">
        <v>2114</v>
      </c>
      <c r="G1146" s="286" t="s">
        <v>1024</v>
      </c>
      <c r="H1146" s="286" t="s">
        <v>1024</v>
      </c>
      <c r="I1146" s="286" t="s">
        <v>1301</v>
      </c>
      <c r="J1146" s="286" t="s">
        <v>1312</v>
      </c>
      <c r="K1146" s="286" t="s">
        <v>56</v>
      </c>
      <c r="L1146" s="286" t="s">
        <v>71</v>
      </c>
      <c r="M1146" s="286">
        <v>1</v>
      </c>
      <c r="N1146" s="287">
        <v>2992</v>
      </c>
      <c r="O1146" s="294">
        <f t="shared" si="17"/>
        <v>45382</v>
      </c>
      <c r="P1146" s="286" t="s">
        <v>55</v>
      </c>
    </row>
    <row r="1147" spans="1:16" hidden="1" x14ac:dyDescent="0.15">
      <c r="A1147" s="286">
        <v>874698</v>
      </c>
      <c r="B1147" s="288">
        <v>45628.357638888891</v>
      </c>
      <c r="C1147" s="286" t="s">
        <v>2098</v>
      </c>
      <c r="D1147" s="286" t="s">
        <v>1105</v>
      </c>
      <c r="E1147" s="286" t="s">
        <v>1106</v>
      </c>
      <c r="F1147" s="286" t="s">
        <v>2142</v>
      </c>
      <c r="G1147" s="286" t="s">
        <v>1316</v>
      </c>
      <c r="H1147" s="286" t="s">
        <v>1316</v>
      </c>
      <c r="I1147" s="286" t="s">
        <v>1199</v>
      </c>
      <c r="J1147" s="286" t="s">
        <v>1312</v>
      </c>
      <c r="K1147" s="286" t="s">
        <v>1690</v>
      </c>
      <c r="L1147" s="286" t="s">
        <v>53</v>
      </c>
      <c r="M1147" s="286">
        <v>1</v>
      </c>
      <c r="N1147" s="287">
        <v>2949.24</v>
      </c>
      <c r="O1147" s="294">
        <f t="shared" si="17"/>
        <v>45657</v>
      </c>
      <c r="P1147" s="286" t="s">
        <v>58</v>
      </c>
    </row>
    <row r="1148" spans="1:16" hidden="1" x14ac:dyDescent="0.15">
      <c r="A1148" s="286">
        <v>438112</v>
      </c>
      <c r="B1148" s="288">
        <v>45293.53402777778</v>
      </c>
      <c r="C1148" s="286" t="s">
        <v>2125</v>
      </c>
      <c r="D1148" s="286" t="s">
        <v>1105</v>
      </c>
      <c r="E1148" s="286" t="s">
        <v>1106</v>
      </c>
      <c r="F1148" s="286" t="s">
        <v>2152</v>
      </c>
      <c r="G1148" s="286" t="s">
        <v>1316</v>
      </c>
      <c r="H1148" s="286" t="s">
        <v>1316</v>
      </c>
      <c r="I1148" s="286" t="s">
        <v>1199</v>
      </c>
      <c r="J1148" s="286" t="s">
        <v>1312</v>
      </c>
      <c r="K1148" s="286" t="s">
        <v>1690</v>
      </c>
      <c r="L1148" s="286" t="s">
        <v>53</v>
      </c>
      <c r="M1148" s="286">
        <v>1</v>
      </c>
      <c r="N1148" s="287">
        <v>2949.23</v>
      </c>
      <c r="O1148" s="294">
        <f t="shared" si="17"/>
        <v>45322</v>
      </c>
      <c r="P1148" s="286" t="s">
        <v>58</v>
      </c>
    </row>
    <row r="1149" spans="1:16" hidden="1" x14ac:dyDescent="0.15">
      <c r="A1149" s="286">
        <v>472168</v>
      </c>
      <c r="B1149" s="288">
        <v>45331.416666666664</v>
      </c>
      <c r="C1149" s="286" t="s">
        <v>2113</v>
      </c>
      <c r="D1149" s="286" t="s">
        <v>1105</v>
      </c>
      <c r="E1149" s="286" t="s">
        <v>1106</v>
      </c>
      <c r="F1149" s="286" t="s">
        <v>2153</v>
      </c>
      <c r="G1149" s="286" t="s">
        <v>1316</v>
      </c>
      <c r="H1149" s="286" t="s">
        <v>1316</v>
      </c>
      <c r="I1149" s="286" t="s">
        <v>1199</v>
      </c>
      <c r="J1149" s="286" t="s">
        <v>1312</v>
      </c>
      <c r="K1149" s="286" t="s">
        <v>1690</v>
      </c>
      <c r="L1149" s="286" t="s">
        <v>53</v>
      </c>
      <c r="M1149" s="286">
        <v>1</v>
      </c>
      <c r="N1149" s="287">
        <v>2949.23</v>
      </c>
      <c r="O1149" s="294">
        <f t="shared" si="17"/>
        <v>45351</v>
      </c>
      <c r="P1149" s="286" t="s">
        <v>58</v>
      </c>
    </row>
    <row r="1150" spans="1:16" hidden="1" x14ac:dyDescent="0.15">
      <c r="A1150" s="286">
        <v>504817</v>
      </c>
      <c r="B1150" s="288">
        <v>45359.645138888889</v>
      </c>
      <c r="C1150" s="286" t="s">
        <v>2109</v>
      </c>
      <c r="D1150" s="286" t="s">
        <v>1105</v>
      </c>
      <c r="E1150" s="286" t="s">
        <v>1106</v>
      </c>
      <c r="F1150" s="286" t="s">
        <v>2154</v>
      </c>
      <c r="G1150" s="286" t="s">
        <v>1316</v>
      </c>
      <c r="H1150" s="286" t="s">
        <v>1316</v>
      </c>
      <c r="I1150" s="286" t="s">
        <v>1199</v>
      </c>
      <c r="J1150" s="286" t="s">
        <v>1312</v>
      </c>
      <c r="K1150" s="286" t="s">
        <v>1690</v>
      </c>
      <c r="L1150" s="286" t="s">
        <v>53</v>
      </c>
      <c r="M1150" s="286">
        <v>1</v>
      </c>
      <c r="N1150" s="287">
        <v>2949.23</v>
      </c>
      <c r="O1150" s="294">
        <f t="shared" si="17"/>
        <v>45382</v>
      </c>
      <c r="P1150" s="286" t="s">
        <v>58</v>
      </c>
    </row>
    <row r="1151" spans="1:16" hidden="1" x14ac:dyDescent="0.15">
      <c r="A1151" s="286">
        <v>534207</v>
      </c>
      <c r="B1151" s="288">
        <v>45385.750694444447</v>
      </c>
      <c r="C1151" s="286" t="s">
        <v>2096</v>
      </c>
      <c r="D1151" s="286" t="s">
        <v>1105</v>
      </c>
      <c r="E1151" s="286" t="s">
        <v>1106</v>
      </c>
      <c r="F1151" s="286" t="s">
        <v>2155</v>
      </c>
      <c r="G1151" s="286" t="s">
        <v>1316</v>
      </c>
      <c r="H1151" s="286" t="s">
        <v>1316</v>
      </c>
      <c r="I1151" s="286" t="s">
        <v>1199</v>
      </c>
      <c r="J1151" s="286" t="s">
        <v>1312</v>
      </c>
      <c r="K1151" s="286" t="s">
        <v>1690</v>
      </c>
      <c r="L1151" s="286" t="s">
        <v>53</v>
      </c>
      <c r="M1151" s="286">
        <v>1</v>
      </c>
      <c r="N1151" s="287">
        <v>2949.23</v>
      </c>
      <c r="O1151" s="294">
        <f t="shared" si="17"/>
        <v>45412</v>
      </c>
      <c r="P1151" s="286" t="s">
        <v>58</v>
      </c>
    </row>
    <row r="1152" spans="1:16" hidden="1" x14ac:dyDescent="0.15">
      <c r="A1152" s="286">
        <v>614216</v>
      </c>
      <c r="B1152" s="288">
        <v>45455.716666666667</v>
      </c>
      <c r="C1152" s="286" t="s">
        <v>2116</v>
      </c>
      <c r="D1152" s="286" t="s">
        <v>1105</v>
      </c>
      <c r="E1152" s="286" t="s">
        <v>1106</v>
      </c>
      <c r="F1152" s="286" t="s">
        <v>2156</v>
      </c>
      <c r="G1152" s="286" t="s">
        <v>1316</v>
      </c>
      <c r="H1152" s="286" t="s">
        <v>1316</v>
      </c>
      <c r="I1152" s="286" t="s">
        <v>1199</v>
      </c>
      <c r="J1152" s="286" t="s">
        <v>1312</v>
      </c>
      <c r="K1152" s="286" t="s">
        <v>1690</v>
      </c>
      <c r="L1152" s="286" t="s">
        <v>53</v>
      </c>
      <c r="M1152" s="286">
        <v>1</v>
      </c>
      <c r="N1152" s="287">
        <v>2949.23</v>
      </c>
      <c r="O1152" s="294">
        <f t="shared" si="17"/>
        <v>45473</v>
      </c>
      <c r="P1152" s="286" t="s">
        <v>58</v>
      </c>
    </row>
    <row r="1153" spans="1:16" hidden="1" x14ac:dyDescent="0.15">
      <c r="A1153" s="286">
        <v>608480</v>
      </c>
      <c r="B1153" s="288">
        <v>45450.422222222223</v>
      </c>
      <c r="C1153" s="286" t="s">
        <v>2092</v>
      </c>
      <c r="D1153" s="286" t="s">
        <v>1105</v>
      </c>
      <c r="E1153" s="286" t="s">
        <v>1106</v>
      </c>
      <c r="F1153" s="286" t="s">
        <v>2157</v>
      </c>
      <c r="G1153" s="286" t="s">
        <v>1316</v>
      </c>
      <c r="H1153" s="286" t="s">
        <v>1316</v>
      </c>
      <c r="I1153" s="286" t="s">
        <v>1199</v>
      </c>
      <c r="J1153" s="286" t="s">
        <v>1312</v>
      </c>
      <c r="K1153" s="286" t="s">
        <v>1690</v>
      </c>
      <c r="L1153" s="286" t="s">
        <v>53</v>
      </c>
      <c r="M1153" s="286">
        <v>1</v>
      </c>
      <c r="N1153" s="287">
        <v>2949.23</v>
      </c>
      <c r="O1153" s="294">
        <f t="shared" si="17"/>
        <v>45473</v>
      </c>
      <c r="P1153" s="286" t="s">
        <v>58</v>
      </c>
    </row>
    <row r="1154" spans="1:16" hidden="1" x14ac:dyDescent="0.15">
      <c r="A1154" s="286">
        <v>646075</v>
      </c>
      <c r="B1154" s="288">
        <v>45474.519444444442</v>
      </c>
      <c r="C1154" s="286" t="s">
        <v>2111</v>
      </c>
      <c r="D1154" s="286" t="s">
        <v>1105</v>
      </c>
      <c r="E1154" s="286" t="s">
        <v>1106</v>
      </c>
      <c r="F1154" s="286" t="s">
        <v>2137</v>
      </c>
      <c r="G1154" s="286" t="s">
        <v>1316</v>
      </c>
      <c r="H1154" s="286" t="s">
        <v>1316</v>
      </c>
      <c r="I1154" s="286" t="s">
        <v>1199</v>
      </c>
      <c r="J1154" s="286" t="s">
        <v>1312</v>
      </c>
      <c r="K1154" s="286" t="s">
        <v>1690</v>
      </c>
      <c r="L1154" s="286" t="s">
        <v>53</v>
      </c>
      <c r="M1154" s="286">
        <v>1</v>
      </c>
      <c r="N1154" s="287">
        <v>2949.23</v>
      </c>
      <c r="O1154" s="294">
        <f t="shared" si="17"/>
        <v>45504</v>
      </c>
      <c r="P1154" s="286" t="s">
        <v>58</v>
      </c>
    </row>
    <row r="1155" spans="1:16" hidden="1" x14ac:dyDescent="0.15">
      <c r="A1155" s="286">
        <v>697810</v>
      </c>
      <c r="B1155" s="288">
        <v>45510.366666666669</v>
      </c>
      <c r="C1155" s="286" t="s">
        <v>2102</v>
      </c>
      <c r="D1155" s="286" t="s">
        <v>1105</v>
      </c>
      <c r="E1155" s="286" t="s">
        <v>1106</v>
      </c>
      <c r="F1155" s="286" t="s">
        <v>2138</v>
      </c>
      <c r="G1155" s="286" t="s">
        <v>1316</v>
      </c>
      <c r="H1155" s="286" t="s">
        <v>1316</v>
      </c>
      <c r="I1155" s="286" t="s">
        <v>1199</v>
      </c>
      <c r="J1155" s="286" t="s">
        <v>1312</v>
      </c>
      <c r="K1155" s="286" t="s">
        <v>1690</v>
      </c>
      <c r="L1155" s="286" t="s">
        <v>53</v>
      </c>
      <c r="M1155" s="286">
        <v>1</v>
      </c>
      <c r="N1155" s="287">
        <v>2949.23</v>
      </c>
      <c r="O1155" s="294">
        <f t="shared" si="17"/>
        <v>45535</v>
      </c>
      <c r="P1155" s="286" t="s">
        <v>58</v>
      </c>
    </row>
    <row r="1156" spans="1:16" hidden="1" x14ac:dyDescent="0.15">
      <c r="A1156" s="286">
        <v>745911</v>
      </c>
      <c r="B1156" s="288">
        <v>45538.44027777778</v>
      </c>
      <c r="C1156" s="286" t="s">
        <v>2132</v>
      </c>
      <c r="D1156" s="286" t="s">
        <v>1105</v>
      </c>
      <c r="E1156" s="286" t="s">
        <v>1106</v>
      </c>
      <c r="F1156" s="286" t="s">
        <v>2139</v>
      </c>
      <c r="G1156" s="286" t="s">
        <v>1316</v>
      </c>
      <c r="H1156" s="286" t="s">
        <v>1316</v>
      </c>
      <c r="I1156" s="286" t="s">
        <v>1199</v>
      </c>
      <c r="J1156" s="286" t="s">
        <v>1312</v>
      </c>
      <c r="K1156" s="286" t="s">
        <v>1690</v>
      </c>
      <c r="L1156" s="286" t="s">
        <v>53</v>
      </c>
      <c r="M1156" s="286">
        <v>1</v>
      </c>
      <c r="N1156" s="287">
        <v>2949.23</v>
      </c>
      <c r="O1156" s="294">
        <f t="shared" ref="O1156:O1219" si="18">EOMONTH(B1156,0)</f>
        <v>45565</v>
      </c>
      <c r="P1156" s="286" t="s">
        <v>58</v>
      </c>
    </row>
    <row r="1157" spans="1:16" hidden="1" x14ac:dyDescent="0.15">
      <c r="A1157" s="286">
        <v>848817</v>
      </c>
      <c r="B1157" s="288">
        <v>45607.65902777778</v>
      </c>
      <c r="C1157" s="286" t="s">
        <v>2130</v>
      </c>
      <c r="D1157" s="286" t="s">
        <v>1105</v>
      </c>
      <c r="E1157" s="286" t="s">
        <v>1106</v>
      </c>
      <c r="F1157" s="286" t="s">
        <v>2140</v>
      </c>
      <c r="G1157" s="286" t="s">
        <v>1316</v>
      </c>
      <c r="H1157" s="286" t="s">
        <v>1316</v>
      </c>
      <c r="I1157" s="286" t="s">
        <v>1199</v>
      </c>
      <c r="J1157" s="286" t="s">
        <v>1312</v>
      </c>
      <c r="K1157" s="286" t="s">
        <v>1690</v>
      </c>
      <c r="L1157" s="286" t="s">
        <v>53</v>
      </c>
      <c r="M1157" s="286">
        <v>1</v>
      </c>
      <c r="N1157" s="287">
        <v>2949.23</v>
      </c>
      <c r="O1157" s="294">
        <f t="shared" si="18"/>
        <v>45626</v>
      </c>
      <c r="P1157" s="286" t="s">
        <v>58</v>
      </c>
    </row>
    <row r="1158" spans="1:16" hidden="1" x14ac:dyDescent="0.15">
      <c r="A1158" s="286">
        <v>848917</v>
      </c>
      <c r="B1158" s="288">
        <v>45607.660416666666</v>
      </c>
      <c r="C1158" s="286" t="s">
        <v>2100</v>
      </c>
      <c r="D1158" s="286" t="s">
        <v>1105</v>
      </c>
      <c r="E1158" s="286" t="s">
        <v>1106</v>
      </c>
      <c r="F1158" s="286" t="s">
        <v>2141</v>
      </c>
      <c r="G1158" s="286" t="s">
        <v>1316</v>
      </c>
      <c r="H1158" s="286" t="s">
        <v>1316</v>
      </c>
      <c r="I1158" s="286" t="s">
        <v>1199</v>
      </c>
      <c r="J1158" s="286" t="s">
        <v>1312</v>
      </c>
      <c r="K1158" s="286" t="s">
        <v>1690</v>
      </c>
      <c r="L1158" s="286" t="s">
        <v>53</v>
      </c>
      <c r="M1158" s="286">
        <v>1</v>
      </c>
      <c r="N1158" s="287">
        <v>2949.23</v>
      </c>
      <c r="O1158" s="294">
        <f t="shared" si="18"/>
        <v>45626</v>
      </c>
      <c r="P1158" s="286" t="s">
        <v>58</v>
      </c>
    </row>
    <row r="1159" spans="1:16" hidden="1" x14ac:dyDescent="0.15">
      <c r="A1159" s="286">
        <v>438112</v>
      </c>
      <c r="B1159" s="288">
        <v>45293.53402777778</v>
      </c>
      <c r="C1159" s="286" t="s">
        <v>2125</v>
      </c>
      <c r="D1159" s="286" t="s">
        <v>1105</v>
      </c>
      <c r="E1159" s="286" t="s">
        <v>1106</v>
      </c>
      <c r="F1159" s="286" t="s">
        <v>2152</v>
      </c>
      <c r="G1159" s="286" t="s">
        <v>1089</v>
      </c>
      <c r="H1159" s="286" t="s">
        <v>1089</v>
      </c>
      <c r="I1159" s="286" t="s">
        <v>1228</v>
      </c>
      <c r="J1159" s="286" t="s">
        <v>53</v>
      </c>
      <c r="K1159" s="286" t="s">
        <v>53</v>
      </c>
      <c r="L1159" s="286" t="s">
        <v>53</v>
      </c>
      <c r="M1159" s="286" t="s">
        <v>53</v>
      </c>
      <c r="N1159" s="287">
        <v>2944.55</v>
      </c>
      <c r="O1159" s="294">
        <f t="shared" si="18"/>
        <v>45322</v>
      </c>
      <c r="P1159" s="286" t="s">
        <v>58</v>
      </c>
    </row>
    <row r="1160" spans="1:16" hidden="1" x14ac:dyDescent="0.15">
      <c r="A1160" s="286">
        <v>646075</v>
      </c>
      <c r="B1160" s="288">
        <v>45474.519444444442</v>
      </c>
      <c r="C1160" s="286" t="s">
        <v>2111</v>
      </c>
      <c r="D1160" s="286" t="s">
        <v>1105</v>
      </c>
      <c r="E1160" s="286" t="s">
        <v>1106</v>
      </c>
      <c r="F1160" s="286" t="s">
        <v>2137</v>
      </c>
      <c r="G1160" s="286" t="s">
        <v>1856</v>
      </c>
      <c r="H1160" s="286" t="s">
        <v>1856</v>
      </c>
      <c r="I1160" s="286" t="s">
        <v>1199</v>
      </c>
      <c r="J1160" s="286" t="s">
        <v>1312</v>
      </c>
      <c r="K1160" s="286" t="s">
        <v>2293</v>
      </c>
      <c r="L1160" s="286" t="s">
        <v>672</v>
      </c>
      <c r="M1160" s="286">
        <v>1</v>
      </c>
      <c r="N1160" s="287">
        <v>2797.84</v>
      </c>
      <c r="O1160" s="294">
        <f t="shared" si="18"/>
        <v>45504</v>
      </c>
      <c r="P1160" s="286" t="s">
        <v>58</v>
      </c>
    </row>
    <row r="1161" spans="1:16" hidden="1" x14ac:dyDescent="0.15">
      <c r="A1161" s="286">
        <v>745911</v>
      </c>
      <c r="B1161" s="288">
        <v>45538.44027777778</v>
      </c>
      <c r="C1161" s="286" t="s">
        <v>2132</v>
      </c>
      <c r="D1161" s="286" t="s">
        <v>1105</v>
      </c>
      <c r="E1161" s="286" t="s">
        <v>1106</v>
      </c>
      <c r="F1161" s="286" t="s">
        <v>2139</v>
      </c>
      <c r="G1161" s="286" t="s">
        <v>1033</v>
      </c>
      <c r="H1161" s="286" t="s">
        <v>1033</v>
      </c>
      <c r="I1161" s="286" t="s">
        <v>1228</v>
      </c>
      <c r="J1161" s="286" t="s">
        <v>1312</v>
      </c>
      <c r="K1161" s="286" t="s">
        <v>1805</v>
      </c>
      <c r="L1161" s="286" t="s">
        <v>672</v>
      </c>
      <c r="M1161" s="286">
        <v>1</v>
      </c>
      <c r="N1161" s="287">
        <v>2797.84</v>
      </c>
      <c r="O1161" s="294">
        <f t="shared" si="18"/>
        <v>45565</v>
      </c>
      <c r="P1161" s="286" t="s">
        <v>58</v>
      </c>
    </row>
    <row r="1162" spans="1:16" hidden="1" x14ac:dyDescent="0.15">
      <c r="A1162" s="286">
        <v>438112</v>
      </c>
      <c r="B1162" s="288">
        <v>45293.53402777778</v>
      </c>
      <c r="C1162" s="286" t="s">
        <v>2125</v>
      </c>
      <c r="D1162" s="286" t="s">
        <v>1105</v>
      </c>
      <c r="E1162" s="286" t="s">
        <v>1106</v>
      </c>
      <c r="F1162" s="286" t="s">
        <v>2152</v>
      </c>
      <c r="G1162" s="286" t="s">
        <v>1024</v>
      </c>
      <c r="H1162" s="286" t="s">
        <v>1024</v>
      </c>
      <c r="I1162" s="286" t="s">
        <v>1199</v>
      </c>
      <c r="J1162" s="286" t="s">
        <v>53</v>
      </c>
      <c r="K1162" s="286" t="s">
        <v>53</v>
      </c>
      <c r="L1162" s="286" t="s">
        <v>53</v>
      </c>
      <c r="M1162" s="286" t="s">
        <v>53</v>
      </c>
      <c r="N1162" s="287">
        <v>2781.47</v>
      </c>
      <c r="O1162" s="294">
        <f t="shared" si="18"/>
        <v>45322</v>
      </c>
      <c r="P1162" s="286" t="s">
        <v>58</v>
      </c>
    </row>
    <row r="1163" spans="1:16" hidden="1" x14ac:dyDescent="0.15">
      <c r="A1163" s="286">
        <v>472168</v>
      </c>
      <c r="B1163" s="288">
        <v>45331.416666666664</v>
      </c>
      <c r="C1163" s="286" t="s">
        <v>2113</v>
      </c>
      <c r="D1163" s="286" t="s">
        <v>1105</v>
      </c>
      <c r="E1163" s="286" t="s">
        <v>1106</v>
      </c>
      <c r="F1163" s="286" t="s">
        <v>2153</v>
      </c>
      <c r="G1163" s="286" t="s">
        <v>1024</v>
      </c>
      <c r="H1163" s="286" t="s">
        <v>1024</v>
      </c>
      <c r="I1163" s="286" t="s">
        <v>1199</v>
      </c>
      <c r="J1163" s="286" t="s">
        <v>53</v>
      </c>
      <c r="K1163" s="286" t="s">
        <v>53</v>
      </c>
      <c r="L1163" s="286" t="s">
        <v>53</v>
      </c>
      <c r="M1163" s="286" t="s">
        <v>53</v>
      </c>
      <c r="N1163" s="287">
        <v>2781.47</v>
      </c>
      <c r="O1163" s="294">
        <f t="shared" si="18"/>
        <v>45351</v>
      </c>
      <c r="P1163" s="286" t="s">
        <v>58</v>
      </c>
    </row>
    <row r="1164" spans="1:16" hidden="1" x14ac:dyDescent="0.15">
      <c r="A1164" s="286">
        <v>504817</v>
      </c>
      <c r="B1164" s="288">
        <v>45359.645138888889</v>
      </c>
      <c r="C1164" s="286" t="s">
        <v>2109</v>
      </c>
      <c r="D1164" s="286" t="s">
        <v>1105</v>
      </c>
      <c r="E1164" s="286" t="s">
        <v>1106</v>
      </c>
      <c r="F1164" s="286" t="s">
        <v>2154</v>
      </c>
      <c r="G1164" s="286" t="s">
        <v>1024</v>
      </c>
      <c r="H1164" s="286" t="s">
        <v>1024</v>
      </c>
      <c r="I1164" s="286" t="s">
        <v>1199</v>
      </c>
      <c r="J1164" s="286" t="s">
        <v>53</v>
      </c>
      <c r="K1164" s="286" t="s">
        <v>53</v>
      </c>
      <c r="L1164" s="286" t="s">
        <v>53</v>
      </c>
      <c r="M1164" s="286" t="s">
        <v>53</v>
      </c>
      <c r="N1164" s="287">
        <v>2781.47</v>
      </c>
      <c r="O1164" s="294">
        <f t="shared" si="18"/>
        <v>45382</v>
      </c>
      <c r="P1164" s="286" t="s">
        <v>58</v>
      </c>
    </row>
    <row r="1165" spans="1:16" hidden="1" x14ac:dyDescent="0.15">
      <c r="A1165" s="286">
        <v>534207</v>
      </c>
      <c r="B1165" s="288">
        <v>45385.750694444447</v>
      </c>
      <c r="C1165" s="286" t="s">
        <v>2096</v>
      </c>
      <c r="D1165" s="286" t="s">
        <v>1105</v>
      </c>
      <c r="E1165" s="286" t="s">
        <v>1106</v>
      </c>
      <c r="F1165" s="286" t="s">
        <v>2155</v>
      </c>
      <c r="G1165" s="286" t="s">
        <v>1024</v>
      </c>
      <c r="H1165" s="286" t="s">
        <v>1024</v>
      </c>
      <c r="I1165" s="286" t="s">
        <v>1199</v>
      </c>
      <c r="J1165" s="286" t="s">
        <v>53</v>
      </c>
      <c r="K1165" s="286" t="s">
        <v>53</v>
      </c>
      <c r="L1165" s="286" t="s">
        <v>53</v>
      </c>
      <c r="M1165" s="286" t="s">
        <v>53</v>
      </c>
      <c r="N1165" s="287">
        <v>2781.47</v>
      </c>
      <c r="O1165" s="294">
        <f t="shared" si="18"/>
        <v>45412</v>
      </c>
      <c r="P1165" s="286" t="s">
        <v>58</v>
      </c>
    </row>
    <row r="1166" spans="1:16" hidden="1" x14ac:dyDescent="0.15">
      <c r="A1166" s="286">
        <v>614216</v>
      </c>
      <c r="B1166" s="288">
        <v>45455.716666666667</v>
      </c>
      <c r="C1166" s="286" t="s">
        <v>2116</v>
      </c>
      <c r="D1166" s="286" t="s">
        <v>1105</v>
      </c>
      <c r="E1166" s="286" t="s">
        <v>1106</v>
      </c>
      <c r="F1166" s="286" t="s">
        <v>2156</v>
      </c>
      <c r="G1166" s="286" t="s">
        <v>1024</v>
      </c>
      <c r="H1166" s="286" t="s">
        <v>1024</v>
      </c>
      <c r="I1166" s="286" t="s">
        <v>1199</v>
      </c>
      <c r="J1166" s="286" t="s">
        <v>53</v>
      </c>
      <c r="K1166" s="286" t="s">
        <v>53</v>
      </c>
      <c r="L1166" s="286" t="s">
        <v>53</v>
      </c>
      <c r="M1166" s="286" t="s">
        <v>53</v>
      </c>
      <c r="N1166" s="287">
        <v>2781.47</v>
      </c>
      <c r="O1166" s="294">
        <f t="shared" si="18"/>
        <v>45473</v>
      </c>
      <c r="P1166" s="286" t="s">
        <v>58</v>
      </c>
    </row>
    <row r="1167" spans="1:16" hidden="1" x14ac:dyDescent="0.15">
      <c r="A1167" s="286">
        <v>608480</v>
      </c>
      <c r="B1167" s="288">
        <v>45450.422222222223</v>
      </c>
      <c r="C1167" s="286" t="s">
        <v>2092</v>
      </c>
      <c r="D1167" s="286" t="s">
        <v>1105</v>
      </c>
      <c r="E1167" s="286" t="s">
        <v>1106</v>
      </c>
      <c r="F1167" s="286" t="s">
        <v>2157</v>
      </c>
      <c r="G1167" s="286" t="s">
        <v>1024</v>
      </c>
      <c r="H1167" s="286" t="s">
        <v>1024</v>
      </c>
      <c r="I1167" s="286" t="s">
        <v>1199</v>
      </c>
      <c r="J1167" s="286" t="s">
        <v>53</v>
      </c>
      <c r="K1167" s="286" t="s">
        <v>53</v>
      </c>
      <c r="L1167" s="286" t="s">
        <v>53</v>
      </c>
      <c r="M1167" s="286" t="s">
        <v>53</v>
      </c>
      <c r="N1167" s="287">
        <v>2781.47</v>
      </c>
      <c r="O1167" s="294">
        <f t="shared" si="18"/>
        <v>45473</v>
      </c>
      <c r="P1167" s="286" t="s">
        <v>58</v>
      </c>
    </row>
    <row r="1168" spans="1:16" hidden="1" x14ac:dyDescent="0.15">
      <c r="A1168" s="286">
        <v>646075</v>
      </c>
      <c r="B1168" s="288">
        <v>45474.519444444442</v>
      </c>
      <c r="C1168" s="286" t="s">
        <v>2111</v>
      </c>
      <c r="D1168" s="286" t="s">
        <v>1105</v>
      </c>
      <c r="E1168" s="286" t="s">
        <v>1106</v>
      </c>
      <c r="F1168" s="286" t="s">
        <v>2137</v>
      </c>
      <c r="G1168" s="286" t="s">
        <v>1024</v>
      </c>
      <c r="H1168" s="286" t="s">
        <v>1024</v>
      </c>
      <c r="I1168" s="286" t="s">
        <v>1199</v>
      </c>
      <c r="J1168" s="286" t="s">
        <v>53</v>
      </c>
      <c r="K1168" s="286" t="s">
        <v>53</v>
      </c>
      <c r="L1168" s="286" t="s">
        <v>53</v>
      </c>
      <c r="M1168" s="286" t="s">
        <v>53</v>
      </c>
      <c r="N1168" s="287">
        <v>2781.47</v>
      </c>
      <c r="O1168" s="294">
        <f t="shared" si="18"/>
        <v>45504</v>
      </c>
      <c r="P1168" s="286" t="s">
        <v>58</v>
      </c>
    </row>
    <row r="1169" spans="1:16" hidden="1" x14ac:dyDescent="0.15">
      <c r="A1169" s="286">
        <v>697810</v>
      </c>
      <c r="B1169" s="288">
        <v>45510.366666666669</v>
      </c>
      <c r="C1169" s="286" t="s">
        <v>2102</v>
      </c>
      <c r="D1169" s="286" t="s">
        <v>1105</v>
      </c>
      <c r="E1169" s="286" t="s">
        <v>1106</v>
      </c>
      <c r="F1169" s="286" t="s">
        <v>2138</v>
      </c>
      <c r="G1169" s="286" t="s">
        <v>1024</v>
      </c>
      <c r="H1169" s="286" t="s">
        <v>1024</v>
      </c>
      <c r="I1169" s="286" t="s">
        <v>1199</v>
      </c>
      <c r="J1169" s="286" t="s">
        <v>53</v>
      </c>
      <c r="K1169" s="286" t="s">
        <v>53</v>
      </c>
      <c r="L1169" s="286" t="s">
        <v>53</v>
      </c>
      <c r="M1169" s="286" t="s">
        <v>53</v>
      </c>
      <c r="N1169" s="287">
        <v>2781.47</v>
      </c>
      <c r="O1169" s="294">
        <f t="shared" si="18"/>
        <v>45535</v>
      </c>
      <c r="P1169" s="286" t="s">
        <v>58</v>
      </c>
    </row>
    <row r="1170" spans="1:16" hidden="1" x14ac:dyDescent="0.15">
      <c r="A1170" s="286">
        <v>745911</v>
      </c>
      <c r="B1170" s="288">
        <v>45538.44027777778</v>
      </c>
      <c r="C1170" s="286" t="s">
        <v>2132</v>
      </c>
      <c r="D1170" s="286" t="s">
        <v>1105</v>
      </c>
      <c r="E1170" s="286" t="s">
        <v>1106</v>
      </c>
      <c r="F1170" s="286" t="s">
        <v>2139</v>
      </c>
      <c r="G1170" s="286" t="s">
        <v>1024</v>
      </c>
      <c r="H1170" s="286" t="s">
        <v>1024</v>
      </c>
      <c r="I1170" s="286" t="s">
        <v>1199</v>
      </c>
      <c r="J1170" s="286" t="s">
        <v>53</v>
      </c>
      <c r="K1170" s="286" t="s">
        <v>53</v>
      </c>
      <c r="L1170" s="286" t="s">
        <v>53</v>
      </c>
      <c r="M1170" s="286" t="s">
        <v>53</v>
      </c>
      <c r="N1170" s="287">
        <v>2781.47</v>
      </c>
      <c r="O1170" s="294">
        <f t="shared" si="18"/>
        <v>45565</v>
      </c>
      <c r="P1170" s="286" t="s">
        <v>58</v>
      </c>
    </row>
    <row r="1171" spans="1:16" hidden="1" x14ac:dyDescent="0.15">
      <c r="A1171" s="286">
        <v>848817</v>
      </c>
      <c r="B1171" s="288">
        <v>45607.65902777778</v>
      </c>
      <c r="C1171" s="286" t="s">
        <v>2130</v>
      </c>
      <c r="D1171" s="286" t="s">
        <v>1105</v>
      </c>
      <c r="E1171" s="286" t="s">
        <v>1106</v>
      </c>
      <c r="F1171" s="286" t="s">
        <v>2140</v>
      </c>
      <c r="G1171" s="286" t="s">
        <v>1024</v>
      </c>
      <c r="H1171" s="286" t="s">
        <v>1024</v>
      </c>
      <c r="I1171" s="286" t="s">
        <v>1199</v>
      </c>
      <c r="J1171" s="286" t="s">
        <v>53</v>
      </c>
      <c r="K1171" s="286" t="s">
        <v>53</v>
      </c>
      <c r="L1171" s="286" t="s">
        <v>53</v>
      </c>
      <c r="M1171" s="286" t="s">
        <v>53</v>
      </c>
      <c r="N1171" s="287">
        <v>2781.44</v>
      </c>
      <c r="O1171" s="294">
        <f t="shared" si="18"/>
        <v>45626</v>
      </c>
      <c r="P1171" s="286" t="s">
        <v>58</v>
      </c>
    </row>
    <row r="1172" spans="1:16" hidden="1" x14ac:dyDescent="0.15">
      <c r="A1172" s="286">
        <v>549197</v>
      </c>
      <c r="B1172" s="288">
        <v>45400.42083333333</v>
      </c>
      <c r="C1172" s="286" t="s">
        <v>2096</v>
      </c>
      <c r="D1172" s="286" t="s">
        <v>1105</v>
      </c>
      <c r="E1172" s="286" t="s">
        <v>1106</v>
      </c>
      <c r="F1172" s="286" t="s">
        <v>2327</v>
      </c>
      <c r="G1172" s="286" t="s">
        <v>1831</v>
      </c>
      <c r="H1172" s="286" t="s">
        <v>1831</v>
      </c>
      <c r="I1172" s="286" t="s">
        <v>1129</v>
      </c>
      <c r="J1172" s="286" t="s">
        <v>1312</v>
      </c>
      <c r="K1172" s="286" t="s">
        <v>960</v>
      </c>
      <c r="L1172" s="286" t="s">
        <v>1461</v>
      </c>
      <c r="M1172" s="286">
        <v>2</v>
      </c>
      <c r="N1172" s="287">
        <v>2730.2</v>
      </c>
      <c r="O1172" s="294">
        <f t="shared" si="18"/>
        <v>45412</v>
      </c>
      <c r="P1172" s="286" t="s">
        <v>164</v>
      </c>
    </row>
    <row r="1173" spans="1:16" hidden="1" x14ac:dyDescent="0.15">
      <c r="A1173" s="286">
        <v>520707</v>
      </c>
      <c r="B1173" s="288">
        <v>45372.549305555556</v>
      </c>
      <c r="C1173" s="286" t="s">
        <v>2113</v>
      </c>
      <c r="D1173" s="286" t="s">
        <v>1105</v>
      </c>
      <c r="E1173" s="286" t="s">
        <v>1106</v>
      </c>
      <c r="F1173" s="286" t="s">
        <v>2328</v>
      </c>
      <c r="G1173" s="286" t="s">
        <v>1079</v>
      </c>
      <c r="H1173" s="286" t="s">
        <v>1079</v>
      </c>
      <c r="I1173" s="286" t="s">
        <v>1152</v>
      </c>
      <c r="J1173" s="286" t="s">
        <v>1312</v>
      </c>
      <c r="K1173" s="286" t="s">
        <v>2302</v>
      </c>
      <c r="L1173" s="286" t="s">
        <v>2303</v>
      </c>
      <c r="M1173" s="286">
        <v>2</v>
      </c>
      <c r="N1173" s="287">
        <v>2726</v>
      </c>
      <c r="O1173" s="294">
        <f t="shared" si="18"/>
        <v>45382</v>
      </c>
      <c r="P1173" s="286" t="s">
        <v>58</v>
      </c>
    </row>
    <row r="1174" spans="1:16" hidden="1" x14ac:dyDescent="0.15">
      <c r="A1174" s="286">
        <v>520707</v>
      </c>
      <c r="B1174" s="288">
        <v>45372.549305555556</v>
      </c>
      <c r="C1174" s="286" t="s">
        <v>2113</v>
      </c>
      <c r="D1174" s="286" t="s">
        <v>1105</v>
      </c>
      <c r="E1174" s="286" t="s">
        <v>1106</v>
      </c>
      <c r="F1174" s="286" t="s">
        <v>2328</v>
      </c>
      <c r="G1174" s="286" t="s">
        <v>1079</v>
      </c>
      <c r="H1174" s="286" t="s">
        <v>1079</v>
      </c>
      <c r="I1174" s="286" t="s">
        <v>1152</v>
      </c>
      <c r="J1174" s="286" t="s">
        <v>1312</v>
      </c>
      <c r="K1174" s="286" t="s">
        <v>2302</v>
      </c>
      <c r="L1174" s="286" t="s">
        <v>2303</v>
      </c>
      <c r="M1174" s="286">
        <v>2</v>
      </c>
      <c r="N1174" s="287">
        <v>2726</v>
      </c>
      <c r="O1174" s="294">
        <f t="shared" si="18"/>
        <v>45382</v>
      </c>
      <c r="P1174" s="286" t="s">
        <v>58</v>
      </c>
    </row>
    <row r="1175" spans="1:16" hidden="1" x14ac:dyDescent="0.15">
      <c r="A1175" s="286">
        <v>520808</v>
      </c>
      <c r="B1175" s="288">
        <v>45372.56527777778</v>
      </c>
      <c r="C1175" s="286" t="s">
        <v>2109</v>
      </c>
      <c r="D1175" s="286" t="s">
        <v>1105</v>
      </c>
      <c r="E1175" s="286" t="s">
        <v>1106</v>
      </c>
      <c r="F1175" s="286" t="s">
        <v>2329</v>
      </c>
      <c r="G1175" s="286" t="s">
        <v>1079</v>
      </c>
      <c r="H1175" s="286" t="s">
        <v>1079</v>
      </c>
      <c r="I1175" s="286" t="s">
        <v>1152</v>
      </c>
      <c r="J1175" s="286" t="s">
        <v>1312</v>
      </c>
      <c r="K1175" s="286" t="s">
        <v>2302</v>
      </c>
      <c r="L1175" s="286" t="s">
        <v>2303</v>
      </c>
      <c r="M1175" s="286">
        <v>2</v>
      </c>
      <c r="N1175" s="287">
        <v>2726</v>
      </c>
      <c r="O1175" s="294">
        <f t="shared" si="18"/>
        <v>45382</v>
      </c>
      <c r="P1175" s="286" t="s">
        <v>58</v>
      </c>
    </row>
    <row r="1176" spans="1:16" hidden="1" x14ac:dyDescent="0.15">
      <c r="A1176" s="286">
        <v>534207</v>
      </c>
      <c r="B1176" s="288">
        <v>45385.750694444447</v>
      </c>
      <c r="C1176" s="286" t="s">
        <v>2096</v>
      </c>
      <c r="D1176" s="286" t="s">
        <v>1105</v>
      </c>
      <c r="E1176" s="286" t="s">
        <v>1106</v>
      </c>
      <c r="F1176" s="286" t="s">
        <v>2155</v>
      </c>
      <c r="G1176" s="286" t="s">
        <v>1079</v>
      </c>
      <c r="H1176" s="286" t="s">
        <v>1079</v>
      </c>
      <c r="I1176" s="286" t="s">
        <v>1152</v>
      </c>
      <c r="J1176" s="286" t="s">
        <v>1312</v>
      </c>
      <c r="K1176" s="286" t="s">
        <v>2302</v>
      </c>
      <c r="L1176" s="286" t="s">
        <v>2303</v>
      </c>
      <c r="M1176" s="286">
        <v>2</v>
      </c>
      <c r="N1176" s="287">
        <v>2726</v>
      </c>
      <c r="O1176" s="294">
        <f t="shared" si="18"/>
        <v>45412</v>
      </c>
      <c r="P1176" s="286" t="s">
        <v>58</v>
      </c>
    </row>
    <row r="1177" spans="1:16" hidden="1" x14ac:dyDescent="0.15">
      <c r="A1177" s="286">
        <v>614216</v>
      </c>
      <c r="B1177" s="288">
        <v>45455.716666666667</v>
      </c>
      <c r="C1177" s="286" t="s">
        <v>2116</v>
      </c>
      <c r="D1177" s="286" t="s">
        <v>1105</v>
      </c>
      <c r="E1177" s="286" t="s">
        <v>1106</v>
      </c>
      <c r="F1177" s="286" t="s">
        <v>2156</v>
      </c>
      <c r="G1177" s="286" t="s">
        <v>1079</v>
      </c>
      <c r="H1177" s="286" t="s">
        <v>1079</v>
      </c>
      <c r="I1177" s="286" t="s">
        <v>1152</v>
      </c>
      <c r="J1177" s="286" t="s">
        <v>1312</v>
      </c>
      <c r="K1177" s="286" t="s">
        <v>2302</v>
      </c>
      <c r="L1177" s="286" t="s">
        <v>2303</v>
      </c>
      <c r="M1177" s="286">
        <v>2</v>
      </c>
      <c r="N1177" s="287">
        <v>2726</v>
      </c>
      <c r="O1177" s="294">
        <f t="shared" si="18"/>
        <v>45473</v>
      </c>
      <c r="P1177" s="286" t="s">
        <v>58</v>
      </c>
    </row>
    <row r="1178" spans="1:16" hidden="1" x14ac:dyDescent="0.15">
      <c r="A1178" s="286">
        <v>614316</v>
      </c>
      <c r="B1178" s="288">
        <v>45455.717361111114</v>
      </c>
      <c r="C1178" s="286" t="s">
        <v>2092</v>
      </c>
      <c r="D1178" s="286" t="s">
        <v>1105</v>
      </c>
      <c r="E1178" s="286" t="s">
        <v>1106</v>
      </c>
      <c r="F1178" s="286" t="s">
        <v>2167</v>
      </c>
      <c r="G1178" s="286" t="s">
        <v>1079</v>
      </c>
      <c r="H1178" s="286" t="s">
        <v>1079</v>
      </c>
      <c r="I1178" s="286" t="s">
        <v>1152</v>
      </c>
      <c r="J1178" s="286" t="s">
        <v>1312</v>
      </c>
      <c r="K1178" s="286" t="s">
        <v>2302</v>
      </c>
      <c r="L1178" s="286" t="s">
        <v>2303</v>
      </c>
      <c r="M1178" s="286">
        <v>2</v>
      </c>
      <c r="N1178" s="287">
        <v>2726</v>
      </c>
      <c r="O1178" s="294">
        <f t="shared" si="18"/>
        <v>45473</v>
      </c>
      <c r="P1178" s="286" t="s">
        <v>58</v>
      </c>
    </row>
    <row r="1179" spans="1:16" hidden="1" x14ac:dyDescent="0.15">
      <c r="A1179" s="286">
        <v>646075</v>
      </c>
      <c r="B1179" s="288">
        <v>45474.519444444442</v>
      </c>
      <c r="C1179" s="286" t="s">
        <v>2111</v>
      </c>
      <c r="D1179" s="286" t="s">
        <v>1105</v>
      </c>
      <c r="E1179" s="286" t="s">
        <v>1106</v>
      </c>
      <c r="F1179" s="286" t="s">
        <v>2137</v>
      </c>
      <c r="G1179" s="286" t="s">
        <v>1079</v>
      </c>
      <c r="H1179" s="286" t="s">
        <v>1079</v>
      </c>
      <c r="I1179" s="286" t="s">
        <v>1152</v>
      </c>
      <c r="J1179" s="286" t="s">
        <v>1312</v>
      </c>
      <c r="K1179" s="286" t="s">
        <v>2302</v>
      </c>
      <c r="L1179" s="286" t="s">
        <v>2303</v>
      </c>
      <c r="M1179" s="286">
        <v>2</v>
      </c>
      <c r="N1179" s="287">
        <v>2726</v>
      </c>
      <c r="O1179" s="294">
        <f t="shared" si="18"/>
        <v>45504</v>
      </c>
      <c r="P1179" s="286" t="s">
        <v>58</v>
      </c>
    </row>
    <row r="1180" spans="1:16" hidden="1" x14ac:dyDescent="0.15">
      <c r="A1180" s="286">
        <v>697810</v>
      </c>
      <c r="B1180" s="288">
        <v>45510.366666666669</v>
      </c>
      <c r="C1180" s="286" t="s">
        <v>2102</v>
      </c>
      <c r="D1180" s="286" t="s">
        <v>1105</v>
      </c>
      <c r="E1180" s="286" t="s">
        <v>1106</v>
      </c>
      <c r="F1180" s="286" t="s">
        <v>2138</v>
      </c>
      <c r="G1180" s="286" t="s">
        <v>1079</v>
      </c>
      <c r="H1180" s="286" t="s">
        <v>1079</v>
      </c>
      <c r="I1180" s="286" t="s">
        <v>1152</v>
      </c>
      <c r="J1180" s="286" t="s">
        <v>1312</v>
      </c>
      <c r="K1180" s="286" t="s">
        <v>2302</v>
      </c>
      <c r="L1180" s="286" t="s">
        <v>2303</v>
      </c>
      <c r="M1180" s="286">
        <v>2</v>
      </c>
      <c r="N1180" s="287">
        <v>2726</v>
      </c>
      <c r="O1180" s="294">
        <f t="shared" si="18"/>
        <v>45535</v>
      </c>
      <c r="P1180" s="286" t="s">
        <v>58</v>
      </c>
    </row>
    <row r="1181" spans="1:16" hidden="1" x14ac:dyDescent="0.15">
      <c r="A1181" s="286">
        <v>745911</v>
      </c>
      <c r="B1181" s="288">
        <v>45538.44027777778</v>
      </c>
      <c r="C1181" s="286" t="s">
        <v>2132</v>
      </c>
      <c r="D1181" s="286" t="s">
        <v>1105</v>
      </c>
      <c r="E1181" s="286" t="s">
        <v>1106</v>
      </c>
      <c r="F1181" s="286" t="s">
        <v>2139</v>
      </c>
      <c r="G1181" s="286" t="s">
        <v>1079</v>
      </c>
      <c r="H1181" s="286" t="s">
        <v>1079</v>
      </c>
      <c r="I1181" s="286" t="s">
        <v>1152</v>
      </c>
      <c r="J1181" s="286" t="s">
        <v>1312</v>
      </c>
      <c r="K1181" s="286" t="s">
        <v>2302</v>
      </c>
      <c r="L1181" s="286" t="s">
        <v>2303</v>
      </c>
      <c r="M1181" s="286">
        <v>2</v>
      </c>
      <c r="N1181" s="287">
        <v>2726</v>
      </c>
      <c r="O1181" s="294">
        <f t="shared" si="18"/>
        <v>45565</v>
      </c>
      <c r="P1181" s="286" t="s">
        <v>58</v>
      </c>
    </row>
    <row r="1182" spans="1:16" hidden="1" x14ac:dyDescent="0.15">
      <c r="A1182" s="286">
        <v>848817</v>
      </c>
      <c r="B1182" s="288">
        <v>45607.65902777778</v>
      </c>
      <c r="C1182" s="286" t="s">
        <v>2130</v>
      </c>
      <c r="D1182" s="286" t="s">
        <v>1105</v>
      </c>
      <c r="E1182" s="286" t="s">
        <v>1106</v>
      </c>
      <c r="F1182" s="286" t="s">
        <v>2140</v>
      </c>
      <c r="G1182" s="286" t="s">
        <v>1079</v>
      </c>
      <c r="H1182" s="286" t="s">
        <v>1079</v>
      </c>
      <c r="I1182" s="286" t="s">
        <v>1152</v>
      </c>
      <c r="J1182" s="286" t="s">
        <v>1312</v>
      </c>
      <c r="K1182" s="286" t="s">
        <v>2302</v>
      </c>
      <c r="L1182" s="286" t="s">
        <v>2303</v>
      </c>
      <c r="M1182" s="286">
        <v>2</v>
      </c>
      <c r="N1182" s="287">
        <v>2726</v>
      </c>
      <c r="O1182" s="294">
        <f t="shared" si="18"/>
        <v>45626</v>
      </c>
      <c r="P1182" s="286" t="s">
        <v>58</v>
      </c>
    </row>
    <row r="1183" spans="1:16" hidden="1" x14ac:dyDescent="0.15">
      <c r="A1183" s="286">
        <v>848917</v>
      </c>
      <c r="B1183" s="288">
        <v>45607.660416666666</v>
      </c>
      <c r="C1183" s="286" t="s">
        <v>2100</v>
      </c>
      <c r="D1183" s="286" t="s">
        <v>1105</v>
      </c>
      <c r="E1183" s="286" t="s">
        <v>1106</v>
      </c>
      <c r="F1183" s="286" t="s">
        <v>2141</v>
      </c>
      <c r="G1183" s="286" t="s">
        <v>1079</v>
      </c>
      <c r="H1183" s="286" t="s">
        <v>1079</v>
      </c>
      <c r="I1183" s="286" t="s">
        <v>1152</v>
      </c>
      <c r="J1183" s="286" t="s">
        <v>1312</v>
      </c>
      <c r="K1183" s="286" t="s">
        <v>2302</v>
      </c>
      <c r="L1183" s="286" t="s">
        <v>2303</v>
      </c>
      <c r="M1183" s="286">
        <v>2</v>
      </c>
      <c r="N1183" s="287">
        <v>2726</v>
      </c>
      <c r="O1183" s="294">
        <f t="shared" si="18"/>
        <v>45626</v>
      </c>
      <c r="P1183" s="286" t="s">
        <v>58</v>
      </c>
    </row>
    <row r="1184" spans="1:16" hidden="1" x14ac:dyDescent="0.15">
      <c r="A1184" s="286">
        <v>874698</v>
      </c>
      <c r="B1184" s="288">
        <v>45628.357638888891</v>
      </c>
      <c r="C1184" s="286" t="s">
        <v>2098</v>
      </c>
      <c r="D1184" s="286" t="s">
        <v>1105</v>
      </c>
      <c r="E1184" s="286" t="s">
        <v>1106</v>
      </c>
      <c r="F1184" s="286" t="s">
        <v>2142</v>
      </c>
      <c r="G1184" s="286" t="s">
        <v>1079</v>
      </c>
      <c r="H1184" s="286" t="s">
        <v>1079</v>
      </c>
      <c r="I1184" s="286" t="s">
        <v>1152</v>
      </c>
      <c r="J1184" s="286" t="s">
        <v>1312</v>
      </c>
      <c r="K1184" s="286" t="s">
        <v>2302</v>
      </c>
      <c r="L1184" s="286" t="s">
        <v>2303</v>
      </c>
      <c r="M1184" s="286">
        <v>2</v>
      </c>
      <c r="N1184" s="287">
        <v>2726</v>
      </c>
      <c r="O1184" s="294">
        <f t="shared" si="18"/>
        <v>45657</v>
      </c>
      <c r="P1184" s="286" t="s">
        <v>58</v>
      </c>
    </row>
    <row r="1185" spans="1:16" hidden="1" x14ac:dyDescent="0.15">
      <c r="A1185" s="286">
        <v>665246</v>
      </c>
      <c r="B1185" s="288">
        <v>45489.452777777777</v>
      </c>
      <c r="C1185" s="286" t="s">
        <v>2111</v>
      </c>
      <c r="D1185" s="286" t="s">
        <v>1105</v>
      </c>
      <c r="E1185" s="286" t="s">
        <v>1106</v>
      </c>
      <c r="F1185" s="286" t="s">
        <v>2330</v>
      </c>
      <c r="G1185" s="286" t="s">
        <v>1068</v>
      </c>
      <c r="H1185" s="286" t="s">
        <v>1068</v>
      </c>
      <c r="I1185" s="286" t="s">
        <v>1152</v>
      </c>
      <c r="J1185" s="286" t="s">
        <v>1312</v>
      </c>
      <c r="K1185" s="286" t="s">
        <v>1957</v>
      </c>
      <c r="L1185" s="286" t="s">
        <v>1958</v>
      </c>
      <c r="M1185" s="286">
        <v>1</v>
      </c>
      <c r="N1185" s="287">
        <v>2665.06</v>
      </c>
      <c r="O1185" s="294">
        <f t="shared" si="18"/>
        <v>45504</v>
      </c>
      <c r="P1185" s="286" t="s">
        <v>58</v>
      </c>
    </row>
    <row r="1186" spans="1:16" hidden="1" x14ac:dyDescent="0.15">
      <c r="A1186" s="286">
        <v>679026</v>
      </c>
      <c r="B1186" s="288">
        <v>45497.402777777781</v>
      </c>
      <c r="C1186" s="286" t="s">
        <v>2111</v>
      </c>
      <c r="D1186" s="286" t="s">
        <v>1105</v>
      </c>
      <c r="E1186" s="286" t="s">
        <v>1106</v>
      </c>
      <c r="F1186" s="286" t="s">
        <v>2331</v>
      </c>
      <c r="G1186" s="286" t="s">
        <v>1068</v>
      </c>
      <c r="H1186" s="286" t="s">
        <v>1068</v>
      </c>
      <c r="I1186" s="286" t="s">
        <v>1152</v>
      </c>
      <c r="J1186" s="286" t="s">
        <v>1312</v>
      </c>
      <c r="K1186" s="286" t="s">
        <v>1957</v>
      </c>
      <c r="L1186" s="286" t="s">
        <v>1958</v>
      </c>
      <c r="M1186" s="286">
        <v>1</v>
      </c>
      <c r="N1186" s="287">
        <v>2665.06</v>
      </c>
      <c r="O1186" s="294">
        <f t="shared" si="18"/>
        <v>45504</v>
      </c>
      <c r="P1186" s="286" t="s">
        <v>58</v>
      </c>
    </row>
    <row r="1187" spans="1:16" hidden="1" x14ac:dyDescent="0.15">
      <c r="A1187" s="286">
        <v>504817</v>
      </c>
      <c r="B1187" s="288">
        <v>45359.645138888889</v>
      </c>
      <c r="C1187" s="286" t="s">
        <v>2109</v>
      </c>
      <c r="D1187" s="286" t="s">
        <v>1105</v>
      </c>
      <c r="E1187" s="286" t="s">
        <v>1106</v>
      </c>
      <c r="F1187" s="286" t="s">
        <v>2154</v>
      </c>
      <c r="G1187" s="286" t="s">
        <v>1008</v>
      </c>
      <c r="H1187" s="286" t="s">
        <v>1008</v>
      </c>
      <c r="I1187" s="286" t="s">
        <v>1199</v>
      </c>
      <c r="J1187" s="286" t="s">
        <v>1312</v>
      </c>
      <c r="K1187" s="286" t="s">
        <v>53</v>
      </c>
      <c r="L1187" s="286" t="s">
        <v>53</v>
      </c>
      <c r="M1187" s="286" t="s">
        <v>53</v>
      </c>
      <c r="N1187" s="287">
        <v>2659.58</v>
      </c>
      <c r="O1187" s="294">
        <f t="shared" si="18"/>
        <v>45382</v>
      </c>
      <c r="P1187" s="286" t="s">
        <v>58</v>
      </c>
    </row>
    <row r="1188" spans="1:16" hidden="1" x14ac:dyDescent="0.15">
      <c r="A1188" s="286">
        <v>504817</v>
      </c>
      <c r="B1188" s="288">
        <v>45359.645138888889</v>
      </c>
      <c r="C1188" s="286" t="s">
        <v>2109</v>
      </c>
      <c r="D1188" s="286" t="s">
        <v>1105</v>
      </c>
      <c r="E1188" s="286" t="s">
        <v>1106</v>
      </c>
      <c r="F1188" s="286" t="s">
        <v>2154</v>
      </c>
      <c r="G1188" s="286" t="s">
        <v>1008</v>
      </c>
      <c r="H1188" s="286" t="s">
        <v>1008</v>
      </c>
      <c r="I1188" s="286" t="s">
        <v>1228</v>
      </c>
      <c r="J1188" s="286" t="s">
        <v>53</v>
      </c>
      <c r="K1188" s="286" t="s">
        <v>53</v>
      </c>
      <c r="L1188" s="286" t="s">
        <v>53</v>
      </c>
      <c r="M1188" s="286" t="s">
        <v>53</v>
      </c>
      <c r="N1188" s="287">
        <v>2659.58</v>
      </c>
      <c r="O1188" s="294">
        <f t="shared" si="18"/>
        <v>45382</v>
      </c>
      <c r="P1188" s="286" t="s">
        <v>58</v>
      </c>
    </row>
    <row r="1189" spans="1:16" hidden="1" x14ac:dyDescent="0.15">
      <c r="A1189" s="286">
        <v>697810</v>
      </c>
      <c r="B1189" s="288">
        <v>45510.366666666669</v>
      </c>
      <c r="C1189" s="286" t="s">
        <v>2102</v>
      </c>
      <c r="D1189" s="286" t="s">
        <v>1105</v>
      </c>
      <c r="E1189" s="286" t="s">
        <v>1106</v>
      </c>
      <c r="F1189" s="286" t="s">
        <v>2138</v>
      </c>
      <c r="G1189" s="286" t="s">
        <v>1023</v>
      </c>
      <c r="H1189" s="286" t="s">
        <v>1023</v>
      </c>
      <c r="I1189" s="286" t="s">
        <v>1199</v>
      </c>
      <c r="J1189" s="286" t="s">
        <v>1312</v>
      </c>
      <c r="K1189" s="286" t="s">
        <v>1796</v>
      </c>
      <c r="L1189" s="286" t="s">
        <v>672</v>
      </c>
      <c r="M1189" s="286">
        <v>1</v>
      </c>
      <c r="N1189" s="287">
        <v>2651.52</v>
      </c>
      <c r="O1189" s="294">
        <f t="shared" si="18"/>
        <v>45535</v>
      </c>
      <c r="P1189" s="286" t="s">
        <v>58</v>
      </c>
    </row>
    <row r="1190" spans="1:16" hidden="1" x14ac:dyDescent="0.15">
      <c r="A1190" s="286">
        <v>697810</v>
      </c>
      <c r="B1190" s="288">
        <v>45510.366666666669</v>
      </c>
      <c r="C1190" s="286" t="s">
        <v>2102</v>
      </c>
      <c r="D1190" s="286" t="s">
        <v>1105</v>
      </c>
      <c r="E1190" s="286" t="s">
        <v>1106</v>
      </c>
      <c r="F1190" s="286" t="s">
        <v>2138</v>
      </c>
      <c r="G1190" s="286" t="s">
        <v>1023</v>
      </c>
      <c r="H1190" s="286" t="s">
        <v>1023</v>
      </c>
      <c r="I1190" s="286" t="s">
        <v>1199</v>
      </c>
      <c r="J1190" s="286" t="s">
        <v>1312</v>
      </c>
      <c r="K1190" s="286" t="s">
        <v>1797</v>
      </c>
      <c r="L1190" s="286" t="s">
        <v>672</v>
      </c>
      <c r="M1190" s="286">
        <v>1</v>
      </c>
      <c r="N1190" s="287">
        <v>2651.52</v>
      </c>
      <c r="O1190" s="294">
        <f t="shared" si="18"/>
        <v>45535</v>
      </c>
      <c r="P1190" s="286" t="s">
        <v>58</v>
      </c>
    </row>
    <row r="1191" spans="1:16" hidden="1" x14ac:dyDescent="0.15">
      <c r="A1191" s="286">
        <v>764381</v>
      </c>
      <c r="B1191" s="288">
        <v>45546.6875</v>
      </c>
      <c r="C1191" s="286" t="s">
        <v>2132</v>
      </c>
      <c r="D1191" s="286" t="s">
        <v>1105</v>
      </c>
      <c r="E1191" s="286" t="s">
        <v>1106</v>
      </c>
      <c r="F1191" s="286" t="s">
        <v>2321</v>
      </c>
      <c r="G1191" s="286" t="s">
        <v>1059</v>
      </c>
      <c r="H1191" s="286" t="s">
        <v>1059</v>
      </c>
      <c r="I1191" s="286" t="s">
        <v>1129</v>
      </c>
      <c r="J1191" s="286" t="s">
        <v>1312</v>
      </c>
      <c r="K1191" s="286" t="s">
        <v>1815</v>
      </c>
      <c r="L1191" s="286" t="s">
        <v>1816</v>
      </c>
      <c r="M1191" s="286">
        <v>1</v>
      </c>
      <c r="N1191" s="287">
        <v>2643.94</v>
      </c>
      <c r="O1191" s="294">
        <f t="shared" si="18"/>
        <v>45565</v>
      </c>
      <c r="P1191" s="286" t="s">
        <v>164</v>
      </c>
    </row>
    <row r="1192" spans="1:16" hidden="1" x14ac:dyDescent="0.15">
      <c r="A1192" s="286">
        <v>578060</v>
      </c>
      <c r="B1192" s="288">
        <v>45426.430555555555</v>
      </c>
      <c r="C1192" s="286" t="s">
        <v>2096</v>
      </c>
      <c r="D1192" s="286" t="s">
        <v>1105</v>
      </c>
      <c r="E1192" s="286" t="s">
        <v>1106</v>
      </c>
      <c r="F1192" s="286" t="s">
        <v>2115</v>
      </c>
      <c r="G1192" s="286" t="s">
        <v>1037</v>
      </c>
      <c r="H1192" s="286" t="s">
        <v>1037</v>
      </c>
      <c r="I1192" s="286" t="s">
        <v>1235</v>
      </c>
      <c r="J1192" s="286" t="s">
        <v>1312</v>
      </c>
      <c r="K1192" s="286" t="s">
        <v>2332</v>
      </c>
      <c r="L1192" s="286" t="s">
        <v>791</v>
      </c>
      <c r="M1192" s="286">
        <v>1</v>
      </c>
      <c r="N1192" s="287">
        <v>2630</v>
      </c>
      <c r="O1192" s="294">
        <f t="shared" si="18"/>
        <v>45443</v>
      </c>
      <c r="P1192" s="286" t="s">
        <v>180</v>
      </c>
    </row>
    <row r="1193" spans="1:16" hidden="1" x14ac:dyDescent="0.15">
      <c r="A1193" s="286">
        <v>785030</v>
      </c>
      <c r="B1193" s="288">
        <v>45559.581944444442</v>
      </c>
      <c r="C1193" s="286" t="s">
        <v>2132</v>
      </c>
      <c r="D1193" s="286" t="s">
        <v>1105</v>
      </c>
      <c r="E1193" s="286" t="s">
        <v>1106</v>
      </c>
      <c r="F1193" s="286" t="s">
        <v>2162</v>
      </c>
      <c r="G1193" s="286" t="s">
        <v>1004</v>
      </c>
      <c r="H1193" s="286" t="s">
        <v>1004</v>
      </c>
      <c r="I1193" s="286" t="s">
        <v>1199</v>
      </c>
      <c r="J1193" s="286" t="s">
        <v>1312</v>
      </c>
      <c r="K1193" s="286" t="s">
        <v>53</v>
      </c>
      <c r="L1193" s="286" t="s">
        <v>53</v>
      </c>
      <c r="M1193" s="286" t="s">
        <v>53</v>
      </c>
      <c r="N1193" s="287">
        <v>2624.35</v>
      </c>
      <c r="O1193" s="294">
        <f t="shared" si="18"/>
        <v>45565</v>
      </c>
      <c r="P1193" s="286" t="s">
        <v>58</v>
      </c>
    </row>
    <row r="1194" spans="1:16" hidden="1" x14ac:dyDescent="0.15">
      <c r="A1194" s="286">
        <v>821955</v>
      </c>
      <c r="B1194" s="288">
        <v>45587.62777777778</v>
      </c>
      <c r="C1194" s="286" t="s">
        <v>2130</v>
      </c>
      <c r="D1194" s="286" t="s">
        <v>1105</v>
      </c>
      <c r="E1194" s="286" t="s">
        <v>1106</v>
      </c>
      <c r="F1194" s="286" t="s">
        <v>2163</v>
      </c>
      <c r="G1194" s="286" t="s">
        <v>1004</v>
      </c>
      <c r="H1194" s="286" t="s">
        <v>1004</v>
      </c>
      <c r="I1194" s="286" t="s">
        <v>1199</v>
      </c>
      <c r="J1194" s="286" t="s">
        <v>1312</v>
      </c>
      <c r="K1194" s="286" t="s">
        <v>53</v>
      </c>
      <c r="L1194" s="286" t="s">
        <v>53</v>
      </c>
      <c r="M1194" s="286" t="s">
        <v>53</v>
      </c>
      <c r="N1194" s="287">
        <v>2624.35</v>
      </c>
      <c r="O1194" s="294">
        <f t="shared" si="18"/>
        <v>45596</v>
      </c>
      <c r="P1194" s="286" t="s">
        <v>58</v>
      </c>
    </row>
    <row r="1195" spans="1:16" hidden="1" x14ac:dyDescent="0.15">
      <c r="A1195" s="286">
        <v>874698</v>
      </c>
      <c r="B1195" s="288">
        <v>45628.357638888891</v>
      </c>
      <c r="C1195" s="286" t="s">
        <v>2098</v>
      </c>
      <c r="D1195" s="286" t="s">
        <v>1105</v>
      </c>
      <c r="E1195" s="286" t="s">
        <v>1106</v>
      </c>
      <c r="F1195" s="286" t="s">
        <v>2142</v>
      </c>
      <c r="G1195" s="286" t="s">
        <v>1052</v>
      </c>
      <c r="H1195" s="286" t="s">
        <v>1052</v>
      </c>
      <c r="I1195" s="286" t="s">
        <v>1228</v>
      </c>
      <c r="J1195" s="286" t="s">
        <v>1312</v>
      </c>
      <c r="K1195" s="286" t="s">
        <v>1770</v>
      </c>
      <c r="L1195" s="286" t="s">
        <v>672</v>
      </c>
      <c r="M1195" s="286">
        <v>2</v>
      </c>
      <c r="N1195" s="287">
        <v>2615.41</v>
      </c>
      <c r="O1195" s="294">
        <f t="shared" si="18"/>
        <v>45657</v>
      </c>
      <c r="P1195" s="286" t="s">
        <v>58</v>
      </c>
    </row>
    <row r="1196" spans="1:16" hidden="1" x14ac:dyDescent="0.15">
      <c r="A1196" s="286">
        <v>706952</v>
      </c>
      <c r="B1196" s="288">
        <v>45513.677777777775</v>
      </c>
      <c r="C1196" s="286" t="s">
        <v>2102</v>
      </c>
      <c r="D1196" s="286" t="s">
        <v>1105</v>
      </c>
      <c r="E1196" s="286" t="s">
        <v>1106</v>
      </c>
      <c r="F1196" s="286" t="s">
        <v>2199</v>
      </c>
      <c r="G1196" s="286" t="s">
        <v>1035</v>
      </c>
      <c r="H1196" s="286" t="s">
        <v>1035</v>
      </c>
      <c r="I1196" s="286" t="s">
        <v>1301</v>
      </c>
      <c r="J1196" s="286" t="s">
        <v>1312</v>
      </c>
      <c r="K1196" s="286" t="s">
        <v>56</v>
      </c>
      <c r="L1196" s="286" t="s">
        <v>71</v>
      </c>
      <c r="M1196" s="286">
        <v>1</v>
      </c>
      <c r="N1196" s="287">
        <v>2593</v>
      </c>
      <c r="O1196" s="294">
        <f t="shared" si="18"/>
        <v>45535</v>
      </c>
      <c r="P1196" s="286" t="s">
        <v>55</v>
      </c>
    </row>
    <row r="1197" spans="1:16" hidden="1" x14ac:dyDescent="0.15">
      <c r="A1197" s="286">
        <v>453975</v>
      </c>
      <c r="B1197" s="288">
        <v>45309.636111111111</v>
      </c>
      <c r="C1197" s="286" t="s">
        <v>2125</v>
      </c>
      <c r="D1197" s="286" t="s">
        <v>1105</v>
      </c>
      <c r="E1197" s="286" t="s">
        <v>1106</v>
      </c>
      <c r="F1197" s="286" t="s">
        <v>2333</v>
      </c>
      <c r="G1197" s="286" t="s">
        <v>1072</v>
      </c>
      <c r="H1197" s="286" t="s">
        <v>1072</v>
      </c>
      <c r="I1197" s="286" t="s">
        <v>1152</v>
      </c>
      <c r="J1197" s="286" t="s">
        <v>1312</v>
      </c>
      <c r="K1197" s="286" t="s">
        <v>1957</v>
      </c>
      <c r="L1197" s="286" t="s">
        <v>1958</v>
      </c>
      <c r="M1197" s="286">
        <v>1</v>
      </c>
      <c r="N1197" s="287">
        <v>2583.94</v>
      </c>
      <c r="O1197" s="294">
        <f t="shared" si="18"/>
        <v>45322</v>
      </c>
      <c r="P1197" s="286" t="s">
        <v>58</v>
      </c>
    </row>
    <row r="1198" spans="1:16" hidden="1" x14ac:dyDescent="0.15">
      <c r="A1198" s="286">
        <v>472168</v>
      </c>
      <c r="B1198" s="288">
        <v>45331.416666666664</v>
      </c>
      <c r="C1198" s="286" t="s">
        <v>2113</v>
      </c>
      <c r="D1198" s="286" t="s">
        <v>1105</v>
      </c>
      <c r="E1198" s="286" t="s">
        <v>1106</v>
      </c>
      <c r="F1198" s="286" t="s">
        <v>2153</v>
      </c>
      <c r="G1198" s="286" t="s">
        <v>1089</v>
      </c>
      <c r="H1198" s="286" t="s">
        <v>1089</v>
      </c>
      <c r="I1198" s="286" t="s">
        <v>1228</v>
      </c>
      <c r="J1198" s="286" t="s">
        <v>1312</v>
      </c>
      <c r="K1198" s="286" t="s">
        <v>2229</v>
      </c>
      <c r="L1198" s="286" t="s">
        <v>53</v>
      </c>
      <c r="M1198" s="286">
        <v>1</v>
      </c>
      <c r="N1198" s="287">
        <v>2573.27</v>
      </c>
      <c r="O1198" s="294">
        <f t="shared" si="18"/>
        <v>45351</v>
      </c>
      <c r="P1198" s="286" t="s">
        <v>58</v>
      </c>
    </row>
    <row r="1199" spans="1:16" hidden="1" x14ac:dyDescent="0.15">
      <c r="A1199" s="286">
        <v>474038</v>
      </c>
      <c r="B1199" s="288">
        <v>45334.591666666667</v>
      </c>
      <c r="C1199" s="286" t="s">
        <v>2113</v>
      </c>
      <c r="D1199" s="286" t="s">
        <v>1105</v>
      </c>
      <c r="E1199" s="286" t="s">
        <v>1106</v>
      </c>
      <c r="F1199" s="286" t="s">
        <v>2334</v>
      </c>
      <c r="G1199" s="286" t="s">
        <v>1089</v>
      </c>
      <c r="H1199" s="286" t="s">
        <v>1089</v>
      </c>
      <c r="I1199" s="286" t="s">
        <v>1228</v>
      </c>
      <c r="J1199" s="286" t="s">
        <v>1312</v>
      </c>
      <c r="K1199" s="286" t="s">
        <v>2227</v>
      </c>
      <c r="L1199" s="286" t="s">
        <v>2228</v>
      </c>
      <c r="M1199" s="286">
        <v>1</v>
      </c>
      <c r="N1199" s="287">
        <v>2573.27</v>
      </c>
      <c r="O1199" s="294">
        <f t="shared" si="18"/>
        <v>45351</v>
      </c>
      <c r="P1199" s="286" t="s">
        <v>58</v>
      </c>
    </row>
    <row r="1200" spans="1:16" hidden="1" x14ac:dyDescent="0.15">
      <c r="A1200" s="286">
        <v>651672</v>
      </c>
      <c r="B1200" s="288">
        <v>45481.448611111111</v>
      </c>
      <c r="C1200" s="286" t="s">
        <v>2092</v>
      </c>
      <c r="D1200" s="286" t="s">
        <v>1105</v>
      </c>
      <c r="E1200" s="286" t="s">
        <v>1106</v>
      </c>
      <c r="F1200" s="286" t="s">
        <v>2120</v>
      </c>
      <c r="G1200" s="286" t="s">
        <v>1050</v>
      </c>
      <c r="H1200" s="286" t="s">
        <v>1050</v>
      </c>
      <c r="I1200" s="286" t="s">
        <v>1152</v>
      </c>
      <c r="J1200" s="286" t="s">
        <v>1312</v>
      </c>
      <c r="K1200" s="286" t="s">
        <v>1652</v>
      </c>
      <c r="L1200" s="286" t="s">
        <v>1653</v>
      </c>
      <c r="M1200" s="286">
        <v>1</v>
      </c>
      <c r="N1200" s="287">
        <v>2569.9299999999998</v>
      </c>
      <c r="O1200" s="294">
        <f t="shared" si="18"/>
        <v>45504</v>
      </c>
      <c r="P1200" s="286" t="s">
        <v>58</v>
      </c>
    </row>
    <row r="1201" spans="1:16" hidden="1" x14ac:dyDescent="0.15">
      <c r="A1201" s="286">
        <v>887815</v>
      </c>
      <c r="B1201" s="288">
        <v>45635.642361111109</v>
      </c>
      <c r="C1201" s="286" t="s">
        <v>2098</v>
      </c>
      <c r="D1201" s="286" t="s">
        <v>1105</v>
      </c>
      <c r="E1201" s="286" t="s">
        <v>1106</v>
      </c>
      <c r="F1201" s="286" t="s">
        <v>2335</v>
      </c>
      <c r="G1201" s="286" t="s">
        <v>1037</v>
      </c>
      <c r="H1201" s="286" t="s">
        <v>1037</v>
      </c>
      <c r="I1201" s="286" t="s">
        <v>1152</v>
      </c>
      <c r="J1201" s="286" t="s">
        <v>1312</v>
      </c>
      <c r="K1201" s="286" t="s">
        <v>1957</v>
      </c>
      <c r="L1201" s="286" t="s">
        <v>1958</v>
      </c>
      <c r="M1201" s="286">
        <v>1</v>
      </c>
      <c r="N1201" s="287">
        <v>2569.23</v>
      </c>
      <c r="O1201" s="294">
        <f t="shared" si="18"/>
        <v>45657</v>
      </c>
      <c r="P1201" s="286" t="s">
        <v>58</v>
      </c>
    </row>
    <row r="1202" spans="1:16" hidden="1" x14ac:dyDescent="0.15">
      <c r="A1202" s="286">
        <v>898877</v>
      </c>
      <c r="B1202" s="288">
        <v>45644.552083333336</v>
      </c>
      <c r="C1202" s="286" t="s">
        <v>2098</v>
      </c>
      <c r="D1202" s="286" t="s">
        <v>1105</v>
      </c>
      <c r="E1202" s="286" t="s">
        <v>1106</v>
      </c>
      <c r="F1202" s="286" t="s">
        <v>2234</v>
      </c>
      <c r="G1202" s="286" t="s">
        <v>1037</v>
      </c>
      <c r="H1202" s="286" t="s">
        <v>1037</v>
      </c>
      <c r="I1202" s="286" t="s">
        <v>1129</v>
      </c>
      <c r="J1202" s="286" t="s">
        <v>1312</v>
      </c>
      <c r="K1202" s="286" t="s">
        <v>53</v>
      </c>
      <c r="L1202" s="286" t="s">
        <v>53</v>
      </c>
      <c r="M1202" s="286" t="s">
        <v>53</v>
      </c>
      <c r="N1202" s="287">
        <v>2569.23</v>
      </c>
      <c r="O1202" s="294">
        <f t="shared" si="18"/>
        <v>45657</v>
      </c>
      <c r="P1202" s="286" t="s">
        <v>164</v>
      </c>
    </row>
    <row r="1203" spans="1:16" hidden="1" x14ac:dyDescent="0.15">
      <c r="A1203" s="286">
        <v>438112</v>
      </c>
      <c r="B1203" s="288">
        <v>45293.53402777778</v>
      </c>
      <c r="C1203" s="286" t="s">
        <v>2125</v>
      </c>
      <c r="D1203" s="286" t="s">
        <v>1105</v>
      </c>
      <c r="E1203" s="286" t="s">
        <v>1106</v>
      </c>
      <c r="F1203" s="286" t="s">
        <v>2152</v>
      </c>
      <c r="G1203" s="286" t="s">
        <v>1083</v>
      </c>
      <c r="H1203" s="286" t="s">
        <v>1083</v>
      </c>
      <c r="I1203" s="286" t="s">
        <v>1199</v>
      </c>
      <c r="J1203" s="286" t="s">
        <v>1312</v>
      </c>
      <c r="K1203" s="286" t="s">
        <v>1828</v>
      </c>
      <c r="L1203" s="286" t="s">
        <v>672</v>
      </c>
      <c r="M1203" s="286">
        <v>1</v>
      </c>
      <c r="N1203" s="287">
        <v>2534.1999999999998</v>
      </c>
      <c r="O1203" s="294">
        <f t="shared" si="18"/>
        <v>45322</v>
      </c>
      <c r="P1203" s="286" t="s">
        <v>58</v>
      </c>
    </row>
    <row r="1204" spans="1:16" hidden="1" x14ac:dyDescent="0.15">
      <c r="A1204" s="286">
        <v>472168</v>
      </c>
      <c r="B1204" s="288">
        <v>45331.416666666664</v>
      </c>
      <c r="C1204" s="286" t="s">
        <v>2113</v>
      </c>
      <c r="D1204" s="286" t="s">
        <v>1105</v>
      </c>
      <c r="E1204" s="286" t="s">
        <v>1106</v>
      </c>
      <c r="F1204" s="286" t="s">
        <v>2153</v>
      </c>
      <c r="G1204" s="286" t="s">
        <v>1083</v>
      </c>
      <c r="H1204" s="286" t="s">
        <v>1083</v>
      </c>
      <c r="I1204" s="286" t="s">
        <v>1199</v>
      </c>
      <c r="J1204" s="286" t="s">
        <v>1312</v>
      </c>
      <c r="K1204" s="286" t="s">
        <v>1828</v>
      </c>
      <c r="L1204" s="286" t="s">
        <v>672</v>
      </c>
      <c r="M1204" s="286">
        <v>1</v>
      </c>
      <c r="N1204" s="287">
        <v>2534.1999999999998</v>
      </c>
      <c r="O1204" s="294">
        <f t="shared" si="18"/>
        <v>45351</v>
      </c>
      <c r="P1204" s="286" t="s">
        <v>58</v>
      </c>
    </row>
    <row r="1205" spans="1:16" hidden="1" x14ac:dyDescent="0.15">
      <c r="A1205" s="286">
        <v>504817</v>
      </c>
      <c r="B1205" s="288">
        <v>45359.645138888889</v>
      </c>
      <c r="C1205" s="286" t="s">
        <v>2109</v>
      </c>
      <c r="D1205" s="286" t="s">
        <v>1105</v>
      </c>
      <c r="E1205" s="286" t="s">
        <v>1106</v>
      </c>
      <c r="F1205" s="286" t="s">
        <v>2154</v>
      </c>
      <c r="G1205" s="286" t="s">
        <v>1083</v>
      </c>
      <c r="H1205" s="286" t="s">
        <v>1083</v>
      </c>
      <c r="I1205" s="286" t="s">
        <v>1199</v>
      </c>
      <c r="J1205" s="286" t="s">
        <v>1312</v>
      </c>
      <c r="K1205" s="286" t="s">
        <v>1828</v>
      </c>
      <c r="L1205" s="286" t="s">
        <v>672</v>
      </c>
      <c r="M1205" s="286">
        <v>1</v>
      </c>
      <c r="N1205" s="287">
        <v>2534.1999999999998</v>
      </c>
      <c r="O1205" s="294">
        <f t="shared" si="18"/>
        <v>45382</v>
      </c>
      <c r="P1205" s="286" t="s">
        <v>58</v>
      </c>
    </row>
    <row r="1206" spans="1:16" hidden="1" x14ac:dyDescent="0.15">
      <c r="A1206" s="286">
        <v>534207</v>
      </c>
      <c r="B1206" s="288">
        <v>45385.750694444447</v>
      </c>
      <c r="C1206" s="286" t="s">
        <v>2096</v>
      </c>
      <c r="D1206" s="286" t="s">
        <v>1105</v>
      </c>
      <c r="E1206" s="286" t="s">
        <v>1106</v>
      </c>
      <c r="F1206" s="286" t="s">
        <v>2155</v>
      </c>
      <c r="G1206" s="286" t="s">
        <v>1083</v>
      </c>
      <c r="H1206" s="286" t="s">
        <v>1083</v>
      </c>
      <c r="I1206" s="286" t="s">
        <v>1199</v>
      </c>
      <c r="J1206" s="286" t="s">
        <v>1312</v>
      </c>
      <c r="K1206" s="286" t="s">
        <v>1828</v>
      </c>
      <c r="L1206" s="286" t="s">
        <v>672</v>
      </c>
      <c r="M1206" s="286">
        <v>1</v>
      </c>
      <c r="N1206" s="287">
        <v>2534.1999999999998</v>
      </c>
      <c r="O1206" s="294">
        <f t="shared" si="18"/>
        <v>45412</v>
      </c>
      <c r="P1206" s="286" t="s">
        <v>58</v>
      </c>
    </row>
    <row r="1207" spans="1:16" hidden="1" x14ac:dyDescent="0.15">
      <c r="A1207" s="286">
        <v>614216</v>
      </c>
      <c r="B1207" s="288">
        <v>45455.716666666667</v>
      </c>
      <c r="C1207" s="286" t="s">
        <v>2116</v>
      </c>
      <c r="D1207" s="286" t="s">
        <v>1105</v>
      </c>
      <c r="E1207" s="286" t="s">
        <v>1106</v>
      </c>
      <c r="F1207" s="286" t="s">
        <v>2156</v>
      </c>
      <c r="G1207" s="286" t="s">
        <v>1083</v>
      </c>
      <c r="H1207" s="286" t="s">
        <v>1083</v>
      </c>
      <c r="I1207" s="286" t="s">
        <v>1199</v>
      </c>
      <c r="J1207" s="286" t="s">
        <v>1312</v>
      </c>
      <c r="K1207" s="286" t="s">
        <v>1828</v>
      </c>
      <c r="L1207" s="286" t="s">
        <v>672</v>
      </c>
      <c r="M1207" s="286">
        <v>1</v>
      </c>
      <c r="N1207" s="287">
        <v>2534.1999999999998</v>
      </c>
      <c r="O1207" s="294">
        <f t="shared" si="18"/>
        <v>45473</v>
      </c>
      <c r="P1207" s="286" t="s">
        <v>58</v>
      </c>
    </row>
    <row r="1208" spans="1:16" hidden="1" x14ac:dyDescent="0.15">
      <c r="A1208" s="286">
        <v>608480</v>
      </c>
      <c r="B1208" s="288">
        <v>45450.422222222223</v>
      </c>
      <c r="C1208" s="286" t="s">
        <v>2092</v>
      </c>
      <c r="D1208" s="286" t="s">
        <v>1105</v>
      </c>
      <c r="E1208" s="286" t="s">
        <v>1106</v>
      </c>
      <c r="F1208" s="286" t="s">
        <v>2157</v>
      </c>
      <c r="G1208" s="286" t="s">
        <v>1083</v>
      </c>
      <c r="H1208" s="286" t="s">
        <v>1083</v>
      </c>
      <c r="I1208" s="286" t="s">
        <v>1199</v>
      </c>
      <c r="J1208" s="286" t="s">
        <v>1312</v>
      </c>
      <c r="K1208" s="286" t="s">
        <v>1828</v>
      </c>
      <c r="L1208" s="286" t="s">
        <v>672</v>
      </c>
      <c r="M1208" s="286">
        <v>1</v>
      </c>
      <c r="N1208" s="287">
        <v>2534.1999999999998</v>
      </c>
      <c r="O1208" s="294">
        <f t="shared" si="18"/>
        <v>45473</v>
      </c>
      <c r="P1208" s="286" t="s">
        <v>58</v>
      </c>
    </row>
    <row r="1209" spans="1:16" hidden="1" x14ac:dyDescent="0.15">
      <c r="A1209" s="286">
        <v>646075</v>
      </c>
      <c r="B1209" s="288">
        <v>45474.519444444442</v>
      </c>
      <c r="C1209" s="286" t="s">
        <v>2111</v>
      </c>
      <c r="D1209" s="286" t="s">
        <v>1105</v>
      </c>
      <c r="E1209" s="286" t="s">
        <v>1106</v>
      </c>
      <c r="F1209" s="286" t="s">
        <v>2137</v>
      </c>
      <c r="G1209" s="286" t="s">
        <v>1083</v>
      </c>
      <c r="H1209" s="286" t="s">
        <v>1083</v>
      </c>
      <c r="I1209" s="286" t="s">
        <v>1199</v>
      </c>
      <c r="J1209" s="286" t="s">
        <v>1312</v>
      </c>
      <c r="K1209" s="286" t="s">
        <v>1828</v>
      </c>
      <c r="L1209" s="286" t="s">
        <v>672</v>
      </c>
      <c r="M1209" s="286">
        <v>1</v>
      </c>
      <c r="N1209" s="287">
        <v>2534.1999999999998</v>
      </c>
      <c r="O1209" s="294">
        <f t="shared" si="18"/>
        <v>45504</v>
      </c>
      <c r="P1209" s="286" t="s">
        <v>58</v>
      </c>
    </row>
    <row r="1210" spans="1:16" hidden="1" x14ac:dyDescent="0.15">
      <c r="A1210" s="286">
        <v>697810</v>
      </c>
      <c r="B1210" s="288">
        <v>45510.366666666669</v>
      </c>
      <c r="C1210" s="286" t="s">
        <v>2102</v>
      </c>
      <c r="D1210" s="286" t="s">
        <v>1105</v>
      </c>
      <c r="E1210" s="286" t="s">
        <v>1106</v>
      </c>
      <c r="F1210" s="286" t="s">
        <v>2138</v>
      </c>
      <c r="G1210" s="286" t="s">
        <v>1083</v>
      </c>
      <c r="H1210" s="286" t="s">
        <v>1083</v>
      </c>
      <c r="I1210" s="286" t="s">
        <v>1199</v>
      </c>
      <c r="J1210" s="286" t="s">
        <v>1312</v>
      </c>
      <c r="K1210" s="286" t="s">
        <v>1828</v>
      </c>
      <c r="L1210" s="286" t="s">
        <v>672</v>
      </c>
      <c r="M1210" s="286">
        <v>1</v>
      </c>
      <c r="N1210" s="287">
        <v>2534.1999999999998</v>
      </c>
      <c r="O1210" s="294">
        <f t="shared" si="18"/>
        <v>45535</v>
      </c>
      <c r="P1210" s="286" t="s">
        <v>58</v>
      </c>
    </row>
    <row r="1211" spans="1:16" hidden="1" x14ac:dyDescent="0.15">
      <c r="A1211" s="286">
        <v>745911</v>
      </c>
      <c r="B1211" s="288">
        <v>45538.44027777778</v>
      </c>
      <c r="C1211" s="286" t="s">
        <v>2132</v>
      </c>
      <c r="D1211" s="286" t="s">
        <v>1105</v>
      </c>
      <c r="E1211" s="286" t="s">
        <v>1106</v>
      </c>
      <c r="F1211" s="286" t="s">
        <v>2139</v>
      </c>
      <c r="G1211" s="286" t="s">
        <v>1083</v>
      </c>
      <c r="H1211" s="286" t="s">
        <v>1083</v>
      </c>
      <c r="I1211" s="286" t="s">
        <v>1199</v>
      </c>
      <c r="J1211" s="286" t="s">
        <v>1312</v>
      </c>
      <c r="K1211" s="286" t="s">
        <v>1828</v>
      </c>
      <c r="L1211" s="286" t="s">
        <v>672</v>
      </c>
      <c r="M1211" s="286">
        <v>1</v>
      </c>
      <c r="N1211" s="287">
        <v>2534.1999999999998</v>
      </c>
      <c r="O1211" s="294">
        <f t="shared" si="18"/>
        <v>45565</v>
      </c>
      <c r="P1211" s="286" t="s">
        <v>58</v>
      </c>
    </row>
    <row r="1212" spans="1:16" hidden="1" x14ac:dyDescent="0.15">
      <c r="A1212" s="286">
        <v>848817</v>
      </c>
      <c r="B1212" s="288">
        <v>45607.65902777778</v>
      </c>
      <c r="C1212" s="286" t="s">
        <v>2130</v>
      </c>
      <c r="D1212" s="286" t="s">
        <v>1105</v>
      </c>
      <c r="E1212" s="286" t="s">
        <v>1106</v>
      </c>
      <c r="F1212" s="286" t="s">
        <v>2140</v>
      </c>
      <c r="G1212" s="286" t="s">
        <v>1083</v>
      </c>
      <c r="H1212" s="286" t="s">
        <v>1083</v>
      </c>
      <c r="I1212" s="286" t="s">
        <v>1199</v>
      </c>
      <c r="J1212" s="286" t="s">
        <v>1312</v>
      </c>
      <c r="K1212" s="286" t="s">
        <v>1828</v>
      </c>
      <c r="L1212" s="286" t="s">
        <v>672</v>
      </c>
      <c r="M1212" s="286">
        <v>1</v>
      </c>
      <c r="N1212" s="287">
        <v>2534.1999999999998</v>
      </c>
      <c r="O1212" s="294">
        <f t="shared" si="18"/>
        <v>45626</v>
      </c>
      <c r="P1212" s="286" t="s">
        <v>58</v>
      </c>
    </row>
    <row r="1213" spans="1:16" hidden="1" x14ac:dyDescent="0.15">
      <c r="A1213" s="286">
        <v>848917</v>
      </c>
      <c r="B1213" s="288">
        <v>45607.660416666666</v>
      </c>
      <c r="C1213" s="286" t="s">
        <v>2100</v>
      </c>
      <c r="D1213" s="286" t="s">
        <v>1105</v>
      </c>
      <c r="E1213" s="286" t="s">
        <v>1106</v>
      </c>
      <c r="F1213" s="286" t="s">
        <v>2141</v>
      </c>
      <c r="G1213" s="286" t="s">
        <v>1083</v>
      </c>
      <c r="H1213" s="286" t="s">
        <v>1083</v>
      </c>
      <c r="I1213" s="286" t="s">
        <v>1199</v>
      </c>
      <c r="J1213" s="286" t="s">
        <v>1312</v>
      </c>
      <c r="K1213" s="286" t="s">
        <v>1828</v>
      </c>
      <c r="L1213" s="286" t="s">
        <v>672</v>
      </c>
      <c r="M1213" s="286">
        <v>1</v>
      </c>
      <c r="N1213" s="287">
        <v>2534.1999999999998</v>
      </c>
      <c r="O1213" s="294">
        <f t="shared" si="18"/>
        <v>45626</v>
      </c>
      <c r="P1213" s="286" t="s">
        <v>58</v>
      </c>
    </row>
    <row r="1214" spans="1:16" hidden="1" x14ac:dyDescent="0.15">
      <c r="A1214" s="286">
        <v>874698</v>
      </c>
      <c r="B1214" s="288">
        <v>45628.357638888891</v>
      </c>
      <c r="C1214" s="286" t="s">
        <v>2098</v>
      </c>
      <c r="D1214" s="286" t="s">
        <v>1105</v>
      </c>
      <c r="E1214" s="286" t="s">
        <v>1106</v>
      </c>
      <c r="F1214" s="286" t="s">
        <v>2142</v>
      </c>
      <c r="G1214" s="286" t="s">
        <v>1083</v>
      </c>
      <c r="H1214" s="286" t="s">
        <v>1083</v>
      </c>
      <c r="I1214" s="286" t="s">
        <v>1199</v>
      </c>
      <c r="J1214" s="286" t="s">
        <v>1312</v>
      </c>
      <c r="K1214" s="286" t="s">
        <v>1828</v>
      </c>
      <c r="L1214" s="286" t="s">
        <v>672</v>
      </c>
      <c r="M1214" s="286">
        <v>1</v>
      </c>
      <c r="N1214" s="287">
        <v>2534.1999999999998</v>
      </c>
      <c r="O1214" s="294">
        <f t="shared" si="18"/>
        <v>45657</v>
      </c>
      <c r="P1214" s="286" t="s">
        <v>58</v>
      </c>
    </row>
    <row r="1215" spans="1:16" hidden="1" x14ac:dyDescent="0.15">
      <c r="A1215" s="286">
        <v>874698</v>
      </c>
      <c r="B1215" s="288">
        <v>45628.357638888891</v>
      </c>
      <c r="C1215" s="286" t="s">
        <v>2098</v>
      </c>
      <c r="D1215" s="286" t="s">
        <v>1105</v>
      </c>
      <c r="E1215" s="286" t="s">
        <v>1106</v>
      </c>
      <c r="F1215" s="286" t="s">
        <v>2142</v>
      </c>
      <c r="G1215" s="286" t="s">
        <v>1017</v>
      </c>
      <c r="H1215" s="286" t="s">
        <v>1017</v>
      </c>
      <c r="I1215" s="286" t="s">
        <v>1199</v>
      </c>
      <c r="J1215" s="286" t="s">
        <v>1312</v>
      </c>
      <c r="K1215" s="286" t="s">
        <v>2336</v>
      </c>
      <c r="L1215" s="286" t="s">
        <v>672</v>
      </c>
      <c r="M1215" s="286">
        <v>3</v>
      </c>
      <c r="N1215" s="287">
        <v>2524.44</v>
      </c>
      <c r="O1215" s="294">
        <f t="shared" si="18"/>
        <v>45657</v>
      </c>
      <c r="P1215" s="286" t="s">
        <v>58</v>
      </c>
    </row>
    <row r="1216" spans="1:16" hidden="1" x14ac:dyDescent="0.15">
      <c r="A1216" s="286">
        <v>474038</v>
      </c>
      <c r="B1216" s="288">
        <v>45334.591666666667</v>
      </c>
      <c r="C1216" s="286" t="s">
        <v>2113</v>
      </c>
      <c r="D1216" s="286" t="s">
        <v>1105</v>
      </c>
      <c r="E1216" s="286" t="s">
        <v>1106</v>
      </c>
      <c r="F1216" s="286" t="s">
        <v>2334</v>
      </c>
      <c r="G1216" s="286" t="s">
        <v>1089</v>
      </c>
      <c r="H1216" s="286" t="s">
        <v>1089</v>
      </c>
      <c r="I1216" s="286" t="s">
        <v>1228</v>
      </c>
      <c r="J1216" s="286" t="s">
        <v>1312</v>
      </c>
      <c r="K1216" s="286" t="s">
        <v>2076</v>
      </c>
      <c r="L1216" s="286" t="s">
        <v>53</v>
      </c>
      <c r="M1216" s="286">
        <v>0</v>
      </c>
      <c r="N1216" s="287">
        <v>2517.31</v>
      </c>
      <c r="O1216" s="294">
        <f t="shared" si="18"/>
        <v>45351</v>
      </c>
      <c r="P1216" s="286" t="s">
        <v>58</v>
      </c>
    </row>
    <row r="1217" spans="1:16" hidden="1" x14ac:dyDescent="0.15">
      <c r="A1217" s="286">
        <v>614216</v>
      </c>
      <c r="B1217" s="288">
        <v>45455.716666666667</v>
      </c>
      <c r="C1217" s="286" t="s">
        <v>2116</v>
      </c>
      <c r="D1217" s="286" t="s">
        <v>1105</v>
      </c>
      <c r="E1217" s="286" t="s">
        <v>1106</v>
      </c>
      <c r="F1217" s="286" t="s">
        <v>2156</v>
      </c>
      <c r="G1217" s="286" t="s">
        <v>1090</v>
      </c>
      <c r="H1217" s="286" t="s">
        <v>1090</v>
      </c>
      <c r="I1217" s="286" t="s">
        <v>1228</v>
      </c>
      <c r="J1217" s="286" t="s">
        <v>1312</v>
      </c>
      <c r="K1217" s="286" t="s">
        <v>2291</v>
      </c>
      <c r="L1217" s="286" t="s">
        <v>672</v>
      </c>
      <c r="M1217" s="286">
        <v>1</v>
      </c>
      <c r="N1217" s="287">
        <v>2503.33</v>
      </c>
      <c r="O1217" s="294">
        <f t="shared" si="18"/>
        <v>45473</v>
      </c>
      <c r="P1217" s="286" t="s">
        <v>58</v>
      </c>
    </row>
    <row r="1218" spans="1:16" hidden="1" x14ac:dyDescent="0.15">
      <c r="A1218" s="286">
        <v>618175</v>
      </c>
      <c r="B1218" s="288">
        <v>45457.602083333331</v>
      </c>
      <c r="C1218" s="286" t="s">
        <v>2116</v>
      </c>
      <c r="D1218" s="286" t="s">
        <v>1105</v>
      </c>
      <c r="E1218" s="286" t="s">
        <v>1106</v>
      </c>
      <c r="F1218" s="286" t="s">
        <v>2158</v>
      </c>
      <c r="G1218" s="286" t="s">
        <v>1090</v>
      </c>
      <c r="H1218" s="286" t="s">
        <v>1090</v>
      </c>
      <c r="I1218" s="286" t="s">
        <v>1199</v>
      </c>
      <c r="J1218" s="286" t="s">
        <v>1312</v>
      </c>
      <c r="K1218" s="286" t="s">
        <v>53</v>
      </c>
      <c r="L1218" s="286" t="s">
        <v>53</v>
      </c>
      <c r="M1218" s="286" t="s">
        <v>53</v>
      </c>
      <c r="N1218" s="287">
        <v>2503.33</v>
      </c>
      <c r="O1218" s="294">
        <f t="shared" si="18"/>
        <v>45473</v>
      </c>
      <c r="P1218" s="286" t="s">
        <v>58</v>
      </c>
    </row>
    <row r="1219" spans="1:16" hidden="1" x14ac:dyDescent="0.15">
      <c r="A1219" s="286">
        <v>825672</v>
      </c>
      <c r="B1219" s="288">
        <v>45589.395138888889</v>
      </c>
      <c r="C1219" s="286" t="s">
        <v>2130</v>
      </c>
      <c r="D1219" s="286" t="s">
        <v>1105</v>
      </c>
      <c r="E1219" s="286" t="s">
        <v>1106</v>
      </c>
      <c r="F1219" s="286" t="s">
        <v>2311</v>
      </c>
      <c r="G1219" s="286" t="s">
        <v>1017</v>
      </c>
      <c r="H1219" s="286" t="s">
        <v>1017</v>
      </c>
      <c r="I1219" s="286" t="s">
        <v>1152</v>
      </c>
      <c r="J1219" s="286" t="s">
        <v>1312</v>
      </c>
      <c r="K1219" s="286" t="s">
        <v>53</v>
      </c>
      <c r="L1219" s="286" t="s">
        <v>53</v>
      </c>
      <c r="M1219" s="286" t="s">
        <v>53</v>
      </c>
      <c r="N1219" s="287">
        <v>2501.31</v>
      </c>
      <c r="O1219" s="294">
        <f t="shared" si="18"/>
        <v>45596</v>
      </c>
      <c r="P1219" s="286" t="s">
        <v>58</v>
      </c>
    </row>
    <row r="1220" spans="1:16" hidden="1" x14ac:dyDescent="0.15">
      <c r="A1220" s="286">
        <v>559836</v>
      </c>
      <c r="B1220" s="288">
        <v>45408.680555555555</v>
      </c>
      <c r="C1220" s="286" t="s">
        <v>2096</v>
      </c>
      <c r="D1220" s="286" t="s">
        <v>1105</v>
      </c>
      <c r="E1220" s="286" t="s">
        <v>1106</v>
      </c>
      <c r="F1220" s="286" t="s">
        <v>2337</v>
      </c>
      <c r="G1220" s="286" t="s">
        <v>1025</v>
      </c>
      <c r="H1220" s="286" t="s">
        <v>1025</v>
      </c>
      <c r="I1220" s="286" t="s">
        <v>1199</v>
      </c>
      <c r="J1220" s="286" t="s">
        <v>1312</v>
      </c>
      <c r="K1220" s="286" t="s">
        <v>2338</v>
      </c>
      <c r="L1220" s="286" t="s">
        <v>53</v>
      </c>
      <c r="M1220" s="286">
        <v>1</v>
      </c>
      <c r="N1220" s="287">
        <v>2500</v>
      </c>
      <c r="O1220" s="294">
        <f t="shared" ref="O1220:O1283" si="19">EOMONTH(B1220,0)</f>
        <v>45412</v>
      </c>
      <c r="P1220" s="286" t="s">
        <v>58</v>
      </c>
    </row>
    <row r="1221" spans="1:16" hidden="1" x14ac:dyDescent="0.15">
      <c r="A1221" s="286">
        <v>874698</v>
      </c>
      <c r="B1221" s="288">
        <v>45628.357638888891</v>
      </c>
      <c r="C1221" s="286" t="s">
        <v>2098</v>
      </c>
      <c r="D1221" s="286" t="s">
        <v>1105</v>
      </c>
      <c r="E1221" s="286" t="s">
        <v>1106</v>
      </c>
      <c r="F1221" s="286" t="s">
        <v>2142</v>
      </c>
      <c r="G1221" s="286" t="s">
        <v>1316</v>
      </c>
      <c r="H1221" s="286" t="s">
        <v>1316</v>
      </c>
      <c r="I1221" s="286" t="s">
        <v>1228</v>
      </c>
      <c r="J1221" s="286" t="s">
        <v>1312</v>
      </c>
      <c r="K1221" s="286" t="s">
        <v>2269</v>
      </c>
      <c r="L1221" s="286" t="s">
        <v>672</v>
      </c>
      <c r="M1221" s="286">
        <v>1</v>
      </c>
      <c r="N1221" s="287">
        <v>2473.91</v>
      </c>
      <c r="O1221" s="294">
        <f t="shared" si="19"/>
        <v>45657</v>
      </c>
      <c r="P1221" s="286" t="s">
        <v>58</v>
      </c>
    </row>
    <row r="1222" spans="1:16" hidden="1" x14ac:dyDescent="0.15">
      <c r="A1222" s="286">
        <v>697810</v>
      </c>
      <c r="B1222" s="288">
        <v>45510.366666666669</v>
      </c>
      <c r="C1222" s="286" t="s">
        <v>2102</v>
      </c>
      <c r="D1222" s="286" t="s">
        <v>1105</v>
      </c>
      <c r="E1222" s="286" t="s">
        <v>1106</v>
      </c>
      <c r="F1222" s="286" t="s">
        <v>2138</v>
      </c>
      <c r="G1222" s="286" t="s">
        <v>1007</v>
      </c>
      <c r="H1222" s="286" t="s">
        <v>1007</v>
      </c>
      <c r="I1222" s="286" t="s">
        <v>1199</v>
      </c>
      <c r="J1222" s="286" t="s">
        <v>1312</v>
      </c>
      <c r="K1222" s="286" t="s">
        <v>1787</v>
      </c>
      <c r="L1222" s="286" t="s">
        <v>672</v>
      </c>
      <c r="M1222" s="286">
        <v>1</v>
      </c>
      <c r="N1222" s="287">
        <v>2458.87</v>
      </c>
      <c r="O1222" s="294">
        <f t="shared" si="19"/>
        <v>45535</v>
      </c>
      <c r="P1222" s="286" t="s">
        <v>58</v>
      </c>
    </row>
    <row r="1223" spans="1:16" hidden="1" x14ac:dyDescent="0.15">
      <c r="A1223" s="286">
        <v>697810</v>
      </c>
      <c r="B1223" s="288">
        <v>45510.366666666669</v>
      </c>
      <c r="C1223" s="286" t="s">
        <v>2102</v>
      </c>
      <c r="D1223" s="286" t="s">
        <v>1105</v>
      </c>
      <c r="E1223" s="286" t="s">
        <v>1106</v>
      </c>
      <c r="F1223" s="286" t="s">
        <v>2138</v>
      </c>
      <c r="G1223" s="286" t="s">
        <v>1007</v>
      </c>
      <c r="H1223" s="286" t="s">
        <v>1007</v>
      </c>
      <c r="I1223" s="286" t="s">
        <v>1199</v>
      </c>
      <c r="J1223" s="286" t="s">
        <v>1312</v>
      </c>
      <c r="K1223" s="286" t="s">
        <v>1812</v>
      </c>
      <c r="L1223" s="286" t="s">
        <v>672</v>
      </c>
      <c r="M1223" s="286">
        <v>1</v>
      </c>
      <c r="N1223" s="287">
        <v>2458.87</v>
      </c>
      <c r="O1223" s="294">
        <f t="shared" si="19"/>
        <v>45535</v>
      </c>
      <c r="P1223" s="286" t="s">
        <v>58</v>
      </c>
    </row>
    <row r="1224" spans="1:16" hidden="1" x14ac:dyDescent="0.15">
      <c r="A1224" s="286">
        <v>614216</v>
      </c>
      <c r="B1224" s="288">
        <v>45455.716666666667</v>
      </c>
      <c r="C1224" s="286" t="s">
        <v>2116</v>
      </c>
      <c r="D1224" s="286" t="s">
        <v>1105</v>
      </c>
      <c r="E1224" s="286" t="s">
        <v>1106</v>
      </c>
      <c r="F1224" s="286" t="s">
        <v>2156</v>
      </c>
      <c r="G1224" s="286" t="s">
        <v>1025</v>
      </c>
      <c r="H1224" s="286" t="s">
        <v>1025</v>
      </c>
      <c r="I1224" s="286" t="s">
        <v>1199</v>
      </c>
      <c r="J1224" s="286" t="s">
        <v>1312</v>
      </c>
      <c r="K1224" s="286" t="s">
        <v>1806</v>
      </c>
      <c r="L1224" s="286" t="s">
        <v>672</v>
      </c>
      <c r="M1224" s="286">
        <v>2</v>
      </c>
      <c r="N1224" s="287">
        <v>2438.0300000000002</v>
      </c>
      <c r="O1224" s="294">
        <f t="shared" si="19"/>
        <v>45473</v>
      </c>
      <c r="P1224" s="286" t="s">
        <v>58</v>
      </c>
    </row>
    <row r="1225" spans="1:16" hidden="1" x14ac:dyDescent="0.15">
      <c r="A1225" s="286">
        <v>608480</v>
      </c>
      <c r="B1225" s="288">
        <v>45450.422222222223</v>
      </c>
      <c r="C1225" s="286" t="s">
        <v>2092</v>
      </c>
      <c r="D1225" s="286" t="s">
        <v>1105</v>
      </c>
      <c r="E1225" s="286" t="s">
        <v>1106</v>
      </c>
      <c r="F1225" s="286" t="s">
        <v>2157</v>
      </c>
      <c r="G1225" s="286" t="s">
        <v>1025</v>
      </c>
      <c r="H1225" s="286" t="s">
        <v>1025</v>
      </c>
      <c r="I1225" s="286" t="s">
        <v>1199</v>
      </c>
      <c r="J1225" s="286" t="s">
        <v>1312</v>
      </c>
      <c r="K1225" s="286" t="s">
        <v>1806</v>
      </c>
      <c r="L1225" s="286" t="s">
        <v>672</v>
      </c>
      <c r="M1225" s="286">
        <v>2</v>
      </c>
      <c r="N1225" s="287">
        <v>2438.0300000000002</v>
      </c>
      <c r="O1225" s="294">
        <f t="shared" si="19"/>
        <v>45473</v>
      </c>
      <c r="P1225" s="286" t="s">
        <v>58</v>
      </c>
    </row>
    <row r="1226" spans="1:16" hidden="1" x14ac:dyDescent="0.15">
      <c r="A1226" s="286">
        <v>646075</v>
      </c>
      <c r="B1226" s="288">
        <v>45474.519444444442</v>
      </c>
      <c r="C1226" s="286" t="s">
        <v>2111</v>
      </c>
      <c r="D1226" s="286" t="s">
        <v>1105</v>
      </c>
      <c r="E1226" s="286" t="s">
        <v>1106</v>
      </c>
      <c r="F1226" s="286" t="s">
        <v>2137</v>
      </c>
      <c r="G1226" s="286" t="s">
        <v>1025</v>
      </c>
      <c r="H1226" s="286" t="s">
        <v>1025</v>
      </c>
      <c r="I1226" s="286" t="s">
        <v>1199</v>
      </c>
      <c r="J1226" s="286" t="s">
        <v>1312</v>
      </c>
      <c r="K1226" s="286" t="s">
        <v>1806</v>
      </c>
      <c r="L1226" s="286" t="s">
        <v>672</v>
      </c>
      <c r="M1226" s="286">
        <v>2</v>
      </c>
      <c r="N1226" s="287">
        <v>2438.0300000000002</v>
      </c>
      <c r="O1226" s="294">
        <f t="shared" si="19"/>
        <v>45504</v>
      </c>
      <c r="P1226" s="286" t="s">
        <v>58</v>
      </c>
    </row>
    <row r="1227" spans="1:16" hidden="1" x14ac:dyDescent="0.15">
      <c r="A1227" s="286">
        <v>697810</v>
      </c>
      <c r="B1227" s="288">
        <v>45510.366666666669</v>
      </c>
      <c r="C1227" s="286" t="s">
        <v>2102</v>
      </c>
      <c r="D1227" s="286" t="s">
        <v>1105</v>
      </c>
      <c r="E1227" s="286" t="s">
        <v>1106</v>
      </c>
      <c r="F1227" s="286" t="s">
        <v>2138</v>
      </c>
      <c r="G1227" s="286" t="s">
        <v>1025</v>
      </c>
      <c r="H1227" s="286" t="s">
        <v>1025</v>
      </c>
      <c r="I1227" s="286" t="s">
        <v>1199</v>
      </c>
      <c r="J1227" s="286" t="s">
        <v>1312</v>
      </c>
      <c r="K1227" s="286" t="s">
        <v>1806</v>
      </c>
      <c r="L1227" s="286" t="s">
        <v>672</v>
      </c>
      <c r="M1227" s="286">
        <v>2</v>
      </c>
      <c r="N1227" s="287">
        <v>2438.0300000000002</v>
      </c>
      <c r="O1227" s="294">
        <f t="shared" si="19"/>
        <v>45535</v>
      </c>
      <c r="P1227" s="286" t="s">
        <v>58</v>
      </c>
    </row>
    <row r="1228" spans="1:16" hidden="1" x14ac:dyDescent="0.15">
      <c r="A1228" s="286">
        <v>745911</v>
      </c>
      <c r="B1228" s="288">
        <v>45538.44027777778</v>
      </c>
      <c r="C1228" s="286" t="s">
        <v>2132</v>
      </c>
      <c r="D1228" s="286" t="s">
        <v>1105</v>
      </c>
      <c r="E1228" s="286" t="s">
        <v>1106</v>
      </c>
      <c r="F1228" s="286" t="s">
        <v>2139</v>
      </c>
      <c r="G1228" s="286" t="s">
        <v>1025</v>
      </c>
      <c r="H1228" s="286" t="s">
        <v>1025</v>
      </c>
      <c r="I1228" s="286" t="s">
        <v>1199</v>
      </c>
      <c r="J1228" s="286" t="s">
        <v>1312</v>
      </c>
      <c r="K1228" s="286" t="s">
        <v>1806</v>
      </c>
      <c r="L1228" s="286" t="s">
        <v>672</v>
      </c>
      <c r="M1228" s="286">
        <v>2</v>
      </c>
      <c r="N1228" s="287">
        <v>2438.0300000000002</v>
      </c>
      <c r="O1228" s="294">
        <f t="shared" si="19"/>
        <v>45565</v>
      </c>
      <c r="P1228" s="286" t="s">
        <v>58</v>
      </c>
    </row>
    <row r="1229" spans="1:16" hidden="1" x14ac:dyDescent="0.15">
      <c r="A1229" s="286">
        <v>848817</v>
      </c>
      <c r="B1229" s="288">
        <v>45607.65902777778</v>
      </c>
      <c r="C1229" s="286" t="s">
        <v>2130</v>
      </c>
      <c r="D1229" s="286" t="s">
        <v>1105</v>
      </c>
      <c r="E1229" s="286" t="s">
        <v>1106</v>
      </c>
      <c r="F1229" s="286" t="s">
        <v>2140</v>
      </c>
      <c r="G1229" s="286" t="s">
        <v>1025</v>
      </c>
      <c r="H1229" s="286" t="s">
        <v>1025</v>
      </c>
      <c r="I1229" s="286" t="s">
        <v>1199</v>
      </c>
      <c r="J1229" s="286" t="s">
        <v>1312</v>
      </c>
      <c r="K1229" s="286" t="s">
        <v>1806</v>
      </c>
      <c r="L1229" s="286" t="s">
        <v>672</v>
      </c>
      <c r="M1229" s="286">
        <v>2</v>
      </c>
      <c r="N1229" s="287">
        <v>2438.0300000000002</v>
      </c>
      <c r="O1229" s="294">
        <f t="shared" si="19"/>
        <v>45626</v>
      </c>
      <c r="P1229" s="286" t="s">
        <v>58</v>
      </c>
    </row>
    <row r="1230" spans="1:16" hidden="1" x14ac:dyDescent="0.15">
      <c r="A1230" s="286">
        <v>848917</v>
      </c>
      <c r="B1230" s="288">
        <v>45607.660416666666</v>
      </c>
      <c r="C1230" s="286" t="s">
        <v>2100</v>
      </c>
      <c r="D1230" s="286" t="s">
        <v>1105</v>
      </c>
      <c r="E1230" s="286" t="s">
        <v>1106</v>
      </c>
      <c r="F1230" s="286" t="s">
        <v>2141</v>
      </c>
      <c r="G1230" s="286" t="s">
        <v>1025</v>
      </c>
      <c r="H1230" s="286" t="s">
        <v>1025</v>
      </c>
      <c r="I1230" s="286" t="s">
        <v>1199</v>
      </c>
      <c r="J1230" s="286" t="s">
        <v>1312</v>
      </c>
      <c r="K1230" s="286" t="s">
        <v>1806</v>
      </c>
      <c r="L1230" s="286" t="s">
        <v>672</v>
      </c>
      <c r="M1230" s="286">
        <v>2</v>
      </c>
      <c r="N1230" s="287">
        <v>2438.0300000000002</v>
      </c>
      <c r="O1230" s="294">
        <f t="shared" si="19"/>
        <v>45626</v>
      </c>
      <c r="P1230" s="286" t="s">
        <v>58</v>
      </c>
    </row>
    <row r="1231" spans="1:16" hidden="1" x14ac:dyDescent="0.15">
      <c r="A1231" s="286">
        <v>874698</v>
      </c>
      <c r="B1231" s="288">
        <v>45628.357638888891</v>
      </c>
      <c r="C1231" s="286" t="s">
        <v>2098</v>
      </c>
      <c r="D1231" s="286" t="s">
        <v>1105</v>
      </c>
      <c r="E1231" s="286" t="s">
        <v>1106</v>
      </c>
      <c r="F1231" s="286" t="s">
        <v>2142</v>
      </c>
      <c r="G1231" s="286" t="s">
        <v>1025</v>
      </c>
      <c r="H1231" s="286" t="s">
        <v>1025</v>
      </c>
      <c r="I1231" s="286" t="s">
        <v>1199</v>
      </c>
      <c r="J1231" s="286" t="s">
        <v>1312</v>
      </c>
      <c r="K1231" s="286" t="s">
        <v>1806</v>
      </c>
      <c r="L1231" s="286" t="s">
        <v>672</v>
      </c>
      <c r="M1231" s="286">
        <v>2</v>
      </c>
      <c r="N1231" s="287">
        <v>2438.0300000000002</v>
      </c>
      <c r="O1231" s="294">
        <f t="shared" si="19"/>
        <v>45657</v>
      </c>
      <c r="P1231" s="286" t="s">
        <v>58</v>
      </c>
    </row>
    <row r="1232" spans="1:16" hidden="1" x14ac:dyDescent="0.15">
      <c r="A1232" s="286">
        <v>657585</v>
      </c>
      <c r="B1232" s="288">
        <v>45483.55972222222</v>
      </c>
      <c r="C1232" s="286" t="s">
        <v>2111</v>
      </c>
      <c r="D1232" s="286" t="s">
        <v>1105</v>
      </c>
      <c r="E1232" s="286" t="s">
        <v>1106</v>
      </c>
      <c r="F1232" s="286" t="s">
        <v>2339</v>
      </c>
      <c r="G1232" s="286" t="s">
        <v>1080</v>
      </c>
      <c r="H1232" s="286" t="s">
        <v>1080</v>
      </c>
      <c r="I1232" s="286" t="s">
        <v>1228</v>
      </c>
      <c r="J1232" s="286" t="s">
        <v>1312</v>
      </c>
      <c r="K1232" s="286" t="s">
        <v>1821</v>
      </c>
      <c r="L1232" s="286" t="s">
        <v>53</v>
      </c>
      <c r="M1232" s="286">
        <v>1</v>
      </c>
      <c r="N1232" s="287">
        <v>2421.83</v>
      </c>
      <c r="O1232" s="294">
        <f t="shared" si="19"/>
        <v>45504</v>
      </c>
      <c r="P1232" s="286" t="s">
        <v>58</v>
      </c>
    </row>
    <row r="1233" spans="1:16" hidden="1" x14ac:dyDescent="0.15">
      <c r="A1233" s="286">
        <v>657585</v>
      </c>
      <c r="B1233" s="288">
        <v>45483.55972222222</v>
      </c>
      <c r="C1233" s="286" t="s">
        <v>2111</v>
      </c>
      <c r="D1233" s="286" t="s">
        <v>1105</v>
      </c>
      <c r="E1233" s="286" t="s">
        <v>1106</v>
      </c>
      <c r="F1233" s="286" t="s">
        <v>2339</v>
      </c>
      <c r="G1233" s="286" t="s">
        <v>1080</v>
      </c>
      <c r="H1233" s="286" t="s">
        <v>1080</v>
      </c>
      <c r="I1233" s="286" t="s">
        <v>1228</v>
      </c>
      <c r="J1233" s="286" t="s">
        <v>1312</v>
      </c>
      <c r="K1233" s="286" t="s">
        <v>1808</v>
      </c>
      <c r="L1233" s="286" t="s">
        <v>53</v>
      </c>
      <c r="M1233" s="286">
        <v>1</v>
      </c>
      <c r="N1233" s="287">
        <v>2421.83</v>
      </c>
      <c r="O1233" s="294">
        <f t="shared" si="19"/>
        <v>45504</v>
      </c>
      <c r="P1233" s="286" t="s">
        <v>58</v>
      </c>
    </row>
    <row r="1234" spans="1:16" hidden="1" x14ac:dyDescent="0.15">
      <c r="A1234" s="286">
        <v>657585</v>
      </c>
      <c r="B1234" s="288">
        <v>45483.55972222222</v>
      </c>
      <c r="C1234" s="286" t="s">
        <v>2111</v>
      </c>
      <c r="D1234" s="286" t="s">
        <v>1105</v>
      </c>
      <c r="E1234" s="286" t="s">
        <v>1106</v>
      </c>
      <c r="F1234" s="286" t="s">
        <v>2339</v>
      </c>
      <c r="G1234" s="286" t="s">
        <v>1080</v>
      </c>
      <c r="H1234" s="286" t="s">
        <v>1080</v>
      </c>
      <c r="I1234" s="286" t="s">
        <v>1228</v>
      </c>
      <c r="J1234" s="286" t="s">
        <v>1312</v>
      </c>
      <c r="K1234" s="286" t="s">
        <v>1770</v>
      </c>
      <c r="L1234" s="286" t="s">
        <v>672</v>
      </c>
      <c r="M1234" s="286">
        <v>1</v>
      </c>
      <c r="N1234" s="287">
        <v>2421.83</v>
      </c>
      <c r="O1234" s="294">
        <f t="shared" si="19"/>
        <v>45504</v>
      </c>
      <c r="P1234" s="286" t="s">
        <v>58</v>
      </c>
    </row>
    <row r="1235" spans="1:16" hidden="1" x14ac:dyDescent="0.15">
      <c r="A1235" s="286">
        <v>697810</v>
      </c>
      <c r="B1235" s="288">
        <v>45510.366666666669</v>
      </c>
      <c r="C1235" s="286" t="s">
        <v>2102</v>
      </c>
      <c r="D1235" s="286" t="s">
        <v>1105</v>
      </c>
      <c r="E1235" s="286" t="s">
        <v>1106</v>
      </c>
      <c r="F1235" s="286" t="s">
        <v>2138</v>
      </c>
      <c r="G1235" s="286" t="s">
        <v>1080</v>
      </c>
      <c r="H1235" s="286" t="s">
        <v>1080</v>
      </c>
      <c r="I1235" s="286" t="s">
        <v>1228</v>
      </c>
      <c r="J1235" s="286" t="s">
        <v>1312</v>
      </c>
      <c r="K1235" s="286" t="s">
        <v>1770</v>
      </c>
      <c r="L1235" s="286" t="s">
        <v>672</v>
      </c>
      <c r="M1235" s="286">
        <v>1</v>
      </c>
      <c r="N1235" s="287">
        <v>2421.83</v>
      </c>
      <c r="O1235" s="294">
        <f t="shared" si="19"/>
        <v>45535</v>
      </c>
      <c r="P1235" s="286" t="s">
        <v>58</v>
      </c>
    </row>
    <row r="1236" spans="1:16" hidden="1" x14ac:dyDescent="0.15">
      <c r="A1236" s="286">
        <v>697810</v>
      </c>
      <c r="B1236" s="288">
        <v>45510.366666666669</v>
      </c>
      <c r="C1236" s="286" t="s">
        <v>2102</v>
      </c>
      <c r="D1236" s="286" t="s">
        <v>1105</v>
      </c>
      <c r="E1236" s="286" t="s">
        <v>1106</v>
      </c>
      <c r="F1236" s="286" t="s">
        <v>2138</v>
      </c>
      <c r="G1236" s="286" t="s">
        <v>1080</v>
      </c>
      <c r="H1236" s="286" t="s">
        <v>1080</v>
      </c>
      <c r="I1236" s="286" t="s">
        <v>1228</v>
      </c>
      <c r="J1236" s="286" t="s">
        <v>1312</v>
      </c>
      <c r="K1236" s="286" t="s">
        <v>1808</v>
      </c>
      <c r="L1236" s="286" t="s">
        <v>53</v>
      </c>
      <c r="M1236" s="286">
        <v>1</v>
      </c>
      <c r="N1236" s="287">
        <v>2421.83</v>
      </c>
      <c r="O1236" s="294">
        <f t="shared" si="19"/>
        <v>45535</v>
      </c>
      <c r="P1236" s="286" t="s">
        <v>58</v>
      </c>
    </row>
    <row r="1237" spans="1:16" hidden="1" x14ac:dyDescent="0.15">
      <c r="A1237" s="286">
        <v>697810</v>
      </c>
      <c r="B1237" s="288">
        <v>45510.366666666669</v>
      </c>
      <c r="C1237" s="286" t="s">
        <v>2102</v>
      </c>
      <c r="D1237" s="286" t="s">
        <v>1105</v>
      </c>
      <c r="E1237" s="286" t="s">
        <v>1106</v>
      </c>
      <c r="F1237" s="286" t="s">
        <v>2138</v>
      </c>
      <c r="G1237" s="286" t="s">
        <v>1080</v>
      </c>
      <c r="H1237" s="286" t="s">
        <v>1080</v>
      </c>
      <c r="I1237" s="286" t="s">
        <v>1228</v>
      </c>
      <c r="J1237" s="286" t="s">
        <v>1312</v>
      </c>
      <c r="K1237" s="286" t="s">
        <v>1821</v>
      </c>
      <c r="L1237" s="286" t="s">
        <v>53</v>
      </c>
      <c r="M1237" s="286">
        <v>1</v>
      </c>
      <c r="N1237" s="287">
        <v>2421.83</v>
      </c>
      <c r="O1237" s="294">
        <f t="shared" si="19"/>
        <v>45535</v>
      </c>
      <c r="P1237" s="286" t="s">
        <v>58</v>
      </c>
    </row>
    <row r="1238" spans="1:16" hidden="1" x14ac:dyDescent="0.15">
      <c r="A1238" s="286">
        <v>800112</v>
      </c>
      <c r="B1238" s="288">
        <v>45569.661805555559</v>
      </c>
      <c r="C1238" s="286" t="s">
        <v>2130</v>
      </c>
      <c r="D1238" s="286" t="s">
        <v>1105</v>
      </c>
      <c r="E1238" s="286" t="s">
        <v>1106</v>
      </c>
      <c r="F1238" s="286" t="s">
        <v>2340</v>
      </c>
      <c r="G1238" s="286" t="s">
        <v>1080</v>
      </c>
      <c r="H1238" s="286" t="s">
        <v>1080</v>
      </c>
      <c r="I1238" s="286" t="s">
        <v>1228</v>
      </c>
      <c r="J1238" s="286" t="s">
        <v>1312</v>
      </c>
      <c r="K1238" s="286" t="s">
        <v>1808</v>
      </c>
      <c r="L1238" s="286" t="s">
        <v>53</v>
      </c>
      <c r="M1238" s="286">
        <v>1</v>
      </c>
      <c r="N1238" s="287">
        <v>2421.83</v>
      </c>
      <c r="O1238" s="294">
        <f t="shared" si="19"/>
        <v>45596</v>
      </c>
      <c r="P1238" s="286" t="s">
        <v>58</v>
      </c>
    </row>
    <row r="1239" spans="1:16" hidden="1" x14ac:dyDescent="0.15">
      <c r="A1239" s="286">
        <v>800112</v>
      </c>
      <c r="B1239" s="288">
        <v>45569.661805555559</v>
      </c>
      <c r="C1239" s="286" t="s">
        <v>2130</v>
      </c>
      <c r="D1239" s="286" t="s">
        <v>1105</v>
      </c>
      <c r="E1239" s="286" t="s">
        <v>1106</v>
      </c>
      <c r="F1239" s="286" t="s">
        <v>2340</v>
      </c>
      <c r="G1239" s="286" t="s">
        <v>1080</v>
      </c>
      <c r="H1239" s="286" t="s">
        <v>1080</v>
      </c>
      <c r="I1239" s="286" t="s">
        <v>1228</v>
      </c>
      <c r="J1239" s="286" t="s">
        <v>1312</v>
      </c>
      <c r="K1239" s="286" t="s">
        <v>1770</v>
      </c>
      <c r="L1239" s="286" t="s">
        <v>672</v>
      </c>
      <c r="M1239" s="286">
        <v>1</v>
      </c>
      <c r="N1239" s="287">
        <v>2421.83</v>
      </c>
      <c r="O1239" s="294">
        <f t="shared" si="19"/>
        <v>45596</v>
      </c>
      <c r="P1239" s="286" t="s">
        <v>58</v>
      </c>
    </row>
    <row r="1240" spans="1:16" hidden="1" x14ac:dyDescent="0.15">
      <c r="A1240" s="286">
        <v>800112</v>
      </c>
      <c r="B1240" s="288">
        <v>45569.661805555559</v>
      </c>
      <c r="C1240" s="286" t="s">
        <v>2130</v>
      </c>
      <c r="D1240" s="286" t="s">
        <v>1105</v>
      </c>
      <c r="E1240" s="286" t="s">
        <v>1106</v>
      </c>
      <c r="F1240" s="286" t="s">
        <v>2340</v>
      </c>
      <c r="G1240" s="286" t="s">
        <v>1080</v>
      </c>
      <c r="H1240" s="286" t="s">
        <v>1080</v>
      </c>
      <c r="I1240" s="286" t="s">
        <v>1228</v>
      </c>
      <c r="J1240" s="286" t="s">
        <v>1312</v>
      </c>
      <c r="K1240" s="286" t="s">
        <v>1821</v>
      </c>
      <c r="L1240" s="286" t="s">
        <v>53</v>
      </c>
      <c r="M1240" s="286">
        <v>1</v>
      </c>
      <c r="N1240" s="287">
        <v>2421.83</v>
      </c>
      <c r="O1240" s="294">
        <f t="shared" si="19"/>
        <v>45596</v>
      </c>
      <c r="P1240" s="286" t="s">
        <v>58</v>
      </c>
    </row>
    <row r="1241" spans="1:16" hidden="1" x14ac:dyDescent="0.15">
      <c r="A1241" s="286">
        <v>880752</v>
      </c>
      <c r="B1241" s="288">
        <v>45631.365972222222</v>
      </c>
      <c r="C1241" s="286" t="s">
        <v>2098</v>
      </c>
      <c r="D1241" s="286" t="s">
        <v>1105</v>
      </c>
      <c r="E1241" s="286" t="s">
        <v>1106</v>
      </c>
      <c r="F1241" s="286" t="s">
        <v>2341</v>
      </c>
      <c r="G1241" s="286" t="s">
        <v>1080</v>
      </c>
      <c r="H1241" s="286" t="s">
        <v>1080</v>
      </c>
      <c r="I1241" s="286" t="s">
        <v>1228</v>
      </c>
      <c r="J1241" s="286" t="s">
        <v>1312</v>
      </c>
      <c r="K1241" s="286" t="s">
        <v>1821</v>
      </c>
      <c r="L1241" s="286" t="s">
        <v>53</v>
      </c>
      <c r="M1241" s="286">
        <v>1</v>
      </c>
      <c r="N1241" s="287">
        <v>2421.83</v>
      </c>
      <c r="O1241" s="294">
        <f t="shared" si="19"/>
        <v>45657</v>
      </c>
      <c r="P1241" s="286" t="s">
        <v>58</v>
      </c>
    </row>
    <row r="1242" spans="1:16" hidden="1" x14ac:dyDescent="0.15">
      <c r="A1242" s="286">
        <v>880752</v>
      </c>
      <c r="B1242" s="288">
        <v>45631.365972222222</v>
      </c>
      <c r="C1242" s="286" t="s">
        <v>2098</v>
      </c>
      <c r="D1242" s="286" t="s">
        <v>1105</v>
      </c>
      <c r="E1242" s="286" t="s">
        <v>1106</v>
      </c>
      <c r="F1242" s="286" t="s">
        <v>2341</v>
      </c>
      <c r="G1242" s="286" t="s">
        <v>1080</v>
      </c>
      <c r="H1242" s="286" t="s">
        <v>1080</v>
      </c>
      <c r="I1242" s="286" t="s">
        <v>1228</v>
      </c>
      <c r="J1242" s="286" t="s">
        <v>1312</v>
      </c>
      <c r="K1242" s="286" t="s">
        <v>1770</v>
      </c>
      <c r="L1242" s="286" t="s">
        <v>672</v>
      </c>
      <c r="M1242" s="286">
        <v>1</v>
      </c>
      <c r="N1242" s="287">
        <v>2421.83</v>
      </c>
      <c r="O1242" s="294">
        <f t="shared" si="19"/>
        <v>45657</v>
      </c>
      <c r="P1242" s="286" t="s">
        <v>58</v>
      </c>
    </row>
    <row r="1243" spans="1:16" hidden="1" x14ac:dyDescent="0.15">
      <c r="A1243" s="286">
        <v>880752</v>
      </c>
      <c r="B1243" s="288">
        <v>45631.365972222222</v>
      </c>
      <c r="C1243" s="286" t="s">
        <v>2098</v>
      </c>
      <c r="D1243" s="286" t="s">
        <v>1105</v>
      </c>
      <c r="E1243" s="286" t="s">
        <v>1106</v>
      </c>
      <c r="F1243" s="286" t="s">
        <v>2341</v>
      </c>
      <c r="G1243" s="286" t="s">
        <v>1080</v>
      </c>
      <c r="H1243" s="286" t="s">
        <v>1080</v>
      </c>
      <c r="I1243" s="286" t="s">
        <v>1228</v>
      </c>
      <c r="J1243" s="286" t="s">
        <v>1312</v>
      </c>
      <c r="K1243" s="286" t="s">
        <v>1808</v>
      </c>
      <c r="L1243" s="286" t="s">
        <v>53</v>
      </c>
      <c r="M1243" s="286">
        <v>1</v>
      </c>
      <c r="N1243" s="287">
        <v>2421.83</v>
      </c>
      <c r="O1243" s="294">
        <f t="shared" si="19"/>
        <v>45657</v>
      </c>
      <c r="P1243" s="286" t="s">
        <v>58</v>
      </c>
    </row>
    <row r="1244" spans="1:16" hidden="1" x14ac:dyDescent="0.15">
      <c r="A1244" s="286">
        <v>848817</v>
      </c>
      <c r="B1244" s="288">
        <v>45607.65902777778</v>
      </c>
      <c r="C1244" s="286" t="s">
        <v>2130</v>
      </c>
      <c r="D1244" s="286" t="s">
        <v>1105</v>
      </c>
      <c r="E1244" s="286" t="s">
        <v>1106</v>
      </c>
      <c r="F1244" s="286" t="s">
        <v>2140</v>
      </c>
      <c r="G1244" s="286" t="s">
        <v>1010</v>
      </c>
      <c r="H1244" s="286" t="s">
        <v>1010</v>
      </c>
      <c r="I1244" s="286" t="s">
        <v>1199</v>
      </c>
      <c r="J1244" s="286" t="s">
        <v>1312</v>
      </c>
      <c r="K1244" s="286" t="s">
        <v>1797</v>
      </c>
      <c r="L1244" s="286" t="s">
        <v>672</v>
      </c>
      <c r="M1244" s="286">
        <v>1</v>
      </c>
      <c r="N1244" s="287">
        <v>2414.9899999999998</v>
      </c>
      <c r="O1244" s="294">
        <f t="shared" si="19"/>
        <v>45626</v>
      </c>
      <c r="P1244" s="286" t="s">
        <v>58</v>
      </c>
    </row>
    <row r="1245" spans="1:16" hidden="1" x14ac:dyDescent="0.15">
      <c r="A1245" s="286">
        <v>848817</v>
      </c>
      <c r="B1245" s="288">
        <v>45607.65902777778</v>
      </c>
      <c r="C1245" s="286" t="s">
        <v>2130</v>
      </c>
      <c r="D1245" s="286" t="s">
        <v>1105</v>
      </c>
      <c r="E1245" s="286" t="s">
        <v>1106</v>
      </c>
      <c r="F1245" s="286" t="s">
        <v>2140</v>
      </c>
      <c r="G1245" s="286" t="s">
        <v>1010</v>
      </c>
      <c r="H1245" s="286" t="s">
        <v>1010</v>
      </c>
      <c r="I1245" s="286" t="s">
        <v>1199</v>
      </c>
      <c r="J1245" s="286" t="s">
        <v>1312</v>
      </c>
      <c r="K1245" s="286" t="s">
        <v>1796</v>
      </c>
      <c r="L1245" s="286" t="s">
        <v>672</v>
      </c>
      <c r="M1245" s="286">
        <v>1</v>
      </c>
      <c r="N1245" s="287">
        <v>2414.9899999999998</v>
      </c>
      <c r="O1245" s="294">
        <f t="shared" si="19"/>
        <v>45626</v>
      </c>
      <c r="P1245" s="286" t="s">
        <v>58</v>
      </c>
    </row>
    <row r="1246" spans="1:16" hidden="1" x14ac:dyDescent="0.15">
      <c r="A1246" s="286">
        <v>614316</v>
      </c>
      <c r="B1246" s="288">
        <v>45455.717361111114</v>
      </c>
      <c r="C1246" s="286" t="s">
        <v>2092</v>
      </c>
      <c r="D1246" s="286" t="s">
        <v>1105</v>
      </c>
      <c r="E1246" s="286" t="s">
        <v>1106</v>
      </c>
      <c r="F1246" s="286" t="s">
        <v>2167</v>
      </c>
      <c r="G1246" s="286" t="s">
        <v>1080</v>
      </c>
      <c r="H1246" s="286" t="s">
        <v>1080</v>
      </c>
      <c r="I1246" s="286" t="s">
        <v>1228</v>
      </c>
      <c r="J1246" s="286" t="s">
        <v>1312</v>
      </c>
      <c r="K1246" s="286" t="s">
        <v>1770</v>
      </c>
      <c r="L1246" s="286" t="s">
        <v>672</v>
      </c>
      <c r="M1246" s="286">
        <v>1</v>
      </c>
      <c r="N1246" s="287">
        <v>2388.81</v>
      </c>
      <c r="O1246" s="294">
        <f t="shared" si="19"/>
        <v>45473</v>
      </c>
      <c r="P1246" s="286" t="s">
        <v>58</v>
      </c>
    </row>
    <row r="1247" spans="1:16" hidden="1" x14ac:dyDescent="0.15">
      <c r="A1247" s="286">
        <v>614316</v>
      </c>
      <c r="B1247" s="288">
        <v>45455.717361111114</v>
      </c>
      <c r="C1247" s="286" t="s">
        <v>2092</v>
      </c>
      <c r="D1247" s="286" t="s">
        <v>1105</v>
      </c>
      <c r="E1247" s="286" t="s">
        <v>1106</v>
      </c>
      <c r="F1247" s="286" t="s">
        <v>2167</v>
      </c>
      <c r="G1247" s="286" t="s">
        <v>1080</v>
      </c>
      <c r="H1247" s="286" t="s">
        <v>1080</v>
      </c>
      <c r="I1247" s="286" t="s">
        <v>1228</v>
      </c>
      <c r="J1247" s="286" t="s">
        <v>1312</v>
      </c>
      <c r="K1247" s="286" t="s">
        <v>1808</v>
      </c>
      <c r="L1247" s="286" t="s">
        <v>53</v>
      </c>
      <c r="M1247" s="286">
        <v>1</v>
      </c>
      <c r="N1247" s="287">
        <v>2388.81</v>
      </c>
      <c r="O1247" s="294">
        <f t="shared" si="19"/>
        <v>45473</v>
      </c>
      <c r="P1247" s="286" t="s">
        <v>58</v>
      </c>
    </row>
    <row r="1248" spans="1:16" hidden="1" x14ac:dyDescent="0.15">
      <c r="A1248" s="286">
        <v>614316</v>
      </c>
      <c r="B1248" s="288">
        <v>45455.717361111114</v>
      </c>
      <c r="C1248" s="286" t="s">
        <v>2092</v>
      </c>
      <c r="D1248" s="286" t="s">
        <v>1105</v>
      </c>
      <c r="E1248" s="286" t="s">
        <v>1106</v>
      </c>
      <c r="F1248" s="286" t="s">
        <v>2167</v>
      </c>
      <c r="G1248" s="286" t="s">
        <v>1080</v>
      </c>
      <c r="H1248" s="286" t="s">
        <v>1080</v>
      </c>
      <c r="I1248" s="286" t="s">
        <v>1228</v>
      </c>
      <c r="J1248" s="286" t="s">
        <v>1312</v>
      </c>
      <c r="K1248" s="286" t="s">
        <v>1821</v>
      </c>
      <c r="L1248" s="286" t="s">
        <v>53</v>
      </c>
      <c r="M1248" s="286">
        <v>1</v>
      </c>
      <c r="N1248" s="287">
        <v>2388.81</v>
      </c>
      <c r="O1248" s="294">
        <f t="shared" si="19"/>
        <v>45473</v>
      </c>
      <c r="P1248" s="286" t="s">
        <v>58</v>
      </c>
    </row>
    <row r="1249" spans="1:16" hidden="1" x14ac:dyDescent="0.15">
      <c r="A1249" s="286">
        <v>749626</v>
      </c>
      <c r="B1249" s="288">
        <v>45540.357638888891</v>
      </c>
      <c r="C1249" s="286" t="s">
        <v>2132</v>
      </c>
      <c r="D1249" s="286" t="s">
        <v>1105</v>
      </c>
      <c r="E1249" s="286" t="s">
        <v>1106</v>
      </c>
      <c r="F1249" s="286" t="s">
        <v>2342</v>
      </c>
      <c r="G1249" s="286" t="s">
        <v>1080</v>
      </c>
      <c r="H1249" s="286" t="s">
        <v>1080</v>
      </c>
      <c r="I1249" s="286" t="s">
        <v>1228</v>
      </c>
      <c r="J1249" s="286" t="s">
        <v>1312</v>
      </c>
      <c r="K1249" s="286" t="s">
        <v>1821</v>
      </c>
      <c r="L1249" s="286" t="s">
        <v>53</v>
      </c>
      <c r="M1249" s="286">
        <v>1</v>
      </c>
      <c r="N1249" s="287">
        <v>2388.81</v>
      </c>
      <c r="O1249" s="294">
        <f t="shared" si="19"/>
        <v>45565</v>
      </c>
      <c r="P1249" s="286" t="s">
        <v>58</v>
      </c>
    </row>
    <row r="1250" spans="1:16" hidden="1" x14ac:dyDescent="0.15">
      <c r="A1250" s="286">
        <v>749626</v>
      </c>
      <c r="B1250" s="288">
        <v>45540.357638888891</v>
      </c>
      <c r="C1250" s="286" t="s">
        <v>2132</v>
      </c>
      <c r="D1250" s="286" t="s">
        <v>1105</v>
      </c>
      <c r="E1250" s="286" t="s">
        <v>1106</v>
      </c>
      <c r="F1250" s="286" t="s">
        <v>2342</v>
      </c>
      <c r="G1250" s="286" t="s">
        <v>1080</v>
      </c>
      <c r="H1250" s="286" t="s">
        <v>1080</v>
      </c>
      <c r="I1250" s="286" t="s">
        <v>1228</v>
      </c>
      <c r="J1250" s="286" t="s">
        <v>1312</v>
      </c>
      <c r="K1250" s="286" t="s">
        <v>1808</v>
      </c>
      <c r="L1250" s="286" t="s">
        <v>53</v>
      </c>
      <c r="M1250" s="286">
        <v>1</v>
      </c>
      <c r="N1250" s="287">
        <v>2388.81</v>
      </c>
      <c r="O1250" s="294">
        <f t="shared" si="19"/>
        <v>45565</v>
      </c>
      <c r="P1250" s="286" t="s">
        <v>58</v>
      </c>
    </row>
    <row r="1251" spans="1:16" hidden="1" x14ac:dyDescent="0.15">
      <c r="A1251" s="286">
        <v>749626</v>
      </c>
      <c r="B1251" s="288">
        <v>45540.357638888891</v>
      </c>
      <c r="C1251" s="286" t="s">
        <v>2132</v>
      </c>
      <c r="D1251" s="286" t="s">
        <v>1105</v>
      </c>
      <c r="E1251" s="286" t="s">
        <v>1106</v>
      </c>
      <c r="F1251" s="286" t="s">
        <v>2342</v>
      </c>
      <c r="G1251" s="286" t="s">
        <v>1080</v>
      </c>
      <c r="H1251" s="286" t="s">
        <v>1080</v>
      </c>
      <c r="I1251" s="286" t="s">
        <v>1228</v>
      </c>
      <c r="J1251" s="286" t="s">
        <v>1312</v>
      </c>
      <c r="K1251" s="286" t="s">
        <v>1770</v>
      </c>
      <c r="L1251" s="286" t="s">
        <v>672</v>
      </c>
      <c r="M1251" s="286">
        <v>1</v>
      </c>
      <c r="N1251" s="287">
        <v>2388.81</v>
      </c>
      <c r="O1251" s="294">
        <f t="shared" si="19"/>
        <v>45565</v>
      </c>
      <c r="P1251" s="286" t="s">
        <v>58</v>
      </c>
    </row>
    <row r="1252" spans="1:16" hidden="1" x14ac:dyDescent="0.15">
      <c r="A1252" s="286">
        <v>844859</v>
      </c>
      <c r="B1252" s="288">
        <v>45603.465277777781</v>
      </c>
      <c r="C1252" s="286" t="s">
        <v>2100</v>
      </c>
      <c r="D1252" s="286" t="s">
        <v>1105</v>
      </c>
      <c r="E1252" s="286" t="s">
        <v>1106</v>
      </c>
      <c r="F1252" s="286" t="s">
        <v>2343</v>
      </c>
      <c r="G1252" s="286" t="s">
        <v>1080</v>
      </c>
      <c r="H1252" s="286" t="s">
        <v>1080</v>
      </c>
      <c r="I1252" s="286" t="s">
        <v>1228</v>
      </c>
      <c r="J1252" s="286" t="s">
        <v>1312</v>
      </c>
      <c r="K1252" s="286" t="s">
        <v>1770</v>
      </c>
      <c r="L1252" s="286" t="s">
        <v>672</v>
      </c>
      <c r="M1252" s="286">
        <v>1</v>
      </c>
      <c r="N1252" s="287">
        <v>2388.81</v>
      </c>
      <c r="O1252" s="294">
        <f t="shared" si="19"/>
        <v>45626</v>
      </c>
      <c r="P1252" s="286" t="s">
        <v>58</v>
      </c>
    </row>
    <row r="1253" spans="1:16" hidden="1" x14ac:dyDescent="0.15">
      <c r="A1253" s="286">
        <v>844859</v>
      </c>
      <c r="B1253" s="288">
        <v>45603.465277777781</v>
      </c>
      <c r="C1253" s="286" t="s">
        <v>2100</v>
      </c>
      <c r="D1253" s="286" t="s">
        <v>1105</v>
      </c>
      <c r="E1253" s="286" t="s">
        <v>1106</v>
      </c>
      <c r="F1253" s="286" t="s">
        <v>2343</v>
      </c>
      <c r="G1253" s="286" t="s">
        <v>1080</v>
      </c>
      <c r="H1253" s="286" t="s">
        <v>1080</v>
      </c>
      <c r="I1253" s="286" t="s">
        <v>1228</v>
      </c>
      <c r="J1253" s="286" t="s">
        <v>1312</v>
      </c>
      <c r="K1253" s="286" t="s">
        <v>1821</v>
      </c>
      <c r="L1253" s="286" t="s">
        <v>53</v>
      </c>
      <c r="M1253" s="286">
        <v>1</v>
      </c>
      <c r="N1253" s="287">
        <v>2388.81</v>
      </c>
      <c r="O1253" s="294">
        <f t="shared" si="19"/>
        <v>45626</v>
      </c>
      <c r="P1253" s="286" t="s">
        <v>58</v>
      </c>
    </row>
    <row r="1254" spans="1:16" hidden="1" x14ac:dyDescent="0.15">
      <c r="A1254" s="286">
        <v>844859</v>
      </c>
      <c r="B1254" s="288">
        <v>45603.465277777781</v>
      </c>
      <c r="C1254" s="286" t="s">
        <v>2100</v>
      </c>
      <c r="D1254" s="286" t="s">
        <v>1105</v>
      </c>
      <c r="E1254" s="286" t="s">
        <v>1106</v>
      </c>
      <c r="F1254" s="286" t="s">
        <v>2343</v>
      </c>
      <c r="G1254" s="286" t="s">
        <v>1080</v>
      </c>
      <c r="H1254" s="286" t="s">
        <v>1080</v>
      </c>
      <c r="I1254" s="286" t="s">
        <v>1228</v>
      </c>
      <c r="J1254" s="286" t="s">
        <v>1312</v>
      </c>
      <c r="K1254" s="286" t="s">
        <v>1808</v>
      </c>
      <c r="L1254" s="286" t="s">
        <v>53</v>
      </c>
      <c r="M1254" s="286">
        <v>1</v>
      </c>
      <c r="N1254" s="287">
        <v>2388.81</v>
      </c>
      <c r="O1254" s="294">
        <f t="shared" si="19"/>
        <v>45626</v>
      </c>
      <c r="P1254" s="286" t="s">
        <v>58</v>
      </c>
    </row>
    <row r="1255" spans="1:16" hidden="1" x14ac:dyDescent="0.15">
      <c r="A1255" s="286">
        <v>874698</v>
      </c>
      <c r="B1255" s="288">
        <v>45628.357638888891</v>
      </c>
      <c r="C1255" s="286" t="s">
        <v>2098</v>
      </c>
      <c r="D1255" s="286" t="s">
        <v>1105</v>
      </c>
      <c r="E1255" s="286" t="s">
        <v>1106</v>
      </c>
      <c r="F1255" s="286" t="s">
        <v>2142</v>
      </c>
      <c r="G1255" s="286" t="s">
        <v>1057</v>
      </c>
      <c r="H1255" s="286" t="s">
        <v>1057</v>
      </c>
      <c r="I1255" s="286" t="s">
        <v>1199</v>
      </c>
      <c r="J1255" s="286" t="s">
        <v>1312</v>
      </c>
      <c r="K1255" s="286" t="s">
        <v>1806</v>
      </c>
      <c r="L1255" s="286" t="s">
        <v>672</v>
      </c>
      <c r="M1255" s="286">
        <v>1</v>
      </c>
      <c r="N1255" s="287">
        <v>2386.9899999999998</v>
      </c>
      <c r="O1255" s="294">
        <f t="shared" si="19"/>
        <v>45657</v>
      </c>
      <c r="P1255" s="286" t="s">
        <v>58</v>
      </c>
    </row>
    <row r="1256" spans="1:16" hidden="1" x14ac:dyDescent="0.15">
      <c r="A1256" s="286">
        <v>438112</v>
      </c>
      <c r="B1256" s="288">
        <v>45293.53402777778</v>
      </c>
      <c r="C1256" s="286" t="s">
        <v>2125</v>
      </c>
      <c r="D1256" s="286" t="s">
        <v>1105</v>
      </c>
      <c r="E1256" s="286" t="s">
        <v>1106</v>
      </c>
      <c r="F1256" s="286" t="s">
        <v>2152</v>
      </c>
      <c r="G1256" s="286" t="s">
        <v>1004</v>
      </c>
      <c r="H1256" s="286" t="s">
        <v>1004</v>
      </c>
      <c r="I1256" s="286" t="s">
        <v>1199</v>
      </c>
      <c r="J1256" s="286" t="s">
        <v>53</v>
      </c>
      <c r="K1256" s="286" t="s">
        <v>53</v>
      </c>
      <c r="L1256" s="286" t="s">
        <v>53</v>
      </c>
      <c r="M1256" s="286" t="s">
        <v>53</v>
      </c>
      <c r="N1256" s="287">
        <v>2358.16</v>
      </c>
      <c r="O1256" s="294">
        <f t="shared" si="19"/>
        <v>45322</v>
      </c>
      <c r="P1256" s="286" t="s">
        <v>58</v>
      </c>
    </row>
    <row r="1257" spans="1:16" hidden="1" x14ac:dyDescent="0.15">
      <c r="A1257" s="286">
        <v>614316</v>
      </c>
      <c r="B1257" s="288">
        <v>45455.717361111114</v>
      </c>
      <c r="C1257" s="286" t="s">
        <v>2092</v>
      </c>
      <c r="D1257" s="286" t="s">
        <v>1105</v>
      </c>
      <c r="E1257" s="286" t="s">
        <v>1106</v>
      </c>
      <c r="F1257" s="286" t="s">
        <v>2167</v>
      </c>
      <c r="G1257" s="286" t="s">
        <v>1058</v>
      </c>
      <c r="H1257" s="286" t="s">
        <v>1058</v>
      </c>
      <c r="I1257" s="286" t="s">
        <v>1228</v>
      </c>
      <c r="J1257" s="286" t="s">
        <v>1312</v>
      </c>
      <c r="K1257" s="286" t="s">
        <v>2291</v>
      </c>
      <c r="L1257" s="286" t="s">
        <v>672</v>
      </c>
      <c r="M1257" s="286">
        <v>1</v>
      </c>
      <c r="N1257" s="287">
        <v>2356.08</v>
      </c>
      <c r="O1257" s="294">
        <f t="shared" si="19"/>
        <v>45473</v>
      </c>
      <c r="P1257" s="286" t="s">
        <v>58</v>
      </c>
    </row>
    <row r="1258" spans="1:16" hidden="1" x14ac:dyDescent="0.15">
      <c r="A1258" s="286">
        <v>874698</v>
      </c>
      <c r="B1258" s="288">
        <v>45628.357638888891</v>
      </c>
      <c r="C1258" s="286" t="s">
        <v>2098</v>
      </c>
      <c r="D1258" s="286" t="s">
        <v>1105</v>
      </c>
      <c r="E1258" s="286" t="s">
        <v>1106</v>
      </c>
      <c r="F1258" s="286" t="s">
        <v>2142</v>
      </c>
      <c r="G1258" s="286" t="s">
        <v>1069</v>
      </c>
      <c r="H1258" s="286" t="s">
        <v>1069</v>
      </c>
      <c r="I1258" s="286" t="s">
        <v>1228</v>
      </c>
      <c r="J1258" s="286" t="s">
        <v>1312</v>
      </c>
      <c r="K1258" s="286" t="s">
        <v>1813</v>
      </c>
      <c r="L1258" s="286" t="s">
        <v>672</v>
      </c>
      <c r="M1258" s="286">
        <v>1</v>
      </c>
      <c r="N1258" s="287">
        <v>2356.08</v>
      </c>
      <c r="O1258" s="294">
        <f t="shared" si="19"/>
        <v>45657</v>
      </c>
      <c r="P1258" s="286" t="s">
        <v>58</v>
      </c>
    </row>
    <row r="1259" spans="1:16" hidden="1" x14ac:dyDescent="0.15">
      <c r="A1259" s="286">
        <v>614216</v>
      </c>
      <c r="B1259" s="288">
        <v>45455.716666666667</v>
      </c>
      <c r="C1259" s="286" t="s">
        <v>2116</v>
      </c>
      <c r="D1259" s="286" t="s">
        <v>1105</v>
      </c>
      <c r="E1259" s="286" t="s">
        <v>1106</v>
      </c>
      <c r="F1259" s="286" t="s">
        <v>2156</v>
      </c>
      <c r="G1259" s="286" t="s">
        <v>1049</v>
      </c>
      <c r="H1259" s="286" t="s">
        <v>1049</v>
      </c>
      <c r="I1259" s="286" t="s">
        <v>1228</v>
      </c>
      <c r="J1259" s="286" t="s">
        <v>1312</v>
      </c>
      <c r="K1259" s="286" t="s">
        <v>2344</v>
      </c>
      <c r="L1259" s="286" t="s">
        <v>53</v>
      </c>
      <c r="M1259" s="286">
        <v>1</v>
      </c>
      <c r="N1259" s="287">
        <v>2349.09</v>
      </c>
      <c r="O1259" s="294">
        <f t="shared" si="19"/>
        <v>45473</v>
      </c>
      <c r="P1259" s="286" t="s">
        <v>58</v>
      </c>
    </row>
    <row r="1260" spans="1:16" hidden="1" x14ac:dyDescent="0.15">
      <c r="A1260" s="286">
        <v>614316</v>
      </c>
      <c r="B1260" s="288">
        <v>45455.717361111114</v>
      </c>
      <c r="C1260" s="286" t="s">
        <v>2092</v>
      </c>
      <c r="D1260" s="286" t="s">
        <v>1105</v>
      </c>
      <c r="E1260" s="286" t="s">
        <v>1106</v>
      </c>
      <c r="F1260" s="286" t="s">
        <v>2167</v>
      </c>
      <c r="G1260" s="286" t="s">
        <v>1049</v>
      </c>
      <c r="H1260" s="286" t="s">
        <v>1049</v>
      </c>
      <c r="I1260" s="286" t="s">
        <v>1228</v>
      </c>
      <c r="J1260" s="286" t="s">
        <v>1312</v>
      </c>
      <c r="K1260" s="286" t="s">
        <v>2344</v>
      </c>
      <c r="L1260" s="286" t="s">
        <v>53</v>
      </c>
      <c r="M1260" s="286">
        <v>1</v>
      </c>
      <c r="N1260" s="287">
        <v>2349.09</v>
      </c>
      <c r="O1260" s="294">
        <f t="shared" si="19"/>
        <v>45473</v>
      </c>
      <c r="P1260" s="286" t="s">
        <v>58</v>
      </c>
    </row>
    <row r="1261" spans="1:16" hidden="1" x14ac:dyDescent="0.15">
      <c r="A1261" s="286">
        <v>646075</v>
      </c>
      <c r="B1261" s="288">
        <v>45474.519444444442</v>
      </c>
      <c r="C1261" s="286" t="s">
        <v>2111</v>
      </c>
      <c r="D1261" s="286" t="s">
        <v>1105</v>
      </c>
      <c r="E1261" s="286" t="s">
        <v>1106</v>
      </c>
      <c r="F1261" s="286" t="s">
        <v>2137</v>
      </c>
      <c r="G1261" s="286" t="s">
        <v>1049</v>
      </c>
      <c r="H1261" s="286" t="s">
        <v>1049</v>
      </c>
      <c r="I1261" s="286" t="s">
        <v>1228</v>
      </c>
      <c r="J1261" s="286" t="s">
        <v>1312</v>
      </c>
      <c r="K1261" s="286" t="s">
        <v>2344</v>
      </c>
      <c r="L1261" s="286" t="s">
        <v>53</v>
      </c>
      <c r="M1261" s="286">
        <v>1</v>
      </c>
      <c r="N1261" s="287">
        <v>2349.09</v>
      </c>
      <c r="O1261" s="294">
        <f t="shared" si="19"/>
        <v>45504</v>
      </c>
      <c r="P1261" s="286" t="s">
        <v>58</v>
      </c>
    </row>
    <row r="1262" spans="1:16" hidden="1" x14ac:dyDescent="0.15">
      <c r="A1262" s="286">
        <v>697810</v>
      </c>
      <c r="B1262" s="288">
        <v>45510.366666666669</v>
      </c>
      <c r="C1262" s="286" t="s">
        <v>2102</v>
      </c>
      <c r="D1262" s="286" t="s">
        <v>1105</v>
      </c>
      <c r="E1262" s="286" t="s">
        <v>1106</v>
      </c>
      <c r="F1262" s="286" t="s">
        <v>2138</v>
      </c>
      <c r="G1262" s="286" t="s">
        <v>1049</v>
      </c>
      <c r="H1262" s="286" t="s">
        <v>1049</v>
      </c>
      <c r="I1262" s="286" t="s">
        <v>1228</v>
      </c>
      <c r="J1262" s="286" t="s">
        <v>1312</v>
      </c>
      <c r="K1262" s="286" t="s">
        <v>2344</v>
      </c>
      <c r="L1262" s="286" t="s">
        <v>53</v>
      </c>
      <c r="M1262" s="286">
        <v>1</v>
      </c>
      <c r="N1262" s="287">
        <v>2349.09</v>
      </c>
      <c r="O1262" s="294">
        <f t="shared" si="19"/>
        <v>45535</v>
      </c>
      <c r="P1262" s="286" t="s">
        <v>58</v>
      </c>
    </row>
    <row r="1263" spans="1:16" hidden="1" x14ac:dyDescent="0.15">
      <c r="A1263" s="286">
        <v>745911</v>
      </c>
      <c r="B1263" s="288">
        <v>45538.44027777778</v>
      </c>
      <c r="C1263" s="286" t="s">
        <v>2132</v>
      </c>
      <c r="D1263" s="286" t="s">
        <v>1105</v>
      </c>
      <c r="E1263" s="286" t="s">
        <v>1106</v>
      </c>
      <c r="F1263" s="286" t="s">
        <v>2139</v>
      </c>
      <c r="G1263" s="286" t="s">
        <v>1049</v>
      </c>
      <c r="H1263" s="286" t="s">
        <v>1049</v>
      </c>
      <c r="I1263" s="286" t="s">
        <v>1228</v>
      </c>
      <c r="J1263" s="286" t="s">
        <v>1312</v>
      </c>
      <c r="K1263" s="286" t="s">
        <v>2344</v>
      </c>
      <c r="L1263" s="286" t="s">
        <v>53</v>
      </c>
      <c r="M1263" s="286">
        <v>1</v>
      </c>
      <c r="N1263" s="287">
        <v>2349.09</v>
      </c>
      <c r="O1263" s="294">
        <f t="shared" si="19"/>
        <v>45565</v>
      </c>
      <c r="P1263" s="286" t="s">
        <v>58</v>
      </c>
    </row>
    <row r="1264" spans="1:16" hidden="1" x14ac:dyDescent="0.15">
      <c r="A1264" s="286">
        <v>848817</v>
      </c>
      <c r="B1264" s="288">
        <v>45607.65902777778</v>
      </c>
      <c r="C1264" s="286" t="s">
        <v>2130</v>
      </c>
      <c r="D1264" s="286" t="s">
        <v>1105</v>
      </c>
      <c r="E1264" s="286" t="s">
        <v>1106</v>
      </c>
      <c r="F1264" s="286" t="s">
        <v>2140</v>
      </c>
      <c r="G1264" s="286" t="s">
        <v>1049</v>
      </c>
      <c r="H1264" s="286" t="s">
        <v>1049</v>
      </c>
      <c r="I1264" s="286" t="s">
        <v>1228</v>
      </c>
      <c r="J1264" s="286" t="s">
        <v>1312</v>
      </c>
      <c r="K1264" s="286" t="s">
        <v>2344</v>
      </c>
      <c r="L1264" s="286" t="s">
        <v>53</v>
      </c>
      <c r="M1264" s="286">
        <v>1</v>
      </c>
      <c r="N1264" s="287">
        <v>2349.09</v>
      </c>
      <c r="O1264" s="294">
        <f t="shared" si="19"/>
        <v>45626</v>
      </c>
      <c r="P1264" s="286" t="s">
        <v>58</v>
      </c>
    </row>
    <row r="1265" spans="1:16" hidden="1" x14ac:dyDescent="0.15">
      <c r="A1265" s="286">
        <v>848917</v>
      </c>
      <c r="B1265" s="288">
        <v>45607.660416666666</v>
      </c>
      <c r="C1265" s="286" t="s">
        <v>2100</v>
      </c>
      <c r="D1265" s="286" t="s">
        <v>1105</v>
      </c>
      <c r="E1265" s="286" t="s">
        <v>1106</v>
      </c>
      <c r="F1265" s="286" t="s">
        <v>2141</v>
      </c>
      <c r="G1265" s="286" t="s">
        <v>1049</v>
      </c>
      <c r="H1265" s="286" t="s">
        <v>1049</v>
      </c>
      <c r="I1265" s="286" t="s">
        <v>1228</v>
      </c>
      <c r="J1265" s="286" t="s">
        <v>1312</v>
      </c>
      <c r="K1265" s="286" t="s">
        <v>2344</v>
      </c>
      <c r="L1265" s="286" t="s">
        <v>53</v>
      </c>
      <c r="M1265" s="286">
        <v>1</v>
      </c>
      <c r="N1265" s="287">
        <v>2349.09</v>
      </c>
      <c r="O1265" s="294">
        <f t="shared" si="19"/>
        <v>45626</v>
      </c>
      <c r="P1265" s="286" t="s">
        <v>58</v>
      </c>
    </row>
    <row r="1266" spans="1:16" hidden="1" x14ac:dyDescent="0.15">
      <c r="A1266" s="286">
        <v>874698</v>
      </c>
      <c r="B1266" s="288">
        <v>45628.357638888891</v>
      </c>
      <c r="C1266" s="286" t="s">
        <v>2098</v>
      </c>
      <c r="D1266" s="286" t="s">
        <v>1105</v>
      </c>
      <c r="E1266" s="286" t="s">
        <v>1106</v>
      </c>
      <c r="F1266" s="286" t="s">
        <v>2142</v>
      </c>
      <c r="G1266" s="286" t="s">
        <v>1049</v>
      </c>
      <c r="H1266" s="286" t="s">
        <v>1049</v>
      </c>
      <c r="I1266" s="286" t="s">
        <v>1228</v>
      </c>
      <c r="J1266" s="286" t="s">
        <v>1312</v>
      </c>
      <c r="K1266" s="286" t="s">
        <v>2344</v>
      </c>
      <c r="L1266" s="286" t="s">
        <v>53</v>
      </c>
      <c r="M1266" s="286">
        <v>1</v>
      </c>
      <c r="N1266" s="287">
        <v>2349.09</v>
      </c>
      <c r="O1266" s="294">
        <f t="shared" si="19"/>
        <v>45657</v>
      </c>
      <c r="P1266" s="286" t="s">
        <v>58</v>
      </c>
    </row>
    <row r="1267" spans="1:16" hidden="1" x14ac:dyDescent="0.15">
      <c r="A1267" s="286">
        <v>504817</v>
      </c>
      <c r="B1267" s="288">
        <v>45359.645138888889</v>
      </c>
      <c r="C1267" s="286" t="s">
        <v>2109</v>
      </c>
      <c r="D1267" s="286" t="s">
        <v>1105</v>
      </c>
      <c r="E1267" s="286" t="s">
        <v>1106</v>
      </c>
      <c r="F1267" s="286" t="s">
        <v>2154</v>
      </c>
      <c r="G1267" s="286" t="s">
        <v>1067</v>
      </c>
      <c r="H1267" s="286" t="s">
        <v>1067</v>
      </c>
      <c r="I1267" s="286" t="s">
        <v>1199</v>
      </c>
      <c r="J1267" s="286" t="s">
        <v>1312</v>
      </c>
      <c r="K1267" s="286" t="s">
        <v>1797</v>
      </c>
      <c r="L1267" s="286" t="s">
        <v>672</v>
      </c>
      <c r="M1267" s="286">
        <v>1</v>
      </c>
      <c r="N1267" s="287">
        <v>2334.0700000000002</v>
      </c>
      <c r="O1267" s="294">
        <f t="shared" si="19"/>
        <v>45382</v>
      </c>
      <c r="P1267" s="286" t="s">
        <v>58</v>
      </c>
    </row>
    <row r="1268" spans="1:16" hidden="1" x14ac:dyDescent="0.15">
      <c r="A1268" s="286">
        <v>874698</v>
      </c>
      <c r="B1268" s="288">
        <v>45628.357638888891</v>
      </c>
      <c r="C1268" s="286" t="s">
        <v>2098</v>
      </c>
      <c r="D1268" s="286" t="s">
        <v>1105</v>
      </c>
      <c r="E1268" s="286" t="s">
        <v>1106</v>
      </c>
      <c r="F1268" s="286" t="s">
        <v>2142</v>
      </c>
      <c r="G1268" s="286" t="s">
        <v>1036</v>
      </c>
      <c r="H1268" s="286" t="s">
        <v>1036</v>
      </c>
      <c r="I1268" s="286" t="s">
        <v>1152</v>
      </c>
      <c r="J1268" s="286" t="s">
        <v>1312</v>
      </c>
      <c r="K1268" s="286" t="s">
        <v>1836</v>
      </c>
      <c r="L1268" s="286" t="s">
        <v>672</v>
      </c>
      <c r="M1268" s="286">
        <v>1</v>
      </c>
      <c r="N1268" s="287">
        <v>2322.27</v>
      </c>
      <c r="O1268" s="294">
        <f t="shared" si="19"/>
        <v>45657</v>
      </c>
      <c r="P1268" s="286" t="s">
        <v>58</v>
      </c>
    </row>
    <row r="1269" spans="1:16" hidden="1" x14ac:dyDescent="0.15">
      <c r="A1269" s="286">
        <v>751756</v>
      </c>
      <c r="B1269" s="288">
        <v>45540.734722222223</v>
      </c>
      <c r="C1269" s="286" t="s">
        <v>2102</v>
      </c>
      <c r="D1269" s="286" t="s">
        <v>1105</v>
      </c>
      <c r="E1269" s="286" t="s">
        <v>1106</v>
      </c>
      <c r="F1269" s="286" t="s">
        <v>2103</v>
      </c>
      <c r="G1269" s="286" t="s">
        <v>1011</v>
      </c>
      <c r="H1269" s="286" t="s">
        <v>1011</v>
      </c>
      <c r="I1269" s="286" t="s">
        <v>1108</v>
      </c>
      <c r="J1269" s="286" t="s">
        <v>1312</v>
      </c>
      <c r="K1269" s="286" t="s">
        <v>2345</v>
      </c>
      <c r="L1269" s="286" t="s">
        <v>562</v>
      </c>
      <c r="M1269" s="286">
        <v>1</v>
      </c>
      <c r="N1269" s="287">
        <v>2268</v>
      </c>
      <c r="O1269" s="294">
        <f t="shared" si="19"/>
        <v>45565</v>
      </c>
      <c r="P1269" s="286" t="s">
        <v>37</v>
      </c>
    </row>
    <row r="1270" spans="1:16" hidden="1" x14ac:dyDescent="0.15">
      <c r="A1270" s="286">
        <v>453975</v>
      </c>
      <c r="B1270" s="288">
        <v>45309.636111111111</v>
      </c>
      <c r="C1270" s="286" t="s">
        <v>2125</v>
      </c>
      <c r="D1270" s="286" t="s">
        <v>1105</v>
      </c>
      <c r="E1270" s="286" t="s">
        <v>1106</v>
      </c>
      <c r="F1270" s="286" t="s">
        <v>2333</v>
      </c>
      <c r="G1270" s="286" t="s">
        <v>1080</v>
      </c>
      <c r="H1270" s="286" t="s">
        <v>1080</v>
      </c>
      <c r="I1270" s="286" t="s">
        <v>1228</v>
      </c>
      <c r="J1270" s="286" t="s">
        <v>1312</v>
      </c>
      <c r="K1270" s="286" t="s">
        <v>1821</v>
      </c>
      <c r="L1270" s="286" t="s">
        <v>53</v>
      </c>
      <c r="M1270" s="286">
        <v>1</v>
      </c>
      <c r="N1270" s="287">
        <v>2252.81</v>
      </c>
      <c r="O1270" s="294">
        <f t="shared" si="19"/>
        <v>45322</v>
      </c>
      <c r="P1270" s="286" t="s">
        <v>58</v>
      </c>
    </row>
    <row r="1271" spans="1:16" hidden="1" x14ac:dyDescent="0.15">
      <c r="A1271" s="286">
        <v>453975</v>
      </c>
      <c r="B1271" s="288">
        <v>45309.636111111111</v>
      </c>
      <c r="C1271" s="286" t="s">
        <v>2125</v>
      </c>
      <c r="D1271" s="286" t="s">
        <v>1105</v>
      </c>
      <c r="E1271" s="286" t="s">
        <v>1106</v>
      </c>
      <c r="F1271" s="286" t="s">
        <v>2333</v>
      </c>
      <c r="G1271" s="286" t="s">
        <v>1080</v>
      </c>
      <c r="H1271" s="286" t="s">
        <v>1080</v>
      </c>
      <c r="I1271" s="286" t="s">
        <v>1228</v>
      </c>
      <c r="J1271" s="286" t="s">
        <v>1312</v>
      </c>
      <c r="K1271" s="286" t="s">
        <v>1808</v>
      </c>
      <c r="L1271" s="286" t="s">
        <v>53</v>
      </c>
      <c r="M1271" s="286">
        <v>1</v>
      </c>
      <c r="N1271" s="287">
        <v>2252.81</v>
      </c>
      <c r="O1271" s="294">
        <f t="shared" si="19"/>
        <v>45322</v>
      </c>
      <c r="P1271" s="286" t="s">
        <v>58</v>
      </c>
    </row>
    <row r="1272" spans="1:16" hidden="1" x14ac:dyDescent="0.15">
      <c r="A1272" s="286">
        <v>453975</v>
      </c>
      <c r="B1272" s="288">
        <v>45309.636111111111</v>
      </c>
      <c r="C1272" s="286" t="s">
        <v>2125</v>
      </c>
      <c r="D1272" s="286" t="s">
        <v>1105</v>
      </c>
      <c r="E1272" s="286" t="s">
        <v>1106</v>
      </c>
      <c r="F1272" s="286" t="s">
        <v>2333</v>
      </c>
      <c r="G1272" s="286" t="s">
        <v>1080</v>
      </c>
      <c r="H1272" s="286" t="s">
        <v>1080</v>
      </c>
      <c r="I1272" s="286" t="s">
        <v>1228</v>
      </c>
      <c r="J1272" s="286" t="s">
        <v>1312</v>
      </c>
      <c r="K1272" s="286" t="s">
        <v>1770</v>
      </c>
      <c r="L1272" s="286" t="s">
        <v>672</v>
      </c>
      <c r="M1272" s="286">
        <v>1</v>
      </c>
      <c r="N1272" s="287">
        <v>2252.81</v>
      </c>
      <c r="O1272" s="294">
        <f t="shared" si="19"/>
        <v>45322</v>
      </c>
      <c r="P1272" s="286" t="s">
        <v>58</v>
      </c>
    </row>
    <row r="1273" spans="1:16" hidden="1" x14ac:dyDescent="0.15">
      <c r="A1273" s="286">
        <v>504817</v>
      </c>
      <c r="B1273" s="288">
        <v>45359.645138888889</v>
      </c>
      <c r="C1273" s="286" t="s">
        <v>2109</v>
      </c>
      <c r="D1273" s="286" t="s">
        <v>1105</v>
      </c>
      <c r="E1273" s="286" t="s">
        <v>1106</v>
      </c>
      <c r="F1273" s="286" t="s">
        <v>2154</v>
      </c>
      <c r="G1273" s="286" t="s">
        <v>1080</v>
      </c>
      <c r="H1273" s="286" t="s">
        <v>1080</v>
      </c>
      <c r="I1273" s="286" t="s">
        <v>1228</v>
      </c>
      <c r="J1273" s="286" t="s">
        <v>1312</v>
      </c>
      <c r="K1273" s="286" t="s">
        <v>1770</v>
      </c>
      <c r="L1273" s="286" t="s">
        <v>672</v>
      </c>
      <c r="M1273" s="286">
        <v>1</v>
      </c>
      <c r="N1273" s="287">
        <v>2252.81</v>
      </c>
      <c r="O1273" s="294">
        <f t="shared" si="19"/>
        <v>45382</v>
      </c>
      <c r="P1273" s="286" t="s">
        <v>58</v>
      </c>
    </row>
    <row r="1274" spans="1:16" hidden="1" x14ac:dyDescent="0.15">
      <c r="A1274" s="286">
        <v>504817</v>
      </c>
      <c r="B1274" s="288">
        <v>45359.645138888889</v>
      </c>
      <c r="C1274" s="286" t="s">
        <v>2109</v>
      </c>
      <c r="D1274" s="286" t="s">
        <v>1105</v>
      </c>
      <c r="E1274" s="286" t="s">
        <v>1106</v>
      </c>
      <c r="F1274" s="286" t="s">
        <v>2154</v>
      </c>
      <c r="G1274" s="286" t="s">
        <v>1080</v>
      </c>
      <c r="H1274" s="286" t="s">
        <v>1080</v>
      </c>
      <c r="I1274" s="286" t="s">
        <v>1228</v>
      </c>
      <c r="J1274" s="286" t="s">
        <v>1312</v>
      </c>
      <c r="K1274" s="286" t="s">
        <v>1808</v>
      </c>
      <c r="L1274" s="286" t="s">
        <v>53</v>
      </c>
      <c r="M1274" s="286">
        <v>1</v>
      </c>
      <c r="N1274" s="287">
        <v>2252.81</v>
      </c>
      <c r="O1274" s="294">
        <f t="shared" si="19"/>
        <v>45382</v>
      </c>
      <c r="P1274" s="286" t="s">
        <v>58</v>
      </c>
    </row>
    <row r="1275" spans="1:16" hidden="1" x14ac:dyDescent="0.15">
      <c r="A1275" s="286">
        <v>504817</v>
      </c>
      <c r="B1275" s="288">
        <v>45359.645138888889</v>
      </c>
      <c r="C1275" s="286" t="s">
        <v>2109</v>
      </c>
      <c r="D1275" s="286" t="s">
        <v>1105</v>
      </c>
      <c r="E1275" s="286" t="s">
        <v>1106</v>
      </c>
      <c r="F1275" s="286" t="s">
        <v>2154</v>
      </c>
      <c r="G1275" s="286" t="s">
        <v>1080</v>
      </c>
      <c r="H1275" s="286" t="s">
        <v>1080</v>
      </c>
      <c r="I1275" s="286" t="s">
        <v>1228</v>
      </c>
      <c r="J1275" s="286" t="s">
        <v>1312</v>
      </c>
      <c r="K1275" s="286" t="s">
        <v>1821</v>
      </c>
      <c r="L1275" s="286" t="s">
        <v>53</v>
      </c>
      <c r="M1275" s="286">
        <v>1</v>
      </c>
      <c r="N1275" s="287">
        <v>2252.81</v>
      </c>
      <c r="O1275" s="294">
        <f t="shared" si="19"/>
        <v>45382</v>
      </c>
      <c r="P1275" s="286" t="s">
        <v>58</v>
      </c>
    </row>
    <row r="1276" spans="1:16" hidden="1" x14ac:dyDescent="0.15">
      <c r="A1276" s="286">
        <v>614216</v>
      </c>
      <c r="B1276" s="288">
        <v>45455.716666666667</v>
      </c>
      <c r="C1276" s="286" t="s">
        <v>2116</v>
      </c>
      <c r="D1276" s="286" t="s">
        <v>1105</v>
      </c>
      <c r="E1276" s="286" t="s">
        <v>1106</v>
      </c>
      <c r="F1276" s="286" t="s">
        <v>2156</v>
      </c>
      <c r="G1276" s="286" t="s">
        <v>1080</v>
      </c>
      <c r="H1276" s="286" t="s">
        <v>1080</v>
      </c>
      <c r="I1276" s="286" t="s">
        <v>1228</v>
      </c>
      <c r="J1276" s="286" t="s">
        <v>1312</v>
      </c>
      <c r="K1276" s="286" t="s">
        <v>1770</v>
      </c>
      <c r="L1276" s="286" t="s">
        <v>672</v>
      </c>
      <c r="M1276" s="286">
        <v>1</v>
      </c>
      <c r="N1276" s="287">
        <v>2252.81</v>
      </c>
      <c r="O1276" s="294">
        <f t="shared" si="19"/>
        <v>45473</v>
      </c>
      <c r="P1276" s="286" t="s">
        <v>58</v>
      </c>
    </row>
    <row r="1277" spans="1:16" hidden="1" x14ac:dyDescent="0.15">
      <c r="A1277" s="286">
        <v>614216</v>
      </c>
      <c r="B1277" s="288">
        <v>45455.716666666667</v>
      </c>
      <c r="C1277" s="286" t="s">
        <v>2116</v>
      </c>
      <c r="D1277" s="286" t="s">
        <v>1105</v>
      </c>
      <c r="E1277" s="286" t="s">
        <v>1106</v>
      </c>
      <c r="F1277" s="286" t="s">
        <v>2156</v>
      </c>
      <c r="G1277" s="286" t="s">
        <v>1080</v>
      </c>
      <c r="H1277" s="286" t="s">
        <v>1080</v>
      </c>
      <c r="I1277" s="286" t="s">
        <v>1228</v>
      </c>
      <c r="J1277" s="286" t="s">
        <v>1312</v>
      </c>
      <c r="K1277" s="286" t="s">
        <v>1808</v>
      </c>
      <c r="L1277" s="286" t="s">
        <v>53</v>
      </c>
      <c r="M1277" s="286">
        <v>1</v>
      </c>
      <c r="N1277" s="287">
        <v>2252.81</v>
      </c>
      <c r="O1277" s="294">
        <f t="shared" si="19"/>
        <v>45473</v>
      </c>
      <c r="P1277" s="286" t="s">
        <v>58</v>
      </c>
    </row>
    <row r="1278" spans="1:16" hidden="1" x14ac:dyDescent="0.15">
      <c r="A1278" s="286">
        <v>614216</v>
      </c>
      <c r="B1278" s="288">
        <v>45455.716666666667</v>
      </c>
      <c r="C1278" s="286" t="s">
        <v>2116</v>
      </c>
      <c r="D1278" s="286" t="s">
        <v>1105</v>
      </c>
      <c r="E1278" s="286" t="s">
        <v>1106</v>
      </c>
      <c r="F1278" s="286" t="s">
        <v>2156</v>
      </c>
      <c r="G1278" s="286" t="s">
        <v>1080</v>
      </c>
      <c r="H1278" s="286" t="s">
        <v>1080</v>
      </c>
      <c r="I1278" s="286" t="s">
        <v>1228</v>
      </c>
      <c r="J1278" s="286" t="s">
        <v>1312</v>
      </c>
      <c r="K1278" s="286" t="s">
        <v>1821</v>
      </c>
      <c r="L1278" s="286" t="s">
        <v>53</v>
      </c>
      <c r="M1278" s="286">
        <v>1</v>
      </c>
      <c r="N1278" s="287">
        <v>2252.81</v>
      </c>
      <c r="O1278" s="294">
        <f t="shared" si="19"/>
        <v>45473</v>
      </c>
      <c r="P1278" s="286" t="s">
        <v>58</v>
      </c>
    </row>
    <row r="1279" spans="1:16" hidden="1" x14ac:dyDescent="0.15">
      <c r="A1279" s="286">
        <v>534207</v>
      </c>
      <c r="B1279" s="288">
        <v>45385.750694444447</v>
      </c>
      <c r="C1279" s="286" t="s">
        <v>2096</v>
      </c>
      <c r="D1279" s="286" t="s">
        <v>1105</v>
      </c>
      <c r="E1279" s="286" t="s">
        <v>1106</v>
      </c>
      <c r="F1279" s="286" t="s">
        <v>2155</v>
      </c>
      <c r="G1279" s="286" t="s">
        <v>1080</v>
      </c>
      <c r="H1279" s="286" t="s">
        <v>1080</v>
      </c>
      <c r="I1279" s="286" t="s">
        <v>1228</v>
      </c>
      <c r="J1279" s="286" t="s">
        <v>1312</v>
      </c>
      <c r="K1279" s="286" t="s">
        <v>1770</v>
      </c>
      <c r="L1279" s="286" t="s">
        <v>672</v>
      </c>
      <c r="M1279" s="286">
        <v>1</v>
      </c>
      <c r="N1279" s="287">
        <v>2222.09</v>
      </c>
      <c r="O1279" s="294">
        <f t="shared" si="19"/>
        <v>45412</v>
      </c>
      <c r="P1279" s="286" t="s">
        <v>58</v>
      </c>
    </row>
    <row r="1280" spans="1:16" hidden="1" x14ac:dyDescent="0.15">
      <c r="A1280" s="286">
        <v>534207</v>
      </c>
      <c r="B1280" s="288">
        <v>45385.750694444447</v>
      </c>
      <c r="C1280" s="286" t="s">
        <v>2096</v>
      </c>
      <c r="D1280" s="286" t="s">
        <v>1105</v>
      </c>
      <c r="E1280" s="286" t="s">
        <v>1106</v>
      </c>
      <c r="F1280" s="286" t="s">
        <v>2155</v>
      </c>
      <c r="G1280" s="286" t="s">
        <v>1080</v>
      </c>
      <c r="H1280" s="286" t="s">
        <v>1080</v>
      </c>
      <c r="I1280" s="286" t="s">
        <v>1228</v>
      </c>
      <c r="J1280" s="286" t="s">
        <v>1312</v>
      </c>
      <c r="K1280" s="286" t="s">
        <v>1808</v>
      </c>
      <c r="L1280" s="286" t="s">
        <v>53</v>
      </c>
      <c r="M1280" s="286">
        <v>1</v>
      </c>
      <c r="N1280" s="287">
        <v>2222.09</v>
      </c>
      <c r="O1280" s="294">
        <f t="shared" si="19"/>
        <v>45412</v>
      </c>
      <c r="P1280" s="286" t="s">
        <v>58</v>
      </c>
    </row>
    <row r="1281" spans="1:16" hidden="1" x14ac:dyDescent="0.15">
      <c r="A1281" s="286">
        <v>534207</v>
      </c>
      <c r="B1281" s="288">
        <v>45385.750694444447</v>
      </c>
      <c r="C1281" s="286" t="s">
        <v>2096</v>
      </c>
      <c r="D1281" s="286" t="s">
        <v>1105</v>
      </c>
      <c r="E1281" s="286" t="s">
        <v>1106</v>
      </c>
      <c r="F1281" s="286" t="s">
        <v>2155</v>
      </c>
      <c r="G1281" s="286" t="s">
        <v>1080</v>
      </c>
      <c r="H1281" s="286" t="s">
        <v>1080</v>
      </c>
      <c r="I1281" s="286" t="s">
        <v>1228</v>
      </c>
      <c r="J1281" s="286" t="s">
        <v>1312</v>
      </c>
      <c r="K1281" s="286" t="s">
        <v>1821</v>
      </c>
      <c r="L1281" s="286" t="s">
        <v>53</v>
      </c>
      <c r="M1281" s="286">
        <v>1</v>
      </c>
      <c r="N1281" s="287">
        <v>2222.09</v>
      </c>
      <c r="O1281" s="294">
        <f t="shared" si="19"/>
        <v>45412</v>
      </c>
      <c r="P1281" s="286" t="s">
        <v>58</v>
      </c>
    </row>
    <row r="1282" spans="1:16" hidden="1" x14ac:dyDescent="0.15">
      <c r="A1282" s="286">
        <v>504817</v>
      </c>
      <c r="B1282" s="288">
        <v>45359.645138888889</v>
      </c>
      <c r="C1282" s="286" t="s">
        <v>2109</v>
      </c>
      <c r="D1282" s="286" t="s">
        <v>1105</v>
      </c>
      <c r="E1282" s="286" t="s">
        <v>1106</v>
      </c>
      <c r="F1282" s="286" t="s">
        <v>2154</v>
      </c>
      <c r="G1282" s="286" t="s">
        <v>1067</v>
      </c>
      <c r="H1282" s="286" t="s">
        <v>1067</v>
      </c>
      <c r="I1282" s="286" t="s">
        <v>1199</v>
      </c>
      <c r="J1282" s="286" t="s">
        <v>53</v>
      </c>
      <c r="K1282" s="286" t="s">
        <v>53</v>
      </c>
      <c r="L1282" s="286" t="s">
        <v>53</v>
      </c>
      <c r="M1282" s="286" t="s">
        <v>53</v>
      </c>
      <c r="N1282" s="287">
        <v>2217.85</v>
      </c>
      <c r="O1282" s="294">
        <f t="shared" si="19"/>
        <v>45382</v>
      </c>
      <c r="P1282" s="286" t="s">
        <v>58</v>
      </c>
    </row>
    <row r="1283" spans="1:16" hidden="1" x14ac:dyDescent="0.15">
      <c r="A1283" s="286">
        <v>778470</v>
      </c>
      <c r="B1283" s="288">
        <v>45555.450694444444</v>
      </c>
      <c r="C1283" s="286" t="s">
        <v>2132</v>
      </c>
      <c r="D1283" s="286" t="s">
        <v>1105</v>
      </c>
      <c r="E1283" s="286" t="s">
        <v>1106</v>
      </c>
      <c r="F1283" s="286" t="s">
        <v>2346</v>
      </c>
      <c r="G1283" s="286" t="s">
        <v>2318</v>
      </c>
      <c r="H1283" s="286" t="s">
        <v>2318</v>
      </c>
      <c r="I1283" s="286" t="s">
        <v>1129</v>
      </c>
      <c r="J1283" s="286" t="s">
        <v>1312</v>
      </c>
      <c r="K1283" s="286" t="s">
        <v>2319</v>
      </c>
      <c r="L1283" s="286" t="s">
        <v>2320</v>
      </c>
      <c r="M1283" s="286">
        <v>200</v>
      </c>
      <c r="N1283" s="287">
        <v>2196</v>
      </c>
      <c r="O1283" s="294">
        <f t="shared" si="19"/>
        <v>45565</v>
      </c>
      <c r="P1283" s="286" t="s">
        <v>164</v>
      </c>
    </row>
    <row r="1284" spans="1:16" hidden="1" x14ac:dyDescent="0.15">
      <c r="A1284" s="286">
        <v>472168</v>
      </c>
      <c r="B1284" s="288">
        <v>45331.416666666664</v>
      </c>
      <c r="C1284" s="286" t="s">
        <v>2113</v>
      </c>
      <c r="D1284" s="286" t="s">
        <v>1105</v>
      </c>
      <c r="E1284" s="286" t="s">
        <v>1106</v>
      </c>
      <c r="F1284" s="286" t="s">
        <v>2153</v>
      </c>
      <c r="G1284" s="286" t="s">
        <v>1080</v>
      </c>
      <c r="H1284" s="286" t="s">
        <v>1080</v>
      </c>
      <c r="I1284" s="286" t="s">
        <v>1228</v>
      </c>
      <c r="J1284" s="286" t="s">
        <v>1312</v>
      </c>
      <c r="K1284" s="286" t="s">
        <v>1770</v>
      </c>
      <c r="L1284" s="286" t="s">
        <v>672</v>
      </c>
      <c r="M1284" s="286">
        <v>1</v>
      </c>
      <c r="N1284" s="287">
        <v>2189.2600000000002</v>
      </c>
      <c r="O1284" s="294">
        <f t="shared" ref="O1284:O1347" si="20">EOMONTH(B1284,0)</f>
        <v>45351</v>
      </c>
      <c r="P1284" s="286" t="s">
        <v>58</v>
      </c>
    </row>
    <row r="1285" spans="1:16" hidden="1" x14ac:dyDescent="0.15">
      <c r="A1285" s="286">
        <v>472168</v>
      </c>
      <c r="B1285" s="288">
        <v>45331.416666666664</v>
      </c>
      <c r="C1285" s="286" t="s">
        <v>2113</v>
      </c>
      <c r="D1285" s="286" t="s">
        <v>1105</v>
      </c>
      <c r="E1285" s="286" t="s">
        <v>1106</v>
      </c>
      <c r="F1285" s="286" t="s">
        <v>2153</v>
      </c>
      <c r="G1285" s="286" t="s">
        <v>1080</v>
      </c>
      <c r="H1285" s="286" t="s">
        <v>1080</v>
      </c>
      <c r="I1285" s="286" t="s">
        <v>1228</v>
      </c>
      <c r="J1285" s="286" t="s">
        <v>1312</v>
      </c>
      <c r="K1285" s="286" t="s">
        <v>1808</v>
      </c>
      <c r="L1285" s="286" t="s">
        <v>53</v>
      </c>
      <c r="M1285" s="286">
        <v>1</v>
      </c>
      <c r="N1285" s="287">
        <v>2189.2600000000002</v>
      </c>
      <c r="O1285" s="294">
        <f t="shared" si="20"/>
        <v>45351</v>
      </c>
      <c r="P1285" s="286" t="s">
        <v>58</v>
      </c>
    </row>
    <row r="1286" spans="1:16" hidden="1" x14ac:dyDescent="0.15">
      <c r="A1286" s="286">
        <v>472168</v>
      </c>
      <c r="B1286" s="288">
        <v>45331.416666666664</v>
      </c>
      <c r="C1286" s="286" t="s">
        <v>2113</v>
      </c>
      <c r="D1286" s="286" t="s">
        <v>1105</v>
      </c>
      <c r="E1286" s="286" t="s">
        <v>1106</v>
      </c>
      <c r="F1286" s="286" t="s">
        <v>2153</v>
      </c>
      <c r="G1286" s="286" t="s">
        <v>1080</v>
      </c>
      <c r="H1286" s="286" t="s">
        <v>1080</v>
      </c>
      <c r="I1286" s="286" t="s">
        <v>1228</v>
      </c>
      <c r="J1286" s="286" t="s">
        <v>1312</v>
      </c>
      <c r="K1286" s="286" t="s">
        <v>1821</v>
      </c>
      <c r="L1286" s="286" t="s">
        <v>53</v>
      </c>
      <c r="M1286" s="286">
        <v>1</v>
      </c>
      <c r="N1286" s="287">
        <v>2189.2600000000002</v>
      </c>
      <c r="O1286" s="294">
        <f t="shared" si="20"/>
        <v>45351</v>
      </c>
      <c r="P1286" s="286" t="s">
        <v>58</v>
      </c>
    </row>
    <row r="1287" spans="1:16" hidden="1" x14ac:dyDescent="0.15">
      <c r="A1287" s="286">
        <v>438112</v>
      </c>
      <c r="B1287" s="288">
        <v>45293.53402777778</v>
      </c>
      <c r="C1287" s="286" t="s">
        <v>2125</v>
      </c>
      <c r="D1287" s="286" t="s">
        <v>1105</v>
      </c>
      <c r="E1287" s="286" t="s">
        <v>1106</v>
      </c>
      <c r="F1287" s="286" t="s">
        <v>2152</v>
      </c>
      <c r="G1287" s="286" t="s">
        <v>1058</v>
      </c>
      <c r="H1287" s="286" t="s">
        <v>1058</v>
      </c>
      <c r="I1287" s="286" t="s">
        <v>1228</v>
      </c>
      <c r="J1287" s="286" t="s">
        <v>53</v>
      </c>
      <c r="K1287" s="286" t="s">
        <v>53</v>
      </c>
      <c r="L1287" s="286" t="s">
        <v>53</v>
      </c>
      <c r="M1287" s="286" t="s">
        <v>53</v>
      </c>
      <c r="N1287" s="287">
        <v>2178.96</v>
      </c>
      <c r="O1287" s="294">
        <f t="shared" si="20"/>
        <v>45322</v>
      </c>
      <c r="P1287" s="286" t="s">
        <v>58</v>
      </c>
    </row>
    <row r="1288" spans="1:16" hidden="1" x14ac:dyDescent="0.15">
      <c r="A1288" s="286">
        <v>472168</v>
      </c>
      <c r="B1288" s="288">
        <v>45331.416666666664</v>
      </c>
      <c r="C1288" s="286" t="s">
        <v>2113</v>
      </c>
      <c r="D1288" s="286" t="s">
        <v>1105</v>
      </c>
      <c r="E1288" s="286" t="s">
        <v>1106</v>
      </c>
      <c r="F1288" s="286" t="s">
        <v>2153</v>
      </c>
      <c r="G1288" s="286" t="s">
        <v>1058</v>
      </c>
      <c r="H1288" s="286" t="s">
        <v>1058</v>
      </c>
      <c r="I1288" s="286" t="s">
        <v>1228</v>
      </c>
      <c r="J1288" s="286" t="s">
        <v>53</v>
      </c>
      <c r="K1288" s="286" t="s">
        <v>53</v>
      </c>
      <c r="L1288" s="286" t="s">
        <v>53</v>
      </c>
      <c r="M1288" s="286" t="s">
        <v>53</v>
      </c>
      <c r="N1288" s="287">
        <v>2178.96</v>
      </c>
      <c r="O1288" s="294">
        <f t="shared" si="20"/>
        <v>45351</v>
      </c>
      <c r="P1288" s="286" t="s">
        <v>58</v>
      </c>
    </row>
    <row r="1289" spans="1:16" hidden="1" x14ac:dyDescent="0.15">
      <c r="A1289" s="286">
        <v>504817</v>
      </c>
      <c r="B1289" s="288">
        <v>45359.645138888889</v>
      </c>
      <c r="C1289" s="286" t="s">
        <v>2109</v>
      </c>
      <c r="D1289" s="286" t="s">
        <v>1105</v>
      </c>
      <c r="E1289" s="286" t="s">
        <v>1106</v>
      </c>
      <c r="F1289" s="286" t="s">
        <v>2154</v>
      </c>
      <c r="G1289" s="286" t="s">
        <v>1058</v>
      </c>
      <c r="H1289" s="286" t="s">
        <v>1058</v>
      </c>
      <c r="I1289" s="286" t="s">
        <v>1228</v>
      </c>
      <c r="J1289" s="286" t="s">
        <v>53</v>
      </c>
      <c r="K1289" s="286" t="s">
        <v>53</v>
      </c>
      <c r="L1289" s="286" t="s">
        <v>53</v>
      </c>
      <c r="M1289" s="286" t="s">
        <v>53</v>
      </c>
      <c r="N1289" s="287">
        <v>2178.96</v>
      </c>
      <c r="O1289" s="294">
        <f t="shared" si="20"/>
        <v>45382</v>
      </c>
      <c r="P1289" s="286" t="s">
        <v>58</v>
      </c>
    </row>
    <row r="1290" spans="1:16" hidden="1" x14ac:dyDescent="0.15">
      <c r="A1290" s="286">
        <v>534207</v>
      </c>
      <c r="B1290" s="288">
        <v>45385.750694444447</v>
      </c>
      <c r="C1290" s="286" t="s">
        <v>2096</v>
      </c>
      <c r="D1290" s="286" t="s">
        <v>1105</v>
      </c>
      <c r="E1290" s="286" t="s">
        <v>1106</v>
      </c>
      <c r="F1290" s="286" t="s">
        <v>2155</v>
      </c>
      <c r="G1290" s="286" t="s">
        <v>1058</v>
      </c>
      <c r="H1290" s="286" t="s">
        <v>1058</v>
      </c>
      <c r="I1290" s="286" t="s">
        <v>1228</v>
      </c>
      <c r="J1290" s="286" t="s">
        <v>53</v>
      </c>
      <c r="K1290" s="286" t="s">
        <v>53</v>
      </c>
      <c r="L1290" s="286" t="s">
        <v>53</v>
      </c>
      <c r="M1290" s="286" t="s">
        <v>53</v>
      </c>
      <c r="N1290" s="287">
        <v>2178.96</v>
      </c>
      <c r="O1290" s="294">
        <f t="shared" si="20"/>
        <v>45412</v>
      </c>
      <c r="P1290" s="286" t="s">
        <v>58</v>
      </c>
    </row>
    <row r="1291" spans="1:16" hidden="1" x14ac:dyDescent="0.15">
      <c r="A1291" s="286">
        <v>614216</v>
      </c>
      <c r="B1291" s="288">
        <v>45455.716666666667</v>
      </c>
      <c r="C1291" s="286" t="s">
        <v>2116</v>
      </c>
      <c r="D1291" s="286" t="s">
        <v>1105</v>
      </c>
      <c r="E1291" s="286" t="s">
        <v>1106</v>
      </c>
      <c r="F1291" s="286" t="s">
        <v>2156</v>
      </c>
      <c r="G1291" s="286" t="s">
        <v>1058</v>
      </c>
      <c r="H1291" s="286" t="s">
        <v>1058</v>
      </c>
      <c r="I1291" s="286" t="s">
        <v>1228</v>
      </c>
      <c r="J1291" s="286" t="s">
        <v>53</v>
      </c>
      <c r="K1291" s="286" t="s">
        <v>53</v>
      </c>
      <c r="L1291" s="286" t="s">
        <v>53</v>
      </c>
      <c r="M1291" s="286" t="s">
        <v>53</v>
      </c>
      <c r="N1291" s="287">
        <v>2178.96</v>
      </c>
      <c r="O1291" s="294">
        <f t="shared" si="20"/>
        <v>45473</v>
      </c>
      <c r="P1291" s="286" t="s">
        <v>58</v>
      </c>
    </row>
    <row r="1292" spans="1:16" hidden="1" x14ac:dyDescent="0.15">
      <c r="A1292" s="286">
        <v>438112</v>
      </c>
      <c r="B1292" s="288">
        <v>45293.53402777778</v>
      </c>
      <c r="C1292" s="286" t="s">
        <v>2125</v>
      </c>
      <c r="D1292" s="286" t="s">
        <v>1105</v>
      </c>
      <c r="E1292" s="286" t="s">
        <v>1106</v>
      </c>
      <c r="F1292" s="286" t="s">
        <v>2152</v>
      </c>
      <c r="G1292" s="286" t="s">
        <v>1048</v>
      </c>
      <c r="H1292" s="286" t="s">
        <v>1048</v>
      </c>
      <c r="I1292" s="286" t="s">
        <v>1152</v>
      </c>
      <c r="J1292" s="286" t="s">
        <v>1312</v>
      </c>
      <c r="K1292" s="286" t="s">
        <v>1652</v>
      </c>
      <c r="L1292" s="286" t="s">
        <v>1653</v>
      </c>
      <c r="M1292" s="286">
        <v>1</v>
      </c>
      <c r="N1292" s="287">
        <v>2178.17</v>
      </c>
      <c r="O1292" s="294">
        <f t="shared" si="20"/>
        <v>45322</v>
      </c>
      <c r="P1292" s="286" t="s">
        <v>58</v>
      </c>
    </row>
    <row r="1293" spans="1:16" hidden="1" x14ac:dyDescent="0.15">
      <c r="A1293" s="286">
        <v>472168</v>
      </c>
      <c r="B1293" s="288">
        <v>45331.416666666664</v>
      </c>
      <c r="C1293" s="286" t="s">
        <v>2113</v>
      </c>
      <c r="D1293" s="286" t="s">
        <v>1105</v>
      </c>
      <c r="E1293" s="286" t="s">
        <v>1106</v>
      </c>
      <c r="F1293" s="286" t="s">
        <v>2153</v>
      </c>
      <c r="G1293" s="286" t="s">
        <v>1048</v>
      </c>
      <c r="H1293" s="286" t="s">
        <v>1048</v>
      </c>
      <c r="I1293" s="286" t="s">
        <v>1152</v>
      </c>
      <c r="J1293" s="286" t="s">
        <v>1312</v>
      </c>
      <c r="K1293" s="286" t="s">
        <v>1652</v>
      </c>
      <c r="L1293" s="286" t="s">
        <v>1653</v>
      </c>
      <c r="M1293" s="286">
        <v>1</v>
      </c>
      <c r="N1293" s="287">
        <v>2178.17</v>
      </c>
      <c r="O1293" s="294">
        <f t="shared" si="20"/>
        <v>45351</v>
      </c>
      <c r="P1293" s="286" t="s">
        <v>58</v>
      </c>
    </row>
    <row r="1294" spans="1:16" hidden="1" x14ac:dyDescent="0.15">
      <c r="A1294" s="286">
        <v>504817</v>
      </c>
      <c r="B1294" s="288">
        <v>45359.645138888889</v>
      </c>
      <c r="C1294" s="286" t="s">
        <v>2109</v>
      </c>
      <c r="D1294" s="286" t="s">
        <v>1105</v>
      </c>
      <c r="E1294" s="286" t="s">
        <v>1106</v>
      </c>
      <c r="F1294" s="286" t="s">
        <v>2154</v>
      </c>
      <c r="G1294" s="286" t="s">
        <v>1048</v>
      </c>
      <c r="H1294" s="286" t="s">
        <v>1048</v>
      </c>
      <c r="I1294" s="286" t="s">
        <v>1152</v>
      </c>
      <c r="J1294" s="286" t="s">
        <v>1312</v>
      </c>
      <c r="K1294" s="286" t="s">
        <v>1652</v>
      </c>
      <c r="L1294" s="286" t="s">
        <v>1653</v>
      </c>
      <c r="M1294" s="286">
        <v>1</v>
      </c>
      <c r="N1294" s="287">
        <v>2178.17</v>
      </c>
      <c r="O1294" s="294">
        <f t="shared" si="20"/>
        <v>45382</v>
      </c>
      <c r="P1294" s="286" t="s">
        <v>58</v>
      </c>
    </row>
    <row r="1295" spans="1:16" hidden="1" x14ac:dyDescent="0.15">
      <c r="A1295" s="286">
        <v>534207</v>
      </c>
      <c r="B1295" s="288">
        <v>45385.750694444447</v>
      </c>
      <c r="C1295" s="286" t="s">
        <v>2096</v>
      </c>
      <c r="D1295" s="286" t="s">
        <v>1105</v>
      </c>
      <c r="E1295" s="286" t="s">
        <v>1106</v>
      </c>
      <c r="F1295" s="286" t="s">
        <v>2155</v>
      </c>
      <c r="G1295" s="286" t="s">
        <v>1048</v>
      </c>
      <c r="H1295" s="286" t="s">
        <v>1048</v>
      </c>
      <c r="I1295" s="286" t="s">
        <v>1152</v>
      </c>
      <c r="J1295" s="286" t="s">
        <v>1312</v>
      </c>
      <c r="K1295" s="286" t="s">
        <v>1652</v>
      </c>
      <c r="L1295" s="286" t="s">
        <v>1653</v>
      </c>
      <c r="M1295" s="286">
        <v>1</v>
      </c>
      <c r="N1295" s="287">
        <v>2178.17</v>
      </c>
      <c r="O1295" s="294">
        <f t="shared" si="20"/>
        <v>45412</v>
      </c>
      <c r="P1295" s="286" t="s">
        <v>58</v>
      </c>
    </row>
    <row r="1296" spans="1:16" hidden="1" x14ac:dyDescent="0.15">
      <c r="A1296" s="286">
        <v>614216</v>
      </c>
      <c r="B1296" s="288">
        <v>45455.716666666667</v>
      </c>
      <c r="C1296" s="286" t="s">
        <v>2116</v>
      </c>
      <c r="D1296" s="286" t="s">
        <v>1105</v>
      </c>
      <c r="E1296" s="286" t="s">
        <v>1106</v>
      </c>
      <c r="F1296" s="286" t="s">
        <v>2156</v>
      </c>
      <c r="G1296" s="286" t="s">
        <v>1048</v>
      </c>
      <c r="H1296" s="286" t="s">
        <v>1048</v>
      </c>
      <c r="I1296" s="286" t="s">
        <v>1152</v>
      </c>
      <c r="J1296" s="286" t="s">
        <v>1312</v>
      </c>
      <c r="K1296" s="286" t="s">
        <v>1652</v>
      </c>
      <c r="L1296" s="286" t="s">
        <v>1653</v>
      </c>
      <c r="M1296" s="286">
        <v>1</v>
      </c>
      <c r="N1296" s="287">
        <v>2178.17</v>
      </c>
      <c r="O1296" s="294">
        <f t="shared" si="20"/>
        <v>45473</v>
      </c>
      <c r="P1296" s="286" t="s">
        <v>58</v>
      </c>
    </row>
    <row r="1297" spans="1:16" hidden="1" x14ac:dyDescent="0.15">
      <c r="A1297" s="286">
        <v>608480</v>
      </c>
      <c r="B1297" s="288">
        <v>45450.422222222223</v>
      </c>
      <c r="C1297" s="286" t="s">
        <v>2092</v>
      </c>
      <c r="D1297" s="286" t="s">
        <v>1105</v>
      </c>
      <c r="E1297" s="286" t="s">
        <v>1106</v>
      </c>
      <c r="F1297" s="286" t="s">
        <v>2157</v>
      </c>
      <c r="G1297" s="286" t="s">
        <v>1048</v>
      </c>
      <c r="H1297" s="286" t="s">
        <v>1048</v>
      </c>
      <c r="I1297" s="286" t="s">
        <v>1152</v>
      </c>
      <c r="J1297" s="286" t="s">
        <v>1312</v>
      </c>
      <c r="K1297" s="286" t="s">
        <v>1652</v>
      </c>
      <c r="L1297" s="286" t="s">
        <v>1653</v>
      </c>
      <c r="M1297" s="286">
        <v>1</v>
      </c>
      <c r="N1297" s="287">
        <v>2178.12</v>
      </c>
      <c r="O1297" s="294">
        <f t="shared" si="20"/>
        <v>45473</v>
      </c>
      <c r="P1297" s="286" t="s">
        <v>58</v>
      </c>
    </row>
    <row r="1298" spans="1:16" hidden="1" x14ac:dyDescent="0.15">
      <c r="A1298" s="286">
        <v>614316</v>
      </c>
      <c r="B1298" s="288">
        <v>45455.717361111114</v>
      </c>
      <c r="C1298" s="286" t="s">
        <v>2092</v>
      </c>
      <c r="D1298" s="286" t="s">
        <v>1105</v>
      </c>
      <c r="E1298" s="286" t="s">
        <v>1106</v>
      </c>
      <c r="F1298" s="286" t="s">
        <v>2167</v>
      </c>
      <c r="G1298" s="286" t="s">
        <v>1058</v>
      </c>
      <c r="H1298" s="286" t="s">
        <v>1058</v>
      </c>
      <c r="I1298" s="286" t="s">
        <v>1199</v>
      </c>
      <c r="J1298" s="286" t="s">
        <v>1312</v>
      </c>
      <c r="K1298" s="286" t="s">
        <v>2300</v>
      </c>
      <c r="L1298" s="286" t="s">
        <v>53</v>
      </c>
      <c r="M1298" s="286">
        <v>1</v>
      </c>
      <c r="N1298" s="287">
        <v>2165.31</v>
      </c>
      <c r="O1298" s="294">
        <f t="shared" si="20"/>
        <v>45473</v>
      </c>
      <c r="P1298" s="286" t="s">
        <v>58</v>
      </c>
    </row>
    <row r="1299" spans="1:16" hidden="1" x14ac:dyDescent="0.15">
      <c r="A1299" s="286">
        <v>504817</v>
      </c>
      <c r="B1299" s="288">
        <v>45359.645138888889</v>
      </c>
      <c r="C1299" s="286" t="s">
        <v>2109</v>
      </c>
      <c r="D1299" s="286" t="s">
        <v>1105</v>
      </c>
      <c r="E1299" s="286" t="s">
        <v>1106</v>
      </c>
      <c r="F1299" s="286" t="s">
        <v>2154</v>
      </c>
      <c r="G1299" s="286" t="s">
        <v>1044</v>
      </c>
      <c r="H1299" s="286" t="s">
        <v>1044</v>
      </c>
      <c r="I1299" s="286" t="s">
        <v>1228</v>
      </c>
      <c r="J1299" s="286" t="s">
        <v>1312</v>
      </c>
      <c r="K1299" s="286" t="s">
        <v>2076</v>
      </c>
      <c r="L1299" s="286" t="s">
        <v>53</v>
      </c>
      <c r="M1299" s="286">
        <v>0</v>
      </c>
      <c r="N1299" s="287">
        <v>2142.87</v>
      </c>
      <c r="O1299" s="294">
        <f t="shared" si="20"/>
        <v>45382</v>
      </c>
      <c r="P1299" s="286" t="s">
        <v>58</v>
      </c>
    </row>
    <row r="1300" spans="1:16" hidden="1" x14ac:dyDescent="0.15">
      <c r="A1300" s="286">
        <v>559626</v>
      </c>
      <c r="B1300" s="288">
        <v>45408.642361111109</v>
      </c>
      <c r="C1300" s="286" t="s">
        <v>2109</v>
      </c>
      <c r="D1300" s="286" t="s">
        <v>1105</v>
      </c>
      <c r="E1300" s="286" t="s">
        <v>1106</v>
      </c>
      <c r="F1300" s="286" t="s">
        <v>2231</v>
      </c>
      <c r="G1300" s="286" t="s">
        <v>1044</v>
      </c>
      <c r="H1300" s="286" t="s">
        <v>1044</v>
      </c>
      <c r="I1300" s="286" t="s">
        <v>1199</v>
      </c>
      <c r="J1300" s="286" t="s">
        <v>1312</v>
      </c>
      <c r="K1300" s="286" t="s">
        <v>53</v>
      </c>
      <c r="L1300" s="286" t="s">
        <v>53</v>
      </c>
      <c r="M1300" s="286" t="s">
        <v>53</v>
      </c>
      <c r="N1300" s="287">
        <v>2142.87</v>
      </c>
      <c r="O1300" s="294">
        <f t="shared" si="20"/>
        <v>45412</v>
      </c>
      <c r="P1300" s="286" t="s">
        <v>58</v>
      </c>
    </row>
    <row r="1301" spans="1:16" hidden="1" x14ac:dyDescent="0.15">
      <c r="A1301" s="286">
        <v>534207</v>
      </c>
      <c r="B1301" s="288">
        <v>45385.750694444447</v>
      </c>
      <c r="C1301" s="286" t="s">
        <v>2096</v>
      </c>
      <c r="D1301" s="286" t="s">
        <v>1105</v>
      </c>
      <c r="E1301" s="286" t="s">
        <v>1106</v>
      </c>
      <c r="F1301" s="286" t="s">
        <v>2155</v>
      </c>
      <c r="G1301" s="286" t="s">
        <v>1044</v>
      </c>
      <c r="H1301" s="286" t="s">
        <v>1044</v>
      </c>
      <c r="I1301" s="286" t="s">
        <v>1228</v>
      </c>
      <c r="J1301" s="286" t="s">
        <v>1312</v>
      </c>
      <c r="K1301" s="286" t="s">
        <v>2076</v>
      </c>
      <c r="L1301" s="286" t="s">
        <v>53</v>
      </c>
      <c r="M1301" s="286">
        <v>0</v>
      </c>
      <c r="N1301" s="287">
        <v>2142.87</v>
      </c>
      <c r="O1301" s="294">
        <f t="shared" si="20"/>
        <v>45412</v>
      </c>
      <c r="P1301" s="286" t="s">
        <v>58</v>
      </c>
    </row>
    <row r="1302" spans="1:16" hidden="1" x14ac:dyDescent="0.15">
      <c r="A1302" s="286">
        <v>577185</v>
      </c>
      <c r="B1302" s="288">
        <v>45425.680555555555</v>
      </c>
      <c r="C1302" s="286" t="s">
        <v>2096</v>
      </c>
      <c r="D1302" s="286" t="s">
        <v>1105</v>
      </c>
      <c r="E1302" s="286" t="s">
        <v>1106</v>
      </c>
      <c r="F1302" s="286" t="s">
        <v>2232</v>
      </c>
      <c r="G1302" s="286" t="s">
        <v>1044</v>
      </c>
      <c r="H1302" s="286" t="s">
        <v>1044</v>
      </c>
      <c r="I1302" s="286" t="s">
        <v>1199</v>
      </c>
      <c r="J1302" s="286" t="s">
        <v>53</v>
      </c>
      <c r="K1302" s="286" t="s">
        <v>53</v>
      </c>
      <c r="L1302" s="286" t="s">
        <v>53</v>
      </c>
      <c r="M1302" s="286" t="s">
        <v>53</v>
      </c>
      <c r="N1302" s="287">
        <v>2142.87</v>
      </c>
      <c r="O1302" s="294">
        <f t="shared" si="20"/>
        <v>45443</v>
      </c>
      <c r="P1302" s="286" t="s">
        <v>58</v>
      </c>
    </row>
    <row r="1303" spans="1:16" hidden="1" x14ac:dyDescent="0.15">
      <c r="A1303" s="286">
        <v>614216</v>
      </c>
      <c r="B1303" s="288">
        <v>45455.716666666667</v>
      </c>
      <c r="C1303" s="286" t="s">
        <v>2116</v>
      </c>
      <c r="D1303" s="286" t="s">
        <v>1105</v>
      </c>
      <c r="E1303" s="286" t="s">
        <v>1106</v>
      </c>
      <c r="F1303" s="286" t="s">
        <v>2156</v>
      </c>
      <c r="G1303" s="286" t="s">
        <v>1044</v>
      </c>
      <c r="H1303" s="286" t="s">
        <v>1044</v>
      </c>
      <c r="I1303" s="286" t="s">
        <v>1228</v>
      </c>
      <c r="J1303" s="286" t="s">
        <v>1312</v>
      </c>
      <c r="K1303" s="286" t="s">
        <v>2076</v>
      </c>
      <c r="L1303" s="286" t="s">
        <v>53</v>
      </c>
      <c r="M1303" s="286">
        <v>0</v>
      </c>
      <c r="N1303" s="287">
        <v>2142.87</v>
      </c>
      <c r="O1303" s="294">
        <f t="shared" si="20"/>
        <v>45473</v>
      </c>
      <c r="P1303" s="286" t="s">
        <v>58</v>
      </c>
    </row>
    <row r="1304" spans="1:16" hidden="1" x14ac:dyDescent="0.15">
      <c r="A1304" s="286">
        <v>618175</v>
      </c>
      <c r="B1304" s="288">
        <v>45457.602083333331</v>
      </c>
      <c r="C1304" s="286" t="s">
        <v>2116</v>
      </c>
      <c r="D1304" s="286" t="s">
        <v>1105</v>
      </c>
      <c r="E1304" s="286" t="s">
        <v>1106</v>
      </c>
      <c r="F1304" s="286" t="s">
        <v>2158</v>
      </c>
      <c r="G1304" s="286" t="s">
        <v>1044</v>
      </c>
      <c r="H1304" s="286" t="s">
        <v>1044</v>
      </c>
      <c r="I1304" s="286" t="s">
        <v>1199</v>
      </c>
      <c r="J1304" s="286" t="s">
        <v>1312</v>
      </c>
      <c r="K1304" s="286" t="s">
        <v>53</v>
      </c>
      <c r="L1304" s="286" t="s">
        <v>53</v>
      </c>
      <c r="M1304" s="286" t="s">
        <v>53</v>
      </c>
      <c r="N1304" s="287">
        <v>2142.87</v>
      </c>
      <c r="O1304" s="294">
        <f t="shared" si="20"/>
        <v>45473</v>
      </c>
      <c r="P1304" s="286" t="s">
        <v>58</v>
      </c>
    </row>
    <row r="1305" spans="1:16" hidden="1" x14ac:dyDescent="0.15">
      <c r="A1305" s="286">
        <v>614316</v>
      </c>
      <c r="B1305" s="288">
        <v>45455.717361111114</v>
      </c>
      <c r="C1305" s="286" t="s">
        <v>2092</v>
      </c>
      <c r="D1305" s="286" t="s">
        <v>1105</v>
      </c>
      <c r="E1305" s="286" t="s">
        <v>1106</v>
      </c>
      <c r="F1305" s="286" t="s">
        <v>2167</v>
      </c>
      <c r="G1305" s="286" t="s">
        <v>1044</v>
      </c>
      <c r="H1305" s="286" t="s">
        <v>1044</v>
      </c>
      <c r="I1305" s="286" t="s">
        <v>1228</v>
      </c>
      <c r="J1305" s="286" t="s">
        <v>1312</v>
      </c>
      <c r="K1305" s="286" t="s">
        <v>2076</v>
      </c>
      <c r="L1305" s="286" t="s">
        <v>53</v>
      </c>
      <c r="M1305" s="286">
        <v>0</v>
      </c>
      <c r="N1305" s="287">
        <v>2142.87</v>
      </c>
      <c r="O1305" s="294">
        <f t="shared" si="20"/>
        <v>45473</v>
      </c>
      <c r="P1305" s="286" t="s">
        <v>58</v>
      </c>
    </row>
    <row r="1306" spans="1:16" hidden="1" x14ac:dyDescent="0.15">
      <c r="A1306" s="286">
        <v>659936</v>
      </c>
      <c r="B1306" s="288">
        <v>45484.529861111114</v>
      </c>
      <c r="C1306" s="286" t="s">
        <v>2092</v>
      </c>
      <c r="D1306" s="286" t="s">
        <v>1105</v>
      </c>
      <c r="E1306" s="286" t="s">
        <v>1106</v>
      </c>
      <c r="F1306" s="286" t="s">
        <v>2159</v>
      </c>
      <c r="G1306" s="286" t="s">
        <v>1044</v>
      </c>
      <c r="H1306" s="286" t="s">
        <v>1044</v>
      </c>
      <c r="I1306" s="286" t="s">
        <v>1199</v>
      </c>
      <c r="J1306" s="286" t="s">
        <v>1312</v>
      </c>
      <c r="K1306" s="286" t="s">
        <v>53</v>
      </c>
      <c r="L1306" s="286" t="s">
        <v>53</v>
      </c>
      <c r="M1306" s="286" t="s">
        <v>53</v>
      </c>
      <c r="N1306" s="287">
        <v>2142.87</v>
      </c>
      <c r="O1306" s="294">
        <f t="shared" si="20"/>
        <v>45504</v>
      </c>
      <c r="P1306" s="286" t="s">
        <v>58</v>
      </c>
    </row>
    <row r="1307" spans="1:16" hidden="1" x14ac:dyDescent="0.15">
      <c r="A1307" s="286">
        <v>646075</v>
      </c>
      <c r="B1307" s="288">
        <v>45474.519444444442</v>
      </c>
      <c r="C1307" s="286" t="s">
        <v>2111</v>
      </c>
      <c r="D1307" s="286" t="s">
        <v>1105</v>
      </c>
      <c r="E1307" s="286" t="s">
        <v>1106</v>
      </c>
      <c r="F1307" s="286" t="s">
        <v>2137</v>
      </c>
      <c r="G1307" s="286" t="s">
        <v>1044</v>
      </c>
      <c r="H1307" s="286" t="s">
        <v>1044</v>
      </c>
      <c r="I1307" s="286" t="s">
        <v>1228</v>
      </c>
      <c r="J1307" s="286" t="s">
        <v>1312</v>
      </c>
      <c r="K1307" s="286" t="s">
        <v>2076</v>
      </c>
      <c r="L1307" s="286" t="s">
        <v>53</v>
      </c>
      <c r="M1307" s="286">
        <v>0</v>
      </c>
      <c r="N1307" s="287">
        <v>2142.87</v>
      </c>
      <c r="O1307" s="294">
        <f t="shared" si="20"/>
        <v>45504</v>
      </c>
      <c r="P1307" s="286" t="s">
        <v>58</v>
      </c>
    </row>
    <row r="1308" spans="1:16" hidden="1" x14ac:dyDescent="0.15">
      <c r="A1308" s="286">
        <v>712645</v>
      </c>
      <c r="B1308" s="288">
        <v>45517.640972222223</v>
      </c>
      <c r="C1308" s="286" t="s">
        <v>2111</v>
      </c>
      <c r="D1308" s="286" t="s">
        <v>1105</v>
      </c>
      <c r="E1308" s="286" t="s">
        <v>1106</v>
      </c>
      <c r="F1308" s="286" t="s">
        <v>2160</v>
      </c>
      <c r="G1308" s="286" t="s">
        <v>1044</v>
      </c>
      <c r="H1308" s="286" t="s">
        <v>1044</v>
      </c>
      <c r="I1308" s="286" t="s">
        <v>1199</v>
      </c>
      <c r="J1308" s="286" t="s">
        <v>1312</v>
      </c>
      <c r="K1308" s="286" t="s">
        <v>53</v>
      </c>
      <c r="L1308" s="286" t="s">
        <v>53</v>
      </c>
      <c r="M1308" s="286" t="s">
        <v>53</v>
      </c>
      <c r="N1308" s="287">
        <v>2142.87</v>
      </c>
      <c r="O1308" s="294">
        <f t="shared" si="20"/>
        <v>45535</v>
      </c>
      <c r="P1308" s="286" t="s">
        <v>58</v>
      </c>
    </row>
    <row r="1309" spans="1:16" hidden="1" x14ac:dyDescent="0.15">
      <c r="A1309" s="286">
        <v>697810</v>
      </c>
      <c r="B1309" s="288">
        <v>45510.366666666669</v>
      </c>
      <c r="C1309" s="286" t="s">
        <v>2102</v>
      </c>
      <c r="D1309" s="286" t="s">
        <v>1105</v>
      </c>
      <c r="E1309" s="286" t="s">
        <v>1106</v>
      </c>
      <c r="F1309" s="286" t="s">
        <v>2138</v>
      </c>
      <c r="G1309" s="286" t="s">
        <v>1044</v>
      </c>
      <c r="H1309" s="286" t="s">
        <v>1044</v>
      </c>
      <c r="I1309" s="286" t="s">
        <v>1228</v>
      </c>
      <c r="J1309" s="286" t="s">
        <v>1312</v>
      </c>
      <c r="K1309" s="286" t="s">
        <v>2076</v>
      </c>
      <c r="L1309" s="286" t="s">
        <v>53</v>
      </c>
      <c r="M1309" s="286">
        <v>0</v>
      </c>
      <c r="N1309" s="287">
        <v>2142.87</v>
      </c>
      <c r="O1309" s="294">
        <f t="shared" si="20"/>
        <v>45535</v>
      </c>
      <c r="P1309" s="286" t="s">
        <v>58</v>
      </c>
    </row>
    <row r="1310" spans="1:16" hidden="1" x14ac:dyDescent="0.15">
      <c r="A1310" s="286">
        <v>741366</v>
      </c>
      <c r="B1310" s="288">
        <v>45532.655555555553</v>
      </c>
      <c r="C1310" s="286" t="s">
        <v>2102</v>
      </c>
      <c r="D1310" s="286" t="s">
        <v>1105</v>
      </c>
      <c r="E1310" s="286" t="s">
        <v>1106</v>
      </c>
      <c r="F1310" s="286" t="s">
        <v>2161</v>
      </c>
      <c r="G1310" s="286" t="s">
        <v>1044</v>
      </c>
      <c r="H1310" s="286" t="s">
        <v>1044</v>
      </c>
      <c r="I1310" s="286" t="s">
        <v>1199</v>
      </c>
      <c r="J1310" s="286" t="s">
        <v>1312</v>
      </c>
      <c r="K1310" s="286" t="s">
        <v>53</v>
      </c>
      <c r="L1310" s="286" t="s">
        <v>53</v>
      </c>
      <c r="M1310" s="286" t="s">
        <v>53</v>
      </c>
      <c r="N1310" s="287">
        <v>2142.87</v>
      </c>
      <c r="O1310" s="294">
        <f t="shared" si="20"/>
        <v>45535</v>
      </c>
      <c r="P1310" s="286" t="s">
        <v>58</v>
      </c>
    </row>
    <row r="1311" spans="1:16" hidden="1" x14ac:dyDescent="0.15">
      <c r="A1311" s="286">
        <v>745911</v>
      </c>
      <c r="B1311" s="288">
        <v>45538.44027777778</v>
      </c>
      <c r="C1311" s="286" t="s">
        <v>2132</v>
      </c>
      <c r="D1311" s="286" t="s">
        <v>1105</v>
      </c>
      <c r="E1311" s="286" t="s">
        <v>1106</v>
      </c>
      <c r="F1311" s="286" t="s">
        <v>2139</v>
      </c>
      <c r="G1311" s="286" t="s">
        <v>1044</v>
      </c>
      <c r="H1311" s="286" t="s">
        <v>1044</v>
      </c>
      <c r="I1311" s="286" t="s">
        <v>1228</v>
      </c>
      <c r="J1311" s="286" t="s">
        <v>1312</v>
      </c>
      <c r="K1311" s="286" t="s">
        <v>2076</v>
      </c>
      <c r="L1311" s="286" t="s">
        <v>53</v>
      </c>
      <c r="M1311" s="286">
        <v>0</v>
      </c>
      <c r="N1311" s="287">
        <v>2142.87</v>
      </c>
      <c r="O1311" s="294">
        <f t="shared" si="20"/>
        <v>45565</v>
      </c>
      <c r="P1311" s="286" t="s">
        <v>58</v>
      </c>
    </row>
    <row r="1312" spans="1:16" hidden="1" x14ac:dyDescent="0.15">
      <c r="A1312" s="286">
        <v>785030</v>
      </c>
      <c r="B1312" s="288">
        <v>45559.581944444442</v>
      </c>
      <c r="C1312" s="286" t="s">
        <v>2132</v>
      </c>
      <c r="D1312" s="286" t="s">
        <v>1105</v>
      </c>
      <c r="E1312" s="286" t="s">
        <v>1106</v>
      </c>
      <c r="F1312" s="286" t="s">
        <v>2162</v>
      </c>
      <c r="G1312" s="286" t="s">
        <v>1044</v>
      </c>
      <c r="H1312" s="286" t="s">
        <v>1044</v>
      </c>
      <c r="I1312" s="286" t="s">
        <v>1199</v>
      </c>
      <c r="J1312" s="286" t="s">
        <v>1312</v>
      </c>
      <c r="K1312" s="286" t="s">
        <v>53</v>
      </c>
      <c r="L1312" s="286" t="s">
        <v>53</v>
      </c>
      <c r="M1312" s="286" t="s">
        <v>53</v>
      </c>
      <c r="N1312" s="287">
        <v>2142.87</v>
      </c>
      <c r="O1312" s="294">
        <f t="shared" si="20"/>
        <v>45565</v>
      </c>
      <c r="P1312" s="286" t="s">
        <v>58</v>
      </c>
    </row>
    <row r="1313" spans="1:16" hidden="1" x14ac:dyDescent="0.15">
      <c r="A1313" s="286">
        <v>821955</v>
      </c>
      <c r="B1313" s="288">
        <v>45587.62777777778</v>
      </c>
      <c r="C1313" s="286" t="s">
        <v>2130</v>
      </c>
      <c r="D1313" s="286" t="s">
        <v>1105</v>
      </c>
      <c r="E1313" s="286" t="s">
        <v>1106</v>
      </c>
      <c r="F1313" s="286" t="s">
        <v>2163</v>
      </c>
      <c r="G1313" s="286" t="s">
        <v>1044</v>
      </c>
      <c r="H1313" s="286" t="s">
        <v>1044</v>
      </c>
      <c r="I1313" s="286" t="s">
        <v>1199</v>
      </c>
      <c r="J1313" s="286" t="s">
        <v>1312</v>
      </c>
      <c r="K1313" s="286" t="s">
        <v>53</v>
      </c>
      <c r="L1313" s="286" t="s">
        <v>53</v>
      </c>
      <c r="M1313" s="286" t="s">
        <v>53</v>
      </c>
      <c r="N1313" s="287">
        <v>2142.87</v>
      </c>
      <c r="O1313" s="294">
        <f t="shared" si="20"/>
        <v>45596</v>
      </c>
      <c r="P1313" s="286" t="s">
        <v>58</v>
      </c>
    </row>
    <row r="1314" spans="1:16" hidden="1" x14ac:dyDescent="0.15">
      <c r="A1314" s="286">
        <v>848817</v>
      </c>
      <c r="B1314" s="288">
        <v>45607.65902777778</v>
      </c>
      <c r="C1314" s="286" t="s">
        <v>2130</v>
      </c>
      <c r="D1314" s="286" t="s">
        <v>1105</v>
      </c>
      <c r="E1314" s="286" t="s">
        <v>1106</v>
      </c>
      <c r="F1314" s="286" t="s">
        <v>2140</v>
      </c>
      <c r="G1314" s="286" t="s">
        <v>1044</v>
      </c>
      <c r="H1314" s="286" t="s">
        <v>1044</v>
      </c>
      <c r="I1314" s="286" t="s">
        <v>1228</v>
      </c>
      <c r="J1314" s="286" t="s">
        <v>1312</v>
      </c>
      <c r="K1314" s="286" t="s">
        <v>2076</v>
      </c>
      <c r="L1314" s="286" t="s">
        <v>53</v>
      </c>
      <c r="M1314" s="286">
        <v>0</v>
      </c>
      <c r="N1314" s="287">
        <v>2142.87</v>
      </c>
      <c r="O1314" s="294">
        <f t="shared" si="20"/>
        <v>45626</v>
      </c>
      <c r="P1314" s="286" t="s">
        <v>58</v>
      </c>
    </row>
    <row r="1315" spans="1:16" hidden="1" x14ac:dyDescent="0.15">
      <c r="A1315" s="286">
        <v>848917</v>
      </c>
      <c r="B1315" s="288">
        <v>45607.660416666666</v>
      </c>
      <c r="C1315" s="286" t="s">
        <v>2100</v>
      </c>
      <c r="D1315" s="286" t="s">
        <v>1105</v>
      </c>
      <c r="E1315" s="286" t="s">
        <v>1106</v>
      </c>
      <c r="F1315" s="286" t="s">
        <v>2141</v>
      </c>
      <c r="G1315" s="286" t="s">
        <v>1044</v>
      </c>
      <c r="H1315" s="286" t="s">
        <v>1044</v>
      </c>
      <c r="I1315" s="286" t="s">
        <v>1228</v>
      </c>
      <c r="J1315" s="286" t="s">
        <v>1312</v>
      </c>
      <c r="K1315" s="286" t="s">
        <v>2076</v>
      </c>
      <c r="L1315" s="286" t="s">
        <v>53</v>
      </c>
      <c r="M1315" s="286">
        <v>0</v>
      </c>
      <c r="N1315" s="287">
        <v>2142.87</v>
      </c>
      <c r="O1315" s="294">
        <f t="shared" si="20"/>
        <v>45626</v>
      </c>
      <c r="P1315" s="286" t="s">
        <v>58</v>
      </c>
    </row>
    <row r="1316" spans="1:16" hidden="1" x14ac:dyDescent="0.15">
      <c r="A1316" s="286">
        <v>864918</v>
      </c>
      <c r="B1316" s="288">
        <v>45617.508333333331</v>
      </c>
      <c r="C1316" s="286" t="s">
        <v>2100</v>
      </c>
      <c r="D1316" s="286" t="s">
        <v>1105</v>
      </c>
      <c r="E1316" s="286" t="s">
        <v>1106</v>
      </c>
      <c r="F1316" s="286" t="s">
        <v>2233</v>
      </c>
      <c r="G1316" s="286" t="s">
        <v>1044</v>
      </c>
      <c r="H1316" s="286" t="s">
        <v>1044</v>
      </c>
      <c r="I1316" s="286" t="s">
        <v>1199</v>
      </c>
      <c r="J1316" s="286" t="s">
        <v>53</v>
      </c>
      <c r="K1316" s="286" t="s">
        <v>53</v>
      </c>
      <c r="L1316" s="286" t="s">
        <v>53</v>
      </c>
      <c r="M1316" s="286" t="s">
        <v>53</v>
      </c>
      <c r="N1316" s="287">
        <v>2142.87</v>
      </c>
      <c r="O1316" s="294">
        <f t="shared" si="20"/>
        <v>45626</v>
      </c>
      <c r="P1316" s="286" t="s">
        <v>58</v>
      </c>
    </row>
    <row r="1317" spans="1:16" hidden="1" x14ac:dyDescent="0.15">
      <c r="A1317" s="286">
        <v>874698</v>
      </c>
      <c r="B1317" s="288">
        <v>45628.357638888891</v>
      </c>
      <c r="C1317" s="286" t="s">
        <v>2098</v>
      </c>
      <c r="D1317" s="286" t="s">
        <v>1105</v>
      </c>
      <c r="E1317" s="286" t="s">
        <v>1106</v>
      </c>
      <c r="F1317" s="286" t="s">
        <v>2142</v>
      </c>
      <c r="G1317" s="286" t="s">
        <v>1044</v>
      </c>
      <c r="H1317" s="286" t="s">
        <v>1044</v>
      </c>
      <c r="I1317" s="286" t="s">
        <v>1228</v>
      </c>
      <c r="J1317" s="286" t="s">
        <v>1312</v>
      </c>
      <c r="K1317" s="286" t="s">
        <v>2076</v>
      </c>
      <c r="L1317" s="286" t="s">
        <v>53</v>
      </c>
      <c r="M1317" s="286">
        <v>0</v>
      </c>
      <c r="N1317" s="287">
        <v>2142.87</v>
      </c>
      <c r="O1317" s="294">
        <f t="shared" si="20"/>
        <v>45657</v>
      </c>
      <c r="P1317" s="286" t="s">
        <v>58</v>
      </c>
    </row>
    <row r="1318" spans="1:16" hidden="1" x14ac:dyDescent="0.15">
      <c r="A1318" s="286">
        <v>898877</v>
      </c>
      <c r="B1318" s="288">
        <v>45644.552083333336</v>
      </c>
      <c r="C1318" s="286" t="s">
        <v>2098</v>
      </c>
      <c r="D1318" s="286" t="s">
        <v>1105</v>
      </c>
      <c r="E1318" s="286" t="s">
        <v>1106</v>
      </c>
      <c r="F1318" s="286" t="s">
        <v>2234</v>
      </c>
      <c r="G1318" s="286" t="s">
        <v>1044</v>
      </c>
      <c r="H1318" s="286" t="s">
        <v>1044</v>
      </c>
      <c r="I1318" s="286" t="s">
        <v>1199</v>
      </c>
      <c r="J1318" s="286" t="s">
        <v>1312</v>
      </c>
      <c r="K1318" s="286" t="s">
        <v>53</v>
      </c>
      <c r="L1318" s="286" t="s">
        <v>53</v>
      </c>
      <c r="M1318" s="286" t="s">
        <v>53</v>
      </c>
      <c r="N1318" s="287">
        <v>2142.87</v>
      </c>
      <c r="O1318" s="294">
        <f t="shared" si="20"/>
        <v>45657</v>
      </c>
      <c r="P1318" s="286" t="s">
        <v>58</v>
      </c>
    </row>
    <row r="1319" spans="1:16" hidden="1" x14ac:dyDescent="0.15">
      <c r="A1319" s="286">
        <v>438112</v>
      </c>
      <c r="B1319" s="288">
        <v>45293.53402777778</v>
      </c>
      <c r="C1319" s="286" t="s">
        <v>2125</v>
      </c>
      <c r="D1319" s="286" t="s">
        <v>1105</v>
      </c>
      <c r="E1319" s="286" t="s">
        <v>1106</v>
      </c>
      <c r="F1319" s="286" t="s">
        <v>2152</v>
      </c>
      <c r="G1319" s="286" t="s">
        <v>1012</v>
      </c>
      <c r="H1319" s="286" t="s">
        <v>1012</v>
      </c>
      <c r="I1319" s="286" t="s">
        <v>1199</v>
      </c>
      <c r="J1319" s="286" t="s">
        <v>53</v>
      </c>
      <c r="K1319" s="286" t="s">
        <v>53</v>
      </c>
      <c r="L1319" s="286" t="s">
        <v>53</v>
      </c>
      <c r="M1319" s="286" t="s">
        <v>53</v>
      </c>
      <c r="N1319" s="287">
        <v>2136.23</v>
      </c>
      <c r="O1319" s="294">
        <f t="shared" si="20"/>
        <v>45322</v>
      </c>
      <c r="P1319" s="286" t="s">
        <v>58</v>
      </c>
    </row>
    <row r="1320" spans="1:16" hidden="1" x14ac:dyDescent="0.15">
      <c r="A1320" s="286">
        <v>472168</v>
      </c>
      <c r="B1320" s="288">
        <v>45331.416666666664</v>
      </c>
      <c r="C1320" s="286" t="s">
        <v>2113</v>
      </c>
      <c r="D1320" s="286" t="s">
        <v>1105</v>
      </c>
      <c r="E1320" s="286" t="s">
        <v>1106</v>
      </c>
      <c r="F1320" s="286" t="s">
        <v>2153</v>
      </c>
      <c r="G1320" s="286" t="s">
        <v>1012</v>
      </c>
      <c r="H1320" s="286" t="s">
        <v>1012</v>
      </c>
      <c r="I1320" s="286" t="s">
        <v>1199</v>
      </c>
      <c r="J1320" s="286" t="s">
        <v>53</v>
      </c>
      <c r="K1320" s="286" t="s">
        <v>53</v>
      </c>
      <c r="L1320" s="286" t="s">
        <v>53</v>
      </c>
      <c r="M1320" s="286" t="s">
        <v>53</v>
      </c>
      <c r="N1320" s="287">
        <v>2136.23</v>
      </c>
      <c r="O1320" s="294">
        <f t="shared" si="20"/>
        <v>45351</v>
      </c>
      <c r="P1320" s="286" t="s">
        <v>58</v>
      </c>
    </row>
    <row r="1321" spans="1:16" hidden="1" x14ac:dyDescent="0.15">
      <c r="A1321" s="286">
        <v>504817</v>
      </c>
      <c r="B1321" s="288">
        <v>45359.645138888889</v>
      </c>
      <c r="C1321" s="286" t="s">
        <v>2109</v>
      </c>
      <c r="D1321" s="286" t="s">
        <v>1105</v>
      </c>
      <c r="E1321" s="286" t="s">
        <v>1106</v>
      </c>
      <c r="F1321" s="286" t="s">
        <v>2154</v>
      </c>
      <c r="G1321" s="286" t="s">
        <v>1004</v>
      </c>
      <c r="H1321" s="286" t="s">
        <v>1004</v>
      </c>
      <c r="I1321" s="286" t="s">
        <v>1112</v>
      </c>
      <c r="J1321" s="286" t="s">
        <v>1312</v>
      </c>
      <c r="K1321" s="286" t="s">
        <v>2300</v>
      </c>
      <c r="L1321" s="286" t="s">
        <v>53</v>
      </c>
      <c r="M1321" s="286">
        <v>1</v>
      </c>
      <c r="N1321" s="287">
        <v>2131.3200000000002</v>
      </c>
      <c r="O1321" s="294">
        <f t="shared" si="20"/>
        <v>45382</v>
      </c>
      <c r="P1321" s="286" t="s">
        <v>175</v>
      </c>
    </row>
    <row r="1322" spans="1:16" hidden="1" x14ac:dyDescent="0.15">
      <c r="A1322" s="286">
        <v>520808</v>
      </c>
      <c r="B1322" s="288">
        <v>45372.56527777778</v>
      </c>
      <c r="C1322" s="286" t="s">
        <v>2109</v>
      </c>
      <c r="D1322" s="286" t="s">
        <v>1105</v>
      </c>
      <c r="E1322" s="286" t="s">
        <v>1106</v>
      </c>
      <c r="F1322" s="286" t="s">
        <v>2329</v>
      </c>
      <c r="G1322" s="286" t="s">
        <v>1004</v>
      </c>
      <c r="H1322" s="286" t="s">
        <v>1004</v>
      </c>
      <c r="I1322" s="286" t="s">
        <v>1199</v>
      </c>
      <c r="J1322" s="286" t="s">
        <v>1312</v>
      </c>
      <c r="K1322" s="286" t="s">
        <v>53</v>
      </c>
      <c r="L1322" s="286" t="s">
        <v>53</v>
      </c>
      <c r="M1322" s="286" t="s">
        <v>53</v>
      </c>
      <c r="N1322" s="287">
        <v>2131.3200000000002</v>
      </c>
      <c r="O1322" s="294">
        <f t="shared" si="20"/>
        <v>45382</v>
      </c>
      <c r="P1322" s="286" t="s">
        <v>58</v>
      </c>
    </row>
    <row r="1323" spans="1:16" hidden="1" x14ac:dyDescent="0.15">
      <c r="A1323" s="286">
        <v>534207</v>
      </c>
      <c r="B1323" s="288">
        <v>45385.750694444447</v>
      </c>
      <c r="C1323" s="286" t="s">
        <v>2096</v>
      </c>
      <c r="D1323" s="286" t="s">
        <v>1105</v>
      </c>
      <c r="E1323" s="286" t="s">
        <v>1106</v>
      </c>
      <c r="F1323" s="286" t="s">
        <v>2155</v>
      </c>
      <c r="G1323" s="286" t="s">
        <v>1004</v>
      </c>
      <c r="H1323" s="286" t="s">
        <v>1004</v>
      </c>
      <c r="I1323" s="286" t="s">
        <v>1112</v>
      </c>
      <c r="J1323" s="286" t="s">
        <v>1312</v>
      </c>
      <c r="K1323" s="286" t="s">
        <v>2300</v>
      </c>
      <c r="L1323" s="286" t="s">
        <v>53</v>
      </c>
      <c r="M1323" s="286">
        <v>1</v>
      </c>
      <c r="N1323" s="287">
        <v>2131.3200000000002</v>
      </c>
      <c r="O1323" s="294">
        <f t="shared" si="20"/>
        <v>45412</v>
      </c>
      <c r="P1323" s="286" t="s">
        <v>175</v>
      </c>
    </row>
    <row r="1324" spans="1:16" hidden="1" x14ac:dyDescent="0.15">
      <c r="A1324" s="286">
        <v>534207</v>
      </c>
      <c r="B1324" s="288">
        <v>45385.750694444447</v>
      </c>
      <c r="C1324" s="286" t="s">
        <v>2096</v>
      </c>
      <c r="D1324" s="286" t="s">
        <v>1105</v>
      </c>
      <c r="E1324" s="286" t="s">
        <v>1106</v>
      </c>
      <c r="F1324" s="286" t="s">
        <v>2155</v>
      </c>
      <c r="G1324" s="286" t="s">
        <v>1004</v>
      </c>
      <c r="H1324" s="286" t="s">
        <v>1004</v>
      </c>
      <c r="I1324" s="286" t="s">
        <v>1199</v>
      </c>
      <c r="J1324" s="286" t="s">
        <v>1312</v>
      </c>
      <c r="K1324" s="286" t="s">
        <v>53</v>
      </c>
      <c r="L1324" s="286" t="s">
        <v>53</v>
      </c>
      <c r="M1324" s="286" t="s">
        <v>53</v>
      </c>
      <c r="N1324" s="287">
        <v>2131.3200000000002</v>
      </c>
      <c r="O1324" s="294">
        <f t="shared" si="20"/>
        <v>45412</v>
      </c>
      <c r="P1324" s="286" t="s">
        <v>58</v>
      </c>
    </row>
    <row r="1325" spans="1:16" hidden="1" x14ac:dyDescent="0.15">
      <c r="A1325" s="286">
        <v>614216</v>
      </c>
      <c r="B1325" s="288">
        <v>45455.716666666667</v>
      </c>
      <c r="C1325" s="286" t="s">
        <v>2116</v>
      </c>
      <c r="D1325" s="286" t="s">
        <v>1105</v>
      </c>
      <c r="E1325" s="286" t="s">
        <v>1106</v>
      </c>
      <c r="F1325" s="286" t="s">
        <v>2156</v>
      </c>
      <c r="G1325" s="286" t="s">
        <v>1004</v>
      </c>
      <c r="H1325" s="286" t="s">
        <v>1004</v>
      </c>
      <c r="I1325" s="286" t="s">
        <v>1112</v>
      </c>
      <c r="J1325" s="286" t="s">
        <v>1312</v>
      </c>
      <c r="K1325" s="286" t="s">
        <v>2300</v>
      </c>
      <c r="L1325" s="286" t="s">
        <v>53</v>
      </c>
      <c r="M1325" s="286">
        <v>1</v>
      </c>
      <c r="N1325" s="287">
        <v>2131.3200000000002</v>
      </c>
      <c r="O1325" s="294">
        <f t="shared" si="20"/>
        <v>45473</v>
      </c>
      <c r="P1325" s="286" t="s">
        <v>175</v>
      </c>
    </row>
    <row r="1326" spans="1:16" hidden="1" x14ac:dyDescent="0.15">
      <c r="A1326" s="286">
        <v>614216</v>
      </c>
      <c r="B1326" s="288">
        <v>45455.716666666667</v>
      </c>
      <c r="C1326" s="286" t="s">
        <v>2116</v>
      </c>
      <c r="D1326" s="286" t="s">
        <v>1105</v>
      </c>
      <c r="E1326" s="286" t="s">
        <v>1106</v>
      </c>
      <c r="F1326" s="286" t="s">
        <v>2156</v>
      </c>
      <c r="G1326" s="286" t="s">
        <v>1004</v>
      </c>
      <c r="H1326" s="286" t="s">
        <v>1004</v>
      </c>
      <c r="I1326" s="286" t="s">
        <v>1199</v>
      </c>
      <c r="J1326" s="286" t="s">
        <v>1312</v>
      </c>
      <c r="K1326" s="286" t="s">
        <v>53</v>
      </c>
      <c r="L1326" s="286" t="s">
        <v>53</v>
      </c>
      <c r="M1326" s="286" t="s">
        <v>53</v>
      </c>
      <c r="N1326" s="287">
        <v>2131.3200000000002</v>
      </c>
      <c r="O1326" s="294">
        <f t="shared" si="20"/>
        <v>45473</v>
      </c>
      <c r="P1326" s="286" t="s">
        <v>58</v>
      </c>
    </row>
    <row r="1327" spans="1:16" hidden="1" x14ac:dyDescent="0.15">
      <c r="A1327" s="286">
        <v>608480</v>
      </c>
      <c r="B1327" s="288">
        <v>45450.422222222223</v>
      </c>
      <c r="C1327" s="286" t="s">
        <v>2092</v>
      </c>
      <c r="D1327" s="286" t="s">
        <v>1105</v>
      </c>
      <c r="E1327" s="286" t="s">
        <v>1106</v>
      </c>
      <c r="F1327" s="286" t="s">
        <v>2157</v>
      </c>
      <c r="G1327" s="286" t="s">
        <v>1004</v>
      </c>
      <c r="H1327" s="286" t="s">
        <v>1004</v>
      </c>
      <c r="I1327" s="286" t="s">
        <v>1112</v>
      </c>
      <c r="J1327" s="286" t="s">
        <v>1312</v>
      </c>
      <c r="K1327" s="286" t="s">
        <v>2300</v>
      </c>
      <c r="L1327" s="286" t="s">
        <v>53</v>
      </c>
      <c r="M1327" s="286">
        <v>1</v>
      </c>
      <c r="N1327" s="287">
        <v>2131.3200000000002</v>
      </c>
      <c r="O1327" s="294">
        <f t="shared" si="20"/>
        <v>45473</v>
      </c>
      <c r="P1327" s="286" t="s">
        <v>175</v>
      </c>
    </row>
    <row r="1328" spans="1:16" hidden="1" x14ac:dyDescent="0.15">
      <c r="A1328" s="286">
        <v>614316</v>
      </c>
      <c r="B1328" s="288">
        <v>45455.717361111114</v>
      </c>
      <c r="C1328" s="286" t="s">
        <v>2092</v>
      </c>
      <c r="D1328" s="286" t="s">
        <v>1105</v>
      </c>
      <c r="E1328" s="286" t="s">
        <v>1106</v>
      </c>
      <c r="F1328" s="286" t="s">
        <v>2167</v>
      </c>
      <c r="G1328" s="286" t="s">
        <v>1004</v>
      </c>
      <c r="H1328" s="286" t="s">
        <v>1004</v>
      </c>
      <c r="I1328" s="286" t="s">
        <v>1199</v>
      </c>
      <c r="J1328" s="286" t="s">
        <v>1312</v>
      </c>
      <c r="K1328" s="286" t="s">
        <v>53</v>
      </c>
      <c r="L1328" s="286" t="s">
        <v>53</v>
      </c>
      <c r="M1328" s="286" t="s">
        <v>53</v>
      </c>
      <c r="N1328" s="287">
        <v>2131.3200000000002</v>
      </c>
      <c r="O1328" s="294">
        <f t="shared" si="20"/>
        <v>45473</v>
      </c>
      <c r="P1328" s="286" t="s">
        <v>58</v>
      </c>
    </row>
    <row r="1329" spans="1:16" hidden="1" x14ac:dyDescent="0.15">
      <c r="A1329" s="286">
        <v>646075</v>
      </c>
      <c r="B1329" s="288">
        <v>45474.519444444442</v>
      </c>
      <c r="C1329" s="286" t="s">
        <v>2111</v>
      </c>
      <c r="D1329" s="286" t="s">
        <v>1105</v>
      </c>
      <c r="E1329" s="286" t="s">
        <v>1106</v>
      </c>
      <c r="F1329" s="286" t="s">
        <v>2137</v>
      </c>
      <c r="G1329" s="286" t="s">
        <v>1004</v>
      </c>
      <c r="H1329" s="286" t="s">
        <v>1004</v>
      </c>
      <c r="I1329" s="286" t="s">
        <v>1112</v>
      </c>
      <c r="J1329" s="286" t="s">
        <v>1312</v>
      </c>
      <c r="K1329" s="286" t="s">
        <v>2300</v>
      </c>
      <c r="L1329" s="286" t="s">
        <v>53</v>
      </c>
      <c r="M1329" s="286">
        <v>1</v>
      </c>
      <c r="N1329" s="287">
        <v>2131.3200000000002</v>
      </c>
      <c r="O1329" s="294">
        <f t="shared" si="20"/>
        <v>45504</v>
      </c>
      <c r="P1329" s="286" t="s">
        <v>175</v>
      </c>
    </row>
    <row r="1330" spans="1:16" hidden="1" x14ac:dyDescent="0.15">
      <c r="A1330" s="286">
        <v>646075</v>
      </c>
      <c r="B1330" s="288">
        <v>45474.519444444442</v>
      </c>
      <c r="C1330" s="286" t="s">
        <v>2111</v>
      </c>
      <c r="D1330" s="286" t="s">
        <v>1105</v>
      </c>
      <c r="E1330" s="286" t="s">
        <v>1106</v>
      </c>
      <c r="F1330" s="286" t="s">
        <v>2137</v>
      </c>
      <c r="G1330" s="286" t="s">
        <v>1004</v>
      </c>
      <c r="H1330" s="286" t="s">
        <v>1004</v>
      </c>
      <c r="I1330" s="286" t="s">
        <v>1199</v>
      </c>
      <c r="J1330" s="286" t="s">
        <v>1312</v>
      </c>
      <c r="K1330" s="286" t="s">
        <v>53</v>
      </c>
      <c r="L1330" s="286" t="s">
        <v>53</v>
      </c>
      <c r="M1330" s="286" t="s">
        <v>53</v>
      </c>
      <c r="N1330" s="287">
        <v>2131.3200000000002</v>
      </c>
      <c r="O1330" s="294">
        <f t="shared" si="20"/>
        <v>45504</v>
      </c>
      <c r="P1330" s="286" t="s">
        <v>58</v>
      </c>
    </row>
    <row r="1331" spans="1:16" hidden="1" x14ac:dyDescent="0.15">
      <c r="A1331" s="286">
        <v>697810</v>
      </c>
      <c r="B1331" s="288">
        <v>45510.366666666669</v>
      </c>
      <c r="C1331" s="286" t="s">
        <v>2102</v>
      </c>
      <c r="D1331" s="286" t="s">
        <v>1105</v>
      </c>
      <c r="E1331" s="286" t="s">
        <v>1106</v>
      </c>
      <c r="F1331" s="286" t="s">
        <v>2138</v>
      </c>
      <c r="G1331" s="286" t="s">
        <v>1004</v>
      </c>
      <c r="H1331" s="286" t="s">
        <v>1004</v>
      </c>
      <c r="I1331" s="286" t="s">
        <v>1112</v>
      </c>
      <c r="J1331" s="286" t="s">
        <v>1312</v>
      </c>
      <c r="K1331" s="286" t="s">
        <v>2300</v>
      </c>
      <c r="L1331" s="286" t="s">
        <v>53</v>
      </c>
      <c r="M1331" s="286">
        <v>1</v>
      </c>
      <c r="N1331" s="287">
        <v>2131.3200000000002</v>
      </c>
      <c r="O1331" s="294">
        <f t="shared" si="20"/>
        <v>45535</v>
      </c>
      <c r="P1331" s="286" t="s">
        <v>175</v>
      </c>
    </row>
    <row r="1332" spans="1:16" hidden="1" x14ac:dyDescent="0.15">
      <c r="A1332" s="286">
        <v>697810</v>
      </c>
      <c r="B1332" s="288">
        <v>45510.366666666669</v>
      </c>
      <c r="C1332" s="286" t="s">
        <v>2102</v>
      </c>
      <c r="D1332" s="286" t="s">
        <v>1105</v>
      </c>
      <c r="E1332" s="286" t="s">
        <v>1106</v>
      </c>
      <c r="F1332" s="286" t="s">
        <v>2138</v>
      </c>
      <c r="G1332" s="286" t="s">
        <v>1004</v>
      </c>
      <c r="H1332" s="286" t="s">
        <v>1004</v>
      </c>
      <c r="I1332" s="286" t="s">
        <v>1199</v>
      </c>
      <c r="J1332" s="286" t="s">
        <v>1312</v>
      </c>
      <c r="K1332" s="286" t="s">
        <v>53</v>
      </c>
      <c r="L1332" s="286" t="s">
        <v>53</v>
      </c>
      <c r="M1332" s="286" t="s">
        <v>53</v>
      </c>
      <c r="N1332" s="287">
        <v>2131.3200000000002</v>
      </c>
      <c r="O1332" s="294">
        <f t="shared" si="20"/>
        <v>45535</v>
      </c>
      <c r="P1332" s="286" t="s">
        <v>58</v>
      </c>
    </row>
    <row r="1333" spans="1:16" hidden="1" x14ac:dyDescent="0.15">
      <c r="A1333" s="286">
        <v>745911</v>
      </c>
      <c r="B1333" s="288">
        <v>45538.44027777778</v>
      </c>
      <c r="C1333" s="286" t="s">
        <v>2132</v>
      </c>
      <c r="D1333" s="286" t="s">
        <v>1105</v>
      </c>
      <c r="E1333" s="286" t="s">
        <v>1106</v>
      </c>
      <c r="F1333" s="286" t="s">
        <v>2139</v>
      </c>
      <c r="G1333" s="286" t="s">
        <v>1004</v>
      </c>
      <c r="H1333" s="286" t="s">
        <v>1004</v>
      </c>
      <c r="I1333" s="286" t="s">
        <v>1112</v>
      </c>
      <c r="J1333" s="286" t="s">
        <v>1312</v>
      </c>
      <c r="K1333" s="286" t="s">
        <v>2300</v>
      </c>
      <c r="L1333" s="286" t="s">
        <v>53</v>
      </c>
      <c r="M1333" s="286">
        <v>1</v>
      </c>
      <c r="N1333" s="287">
        <v>2131.3200000000002</v>
      </c>
      <c r="O1333" s="294">
        <f t="shared" si="20"/>
        <v>45565</v>
      </c>
      <c r="P1333" s="286" t="s">
        <v>175</v>
      </c>
    </row>
    <row r="1334" spans="1:16" hidden="1" x14ac:dyDescent="0.15">
      <c r="A1334" s="286">
        <v>745911</v>
      </c>
      <c r="B1334" s="288">
        <v>45538.44027777778</v>
      </c>
      <c r="C1334" s="286" t="s">
        <v>2132</v>
      </c>
      <c r="D1334" s="286" t="s">
        <v>1105</v>
      </c>
      <c r="E1334" s="286" t="s">
        <v>1106</v>
      </c>
      <c r="F1334" s="286" t="s">
        <v>2139</v>
      </c>
      <c r="G1334" s="286" t="s">
        <v>1004</v>
      </c>
      <c r="H1334" s="286" t="s">
        <v>1004</v>
      </c>
      <c r="I1334" s="286" t="s">
        <v>1199</v>
      </c>
      <c r="J1334" s="286" t="s">
        <v>1312</v>
      </c>
      <c r="K1334" s="286" t="s">
        <v>53</v>
      </c>
      <c r="L1334" s="286" t="s">
        <v>53</v>
      </c>
      <c r="M1334" s="286" t="s">
        <v>53</v>
      </c>
      <c r="N1334" s="287">
        <v>2131.3200000000002</v>
      </c>
      <c r="O1334" s="294">
        <f t="shared" si="20"/>
        <v>45565</v>
      </c>
      <c r="P1334" s="286" t="s">
        <v>58</v>
      </c>
    </row>
    <row r="1335" spans="1:16" hidden="1" x14ac:dyDescent="0.15">
      <c r="A1335" s="286">
        <v>848817</v>
      </c>
      <c r="B1335" s="288">
        <v>45607.65902777778</v>
      </c>
      <c r="C1335" s="286" t="s">
        <v>2130</v>
      </c>
      <c r="D1335" s="286" t="s">
        <v>1105</v>
      </c>
      <c r="E1335" s="286" t="s">
        <v>1106</v>
      </c>
      <c r="F1335" s="286" t="s">
        <v>2140</v>
      </c>
      <c r="G1335" s="286" t="s">
        <v>1004</v>
      </c>
      <c r="H1335" s="286" t="s">
        <v>1004</v>
      </c>
      <c r="I1335" s="286" t="s">
        <v>1112</v>
      </c>
      <c r="J1335" s="286" t="s">
        <v>1312</v>
      </c>
      <c r="K1335" s="286" t="s">
        <v>2300</v>
      </c>
      <c r="L1335" s="286" t="s">
        <v>53</v>
      </c>
      <c r="M1335" s="286">
        <v>1</v>
      </c>
      <c r="N1335" s="287">
        <v>2131.3200000000002</v>
      </c>
      <c r="O1335" s="294">
        <f t="shared" si="20"/>
        <v>45626</v>
      </c>
      <c r="P1335" s="286" t="s">
        <v>175</v>
      </c>
    </row>
    <row r="1336" spans="1:16" hidden="1" x14ac:dyDescent="0.15">
      <c r="A1336" s="286">
        <v>848817</v>
      </c>
      <c r="B1336" s="288">
        <v>45607.65902777778</v>
      </c>
      <c r="C1336" s="286" t="s">
        <v>2130</v>
      </c>
      <c r="D1336" s="286" t="s">
        <v>1105</v>
      </c>
      <c r="E1336" s="286" t="s">
        <v>1106</v>
      </c>
      <c r="F1336" s="286" t="s">
        <v>2140</v>
      </c>
      <c r="G1336" s="286" t="s">
        <v>1004</v>
      </c>
      <c r="H1336" s="286" t="s">
        <v>1004</v>
      </c>
      <c r="I1336" s="286" t="s">
        <v>1199</v>
      </c>
      <c r="J1336" s="286" t="s">
        <v>1312</v>
      </c>
      <c r="K1336" s="286" t="s">
        <v>53</v>
      </c>
      <c r="L1336" s="286" t="s">
        <v>53</v>
      </c>
      <c r="M1336" s="286" t="s">
        <v>53</v>
      </c>
      <c r="N1336" s="287">
        <v>2131.3200000000002</v>
      </c>
      <c r="O1336" s="294">
        <f t="shared" si="20"/>
        <v>45626</v>
      </c>
      <c r="P1336" s="286" t="s">
        <v>58</v>
      </c>
    </row>
    <row r="1337" spans="1:16" hidden="1" x14ac:dyDescent="0.15">
      <c r="A1337" s="286">
        <v>848917</v>
      </c>
      <c r="B1337" s="288">
        <v>45607.660416666666</v>
      </c>
      <c r="C1337" s="286" t="s">
        <v>2100</v>
      </c>
      <c r="D1337" s="286" t="s">
        <v>1105</v>
      </c>
      <c r="E1337" s="286" t="s">
        <v>1106</v>
      </c>
      <c r="F1337" s="286" t="s">
        <v>2141</v>
      </c>
      <c r="G1337" s="286" t="s">
        <v>1004</v>
      </c>
      <c r="H1337" s="286" t="s">
        <v>1004</v>
      </c>
      <c r="I1337" s="286" t="s">
        <v>1112</v>
      </c>
      <c r="J1337" s="286" t="s">
        <v>1312</v>
      </c>
      <c r="K1337" s="286" t="s">
        <v>2300</v>
      </c>
      <c r="L1337" s="286" t="s">
        <v>53</v>
      </c>
      <c r="M1337" s="286">
        <v>1</v>
      </c>
      <c r="N1337" s="287">
        <v>2131.3200000000002</v>
      </c>
      <c r="O1337" s="294">
        <f t="shared" si="20"/>
        <v>45626</v>
      </c>
      <c r="P1337" s="286" t="s">
        <v>175</v>
      </c>
    </row>
    <row r="1338" spans="1:16" hidden="1" x14ac:dyDescent="0.15">
      <c r="A1338" s="286">
        <v>848917</v>
      </c>
      <c r="B1338" s="288">
        <v>45607.660416666666</v>
      </c>
      <c r="C1338" s="286" t="s">
        <v>2100</v>
      </c>
      <c r="D1338" s="286" t="s">
        <v>1105</v>
      </c>
      <c r="E1338" s="286" t="s">
        <v>1106</v>
      </c>
      <c r="F1338" s="286" t="s">
        <v>2141</v>
      </c>
      <c r="G1338" s="286" t="s">
        <v>1004</v>
      </c>
      <c r="H1338" s="286" t="s">
        <v>1004</v>
      </c>
      <c r="I1338" s="286" t="s">
        <v>1199</v>
      </c>
      <c r="J1338" s="286" t="s">
        <v>1312</v>
      </c>
      <c r="K1338" s="286" t="s">
        <v>53</v>
      </c>
      <c r="L1338" s="286" t="s">
        <v>53</v>
      </c>
      <c r="M1338" s="286" t="s">
        <v>53</v>
      </c>
      <c r="N1338" s="287">
        <v>2131.3200000000002</v>
      </c>
      <c r="O1338" s="294">
        <f t="shared" si="20"/>
        <v>45626</v>
      </c>
      <c r="P1338" s="286" t="s">
        <v>58</v>
      </c>
    </row>
    <row r="1339" spans="1:16" hidden="1" x14ac:dyDescent="0.15">
      <c r="A1339" s="286">
        <v>874698</v>
      </c>
      <c r="B1339" s="288">
        <v>45628.357638888891</v>
      </c>
      <c r="C1339" s="286" t="s">
        <v>2098</v>
      </c>
      <c r="D1339" s="286" t="s">
        <v>1105</v>
      </c>
      <c r="E1339" s="286" t="s">
        <v>1106</v>
      </c>
      <c r="F1339" s="286" t="s">
        <v>2142</v>
      </c>
      <c r="G1339" s="286" t="s">
        <v>1004</v>
      </c>
      <c r="H1339" s="286" t="s">
        <v>1004</v>
      </c>
      <c r="I1339" s="286" t="s">
        <v>1112</v>
      </c>
      <c r="J1339" s="286" t="s">
        <v>1312</v>
      </c>
      <c r="K1339" s="286" t="s">
        <v>2300</v>
      </c>
      <c r="L1339" s="286" t="s">
        <v>53</v>
      </c>
      <c r="M1339" s="286">
        <v>1</v>
      </c>
      <c r="N1339" s="287">
        <v>2131.3200000000002</v>
      </c>
      <c r="O1339" s="294">
        <f t="shared" si="20"/>
        <v>45657</v>
      </c>
      <c r="P1339" s="286" t="s">
        <v>175</v>
      </c>
    </row>
    <row r="1340" spans="1:16" hidden="1" x14ac:dyDescent="0.15">
      <c r="A1340" s="286">
        <v>874698</v>
      </c>
      <c r="B1340" s="288">
        <v>45628.357638888891</v>
      </c>
      <c r="C1340" s="286" t="s">
        <v>2098</v>
      </c>
      <c r="D1340" s="286" t="s">
        <v>1105</v>
      </c>
      <c r="E1340" s="286" t="s">
        <v>1106</v>
      </c>
      <c r="F1340" s="286" t="s">
        <v>2142</v>
      </c>
      <c r="G1340" s="286" t="s">
        <v>1004</v>
      </c>
      <c r="H1340" s="286" t="s">
        <v>1004</v>
      </c>
      <c r="I1340" s="286" t="s">
        <v>1199</v>
      </c>
      <c r="J1340" s="286" t="s">
        <v>1312</v>
      </c>
      <c r="K1340" s="286" t="s">
        <v>53</v>
      </c>
      <c r="L1340" s="286" t="s">
        <v>53</v>
      </c>
      <c r="M1340" s="286" t="s">
        <v>53</v>
      </c>
      <c r="N1340" s="287">
        <v>2131.3200000000002</v>
      </c>
      <c r="O1340" s="294">
        <f t="shared" si="20"/>
        <v>45657</v>
      </c>
      <c r="P1340" s="286" t="s">
        <v>58</v>
      </c>
    </row>
    <row r="1341" spans="1:16" hidden="1" x14ac:dyDescent="0.15">
      <c r="A1341" s="286">
        <v>504817</v>
      </c>
      <c r="B1341" s="288">
        <v>45359.645138888889</v>
      </c>
      <c r="C1341" s="286" t="s">
        <v>2109</v>
      </c>
      <c r="D1341" s="286" t="s">
        <v>1105</v>
      </c>
      <c r="E1341" s="286" t="s">
        <v>1106</v>
      </c>
      <c r="F1341" s="286" t="s">
        <v>2154</v>
      </c>
      <c r="G1341" s="286" t="s">
        <v>1008</v>
      </c>
      <c r="H1341" s="286" t="s">
        <v>1008</v>
      </c>
      <c r="I1341" s="286" t="s">
        <v>1199</v>
      </c>
      <c r="J1341" s="286" t="s">
        <v>1312</v>
      </c>
      <c r="K1341" s="286" t="s">
        <v>2301</v>
      </c>
      <c r="L1341" s="286" t="s">
        <v>672</v>
      </c>
      <c r="M1341" s="286">
        <v>1</v>
      </c>
      <c r="N1341" s="287">
        <v>2101.64</v>
      </c>
      <c r="O1341" s="294">
        <f t="shared" si="20"/>
        <v>45382</v>
      </c>
      <c r="P1341" s="286" t="s">
        <v>58</v>
      </c>
    </row>
    <row r="1342" spans="1:16" hidden="1" x14ac:dyDescent="0.15">
      <c r="A1342" s="286">
        <v>438112</v>
      </c>
      <c r="B1342" s="288">
        <v>45293.53402777778</v>
      </c>
      <c r="C1342" s="286" t="s">
        <v>2125</v>
      </c>
      <c r="D1342" s="286" t="s">
        <v>1105</v>
      </c>
      <c r="E1342" s="286" t="s">
        <v>1106</v>
      </c>
      <c r="F1342" s="286" t="s">
        <v>2152</v>
      </c>
      <c r="G1342" s="286" t="s">
        <v>1090</v>
      </c>
      <c r="H1342" s="286" t="s">
        <v>1090</v>
      </c>
      <c r="I1342" s="286" t="s">
        <v>1199</v>
      </c>
      <c r="J1342" s="286" t="s">
        <v>53</v>
      </c>
      <c r="K1342" s="286" t="s">
        <v>53</v>
      </c>
      <c r="L1342" s="286" t="s">
        <v>53</v>
      </c>
      <c r="M1342" s="286" t="s">
        <v>53</v>
      </c>
      <c r="N1342" s="287">
        <v>2090.37</v>
      </c>
      <c r="O1342" s="294">
        <f t="shared" si="20"/>
        <v>45322</v>
      </c>
      <c r="P1342" s="286" t="s">
        <v>58</v>
      </c>
    </row>
    <row r="1343" spans="1:16" hidden="1" x14ac:dyDescent="0.15">
      <c r="A1343" s="286">
        <v>472168</v>
      </c>
      <c r="B1343" s="288">
        <v>45331.416666666664</v>
      </c>
      <c r="C1343" s="286" t="s">
        <v>2113</v>
      </c>
      <c r="D1343" s="286" t="s">
        <v>1105</v>
      </c>
      <c r="E1343" s="286" t="s">
        <v>1106</v>
      </c>
      <c r="F1343" s="286" t="s">
        <v>2153</v>
      </c>
      <c r="G1343" s="286" t="s">
        <v>1090</v>
      </c>
      <c r="H1343" s="286" t="s">
        <v>1090</v>
      </c>
      <c r="I1343" s="286" t="s">
        <v>1199</v>
      </c>
      <c r="J1343" s="286" t="s">
        <v>53</v>
      </c>
      <c r="K1343" s="286" t="s">
        <v>53</v>
      </c>
      <c r="L1343" s="286" t="s">
        <v>53</v>
      </c>
      <c r="M1343" s="286" t="s">
        <v>53</v>
      </c>
      <c r="N1343" s="287">
        <v>2090.37</v>
      </c>
      <c r="O1343" s="294">
        <f t="shared" si="20"/>
        <v>45351</v>
      </c>
      <c r="P1343" s="286" t="s">
        <v>58</v>
      </c>
    </row>
    <row r="1344" spans="1:16" hidden="1" x14ac:dyDescent="0.15">
      <c r="A1344" s="286">
        <v>504817</v>
      </c>
      <c r="B1344" s="288">
        <v>45359.645138888889</v>
      </c>
      <c r="C1344" s="286" t="s">
        <v>2109</v>
      </c>
      <c r="D1344" s="286" t="s">
        <v>1105</v>
      </c>
      <c r="E1344" s="286" t="s">
        <v>1106</v>
      </c>
      <c r="F1344" s="286" t="s">
        <v>2154</v>
      </c>
      <c r="G1344" s="286" t="s">
        <v>1090</v>
      </c>
      <c r="H1344" s="286" t="s">
        <v>1090</v>
      </c>
      <c r="I1344" s="286" t="s">
        <v>1199</v>
      </c>
      <c r="J1344" s="286" t="s">
        <v>53</v>
      </c>
      <c r="K1344" s="286" t="s">
        <v>53</v>
      </c>
      <c r="L1344" s="286" t="s">
        <v>53</v>
      </c>
      <c r="M1344" s="286" t="s">
        <v>53</v>
      </c>
      <c r="N1344" s="287">
        <v>2090.37</v>
      </c>
      <c r="O1344" s="294">
        <f t="shared" si="20"/>
        <v>45382</v>
      </c>
      <c r="P1344" s="286" t="s">
        <v>58</v>
      </c>
    </row>
    <row r="1345" spans="1:16" hidden="1" x14ac:dyDescent="0.15">
      <c r="A1345" s="286">
        <v>534207</v>
      </c>
      <c r="B1345" s="288">
        <v>45385.750694444447</v>
      </c>
      <c r="C1345" s="286" t="s">
        <v>2096</v>
      </c>
      <c r="D1345" s="286" t="s">
        <v>1105</v>
      </c>
      <c r="E1345" s="286" t="s">
        <v>1106</v>
      </c>
      <c r="F1345" s="286" t="s">
        <v>2155</v>
      </c>
      <c r="G1345" s="286" t="s">
        <v>1090</v>
      </c>
      <c r="H1345" s="286" t="s">
        <v>1090</v>
      </c>
      <c r="I1345" s="286" t="s">
        <v>1199</v>
      </c>
      <c r="J1345" s="286" t="s">
        <v>53</v>
      </c>
      <c r="K1345" s="286" t="s">
        <v>53</v>
      </c>
      <c r="L1345" s="286" t="s">
        <v>53</v>
      </c>
      <c r="M1345" s="286" t="s">
        <v>53</v>
      </c>
      <c r="N1345" s="287">
        <v>2090.35</v>
      </c>
      <c r="O1345" s="294">
        <f t="shared" si="20"/>
        <v>45412</v>
      </c>
      <c r="P1345" s="286" t="s">
        <v>58</v>
      </c>
    </row>
    <row r="1346" spans="1:16" hidden="1" x14ac:dyDescent="0.15">
      <c r="A1346" s="286">
        <v>709014</v>
      </c>
      <c r="B1346" s="288">
        <v>45516.609722222223</v>
      </c>
      <c r="C1346" s="286" t="s">
        <v>2111</v>
      </c>
      <c r="D1346" s="286" t="s">
        <v>1105</v>
      </c>
      <c r="E1346" s="286" t="s">
        <v>1106</v>
      </c>
      <c r="F1346" s="286" t="s">
        <v>2347</v>
      </c>
      <c r="G1346" s="286" t="s">
        <v>1021</v>
      </c>
      <c r="H1346" s="286" t="s">
        <v>1021</v>
      </c>
      <c r="I1346" s="286" t="s">
        <v>1152</v>
      </c>
      <c r="J1346" s="286" t="s">
        <v>1312</v>
      </c>
      <c r="K1346" s="286" t="s">
        <v>2287</v>
      </c>
      <c r="L1346" s="286" t="s">
        <v>2288</v>
      </c>
      <c r="M1346" s="286">
        <v>1</v>
      </c>
      <c r="N1346" s="287">
        <v>2067.48</v>
      </c>
      <c r="O1346" s="294">
        <f t="shared" si="20"/>
        <v>45535</v>
      </c>
      <c r="P1346" s="286" t="s">
        <v>58</v>
      </c>
    </row>
    <row r="1347" spans="1:16" hidden="1" x14ac:dyDescent="0.15">
      <c r="A1347" s="286">
        <v>709014</v>
      </c>
      <c r="B1347" s="288">
        <v>45516.609722222223</v>
      </c>
      <c r="C1347" s="286" t="s">
        <v>2111</v>
      </c>
      <c r="D1347" s="286" t="s">
        <v>1105</v>
      </c>
      <c r="E1347" s="286" t="s">
        <v>1106</v>
      </c>
      <c r="F1347" s="286" t="s">
        <v>2347</v>
      </c>
      <c r="G1347" s="286" t="s">
        <v>1021</v>
      </c>
      <c r="H1347" s="286" t="s">
        <v>1021</v>
      </c>
      <c r="I1347" s="286" t="s">
        <v>1152</v>
      </c>
      <c r="J1347" s="286" t="s">
        <v>1312</v>
      </c>
      <c r="K1347" s="286" t="s">
        <v>1652</v>
      </c>
      <c r="L1347" s="286" t="s">
        <v>1653</v>
      </c>
      <c r="M1347" s="286">
        <v>1</v>
      </c>
      <c r="N1347" s="287">
        <v>2067.48</v>
      </c>
      <c r="O1347" s="294">
        <f t="shared" si="20"/>
        <v>45535</v>
      </c>
      <c r="P1347" s="286" t="s">
        <v>58</v>
      </c>
    </row>
    <row r="1348" spans="1:16" hidden="1" x14ac:dyDescent="0.15">
      <c r="A1348" s="286">
        <v>874698</v>
      </c>
      <c r="B1348" s="288">
        <v>45628.357638888891</v>
      </c>
      <c r="C1348" s="286" t="s">
        <v>2098</v>
      </c>
      <c r="D1348" s="286" t="s">
        <v>1105</v>
      </c>
      <c r="E1348" s="286" t="s">
        <v>1106</v>
      </c>
      <c r="F1348" s="286" t="s">
        <v>2142</v>
      </c>
      <c r="G1348" s="286" t="s">
        <v>1036</v>
      </c>
      <c r="H1348" s="286" t="s">
        <v>1036</v>
      </c>
      <c r="I1348" s="286" t="s">
        <v>1199</v>
      </c>
      <c r="J1348" s="286" t="s">
        <v>1312</v>
      </c>
      <c r="K1348" s="286" t="s">
        <v>1760</v>
      </c>
      <c r="L1348" s="286" t="s">
        <v>672</v>
      </c>
      <c r="M1348" s="286">
        <v>1</v>
      </c>
      <c r="N1348" s="287">
        <v>2061.5700000000002</v>
      </c>
      <c r="O1348" s="294">
        <f t="shared" ref="O1348:O1411" si="21">EOMONTH(B1348,0)</f>
        <v>45657</v>
      </c>
      <c r="P1348" s="286" t="s">
        <v>58</v>
      </c>
    </row>
    <row r="1349" spans="1:16" hidden="1" x14ac:dyDescent="0.15">
      <c r="A1349" s="286">
        <v>495711</v>
      </c>
      <c r="B1349" s="288">
        <v>45351.488194444442</v>
      </c>
      <c r="C1349" s="286" t="s">
        <v>2113</v>
      </c>
      <c r="D1349" s="286" t="s">
        <v>1105</v>
      </c>
      <c r="E1349" s="286" t="s">
        <v>1106</v>
      </c>
      <c r="F1349" s="286" t="s">
        <v>2348</v>
      </c>
      <c r="G1349" s="286" t="s">
        <v>1019</v>
      </c>
      <c r="H1349" s="286" t="s">
        <v>1019</v>
      </c>
      <c r="I1349" s="286" t="s">
        <v>1152</v>
      </c>
      <c r="J1349" s="286" t="s">
        <v>1312</v>
      </c>
      <c r="K1349" s="286" t="s">
        <v>1811</v>
      </c>
      <c r="L1349" s="286" t="s">
        <v>672</v>
      </c>
      <c r="M1349" s="286">
        <v>1</v>
      </c>
      <c r="N1349" s="287">
        <v>2049.06</v>
      </c>
      <c r="O1349" s="294">
        <f t="shared" si="21"/>
        <v>45351</v>
      </c>
      <c r="P1349" s="286" t="s">
        <v>58</v>
      </c>
    </row>
    <row r="1350" spans="1:16" hidden="1" x14ac:dyDescent="0.15">
      <c r="A1350" s="286">
        <v>874698</v>
      </c>
      <c r="B1350" s="288">
        <v>45628.357638888891</v>
      </c>
      <c r="C1350" s="286" t="s">
        <v>2098</v>
      </c>
      <c r="D1350" s="286" t="s">
        <v>1105</v>
      </c>
      <c r="E1350" s="286" t="s">
        <v>1106</v>
      </c>
      <c r="F1350" s="286" t="s">
        <v>2142</v>
      </c>
      <c r="G1350" s="286" t="s">
        <v>1068</v>
      </c>
      <c r="H1350" s="286" t="s">
        <v>1068</v>
      </c>
      <c r="I1350" s="286" t="s">
        <v>1199</v>
      </c>
      <c r="J1350" s="286" t="s">
        <v>1312</v>
      </c>
      <c r="K1350" s="286" t="s">
        <v>2300</v>
      </c>
      <c r="L1350" s="286" t="s">
        <v>53</v>
      </c>
      <c r="M1350" s="286">
        <v>1</v>
      </c>
      <c r="N1350" s="287">
        <v>2041.62</v>
      </c>
      <c r="O1350" s="294">
        <f t="shared" si="21"/>
        <v>45657</v>
      </c>
      <c r="P1350" s="286" t="s">
        <v>58</v>
      </c>
    </row>
    <row r="1351" spans="1:16" hidden="1" x14ac:dyDescent="0.15">
      <c r="A1351" s="286">
        <v>900901</v>
      </c>
      <c r="B1351" s="288">
        <v>45646.374305555553</v>
      </c>
      <c r="C1351" s="286" t="s">
        <v>2098</v>
      </c>
      <c r="D1351" s="286" t="s">
        <v>1105</v>
      </c>
      <c r="E1351" s="286" t="s">
        <v>1106</v>
      </c>
      <c r="F1351" s="286" t="s">
        <v>2349</v>
      </c>
      <c r="G1351" s="286" t="s">
        <v>2318</v>
      </c>
      <c r="H1351" s="286" t="s">
        <v>2318</v>
      </c>
      <c r="I1351" s="286" t="s">
        <v>1129</v>
      </c>
      <c r="J1351" s="286" t="s">
        <v>1312</v>
      </c>
      <c r="K1351" s="286" t="s">
        <v>2350</v>
      </c>
      <c r="L1351" s="286" t="s">
        <v>2351</v>
      </c>
      <c r="M1351" s="286">
        <v>150</v>
      </c>
      <c r="N1351" s="287">
        <v>2025</v>
      </c>
      <c r="O1351" s="294">
        <f t="shared" si="21"/>
        <v>45657</v>
      </c>
      <c r="P1351" s="286" t="s">
        <v>164</v>
      </c>
    </row>
    <row r="1352" spans="1:16" hidden="1" x14ac:dyDescent="0.15">
      <c r="A1352" s="286">
        <v>472168</v>
      </c>
      <c r="B1352" s="288">
        <v>45331.416666666664</v>
      </c>
      <c r="C1352" s="286" t="s">
        <v>2113</v>
      </c>
      <c r="D1352" s="286" t="s">
        <v>1105</v>
      </c>
      <c r="E1352" s="286" t="s">
        <v>1106</v>
      </c>
      <c r="F1352" s="286" t="s">
        <v>2153</v>
      </c>
      <c r="G1352" s="286" t="s">
        <v>1089</v>
      </c>
      <c r="H1352" s="286" t="s">
        <v>1089</v>
      </c>
      <c r="I1352" s="286" t="s">
        <v>1228</v>
      </c>
      <c r="J1352" s="286" t="s">
        <v>53</v>
      </c>
      <c r="K1352" s="286" t="s">
        <v>53</v>
      </c>
      <c r="L1352" s="286" t="s">
        <v>53</v>
      </c>
      <c r="M1352" s="286" t="s">
        <v>53</v>
      </c>
      <c r="N1352" s="287">
        <v>2019.14</v>
      </c>
      <c r="O1352" s="294">
        <f t="shared" si="21"/>
        <v>45351</v>
      </c>
      <c r="P1352" s="286" t="s">
        <v>58</v>
      </c>
    </row>
    <row r="1353" spans="1:16" hidden="1" x14ac:dyDescent="0.15">
      <c r="A1353" s="286">
        <v>438112</v>
      </c>
      <c r="B1353" s="288">
        <v>45293.53402777778</v>
      </c>
      <c r="C1353" s="286" t="s">
        <v>2125</v>
      </c>
      <c r="D1353" s="286" t="s">
        <v>1105</v>
      </c>
      <c r="E1353" s="286" t="s">
        <v>1106</v>
      </c>
      <c r="F1353" s="286" t="s">
        <v>2152</v>
      </c>
      <c r="G1353" s="286" t="s">
        <v>1064</v>
      </c>
      <c r="H1353" s="286" t="s">
        <v>1064</v>
      </c>
      <c r="I1353" s="286" t="s">
        <v>1199</v>
      </c>
      <c r="J1353" s="286" t="s">
        <v>1312</v>
      </c>
      <c r="K1353" s="286" t="s">
        <v>53</v>
      </c>
      <c r="L1353" s="286" t="s">
        <v>53</v>
      </c>
      <c r="M1353" s="286" t="s">
        <v>53</v>
      </c>
      <c r="N1353" s="287">
        <v>2016.87</v>
      </c>
      <c r="O1353" s="294">
        <f t="shared" si="21"/>
        <v>45322</v>
      </c>
      <c r="P1353" s="286" t="s">
        <v>58</v>
      </c>
    </row>
    <row r="1354" spans="1:16" hidden="1" x14ac:dyDescent="0.15">
      <c r="A1354" s="286">
        <v>472168</v>
      </c>
      <c r="B1354" s="288">
        <v>45331.416666666664</v>
      </c>
      <c r="C1354" s="286" t="s">
        <v>2113</v>
      </c>
      <c r="D1354" s="286" t="s">
        <v>1105</v>
      </c>
      <c r="E1354" s="286" t="s">
        <v>1106</v>
      </c>
      <c r="F1354" s="286" t="s">
        <v>2153</v>
      </c>
      <c r="G1354" s="286" t="s">
        <v>1064</v>
      </c>
      <c r="H1354" s="286" t="s">
        <v>1064</v>
      </c>
      <c r="I1354" s="286" t="s">
        <v>1199</v>
      </c>
      <c r="J1354" s="286" t="s">
        <v>1312</v>
      </c>
      <c r="K1354" s="286" t="s">
        <v>53</v>
      </c>
      <c r="L1354" s="286" t="s">
        <v>53</v>
      </c>
      <c r="M1354" s="286" t="s">
        <v>53</v>
      </c>
      <c r="N1354" s="287">
        <v>2016.87</v>
      </c>
      <c r="O1354" s="294">
        <f t="shared" si="21"/>
        <v>45351</v>
      </c>
      <c r="P1354" s="286" t="s">
        <v>58</v>
      </c>
    </row>
    <row r="1355" spans="1:16" hidden="1" x14ac:dyDescent="0.15">
      <c r="A1355" s="286">
        <v>504817</v>
      </c>
      <c r="B1355" s="288">
        <v>45359.645138888889</v>
      </c>
      <c r="C1355" s="286" t="s">
        <v>2109</v>
      </c>
      <c r="D1355" s="286" t="s">
        <v>1105</v>
      </c>
      <c r="E1355" s="286" t="s">
        <v>1106</v>
      </c>
      <c r="F1355" s="286" t="s">
        <v>2154</v>
      </c>
      <c r="G1355" s="286" t="s">
        <v>1064</v>
      </c>
      <c r="H1355" s="286" t="s">
        <v>1064</v>
      </c>
      <c r="I1355" s="286" t="s">
        <v>1199</v>
      </c>
      <c r="J1355" s="286" t="s">
        <v>1312</v>
      </c>
      <c r="K1355" s="286" t="s">
        <v>53</v>
      </c>
      <c r="L1355" s="286" t="s">
        <v>53</v>
      </c>
      <c r="M1355" s="286" t="s">
        <v>53</v>
      </c>
      <c r="N1355" s="287">
        <v>2016.87</v>
      </c>
      <c r="O1355" s="294">
        <f t="shared" si="21"/>
        <v>45382</v>
      </c>
      <c r="P1355" s="286" t="s">
        <v>58</v>
      </c>
    </row>
    <row r="1356" spans="1:16" hidden="1" x14ac:dyDescent="0.15">
      <c r="A1356" s="286">
        <v>534207</v>
      </c>
      <c r="B1356" s="288">
        <v>45385.750694444447</v>
      </c>
      <c r="C1356" s="286" t="s">
        <v>2096</v>
      </c>
      <c r="D1356" s="286" t="s">
        <v>1105</v>
      </c>
      <c r="E1356" s="286" t="s">
        <v>1106</v>
      </c>
      <c r="F1356" s="286" t="s">
        <v>2155</v>
      </c>
      <c r="G1356" s="286" t="s">
        <v>1064</v>
      </c>
      <c r="H1356" s="286" t="s">
        <v>1064</v>
      </c>
      <c r="I1356" s="286" t="s">
        <v>1199</v>
      </c>
      <c r="J1356" s="286" t="s">
        <v>1312</v>
      </c>
      <c r="K1356" s="286" t="s">
        <v>53</v>
      </c>
      <c r="L1356" s="286" t="s">
        <v>53</v>
      </c>
      <c r="M1356" s="286" t="s">
        <v>53</v>
      </c>
      <c r="N1356" s="287">
        <v>2016.87</v>
      </c>
      <c r="O1356" s="294">
        <f t="shared" si="21"/>
        <v>45412</v>
      </c>
      <c r="P1356" s="286" t="s">
        <v>58</v>
      </c>
    </row>
    <row r="1357" spans="1:16" hidden="1" x14ac:dyDescent="0.15">
      <c r="A1357" s="286">
        <v>614216</v>
      </c>
      <c r="B1357" s="288">
        <v>45455.716666666667</v>
      </c>
      <c r="C1357" s="286" t="s">
        <v>2116</v>
      </c>
      <c r="D1357" s="286" t="s">
        <v>1105</v>
      </c>
      <c r="E1357" s="286" t="s">
        <v>1106</v>
      </c>
      <c r="F1357" s="286" t="s">
        <v>2156</v>
      </c>
      <c r="G1357" s="286" t="s">
        <v>1064</v>
      </c>
      <c r="H1357" s="286" t="s">
        <v>1064</v>
      </c>
      <c r="I1357" s="286" t="s">
        <v>1199</v>
      </c>
      <c r="J1357" s="286" t="s">
        <v>1312</v>
      </c>
      <c r="K1357" s="286" t="s">
        <v>53</v>
      </c>
      <c r="L1357" s="286" t="s">
        <v>53</v>
      </c>
      <c r="M1357" s="286" t="s">
        <v>53</v>
      </c>
      <c r="N1357" s="287">
        <v>2016.87</v>
      </c>
      <c r="O1357" s="294">
        <f t="shared" si="21"/>
        <v>45473</v>
      </c>
      <c r="P1357" s="286" t="s">
        <v>58</v>
      </c>
    </row>
    <row r="1358" spans="1:16" hidden="1" x14ac:dyDescent="0.15">
      <c r="A1358" s="286">
        <v>614316</v>
      </c>
      <c r="B1358" s="288">
        <v>45455.717361111114</v>
      </c>
      <c r="C1358" s="286" t="s">
        <v>2092</v>
      </c>
      <c r="D1358" s="286" t="s">
        <v>1105</v>
      </c>
      <c r="E1358" s="286" t="s">
        <v>1106</v>
      </c>
      <c r="F1358" s="286" t="s">
        <v>2167</v>
      </c>
      <c r="G1358" s="286" t="s">
        <v>1064</v>
      </c>
      <c r="H1358" s="286" t="s">
        <v>1064</v>
      </c>
      <c r="I1358" s="286" t="s">
        <v>1199</v>
      </c>
      <c r="J1358" s="286" t="s">
        <v>1312</v>
      </c>
      <c r="K1358" s="286" t="s">
        <v>53</v>
      </c>
      <c r="L1358" s="286" t="s">
        <v>53</v>
      </c>
      <c r="M1358" s="286" t="s">
        <v>53</v>
      </c>
      <c r="N1358" s="287">
        <v>2016.87</v>
      </c>
      <c r="O1358" s="294">
        <f t="shared" si="21"/>
        <v>45473</v>
      </c>
      <c r="P1358" s="286" t="s">
        <v>58</v>
      </c>
    </row>
    <row r="1359" spans="1:16" hidden="1" x14ac:dyDescent="0.15">
      <c r="A1359" s="286">
        <v>646075</v>
      </c>
      <c r="B1359" s="288">
        <v>45474.519444444442</v>
      </c>
      <c r="C1359" s="286" t="s">
        <v>2111</v>
      </c>
      <c r="D1359" s="286" t="s">
        <v>1105</v>
      </c>
      <c r="E1359" s="286" t="s">
        <v>1106</v>
      </c>
      <c r="F1359" s="286" t="s">
        <v>2137</v>
      </c>
      <c r="G1359" s="286" t="s">
        <v>1064</v>
      </c>
      <c r="H1359" s="286" t="s">
        <v>1064</v>
      </c>
      <c r="I1359" s="286" t="s">
        <v>1199</v>
      </c>
      <c r="J1359" s="286" t="s">
        <v>1312</v>
      </c>
      <c r="K1359" s="286" t="s">
        <v>53</v>
      </c>
      <c r="L1359" s="286" t="s">
        <v>53</v>
      </c>
      <c r="M1359" s="286" t="s">
        <v>53</v>
      </c>
      <c r="N1359" s="287">
        <v>2016.87</v>
      </c>
      <c r="O1359" s="294">
        <f t="shared" si="21"/>
        <v>45504</v>
      </c>
      <c r="P1359" s="286" t="s">
        <v>58</v>
      </c>
    </row>
    <row r="1360" spans="1:16" hidden="1" x14ac:dyDescent="0.15">
      <c r="A1360" s="286">
        <v>697810</v>
      </c>
      <c r="B1360" s="288">
        <v>45510.366666666669</v>
      </c>
      <c r="C1360" s="286" t="s">
        <v>2102</v>
      </c>
      <c r="D1360" s="286" t="s">
        <v>1105</v>
      </c>
      <c r="E1360" s="286" t="s">
        <v>1106</v>
      </c>
      <c r="F1360" s="286" t="s">
        <v>2138</v>
      </c>
      <c r="G1360" s="286" t="s">
        <v>1064</v>
      </c>
      <c r="H1360" s="286" t="s">
        <v>1064</v>
      </c>
      <c r="I1360" s="286" t="s">
        <v>1199</v>
      </c>
      <c r="J1360" s="286" t="s">
        <v>1312</v>
      </c>
      <c r="K1360" s="286" t="s">
        <v>53</v>
      </c>
      <c r="L1360" s="286" t="s">
        <v>53</v>
      </c>
      <c r="M1360" s="286" t="s">
        <v>53</v>
      </c>
      <c r="N1360" s="287">
        <v>2016.87</v>
      </c>
      <c r="O1360" s="294">
        <f t="shared" si="21"/>
        <v>45535</v>
      </c>
      <c r="P1360" s="286" t="s">
        <v>58</v>
      </c>
    </row>
    <row r="1361" spans="1:16" hidden="1" x14ac:dyDescent="0.15">
      <c r="A1361" s="286">
        <v>745911</v>
      </c>
      <c r="B1361" s="288">
        <v>45538.44027777778</v>
      </c>
      <c r="C1361" s="286" t="s">
        <v>2132</v>
      </c>
      <c r="D1361" s="286" t="s">
        <v>1105</v>
      </c>
      <c r="E1361" s="286" t="s">
        <v>1106</v>
      </c>
      <c r="F1361" s="286" t="s">
        <v>2139</v>
      </c>
      <c r="G1361" s="286" t="s">
        <v>1064</v>
      </c>
      <c r="H1361" s="286" t="s">
        <v>1064</v>
      </c>
      <c r="I1361" s="286" t="s">
        <v>1199</v>
      </c>
      <c r="J1361" s="286" t="s">
        <v>1312</v>
      </c>
      <c r="K1361" s="286" t="s">
        <v>53</v>
      </c>
      <c r="L1361" s="286" t="s">
        <v>53</v>
      </c>
      <c r="M1361" s="286" t="s">
        <v>53</v>
      </c>
      <c r="N1361" s="287">
        <v>2016.87</v>
      </c>
      <c r="O1361" s="294">
        <f t="shared" si="21"/>
        <v>45565</v>
      </c>
      <c r="P1361" s="286" t="s">
        <v>58</v>
      </c>
    </row>
    <row r="1362" spans="1:16" hidden="1" x14ac:dyDescent="0.15">
      <c r="A1362" s="286">
        <v>848817</v>
      </c>
      <c r="B1362" s="288">
        <v>45607.65902777778</v>
      </c>
      <c r="C1362" s="286" t="s">
        <v>2130</v>
      </c>
      <c r="D1362" s="286" t="s">
        <v>1105</v>
      </c>
      <c r="E1362" s="286" t="s">
        <v>1106</v>
      </c>
      <c r="F1362" s="286" t="s">
        <v>2140</v>
      </c>
      <c r="G1362" s="286" t="s">
        <v>1064</v>
      </c>
      <c r="H1362" s="286" t="s">
        <v>1064</v>
      </c>
      <c r="I1362" s="286" t="s">
        <v>1199</v>
      </c>
      <c r="J1362" s="286" t="s">
        <v>1312</v>
      </c>
      <c r="K1362" s="286" t="s">
        <v>53</v>
      </c>
      <c r="L1362" s="286" t="s">
        <v>53</v>
      </c>
      <c r="M1362" s="286" t="s">
        <v>53</v>
      </c>
      <c r="N1362" s="287">
        <v>2016.87</v>
      </c>
      <c r="O1362" s="294">
        <f t="shared" si="21"/>
        <v>45626</v>
      </c>
      <c r="P1362" s="286" t="s">
        <v>58</v>
      </c>
    </row>
    <row r="1363" spans="1:16" hidden="1" x14ac:dyDescent="0.15">
      <c r="A1363" s="286">
        <v>848917</v>
      </c>
      <c r="B1363" s="288">
        <v>45607.660416666666</v>
      </c>
      <c r="C1363" s="286" t="s">
        <v>2100</v>
      </c>
      <c r="D1363" s="286" t="s">
        <v>1105</v>
      </c>
      <c r="E1363" s="286" t="s">
        <v>1106</v>
      </c>
      <c r="F1363" s="286" t="s">
        <v>2141</v>
      </c>
      <c r="G1363" s="286" t="s">
        <v>1064</v>
      </c>
      <c r="H1363" s="286" t="s">
        <v>1064</v>
      </c>
      <c r="I1363" s="286" t="s">
        <v>1199</v>
      </c>
      <c r="J1363" s="286" t="s">
        <v>1312</v>
      </c>
      <c r="K1363" s="286" t="s">
        <v>53</v>
      </c>
      <c r="L1363" s="286" t="s">
        <v>53</v>
      </c>
      <c r="M1363" s="286" t="s">
        <v>53</v>
      </c>
      <c r="N1363" s="287">
        <v>2016.87</v>
      </c>
      <c r="O1363" s="294">
        <f t="shared" si="21"/>
        <v>45626</v>
      </c>
      <c r="P1363" s="286" t="s">
        <v>58</v>
      </c>
    </row>
    <row r="1364" spans="1:16" hidden="1" x14ac:dyDescent="0.15">
      <c r="A1364" s="286">
        <v>874698</v>
      </c>
      <c r="B1364" s="288">
        <v>45628.357638888891</v>
      </c>
      <c r="C1364" s="286" t="s">
        <v>2098</v>
      </c>
      <c r="D1364" s="286" t="s">
        <v>1105</v>
      </c>
      <c r="E1364" s="286" t="s">
        <v>1106</v>
      </c>
      <c r="F1364" s="286" t="s">
        <v>2142</v>
      </c>
      <c r="G1364" s="286" t="s">
        <v>1064</v>
      </c>
      <c r="H1364" s="286" t="s">
        <v>1064</v>
      </c>
      <c r="I1364" s="286" t="s">
        <v>1199</v>
      </c>
      <c r="J1364" s="286" t="s">
        <v>1312</v>
      </c>
      <c r="K1364" s="286" t="s">
        <v>53</v>
      </c>
      <c r="L1364" s="286" t="s">
        <v>53</v>
      </c>
      <c r="M1364" s="286" t="s">
        <v>53</v>
      </c>
      <c r="N1364" s="287">
        <v>2016.87</v>
      </c>
      <c r="O1364" s="294">
        <f t="shared" si="21"/>
        <v>45657</v>
      </c>
      <c r="P1364" s="286" t="s">
        <v>58</v>
      </c>
    </row>
    <row r="1365" spans="1:16" hidden="1" x14ac:dyDescent="0.15">
      <c r="A1365" s="286">
        <v>659932</v>
      </c>
      <c r="B1365" s="288">
        <v>45484.507638888892</v>
      </c>
      <c r="C1365" s="286" t="s">
        <v>2092</v>
      </c>
      <c r="D1365" s="286" t="s">
        <v>1105</v>
      </c>
      <c r="E1365" s="286" t="s">
        <v>1106</v>
      </c>
      <c r="F1365" s="286" t="s">
        <v>2352</v>
      </c>
      <c r="G1365" s="286" t="s">
        <v>1838</v>
      </c>
      <c r="H1365" s="286" t="s">
        <v>1838</v>
      </c>
      <c r="I1365" s="286" t="s">
        <v>1109</v>
      </c>
      <c r="J1365" s="286" t="s">
        <v>1312</v>
      </c>
      <c r="K1365" s="286" t="s">
        <v>53</v>
      </c>
      <c r="L1365" s="286" t="s">
        <v>53</v>
      </c>
      <c r="M1365" s="286" t="s">
        <v>53</v>
      </c>
      <c r="N1365" s="287">
        <v>2012</v>
      </c>
      <c r="O1365" s="294">
        <f t="shared" si="21"/>
        <v>45504</v>
      </c>
      <c r="P1365" s="286" t="s">
        <v>998</v>
      </c>
    </row>
    <row r="1366" spans="1:16" hidden="1" x14ac:dyDescent="0.15">
      <c r="A1366" s="286">
        <v>438112</v>
      </c>
      <c r="B1366" s="288">
        <v>45293.53402777778</v>
      </c>
      <c r="C1366" s="286" t="s">
        <v>2125</v>
      </c>
      <c r="D1366" s="286" t="s">
        <v>1105</v>
      </c>
      <c r="E1366" s="286" t="s">
        <v>1106</v>
      </c>
      <c r="F1366" s="286" t="s">
        <v>2152</v>
      </c>
      <c r="G1366" s="286" t="s">
        <v>1042</v>
      </c>
      <c r="H1366" s="286" t="s">
        <v>1042</v>
      </c>
      <c r="I1366" s="286" t="s">
        <v>1228</v>
      </c>
      <c r="J1366" s="286" t="s">
        <v>53</v>
      </c>
      <c r="K1366" s="286" t="s">
        <v>53</v>
      </c>
      <c r="L1366" s="286" t="s">
        <v>53</v>
      </c>
      <c r="M1366" s="286" t="s">
        <v>53</v>
      </c>
      <c r="N1366" s="287">
        <v>1980.46</v>
      </c>
      <c r="O1366" s="294">
        <f t="shared" si="21"/>
        <v>45322</v>
      </c>
      <c r="P1366" s="286" t="s">
        <v>58</v>
      </c>
    </row>
    <row r="1367" spans="1:16" hidden="1" x14ac:dyDescent="0.15">
      <c r="A1367" s="286">
        <v>472168</v>
      </c>
      <c r="B1367" s="288">
        <v>45331.416666666664</v>
      </c>
      <c r="C1367" s="286" t="s">
        <v>2113</v>
      </c>
      <c r="D1367" s="286" t="s">
        <v>1105</v>
      </c>
      <c r="E1367" s="286" t="s">
        <v>1106</v>
      </c>
      <c r="F1367" s="286" t="s">
        <v>2153</v>
      </c>
      <c r="G1367" s="286" t="s">
        <v>1042</v>
      </c>
      <c r="H1367" s="286" t="s">
        <v>1042</v>
      </c>
      <c r="I1367" s="286" t="s">
        <v>1228</v>
      </c>
      <c r="J1367" s="286" t="s">
        <v>53</v>
      </c>
      <c r="K1367" s="286" t="s">
        <v>53</v>
      </c>
      <c r="L1367" s="286" t="s">
        <v>53</v>
      </c>
      <c r="M1367" s="286" t="s">
        <v>53</v>
      </c>
      <c r="N1367" s="287">
        <v>1980.46</v>
      </c>
      <c r="O1367" s="294">
        <f t="shared" si="21"/>
        <v>45351</v>
      </c>
      <c r="P1367" s="286" t="s">
        <v>58</v>
      </c>
    </row>
    <row r="1368" spans="1:16" hidden="1" x14ac:dyDescent="0.15">
      <c r="A1368" s="286">
        <v>504817</v>
      </c>
      <c r="B1368" s="288">
        <v>45359.645138888889</v>
      </c>
      <c r="C1368" s="286" t="s">
        <v>2109</v>
      </c>
      <c r="D1368" s="286" t="s">
        <v>1105</v>
      </c>
      <c r="E1368" s="286" t="s">
        <v>1106</v>
      </c>
      <c r="F1368" s="286" t="s">
        <v>2154</v>
      </c>
      <c r="G1368" s="286" t="s">
        <v>1042</v>
      </c>
      <c r="H1368" s="286" t="s">
        <v>1042</v>
      </c>
      <c r="I1368" s="286" t="s">
        <v>1228</v>
      </c>
      <c r="J1368" s="286" t="s">
        <v>53</v>
      </c>
      <c r="K1368" s="286" t="s">
        <v>53</v>
      </c>
      <c r="L1368" s="286" t="s">
        <v>53</v>
      </c>
      <c r="M1368" s="286" t="s">
        <v>53</v>
      </c>
      <c r="N1368" s="287">
        <v>1980.46</v>
      </c>
      <c r="O1368" s="294">
        <f t="shared" si="21"/>
        <v>45382</v>
      </c>
      <c r="P1368" s="286" t="s">
        <v>58</v>
      </c>
    </row>
    <row r="1369" spans="1:16" hidden="1" x14ac:dyDescent="0.15">
      <c r="A1369" s="286">
        <v>534207</v>
      </c>
      <c r="B1369" s="288">
        <v>45385.750694444447</v>
      </c>
      <c r="C1369" s="286" t="s">
        <v>2096</v>
      </c>
      <c r="D1369" s="286" t="s">
        <v>1105</v>
      </c>
      <c r="E1369" s="286" t="s">
        <v>1106</v>
      </c>
      <c r="F1369" s="286" t="s">
        <v>2155</v>
      </c>
      <c r="G1369" s="286" t="s">
        <v>1042</v>
      </c>
      <c r="H1369" s="286" t="s">
        <v>1042</v>
      </c>
      <c r="I1369" s="286" t="s">
        <v>1228</v>
      </c>
      <c r="J1369" s="286" t="s">
        <v>53</v>
      </c>
      <c r="K1369" s="286" t="s">
        <v>53</v>
      </c>
      <c r="L1369" s="286" t="s">
        <v>53</v>
      </c>
      <c r="M1369" s="286" t="s">
        <v>53</v>
      </c>
      <c r="N1369" s="287">
        <v>1980.46</v>
      </c>
      <c r="O1369" s="294">
        <f t="shared" si="21"/>
        <v>45412</v>
      </c>
      <c r="P1369" s="286" t="s">
        <v>58</v>
      </c>
    </row>
    <row r="1370" spans="1:16" hidden="1" x14ac:dyDescent="0.15">
      <c r="A1370" s="286">
        <v>614216</v>
      </c>
      <c r="B1370" s="288">
        <v>45455.716666666667</v>
      </c>
      <c r="C1370" s="286" t="s">
        <v>2116</v>
      </c>
      <c r="D1370" s="286" t="s">
        <v>1105</v>
      </c>
      <c r="E1370" s="286" t="s">
        <v>1106</v>
      </c>
      <c r="F1370" s="286" t="s">
        <v>2156</v>
      </c>
      <c r="G1370" s="286" t="s">
        <v>1042</v>
      </c>
      <c r="H1370" s="286" t="s">
        <v>1042</v>
      </c>
      <c r="I1370" s="286" t="s">
        <v>1228</v>
      </c>
      <c r="J1370" s="286" t="s">
        <v>53</v>
      </c>
      <c r="K1370" s="286" t="s">
        <v>53</v>
      </c>
      <c r="L1370" s="286" t="s">
        <v>53</v>
      </c>
      <c r="M1370" s="286" t="s">
        <v>53</v>
      </c>
      <c r="N1370" s="287">
        <v>1980.46</v>
      </c>
      <c r="O1370" s="294">
        <f t="shared" si="21"/>
        <v>45473</v>
      </c>
      <c r="P1370" s="286" t="s">
        <v>58</v>
      </c>
    </row>
    <row r="1371" spans="1:16" hidden="1" x14ac:dyDescent="0.15">
      <c r="A1371" s="286">
        <v>608480</v>
      </c>
      <c r="B1371" s="288">
        <v>45450.422222222223</v>
      </c>
      <c r="C1371" s="286" t="s">
        <v>2092</v>
      </c>
      <c r="D1371" s="286" t="s">
        <v>1105</v>
      </c>
      <c r="E1371" s="286" t="s">
        <v>1106</v>
      </c>
      <c r="F1371" s="286" t="s">
        <v>2157</v>
      </c>
      <c r="G1371" s="286" t="s">
        <v>1042</v>
      </c>
      <c r="H1371" s="286" t="s">
        <v>1042</v>
      </c>
      <c r="I1371" s="286" t="s">
        <v>1228</v>
      </c>
      <c r="J1371" s="286" t="s">
        <v>53</v>
      </c>
      <c r="K1371" s="286" t="s">
        <v>53</v>
      </c>
      <c r="L1371" s="286" t="s">
        <v>53</v>
      </c>
      <c r="M1371" s="286" t="s">
        <v>53</v>
      </c>
      <c r="N1371" s="287">
        <v>1980.46</v>
      </c>
      <c r="O1371" s="294">
        <f t="shared" si="21"/>
        <v>45473</v>
      </c>
      <c r="P1371" s="286" t="s">
        <v>58</v>
      </c>
    </row>
    <row r="1372" spans="1:16" hidden="1" x14ac:dyDescent="0.15">
      <c r="A1372" s="286">
        <v>646075</v>
      </c>
      <c r="B1372" s="288">
        <v>45474.519444444442</v>
      </c>
      <c r="C1372" s="286" t="s">
        <v>2111</v>
      </c>
      <c r="D1372" s="286" t="s">
        <v>1105</v>
      </c>
      <c r="E1372" s="286" t="s">
        <v>1106</v>
      </c>
      <c r="F1372" s="286" t="s">
        <v>2137</v>
      </c>
      <c r="G1372" s="286" t="s">
        <v>1042</v>
      </c>
      <c r="H1372" s="286" t="s">
        <v>1042</v>
      </c>
      <c r="I1372" s="286" t="s">
        <v>1228</v>
      </c>
      <c r="J1372" s="286" t="s">
        <v>53</v>
      </c>
      <c r="K1372" s="286" t="s">
        <v>53</v>
      </c>
      <c r="L1372" s="286" t="s">
        <v>53</v>
      </c>
      <c r="M1372" s="286" t="s">
        <v>53</v>
      </c>
      <c r="N1372" s="287">
        <v>1980.46</v>
      </c>
      <c r="O1372" s="294">
        <f t="shared" si="21"/>
        <v>45504</v>
      </c>
      <c r="P1372" s="286" t="s">
        <v>58</v>
      </c>
    </row>
    <row r="1373" spans="1:16" hidden="1" x14ac:dyDescent="0.15">
      <c r="A1373" s="286">
        <v>697810</v>
      </c>
      <c r="B1373" s="288">
        <v>45510.366666666669</v>
      </c>
      <c r="C1373" s="286" t="s">
        <v>2102</v>
      </c>
      <c r="D1373" s="286" t="s">
        <v>1105</v>
      </c>
      <c r="E1373" s="286" t="s">
        <v>1106</v>
      </c>
      <c r="F1373" s="286" t="s">
        <v>2138</v>
      </c>
      <c r="G1373" s="286" t="s">
        <v>1042</v>
      </c>
      <c r="H1373" s="286" t="s">
        <v>1042</v>
      </c>
      <c r="I1373" s="286" t="s">
        <v>1228</v>
      </c>
      <c r="J1373" s="286" t="s">
        <v>53</v>
      </c>
      <c r="K1373" s="286" t="s">
        <v>53</v>
      </c>
      <c r="L1373" s="286" t="s">
        <v>53</v>
      </c>
      <c r="M1373" s="286" t="s">
        <v>53</v>
      </c>
      <c r="N1373" s="287">
        <v>1980.46</v>
      </c>
      <c r="O1373" s="294">
        <f t="shared" si="21"/>
        <v>45535</v>
      </c>
      <c r="P1373" s="286" t="s">
        <v>58</v>
      </c>
    </row>
    <row r="1374" spans="1:16" hidden="1" x14ac:dyDescent="0.15">
      <c r="A1374" s="286">
        <v>745911</v>
      </c>
      <c r="B1374" s="288">
        <v>45538.44027777778</v>
      </c>
      <c r="C1374" s="286" t="s">
        <v>2132</v>
      </c>
      <c r="D1374" s="286" t="s">
        <v>1105</v>
      </c>
      <c r="E1374" s="286" t="s">
        <v>1106</v>
      </c>
      <c r="F1374" s="286" t="s">
        <v>2139</v>
      </c>
      <c r="G1374" s="286" t="s">
        <v>1042</v>
      </c>
      <c r="H1374" s="286" t="s">
        <v>1042</v>
      </c>
      <c r="I1374" s="286" t="s">
        <v>1228</v>
      </c>
      <c r="J1374" s="286" t="s">
        <v>53</v>
      </c>
      <c r="K1374" s="286" t="s">
        <v>53</v>
      </c>
      <c r="L1374" s="286" t="s">
        <v>53</v>
      </c>
      <c r="M1374" s="286" t="s">
        <v>53</v>
      </c>
      <c r="N1374" s="287">
        <v>1980.46</v>
      </c>
      <c r="O1374" s="294">
        <f t="shared" si="21"/>
        <v>45565</v>
      </c>
      <c r="P1374" s="286" t="s">
        <v>58</v>
      </c>
    </row>
    <row r="1375" spans="1:16" hidden="1" x14ac:dyDescent="0.15">
      <c r="A1375" s="286">
        <v>438112</v>
      </c>
      <c r="B1375" s="288">
        <v>45293.53402777778</v>
      </c>
      <c r="C1375" s="286" t="s">
        <v>2125</v>
      </c>
      <c r="D1375" s="286" t="s">
        <v>1105</v>
      </c>
      <c r="E1375" s="286" t="s">
        <v>1106</v>
      </c>
      <c r="F1375" s="286" t="s">
        <v>2152</v>
      </c>
      <c r="G1375" s="286" t="s">
        <v>1045</v>
      </c>
      <c r="H1375" s="286" t="s">
        <v>1045</v>
      </c>
      <c r="I1375" s="286" t="s">
        <v>1199</v>
      </c>
      <c r="J1375" s="286" t="s">
        <v>53</v>
      </c>
      <c r="K1375" s="286" t="s">
        <v>53</v>
      </c>
      <c r="L1375" s="286" t="s">
        <v>53</v>
      </c>
      <c r="M1375" s="286" t="s">
        <v>53</v>
      </c>
      <c r="N1375" s="287">
        <v>1969.1</v>
      </c>
      <c r="O1375" s="294">
        <f t="shared" si="21"/>
        <v>45322</v>
      </c>
      <c r="P1375" s="286" t="s">
        <v>58</v>
      </c>
    </row>
    <row r="1376" spans="1:16" hidden="1" x14ac:dyDescent="0.15">
      <c r="A1376" s="286">
        <v>483613</v>
      </c>
      <c r="B1376" s="288">
        <v>45342.459027777775</v>
      </c>
      <c r="C1376" s="286" t="s">
        <v>2113</v>
      </c>
      <c r="D1376" s="286" t="s">
        <v>1105</v>
      </c>
      <c r="E1376" s="286" t="s">
        <v>1106</v>
      </c>
      <c r="F1376" s="286" t="s">
        <v>2263</v>
      </c>
      <c r="G1376" s="286" t="s">
        <v>1044</v>
      </c>
      <c r="H1376" s="286" t="s">
        <v>1044</v>
      </c>
      <c r="I1376" s="286" t="s">
        <v>1228</v>
      </c>
      <c r="J1376" s="286" t="s">
        <v>1312</v>
      </c>
      <c r="K1376" s="286" t="s">
        <v>2076</v>
      </c>
      <c r="L1376" s="286" t="s">
        <v>53</v>
      </c>
      <c r="M1376" s="286">
        <v>0</v>
      </c>
      <c r="N1376" s="287">
        <v>1958.47</v>
      </c>
      <c r="O1376" s="294">
        <f t="shared" si="21"/>
        <v>45351</v>
      </c>
      <c r="P1376" s="286" t="s">
        <v>58</v>
      </c>
    </row>
    <row r="1377" spans="1:16" hidden="1" x14ac:dyDescent="0.15">
      <c r="A1377" s="286">
        <v>495594</v>
      </c>
      <c r="B1377" s="288">
        <v>45351.45</v>
      </c>
      <c r="C1377" s="286" t="s">
        <v>2113</v>
      </c>
      <c r="D1377" s="286" t="s">
        <v>1105</v>
      </c>
      <c r="E1377" s="286" t="s">
        <v>1106</v>
      </c>
      <c r="F1377" s="286" t="s">
        <v>2353</v>
      </c>
      <c r="G1377" s="286" t="s">
        <v>1044</v>
      </c>
      <c r="H1377" s="286" t="s">
        <v>1044</v>
      </c>
      <c r="I1377" s="286" t="s">
        <v>1199</v>
      </c>
      <c r="J1377" s="286" t="s">
        <v>53</v>
      </c>
      <c r="K1377" s="286" t="s">
        <v>53</v>
      </c>
      <c r="L1377" s="286" t="s">
        <v>53</v>
      </c>
      <c r="M1377" s="286" t="s">
        <v>53</v>
      </c>
      <c r="N1377" s="287">
        <v>1958.47</v>
      </c>
      <c r="O1377" s="294">
        <f t="shared" si="21"/>
        <v>45351</v>
      </c>
      <c r="P1377" s="286" t="s">
        <v>58</v>
      </c>
    </row>
    <row r="1378" spans="1:16" hidden="1" x14ac:dyDescent="0.15">
      <c r="A1378" s="286">
        <v>453975</v>
      </c>
      <c r="B1378" s="288">
        <v>45309.636111111111</v>
      </c>
      <c r="C1378" s="286" t="s">
        <v>2125</v>
      </c>
      <c r="D1378" s="286" t="s">
        <v>1105</v>
      </c>
      <c r="E1378" s="286" t="s">
        <v>1106</v>
      </c>
      <c r="F1378" s="286" t="s">
        <v>2333</v>
      </c>
      <c r="G1378" s="286" t="s">
        <v>1831</v>
      </c>
      <c r="H1378" s="286" t="s">
        <v>1831</v>
      </c>
      <c r="I1378" s="286" t="s">
        <v>1129</v>
      </c>
      <c r="J1378" s="286" t="s">
        <v>1312</v>
      </c>
      <c r="K1378" s="286" t="s">
        <v>1832</v>
      </c>
      <c r="L1378" s="286" t="s">
        <v>1833</v>
      </c>
      <c r="M1378" s="286">
        <v>9</v>
      </c>
      <c r="N1378" s="287">
        <v>1946.07</v>
      </c>
      <c r="O1378" s="294">
        <f t="shared" si="21"/>
        <v>45322</v>
      </c>
      <c r="P1378" s="286" t="s">
        <v>164</v>
      </c>
    </row>
    <row r="1379" spans="1:16" hidden="1" x14ac:dyDescent="0.15">
      <c r="A1379" s="286">
        <v>438112</v>
      </c>
      <c r="B1379" s="288">
        <v>45293.53402777778</v>
      </c>
      <c r="C1379" s="286" t="s">
        <v>2125</v>
      </c>
      <c r="D1379" s="286" t="s">
        <v>1105</v>
      </c>
      <c r="E1379" s="286" t="s">
        <v>1106</v>
      </c>
      <c r="F1379" s="286" t="s">
        <v>2152</v>
      </c>
      <c r="G1379" s="286" t="s">
        <v>1068</v>
      </c>
      <c r="H1379" s="286" t="s">
        <v>1068</v>
      </c>
      <c r="I1379" s="286" t="s">
        <v>1199</v>
      </c>
      <c r="J1379" s="286" t="s">
        <v>53</v>
      </c>
      <c r="K1379" s="286" t="s">
        <v>53</v>
      </c>
      <c r="L1379" s="286" t="s">
        <v>53</v>
      </c>
      <c r="M1379" s="286" t="s">
        <v>53</v>
      </c>
      <c r="N1379" s="287">
        <v>1944.89</v>
      </c>
      <c r="O1379" s="294">
        <f t="shared" si="21"/>
        <v>45322</v>
      </c>
      <c r="P1379" s="286" t="s">
        <v>58</v>
      </c>
    </row>
    <row r="1380" spans="1:16" hidden="1" x14ac:dyDescent="0.15">
      <c r="A1380" s="286">
        <v>472168</v>
      </c>
      <c r="B1380" s="288">
        <v>45331.416666666664</v>
      </c>
      <c r="C1380" s="286" t="s">
        <v>2113</v>
      </c>
      <c r="D1380" s="286" t="s">
        <v>1105</v>
      </c>
      <c r="E1380" s="286" t="s">
        <v>1106</v>
      </c>
      <c r="F1380" s="286" t="s">
        <v>2153</v>
      </c>
      <c r="G1380" s="286" t="s">
        <v>1068</v>
      </c>
      <c r="H1380" s="286" t="s">
        <v>1068</v>
      </c>
      <c r="I1380" s="286" t="s">
        <v>1199</v>
      </c>
      <c r="J1380" s="286" t="s">
        <v>53</v>
      </c>
      <c r="K1380" s="286" t="s">
        <v>53</v>
      </c>
      <c r="L1380" s="286" t="s">
        <v>53</v>
      </c>
      <c r="M1380" s="286" t="s">
        <v>53</v>
      </c>
      <c r="N1380" s="287">
        <v>1944.89</v>
      </c>
      <c r="O1380" s="294">
        <f t="shared" si="21"/>
        <v>45351</v>
      </c>
      <c r="P1380" s="286" t="s">
        <v>58</v>
      </c>
    </row>
    <row r="1381" spans="1:16" hidden="1" x14ac:dyDescent="0.15">
      <c r="A1381" s="286">
        <v>504817</v>
      </c>
      <c r="B1381" s="288">
        <v>45359.645138888889</v>
      </c>
      <c r="C1381" s="286" t="s">
        <v>2109</v>
      </c>
      <c r="D1381" s="286" t="s">
        <v>1105</v>
      </c>
      <c r="E1381" s="286" t="s">
        <v>1106</v>
      </c>
      <c r="F1381" s="286" t="s">
        <v>2154</v>
      </c>
      <c r="G1381" s="286" t="s">
        <v>1068</v>
      </c>
      <c r="H1381" s="286" t="s">
        <v>1068</v>
      </c>
      <c r="I1381" s="286" t="s">
        <v>1199</v>
      </c>
      <c r="J1381" s="286" t="s">
        <v>53</v>
      </c>
      <c r="K1381" s="286" t="s">
        <v>53</v>
      </c>
      <c r="L1381" s="286" t="s">
        <v>53</v>
      </c>
      <c r="M1381" s="286" t="s">
        <v>53</v>
      </c>
      <c r="N1381" s="287">
        <v>1944.89</v>
      </c>
      <c r="O1381" s="294">
        <f t="shared" si="21"/>
        <v>45382</v>
      </c>
      <c r="P1381" s="286" t="s">
        <v>58</v>
      </c>
    </row>
    <row r="1382" spans="1:16" hidden="1" x14ac:dyDescent="0.15">
      <c r="A1382" s="286">
        <v>534207</v>
      </c>
      <c r="B1382" s="288">
        <v>45385.750694444447</v>
      </c>
      <c r="C1382" s="286" t="s">
        <v>2096</v>
      </c>
      <c r="D1382" s="286" t="s">
        <v>1105</v>
      </c>
      <c r="E1382" s="286" t="s">
        <v>1106</v>
      </c>
      <c r="F1382" s="286" t="s">
        <v>2155</v>
      </c>
      <c r="G1382" s="286" t="s">
        <v>1068</v>
      </c>
      <c r="H1382" s="286" t="s">
        <v>1068</v>
      </c>
      <c r="I1382" s="286" t="s">
        <v>1199</v>
      </c>
      <c r="J1382" s="286" t="s">
        <v>53</v>
      </c>
      <c r="K1382" s="286" t="s">
        <v>53</v>
      </c>
      <c r="L1382" s="286" t="s">
        <v>53</v>
      </c>
      <c r="M1382" s="286" t="s">
        <v>53</v>
      </c>
      <c r="N1382" s="287">
        <v>1944.89</v>
      </c>
      <c r="O1382" s="294">
        <f t="shared" si="21"/>
        <v>45412</v>
      </c>
      <c r="P1382" s="286" t="s">
        <v>58</v>
      </c>
    </row>
    <row r="1383" spans="1:16" hidden="1" x14ac:dyDescent="0.15">
      <c r="A1383" s="286">
        <v>614216</v>
      </c>
      <c r="B1383" s="288">
        <v>45455.716666666667</v>
      </c>
      <c r="C1383" s="286" t="s">
        <v>2116</v>
      </c>
      <c r="D1383" s="286" t="s">
        <v>1105</v>
      </c>
      <c r="E1383" s="286" t="s">
        <v>1106</v>
      </c>
      <c r="F1383" s="286" t="s">
        <v>2156</v>
      </c>
      <c r="G1383" s="286" t="s">
        <v>1068</v>
      </c>
      <c r="H1383" s="286" t="s">
        <v>1068</v>
      </c>
      <c r="I1383" s="286" t="s">
        <v>1199</v>
      </c>
      <c r="J1383" s="286" t="s">
        <v>53</v>
      </c>
      <c r="K1383" s="286" t="s">
        <v>53</v>
      </c>
      <c r="L1383" s="286" t="s">
        <v>53</v>
      </c>
      <c r="M1383" s="286" t="s">
        <v>53</v>
      </c>
      <c r="N1383" s="287">
        <v>1944.89</v>
      </c>
      <c r="O1383" s="294">
        <f t="shared" si="21"/>
        <v>45473</v>
      </c>
      <c r="P1383" s="286" t="s">
        <v>58</v>
      </c>
    </row>
    <row r="1384" spans="1:16" hidden="1" x14ac:dyDescent="0.15">
      <c r="A1384" s="286">
        <v>608480</v>
      </c>
      <c r="B1384" s="288">
        <v>45450.422222222223</v>
      </c>
      <c r="C1384" s="286" t="s">
        <v>2092</v>
      </c>
      <c r="D1384" s="286" t="s">
        <v>1105</v>
      </c>
      <c r="E1384" s="286" t="s">
        <v>1106</v>
      </c>
      <c r="F1384" s="286" t="s">
        <v>2157</v>
      </c>
      <c r="G1384" s="286" t="s">
        <v>1068</v>
      </c>
      <c r="H1384" s="286" t="s">
        <v>1068</v>
      </c>
      <c r="I1384" s="286" t="s">
        <v>1199</v>
      </c>
      <c r="J1384" s="286" t="s">
        <v>53</v>
      </c>
      <c r="K1384" s="286" t="s">
        <v>53</v>
      </c>
      <c r="L1384" s="286" t="s">
        <v>53</v>
      </c>
      <c r="M1384" s="286" t="s">
        <v>53</v>
      </c>
      <c r="N1384" s="287">
        <v>1944.89</v>
      </c>
      <c r="O1384" s="294">
        <f t="shared" si="21"/>
        <v>45473</v>
      </c>
      <c r="P1384" s="286" t="s">
        <v>58</v>
      </c>
    </row>
    <row r="1385" spans="1:16" hidden="1" x14ac:dyDescent="0.15">
      <c r="A1385" s="286">
        <v>646075</v>
      </c>
      <c r="B1385" s="288">
        <v>45474.519444444442</v>
      </c>
      <c r="C1385" s="286" t="s">
        <v>2111</v>
      </c>
      <c r="D1385" s="286" t="s">
        <v>1105</v>
      </c>
      <c r="E1385" s="286" t="s">
        <v>1106</v>
      </c>
      <c r="F1385" s="286" t="s">
        <v>2137</v>
      </c>
      <c r="G1385" s="286" t="s">
        <v>1068</v>
      </c>
      <c r="H1385" s="286" t="s">
        <v>1068</v>
      </c>
      <c r="I1385" s="286" t="s">
        <v>1199</v>
      </c>
      <c r="J1385" s="286" t="s">
        <v>53</v>
      </c>
      <c r="K1385" s="286" t="s">
        <v>53</v>
      </c>
      <c r="L1385" s="286" t="s">
        <v>53</v>
      </c>
      <c r="M1385" s="286" t="s">
        <v>53</v>
      </c>
      <c r="N1385" s="287">
        <v>1944.89</v>
      </c>
      <c r="O1385" s="294">
        <f t="shared" si="21"/>
        <v>45504</v>
      </c>
      <c r="P1385" s="286" t="s">
        <v>58</v>
      </c>
    </row>
    <row r="1386" spans="1:16" hidden="1" x14ac:dyDescent="0.15">
      <c r="A1386" s="286">
        <v>697810</v>
      </c>
      <c r="B1386" s="288">
        <v>45510.366666666669</v>
      </c>
      <c r="C1386" s="286" t="s">
        <v>2102</v>
      </c>
      <c r="D1386" s="286" t="s">
        <v>1105</v>
      </c>
      <c r="E1386" s="286" t="s">
        <v>1106</v>
      </c>
      <c r="F1386" s="286" t="s">
        <v>2138</v>
      </c>
      <c r="G1386" s="286" t="s">
        <v>1068</v>
      </c>
      <c r="H1386" s="286" t="s">
        <v>1068</v>
      </c>
      <c r="I1386" s="286" t="s">
        <v>1199</v>
      </c>
      <c r="J1386" s="286" t="s">
        <v>53</v>
      </c>
      <c r="K1386" s="286" t="s">
        <v>53</v>
      </c>
      <c r="L1386" s="286" t="s">
        <v>53</v>
      </c>
      <c r="M1386" s="286" t="s">
        <v>53</v>
      </c>
      <c r="N1386" s="287">
        <v>1944.89</v>
      </c>
      <c r="O1386" s="294">
        <f t="shared" si="21"/>
        <v>45535</v>
      </c>
      <c r="P1386" s="286" t="s">
        <v>58</v>
      </c>
    </row>
    <row r="1387" spans="1:16" hidden="1" x14ac:dyDescent="0.15">
      <c r="A1387" s="286">
        <v>745911</v>
      </c>
      <c r="B1387" s="288">
        <v>45538.44027777778</v>
      </c>
      <c r="C1387" s="286" t="s">
        <v>2132</v>
      </c>
      <c r="D1387" s="286" t="s">
        <v>1105</v>
      </c>
      <c r="E1387" s="286" t="s">
        <v>1106</v>
      </c>
      <c r="F1387" s="286" t="s">
        <v>2139</v>
      </c>
      <c r="G1387" s="286" t="s">
        <v>1068</v>
      </c>
      <c r="H1387" s="286" t="s">
        <v>1068</v>
      </c>
      <c r="I1387" s="286" t="s">
        <v>1199</v>
      </c>
      <c r="J1387" s="286" t="s">
        <v>53</v>
      </c>
      <c r="K1387" s="286" t="s">
        <v>53</v>
      </c>
      <c r="L1387" s="286" t="s">
        <v>53</v>
      </c>
      <c r="M1387" s="286" t="s">
        <v>53</v>
      </c>
      <c r="N1387" s="287">
        <v>1944.89</v>
      </c>
      <c r="O1387" s="294">
        <f t="shared" si="21"/>
        <v>45565</v>
      </c>
      <c r="P1387" s="286" t="s">
        <v>58</v>
      </c>
    </row>
    <row r="1388" spans="1:16" hidden="1" x14ac:dyDescent="0.15">
      <c r="A1388" s="286">
        <v>848817</v>
      </c>
      <c r="B1388" s="288">
        <v>45607.65902777778</v>
      </c>
      <c r="C1388" s="286" t="s">
        <v>2130</v>
      </c>
      <c r="D1388" s="286" t="s">
        <v>1105</v>
      </c>
      <c r="E1388" s="286" t="s">
        <v>1106</v>
      </c>
      <c r="F1388" s="286" t="s">
        <v>2140</v>
      </c>
      <c r="G1388" s="286" t="s">
        <v>1068</v>
      </c>
      <c r="H1388" s="286" t="s">
        <v>1068</v>
      </c>
      <c r="I1388" s="286" t="s">
        <v>1199</v>
      </c>
      <c r="J1388" s="286" t="s">
        <v>53</v>
      </c>
      <c r="K1388" s="286" t="s">
        <v>53</v>
      </c>
      <c r="L1388" s="286" t="s">
        <v>53</v>
      </c>
      <c r="M1388" s="286" t="s">
        <v>53</v>
      </c>
      <c r="N1388" s="287">
        <v>1944.89</v>
      </c>
      <c r="O1388" s="294">
        <f t="shared" si="21"/>
        <v>45626</v>
      </c>
      <c r="P1388" s="286" t="s">
        <v>58</v>
      </c>
    </row>
    <row r="1389" spans="1:16" hidden="1" x14ac:dyDescent="0.15">
      <c r="A1389" s="286">
        <v>697810</v>
      </c>
      <c r="B1389" s="288">
        <v>45510.366666666669</v>
      </c>
      <c r="C1389" s="286" t="s">
        <v>2102</v>
      </c>
      <c r="D1389" s="286" t="s">
        <v>1105</v>
      </c>
      <c r="E1389" s="286" t="s">
        <v>1106</v>
      </c>
      <c r="F1389" s="286" t="s">
        <v>2138</v>
      </c>
      <c r="G1389" s="286" t="s">
        <v>1007</v>
      </c>
      <c r="H1389" s="286" t="s">
        <v>1007</v>
      </c>
      <c r="I1389" s="286" t="s">
        <v>1228</v>
      </c>
      <c r="J1389" s="286" t="s">
        <v>1312</v>
      </c>
      <c r="K1389" s="286" t="s">
        <v>1808</v>
      </c>
      <c r="L1389" s="286" t="s">
        <v>53</v>
      </c>
      <c r="M1389" s="286">
        <v>1</v>
      </c>
      <c r="N1389" s="287">
        <v>1914.31</v>
      </c>
      <c r="O1389" s="294">
        <f t="shared" si="21"/>
        <v>45535</v>
      </c>
      <c r="P1389" s="286" t="s">
        <v>58</v>
      </c>
    </row>
    <row r="1390" spans="1:16" hidden="1" x14ac:dyDescent="0.15">
      <c r="A1390" s="286">
        <v>697810</v>
      </c>
      <c r="B1390" s="288">
        <v>45510.366666666669</v>
      </c>
      <c r="C1390" s="286" t="s">
        <v>2102</v>
      </c>
      <c r="D1390" s="286" t="s">
        <v>1105</v>
      </c>
      <c r="E1390" s="286" t="s">
        <v>1106</v>
      </c>
      <c r="F1390" s="286" t="s">
        <v>2138</v>
      </c>
      <c r="G1390" s="286" t="s">
        <v>1007</v>
      </c>
      <c r="H1390" s="286" t="s">
        <v>1007</v>
      </c>
      <c r="I1390" s="286" t="s">
        <v>1228</v>
      </c>
      <c r="J1390" s="286" t="s">
        <v>1312</v>
      </c>
      <c r="K1390" s="286" t="s">
        <v>1770</v>
      </c>
      <c r="L1390" s="286" t="s">
        <v>672</v>
      </c>
      <c r="M1390" s="286">
        <v>1</v>
      </c>
      <c r="N1390" s="287">
        <v>1914.31</v>
      </c>
      <c r="O1390" s="294">
        <f t="shared" si="21"/>
        <v>45535</v>
      </c>
      <c r="P1390" s="286" t="s">
        <v>58</v>
      </c>
    </row>
    <row r="1391" spans="1:16" hidden="1" x14ac:dyDescent="0.15">
      <c r="A1391" s="286">
        <v>745911</v>
      </c>
      <c r="B1391" s="288">
        <v>45538.44027777778</v>
      </c>
      <c r="C1391" s="286" t="s">
        <v>2132</v>
      </c>
      <c r="D1391" s="286" t="s">
        <v>1105</v>
      </c>
      <c r="E1391" s="286" t="s">
        <v>1106</v>
      </c>
      <c r="F1391" s="286" t="s">
        <v>2139</v>
      </c>
      <c r="G1391" s="286" t="s">
        <v>1016</v>
      </c>
      <c r="H1391" s="286" t="s">
        <v>1016</v>
      </c>
      <c r="I1391" s="286" t="s">
        <v>1199</v>
      </c>
      <c r="J1391" s="286" t="s">
        <v>1312</v>
      </c>
      <c r="K1391" s="286" t="s">
        <v>1690</v>
      </c>
      <c r="L1391" s="286" t="s">
        <v>672</v>
      </c>
      <c r="M1391" s="286">
        <v>1</v>
      </c>
      <c r="N1391" s="287">
        <v>1912.45</v>
      </c>
      <c r="O1391" s="294">
        <f t="shared" si="21"/>
        <v>45565</v>
      </c>
      <c r="P1391" s="286" t="s">
        <v>58</v>
      </c>
    </row>
    <row r="1392" spans="1:16" hidden="1" x14ac:dyDescent="0.15">
      <c r="A1392" s="286">
        <v>453975</v>
      </c>
      <c r="B1392" s="288">
        <v>45309.636111111111</v>
      </c>
      <c r="C1392" s="286" t="s">
        <v>2125</v>
      </c>
      <c r="D1392" s="286" t="s">
        <v>1105</v>
      </c>
      <c r="E1392" s="286" t="s">
        <v>1106</v>
      </c>
      <c r="F1392" s="286" t="s">
        <v>2333</v>
      </c>
      <c r="G1392" s="286" t="s">
        <v>1037</v>
      </c>
      <c r="H1392" s="286" t="s">
        <v>1037</v>
      </c>
      <c r="I1392" s="286" t="s">
        <v>1129</v>
      </c>
      <c r="J1392" s="286" t="s">
        <v>1312</v>
      </c>
      <c r="K1392" s="286" t="s">
        <v>1815</v>
      </c>
      <c r="L1392" s="286" t="s">
        <v>1816</v>
      </c>
      <c r="M1392" s="286">
        <v>1</v>
      </c>
      <c r="N1392" s="287">
        <v>1887.78</v>
      </c>
      <c r="O1392" s="294">
        <f t="shared" si="21"/>
        <v>45322</v>
      </c>
      <c r="P1392" s="286" t="s">
        <v>164</v>
      </c>
    </row>
    <row r="1393" spans="1:16" hidden="1" x14ac:dyDescent="0.15">
      <c r="A1393" s="286">
        <v>614216</v>
      </c>
      <c r="B1393" s="288">
        <v>45455.716666666667</v>
      </c>
      <c r="C1393" s="286" t="s">
        <v>2116</v>
      </c>
      <c r="D1393" s="286" t="s">
        <v>1105</v>
      </c>
      <c r="E1393" s="286" t="s">
        <v>1106</v>
      </c>
      <c r="F1393" s="286" t="s">
        <v>2156</v>
      </c>
      <c r="G1393" s="286" t="s">
        <v>1025</v>
      </c>
      <c r="H1393" s="286" t="s">
        <v>1025</v>
      </c>
      <c r="I1393" s="286" t="s">
        <v>1199</v>
      </c>
      <c r="J1393" s="286" t="s">
        <v>1312</v>
      </c>
      <c r="K1393" s="286" t="s">
        <v>1828</v>
      </c>
      <c r="L1393" s="286" t="s">
        <v>672</v>
      </c>
      <c r="M1393" s="286">
        <v>2</v>
      </c>
      <c r="N1393" s="287">
        <v>1868.49</v>
      </c>
      <c r="O1393" s="294">
        <f t="shared" si="21"/>
        <v>45473</v>
      </c>
      <c r="P1393" s="286" t="s">
        <v>58</v>
      </c>
    </row>
    <row r="1394" spans="1:16" hidden="1" x14ac:dyDescent="0.15">
      <c r="A1394" s="286">
        <v>608480</v>
      </c>
      <c r="B1394" s="288">
        <v>45450.422222222223</v>
      </c>
      <c r="C1394" s="286" t="s">
        <v>2092</v>
      </c>
      <c r="D1394" s="286" t="s">
        <v>1105</v>
      </c>
      <c r="E1394" s="286" t="s">
        <v>1106</v>
      </c>
      <c r="F1394" s="286" t="s">
        <v>2157</v>
      </c>
      <c r="G1394" s="286" t="s">
        <v>1025</v>
      </c>
      <c r="H1394" s="286" t="s">
        <v>1025</v>
      </c>
      <c r="I1394" s="286" t="s">
        <v>1199</v>
      </c>
      <c r="J1394" s="286" t="s">
        <v>1312</v>
      </c>
      <c r="K1394" s="286" t="s">
        <v>1828</v>
      </c>
      <c r="L1394" s="286" t="s">
        <v>672</v>
      </c>
      <c r="M1394" s="286">
        <v>2</v>
      </c>
      <c r="N1394" s="287">
        <v>1868.49</v>
      </c>
      <c r="O1394" s="294">
        <f t="shared" si="21"/>
        <v>45473</v>
      </c>
      <c r="P1394" s="286" t="s">
        <v>58</v>
      </c>
    </row>
    <row r="1395" spans="1:16" hidden="1" x14ac:dyDescent="0.15">
      <c r="A1395" s="286">
        <v>646075</v>
      </c>
      <c r="B1395" s="288">
        <v>45474.519444444442</v>
      </c>
      <c r="C1395" s="286" t="s">
        <v>2111</v>
      </c>
      <c r="D1395" s="286" t="s">
        <v>1105</v>
      </c>
      <c r="E1395" s="286" t="s">
        <v>1106</v>
      </c>
      <c r="F1395" s="286" t="s">
        <v>2137</v>
      </c>
      <c r="G1395" s="286" t="s">
        <v>1025</v>
      </c>
      <c r="H1395" s="286" t="s">
        <v>1025</v>
      </c>
      <c r="I1395" s="286" t="s">
        <v>1199</v>
      </c>
      <c r="J1395" s="286" t="s">
        <v>1312</v>
      </c>
      <c r="K1395" s="286" t="s">
        <v>1828</v>
      </c>
      <c r="L1395" s="286" t="s">
        <v>672</v>
      </c>
      <c r="M1395" s="286">
        <v>2</v>
      </c>
      <c r="N1395" s="287">
        <v>1868.49</v>
      </c>
      <c r="O1395" s="294">
        <f t="shared" si="21"/>
        <v>45504</v>
      </c>
      <c r="P1395" s="286" t="s">
        <v>58</v>
      </c>
    </row>
    <row r="1396" spans="1:16" hidden="1" x14ac:dyDescent="0.15">
      <c r="A1396" s="286">
        <v>697810</v>
      </c>
      <c r="B1396" s="288">
        <v>45510.366666666669</v>
      </c>
      <c r="C1396" s="286" t="s">
        <v>2102</v>
      </c>
      <c r="D1396" s="286" t="s">
        <v>1105</v>
      </c>
      <c r="E1396" s="286" t="s">
        <v>1106</v>
      </c>
      <c r="F1396" s="286" t="s">
        <v>2138</v>
      </c>
      <c r="G1396" s="286" t="s">
        <v>1025</v>
      </c>
      <c r="H1396" s="286" t="s">
        <v>1025</v>
      </c>
      <c r="I1396" s="286" t="s">
        <v>1199</v>
      </c>
      <c r="J1396" s="286" t="s">
        <v>1312</v>
      </c>
      <c r="K1396" s="286" t="s">
        <v>1828</v>
      </c>
      <c r="L1396" s="286" t="s">
        <v>672</v>
      </c>
      <c r="M1396" s="286">
        <v>2</v>
      </c>
      <c r="N1396" s="287">
        <v>1868.49</v>
      </c>
      <c r="O1396" s="294">
        <f t="shared" si="21"/>
        <v>45535</v>
      </c>
      <c r="P1396" s="286" t="s">
        <v>58</v>
      </c>
    </row>
    <row r="1397" spans="1:16" hidden="1" x14ac:dyDescent="0.15">
      <c r="A1397" s="286">
        <v>745911</v>
      </c>
      <c r="B1397" s="288">
        <v>45538.44027777778</v>
      </c>
      <c r="C1397" s="286" t="s">
        <v>2132</v>
      </c>
      <c r="D1397" s="286" t="s">
        <v>1105</v>
      </c>
      <c r="E1397" s="286" t="s">
        <v>1106</v>
      </c>
      <c r="F1397" s="286" t="s">
        <v>2139</v>
      </c>
      <c r="G1397" s="286" t="s">
        <v>1025</v>
      </c>
      <c r="H1397" s="286" t="s">
        <v>1025</v>
      </c>
      <c r="I1397" s="286" t="s">
        <v>1199</v>
      </c>
      <c r="J1397" s="286" t="s">
        <v>1312</v>
      </c>
      <c r="K1397" s="286" t="s">
        <v>1828</v>
      </c>
      <c r="L1397" s="286" t="s">
        <v>672</v>
      </c>
      <c r="M1397" s="286">
        <v>2</v>
      </c>
      <c r="N1397" s="287">
        <v>1868.49</v>
      </c>
      <c r="O1397" s="294">
        <f t="shared" si="21"/>
        <v>45565</v>
      </c>
      <c r="P1397" s="286" t="s">
        <v>58</v>
      </c>
    </row>
    <row r="1398" spans="1:16" hidden="1" x14ac:dyDescent="0.15">
      <c r="A1398" s="286">
        <v>848817</v>
      </c>
      <c r="B1398" s="288">
        <v>45607.65902777778</v>
      </c>
      <c r="C1398" s="286" t="s">
        <v>2130</v>
      </c>
      <c r="D1398" s="286" t="s">
        <v>1105</v>
      </c>
      <c r="E1398" s="286" t="s">
        <v>1106</v>
      </c>
      <c r="F1398" s="286" t="s">
        <v>2140</v>
      </c>
      <c r="G1398" s="286" t="s">
        <v>1025</v>
      </c>
      <c r="H1398" s="286" t="s">
        <v>1025</v>
      </c>
      <c r="I1398" s="286" t="s">
        <v>1199</v>
      </c>
      <c r="J1398" s="286" t="s">
        <v>1312</v>
      </c>
      <c r="K1398" s="286" t="s">
        <v>1828</v>
      </c>
      <c r="L1398" s="286" t="s">
        <v>672</v>
      </c>
      <c r="M1398" s="286">
        <v>2</v>
      </c>
      <c r="N1398" s="287">
        <v>1868.49</v>
      </c>
      <c r="O1398" s="294">
        <f t="shared" si="21"/>
        <v>45626</v>
      </c>
      <c r="P1398" s="286" t="s">
        <v>58</v>
      </c>
    </row>
    <row r="1399" spans="1:16" hidden="1" x14ac:dyDescent="0.15">
      <c r="A1399" s="286">
        <v>848917</v>
      </c>
      <c r="B1399" s="288">
        <v>45607.660416666666</v>
      </c>
      <c r="C1399" s="286" t="s">
        <v>2100</v>
      </c>
      <c r="D1399" s="286" t="s">
        <v>1105</v>
      </c>
      <c r="E1399" s="286" t="s">
        <v>1106</v>
      </c>
      <c r="F1399" s="286" t="s">
        <v>2141</v>
      </c>
      <c r="G1399" s="286" t="s">
        <v>1025</v>
      </c>
      <c r="H1399" s="286" t="s">
        <v>1025</v>
      </c>
      <c r="I1399" s="286" t="s">
        <v>1199</v>
      </c>
      <c r="J1399" s="286" t="s">
        <v>1312</v>
      </c>
      <c r="K1399" s="286" t="s">
        <v>1828</v>
      </c>
      <c r="L1399" s="286" t="s">
        <v>672</v>
      </c>
      <c r="M1399" s="286">
        <v>2</v>
      </c>
      <c r="N1399" s="287">
        <v>1868.49</v>
      </c>
      <c r="O1399" s="294">
        <f t="shared" si="21"/>
        <v>45626</v>
      </c>
      <c r="P1399" s="286" t="s">
        <v>58</v>
      </c>
    </row>
    <row r="1400" spans="1:16" hidden="1" x14ac:dyDescent="0.15">
      <c r="A1400" s="286">
        <v>874698</v>
      </c>
      <c r="B1400" s="288">
        <v>45628.357638888891</v>
      </c>
      <c r="C1400" s="286" t="s">
        <v>2098</v>
      </c>
      <c r="D1400" s="286" t="s">
        <v>1105</v>
      </c>
      <c r="E1400" s="286" t="s">
        <v>1106</v>
      </c>
      <c r="F1400" s="286" t="s">
        <v>2142</v>
      </c>
      <c r="G1400" s="286" t="s">
        <v>1025</v>
      </c>
      <c r="H1400" s="286" t="s">
        <v>1025</v>
      </c>
      <c r="I1400" s="286" t="s">
        <v>1199</v>
      </c>
      <c r="J1400" s="286" t="s">
        <v>1312</v>
      </c>
      <c r="K1400" s="286" t="s">
        <v>1828</v>
      </c>
      <c r="L1400" s="286" t="s">
        <v>672</v>
      </c>
      <c r="M1400" s="286">
        <v>2</v>
      </c>
      <c r="N1400" s="287">
        <v>1868.49</v>
      </c>
      <c r="O1400" s="294">
        <f t="shared" si="21"/>
        <v>45657</v>
      </c>
      <c r="P1400" s="286" t="s">
        <v>58</v>
      </c>
    </row>
    <row r="1401" spans="1:16" hidden="1" x14ac:dyDescent="0.15">
      <c r="A1401" s="286">
        <v>453975</v>
      </c>
      <c r="B1401" s="288">
        <v>45309.636111111111</v>
      </c>
      <c r="C1401" s="286" t="s">
        <v>2125</v>
      </c>
      <c r="D1401" s="286" t="s">
        <v>1105</v>
      </c>
      <c r="E1401" s="286" t="s">
        <v>1106</v>
      </c>
      <c r="F1401" s="286" t="s">
        <v>2333</v>
      </c>
      <c r="G1401" s="286" t="s">
        <v>1074</v>
      </c>
      <c r="H1401" s="286" t="s">
        <v>1034</v>
      </c>
      <c r="I1401" s="286" t="s">
        <v>1129</v>
      </c>
      <c r="J1401" s="286" t="s">
        <v>1312</v>
      </c>
      <c r="K1401" s="286" t="s">
        <v>1482</v>
      </c>
      <c r="L1401" s="286" t="s">
        <v>1483</v>
      </c>
      <c r="M1401" s="286">
        <v>1</v>
      </c>
      <c r="N1401" s="287">
        <v>1835.31</v>
      </c>
      <c r="O1401" s="294">
        <f t="shared" si="21"/>
        <v>45322</v>
      </c>
      <c r="P1401" s="286" t="s">
        <v>164</v>
      </c>
    </row>
    <row r="1402" spans="1:16" hidden="1" x14ac:dyDescent="0.15">
      <c r="A1402" s="286">
        <v>472168</v>
      </c>
      <c r="B1402" s="288">
        <v>45331.416666666664</v>
      </c>
      <c r="C1402" s="286" t="s">
        <v>2113</v>
      </c>
      <c r="D1402" s="286" t="s">
        <v>1105</v>
      </c>
      <c r="E1402" s="286" t="s">
        <v>1106</v>
      </c>
      <c r="F1402" s="286" t="s">
        <v>2153</v>
      </c>
      <c r="G1402" s="286" t="s">
        <v>1004</v>
      </c>
      <c r="H1402" s="286" t="s">
        <v>1004</v>
      </c>
      <c r="I1402" s="286" t="s">
        <v>1112</v>
      </c>
      <c r="J1402" s="286" t="s">
        <v>1312</v>
      </c>
      <c r="K1402" s="286" t="s">
        <v>2300</v>
      </c>
      <c r="L1402" s="286" t="s">
        <v>53</v>
      </c>
      <c r="M1402" s="286">
        <v>1</v>
      </c>
      <c r="N1402" s="287">
        <v>1808.78</v>
      </c>
      <c r="O1402" s="294">
        <f t="shared" si="21"/>
        <v>45351</v>
      </c>
      <c r="P1402" s="286" t="s">
        <v>175</v>
      </c>
    </row>
    <row r="1403" spans="1:16" hidden="1" x14ac:dyDescent="0.15">
      <c r="A1403" s="286">
        <v>520593</v>
      </c>
      <c r="B1403" s="288">
        <v>45372.475694444445</v>
      </c>
      <c r="C1403" s="286" t="s">
        <v>2113</v>
      </c>
      <c r="D1403" s="286" t="s">
        <v>1105</v>
      </c>
      <c r="E1403" s="286" t="s">
        <v>1106</v>
      </c>
      <c r="F1403" s="286" t="s">
        <v>2354</v>
      </c>
      <c r="G1403" s="286" t="s">
        <v>1004</v>
      </c>
      <c r="H1403" s="286" t="s">
        <v>1004</v>
      </c>
      <c r="I1403" s="286" t="s">
        <v>1199</v>
      </c>
      <c r="J1403" s="286" t="s">
        <v>1312</v>
      </c>
      <c r="K1403" s="286" t="s">
        <v>53</v>
      </c>
      <c r="L1403" s="286" t="s">
        <v>53</v>
      </c>
      <c r="M1403" s="286" t="s">
        <v>53</v>
      </c>
      <c r="N1403" s="287">
        <v>1808.78</v>
      </c>
      <c r="O1403" s="294">
        <f t="shared" si="21"/>
        <v>45382</v>
      </c>
      <c r="P1403" s="286" t="s">
        <v>58</v>
      </c>
    </row>
    <row r="1404" spans="1:16" hidden="1" x14ac:dyDescent="0.15">
      <c r="A1404" s="286">
        <v>590580</v>
      </c>
      <c r="B1404" s="288">
        <v>45435.646527777775</v>
      </c>
      <c r="C1404" s="286" t="s">
        <v>2116</v>
      </c>
      <c r="D1404" s="286" t="s">
        <v>1105</v>
      </c>
      <c r="E1404" s="286" t="s">
        <v>1106</v>
      </c>
      <c r="F1404" s="286" t="s">
        <v>2135</v>
      </c>
      <c r="G1404" s="286" t="s">
        <v>1059</v>
      </c>
      <c r="H1404" s="286" t="s">
        <v>1059</v>
      </c>
      <c r="I1404" s="286" t="s">
        <v>1301</v>
      </c>
      <c r="J1404" s="286" t="s">
        <v>1312</v>
      </c>
      <c r="K1404" s="286" t="s">
        <v>56</v>
      </c>
      <c r="L1404" s="286" t="s">
        <v>71</v>
      </c>
      <c r="M1404" s="286">
        <v>1</v>
      </c>
      <c r="N1404" s="287">
        <v>1792</v>
      </c>
      <c r="O1404" s="294">
        <f t="shared" si="21"/>
        <v>45443</v>
      </c>
      <c r="P1404" s="286" t="s">
        <v>55</v>
      </c>
    </row>
    <row r="1405" spans="1:16" hidden="1" x14ac:dyDescent="0.15">
      <c r="A1405" s="286">
        <v>646075</v>
      </c>
      <c r="B1405" s="288">
        <v>45474.519444444442</v>
      </c>
      <c r="C1405" s="286" t="s">
        <v>2111</v>
      </c>
      <c r="D1405" s="286" t="s">
        <v>1105</v>
      </c>
      <c r="E1405" s="286" t="s">
        <v>1106</v>
      </c>
      <c r="F1405" s="286" t="s">
        <v>2137</v>
      </c>
      <c r="G1405" s="286" t="s">
        <v>1048</v>
      </c>
      <c r="H1405" s="286" t="s">
        <v>1048</v>
      </c>
      <c r="I1405" s="286" t="s">
        <v>1152</v>
      </c>
      <c r="J1405" s="286" t="s">
        <v>1312</v>
      </c>
      <c r="K1405" s="286" t="s">
        <v>1652</v>
      </c>
      <c r="L1405" s="286" t="s">
        <v>1653</v>
      </c>
      <c r="M1405" s="286">
        <v>1</v>
      </c>
      <c r="N1405" s="287">
        <v>1788.05</v>
      </c>
      <c r="O1405" s="294">
        <f t="shared" si="21"/>
        <v>45504</v>
      </c>
      <c r="P1405" s="286" t="s">
        <v>58</v>
      </c>
    </row>
    <row r="1406" spans="1:16" hidden="1" x14ac:dyDescent="0.15">
      <c r="A1406" s="286">
        <v>874698</v>
      </c>
      <c r="B1406" s="288">
        <v>45628.357638888891</v>
      </c>
      <c r="C1406" s="286" t="s">
        <v>2098</v>
      </c>
      <c r="D1406" s="286" t="s">
        <v>1105</v>
      </c>
      <c r="E1406" s="286" t="s">
        <v>1106</v>
      </c>
      <c r="F1406" s="286" t="s">
        <v>2142</v>
      </c>
      <c r="G1406" s="286" t="s">
        <v>1036</v>
      </c>
      <c r="H1406" s="286" t="s">
        <v>1036</v>
      </c>
      <c r="I1406" s="286" t="s">
        <v>1152</v>
      </c>
      <c r="J1406" s="286" t="s">
        <v>1312</v>
      </c>
      <c r="K1406" s="286" t="s">
        <v>1839</v>
      </c>
      <c r="L1406" s="286" t="s">
        <v>672</v>
      </c>
      <c r="M1406" s="286">
        <v>1</v>
      </c>
      <c r="N1406" s="287">
        <v>1769.35</v>
      </c>
      <c r="O1406" s="294">
        <f t="shared" si="21"/>
        <v>45657</v>
      </c>
      <c r="P1406" s="286" t="s">
        <v>58</v>
      </c>
    </row>
    <row r="1407" spans="1:16" hidden="1" x14ac:dyDescent="0.15">
      <c r="A1407" s="286">
        <v>534207</v>
      </c>
      <c r="B1407" s="288">
        <v>45385.750694444447</v>
      </c>
      <c r="C1407" s="286" t="s">
        <v>2096</v>
      </c>
      <c r="D1407" s="286" t="s">
        <v>1105</v>
      </c>
      <c r="E1407" s="286" t="s">
        <v>1106</v>
      </c>
      <c r="F1407" s="286" t="s">
        <v>2155</v>
      </c>
      <c r="G1407" s="286" t="s">
        <v>1012</v>
      </c>
      <c r="H1407" s="286" t="s">
        <v>1012</v>
      </c>
      <c r="I1407" s="286" t="s">
        <v>1199</v>
      </c>
      <c r="J1407" s="286" t="s">
        <v>1312</v>
      </c>
      <c r="K1407" s="286" t="s">
        <v>1760</v>
      </c>
      <c r="L1407" s="286" t="s">
        <v>672</v>
      </c>
      <c r="M1407" s="286">
        <v>1</v>
      </c>
      <c r="N1407" s="287">
        <v>1757.51</v>
      </c>
      <c r="O1407" s="294">
        <f t="shared" si="21"/>
        <v>45412</v>
      </c>
      <c r="P1407" s="286" t="s">
        <v>58</v>
      </c>
    </row>
    <row r="1408" spans="1:16" hidden="1" x14ac:dyDescent="0.15">
      <c r="A1408" s="286">
        <v>614216</v>
      </c>
      <c r="B1408" s="288">
        <v>45455.716666666667</v>
      </c>
      <c r="C1408" s="286" t="s">
        <v>2116</v>
      </c>
      <c r="D1408" s="286" t="s">
        <v>1105</v>
      </c>
      <c r="E1408" s="286" t="s">
        <v>1106</v>
      </c>
      <c r="F1408" s="286" t="s">
        <v>2156</v>
      </c>
      <c r="G1408" s="286" t="s">
        <v>1012</v>
      </c>
      <c r="H1408" s="286" t="s">
        <v>1012</v>
      </c>
      <c r="I1408" s="286" t="s">
        <v>1199</v>
      </c>
      <c r="J1408" s="286" t="s">
        <v>1312</v>
      </c>
      <c r="K1408" s="286" t="s">
        <v>1760</v>
      </c>
      <c r="L1408" s="286" t="s">
        <v>672</v>
      </c>
      <c r="M1408" s="286">
        <v>1</v>
      </c>
      <c r="N1408" s="287">
        <v>1757.51</v>
      </c>
      <c r="O1408" s="294">
        <f t="shared" si="21"/>
        <v>45473</v>
      </c>
      <c r="P1408" s="286" t="s">
        <v>58</v>
      </c>
    </row>
    <row r="1409" spans="1:16" hidden="1" x14ac:dyDescent="0.15">
      <c r="A1409" s="286">
        <v>608480</v>
      </c>
      <c r="B1409" s="288">
        <v>45450.422222222223</v>
      </c>
      <c r="C1409" s="286" t="s">
        <v>2092</v>
      </c>
      <c r="D1409" s="286" t="s">
        <v>1105</v>
      </c>
      <c r="E1409" s="286" t="s">
        <v>1106</v>
      </c>
      <c r="F1409" s="286" t="s">
        <v>2157</v>
      </c>
      <c r="G1409" s="286" t="s">
        <v>1012</v>
      </c>
      <c r="H1409" s="286" t="s">
        <v>1012</v>
      </c>
      <c r="I1409" s="286" t="s">
        <v>1199</v>
      </c>
      <c r="J1409" s="286" t="s">
        <v>1312</v>
      </c>
      <c r="K1409" s="286" t="s">
        <v>1760</v>
      </c>
      <c r="L1409" s="286" t="s">
        <v>672</v>
      </c>
      <c r="M1409" s="286">
        <v>1</v>
      </c>
      <c r="N1409" s="287">
        <v>1757.51</v>
      </c>
      <c r="O1409" s="294">
        <f t="shared" si="21"/>
        <v>45473</v>
      </c>
      <c r="P1409" s="286" t="s">
        <v>58</v>
      </c>
    </row>
    <row r="1410" spans="1:16" hidden="1" x14ac:dyDescent="0.15">
      <c r="A1410" s="286">
        <v>646075</v>
      </c>
      <c r="B1410" s="288">
        <v>45474.519444444442</v>
      </c>
      <c r="C1410" s="286" t="s">
        <v>2111</v>
      </c>
      <c r="D1410" s="286" t="s">
        <v>1105</v>
      </c>
      <c r="E1410" s="286" t="s">
        <v>1106</v>
      </c>
      <c r="F1410" s="286" t="s">
        <v>2137</v>
      </c>
      <c r="G1410" s="286" t="s">
        <v>1012</v>
      </c>
      <c r="H1410" s="286" t="s">
        <v>1012</v>
      </c>
      <c r="I1410" s="286" t="s">
        <v>1199</v>
      </c>
      <c r="J1410" s="286" t="s">
        <v>1312</v>
      </c>
      <c r="K1410" s="286" t="s">
        <v>1760</v>
      </c>
      <c r="L1410" s="286" t="s">
        <v>672</v>
      </c>
      <c r="M1410" s="286">
        <v>1</v>
      </c>
      <c r="N1410" s="287">
        <v>1757.51</v>
      </c>
      <c r="O1410" s="294">
        <f t="shared" si="21"/>
        <v>45504</v>
      </c>
      <c r="P1410" s="286" t="s">
        <v>58</v>
      </c>
    </row>
    <row r="1411" spans="1:16" hidden="1" x14ac:dyDescent="0.15">
      <c r="A1411" s="286">
        <v>697810</v>
      </c>
      <c r="B1411" s="288">
        <v>45510.366666666669</v>
      </c>
      <c r="C1411" s="286" t="s">
        <v>2102</v>
      </c>
      <c r="D1411" s="286" t="s">
        <v>1105</v>
      </c>
      <c r="E1411" s="286" t="s">
        <v>1106</v>
      </c>
      <c r="F1411" s="286" t="s">
        <v>2138</v>
      </c>
      <c r="G1411" s="286" t="s">
        <v>1012</v>
      </c>
      <c r="H1411" s="286" t="s">
        <v>1012</v>
      </c>
      <c r="I1411" s="286" t="s">
        <v>1199</v>
      </c>
      <c r="J1411" s="286" t="s">
        <v>1312</v>
      </c>
      <c r="K1411" s="286" t="s">
        <v>1760</v>
      </c>
      <c r="L1411" s="286" t="s">
        <v>672</v>
      </c>
      <c r="M1411" s="286">
        <v>1</v>
      </c>
      <c r="N1411" s="287">
        <v>1757.51</v>
      </c>
      <c r="O1411" s="294">
        <f t="shared" si="21"/>
        <v>45535</v>
      </c>
      <c r="P1411" s="286" t="s">
        <v>58</v>
      </c>
    </row>
    <row r="1412" spans="1:16" hidden="1" x14ac:dyDescent="0.15">
      <c r="A1412" s="286">
        <v>745911</v>
      </c>
      <c r="B1412" s="288">
        <v>45538.44027777778</v>
      </c>
      <c r="C1412" s="286" t="s">
        <v>2132</v>
      </c>
      <c r="D1412" s="286" t="s">
        <v>1105</v>
      </c>
      <c r="E1412" s="286" t="s">
        <v>1106</v>
      </c>
      <c r="F1412" s="286" t="s">
        <v>2139</v>
      </c>
      <c r="G1412" s="286" t="s">
        <v>1012</v>
      </c>
      <c r="H1412" s="286" t="s">
        <v>1012</v>
      </c>
      <c r="I1412" s="286" t="s">
        <v>1199</v>
      </c>
      <c r="J1412" s="286" t="s">
        <v>1312</v>
      </c>
      <c r="K1412" s="286" t="s">
        <v>1760</v>
      </c>
      <c r="L1412" s="286" t="s">
        <v>672</v>
      </c>
      <c r="M1412" s="286">
        <v>1</v>
      </c>
      <c r="N1412" s="287">
        <v>1757.51</v>
      </c>
      <c r="O1412" s="294">
        <f t="shared" ref="O1412:O1475" si="22">EOMONTH(B1412,0)</f>
        <v>45565</v>
      </c>
      <c r="P1412" s="286" t="s">
        <v>58</v>
      </c>
    </row>
    <row r="1413" spans="1:16" hidden="1" x14ac:dyDescent="0.15">
      <c r="A1413" s="286">
        <v>848817</v>
      </c>
      <c r="B1413" s="288">
        <v>45607.65902777778</v>
      </c>
      <c r="C1413" s="286" t="s">
        <v>2130</v>
      </c>
      <c r="D1413" s="286" t="s">
        <v>1105</v>
      </c>
      <c r="E1413" s="286" t="s">
        <v>1106</v>
      </c>
      <c r="F1413" s="286" t="s">
        <v>2140</v>
      </c>
      <c r="G1413" s="286" t="s">
        <v>1012</v>
      </c>
      <c r="H1413" s="286" t="s">
        <v>1012</v>
      </c>
      <c r="I1413" s="286" t="s">
        <v>1199</v>
      </c>
      <c r="J1413" s="286" t="s">
        <v>1312</v>
      </c>
      <c r="K1413" s="286" t="s">
        <v>1760</v>
      </c>
      <c r="L1413" s="286" t="s">
        <v>672</v>
      </c>
      <c r="M1413" s="286">
        <v>1</v>
      </c>
      <c r="N1413" s="287">
        <v>1757.51</v>
      </c>
      <c r="O1413" s="294">
        <f t="shared" si="22"/>
        <v>45626</v>
      </c>
      <c r="P1413" s="286" t="s">
        <v>58</v>
      </c>
    </row>
    <row r="1414" spans="1:16" hidden="1" x14ac:dyDescent="0.15">
      <c r="A1414" s="286">
        <v>848917</v>
      </c>
      <c r="B1414" s="288">
        <v>45607.660416666666</v>
      </c>
      <c r="C1414" s="286" t="s">
        <v>2100</v>
      </c>
      <c r="D1414" s="286" t="s">
        <v>1105</v>
      </c>
      <c r="E1414" s="286" t="s">
        <v>1106</v>
      </c>
      <c r="F1414" s="286" t="s">
        <v>2141</v>
      </c>
      <c r="G1414" s="286" t="s">
        <v>1012</v>
      </c>
      <c r="H1414" s="286" t="s">
        <v>1012</v>
      </c>
      <c r="I1414" s="286" t="s">
        <v>1199</v>
      </c>
      <c r="J1414" s="286" t="s">
        <v>1312</v>
      </c>
      <c r="K1414" s="286" t="s">
        <v>1760</v>
      </c>
      <c r="L1414" s="286" t="s">
        <v>672</v>
      </c>
      <c r="M1414" s="286">
        <v>1</v>
      </c>
      <c r="N1414" s="287">
        <v>1757.51</v>
      </c>
      <c r="O1414" s="294">
        <f t="shared" si="22"/>
        <v>45626</v>
      </c>
      <c r="P1414" s="286" t="s">
        <v>58</v>
      </c>
    </row>
    <row r="1415" spans="1:16" hidden="1" x14ac:dyDescent="0.15">
      <c r="A1415" s="286">
        <v>874698</v>
      </c>
      <c r="B1415" s="288">
        <v>45628.357638888891</v>
      </c>
      <c r="C1415" s="286" t="s">
        <v>2098</v>
      </c>
      <c r="D1415" s="286" t="s">
        <v>1105</v>
      </c>
      <c r="E1415" s="286" t="s">
        <v>1106</v>
      </c>
      <c r="F1415" s="286" t="s">
        <v>2142</v>
      </c>
      <c r="G1415" s="286" t="s">
        <v>1012</v>
      </c>
      <c r="H1415" s="286" t="s">
        <v>1012</v>
      </c>
      <c r="I1415" s="286" t="s">
        <v>1199</v>
      </c>
      <c r="J1415" s="286" t="s">
        <v>1312</v>
      </c>
      <c r="K1415" s="286" t="s">
        <v>1760</v>
      </c>
      <c r="L1415" s="286" t="s">
        <v>672</v>
      </c>
      <c r="M1415" s="286">
        <v>1</v>
      </c>
      <c r="N1415" s="287">
        <v>1757.51</v>
      </c>
      <c r="O1415" s="294">
        <f t="shared" si="22"/>
        <v>45657</v>
      </c>
      <c r="P1415" s="286" t="s">
        <v>58</v>
      </c>
    </row>
    <row r="1416" spans="1:16" hidden="1" x14ac:dyDescent="0.15">
      <c r="A1416" s="286">
        <v>472168</v>
      </c>
      <c r="B1416" s="288">
        <v>45331.416666666664</v>
      </c>
      <c r="C1416" s="286" t="s">
        <v>2113</v>
      </c>
      <c r="D1416" s="286" t="s">
        <v>1105</v>
      </c>
      <c r="E1416" s="286" t="s">
        <v>1106</v>
      </c>
      <c r="F1416" s="286" t="s">
        <v>2153</v>
      </c>
      <c r="G1416" s="286" t="s">
        <v>1045</v>
      </c>
      <c r="H1416" s="286" t="s">
        <v>1045</v>
      </c>
      <c r="I1416" s="286" t="s">
        <v>1199</v>
      </c>
      <c r="J1416" s="286" t="s">
        <v>1312</v>
      </c>
      <c r="K1416" s="286" t="s">
        <v>1828</v>
      </c>
      <c r="L1416" s="286" t="s">
        <v>672</v>
      </c>
      <c r="M1416" s="286">
        <v>1</v>
      </c>
      <c r="N1416" s="287">
        <v>1691.45</v>
      </c>
      <c r="O1416" s="294">
        <f t="shared" si="22"/>
        <v>45351</v>
      </c>
      <c r="P1416" s="286" t="s">
        <v>58</v>
      </c>
    </row>
    <row r="1417" spans="1:16" hidden="1" x14ac:dyDescent="0.15">
      <c r="A1417" s="286">
        <v>504817</v>
      </c>
      <c r="B1417" s="288">
        <v>45359.645138888889</v>
      </c>
      <c r="C1417" s="286" t="s">
        <v>2109</v>
      </c>
      <c r="D1417" s="286" t="s">
        <v>1105</v>
      </c>
      <c r="E1417" s="286" t="s">
        <v>1106</v>
      </c>
      <c r="F1417" s="286" t="s">
        <v>2154</v>
      </c>
      <c r="G1417" s="286" t="s">
        <v>1012</v>
      </c>
      <c r="H1417" s="286" t="s">
        <v>1012</v>
      </c>
      <c r="I1417" s="286" t="s">
        <v>1199</v>
      </c>
      <c r="J1417" s="286" t="s">
        <v>1312</v>
      </c>
      <c r="K1417" s="286" t="s">
        <v>1760</v>
      </c>
      <c r="L1417" s="286" t="s">
        <v>672</v>
      </c>
      <c r="M1417" s="286">
        <v>1</v>
      </c>
      <c r="N1417" s="287">
        <v>1678.58</v>
      </c>
      <c r="O1417" s="294">
        <f t="shared" si="22"/>
        <v>45382</v>
      </c>
      <c r="P1417" s="286" t="s">
        <v>58</v>
      </c>
    </row>
    <row r="1418" spans="1:16" hidden="1" x14ac:dyDescent="0.15">
      <c r="A1418" s="286">
        <v>438112</v>
      </c>
      <c r="B1418" s="288">
        <v>45293.53402777778</v>
      </c>
      <c r="C1418" s="286" t="s">
        <v>2125</v>
      </c>
      <c r="D1418" s="286" t="s">
        <v>1105</v>
      </c>
      <c r="E1418" s="286" t="s">
        <v>1106</v>
      </c>
      <c r="F1418" s="286" t="s">
        <v>2152</v>
      </c>
      <c r="G1418" s="286" t="s">
        <v>1015</v>
      </c>
      <c r="H1418" s="286" t="s">
        <v>1015</v>
      </c>
      <c r="I1418" s="286" t="s">
        <v>1228</v>
      </c>
      <c r="J1418" s="286" t="s">
        <v>53</v>
      </c>
      <c r="K1418" s="286" t="s">
        <v>53</v>
      </c>
      <c r="L1418" s="286" t="s">
        <v>53</v>
      </c>
      <c r="M1418" s="286" t="s">
        <v>53</v>
      </c>
      <c r="N1418" s="287">
        <v>1667.24</v>
      </c>
      <c r="O1418" s="294">
        <f t="shared" si="22"/>
        <v>45322</v>
      </c>
      <c r="P1418" s="286" t="s">
        <v>58</v>
      </c>
    </row>
    <row r="1419" spans="1:16" hidden="1" x14ac:dyDescent="0.15">
      <c r="A1419" s="286">
        <v>472168</v>
      </c>
      <c r="B1419" s="288">
        <v>45331.416666666664</v>
      </c>
      <c r="C1419" s="286" t="s">
        <v>2113</v>
      </c>
      <c r="D1419" s="286" t="s">
        <v>1105</v>
      </c>
      <c r="E1419" s="286" t="s">
        <v>1106</v>
      </c>
      <c r="F1419" s="286" t="s">
        <v>2153</v>
      </c>
      <c r="G1419" s="286" t="s">
        <v>1015</v>
      </c>
      <c r="H1419" s="286" t="s">
        <v>1015</v>
      </c>
      <c r="I1419" s="286" t="s">
        <v>1228</v>
      </c>
      <c r="J1419" s="286" t="s">
        <v>53</v>
      </c>
      <c r="K1419" s="286" t="s">
        <v>53</v>
      </c>
      <c r="L1419" s="286" t="s">
        <v>53</v>
      </c>
      <c r="M1419" s="286" t="s">
        <v>53</v>
      </c>
      <c r="N1419" s="287">
        <v>1667.24</v>
      </c>
      <c r="O1419" s="294">
        <f t="shared" si="22"/>
        <v>45351</v>
      </c>
      <c r="P1419" s="286" t="s">
        <v>58</v>
      </c>
    </row>
    <row r="1420" spans="1:16" hidden="1" x14ac:dyDescent="0.15">
      <c r="A1420" s="286">
        <v>504817</v>
      </c>
      <c r="B1420" s="288">
        <v>45359.645138888889</v>
      </c>
      <c r="C1420" s="286" t="s">
        <v>2109</v>
      </c>
      <c r="D1420" s="286" t="s">
        <v>1105</v>
      </c>
      <c r="E1420" s="286" t="s">
        <v>1106</v>
      </c>
      <c r="F1420" s="286" t="s">
        <v>2154</v>
      </c>
      <c r="G1420" s="286" t="s">
        <v>1015</v>
      </c>
      <c r="H1420" s="286" t="s">
        <v>1015</v>
      </c>
      <c r="I1420" s="286" t="s">
        <v>1228</v>
      </c>
      <c r="J1420" s="286" t="s">
        <v>53</v>
      </c>
      <c r="K1420" s="286" t="s">
        <v>53</v>
      </c>
      <c r="L1420" s="286" t="s">
        <v>53</v>
      </c>
      <c r="M1420" s="286" t="s">
        <v>53</v>
      </c>
      <c r="N1420" s="287">
        <v>1667.24</v>
      </c>
      <c r="O1420" s="294">
        <f t="shared" si="22"/>
        <v>45382</v>
      </c>
      <c r="P1420" s="286" t="s">
        <v>58</v>
      </c>
    </row>
    <row r="1421" spans="1:16" hidden="1" x14ac:dyDescent="0.15">
      <c r="A1421" s="286">
        <v>534207</v>
      </c>
      <c r="B1421" s="288">
        <v>45385.750694444447</v>
      </c>
      <c r="C1421" s="286" t="s">
        <v>2096</v>
      </c>
      <c r="D1421" s="286" t="s">
        <v>1105</v>
      </c>
      <c r="E1421" s="286" t="s">
        <v>1106</v>
      </c>
      <c r="F1421" s="286" t="s">
        <v>2155</v>
      </c>
      <c r="G1421" s="286" t="s">
        <v>1015</v>
      </c>
      <c r="H1421" s="286" t="s">
        <v>1015</v>
      </c>
      <c r="I1421" s="286" t="s">
        <v>1228</v>
      </c>
      <c r="J1421" s="286" t="s">
        <v>53</v>
      </c>
      <c r="K1421" s="286" t="s">
        <v>53</v>
      </c>
      <c r="L1421" s="286" t="s">
        <v>53</v>
      </c>
      <c r="M1421" s="286" t="s">
        <v>53</v>
      </c>
      <c r="N1421" s="287">
        <v>1667.24</v>
      </c>
      <c r="O1421" s="294">
        <f t="shared" si="22"/>
        <v>45412</v>
      </c>
      <c r="P1421" s="286" t="s">
        <v>58</v>
      </c>
    </row>
    <row r="1422" spans="1:16" hidden="1" x14ac:dyDescent="0.15">
      <c r="A1422" s="286">
        <v>614216</v>
      </c>
      <c r="B1422" s="288">
        <v>45455.716666666667</v>
      </c>
      <c r="C1422" s="286" t="s">
        <v>2116</v>
      </c>
      <c r="D1422" s="286" t="s">
        <v>1105</v>
      </c>
      <c r="E1422" s="286" t="s">
        <v>1106</v>
      </c>
      <c r="F1422" s="286" t="s">
        <v>2156</v>
      </c>
      <c r="G1422" s="286" t="s">
        <v>1015</v>
      </c>
      <c r="H1422" s="286" t="s">
        <v>1015</v>
      </c>
      <c r="I1422" s="286" t="s">
        <v>1228</v>
      </c>
      <c r="J1422" s="286" t="s">
        <v>53</v>
      </c>
      <c r="K1422" s="286" t="s">
        <v>53</v>
      </c>
      <c r="L1422" s="286" t="s">
        <v>53</v>
      </c>
      <c r="M1422" s="286" t="s">
        <v>53</v>
      </c>
      <c r="N1422" s="287">
        <v>1667.24</v>
      </c>
      <c r="O1422" s="294">
        <f t="shared" si="22"/>
        <v>45473</v>
      </c>
      <c r="P1422" s="286" t="s">
        <v>58</v>
      </c>
    </row>
    <row r="1423" spans="1:16" hidden="1" x14ac:dyDescent="0.15">
      <c r="A1423" s="286">
        <v>608480</v>
      </c>
      <c r="B1423" s="288">
        <v>45450.422222222223</v>
      </c>
      <c r="C1423" s="286" t="s">
        <v>2092</v>
      </c>
      <c r="D1423" s="286" t="s">
        <v>1105</v>
      </c>
      <c r="E1423" s="286" t="s">
        <v>1106</v>
      </c>
      <c r="F1423" s="286" t="s">
        <v>2157</v>
      </c>
      <c r="G1423" s="286" t="s">
        <v>1015</v>
      </c>
      <c r="H1423" s="286" t="s">
        <v>1015</v>
      </c>
      <c r="I1423" s="286" t="s">
        <v>1228</v>
      </c>
      <c r="J1423" s="286" t="s">
        <v>53</v>
      </c>
      <c r="K1423" s="286" t="s">
        <v>53</v>
      </c>
      <c r="L1423" s="286" t="s">
        <v>53</v>
      </c>
      <c r="M1423" s="286" t="s">
        <v>53</v>
      </c>
      <c r="N1423" s="287">
        <v>1667.24</v>
      </c>
      <c r="O1423" s="294">
        <f t="shared" si="22"/>
        <v>45473</v>
      </c>
      <c r="P1423" s="286" t="s">
        <v>58</v>
      </c>
    </row>
    <row r="1424" spans="1:16" hidden="1" x14ac:dyDescent="0.15">
      <c r="A1424" s="286">
        <v>646075</v>
      </c>
      <c r="B1424" s="288">
        <v>45474.519444444442</v>
      </c>
      <c r="C1424" s="286" t="s">
        <v>2111</v>
      </c>
      <c r="D1424" s="286" t="s">
        <v>1105</v>
      </c>
      <c r="E1424" s="286" t="s">
        <v>1106</v>
      </c>
      <c r="F1424" s="286" t="s">
        <v>2137</v>
      </c>
      <c r="G1424" s="286" t="s">
        <v>1015</v>
      </c>
      <c r="H1424" s="286" t="s">
        <v>1015</v>
      </c>
      <c r="I1424" s="286" t="s">
        <v>1228</v>
      </c>
      <c r="J1424" s="286" t="s">
        <v>53</v>
      </c>
      <c r="K1424" s="286" t="s">
        <v>53</v>
      </c>
      <c r="L1424" s="286" t="s">
        <v>53</v>
      </c>
      <c r="M1424" s="286" t="s">
        <v>53</v>
      </c>
      <c r="N1424" s="287">
        <v>1667.24</v>
      </c>
      <c r="O1424" s="294">
        <f t="shared" si="22"/>
        <v>45504</v>
      </c>
      <c r="P1424" s="286" t="s">
        <v>58</v>
      </c>
    </row>
    <row r="1425" spans="1:16" hidden="1" x14ac:dyDescent="0.15">
      <c r="A1425" s="286">
        <v>697810</v>
      </c>
      <c r="B1425" s="288">
        <v>45510.366666666669</v>
      </c>
      <c r="C1425" s="286" t="s">
        <v>2102</v>
      </c>
      <c r="D1425" s="286" t="s">
        <v>1105</v>
      </c>
      <c r="E1425" s="286" t="s">
        <v>1106</v>
      </c>
      <c r="F1425" s="286" t="s">
        <v>2138</v>
      </c>
      <c r="G1425" s="286" t="s">
        <v>1015</v>
      </c>
      <c r="H1425" s="286" t="s">
        <v>1015</v>
      </c>
      <c r="I1425" s="286" t="s">
        <v>1228</v>
      </c>
      <c r="J1425" s="286" t="s">
        <v>53</v>
      </c>
      <c r="K1425" s="286" t="s">
        <v>53</v>
      </c>
      <c r="L1425" s="286" t="s">
        <v>53</v>
      </c>
      <c r="M1425" s="286" t="s">
        <v>53</v>
      </c>
      <c r="N1425" s="287">
        <v>1667.24</v>
      </c>
      <c r="O1425" s="294">
        <f t="shared" si="22"/>
        <v>45535</v>
      </c>
      <c r="P1425" s="286" t="s">
        <v>58</v>
      </c>
    </row>
    <row r="1426" spans="1:16" hidden="1" x14ac:dyDescent="0.15">
      <c r="A1426" s="286">
        <v>745911</v>
      </c>
      <c r="B1426" s="288">
        <v>45538.44027777778</v>
      </c>
      <c r="C1426" s="286" t="s">
        <v>2132</v>
      </c>
      <c r="D1426" s="286" t="s">
        <v>1105</v>
      </c>
      <c r="E1426" s="286" t="s">
        <v>1106</v>
      </c>
      <c r="F1426" s="286" t="s">
        <v>2139</v>
      </c>
      <c r="G1426" s="286" t="s">
        <v>1015</v>
      </c>
      <c r="H1426" s="286" t="s">
        <v>1015</v>
      </c>
      <c r="I1426" s="286" t="s">
        <v>1228</v>
      </c>
      <c r="J1426" s="286" t="s">
        <v>53</v>
      </c>
      <c r="K1426" s="286" t="s">
        <v>53</v>
      </c>
      <c r="L1426" s="286" t="s">
        <v>53</v>
      </c>
      <c r="M1426" s="286" t="s">
        <v>53</v>
      </c>
      <c r="N1426" s="287">
        <v>1667.24</v>
      </c>
      <c r="O1426" s="294">
        <f t="shared" si="22"/>
        <v>45565</v>
      </c>
      <c r="P1426" s="286" t="s">
        <v>58</v>
      </c>
    </row>
    <row r="1427" spans="1:16" hidden="1" x14ac:dyDescent="0.15">
      <c r="A1427" s="286">
        <v>848817</v>
      </c>
      <c r="B1427" s="288">
        <v>45607.65902777778</v>
      </c>
      <c r="C1427" s="286" t="s">
        <v>2130</v>
      </c>
      <c r="D1427" s="286" t="s">
        <v>1105</v>
      </c>
      <c r="E1427" s="286" t="s">
        <v>1106</v>
      </c>
      <c r="F1427" s="286" t="s">
        <v>2140</v>
      </c>
      <c r="G1427" s="286" t="s">
        <v>1015</v>
      </c>
      <c r="H1427" s="286" t="s">
        <v>1015</v>
      </c>
      <c r="I1427" s="286" t="s">
        <v>1228</v>
      </c>
      <c r="J1427" s="286" t="s">
        <v>53</v>
      </c>
      <c r="K1427" s="286" t="s">
        <v>53</v>
      </c>
      <c r="L1427" s="286" t="s">
        <v>53</v>
      </c>
      <c r="M1427" s="286" t="s">
        <v>53</v>
      </c>
      <c r="N1427" s="287">
        <v>1667.23</v>
      </c>
      <c r="O1427" s="294">
        <f t="shared" si="22"/>
        <v>45626</v>
      </c>
      <c r="P1427" s="286" t="s">
        <v>58</v>
      </c>
    </row>
    <row r="1428" spans="1:16" hidden="1" x14ac:dyDescent="0.15">
      <c r="A1428" s="286">
        <v>876471</v>
      </c>
      <c r="B1428" s="288">
        <v>45628.614583333336</v>
      </c>
      <c r="C1428" s="286" t="s">
        <v>2098</v>
      </c>
      <c r="D1428" s="286" t="s">
        <v>1105</v>
      </c>
      <c r="E1428" s="286" t="s">
        <v>1106</v>
      </c>
      <c r="F1428" s="286" t="s">
        <v>2355</v>
      </c>
      <c r="G1428" s="286" t="s">
        <v>1011</v>
      </c>
      <c r="H1428" s="286" t="s">
        <v>1011</v>
      </c>
      <c r="I1428" s="286" t="s">
        <v>1129</v>
      </c>
      <c r="J1428" s="286" t="s">
        <v>1312</v>
      </c>
      <c r="K1428" s="286" t="s">
        <v>380</v>
      </c>
      <c r="L1428" s="286" t="s">
        <v>1579</v>
      </c>
      <c r="M1428" s="286">
        <v>1</v>
      </c>
      <c r="N1428" s="287">
        <v>1659.66</v>
      </c>
      <c r="O1428" s="294">
        <f t="shared" si="22"/>
        <v>45657</v>
      </c>
      <c r="P1428" s="286" t="s">
        <v>164</v>
      </c>
    </row>
    <row r="1429" spans="1:16" hidden="1" x14ac:dyDescent="0.15">
      <c r="A1429" s="286">
        <v>778470</v>
      </c>
      <c r="B1429" s="288">
        <v>45555.450694444444</v>
      </c>
      <c r="C1429" s="286" t="s">
        <v>2132</v>
      </c>
      <c r="D1429" s="286" t="s">
        <v>1105</v>
      </c>
      <c r="E1429" s="286" t="s">
        <v>1106</v>
      </c>
      <c r="F1429" s="286" t="s">
        <v>2346</v>
      </c>
      <c r="G1429" s="286" t="s">
        <v>1011</v>
      </c>
      <c r="H1429" s="286" t="s">
        <v>1011</v>
      </c>
      <c r="I1429" s="286" t="s">
        <v>1129</v>
      </c>
      <c r="J1429" s="286" t="s">
        <v>1312</v>
      </c>
      <c r="K1429" s="286" t="s">
        <v>380</v>
      </c>
      <c r="L1429" s="286" t="s">
        <v>1579</v>
      </c>
      <c r="M1429" s="286">
        <v>1</v>
      </c>
      <c r="N1429" s="287">
        <v>1653.74</v>
      </c>
      <c r="O1429" s="294">
        <f t="shared" si="22"/>
        <v>45565</v>
      </c>
      <c r="P1429" s="286" t="s">
        <v>164</v>
      </c>
    </row>
    <row r="1430" spans="1:16" hidden="1" x14ac:dyDescent="0.15">
      <c r="A1430" s="286">
        <v>706328</v>
      </c>
      <c r="B1430" s="288">
        <v>45513.59375</v>
      </c>
      <c r="C1430" s="286" t="s">
        <v>2102</v>
      </c>
      <c r="D1430" s="286" t="s">
        <v>1105</v>
      </c>
      <c r="E1430" s="286" t="s">
        <v>1106</v>
      </c>
      <c r="F1430" s="286" t="s">
        <v>2356</v>
      </c>
      <c r="G1430" s="286" t="s">
        <v>1002</v>
      </c>
      <c r="H1430" s="286" t="s">
        <v>1002</v>
      </c>
      <c r="I1430" s="286" t="s">
        <v>1129</v>
      </c>
      <c r="J1430" s="286" t="s">
        <v>1312</v>
      </c>
      <c r="K1430" s="286" t="s">
        <v>380</v>
      </c>
      <c r="L1430" s="286" t="s">
        <v>1579</v>
      </c>
      <c r="M1430" s="286">
        <v>1</v>
      </c>
      <c r="N1430" s="287">
        <v>1634.97</v>
      </c>
      <c r="O1430" s="294">
        <f t="shared" si="22"/>
        <v>45535</v>
      </c>
      <c r="P1430" s="286" t="s">
        <v>164</v>
      </c>
    </row>
    <row r="1431" spans="1:16" hidden="1" x14ac:dyDescent="0.15">
      <c r="A1431" s="286">
        <v>495594</v>
      </c>
      <c r="B1431" s="288">
        <v>45351.45</v>
      </c>
      <c r="C1431" s="286" t="s">
        <v>2113</v>
      </c>
      <c r="D1431" s="286" t="s">
        <v>1105</v>
      </c>
      <c r="E1431" s="286" t="s">
        <v>1106</v>
      </c>
      <c r="F1431" s="286" t="s">
        <v>2353</v>
      </c>
      <c r="G1431" s="286" t="s">
        <v>1089</v>
      </c>
      <c r="H1431" s="286" t="s">
        <v>1089</v>
      </c>
      <c r="I1431" s="286" t="s">
        <v>1199</v>
      </c>
      <c r="J1431" s="286" t="s">
        <v>53</v>
      </c>
      <c r="K1431" s="286" t="s">
        <v>53</v>
      </c>
      <c r="L1431" s="286" t="s">
        <v>53</v>
      </c>
      <c r="M1431" s="286" t="s">
        <v>53</v>
      </c>
      <c r="N1431" s="287">
        <v>1622.21</v>
      </c>
      <c r="O1431" s="294">
        <f t="shared" si="22"/>
        <v>45351</v>
      </c>
      <c r="P1431" s="286" t="s">
        <v>58</v>
      </c>
    </row>
    <row r="1432" spans="1:16" hidden="1" x14ac:dyDescent="0.15">
      <c r="A1432" s="286">
        <v>438112</v>
      </c>
      <c r="B1432" s="288">
        <v>45293.53402777778</v>
      </c>
      <c r="C1432" s="286" t="s">
        <v>2125</v>
      </c>
      <c r="D1432" s="286" t="s">
        <v>1105</v>
      </c>
      <c r="E1432" s="286" t="s">
        <v>1106</v>
      </c>
      <c r="F1432" s="286" t="s">
        <v>2152</v>
      </c>
      <c r="G1432" s="286" t="s">
        <v>1030</v>
      </c>
      <c r="H1432" s="286" t="s">
        <v>1030</v>
      </c>
      <c r="I1432" s="286" t="s">
        <v>1228</v>
      </c>
      <c r="J1432" s="286" t="s">
        <v>1312</v>
      </c>
      <c r="K1432" s="286" t="s">
        <v>2294</v>
      </c>
      <c r="L1432" s="286" t="s">
        <v>672</v>
      </c>
      <c r="M1432" s="286">
        <v>1</v>
      </c>
      <c r="N1432" s="287">
        <v>1615.38</v>
      </c>
      <c r="O1432" s="294">
        <f t="shared" si="22"/>
        <v>45322</v>
      </c>
      <c r="P1432" s="286" t="s">
        <v>58</v>
      </c>
    </row>
    <row r="1433" spans="1:16" hidden="1" x14ac:dyDescent="0.15">
      <c r="A1433" s="286">
        <v>495600</v>
      </c>
      <c r="B1433" s="288">
        <v>45351.454861111109</v>
      </c>
      <c r="C1433" s="286" t="s">
        <v>2125</v>
      </c>
      <c r="D1433" s="286" t="s">
        <v>1105</v>
      </c>
      <c r="E1433" s="286" t="s">
        <v>1106</v>
      </c>
      <c r="F1433" s="286" t="s">
        <v>2357</v>
      </c>
      <c r="G1433" s="286" t="s">
        <v>1030</v>
      </c>
      <c r="H1433" s="286" t="s">
        <v>1030</v>
      </c>
      <c r="I1433" s="286" t="s">
        <v>1199</v>
      </c>
      <c r="J1433" s="286" t="s">
        <v>53</v>
      </c>
      <c r="K1433" s="286" t="s">
        <v>53</v>
      </c>
      <c r="L1433" s="286" t="s">
        <v>53</v>
      </c>
      <c r="M1433" s="286" t="s">
        <v>53</v>
      </c>
      <c r="N1433" s="287">
        <v>1615.38</v>
      </c>
      <c r="O1433" s="294">
        <f t="shared" si="22"/>
        <v>45351</v>
      </c>
      <c r="P1433" s="286" t="s">
        <v>58</v>
      </c>
    </row>
    <row r="1434" spans="1:16" hidden="1" x14ac:dyDescent="0.15">
      <c r="A1434" s="286">
        <v>764381</v>
      </c>
      <c r="B1434" s="288">
        <v>45546.6875</v>
      </c>
      <c r="C1434" s="286" t="s">
        <v>2132</v>
      </c>
      <c r="D1434" s="286" t="s">
        <v>1105</v>
      </c>
      <c r="E1434" s="286" t="s">
        <v>1106</v>
      </c>
      <c r="F1434" s="286" t="s">
        <v>2321</v>
      </c>
      <c r="G1434" s="286" t="s">
        <v>1050</v>
      </c>
      <c r="H1434" s="286" t="s">
        <v>1050</v>
      </c>
      <c r="I1434" s="286" t="s">
        <v>1129</v>
      </c>
      <c r="J1434" s="286" t="s">
        <v>1312</v>
      </c>
      <c r="K1434" s="286" t="s">
        <v>1478</v>
      </c>
      <c r="L1434" s="286" t="s">
        <v>1479</v>
      </c>
      <c r="M1434" s="286">
        <v>1</v>
      </c>
      <c r="N1434" s="287">
        <v>1609.51</v>
      </c>
      <c r="O1434" s="294">
        <f t="shared" si="22"/>
        <v>45565</v>
      </c>
      <c r="P1434" s="286" t="s">
        <v>164</v>
      </c>
    </row>
    <row r="1435" spans="1:16" hidden="1" x14ac:dyDescent="0.15">
      <c r="A1435" s="286">
        <v>534207</v>
      </c>
      <c r="B1435" s="288">
        <v>45385.750694444447</v>
      </c>
      <c r="C1435" s="286" t="s">
        <v>2096</v>
      </c>
      <c r="D1435" s="286" t="s">
        <v>1105</v>
      </c>
      <c r="E1435" s="286" t="s">
        <v>1106</v>
      </c>
      <c r="F1435" s="286" t="s">
        <v>2155</v>
      </c>
      <c r="G1435" s="286" t="s">
        <v>1025</v>
      </c>
      <c r="H1435" s="286" t="s">
        <v>1025</v>
      </c>
      <c r="I1435" s="286" t="s">
        <v>1199</v>
      </c>
      <c r="J1435" s="286" t="s">
        <v>1312</v>
      </c>
      <c r="K1435" s="286" t="s">
        <v>1806</v>
      </c>
      <c r="L1435" s="286" t="s">
        <v>672</v>
      </c>
      <c r="M1435" s="286">
        <v>2</v>
      </c>
      <c r="N1435" s="287">
        <v>1601.1</v>
      </c>
      <c r="O1435" s="294">
        <f t="shared" si="22"/>
        <v>45412</v>
      </c>
      <c r="P1435" s="286" t="s">
        <v>58</v>
      </c>
    </row>
    <row r="1436" spans="1:16" hidden="1" x14ac:dyDescent="0.15">
      <c r="A1436" s="286">
        <v>874698</v>
      </c>
      <c r="B1436" s="288">
        <v>45628.357638888891</v>
      </c>
      <c r="C1436" s="286" t="s">
        <v>2098</v>
      </c>
      <c r="D1436" s="286" t="s">
        <v>1105</v>
      </c>
      <c r="E1436" s="286" t="s">
        <v>1106</v>
      </c>
      <c r="F1436" s="286" t="s">
        <v>2142</v>
      </c>
      <c r="G1436" s="286" t="s">
        <v>1036</v>
      </c>
      <c r="H1436" s="286" t="s">
        <v>1036</v>
      </c>
      <c r="I1436" s="286" t="s">
        <v>1199</v>
      </c>
      <c r="J1436" s="286" t="s">
        <v>1312</v>
      </c>
      <c r="K1436" s="286" t="s">
        <v>2358</v>
      </c>
      <c r="L1436" s="286" t="s">
        <v>672</v>
      </c>
      <c r="M1436" s="286">
        <v>1</v>
      </c>
      <c r="N1436" s="287">
        <v>1570.72</v>
      </c>
      <c r="O1436" s="294">
        <f t="shared" si="22"/>
        <v>45657</v>
      </c>
      <c r="P1436" s="286" t="s">
        <v>58</v>
      </c>
    </row>
    <row r="1437" spans="1:16" hidden="1" x14ac:dyDescent="0.15">
      <c r="A1437" s="286">
        <v>764381</v>
      </c>
      <c r="B1437" s="288">
        <v>45546.6875</v>
      </c>
      <c r="C1437" s="286" t="s">
        <v>2132</v>
      </c>
      <c r="D1437" s="286" t="s">
        <v>1105</v>
      </c>
      <c r="E1437" s="286" t="s">
        <v>1106</v>
      </c>
      <c r="F1437" s="286" t="s">
        <v>2321</v>
      </c>
      <c r="G1437" s="286" t="s">
        <v>1041</v>
      </c>
      <c r="H1437" s="286" t="s">
        <v>1041</v>
      </c>
      <c r="I1437" s="286" t="s">
        <v>1129</v>
      </c>
      <c r="J1437" s="286" t="s">
        <v>1312</v>
      </c>
      <c r="K1437" s="286" t="s">
        <v>2359</v>
      </c>
      <c r="L1437" s="286" t="s">
        <v>2360</v>
      </c>
      <c r="M1437" s="286">
        <v>1</v>
      </c>
      <c r="N1437" s="287">
        <v>1530.28</v>
      </c>
      <c r="O1437" s="294">
        <f t="shared" si="22"/>
        <v>45565</v>
      </c>
      <c r="P1437" s="286" t="s">
        <v>164</v>
      </c>
    </row>
    <row r="1438" spans="1:16" x14ac:dyDescent="0.15">
      <c r="A1438" s="286">
        <v>464905</v>
      </c>
      <c r="B1438" s="288">
        <v>45323.521527777775</v>
      </c>
      <c r="C1438" s="286" t="s">
        <v>2125</v>
      </c>
      <c r="D1438" s="286" t="s">
        <v>1105</v>
      </c>
      <c r="E1438" s="286" t="s">
        <v>1106</v>
      </c>
      <c r="F1438" s="286" t="s">
        <v>2212</v>
      </c>
      <c r="G1438" s="286" t="s">
        <v>1066</v>
      </c>
      <c r="H1438" s="286" t="s">
        <v>1066</v>
      </c>
      <c r="I1438" s="286" t="s">
        <v>1112</v>
      </c>
      <c r="J1438" s="286" t="s">
        <v>1312</v>
      </c>
      <c r="K1438" s="286" t="s">
        <v>1773</v>
      </c>
      <c r="L1438" s="286" t="s">
        <v>1774</v>
      </c>
      <c r="M1438" s="286">
        <v>1</v>
      </c>
      <c r="N1438" s="287">
        <v>1500</v>
      </c>
      <c r="O1438" s="294">
        <f t="shared" si="22"/>
        <v>45351</v>
      </c>
      <c r="P1438" s="286" t="s">
        <v>175</v>
      </c>
    </row>
    <row r="1439" spans="1:16" x14ac:dyDescent="0.15">
      <c r="A1439" s="286">
        <v>831756</v>
      </c>
      <c r="B1439" s="288">
        <v>45595.362500000003</v>
      </c>
      <c r="C1439" s="286" t="s">
        <v>2130</v>
      </c>
      <c r="D1439" s="286" t="s">
        <v>1105</v>
      </c>
      <c r="E1439" s="286" t="s">
        <v>1106</v>
      </c>
      <c r="F1439" s="286" t="s">
        <v>2361</v>
      </c>
      <c r="G1439" s="286" t="s">
        <v>1066</v>
      </c>
      <c r="H1439" s="286" t="s">
        <v>1066</v>
      </c>
      <c r="I1439" s="286" t="s">
        <v>1112</v>
      </c>
      <c r="J1439" s="286" t="s">
        <v>1312</v>
      </c>
      <c r="K1439" s="286" t="s">
        <v>1773</v>
      </c>
      <c r="L1439" s="286" t="s">
        <v>1774</v>
      </c>
      <c r="M1439" s="286">
        <v>1</v>
      </c>
      <c r="N1439" s="287">
        <v>1500</v>
      </c>
      <c r="O1439" s="294">
        <f t="shared" si="22"/>
        <v>45596</v>
      </c>
      <c r="P1439" s="286" t="s">
        <v>175</v>
      </c>
    </row>
    <row r="1440" spans="1:16" hidden="1" x14ac:dyDescent="0.15">
      <c r="A1440" s="286">
        <v>848917</v>
      </c>
      <c r="B1440" s="288">
        <v>45607.660416666666</v>
      </c>
      <c r="C1440" s="286" t="s">
        <v>2100</v>
      </c>
      <c r="D1440" s="286" t="s">
        <v>1105</v>
      </c>
      <c r="E1440" s="286" t="s">
        <v>1106</v>
      </c>
      <c r="F1440" s="286" t="s">
        <v>2141</v>
      </c>
      <c r="G1440" s="286" t="s">
        <v>1068</v>
      </c>
      <c r="H1440" s="286" t="s">
        <v>1068</v>
      </c>
      <c r="I1440" s="286" t="s">
        <v>1199</v>
      </c>
      <c r="J1440" s="286" t="s">
        <v>53</v>
      </c>
      <c r="K1440" s="286" t="s">
        <v>53</v>
      </c>
      <c r="L1440" s="286" t="s">
        <v>53</v>
      </c>
      <c r="M1440" s="286" t="s">
        <v>53</v>
      </c>
      <c r="N1440" s="287">
        <v>1464.51</v>
      </c>
      <c r="O1440" s="294">
        <f t="shared" si="22"/>
        <v>45626</v>
      </c>
      <c r="P1440" s="286" t="s">
        <v>58</v>
      </c>
    </row>
    <row r="1441" spans="1:16" hidden="1" x14ac:dyDescent="0.15">
      <c r="A1441" s="286">
        <v>825672</v>
      </c>
      <c r="B1441" s="288">
        <v>45589.395138888889</v>
      </c>
      <c r="C1441" s="286" t="s">
        <v>2130</v>
      </c>
      <c r="D1441" s="286" t="s">
        <v>1105</v>
      </c>
      <c r="E1441" s="286" t="s">
        <v>1106</v>
      </c>
      <c r="F1441" s="286" t="s">
        <v>2311</v>
      </c>
      <c r="G1441" s="286" t="s">
        <v>1017</v>
      </c>
      <c r="H1441" s="286" t="s">
        <v>1017</v>
      </c>
      <c r="I1441" s="286" t="s">
        <v>1152</v>
      </c>
      <c r="J1441" s="286" t="s">
        <v>1312</v>
      </c>
      <c r="K1441" s="286" t="s">
        <v>53</v>
      </c>
      <c r="L1441" s="286" t="s">
        <v>53</v>
      </c>
      <c r="M1441" s="286" t="s">
        <v>53</v>
      </c>
      <c r="N1441" s="287">
        <v>1456</v>
      </c>
      <c r="O1441" s="294">
        <f t="shared" si="22"/>
        <v>45596</v>
      </c>
      <c r="P1441" s="286" t="s">
        <v>58</v>
      </c>
    </row>
    <row r="1442" spans="1:16" hidden="1" x14ac:dyDescent="0.15">
      <c r="A1442" s="286">
        <v>509954</v>
      </c>
      <c r="B1442" s="288">
        <v>45364.375694444447</v>
      </c>
      <c r="C1442" s="286" t="s">
        <v>2113</v>
      </c>
      <c r="D1442" s="286" t="s">
        <v>1105</v>
      </c>
      <c r="E1442" s="286" t="s">
        <v>1106</v>
      </c>
      <c r="F1442" s="286" t="s">
        <v>2172</v>
      </c>
      <c r="G1442" s="286" t="s">
        <v>1053</v>
      </c>
      <c r="H1442" s="286" t="s">
        <v>1053</v>
      </c>
      <c r="I1442" s="286" t="s">
        <v>1301</v>
      </c>
      <c r="J1442" s="286" t="s">
        <v>1312</v>
      </c>
      <c r="K1442" s="286" t="s">
        <v>56</v>
      </c>
      <c r="L1442" s="286" t="s">
        <v>71</v>
      </c>
      <c r="M1442" s="286">
        <v>1</v>
      </c>
      <c r="N1442" s="287">
        <v>1433</v>
      </c>
      <c r="O1442" s="294">
        <f t="shared" si="22"/>
        <v>45382</v>
      </c>
      <c r="P1442" s="286" t="s">
        <v>55</v>
      </c>
    </row>
    <row r="1443" spans="1:16" hidden="1" x14ac:dyDescent="0.15">
      <c r="A1443" s="286">
        <v>590580</v>
      </c>
      <c r="B1443" s="288">
        <v>45435.646527777775</v>
      </c>
      <c r="C1443" s="286" t="s">
        <v>2116</v>
      </c>
      <c r="D1443" s="286" t="s">
        <v>1105</v>
      </c>
      <c r="E1443" s="286" t="s">
        <v>1106</v>
      </c>
      <c r="F1443" s="286" t="s">
        <v>2135</v>
      </c>
      <c r="G1443" s="286" t="s">
        <v>1059</v>
      </c>
      <c r="H1443" s="286" t="s">
        <v>1059</v>
      </c>
      <c r="I1443" s="286" t="s">
        <v>1108</v>
      </c>
      <c r="J1443" s="286" t="s">
        <v>1312</v>
      </c>
      <c r="K1443" s="286" t="s">
        <v>2362</v>
      </c>
      <c r="L1443" s="286" t="s">
        <v>816</v>
      </c>
      <c r="M1443" s="286">
        <v>1</v>
      </c>
      <c r="N1443" s="287">
        <v>1429</v>
      </c>
      <c r="O1443" s="294">
        <f t="shared" si="22"/>
        <v>45443</v>
      </c>
      <c r="P1443" s="286" t="s">
        <v>37</v>
      </c>
    </row>
    <row r="1444" spans="1:16" hidden="1" x14ac:dyDescent="0.15">
      <c r="A1444" s="286">
        <v>893109</v>
      </c>
      <c r="B1444" s="288">
        <v>45639.332638888889</v>
      </c>
      <c r="C1444" s="286" t="s">
        <v>2098</v>
      </c>
      <c r="D1444" s="286" t="s">
        <v>1105</v>
      </c>
      <c r="E1444" s="286" t="s">
        <v>1106</v>
      </c>
      <c r="F1444" s="286" t="s">
        <v>2363</v>
      </c>
      <c r="G1444" s="286" t="s">
        <v>1028</v>
      </c>
      <c r="H1444" s="286" t="s">
        <v>1028</v>
      </c>
      <c r="I1444" s="286" t="s">
        <v>1129</v>
      </c>
      <c r="J1444" s="286" t="s">
        <v>1312</v>
      </c>
      <c r="K1444" s="286" t="s">
        <v>380</v>
      </c>
      <c r="L1444" s="286" t="s">
        <v>1579</v>
      </c>
      <c r="M1444" s="286">
        <v>1</v>
      </c>
      <c r="N1444" s="287">
        <v>1428.23</v>
      </c>
      <c r="O1444" s="294">
        <f t="shared" si="22"/>
        <v>45657</v>
      </c>
      <c r="P1444" s="286" t="s">
        <v>164</v>
      </c>
    </row>
    <row r="1445" spans="1:16" hidden="1" x14ac:dyDescent="0.15">
      <c r="A1445" s="286">
        <v>714130</v>
      </c>
      <c r="B1445" s="288">
        <v>45518.59097222222</v>
      </c>
      <c r="C1445" s="286" t="s">
        <v>2102</v>
      </c>
      <c r="D1445" s="286" t="s">
        <v>1105</v>
      </c>
      <c r="E1445" s="286" t="s">
        <v>1106</v>
      </c>
      <c r="F1445" s="286" t="s">
        <v>2286</v>
      </c>
      <c r="G1445" s="286" t="s">
        <v>1035</v>
      </c>
      <c r="H1445" s="286" t="s">
        <v>1035</v>
      </c>
      <c r="I1445" s="286" t="s">
        <v>1129</v>
      </c>
      <c r="J1445" s="286" t="s">
        <v>1312</v>
      </c>
      <c r="K1445" s="286" t="s">
        <v>378</v>
      </c>
      <c r="L1445" s="286" t="s">
        <v>1377</v>
      </c>
      <c r="M1445" s="286">
        <v>1</v>
      </c>
      <c r="N1445" s="287">
        <v>1428.11</v>
      </c>
      <c r="O1445" s="294">
        <f t="shared" si="22"/>
        <v>45535</v>
      </c>
      <c r="P1445" s="286" t="s">
        <v>164</v>
      </c>
    </row>
    <row r="1446" spans="1:16" hidden="1" x14ac:dyDescent="0.15">
      <c r="A1446" s="286">
        <v>575592</v>
      </c>
      <c r="B1446" s="288">
        <v>45425.339583333334</v>
      </c>
      <c r="C1446" s="286" t="s">
        <v>2116</v>
      </c>
      <c r="D1446" s="286" t="s">
        <v>1105</v>
      </c>
      <c r="E1446" s="286" t="s">
        <v>1106</v>
      </c>
      <c r="F1446" s="286" t="s">
        <v>2249</v>
      </c>
      <c r="G1446" s="286" t="s">
        <v>1059</v>
      </c>
      <c r="H1446" s="286" t="s">
        <v>1059</v>
      </c>
      <c r="I1446" s="286" t="s">
        <v>1129</v>
      </c>
      <c r="J1446" s="286" t="s">
        <v>1312</v>
      </c>
      <c r="K1446" s="286" t="s">
        <v>378</v>
      </c>
      <c r="L1446" s="286" t="s">
        <v>1377</v>
      </c>
      <c r="M1446" s="286">
        <v>1</v>
      </c>
      <c r="N1446" s="287">
        <v>1424</v>
      </c>
      <c r="O1446" s="294">
        <f t="shared" si="22"/>
        <v>45443</v>
      </c>
      <c r="P1446" s="286" t="s">
        <v>164</v>
      </c>
    </row>
    <row r="1447" spans="1:16" hidden="1" x14ac:dyDescent="0.15">
      <c r="A1447" s="286">
        <v>706328</v>
      </c>
      <c r="B1447" s="288">
        <v>45513.59375</v>
      </c>
      <c r="C1447" s="286" t="s">
        <v>2102</v>
      </c>
      <c r="D1447" s="286" t="s">
        <v>1105</v>
      </c>
      <c r="E1447" s="286" t="s">
        <v>1106</v>
      </c>
      <c r="F1447" s="286" t="s">
        <v>2356</v>
      </c>
      <c r="G1447" s="286" t="s">
        <v>1002</v>
      </c>
      <c r="H1447" s="286" t="s">
        <v>1002</v>
      </c>
      <c r="I1447" s="286" t="s">
        <v>1129</v>
      </c>
      <c r="J1447" s="286" t="s">
        <v>1312</v>
      </c>
      <c r="K1447" s="286" t="s">
        <v>378</v>
      </c>
      <c r="L1447" s="286" t="s">
        <v>1377</v>
      </c>
      <c r="M1447" s="286">
        <v>1</v>
      </c>
      <c r="N1447" s="287">
        <v>1423.83</v>
      </c>
      <c r="O1447" s="294">
        <f t="shared" si="22"/>
        <v>45535</v>
      </c>
      <c r="P1447" s="286" t="s">
        <v>164</v>
      </c>
    </row>
    <row r="1448" spans="1:16" hidden="1" x14ac:dyDescent="0.15">
      <c r="A1448" s="286">
        <v>900015</v>
      </c>
      <c r="B1448" s="288">
        <v>45645.397222222222</v>
      </c>
      <c r="C1448" s="286" t="s">
        <v>2098</v>
      </c>
      <c r="D1448" s="286" t="s">
        <v>1105</v>
      </c>
      <c r="E1448" s="286" t="s">
        <v>1106</v>
      </c>
      <c r="F1448" s="286" t="s">
        <v>2364</v>
      </c>
      <c r="G1448" s="286" t="s">
        <v>1067</v>
      </c>
      <c r="H1448" s="286" t="s">
        <v>1067</v>
      </c>
      <c r="I1448" s="286" t="s">
        <v>1129</v>
      </c>
      <c r="J1448" s="286" t="s">
        <v>1312</v>
      </c>
      <c r="K1448" s="286" t="s">
        <v>2011</v>
      </c>
      <c r="L1448" s="286" t="s">
        <v>2012</v>
      </c>
      <c r="M1448" s="286">
        <v>1</v>
      </c>
      <c r="N1448" s="287">
        <v>1396.36</v>
      </c>
      <c r="O1448" s="294">
        <f t="shared" si="22"/>
        <v>45657</v>
      </c>
      <c r="P1448" s="286" t="s">
        <v>164</v>
      </c>
    </row>
    <row r="1449" spans="1:16" hidden="1" x14ac:dyDescent="0.15">
      <c r="A1449" s="286">
        <v>534207</v>
      </c>
      <c r="B1449" s="288">
        <v>45385.750694444447</v>
      </c>
      <c r="C1449" s="286" t="s">
        <v>2096</v>
      </c>
      <c r="D1449" s="286" t="s">
        <v>1105</v>
      </c>
      <c r="E1449" s="286" t="s">
        <v>1106</v>
      </c>
      <c r="F1449" s="286" t="s">
        <v>2155</v>
      </c>
      <c r="G1449" s="286" t="s">
        <v>1025</v>
      </c>
      <c r="H1449" s="286" t="s">
        <v>1025</v>
      </c>
      <c r="I1449" s="286" t="s">
        <v>1199</v>
      </c>
      <c r="J1449" s="286" t="s">
        <v>53</v>
      </c>
      <c r="K1449" s="286" t="s">
        <v>53</v>
      </c>
      <c r="L1449" s="286" t="s">
        <v>53</v>
      </c>
      <c r="M1449" s="286" t="s">
        <v>53</v>
      </c>
      <c r="N1449" s="287">
        <v>1377.39</v>
      </c>
      <c r="O1449" s="294">
        <f t="shared" si="22"/>
        <v>45412</v>
      </c>
      <c r="P1449" s="286" t="s">
        <v>58</v>
      </c>
    </row>
    <row r="1450" spans="1:16" hidden="1" x14ac:dyDescent="0.15">
      <c r="A1450" s="286">
        <v>848716</v>
      </c>
      <c r="B1450" s="288">
        <v>45607.647916666669</v>
      </c>
      <c r="C1450" s="286" t="s">
        <v>2130</v>
      </c>
      <c r="D1450" s="286" t="s">
        <v>1105</v>
      </c>
      <c r="E1450" s="286" t="s">
        <v>1106</v>
      </c>
      <c r="F1450" s="286" t="s">
        <v>2241</v>
      </c>
      <c r="G1450" s="286" t="s">
        <v>1024</v>
      </c>
      <c r="H1450" s="286" t="s">
        <v>1024</v>
      </c>
      <c r="I1450" s="286" t="s">
        <v>1199</v>
      </c>
      <c r="J1450" s="286" t="s">
        <v>1312</v>
      </c>
      <c r="K1450" s="286" t="s">
        <v>53</v>
      </c>
      <c r="L1450" s="286" t="s">
        <v>53</v>
      </c>
      <c r="M1450" s="286" t="s">
        <v>53</v>
      </c>
      <c r="N1450" s="287">
        <v>1360.37</v>
      </c>
      <c r="O1450" s="294">
        <f t="shared" si="22"/>
        <v>45626</v>
      </c>
      <c r="P1450" s="286" t="s">
        <v>58</v>
      </c>
    </row>
    <row r="1451" spans="1:16" hidden="1" x14ac:dyDescent="0.15">
      <c r="A1451" s="286">
        <v>874698</v>
      </c>
      <c r="B1451" s="288">
        <v>45628.357638888891</v>
      </c>
      <c r="C1451" s="286" t="s">
        <v>2098</v>
      </c>
      <c r="D1451" s="286" t="s">
        <v>1105</v>
      </c>
      <c r="E1451" s="286" t="s">
        <v>1106</v>
      </c>
      <c r="F1451" s="286" t="s">
        <v>2142</v>
      </c>
      <c r="G1451" s="286" t="s">
        <v>1052</v>
      </c>
      <c r="H1451" s="286" t="s">
        <v>1052</v>
      </c>
      <c r="I1451" s="286" t="s">
        <v>1228</v>
      </c>
      <c r="J1451" s="286" t="s">
        <v>1312</v>
      </c>
      <c r="K1451" s="286" t="s">
        <v>1808</v>
      </c>
      <c r="L1451" s="286" t="s">
        <v>53</v>
      </c>
      <c r="M1451" s="286">
        <v>1</v>
      </c>
      <c r="N1451" s="287">
        <v>1307.7</v>
      </c>
      <c r="O1451" s="294">
        <f t="shared" si="22"/>
        <v>45657</v>
      </c>
      <c r="P1451" s="286" t="s">
        <v>58</v>
      </c>
    </row>
    <row r="1452" spans="1:16" hidden="1" x14ac:dyDescent="0.15">
      <c r="A1452" s="286">
        <v>646075</v>
      </c>
      <c r="B1452" s="288">
        <v>45474.519444444442</v>
      </c>
      <c r="C1452" s="286" t="s">
        <v>2111</v>
      </c>
      <c r="D1452" s="286" t="s">
        <v>1105</v>
      </c>
      <c r="E1452" s="286" t="s">
        <v>1106</v>
      </c>
      <c r="F1452" s="286" t="s">
        <v>2137</v>
      </c>
      <c r="G1452" s="286" t="s">
        <v>1039</v>
      </c>
      <c r="H1452" s="286" t="s">
        <v>1039</v>
      </c>
      <c r="I1452" s="286" t="s">
        <v>1228</v>
      </c>
      <c r="J1452" s="286" t="s">
        <v>1312</v>
      </c>
      <c r="K1452" s="286" t="s">
        <v>53</v>
      </c>
      <c r="L1452" s="286" t="s">
        <v>53</v>
      </c>
      <c r="M1452" s="286" t="s">
        <v>53</v>
      </c>
      <c r="N1452" s="287">
        <v>1281.93</v>
      </c>
      <c r="O1452" s="294">
        <f t="shared" si="22"/>
        <v>45504</v>
      </c>
      <c r="P1452" s="286" t="s">
        <v>58</v>
      </c>
    </row>
    <row r="1453" spans="1:16" hidden="1" x14ac:dyDescent="0.15">
      <c r="A1453" s="286">
        <v>697810</v>
      </c>
      <c r="B1453" s="288">
        <v>45510.366666666669</v>
      </c>
      <c r="C1453" s="286" t="s">
        <v>2102</v>
      </c>
      <c r="D1453" s="286" t="s">
        <v>1105</v>
      </c>
      <c r="E1453" s="286" t="s">
        <v>1106</v>
      </c>
      <c r="F1453" s="286" t="s">
        <v>2138</v>
      </c>
      <c r="G1453" s="286" t="s">
        <v>1039</v>
      </c>
      <c r="H1453" s="286" t="s">
        <v>1039</v>
      </c>
      <c r="I1453" s="286" t="s">
        <v>1228</v>
      </c>
      <c r="J1453" s="286" t="s">
        <v>1312</v>
      </c>
      <c r="K1453" s="286" t="s">
        <v>53</v>
      </c>
      <c r="L1453" s="286" t="s">
        <v>53</v>
      </c>
      <c r="M1453" s="286" t="s">
        <v>53</v>
      </c>
      <c r="N1453" s="287">
        <v>1281.93</v>
      </c>
      <c r="O1453" s="294">
        <f t="shared" si="22"/>
        <v>45535</v>
      </c>
      <c r="P1453" s="286" t="s">
        <v>58</v>
      </c>
    </row>
    <row r="1454" spans="1:16" hidden="1" x14ac:dyDescent="0.15">
      <c r="A1454" s="286">
        <v>745911</v>
      </c>
      <c r="B1454" s="288">
        <v>45538.44027777778</v>
      </c>
      <c r="C1454" s="286" t="s">
        <v>2132</v>
      </c>
      <c r="D1454" s="286" t="s">
        <v>1105</v>
      </c>
      <c r="E1454" s="286" t="s">
        <v>1106</v>
      </c>
      <c r="F1454" s="286" t="s">
        <v>2139</v>
      </c>
      <c r="G1454" s="286" t="s">
        <v>1039</v>
      </c>
      <c r="H1454" s="286" t="s">
        <v>1039</v>
      </c>
      <c r="I1454" s="286" t="s">
        <v>1228</v>
      </c>
      <c r="J1454" s="286" t="s">
        <v>1312</v>
      </c>
      <c r="K1454" s="286" t="s">
        <v>53</v>
      </c>
      <c r="L1454" s="286" t="s">
        <v>53</v>
      </c>
      <c r="M1454" s="286" t="s">
        <v>53</v>
      </c>
      <c r="N1454" s="287">
        <v>1281.93</v>
      </c>
      <c r="O1454" s="294">
        <f t="shared" si="22"/>
        <v>45565</v>
      </c>
      <c r="P1454" s="286" t="s">
        <v>58</v>
      </c>
    </row>
    <row r="1455" spans="1:16" hidden="1" x14ac:dyDescent="0.15">
      <c r="A1455" s="286">
        <v>848817</v>
      </c>
      <c r="B1455" s="288">
        <v>45607.65902777778</v>
      </c>
      <c r="C1455" s="286" t="s">
        <v>2130</v>
      </c>
      <c r="D1455" s="286" t="s">
        <v>1105</v>
      </c>
      <c r="E1455" s="286" t="s">
        <v>1106</v>
      </c>
      <c r="F1455" s="286" t="s">
        <v>2140</v>
      </c>
      <c r="G1455" s="286" t="s">
        <v>1039</v>
      </c>
      <c r="H1455" s="286" t="s">
        <v>1039</v>
      </c>
      <c r="I1455" s="286" t="s">
        <v>1228</v>
      </c>
      <c r="J1455" s="286" t="s">
        <v>1312</v>
      </c>
      <c r="K1455" s="286" t="s">
        <v>53</v>
      </c>
      <c r="L1455" s="286" t="s">
        <v>53</v>
      </c>
      <c r="M1455" s="286" t="s">
        <v>53</v>
      </c>
      <c r="N1455" s="287">
        <v>1281.93</v>
      </c>
      <c r="O1455" s="294">
        <f t="shared" si="22"/>
        <v>45626</v>
      </c>
      <c r="P1455" s="286" t="s">
        <v>58</v>
      </c>
    </row>
    <row r="1456" spans="1:16" hidden="1" x14ac:dyDescent="0.15">
      <c r="A1456" s="286">
        <v>848917</v>
      </c>
      <c r="B1456" s="288">
        <v>45607.660416666666</v>
      </c>
      <c r="C1456" s="286" t="s">
        <v>2100</v>
      </c>
      <c r="D1456" s="286" t="s">
        <v>1105</v>
      </c>
      <c r="E1456" s="286" t="s">
        <v>1106</v>
      </c>
      <c r="F1456" s="286" t="s">
        <v>2141</v>
      </c>
      <c r="G1456" s="286" t="s">
        <v>1039</v>
      </c>
      <c r="H1456" s="286" t="s">
        <v>1039</v>
      </c>
      <c r="I1456" s="286" t="s">
        <v>1228</v>
      </c>
      <c r="J1456" s="286" t="s">
        <v>1312</v>
      </c>
      <c r="K1456" s="286" t="s">
        <v>53</v>
      </c>
      <c r="L1456" s="286" t="s">
        <v>53</v>
      </c>
      <c r="M1456" s="286" t="s">
        <v>53</v>
      </c>
      <c r="N1456" s="287">
        <v>1281.93</v>
      </c>
      <c r="O1456" s="294">
        <f t="shared" si="22"/>
        <v>45626</v>
      </c>
      <c r="P1456" s="286" t="s">
        <v>58</v>
      </c>
    </row>
    <row r="1457" spans="1:16" hidden="1" x14ac:dyDescent="0.15">
      <c r="A1457" s="286">
        <v>874698</v>
      </c>
      <c r="B1457" s="288">
        <v>45628.357638888891</v>
      </c>
      <c r="C1457" s="286" t="s">
        <v>2098</v>
      </c>
      <c r="D1457" s="286" t="s">
        <v>1105</v>
      </c>
      <c r="E1457" s="286" t="s">
        <v>1106</v>
      </c>
      <c r="F1457" s="286" t="s">
        <v>2142</v>
      </c>
      <c r="G1457" s="286" t="s">
        <v>1039</v>
      </c>
      <c r="H1457" s="286" t="s">
        <v>1039</v>
      </c>
      <c r="I1457" s="286" t="s">
        <v>1228</v>
      </c>
      <c r="J1457" s="286" t="s">
        <v>1312</v>
      </c>
      <c r="K1457" s="286" t="s">
        <v>53</v>
      </c>
      <c r="L1457" s="286" t="s">
        <v>53</v>
      </c>
      <c r="M1457" s="286" t="s">
        <v>53</v>
      </c>
      <c r="N1457" s="287">
        <v>1281.93</v>
      </c>
      <c r="O1457" s="294">
        <f t="shared" si="22"/>
        <v>45657</v>
      </c>
      <c r="P1457" s="286" t="s">
        <v>58</v>
      </c>
    </row>
    <row r="1458" spans="1:16" hidden="1" x14ac:dyDescent="0.15">
      <c r="A1458" s="286">
        <v>646075</v>
      </c>
      <c r="B1458" s="288">
        <v>45474.519444444442</v>
      </c>
      <c r="C1458" s="286" t="s">
        <v>2111</v>
      </c>
      <c r="D1458" s="286" t="s">
        <v>1105</v>
      </c>
      <c r="E1458" s="286" t="s">
        <v>1106</v>
      </c>
      <c r="F1458" s="286" t="s">
        <v>2137</v>
      </c>
      <c r="G1458" s="286" t="s">
        <v>1840</v>
      </c>
      <c r="H1458" s="286" t="s">
        <v>1840</v>
      </c>
      <c r="I1458" s="286" t="s">
        <v>1228</v>
      </c>
      <c r="J1458" s="286" t="s">
        <v>1312</v>
      </c>
      <c r="K1458" s="286" t="s">
        <v>2314</v>
      </c>
      <c r="L1458" s="286" t="s">
        <v>672</v>
      </c>
      <c r="M1458" s="286">
        <v>1</v>
      </c>
      <c r="N1458" s="287">
        <v>1281.3399999999999</v>
      </c>
      <c r="O1458" s="294">
        <f t="shared" si="22"/>
        <v>45504</v>
      </c>
      <c r="P1458" s="286" t="s">
        <v>58</v>
      </c>
    </row>
    <row r="1459" spans="1:16" hidden="1" x14ac:dyDescent="0.15">
      <c r="A1459" s="286">
        <v>646075</v>
      </c>
      <c r="B1459" s="288">
        <v>45474.519444444442</v>
      </c>
      <c r="C1459" s="286" t="s">
        <v>2111</v>
      </c>
      <c r="D1459" s="286" t="s">
        <v>1105</v>
      </c>
      <c r="E1459" s="286" t="s">
        <v>1106</v>
      </c>
      <c r="F1459" s="286" t="s">
        <v>2137</v>
      </c>
      <c r="G1459" s="286" t="s">
        <v>1838</v>
      </c>
      <c r="H1459" s="286" t="s">
        <v>1838</v>
      </c>
      <c r="I1459" s="286" t="s">
        <v>1228</v>
      </c>
      <c r="J1459" s="286" t="s">
        <v>1312</v>
      </c>
      <c r="K1459" s="286" t="s">
        <v>2365</v>
      </c>
      <c r="L1459" s="286" t="s">
        <v>672</v>
      </c>
      <c r="M1459" s="286">
        <v>1</v>
      </c>
      <c r="N1459" s="287">
        <v>1281.3399999999999</v>
      </c>
      <c r="O1459" s="294">
        <f t="shared" si="22"/>
        <v>45504</v>
      </c>
      <c r="P1459" s="286" t="s">
        <v>58</v>
      </c>
    </row>
    <row r="1460" spans="1:16" hidden="1" x14ac:dyDescent="0.15">
      <c r="A1460" s="286">
        <v>697810</v>
      </c>
      <c r="B1460" s="288">
        <v>45510.366666666669</v>
      </c>
      <c r="C1460" s="286" t="s">
        <v>2102</v>
      </c>
      <c r="D1460" s="286" t="s">
        <v>1105</v>
      </c>
      <c r="E1460" s="286" t="s">
        <v>1106</v>
      </c>
      <c r="F1460" s="286" t="s">
        <v>2138</v>
      </c>
      <c r="G1460" s="286" t="s">
        <v>1840</v>
      </c>
      <c r="H1460" s="286" t="s">
        <v>1840</v>
      </c>
      <c r="I1460" s="286" t="s">
        <v>1228</v>
      </c>
      <c r="J1460" s="286" t="s">
        <v>1312</v>
      </c>
      <c r="K1460" s="286" t="s">
        <v>2314</v>
      </c>
      <c r="L1460" s="286" t="s">
        <v>672</v>
      </c>
      <c r="M1460" s="286">
        <v>1</v>
      </c>
      <c r="N1460" s="287">
        <v>1281.3399999999999</v>
      </c>
      <c r="O1460" s="294">
        <f t="shared" si="22"/>
        <v>45535</v>
      </c>
      <c r="P1460" s="286" t="s">
        <v>58</v>
      </c>
    </row>
    <row r="1461" spans="1:16" hidden="1" x14ac:dyDescent="0.15">
      <c r="A1461" s="286">
        <v>697810</v>
      </c>
      <c r="B1461" s="288">
        <v>45510.366666666669</v>
      </c>
      <c r="C1461" s="286" t="s">
        <v>2102</v>
      </c>
      <c r="D1461" s="286" t="s">
        <v>1105</v>
      </c>
      <c r="E1461" s="286" t="s">
        <v>1106</v>
      </c>
      <c r="F1461" s="286" t="s">
        <v>2138</v>
      </c>
      <c r="G1461" s="286" t="s">
        <v>1838</v>
      </c>
      <c r="H1461" s="286" t="s">
        <v>1838</v>
      </c>
      <c r="I1461" s="286" t="s">
        <v>1228</v>
      </c>
      <c r="J1461" s="286" t="s">
        <v>1312</v>
      </c>
      <c r="K1461" s="286" t="s">
        <v>2365</v>
      </c>
      <c r="L1461" s="286" t="s">
        <v>672</v>
      </c>
      <c r="M1461" s="286">
        <v>1</v>
      </c>
      <c r="N1461" s="287">
        <v>1281.3399999999999</v>
      </c>
      <c r="O1461" s="294">
        <f t="shared" si="22"/>
        <v>45535</v>
      </c>
      <c r="P1461" s="286" t="s">
        <v>58</v>
      </c>
    </row>
    <row r="1462" spans="1:16" hidden="1" x14ac:dyDescent="0.15">
      <c r="A1462" s="286">
        <v>745911</v>
      </c>
      <c r="B1462" s="288">
        <v>45538.44027777778</v>
      </c>
      <c r="C1462" s="286" t="s">
        <v>2132</v>
      </c>
      <c r="D1462" s="286" t="s">
        <v>1105</v>
      </c>
      <c r="E1462" s="286" t="s">
        <v>1106</v>
      </c>
      <c r="F1462" s="286" t="s">
        <v>2139</v>
      </c>
      <c r="G1462" s="286" t="s">
        <v>1840</v>
      </c>
      <c r="H1462" s="286" t="s">
        <v>1840</v>
      </c>
      <c r="I1462" s="286" t="s">
        <v>1228</v>
      </c>
      <c r="J1462" s="286" t="s">
        <v>1312</v>
      </c>
      <c r="K1462" s="286" t="s">
        <v>2314</v>
      </c>
      <c r="L1462" s="286" t="s">
        <v>672</v>
      </c>
      <c r="M1462" s="286">
        <v>1</v>
      </c>
      <c r="N1462" s="287">
        <v>1281.3399999999999</v>
      </c>
      <c r="O1462" s="294">
        <f t="shared" si="22"/>
        <v>45565</v>
      </c>
      <c r="P1462" s="286" t="s">
        <v>58</v>
      </c>
    </row>
    <row r="1463" spans="1:16" hidden="1" x14ac:dyDescent="0.15">
      <c r="A1463" s="286">
        <v>745911</v>
      </c>
      <c r="B1463" s="288">
        <v>45538.44027777778</v>
      </c>
      <c r="C1463" s="286" t="s">
        <v>2132</v>
      </c>
      <c r="D1463" s="286" t="s">
        <v>1105</v>
      </c>
      <c r="E1463" s="286" t="s">
        <v>1106</v>
      </c>
      <c r="F1463" s="286" t="s">
        <v>2139</v>
      </c>
      <c r="G1463" s="286" t="s">
        <v>1838</v>
      </c>
      <c r="H1463" s="286" t="s">
        <v>1838</v>
      </c>
      <c r="I1463" s="286" t="s">
        <v>1228</v>
      </c>
      <c r="J1463" s="286" t="s">
        <v>1312</v>
      </c>
      <c r="K1463" s="286" t="s">
        <v>2365</v>
      </c>
      <c r="L1463" s="286" t="s">
        <v>672</v>
      </c>
      <c r="M1463" s="286">
        <v>1</v>
      </c>
      <c r="N1463" s="287">
        <v>1281.3399999999999</v>
      </c>
      <c r="O1463" s="294">
        <f t="shared" si="22"/>
        <v>45565</v>
      </c>
      <c r="P1463" s="286" t="s">
        <v>58</v>
      </c>
    </row>
    <row r="1464" spans="1:16" hidden="1" x14ac:dyDescent="0.15">
      <c r="A1464" s="286">
        <v>848817</v>
      </c>
      <c r="B1464" s="288">
        <v>45607.65902777778</v>
      </c>
      <c r="C1464" s="286" t="s">
        <v>2130</v>
      </c>
      <c r="D1464" s="286" t="s">
        <v>1105</v>
      </c>
      <c r="E1464" s="286" t="s">
        <v>1106</v>
      </c>
      <c r="F1464" s="286" t="s">
        <v>2140</v>
      </c>
      <c r="G1464" s="286" t="s">
        <v>1840</v>
      </c>
      <c r="H1464" s="286" t="s">
        <v>1840</v>
      </c>
      <c r="I1464" s="286" t="s">
        <v>1228</v>
      </c>
      <c r="J1464" s="286" t="s">
        <v>1312</v>
      </c>
      <c r="K1464" s="286" t="s">
        <v>2314</v>
      </c>
      <c r="L1464" s="286" t="s">
        <v>672</v>
      </c>
      <c r="M1464" s="286">
        <v>1</v>
      </c>
      <c r="N1464" s="287">
        <v>1281.3399999999999</v>
      </c>
      <c r="O1464" s="294">
        <f t="shared" si="22"/>
        <v>45626</v>
      </c>
      <c r="P1464" s="286" t="s">
        <v>58</v>
      </c>
    </row>
    <row r="1465" spans="1:16" hidden="1" x14ac:dyDescent="0.15">
      <c r="A1465" s="286">
        <v>848817</v>
      </c>
      <c r="B1465" s="288">
        <v>45607.65902777778</v>
      </c>
      <c r="C1465" s="286" t="s">
        <v>2130</v>
      </c>
      <c r="D1465" s="286" t="s">
        <v>1105</v>
      </c>
      <c r="E1465" s="286" t="s">
        <v>1106</v>
      </c>
      <c r="F1465" s="286" t="s">
        <v>2140</v>
      </c>
      <c r="G1465" s="286" t="s">
        <v>1838</v>
      </c>
      <c r="H1465" s="286" t="s">
        <v>1838</v>
      </c>
      <c r="I1465" s="286" t="s">
        <v>1228</v>
      </c>
      <c r="J1465" s="286" t="s">
        <v>1312</v>
      </c>
      <c r="K1465" s="286" t="s">
        <v>2365</v>
      </c>
      <c r="L1465" s="286" t="s">
        <v>672</v>
      </c>
      <c r="M1465" s="286">
        <v>1</v>
      </c>
      <c r="N1465" s="287">
        <v>1281.3399999999999</v>
      </c>
      <c r="O1465" s="294">
        <f t="shared" si="22"/>
        <v>45626</v>
      </c>
      <c r="P1465" s="286" t="s">
        <v>58</v>
      </c>
    </row>
    <row r="1466" spans="1:16" hidden="1" x14ac:dyDescent="0.15">
      <c r="A1466" s="286">
        <v>848917</v>
      </c>
      <c r="B1466" s="288">
        <v>45607.660416666666</v>
      </c>
      <c r="C1466" s="286" t="s">
        <v>2100</v>
      </c>
      <c r="D1466" s="286" t="s">
        <v>1105</v>
      </c>
      <c r="E1466" s="286" t="s">
        <v>1106</v>
      </c>
      <c r="F1466" s="286" t="s">
        <v>2141</v>
      </c>
      <c r="G1466" s="286" t="s">
        <v>1840</v>
      </c>
      <c r="H1466" s="286" t="s">
        <v>1840</v>
      </c>
      <c r="I1466" s="286" t="s">
        <v>1228</v>
      </c>
      <c r="J1466" s="286" t="s">
        <v>1312</v>
      </c>
      <c r="K1466" s="286" t="s">
        <v>2314</v>
      </c>
      <c r="L1466" s="286" t="s">
        <v>672</v>
      </c>
      <c r="M1466" s="286">
        <v>1</v>
      </c>
      <c r="N1466" s="287">
        <v>1281.3399999999999</v>
      </c>
      <c r="O1466" s="294">
        <f t="shared" si="22"/>
        <v>45626</v>
      </c>
      <c r="P1466" s="286" t="s">
        <v>58</v>
      </c>
    </row>
    <row r="1467" spans="1:16" hidden="1" x14ac:dyDescent="0.15">
      <c r="A1467" s="286">
        <v>848917</v>
      </c>
      <c r="B1467" s="288">
        <v>45607.660416666666</v>
      </c>
      <c r="C1467" s="286" t="s">
        <v>2100</v>
      </c>
      <c r="D1467" s="286" t="s">
        <v>1105</v>
      </c>
      <c r="E1467" s="286" t="s">
        <v>1106</v>
      </c>
      <c r="F1467" s="286" t="s">
        <v>2141</v>
      </c>
      <c r="G1467" s="286" t="s">
        <v>1838</v>
      </c>
      <c r="H1467" s="286" t="s">
        <v>1838</v>
      </c>
      <c r="I1467" s="286" t="s">
        <v>1228</v>
      </c>
      <c r="J1467" s="286" t="s">
        <v>1312</v>
      </c>
      <c r="K1467" s="286" t="s">
        <v>2365</v>
      </c>
      <c r="L1467" s="286" t="s">
        <v>672</v>
      </c>
      <c r="M1467" s="286">
        <v>1</v>
      </c>
      <c r="N1467" s="287">
        <v>1281.3399999999999</v>
      </c>
      <c r="O1467" s="294">
        <f t="shared" si="22"/>
        <v>45626</v>
      </c>
      <c r="P1467" s="286" t="s">
        <v>58</v>
      </c>
    </row>
    <row r="1468" spans="1:16" hidden="1" x14ac:dyDescent="0.15">
      <c r="A1468" s="286">
        <v>874698</v>
      </c>
      <c r="B1468" s="288">
        <v>45628.357638888891</v>
      </c>
      <c r="C1468" s="286" t="s">
        <v>2098</v>
      </c>
      <c r="D1468" s="286" t="s">
        <v>1105</v>
      </c>
      <c r="E1468" s="286" t="s">
        <v>1106</v>
      </c>
      <c r="F1468" s="286" t="s">
        <v>2142</v>
      </c>
      <c r="G1468" s="286" t="s">
        <v>1840</v>
      </c>
      <c r="H1468" s="286" t="s">
        <v>1840</v>
      </c>
      <c r="I1468" s="286" t="s">
        <v>1228</v>
      </c>
      <c r="J1468" s="286" t="s">
        <v>1312</v>
      </c>
      <c r="K1468" s="286" t="s">
        <v>2314</v>
      </c>
      <c r="L1468" s="286" t="s">
        <v>672</v>
      </c>
      <c r="M1468" s="286">
        <v>1</v>
      </c>
      <c r="N1468" s="287">
        <v>1281.3399999999999</v>
      </c>
      <c r="O1468" s="294">
        <f t="shared" si="22"/>
        <v>45657</v>
      </c>
      <c r="P1468" s="286" t="s">
        <v>58</v>
      </c>
    </row>
    <row r="1469" spans="1:16" hidden="1" x14ac:dyDescent="0.15">
      <c r="A1469" s="286">
        <v>874698</v>
      </c>
      <c r="B1469" s="288">
        <v>45628.357638888891</v>
      </c>
      <c r="C1469" s="286" t="s">
        <v>2098</v>
      </c>
      <c r="D1469" s="286" t="s">
        <v>1105</v>
      </c>
      <c r="E1469" s="286" t="s">
        <v>1106</v>
      </c>
      <c r="F1469" s="286" t="s">
        <v>2142</v>
      </c>
      <c r="G1469" s="286" t="s">
        <v>1838</v>
      </c>
      <c r="H1469" s="286" t="s">
        <v>1838</v>
      </c>
      <c r="I1469" s="286" t="s">
        <v>1228</v>
      </c>
      <c r="J1469" s="286" t="s">
        <v>1312</v>
      </c>
      <c r="K1469" s="286" t="s">
        <v>2365</v>
      </c>
      <c r="L1469" s="286" t="s">
        <v>672</v>
      </c>
      <c r="M1469" s="286">
        <v>1</v>
      </c>
      <c r="N1469" s="287">
        <v>1281.3399999999999</v>
      </c>
      <c r="O1469" s="294">
        <f t="shared" si="22"/>
        <v>45657</v>
      </c>
      <c r="P1469" s="286" t="s">
        <v>58</v>
      </c>
    </row>
    <row r="1470" spans="1:16" hidden="1" x14ac:dyDescent="0.15">
      <c r="A1470" s="286">
        <v>438112</v>
      </c>
      <c r="B1470" s="288">
        <v>45293.53402777778</v>
      </c>
      <c r="C1470" s="286" t="s">
        <v>2125</v>
      </c>
      <c r="D1470" s="286" t="s">
        <v>1105</v>
      </c>
      <c r="E1470" s="286" t="s">
        <v>1106</v>
      </c>
      <c r="F1470" s="286" t="s">
        <v>2152</v>
      </c>
      <c r="G1470" s="286" t="s">
        <v>1062</v>
      </c>
      <c r="H1470" s="286" t="s">
        <v>1062</v>
      </c>
      <c r="I1470" s="286" t="s">
        <v>1228</v>
      </c>
      <c r="J1470" s="286" t="s">
        <v>1312</v>
      </c>
      <c r="K1470" s="286" t="s">
        <v>2365</v>
      </c>
      <c r="L1470" s="286" t="s">
        <v>672</v>
      </c>
      <c r="M1470" s="286">
        <v>1</v>
      </c>
      <c r="N1470" s="287">
        <v>1279.75</v>
      </c>
      <c r="O1470" s="294">
        <f t="shared" si="22"/>
        <v>45322</v>
      </c>
      <c r="P1470" s="286" t="s">
        <v>58</v>
      </c>
    </row>
    <row r="1471" spans="1:16" hidden="1" x14ac:dyDescent="0.15">
      <c r="A1471" s="286">
        <v>472168</v>
      </c>
      <c r="B1471" s="288">
        <v>45331.416666666664</v>
      </c>
      <c r="C1471" s="286" t="s">
        <v>2113</v>
      </c>
      <c r="D1471" s="286" t="s">
        <v>1105</v>
      </c>
      <c r="E1471" s="286" t="s">
        <v>1106</v>
      </c>
      <c r="F1471" s="286" t="s">
        <v>2153</v>
      </c>
      <c r="G1471" s="286" t="s">
        <v>1062</v>
      </c>
      <c r="H1471" s="286" t="s">
        <v>1062</v>
      </c>
      <c r="I1471" s="286" t="s">
        <v>1228</v>
      </c>
      <c r="J1471" s="286" t="s">
        <v>1312</v>
      </c>
      <c r="K1471" s="286" t="s">
        <v>2365</v>
      </c>
      <c r="L1471" s="286" t="s">
        <v>672</v>
      </c>
      <c r="M1471" s="286">
        <v>1</v>
      </c>
      <c r="N1471" s="287">
        <v>1279.75</v>
      </c>
      <c r="O1471" s="294">
        <f t="shared" si="22"/>
        <v>45351</v>
      </c>
      <c r="P1471" s="286" t="s">
        <v>58</v>
      </c>
    </row>
    <row r="1472" spans="1:16" hidden="1" x14ac:dyDescent="0.15">
      <c r="A1472" s="286">
        <v>504817</v>
      </c>
      <c r="B1472" s="288">
        <v>45359.645138888889</v>
      </c>
      <c r="C1472" s="286" t="s">
        <v>2109</v>
      </c>
      <c r="D1472" s="286" t="s">
        <v>1105</v>
      </c>
      <c r="E1472" s="286" t="s">
        <v>1106</v>
      </c>
      <c r="F1472" s="286" t="s">
        <v>2154</v>
      </c>
      <c r="G1472" s="286" t="s">
        <v>1062</v>
      </c>
      <c r="H1472" s="286" t="s">
        <v>1062</v>
      </c>
      <c r="I1472" s="286" t="s">
        <v>1228</v>
      </c>
      <c r="J1472" s="286" t="s">
        <v>1312</v>
      </c>
      <c r="K1472" s="286" t="s">
        <v>2365</v>
      </c>
      <c r="L1472" s="286" t="s">
        <v>672</v>
      </c>
      <c r="M1472" s="286">
        <v>1</v>
      </c>
      <c r="N1472" s="287">
        <v>1279.75</v>
      </c>
      <c r="O1472" s="294">
        <f t="shared" si="22"/>
        <v>45382</v>
      </c>
      <c r="P1472" s="286" t="s">
        <v>58</v>
      </c>
    </row>
    <row r="1473" spans="1:16" hidden="1" x14ac:dyDescent="0.15">
      <c r="A1473" s="286">
        <v>534207</v>
      </c>
      <c r="B1473" s="288">
        <v>45385.750694444447</v>
      </c>
      <c r="C1473" s="286" t="s">
        <v>2096</v>
      </c>
      <c r="D1473" s="286" t="s">
        <v>1105</v>
      </c>
      <c r="E1473" s="286" t="s">
        <v>1106</v>
      </c>
      <c r="F1473" s="286" t="s">
        <v>2155</v>
      </c>
      <c r="G1473" s="286" t="s">
        <v>1062</v>
      </c>
      <c r="H1473" s="286" t="s">
        <v>1062</v>
      </c>
      <c r="I1473" s="286" t="s">
        <v>1228</v>
      </c>
      <c r="J1473" s="286" t="s">
        <v>1312</v>
      </c>
      <c r="K1473" s="286" t="s">
        <v>2365</v>
      </c>
      <c r="L1473" s="286" t="s">
        <v>672</v>
      </c>
      <c r="M1473" s="286">
        <v>1</v>
      </c>
      <c r="N1473" s="287">
        <v>1279.75</v>
      </c>
      <c r="O1473" s="294">
        <f t="shared" si="22"/>
        <v>45412</v>
      </c>
      <c r="P1473" s="286" t="s">
        <v>58</v>
      </c>
    </row>
    <row r="1474" spans="1:16" hidden="1" x14ac:dyDescent="0.15">
      <c r="A1474" s="286">
        <v>614216</v>
      </c>
      <c r="B1474" s="288">
        <v>45455.716666666667</v>
      </c>
      <c r="C1474" s="286" t="s">
        <v>2116</v>
      </c>
      <c r="D1474" s="286" t="s">
        <v>1105</v>
      </c>
      <c r="E1474" s="286" t="s">
        <v>1106</v>
      </c>
      <c r="F1474" s="286" t="s">
        <v>2156</v>
      </c>
      <c r="G1474" s="286" t="s">
        <v>1062</v>
      </c>
      <c r="H1474" s="286" t="s">
        <v>1062</v>
      </c>
      <c r="I1474" s="286" t="s">
        <v>1228</v>
      </c>
      <c r="J1474" s="286" t="s">
        <v>1312</v>
      </c>
      <c r="K1474" s="286" t="s">
        <v>2365</v>
      </c>
      <c r="L1474" s="286" t="s">
        <v>672</v>
      </c>
      <c r="M1474" s="286">
        <v>1</v>
      </c>
      <c r="N1474" s="287">
        <v>1279.75</v>
      </c>
      <c r="O1474" s="294">
        <f t="shared" si="22"/>
        <v>45473</v>
      </c>
      <c r="P1474" s="286" t="s">
        <v>58</v>
      </c>
    </row>
    <row r="1475" spans="1:16" hidden="1" x14ac:dyDescent="0.15">
      <c r="A1475" s="286">
        <v>614316</v>
      </c>
      <c r="B1475" s="288">
        <v>45455.717361111114</v>
      </c>
      <c r="C1475" s="286" t="s">
        <v>2092</v>
      </c>
      <c r="D1475" s="286" t="s">
        <v>1105</v>
      </c>
      <c r="E1475" s="286" t="s">
        <v>1106</v>
      </c>
      <c r="F1475" s="286" t="s">
        <v>2167</v>
      </c>
      <c r="G1475" s="286" t="s">
        <v>1062</v>
      </c>
      <c r="H1475" s="286" t="s">
        <v>1062</v>
      </c>
      <c r="I1475" s="286" t="s">
        <v>1228</v>
      </c>
      <c r="J1475" s="286" t="s">
        <v>1312</v>
      </c>
      <c r="K1475" s="286" t="s">
        <v>2365</v>
      </c>
      <c r="L1475" s="286" t="s">
        <v>672</v>
      </c>
      <c r="M1475" s="286">
        <v>1</v>
      </c>
      <c r="N1475" s="287">
        <v>1279.75</v>
      </c>
      <c r="O1475" s="294">
        <f t="shared" si="22"/>
        <v>45473</v>
      </c>
      <c r="P1475" s="286" t="s">
        <v>58</v>
      </c>
    </row>
    <row r="1476" spans="1:16" hidden="1" x14ac:dyDescent="0.15">
      <c r="A1476" s="286">
        <v>646075</v>
      </c>
      <c r="B1476" s="288">
        <v>45474.519444444442</v>
      </c>
      <c r="C1476" s="286" t="s">
        <v>2111</v>
      </c>
      <c r="D1476" s="286" t="s">
        <v>1105</v>
      </c>
      <c r="E1476" s="286" t="s">
        <v>1106</v>
      </c>
      <c r="F1476" s="286" t="s">
        <v>2137</v>
      </c>
      <c r="G1476" s="286" t="s">
        <v>1062</v>
      </c>
      <c r="H1476" s="286" t="s">
        <v>1062</v>
      </c>
      <c r="I1476" s="286" t="s">
        <v>1228</v>
      </c>
      <c r="J1476" s="286" t="s">
        <v>1312</v>
      </c>
      <c r="K1476" s="286" t="s">
        <v>2365</v>
      </c>
      <c r="L1476" s="286" t="s">
        <v>672</v>
      </c>
      <c r="M1476" s="286">
        <v>1</v>
      </c>
      <c r="N1476" s="287">
        <v>1279.75</v>
      </c>
      <c r="O1476" s="294">
        <f t="shared" ref="O1476:O1539" si="23">EOMONTH(B1476,0)</f>
        <v>45504</v>
      </c>
      <c r="P1476" s="286" t="s">
        <v>58</v>
      </c>
    </row>
    <row r="1477" spans="1:16" hidden="1" x14ac:dyDescent="0.15">
      <c r="A1477" s="286">
        <v>697810</v>
      </c>
      <c r="B1477" s="288">
        <v>45510.366666666669</v>
      </c>
      <c r="C1477" s="286" t="s">
        <v>2102</v>
      </c>
      <c r="D1477" s="286" t="s">
        <v>1105</v>
      </c>
      <c r="E1477" s="286" t="s">
        <v>1106</v>
      </c>
      <c r="F1477" s="286" t="s">
        <v>2138</v>
      </c>
      <c r="G1477" s="286" t="s">
        <v>1062</v>
      </c>
      <c r="H1477" s="286" t="s">
        <v>1062</v>
      </c>
      <c r="I1477" s="286" t="s">
        <v>1228</v>
      </c>
      <c r="J1477" s="286" t="s">
        <v>1312</v>
      </c>
      <c r="K1477" s="286" t="s">
        <v>2365</v>
      </c>
      <c r="L1477" s="286" t="s">
        <v>672</v>
      </c>
      <c r="M1477" s="286">
        <v>1</v>
      </c>
      <c r="N1477" s="287">
        <v>1279.75</v>
      </c>
      <c r="O1477" s="294">
        <f t="shared" si="23"/>
        <v>45535</v>
      </c>
      <c r="P1477" s="286" t="s">
        <v>58</v>
      </c>
    </row>
    <row r="1478" spans="1:16" hidden="1" x14ac:dyDescent="0.15">
      <c r="A1478" s="286">
        <v>745911</v>
      </c>
      <c r="B1478" s="288">
        <v>45538.44027777778</v>
      </c>
      <c r="C1478" s="286" t="s">
        <v>2132</v>
      </c>
      <c r="D1478" s="286" t="s">
        <v>1105</v>
      </c>
      <c r="E1478" s="286" t="s">
        <v>1106</v>
      </c>
      <c r="F1478" s="286" t="s">
        <v>2139</v>
      </c>
      <c r="G1478" s="286" t="s">
        <v>1062</v>
      </c>
      <c r="H1478" s="286" t="s">
        <v>1062</v>
      </c>
      <c r="I1478" s="286" t="s">
        <v>1228</v>
      </c>
      <c r="J1478" s="286" t="s">
        <v>1312</v>
      </c>
      <c r="K1478" s="286" t="s">
        <v>2365</v>
      </c>
      <c r="L1478" s="286" t="s">
        <v>672</v>
      </c>
      <c r="M1478" s="286">
        <v>1</v>
      </c>
      <c r="N1478" s="287">
        <v>1279.75</v>
      </c>
      <c r="O1478" s="294">
        <f t="shared" si="23"/>
        <v>45565</v>
      </c>
      <c r="P1478" s="286" t="s">
        <v>58</v>
      </c>
    </row>
    <row r="1479" spans="1:16" hidden="1" x14ac:dyDescent="0.15">
      <c r="A1479" s="286">
        <v>848817</v>
      </c>
      <c r="B1479" s="288">
        <v>45607.65902777778</v>
      </c>
      <c r="C1479" s="286" t="s">
        <v>2130</v>
      </c>
      <c r="D1479" s="286" t="s">
        <v>1105</v>
      </c>
      <c r="E1479" s="286" t="s">
        <v>1106</v>
      </c>
      <c r="F1479" s="286" t="s">
        <v>2140</v>
      </c>
      <c r="G1479" s="286" t="s">
        <v>1062</v>
      </c>
      <c r="H1479" s="286" t="s">
        <v>1062</v>
      </c>
      <c r="I1479" s="286" t="s">
        <v>1228</v>
      </c>
      <c r="J1479" s="286" t="s">
        <v>1312</v>
      </c>
      <c r="K1479" s="286" t="s">
        <v>2365</v>
      </c>
      <c r="L1479" s="286" t="s">
        <v>672</v>
      </c>
      <c r="M1479" s="286">
        <v>1</v>
      </c>
      <c r="N1479" s="287">
        <v>1279.75</v>
      </c>
      <c r="O1479" s="294">
        <f t="shared" si="23"/>
        <v>45626</v>
      </c>
      <c r="P1479" s="286" t="s">
        <v>58</v>
      </c>
    </row>
    <row r="1480" spans="1:16" hidden="1" x14ac:dyDescent="0.15">
      <c r="A1480" s="286">
        <v>848917</v>
      </c>
      <c r="B1480" s="288">
        <v>45607.660416666666</v>
      </c>
      <c r="C1480" s="286" t="s">
        <v>2100</v>
      </c>
      <c r="D1480" s="286" t="s">
        <v>1105</v>
      </c>
      <c r="E1480" s="286" t="s">
        <v>1106</v>
      </c>
      <c r="F1480" s="286" t="s">
        <v>2141</v>
      </c>
      <c r="G1480" s="286" t="s">
        <v>1062</v>
      </c>
      <c r="H1480" s="286" t="s">
        <v>1062</v>
      </c>
      <c r="I1480" s="286" t="s">
        <v>1228</v>
      </c>
      <c r="J1480" s="286" t="s">
        <v>1312</v>
      </c>
      <c r="K1480" s="286" t="s">
        <v>2365</v>
      </c>
      <c r="L1480" s="286" t="s">
        <v>672</v>
      </c>
      <c r="M1480" s="286">
        <v>1</v>
      </c>
      <c r="N1480" s="287">
        <v>1279.75</v>
      </c>
      <c r="O1480" s="294">
        <f t="shared" si="23"/>
        <v>45626</v>
      </c>
      <c r="P1480" s="286" t="s">
        <v>58</v>
      </c>
    </row>
    <row r="1481" spans="1:16" hidden="1" x14ac:dyDescent="0.15">
      <c r="A1481" s="286">
        <v>874698</v>
      </c>
      <c r="B1481" s="288">
        <v>45628.357638888891</v>
      </c>
      <c r="C1481" s="286" t="s">
        <v>2098</v>
      </c>
      <c r="D1481" s="286" t="s">
        <v>1105</v>
      </c>
      <c r="E1481" s="286" t="s">
        <v>1106</v>
      </c>
      <c r="F1481" s="286" t="s">
        <v>2142</v>
      </c>
      <c r="G1481" s="286" t="s">
        <v>1062</v>
      </c>
      <c r="H1481" s="286" t="s">
        <v>1062</v>
      </c>
      <c r="I1481" s="286" t="s">
        <v>1228</v>
      </c>
      <c r="J1481" s="286" t="s">
        <v>1312</v>
      </c>
      <c r="K1481" s="286" t="s">
        <v>2365</v>
      </c>
      <c r="L1481" s="286" t="s">
        <v>672</v>
      </c>
      <c r="M1481" s="286">
        <v>1</v>
      </c>
      <c r="N1481" s="287">
        <v>1279.75</v>
      </c>
      <c r="O1481" s="294">
        <f t="shared" si="23"/>
        <v>45657</v>
      </c>
      <c r="P1481" s="286" t="s">
        <v>58</v>
      </c>
    </row>
    <row r="1482" spans="1:16" hidden="1" x14ac:dyDescent="0.15">
      <c r="A1482" s="286">
        <v>745911</v>
      </c>
      <c r="B1482" s="288">
        <v>45538.44027777778</v>
      </c>
      <c r="C1482" s="286" t="s">
        <v>2132</v>
      </c>
      <c r="D1482" s="286" t="s">
        <v>1105</v>
      </c>
      <c r="E1482" s="286" t="s">
        <v>1106</v>
      </c>
      <c r="F1482" s="286" t="s">
        <v>2139</v>
      </c>
      <c r="G1482" s="286" t="s">
        <v>1860</v>
      </c>
      <c r="H1482" s="286" t="s">
        <v>1860</v>
      </c>
      <c r="I1482" s="286" t="s">
        <v>1228</v>
      </c>
      <c r="J1482" s="286" t="s">
        <v>1312</v>
      </c>
      <c r="K1482" s="286" t="s">
        <v>2366</v>
      </c>
      <c r="L1482" s="286" t="s">
        <v>2367</v>
      </c>
      <c r="M1482" s="286">
        <v>1</v>
      </c>
      <c r="N1482" s="287">
        <v>1277.52</v>
      </c>
      <c r="O1482" s="294">
        <f t="shared" si="23"/>
        <v>45565</v>
      </c>
      <c r="P1482" s="286" t="s">
        <v>58</v>
      </c>
    </row>
    <row r="1483" spans="1:16" hidden="1" x14ac:dyDescent="0.15">
      <c r="A1483" s="286">
        <v>848817</v>
      </c>
      <c r="B1483" s="288">
        <v>45607.65902777778</v>
      </c>
      <c r="C1483" s="286" t="s">
        <v>2130</v>
      </c>
      <c r="D1483" s="286" t="s">
        <v>1105</v>
      </c>
      <c r="E1483" s="286" t="s">
        <v>1106</v>
      </c>
      <c r="F1483" s="286" t="s">
        <v>2140</v>
      </c>
      <c r="G1483" s="286" t="s">
        <v>1860</v>
      </c>
      <c r="H1483" s="286" t="s">
        <v>1860</v>
      </c>
      <c r="I1483" s="286" t="s">
        <v>1228</v>
      </c>
      <c r="J1483" s="286" t="s">
        <v>1312</v>
      </c>
      <c r="K1483" s="286" t="s">
        <v>2366</v>
      </c>
      <c r="L1483" s="286" t="s">
        <v>2367</v>
      </c>
      <c r="M1483" s="286">
        <v>1</v>
      </c>
      <c r="N1483" s="287">
        <v>1277.52</v>
      </c>
      <c r="O1483" s="294">
        <f t="shared" si="23"/>
        <v>45626</v>
      </c>
      <c r="P1483" s="286" t="s">
        <v>58</v>
      </c>
    </row>
    <row r="1484" spans="1:16" hidden="1" x14ac:dyDescent="0.15">
      <c r="A1484" s="286">
        <v>848917</v>
      </c>
      <c r="B1484" s="288">
        <v>45607.660416666666</v>
      </c>
      <c r="C1484" s="286" t="s">
        <v>2100</v>
      </c>
      <c r="D1484" s="286" t="s">
        <v>1105</v>
      </c>
      <c r="E1484" s="286" t="s">
        <v>1106</v>
      </c>
      <c r="F1484" s="286" t="s">
        <v>2141</v>
      </c>
      <c r="G1484" s="286" t="s">
        <v>1860</v>
      </c>
      <c r="H1484" s="286" t="s">
        <v>1860</v>
      </c>
      <c r="I1484" s="286" t="s">
        <v>1228</v>
      </c>
      <c r="J1484" s="286" t="s">
        <v>1312</v>
      </c>
      <c r="K1484" s="286" t="s">
        <v>2366</v>
      </c>
      <c r="L1484" s="286" t="s">
        <v>2367</v>
      </c>
      <c r="M1484" s="286">
        <v>1</v>
      </c>
      <c r="N1484" s="287">
        <v>1277.52</v>
      </c>
      <c r="O1484" s="294">
        <f t="shared" si="23"/>
        <v>45626</v>
      </c>
      <c r="P1484" s="286" t="s">
        <v>58</v>
      </c>
    </row>
    <row r="1485" spans="1:16" hidden="1" x14ac:dyDescent="0.15">
      <c r="A1485" s="286">
        <v>874698</v>
      </c>
      <c r="B1485" s="288">
        <v>45628.357638888891</v>
      </c>
      <c r="C1485" s="286" t="s">
        <v>2098</v>
      </c>
      <c r="D1485" s="286" t="s">
        <v>1105</v>
      </c>
      <c r="E1485" s="286" t="s">
        <v>1106</v>
      </c>
      <c r="F1485" s="286" t="s">
        <v>2142</v>
      </c>
      <c r="G1485" s="286" t="s">
        <v>1860</v>
      </c>
      <c r="H1485" s="286" t="s">
        <v>1860</v>
      </c>
      <c r="I1485" s="286" t="s">
        <v>1228</v>
      </c>
      <c r="J1485" s="286" t="s">
        <v>1312</v>
      </c>
      <c r="K1485" s="286" t="s">
        <v>2366</v>
      </c>
      <c r="L1485" s="286" t="s">
        <v>2367</v>
      </c>
      <c r="M1485" s="286">
        <v>1</v>
      </c>
      <c r="N1485" s="287">
        <v>1277.52</v>
      </c>
      <c r="O1485" s="294">
        <f t="shared" si="23"/>
        <v>45657</v>
      </c>
      <c r="P1485" s="286" t="s">
        <v>58</v>
      </c>
    </row>
    <row r="1486" spans="1:16" hidden="1" x14ac:dyDescent="0.15">
      <c r="A1486" s="286">
        <v>483613</v>
      </c>
      <c r="B1486" s="288">
        <v>45342.459027777775</v>
      </c>
      <c r="C1486" s="286" t="s">
        <v>2113</v>
      </c>
      <c r="D1486" s="286" t="s">
        <v>1105</v>
      </c>
      <c r="E1486" s="286" t="s">
        <v>1106</v>
      </c>
      <c r="F1486" s="286" t="s">
        <v>2263</v>
      </c>
      <c r="G1486" s="286" t="s">
        <v>1053</v>
      </c>
      <c r="H1486" s="286" t="s">
        <v>1053</v>
      </c>
      <c r="I1486" s="286" t="s">
        <v>1129</v>
      </c>
      <c r="J1486" s="286" t="s">
        <v>1312</v>
      </c>
      <c r="K1486" s="286" t="s">
        <v>752</v>
      </c>
      <c r="L1486" s="286" t="s">
        <v>753</v>
      </c>
      <c r="M1486" s="286">
        <v>1</v>
      </c>
      <c r="N1486" s="287">
        <v>1259</v>
      </c>
      <c r="O1486" s="294">
        <f t="shared" si="23"/>
        <v>45351</v>
      </c>
      <c r="P1486" s="286" t="s">
        <v>164</v>
      </c>
    </row>
    <row r="1487" spans="1:16" hidden="1" x14ac:dyDescent="0.15">
      <c r="A1487" s="286">
        <v>613911</v>
      </c>
      <c r="B1487" s="288">
        <v>45455.678472222222</v>
      </c>
      <c r="C1487" s="286" t="s">
        <v>2092</v>
      </c>
      <c r="D1487" s="286" t="s">
        <v>1105</v>
      </c>
      <c r="E1487" s="286" t="s">
        <v>1106</v>
      </c>
      <c r="F1487" s="286" t="s">
        <v>2368</v>
      </c>
      <c r="G1487" s="286" t="s">
        <v>1022</v>
      </c>
      <c r="H1487" s="286" t="s">
        <v>1022</v>
      </c>
      <c r="I1487" s="286" t="s">
        <v>1228</v>
      </c>
      <c r="J1487" s="286" t="s">
        <v>1312</v>
      </c>
      <c r="K1487" s="286" t="s">
        <v>2316</v>
      </c>
      <c r="L1487" s="286" t="s">
        <v>672</v>
      </c>
      <c r="M1487" s="286">
        <v>1</v>
      </c>
      <c r="N1487" s="287">
        <v>1234.1400000000001</v>
      </c>
      <c r="O1487" s="294">
        <f t="shared" si="23"/>
        <v>45473</v>
      </c>
      <c r="P1487" s="286" t="s">
        <v>58</v>
      </c>
    </row>
    <row r="1488" spans="1:16" hidden="1" x14ac:dyDescent="0.15">
      <c r="A1488" s="286">
        <v>614316</v>
      </c>
      <c r="B1488" s="288">
        <v>45455.717361111114</v>
      </c>
      <c r="C1488" s="286" t="s">
        <v>2092</v>
      </c>
      <c r="D1488" s="286" t="s">
        <v>1105</v>
      </c>
      <c r="E1488" s="286" t="s">
        <v>1106</v>
      </c>
      <c r="F1488" s="286" t="s">
        <v>2167</v>
      </c>
      <c r="G1488" s="286" t="s">
        <v>1022</v>
      </c>
      <c r="H1488" s="286" t="s">
        <v>1022</v>
      </c>
      <c r="I1488" s="286" t="s">
        <v>1228</v>
      </c>
      <c r="J1488" s="286" t="s">
        <v>1312</v>
      </c>
      <c r="K1488" s="286" t="s">
        <v>2316</v>
      </c>
      <c r="L1488" s="286" t="s">
        <v>672</v>
      </c>
      <c r="M1488" s="286">
        <v>1</v>
      </c>
      <c r="N1488" s="287">
        <v>1234.1400000000001</v>
      </c>
      <c r="O1488" s="294">
        <f t="shared" si="23"/>
        <v>45473</v>
      </c>
      <c r="P1488" s="286" t="s">
        <v>58</v>
      </c>
    </row>
    <row r="1489" spans="1:16" hidden="1" x14ac:dyDescent="0.15">
      <c r="A1489" s="286">
        <v>534207</v>
      </c>
      <c r="B1489" s="288">
        <v>45385.750694444447</v>
      </c>
      <c r="C1489" s="286" t="s">
        <v>2096</v>
      </c>
      <c r="D1489" s="286" t="s">
        <v>1105</v>
      </c>
      <c r="E1489" s="286" t="s">
        <v>1106</v>
      </c>
      <c r="F1489" s="286" t="s">
        <v>2155</v>
      </c>
      <c r="G1489" s="286" t="s">
        <v>1025</v>
      </c>
      <c r="H1489" s="286" t="s">
        <v>1025</v>
      </c>
      <c r="I1489" s="286" t="s">
        <v>1199</v>
      </c>
      <c r="J1489" s="286" t="s">
        <v>1312</v>
      </c>
      <c r="K1489" s="286" t="s">
        <v>1828</v>
      </c>
      <c r="L1489" s="286" t="s">
        <v>672</v>
      </c>
      <c r="M1489" s="286">
        <v>2</v>
      </c>
      <c r="N1489" s="287">
        <v>1227.07</v>
      </c>
      <c r="O1489" s="294">
        <f t="shared" si="23"/>
        <v>45412</v>
      </c>
      <c r="P1489" s="286" t="s">
        <v>58</v>
      </c>
    </row>
    <row r="1490" spans="1:16" hidden="1" x14ac:dyDescent="0.15">
      <c r="A1490" s="286">
        <v>776534</v>
      </c>
      <c r="B1490" s="288">
        <v>45554.480555555558</v>
      </c>
      <c r="C1490" s="286" t="s">
        <v>2132</v>
      </c>
      <c r="D1490" s="286" t="s">
        <v>1105</v>
      </c>
      <c r="E1490" s="286" t="s">
        <v>1106</v>
      </c>
      <c r="F1490" s="286" t="s">
        <v>2289</v>
      </c>
      <c r="G1490" s="286" t="s">
        <v>1076</v>
      </c>
      <c r="H1490" s="286" t="s">
        <v>1076</v>
      </c>
      <c r="I1490" s="286" t="s">
        <v>1129</v>
      </c>
      <c r="J1490" s="286" t="s">
        <v>1312</v>
      </c>
      <c r="K1490" s="286" t="s">
        <v>870</v>
      </c>
      <c r="L1490" s="286" t="s">
        <v>871</v>
      </c>
      <c r="M1490" s="286">
        <v>1</v>
      </c>
      <c r="N1490" s="287">
        <v>1227</v>
      </c>
      <c r="O1490" s="294">
        <f t="shared" si="23"/>
        <v>45565</v>
      </c>
      <c r="P1490" s="286" t="s">
        <v>164</v>
      </c>
    </row>
    <row r="1491" spans="1:16" hidden="1" x14ac:dyDescent="0.15">
      <c r="A1491" s="286">
        <v>472168</v>
      </c>
      <c r="B1491" s="288">
        <v>45331.416666666664</v>
      </c>
      <c r="C1491" s="286" t="s">
        <v>2113</v>
      </c>
      <c r="D1491" s="286" t="s">
        <v>1105</v>
      </c>
      <c r="E1491" s="286" t="s">
        <v>1106</v>
      </c>
      <c r="F1491" s="286" t="s">
        <v>2153</v>
      </c>
      <c r="G1491" s="286" t="s">
        <v>1045</v>
      </c>
      <c r="H1491" s="286" t="s">
        <v>1045</v>
      </c>
      <c r="I1491" s="286" t="s">
        <v>1199</v>
      </c>
      <c r="J1491" s="286" t="s">
        <v>53</v>
      </c>
      <c r="K1491" s="286" t="s">
        <v>53</v>
      </c>
      <c r="L1491" s="286" t="s">
        <v>53</v>
      </c>
      <c r="M1491" s="286" t="s">
        <v>53</v>
      </c>
      <c r="N1491" s="287">
        <v>1221.6600000000001</v>
      </c>
      <c r="O1491" s="294">
        <f t="shared" si="23"/>
        <v>45351</v>
      </c>
      <c r="P1491" s="286" t="s">
        <v>58</v>
      </c>
    </row>
    <row r="1492" spans="1:16" hidden="1" x14ac:dyDescent="0.15">
      <c r="A1492" s="286">
        <v>438112</v>
      </c>
      <c r="B1492" s="288">
        <v>45293.53402777778</v>
      </c>
      <c r="C1492" s="286" t="s">
        <v>2125</v>
      </c>
      <c r="D1492" s="286" t="s">
        <v>1105</v>
      </c>
      <c r="E1492" s="286" t="s">
        <v>1106</v>
      </c>
      <c r="F1492" s="286" t="s">
        <v>2152</v>
      </c>
      <c r="G1492" s="286" t="s">
        <v>1061</v>
      </c>
      <c r="H1492" s="286" t="s">
        <v>1061</v>
      </c>
      <c r="I1492" s="286" t="s">
        <v>1228</v>
      </c>
      <c r="J1492" s="286" t="s">
        <v>53</v>
      </c>
      <c r="K1492" s="286" t="s">
        <v>53</v>
      </c>
      <c r="L1492" s="286" t="s">
        <v>53</v>
      </c>
      <c r="M1492" s="286" t="s">
        <v>53</v>
      </c>
      <c r="N1492" s="287">
        <v>1220.1500000000001</v>
      </c>
      <c r="O1492" s="294">
        <f t="shared" si="23"/>
        <v>45322</v>
      </c>
      <c r="P1492" s="286" t="s">
        <v>58</v>
      </c>
    </row>
    <row r="1493" spans="1:16" hidden="1" x14ac:dyDescent="0.15">
      <c r="A1493" s="286">
        <v>438112</v>
      </c>
      <c r="B1493" s="288">
        <v>45293.53402777778</v>
      </c>
      <c r="C1493" s="286" t="s">
        <v>2125</v>
      </c>
      <c r="D1493" s="286" t="s">
        <v>1105</v>
      </c>
      <c r="E1493" s="286" t="s">
        <v>1106</v>
      </c>
      <c r="F1493" s="286" t="s">
        <v>2152</v>
      </c>
      <c r="G1493" s="286" t="s">
        <v>1039</v>
      </c>
      <c r="H1493" s="286" t="s">
        <v>1039</v>
      </c>
      <c r="I1493" s="286" t="s">
        <v>1228</v>
      </c>
      <c r="J1493" s="286" t="s">
        <v>53</v>
      </c>
      <c r="K1493" s="286" t="s">
        <v>53</v>
      </c>
      <c r="L1493" s="286" t="s">
        <v>53</v>
      </c>
      <c r="M1493" s="286" t="s">
        <v>53</v>
      </c>
      <c r="N1493" s="287">
        <v>1220.1500000000001</v>
      </c>
      <c r="O1493" s="294">
        <f t="shared" si="23"/>
        <v>45322</v>
      </c>
      <c r="P1493" s="286" t="s">
        <v>58</v>
      </c>
    </row>
    <row r="1494" spans="1:16" hidden="1" x14ac:dyDescent="0.15">
      <c r="A1494" s="286">
        <v>472168</v>
      </c>
      <c r="B1494" s="288">
        <v>45331.416666666664</v>
      </c>
      <c r="C1494" s="286" t="s">
        <v>2113</v>
      </c>
      <c r="D1494" s="286" t="s">
        <v>1105</v>
      </c>
      <c r="E1494" s="286" t="s">
        <v>1106</v>
      </c>
      <c r="F1494" s="286" t="s">
        <v>2153</v>
      </c>
      <c r="G1494" s="286" t="s">
        <v>1061</v>
      </c>
      <c r="H1494" s="286" t="s">
        <v>1061</v>
      </c>
      <c r="I1494" s="286" t="s">
        <v>1228</v>
      </c>
      <c r="J1494" s="286" t="s">
        <v>53</v>
      </c>
      <c r="K1494" s="286" t="s">
        <v>53</v>
      </c>
      <c r="L1494" s="286" t="s">
        <v>53</v>
      </c>
      <c r="M1494" s="286" t="s">
        <v>53</v>
      </c>
      <c r="N1494" s="287">
        <v>1220.1500000000001</v>
      </c>
      <c r="O1494" s="294">
        <f t="shared" si="23"/>
        <v>45351</v>
      </c>
      <c r="P1494" s="286" t="s">
        <v>58</v>
      </c>
    </row>
    <row r="1495" spans="1:16" hidden="1" x14ac:dyDescent="0.15">
      <c r="A1495" s="286">
        <v>472168</v>
      </c>
      <c r="B1495" s="288">
        <v>45331.416666666664</v>
      </c>
      <c r="C1495" s="286" t="s">
        <v>2113</v>
      </c>
      <c r="D1495" s="286" t="s">
        <v>1105</v>
      </c>
      <c r="E1495" s="286" t="s">
        <v>1106</v>
      </c>
      <c r="F1495" s="286" t="s">
        <v>2153</v>
      </c>
      <c r="G1495" s="286" t="s">
        <v>1039</v>
      </c>
      <c r="H1495" s="286" t="s">
        <v>1039</v>
      </c>
      <c r="I1495" s="286" t="s">
        <v>1228</v>
      </c>
      <c r="J1495" s="286" t="s">
        <v>53</v>
      </c>
      <c r="K1495" s="286" t="s">
        <v>53</v>
      </c>
      <c r="L1495" s="286" t="s">
        <v>53</v>
      </c>
      <c r="M1495" s="286" t="s">
        <v>53</v>
      </c>
      <c r="N1495" s="287">
        <v>1220.1500000000001</v>
      </c>
      <c r="O1495" s="294">
        <f t="shared" si="23"/>
        <v>45351</v>
      </c>
      <c r="P1495" s="286" t="s">
        <v>58</v>
      </c>
    </row>
    <row r="1496" spans="1:16" hidden="1" x14ac:dyDescent="0.15">
      <c r="A1496" s="286">
        <v>504817</v>
      </c>
      <c r="B1496" s="288">
        <v>45359.645138888889</v>
      </c>
      <c r="C1496" s="286" t="s">
        <v>2109</v>
      </c>
      <c r="D1496" s="286" t="s">
        <v>1105</v>
      </c>
      <c r="E1496" s="286" t="s">
        <v>1106</v>
      </c>
      <c r="F1496" s="286" t="s">
        <v>2154</v>
      </c>
      <c r="G1496" s="286" t="s">
        <v>1061</v>
      </c>
      <c r="H1496" s="286" t="s">
        <v>1061</v>
      </c>
      <c r="I1496" s="286" t="s">
        <v>1228</v>
      </c>
      <c r="J1496" s="286" t="s">
        <v>53</v>
      </c>
      <c r="K1496" s="286" t="s">
        <v>53</v>
      </c>
      <c r="L1496" s="286" t="s">
        <v>53</v>
      </c>
      <c r="M1496" s="286" t="s">
        <v>53</v>
      </c>
      <c r="N1496" s="287">
        <v>1220.1500000000001</v>
      </c>
      <c r="O1496" s="294">
        <f t="shared" si="23"/>
        <v>45382</v>
      </c>
      <c r="P1496" s="286" t="s">
        <v>58</v>
      </c>
    </row>
    <row r="1497" spans="1:16" hidden="1" x14ac:dyDescent="0.15">
      <c r="A1497" s="286">
        <v>504817</v>
      </c>
      <c r="B1497" s="288">
        <v>45359.645138888889</v>
      </c>
      <c r="C1497" s="286" t="s">
        <v>2109</v>
      </c>
      <c r="D1497" s="286" t="s">
        <v>1105</v>
      </c>
      <c r="E1497" s="286" t="s">
        <v>1106</v>
      </c>
      <c r="F1497" s="286" t="s">
        <v>2154</v>
      </c>
      <c r="G1497" s="286" t="s">
        <v>1039</v>
      </c>
      <c r="H1497" s="286" t="s">
        <v>1039</v>
      </c>
      <c r="I1497" s="286" t="s">
        <v>1228</v>
      </c>
      <c r="J1497" s="286" t="s">
        <v>53</v>
      </c>
      <c r="K1497" s="286" t="s">
        <v>53</v>
      </c>
      <c r="L1497" s="286" t="s">
        <v>53</v>
      </c>
      <c r="M1497" s="286" t="s">
        <v>53</v>
      </c>
      <c r="N1497" s="287">
        <v>1220.1500000000001</v>
      </c>
      <c r="O1497" s="294">
        <f t="shared" si="23"/>
        <v>45382</v>
      </c>
      <c r="P1497" s="286" t="s">
        <v>58</v>
      </c>
    </row>
    <row r="1498" spans="1:16" hidden="1" x14ac:dyDescent="0.15">
      <c r="A1498" s="286">
        <v>534207</v>
      </c>
      <c r="B1498" s="288">
        <v>45385.750694444447</v>
      </c>
      <c r="C1498" s="286" t="s">
        <v>2096</v>
      </c>
      <c r="D1498" s="286" t="s">
        <v>1105</v>
      </c>
      <c r="E1498" s="286" t="s">
        <v>1106</v>
      </c>
      <c r="F1498" s="286" t="s">
        <v>2155</v>
      </c>
      <c r="G1498" s="286" t="s">
        <v>1061</v>
      </c>
      <c r="H1498" s="286" t="s">
        <v>1061</v>
      </c>
      <c r="I1498" s="286" t="s">
        <v>1228</v>
      </c>
      <c r="J1498" s="286" t="s">
        <v>53</v>
      </c>
      <c r="K1498" s="286" t="s">
        <v>53</v>
      </c>
      <c r="L1498" s="286" t="s">
        <v>53</v>
      </c>
      <c r="M1498" s="286" t="s">
        <v>53</v>
      </c>
      <c r="N1498" s="287">
        <v>1220.1500000000001</v>
      </c>
      <c r="O1498" s="294">
        <f t="shared" si="23"/>
        <v>45412</v>
      </c>
      <c r="P1498" s="286" t="s">
        <v>58</v>
      </c>
    </row>
    <row r="1499" spans="1:16" hidden="1" x14ac:dyDescent="0.15">
      <c r="A1499" s="286">
        <v>534207</v>
      </c>
      <c r="B1499" s="288">
        <v>45385.750694444447</v>
      </c>
      <c r="C1499" s="286" t="s">
        <v>2096</v>
      </c>
      <c r="D1499" s="286" t="s">
        <v>1105</v>
      </c>
      <c r="E1499" s="286" t="s">
        <v>1106</v>
      </c>
      <c r="F1499" s="286" t="s">
        <v>2155</v>
      </c>
      <c r="G1499" s="286" t="s">
        <v>1039</v>
      </c>
      <c r="H1499" s="286" t="s">
        <v>1039</v>
      </c>
      <c r="I1499" s="286" t="s">
        <v>1228</v>
      </c>
      <c r="J1499" s="286" t="s">
        <v>53</v>
      </c>
      <c r="K1499" s="286" t="s">
        <v>53</v>
      </c>
      <c r="L1499" s="286" t="s">
        <v>53</v>
      </c>
      <c r="M1499" s="286" t="s">
        <v>53</v>
      </c>
      <c r="N1499" s="287">
        <v>1220.1500000000001</v>
      </c>
      <c r="O1499" s="294">
        <f t="shared" si="23"/>
        <v>45412</v>
      </c>
      <c r="P1499" s="286" t="s">
        <v>58</v>
      </c>
    </row>
    <row r="1500" spans="1:16" hidden="1" x14ac:dyDescent="0.15">
      <c r="A1500" s="286">
        <v>614216</v>
      </c>
      <c r="B1500" s="288">
        <v>45455.716666666667</v>
      </c>
      <c r="C1500" s="286" t="s">
        <v>2116</v>
      </c>
      <c r="D1500" s="286" t="s">
        <v>1105</v>
      </c>
      <c r="E1500" s="286" t="s">
        <v>1106</v>
      </c>
      <c r="F1500" s="286" t="s">
        <v>2156</v>
      </c>
      <c r="G1500" s="286" t="s">
        <v>1039</v>
      </c>
      <c r="H1500" s="286" t="s">
        <v>1039</v>
      </c>
      <c r="I1500" s="286" t="s">
        <v>1228</v>
      </c>
      <c r="J1500" s="286" t="s">
        <v>53</v>
      </c>
      <c r="K1500" s="286" t="s">
        <v>53</v>
      </c>
      <c r="L1500" s="286" t="s">
        <v>53</v>
      </c>
      <c r="M1500" s="286" t="s">
        <v>53</v>
      </c>
      <c r="N1500" s="287">
        <v>1220.1400000000001</v>
      </c>
      <c r="O1500" s="294">
        <f t="shared" si="23"/>
        <v>45473</v>
      </c>
      <c r="P1500" s="286" t="s">
        <v>58</v>
      </c>
    </row>
    <row r="1501" spans="1:16" hidden="1" x14ac:dyDescent="0.15">
      <c r="A1501" s="286">
        <v>614216</v>
      </c>
      <c r="B1501" s="288">
        <v>45455.716666666667</v>
      </c>
      <c r="C1501" s="286" t="s">
        <v>2116</v>
      </c>
      <c r="D1501" s="286" t="s">
        <v>1105</v>
      </c>
      <c r="E1501" s="286" t="s">
        <v>1106</v>
      </c>
      <c r="F1501" s="286" t="s">
        <v>2156</v>
      </c>
      <c r="G1501" s="286" t="s">
        <v>1061</v>
      </c>
      <c r="H1501" s="286" t="s">
        <v>1061</v>
      </c>
      <c r="I1501" s="286" t="s">
        <v>1228</v>
      </c>
      <c r="J1501" s="286" t="s">
        <v>53</v>
      </c>
      <c r="K1501" s="286" t="s">
        <v>53</v>
      </c>
      <c r="L1501" s="286" t="s">
        <v>53</v>
      </c>
      <c r="M1501" s="286" t="s">
        <v>53</v>
      </c>
      <c r="N1501" s="287">
        <v>1220.1400000000001</v>
      </c>
      <c r="O1501" s="294">
        <f t="shared" si="23"/>
        <v>45473</v>
      </c>
      <c r="P1501" s="286" t="s">
        <v>58</v>
      </c>
    </row>
    <row r="1502" spans="1:16" hidden="1" x14ac:dyDescent="0.15">
      <c r="A1502" s="286">
        <v>438112</v>
      </c>
      <c r="B1502" s="288">
        <v>45293.53402777778</v>
      </c>
      <c r="C1502" s="286" t="s">
        <v>2125</v>
      </c>
      <c r="D1502" s="286" t="s">
        <v>1105</v>
      </c>
      <c r="E1502" s="286" t="s">
        <v>1106</v>
      </c>
      <c r="F1502" s="286" t="s">
        <v>2152</v>
      </c>
      <c r="G1502" s="286" t="s">
        <v>1840</v>
      </c>
      <c r="H1502" s="286" t="s">
        <v>1840</v>
      </c>
      <c r="I1502" s="286" t="s">
        <v>1228</v>
      </c>
      <c r="J1502" s="286" t="s">
        <v>53</v>
      </c>
      <c r="K1502" s="286" t="s">
        <v>53</v>
      </c>
      <c r="L1502" s="286" t="s">
        <v>53</v>
      </c>
      <c r="M1502" s="286" t="s">
        <v>53</v>
      </c>
      <c r="N1502" s="287">
        <v>1219.73</v>
      </c>
      <c r="O1502" s="294">
        <f t="shared" si="23"/>
        <v>45322</v>
      </c>
      <c r="P1502" s="286" t="s">
        <v>58</v>
      </c>
    </row>
    <row r="1503" spans="1:16" hidden="1" x14ac:dyDescent="0.15">
      <c r="A1503" s="286">
        <v>472168</v>
      </c>
      <c r="B1503" s="288">
        <v>45331.416666666664</v>
      </c>
      <c r="C1503" s="286" t="s">
        <v>2113</v>
      </c>
      <c r="D1503" s="286" t="s">
        <v>1105</v>
      </c>
      <c r="E1503" s="286" t="s">
        <v>1106</v>
      </c>
      <c r="F1503" s="286" t="s">
        <v>2153</v>
      </c>
      <c r="G1503" s="286" t="s">
        <v>1840</v>
      </c>
      <c r="H1503" s="286" t="s">
        <v>1840</v>
      </c>
      <c r="I1503" s="286" t="s">
        <v>1228</v>
      </c>
      <c r="J1503" s="286" t="s">
        <v>53</v>
      </c>
      <c r="K1503" s="286" t="s">
        <v>53</v>
      </c>
      <c r="L1503" s="286" t="s">
        <v>53</v>
      </c>
      <c r="M1503" s="286" t="s">
        <v>53</v>
      </c>
      <c r="N1503" s="287">
        <v>1219.73</v>
      </c>
      <c r="O1503" s="294">
        <f t="shared" si="23"/>
        <v>45351</v>
      </c>
      <c r="P1503" s="286" t="s">
        <v>58</v>
      </c>
    </row>
    <row r="1504" spans="1:16" hidden="1" x14ac:dyDescent="0.15">
      <c r="A1504" s="286">
        <v>504817</v>
      </c>
      <c r="B1504" s="288">
        <v>45359.645138888889</v>
      </c>
      <c r="C1504" s="286" t="s">
        <v>2109</v>
      </c>
      <c r="D1504" s="286" t="s">
        <v>1105</v>
      </c>
      <c r="E1504" s="286" t="s">
        <v>1106</v>
      </c>
      <c r="F1504" s="286" t="s">
        <v>2154</v>
      </c>
      <c r="G1504" s="286" t="s">
        <v>1840</v>
      </c>
      <c r="H1504" s="286" t="s">
        <v>1840</v>
      </c>
      <c r="I1504" s="286" t="s">
        <v>1228</v>
      </c>
      <c r="J1504" s="286" t="s">
        <v>53</v>
      </c>
      <c r="K1504" s="286" t="s">
        <v>53</v>
      </c>
      <c r="L1504" s="286" t="s">
        <v>53</v>
      </c>
      <c r="M1504" s="286" t="s">
        <v>53</v>
      </c>
      <c r="N1504" s="287">
        <v>1219.73</v>
      </c>
      <c r="O1504" s="294">
        <f t="shared" si="23"/>
        <v>45382</v>
      </c>
      <c r="P1504" s="286" t="s">
        <v>58</v>
      </c>
    </row>
    <row r="1505" spans="1:16" hidden="1" x14ac:dyDescent="0.15">
      <c r="A1505" s="286">
        <v>534207</v>
      </c>
      <c r="B1505" s="288">
        <v>45385.750694444447</v>
      </c>
      <c r="C1505" s="286" t="s">
        <v>2096</v>
      </c>
      <c r="D1505" s="286" t="s">
        <v>1105</v>
      </c>
      <c r="E1505" s="286" t="s">
        <v>1106</v>
      </c>
      <c r="F1505" s="286" t="s">
        <v>2155</v>
      </c>
      <c r="G1505" s="286" t="s">
        <v>1840</v>
      </c>
      <c r="H1505" s="286" t="s">
        <v>1840</v>
      </c>
      <c r="I1505" s="286" t="s">
        <v>1228</v>
      </c>
      <c r="J1505" s="286" t="s">
        <v>53</v>
      </c>
      <c r="K1505" s="286" t="s">
        <v>53</v>
      </c>
      <c r="L1505" s="286" t="s">
        <v>53</v>
      </c>
      <c r="M1505" s="286" t="s">
        <v>53</v>
      </c>
      <c r="N1505" s="287">
        <v>1219.73</v>
      </c>
      <c r="O1505" s="294">
        <f t="shared" si="23"/>
        <v>45412</v>
      </c>
      <c r="P1505" s="286" t="s">
        <v>58</v>
      </c>
    </row>
    <row r="1506" spans="1:16" hidden="1" x14ac:dyDescent="0.15">
      <c r="A1506" s="286">
        <v>614216</v>
      </c>
      <c r="B1506" s="288">
        <v>45455.716666666667</v>
      </c>
      <c r="C1506" s="286" t="s">
        <v>2116</v>
      </c>
      <c r="D1506" s="286" t="s">
        <v>1105</v>
      </c>
      <c r="E1506" s="286" t="s">
        <v>1106</v>
      </c>
      <c r="F1506" s="286" t="s">
        <v>2156</v>
      </c>
      <c r="G1506" s="286" t="s">
        <v>1840</v>
      </c>
      <c r="H1506" s="286" t="s">
        <v>1840</v>
      </c>
      <c r="I1506" s="286" t="s">
        <v>1228</v>
      </c>
      <c r="J1506" s="286" t="s">
        <v>53</v>
      </c>
      <c r="K1506" s="286" t="s">
        <v>53</v>
      </c>
      <c r="L1506" s="286" t="s">
        <v>53</v>
      </c>
      <c r="M1506" s="286" t="s">
        <v>53</v>
      </c>
      <c r="N1506" s="287">
        <v>1219.73</v>
      </c>
      <c r="O1506" s="294">
        <f t="shared" si="23"/>
        <v>45473</v>
      </c>
      <c r="P1506" s="286" t="s">
        <v>58</v>
      </c>
    </row>
    <row r="1507" spans="1:16" hidden="1" x14ac:dyDescent="0.15">
      <c r="A1507" s="286">
        <v>521634</v>
      </c>
      <c r="B1507" s="288">
        <v>45373.390277777777</v>
      </c>
      <c r="C1507" s="286" t="s">
        <v>2109</v>
      </c>
      <c r="D1507" s="286" t="s">
        <v>1105</v>
      </c>
      <c r="E1507" s="286" t="s">
        <v>1106</v>
      </c>
      <c r="F1507" s="286" t="s">
        <v>2369</v>
      </c>
      <c r="G1507" s="286" t="s">
        <v>1024</v>
      </c>
      <c r="H1507" s="286" t="s">
        <v>1024</v>
      </c>
      <c r="I1507" s="286" t="s">
        <v>1152</v>
      </c>
      <c r="J1507" s="286" t="s">
        <v>1312</v>
      </c>
      <c r="K1507" s="286" t="s">
        <v>53</v>
      </c>
      <c r="L1507" s="286" t="s">
        <v>53</v>
      </c>
      <c r="M1507" s="286" t="s">
        <v>53</v>
      </c>
      <c r="N1507" s="287">
        <v>1196.07</v>
      </c>
      <c r="O1507" s="294">
        <f t="shared" si="23"/>
        <v>45382</v>
      </c>
      <c r="P1507" s="286" t="s">
        <v>58</v>
      </c>
    </row>
    <row r="1508" spans="1:16" hidden="1" x14ac:dyDescent="0.15">
      <c r="A1508" s="286">
        <v>534207</v>
      </c>
      <c r="B1508" s="288">
        <v>45385.750694444447</v>
      </c>
      <c r="C1508" s="286" t="s">
        <v>2096</v>
      </c>
      <c r="D1508" s="286" t="s">
        <v>1105</v>
      </c>
      <c r="E1508" s="286" t="s">
        <v>1106</v>
      </c>
      <c r="F1508" s="286" t="s">
        <v>2155</v>
      </c>
      <c r="G1508" s="286" t="s">
        <v>1024</v>
      </c>
      <c r="H1508" s="286" t="s">
        <v>1024</v>
      </c>
      <c r="I1508" s="286" t="s">
        <v>1152</v>
      </c>
      <c r="J1508" s="286" t="s">
        <v>1312</v>
      </c>
      <c r="K1508" s="286" t="s">
        <v>53</v>
      </c>
      <c r="L1508" s="286" t="s">
        <v>53</v>
      </c>
      <c r="M1508" s="286" t="s">
        <v>53</v>
      </c>
      <c r="N1508" s="287">
        <v>1196.07</v>
      </c>
      <c r="O1508" s="294">
        <f t="shared" si="23"/>
        <v>45412</v>
      </c>
      <c r="P1508" s="286" t="s">
        <v>58</v>
      </c>
    </row>
    <row r="1509" spans="1:16" hidden="1" x14ac:dyDescent="0.15">
      <c r="A1509" s="286">
        <v>614216</v>
      </c>
      <c r="B1509" s="288">
        <v>45455.716666666667</v>
      </c>
      <c r="C1509" s="286" t="s">
        <v>2116</v>
      </c>
      <c r="D1509" s="286" t="s">
        <v>1105</v>
      </c>
      <c r="E1509" s="286" t="s">
        <v>1106</v>
      </c>
      <c r="F1509" s="286" t="s">
        <v>2156</v>
      </c>
      <c r="G1509" s="286" t="s">
        <v>1024</v>
      </c>
      <c r="H1509" s="286" t="s">
        <v>1024</v>
      </c>
      <c r="I1509" s="286" t="s">
        <v>1152</v>
      </c>
      <c r="J1509" s="286" t="s">
        <v>1312</v>
      </c>
      <c r="K1509" s="286" t="s">
        <v>53</v>
      </c>
      <c r="L1509" s="286" t="s">
        <v>53</v>
      </c>
      <c r="M1509" s="286" t="s">
        <v>53</v>
      </c>
      <c r="N1509" s="287">
        <v>1196.07</v>
      </c>
      <c r="O1509" s="294">
        <f t="shared" si="23"/>
        <v>45473</v>
      </c>
      <c r="P1509" s="286" t="s">
        <v>58</v>
      </c>
    </row>
    <row r="1510" spans="1:16" hidden="1" x14ac:dyDescent="0.15">
      <c r="A1510" s="286">
        <v>614316</v>
      </c>
      <c r="B1510" s="288">
        <v>45455.717361111114</v>
      </c>
      <c r="C1510" s="286" t="s">
        <v>2092</v>
      </c>
      <c r="D1510" s="286" t="s">
        <v>1105</v>
      </c>
      <c r="E1510" s="286" t="s">
        <v>1106</v>
      </c>
      <c r="F1510" s="286" t="s">
        <v>2167</v>
      </c>
      <c r="G1510" s="286" t="s">
        <v>1024</v>
      </c>
      <c r="H1510" s="286" t="s">
        <v>1024</v>
      </c>
      <c r="I1510" s="286" t="s">
        <v>1152</v>
      </c>
      <c r="J1510" s="286" t="s">
        <v>1312</v>
      </c>
      <c r="K1510" s="286" t="s">
        <v>53</v>
      </c>
      <c r="L1510" s="286" t="s">
        <v>53</v>
      </c>
      <c r="M1510" s="286" t="s">
        <v>53</v>
      </c>
      <c r="N1510" s="287">
        <v>1196.07</v>
      </c>
      <c r="O1510" s="294">
        <f t="shared" si="23"/>
        <v>45473</v>
      </c>
      <c r="P1510" s="286" t="s">
        <v>58</v>
      </c>
    </row>
    <row r="1511" spans="1:16" hidden="1" x14ac:dyDescent="0.15">
      <c r="A1511" s="286">
        <v>646075</v>
      </c>
      <c r="B1511" s="288">
        <v>45474.519444444442</v>
      </c>
      <c r="C1511" s="286" t="s">
        <v>2111</v>
      </c>
      <c r="D1511" s="286" t="s">
        <v>1105</v>
      </c>
      <c r="E1511" s="286" t="s">
        <v>1106</v>
      </c>
      <c r="F1511" s="286" t="s">
        <v>2137</v>
      </c>
      <c r="G1511" s="286" t="s">
        <v>1024</v>
      </c>
      <c r="H1511" s="286" t="s">
        <v>1024</v>
      </c>
      <c r="I1511" s="286" t="s">
        <v>1152</v>
      </c>
      <c r="J1511" s="286" t="s">
        <v>1312</v>
      </c>
      <c r="K1511" s="286" t="s">
        <v>53</v>
      </c>
      <c r="L1511" s="286" t="s">
        <v>53</v>
      </c>
      <c r="M1511" s="286" t="s">
        <v>53</v>
      </c>
      <c r="N1511" s="287">
        <v>1196.07</v>
      </c>
      <c r="O1511" s="294">
        <f t="shared" si="23"/>
        <v>45504</v>
      </c>
      <c r="P1511" s="286" t="s">
        <v>58</v>
      </c>
    </row>
    <row r="1512" spans="1:16" hidden="1" x14ac:dyDescent="0.15">
      <c r="A1512" s="286">
        <v>697810</v>
      </c>
      <c r="B1512" s="288">
        <v>45510.366666666669</v>
      </c>
      <c r="C1512" s="286" t="s">
        <v>2102</v>
      </c>
      <c r="D1512" s="286" t="s">
        <v>1105</v>
      </c>
      <c r="E1512" s="286" t="s">
        <v>1106</v>
      </c>
      <c r="F1512" s="286" t="s">
        <v>2138</v>
      </c>
      <c r="G1512" s="286" t="s">
        <v>1024</v>
      </c>
      <c r="H1512" s="286" t="s">
        <v>1024</v>
      </c>
      <c r="I1512" s="286" t="s">
        <v>1152</v>
      </c>
      <c r="J1512" s="286" t="s">
        <v>1312</v>
      </c>
      <c r="K1512" s="286" t="s">
        <v>53</v>
      </c>
      <c r="L1512" s="286" t="s">
        <v>53</v>
      </c>
      <c r="M1512" s="286" t="s">
        <v>53</v>
      </c>
      <c r="N1512" s="287">
        <v>1196.07</v>
      </c>
      <c r="O1512" s="294">
        <f t="shared" si="23"/>
        <v>45535</v>
      </c>
      <c r="P1512" s="286" t="s">
        <v>58</v>
      </c>
    </row>
    <row r="1513" spans="1:16" hidden="1" x14ac:dyDescent="0.15">
      <c r="A1513" s="286">
        <v>745911</v>
      </c>
      <c r="B1513" s="288">
        <v>45538.44027777778</v>
      </c>
      <c r="C1513" s="286" t="s">
        <v>2132</v>
      </c>
      <c r="D1513" s="286" t="s">
        <v>1105</v>
      </c>
      <c r="E1513" s="286" t="s">
        <v>1106</v>
      </c>
      <c r="F1513" s="286" t="s">
        <v>2139</v>
      </c>
      <c r="G1513" s="286" t="s">
        <v>1024</v>
      </c>
      <c r="H1513" s="286" t="s">
        <v>1024</v>
      </c>
      <c r="I1513" s="286" t="s">
        <v>1152</v>
      </c>
      <c r="J1513" s="286" t="s">
        <v>1312</v>
      </c>
      <c r="K1513" s="286" t="s">
        <v>53</v>
      </c>
      <c r="L1513" s="286" t="s">
        <v>53</v>
      </c>
      <c r="M1513" s="286" t="s">
        <v>53</v>
      </c>
      <c r="N1513" s="287">
        <v>1196.07</v>
      </c>
      <c r="O1513" s="294">
        <f t="shared" si="23"/>
        <v>45565</v>
      </c>
      <c r="P1513" s="286" t="s">
        <v>58</v>
      </c>
    </row>
    <row r="1514" spans="1:16" hidden="1" x14ac:dyDescent="0.15">
      <c r="A1514" s="286">
        <v>848817</v>
      </c>
      <c r="B1514" s="288">
        <v>45607.65902777778</v>
      </c>
      <c r="C1514" s="286" t="s">
        <v>2130</v>
      </c>
      <c r="D1514" s="286" t="s">
        <v>1105</v>
      </c>
      <c r="E1514" s="286" t="s">
        <v>1106</v>
      </c>
      <c r="F1514" s="286" t="s">
        <v>2140</v>
      </c>
      <c r="G1514" s="286" t="s">
        <v>1024</v>
      </c>
      <c r="H1514" s="286" t="s">
        <v>1024</v>
      </c>
      <c r="I1514" s="286" t="s">
        <v>1152</v>
      </c>
      <c r="J1514" s="286" t="s">
        <v>1312</v>
      </c>
      <c r="K1514" s="286" t="s">
        <v>53</v>
      </c>
      <c r="L1514" s="286" t="s">
        <v>53</v>
      </c>
      <c r="M1514" s="286" t="s">
        <v>53</v>
      </c>
      <c r="N1514" s="287">
        <v>1196.07</v>
      </c>
      <c r="O1514" s="294">
        <f t="shared" si="23"/>
        <v>45626</v>
      </c>
      <c r="P1514" s="286" t="s">
        <v>58</v>
      </c>
    </row>
    <row r="1515" spans="1:16" hidden="1" x14ac:dyDescent="0.15">
      <c r="A1515" s="286">
        <v>848917</v>
      </c>
      <c r="B1515" s="288">
        <v>45607.660416666666</v>
      </c>
      <c r="C1515" s="286" t="s">
        <v>2100</v>
      </c>
      <c r="D1515" s="286" t="s">
        <v>1105</v>
      </c>
      <c r="E1515" s="286" t="s">
        <v>1106</v>
      </c>
      <c r="F1515" s="286" t="s">
        <v>2141</v>
      </c>
      <c r="G1515" s="286" t="s">
        <v>1024</v>
      </c>
      <c r="H1515" s="286" t="s">
        <v>1024</v>
      </c>
      <c r="I1515" s="286" t="s">
        <v>1152</v>
      </c>
      <c r="J1515" s="286" t="s">
        <v>1312</v>
      </c>
      <c r="K1515" s="286" t="s">
        <v>53</v>
      </c>
      <c r="L1515" s="286" t="s">
        <v>53</v>
      </c>
      <c r="M1515" s="286" t="s">
        <v>53</v>
      </c>
      <c r="N1515" s="287">
        <v>1196.07</v>
      </c>
      <c r="O1515" s="294">
        <f t="shared" si="23"/>
        <v>45626</v>
      </c>
      <c r="P1515" s="286" t="s">
        <v>58</v>
      </c>
    </row>
    <row r="1516" spans="1:16" hidden="1" x14ac:dyDescent="0.15">
      <c r="A1516" s="286">
        <v>874698</v>
      </c>
      <c r="B1516" s="288">
        <v>45628.357638888891</v>
      </c>
      <c r="C1516" s="286" t="s">
        <v>2098</v>
      </c>
      <c r="D1516" s="286" t="s">
        <v>1105</v>
      </c>
      <c r="E1516" s="286" t="s">
        <v>1106</v>
      </c>
      <c r="F1516" s="286" t="s">
        <v>2142</v>
      </c>
      <c r="G1516" s="286" t="s">
        <v>1024</v>
      </c>
      <c r="H1516" s="286" t="s">
        <v>1024</v>
      </c>
      <c r="I1516" s="286" t="s">
        <v>1152</v>
      </c>
      <c r="J1516" s="286" t="s">
        <v>1312</v>
      </c>
      <c r="K1516" s="286" t="s">
        <v>53</v>
      </c>
      <c r="L1516" s="286" t="s">
        <v>53</v>
      </c>
      <c r="M1516" s="286" t="s">
        <v>53</v>
      </c>
      <c r="N1516" s="287">
        <v>1196.07</v>
      </c>
      <c r="O1516" s="294">
        <f t="shared" si="23"/>
        <v>45657</v>
      </c>
      <c r="P1516" s="286" t="s">
        <v>58</v>
      </c>
    </row>
    <row r="1517" spans="1:16" hidden="1" x14ac:dyDescent="0.15">
      <c r="A1517" s="286">
        <v>646075</v>
      </c>
      <c r="B1517" s="288">
        <v>45474.519444444442</v>
      </c>
      <c r="C1517" s="286" t="s">
        <v>2111</v>
      </c>
      <c r="D1517" s="286" t="s">
        <v>1105</v>
      </c>
      <c r="E1517" s="286" t="s">
        <v>1106</v>
      </c>
      <c r="F1517" s="286" t="s">
        <v>2137</v>
      </c>
      <c r="G1517" s="286" t="s">
        <v>1035</v>
      </c>
      <c r="H1517" s="286" t="s">
        <v>1035</v>
      </c>
      <c r="I1517" s="286" t="s">
        <v>1199</v>
      </c>
      <c r="J1517" s="286" t="s">
        <v>53</v>
      </c>
      <c r="K1517" s="286" t="s">
        <v>53</v>
      </c>
      <c r="L1517" s="286" t="s">
        <v>53</v>
      </c>
      <c r="M1517" s="286" t="s">
        <v>53</v>
      </c>
      <c r="N1517" s="287">
        <v>1190.46</v>
      </c>
      <c r="O1517" s="294">
        <f t="shared" si="23"/>
        <v>45504</v>
      </c>
      <c r="P1517" s="286" t="s">
        <v>58</v>
      </c>
    </row>
    <row r="1518" spans="1:16" hidden="1" x14ac:dyDescent="0.15">
      <c r="A1518" s="286">
        <v>438112</v>
      </c>
      <c r="B1518" s="288">
        <v>45293.53402777778</v>
      </c>
      <c r="C1518" s="286" t="s">
        <v>2125</v>
      </c>
      <c r="D1518" s="286" t="s">
        <v>1105</v>
      </c>
      <c r="E1518" s="286" t="s">
        <v>1106</v>
      </c>
      <c r="F1518" s="286" t="s">
        <v>2152</v>
      </c>
      <c r="G1518" s="286" t="s">
        <v>1055</v>
      </c>
      <c r="H1518" s="286" t="s">
        <v>1055</v>
      </c>
      <c r="I1518" s="286" t="s">
        <v>1228</v>
      </c>
      <c r="J1518" s="286" t="s">
        <v>53</v>
      </c>
      <c r="K1518" s="286" t="s">
        <v>53</v>
      </c>
      <c r="L1518" s="286" t="s">
        <v>53</v>
      </c>
      <c r="M1518" s="286" t="s">
        <v>53</v>
      </c>
      <c r="N1518" s="287">
        <v>1188.98</v>
      </c>
      <c r="O1518" s="294">
        <f t="shared" si="23"/>
        <v>45322</v>
      </c>
      <c r="P1518" s="286" t="s">
        <v>58</v>
      </c>
    </row>
    <row r="1519" spans="1:16" hidden="1" x14ac:dyDescent="0.15">
      <c r="A1519" s="286">
        <v>438112</v>
      </c>
      <c r="B1519" s="288">
        <v>45293.53402777778</v>
      </c>
      <c r="C1519" s="286" t="s">
        <v>2125</v>
      </c>
      <c r="D1519" s="286" t="s">
        <v>1105</v>
      </c>
      <c r="E1519" s="286" t="s">
        <v>1106</v>
      </c>
      <c r="F1519" s="286" t="s">
        <v>2152</v>
      </c>
      <c r="G1519" s="286" t="s">
        <v>1841</v>
      </c>
      <c r="H1519" s="286" t="s">
        <v>1841</v>
      </c>
      <c r="I1519" s="286" t="s">
        <v>1228</v>
      </c>
      <c r="J1519" s="286" t="s">
        <v>53</v>
      </c>
      <c r="K1519" s="286" t="s">
        <v>53</v>
      </c>
      <c r="L1519" s="286" t="s">
        <v>53</v>
      </c>
      <c r="M1519" s="286" t="s">
        <v>53</v>
      </c>
      <c r="N1519" s="287">
        <v>1188.98</v>
      </c>
      <c r="O1519" s="294">
        <f t="shared" si="23"/>
        <v>45322</v>
      </c>
      <c r="P1519" s="286" t="s">
        <v>58</v>
      </c>
    </row>
    <row r="1520" spans="1:16" hidden="1" x14ac:dyDescent="0.15">
      <c r="A1520" s="286">
        <v>472168</v>
      </c>
      <c r="B1520" s="288">
        <v>45331.416666666664</v>
      </c>
      <c r="C1520" s="286" t="s">
        <v>2113</v>
      </c>
      <c r="D1520" s="286" t="s">
        <v>1105</v>
      </c>
      <c r="E1520" s="286" t="s">
        <v>1106</v>
      </c>
      <c r="F1520" s="286" t="s">
        <v>2153</v>
      </c>
      <c r="G1520" s="286" t="s">
        <v>1055</v>
      </c>
      <c r="H1520" s="286" t="s">
        <v>1055</v>
      </c>
      <c r="I1520" s="286" t="s">
        <v>1228</v>
      </c>
      <c r="J1520" s="286" t="s">
        <v>53</v>
      </c>
      <c r="K1520" s="286" t="s">
        <v>53</v>
      </c>
      <c r="L1520" s="286" t="s">
        <v>53</v>
      </c>
      <c r="M1520" s="286" t="s">
        <v>53</v>
      </c>
      <c r="N1520" s="287">
        <v>1188.98</v>
      </c>
      <c r="O1520" s="294">
        <f t="shared" si="23"/>
        <v>45351</v>
      </c>
      <c r="P1520" s="286" t="s">
        <v>58</v>
      </c>
    </row>
    <row r="1521" spans="1:16" hidden="1" x14ac:dyDescent="0.15">
      <c r="A1521" s="286">
        <v>472168</v>
      </c>
      <c r="B1521" s="288">
        <v>45331.416666666664</v>
      </c>
      <c r="C1521" s="286" t="s">
        <v>2113</v>
      </c>
      <c r="D1521" s="286" t="s">
        <v>1105</v>
      </c>
      <c r="E1521" s="286" t="s">
        <v>1106</v>
      </c>
      <c r="F1521" s="286" t="s">
        <v>2153</v>
      </c>
      <c r="G1521" s="286" t="s">
        <v>1841</v>
      </c>
      <c r="H1521" s="286" t="s">
        <v>1841</v>
      </c>
      <c r="I1521" s="286" t="s">
        <v>1228</v>
      </c>
      <c r="J1521" s="286" t="s">
        <v>53</v>
      </c>
      <c r="K1521" s="286" t="s">
        <v>53</v>
      </c>
      <c r="L1521" s="286" t="s">
        <v>53</v>
      </c>
      <c r="M1521" s="286" t="s">
        <v>53</v>
      </c>
      <c r="N1521" s="287">
        <v>1188.98</v>
      </c>
      <c r="O1521" s="294">
        <f t="shared" si="23"/>
        <v>45351</v>
      </c>
      <c r="P1521" s="286" t="s">
        <v>58</v>
      </c>
    </row>
    <row r="1522" spans="1:16" hidden="1" x14ac:dyDescent="0.15">
      <c r="A1522" s="286">
        <v>504817</v>
      </c>
      <c r="B1522" s="288">
        <v>45359.645138888889</v>
      </c>
      <c r="C1522" s="286" t="s">
        <v>2109</v>
      </c>
      <c r="D1522" s="286" t="s">
        <v>1105</v>
      </c>
      <c r="E1522" s="286" t="s">
        <v>1106</v>
      </c>
      <c r="F1522" s="286" t="s">
        <v>2154</v>
      </c>
      <c r="G1522" s="286" t="s">
        <v>1055</v>
      </c>
      <c r="H1522" s="286" t="s">
        <v>1055</v>
      </c>
      <c r="I1522" s="286" t="s">
        <v>1228</v>
      </c>
      <c r="J1522" s="286" t="s">
        <v>53</v>
      </c>
      <c r="K1522" s="286" t="s">
        <v>53</v>
      </c>
      <c r="L1522" s="286" t="s">
        <v>53</v>
      </c>
      <c r="M1522" s="286" t="s">
        <v>53</v>
      </c>
      <c r="N1522" s="287">
        <v>1188.98</v>
      </c>
      <c r="O1522" s="294">
        <f t="shared" si="23"/>
        <v>45382</v>
      </c>
      <c r="P1522" s="286" t="s">
        <v>58</v>
      </c>
    </row>
    <row r="1523" spans="1:16" hidden="1" x14ac:dyDescent="0.15">
      <c r="A1523" s="286">
        <v>504817</v>
      </c>
      <c r="B1523" s="288">
        <v>45359.645138888889</v>
      </c>
      <c r="C1523" s="286" t="s">
        <v>2109</v>
      </c>
      <c r="D1523" s="286" t="s">
        <v>1105</v>
      </c>
      <c r="E1523" s="286" t="s">
        <v>1106</v>
      </c>
      <c r="F1523" s="286" t="s">
        <v>2154</v>
      </c>
      <c r="G1523" s="286" t="s">
        <v>1841</v>
      </c>
      <c r="H1523" s="286" t="s">
        <v>1841</v>
      </c>
      <c r="I1523" s="286" t="s">
        <v>1228</v>
      </c>
      <c r="J1523" s="286" t="s">
        <v>53</v>
      </c>
      <c r="K1523" s="286" t="s">
        <v>53</v>
      </c>
      <c r="L1523" s="286" t="s">
        <v>53</v>
      </c>
      <c r="M1523" s="286" t="s">
        <v>53</v>
      </c>
      <c r="N1523" s="287">
        <v>1188.98</v>
      </c>
      <c r="O1523" s="294">
        <f t="shared" si="23"/>
        <v>45382</v>
      </c>
      <c r="P1523" s="286" t="s">
        <v>58</v>
      </c>
    </row>
    <row r="1524" spans="1:16" hidden="1" x14ac:dyDescent="0.15">
      <c r="A1524" s="286">
        <v>534207</v>
      </c>
      <c r="B1524" s="288">
        <v>45385.750694444447</v>
      </c>
      <c r="C1524" s="286" t="s">
        <v>2096</v>
      </c>
      <c r="D1524" s="286" t="s">
        <v>1105</v>
      </c>
      <c r="E1524" s="286" t="s">
        <v>1106</v>
      </c>
      <c r="F1524" s="286" t="s">
        <v>2155</v>
      </c>
      <c r="G1524" s="286" t="s">
        <v>1055</v>
      </c>
      <c r="H1524" s="286" t="s">
        <v>1055</v>
      </c>
      <c r="I1524" s="286" t="s">
        <v>1228</v>
      </c>
      <c r="J1524" s="286" t="s">
        <v>53</v>
      </c>
      <c r="K1524" s="286" t="s">
        <v>53</v>
      </c>
      <c r="L1524" s="286" t="s">
        <v>53</v>
      </c>
      <c r="M1524" s="286" t="s">
        <v>53</v>
      </c>
      <c r="N1524" s="287">
        <v>1188.98</v>
      </c>
      <c r="O1524" s="294">
        <f t="shared" si="23"/>
        <v>45412</v>
      </c>
      <c r="P1524" s="286" t="s">
        <v>58</v>
      </c>
    </row>
    <row r="1525" spans="1:16" hidden="1" x14ac:dyDescent="0.15">
      <c r="A1525" s="286">
        <v>534207</v>
      </c>
      <c r="B1525" s="288">
        <v>45385.750694444447</v>
      </c>
      <c r="C1525" s="286" t="s">
        <v>2096</v>
      </c>
      <c r="D1525" s="286" t="s">
        <v>1105</v>
      </c>
      <c r="E1525" s="286" t="s">
        <v>1106</v>
      </c>
      <c r="F1525" s="286" t="s">
        <v>2155</v>
      </c>
      <c r="G1525" s="286" t="s">
        <v>1841</v>
      </c>
      <c r="H1525" s="286" t="s">
        <v>1841</v>
      </c>
      <c r="I1525" s="286" t="s">
        <v>1228</v>
      </c>
      <c r="J1525" s="286" t="s">
        <v>53</v>
      </c>
      <c r="K1525" s="286" t="s">
        <v>53</v>
      </c>
      <c r="L1525" s="286" t="s">
        <v>53</v>
      </c>
      <c r="M1525" s="286" t="s">
        <v>53</v>
      </c>
      <c r="N1525" s="287">
        <v>1188.98</v>
      </c>
      <c r="O1525" s="294">
        <f t="shared" si="23"/>
        <v>45412</v>
      </c>
      <c r="P1525" s="286" t="s">
        <v>58</v>
      </c>
    </row>
    <row r="1526" spans="1:16" hidden="1" x14ac:dyDescent="0.15">
      <c r="A1526" s="286">
        <v>614216</v>
      </c>
      <c r="B1526" s="288">
        <v>45455.716666666667</v>
      </c>
      <c r="C1526" s="286" t="s">
        <v>2116</v>
      </c>
      <c r="D1526" s="286" t="s">
        <v>1105</v>
      </c>
      <c r="E1526" s="286" t="s">
        <v>1106</v>
      </c>
      <c r="F1526" s="286" t="s">
        <v>2156</v>
      </c>
      <c r="G1526" s="286" t="s">
        <v>1841</v>
      </c>
      <c r="H1526" s="286" t="s">
        <v>1841</v>
      </c>
      <c r="I1526" s="286" t="s">
        <v>1228</v>
      </c>
      <c r="J1526" s="286" t="s">
        <v>53</v>
      </c>
      <c r="K1526" s="286" t="s">
        <v>53</v>
      </c>
      <c r="L1526" s="286" t="s">
        <v>53</v>
      </c>
      <c r="M1526" s="286" t="s">
        <v>53</v>
      </c>
      <c r="N1526" s="287">
        <v>1188.98</v>
      </c>
      <c r="O1526" s="294">
        <f t="shared" si="23"/>
        <v>45473</v>
      </c>
      <c r="P1526" s="286" t="s">
        <v>58</v>
      </c>
    </row>
    <row r="1527" spans="1:16" hidden="1" x14ac:dyDescent="0.15">
      <c r="A1527" s="286">
        <v>614216</v>
      </c>
      <c r="B1527" s="288">
        <v>45455.716666666667</v>
      </c>
      <c r="C1527" s="286" t="s">
        <v>2116</v>
      </c>
      <c r="D1527" s="286" t="s">
        <v>1105</v>
      </c>
      <c r="E1527" s="286" t="s">
        <v>1106</v>
      </c>
      <c r="F1527" s="286" t="s">
        <v>2156</v>
      </c>
      <c r="G1527" s="286" t="s">
        <v>1055</v>
      </c>
      <c r="H1527" s="286" t="s">
        <v>1055</v>
      </c>
      <c r="I1527" s="286" t="s">
        <v>1228</v>
      </c>
      <c r="J1527" s="286" t="s">
        <v>53</v>
      </c>
      <c r="K1527" s="286" t="s">
        <v>53</v>
      </c>
      <c r="L1527" s="286" t="s">
        <v>53</v>
      </c>
      <c r="M1527" s="286" t="s">
        <v>53</v>
      </c>
      <c r="N1527" s="287">
        <v>1188.98</v>
      </c>
      <c r="O1527" s="294">
        <f t="shared" si="23"/>
        <v>45473</v>
      </c>
      <c r="P1527" s="286" t="s">
        <v>58</v>
      </c>
    </row>
    <row r="1528" spans="1:16" hidden="1" x14ac:dyDescent="0.15">
      <c r="A1528" s="286">
        <v>608480</v>
      </c>
      <c r="B1528" s="288">
        <v>45450.422222222223</v>
      </c>
      <c r="C1528" s="286" t="s">
        <v>2092</v>
      </c>
      <c r="D1528" s="286" t="s">
        <v>1105</v>
      </c>
      <c r="E1528" s="286" t="s">
        <v>1106</v>
      </c>
      <c r="F1528" s="286" t="s">
        <v>2157</v>
      </c>
      <c r="G1528" s="286" t="s">
        <v>1841</v>
      </c>
      <c r="H1528" s="286" t="s">
        <v>1841</v>
      </c>
      <c r="I1528" s="286" t="s">
        <v>1228</v>
      </c>
      <c r="J1528" s="286" t="s">
        <v>53</v>
      </c>
      <c r="K1528" s="286" t="s">
        <v>53</v>
      </c>
      <c r="L1528" s="286" t="s">
        <v>53</v>
      </c>
      <c r="M1528" s="286" t="s">
        <v>53</v>
      </c>
      <c r="N1528" s="287">
        <v>1188.98</v>
      </c>
      <c r="O1528" s="294">
        <f t="shared" si="23"/>
        <v>45473</v>
      </c>
      <c r="P1528" s="286" t="s">
        <v>58</v>
      </c>
    </row>
    <row r="1529" spans="1:16" hidden="1" x14ac:dyDescent="0.15">
      <c r="A1529" s="286">
        <v>608480</v>
      </c>
      <c r="B1529" s="288">
        <v>45450.422222222223</v>
      </c>
      <c r="C1529" s="286" t="s">
        <v>2092</v>
      </c>
      <c r="D1529" s="286" t="s">
        <v>1105</v>
      </c>
      <c r="E1529" s="286" t="s">
        <v>1106</v>
      </c>
      <c r="F1529" s="286" t="s">
        <v>2157</v>
      </c>
      <c r="G1529" s="286" t="s">
        <v>1055</v>
      </c>
      <c r="H1529" s="286" t="s">
        <v>1055</v>
      </c>
      <c r="I1529" s="286" t="s">
        <v>1228</v>
      </c>
      <c r="J1529" s="286" t="s">
        <v>53</v>
      </c>
      <c r="K1529" s="286" t="s">
        <v>53</v>
      </c>
      <c r="L1529" s="286" t="s">
        <v>53</v>
      </c>
      <c r="M1529" s="286" t="s">
        <v>53</v>
      </c>
      <c r="N1529" s="287">
        <v>1188.93</v>
      </c>
      <c r="O1529" s="294">
        <f t="shared" si="23"/>
        <v>45473</v>
      </c>
      <c r="P1529" s="286" t="s">
        <v>58</v>
      </c>
    </row>
    <row r="1530" spans="1:16" hidden="1" x14ac:dyDescent="0.15">
      <c r="A1530" s="286">
        <v>646075</v>
      </c>
      <c r="B1530" s="288">
        <v>45474.519444444442</v>
      </c>
      <c r="C1530" s="286" t="s">
        <v>2111</v>
      </c>
      <c r="D1530" s="286" t="s">
        <v>1105</v>
      </c>
      <c r="E1530" s="286" t="s">
        <v>1106</v>
      </c>
      <c r="F1530" s="286" t="s">
        <v>2137</v>
      </c>
      <c r="G1530" s="286" t="s">
        <v>1841</v>
      </c>
      <c r="H1530" s="286" t="s">
        <v>1841</v>
      </c>
      <c r="I1530" s="286" t="s">
        <v>1228</v>
      </c>
      <c r="J1530" s="286" t="s">
        <v>53</v>
      </c>
      <c r="K1530" s="286" t="s">
        <v>53</v>
      </c>
      <c r="L1530" s="286" t="s">
        <v>53</v>
      </c>
      <c r="M1530" s="286" t="s">
        <v>53</v>
      </c>
      <c r="N1530" s="287">
        <v>1188.93</v>
      </c>
      <c r="O1530" s="294">
        <f t="shared" si="23"/>
        <v>45504</v>
      </c>
      <c r="P1530" s="286" t="s">
        <v>58</v>
      </c>
    </row>
    <row r="1531" spans="1:16" hidden="1" x14ac:dyDescent="0.15">
      <c r="A1531" s="286">
        <v>575592</v>
      </c>
      <c r="B1531" s="288">
        <v>45425.339583333334</v>
      </c>
      <c r="C1531" s="286" t="s">
        <v>2116</v>
      </c>
      <c r="D1531" s="286" t="s">
        <v>1105</v>
      </c>
      <c r="E1531" s="286" t="s">
        <v>1106</v>
      </c>
      <c r="F1531" s="286" t="s">
        <v>2249</v>
      </c>
      <c r="G1531" s="286" t="s">
        <v>1059</v>
      </c>
      <c r="H1531" s="286" t="s">
        <v>1059</v>
      </c>
      <c r="I1531" s="286" t="s">
        <v>1129</v>
      </c>
      <c r="J1531" s="286" t="s">
        <v>1312</v>
      </c>
      <c r="K1531" s="286" t="s">
        <v>808</v>
      </c>
      <c r="L1531" s="286" t="s">
        <v>809</v>
      </c>
      <c r="M1531" s="286">
        <v>2</v>
      </c>
      <c r="N1531" s="287">
        <v>1175</v>
      </c>
      <c r="O1531" s="294">
        <f t="shared" si="23"/>
        <v>45443</v>
      </c>
      <c r="P1531" s="286" t="s">
        <v>164</v>
      </c>
    </row>
    <row r="1532" spans="1:16" hidden="1" x14ac:dyDescent="0.15">
      <c r="A1532" s="286">
        <v>534207</v>
      </c>
      <c r="B1532" s="288">
        <v>45385.750694444447</v>
      </c>
      <c r="C1532" s="286" t="s">
        <v>2096</v>
      </c>
      <c r="D1532" s="286" t="s">
        <v>1105</v>
      </c>
      <c r="E1532" s="286" t="s">
        <v>1106</v>
      </c>
      <c r="F1532" s="286" t="s">
        <v>2155</v>
      </c>
      <c r="G1532" s="286" t="s">
        <v>1011</v>
      </c>
      <c r="H1532" s="286" t="s">
        <v>1011</v>
      </c>
      <c r="I1532" s="286" t="s">
        <v>1152</v>
      </c>
      <c r="J1532" s="286" t="s">
        <v>53</v>
      </c>
      <c r="K1532" s="286" t="s">
        <v>53</v>
      </c>
      <c r="L1532" s="286" t="s">
        <v>53</v>
      </c>
      <c r="M1532" s="286" t="s">
        <v>53</v>
      </c>
      <c r="N1532" s="287">
        <v>1174.23</v>
      </c>
      <c r="O1532" s="294">
        <f t="shared" si="23"/>
        <v>45412</v>
      </c>
      <c r="P1532" s="286" t="s">
        <v>58</v>
      </c>
    </row>
    <row r="1533" spans="1:16" hidden="1" x14ac:dyDescent="0.15">
      <c r="A1533" s="286">
        <v>812643</v>
      </c>
      <c r="B1533" s="288">
        <v>45581.55</v>
      </c>
      <c r="C1533" s="286" t="s">
        <v>2132</v>
      </c>
      <c r="D1533" s="286" t="s">
        <v>1105</v>
      </c>
      <c r="E1533" s="286" t="s">
        <v>1106</v>
      </c>
      <c r="F1533" s="286" t="s">
        <v>2370</v>
      </c>
      <c r="G1533" s="286" t="s">
        <v>1058</v>
      </c>
      <c r="H1533" s="286" t="s">
        <v>1058</v>
      </c>
      <c r="I1533" s="286" t="s">
        <v>1282</v>
      </c>
      <c r="J1533" s="286" t="s">
        <v>53</v>
      </c>
      <c r="K1533" s="286" t="s">
        <v>53</v>
      </c>
      <c r="L1533" s="286" t="s">
        <v>53</v>
      </c>
      <c r="M1533" s="286" t="s">
        <v>53</v>
      </c>
      <c r="N1533" s="287">
        <v>1170</v>
      </c>
      <c r="O1533" s="294">
        <f t="shared" si="23"/>
        <v>45596</v>
      </c>
      <c r="P1533" s="286" t="s">
        <v>201</v>
      </c>
    </row>
    <row r="1534" spans="1:16" hidden="1" x14ac:dyDescent="0.15">
      <c r="A1534" s="286">
        <v>472168</v>
      </c>
      <c r="B1534" s="288">
        <v>45331.416666666664</v>
      </c>
      <c r="C1534" s="286" t="s">
        <v>2113</v>
      </c>
      <c r="D1534" s="286" t="s">
        <v>1105</v>
      </c>
      <c r="E1534" s="286" t="s">
        <v>1106</v>
      </c>
      <c r="F1534" s="286" t="s">
        <v>2153</v>
      </c>
      <c r="G1534" s="286" t="s">
        <v>1005</v>
      </c>
      <c r="H1534" s="286" t="s">
        <v>1005</v>
      </c>
      <c r="I1534" s="286" t="s">
        <v>1199</v>
      </c>
      <c r="J1534" s="286" t="s">
        <v>1312</v>
      </c>
      <c r="K1534" s="286" t="s">
        <v>53</v>
      </c>
      <c r="L1534" s="286" t="s">
        <v>53</v>
      </c>
      <c r="M1534" s="286" t="s">
        <v>53</v>
      </c>
      <c r="N1534" s="287">
        <v>1156.69</v>
      </c>
      <c r="O1534" s="294">
        <f t="shared" si="23"/>
        <v>45351</v>
      </c>
      <c r="P1534" s="286" t="s">
        <v>58</v>
      </c>
    </row>
    <row r="1535" spans="1:16" hidden="1" x14ac:dyDescent="0.15">
      <c r="A1535" s="286">
        <v>504817</v>
      </c>
      <c r="B1535" s="288">
        <v>45359.645138888889</v>
      </c>
      <c r="C1535" s="286" t="s">
        <v>2109</v>
      </c>
      <c r="D1535" s="286" t="s">
        <v>1105</v>
      </c>
      <c r="E1535" s="286" t="s">
        <v>1106</v>
      </c>
      <c r="F1535" s="286" t="s">
        <v>2154</v>
      </c>
      <c r="G1535" s="286" t="s">
        <v>1005</v>
      </c>
      <c r="H1535" s="286" t="s">
        <v>1005</v>
      </c>
      <c r="I1535" s="286" t="s">
        <v>1199</v>
      </c>
      <c r="J1535" s="286" t="s">
        <v>1312</v>
      </c>
      <c r="K1535" s="286" t="s">
        <v>53</v>
      </c>
      <c r="L1535" s="286" t="s">
        <v>53</v>
      </c>
      <c r="M1535" s="286" t="s">
        <v>53</v>
      </c>
      <c r="N1535" s="287">
        <v>1156.69</v>
      </c>
      <c r="O1535" s="294">
        <f t="shared" si="23"/>
        <v>45382</v>
      </c>
      <c r="P1535" s="286" t="s">
        <v>58</v>
      </c>
    </row>
    <row r="1536" spans="1:16" hidden="1" x14ac:dyDescent="0.15">
      <c r="A1536" s="286">
        <v>534207</v>
      </c>
      <c r="B1536" s="288">
        <v>45385.750694444447</v>
      </c>
      <c r="C1536" s="286" t="s">
        <v>2096</v>
      </c>
      <c r="D1536" s="286" t="s">
        <v>1105</v>
      </c>
      <c r="E1536" s="286" t="s">
        <v>1106</v>
      </c>
      <c r="F1536" s="286" t="s">
        <v>2155</v>
      </c>
      <c r="G1536" s="286" t="s">
        <v>1005</v>
      </c>
      <c r="H1536" s="286" t="s">
        <v>1005</v>
      </c>
      <c r="I1536" s="286" t="s">
        <v>1199</v>
      </c>
      <c r="J1536" s="286" t="s">
        <v>1312</v>
      </c>
      <c r="K1536" s="286" t="s">
        <v>53</v>
      </c>
      <c r="L1536" s="286" t="s">
        <v>53</v>
      </c>
      <c r="M1536" s="286" t="s">
        <v>53</v>
      </c>
      <c r="N1536" s="287">
        <v>1156.69</v>
      </c>
      <c r="O1536" s="294">
        <f t="shared" si="23"/>
        <v>45412</v>
      </c>
      <c r="P1536" s="286" t="s">
        <v>58</v>
      </c>
    </row>
    <row r="1537" spans="1:16" hidden="1" x14ac:dyDescent="0.15">
      <c r="A1537" s="286">
        <v>614216</v>
      </c>
      <c r="B1537" s="288">
        <v>45455.716666666667</v>
      </c>
      <c r="C1537" s="286" t="s">
        <v>2116</v>
      </c>
      <c r="D1537" s="286" t="s">
        <v>1105</v>
      </c>
      <c r="E1537" s="286" t="s">
        <v>1106</v>
      </c>
      <c r="F1537" s="286" t="s">
        <v>2156</v>
      </c>
      <c r="G1537" s="286" t="s">
        <v>1005</v>
      </c>
      <c r="H1537" s="286" t="s">
        <v>1005</v>
      </c>
      <c r="I1537" s="286" t="s">
        <v>1199</v>
      </c>
      <c r="J1537" s="286" t="s">
        <v>1312</v>
      </c>
      <c r="K1537" s="286" t="s">
        <v>53</v>
      </c>
      <c r="L1537" s="286" t="s">
        <v>53</v>
      </c>
      <c r="M1537" s="286" t="s">
        <v>53</v>
      </c>
      <c r="N1537" s="287">
        <v>1156.69</v>
      </c>
      <c r="O1537" s="294">
        <f t="shared" si="23"/>
        <v>45473</v>
      </c>
      <c r="P1537" s="286" t="s">
        <v>58</v>
      </c>
    </row>
    <row r="1538" spans="1:16" hidden="1" x14ac:dyDescent="0.15">
      <c r="A1538" s="286">
        <v>608480</v>
      </c>
      <c r="B1538" s="288">
        <v>45450.422222222223</v>
      </c>
      <c r="C1538" s="286" t="s">
        <v>2092</v>
      </c>
      <c r="D1538" s="286" t="s">
        <v>1105</v>
      </c>
      <c r="E1538" s="286" t="s">
        <v>1106</v>
      </c>
      <c r="F1538" s="286" t="s">
        <v>2157</v>
      </c>
      <c r="G1538" s="286" t="s">
        <v>1005</v>
      </c>
      <c r="H1538" s="286" t="s">
        <v>1005</v>
      </c>
      <c r="I1538" s="286" t="s">
        <v>1199</v>
      </c>
      <c r="J1538" s="286" t="s">
        <v>1312</v>
      </c>
      <c r="K1538" s="286" t="s">
        <v>53</v>
      </c>
      <c r="L1538" s="286" t="s">
        <v>53</v>
      </c>
      <c r="M1538" s="286" t="s">
        <v>53</v>
      </c>
      <c r="N1538" s="287">
        <v>1156.69</v>
      </c>
      <c r="O1538" s="294">
        <f t="shared" si="23"/>
        <v>45473</v>
      </c>
      <c r="P1538" s="286" t="s">
        <v>58</v>
      </c>
    </row>
    <row r="1539" spans="1:16" hidden="1" x14ac:dyDescent="0.15">
      <c r="A1539" s="286">
        <v>646075</v>
      </c>
      <c r="B1539" s="288">
        <v>45474.519444444442</v>
      </c>
      <c r="C1539" s="286" t="s">
        <v>2111</v>
      </c>
      <c r="D1539" s="286" t="s">
        <v>1105</v>
      </c>
      <c r="E1539" s="286" t="s">
        <v>1106</v>
      </c>
      <c r="F1539" s="286" t="s">
        <v>2137</v>
      </c>
      <c r="G1539" s="286" t="s">
        <v>1005</v>
      </c>
      <c r="H1539" s="286" t="s">
        <v>1005</v>
      </c>
      <c r="I1539" s="286" t="s">
        <v>1199</v>
      </c>
      <c r="J1539" s="286" t="s">
        <v>1312</v>
      </c>
      <c r="K1539" s="286" t="s">
        <v>53</v>
      </c>
      <c r="L1539" s="286" t="s">
        <v>53</v>
      </c>
      <c r="M1539" s="286" t="s">
        <v>53</v>
      </c>
      <c r="N1539" s="287">
        <v>1156.69</v>
      </c>
      <c r="O1539" s="294">
        <f t="shared" si="23"/>
        <v>45504</v>
      </c>
      <c r="P1539" s="286" t="s">
        <v>58</v>
      </c>
    </row>
    <row r="1540" spans="1:16" hidden="1" x14ac:dyDescent="0.15">
      <c r="A1540" s="286">
        <v>697810</v>
      </c>
      <c r="B1540" s="288">
        <v>45510.366666666669</v>
      </c>
      <c r="C1540" s="286" t="s">
        <v>2102</v>
      </c>
      <c r="D1540" s="286" t="s">
        <v>1105</v>
      </c>
      <c r="E1540" s="286" t="s">
        <v>1106</v>
      </c>
      <c r="F1540" s="286" t="s">
        <v>2138</v>
      </c>
      <c r="G1540" s="286" t="s">
        <v>1005</v>
      </c>
      <c r="H1540" s="286" t="s">
        <v>1005</v>
      </c>
      <c r="I1540" s="286" t="s">
        <v>1199</v>
      </c>
      <c r="J1540" s="286" t="s">
        <v>1312</v>
      </c>
      <c r="K1540" s="286" t="s">
        <v>53</v>
      </c>
      <c r="L1540" s="286" t="s">
        <v>53</v>
      </c>
      <c r="M1540" s="286" t="s">
        <v>53</v>
      </c>
      <c r="N1540" s="287">
        <v>1156.69</v>
      </c>
      <c r="O1540" s="294">
        <f t="shared" ref="O1540:O1603" si="24">EOMONTH(B1540,0)</f>
        <v>45535</v>
      </c>
      <c r="P1540" s="286" t="s">
        <v>58</v>
      </c>
    </row>
    <row r="1541" spans="1:16" hidden="1" x14ac:dyDescent="0.15">
      <c r="A1541" s="286">
        <v>745911</v>
      </c>
      <c r="B1541" s="288">
        <v>45538.44027777778</v>
      </c>
      <c r="C1541" s="286" t="s">
        <v>2132</v>
      </c>
      <c r="D1541" s="286" t="s">
        <v>1105</v>
      </c>
      <c r="E1541" s="286" t="s">
        <v>1106</v>
      </c>
      <c r="F1541" s="286" t="s">
        <v>2139</v>
      </c>
      <c r="G1541" s="286" t="s">
        <v>1005</v>
      </c>
      <c r="H1541" s="286" t="s">
        <v>1005</v>
      </c>
      <c r="I1541" s="286" t="s">
        <v>1199</v>
      </c>
      <c r="J1541" s="286" t="s">
        <v>1312</v>
      </c>
      <c r="K1541" s="286" t="s">
        <v>53</v>
      </c>
      <c r="L1541" s="286" t="s">
        <v>53</v>
      </c>
      <c r="M1541" s="286" t="s">
        <v>53</v>
      </c>
      <c r="N1541" s="287">
        <v>1156.69</v>
      </c>
      <c r="O1541" s="294">
        <f t="shared" si="24"/>
        <v>45565</v>
      </c>
      <c r="P1541" s="286" t="s">
        <v>58</v>
      </c>
    </row>
    <row r="1542" spans="1:16" hidden="1" x14ac:dyDescent="0.15">
      <c r="A1542" s="286">
        <v>848817</v>
      </c>
      <c r="B1542" s="288">
        <v>45607.65902777778</v>
      </c>
      <c r="C1542" s="286" t="s">
        <v>2130</v>
      </c>
      <c r="D1542" s="286" t="s">
        <v>1105</v>
      </c>
      <c r="E1542" s="286" t="s">
        <v>1106</v>
      </c>
      <c r="F1542" s="286" t="s">
        <v>2140</v>
      </c>
      <c r="G1542" s="286" t="s">
        <v>1005</v>
      </c>
      <c r="H1542" s="286" t="s">
        <v>1005</v>
      </c>
      <c r="I1542" s="286" t="s">
        <v>1199</v>
      </c>
      <c r="J1542" s="286" t="s">
        <v>1312</v>
      </c>
      <c r="K1542" s="286" t="s">
        <v>53</v>
      </c>
      <c r="L1542" s="286" t="s">
        <v>53</v>
      </c>
      <c r="M1542" s="286" t="s">
        <v>53</v>
      </c>
      <c r="N1542" s="287">
        <v>1156.69</v>
      </c>
      <c r="O1542" s="294">
        <f t="shared" si="24"/>
        <v>45626</v>
      </c>
      <c r="P1542" s="286" t="s">
        <v>58</v>
      </c>
    </row>
    <row r="1543" spans="1:16" hidden="1" x14ac:dyDescent="0.15">
      <c r="A1543" s="286">
        <v>848917</v>
      </c>
      <c r="B1543" s="288">
        <v>45607.660416666666</v>
      </c>
      <c r="C1543" s="286" t="s">
        <v>2100</v>
      </c>
      <c r="D1543" s="286" t="s">
        <v>1105</v>
      </c>
      <c r="E1543" s="286" t="s">
        <v>1106</v>
      </c>
      <c r="F1543" s="286" t="s">
        <v>2141</v>
      </c>
      <c r="G1543" s="286" t="s">
        <v>1005</v>
      </c>
      <c r="H1543" s="286" t="s">
        <v>1005</v>
      </c>
      <c r="I1543" s="286" t="s">
        <v>1199</v>
      </c>
      <c r="J1543" s="286" t="s">
        <v>1312</v>
      </c>
      <c r="K1543" s="286" t="s">
        <v>53</v>
      </c>
      <c r="L1543" s="286" t="s">
        <v>53</v>
      </c>
      <c r="M1543" s="286" t="s">
        <v>53</v>
      </c>
      <c r="N1543" s="287">
        <v>1156.69</v>
      </c>
      <c r="O1543" s="294">
        <f t="shared" si="24"/>
        <v>45626</v>
      </c>
      <c r="P1543" s="286" t="s">
        <v>58</v>
      </c>
    </row>
    <row r="1544" spans="1:16" hidden="1" x14ac:dyDescent="0.15">
      <c r="A1544" s="286">
        <v>874698</v>
      </c>
      <c r="B1544" s="288">
        <v>45628.357638888891</v>
      </c>
      <c r="C1544" s="286" t="s">
        <v>2098</v>
      </c>
      <c r="D1544" s="286" t="s">
        <v>1105</v>
      </c>
      <c r="E1544" s="286" t="s">
        <v>1106</v>
      </c>
      <c r="F1544" s="286" t="s">
        <v>2142</v>
      </c>
      <c r="G1544" s="286" t="s">
        <v>1005</v>
      </c>
      <c r="H1544" s="286" t="s">
        <v>1005</v>
      </c>
      <c r="I1544" s="286" t="s">
        <v>1199</v>
      </c>
      <c r="J1544" s="286" t="s">
        <v>1312</v>
      </c>
      <c r="K1544" s="286" t="s">
        <v>53</v>
      </c>
      <c r="L1544" s="286" t="s">
        <v>53</v>
      </c>
      <c r="M1544" s="286" t="s">
        <v>53</v>
      </c>
      <c r="N1544" s="287">
        <v>1156.69</v>
      </c>
      <c r="O1544" s="294">
        <f t="shared" si="24"/>
        <v>45657</v>
      </c>
      <c r="P1544" s="286" t="s">
        <v>58</v>
      </c>
    </row>
    <row r="1545" spans="1:16" hidden="1" x14ac:dyDescent="0.15">
      <c r="A1545" s="286">
        <v>872069</v>
      </c>
      <c r="B1545" s="288">
        <v>45622.559027777781</v>
      </c>
      <c r="C1545" s="286" t="s">
        <v>2100</v>
      </c>
      <c r="D1545" s="286" t="s">
        <v>1105</v>
      </c>
      <c r="E1545" s="286" t="s">
        <v>1106</v>
      </c>
      <c r="F1545" s="286" t="s">
        <v>2371</v>
      </c>
      <c r="G1545" s="286" t="s">
        <v>1349</v>
      </c>
      <c r="H1545" s="286" t="s">
        <v>1349</v>
      </c>
      <c r="I1545" s="286" t="s">
        <v>1129</v>
      </c>
      <c r="J1545" s="286" t="s">
        <v>1312</v>
      </c>
      <c r="K1545" s="286" t="s">
        <v>1321</v>
      </c>
      <c r="L1545" s="286" t="s">
        <v>1322</v>
      </c>
      <c r="M1545" s="286">
        <v>100</v>
      </c>
      <c r="N1545" s="287">
        <v>1146</v>
      </c>
      <c r="O1545" s="294">
        <f t="shared" si="24"/>
        <v>45626</v>
      </c>
      <c r="P1545" s="286" t="s">
        <v>164</v>
      </c>
    </row>
    <row r="1546" spans="1:16" hidden="1" x14ac:dyDescent="0.15">
      <c r="A1546" s="286">
        <v>608480</v>
      </c>
      <c r="B1546" s="288">
        <v>45450.422222222223</v>
      </c>
      <c r="C1546" s="286" t="s">
        <v>2092</v>
      </c>
      <c r="D1546" s="286" t="s">
        <v>1105</v>
      </c>
      <c r="E1546" s="286" t="s">
        <v>1106</v>
      </c>
      <c r="F1546" s="286" t="s">
        <v>2157</v>
      </c>
      <c r="G1546" s="286" t="s">
        <v>1058</v>
      </c>
      <c r="H1546" s="286" t="s">
        <v>1058</v>
      </c>
      <c r="I1546" s="286" t="s">
        <v>1228</v>
      </c>
      <c r="J1546" s="286" t="s">
        <v>53</v>
      </c>
      <c r="K1546" s="286" t="s">
        <v>53</v>
      </c>
      <c r="L1546" s="286" t="s">
        <v>53</v>
      </c>
      <c r="M1546" s="286" t="s">
        <v>53</v>
      </c>
      <c r="N1546" s="287">
        <v>1141.4100000000001</v>
      </c>
      <c r="O1546" s="294">
        <f t="shared" si="24"/>
        <v>45473</v>
      </c>
      <c r="P1546" s="286" t="s">
        <v>58</v>
      </c>
    </row>
    <row r="1547" spans="1:16" hidden="1" x14ac:dyDescent="0.15">
      <c r="A1547" s="286">
        <v>614316</v>
      </c>
      <c r="B1547" s="288">
        <v>45455.717361111114</v>
      </c>
      <c r="C1547" s="286" t="s">
        <v>2092</v>
      </c>
      <c r="D1547" s="286" t="s">
        <v>1105</v>
      </c>
      <c r="E1547" s="286" t="s">
        <v>1106</v>
      </c>
      <c r="F1547" s="286" t="s">
        <v>2167</v>
      </c>
      <c r="G1547" s="286" t="s">
        <v>1039</v>
      </c>
      <c r="H1547" s="286" t="s">
        <v>1039</v>
      </c>
      <c r="I1547" s="286" t="s">
        <v>1228</v>
      </c>
      <c r="J1547" s="286" t="s">
        <v>1312</v>
      </c>
      <c r="K1547" s="286" t="s">
        <v>53</v>
      </c>
      <c r="L1547" s="286" t="s">
        <v>53</v>
      </c>
      <c r="M1547" s="286" t="s">
        <v>53</v>
      </c>
      <c r="N1547" s="287">
        <v>1136.52</v>
      </c>
      <c r="O1547" s="294">
        <f t="shared" si="24"/>
        <v>45473</v>
      </c>
      <c r="P1547" s="286" t="s">
        <v>58</v>
      </c>
    </row>
    <row r="1548" spans="1:16" hidden="1" x14ac:dyDescent="0.15">
      <c r="A1548" s="286">
        <v>438112</v>
      </c>
      <c r="B1548" s="288">
        <v>45293.53402777778</v>
      </c>
      <c r="C1548" s="286" t="s">
        <v>2125</v>
      </c>
      <c r="D1548" s="286" t="s">
        <v>1105</v>
      </c>
      <c r="E1548" s="286" t="s">
        <v>1106</v>
      </c>
      <c r="F1548" s="286" t="s">
        <v>2152</v>
      </c>
      <c r="G1548" s="286" t="s">
        <v>1073</v>
      </c>
      <c r="H1548" s="286" t="s">
        <v>1073</v>
      </c>
      <c r="I1548" s="286" t="s">
        <v>1199</v>
      </c>
      <c r="J1548" s="286" t="s">
        <v>1312</v>
      </c>
      <c r="K1548" s="286" t="s">
        <v>1754</v>
      </c>
      <c r="L1548" s="286" t="s">
        <v>672</v>
      </c>
      <c r="M1548" s="286">
        <v>1</v>
      </c>
      <c r="N1548" s="287">
        <v>1121.27</v>
      </c>
      <c r="O1548" s="294">
        <f t="shared" si="24"/>
        <v>45322</v>
      </c>
      <c r="P1548" s="286" t="s">
        <v>58</v>
      </c>
    </row>
    <row r="1549" spans="1:16" hidden="1" x14ac:dyDescent="0.15">
      <c r="A1549" s="286">
        <v>472168</v>
      </c>
      <c r="B1549" s="288">
        <v>45331.416666666664</v>
      </c>
      <c r="C1549" s="286" t="s">
        <v>2113</v>
      </c>
      <c r="D1549" s="286" t="s">
        <v>1105</v>
      </c>
      <c r="E1549" s="286" t="s">
        <v>1106</v>
      </c>
      <c r="F1549" s="286" t="s">
        <v>2153</v>
      </c>
      <c r="G1549" s="286" t="s">
        <v>1073</v>
      </c>
      <c r="H1549" s="286" t="s">
        <v>1073</v>
      </c>
      <c r="I1549" s="286" t="s">
        <v>1199</v>
      </c>
      <c r="J1549" s="286" t="s">
        <v>1312</v>
      </c>
      <c r="K1549" s="286" t="s">
        <v>1754</v>
      </c>
      <c r="L1549" s="286" t="s">
        <v>672</v>
      </c>
      <c r="M1549" s="286">
        <v>1</v>
      </c>
      <c r="N1549" s="287">
        <v>1121.27</v>
      </c>
      <c r="O1549" s="294">
        <f t="shared" si="24"/>
        <v>45351</v>
      </c>
      <c r="P1549" s="286" t="s">
        <v>58</v>
      </c>
    </row>
    <row r="1550" spans="1:16" hidden="1" x14ac:dyDescent="0.15">
      <c r="A1550" s="286">
        <v>504817</v>
      </c>
      <c r="B1550" s="288">
        <v>45359.645138888889</v>
      </c>
      <c r="C1550" s="286" t="s">
        <v>2109</v>
      </c>
      <c r="D1550" s="286" t="s">
        <v>1105</v>
      </c>
      <c r="E1550" s="286" t="s">
        <v>1106</v>
      </c>
      <c r="F1550" s="286" t="s">
        <v>2154</v>
      </c>
      <c r="G1550" s="286" t="s">
        <v>1073</v>
      </c>
      <c r="H1550" s="286" t="s">
        <v>1073</v>
      </c>
      <c r="I1550" s="286" t="s">
        <v>1199</v>
      </c>
      <c r="J1550" s="286" t="s">
        <v>1312</v>
      </c>
      <c r="K1550" s="286" t="s">
        <v>1754</v>
      </c>
      <c r="L1550" s="286" t="s">
        <v>672</v>
      </c>
      <c r="M1550" s="286">
        <v>1</v>
      </c>
      <c r="N1550" s="287">
        <v>1121.27</v>
      </c>
      <c r="O1550" s="294">
        <f t="shared" si="24"/>
        <v>45382</v>
      </c>
      <c r="P1550" s="286" t="s">
        <v>58</v>
      </c>
    </row>
    <row r="1551" spans="1:16" hidden="1" x14ac:dyDescent="0.15">
      <c r="A1551" s="286">
        <v>534207</v>
      </c>
      <c r="B1551" s="288">
        <v>45385.750694444447</v>
      </c>
      <c r="C1551" s="286" t="s">
        <v>2096</v>
      </c>
      <c r="D1551" s="286" t="s">
        <v>1105</v>
      </c>
      <c r="E1551" s="286" t="s">
        <v>1106</v>
      </c>
      <c r="F1551" s="286" t="s">
        <v>2155</v>
      </c>
      <c r="G1551" s="286" t="s">
        <v>1073</v>
      </c>
      <c r="H1551" s="286" t="s">
        <v>1073</v>
      </c>
      <c r="I1551" s="286" t="s">
        <v>1199</v>
      </c>
      <c r="J1551" s="286" t="s">
        <v>1312</v>
      </c>
      <c r="K1551" s="286" t="s">
        <v>1754</v>
      </c>
      <c r="L1551" s="286" t="s">
        <v>672</v>
      </c>
      <c r="M1551" s="286">
        <v>1</v>
      </c>
      <c r="N1551" s="287">
        <v>1121.27</v>
      </c>
      <c r="O1551" s="294">
        <f t="shared" si="24"/>
        <v>45412</v>
      </c>
      <c r="P1551" s="286" t="s">
        <v>58</v>
      </c>
    </row>
    <row r="1552" spans="1:16" hidden="1" x14ac:dyDescent="0.15">
      <c r="A1552" s="286">
        <v>614216</v>
      </c>
      <c r="B1552" s="288">
        <v>45455.716666666667</v>
      </c>
      <c r="C1552" s="286" t="s">
        <v>2116</v>
      </c>
      <c r="D1552" s="286" t="s">
        <v>1105</v>
      </c>
      <c r="E1552" s="286" t="s">
        <v>1106</v>
      </c>
      <c r="F1552" s="286" t="s">
        <v>2156</v>
      </c>
      <c r="G1552" s="286" t="s">
        <v>1073</v>
      </c>
      <c r="H1552" s="286" t="s">
        <v>1073</v>
      </c>
      <c r="I1552" s="286" t="s">
        <v>1199</v>
      </c>
      <c r="J1552" s="286" t="s">
        <v>1312</v>
      </c>
      <c r="K1552" s="286" t="s">
        <v>1754</v>
      </c>
      <c r="L1552" s="286" t="s">
        <v>672</v>
      </c>
      <c r="M1552" s="286">
        <v>1</v>
      </c>
      <c r="N1552" s="287">
        <v>1121.27</v>
      </c>
      <c r="O1552" s="294">
        <f t="shared" si="24"/>
        <v>45473</v>
      </c>
      <c r="P1552" s="286" t="s">
        <v>58</v>
      </c>
    </row>
    <row r="1553" spans="1:16" hidden="1" x14ac:dyDescent="0.15">
      <c r="A1553" s="286">
        <v>608480</v>
      </c>
      <c r="B1553" s="288">
        <v>45450.422222222223</v>
      </c>
      <c r="C1553" s="286" t="s">
        <v>2092</v>
      </c>
      <c r="D1553" s="286" t="s">
        <v>1105</v>
      </c>
      <c r="E1553" s="286" t="s">
        <v>1106</v>
      </c>
      <c r="F1553" s="286" t="s">
        <v>2157</v>
      </c>
      <c r="G1553" s="286" t="s">
        <v>1073</v>
      </c>
      <c r="H1553" s="286" t="s">
        <v>1073</v>
      </c>
      <c r="I1553" s="286" t="s">
        <v>1199</v>
      </c>
      <c r="J1553" s="286" t="s">
        <v>1312</v>
      </c>
      <c r="K1553" s="286" t="s">
        <v>1754</v>
      </c>
      <c r="L1553" s="286" t="s">
        <v>672</v>
      </c>
      <c r="M1553" s="286">
        <v>1</v>
      </c>
      <c r="N1553" s="287">
        <v>1121.21</v>
      </c>
      <c r="O1553" s="294">
        <f t="shared" si="24"/>
        <v>45473</v>
      </c>
      <c r="P1553" s="286" t="s">
        <v>58</v>
      </c>
    </row>
    <row r="1554" spans="1:16" hidden="1" x14ac:dyDescent="0.15">
      <c r="A1554" s="286">
        <v>697810</v>
      </c>
      <c r="B1554" s="288">
        <v>45510.366666666669</v>
      </c>
      <c r="C1554" s="286" t="s">
        <v>2102</v>
      </c>
      <c r="D1554" s="286" t="s">
        <v>1105</v>
      </c>
      <c r="E1554" s="286" t="s">
        <v>1106</v>
      </c>
      <c r="F1554" s="286" t="s">
        <v>2138</v>
      </c>
      <c r="G1554" s="286" t="s">
        <v>1071</v>
      </c>
      <c r="H1554" s="286" t="s">
        <v>1071</v>
      </c>
      <c r="I1554" s="286" t="s">
        <v>1199</v>
      </c>
      <c r="J1554" s="286" t="s">
        <v>1312</v>
      </c>
      <c r="K1554" s="286" t="s">
        <v>1806</v>
      </c>
      <c r="L1554" s="286" t="s">
        <v>672</v>
      </c>
      <c r="M1554" s="286">
        <v>1</v>
      </c>
      <c r="N1554" s="287">
        <v>1111.3900000000001</v>
      </c>
      <c r="O1554" s="294">
        <f t="shared" si="24"/>
        <v>45535</v>
      </c>
      <c r="P1554" s="286" t="s">
        <v>58</v>
      </c>
    </row>
    <row r="1555" spans="1:16" hidden="1" x14ac:dyDescent="0.15">
      <c r="A1555" s="286">
        <v>745911</v>
      </c>
      <c r="B1555" s="288">
        <v>45538.44027777778</v>
      </c>
      <c r="C1555" s="286" t="s">
        <v>2132</v>
      </c>
      <c r="D1555" s="286" t="s">
        <v>1105</v>
      </c>
      <c r="E1555" s="286" t="s">
        <v>1106</v>
      </c>
      <c r="F1555" s="286" t="s">
        <v>2139</v>
      </c>
      <c r="G1555" s="286" t="s">
        <v>1071</v>
      </c>
      <c r="H1555" s="286" t="s">
        <v>1071</v>
      </c>
      <c r="I1555" s="286" t="s">
        <v>1199</v>
      </c>
      <c r="J1555" s="286" t="s">
        <v>1312</v>
      </c>
      <c r="K1555" s="286" t="s">
        <v>1806</v>
      </c>
      <c r="L1555" s="286" t="s">
        <v>672</v>
      </c>
      <c r="M1555" s="286">
        <v>1</v>
      </c>
      <c r="N1555" s="287">
        <v>1111.3900000000001</v>
      </c>
      <c r="O1555" s="294">
        <f t="shared" si="24"/>
        <v>45565</v>
      </c>
      <c r="P1555" s="286" t="s">
        <v>58</v>
      </c>
    </row>
    <row r="1556" spans="1:16" hidden="1" x14ac:dyDescent="0.15">
      <c r="A1556" s="286">
        <v>848817</v>
      </c>
      <c r="B1556" s="288">
        <v>45607.65902777778</v>
      </c>
      <c r="C1556" s="286" t="s">
        <v>2130</v>
      </c>
      <c r="D1556" s="286" t="s">
        <v>1105</v>
      </c>
      <c r="E1556" s="286" t="s">
        <v>1106</v>
      </c>
      <c r="F1556" s="286" t="s">
        <v>2140</v>
      </c>
      <c r="G1556" s="286" t="s">
        <v>1071</v>
      </c>
      <c r="H1556" s="286" t="s">
        <v>1071</v>
      </c>
      <c r="I1556" s="286" t="s">
        <v>1199</v>
      </c>
      <c r="J1556" s="286" t="s">
        <v>1312</v>
      </c>
      <c r="K1556" s="286" t="s">
        <v>1806</v>
      </c>
      <c r="L1556" s="286" t="s">
        <v>672</v>
      </c>
      <c r="M1556" s="286">
        <v>1</v>
      </c>
      <c r="N1556" s="287">
        <v>1111.3900000000001</v>
      </c>
      <c r="O1556" s="294">
        <f t="shared" si="24"/>
        <v>45626</v>
      </c>
      <c r="P1556" s="286" t="s">
        <v>58</v>
      </c>
    </row>
    <row r="1557" spans="1:16" hidden="1" x14ac:dyDescent="0.15">
      <c r="A1557" s="286">
        <v>848917</v>
      </c>
      <c r="B1557" s="288">
        <v>45607.660416666666</v>
      </c>
      <c r="C1557" s="286" t="s">
        <v>2100</v>
      </c>
      <c r="D1557" s="286" t="s">
        <v>1105</v>
      </c>
      <c r="E1557" s="286" t="s">
        <v>1106</v>
      </c>
      <c r="F1557" s="286" t="s">
        <v>2141</v>
      </c>
      <c r="G1557" s="286" t="s">
        <v>1071</v>
      </c>
      <c r="H1557" s="286" t="s">
        <v>1071</v>
      </c>
      <c r="I1557" s="286" t="s">
        <v>1199</v>
      </c>
      <c r="J1557" s="286" t="s">
        <v>1312</v>
      </c>
      <c r="K1557" s="286" t="s">
        <v>1806</v>
      </c>
      <c r="L1557" s="286" t="s">
        <v>672</v>
      </c>
      <c r="M1557" s="286">
        <v>1</v>
      </c>
      <c r="N1557" s="287">
        <v>1111.3900000000001</v>
      </c>
      <c r="O1557" s="294">
        <f t="shared" si="24"/>
        <v>45626</v>
      </c>
      <c r="P1557" s="286" t="s">
        <v>58</v>
      </c>
    </row>
    <row r="1558" spans="1:16" hidden="1" x14ac:dyDescent="0.15">
      <c r="A1558" s="286">
        <v>874698</v>
      </c>
      <c r="B1558" s="288">
        <v>45628.357638888891</v>
      </c>
      <c r="C1558" s="286" t="s">
        <v>2098</v>
      </c>
      <c r="D1558" s="286" t="s">
        <v>1105</v>
      </c>
      <c r="E1558" s="286" t="s">
        <v>1106</v>
      </c>
      <c r="F1558" s="286" t="s">
        <v>2142</v>
      </c>
      <c r="G1558" s="286" t="s">
        <v>1071</v>
      </c>
      <c r="H1558" s="286" t="s">
        <v>1071</v>
      </c>
      <c r="I1558" s="286" t="s">
        <v>1199</v>
      </c>
      <c r="J1558" s="286" t="s">
        <v>1312</v>
      </c>
      <c r="K1558" s="286" t="s">
        <v>1806</v>
      </c>
      <c r="L1558" s="286" t="s">
        <v>672</v>
      </c>
      <c r="M1558" s="286">
        <v>1</v>
      </c>
      <c r="N1558" s="287">
        <v>1111.3900000000001</v>
      </c>
      <c r="O1558" s="294">
        <f t="shared" si="24"/>
        <v>45657</v>
      </c>
      <c r="P1558" s="286" t="s">
        <v>58</v>
      </c>
    </row>
    <row r="1559" spans="1:16" hidden="1" x14ac:dyDescent="0.15">
      <c r="A1559" s="286">
        <v>646075</v>
      </c>
      <c r="B1559" s="288">
        <v>45474.519444444442</v>
      </c>
      <c r="C1559" s="286" t="s">
        <v>2111</v>
      </c>
      <c r="D1559" s="286" t="s">
        <v>1105</v>
      </c>
      <c r="E1559" s="286" t="s">
        <v>1106</v>
      </c>
      <c r="F1559" s="286" t="s">
        <v>2137</v>
      </c>
      <c r="G1559" s="286" t="s">
        <v>1055</v>
      </c>
      <c r="H1559" s="286" t="s">
        <v>1055</v>
      </c>
      <c r="I1559" s="286" t="s">
        <v>1228</v>
      </c>
      <c r="J1559" s="286" t="s">
        <v>53</v>
      </c>
      <c r="K1559" s="286" t="s">
        <v>53</v>
      </c>
      <c r="L1559" s="286" t="s">
        <v>53</v>
      </c>
      <c r="M1559" s="286" t="s">
        <v>53</v>
      </c>
      <c r="N1559" s="287">
        <v>1093.1500000000001</v>
      </c>
      <c r="O1559" s="294">
        <f t="shared" si="24"/>
        <v>45504</v>
      </c>
      <c r="P1559" s="286" t="s">
        <v>58</v>
      </c>
    </row>
    <row r="1560" spans="1:16" hidden="1" x14ac:dyDescent="0.15">
      <c r="A1560" s="286">
        <v>712645</v>
      </c>
      <c r="B1560" s="288">
        <v>45517.640972222223</v>
      </c>
      <c r="C1560" s="286" t="s">
        <v>2111</v>
      </c>
      <c r="D1560" s="286" t="s">
        <v>1105</v>
      </c>
      <c r="E1560" s="286" t="s">
        <v>1106</v>
      </c>
      <c r="F1560" s="286" t="s">
        <v>2160</v>
      </c>
      <c r="G1560" s="286" t="s">
        <v>1055</v>
      </c>
      <c r="H1560" s="286" t="s">
        <v>1055</v>
      </c>
      <c r="I1560" s="286" t="s">
        <v>1199</v>
      </c>
      <c r="J1560" s="286" t="s">
        <v>1312</v>
      </c>
      <c r="K1560" s="286" t="s">
        <v>53</v>
      </c>
      <c r="L1560" s="286" t="s">
        <v>53</v>
      </c>
      <c r="M1560" s="286" t="s">
        <v>53</v>
      </c>
      <c r="N1560" s="287">
        <v>1093.1500000000001</v>
      </c>
      <c r="O1560" s="294">
        <f t="shared" si="24"/>
        <v>45535</v>
      </c>
      <c r="P1560" s="286" t="s">
        <v>58</v>
      </c>
    </row>
    <row r="1561" spans="1:16" hidden="1" x14ac:dyDescent="0.15">
      <c r="A1561" s="286">
        <v>739791</v>
      </c>
      <c r="B1561" s="288">
        <v>45532.376388888886</v>
      </c>
      <c r="C1561" s="286" t="s">
        <v>2102</v>
      </c>
      <c r="D1561" s="286" t="s">
        <v>1105</v>
      </c>
      <c r="E1561" s="286" t="s">
        <v>1106</v>
      </c>
      <c r="F1561" s="286" t="s">
        <v>2372</v>
      </c>
      <c r="G1561" s="286" t="s">
        <v>1007</v>
      </c>
      <c r="H1561" s="286" t="s">
        <v>1007</v>
      </c>
      <c r="I1561" s="286" t="s">
        <v>1129</v>
      </c>
      <c r="J1561" s="286" t="s">
        <v>1312</v>
      </c>
      <c r="K1561" s="286" t="s">
        <v>2373</v>
      </c>
      <c r="L1561" s="286" t="s">
        <v>2374</v>
      </c>
      <c r="M1561" s="286">
        <v>1</v>
      </c>
      <c r="N1561" s="287">
        <v>1074.29</v>
      </c>
      <c r="O1561" s="294">
        <f t="shared" si="24"/>
        <v>45535</v>
      </c>
      <c r="P1561" s="286" t="s">
        <v>164</v>
      </c>
    </row>
    <row r="1562" spans="1:16" hidden="1" x14ac:dyDescent="0.15">
      <c r="A1562" s="286">
        <v>769793</v>
      </c>
      <c r="B1562" s="288">
        <v>45548.663194444445</v>
      </c>
      <c r="C1562" s="286" t="s">
        <v>2102</v>
      </c>
      <c r="D1562" s="286" t="s">
        <v>1105</v>
      </c>
      <c r="E1562" s="286" t="s">
        <v>1106</v>
      </c>
      <c r="F1562" s="286" t="s">
        <v>2375</v>
      </c>
      <c r="G1562" s="286" t="s">
        <v>1004</v>
      </c>
      <c r="H1562" s="286" t="s">
        <v>1004</v>
      </c>
      <c r="I1562" s="286" t="s">
        <v>1199</v>
      </c>
      <c r="J1562" s="286" t="s">
        <v>1312</v>
      </c>
      <c r="K1562" s="286" t="s">
        <v>2376</v>
      </c>
      <c r="L1562" s="286" t="s">
        <v>53</v>
      </c>
      <c r="M1562" s="286">
        <v>1</v>
      </c>
      <c r="N1562" s="287">
        <v>1068.5899999999999</v>
      </c>
      <c r="O1562" s="294">
        <f t="shared" si="24"/>
        <v>45565</v>
      </c>
      <c r="P1562" s="286" t="s">
        <v>58</v>
      </c>
    </row>
    <row r="1563" spans="1:16" hidden="1" x14ac:dyDescent="0.15">
      <c r="A1563" s="286">
        <v>646075</v>
      </c>
      <c r="B1563" s="288">
        <v>45474.519444444442</v>
      </c>
      <c r="C1563" s="286" t="s">
        <v>2111</v>
      </c>
      <c r="D1563" s="286" t="s">
        <v>1105</v>
      </c>
      <c r="E1563" s="286" t="s">
        <v>1106</v>
      </c>
      <c r="F1563" s="286" t="s">
        <v>2137</v>
      </c>
      <c r="G1563" s="286" t="s">
        <v>1080</v>
      </c>
      <c r="H1563" s="286" t="s">
        <v>1080</v>
      </c>
      <c r="I1563" s="286" t="s">
        <v>1152</v>
      </c>
      <c r="J1563" s="286" t="s">
        <v>1312</v>
      </c>
      <c r="K1563" s="286" t="s">
        <v>918</v>
      </c>
      <c r="L1563" s="286" t="s">
        <v>2288</v>
      </c>
      <c r="M1563" s="286">
        <v>1</v>
      </c>
      <c r="N1563" s="287">
        <v>1067.74</v>
      </c>
      <c r="O1563" s="294">
        <f t="shared" si="24"/>
        <v>45504</v>
      </c>
      <c r="P1563" s="286" t="s">
        <v>58</v>
      </c>
    </row>
    <row r="1564" spans="1:16" hidden="1" x14ac:dyDescent="0.15">
      <c r="A1564" s="286">
        <v>697810</v>
      </c>
      <c r="B1564" s="288">
        <v>45510.366666666669</v>
      </c>
      <c r="C1564" s="286" t="s">
        <v>2102</v>
      </c>
      <c r="D1564" s="286" t="s">
        <v>1105</v>
      </c>
      <c r="E1564" s="286" t="s">
        <v>1106</v>
      </c>
      <c r="F1564" s="286" t="s">
        <v>2138</v>
      </c>
      <c r="G1564" s="286" t="s">
        <v>1080</v>
      </c>
      <c r="H1564" s="286" t="s">
        <v>1080</v>
      </c>
      <c r="I1564" s="286" t="s">
        <v>1152</v>
      </c>
      <c r="J1564" s="286" t="s">
        <v>1312</v>
      </c>
      <c r="K1564" s="286" t="s">
        <v>918</v>
      </c>
      <c r="L1564" s="286" t="s">
        <v>2288</v>
      </c>
      <c r="M1564" s="286">
        <v>1</v>
      </c>
      <c r="N1564" s="287">
        <v>1067.74</v>
      </c>
      <c r="O1564" s="294">
        <f t="shared" si="24"/>
        <v>45535</v>
      </c>
      <c r="P1564" s="286" t="s">
        <v>58</v>
      </c>
    </row>
    <row r="1565" spans="1:16" hidden="1" x14ac:dyDescent="0.15">
      <c r="A1565" s="286">
        <v>745911</v>
      </c>
      <c r="B1565" s="288">
        <v>45538.44027777778</v>
      </c>
      <c r="C1565" s="286" t="s">
        <v>2132</v>
      </c>
      <c r="D1565" s="286" t="s">
        <v>1105</v>
      </c>
      <c r="E1565" s="286" t="s">
        <v>1106</v>
      </c>
      <c r="F1565" s="286" t="s">
        <v>2139</v>
      </c>
      <c r="G1565" s="286" t="s">
        <v>1080</v>
      </c>
      <c r="H1565" s="286" t="s">
        <v>1080</v>
      </c>
      <c r="I1565" s="286" t="s">
        <v>1152</v>
      </c>
      <c r="J1565" s="286" t="s">
        <v>1312</v>
      </c>
      <c r="K1565" s="286" t="s">
        <v>918</v>
      </c>
      <c r="L1565" s="286" t="s">
        <v>2288</v>
      </c>
      <c r="M1565" s="286">
        <v>1</v>
      </c>
      <c r="N1565" s="287">
        <v>1067.74</v>
      </c>
      <c r="O1565" s="294">
        <f t="shared" si="24"/>
        <v>45565</v>
      </c>
      <c r="P1565" s="286" t="s">
        <v>58</v>
      </c>
    </row>
    <row r="1566" spans="1:16" hidden="1" x14ac:dyDescent="0.15">
      <c r="A1566" s="286">
        <v>848817</v>
      </c>
      <c r="B1566" s="288">
        <v>45607.65902777778</v>
      </c>
      <c r="C1566" s="286" t="s">
        <v>2130</v>
      </c>
      <c r="D1566" s="286" t="s">
        <v>1105</v>
      </c>
      <c r="E1566" s="286" t="s">
        <v>1106</v>
      </c>
      <c r="F1566" s="286" t="s">
        <v>2140</v>
      </c>
      <c r="G1566" s="286" t="s">
        <v>1080</v>
      </c>
      <c r="H1566" s="286" t="s">
        <v>1080</v>
      </c>
      <c r="I1566" s="286" t="s">
        <v>1152</v>
      </c>
      <c r="J1566" s="286" t="s">
        <v>1312</v>
      </c>
      <c r="K1566" s="286" t="s">
        <v>918</v>
      </c>
      <c r="L1566" s="286" t="s">
        <v>2288</v>
      </c>
      <c r="M1566" s="286">
        <v>1</v>
      </c>
      <c r="N1566" s="287">
        <v>1067.74</v>
      </c>
      <c r="O1566" s="294">
        <f t="shared" si="24"/>
        <v>45626</v>
      </c>
      <c r="P1566" s="286" t="s">
        <v>58</v>
      </c>
    </row>
    <row r="1567" spans="1:16" hidden="1" x14ac:dyDescent="0.15">
      <c r="A1567" s="286">
        <v>848917</v>
      </c>
      <c r="B1567" s="288">
        <v>45607.660416666666</v>
      </c>
      <c r="C1567" s="286" t="s">
        <v>2100</v>
      </c>
      <c r="D1567" s="286" t="s">
        <v>1105</v>
      </c>
      <c r="E1567" s="286" t="s">
        <v>1106</v>
      </c>
      <c r="F1567" s="286" t="s">
        <v>2141</v>
      </c>
      <c r="G1567" s="286" t="s">
        <v>1080</v>
      </c>
      <c r="H1567" s="286" t="s">
        <v>1080</v>
      </c>
      <c r="I1567" s="286" t="s">
        <v>1152</v>
      </c>
      <c r="J1567" s="286" t="s">
        <v>1312</v>
      </c>
      <c r="K1567" s="286" t="s">
        <v>918</v>
      </c>
      <c r="L1567" s="286" t="s">
        <v>2288</v>
      </c>
      <c r="M1567" s="286">
        <v>1</v>
      </c>
      <c r="N1567" s="287">
        <v>1067.74</v>
      </c>
      <c r="O1567" s="294">
        <f t="shared" si="24"/>
        <v>45626</v>
      </c>
      <c r="P1567" s="286" t="s">
        <v>58</v>
      </c>
    </row>
    <row r="1568" spans="1:16" hidden="1" x14ac:dyDescent="0.15">
      <c r="A1568" s="286">
        <v>874698</v>
      </c>
      <c r="B1568" s="288">
        <v>45628.357638888891</v>
      </c>
      <c r="C1568" s="286" t="s">
        <v>2098</v>
      </c>
      <c r="D1568" s="286" t="s">
        <v>1105</v>
      </c>
      <c r="E1568" s="286" t="s">
        <v>1106</v>
      </c>
      <c r="F1568" s="286" t="s">
        <v>2142</v>
      </c>
      <c r="G1568" s="286" t="s">
        <v>1080</v>
      </c>
      <c r="H1568" s="286" t="s">
        <v>1080</v>
      </c>
      <c r="I1568" s="286" t="s">
        <v>1152</v>
      </c>
      <c r="J1568" s="286" t="s">
        <v>1312</v>
      </c>
      <c r="K1568" s="286" t="s">
        <v>918</v>
      </c>
      <c r="L1568" s="286" t="s">
        <v>2288</v>
      </c>
      <c r="M1568" s="286">
        <v>1</v>
      </c>
      <c r="N1568" s="287">
        <v>1067.74</v>
      </c>
      <c r="O1568" s="294">
        <f t="shared" si="24"/>
        <v>45657</v>
      </c>
      <c r="P1568" s="286" t="s">
        <v>58</v>
      </c>
    </row>
    <row r="1569" spans="1:16" hidden="1" x14ac:dyDescent="0.15">
      <c r="A1569" s="286">
        <v>438112</v>
      </c>
      <c r="B1569" s="288">
        <v>45293.53402777778</v>
      </c>
      <c r="C1569" s="286" t="s">
        <v>2125</v>
      </c>
      <c r="D1569" s="286" t="s">
        <v>1105</v>
      </c>
      <c r="E1569" s="286" t="s">
        <v>1106</v>
      </c>
      <c r="F1569" s="286" t="s">
        <v>2152</v>
      </c>
      <c r="G1569" s="286" t="s">
        <v>1071</v>
      </c>
      <c r="H1569" s="286" t="s">
        <v>1071</v>
      </c>
      <c r="I1569" s="286" t="s">
        <v>1199</v>
      </c>
      <c r="J1569" s="286" t="s">
        <v>53</v>
      </c>
      <c r="K1569" s="286" t="s">
        <v>53</v>
      </c>
      <c r="L1569" s="286" t="s">
        <v>53</v>
      </c>
      <c r="M1569" s="286" t="s">
        <v>53</v>
      </c>
      <c r="N1569" s="287">
        <v>1058.67</v>
      </c>
      <c r="O1569" s="294">
        <f t="shared" si="24"/>
        <v>45322</v>
      </c>
      <c r="P1569" s="286" t="s">
        <v>58</v>
      </c>
    </row>
    <row r="1570" spans="1:16" hidden="1" x14ac:dyDescent="0.15">
      <c r="A1570" s="286">
        <v>472168</v>
      </c>
      <c r="B1570" s="288">
        <v>45331.416666666664</v>
      </c>
      <c r="C1570" s="286" t="s">
        <v>2113</v>
      </c>
      <c r="D1570" s="286" t="s">
        <v>1105</v>
      </c>
      <c r="E1570" s="286" t="s">
        <v>1106</v>
      </c>
      <c r="F1570" s="286" t="s">
        <v>2153</v>
      </c>
      <c r="G1570" s="286" t="s">
        <v>1071</v>
      </c>
      <c r="H1570" s="286" t="s">
        <v>1071</v>
      </c>
      <c r="I1570" s="286" t="s">
        <v>1199</v>
      </c>
      <c r="J1570" s="286" t="s">
        <v>53</v>
      </c>
      <c r="K1570" s="286" t="s">
        <v>53</v>
      </c>
      <c r="L1570" s="286" t="s">
        <v>53</v>
      </c>
      <c r="M1570" s="286" t="s">
        <v>53</v>
      </c>
      <c r="N1570" s="287">
        <v>1058.67</v>
      </c>
      <c r="O1570" s="294">
        <f t="shared" si="24"/>
        <v>45351</v>
      </c>
      <c r="P1570" s="286" t="s">
        <v>58</v>
      </c>
    </row>
    <row r="1571" spans="1:16" hidden="1" x14ac:dyDescent="0.15">
      <c r="A1571" s="286">
        <v>504817</v>
      </c>
      <c r="B1571" s="288">
        <v>45359.645138888889</v>
      </c>
      <c r="C1571" s="286" t="s">
        <v>2109</v>
      </c>
      <c r="D1571" s="286" t="s">
        <v>1105</v>
      </c>
      <c r="E1571" s="286" t="s">
        <v>1106</v>
      </c>
      <c r="F1571" s="286" t="s">
        <v>2154</v>
      </c>
      <c r="G1571" s="286" t="s">
        <v>1071</v>
      </c>
      <c r="H1571" s="286" t="s">
        <v>1071</v>
      </c>
      <c r="I1571" s="286" t="s">
        <v>1199</v>
      </c>
      <c r="J1571" s="286" t="s">
        <v>53</v>
      </c>
      <c r="K1571" s="286" t="s">
        <v>53</v>
      </c>
      <c r="L1571" s="286" t="s">
        <v>53</v>
      </c>
      <c r="M1571" s="286" t="s">
        <v>53</v>
      </c>
      <c r="N1571" s="287">
        <v>1058.67</v>
      </c>
      <c r="O1571" s="294">
        <f t="shared" si="24"/>
        <v>45382</v>
      </c>
      <c r="P1571" s="286" t="s">
        <v>58</v>
      </c>
    </row>
    <row r="1572" spans="1:16" hidden="1" x14ac:dyDescent="0.15">
      <c r="A1572" s="286">
        <v>534207</v>
      </c>
      <c r="B1572" s="288">
        <v>45385.750694444447</v>
      </c>
      <c r="C1572" s="286" t="s">
        <v>2096</v>
      </c>
      <c r="D1572" s="286" t="s">
        <v>1105</v>
      </c>
      <c r="E1572" s="286" t="s">
        <v>1106</v>
      </c>
      <c r="F1572" s="286" t="s">
        <v>2155</v>
      </c>
      <c r="G1572" s="286" t="s">
        <v>1071</v>
      </c>
      <c r="H1572" s="286" t="s">
        <v>1071</v>
      </c>
      <c r="I1572" s="286" t="s">
        <v>1199</v>
      </c>
      <c r="J1572" s="286" t="s">
        <v>53</v>
      </c>
      <c r="K1572" s="286" t="s">
        <v>53</v>
      </c>
      <c r="L1572" s="286" t="s">
        <v>53</v>
      </c>
      <c r="M1572" s="286" t="s">
        <v>53</v>
      </c>
      <c r="N1572" s="287">
        <v>1058.67</v>
      </c>
      <c r="O1572" s="294">
        <f t="shared" si="24"/>
        <v>45412</v>
      </c>
      <c r="P1572" s="286" t="s">
        <v>58</v>
      </c>
    </row>
    <row r="1573" spans="1:16" hidden="1" x14ac:dyDescent="0.15">
      <c r="A1573" s="286">
        <v>614216</v>
      </c>
      <c r="B1573" s="288">
        <v>45455.716666666667</v>
      </c>
      <c r="C1573" s="286" t="s">
        <v>2116</v>
      </c>
      <c r="D1573" s="286" t="s">
        <v>1105</v>
      </c>
      <c r="E1573" s="286" t="s">
        <v>1106</v>
      </c>
      <c r="F1573" s="286" t="s">
        <v>2156</v>
      </c>
      <c r="G1573" s="286" t="s">
        <v>1071</v>
      </c>
      <c r="H1573" s="286" t="s">
        <v>1071</v>
      </c>
      <c r="I1573" s="286" t="s">
        <v>1199</v>
      </c>
      <c r="J1573" s="286" t="s">
        <v>53</v>
      </c>
      <c r="K1573" s="286" t="s">
        <v>53</v>
      </c>
      <c r="L1573" s="286" t="s">
        <v>53</v>
      </c>
      <c r="M1573" s="286" t="s">
        <v>53</v>
      </c>
      <c r="N1573" s="287">
        <v>1058.67</v>
      </c>
      <c r="O1573" s="294">
        <f t="shared" si="24"/>
        <v>45473</v>
      </c>
      <c r="P1573" s="286" t="s">
        <v>58</v>
      </c>
    </row>
    <row r="1574" spans="1:16" hidden="1" x14ac:dyDescent="0.15">
      <c r="A1574" s="286">
        <v>608480</v>
      </c>
      <c r="B1574" s="288">
        <v>45450.422222222223</v>
      </c>
      <c r="C1574" s="286" t="s">
        <v>2092</v>
      </c>
      <c r="D1574" s="286" t="s">
        <v>1105</v>
      </c>
      <c r="E1574" s="286" t="s">
        <v>1106</v>
      </c>
      <c r="F1574" s="286" t="s">
        <v>2157</v>
      </c>
      <c r="G1574" s="286" t="s">
        <v>1071</v>
      </c>
      <c r="H1574" s="286" t="s">
        <v>1071</v>
      </c>
      <c r="I1574" s="286" t="s">
        <v>1199</v>
      </c>
      <c r="J1574" s="286" t="s">
        <v>53</v>
      </c>
      <c r="K1574" s="286" t="s">
        <v>53</v>
      </c>
      <c r="L1574" s="286" t="s">
        <v>53</v>
      </c>
      <c r="M1574" s="286" t="s">
        <v>53</v>
      </c>
      <c r="N1574" s="287">
        <v>1058.6600000000001</v>
      </c>
      <c r="O1574" s="294">
        <f t="shared" si="24"/>
        <v>45473</v>
      </c>
      <c r="P1574" s="286" t="s">
        <v>58</v>
      </c>
    </row>
    <row r="1575" spans="1:16" hidden="1" x14ac:dyDescent="0.15">
      <c r="A1575" s="286">
        <v>520808</v>
      </c>
      <c r="B1575" s="288">
        <v>45372.56527777778</v>
      </c>
      <c r="C1575" s="286" t="s">
        <v>2109</v>
      </c>
      <c r="D1575" s="286" t="s">
        <v>1105</v>
      </c>
      <c r="E1575" s="286" t="s">
        <v>1106</v>
      </c>
      <c r="F1575" s="286" t="s">
        <v>2329</v>
      </c>
      <c r="G1575" s="286" t="s">
        <v>1044</v>
      </c>
      <c r="H1575" s="286" t="s">
        <v>1044</v>
      </c>
      <c r="I1575" s="286" t="s">
        <v>1109</v>
      </c>
      <c r="J1575" s="286" t="s">
        <v>1312</v>
      </c>
      <c r="K1575" s="286" t="s">
        <v>1680</v>
      </c>
      <c r="L1575" s="286" t="s">
        <v>53</v>
      </c>
      <c r="M1575" s="286">
        <v>1</v>
      </c>
      <c r="N1575" s="287">
        <v>1048</v>
      </c>
      <c r="O1575" s="294">
        <f t="shared" si="24"/>
        <v>45382</v>
      </c>
      <c r="P1575" s="286" t="s">
        <v>998</v>
      </c>
    </row>
    <row r="1576" spans="1:16" hidden="1" x14ac:dyDescent="0.15">
      <c r="A1576" s="286">
        <v>769793</v>
      </c>
      <c r="B1576" s="288">
        <v>45548.663194444445</v>
      </c>
      <c r="C1576" s="286" t="s">
        <v>2102</v>
      </c>
      <c r="D1576" s="286" t="s">
        <v>1105</v>
      </c>
      <c r="E1576" s="286" t="s">
        <v>1106</v>
      </c>
      <c r="F1576" s="286" t="s">
        <v>2375</v>
      </c>
      <c r="G1576" s="286" t="s">
        <v>1004</v>
      </c>
      <c r="H1576" s="286" t="s">
        <v>1004</v>
      </c>
      <c r="I1576" s="286" t="s">
        <v>1199</v>
      </c>
      <c r="J1576" s="286" t="s">
        <v>1312</v>
      </c>
      <c r="K1576" s="286" t="s">
        <v>2376</v>
      </c>
      <c r="L1576" s="286" t="s">
        <v>53</v>
      </c>
      <c r="M1576" s="286">
        <v>1</v>
      </c>
      <c r="N1576" s="287">
        <v>1044</v>
      </c>
      <c r="O1576" s="294">
        <f t="shared" si="24"/>
        <v>45565</v>
      </c>
      <c r="P1576" s="286" t="s">
        <v>58</v>
      </c>
    </row>
    <row r="1577" spans="1:16" hidden="1" x14ac:dyDescent="0.15">
      <c r="A1577" s="286">
        <v>575592</v>
      </c>
      <c r="B1577" s="288">
        <v>45425.339583333334</v>
      </c>
      <c r="C1577" s="286" t="s">
        <v>2116</v>
      </c>
      <c r="D1577" s="286" t="s">
        <v>1105</v>
      </c>
      <c r="E1577" s="286" t="s">
        <v>1106</v>
      </c>
      <c r="F1577" s="286" t="s">
        <v>2249</v>
      </c>
      <c r="G1577" s="286" t="s">
        <v>1059</v>
      </c>
      <c r="H1577" s="286" t="s">
        <v>1059</v>
      </c>
      <c r="I1577" s="286" t="s">
        <v>1129</v>
      </c>
      <c r="J1577" s="286" t="s">
        <v>1312</v>
      </c>
      <c r="K1577" s="286" t="s">
        <v>811</v>
      </c>
      <c r="L1577" s="286" t="s">
        <v>2377</v>
      </c>
      <c r="M1577" s="286">
        <v>2</v>
      </c>
      <c r="N1577" s="287">
        <v>1040</v>
      </c>
      <c r="O1577" s="294">
        <f t="shared" si="24"/>
        <v>45443</v>
      </c>
      <c r="P1577" s="286" t="s">
        <v>164</v>
      </c>
    </row>
    <row r="1578" spans="1:16" hidden="1" x14ac:dyDescent="0.15">
      <c r="A1578" s="286">
        <v>497137</v>
      </c>
      <c r="B1578" s="288">
        <v>45352.504861111112</v>
      </c>
      <c r="C1578" s="286" t="s">
        <v>2125</v>
      </c>
      <c r="D1578" s="286" t="s">
        <v>1105</v>
      </c>
      <c r="E1578" s="286" t="s">
        <v>1106</v>
      </c>
      <c r="F1578" s="286" t="s">
        <v>2378</v>
      </c>
      <c r="G1578" s="286" t="s">
        <v>1021</v>
      </c>
      <c r="H1578" s="286" t="s">
        <v>1021</v>
      </c>
      <c r="I1578" s="286" t="s">
        <v>1199</v>
      </c>
      <c r="J1578" s="286" t="s">
        <v>1312</v>
      </c>
      <c r="K1578" s="286" t="s">
        <v>53</v>
      </c>
      <c r="L1578" s="286" t="s">
        <v>53</v>
      </c>
      <c r="M1578" s="286" t="s">
        <v>53</v>
      </c>
      <c r="N1578" s="287">
        <v>1036.78</v>
      </c>
      <c r="O1578" s="294">
        <f t="shared" si="24"/>
        <v>45382</v>
      </c>
      <c r="P1578" s="286" t="s">
        <v>58</v>
      </c>
    </row>
    <row r="1579" spans="1:16" hidden="1" x14ac:dyDescent="0.15">
      <c r="A1579" s="286">
        <v>497138</v>
      </c>
      <c r="B1579" s="288">
        <v>45352.505555555559</v>
      </c>
      <c r="C1579" s="286" t="s">
        <v>2113</v>
      </c>
      <c r="D1579" s="286" t="s">
        <v>1105</v>
      </c>
      <c r="E1579" s="286" t="s">
        <v>1106</v>
      </c>
      <c r="F1579" s="286" t="s">
        <v>2379</v>
      </c>
      <c r="G1579" s="286" t="s">
        <v>1021</v>
      </c>
      <c r="H1579" s="286" t="s">
        <v>1021</v>
      </c>
      <c r="I1579" s="286" t="s">
        <v>1199</v>
      </c>
      <c r="J1579" s="286" t="s">
        <v>1312</v>
      </c>
      <c r="K1579" s="286" t="s">
        <v>53</v>
      </c>
      <c r="L1579" s="286" t="s">
        <v>53</v>
      </c>
      <c r="M1579" s="286" t="s">
        <v>53</v>
      </c>
      <c r="N1579" s="287">
        <v>1036.78</v>
      </c>
      <c r="O1579" s="294">
        <f t="shared" si="24"/>
        <v>45382</v>
      </c>
      <c r="P1579" s="286" t="s">
        <v>58</v>
      </c>
    </row>
    <row r="1580" spans="1:16" hidden="1" x14ac:dyDescent="0.15">
      <c r="A1580" s="286">
        <v>559615</v>
      </c>
      <c r="B1580" s="288">
        <v>45408.570833333331</v>
      </c>
      <c r="C1580" s="286" t="s">
        <v>2109</v>
      </c>
      <c r="D1580" s="286" t="s">
        <v>1105</v>
      </c>
      <c r="E1580" s="286" t="s">
        <v>1106</v>
      </c>
      <c r="F1580" s="286" t="s">
        <v>2380</v>
      </c>
      <c r="G1580" s="286" t="s">
        <v>1021</v>
      </c>
      <c r="H1580" s="286" t="s">
        <v>1021</v>
      </c>
      <c r="I1580" s="286" t="s">
        <v>1199</v>
      </c>
      <c r="J1580" s="286" t="s">
        <v>1312</v>
      </c>
      <c r="K1580" s="286" t="s">
        <v>53</v>
      </c>
      <c r="L1580" s="286" t="s">
        <v>53</v>
      </c>
      <c r="M1580" s="286" t="s">
        <v>53</v>
      </c>
      <c r="N1580" s="287">
        <v>1036.78</v>
      </c>
      <c r="O1580" s="294">
        <f t="shared" si="24"/>
        <v>45412</v>
      </c>
      <c r="P1580" s="286" t="s">
        <v>58</v>
      </c>
    </row>
    <row r="1581" spans="1:16" hidden="1" x14ac:dyDescent="0.15">
      <c r="A1581" s="286">
        <v>580947</v>
      </c>
      <c r="B1581" s="288">
        <v>45427.67291666667</v>
      </c>
      <c r="C1581" s="286" t="s">
        <v>2096</v>
      </c>
      <c r="D1581" s="286" t="s">
        <v>1105</v>
      </c>
      <c r="E1581" s="286" t="s">
        <v>1106</v>
      </c>
      <c r="F1581" s="286" t="s">
        <v>2381</v>
      </c>
      <c r="G1581" s="286" t="s">
        <v>1021</v>
      </c>
      <c r="H1581" s="286" t="s">
        <v>1021</v>
      </c>
      <c r="I1581" s="286" t="s">
        <v>1199</v>
      </c>
      <c r="J1581" s="286" t="s">
        <v>1312</v>
      </c>
      <c r="K1581" s="286" t="s">
        <v>53</v>
      </c>
      <c r="L1581" s="286" t="s">
        <v>53</v>
      </c>
      <c r="M1581" s="286" t="s">
        <v>53</v>
      </c>
      <c r="N1581" s="287">
        <v>1036.78</v>
      </c>
      <c r="O1581" s="294">
        <f t="shared" si="24"/>
        <v>45443</v>
      </c>
      <c r="P1581" s="286" t="s">
        <v>58</v>
      </c>
    </row>
    <row r="1582" spans="1:16" hidden="1" x14ac:dyDescent="0.15">
      <c r="A1582" s="286">
        <v>614115</v>
      </c>
      <c r="B1582" s="288">
        <v>45455.690972222219</v>
      </c>
      <c r="C1582" s="286" t="s">
        <v>2116</v>
      </c>
      <c r="D1582" s="286" t="s">
        <v>1105</v>
      </c>
      <c r="E1582" s="286" t="s">
        <v>1106</v>
      </c>
      <c r="F1582" s="286" t="s">
        <v>2382</v>
      </c>
      <c r="G1582" s="286" t="s">
        <v>1021</v>
      </c>
      <c r="H1582" s="286" t="s">
        <v>1021</v>
      </c>
      <c r="I1582" s="286" t="s">
        <v>1199</v>
      </c>
      <c r="J1582" s="286" t="s">
        <v>1312</v>
      </c>
      <c r="K1582" s="286" t="s">
        <v>53</v>
      </c>
      <c r="L1582" s="286" t="s">
        <v>53</v>
      </c>
      <c r="M1582" s="286" t="s">
        <v>53</v>
      </c>
      <c r="N1582" s="287">
        <v>1036.78</v>
      </c>
      <c r="O1582" s="294">
        <f t="shared" si="24"/>
        <v>45473</v>
      </c>
      <c r="P1582" s="286" t="s">
        <v>58</v>
      </c>
    </row>
    <row r="1583" spans="1:16" hidden="1" x14ac:dyDescent="0.15">
      <c r="A1583" s="286">
        <v>659935</v>
      </c>
      <c r="B1583" s="288">
        <v>45484.527083333334</v>
      </c>
      <c r="C1583" s="286" t="s">
        <v>2092</v>
      </c>
      <c r="D1583" s="286" t="s">
        <v>1105</v>
      </c>
      <c r="E1583" s="286" t="s">
        <v>1106</v>
      </c>
      <c r="F1583" s="286" t="s">
        <v>2383</v>
      </c>
      <c r="G1583" s="286" t="s">
        <v>1021</v>
      </c>
      <c r="H1583" s="286" t="s">
        <v>1021</v>
      </c>
      <c r="I1583" s="286" t="s">
        <v>1199</v>
      </c>
      <c r="J1583" s="286" t="s">
        <v>1312</v>
      </c>
      <c r="K1583" s="286" t="s">
        <v>53</v>
      </c>
      <c r="L1583" s="286" t="s">
        <v>53</v>
      </c>
      <c r="M1583" s="286" t="s">
        <v>53</v>
      </c>
      <c r="N1583" s="287">
        <v>1036.78</v>
      </c>
      <c r="O1583" s="294">
        <f t="shared" si="24"/>
        <v>45504</v>
      </c>
      <c r="P1583" s="286" t="s">
        <v>58</v>
      </c>
    </row>
    <row r="1584" spans="1:16" hidden="1" x14ac:dyDescent="0.15">
      <c r="A1584" s="286">
        <v>883883</v>
      </c>
      <c r="B1584" s="288">
        <v>45632.650694444441</v>
      </c>
      <c r="C1584" s="286" t="s">
        <v>2098</v>
      </c>
      <c r="D1584" s="286" t="s">
        <v>1105</v>
      </c>
      <c r="E1584" s="286" t="s">
        <v>1106</v>
      </c>
      <c r="F1584" s="286" t="s">
        <v>2384</v>
      </c>
      <c r="G1584" s="286" t="s">
        <v>1041</v>
      </c>
      <c r="H1584" s="286" t="s">
        <v>1041</v>
      </c>
      <c r="I1584" s="286" t="s">
        <v>1129</v>
      </c>
      <c r="J1584" s="286" t="s">
        <v>1312</v>
      </c>
      <c r="K1584" s="286" t="s">
        <v>1366</v>
      </c>
      <c r="L1584" s="286" t="s">
        <v>1367</v>
      </c>
      <c r="M1584" s="286">
        <v>20</v>
      </c>
      <c r="N1584" s="287">
        <v>1033.03</v>
      </c>
      <c r="O1584" s="294">
        <f t="shared" si="24"/>
        <v>45657</v>
      </c>
      <c r="P1584" s="286" t="s">
        <v>164</v>
      </c>
    </row>
    <row r="1585" spans="1:16" hidden="1" x14ac:dyDescent="0.15">
      <c r="A1585" s="286">
        <v>614316</v>
      </c>
      <c r="B1585" s="288">
        <v>45455.717361111114</v>
      </c>
      <c r="C1585" s="286" t="s">
        <v>2092</v>
      </c>
      <c r="D1585" s="286" t="s">
        <v>1105</v>
      </c>
      <c r="E1585" s="286" t="s">
        <v>1106</v>
      </c>
      <c r="F1585" s="286" t="s">
        <v>2167</v>
      </c>
      <c r="G1585" s="286" t="s">
        <v>1061</v>
      </c>
      <c r="H1585" s="286" t="s">
        <v>1061</v>
      </c>
      <c r="I1585" s="286" t="s">
        <v>1228</v>
      </c>
      <c r="J1585" s="286" t="s">
        <v>1312</v>
      </c>
      <c r="K1585" s="286" t="s">
        <v>2292</v>
      </c>
      <c r="L1585" s="286" t="s">
        <v>53</v>
      </c>
      <c r="M1585" s="286">
        <v>1</v>
      </c>
      <c r="N1585" s="287">
        <v>1030.78</v>
      </c>
      <c r="O1585" s="294">
        <f t="shared" si="24"/>
        <v>45473</v>
      </c>
      <c r="P1585" s="286" t="s">
        <v>58</v>
      </c>
    </row>
    <row r="1586" spans="1:16" hidden="1" x14ac:dyDescent="0.15">
      <c r="A1586" s="286">
        <v>559836</v>
      </c>
      <c r="B1586" s="288">
        <v>45408.680555555555</v>
      </c>
      <c r="C1586" s="286" t="s">
        <v>2096</v>
      </c>
      <c r="D1586" s="286" t="s">
        <v>1105</v>
      </c>
      <c r="E1586" s="286" t="s">
        <v>1106</v>
      </c>
      <c r="F1586" s="286" t="s">
        <v>2337</v>
      </c>
      <c r="G1586" s="286" t="s">
        <v>1025</v>
      </c>
      <c r="H1586" s="286" t="s">
        <v>1025</v>
      </c>
      <c r="I1586" s="286" t="s">
        <v>1199</v>
      </c>
      <c r="J1586" s="286" t="s">
        <v>1312</v>
      </c>
      <c r="K1586" s="286" t="s">
        <v>2385</v>
      </c>
      <c r="L1586" s="286" t="s">
        <v>53</v>
      </c>
      <c r="M1586" s="286">
        <v>1</v>
      </c>
      <c r="N1586" s="287">
        <v>1027.8599999999999</v>
      </c>
      <c r="O1586" s="294">
        <f t="shared" si="24"/>
        <v>45412</v>
      </c>
      <c r="P1586" s="286" t="s">
        <v>58</v>
      </c>
    </row>
    <row r="1587" spans="1:16" hidden="1" x14ac:dyDescent="0.15">
      <c r="A1587" s="286">
        <v>438112</v>
      </c>
      <c r="B1587" s="288">
        <v>45293.53402777778</v>
      </c>
      <c r="C1587" s="286" t="s">
        <v>2125</v>
      </c>
      <c r="D1587" s="286" t="s">
        <v>1105</v>
      </c>
      <c r="E1587" s="286" t="s">
        <v>1106</v>
      </c>
      <c r="F1587" s="286" t="s">
        <v>2152</v>
      </c>
      <c r="G1587" s="286" t="s">
        <v>1005</v>
      </c>
      <c r="H1587" s="286" t="s">
        <v>1005</v>
      </c>
      <c r="I1587" s="286" t="s">
        <v>1199</v>
      </c>
      <c r="J1587" s="286" t="s">
        <v>1312</v>
      </c>
      <c r="K1587" s="286" t="s">
        <v>53</v>
      </c>
      <c r="L1587" s="286" t="s">
        <v>53</v>
      </c>
      <c r="M1587" s="286" t="s">
        <v>53</v>
      </c>
      <c r="N1587" s="287">
        <v>1025.48</v>
      </c>
      <c r="O1587" s="294">
        <f t="shared" si="24"/>
        <v>45322</v>
      </c>
      <c r="P1587" s="286" t="s">
        <v>58</v>
      </c>
    </row>
    <row r="1588" spans="1:16" hidden="1" x14ac:dyDescent="0.15">
      <c r="A1588" s="286">
        <v>646075</v>
      </c>
      <c r="B1588" s="288">
        <v>45474.519444444442</v>
      </c>
      <c r="C1588" s="286" t="s">
        <v>2111</v>
      </c>
      <c r="D1588" s="286" t="s">
        <v>1105</v>
      </c>
      <c r="E1588" s="286" t="s">
        <v>1106</v>
      </c>
      <c r="F1588" s="286" t="s">
        <v>2137</v>
      </c>
      <c r="G1588" s="286" t="s">
        <v>1080</v>
      </c>
      <c r="H1588" s="286" t="s">
        <v>1080</v>
      </c>
      <c r="I1588" s="286" t="s">
        <v>1228</v>
      </c>
      <c r="J1588" s="286" t="s">
        <v>1312</v>
      </c>
      <c r="K1588" s="286" t="s">
        <v>1770</v>
      </c>
      <c r="L1588" s="286" t="s">
        <v>672</v>
      </c>
      <c r="M1588" s="286">
        <v>1</v>
      </c>
      <c r="N1588" s="287">
        <v>1023.77</v>
      </c>
      <c r="O1588" s="294">
        <f t="shared" si="24"/>
        <v>45504</v>
      </c>
      <c r="P1588" s="286" t="s">
        <v>58</v>
      </c>
    </row>
    <row r="1589" spans="1:16" hidden="1" x14ac:dyDescent="0.15">
      <c r="A1589" s="286">
        <v>646075</v>
      </c>
      <c r="B1589" s="288">
        <v>45474.519444444442</v>
      </c>
      <c r="C1589" s="286" t="s">
        <v>2111</v>
      </c>
      <c r="D1589" s="286" t="s">
        <v>1105</v>
      </c>
      <c r="E1589" s="286" t="s">
        <v>1106</v>
      </c>
      <c r="F1589" s="286" t="s">
        <v>2137</v>
      </c>
      <c r="G1589" s="286" t="s">
        <v>1080</v>
      </c>
      <c r="H1589" s="286" t="s">
        <v>1080</v>
      </c>
      <c r="I1589" s="286" t="s">
        <v>1228</v>
      </c>
      <c r="J1589" s="286" t="s">
        <v>1312</v>
      </c>
      <c r="K1589" s="286" t="s">
        <v>1808</v>
      </c>
      <c r="L1589" s="286" t="s">
        <v>53</v>
      </c>
      <c r="M1589" s="286">
        <v>1</v>
      </c>
      <c r="N1589" s="287">
        <v>1023.77</v>
      </c>
      <c r="O1589" s="294">
        <f t="shared" si="24"/>
        <v>45504</v>
      </c>
      <c r="P1589" s="286" t="s">
        <v>58</v>
      </c>
    </row>
    <row r="1590" spans="1:16" hidden="1" x14ac:dyDescent="0.15">
      <c r="A1590" s="286">
        <v>646075</v>
      </c>
      <c r="B1590" s="288">
        <v>45474.519444444442</v>
      </c>
      <c r="C1590" s="286" t="s">
        <v>2111</v>
      </c>
      <c r="D1590" s="286" t="s">
        <v>1105</v>
      </c>
      <c r="E1590" s="286" t="s">
        <v>1106</v>
      </c>
      <c r="F1590" s="286" t="s">
        <v>2137</v>
      </c>
      <c r="G1590" s="286" t="s">
        <v>1080</v>
      </c>
      <c r="H1590" s="286" t="s">
        <v>1080</v>
      </c>
      <c r="I1590" s="286" t="s">
        <v>1228</v>
      </c>
      <c r="J1590" s="286" t="s">
        <v>1312</v>
      </c>
      <c r="K1590" s="286" t="s">
        <v>1821</v>
      </c>
      <c r="L1590" s="286" t="s">
        <v>53</v>
      </c>
      <c r="M1590" s="286">
        <v>1</v>
      </c>
      <c r="N1590" s="287">
        <v>1023.77</v>
      </c>
      <c r="O1590" s="294">
        <f t="shared" si="24"/>
        <v>45504</v>
      </c>
      <c r="P1590" s="286" t="s">
        <v>58</v>
      </c>
    </row>
    <row r="1591" spans="1:16" hidden="1" x14ac:dyDescent="0.15">
      <c r="A1591" s="286">
        <v>848817</v>
      </c>
      <c r="B1591" s="288">
        <v>45607.65902777778</v>
      </c>
      <c r="C1591" s="286" t="s">
        <v>2130</v>
      </c>
      <c r="D1591" s="286" t="s">
        <v>1105</v>
      </c>
      <c r="E1591" s="286" t="s">
        <v>1106</v>
      </c>
      <c r="F1591" s="286" t="s">
        <v>2140</v>
      </c>
      <c r="G1591" s="286" t="s">
        <v>1080</v>
      </c>
      <c r="H1591" s="286" t="s">
        <v>1080</v>
      </c>
      <c r="I1591" s="286" t="s">
        <v>1228</v>
      </c>
      <c r="J1591" s="286" t="s">
        <v>1312</v>
      </c>
      <c r="K1591" s="286" t="s">
        <v>1770</v>
      </c>
      <c r="L1591" s="286" t="s">
        <v>672</v>
      </c>
      <c r="M1591" s="286">
        <v>1</v>
      </c>
      <c r="N1591" s="287">
        <v>1023.77</v>
      </c>
      <c r="O1591" s="294">
        <f t="shared" si="24"/>
        <v>45626</v>
      </c>
      <c r="P1591" s="286" t="s">
        <v>58</v>
      </c>
    </row>
    <row r="1592" spans="1:16" hidden="1" x14ac:dyDescent="0.15">
      <c r="A1592" s="286">
        <v>848817</v>
      </c>
      <c r="B1592" s="288">
        <v>45607.65902777778</v>
      </c>
      <c r="C1592" s="286" t="s">
        <v>2130</v>
      </c>
      <c r="D1592" s="286" t="s">
        <v>1105</v>
      </c>
      <c r="E1592" s="286" t="s">
        <v>1106</v>
      </c>
      <c r="F1592" s="286" t="s">
        <v>2140</v>
      </c>
      <c r="G1592" s="286" t="s">
        <v>1080</v>
      </c>
      <c r="H1592" s="286" t="s">
        <v>1080</v>
      </c>
      <c r="I1592" s="286" t="s">
        <v>1228</v>
      </c>
      <c r="J1592" s="286" t="s">
        <v>1312</v>
      </c>
      <c r="K1592" s="286" t="s">
        <v>1808</v>
      </c>
      <c r="L1592" s="286" t="s">
        <v>53</v>
      </c>
      <c r="M1592" s="286">
        <v>1</v>
      </c>
      <c r="N1592" s="287">
        <v>1023.77</v>
      </c>
      <c r="O1592" s="294">
        <f t="shared" si="24"/>
        <v>45626</v>
      </c>
      <c r="P1592" s="286" t="s">
        <v>58</v>
      </c>
    </row>
    <row r="1593" spans="1:16" hidden="1" x14ac:dyDescent="0.15">
      <c r="A1593" s="286">
        <v>848817</v>
      </c>
      <c r="B1593" s="288">
        <v>45607.65902777778</v>
      </c>
      <c r="C1593" s="286" t="s">
        <v>2130</v>
      </c>
      <c r="D1593" s="286" t="s">
        <v>1105</v>
      </c>
      <c r="E1593" s="286" t="s">
        <v>1106</v>
      </c>
      <c r="F1593" s="286" t="s">
        <v>2140</v>
      </c>
      <c r="G1593" s="286" t="s">
        <v>1080</v>
      </c>
      <c r="H1593" s="286" t="s">
        <v>1080</v>
      </c>
      <c r="I1593" s="286" t="s">
        <v>1228</v>
      </c>
      <c r="J1593" s="286" t="s">
        <v>1312</v>
      </c>
      <c r="K1593" s="286" t="s">
        <v>1821</v>
      </c>
      <c r="L1593" s="286" t="s">
        <v>53</v>
      </c>
      <c r="M1593" s="286">
        <v>1</v>
      </c>
      <c r="N1593" s="287">
        <v>1023.77</v>
      </c>
      <c r="O1593" s="294">
        <f t="shared" si="24"/>
        <v>45626</v>
      </c>
      <c r="P1593" s="286" t="s">
        <v>58</v>
      </c>
    </row>
    <row r="1594" spans="1:16" hidden="1" x14ac:dyDescent="0.15">
      <c r="A1594" s="286">
        <v>874698</v>
      </c>
      <c r="B1594" s="288">
        <v>45628.357638888891</v>
      </c>
      <c r="C1594" s="286" t="s">
        <v>2098</v>
      </c>
      <c r="D1594" s="286" t="s">
        <v>1105</v>
      </c>
      <c r="E1594" s="286" t="s">
        <v>1106</v>
      </c>
      <c r="F1594" s="286" t="s">
        <v>2142</v>
      </c>
      <c r="G1594" s="286" t="s">
        <v>1080</v>
      </c>
      <c r="H1594" s="286" t="s">
        <v>1080</v>
      </c>
      <c r="I1594" s="286" t="s">
        <v>1228</v>
      </c>
      <c r="J1594" s="286" t="s">
        <v>1312</v>
      </c>
      <c r="K1594" s="286" t="s">
        <v>1770</v>
      </c>
      <c r="L1594" s="286" t="s">
        <v>672</v>
      </c>
      <c r="M1594" s="286">
        <v>1</v>
      </c>
      <c r="N1594" s="287">
        <v>1023.77</v>
      </c>
      <c r="O1594" s="294">
        <f t="shared" si="24"/>
        <v>45657</v>
      </c>
      <c r="P1594" s="286" t="s">
        <v>58</v>
      </c>
    </row>
    <row r="1595" spans="1:16" hidden="1" x14ac:dyDescent="0.15">
      <c r="A1595" s="286">
        <v>874698</v>
      </c>
      <c r="B1595" s="288">
        <v>45628.357638888891</v>
      </c>
      <c r="C1595" s="286" t="s">
        <v>2098</v>
      </c>
      <c r="D1595" s="286" t="s">
        <v>1105</v>
      </c>
      <c r="E1595" s="286" t="s">
        <v>1106</v>
      </c>
      <c r="F1595" s="286" t="s">
        <v>2142</v>
      </c>
      <c r="G1595" s="286" t="s">
        <v>1080</v>
      </c>
      <c r="H1595" s="286" t="s">
        <v>1080</v>
      </c>
      <c r="I1595" s="286" t="s">
        <v>1228</v>
      </c>
      <c r="J1595" s="286" t="s">
        <v>1312</v>
      </c>
      <c r="K1595" s="286" t="s">
        <v>1808</v>
      </c>
      <c r="L1595" s="286" t="s">
        <v>53</v>
      </c>
      <c r="M1595" s="286">
        <v>1</v>
      </c>
      <c r="N1595" s="287">
        <v>1023.77</v>
      </c>
      <c r="O1595" s="294">
        <f t="shared" si="24"/>
        <v>45657</v>
      </c>
      <c r="P1595" s="286" t="s">
        <v>58</v>
      </c>
    </row>
    <row r="1596" spans="1:16" hidden="1" x14ac:dyDescent="0.15">
      <c r="A1596" s="286">
        <v>874698</v>
      </c>
      <c r="B1596" s="288">
        <v>45628.357638888891</v>
      </c>
      <c r="C1596" s="286" t="s">
        <v>2098</v>
      </c>
      <c r="D1596" s="286" t="s">
        <v>1105</v>
      </c>
      <c r="E1596" s="286" t="s">
        <v>1106</v>
      </c>
      <c r="F1596" s="286" t="s">
        <v>2142</v>
      </c>
      <c r="G1596" s="286" t="s">
        <v>1080</v>
      </c>
      <c r="H1596" s="286" t="s">
        <v>1080</v>
      </c>
      <c r="I1596" s="286" t="s">
        <v>1228</v>
      </c>
      <c r="J1596" s="286" t="s">
        <v>1312</v>
      </c>
      <c r="K1596" s="286" t="s">
        <v>1821</v>
      </c>
      <c r="L1596" s="286" t="s">
        <v>53</v>
      </c>
      <c r="M1596" s="286">
        <v>1</v>
      </c>
      <c r="N1596" s="287">
        <v>1023.77</v>
      </c>
      <c r="O1596" s="294">
        <f t="shared" si="24"/>
        <v>45657</v>
      </c>
      <c r="P1596" s="286" t="s">
        <v>58</v>
      </c>
    </row>
    <row r="1597" spans="1:16" hidden="1" x14ac:dyDescent="0.15">
      <c r="A1597" s="286">
        <v>497246</v>
      </c>
      <c r="B1597" s="288">
        <v>45352.55</v>
      </c>
      <c r="C1597" s="286" t="s">
        <v>2125</v>
      </c>
      <c r="D1597" s="286" t="s">
        <v>1105</v>
      </c>
      <c r="E1597" s="286" t="s">
        <v>1106</v>
      </c>
      <c r="F1597" s="286" t="s">
        <v>2386</v>
      </c>
      <c r="G1597" s="286" t="s">
        <v>1033</v>
      </c>
      <c r="H1597" s="286" t="s">
        <v>1033</v>
      </c>
      <c r="I1597" s="286" t="s">
        <v>1228</v>
      </c>
      <c r="J1597" s="286" t="s">
        <v>1312</v>
      </c>
      <c r="K1597" s="286" t="s">
        <v>53</v>
      </c>
      <c r="L1597" s="286" t="s">
        <v>53</v>
      </c>
      <c r="M1597" s="286" t="s">
        <v>53</v>
      </c>
      <c r="N1597" s="287">
        <v>1022.56</v>
      </c>
      <c r="O1597" s="294">
        <f t="shared" si="24"/>
        <v>45382</v>
      </c>
      <c r="P1597" s="286" t="s">
        <v>58</v>
      </c>
    </row>
    <row r="1598" spans="1:16" hidden="1" x14ac:dyDescent="0.15">
      <c r="A1598" s="286">
        <v>497246</v>
      </c>
      <c r="B1598" s="288">
        <v>45352.55</v>
      </c>
      <c r="C1598" s="286" t="s">
        <v>2125</v>
      </c>
      <c r="D1598" s="286" t="s">
        <v>1105</v>
      </c>
      <c r="E1598" s="286" t="s">
        <v>1106</v>
      </c>
      <c r="F1598" s="286" t="s">
        <v>2386</v>
      </c>
      <c r="G1598" s="286" t="s">
        <v>1033</v>
      </c>
      <c r="H1598" s="286" t="s">
        <v>1033</v>
      </c>
      <c r="I1598" s="286" t="s">
        <v>1228</v>
      </c>
      <c r="J1598" s="286" t="s">
        <v>1312</v>
      </c>
      <c r="K1598" s="286" t="s">
        <v>53</v>
      </c>
      <c r="L1598" s="286" t="s">
        <v>53</v>
      </c>
      <c r="M1598" s="286" t="s">
        <v>53</v>
      </c>
      <c r="N1598" s="287">
        <v>1022.56</v>
      </c>
      <c r="O1598" s="294">
        <f t="shared" si="24"/>
        <v>45382</v>
      </c>
      <c r="P1598" s="286" t="s">
        <v>58</v>
      </c>
    </row>
    <row r="1599" spans="1:16" hidden="1" x14ac:dyDescent="0.15">
      <c r="A1599" s="286">
        <v>497246</v>
      </c>
      <c r="B1599" s="288">
        <v>45352.55</v>
      </c>
      <c r="C1599" s="286" t="s">
        <v>2125</v>
      </c>
      <c r="D1599" s="286" t="s">
        <v>1105</v>
      </c>
      <c r="E1599" s="286" t="s">
        <v>1106</v>
      </c>
      <c r="F1599" s="286" t="s">
        <v>2386</v>
      </c>
      <c r="G1599" s="286" t="s">
        <v>1033</v>
      </c>
      <c r="H1599" s="286" t="s">
        <v>1033</v>
      </c>
      <c r="I1599" s="286" t="s">
        <v>1228</v>
      </c>
      <c r="J1599" s="286" t="s">
        <v>1312</v>
      </c>
      <c r="K1599" s="286" t="s">
        <v>53</v>
      </c>
      <c r="L1599" s="286" t="s">
        <v>53</v>
      </c>
      <c r="M1599" s="286" t="s">
        <v>53</v>
      </c>
      <c r="N1599" s="287">
        <v>1022.56</v>
      </c>
      <c r="O1599" s="294">
        <f t="shared" si="24"/>
        <v>45382</v>
      </c>
      <c r="P1599" s="286" t="s">
        <v>58</v>
      </c>
    </row>
    <row r="1600" spans="1:16" hidden="1" x14ac:dyDescent="0.15">
      <c r="A1600" s="286">
        <v>497246</v>
      </c>
      <c r="B1600" s="288">
        <v>45352.55</v>
      </c>
      <c r="C1600" s="286" t="s">
        <v>2125</v>
      </c>
      <c r="D1600" s="286" t="s">
        <v>1105</v>
      </c>
      <c r="E1600" s="286" t="s">
        <v>1106</v>
      </c>
      <c r="F1600" s="286" t="s">
        <v>2386</v>
      </c>
      <c r="G1600" s="286" t="s">
        <v>1033</v>
      </c>
      <c r="H1600" s="286" t="s">
        <v>1033</v>
      </c>
      <c r="I1600" s="286" t="s">
        <v>1228</v>
      </c>
      <c r="J1600" s="286" t="s">
        <v>1312</v>
      </c>
      <c r="K1600" s="286" t="s">
        <v>53</v>
      </c>
      <c r="L1600" s="286" t="s">
        <v>53</v>
      </c>
      <c r="M1600" s="286" t="s">
        <v>53</v>
      </c>
      <c r="N1600" s="287">
        <v>1022.56</v>
      </c>
      <c r="O1600" s="294">
        <f t="shared" si="24"/>
        <v>45382</v>
      </c>
      <c r="P1600" s="286" t="s">
        <v>58</v>
      </c>
    </row>
    <row r="1601" spans="1:16" hidden="1" x14ac:dyDescent="0.15">
      <c r="A1601" s="286">
        <v>497246</v>
      </c>
      <c r="B1601" s="288">
        <v>45352.55</v>
      </c>
      <c r="C1601" s="286" t="s">
        <v>2125</v>
      </c>
      <c r="D1601" s="286" t="s">
        <v>1105</v>
      </c>
      <c r="E1601" s="286" t="s">
        <v>1106</v>
      </c>
      <c r="F1601" s="286" t="s">
        <v>2386</v>
      </c>
      <c r="G1601" s="286" t="s">
        <v>1033</v>
      </c>
      <c r="H1601" s="286" t="s">
        <v>1033</v>
      </c>
      <c r="I1601" s="286" t="s">
        <v>1228</v>
      </c>
      <c r="J1601" s="286" t="s">
        <v>1312</v>
      </c>
      <c r="K1601" s="286" t="s">
        <v>53</v>
      </c>
      <c r="L1601" s="286" t="s">
        <v>53</v>
      </c>
      <c r="M1601" s="286" t="s">
        <v>53</v>
      </c>
      <c r="N1601" s="287">
        <v>1022.56</v>
      </c>
      <c r="O1601" s="294">
        <f t="shared" si="24"/>
        <v>45382</v>
      </c>
      <c r="P1601" s="286" t="s">
        <v>58</v>
      </c>
    </row>
    <row r="1602" spans="1:16" hidden="1" x14ac:dyDescent="0.15">
      <c r="A1602" s="286">
        <v>497246</v>
      </c>
      <c r="B1602" s="288">
        <v>45352.55</v>
      </c>
      <c r="C1602" s="286" t="s">
        <v>2125</v>
      </c>
      <c r="D1602" s="286" t="s">
        <v>1105</v>
      </c>
      <c r="E1602" s="286" t="s">
        <v>1106</v>
      </c>
      <c r="F1602" s="286" t="s">
        <v>2386</v>
      </c>
      <c r="G1602" s="286" t="s">
        <v>1033</v>
      </c>
      <c r="H1602" s="286" t="s">
        <v>1033</v>
      </c>
      <c r="I1602" s="286" t="s">
        <v>1228</v>
      </c>
      <c r="J1602" s="286" t="s">
        <v>1312</v>
      </c>
      <c r="K1602" s="286" t="s">
        <v>53</v>
      </c>
      <c r="L1602" s="286" t="s">
        <v>53</v>
      </c>
      <c r="M1602" s="286" t="s">
        <v>53</v>
      </c>
      <c r="N1602" s="287">
        <v>1022.56</v>
      </c>
      <c r="O1602" s="294">
        <f t="shared" si="24"/>
        <v>45382</v>
      </c>
      <c r="P1602" s="286" t="s">
        <v>58</v>
      </c>
    </row>
    <row r="1603" spans="1:16" hidden="1" x14ac:dyDescent="0.15">
      <c r="A1603" s="286">
        <v>497449</v>
      </c>
      <c r="B1603" s="288">
        <v>45352.561111111114</v>
      </c>
      <c r="C1603" s="286" t="s">
        <v>2113</v>
      </c>
      <c r="D1603" s="286" t="s">
        <v>1105</v>
      </c>
      <c r="E1603" s="286" t="s">
        <v>1106</v>
      </c>
      <c r="F1603" s="286" t="s">
        <v>2194</v>
      </c>
      <c r="G1603" s="286" t="s">
        <v>1033</v>
      </c>
      <c r="H1603" s="286" t="s">
        <v>1033</v>
      </c>
      <c r="I1603" s="286" t="s">
        <v>1228</v>
      </c>
      <c r="J1603" s="286" t="s">
        <v>1312</v>
      </c>
      <c r="K1603" s="286" t="s">
        <v>53</v>
      </c>
      <c r="L1603" s="286" t="s">
        <v>53</v>
      </c>
      <c r="M1603" s="286" t="s">
        <v>53</v>
      </c>
      <c r="N1603" s="287">
        <v>1022.56</v>
      </c>
      <c r="O1603" s="294">
        <f t="shared" si="24"/>
        <v>45382</v>
      </c>
      <c r="P1603" s="286" t="s">
        <v>58</v>
      </c>
    </row>
    <row r="1604" spans="1:16" hidden="1" x14ac:dyDescent="0.15">
      <c r="A1604" s="286">
        <v>504817</v>
      </c>
      <c r="B1604" s="288">
        <v>45359.645138888889</v>
      </c>
      <c r="C1604" s="286" t="s">
        <v>2109</v>
      </c>
      <c r="D1604" s="286" t="s">
        <v>1105</v>
      </c>
      <c r="E1604" s="286" t="s">
        <v>1106</v>
      </c>
      <c r="F1604" s="286" t="s">
        <v>2154</v>
      </c>
      <c r="G1604" s="286" t="s">
        <v>1033</v>
      </c>
      <c r="H1604" s="286" t="s">
        <v>1033</v>
      </c>
      <c r="I1604" s="286" t="s">
        <v>1228</v>
      </c>
      <c r="J1604" s="286" t="s">
        <v>1312</v>
      </c>
      <c r="K1604" s="286" t="s">
        <v>53</v>
      </c>
      <c r="L1604" s="286" t="s">
        <v>53</v>
      </c>
      <c r="M1604" s="286" t="s">
        <v>53</v>
      </c>
      <c r="N1604" s="287">
        <v>1022.56</v>
      </c>
      <c r="O1604" s="294">
        <f t="shared" ref="O1604:O1667" si="25">EOMONTH(B1604,0)</f>
        <v>45382</v>
      </c>
      <c r="P1604" s="286" t="s">
        <v>58</v>
      </c>
    </row>
    <row r="1605" spans="1:16" hidden="1" x14ac:dyDescent="0.15">
      <c r="A1605" s="286">
        <v>534207</v>
      </c>
      <c r="B1605" s="288">
        <v>45385.750694444447</v>
      </c>
      <c r="C1605" s="286" t="s">
        <v>2096</v>
      </c>
      <c r="D1605" s="286" t="s">
        <v>1105</v>
      </c>
      <c r="E1605" s="286" t="s">
        <v>1106</v>
      </c>
      <c r="F1605" s="286" t="s">
        <v>2155</v>
      </c>
      <c r="G1605" s="286" t="s">
        <v>1033</v>
      </c>
      <c r="H1605" s="286" t="s">
        <v>1033</v>
      </c>
      <c r="I1605" s="286" t="s">
        <v>1228</v>
      </c>
      <c r="J1605" s="286" t="s">
        <v>1312</v>
      </c>
      <c r="K1605" s="286" t="s">
        <v>53</v>
      </c>
      <c r="L1605" s="286" t="s">
        <v>53</v>
      </c>
      <c r="M1605" s="286" t="s">
        <v>53</v>
      </c>
      <c r="N1605" s="287">
        <v>1022.56</v>
      </c>
      <c r="O1605" s="294">
        <f t="shared" si="25"/>
        <v>45412</v>
      </c>
      <c r="P1605" s="286" t="s">
        <v>58</v>
      </c>
    </row>
    <row r="1606" spans="1:16" hidden="1" x14ac:dyDescent="0.15">
      <c r="A1606" s="286">
        <v>614216</v>
      </c>
      <c r="B1606" s="288">
        <v>45455.716666666667</v>
      </c>
      <c r="C1606" s="286" t="s">
        <v>2116</v>
      </c>
      <c r="D1606" s="286" t="s">
        <v>1105</v>
      </c>
      <c r="E1606" s="286" t="s">
        <v>1106</v>
      </c>
      <c r="F1606" s="286" t="s">
        <v>2156</v>
      </c>
      <c r="G1606" s="286" t="s">
        <v>1033</v>
      </c>
      <c r="H1606" s="286" t="s">
        <v>1033</v>
      </c>
      <c r="I1606" s="286" t="s">
        <v>1228</v>
      </c>
      <c r="J1606" s="286" t="s">
        <v>1312</v>
      </c>
      <c r="K1606" s="286" t="s">
        <v>53</v>
      </c>
      <c r="L1606" s="286" t="s">
        <v>53</v>
      </c>
      <c r="M1606" s="286" t="s">
        <v>53</v>
      </c>
      <c r="N1606" s="287">
        <v>1022.56</v>
      </c>
      <c r="O1606" s="294">
        <f t="shared" si="25"/>
        <v>45473</v>
      </c>
      <c r="P1606" s="286" t="s">
        <v>58</v>
      </c>
    </row>
    <row r="1607" spans="1:16" hidden="1" x14ac:dyDescent="0.15">
      <c r="A1607" s="286">
        <v>614316</v>
      </c>
      <c r="B1607" s="288">
        <v>45455.717361111114</v>
      </c>
      <c r="C1607" s="286" t="s">
        <v>2092</v>
      </c>
      <c r="D1607" s="286" t="s">
        <v>1105</v>
      </c>
      <c r="E1607" s="286" t="s">
        <v>1106</v>
      </c>
      <c r="F1607" s="286" t="s">
        <v>2167</v>
      </c>
      <c r="G1607" s="286" t="s">
        <v>1033</v>
      </c>
      <c r="H1607" s="286" t="s">
        <v>1033</v>
      </c>
      <c r="I1607" s="286" t="s">
        <v>1228</v>
      </c>
      <c r="J1607" s="286" t="s">
        <v>1312</v>
      </c>
      <c r="K1607" s="286" t="s">
        <v>53</v>
      </c>
      <c r="L1607" s="286" t="s">
        <v>53</v>
      </c>
      <c r="M1607" s="286" t="s">
        <v>53</v>
      </c>
      <c r="N1607" s="287">
        <v>1022.53</v>
      </c>
      <c r="O1607" s="294">
        <f t="shared" si="25"/>
        <v>45473</v>
      </c>
      <c r="P1607" s="286" t="s">
        <v>58</v>
      </c>
    </row>
    <row r="1608" spans="1:16" hidden="1" x14ac:dyDescent="0.15">
      <c r="A1608" s="286">
        <v>697810</v>
      </c>
      <c r="B1608" s="288">
        <v>45510.366666666669</v>
      </c>
      <c r="C1608" s="286" t="s">
        <v>2102</v>
      </c>
      <c r="D1608" s="286" t="s">
        <v>1105</v>
      </c>
      <c r="E1608" s="286" t="s">
        <v>1106</v>
      </c>
      <c r="F1608" s="286" t="s">
        <v>2138</v>
      </c>
      <c r="G1608" s="286" t="s">
        <v>1080</v>
      </c>
      <c r="H1608" s="286" t="s">
        <v>1080</v>
      </c>
      <c r="I1608" s="286" t="s">
        <v>1228</v>
      </c>
      <c r="J1608" s="286" t="s">
        <v>1312</v>
      </c>
      <c r="K1608" s="286" t="s">
        <v>1770</v>
      </c>
      <c r="L1608" s="286" t="s">
        <v>672</v>
      </c>
      <c r="M1608" s="286">
        <v>1</v>
      </c>
      <c r="N1608" s="287">
        <v>990.75</v>
      </c>
      <c r="O1608" s="294">
        <f t="shared" si="25"/>
        <v>45535</v>
      </c>
      <c r="P1608" s="286" t="s">
        <v>58</v>
      </c>
    </row>
    <row r="1609" spans="1:16" hidden="1" x14ac:dyDescent="0.15">
      <c r="A1609" s="286">
        <v>697810</v>
      </c>
      <c r="B1609" s="288">
        <v>45510.366666666669</v>
      </c>
      <c r="C1609" s="286" t="s">
        <v>2102</v>
      </c>
      <c r="D1609" s="286" t="s">
        <v>1105</v>
      </c>
      <c r="E1609" s="286" t="s">
        <v>1106</v>
      </c>
      <c r="F1609" s="286" t="s">
        <v>2138</v>
      </c>
      <c r="G1609" s="286" t="s">
        <v>1080</v>
      </c>
      <c r="H1609" s="286" t="s">
        <v>1080</v>
      </c>
      <c r="I1609" s="286" t="s">
        <v>1228</v>
      </c>
      <c r="J1609" s="286" t="s">
        <v>1312</v>
      </c>
      <c r="K1609" s="286" t="s">
        <v>1808</v>
      </c>
      <c r="L1609" s="286" t="s">
        <v>53</v>
      </c>
      <c r="M1609" s="286">
        <v>1</v>
      </c>
      <c r="N1609" s="287">
        <v>990.75</v>
      </c>
      <c r="O1609" s="294">
        <f t="shared" si="25"/>
        <v>45535</v>
      </c>
      <c r="P1609" s="286" t="s">
        <v>58</v>
      </c>
    </row>
    <row r="1610" spans="1:16" hidden="1" x14ac:dyDescent="0.15">
      <c r="A1610" s="286">
        <v>697810</v>
      </c>
      <c r="B1610" s="288">
        <v>45510.366666666669</v>
      </c>
      <c r="C1610" s="286" t="s">
        <v>2102</v>
      </c>
      <c r="D1610" s="286" t="s">
        <v>1105</v>
      </c>
      <c r="E1610" s="286" t="s">
        <v>1106</v>
      </c>
      <c r="F1610" s="286" t="s">
        <v>2138</v>
      </c>
      <c r="G1610" s="286" t="s">
        <v>1080</v>
      </c>
      <c r="H1610" s="286" t="s">
        <v>1080</v>
      </c>
      <c r="I1610" s="286" t="s">
        <v>1228</v>
      </c>
      <c r="J1610" s="286" t="s">
        <v>1312</v>
      </c>
      <c r="K1610" s="286" t="s">
        <v>1821</v>
      </c>
      <c r="L1610" s="286" t="s">
        <v>53</v>
      </c>
      <c r="M1610" s="286">
        <v>1</v>
      </c>
      <c r="N1610" s="287">
        <v>990.75</v>
      </c>
      <c r="O1610" s="294">
        <f t="shared" si="25"/>
        <v>45535</v>
      </c>
      <c r="P1610" s="286" t="s">
        <v>58</v>
      </c>
    </row>
    <row r="1611" spans="1:16" hidden="1" x14ac:dyDescent="0.15">
      <c r="A1611" s="286">
        <v>745911</v>
      </c>
      <c r="B1611" s="288">
        <v>45538.44027777778</v>
      </c>
      <c r="C1611" s="286" t="s">
        <v>2132</v>
      </c>
      <c r="D1611" s="286" t="s">
        <v>1105</v>
      </c>
      <c r="E1611" s="286" t="s">
        <v>1106</v>
      </c>
      <c r="F1611" s="286" t="s">
        <v>2139</v>
      </c>
      <c r="G1611" s="286" t="s">
        <v>1080</v>
      </c>
      <c r="H1611" s="286" t="s">
        <v>1080</v>
      </c>
      <c r="I1611" s="286" t="s">
        <v>1228</v>
      </c>
      <c r="J1611" s="286" t="s">
        <v>1312</v>
      </c>
      <c r="K1611" s="286" t="s">
        <v>1770</v>
      </c>
      <c r="L1611" s="286" t="s">
        <v>672</v>
      </c>
      <c r="M1611" s="286">
        <v>1</v>
      </c>
      <c r="N1611" s="287">
        <v>990.75</v>
      </c>
      <c r="O1611" s="294">
        <f t="shared" si="25"/>
        <v>45565</v>
      </c>
      <c r="P1611" s="286" t="s">
        <v>58</v>
      </c>
    </row>
    <row r="1612" spans="1:16" hidden="1" x14ac:dyDescent="0.15">
      <c r="A1612" s="286">
        <v>745911</v>
      </c>
      <c r="B1612" s="288">
        <v>45538.44027777778</v>
      </c>
      <c r="C1612" s="286" t="s">
        <v>2132</v>
      </c>
      <c r="D1612" s="286" t="s">
        <v>1105</v>
      </c>
      <c r="E1612" s="286" t="s">
        <v>1106</v>
      </c>
      <c r="F1612" s="286" t="s">
        <v>2139</v>
      </c>
      <c r="G1612" s="286" t="s">
        <v>1080</v>
      </c>
      <c r="H1612" s="286" t="s">
        <v>1080</v>
      </c>
      <c r="I1612" s="286" t="s">
        <v>1228</v>
      </c>
      <c r="J1612" s="286" t="s">
        <v>1312</v>
      </c>
      <c r="K1612" s="286" t="s">
        <v>1808</v>
      </c>
      <c r="L1612" s="286" t="s">
        <v>53</v>
      </c>
      <c r="M1612" s="286">
        <v>1</v>
      </c>
      <c r="N1612" s="287">
        <v>990.75</v>
      </c>
      <c r="O1612" s="294">
        <f t="shared" si="25"/>
        <v>45565</v>
      </c>
      <c r="P1612" s="286" t="s">
        <v>58</v>
      </c>
    </row>
    <row r="1613" spans="1:16" hidden="1" x14ac:dyDescent="0.15">
      <c r="A1613" s="286">
        <v>745911</v>
      </c>
      <c r="B1613" s="288">
        <v>45538.44027777778</v>
      </c>
      <c r="C1613" s="286" t="s">
        <v>2132</v>
      </c>
      <c r="D1613" s="286" t="s">
        <v>1105</v>
      </c>
      <c r="E1613" s="286" t="s">
        <v>1106</v>
      </c>
      <c r="F1613" s="286" t="s">
        <v>2139</v>
      </c>
      <c r="G1613" s="286" t="s">
        <v>1080</v>
      </c>
      <c r="H1613" s="286" t="s">
        <v>1080</v>
      </c>
      <c r="I1613" s="286" t="s">
        <v>1228</v>
      </c>
      <c r="J1613" s="286" t="s">
        <v>1312</v>
      </c>
      <c r="K1613" s="286" t="s">
        <v>1821</v>
      </c>
      <c r="L1613" s="286" t="s">
        <v>53</v>
      </c>
      <c r="M1613" s="286">
        <v>1</v>
      </c>
      <c r="N1613" s="287">
        <v>990.75</v>
      </c>
      <c r="O1613" s="294">
        <f t="shared" si="25"/>
        <v>45565</v>
      </c>
      <c r="P1613" s="286" t="s">
        <v>58</v>
      </c>
    </row>
    <row r="1614" spans="1:16" hidden="1" x14ac:dyDescent="0.15">
      <c r="A1614" s="286">
        <v>848917</v>
      </c>
      <c r="B1614" s="288">
        <v>45607.660416666666</v>
      </c>
      <c r="C1614" s="286" t="s">
        <v>2100</v>
      </c>
      <c r="D1614" s="286" t="s">
        <v>1105</v>
      </c>
      <c r="E1614" s="286" t="s">
        <v>1106</v>
      </c>
      <c r="F1614" s="286" t="s">
        <v>2141</v>
      </c>
      <c r="G1614" s="286" t="s">
        <v>1080</v>
      </c>
      <c r="H1614" s="286" t="s">
        <v>1080</v>
      </c>
      <c r="I1614" s="286" t="s">
        <v>1228</v>
      </c>
      <c r="J1614" s="286" t="s">
        <v>1312</v>
      </c>
      <c r="K1614" s="286" t="s">
        <v>1770</v>
      </c>
      <c r="L1614" s="286" t="s">
        <v>672</v>
      </c>
      <c r="M1614" s="286">
        <v>1</v>
      </c>
      <c r="N1614" s="287">
        <v>990.75</v>
      </c>
      <c r="O1614" s="294">
        <f t="shared" si="25"/>
        <v>45626</v>
      </c>
      <c r="P1614" s="286" t="s">
        <v>58</v>
      </c>
    </row>
    <row r="1615" spans="1:16" hidden="1" x14ac:dyDescent="0.15">
      <c r="A1615" s="286">
        <v>848917</v>
      </c>
      <c r="B1615" s="288">
        <v>45607.660416666666</v>
      </c>
      <c r="C1615" s="286" t="s">
        <v>2100</v>
      </c>
      <c r="D1615" s="286" t="s">
        <v>1105</v>
      </c>
      <c r="E1615" s="286" t="s">
        <v>1106</v>
      </c>
      <c r="F1615" s="286" t="s">
        <v>2141</v>
      </c>
      <c r="G1615" s="286" t="s">
        <v>1080</v>
      </c>
      <c r="H1615" s="286" t="s">
        <v>1080</v>
      </c>
      <c r="I1615" s="286" t="s">
        <v>1228</v>
      </c>
      <c r="J1615" s="286" t="s">
        <v>1312</v>
      </c>
      <c r="K1615" s="286" t="s">
        <v>1808</v>
      </c>
      <c r="L1615" s="286" t="s">
        <v>53</v>
      </c>
      <c r="M1615" s="286">
        <v>1</v>
      </c>
      <c r="N1615" s="287">
        <v>990.75</v>
      </c>
      <c r="O1615" s="294">
        <f t="shared" si="25"/>
        <v>45626</v>
      </c>
      <c r="P1615" s="286" t="s">
        <v>58</v>
      </c>
    </row>
    <row r="1616" spans="1:16" hidden="1" x14ac:dyDescent="0.15">
      <c r="A1616" s="286">
        <v>848917</v>
      </c>
      <c r="B1616" s="288">
        <v>45607.660416666666</v>
      </c>
      <c r="C1616" s="286" t="s">
        <v>2100</v>
      </c>
      <c r="D1616" s="286" t="s">
        <v>1105</v>
      </c>
      <c r="E1616" s="286" t="s">
        <v>1106</v>
      </c>
      <c r="F1616" s="286" t="s">
        <v>2141</v>
      </c>
      <c r="G1616" s="286" t="s">
        <v>1080</v>
      </c>
      <c r="H1616" s="286" t="s">
        <v>1080</v>
      </c>
      <c r="I1616" s="286" t="s">
        <v>1228</v>
      </c>
      <c r="J1616" s="286" t="s">
        <v>1312</v>
      </c>
      <c r="K1616" s="286" t="s">
        <v>1821</v>
      </c>
      <c r="L1616" s="286" t="s">
        <v>53</v>
      </c>
      <c r="M1616" s="286">
        <v>1</v>
      </c>
      <c r="N1616" s="287">
        <v>990.75</v>
      </c>
      <c r="O1616" s="294">
        <f t="shared" si="25"/>
        <v>45626</v>
      </c>
      <c r="P1616" s="286" t="s">
        <v>58</v>
      </c>
    </row>
    <row r="1617" spans="1:16" hidden="1" x14ac:dyDescent="0.15">
      <c r="A1617" s="286">
        <v>504817</v>
      </c>
      <c r="B1617" s="288">
        <v>45359.645138888889</v>
      </c>
      <c r="C1617" s="286" t="s">
        <v>2109</v>
      </c>
      <c r="D1617" s="286" t="s">
        <v>1105</v>
      </c>
      <c r="E1617" s="286" t="s">
        <v>1106</v>
      </c>
      <c r="F1617" s="286" t="s">
        <v>2154</v>
      </c>
      <c r="G1617" s="286" t="s">
        <v>1080</v>
      </c>
      <c r="H1617" s="286" t="s">
        <v>1080</v>
      </c>
      <c r="I1617" s="286" t="s">
        <v>1228</v>
      </c>
      <c r="J1617" s="286" t="s">
        <v>1312</v>
      </c>
      <c r="K1617" s="286" t="s">
        <v>1770</v>
      </c>
      <c r="L1617" s="286" t="s">
        <v>672</v>
      </c>
      <c r="M1617" s="286">
        <v>1</v>
      </c>
      <c r="N1617" s="287">
        <v>985.16</v>
      </c>
      <c r="O1617" s="294">
        <f t="shared" si="25"/>
        <v>45382</v>
      </c>
      <c r="P1617" s="286" t="s">
        <v>58</v>
      </c>
    </row>
    <row r="1618" spans="1:16" hidden="1" x14ac:dyDescent="0.15">
      <c r="A1618" s="286">
        <v>504817</v>
      </c>
      <c r="B1618" s="288">
        <v>45359.645138888889</v>
      </c>
      <c r="C1618" s="286" t="s">
        <v>2109</v>
      </c>
      <c r="D1618" s="286" t="s">
        <v>1105</v>
      </c>
      <c r="E1618" s="286" t="s">
        <v>1106</v>
      </c>
      <c r="F1618" s="286" t="s">
        <v>2154</v>
      </c>
      <c r="G1618" s="286" t="s">
        <v>1080</v>
      </c>
      <c r="H1618" s="286" t="s">
        <v>1080</v>
      </c>
      <c r="I1618" s="286" t="s">
        <v>1228</v>
      </c>
      <c r="J1618" s="286" t="s">
        <v>1312</v>
      </c>
      <c r="K1618" s="286" t="s">
        <v>1808</v>
      </c>
      <c r="L1618" s="286" t="s">
        <v>53</v>
      </c>
      <c r="M1618" s="286">
        <v>1</v>
      </c>
      <c r="N1618" s="287">
        <v>985.16</v>
      </c>
      <c r="O1618" s="294">
        <f t="shared" si="25"/>
        <v>45382</v>
      </c>
      <c r="P1618" s="286" t="s">
        <v>58</v>
      </c>
    </row>
    <row r="1619" spans="1:16" hidden="1" x14ac:dyDescent="0.15">
      <c r="A1619" s="286">
        <v>504817</v>
      </c>
      <c r="B1619" s="288">
        <v>45359.645138888889</v>
      </c>
      <c r="C1619" s="286" t="s">
        <v>2109</v>
      </c>
      <c r="D1619" s="286" t="s">
        <v>1105</v>
      </c>
      <c r="E1619" s="286" t="s">
        <v>1106</v>
      </c>
      <c r="F1619" s="286" t="s">
        <v>2154</v>
      </c>
      <c r="G1619" s="286" t="s">
        <v>1080</v>
      </c>
      <c r="H1619" s="286" t="s">
        <v>1080</v>
      </c>
      <c r="I1619" s="286" t="s">
        <v>1228</v>
      </c>
      <c r="J1619" s="286" t="s">
        <v>1312</v>
      </c>
      <c r="K1619" s="286" t="s">
        <v>1821</v>
      </c>
      <c r="L1619" s="286" t="s">
        <v>53</v>
      </c>
      <c r="M1619" s="286">
        <v>1</v>
      </c>
      <c r="N1619" s="287">
        <v>985.16</v>
      </c>
      <c r="O1619" s="294">
        <f t="shared" si="25"/>
        <v>45382</v>
      </c>
      <c r="P1619" s="286" t="s">
        <v>58</v>
      </c>
    </row>
    <row r="1620" spans="1:16" hidden="1" x14ac:dyDescent="0.15">
      <c r="A1620" s="286">
        <v>438112</v>
      </c>
      <c r="B1620" s="288">
        <v>45293.53402777778</v>
      </c>
      <c r="C1620" s="286" t="s">
        <v>2125</v>
      </c>
      <c r="D1620" s="286" t="s">
        <v>1105</v>
      </c>
      <c r="E1620" s="286" t="s">
        <v>1106</v>
      </c>
      <c r="F1620" s="286" t="s">
        <v>2152</v>
      </c>
      <c r="G1620" s="286" t="s">
        <v>1063</v>
      </c>
      <c r="H1620" s="286" t="s">
        <v>1063</v>
      </c>
      <c r="I1620" s="286" t="s">
        <v>1228</v>
      </c>
      <c r="J1620" s="286" t="s">
        <v>53</v>
      </c>
      <c r="K1620" s="286" t="s">
        <v>53</v>
      </c>
      <c r="L1620" s="286" t="s">
        <v>53</v>
      </c>
      <c r="M1620" s="286" t="s">
        <v>53</v>
      </c>
      <c r="N1620" s="287">
        <v>976.4</v>
      </c>
      <c r="O1620" s="294">
        <f t="shared" si="25"/>
        <v>45322</v>
      </c>
      <c r="P1620" s="286" t="s">
        <v>58</v>
      </c>
    </row>
    <row r="1621" spans="1:16" hidden="1" x14ac:dyDescent="0.15">
      <c r="A1621" s="286">
        <v>472168</v>
      </c>
      <c r="B1621" s="288">
        <v>45331.416666666664</v>
      </c>
      <c r="C1621" s="286" t="s">
        <v>2113</v>
      </c>
      <c r="D1621" s="286" t="s">
        <v>1105</v>
      </c>
      <c r="E1621" s="286" t="s">
        <v>1106</v>
      </c>
      <c r="F1621" s="286" t="s">
        <v>2153</v>
      </c>
      <c r="G1621" s="286" t="s">
        <v>1063</v>
      </c>
      <c r="H1621" s="286" t="s">
        <v>1063</v>
      </c>
      <c r="I1621" s="286" t="s">
        <v>1228</v>
      </c>
      <c r="J1621" s="286" t="s">
        <v>53</v>
      </c>
      <c r="K1621" s="286" t="s">
        <v>53</v>
      </c>
      <c r="L1621" s="286" t="s">
        <v>53</v>
      </c>
      <c r="M1621" s="286" t="s">
        <v>53</v>
      </c>
      <c r="N1621" s="287">
        <v>976.4</v>
      </c>
      <c r="O1621" s="294">
        <f t="shared" si="25"/>
        <v>45351</v>
      </c>
      <c r="P1621" s="286" t="s">
        <v>58</v>
      </c>
    </row>
    <row r="1622" spans="1:16" hidden="1" x14ac:dyDescent="0.15">
      <c r="A1622" s="286">
        <v>504817</v>
      </c>
      <c r="B1622" s="288">
        <v>45359.645138888889</v>
      </c>
      <c r="C1622" s="286" t="s">
        <v>2109</v>
      </c>
      <c r="D1622" s="286" t="s">
        <v>1105</v>
      </c>
      <c r="E1622" s="286" t="s">
        <v>1106</v>
      </c>
      <c r="F1622" s="286" t="s">
        <v>2154</v>
      </c>
      <c r="G1622" s="286" t="s">
        <v>1063</v>
      </c>
      <c r="H1622" s="286" t="s">
        <v>1063</v>
      </c>
      <c r="I1622" s="286" t="s">
        <v>1228</v>
      </c>
      <c r="J1622" s="286" t="s">
        <v>53</v>
      </c>
      <c r="K1622" s="286" t="s">
        <v>53</v>
      </c>
      <c r="L1622" s="286" t="s">
        <v>53</v>
      </c>
      <c r="M1622" s="286" t="s">
        <v>53</v>
      </c>
      <c r="N1622" s="287">
        <v>976.4</v>
      </c>
      <c r="O1622" s="294">
        <f t="shared" si="25"/>
        <v>45382</v>
      </c>
      <c r="P1622" s="286" t="s">
        <v>58</v>
      </c>
    </row>
    <row r="1623" spans="1:16" hidden="1" x14ac:dyDescent="0.15">
      <c r="A1623" s="286">
        <v>534207</v>
      </c>
      <c r="B1623" s="288">
        <v>45385.750694444447</v>
      </c>
      <c r="C1623" s="286" t="s">
        <v>2096</v>
      </c>
      <c r="D1623" s="286" t="s">
        <v>1105</v>
      </c>
      <c r="E1623" s="286" t="s">
        <v>1106</v>
      </c>
      <c r="F1623" s="286" t="s">
        <v>2155</v>
      </c>
      <c r="G1623" s="286" t="s">
        <v>1063</v>
      </c>
      <c r="H1623" s="286" t="s">
        <v>1063</v>
      </c>
      <c r="I1623" s="286" t="s">
        <v>1228</v>
      </c>
      <c r="J1623" s="286" t="s">
        <v>53</v>
      </c>
      <c r="K1623" s="286" t="s">
        <v>53</v>
      </c>
      <c r="L1623" s="286" t="s">
        <v>53</v>
      </c>
      <c r="M1623" s="286" t="s">
        <v>53</v>
      </c>
      <c r="N1623" s="287">
        <v>976.4</v>
      </c>
      <c r="O1623" s="294">
        <f t="shared" si="25"/>
        <v>45412</v>
      </c>
      <c r="P1623" s="286" t="s">
        <v>58</v>
      </c>
    </row>
    <row r="1624" spans="1:16" hidden="1" x14ac:dyDescent="0.15">
      <c r="A1624" s="286">
        <v>504817</v>
      </c>
      <c r="B1624" s="288">
        <v>45359.645138888889</v>
      </c>
      <c r="C1624" s="286" t="s">
        <v>2109</v>
      </c>
      <c r="D1624" s="286" t="s">
        <v>1105</v>
      </c>
      <c r="E1624" s="286" t="s">
        <v>1106</v>
      </c>
      <c r="F1624" s="286" t="s">
        <v>2154</v>
      </c>
      <c r="G1624" s="286" t="s">
        <v>2387</v>
      </c>
      <c r="H1624" s="286" t="s">
        <v>2387</v>
      </c>
      <c r="I1624" s="286" t="s">
        <v>1129</v>
      </c>
      <c r="J1624" s="286" t="s">
        <v>1312</v>
      </c>
      <c r="K1624" s="286" t="s">
        <v>2388</v>
      </c>
      <c r="L1624" s="286" t="s">
        <v>2389</v>
      </c>
      <c r="M1624" s="286">
        <v>2</v>
      </c>
      <c r="N1624" s="287">
        <v>971.32</v>
      </c>
      <c r="O1624" s="294">
        <f t="shared" si="25"/>
        <v>45382</v>
      </c>
      <c r="P1624" s="286" t="s">
        <v>164</v>
      </c>
    </row>
    <row r="1625" spans="1:16" hidden="1" x14ac:dyDescent="0.15">
      <c r="A1625" s="286">
        <v>614216</v>
      </c>
      <c r="B1625" s="288">
        <v>45455.716666666667</v>
      </c>
      <c r="C1625" s="286" t="s">
        <v>2116</v>
      </c>
      <c r="D1625" s="286" t="s">
        <v>1105</v>
      </c>
      <c r="E1625" s="286" t="s">
        <v>1106</v>
      </c>
      <c r="F1625" s="286" t="s">
        <v>2156</v>
      </c>
      <c r="G1625" s="286" t="s">
        <v>1090</v>
      </c>
      <c r="H1625" s="286" t="s">
        <v>1090</v>
      </c>
      <c r="I1625" s="286" t="s">
        <v>1199</v>
      </c>
      <c r="J1625" s="286" t="s">
        <v>53</v>
      </c>
      <c r="K1625" s="286" t="s">
        <v>53</v>
      </c>
      <c r="L1625" s="286" t="s">
        <v>53</v>
      </c>
      <c r="M1625" s="286" t="s">
        <v>53</v>
      </c>
      <c r="N1625" s="287">
        <v>960.95</v>
      </c>
      <c r="O1625" s="294">
        <f t="shared" si="25"/>
        <v>45473</v>
      </c>
      <c r="P1625" s="286" t="s">
        <v>58</v>
      </c>
    </row>
    <row r="1626" spans="1:16" hidden="1" x14ac:dyDescent="0.15">
      <c r="A1626" s="286">
        <v>614216</v>
      </c>
      <c r="B1626" s="288">
        <v>45455.716666666667</v>
      </c>
      <c r="C1626" s="286" t="s">
        <v>2116</v>
      </c>
      <c r="D1626" s="286" t="s">
        <v>1105</v>
      </c>
      <c r="E1626" s="286" t="s">
        <v>1106</v>
      </c>
      <c r="F1626" s="286" t="s">
        <v>2156</v>
      </c>
      <c r="G1626" s="286" t="s">
        <v>1080</v>
      </c>
      <c r="H1626" s="286" t="s">
        <v>1080</v>
      </c>
      <c r="I1626" s="286" t="s">
        <v>1228</v>
      </c>
      <c r="J1626" s="286" t="s">
        <v>1312</v>
      </c>
      <c r="K1626" s="286" t="s">
        <v>1770</v>
      </c>
      <c r="L1626" s="286" t="s">
        <v>672</v>
      </c>
      <c r="M1626" s="286">
        <v>1</v>
      </c>
      <c r="N1626" s="287">
        <v>952.33</v>
      </c>
      <c r="O1626" s="294">
        <f t="shared" si="25"/>
        <v>45473</v>
      </c>
      <c r="P1626" s="286" t="s">
        <v>58</v>
      </c>
    </row>
    <row r="1627" spans="1:16" hidden="1" x14ac:dyDescent="0.15">
      <c r="A1627" s="286">
        <v>614216</v>
      </c>
      <c r="B1627" s="288">
        <v>45455.716666666667</v>
      </c>
      <c r="C1627" s="286" t="s">
        <v>2116</v>
      </c>
      <c r="D1627" s="286" t="s">
        <v>1105</v>
      </c>
      <c r="E1627" s="286" t="s">
        <v>1106</v>
      </c>
      <c r="F1627" s="286" t="s">
        <v>2156</v>
      </c>
      <c r="G1627" s="286" t="s">
        <v>1080</v>
      </c>
      <c r="H1627" s="286" t="s">
        <v>1080</v>
      </c>
      <c r="I1627" s="286" t="s">
        <v>1228</v>
      </c>
      <c r="J1627" s="286" t="s">
        <v>1312</v>
      </c>
      <c r="K1627" s="286" t="s">
        <v>1808</v>
      </c>
      <c r="L1627" s="286" t="s">
        <v>53</v>
      </c>
      <c r="M1627" s="286">
        <v>1</v>
      </c>
      <c r="N1627" s="287">
        <v>952.33</v>
      </c>
      <c r="O1627" s="294">
        <f t="shared" si="25"/>
        <v>45473</v>
      </c>
      <c r="P1627" s="286" t="s">
        <v>58</v>
      </c>
    </row>
    <row r="1628" spans="1:16" hidden="1" x14ac:dyDescent="0.15">
      <c r="A1628" s="286">
        <v>614216</v>
      </c>
      <c r="B1628" s="288">
        <v>45455.716666666667</v>
      </c>
      <c r="C1628" s="286" t="s">
        <v>2116</v>
      </c>
      <c r="D1628" s="286" t="s">
        <v>1105</v>
      </c>
      <c r="E1628" s="286" t="s">
        <v>1106</v>
      </c>
      <c r="F1628" s="286" t="s">
        <v>2156</v>
      </c>
      <c r="G1628" s="286" t="s">
        <v>1080</v>
      </c>
      <c r="H1628" s="286" t="s">
        <v>1080</v>
      </c>
      <c r="I1628" s="286" t="s">
        <v>1228</v>
      </c>
      <c r="J1628" s="286" t="s">
        <v>1312</v>
      </c>
      <c r="K1628" s="286" t="s">
        <v>1821</v>
      </c>
      <c r="L1628" s="286" t="s">
        <v>53</v>
      </c>
      <c r="M1628" s="286">
        <v>1</v>
      </c>
      <c r="N1628" s="287">
        <v>952.33</v>
      </c>
      <c r="O1628" s="294">
        <f t="shared" si="25"/>
        <v>45473</v>
      </c>
      <c r="P1628" s="286" t="s">
        <v>58</v>
      </c>
    </row>
    <row r="1629" spans="1:16" hidden="1" x14ac:dyDescent="0.15">
      <c r="A1629" s="286">
        <v>745911</v>
      </c>
      <c r="B1629" s="288">
        <v>45538.44027777778</v>
      </c>
      <c r="C1629" s="286" t="s">
        <v>2132</v>
      </c>
      <c r="D1629" s="286" t="s">
        <v>1105</v>
      </c>
      <c r="E1629" s="286" t="s">
        <v>1106</v>
      </c>
      <c r="F1629" s="286" t="s">
        <v>2139</v>
      </c>
      <c r="G1629" s="286" t="s">
        <v>1002</v>
      </c>
      <c r="H1629" s="286" t="s">
        <v>1002</v>
      </c>
      <c r="I1629" s="286" t="s">
        <v>1199</v>
      </c>
      <c r="J1629" s="286" t="s">
        <v>53</v>
      </c>
      <c r="K1629" s="286" t="s">
        <v>53</v>
      </c>
      <c r="L1629" s="286" t="s">
        <v>53</v>
      </c>
      <c r="M1629" s="286" t="s">
        <v>53</v>
      </c>
      <c r="N1629" s="287">
        <v>929.47</v>
      </c>
      <c r="O1629" s="294">
        <f t="shared" si="25"/>
        <v>45565</v>
      </c>
      <c r="P1629" s="286" t="s">
        <v>58</v>
      </c>
    </row>
    <row r="1630" spans="1:16" hidden="1" x14ac:dyDescent="0.15">
      <c r="A1630" s="286">
        <v>455870</v>
      </c>
      <c r="B1630" s="288">
        <v>45310.583333333336</v>
      </c>
      <c r="C1630" s="286" t="s">
        <v>2125</v>
      </c>
      <c r="D1630" s="286" t="s">
        <v>1105</v>
      </c>
      <c r="E1630" s="286" t="s">
        <v>1106</v>
      </c>
      <c r="F1630" s="286" t="s">
        <v>2280</v>
      </c>
      <c r="G1630" s="286" t="s">
        <v>1080</v>
      </c>
      <c r="H1630" s="286" t="s">
        <v>1080</v>
      </c>
      <c r="I1630" s="286" t="s">
        <v>1228</v>
      </c>
      <c r="J1630" s="286" t="s">
        <v>1312</v>
      </c>
      <c r="K1630" s="286" t="s">
        <v>1821</v>
      </c>
      <c r="L1630" s="286" t="s">
        <v>53</v>
      </c>
      <c r="M1630" s="286">
        <v>1</v>
      </c>
      <c r="N1630" s="287">
        <v>921.61</v>
      </c>
      <c r="O1630" s="294">
        <f t="shared" si="25"/>
        <v>45322</v>
      </c>
      <c r="P1630" s="286" t="s">
        <v>58</v>
      </c>
    </row>
    <row r="1631" spans="1:16" hidden="1" x14ac:dyDescent="0.15">
      <c r="A1631" s="286">
        <v>455870</v>
      </c>
      <c r="B1631" s="288">
        <v>45310.583333333336</v>
      </c>
      <c r="C1631" s="286" t="s">
        <v>2125</v>
      </c>
      <c r="D1631" s="286" t="s">
        <v>1105</v>
      </c>
      <c r="E1631" s="286" t="s">
        <v>1106</v>
      </c>
      <c r="F1631" s="286" t="s">
        <v>2280</v>
      </c>
      <c r="G1631" s="286" t="s">
        <v>1080</v>
      </c>
      <c r="H1631" s="286" t="s">
        <v>1080</v>
      </c>
      <c r="I1631" s="286" t="s">
        <v>1228</v>
      </c>
      <c r="J1631" s="286" t="s">
        <v>1312</v>
      </c>
      <c r="K1631" s="286" t="s">
        <v>1808</v>
      </c>
      <c r="L1631" s="286" t="s">
        <v>53</v>
      </c>
      <c r="M1631" s="286">
        <v>1</v>
      </c>
      <c r="N1631" s="287">
        <v>921.61</v>
      </c>
      <c r="O1631" s="294">
        <f t="shared" si="25"/>
        <v>45322</v>
      </c>
      <c r="P1631" s="286" t="s">
        <v>58</v>
      </c>
    </row>
    <row r="1632" spans="1:16" hidden="1" x14ac:dyDescent="0.15">
      <c r="A1632" s="286">
        <v>455870</v>
      </c>
      <c r="B1632" s="288">
        <v>45310.583333333336</v>
      </c>
      <c r="C1632" s="286" t="s">
        <v>2125</v>
      </c>
      <c r="D1632" s="286" t="s">
        <v>1105</v>
      </c>
      <c r="E1632" s="286" t="s">
        <v>1106</v>
      </c>
      <c r="F1632" s="286" t="s">
        <v>2280</v>
      </c>
      <c r="G1632" s="286" t="s">
        <v>1080</v>
      </c>
      <c r="H1632" s="286" t="s">
        <v>1080</v>
      </c>
      <c r="I1632" s="286" t="s">
        <v>1228</v>
      </c>
      <c r="J1632" s="286" t="s">
        <v>1312</v>
      </c>
      <c r="K1632" s="286" t="s">
        <v>1770</v>
      </c>
      <c r="L1632" s="286" t="s">
        <v>672</v>
      </c>
      <c r="M1632" s="286">
        <v>1</v>
      </c>
      <c r="N1632" s="287">
        <v>921.61</v>
      </c>
      <c r="O1632" s="294">
        <f t="shared" si="25"/>
        <v>45322</v>
      </c>
      <c r="P1632" s="286" t="s">
        <v>58</v>
      </c>
    </row>
    <row r="1633" spans="1:16" hidden="1" x14ac:dyDescent="0.15">
      <c r="A1633" s="286">
        <v>472168</v>
      </c>
      <c r="B1633" s="288">
        <v>45331.416666666664</v>
      </c>
      <c r="C1633" s="286" t="s">
        <v>2113</v>
      </c>
      <c r="D1633" s="286" t="s">
        <v>1105</v>
      </c>
      <c r="E1633" s="286" t="s">
        <v>1106</v>
      </c>
      <c r="F1633" s="286" t="s">
        <v>2153</v>
      </c>
      <c r="G1633" s="286" t="s">
        <v>1080</v>
      </c>
      <c r="H1633" s="286" t="s">
        <v>1080</v>
      </c>
      <c r="I1633" s="286" t="s">
        <v>1228</v>
      </c>
      <c r="J1633" s="286" t="s">
        <v>1312</v>
      </c>
      <c r="K1633" s="286" t="s">
        <v>1770</v>
      </c>
      <c r="L1633" s="286" t="s">
        <v>672</v>
      </c>
      <c r="M1633" s="286">
        <v>1</v>
      </c>
      <c r="N1633" s="287">
        <v>921.61</v>
      </c>
      <c r="O1633" s="294">
        <f t="shared" si="25"/>
        <v>45351</v>
      </c>
      <c r="P1633" s="286" t="s">
        <v>58</v>
      </c>
    </row>
    <row r="1634" spans="1:16" hidden="1" x14ac:dyDescent="0.15">
      <c r="A1634" s="286">
        <v>472168</v>
      </c>
      <c r="B1634" s="288">
        <v>45331.416666666664</v>
      </c>
      <c r="C1634" s="286" t="s">
        <v>2113</v>
      </c>
      <c r="D1634" s="286" t="s">
        <v>1105</v>
      </c>
      <c r="E1634" s="286" t="s">
        <v>1106</v>
      </c>
      <c r="F1634" s="286" t="s">
        <v>2153</v>
      </c>
      <c r="G1634" s="286" t="s">
        <v>1080</v>
      </c>
      <c r="H1634" s="286" t="s">
        <v>1080</v>
      </c>
      <c r="I1634" s="286" t="s">
        <v>1228</v>
      </c>
      <c r="J1634" s="286" t="s">
        <v>1312</v>
      </c>
      <c r="K1634" s="286" t="s">
        <v>1808</v>
      </c>
      <c r="L1634" s="286" t="s">
        <v>53</v>
      </c>
      <c r="M1634" s="286">
        <v>1</v>
      </c>
      <c r="N1634" s="287">
        <v>921.61</v>
      </c>
      <c r="O1634" s="294">
        <f t="shared" si="25"/>
        <v>45351</v>
      </c>
      <c r="P1634" s="286" t="s">
        <v>58</v>
      </c>
    </row>
    <row r="1635" spans="1:16" hidden="1" x14ac:dyDescent="0.15">
      <c r="A1635" s="286">
        <v>472168</v>
      </c>
      <c r="B1635" s="288">
        <v>45331.416666666664</v>
      </c>
      <c r="C1635" s="286" t="s">
        <v>2113</v>
      </c>
      <c r="D1635" s="286" t="s">
        <v>1105</v>
      </c>
      <c r="E1635" s="286" t="s">
        <v>1106</v>
      </c>
      <c r="F1635" s="286" t="s">
        <v>2153</v>
      </c>
      <c r="G1635" s="286" t="s">
        <v>1080</v>
      </c>
      <c r="H1635" s="286" t="s">
        <v>1080</v>
      </c>
      <c r="I1635" s="286" t="s">
        <v>1228</v>
      </c>
      <c r="J1635" s="286" t="s">
        <v>1312</v>
      </c>
      <c r="K1635" s="286" t="s">
        <v>1821</v>
      </c>
      <c r="L1635" s="286" t="s">
        <v>53</v>
      </c>
      <c r="M1635" s="286">
        <v>1</v>
      </c>
      <c r="N1635" s="287">
        <v>921.61</v>
      </c>
      <c r="O1635" s="294">
        <f t="shared" si="25"/>
        <v>45351</v>
      </c>
      <c r="P1635" s="286" t="s">
        <v>58</v>
      </c>
    </row>
    <row r="1636" spans="1:16" hidden="1" x14ac:dyDescent="0.15">
      <c r="A1636" s="286">
        <v>534207</v>
      </c>
      <c r="B1636" s="288">
        <v>45385.750694444447</v>
      </c>
      <c r="C1636" s="286" t="s">
        <v>2096</v>
      </c>
      <c r="D1636" s="286" t="s">
        <v>1105</v>
      </c>
      <c r="E1636" s="286" t="s">
        <v>1106</v>
      </c>
      <c r="F1636" s="286" t="s">
        <v>2155</v>
      </c>
      <c r="G1636" s="286" t="s">
        <v>1080</v>
      </c>
      <c r="H1636" s="286" t="s">
        <v>1080</v>
      </c>
      <c r="I1636" s="286" t="s">
        <v>1228</v>
      </c>
      <c r="J1636" s="286" t="s">
        <v>1312</v>
      </c>
      <c r="K1636" s="286" t="s">
        <v>1770</v>
      </c>
      <c r="L1636" s="286" t="s">
        <v>672</v>
      </c>
      <c r="M1636" s="286">
        <v>1</v>
      </c>
      <c r="N1636" s="287">
        <v>921.61</v>
      </c>
      <c r="O1636" s="294">
        <f t="shared" si="25"/>
        <v>45412</v>
      </c>
      <c r="P1636" s="286" t="s">
        <v>58</v>
      </c>
    </row>
    <row r="1637" spans="1:16" hidden="1" x14ac:dyDescent="0.15">
      <c r="A1637" s="286">
        <v>534207</v>
      </c>
      <c r="B1637" s="288">
        <v>45385.750694444447</v>
      </c>
      <c r="C1637" s="286" t="s">
        <v>2096</v>
      </c>
      <c r="D1637" s="286" t="s">
        <v>1105</v>
      </c>
      <c r="E1637" s="286" t="s">
        <v>1106</v>
      </c>
      <c r="F1637" s="286" t="s">
        <v>2155</v>
      </c>
      <c r="G1637" s="286" t="s">
        <v>1080</v>
      </c>
      <c r="H1637" s="286" t="s">
        <v>1080</v>
      </c>
      <c r="I1637" s="286" t="s">
        <v>1228</v>
      </c>
      <c r="J1637" s="286" t="s">
        <v>1312</v>
      </c>
      <c r="K1637" s="286" t="s">
        <v>1808</v>
      </c>
      <c r="L1637" s="286" t="s">
        <v>53</v>
      </c>
      <c r="M1637" s="286">
        <v>1</v>
      </c>
      <c r="N1637" s="287">
        <v>921.61</v>
      </c>
      <c r="O1637" s="294">
        <f t="shared" si="25"/>
        <v>45412</v>
      </c>
      <c r="P1637" s="286" t="s">
        <v>58</v>
      </c>
    </row>
    <row r="1638" spans="1:16" hidden="1" x14ac:dyDescent="0.15">
      <c r="A1638" s="286">
        <v>534207</v>
      </c>
      <c r="B1638" s="288">
        <v>45385.750694444447</v>
      </c>
      <c r="C1638" s="286" t="s">
        <v>2096</v>
      </c>
      <c r="D1638" s="286" t="s">
        <v>1105</v>
      </c>
      <c r="E1638" s="286" t="s">
        <v>1106</v>
      </c>
      <c r="F1638" s="286" t="s">
        <v>2155</v>
      </c>
      <c r="G1638" s="286" t="s">
        <v>1080</v>
      </c>
      <c r="H1638" s="286" t="s">
        <v>1080</v>
      </c>
      <c r="I1638" s="286" t="s">
        <v>1228</v>
      </c>
      <c r="J1638" s="286" t="s">
        <v>1312</v>
      </c>
      <c r="K1638" s="286" t="s">
        <v>1821</v>
      </c>
      <c r="L1638" s="286" t="s">
        <v>53</v>
      </c>
      <c r="M1638" s="286">
        <v>1</v>
      </c>
      <c r="N1638" s="287">
        <v>921.61</v>
      </c>
      <c r="O1638" s="294">
        <f t="shared" si="25"/>
        <v>45412</v>
      </c>
      <c r="P1638" s="286" t="s">
        <v>58</v>
      </c>
    </row>
    <row r="1639" spans="1:16" hidden="1" x14ac:dyDescent="0.15">
      <c r="A1639" s="286">
        <v>614316</v>
      </c>
      <c r="B1639" s="288">
        <v>45455.717361111114</v>
      </c>
      <c r="C1639" s="286" t="s">
        <v>2092</v>
      </c>
      <c r="D1639" s="286" t="s">
        <v>1105</v>
      </c>
      <c r="E1639" s="286" t="s">
        <v>1106</v>
      </c>
      <c r="F1639" s="286" t="s">
        <v>2167</v>
      </c>
      <c r="G1639" s="286" t="s">
        <v>1080</v>
      </c>
      <c r="H1639" s="286" t="s">
        <v>1080</v>
      </c>
      <c r="I1639" s="286" t="s">
        <v>1228</v>
      </c>
      <c r="J1639" s="286" t="s">
        <v>1312</v>
      </c>
      <c r="K1639" s="286" t="s">
        <v>1770</v>
      </c>
      <c r="L1639" s="286" t="s">
        <v>672</v>
      </c>
      <c r="M1639" s="286">
        <v>1</v>
      </c>
      <c r="N1639" s="287">
        <v>921.61</v>
      </c>
      <c r="O1639" s="294">
        <f t="shared" si="25"/>
        <v>45473</v>
      </c>
      <c r="P1639" s="286" t="s">
        <v>58</v>
      </c>
    </row>
    <row r="1640" spans="1:16" hidden="1" x14ac:dyDescent="0.15">
      <c r="A1640" s="286">
        <v>614316</v>
      </c>
      <c r="B1640" s="288">
        <v>45455.717361111114</v>
      </c>
      <c r="C1640" s="286" t="s">
        <v>2092</v>
      </c>
      <c r="D1640" s="286" t="s">
        <v>1105</v>
      </c>
      <c r="E1640" s="286" t="s">
        <v>1106</v>
      </c>
      <c r="F1640" s="286" t="s">
        <v>2167</v>
      </c>
      <c r="G1640" s="286" t="s">
        <v>1080</v>
      </c>
      <c r="H1640" s="286" t="s">
        <v>1080</v>
      </c>
      <c r="I1640" s="286" t="s">
        <v>1228</v>
      </c>
      <c r="J1640" s="286" t="s">
        <v>1312</v>
      </c>
      <c r="K1640" s="286" t="s">
        <v>1808</v>
      </c>
      <c r="L1640" s="286" t="s">
        <v>53</v>
      </c>
      <c r="M1640" s="286">
        <v>1</v>
      </c>
      <c r="N1640" s="287">
        <v>921.61</v>
      </c>
      <c r="O1640" s="294">
        <f t="shared" si="25"/>
        <v>45473</v>
      </c>
      <c r="P1640" s="286" t="s">
        <v>58</v>
      </c>
    </row>
    <row r="1641" spans="1:16" hidden="1" x14ac:dyDescent="0.15">
      <c r="A1641" s="286">
        <v>614316</v>
      </c>
      <c r="B1641" s="288">
        <v>45455.717361111114</v>
      </c>
      <c r="C1641" s="286" t="s">
        <v>2092</v>
      </c>
      <c r="D1641" s="286" t="s">
        <v>1105</v>
      </c>
      <c r="E1641" s="286" t="s">
        <v>1106</v>
      </c>
      <c r="F1641" s="286" t="s">
        <v>2167</v>
      </c>
      <c r="G1641" s="286" t="s">
        <v>1080</v>
      </c>
      <c r="H1641" s="286" t="s">
        <v>1080</v>
      </c>
      <c r="I1641" s="286" t="s">
        <v>1228</v>
      </c>
      <c r="J1641" s="286" t="s">
        <v>1312</v>
      </c>
      <c r="K1641" s="286" t="s">
        <v>1821</v>
      </c>
      <c r="L1641" s="286" t="s">
        <v>53</v>
      </c>
      <c r="M1641" s="286">
        <v>1</v>
      </c>
      <c r="N1641" s="287">
        <v>921.61</v>
      </c>
      <c r="O1641" s="294">
        <f t="shared" si="25"/>
        <v>45473</v>
      </c>
      <c r="P1641" s="286" t="s">
        <v>58</v>
      </c>
    </row>
    <row r="1642" spans="1:16" hidden="1" x14ac:dyDescent="0.15">
      <c r="A1642" s="286">
        <v>608480</v>
      </c>
      <c r="B1642" s="288">
        <v>45450.422222222223</v>
      </c>
      <c r="C1642" s="286" t="s">
        <v>2092</v>
      </c>
      <c r="D1642" s="286" t="s">
        <v>1105</v>
      </c>
      <c r="E1642" s="286" t="s">
        <v>1106</v>
      </c>
      <c r="F1642" s="286" t="s">
        <v>2157</v>
      </c>
      <c r="G1642" s="286" t="s">
        <v>1061</v>
      </c>
      <c r="H1642" s="286" t="s">
        <v>1061</v>
      </c>
      <c r="I1642" s="286" t="s">
        <v>1228</v>
      </c>
      <c r="J1642" s="286" t="s">
        <v>53</v>
      </c>
      <c r="K1642" s="286" t="s">
        <v>53</v>
      </c>
      <c r="L1642" s="286" t="s">
        <v>53</v>
      </c>
      <c r="M1642" s="286" t="s">
        <v>53</v>
      </c>
      <c r="N1642" s="287">
        <v>918.74</v>
      </c>
      <c r="O1642" s="294">
        <f t="shared" si="25"/>
        <v>45473</v>
      </c>
      <c r="P1642" s="286" t="s">
        <v>58</v>
      </c>
    </row>
    <row r="1643" spans="1:16" hidden="1" x14ac:dyDescent="0.15">
      <c r="A1643" s="286">
        <v>534207</v>
      </c>
      <c r="B1643" s="288">
        <v>45385.750694444447</v>
      </c>
      <c r="C1643" s="286" t="s">
        <v>2096</v>
      </c>
      <c r="D1643" s="286" t="s">
        <v>1105</v>
      </c>
      <c r="E1643" s="286" t="s">
        <v>1106</v>
      </c>
      <c r="F1643" s="286" t="s">
        <v>2155</v>
      </c>
      <c r="G1643" s="286" t="s">
        <v>1011</v>
      </c>
      <c r="H1643" s="286" t="s">
        <v>1011</v>
      </c>
      <c r="I1643" s="286" t="s">
        <v>1228</v>
      </c>
      <c r="J1643" s="286" t="s">
        <v>1312</v>
      </c>
      <c r="K1643" s="286" t="s">
        <v>1770</v>
      </c>
      <c r="L1643" s="286" t="s">
        <v>672</v>
      </c>
      <c r="M1643" s="286">
        <v>1</v>
      </c>
      <c r="N1643" s="287">
        <v>904.03</v>
      </c>
      <c r="O1643" s="294">
        <f t="shared" si="25"/>
        <v>45412</v>
      </c>
      <c r="P1643" s="286" t="s">
        <v>58</v>
      </c>
    </row>
    <row r="1644" spans="1:16" hidden="1" x14ac:dyDescent="0.15">
      <c r="A1644" s="286">
        <v>472168</v>
      </c>
      <c r="B1644" s="288">
        <v>45331.416666666664</v>
      </c>
      <c r="C1644" s="286" t="s">
        <v>2113</v>
      </c>
      <c r="D1644" s="286" t="s">
        <v>1105</v>
      </c>
      <c r="E1644" s="286" t="s">
        <v>1106</v>
      </c>
      <c r="F1644" s="286" t="s">
        <v>2153</v>
      </c>
      <c r="G1644" s="286" t="s">
        <v>1089</v>
      </c>
      <c r="H1644" s="286" t="s">
        <v>1089</v>
      </c>
      <c r="I1644" s="286" t="s">
        <v>1199</v>
      </c>
      <c r="J1644" s="286" t="s">
        <v>1312</v>
      </c>
      <c r="K1644" s="286" t="s">
        <v>1805</v>
      </c>
      <c r="L1644" s="286" t="s">
        <v>672</v>
      </c>
      <c r="M1644" s="286">
        <v>1</v>
      </c>
      <c r="N1644" s="287">
        <v>895.1</v>
      </c>
      <c r="O1644" s="294">
        <f t="shared" si="25"/>
        <v>45351</v>
      </c>
      <c r="P1644" s="286" t="s">
        <v>58</v>
      </c>
    </row>
    <row r="1645" spans="1:16" hidden="1" x14ac:dyDescent="0.15">
      <c r="A1645" s="286">
        <v>474038</v>
      </c>
      <c r="B1645" s="288">
        <v>45334.591666666667</v>
      </c>
      <c r="C1645" s="286" t="s">
        <v>2113</v>
      </c>
      <c r="D1645" s="286" t="s">
        <v>1105</v>
      </c>
      <c r="E1645" s="286" t="s">
        <v>1106</v>
      </c>
      <c r="F1645" s="286" t="s">
        <v>2334</v>
      </c>
      <c r="G1645" s="286" t="s">
        <v>1089</v>
      </c>
      <c r="H1645" s="286" t="s">
        <v>1089</v>
      </c>
      <c r="I1645" s="286" t="s">
        <v>1228</v>
      </c>
      <c r="J1645" s="286" t="s">
        <v>1312</v>
      </c>
      <c r="K1645" s="286" t="s">
        <v>1813</v>
      </c>
      <c r="L1645" s="286" t="s">
        <v>672</v>
      </c>
      <c r="M1645" s="286">
        <v>1</v>
      </c>
      <c r="N1645" s="287">
        <v>895.1</v>
      </c>
      <c r="O1645" s="294">
        <f t="shared" si="25"/>
        <v>45351</v>
      </c>
      <c r="P1645" s="286" t="s">
        <v>58</v>
      </c>
    </row>
    <row r="1646" spans="1:16" hidden="1" x14ac:dyDescent="0.15">
      <c r="A1646" s="286">
        <v>646075</v>
      </c>
      <c r="B1646" s="288">
        <v>45474.519444444442</v>
      </c>
      <c r="C1646" s="286" t="s">
        <v>2111</v>
      </c>
      <c r="D1646" s="286" t="s">
        <v>1105</v>
      </c>
      <c r="E1646" s="286" t="s">
        <v>1106</v>
      </c>
      <c r="F1646" s="286" t="s">
        <v>2137</v>
      </c>
      <c r="G1646" s="286" t="s">
        <v>1071</v>
      </c>
      <c r="H1646" s="286" t="s">
        <v>1071</v>
      </c>
      <c r="I1646" s="286" t="s">
        <v>1199</v>
      </c>
      <c r="J1646" s="286" t="s">
        <v>1312</v>
      </c>
      <c r="K1646" s="286" t="s">
        <v>1806</v>
      </c>
      <c r="L1646" s="286" t="s">
        <v>672</v>
      </c>
      <c r="M1646" s="286">
        <v>1</v>
      </c>
      <c r="N1646" s="287">
        <v>878.47</v>
      </c>
      <c r="O1646" s="294">
        <f t="shared" si="25"/>
        <v>45504</v>
      </c>
      <c r="P1646" s="286" t="s">
        <v>58</v>
      </c>
    </row>
    <row r="1647" spans="1:16" hidden="1" x14ac:dyDescent="0.15">
      <c r="A1647" s="286">
        <v>646075</v>
      </c>
      <c r="B1647" s="288">
        <v>45474.519444444442</v>
      </c>
      <c r="C1647" s="286" t="s">
        <v>2111</v>
      </c>
      <c r="D1647" s="286" t="s">
        <v>1105</v>
      </c>
      <c r="E1647" s="286" t="s">
        <v>1106</v>
      </c>
      <c r="F1647" s="286" t="s">
        <v>2137</v>
      </c>
      <c r="G1647" s="286" t="s">
        <v>1078</v>
      </c>
      <c r="H1647" s="286" t="s">
        <v>1078</v>
      </c>
      <c r="I1647" s="286" t="s">
        <v>1199</v>
      </c>
      <c r="J1647" s="286" t="s">
        <v>1312</v>
      </c>
      <c r="K1647" s="286" t="s">
        <v>1797</v>
      </c>
      <c r="L1647" s="286" t="s">
        <v>672</v>
      </c>
      <c r="M1647" s="286">
        <v>1</v>
      </c>
      <c r="N1647" s="287">
        <v>859.12</v>
      </c>
      <c r="O1647" s="294">
        <f t="shared" si="25"/>
        <v>45504</v>
      </c>
      <c r="P1647" s="286" t="s">
        <v>58</v>
      </c>
    </row>
    <row r="1648" spans="1:16" hidden="1" x14ac:dyDescent="0.15">
      <c r="A1648" s="286">
        <v>848817</v>
      </c>
      <c r="B1648" s="288">
        <v>45607.65902777778</v>
      </c>
      <c r="C1648" s="286" t="s">
        <v>2130</v>
      </c>
      <c r="D1648" s="286" t="s">
        <v>1105</v>
      </c>
      <c r="E1648" s="286" t="s">
        <v>1106</v>
      </c>
      <c r="F1648" s="286" t="s">
        <v>2140</v>
      </c>
      <c r="G1648" s="286" t="s">
        <v>1024</v>
      </c>
      <c r="H1648" s="286" t="s">
        <v>1024</v>
      </c>
      <c r="I1648" s="286" t="s">
        <v>1228</v>
      </c>
      <c r="J1648" s="286" t="s">
        <v>1312</v>
      </c>
      <c r="K1648" s="286" t="s">
        <v>2229</v>
      </c>
      <c r="L1648" s="286" t="s">
        <v>53</v>
      </c>
      <c r="M1648" s="286">
        <v>1</v>
      </c>
      <c r="N1648" s="287">
        <v>855.43</v>
      </c>
      <c r="O1648" s="294">
        <f t="shared" si="25"/>
        <v>45626</v>
      </c>
      <c r="P1648" s="286" t="s">
        <v>58</v>
      </c>
    </row>
    <row r="1649" spans="1:16" hidden="1" x14ac:dyDescent="0.15">
      <c r="A1649" s="286">
        <v>614216</v>
      </c>
      <c r="B1649" s="288">
        <v>45455.716666666667</v>
      </c>
      <c r="C1649" s="286" t="s">
        <v>2116</v>
      </c>
      <c r="D1649" s="286" t="s">
        <v>1105</v>
      </c>
      <c r="E1649" s="286" t="s">
        <v>1106</v>
      </c>
      <c r="F1649" s="286" t="s">
        <v>2156</v>
      </c>
      <c r="G1649" s="286" t="s">
        <v>1063</v>
      </c>
      <c r="H1649" s="286" t="s">
        <v>1063</v>
      </c>
      <c r="I1649" s="286" t="s">
        <v>1228</v>
      </c>
      <c r="J1649" s="286" t="s">
        <v>53</v>
      </c>
      <c r="K1649" s="286" t="s">
        <v>53</v>
      </c>
      <c r="L1649" s="286" t="s">
        <v>53</v>
      </c>
      <c r="M1649" s="286" t="s">
        <v>53</v>
      </c>
      <c r="N1649" s="287">
        <v>833.6</v>
      </c>
      <c r="O1649" s="294">
        <f t="shared" si="25"/>
        <v>45473</v>
      </c>
      <c r="P1649" s="286" t="s">
        <v>58</v>
      </c>
    </row>
    <row r="1650" spans="1:16" hidden="1" x14ac:dyDescent="0.15">
      <c r="A1650" s="286">
        <v>521109</v>
      </c>
      <c r="B1650" s="288">
        <v>45372.572916666664</v>
      </c>
      <c r="C1650" s="286" t="s">
        <v>2113</v>
      </c>
      <c r="D1650" s="286" t="s">
        <v>1105</v>
      </c>
      <c r="E1650" s="286" t="s">
        <v>1106</v>
      </c>
      <c r="F1650" s="286" t="s">
        <v>2390</v>
      </c>
      <c r="G1650" s="286" t="s">
        <v>1024</v>
      </c>
      <c r="H1650" s="286" t="s">
        <v>1024</v>
      </c>
      <c r="I1650" s="286" t="s">
        <v>1152</v>
      </c>
      <c r="J1650" s="286" t="s">
        <v>1312</v>
      </c>
      <c r="K1650" s="286" t="s">
        <v>53</v>
      </c>
      <c r="L1650" s="286" t="s">
        <v>53</v>
      </c>
      <c r="M1650" s="286" t="s">
        <v>53</v>
      </c>
      <c r="N1650" s="287">
        <v>819.86</v>
      </c>
      <c r="O1650" s="294">
        <f t="shared" si="25"/>
        <v>45382</v>
      </c>
      <c r="P1650" s="286" t="s">
        <v>58</v>
      </c>
    </row>
    <row r="1651" spans="1:16" x14ac:dyDescent="0.15">
      <c r="A1651" s="286">
        <v>464905</v>
      </c>
      <c r="B1651" s="288">
        <v>45323.521527777775</v>
      </c>
      <c r="C1651" s="286" t="s">
        <v>2125</v>
      </c>
      <c r="D1651" s="286" t="s">
        <v>1105</v>
      </c>
      <c r="E1651" s="286" t="s">
        <v>1106</v>
      </c>
      <c r="F1651" s="286" t="s">
        <v>2212</v>
      </c>
      <c r="G1651" s="286" t="s">
        <v>1066</v>
      </c>
      <c r="H1651" s="286" t="s">
        <v>1066</v>
      </c>
      <c r="I1651" s="286" t="s">
        <v>1112</v>
      </c>
      <c r="J1651" s="286" t="s">
        <v>1312</v>
      </c>
      <c r="K1651" s="286" t="s">
        <v>1773</v>
      </c>
      <c r="L1651" s="286" t="s">
        <v>1774</v>
      </c>
      <c r="M1651" s="286">
        <v>1</v>
      </c>
      <c r="N1651" s="287">
        <v>800</v>
      </c>
      <c r="O1651" s="294">
        <f t="shared" si="25"/>
        <v>45351</v>
      </c>
      <c r="P1651" s="286" t="s">
        <v>175</v>
      </c>
    </row>
    <row r="1652" spans="1:16" x14ac:dyDescent="0.15">
      <c r="A1652" s="286">
        <v>831756</v>
      </c>
      <c r="B1652" s="288">
        <v>45595.362500000003</v>
      </c>
      <c r="C1652" s="286" t="s">
        <v>2130</v>
      </c>
      <c r="D1652" s="286" t="s">
        <v>1105</v>
      </c>
      <c r="E1652" s="286" t="s">
        <v>1106</v>
      </c>
      <c r="F1652" s="286" t="s">
        <v>2361</v>
      </c>
      <c r="G1652" s="286" t="s">
        <v>1066</v>
      </c>
      <c r="H1652" s="286" t="s">
        <v>1066</v>
      </c>
      <c r="I1652" s="286" t="s">
        <v>1112</v>
      </c>
      <c r="J1652" s="286" t="s">
        <v>1312</v>
      </c>
      <c r="K1652" s="286" t="s">
        <v>1773</v>
      </c>
      <c r="L1652" s="286" t="s">
        <v>1774</v>
      </c>
      <c r="M1652" s="286">
        <v>1</v>
      </c>
      <c r="N1652" s="287">
        <v>800</v>
      </c>
      <c r="O1652" s="294">
        <f t="shared" si="25"/>
        <v>45596</v>
      </c>
      <c r="P1652" s="286" t="s">
        <v>175</v>
      </c>
    </row>
    <row r="1653" spans="1:16" hidden="1" x14ac:dyDescent="0.15">
      <c r="A1653" s="286">
        <v>438112</v>
      </c>
      <c r="B1653" s="288">
        <v>45293.53402777778</v>
      </c>
      <c r="C1653" s="286" t="s">
        <v>2125</v>
      </c>
      <c r="D1653" s="286" t="s">
        <v>1105</v>
      </c>
      <c r="E1653" s="286" t="s">
        <v>1106</v>
      </c>
      <c r="F1653" s="286" t="s">
        <v>2152</v>
      </c>
      <c r="G1653" s="286" t="s">
        <v>1856</v>
      </c>
      <c r="H1653" s="286" t="s">
        <v>1856</v>
      </c>
      <c r="I1653" s="286" t="s">
        <v>1228</v>
      </c>
      <c r="J1653" s="286" t="s">
        <v>53</v>
      </c>
      <c r="K1653" s="286" t="s">
        <v>53</v>
      </c>
      <c r="L1653" s="286" t="s">
        <v>53</v>
      </c>
      <c r="M1653" s="286" t="s">
        <v>53</v>
      </c>
      <c r="N1653" s="287">
        <v>791.57</v>
      </c>
      <c r="O1653" s="294">
        <f t="shared" si="25"/>
        <v>45322</v>
      </c>
      <c r="P1653" s="286" t="s">
        <v>58</v>
      </c>
    </row>
    <row r="1654" spans="1:16" hidden="1" x14ac:dyDescent="0.15">
      <c r="A1654" s="286">
        <v>472168</v>
      </c>
      <c r="B1654" s="288">
        <v>45331.416666666664</v>
      </c>
      <c r="C1654" s="286" t="s">
        <v>2113</v>
      </c>
      <c r="D1654" s="286" t="s">
        <v>1105</v>
      </c>
      <c r="E1654" s="286" t="s">
        <v>1106</v>
      </c>
      <c r="F1654" s="286" t="s">
        <v>2153</v>
      </c>
      <c r="G1654" s="286" t="s">
        <v>1856</v>
      </c>
      <c r="H1654" s="286" t="s">
        <v>1856</v>
      </c>
      <c r="I1654" s="286" t="s">
        <v>1228</v>
      </c>
      <c r="J1654" s="286" t="s">
        <v>53</v>
      </c>
      <c r="K1654" s="286" t="s">
        <v>53</v>
      </c>
      <c r="L1654" s="286" t="s">
        <v>53</v>
      </c>
      <c r="M1654" s="286" t="s">
        <v>53</v>
      </c>
      <c r="N1654" s="287">
        <v>791.57</v>
      </c>
      <c r="O1654" s="294">
        <f t="shared" si="25"/>
        <v>45351</v>
      </c>
      <c r="P1654" s="286" t="s">
        <v>58</v>
      </c>
    </row>
    <row r="1655" spans="1:16" hidden="1" x14ac:dyDescent="0.15">
      <c r="A1655" s="286">
        <v>504817</v>
      </c>
      <c r="B1655" s="288">
        <v>45359.645138888889</v>
      </c>
      <c r="C1655" s="286" t="s">
        <v>2109</v>
      </c>
      <c r="D1655" s="286" t="s">
        <v>1105</v>
      </c>
      <c r="E1655" s="286" t="s">
        <v>1106</v>
      </c>
      <c r="F1655" s="286" t="s">
        <v>2154</v>
      </c>
      <c r="G1655" s="286" t="s">
        <v>1856</v>
      </c>
      <c r="H1655" s="286" t="s">
        <v>1856</v>
      </c>
      <c r="I1655" s="286" t="s">
        <v>1228</v>
      </c>
      <c r="J1655" s="286" t="s">
        <v>53</v>
      </c>
      <c r="K1655" s="286" t="s">
        <v>53</v>
      </c>
      <c r="L1655" s="286" t="s">
        <v>53</v>
      </c>
      <c r="M1655" s="286" t="s">
        <v>53</v>
      </c>
      <c r="N1655" s="287">
        <v>791.57</v>
      </c>
      <c r="O1655" s="294">
        <f t="shared" si="25"/>
        <v>45382</v>
      </c>
      <c r="P1655" s="286" t="s">
        <v>58</v>
      </c>
    </row>
    <row r="1656" spans="1:16" hidden="1" x14ac:dyDescent="0.15">
      <c r="A1656" s="286">
        <v>534207</v>
      </c>
      <c r="B1656" s="288">
        <v>45385.750694444447</v>
      </c>
      <c r="C1656" s="286" t="s">
        <v>2096</v>
      </c>
      <c r="D1656" s="286" t="s">
        <v>1105</v>
      </c>
      <c r="E1656" s="286" t="s">
        <v>1106</v>
      </c>
      <c r="F1656" s="286" t="s">
        <v>2155</v>
      </c>
      <c r="G1656" s="286" t="s">
        <v>1856</v>
      </c>
      <c r="H1656" s="286" t="s">
        <v>1856</v>
      </c>
      <c r="I1656" s="286" t="s">
        <v>1228</v>
      </c>
      <c r="J1656" s="286" t="s">
        <v>53</v>
      </c>
      <c r="K1656" s="286" t="s">
        <v>53</v>
      </c>
      <c r="L1656" s="286" t="s">
        <v>53</v>
      </c>
      <c r="M1656" s="286" t="s">
        <v>53</v>
      </c>
      <c r="N1656" s="287">
        <v>791.57</v>
      </c>
      <c r="O1656" s="294">
        <f t="shared" si="25"/>
        <v>45412</v>
      </c>
      <c r="P1656" s="286" t="s">
        <v>58</v>
      </c>
    </row>
    <row r="1657" spans="1:16" hidden="1" x14ac:dyDescent="0.15">
      <c r="A1657" s="286">
        <v>614216</v>
      </c>
      <c r="B1657" s="288">
        <v>45455.716666666667</v>
      </c>
      <c r="C1657" s="286" t="s">
        <v>2116</v>
      </c>
      <c r="D1657" s="286" t="s">
        <v>1105</v>
      </c>
      <c r="E1657" s="286" t="s">
        <v>1106</v>
      </c>
      <c r="F1657" s="286" t="s">
        <v>2156</v>
      </c>
      <c r="G1657" s="286" t="s">
        <v>1856</v>
      </c>
      <c r="H1657" s="286" t="s">
        <v>1856</v>
      </c>
      <c r="I1657" s="286" t="s">
        <v>1228</v>
      </c>
      <c r="J1657" s="286" t="s">
        <v>53</v>
      </c>
      <c r="K1657" s="286" t="s">
        <v>53</v>
      </c>
      <c r="L1657" s="286" t="s">
        <v>53</v>
      </c>
      <c r="M1657" s="286" t="s">
        <v>53</v>
      </c>
      <c r="N1657" s="287">
        <v>791.57</v>
      </c>
      <c r="O1657" s="294">
        <f t="shared" si="25"/>
        <v>45473</v>
      </c>
      <c r="P1657" s="286" t="s">
        <v>58</v>
      </c>
    </row>
    <row r="1658" spans="1:16" hidden="1" x14ac:dyDescent="0.15">
      <c r="A1658" s="286">
        <v>608480</v>
      </c>
      <c r="B1658" s="288">
        <v>45450.422222222223</v>
      </c>
      <c r="C1658" s="286" t="s">
        <v>2092</v>
      </c>
      <c r="D1658" s="286" t="s">
        <v>1105</v>
      </c>
      <c r="E1658" s="286" t="s">
        <v>1106</v>
      </c>
      <c r="F1658" s="286" t="s">
        <v>2157</v>
      </c>
      <c r="G1658" s="286" t="s">
        <v>1856</v>
      </c>
      <c r="H1658" s="286" t="s">
        <v>1856</v>
      </c>
      <c r="I1658" s="286" t="s">
        <v>1228</v>
      </c>
      <c r="J1658" s="286" t="s">
        <v>53</v>
      </c>
      <c r="K1658" s="286" t="s">
        <v>53</v>
      </c>
      <c r="L1658" s="286" t="s">
        <v>53</v>
      </c>
      <c r="M1658" s="286" t="s">
        <v>53</v>
      </c>
      <c r="N1658" s="287">
        <v>791.56</v>
      </c>
      <c r="O1658" s="294">
        <f t="shared" si="25"/>
        <v>45473</v>
      </c>
      <c r="P1658" s="286" t="s">
        <v>58</v>
      </c>
    </row>
    <row r="1659" spans="1:16" hidden="1" x14ac:dyDescent="0.15">
      <c r="A1659" s="286">
        <v>803577</v>
      </c>
      <c r="B1659" s="288">
        <v>45573.489583333336</v>
      </c>
      <c r="C1659" s="286" t="s">
        <v>2132</v>
      </c>
      <c r="D1659" s="286" t="s">
        <v>1105</v>
      </c>
      <c r="E1659" s="286" t="s">
        <v>1106</v>
      </c>
      <c r="F1659" s="286" t="s">
        <v>2391</v>
      </c>
      <c r="G1659" s="286" t="s">
        <v>1083</v>
      </c>
      <c r="H1659" s="286" t="s">
        <v>1083</v>
      </c>
      <c r="I1659" s="286" t="s">
        <v>1112</v>
      </c>
      <c r="J1659" s="286" t="s">
        <v>1312</v>
      </c>
      <c r="K1659" s="286" t="s">
        <v>53</v>
      </c>
      <c r="L1659" s="286" t="s">
        <v>53</v>
      </c>
      <c r="M1659" s="286" t="s">
        <v>53</v>
      </c>
      <c r="N1659" s="287">
        <v>759</v>
      </c>
      <c r="O1659" s="294">
        <f t="shared" si="25"/>
        <v>45596</v>
      </c>
      <c r="P1659" s="286" t="s">
        <v>175</v>
      </c>
    </row>
    <row r="1660" spans="1:16" hidden="1" x14ac:dyDescent="0.15">
      <c r="A1660" s="286">
        <v>618693</v>
      </c>
      <c r="B1660" s="288">
        <v>45457.648611111108</v>
      </c>
      <c r="C1660" s="286" t="s">
        <v>2092</v>
      </c>
      <c r="D1660" s="286" t="s">
        <v>1105</v>
      </c>
      <c r="E1660" s="286" t="s">
        <v>1106</v>
      </c>
      <c r="F1660" s="286" t="s">
        <v>2392</v>
      </c>
      <c r="G1660" s="286" t="s">
        <v>1080</v>
      </c>
      <c r="H1660" s="286" t="s">
        <v>1080</v>
      </c>
      <c r="I1660" s="286" t="s">
        <v>1152</v>
      </c>
      <c r="J1660" s="286" t="s">
        <v>1312</v>
      </c>
      <c r="K1660" s="286" t="s">
        <v>918</v>
      </c>
      <c r="L1660" s="286" t="s">
        <v>2288</v>
      </c>
      <c r="M1660" s="286">
        <v>1</v>
      </c>
      <c r="N1660" s="287">
        <v>736.27</v>
      </c>
      <c r="O1660" s="294">
        <f t="shared" si="25"/>
        <v>45473</v>
      </c>
      <c r="P1660" s="286" t="s">
        <v>58</v>
      </c>
    </row>
    <row r="1661" spans="1:16" hidden="1" x14ac:dyDescent="0.15">
      <c r="A1661" s="286">
        <v>651672</v>
      </c>
      <c r="B1661" s="288">
        <v>45481.448611111111</v>
      </c>
      <c r="C1661" s="286" t="s">
        <v>2092</v>
      </c>
      <c r="D1661" s="286" t="s">
        <v>1105</v>
      </c>
      <c r="E1661" s="286" t="s">
        <v>1106</v>
      </c>
      <c r="F1661" s="286" t="s">
        <v>2120</v>
      </c>
      <c r="G1661" s="286" t="s">
        <v>1091</v>
      </c>
      <c r="H1661" s="286" t="s">
        <v>1091</v>
      </c>
      <c r="I1661" s="286" t="s">
        <v>1301</v>
      </c>
      <c r="J1661" s="286" t="s">
        <v>1312</v>
      </c>
      <c r="K1661" s="286" t="s">
        <v>56</v>
      </c>
      <c r="L1661" s="286" t="s">
        <v>71</v>
      </c>
      <c r="M1661" s="286">
        <v>1</v>
      </c>
      <c r="N1661" s="287">
        <v>736</v>
      </c>
      <c r="O1661" s="294">
        <f t="shared" si="25"/>
        <v>45504</v>
      </c>
      <c r="P1661" s="286" t="s">
        <v>55</v>
      </c>
    </row>
    <row r="1662" spans="1:16" hidden="1" x14ac:dyDescent="0.15">
      <c r="A1662" s="286">
        <v>438112</v>
      </c>
      <c r="B1662" s="288">
        <v>45293.53402777778</v>
      </c>
      <c r="C1662" s="286" t="s">
        <v>2125</v>
      </c>
      <c r="D1662" s="286" t="s">
        <v>1105</v>
      </c>
      <c r="E1662" s="286" t="s">
        <v>1106</v>
      </c>
      <c r="F1662" s="286" t="s">
        <v>2152</v>
      </c>
      <c r="G1662" s="286" t="s">
        <v>1860</v>
      </c>
      <c r="H1662" s="286" t="s">
        <v>1860</v>
      </c>
      <c r="I1662" s="286" t="s">
        <v>1228</v>
      </c>
      <c r="J1662" s="286" t="s">
        <v>53</v>
      </c>
      <c r="K1662" s="286" t="s">
        <v>53</v>
      </c>
      <c r="L1662" s="286" t="s">
        <v>53</v>
      </c>
      <c r="M1662" s="286" t="s">
        <v>53</v>
      </c>
      <c r="N1662" s="287">
        <v>714.43</v>
      </c>
      <c r="O1662" s="294">
        <f t="shared" si="25"/>
        <v>45322</v>
      </c>
      <c r="P1662" s="286" t="s">
        <v>58</v>
      </c>
    </row>
    <row r="1663" spans="1:16" hidden="1" x14ac:dyDescent="0.15">
      <c r="A1663" s="286">
        <v>472168</v>
      </c>
      <c r="B1663" s="288">
        <v>45331.416666666664</v>
      </c>
      <c r="C1663" s="286" t="s">
        <v>2113</v>
      </c>
      <c r="D1663" s="286" t="s">
        <v>1105</v>
      </c>
      <c r="E1663" s="286" t="s">
        <v>1106</v>
      </c>
      <c r="F1663" s="286" t="s">
        <v>2153</v>
      </c>
      <c r="G1663" s="286" t="s">
        <v>1860</v>
      </c>
      <c r="H1663" s="286" t="s">
        <v>1860</v>
      </c>
      <c r="I1663" s="286" t="s">
        <v>1228</v>
      </c>
      <c r="J1663" s="286" t="s">
        <v>53</v>
      </c>
      <c r="K1663" s="286" t="s">
        <v>53</v>
      </c>
      <c r="L1663" s="286" t="s">
        <v>53</v>
      </c>
      <c r="M1663" s="286" t="s">
        <v>53</v>
      </c>
      <c r="N1663" s="287">
        <v>714.43</v>
      </c>
      <c r="O1663" s="294">
        <f t="shared" si="25"/>
        <v>45351</v>
      </c>
      <c r="P1663" s="286" t="s">
        <v>58</v>
      </c>
    </row>
    <row r="1664" spans="1:16" hidden="1" x14ac:dyDescent="0.15">
      <c r="A1664" s="286">
        <v>504817</v>
      </c>
      <c r="B1664" s="288">
        <v>45359.645138888889</v>
      </c>
      <c r="C1664" s="286" t="s">
        <v>2109</v>
      </c>
      <c r="D1664" s="286" t="s">
        <v>1105</v>
      </c>
      <c r="E1664" s="286" t="s">
        <v>1106</v>
      </c>
      <c r="F1664" s="286" t="s">
        <v>2154</v>
      </c>
      <c r="G1664" s="286" t="s">
        <v>1860</v>
      </c>
      <c r="H1664" s="286" t="s">
        <v>1860</v>
      </c>
      <c r="I1664" s="286" t="s">
        <v>1228</v>
      </c>
      <c r="J1664" s="286" t="s">
        <v>53</v>
      </c>
      <c r="K1664" s="286" t="s">
        <v>53</v>
      </c>
      <c r="L1664" s="286" t="s">
        <v>53</v>
      </c>
      <c r="M1664" s="286" t="s">
        <v>53</v>
      </c>
      <c r="N1664" s="287">
        <v>714.43</v>
      </c>
      <c r="O1664" s="294">
        <f t="shared" si="25"/>
        <v>45382</v>
      </c>
      <c r="P1664" s="286" t="s">
        <v>58</v>
      </c>
    </row>
    <row r="1665" spans="1:16" hidden="1" x14ac:dyDescent="0.15">
      <c r="A1665" s="286">
        <v>534207</v>
      </c>
      <c r="B1665" s="288">
        <v>45385.750694444447</v>
      </c>
      <c r="C1665" s="286" t="s">
        <v>2096</v>
      </c>
      <c r="D1665" s="286" t="s">
        <v>1105</v>
      </c>
      <c r="E1665" s="286" t="s">
        <v>1106</v>
      </c>
      <c r="F1665" s="286" t="s">
        <v>2155</v>
      </c>
      <c r="G1665" s="286" t="s">
        <v>1860</v>
      </c>
      <c r="H1665" s="286" t="s">
        <v>1860</v>
      </c>
      <c r="I1665" s="286" t="s">
        <v>1228</v>
      </c>
      <c r="J1665" s="286" t="s">
        <v>53</v>
      </c>
      <c r="K1665" s="286" t="s">
        <v>53</v>
      </c>
      <c r="L1665" s="286" t="s">
        <v>53</v>
      </c>
      <c r="M1665" s="286" t="s">
        <v>53</v>
      </c>
      <c r="N1665" s="287">
        <v>714.43</v>
      </c>
      <c r="O1665" s="294">
        <f t="shared" si="25"/>
        <v>45412</v>
      </c>
      <c r="P1665" s="286" t="s">
        <v>58</v>
      </c>
    </row>
    <row r="1666" spans="1:16" hidden="1" x14ac:dyDescent="0.15">
      <c r="A1666" s="286">
        <v>614216</v>
      </c>
      <c r="B1666" s="288">
        <v>45455.716666666667</v>
      </c>
      <c r="C1666" s="286" t="s">
        <v>2116</v>
      </c>
      <c r="D1666" s="286" t="s">
        <v>1105</v>
      </c>
      <c r="E1666" s="286" t="s">
        <v>1106</v>
      </c>
      <c r="F1666" s="286" t="s">
        <v>2156</v>
      </c>
      <c r="G1666" s="286" t="s">
        <v>1860</v>
      </c>
      <c r="H1666" s="286" t="s">
        <v>1860</v>
      </c>
      <c r="I1666" s="286" t="s">
        <v>1228</v>
      </c>
      <c r="J1666" s="286" t="s">
        <v>53</v>
      </c>
      <c r="K1666" s="286" t="s">
        <v>53</v>
      </c>
      <c r="L1666" s="286" t="s">
        <v>53</v>
      </c>
      <c r="M1666" s="286" t="s">
        <v>53</v>
      </c>
      <c r="N1666" s="287">
        <v>714.43</v>
      </c>
      <c r="O1666" s="294">
        <f t="shared" si="25"/>
        <v>45473</v>
      </c>
      <c r="P1666" s="286" t="s">
        <v>58</v>
      </c>
    </row>
    <row r="1667" spans="1:16" hidden="1" x14ac:dyDescent="0.15">
      <c r="A1667" s="286">
        <v>608480</v>
      </c>
      <c r="B1667" s="288">
        <v>45450.422222222223</v>
      </c>
      <c r="C1667" s="286" t="s">
        <v>2092</v>
      </c>
      <c r="D1667" s="286" t="s">
        <v>1105</v>
      </c>
      <c r="E1667" s="286" t="s">
        <v>1106</v>
      </c>
      <c r="F1667" s="286" t="s">
        <v>2157</v>
      </c>
      <c r="G1667" s="286" t="s">
        <v>1860</v>
      </c>
      <c r="H1667" s="286" t="s">
        <v>1860</v>
      </c>
      <c r="I1667" s="286" t="s">
        <v>1228</v>
      </c>
      <c r="J1667" s="286" t="s">
        <v>53</v>
      </c>
      <c r="K1667" s="286" t="s">
        <v>53</v>
      </c>
      <c r="L1667" s="286" t="s">
        <v>53</v>
      </c>
      <c r="M1667" s="286" t="s">
        <v>53</v>
      </c>
      <c r="N1667" s="287">
        <v>714.43</v>
      </c>
      <c r="O1667" s="294">
        <f t="shared" si="25"/>
        <v>45473</v>
      </c>
      <c r="P1667" s="286" t="s">
        <v>58</v>
      </c>
    </row>
    <row r="1668" spans="1:16" hidden="1" x14ac:dyDescent="0.15">
      <c r="A1668" s="286">
        <v>646075</v>
      </c>
      <c r="B1668" s="288">
        <v>45474.519444444442</v>
      </c>
      <c r="C1668" s="286" t="s">
        <v>2111</v>
      </c>
      <c r="D1668" s="286" t="s">
        <v>1105</v>
      </c>
      <c r="E1668" s="286" t="s">
        <v>1106</v>
      </c>
      <c r="F1668" s="286" t="s">
        <v>2137</v>
      </c>
      <c r="G1668" s="286" t="s">
        <v>1860</v>
      </c>
      <c r="H1668" s="286" t="s">
        <v>1860</v>
      </c>
      <c r="I1668" s="286" t="s">
        <v>1228</v>
      </c>
      <c r="J1668" s="286" t="s">
        <v>53</v>
      </c>
      <c r="K1668" s="286" t="s">
        <v>53</v>
      </c>
      <c r="L1668" s="286" t="s">
        <v>53</v>
      </c>
      <c r="M1668" s="286" t="s">
        <v>53</v>
      </c>
      <c r="N1668" s="287">
        <v>714.43</v>
      </c>
      <c r="O1668" s="294">
        <f t="shared" ref="O1668:O1731" si="26">EOMONTH(B1668,0)</f>
        <v>45504</v>
      </c>
      <c r="P1668" s="286" t="s">
        <v>58</v>
      </c>
    </row>
    <row r="1669" spans="1:16" hidden="1" x14ac:dyDescent="0.15">
      <c r="A1669" s="286">
        <v>438112</v>
      </c>
      <c r="B1669" s="288">
        <v>45293.53402777778</v>
      </c>
      <c r="C1669" s="286" t="s">
        <v>2125</v>
      </c>
      <c r="D1669" s="286" t="s">
        <v>1105</v>
      </c>
      <c r="E1669" s="286" t="s">
        <v>1106</v>
      </c>
      <c r="F1669" s="286" t="s">
        <v>2152</v>
      </c>
      <c r="G1669" s="286" t="s">
        <v>1030</v>
      </c>
      <c r="H1669" s="286" t="s">
        <v>1030</v>
      </c>
      <c r="I1669" s="286" t="s">
        <v>1199</v>
      </c>
      <c r="J1669" s="286" t="s">
        <v>53</v>
      </c>
      <c r="K1669" s="286" t="s">
        <v>53</v>
      </c>
      <c r="L1669" s="286" t="s">
        <v>53</v>
      </c>
      <c r="M1669" s="286" t="s">
        <v>53</v>
      </c>
      <c r="N1669" s="287">
        <v>693.07</v>
      </c>
      <c r="O1669" s="294">
        <f t="shared" si="26"/>
        <v>45322</v>
      </c>
      <c r="P1669" s="286" t="s">
        <v>58</v>
      </c>
    </row>
    <row r="1670" spans="1:16" hidden="1" x14ac:dyDescent="0.15">
      <c r="A1670" s="286">
        <v>561221</v>
      </c>
      <c r="B1670" s="288">
        <v>45412.295138888891</v>
      </c>
      <c r="C1670" s="286" t="s">
        <v>2096</v>
      </c>
      <c r="D1670" s="286" t="s">
        <v>1105</v>
      </c>
      <c r="E1670" s="286" t="s">
        <v>1106</v>
      </c>
      <c r="F1670" s="286" t="s">
        <v>2393</v>
      </c>
      <c r="G1670" s="286" t="s">
        <v>1054</v>
      </c>
      <c r="H1670" s="286" t="s">
        <v>1054</v>
      </c>
      <c r="I1670" s="286" t="s">
        <v>1152</v>
      </c>
      <c r="J1670" s="286" t="s">
        <v>1312</v>
      </c>
      <c r="K1670" s="286" t="s">
        <v>2302</v>
      </c>
      <c r="L1670" s="286" t="s">
        <v>2303</v>
      </c>
      <c r="M1670" s="286">
        <v>1</v>
      </c>
      <c r="N1670" s="287">
        <v>684.89</v>
      </c>
      <c r="O1670" s="294">
        <f t="shared" si="26"/>
        <v>45412</v>
      </c>
      <c r="P1670" s="286" t="s">
        <v>58</v>
      </c>
    </row>
    <row r="1671" spans="1:16" hidden="1" x14ac:dyDescent="0.15">
      <c r="A1671" s="286">
        <v>614517</v>
      </c>
      <c r="B1671" s="288">
        <v>45455.734027777777</v>
      </c>
      <c r="C1671" s="286" t="s">
        <v>2116</v>
      </c>
      <c r="D1671" s="286" t="s">
        <v>1105</v>
      </c>
      <c r="E1671" s="286" t="s">
        <v>1106</v>
      </c>
      <c r="F1671" s="286" t="s">
        <v>2304</v>
      </c>
      <c r="G1671" s="286" t="s">
        <v>1054</v>
      </c>
      <c r="H1671" s="286" t="s">
        <v>1054</v>
      </c>
      <c r="I1671" s="286" t="s">
        <v>1152</v>
      </c>
      <c r="J1671" s="286" t="s">
        <v>1312</v>
      </c>
      <c r="K1671" s="286" t="s">
        <v>53</v>
      </c>
      <c r="L1671" s="286" t="s">
        <v>53</v>
      </c>
      <c r="M1671" s="286" t="s">
        <v>53</v>
      </c>
      <c r="N1671" s="287">
        <v>684.89</v>
      </c>
      <c r="O1671" s="294">
        <f t="shared" si="26"/>
        <v>45473</v>
      </c>
      <c r="P1671" s="286" t="s">
        <v>58</v>
      </c>
    </row>
    <row r="1672" spans="1:16" hidden="1" x14ac:dyDescent="0.15">
      <c r="A1672" s="286">
        <v>608480</v>
      </c>
      <c r="B1672" s="288">
        <v>45450.422222222223</v>
      </c>
      <c r="C1672" s="286" t="s">
        <v>2092</v>
      </c>
      <c r="D1672" s="286" t="s">
        <v>1105</v>
      </c>
      <c r="E1672" s="286" t="s">
        <v>1106</v>
      </c>
      <c r="F1672" s="286" t="s">
        <v>2157</v>
      </c>
      <c r="G1672" s="286" t="s">
        <v>1840</v>
      </c>
      <c r="H1672" s="286" t="s">
        <v>1840</v>
      </c>
      <c r="I1672" s="286" t="s">
        <v>1228</v>
      </c>
      <c r="J1672" s="286" t="s">
        <v>53</v>
      </c>
      <c r="K1672" s="286" t="s">
        <v>53</v>
      </c>
      <c r="L1672" s="286" t="s">
        <v>53</v>
      </c>
      <c r="M1672" s="286" t="s">
        <v>53</v>
      </c>
      <c r="N1672" s="287">
        <v>678.86</v>
      </c>
      <c r="O1672" s="294">
        <f t="shared" si="26"/>
        <v>45473</v>
      </c>
      <c r="P1672" s="286" t="s">
        <v>58</v>
      </c>
    </row>
    <row r="1673" spans="1:16" hidden="1" x14ac:dyDescent="0.15">
      <c r="A1673" s="286">
        <v>890227</v>
      </c>
      <c r="B1673" s="288">
        <v>45637.279861111114</v>
      </c>
      <c r="C1673" s="286" t="s">
        <v>2098</v>
      </c>
      <c r="D1673" s="286" t="s">
        <v>1105</v>
      </c>
      <c r="E1673" s="286" t="s">
        <v>1106</v>
      </c>
      <c r="F1673" s="286" t="s">
        <v>2394</v>
      </c>
      <c r="G1673" s="286" t="s">
        <v>1023</v>
      </c>
      <c r="H1673" s="286" t="s">
        <v>1023</v>
      </c>
      <c r="I1673" s="286" t="s">
        <v>1129</v>
      </c>
      <c r="J1673" s="286" t="s">
        <v>1312</v>
      </c>
      <c r="K1673" s="286" t="s">
        <v>1318</v>
      </c>
      <c r="L1673" s="286" t="s">
        <v>1319</v>
      </c>
      <c r="M1673" s="286">
        <v>1</v>
      </c>
      <c r="N1673" s="287">
        <v>670.8</v>
      </c>
      <c r="O1673" s="294">
        <f t="shared" si="26"/>
        <v>45657</v>
      </c>
      <c r="P1673" s="286" t="s">
        <v>164</v>
      </c>
    </row>
    <row r="1674" spans="1:16" hidden="1" x14ac:dyDescent="0.15">
      <c r="A1674" s="286">
        <v>697810</v>
      </c>
      <c r="B1674" s="288">
        <v>45510.366666666669</v>
      </c>
      <c r="C1674" s="286" t="s">
        <v>2102</v>
      </c>
      <c r="D1674" s="286" t="s">
        <v>1105</v>
      </c>
      <c r="E1674" s="286" t="s">
        <v>1106</v>
      </c>
      <c r="F1674" s="286" t="s">
        <v>2138</v>
      </c>
      <c r="G1674" s="286" t="s">
        <v>1029</v>
      </c>
      <c r="H1674" s="286" t="s">
        <v>1029</v>
      </c>
      <c r="I1674" s="286" t="s">
        <v>1199</v>
      </c>
      <c r="J1674" s="286" t="s">
        <v>53</v>
      </c>
      <c r="K1674" s="286" t="s">
        <v>53</v>
      </c>
      <c r="L1674" s="286" t="s">
        <v>53</v>
      </c>
      <c r="M1674" s="286" t="s">
        <v>53</v>
      </c>
      <c r="N1674" s="287">
        <v>664.13</v>
      </c>
      <c r="O1674" s="294">
        <f t="shared" si="26"/>
        <v>45535</v>
      </c>
      <c r="P1674" s="286" t="s">
        <v>58</v>
      </c>
    </row>
    <row r="1675" spans="1:16" hidden="1" x14ac:dyDescent="0.15">
      <c r="A1675" s="286">
        <v>438112</v>
      </c>
      <c r="B1675" s="288">
        <v>45293.53402777778</v>
      </c>
      <c r="C1675" s="286" t="s">
        <v>2125</v>
      </c>
      <c r="D1675" s="286" t="s">
        <v>1105</v>
      </c>
      <c r="E1675" s="286" t="s">
        <v>1106</v>
      </c>
      <c r="F1675" s="286" t="s">
        <v>2152</v>
      </c>
      <c r="G1675" s="286" t="s">
        <v>1022</v>
      </c>
      <c r="H1675" s="286" t="s">
        <v>1022</v>
      </c>
      <c r="I1675" s="286" t="s">
        <v>1228</v>
      </c>
      <c r="J1675" s="286" t="s">
        <v>53</v>
      </c>
      <c r="K1675" s="286" t="s">
        <v>53</v>
      </c>
      <c r="L1675" s="286" t="s">
        <v>53</v>
      </c>
      <c r="M1675" s="286" t="s">
        <v>53</v>
      </c>
      <c r="N1675" s="287">
        <v>660.73</v>
      </c>
      <c r="O1675" s="294">
        <f t="shared" si="26"/>
        <v>45322</v>
      </c>
      <c r="P1675" s="286" t="s">
        <v>58</v>
      </c>
    </row>
    <row r="1676" spans="1:16" hidden="1" x14ac:dyDescent="0.15">
      <c r="A1676" s="286">
        <v>472168</v>
      </c>
      <c r="B1676" s="288">
        <v>45331.416666666664</v>
      </c>
      <c r="C1676" s="286" t="s">
        <v>2113</v>
      </c>
      <c r="D1676" s="286" t="s">
        <v>1105</v>
      </c>
      <c r="E1676" s="286" t="s">
        <v>1106</v>
      </c>
      <c r="F1676" s="286" t="s">
        <v>2153</v>
      </c>
      <c r="G1676" s="286" t="s">
        <v>1022</v>
      </c>
      <c r="H1676" s="286" t="s">
        <v>1022</v>
      </c>
      <c r="I1676" s="286" t="s">
        <v>1228</v>
      </c>
      <c r="J1676" s="286" t="s">
        <v>53</v>
      </c>
      <c r="K1676" s="286" t="s">
        <v>53</v>
      </c>
      <c r="L1676" s="286" t="s">
        <v>53</v>
      </c>
      <c r="M1676" s="286" t="s">
        <v>53</v>
      </c>
      <c r="N1676" s="287">
        <v>660.73</v>
      </c>
      <c r="O1676" s="294">
        <f t="shared" si="26"/>
        <v>45351</v>
      </c>
      <c r="P1676" s="286" t="s">
        <v>58</v>
      </c>
    </row>
    <row r="1677" spans="1:16" hidden="1" x14ac:dyDescent="0.15">
      <c r="A1677" s="286">
        <v>504817</v>
      </c>
      <c r="B1677" s="288">
        <v>45359.645138888889</v>
      </c>
      <c r="C1677" s="286" t="s">
        <v>2109</v>
      </c>
      <c r="D1677" s="286" t="s">
        <v>1105</v>
      </c>
      <c r="E1677" s="286" t="s">
        <v>1106</v>
      </c>
      <c r="F1677" s="286" t="s">
        <v>2154</v>
      </c>
      <c r="G1677" s="286" t="s">
        <v>1022</v>
      </c>
      <c r="H1677" s="286" t="s">
        <v>1022</v>
      </c>
      <c r="I1677" s="286" t="s">
        <v>1228</v>
      </c>
      <c r="J1677" s="286" t="s">
        <v>53</v>
      </c>
      <c r="K1677" s="286" t="s">
        <v>53</v>
      </c>
      <c r="L1677" s="286" t="s">
        <v>53</v>
      </c>
      <c r="M1677" s="286" t="s">
        <v>53</v>
      </c>
      <c r="N1677" s="287">
        <v>660.73</v>
      </c>
      <c r="O1677" s="294">
        <f t="shared" si="26"/>
        <v>45382</v>
      </c>
      <c r="P1677" s="286" t="s">
        <v>58</v>
      </c>
    </row>
    <row r="1678" spans="1:16" hidden="1" x14ac:dyDescent="0.15">
      <c r="A1678" s="286">
        <v>534207</v>
      </c>
      <c r="B1678" s="288">
        <v>45385.750694444447</v>
      </c>
      <c r="C1678" s="286" t="s">
        <v>2096</v>
      </c>
      <c r="D1678" s="286" t="s">
        <v>1105</v>
      </c>
      <c r="E1678" s="286" t="s">
        <v>1106</v>
      </c>
      <c r="F1678" s="286" t="s">
        <v>2155</v>
      </c>
      <c r="G1678" s="286" t="s">
        <v>1022</v>
      </c>
      <c r="H1678" s="286" t="s">
        <v>1022</v>
      </c>
      <c r="I1678" s="286" t="s">
        <v>1228</v>
      </c>
      <c r="J1678" s="286" t="s">
        <v>53</v>
      </c>
      <c r="K1678" s="286" t="s">
        <v>53</v>
      </c>
      <c r="L1678" s="286" t="s">
        <v>53</v>
      </c>
      <c r="M1678" s="286" t="s">
        <v>53</v>
      </c>
      <c r="N1678" s="287">
        <v>660.73</v>
      </c>
      <c r="O1678" s="294">
        <f t="shared" si="26"/>
        <v>45412</v>
      </c>
      <c r="P1678" s="286" t="s">
        <v>58</v>
      </c>
    </row>
    <row r="1679" spans="1:16" hidden="1" x14ac:dyDescent="0.15">
      <c r="A1679" s="286">
        <v>614216</v>
      </c>
      <c r="B1679" s="288">
        <v>45455.716666666667</v>
      </c>
      <c r="C1679" s="286" t="s">
        <v>2116</v>
      </c>
      <c r="D1679" s="286" t="s">
        <v>1105</v>
      </c>
      <c r="E1679" s="286" t="s">
        <v>1106</v>
      </c>
      <c r="F1679" s="286" t="s">
        <v>2156</v>
      </c>
      <c r="G1679" s="286" t="s">
        <v>1022</v>
      </c>
      <c r="H1679" s="286" t="s">
        <v>1022</v>
      </c>
      <c r="I1679" s="286" t="s">
        <v>1228</v>
      </c>
      <c r="J1679" s="286" t="s">
        <v>53</v>
      </c>
      <c r="K1679" s="286" t="s">
        <v>53</v>
      </c>
      <c r="L1679" s="286" t="s">
        <v>53</v>
      </c>
      <c r="M1679" s="286" t="s">
        <v>53</v>
      </c>
      <c r="N1679" s="287">
        <v>660.73</v>
      </c>
      <c r="O1679" s="294">
        <f t="shared" si="26"/>
        <v>45473</v>
      </c>
      <c r="P1679" s="286" t="s">
        <v>58</v>
      </c>
    </row>
    <row r="1680" spans="1:16" hidden="1" x14ac:dyDescent="0.15">
      <c r="A1680" s="286">
        <v>778470</v>
      </c>
      <c r="B1680" s="288">
        <v>45555.450694444444</v>
      </c>
      <c r="C1680" s="286" t="s">
        <v>2132</v>
      </c>
      <c r="D1680" s="286" t="s">
        <v>1105</v>
      </c>
      <c r="E1680" s="286" t="s">
        <v>1106</v>
      </c>
      <c r="F1680" s="286" t="s">
        <v>2346</v>
      </c>
      <c r="G1680" s="286" t="s">
        <v>1075</v>
      </c>
      <c r="H1680" s="286" t="s">
        <v>1075</v>
      </c>
      <c r="I1680" s="286" t="s">
        <v>1129</v>
      </c>
      <c r="J1680" s="286" t="s">
        <v>1312</v>
      </c>
      <c r="K1680" s="286" t="s">
        <v>1318</v>
      </c>
      <c r="L1680" s="286" t="s">
        <v>1319</v>
      </c>
      <c r="M1680" s="286">
        <v>1</v>
      </c>
      <c r="N1680" s="287">
        <v>654.83000000000004</v>
      </c>
      <c r="O1680" s="294">
        <f t="shared" si="26"/>
        <v>45565</v>
      </c>
      <c r="P1680" s="286" t="s">
        <v>164</v>
      </c>
    </row>
    <row r="1681" spans="1:16" hidden="1" x14ac:dyDescent="0.15">
      <c r="A1681" s="286">
        <v>764381</v>
      </c>
      <c r="B1681" s="288">
        <v>45546.6875</v>
      </c>
      <c r="C1681" s="286" t="s">
        <v>2132</v>
      </c>
      <c r="D1681" s="286" t="s">
        <v>1105</v>
      </c>
      <c r="E1681" s="286" t="s">
        <v>1106</v>
      </c>
      <c r="F1681" s="286" t="s">
        <v>2321</v>
      </c>
      <c r="G1681" s="286" t="s">
        <v>1045</v>
      </c>
      <c r="H1681" s="286" t="s">
        <v>1045</v>
      </c>
      <c r="I1681" s="286" t="s">
        <v>1129</v>
      </c>
      <c r="J1681" s="286" t="s">
        <v>1312</v>
      </c>
      <c r="K1681" s="286" t="s">
        <v>1318</v>
      </c>
      <c r="L1681" s="286" t="s">
        <v>1319</v>
      </c>
      <c r="M1681" s="286">
        <v>1</v>
      </c>
      <c r="N1681" s="287">
        <v>651.71</v>
      </c>
      <c r="O1681" s="294">
        <f t="shared" si="26"/>
        <v>45565</v>
      </c>
      <c r="P1681" s="286" t="s">
        <v>164</v>
      </c>
    </row>
    <row r="1682" spans="1:16" hidden="1" x14ac:dyDescent="0.15">
      <c r="A1682" s="286">
        <v>764381</v>
      </c>
      <c r="B1682" s="288">
        <v>45546.6875</v>
      </c>
      <c r="C1682" s="286" t="s">
        <v>2132</v>
      </c>
      <c r="D1682" s="286" t="s">
        <v>1105</v>
      </c>
      <c r="E1682" s="286" t="s">
        <v>1106</v>
      </c>
      <c r="F1682" s="286" t="s">
        <v>2321</v>
      </c>
      <c r="G1682" s="286" t="s">
        <v>1028</v>
      </c>
      <c r="H1682" s="286" t="s">
        <v>1028</v>
      </c>
      <c r="I1682" s="286" t="s">
        <v>1129</v>
      </c>
      <c r="J1682" s="286" t="s">
        <v>1312</v>
      </c>
      <c r="K1682" s="286" t="s">
        <v>1318</v>
      </c>
      <c r="L1682" s="286" t="s">
        <v>1319</v>
      </c>
      <c r="M1682" s="286">
        <v>1</v>
      </c>
      <c r="N1682" s="287">
        <v>648.37</v>
      </c>
      <c r="O1682" s="294">
        <f t="shared" si="26"/>
        <v>45565</v>
      </c>
      <c r="P1682" s="286" t="s">
        <v>164</v>
      </c>
    </row>
    <row r="1683" spans="1:16" hidden="1" x14ac:dyDescent="0.15">
      <c r="A1683" s="286">
        <v>453975</v>
      </c>
      <c r="B1683" s="288">
        <v>45309.636111111111</v>
      </c>
      <c r="C1683" s="286" t="s">
        <v>2125</v>
      </c>
      <c r="D1683" s="286" t="s">
        <v>1105</v>
      </c>
      <c r="E1683" s="286" t="s">
        <v>1106</v>
      </c>
      <c r="F1683" s="286" t="s">
        <v>2333</v>
      </c>
      <c r="G1683" s="286" t="s">
        <v>1786</v>
      </c>
      <c r="H1683" s="286" t="s">
        <v>1786</v>
      </c>
      <c r="I1683" s="286" t="s">
        <v>1129</v>
      </c>
      <c r="J1683" s="286" t="s">
        <v>1312</v>
      </c>
      <c r="K1683" s="286" t="s">
        <v>1318</v>
      </c>
      <c r="L1683" s="286" t="s">
        <v>1319</v>
      </c>
      <c r="M1683" s="286">
        <v>1</v>
      </c>
      <c r="N1683" s="287">
        <v>644.03</v>
      </c>
      <c r="O1683" s="294">
        <f t="shared" si="26"/>
        <v>45322</v>
      </c>
      <c r="P1683" s="286" t="s">
        <v>164</v>
      </c>
    </row>
    <row r="1684" spans="1:16" hidden="1" x14ac:dyDescent="0.15">
      <c r="A1684" s="286">
        <v>438112</v>
      </c>
      <c r="B1684" s="288">
        <v>45293.53402777778</v>
      </c>
      <c r="C1684" s="286" t="s">
        <v>2125</v>
      </c>
      <c r="D1684" s="286" t="s">
        <v>1105</v>
      </c>
      <c r="E1684" s="286" t="s">
        <v>1106</v>
      </c>
      <c r="F1684" s="286" t="s">
        <v>2152</v>
      </c>
      <c r="G1684" s="286" t="s">
        <v>1027</v>
      </c>
      <c r="H1684" s="286" t="s">
        <v>1027</v>
      </c>
      <c r="I1684" s="286" t="s">
        <v>1228</v>
      </c>
      <c r="J1684" s="286" t="s">
        <v>1312</v>
      </c>
      <c r="K1684" s="286" t="s">
        <v>2229</v>
      </c>
      <c r="L1684" s="286" t="s">
        <v>53</v>
      </c>
      <c r="M1684" s="286">
        <v>1</v>
      </c>
      <c r="N1684" s="287">
        <v>643.32000000000005</v>
      </c>
      <c r="O1684" s="294">
        <f t="shared" si="26"/>
        <v>45322</v>
      </c>
      <c r="P1684" s="286" t="s">
        <v>58</v>
      </c>
    </row>
    <row r="1685" spans="1:16" hidden="1" x14ac:dyDescent="0.15">
      <c r="A1685" s="286">
        <v>691482</v>
      </c>
      <c r="B1685" s="288">
        <v>45504.42083333333</v>
      </c>
      <c r="C1685" s="286" t="s">
        <v>2111</v>
      </c>
      <c r="D1685" s="286" t="s">
        <v>1105</v>
      </c>
      <c r="E1685" s="286" t="s">
        <v>1106</v>
      </c>
      <c r="F1685" s="286" t="s">
        <v>2395</v>
      </c>
      <c r="G1685" s="286" t="s">
        <v>1068</v>
      </c>
      <c r="H1685" s="286" t="s">
        <v>1068</v>
      </c>
      <c r="I1685" s="286" t="s">
        <v>1129</v>
      </c>
      <c r="J1685" s="286" t="s">
        <v>1312</v>
      </c>
      <c r="K1685" s="286" t="s">
        <v>1318</v>
      </c>
      <c r="L1685" s="286" t="s">
        <v>1319</v>
      </c>
      <c r="M1685" s="286">
        <v>1</v>
      </c>
      <c r="N1685" s="287">
        <v>642.05999999999995</v>
      </c>
      <c r="O1685" s="294">
        <f t="shared" si="26"/>
        <v>45504</v>
      </c>
      <c r="P1685" s="286" t="s">
        <v>164</v>
      </c>
    </row>
    <row r="1686" spans="1:16" hidden="1" x14ac:dyDescent="0.15">
      <c r="A1686" s="286">
        <v>694412</v>
      </c>
      <c r="B1686" s="288">
        <v>45505.400694444441</v>
      </c>
      <c r="C1686" s="286" t="s">
        <v>2111</v>
      </c>
      <c r="D1686" s="286" t="s">
        <v>1105</v>
      </c>
      <c r="E1686" s="286" t="s">
        <v>1106</v>
      </c>
      <c r="F1686" s="286" t="s">
        <v>2396</v>
      </c>
      <c r="G1686" s="286" t="s">
        <v>1073</v>
      </c>
      <c r="H1686" s="286" t="s">
        <v>1073</v>
      </c>
      <c r="I1686" s="286" t="s">
        <v>1129</v>
      </c>
      <c r="J1686" s="286" t="s">
        <v>1312</v>
      </c>
      <c r="K1686" s="286" t="s">
        <v>1318</v>
      </c>
      <c r="L1686" s="286" t="s">
        <v>1319</v>
      </c>
      <c r="M1686" s="286">
        <v>1</v>
      </c>
      <c r="N1686" s="287">
        <v>642.05999999999995</v>
      </c>
      <c r="O1686" s="294">
        <f t="shared" si="26"/>
        <v>45535</v>
      </c>
      <c r="P1686" s="286" t="s">
        <v>164</v>
      </c>
    </row>
    <row r="1687" spans="1:16" hidden="1" x14ac:dyDescent="0.15">
      <c r="A1687" s="286">
        <v>778470</v>
      </c>
      <c r="B1687" s="288">
        <v>45555.450694444444</v>
      </c>
      <c r="C1687" s="286" t="s">
        <v>2132</v>
      </c>
      <c r="D1687" s="286" t="s">
        <v>1105</v>
      </c>
      <c r="E1687" s="286" t="s">
        <v>1106</v>
      </c>
      <c r="F1687" s="286" t="s">
        <v>2346</v>
      </c>
      <c r="G1687" s="286" t="s">
        <v>1011</v>
      </c>
      <c r="H1687" s="286" t="s">
        <v>1011</v>
      </c>
      <c r="I1687" s="286" t="s">
        <v>1129</v>
      </c>
      <c r="J1687" s="286" t="s">
        <v>1312</v>
      </c>
      <c r="K1687" s="286" t="s">
        <v>1895</v>
      </c>
      <c r="L1687" s="286" t="s">
        <v>1896</v>
      </c>
      <c r="M1687" s="286">
        <v>12</v>
      </c>
      <c r="N1687" s="287">
        <v>636.96</v>
      </c>
      <c r="O1687" s="294">
        <f t="shared" si="26"/>
        <v>45565</v>
      </c>
      <c r="P1687" s="286" t="s">
        <v>164</v>
      </c>
    </row>
    <row r="1688" spans="1:16" hidden="1" x14ac:dyDescent="0.15">
      <c r="A1688" s="286">
        <v>495493</v>
      </c>
      <c r="B1688" s="288">
        <v>45351.434027777781</v>
      </c>
      <c r="C1688" s="286" t="s">
        <v>2125</v>
      </c>
      <c r="D1688" s="286" t="s">
        <v>1105</v>
      </c>
      <c r="E1688" s="286" t="s">
        <v>1106</v>
      </c>
      <c r="F1688" s="286" t="s">
        <v>2397</v>
      </c>
      <c r="G1688" s="286" t="s">
        <v>1027</v>
      </c>
      <c r="H1688" s="286" t="s">
        <v>1027</v>
      </c>
      <c r="I1688" s="286" t="s">
        <v>1199</v>
      </c>
      <c r="J1688" s="286" t="s">
        <v>53</v>
      </c>
      <c r="K1688" s="286" t="s">
        <v>53</v>
      </c>
      <c r="L1688" s="286" t="s">
        <v>53</v>
      </c>
      <c r="M1688" s="286" t="s">
        <v>53</v>
      </c>
      <c r="N1688" s="287">
        <v>629.34</v>
      </c>
      <c r="O1688" s="294">
        <f t="shared" si="26"/>
        <v>45351</v>
      </c>
      <c r="P1688" s="286" t="s">
        <v>58</v>
      </c>
    </row>
    <row r="1689" spans="1:16" hidden="1" x14ac:dyDescent="0.15">
      <c r="A1689" s="286">
        <v>614316</v>
      </c>
      <c r="B1689" s="288">
        <v>45455.717361111114</v>
      </c>
      <c r="C1689" s="286" t="s">
        <v>2092</v>
      </c>
      <c r="D1689" s="286" t="s">
        <v>1105</v>
      </c>
      <c r="E1689" s="286" t="s">
        <v>1106</v>
      </c>
      <c r="F1689" s="286" t="s">
        <v>2167</v>
      </c>
      <c r="G1689" s="286" t="s">
        <v>1082</v>
      </c>
      <c r="H1689" s="286" t="s">
        <v>1082</v>
      </c>
      <c r="I1689" s="286" t="s">
        <v>1199</v>
      </c>
      <c r="J1689" s="286" t="s">
        <v>1312</v>
      </c>
      <c r="K1689" s="286" t="s">
        <v>1754</v>
      </c>
      <c r="L1689" s="286" t="s">
        <v>672</v>
      </c>
      <c r="M1689" s="286">
        <v>1</v>
      </c>
      <c r="N1689" s="287">
        <v>604.71</v>
      </c>
      <c r="O1689" s="294">
        <f t="shared" si="26"/>
        <v>45473</v>
      </c>
      <c r="P1689" s="286" t="s">
        <v>58</v>
      </c>
    </row>
    <row r="1690" spans="1:16" hidden="1" x14ac:dyDescent="0.15">
      <c r="A1690" s="286">
        <v>497246</v>
      </c>
      <c r="B1690" s="288">
        <v>45352.55</v>
      </c>
      <c r="C1690" s="286" t="s">
        <v>2125</v>
      </c>
      <c r="D1690" s="286" t="s">
        <v>1105</v>
      </c>
      <c r="E1690" s="286" t="s">
        <v>1106</v>
      </c>
      <c r="F1690" s="286" t="s">
        <v>2386</v>
      </c>
      <c r="G1690" s="286" t="s">
        <v>1033</v>
      </c>
      <c r="H1690" s="286" t="s">
        <v>1033</v>
      </c>
      <c r="I1690" s="286" t="s">
        <v>1228</v>
      </c>
      <c r="J1690" s="286" t="s">
        <v>1312</v>
      </c>
      <c r="K1690" s="286" t="s">
        <v>53</v>
      </c>
      <c r="L1690" s="286" t="s">
        <v>53</v>
      </c>
      <c r="M1690" s="286" t="s">
        <v>53</v>
      </c>
      <c r="N1690" s="287">
        <v>604.38</v>
      </c>
      <c r="O1690" s="294">
        <f t="shared" si="26"/>
        <v>45382</v>
      </c>
      <c r="P1690" s="286" t="s">
        <v>58</v>
      </c>
    </row>
    <row r="1691" spans="1:16" hidden="1" x14ac:dyDescent="0.15">
      <c r="A1691" s="286">
        <v>739791</v>
      </c>
      <c r="B1691" s="288">
        <v>45532.376388888886</v>
      </c>
      <c r="C1691" s="286" t="s">
        <v>2102</v>
      </c>
      <c r="D1691" s="286" t="s">
        <v>1105</v>
      </c>
      <c r="E1691" s="286" t="s">
        <v>1106</v>
      </c>
      <c r="F1691" s="286" t="s">
        <v>2372</v>
      </c>
      <c r="G1691" s="286" t="s">
        <v>1004</v>
      </c>
      <c r="H1691" s="286" t="s">
        <v>1004</v>
      </c>
      <c r="I1691" s="286" t="s">
        <v>1129</v>
      </c>
      <c r="J1691" s="286" t="s">
        <v>1312</v>
      </c>
      <c r="K1691" s="286" t="s">
        <v>2398</v>
      </c>
      <c r="L1691" s="286" t="s">
        <v>2399</v>
      </c>
      <c r="M1691" s="286">
        <v>1</v>
      </c>
      <c r="N1691" s="287">
        <v>591.42999999999995</v>
      </c>
      <c r="O1691" s="294">
        <f t="shared" si="26"/>
        <v>45535</v>
      </c>
      <c r="P1691" s="286" t="s">
        <v>164</v>
      </c>
    </row>
    <row r="1692" spans="1:16" hidden="1" x14ac:dyDescent="0.15">
      <c r="A1692" s="286">
        <v>464905</v>
      </c>
      <c r="B1692" s="288">
        <v>45323.521527777775</v>
      </c>
      <c r="C1692" s="286" t="s">
        <v>2125</v>
      </c>
      <c r="D1692" s="286" t="s">
        <v>1105</v>
      </c>
      <c r="E1692" s="286" t="s">
        <v>1106</v>
      </c>
      <c r="F1692" s="286" t="s">
        <v>2212</v>
      </c>
      <c r="G1692" s="286" t="s">
        <v>1047</v>
      </c>
      <c r="H1692" s="286" t="s">
        <v>1047</v>
      </c>
      <c r="I1692" s="286" t="s">
        <v>1129</v>
      </c>
      <c r="J1692" s="286" t="s">
        <v>1312</v>
      </c>
      <c r="K1692" s="286" t="s">
        <v>734</v>
      </c>
      <c r="L1692" s="286" t="s">
        <v>1385</v>
      </c>
      <c r="M1692" s="286">
        <v>1</v>
      </c>
      <c r="N1692" s="287">
        <v>590</v>
      </c>
      <c r="O1692" s="294">
        <f t="shared" si="26"/>
        <v>45351</v>
      </c>
      <c r="P1692" s="286" t="s">
        <v>164</v>
      </c>
    </row>
    <row r="1693" spans="1:16" hidden="1" x14ac:dyDescent="0.15">
      <c r="A1693" s="286">
        <v>720637</v>
      </c>
      <c r="B1693" s="288">
        <v>45523.415277777778</v>
      </c>
      <c r="C1693" s="286" t="s">
        <v>2102</v>
      </c>
      <c r="D1693" s="286" t="s">
        <v>1105</v>
      </c>
      <c r="E1693" s="286" t="s">
        <v>1106</v>
      </c>
      <c r="F1693" s="286" t="s">
        <v>2313</v>
      </c>
      <c r="G1693" s="286" t="s">
        <v>1080</v>
      </c>
      <c r="H1693" s="286" t="s">
        <v>1080</v>
      </c>
      <c r="I1693" s="286" t="s">
        <v>1129</v>
      </c>
      <c r="J1693" s="286" t="s">
        <v>1312</v>
      </c>
      <c r="K1693" s="286" t="s">
        <v>734</v>
      </c>
      <c r="L1693" s="286" t="s">
        <v>1385</v>
      </c>
      <c r="M1693" s="286">
        <v>1</v>
      </c>
      <c r="N1693" s="287">
        <v>589.66</v>
      </c>
      <c r="O1693" s="294">
        <f t="shared" si="26"/>
        <v>45535</v>
      </c>
      <c r="P1693" s="286" t="s">
        <v>164</v>
      </c>
    </row>
    <row r="1694" spans="1:16" hidden="1" x14ac:dyDescent="0.15">
      <c r="A1694" s="286">
        <v>614316</v>
      </c>
      <c r="B1694" s="288">
        <v>45455.717361111114</v>
      </c>
      <c r="C1694" s="286" t="s">
        <v>2092</v>
      </c>
      <c r="D1694" s="286" t="s">
        <v>1105</v>
      </c>
      <c r="E1694" s="286" t="s">
        <v>1106</v>
      </c>
      <c r="F1694" s="286" t="s">
        <v>2167</v>
      </c>
      <c r="G1694" s="286" t="s">
        <v>1840</v>
      </c>
      <c r="H1694" s="286" t="s">
        <v>1840</v>
      </c>
      <c r="I1694" s="286" t="s">
        <v>1228</v>
      </c>
      <c r="J1694" s="286" t="s">
        <v>1312</v>
      </c>
      <c r="K1694" s="286" t="s">
        <v>2314</v>
      </c>
      <c r="L1694" s="286" t="s">
        <v>672</v>
      </c>
      <c r="M1694" s="286">
        <v>1</v>
      </c>
      <c r="N1694" s="287">
        <v>589.04</v>
      </c>
      <c r="O1694" s="294">
        <f t="shared" si="26"/>
        <v>45473</v>
      </c>
      <c r="P1694" s="286" t="s">
        <v>58</v>
      </c>
    </row>
    <row r="1695" spans="1:16" hidden="1" x14ac:dyDescent="0.15">
      <c r="A1695" s="286">
        <v>646075</v>
      </c>
      <c r="B1695" s="288">
        <v>45474.519444444442</v>
      </c>
      <c r="C1695" s="286" t="s">
        <v>2111</v>
      </c>
      <c r="D1695" s="286" t="s">
        <v>1105</v>
      </c>
      <c r="E1695" s="286" t="s">
        <v>1106</v>
      </c>
      <c r="F1695" s="286" t="s">
        <v>2137</v>
      </c>
      <c r="G1695" s="286" t="s">
        <v>1055</v>
      </c>
      <c r="H1695" s="286" t="s">
        <v>1055</v>
      </c>
      <c r="I1695" s="286" t="s">
        <v>1199</v>
      </c>
      <c r="J1695" s="286" t="s">
        <v>1312</v>
      </c>
      <c r="K1695" s="286" t="s">
        <v>1806</v>
      </c>
      <c r="L1695" s="286" t="s">
        <v>672</v>
      </c>
      <c r="M1695" s="286">
        <v>1</v>
      </c>
      <c r="N1695" s="287">
        <v>589.02</v>
      </c>
      <c r="O1695" s="294">
        <f t="shared" si="26"/>
        <v>45504</v>
      </c>
      <c r="P1695" s="286" t="s">
        <v>58</v>
      </c>
    </row>
    <row r="1696" spans="1:16" hidden="1" x14ac:dyDescent="0.15">
      <c r="A1696" s="286">
        <v>848917</v>
      </c>
      <c r="B1696" s="288">
        <v>45607.660416666666</v>
      </c>
      <c r="C1696" s="286" t="s">
        <v>2100</v>
      </c>
      <c r="D1696" s="286" t="s">
        <v>1105</v>
      </c>
      <c r="E1696" s="286" t="s">
        <v>1106</v>
      </c>
      <c r="F1696" s="286" t="s">
        <v>2141</v>
      </c>
      <c r="G1696" s="286" t="s">
        <v>1074</v>
      </c>
      <c r="H1696" s="286" t="s">
        <v>1034</v>
      </c>
      <c r="I1696" s="286" t="s">
        <v>1199</v>
      </c>
      <c r="J1696" s="286" t="s">
        <v>1312</v>
      </c>
      <c r="K1696" s="286" t="s">
        <v>1828</v>
      </c>
      <c r="L1696" s="286" t="s">
        <v>672</v>
      </c>
      <c r="M1696" s="286">
        <v>1</v>
      </c>
      <c r="N1696" s="287">
        <v>589.02</v>
      </c>
      <c r="O1696" s="294">
        <f t="shared" si="26"/>
        <v>45626</v>
      </c>
      <c r="P1696" s="286" t="s">
        <v>58</v>
      </c>
    </row>
    <row r="1697" spans="1:16" hidden="1" x14ac:dyDescent="0.15">
      <c r="A1697" s="286">
        <v>848817</v>
      </c>
      <c r="B1697" s="288">
        <v>45607.65902777778</v>
      </c>
      <c r="C1697" s="286" t="s">
        <v>2130</v>
      </c>
      <c r="D1697" s="286" t="s">
        <v>1105</v>
      </c>
      <c r="E1697" s="286" t="s">
        <v>1106</v>
      </c>
      <c r="F1697" s="286" t="s">
        <v>2140</v>
      </c>
      <c r="G1697" s="286" t="s">
        <v>1042</v>
      </c>
      <c r="H1697" s="286" t="s">
        <v>1042</v>
      </c>
      <c r="I1697" s="286" t="s">
        <v>1228</v>
      </c>
      <c r="J1697" s="286" t="s">
        <v>53</v>
      </c>
      <c r="K1697" s="286" t="s">
        <v>53</v>
      </c>
      <c r="L1697" s="286" t="s">
        <v>53</v>
      </c>
      <c r="M1697" s="286" t="s">
        <v>53</v>
      </c>
      <c r="N1697" s="287">
        <v>585.28</v>
      </c>
      <c r="O1697" s="294">
        <f t="shared" si="26"/>
        <v>45626</v>
      </c>
      <c r="P1697" s="286" t="s">
        <v>58</v>
      </c>
    </row>
    <row r="1698" spans="1:16" hidden="1" x14ac:dyDescent="0.15">
      <c r="A1698" s="286">
        <v>778470</v>
      </c>
      <c r="B1698" s="288">
        <v>45555.450694444444</v>
      </c>
      <c r="C1698" s="286" t="s">
        <v>2132</v>
      </c>
      <c r="D1698" s="286" t="s">
        <v>1105</v>
      </c>
      <c r="E1698" s="286" t="s">
        <v>1106</v>
      </c>
      <c r="F1698" s="286" t="s">
        <v>2346</v>
      </c>
      <c r="G1698" s="286" t="s">
        <v>1011</v>
      </c>
      <c r="H1698" s="286" t="s">
        <v>1011</v>
      </c>
      <c r="I1698" s="286" t="s">
        <v>1129</v>
      </c>
      <c r="J1698" s="286" t="s">
        <v>1312</v>
      </c>
      <c r="K1698" s="286" t="s">
        <v>1366</v>
      </c>
      <c r="L1698" s="286" t="s">
        <v>1367</v>
      </c>
      <c r="M1698" s="286">
        <v>12</v>
      </c>
      <c r="N1698" s="287">
        <v>577.32000000000005</v>
      </c>
      <c r="O1698" s="294">
        <f t="shared" si="26"/>
        <v>45565</v>
      </c>
      <c r="P1698" s="286" t="s">
        <v>164</v>
      </c>
    </row>
    <row r="1699" spans="1:16" hidden="1" x14ac:dyDescent="0.15">
      <c r="A1699" s="286">
        <v>778470</v>
      </c>
      <c r="B1699" s="288">
        <v>45555.450694444444</v>
      </c>
      <c r="C1699" s="286" t="s">
        <v>2132</v>
      </c>
      <c r="D1699" s="286" t="s">
        <v>1105</v>
      </c>
      <c r="E1699" s="286" t="s">
        <v>1106</v>
      </c>
      <c r="F1699" s="286" t="s">
        <v>2346</v>
      </c>
      <c r="G1699" s="286" t="s">
        <v>1011</v>
      </c>
      <c r="H1699" s="286" t="s">
        <v>1011</v>
      </c>
      <c r="I1699" s="286" t="s">
        <v>1129</v>
      </c>
      <c r="J1699" s="286" t="s">
        <v>1312</v>
      </c>
      <c r="K1699" s="286" t="s">
        <v>1861</v>
      </c>
      <c r="L1699" s="286" t="s">
        <v>1862</v>
      </c>
      <c r="M1699" s="286">
        <v>12</v>
      </c>
      <c r="N1699" s="287">
        <v>576</v>
      </c>
      <c r="O1699" s="294">
        <f t="shared" si="26"/>
        <v>45565</v>
      </c>
      <c r="P1699" s="286" t="s">
        <v>164</v>
      </c>
    </row>
    <row r="1700" spans="1:16" hidden="1" x14ac:dyDescent="0.15">
      <c r="A1700" s="286">
        <v>614216</v>
      </c>
      <c r="B1700" s="288">
        <v>45455.716666666667</v>
      </c>
      <c r="C1700" s="286" t="s">
        <v>2116</v>
      </c>
      <c r="D1700" s="286" t="s">
        <v>1105</v>
      </c>
      <c r="E1700" s="286" t="s">
        <v>1106</v>
      </c>
      <c r="F1700" s="286" t="s">
        <v>2156</v>
      </c>
      <c r="G1700" s="286" t="s">
        <v>1063</v>
      </c>
      <c r="H1700" s="286" t="s">
        <v>1063</v>
      </c>
      <c r="I1700" s="286" t="s">
        <v>1228</v>
      </c>
      <c r="J1700" s="286" t="s">
        <v>1312</v>
      </c>
      <c r="K1700" s="286" t="s">
        <v>2298</v>
      </c>
      <c r="L1700" s="286" t="s">
        <v>672</v>
      </c>
      <c r="M1700" s="286">
        <v>1</v>
      </c>
      <c r="N1700" s="287">
        <v>560.97</v>
      </c>
      <c r="O1700" s="294">
        <f t="shared" si="26"/>
        <v>45473</v>
      </c>
      <c r="P1700" s="286" t="s">
        <v>58</v>
      </c>
    </row>
    <row r="1701" spans="1:16" hidden="1" x14ac:dyDescent="0.15">
      <c r="A1701" s="286">
        <v>530286</v>
      </c>
      <c r="B1701" s="288">
        <v>45383.563194444447</v>
      </c>
      <c r="C1701" s="286" t="s">
        <v>2109</v>
      </c>
      <c r="D1701" s="286" t="s">
        <v>1105</v>
      </c>
      <c r="E1701" s="286" t="s">
        <v>1106</v>
      </c>
      <c r="F1701" s="286" t="s">
        <v>2400</v>
      </c>
      <c r="G1701" s="286" t="s">
        <v>1349</v>
      </c>
      <c r="H1701" s="286" t="s">
        <v>1349</v>
      </c>
      <c r="I1701" s="286" t="s">
        <v>1129</v>
      </c>
      <c r="J1701" s="286" t="s">
        <v>1312</v>
      </c>
      <c r="K1701" s="286" t="s">
        <v>2401</v>
      </c>
      <c r="L1701" s="286" t="s">
        <v>2402</v>
      </c>
      <c r="M1701" s="286">
        <v>1</v>
      </c>
      <c r="N1701" s="287">
        <v>560.96</v>
      </c>
      <c r="O1701" s="294">
        <f t="shared" si="26"/>
        <v>45412</v>
      </c>
      <c r="P1701" s="286" t="s">
        <v>164</v>
      </c>
    </row>
    <row r="1702" spans="1:16" hidden="1" x14ac:dyDescent="0.15">
      <c r="A1702" s="286">
        <v>894869</v>
      </c>
      <c r="B1702" s="288">
        <v>45642.431944444441</v>
      </c>
      <c r="C1702" s="286" t="s">
        <v>2098</v>
      </c>
      <c r="D1702" s="286" t="s">
        <v>1105</v>
      </c>
      <c r="E1702" s="286" t="s">
        <v>1106</v>
      </c>
      <c r="F1702" s="286" t="s">
        <v>2403</v>
      </c>
      <c r="G1702" s="286" t="s">
        <v>1016</v>
      </c>
      <c r="H1702" s="286" t="s">
        <v>1016</v>
      </c>
      <c r="I1702" s="286" t="s">
        <v>1129</v>
      </c>
      <c r="J1702" s="286" t="s">
        <v>1312</v>
      </c>
      <c r="K1702" s="286" t="s">
        <v>1402</v>
      </c>
      <c r="L1702" s="286" t="s">
        <v>1403</v>
      </c>
      <c r="M1702" s="286">
        <v>2</v>
      </c>
      <c r="N1702" s="287">
        <v>544.74</v>
      </c>
      <c r="O1702" s="294">
        <f t="shared" si="26"/>
        <v>45657</v>
      </c>
      <c r="P1702" s="286" t="s">
        <v>164</v>
      </c>
    </row>
    <row r="1703" spans="1:16" hidden="1" x14ac:dyDescent="0.15">
      <c r="A1703" s="286">
        <v>894869</v>
      </c>
      <c r="B1703" s="288">
        <v>45642.431944444441</v>
      </c>
      <c r="C1703" s="286" t="s">
        <v>2098</v>
      </c>
      <c r="D1703" s="286" t="s">
        <v>1105</v>
      </c>
      <c r="E1703" s="286" t="s">
        <v>1106</v>
      </c>
      <c r="F1703" s="286" t="s">
        <v>2403</v>
      </c>
      <c r="G1703" s="286" t="s">
        <v>1016</v>
      </c>
      <c r="H1703" s="286" t="s">
        <v>1016</v>
      </c>
      <c r="I1703" s="286" t="s">
        <v>1129</v>
      </c>
      <c r="J1703" s="286" t="s">
        <v>1312</v>
      </c>
      <c r="K1703" s="286" t="s">
        <v>1514</v>
      </c>
      <c r="L1703" s="286" t="s">
        <v>1515</v>
      </c>
      <c r="M1703" s="286">
        <v>2</v>
      </c>
      <c r="N1703" s="287">
        <v>535.48</v>
      </c>
      <c r="O1703" s="294">
        <f t="shared" si="26"/>
        <v>45657</v>
      </c>
      <c r="P1703" s="286" t="s">
        <v>164</v>
      </c>
    </row>
    <row r="1704" spans="1:16" hidden="1" x14ac:dyDescent="0.15">
      <c r="A1704" s="286">
        <v>709014</v>
      </c>
      <c r="B1704" s="288">
        <v>45516.609722222223</v>
      </c>
      <c r="C1704" s="286" t="s">
        <v>2111</v>
      </c>
      <c r="D1704" s="286" t="s">
        <v>1105</v>
      </c>
      <c r="E1704" s="286" t="s">
        <v>1106</v>
      </c>
      <c r="F1704" s="286" t="s">
        <v>2347</v>
      </c>
      <c r="G1704" s="286" t="s">
        <v>1021</v>
      </c>
      <c r="H1704" s="286" t="s">
        <v>1021</v>
      </c>
      <c r="I1704" s="286" t="s">
        <v>1199</v>
      </c>
      <c r="J1704" s="286" t="s">
        <v>1312</v>
      </c>
      <c r="K1704" s="286" t="s">
        <v>2068</v>
      </c>
      <c r="L1704" s="286" t="s">
        <v>53</v>
      </c>
      <c r="M1704" s="286">
        <v>1</v>
      </c>
      <c r="N1704" s="287">
        <v>533.91999999999996</v>
      </c>
      <c r="O1704" s="294">
        <f t="shared" si="26"/>
        <v>45535</v>
      </c>
      <c r="P1704" s="286" t="s">
        <v>58</v>
      </c>
    </row>
    <row r="1705" spans="1:16" hidden="1" x14ac:dyDescent="0.15">
      <c r="A1705" s="286">
        <v>709014</v>
      </c>
      <c r="B1705" s="288">
        <v>45516.609722222223</v>
      </c>
      <c r="C1705" s="286" t="s">
        <v>2111</v>
      </c>
      <c r="D1705" s="286" t="s">
        <v>1105</v>
      </c>
      <c r="E1705" s="286" t="s">
        <v>1106</v>
      </c>
      <c r="F1705" s="286" t="s">
        <v>2347</v>
      </c>
      <c r="G1705" s="286" t="s">
        <v>1021</v>
      </c>
      <c r="H1705" s="286" t="s">
        <v>1021</v>
      </c>
      <c r="I1705" s="286" t="s">
        <v>1199</v>
      </c>
      <c r="J1705" s="286" t="s">
        <v>1312</v>
      </c>
      <c r="K1705" s="286" t="s">
        <v>2068</v>
      </c>
      <c r="L1705" s="286" t="s">
        <v>53</v>
      </c>
      <c r="M1705" s="286">
        <v>1</v>
      </c>
      <c r="N1705" s="287">
        <v>533.91999999999996</v>
      </c>
      <c r="O1705" s="294">
        <f t="shared" si="26"/>
        <v>45535</v>
      </c>
      <c r="P1705" s="286" t="s">
        <v>58</v>
      </c>
    </row>
    <row r="1706" spans="1:16" hidden="1" x14ac:dyDescent="0.15">
      <c r="A1706" s="286">
        <v>709014</v>
      </c>
      <c r="B1706" s="288">
        <v>45516.609722222223</v>
      </c>
      <c r="C1706" s="286" t="s">
        <v>2111</v>
      </c>
      <c r="D1706" s="286" t="s">
        <v>1105</v>
      </c>
      <c r="E1706" s="286" t="s">
        <v>1106</v>
      </c>
      <c r="F1706" s="286" t="s">
        <v>2347</v>
      </c>
      <c r="G1706" s="286" t="s">
        <v>1021</v>
      </c>
      <c r="H1706" s="286" t="s">
        <v>1021</v>
      </c>
      <c r="I1706" s="286" t="s">
        <v>1199</v>
      </c>
      <c r="J1706" s="286" t="s">
        <v>1312</v>
      </c>
      <c r="K1706" s="286" t="s">
        <v>2068</v>
      </c>
      <c r="L1706" s="286" t="s">
        <v>53</v>
      </c>
      <c r="M1706" s="286">
        <v>1</v>
      </c>
      <c r="N1706" s="287">
        <v>533.91999999999996</v>
      </c>
      <c r="O1706" s="294">
        <f t="shared" si="26"/>
        <v>45535</v>
      </c>
      <c r="P1706" s="286" t="s">
        <v>58</v>
      </c>
    </row>
    <row r="1707" spans="1:16" hidden="1" x14ac:dyDescent="0.15">
      <c r="A1707" s="286">
        <v>709014</v>
      </c>
      <c r="B1707" s="288">
        <v>45516.609722222223</v>
      </c>
      <c r="C1707" s="286" t="s">
        <v>2111</v>
      </c>
      <c r="D1707" s="286" t="s">
        <v>1105</v>
      </c>
      <c r="E1707" s="286" t="s">
        <v>1106</v>
      </c>
      <c r="F1707" s="286" t="s">
        <v>2347</v>
      </c>
      <c r="G1707" s="286" t="s">
        <v>1021</v>
      </c>
      <c r="H1707" s="286" t="s">
        <v>1021</v>
      </c>
      <c r="I1707" s="286" t="s">
        <v>1199</v>
      </c>
      <c r="J1707" s="286" t="s">
        <v>1312</v>
      </c>
      <c r="K1707" s="286" t="s">
        <v>2068</v>
      </c>
      <c r="L1707" s="286" t="s">
        <v>53</v>
      </c>
      <c r="M1707" s="286">
        <v>1</v>
      </c>
      <c r="N1707" s="287">
        <v>533.91999999999996</v>
      </c>
      <c r="O1707" s="294">
        <f t="shared" si="26"/>
        <v>45535</v>
      </c>
      <c r="P1707" s="286" t="s">
        <v>58</v>
      </c>
    </row>
    <row r="1708" spans="1:16" hidden="1" x14ac:dyDescent="0.15">
      <c r="A1708" s="286">
        <v>709014</v>
      </c>
      <c r="B1708" s="288">
        <v>45516.609722222223</v>
      </c>
      <c r="C1708" s="286" t="s">
        <v>2111</v>
      </c>
      <c r="D1708" s="286" t="s">
        <v>1105</v>
      </c>
      <c r="E1708" s="286" t="s">
        <v>1106</v>
      </c>
      <c r="F1708" s="286" t="s">
        <v>2347</v>
      </c>
      <c r="G1708" s="286" t="s">
        <v>1021</v>
      </c>
      <c r="H1708" s="286" t="s">
        <v>1021</v>
      </c>
      <c r="I1708" s="286" t="s">
        <v>1199</v>
      </c>
      <c r="J1708" s="286" t="s">
        <v>1312</v>
      </c>
      <c r="K1708" s="286" t="s">
        <v>2068</v>
      </c>
      <c r="L1708" s="286" t="s">
        <v>53</v>
      </c>
      <c r="M1708" s="286">
        <v>1</v>
      </c>
      <c r="N1708" s="287">
        <v>533.91999999999996</v>
      </c>
      <c r="O1708" s="294">
        <f t="shared" si="26"/>
        <v>45535</v>
      </c>
      <c r="P1708" s="286" t="s">
        <v>58</v>
      </c>
    </row>
    <row r="1709" spans="1:16" hidden="1" x14ac:dyDescent="0.15">
      <c r="A1709" s="286">
        <v>709014</v>
      </c>
      <c r="B1709" s="288">
        <v>45516.609722222223</v>
      </c>
      <c r="C1709" s="286" t="s">
        <v>2111</v>
      </c>
      <c r="D1709" s="286" t="s">
        <v>1105</v>
      </c>
      <c r="E1709" s="286" t="s">
        <v>1106</v>
      </c>
      <c r="F1709" s="286" t="s">
        <v>2347</v>
      </c>
      <c r="G1709" s="286" t="s">
        <v>1021</v>
      </c>
      <c r="H1709" s="286" t="s">
        <v>1021</v>
      </c>
      <c r="I1709" s="286" t="s">
        <v>1199</v>
      </c>
      <c r="J1709" s="286" t="s">
        <v>1312</v>
      </c>
      <c r="K1709" s="286" t="s">
        <v>2068</v>
      </c>
      <c r="L1709" s="286" t="s">
        <v>53</v>
      </c>
      <c r="M1709" s="286">
        <v>1</v>
      </c>
      <c r="N1709" s="287">
        <v>533.91999999999996</v>
      </c>
      <c r="O1709" s="294">
        <f t="shared" si="26"/>
        <v>45535</v>
      </c>
      <c r="P1709" s="286" t="s">
        <v>58</v>
      </c>
    </row>
    <row r="1710" spans="1:16" hidden="1" x14ac:dyDescent="0.15">
      <c r="A1710" s="286">
        <v>709014</v>
      </c>
      <c r="B1710" s="288">
        <v>45516.609722222223</v>
      </c>
      <c r="C1710" s="286" t="s">
        <v>2111</v>
      </c>
      <c r="D1710" s="286" t="s">
        <v>1105</v>
      </c>
      <c r="E1710" s="286" t="s">
        <v>1106</v>
      </c>
      <c r="F1710" s="286" t="s">
        <v>2347</v>
      </c>
      <c r="G1710" s="286" t="s">
        <v>1021</v>
      </c>
      <c r="H1710" s="286" t="s">
        <v>1021</v>
      </c>
      <c r="I1710" s="286" t="s">
        <v>1199</v>
      </c>
      <c r="J1710" s="286" t="s">
        <v>1312</v>
      </c>
      <c r="K1710" s="286" t="s">
        <v>2068</v>
      </c>
      <c r="L1710" s="286" t="s">
        <v>53</v>
      </c>
      <c r="M1710" s="286">
        <v>1</v>
      </c>
      <c r="N1710" s="287">
        <v>533.91999999999996</v>
      </c>
      <c r="O1710" s="294">
        <f t="shared" si="26"/>
        <v>45535</v>
      </c>
      <c r="P1710" s="286" t="s">
        <v>58</v>
      </c>
    </row>
    <row r="1711" spans="1:16" hidden="1" x14ac:dyDescent="0.15">
      <c r="A1711" s="286">
        <v>709014</v>
      </c>
      <c r="B1711" s="288">
        <v>45516.609722222223</v>
      </c>
      <c r="C1711" s="286" t="s">
        <v>2111</v>
      </c>
      <c r="D1711" s="286" t="s">
        <v>1105</v>
      </c>
      <c r="E1711" s="286" t="s">
        <v>1106</v>
      </c>
      <c r="F1711" s="286" t="s">
        <v>2347</v>
      </c>
      <c r="G1711" s="286" t="s">
        <v>1021</v>
      </c>
      <c r="H1711" s="286" t="s">
        <v>1021</v>
      </c>
      <c r="I1711" s="286" t="s">
        <v>1199</v>
      </c>
      <c r="J1711" s="286" t="s">
        <v>1312</v>
      </c>
      <c r="K1711" s="286" t="s">
        <v>2068</v>
      </c>
      <c r="L1711" s="286" t="s">
        <v>53</v>
      </c>
      <c r="M1711" s="286">
        <v>1</v>
      </c>
      <c r="N1711" s="287">
        <v>533.91999999999996</v>
      </c>
      <c r="O1711" s="294">
        <f t="shared" si="26"/>
        <v>45535</v>
      </c>
      <c r="P1711" s="286" t="s">
        <v>58</v>
      </c>
    </row>
    <row r="1712" spans="1:16" hidden="1" x14ac:dyDescent="0.15">
      <c r="A1712" s="286">
        <v>709014</v>
      </c>
      <c r="B1712" s="288">
        <v>45516.609722222223</v>
      </c>
      <c r="C1712" s="286" t="s">
        <v>2111</v>
      </c>
      <c r="D1712" s="286" t="s">
        <v>1105</v>
      </c>
      <c r="E1712" s="286" t="s">
        <v>1106</v>
      </c>
      <c r="F1712" s="286" t="s">
        <v>2347</v>
      </c>
      <c r="G1712" s="286" t="s">
        <v>1021</v>
      </c>
      <c r="H1712" s="286" t="s">
        <v>1021</v>
      </c>
      <c r="I1712" s="286" t="s">
        <v>1199</v>
      </c>
      <c r="J1712" s="286" t="s">
        <v>1312</v>
      </c>
      <c r="K1712" s="286" t="s">
        <v>2068</v>
      </c>
      <c r="L1712" s="286" t="s">
        <v>53</v>
      </c>
      <c r="M1712" s="286">
        <v>1</v>
      </c>
      <c r="N1712" s="287">
        <v>533.91999999999996</v>
      </c>
      <c r="O1712" s="294">
        <f t="shared" si="26"/>
        <v>45535</v>
      </c>
      <c r="P1712" s="286" t="s">
        <v>58</v>
      </c>
    </row>
    <row r="1713" spans="1:16" hidden="1" x14ac:dyDescent="0.15">
      <c r="A1713" s="286">
        <v>709014</v>
      </c>
      <c r="B1713" s="288">
        <v>45516.609722222223</v>
      </c>
      <c r="C1713" s="286" t="s">
        <v>2111</v>
      </c>
      <c r="D1713" s="286" t="s">
        <v>1105</v>
      </c>
      <c r="E1713" s="286" t="s">
        <v>1106</v>
      </c>
      <c r="F1713" s="286" t="s">
        <v>2347</v>
      </c>
      <c r="G1713" s="286" t="s">
        <v>1021</v>
      </c>
      <c r="H1713" s="286" t="s">
        <v>1021</v>
      </c>
      <c r="I1713" s="286" t="s">
        <v>1199</v>
      </c>
      <c r="J1713" s="286" t="s">
        <v>1312</v>
      </c>
      <c r="K1713" s="286" t="s">
        <v>2068</v>
      </c>
      <c r="L1713" s="286" t="s">
        <v>53</v>
      </c>
      <c r="M1713" s="286">
        <v>1</v>
      </c>
      <c r="N1713" s="287">
        <v>533.91999999999996</v>
      </c>
      <c r="O1713" s="294">
        <f t="shared" si="26"/>
        <v>45535</v>
      </c>
      <c r="P1713" s="286" t="s">
        <v>58</v>
      </c>
    </row>
    <row r="1714" spans="1:16" hidden="1" x14ac:dyDescent="0.15">
      <c r="A1714" s="286">
        <v>714130</v>
      </c>
      <c r="B1714" s="288">
        <v>45518.59097222222</v>
      </c>
      <c r="C1714" s="286" t="s">
        <v>2102</v>
      </c>
      <c r="D1714" s="286" t="s">
        <v>1105</v>
      </c>
      <c r="E1714" s="286" t="s">
        <v>1106</v>
      </c>
      <c r="F1714" s="286" t="s">
        <v>2286</v>
      </c>
      <c r="G1714" s="286" t="s">
        <v>1021</v>
      </c>
      <c r="H1714" s="286" t="s">
        <v>1021</v>
      </c>
      <c r="I1714" s="286" t="s">
        <v>1199</v>
      </c>
      <c r="J1714" s="286" t="s">
        <v>1312</v>
      </c>
      <c r="K1714" s="286" t="s">
        <v>2068</v>
      </c>
      <c r="L1714" s="286" t="s">
        <v>53</v>
      </c>
      <c r="M1714" s="286">
        <v>1</v>
      </c>
      <c r="N1714" s="287">
        <v>533.91999999999996</v>
      </c>
      <c r="O1714" s="294">
        <f t="shared" si="26"/>
        <v>45535</v>
      </c>
      <c r="P1714" s="286" t="s">
        <v>58</v>
      </c>
    </row>
    <row r="1715" spans="1:16" hidden="1" x14ac:dyDescent="0.15">
      <c r="A1715" s="286">
        <v>825672</v>
      </c>
      <c r="B1715" s="288">
        <v>45589.395138888889</v>
      </c>
      <c r="C1715" s="286" t="s">
        <v>2130</v>
      </c>
      <c r="D1715" s="286" t="s">
        <v>1105</v>
      </c>
      <c r="E1715" s="286" t="s">
        <v>1106</v>
      </c>
      <c r="F1715" s="286" t="s">
        <v>2311</v>
      </c>
      <c r="G1715" s="286" t="s">
        <v>1017</v>
      </c>
      <c r="H1715" s="286" t="s">
        <v>1017</v>
      </c>
      <c r="I1715" s="286" t="s">
        <v>1152</v>
      </c>
      <c r="J1715" s="286" t="s">
        <v>1312</v>
      </c>
      <c r="K1715" s="286" t="s">
        <v>53</v>
      </c>
      <c r="L1715" s="286" t="s">
        <v>53</v>
      </c>
      <c r="M1715" s="286" t="s">
        <v>53</v>
      </c>
      <c r="N1715" s="287">
        <v>511.8</v>
      </c>
      <c r="O1715" s="294">
        <f t="shared" si="26"/>
        <v>45596</v>
      </c>
      <c r="P1715" s="286" t="s">
        <v>58</v>
      </c>
    </row>
    <row r="1716" spans="1:16" hidden="1" x14ac:dyDescent="0.15">
      <c r="A1716" s="286">
        <v>608480</v>
      </c>
      <c r="B1716" s="288">
        <v>45450.422222222223</v>
      </c>
      <c r="C1716" s="286" t="s">
        <v>2092</v>
      </c>
      <c r="D1716" s="286" t="s">
        <v>1105</v>
      </c>
      <c r="E1716" s="286" t="s">
        <v>1106</v>
      </c>
      <c r="F1716" s="286" t="s">
        <v>2157</v>
      </c>
      <c r="G1716" s="286" t="s">
        <v>1073</v>
      </c>
      <c r="H1716" s="286" t="s">
        <v>1073</v>
      </c>
      <c r="I1716" s="286" t="s">
        <v>1199</v>
      </c>
      <c r="J1716" s="286" t="s">
        <v>1312</v>
      </c>
      <c r="K1716" s="286" t="s">
        <v>1754</v>
      </c>
      <c r="L1716" s="286" t="s">
        <v>672</v>
      </c>
      <c r="M1716" s="286">
        <v>1</v>
      </c>
      <c r="N1716" s="287">
        <v>510.5</v>
      </c>
      <c r="O1716" s="294">
        <f t="shared" si="26"/>
        <v>45473</v>
      </c>
      <c r="P1716" s="286" t="s">
        <v>58</v>
      </c>
    </row>
    <row r="1717" spans="1:16" hidden="1" x14ac:dyDescent="0.15">
      <c r="A1717" s="286">
        <v>438112</v>
      </c>
      <c r="B1717" s="288">
        <v>45293.53402777778</v>
      </c>
      <c r="C1717" s="286" t="s">
        <v>2125</v>
      </c>
      <c r="D1717" s="286" t="s">
        <v>1105</v>
      </c>
      <c r="E1717" s="286" t="s">
        <v>1106</v>
      </c>
      <c r="F1717" s="286" t="s">
        <v>2152</v>
      </c>
      <c r="G1717" s="286" t="s">
        <v>1073</v>
      </c>
      <c r="H1717" s="286" t="s">
        <v>1073</v>
      </c>
      <c r="I1717" s="286" t="s">
        <v>1199</v>
      </c>
      <c r="J1717" s="286" t="s">
        <v>1312</v>
      </c>
      <c r="K1717" s="286" t="s">
        <v>1754</v>
      </c>
      <c r="L1717" s="286" t="s">
        <v>672</v>
      </c>
      <c r="M1717" s="286">
        <v>1</v>
      </c>
      <c r="N1717" s="287">
        <v>510.45</v>
      </c>
      <c r="O1717" s="294">
        <f t="shared" si="26"/>
        <v>45322</v>
      </c>
      <c r="P1717" s="286" t="s">
        <v>58</v>
      </c>
    </row>
    <row r="1718" spans="1:16" hidden="1" x14ac:dyDescent="0.15">
      <c r="A1718" s="286">
        <v>472168</v>
      </c>
      <c r="B1718" s="288">
        <v>45331.416666666664</v>
      </c>
      <c r="C1718" s="286" t="s">
        <v>2113</v>
      </c>
      <c r="D1718" s="286" t="s">
        <v>1105</v>
      </c>
      <c r="E1718" s="286" t="s">
        <v>1106</v>
      </c>
      <c r="F1718" s="286" t="s">
        <v>2153</v>
      </c>
      <c r="G1718" s="286" t="s">
        <v>1073</v>
      </c>
      <c r="H1718" s="286" t="s">
        <v>1073</v>
      </c>
      <c r="I1718" s="286" t="s">
        <v>1199</v>
      </c>
      <c r="J1718" s="286" t="s">
        <v>1312</v>
      </c>
      <c r="K1718" s="286" t="s">
        <v>1754</v>
      </c>
      <c r="L1718" s="286" t="s">
        <v>672</v>
      </c>
      <c r="M1718" s="286">
        <v>1</v>
      </c>
      <c r="N1718" s="287">
        <v>510.45</v>
      </c>
      <c r="O1718" s="294">
        <f t="shared" si="26"/>
        <v>45351</v>
      </c>
      <c r="P1718" s="286" t="s">
        <v>58</v>
      </c>
    </row>
    <row r="1719" spans="1:16" hidden="1" x14ac:dyDescent="0.15">
      <c r="A1719" s="286">
        <v>504817</v>
      </c>
      <c r="B1719" s="288">
        <v>45359.645138888889</v>
      </c>
      <c r="C1719" s="286" t="s">
        <v>2109</v>
      </c>
      <c r="D1719" s="286" t="s">
        <v>1105</v>
      </c>
      <c r="E1719" s="286" t="s">
        <v>1106</v>
      </c>
      <c r="F1719" s="286" t="s">
        <v>2154</v>
      </c>
      <c r="G1719" s="286" t="s">
        <v>1073</v>
      </c>
      <c r="H1719" s="286" t="s">
        <v>1073</v>
      </c>
      <c r="I1719" s="286" t="s">
        <v>1199</v>
      </c>
      <c r="J1719" s="286" t="s">
        <v>1312</v>
      </c>
      <c r="K1719" s="286" t="s">
        <v>1754</v>
      </c>
      <c r="L1719" s="286" t="s">
        <v>672</v>
      </c>
      <c r="M1719" s="286">
        <v>1</v>
      </c>
      <c r="N1719" s="287">
        <v>510.45</v>
      </c>
      <c r="O1719" s="294">
        <f t="shared" si="26"/>
        <v>45382</v>
      </c>
      <c r="P1719" s="286" t="s">
        <v>58</v>
      </c>
    </row>
    <row r="1720" spans="1:16" hidden="1" x14ac:dyDescent="0.15">
      <c r="A1720" s="286">
        <v>534207</v>
      </c>
      <c r="B1720" s="288">
        <v>45385.750694444447</v>
      </c>
      <c r="C1720" s="286" t="s">
        <v>2096</v>
      </c>
      <c r="D1720" s="286" t="s">
        <v>1105</v>
      </c>
      <c r="E1720" s="286" t="s">
        <v>1106</v>
      </c>
      <c r="F1720" s="286" t="s">
        <v>2155</v>
      </c>
      <c r="G1720" s="286" t="s">
        <v>1073</v>
      </c>
      <c r="H1720" s="286" t="s">
        <v>1073</v>
      </c>
      <c r="I1720" s="286" t="s">
        <v>1199</v>
      </c>
      <c r="J1720" s="286" t="s">
        <v>1312</v>
      </c>
      <c r="K1720" s="286" t="s">
        <v>1754</v>
      </c>
      <c r="L1720" s="286" t="s">
        <v>672</v>
      </c>
      <c r="M1720" s="286">
        <v>1</v>
      </c>
      <c r="N1720" s="287">
        <v>510.45</v>
      </c>
      <c r="O1720" s="294">
        <f t="shared" si="26"/>
        <v>45412</v>
      </c>
      <c r="P1720" s="286" t="s">
        <v>58</v>
      </c>
    </row>
    <row r="1721" spans="1:16" hidden="1" x14ac:dyDescent="0.15">
      <c r="A1721" s="286">
        <v>614216</v>
      </c>
      <c r="B1721" s="288">
        <v>45455.716666666667</v>
      </c>
      <c r="C1721" s="286" t="s">
        <v>2116</v>
      </c>
      <c r="D1721" s="286" t="s">
        <v>1105</v>
      </c>
      <c r="E1721" s="286" t="s">
        <v>1106</v>
      </c>
      <c r="F1721" s="286" t="s">
        <v>2156</v>
      </c>
      <c r="G1721" s="286" t="s">
        <v>1073</v>
      </c>
      <c r="H1721" s="286" t="s">
        <v>1073</v>
      </c>
      <c r="I1721" s="286" t="s">
        <v>1199</v>
      </c>
      <c r="J1721" s="286" t="s">
        <v>1312</v>
      </c>
      <c r="K1721" s="286" t="s">
        <v>1754</v>
      </c>
      <c r="L1721" s="286" t="s">
        <v>672</v>
      </c>
      <c r="M1721" s="286">
        <v>1</v>
      </c>
      <c r="N1721" s="287">
        <v>510.45</v>
      </c>
      <c r="O1721" s="294">
        <f t="shared" si="26"/>
        <v>45473</v>
      </c>
      <c r="P1721" s="286" t="s">
        <v>58</v>
      </c>
    </row>
    <row r="1722" spans="1:16" hidden="1" x14ac:dyDescent="0.15">
      <c r="A1722" s="286">
        <v>848917</v>
      </c>
      <c r="B1722" s="288">
        <v>45607.660416666666</v>
      </c>
      <c r="C1722" s="286" t="s">
        <v>2100</v>
      </c>
      <c r="D1722" s="286" t="s">
        <v>1105</v>
      </c>
      <c r="E1722" s="286" t="s">
        <v>1106</v>
      </c>
      <c r="F1722" s="286" t="s">
        <v>2141</v>
      </c>
      <c r="G1722" s="286" t="s">
        <v>1015</v>
      </c>
      <c r="H1722" s="286" t="s">
        <v>1015</v>
      </c>
      <c r="I1722" s="286" t="s">
        <v>1228</v>
      </c>
      <c r="J1722" s="286" t="s">
        <v>53</v>
      </c>
      <c r="K1722" s="286" t="s">
        <v>53</v>
      </c>
      <c r="L1722" s="286" t="s">
        <v>53</v>
      </c>
      <c r="M1722" s="286" t="s">
        <v>53</v>
      </c>
      <c r="N1722" s="287">
        <v>491.24</v>
      </c>
      <c r="O1722" s="294">
        <f t="shared" si="26"/>
        <v>45626</v>
      </c>
      <c r="P1722" s="286" t="s">
        <v>58</v>
      </c>
    </row>
    <row r="1723" spans="1:16" hidden="1" x14ac:dyDescent="0.15">
      <c r="A1723" s="286">
        <v>741366</v>
      </c>
      <c r="B1723" s="288">
        <v>45532.655555555553</v>
      </c>
      <c r="C1723" s="286" t="s">
        <v>2102</v>
      </c>
      <c r="D1723" s="286" t="s">
        <v>1105</v>
      </c>
      <c r="E1723" s="286" t="s">
        <v>1106</v>
      </c>
      <c r="F1723" s="286" t="s">
        <v>2161</v>
      </c>
      <c r="G1723" s="286" t="s">
        <v>1856</v>
      </c>
      <c r="H1723" s="286" t="s">
        <v>1856</v>
      </c>
      <c r="I1723" s="286" t="s">
        <v>1228</v>
      </c>
      <c r="J1723" s="286" t="s">
        <v>1312</v>
      </c>
      <c r="K1723" s="286" t="s">
        <v>53</v>
      </c>
      <c r="L1723" s="286" t="s">
        <v>53</v>
      </c>
      <c r="M1723" s="286" t="s">
        <v>53</v>
      </c>
      <c r="N1723" s="287">
        <v>487.69</v>
      </c>
      <c r="O1723" s="294">
        <f t="shared" si="26"/>
        <v>45535</v>
      </c>
      <c r="P1723" s="286" t="s">
        <v>58</v>
      </c>
    </row>
    <row r="1724" spans="1:16" hidden="1" x14ac:dyDescent="0.15">
      <c r="A1724" s="286">
        <v>848917</v>
      </c>
      <c r="B1724" s="288">
        <v>45607.660416666666</v>
      </c>
      <c r="C1724" s="286" t="s">
        <v>2100</v>
      </c>
      <c r="D1724" s="286" t="s">
        <v>1105</v>
      </c>
      <c r="E1724" s="286" t="s">
        <v>1106</v>
      </c>
      <c r="F1724" s="286" t="s">
        <v>2141</v>
      </c>
      <c r="G1724" s="286" t="s">
        <v>1068</v>
      </c>
      <c r="H1724" s="286" t="s">
        <v>1068</v>
      </c>
      <c r="I1724" s="286" t="s">
        <v>1199</v>
      </c>
      <c r="J1724" s="286" t="s">
        <v>1312</v>
      </c>
      <c r="K1724" s="286" t="s">
        <v>2300</v>
      </c>
      <c r="L1724" s="286" t="s">
        <v>53</v>
      </c>
      <c r="M1724" s="286">
        <v>1</v>
      </c>
      <c r="N1724" s="287">
        <v>469.27</v>
      </c>
      <c r="O1724" s="294">
        <f t="shared" si="26"/>
        <v>45626</v>
      </c>
      <c r="P1724" s="286" t="s">
        <v>58</v>
      </c>
    </row>
    <row r="1725" spans="1:16" hidden="1" x14ac:dyDescent="0.15">
      <c r="A1725" s="286">
        <v>697810</v>
      </c>
      <c r="B1725" s="288">
        <v>45510.366666666669</v>
      </c>
      <c r="C1725" s="286" t="s">
        <v>2102</v>
      </c>
      <c r="D1725" s="286" t="s">
        <v>1105</v>
      </c>
      <c r="E1725" s="286" t="s">
        <v>1106</v>
      </c>
      <c r="F1725" s="286" t="s">
        <v>2138</v>
      </c>
      <c r="G1725" s="286" t="s">
        <v>1860</v>
      </c>
      <c r="H1725" s="286" t="s">
        <v>1860</v>
      </c>
      <c r="I1725" s="286" t="s">
        <v>1228</v>
      </c>
      <c r="J1725" s="286" t="s">
        <v>53</v>
      </c>
      <c r="K1725" s="286" t="s">
        <v>53</v>
      </c>
      <c r="L1725" s="286" t="s">
        <v>53</v>
      </c>
      <c r="M1725" s="286" t="s">
        <v>53</v>
      </c>
      <c r="N1725" s="287">
        <v>469.22</v>
      </c>
      <c r="O1725" s="294">
        <f t="shared" si="26"/>
        <v>45535</v>
      </c>
      <c r="P1725" s="286" t="s">
        <v>58</v>
      </c>
    </row>
    <row r="1726" spans="1:16" hidden="1" x14ac:dyDescent="0.15">
      <c r="A1726" s="286">
        <v>455870</v>
      </c>
      <c r="B1726" s="288">
        <v>45310.583333333336</v>
      </c>
      <c r="C1726" s="286" t="s">
        <v>2125</v>
      </c>
      <c r="D1726" s="286" t="s">
        <v>1105</v>
      </c>
      <c r="E1726" s="286" t="s">
        <v>1106</v>
      </c>
      <c r="F1726" s="286" t="s">
        <v>2280</v>
      </c>
      <c r="G1726" s="286" t="s">
        <v>1080</v>
      </c>
      <c r="H1726" s="286" t="s">
        <v>1080</v>
      </c>
      <c r="I1726" s="286" t="s">
        <v>1228</v>
      </c>
      <c r="J1726" s="286" t="s">
        <v>1312</v>
      </c>
      <c r="K1726" s="286" t="s">
        <v>1821</v>
      </c>
      <c r="L1726" s="286" t="s">
        <v>53</v>
      </c>
      <c r="M1726" s="286">
        <v>1</v>
      </c>
      <c r="N1726" s="287">
        <v>468.36</v>
      </c>
      <c r="O1726" s="294">
        <f t="shared" si="26"/>
        <v>45322</v>
      </c>
      <c r="P1726" s="286" t="s">
        <v>58</v>
      </c>
    </row>
    <row r="1727" spans="1:16" hidden="1" x14ac:dyDescent="0.15">
      <c r="A1727" s="286">
        <v>455870</v>
      </c>
      <c r="B1727" s="288">
        <v>45310.583333333336</v>
      </c>
      <c r="C1727" s="286" t="s">
        <v>2125</v>
      </c>
      <c r="D1727" s="286" t="s">
        <v>1105</v>
      </c>
      <c r="E1727" s="286" t="s">
        <v>1106</v>
      </c>
      <c r="F1727" s="286" t="s">
        <v>2280</v>
      </c>
      <c r="G1727" s="286" t="s">
        <v>1080</v>
      </c>
      <c r="H1727" s="286" t="s">
        <v>1080</v>
      </c>
      <c r="I1727" s="286" t="s">
        <v>1228</v>
      </c>
      <c r="J1727" s="286" t="s">
        <v>1312</v>
      </c>
      <c r="K1727" s="286" t="s">
        <v>1808</v>
      </c>
      <c r="L1727" s="286" t="s">
        <v>53</v>
      </c>
      <c r="M1727" s="286">
        <v>1</v>
      </c>
      <c r="N1727" s="287">
        <v>468.36</v>
      </c>
      <c r="O1727" s="294">
        <f t="shared" si="26"/>
        <v>45322</v>
      </c>
      <c r="P1727" s="286" t="s">
        <v>58</v>
      </c>
    </row>
    <row r="1728" spans="1:16" hidden="1" x14ac:dyDescent="0.15">
      <c r="A1728" s="286">
        <v>455870</v>
      </c>
      <c r="B1728" s="288">
        <v>45310.583333333336</v>
      </c>
      <c r="C1728" s="286" t="s">
        <v>2125</v>
      </c>
      <c r="D1728" s="286" t="s">
        <v>1105</v>
      </c>
      <c r="E1728" s="286" t="s">
        <v>1106</v>
      </c>
      <c r="F1728" s="286" t="s">
        <v>2280</v>
      </c>
      <c r="G1728" s="286" t="s">
        <v>1080</v>
      </c>
      <c r="H1728" s="286" t="s">
        <v>1080</v>
      </c>
      <c r="I1728" s="286" t="s">
        <v>1228</v>
      </c>
      <c r="J1728" s="286" t="s">
        <v>1312</v>
      </c>
      <c r="K1728" s="286" t="s">
        <v>1770</v>
      </c>
      <c r="L1728" s="286" t="s">
        <v>672</v>
      </c>
      <c r="M1728" s="286">
        <v>1</v>
      </c>
      <c r="N1728" s="287">
        <v>468.36</v>
      </c>
      <c r="O1728" s="294">
        <f t="shared" si="26"/>
        <v>45322</v>
      </c>
      <c r="P1728" s="286" t="s">
        <v>58</v>
      </c>
    </row>
    <row r="1729" spans="1:16" hidden="1" x14ac:dyDescent="0.15">
      <c r="A1729" s="286">
        <v>741366</v>
      </c>
      <c r="B1729" s="288">
        <v>45532.655555555553</v>
      </c>
      <c r="C1729" s="286" t="s">
        <v>2102</v>
      </c>
      <c r="D1729" s="286" t="s">
        <v>1105</v>
      </c>
      <c r="E1729" s="286" t="s">
        <v>1106</v>
      </c>
      <c r="F1729" s="286" t="s">
        <v>2161</v>
      </c>
      <c r="G1729" s="286" t="s">
        <v>1856</v>
      </c>
      <c r="H1729" s="286" t="s">
        <v>1856</v>
      </c>
      <c r="I1729" s="286" t="s">
        <v>1199</v>
      </c>
      <c r="J1729" s="286" t="s">
        <v>1312</v>
      </c>
      <c r="K1729" s="286" t="s">
        <v>53</v>
      </c>
      <c r="L1729" s="286" t="s">
        <v>53</v>
      </c>
      <c r="M1729" s="286" t="s">
        <v>53</v>
      </c>
      <c r="N1729" s="287">
        <v>467.85</v>
      </c>
      <c r="O1729" s="294">
        <f t="shared" si="26"/>
        <v>45535</v>
      </c>
      <c r="P1729" s="286" t="s">
        <v>58</v>
      </c>
    </row>
    <row r="1730" spans="1:16" hidden="1" x14ac:dyDescent="0.15">
      <c r="A1730" s="286">
        <v>665246</v>
      </c>
      <c r="B1730" s="288">
        <v>45489.452777777777</v>
      </c>
      <c r="C1730" s="286" t="s">
        <v>2111</v>
      </c>
      <c r="D1730" s="286" t="s">
        <v>1105</v>
      </c>
      <c r="E1730" s="286" t="s">
        <v>1106</v>
      </c>
      <c r="F1730" s="286" t="s">
        <v>2330</v>
      </c>
      <c r="G1730" s="286" t="s">
        <v>1011</v>
      </c>
      <c r="H1730" s="286" t="s">
        <v>1011</v>
      </c>
      <c r="I1730" s="286" t="s">
        <v>1129</v>
      </c>
      <c r="J1730" s="286" t="s">
        <v>1312</v>
      </c>
      <c r="K1730" s="286" t="s">
        <v>2404</v>
      </c>
      <c r="L1730" s="286" t="s">
        <v>2405</v>
      </c>
      <c r="M1730" s="286">
        <v>12</v>
      </c>
      <c r="N1730" s="287">
        <v>466.32</v>
      </c>
      <c r="O1730" s="294">
        <f t="shared" si="26"/>
        <v>45504</v>
      </c>
      <c r="P1730" s="286" t="s">
        <v>164</v>
      </c>
    </row>
    <row r="1731" spans="1:16" hidden="1" x14ac:dyDescent="0.15">
      <c r="A1731" s="286">
        <v>697810</v>
      </c>
      <c r="B1731" s="288">
        <v>45510.366666666669</v>
      </c>
      <c r="C1731" s="286" t="s">
        <v>2102</v>
      </c>
      <c r="D1731" s="286" t="s">
        <v>1105</v>
      </c>
      <c r="E1731" s="286" t="s">
        <v>1106</v>
      </c>
      <c r="F1731" s="286" t="s">
        <v>2138</v>
      </c>
      <c r="G1731" s="286" t="s">
        <v>1860</v>
      </c>
      <c r="H1731" s="286" t="s">
        <v>1860</v>
      </c>
      <c r="I1731" s="286" t="s">
        <v>1228</v>
      </c>
      <c r="J1731" s="286" t="s">
        <v>1312</v>
      </c>
      <c r="K1731" s="286" t="s">
        <v>2366</v>
      </c>
      <c r="L1731" s="286" t="s">
        <v>2367</v>
      </c>
      <c r="M1731" s="286">
        <v>1</v>
      </c>
      <c r="N1731" s="287">
        <v>462.81</v>
      </c>
      <c r="O1731" s="294">
        <f t="shared" si="26"/>
        <v>45535</v>
      </c>
      <c r="P1731" s="286" t="s">
        <v>58</v>
      </c>
    </row>
    <row r="1732" spans="1:16" hidden="1" x14ac:dyDescent="0.15">
      <c r="A1732" s="286">
        <v>556087</v>
      </c>
      <c r="B1732" s="288">
        <v>45406.408333333333</v>
      </c>
      <c r="C1732" s="286" t="s">
        <v>2096</v>
      </c>
      <c r="D1732" s="286" t="s">
        <v>1105</v>
      </c>
      <c r="E1732" s="286" t="s">
        <v>1106</v>
      </c>
      <c r="F1732" s="286" t="s">
        <v>2105</v>
      </c>
      <c r="G1732" s="286" t="s">
        <v>1004</v>
      </c>
      <c r="H1732" s="286" t="s">
        <v>1004</v>
      </c>
      <c r="I1732" s="286" t="s">
        <v>1152</v>
      </c>
      <c r="J1732" s="286" t="s">
        <v>1312</v>
      </c>
      <c r="K1732" s="286" t="s">
        <v>2287</v>
      </c>
      <c r="L1732" s="286" t="s">
        <v>2288</v>
      </c>
      <c r="M1732" s="286">
        <v>1</v>
      </c>
      <c r="N1732" s="287">
        <v>441.76</v>
      </c>
      <c r="O1732" s="294">
        <f t="shared" ref="O1732:O1795" si="27">EOMONTH(B1732,0)</f>
        <v>45412</v>
      </c>
      <c r="P1732" s="286" t="s">
        <v>58</v>
      </c>
    </row>
    <row r="1733" spans="1:16" hidden="1" x14ac:dyDescent="0.15">
      <c r="A1733" s="286">
        <v>614316</v>
      </c>
      <c r="B1733" s="288">
        <v>45455.717361111114</v>
      </c>
      <c r="C1733" s="286" t="s">
        <v>2092</v>
      </c>
      <c r="D1733" s="286" t="s">
        <v>1105</v>
      </c>
      <c r="E1733" s="286" t="s">
        <v>1106</v>
      </c>
      <c r="F1733" s="286" t="s">
        <v>2167</v>
      </c>
      <c r="G1733" s="286" t="s">
        <v>1039</v>
      </c>
      <c r="H1733" s="286" t="s">
        <v>1039</v>
      </c>
      <c r="I1733" s="286" t="s">
        <v>1228</v>
      </c>
      <c r="J1733" s="286" t="s">
        <v>1312</v>
      </c>
      <c r="K1733" s="286" t="s">
        <v>1805</v>
      </c>
      <c r="L1733" s="286" t="s">
        <v>672</v>
      </c>
      <c r="M1733" s="286">
        <v>1</v>
      </c>
      <c r="N1733" s="287">
        <v>440.56</v>
      </c>
      <c r="O1733" s="294">
        <f t="shared" si="27"/>
        <v>45473</v>
      </c>
      <c r="P1733" s="286" t="s">
        <v>58</v>
      </c>
    </row>
    <row r="1734" spans="1:16" hidden="1" x14ac:dyDescent="0.15">
      <c r="A1734" s="286">
        <v>646075</v>
      </c>
      <c r="B1734" s="288">
        <v>45474.519444444442</v>
      </c>
      <c r="C1734" s="286" t="s">
        <v>2111</v>
      </c>
      <c r="D1734" s="286" t="s">
        <v>1105</v>
      </c>
      <c r="E1734" s="286" t="s">
        <v>1106</v>
      </c>
      <c r="F1734" s="286" t="s">
        <v>2137</v>
      </c>
      <c r="G1734" s="286" t="s">
        <v>1033</v>
      </c>
      <c r="H1734" s="286" t="s">
        <v>1033</v>
      </c>
      <c r="I1734" s="286" t="s">
        <v>1228</v>
      </c>
      <c r="J1734" s="286" t="s">
        <v>1312</v>
      </c>
      <c r="K1734" s="286" t="s">
        <v>53</v>
      </c>
      <c r="L1734" s="286" t="s">
        <v>53</v>
      </c>
      <c r="M1734" s="286" t="s">
        <v>53</v>
      </c>
      <c r="N1734" s="287">
        <v>436.49</v>
      </c>
      <c r="O1734" s="294">
        <f t="shared" si="27"/>
        <v>45504</v>
      </c>
      <c r="P1734" s="286" t="s">
        <v>58</v>
      </c>
    </row>
    <row r="1735" spans="1:16" hidden="1" x14ac:dyDescent="0.15">
      <c r="A1735" s="286">
        <v>823696</v>
      </c>
      <c r="B1735" s="288">
        <v>45588.464583333334</v>
      </c>
      <c r="C1735" s="286" t="s">
        <v>2132</v>
      </c>
      <c r="D1735" s="286" t="s">
        <v>1105</v>
      </c>
      <c r="E1735" s="286" t="s">
        <v>1106</v>
      </c>
      <c r="F1735" s="286" t="s">
        <v>2324</v>
      </c>
      <c r="G1735" s="286" t="s">
        <v>1011</v>
      </c>
      <c r="H1735" s="286" t="s">
        <v>1011</v>
      </c>
      <c r="I1735" s="286" t="s">
        <v>1152</v>
      </c>
      <c r="J1735" s="286" t="s">
        <v>1312</v>
      </c>
      <c r="K1735" s="286" t="s">
        <v>918</v>
      </c>
      <c r="L1735" s="286" t="s">
        <v>2288</v>
      </c>
      <c r="M1735" s="286">
        <v>1</v>
      </c>
      <c r="N1735" s="287">
        <v>412.34</v>
      </c>
      <c r="O1735" s="294">
        <f t="shared" si="27"/>
        <v>45596</v>
      </c>
      <c r="P1735" s="286" t="s">
        <v>58</v>
      </c>
    </row>
    <row r="1736" spans="1:16" hidden="1" x14ac:dyDescent="0.15">
      <c r="A1736" s="286">
        <v>608480</v>
      </c>
      <c r="B1736" s="288">
        <v>45450.422222222223</v>
      </c>
      <c r="C1736" s="286" t="s">
        <v>2092</v>
      </c>
      <c r="D1736" s="286" t="s">
        <v>1105</v>
      </c>
      <c r="E1736" s="286" t="s">
        <v>1106</v>
      </c>
      <c r="F1736" s="286" t="s">
        <v>2157</v>
      </c>
      <c r="G1736" s="286" t="s">
        <v>1022</v>
      </c>
      <c r="H1736" s="286" t="s">
        <v>1022</v>
      </c>
      <c r="I1736" s="286" t="s">
        <v>1228</v>
      </c>
      <c r="J1736" s="286" t="s">
        <v>53</v>
      </c>
      <c r="K1736" s="286" t="s">
        <v>53</v>
      </c>
      <c r="L1736" s="286" t="s">
        <v>53</v>
      </c>
      <c r="M1736" s="286" t="s">
        <v>53</v>
      </c>
      <c r="N1736" s="287">
        <v>411.03</v>
      </c>
      <c r="O1736" s="294">
        <f t="shared" si="27"/>
        <v>45473</v>
      </c>
      <c r="P1736" s="286" t="s">
        <v>58</v>
      </c>
    </row>
    <row r="1737" spans="1:16" hidden="1" x14ac:dyDescent="0.15">
      <c r="A1737" s="286">
        <v>665246</v>
      </c>
      <c r="B1737" s="288">
        <v>45489.452777777777</v>
      </c>
      <c r="C1737" s="286" t="s">
        <v>2111</v>
      </c>
      <c r="D1737" s="286" t="s">
        <v>1105</v>
      </c>
      <c r="E1737" s="286" t="s">
        <v>1106</v>
      </c>
      <c r="F1737" s="286" t="s">
        <v>2330</v>
      </c>
      <c r="G1737" s="286" t="s">
        <v>1011</v>
      </c>
      <c r="H1737" s="286" t="s">
        <v>1011</v>
      </c>
      <c r="I1737" s="286" t="s">
        <v>1129</v>
      </c>
      <c r="J1737" s="286" t="s">
        <v>1312</v>
      </c>
      <c r="K1737" s="286" t="s">
        <v>2406</v>
      </c>
      <c r="L1737" s="286" t="s">
        <v>2407</v>
      </c>
      <c r="M1737" s="286">
        <v>12</v>
      </c>
      <c r="N1737" s="287">
        <v>402.84</v>
      </c>
      <c r="O1737" s="294">
        <f t="shared" si="27"/>
        <v>45504</v>
      </c>
      <c r="P1737" s="286" t="s">
        <v>164</v>
      </c>
    </row>
    <row r="1738" spans="1:16" hidden="1" x14ac:dyDescent="0.15">
      <c r="A1738" s="286">
        <v>665246</v>
      </c>
      <c r="B1738" s="288">
        <v>45489.452777777777</v>
      </c>
      <c r="C1738" s="286" t="s">
        <v>2111</v>
      </c>
      <c r="D1738" s="286" t="s">
        <v>1105</v>
      </c>
      <c r="E1738" s="286" t="s">
        <v>1106</v>
      </c>
      <c r="F1738" s="286" t="s">
        <v>2330</v>
      </c>
      <c r="G1738" s="286" t="s">
        <v>1011</v>
      </c>
      <c r="H1738" s="286" t="s">
        <v>1011</v>
      </c>
      <c r="I1738" s="286" t="s">
        <v>1129</v>
      </c>
      <c r="J1738" s="286" t="s">
        <v>1312</v>
      </c>
      <c r="K1738" s="286" t="s">
        <v>2408</v>
      </c>
      <c r="L1738" s="286" t="s">
        <v>2409</v>
      </c>
      <c r="M1738" s="286">
        <v>12</v>
      </c>
      <c r="N1738" s="287">
        <v>400.44</v>
      </c>
      <c r="O1738" s="294">
        <f t="shared" si="27"/>
        <v>45504</v>
      </c>
      <c r="P1738" s="286" t="s">
        <v>164</v>
      </c>
    </row>
    <row r="1739" spans="1:16" hidden="1" x14ac:dyDescent="0.15">
      <c r="A1739" s="286">
        <v>706328</v>
      </c>
      <c r="B1739" s="288">
        <v>45513.59375</v>
      </c>
      <c r="C1739" s="286" t="s">
        <v>2102</v>
      </c>
      <c r="D1739" s="286" t="s">
        <v>1105</v>
      </c>
      <c r="E1739" s="286" t="s">
        <v>1106</v>
      </c>
      <c r="F1739" s="286" t="s">
        <v>2356</v>
      </c>
      <c r="G1739" s="286" t="s">
        <v>1004</v>
      </c>
      <c r="H1739" s="286" t="s">
        <v>1004</v>
      </c>
      <c r="I1739" s="286" t="s">
        <v>1152</v>
      </c>
      <c r="J1739" s="286" t="s">
        <v>1312</v>
      </c>
      <c r="K1739" s="286" t="s">
        <v>2410</v>
      </c>
      <c r="L1739" s="286" t="s">
        <v>2411</v>
      </c>
      <c r="M1739" s="286">
        <v>1</v>
      </c>
      <c r="N1739" s="287">
        <v>360.57</v>
      </c>
      <c r="O1739" s="294">
        <f t="shared" si="27"/>
        <v>45535</v>
      </c>
      <c r="P1739" s="286" t="s">
        <v>58</v>
      </c>
    </row>
    <row r="1740" spans="1:16" hidden="1" x14ac:dyDescent="0.15">
      <c r="A1740" s="286">
        <v>709014</v>
      </c>
      <c r="B1740" s="288">
        <v>45516.609722222223</v>
      </c>
      <c r="C1740" s="286" t="s">
        <v>2111</v>
      </c>
      <c r="D1740" s="286" t="s">
        <v>1105</v>
      </c>
      <c r="E1740" s="286" t="s">
        <v>1106</v>
      </c>
      <c r="F1740" s="286" t="s">
        <v>2347</v>
      </c>
      <c r="G1740" s="286" t="s">
        <v>1021</v>
      </c>
      <c r="H1740" s="286" t="s">
        <v>1021</v>
      </c>
      <c r="I1740" s="286" t="s">
        <v>1199</v>
      </c>
      <c r="J1740" s="286" t="s">
        <v>1312</v>
      </c>
      <c r="K1740" s="286" t="s">
        <v>2068</v>
      </c>
      <c r="L1740" s="286" t="s">
        <v>53</v>
      </c>
      <c r="M1740" s="286">
        <v>1</v>
      </c>
      <c r="N1740" s="287">
        <v>356.17</v>
      </c>
      <c r="O1740" s="294">
        <f t="shared" si="27"/>
        <v>45535</v>
      </c>
      <c r="P1740" s="286" t="s">
        <v>58</v>
      </c>
    </row>
    <row r="1741" spans="1:16" hidden="1" x14ac:dyDescent="0.15">
      <c r="A1741" s="286">
        <v>709014</v>
      </c>
      <c r="B1741" s="288">
        <v>45516.609722222223</v>
      </c>
      <c r="C1741" s="286" t="s">
        <v>2111</v>
      </c>
      <c r="D1741" s="286" t="s">
        <v>1105</v>
      </c>
      <c r="E1741" s="286" t="s">
        <v>1106</v>
      </c>
      <c r="F1741" s="286" t="s">
        <v>2347</v>
      </c>
      <c r="G1741" s="286" t="s">
        <v>1021</v>
      </c>
      <c r="H1741" s="286" t="s">
        <v>1021</v>
      </c>
      <c r="I1741" s="286" t="s">
        <v>1199</v>
      </c>
      <c r="J1741" s="286" t="s">
        <v>1312</v>
      </c>
      <c r="K1741" s="286" t="s">
        <v>2068</v>
      </c>
      <c r="L1741" s="286" t="s">
        <v>53</v>
      </c>
      <c r="M1741" s="286">
        <v>1</v>
      </c>
      <c r="N1741" s="287">
        <v>356.17</v>
      </c>
      <c r="O1741" s="294">
        <f t="shared" si="27"/>
        <v>45535</v>
      </c>
      <c r="P1741" s="286" t="s">
        <v>58</v>
      </c>
    </row>
    <row r="1742" spans="1:16" hidden="1" x14ac:dyDescent="0.15">
      <c r="A1742" s="286">
        <v>709014</v>
      </c>
      <c r="B1742" s="288">
        <v>45516.609722222223</v>
      </c>
      <c r="C1742" s="286" t="s">
        <v>2111</v>
      </c>
      <c r="D1742" s="286" t="s">
        <v>1105</v>
      </c>
      <c r="E1742" s="286" t="s">
        <v>1106</v>
      </c>
      <c r="F1742" s="286" t="s">
        <v>2347</v>
      </c>
      <c r="G1742" s="286" t="s">
        <v>1021</v>
      </c>
      <c r="H1742" s="286" t="s">
        <v>1021</v>
      </c>
      <c r="I1742" s="286" t="s">
        <v>1199</v>
      </c>
      <c r="J1742" s="286" t="s">
        <v>1312</v>
      </c>
      <c r="K1742" s="286" t="s">
        <v>2068</v>
      </c>
      <c r="L1742" s="286" t="s">
        <v>53</v>
      </c>
      <c r="M1742" s="286">
        <v>1</v>
      </c>
      <c r="N1742" s="287">
        <v>356.17</v>
      </c>
      <c r="O1742" s="294">
        <f t="shared" si="27"/>
        <v>45535</v>
      </c>
      <c r="P1742" s="286" t="s">
        <v>58</v>
      </c>
    </row>
    <row r="1743" spans="1:16" hidden="1" x14ac:dyDescent="0.15">
      <c r="A1743" s="286">
        <v>709014</v>
      </c>
      <c r="B1743" s="288">
        <v>45516.609722222223</v>
      </c>
      <c r="C1743" s="286" t="s">
        <v>2111</v>
      </c>
      <c r="D1743" s="286" t="s">
        <v>1105</v>
      </c>
      <c r="E1743" s="286" t="s">
        <v>1106</v>
      </c>
      <c r="F1743" s="286" t="s">
        <v>2347</v>
      </c>
      <c r="G1743" s="286" t="s">
        <v>1021</v>
      </c>
      <c r="H1743" s="286" t="s">
        <v>1021</v>
      </c>
      <c r="I1743" s="286" t="s">
        <v>1199</v>
      </c>
      <c r="J1743" s="286" t="s">
        <v>1312</v>
      </c>
      <c r="K1743" s="286" t="s">
        <v>2068</v>
      </c>
      <c r="L1743" s="286" t="s">
        <v>53</v>
      </c>
      <c r="M1743" s="286">
        <v>1</v>
      </c>
      <c r="N1743" s="287">
        <v>356.17</v>
      </c>
      <c r="O1743" s="294">
        <f t="shared" si="27"/>
        <v>45535</v>
      </c>
      <c r="P1743" s="286" t="s">
        <v>58</v>
      </c>
    </row>
    <row r="1744" spans="1:16" hidden="1" x14ac:dyDescent="0.15">
      <c r="A1744" s="286">
        <v>709014</v>
      </c>
      <c r="B1744" s="288">
        <v>45516.609722222223</v>
      </c>
      <c r="C1744" s="286" t="s">
        <v>2111</v>
      </c>
      <c r="D1744" s="286" t="s">
        <v>1105</v>
      </c>
      <c r="E1744" s="286" t="s">
        <v>1106</v>
      </c>
      <c r="F1744" s="286" t="s">
        <v>2347</v>
      </c>
      <c r="G1744" s="286" t="s">
        <v>1021</v>
      </c>
      <c r="H1744" s="286" t="s">
        <v>1021</v>
      </c>
      <c r="I1744" s="286" t="s">
        <v>1199</v>
      </c>
      <c r="J1744" s="286" t="s">
        <v>1312</v>
      </c>
      <c r="K1744" s="286" t="s">
        <v>2068</v>
      </c>
      <c r="L1744" s="286" t="s">
        <v>53</v>
      </c>
      <c r="M1744" s="286">
        <v>1</v>
      </c>
      <c r="N1744" s="287">
        <v>356.17</v>
      </c>
      <c r="O1744" s="294">
        <f t="shared" si="27"/>
        <v>45535</v>
      </c>
      <c r="P1744" s="286" t="s">
        <v>58</v>
      </c>
    </row>
    <row r="1745" spans="1:16" hidden="1" x14ac:dyDescent="0.15">
      <c r="A1745" s="286">
        <v>709014</v>
      </c>
      <c r="B1745" s="288">
        <v>45516.609722222223</v>
      </c>
      <c r="C1745" s="286" t="s">
        <v>2111</v>
      </c>
      <c r="D1745" s="286" t="s">
        <v>1105</v>
      </c>
      <c r="E1745" s="286" t="s">
        <v>1106</v>
      </c>
      <c r="F1745" s="286" t="s">
        <v>2347</v>
      </c>
      <c r="G1745" s="286" t="s">
        <v>1021</v>
      </c>
      <c r="H1745" s="286" t="s">
        <v>1021</v>
      </c>
      <c r="I1745" s="286" t="s">
        <v>1199</v>
      </c>
      <c r="J1745" s="286" t="s">
        <v>1312</v>
      </c>
      <c r="K1745" s="286" t="s">
        <v>2068</v>
      </c>
      <c r="L1745" s="286" t="s">
        <v>53</v>
      </c>
      <c r="M1745" s="286">
        <v>1</v>
      </c>
      <c r="N1745" s="287">
        <v>356.17</v>
      </c>
      <c r="O1745" s="294">
        <f t="shared" si="27"/>
        <v>45535</v>
      </c>
      <c r="P1745" s="286" t="s">
        <v>58</v>
      </c>
    </row>
    <row r="1746" spans="1:16" hidden="1" x14ac:dyDescent="0.15">
      <c r="A1746" s="286">
        <v>709014</v>
      </c>
      <c r="B1746" s="288">
        <v>45516.609722222223</v>
      </c>
      <c r="C1746" s="286" t="s">
        <v>2111</v>
      </c>
      <c r="D1746" s="286" t="s">
        <v>1105</v>
      </c>
      <c r="E1746" s="286" t="s">
        <v>1106</v>
      </c>
      <c r="F1746" s="286" t="s">
        <v>2347</v>
      </c>
      <c r="G1746" s="286" t="s">
        <v>1021</v>
      </c>
      <c r="H1746" s="286" t="s">
        <v>1021</v>
      </c>
      <c r="I1746" s="286" t="s">
        <v>1199</v>
      </c>
      <c r="J1746" s="286" t="s">
        <v>1312</v>
      </c>
      <c r="K1746" s="286" t="s">
        <v>2068</v>
      </c>
      <c r="L1746" s="286" t="s">
        <v>53</v>
      </c>
      <c r="M1746" s="286">
        <v>1</v>
      </c>
      <c r="N1746" s="287">
        <v>356.17</v>
      </c>
      <c r="O1746" s="294">
        <f t="shared" si="27"/>
        <v>45535</v>
      </c>
      <c r="P1746" s="286" t="s">
        <v>58</v>
      </c>
    </row>
    <row r="1747" spans="1:16" hidden="1" x14ac:dyDescent="0.15">
      <c r="A1747" s="286">
        <v>709014</v>
      </c>
      <c r="B1747" s="288">
        <v>45516.609722222223</v>
      </c>
      <c r="C1747" s="286" t="s">
        <v>2111</v>
      </c>
      <c r="D1747" s="286" t="s">
        <v>1105</v>
      </c>
      <c r="E1747" s="286" t="s">
        <v>1106</v>
      </c>
      <c r="F1747" s="286" t="s">
        <v>2347</v>
      </c>
      <c r="G1747" s="286" t="s">
        <v>1021</v>
      </c>
      <c r="H1747" s="286" t="s">
        <v>1021</v>
      </c>
      <c r="I1747" s="286" t="s">
        <v>1199</v>
      </c>
      <c r="J1747" s="286" t="s">
        <v>1312</v>
      </c>
      <c r="K1747" s="286" t="s">
        <v>2068</v>
      </c>
      <c r="L1747" s="286" t="s">
        <v>53</v>
      </c>
      <c r="M1747" s="286">
        <v>1</v>
      </c>
      <c r="N1747" s="287">
        <v>356.17</v>
      </c>
      <c r="O1747" s="294">
        <f t="shared" si="27"/>
        <v>45535</v>
      </c>
      <c r="P1747" s="286" t="s">
        <v>58</v>
      </c>
    </row>
    <row r="1748" spans="1:16" hidden="1" x14ac:dyDescent="0.15">
      <c r="A1748" s="286">
        <v>709014</v>
      </c>
      <c r="B1748" s="288">
        <v>45516.609722222223</v>
      </c>
      <c r="C1748" s="286" t="s">
        <v>2111</v>
      </c>
      <c r="D1748" s="286" t="s">
        <v>1105</v>
      </c>
      <c r="E1748" s="286" t="s">
        <v>1106</v>
      </c>
      <c r="F1748" s="286" t="s">
        <v>2347</v>
      </c>
      <c r="G1748" s="286" t="s">
        <v>1021</v>
      </c>
      <c r="H1748" s="286" t="s">
        <v>1021</v>
      </c>
      <c r="I1748" s="286" t="s">
        <v>1199</v>
      </c>
      <c r="J1748" s="286" t="s">
        <v>1312</v>
      </c>
      <c r="K1748" s="286" t="s">
        <v>2068</v>
      </c>
      <c r="L1748" s="286" t="s">
        <v>53</v>
      </c>
      <c r="M1748" s="286">
        <v>1</v>
      </c>
      <c r="N1748" s="287">
        <v>356.17</v>
      </c>
      <c r="O1748" s="294">
        <f t="shared" si="27"/>
        <v>45535</v>
      </c>
      <c r="P1748" s="286" t="s">
        <v>58</v>
      </c>
    </row>
    <row r="1749" spans="1:16" hidden="1" x14ac:dyDescent="0.15">
      <c r="A1749" s="286">
        <v>709014</v>
      </c>
      <c r="B1749" s="288">
        <v>45516.609722222223</v>
      </c>
      <c r="C1749" s="286" t="s">
        <v>2111</v>
      </c>
      <c r="D1749" s="286" t="s">
        <v>1105</v>
      </c>
      <c r="E1749" s="286" t="s">
        <v>1106</v>
      </c>
      <c r="F1749" s="286" t="s">
        <v>2347</v>
      </c>
      <c r="G1749" s="286" t="s">
        <v>1021</v>
      </c>
      <c r="H1749" s="286" t="s">
        <v>1021</v>
      </c>
      <c r="I1749" s="286" t="s">
        <v>1199</v>
      </c>
      <c r="J1749" s="286" t="s">
        <v>1312</v>
      </c>
      <c r="K1749" s="286" t="s">
        <v>2068</v>
      </c>
      <c r="L1749" s="286" t="s">
        <v>53</v>
      </c>
      <c r="M1749" s="286">
        <v>1</v>
      </c>
      <c r="N1749" s="287">
        <v>356.17</v>
      </c>
      <c r="O1749" s="294">
        <f t="shared" si="27"/>
        <v>45535</v>
      </c>
      <c r="P1749" s="286" t="s">
        <v>58</v>
      </c>
    </row>
    <row r="1750" spans="1:16" hidden="1" x14ac:dyDescent="0.15">
      <c r="A1750" s="286">
        <v>714130</v>
      </c>
      <c r="B1750" s="288">
        <v>45518.59097222222</v>
      </c>
      <c r="C1750" s="286" t="s">
        <v>2102</v>
      </c>
      <c r="D1750" s="286" t="s">
        <v>1105</v>
      </c>
      <c r="E1750" s="286" t="s">
        <v>1106</v>
      </c>
      <c r="F1750" s="286" t="s">
        <v>2286</v>
      </c>
      <c r="G1750" s="286" t="s">
        <v>1021</v>
      </c>
      <c r="H1750" s="286" t="s">
        <v>1021</v>
      </c>
      <c r="I1750" s="286" t="s">
        <v>1199</v>
      </c>
      <c r="J1750" s="286" t="s">
        <v>1312</v>
      </c>
      <c r="K1750" s="286" t="s">
        <v>2068</v>
      </c>
      <c r="L1750" s="286" t="s">
        <v>53</v>
      </c>
      <c r="M1750" s="286">
        <v>1</v>
      </c>
      <c r="N1750" s="287">
        <v>356.17</v>
      </c>
      <c r="O1750" s="294">
        <f t="shared" si="27"/>
        <v>45535</v>
      </c>
      <c r="P1750" s="286" t="s">
        <v>58</v>
      </c>
    </row>
    <row r="1751" spans="1:16" hidden="1" x14ac:dyDescent="0.15">
      <c r="A1751" s="286">
        <v>614216</v>
      </c>
      <c r="B1751" s="288">
        <v>45455.716666666667</v>
      </c>
      <c r="C1751" s="286" t="s">
        <v>2116</v>
      </c>
      <c r="D1751" s="286" t="s">
        <v>1105</v>
      </c>
      <c r="E1751" s="286" t="s">
        <v>1106</v>
      </c>
      <c r="F1751" s="286" t="s">
        <v>2156</v>
      </c>
      <c r="G1751" s="286" t="s">
        <v>1349</v>
      </c>
      <c r="H1751" s="286" t="s">
        <v>1349</v>
      </c>
      <c r="I1751" s="286" t="s">
        <v>1129</v>
      </c>
      <c r="J1751" s="286" t="s">
        <v>1312</v>
      </c>
      <c r="K1751" s="286" t="s">
        <v>530</v>
      </c>
      <c r="L1751" s="286" t="s">
        <v>531</v>
      </c>
      <c r="M1751" s="286">
        <v>100</v>
      </c>
      <c r="N1751" s="287">
        <v>338</v>
      </c>
      <c r="O1751" s="294">
        <f t="shared" si="27"/>
        <v>45473</v>
      </c>
      <c r="P1751" s="286" t="s">
        <v>164</v>
      </c>
    </row>
    <row r="1752" spans="1:16" hidden="1" x14ac:dyDescent="0.15">
      <c r="A1752" s="286">
        <v>646075</v>
      </c>
      <c r="B1752" s="288">
        <v>45474.519444444442</v>
      </c>
      <c r="C1752" s="286" t="s">
        <v>2111</v>
      </c>
      <c r="D1752" s="286" t="s">
        <v>1105</v>
      </c>
      <c r="E1752" s="286" t="s">
        <v>1106</v>
      </c>
      <c r="F1752" s="286" t="s">
        <v>2137</v>
      </c>
      <c r="G1752" s="286" t="s">
        <v>1856</v>
      </c>
      <c r="H1752" s="286" t="s">
        <v>1856</v>
      </c>
      <c r="I1752" s="286" t="s">
        <v>1228</v>
      </c>
      <c r="J1752" s="286" t="s">
        <v>53</v>
      </c>
      <c r="K1752" s="286" t="s">
        <v>53</v>
      </c>
      <c r="L1752" s="286" t="s">
        <v>53</v>
      </c>
      <c r="M1752" s="286" t="s">
        <v>53</v>
      </c>
      <c r="N1752" s="287">
        <v>337.89</v>
      </c>
      <c r="O1752" s="294">
        <f t="shared" si="27"/>
        <v>45504</v>
      </c>
      <c r="P1752" s="286" t="s">
        <v>58</v>
      </c>
    </row>
    <row r="1753" spans="1:16" hidden="1" x14ac:dyDescent="0.15">
      <c r="A1753" s="286">
        <v>712645</v>
      </c>
      <c r="B1753" s="288">
        <v>45517.640972222223</v>
      </c>
      <c r="C1753" s="286" t="s">
        <v>2111</v>
      </c>
      <c r="D1753" s="286" t="s">
        <v>1105</v>
      </c>
      <c r="E1753" s="286" t="s">
        <v>1106</v>
      </c>
      <c r="F1753" s="286" t="s">
        <v>2160</v>
      </c>
      <c r="G1753" s="286" t="s">
        <v>1856</v>
      </c>
      <c r="H1753" s="286" t="s">
        <v>1856</v>
      </c>
      <c r="I1753" s="286" t="s">
        <v>1199</v>
      </c>
      <c r="J1753" s="286" t="s">
        <v>1312</v>
      </c>
      <c r="K1753" s="286" t="s">
        <v>53</v>
      </c>
      <c r="L1753" s="286" t="s">
        <v>53</v>
      </c>
      <c r="M1753" s="286" t="s">
        <v>53</v>
      </c>
      <c r="N1753" s="287">
        <v>325.47000000000003</v>
      </c>
      <c r="O1753" s="294">
        <f t="shared" si="27"/>
        <v>45535</v>
      </c>
      <c r="P1753" s="286" t="s">
        <v>58</v>
      </c>
    </row>
    <row r="1754" spans="1:16" hidden="1" x14ac:dyDescent="0.15">
      <c r="A1754" s="286">
        <v>697810</v>
      </c>
      <c r="B1754" s="288">
        <v>45510.366666666669</v>
      </c>
      <c r="C1754" s="286" t="s">
        <v>2102</v>
      </c>
      <c r="D1754" s="286" t="s">
        <v>1105</v>
      </c>
      <c r="E1754" s="286" t="s">
        <v>1106</v>
      </c>
      <c r="F1754" s="286" t="s">
        <v>2138</v>
      </c>
      <c r="G1754" s="286" t="s">
        <v>1841</v>
      </c>
      <c r="H1754" s="286" t="s">
        <v>1841</v>
      </c>
      <c r="I1754" s="286" t="s">
        <v>1228</v>
      </c>
      <c r="J1754" s="286" t="s">
        <v>53</v>
      </c>
      <c r="K1754" s="286" t="s">
        <v>53</v>
      </c>
      <c r="L1754" s="286" t="s">
        <v>53</v>
      </c>
      <c r="M1754" s="286" t="s">
        <v>53</v>
      </c>
      <c r="N1754" s="287">
        <v>312.33</v>
      </c>
      <c r="O1754" s="294">
        <f t="shared" si="27"/>
        <v>45535</v>
      </c>
      <c r="P1754" s="286" t="s">
        <v>58</v>
      </c>
    </row>
    <row r="1755" spans="1:16" hidden="1" x14ac:dyDescent="0.15">
      <c r="A1755" s="286">
        <v>509954</v>
      </c>
      <c r="B1755" s="288">
        <v>45364.375694444447</v>
      </c>
      <c r="C1755" s="286" t="s">
        <v>2113</v>
      </c>
      <c r="D1755" s="286" t="s">
        <v>1105</v>
      </c>
      <c r="E1755" s="286" t="s">
        <v>1106</v>
      </c>
      <c r="F1755" s="286" t="s">
        <v>2172</v>
      </c>
      <c r="G1755" s="286" t="s">
        <v>1053</v>
      </c>
      <c r="H1755" s="286" t="s">
        <v>1053</v>
      </c>
      <c r="I1755" s="286" t="s">
        <v>1235</v>
      </c>
      <c r="J1755" s="286" t="s">
        <v>1312</v>
      </c>
      <c r="K1755" s="286" t="s">
        <v>2412</v>
      </c>
      <c r="L1755" s="286" t="s">
        <v>2413</v>
      </c>
      <c r="M1755" s="286">
        <v>1</v>
      </c>
      <c r="N1755" s="287">
        <v>306</v>
      </c>
      <c r="O1755" s="294">
        <f t="shared" si="27"/>
        <v>45382</v>
      </c>
      <c r="P1755" s="286" t="s">
        <v>180</v>
      </c>
    </row>
    <row r="1756" spans="1:16" hidden="1" x14ac:dyDescent="0.15">
      <c r="A1756" s="286">
        <v>848817</v>
      </c>
      <c r="B1756" s="288">
        <v>45607.65902777778</v>
      </c>
      <c r="C1756" s="286" t="s">
        <v>2130</v>
      </c>
      <c r="D1756" s="286" t="s">
        <v>1105</v>
      </c>
      <c r="E1756" s="286" t="s">
        <v>1106</v>
      </c>
      <c r="F1756" s="286" t="s">
        <v>2140</v>
      </c>
      <c r="G1756" s="286" t="s">
        <v>1024</v>
      </c>
      <c r="H1756" s="286" t="s">
        <v>1024</v>
      </c>
      <c r="I1756" s="286" t="s">
        <v>1228</v>
      </c>
      <c r="J1756" s="286" t="s">
        <v>1312</v>
      </c>
      <c r="K1756" s="286" t="s">
        <v>2291</v>
      </c>
      <c r="L1756" s="286" t="s">
        <v>672</v>
      </c>
      <c r="M1756" s="286">
        <v>1</v>
      </c>
      <c r="N1756" s="287">
        <v>294.51</v>
      </c>
      <c r="O1756" s="294">
        <f t="shared" si="27"/>
        <v>45626</v>
      </c>
      <c r="P1756" s="286" t="s">
        <v>58</v>
      </c>
    </row>
    <row r="1757" spans="1:16" hidden="1" x14ac:dyDescent="0.15">
      <c r="A1757" s="286">
        <v>848817</v>
      </c>
      <c r="B1757" s="288">
        <v>45607.65902777778</v>
      </c>
      <c r="C1757" s="286" t="s">
        <v>2130</v>
      </c>
      <c r="D1757" s="286" t="s">
        <v>1105</v>
      </c>
      <c r="E1757" s="286" t="s">
        <v>1106</v>
      </c>
      <c r="F1757" s="286" t="s">
        <v>2140</v>
      </c>
      <c r="G1757" s="286" t="s">
        <v>1024</v>
      </c>
      <c r="H1757" s="286" t="s">
        <v>1024</v>
      </c>
      <c r="I1757" s="286" t="s">
        <v>1228</v>
      </c>
      <c r="J1757" s="286" t="s">
        <v>1312</v>
      </c>
      <c r="K1757" s="286" t="s">
        <v>2298</v>
      </c>
      <c r="L1757" s="286" t="s">
        <v>672</v>
      </c>
      <c r="M1757" s="286">
        <v>1</v>
      </c>
      <c r="N1757" s="287">
        <v>294.51</v>
      </c>
      <c r="O1757" s="294">
        <f t="shared" si="27"/>
        <v>45626</v>
      </c>
      <c r="P1757" s="286" t="s">
        <v>58</v>
      </c>
    </row>
    <row r="1758" spans="1:16" hidden="1" x14ac:dyDescent="0.15">
      <c r="A1758" s="286">
        <v>848917</v>
      </c>
      <c r="B1758" s="288">
        <v>45607.660416666666</v>
      </c>
      <c r="C1758" s="286" t="s">
        <v>2100</v>
      </c>
      <c r="D1758" s="286" t="s">
        <v>1105</v>
      </c>
      <c r="E1758" s="286" t="s">
        <v>1106</v>
      </c>
      <c r="F1758" s="286" t="s">
        <v>2141</v>
      </c>
      <c r="G1758" s="286" t="s">
        <v>1856</v>
      </c>
      <c r="H1758" s="286" t="s">
        <v>1856</v>
      </c>
      <c r="I1758" s="286" t="s">
        <v>1199</v>
      </c>
      <c r="J1758" s="286" t="s">
        <v>1312</v>
      </c>
      <c r="K1758" s="286" t="s">
        <v>2293</v>
      </c>
      <c r="L1758" s="286" t="s">
        <v>672</v>
      </c>
      <c r="M1758" s="286">
        <v>1</v>
      </c>
      <c r="N1758" s="287">
        <v>294.51</v>
      </c>
      <c r="O1758" s="294">
        <f t="shared" si="27"/>
        <v>45626</v>
      </c>
      <c r="P1758" s="286" t="s">
        <v>58</v>
      </c>
    </row>
    <row r="1759" spans="1:16" hidden="1" x14ac:dyDescent="0.15">
      <c r="A1759" s="286">
        <v>766030</v>
      </c>
      <c r="B1759" s="288">
        <v>45547.447222222225</v>
      </c>
      <c r="C1759" s="286" t="s">
        <v>2132</v>
      </c>
      <c r="D1759" s="286" t="s">
        <v>1105</v>
      </c>
      <c r="E1759" s="286" t="s">
        <v>1106</v>
      </c>
      <c r="F1759" s="286" t="s">
        <v>2414</v>
      </c>
      <c r="G1759" s="286" t="s">
        <v>1349</v>
      </c>
      <c r="H1759" s="286" t="s">
        <v>1349</v>
      </c>
      <c r="I1759" s="286" t="s">
        <v>1129</v>
      </c>
      <c r="J1759" s="286" t="s">
        <v>1312</v>
      </c>
      <c r="K1759" s="286" t="s">
        <v>2415</v>
      </c>
      <c r="L1759" s="286" t="s">
        <v>2416</v>
      </c>
      <c r="M1759" s="286">
        <v>1</v>
      </c>
      <c r="N1759" s="287">
        <v>289.2</v>
      </c>
      <c r="O1759" s="294">
        <f t="shared" si="27"/>
        <v>45565</v>
      </c>
      <c r="P1759" s="286" t="s">
        <v>164</v>
      </c>
    </row>
    <row r="1760" spans="1:16" hidden="1" x14ac:dyDescent="0.15">
      <c r="A1760" s="286">
        <v>807477</v>
      </c>
      <c r="B1760" s="288">
        <v>45579.522222222222</v>
      </c>
      <c r="C1760" s="286" t="s">
        <v>2132</v>
      </c>
      <c r="D1760" s="286" t="s">
        <v>1105</v>
      </c>
      <c r="E1760" s="286" t="s">
        <v>1106</v>
      </c>
      <c r="F1760" s="286" t="s">
        <v>2133</v>
      </c>
      <c r="G1760" s="286" t="s">
        <v>1076</v>
      </c>
      <c r="H1760" s="286" t="s">
        <v>1076</v>
      </c>
      <c r="I1760" s="286" t="s">
        <v>1301</v>
      </c>
      <c r="J1760" s="286" t="s">
        <v>1312</v>
      </c>
      <c r="K1760" s="286" t="s">
        <v>56</v>
      </c>
      <c r="L1760" s="286" t="s">
        <v>71</v>
      </c>
      <c r="M1760" s="286">
        <v>1</v>
      </c>
      <c r="N1760" s="287">
        <v>282</v>
      </c>
      <c r="O1760" s="294">
        <f t="shared" si="27"/>
        <v>45596</v>
      </c>
      <c r="P1760" s="286" t="s">
        <v>55</v>
      </c>
    </row>
    <row r="1761" spans="1:16" hidden="1" x14ac:dyDescent="0.15">
      <c r="A1761" s="286">
        <v>618894</v>
      </c>
      <c r="B1761" s="288">
        <v>45457.657638888886</v>
      </c>
      <c r="C1761" s="286" t="s">
        <v>2092</v>
      </c>
      <c r="D1761" s="286" t="s">
        <v>1105</v>
      </c>
      <c r="E1761" s="286" t="s">
        <v>1106</v>
      </c>
      <c r="F1761" s="286" t="s">
        <v>2417</v>
      </c>
      <c r="G1761" s="286" t="s">
        <v>1080</v>
      </c>
      <c r="H1761" s="286" t="s">
        <v>1080</v>
      </c>
      <c r="I1761" s="286" t="s">
        <v>1152</v>
      </c>
      <c r="J1761" s="286" t="s">
        <v>1312</v>
      </c>
      <c r="K1761" s="286" t="s">
        <v>918</v>
      </c>
      <c r="L1761" s="286" t="s">
        <v>2288</v>
      </c>
      <c r="M1761" s="286">
        <v>1</v>
      </c>
      <c r="N1761" s="287">
        <v>276.61</v>
      </c>
      <c r="O1761" s="294">
        <f t="shared" si="27"/>
        <v>45473</v>
      </c>
      <c r="P1761" s="286" t="s">
        <v>58</v>
      </c>
    </row>
    <row r="1762" spans="1:16" hidden="1" x14ac:dyDescent="0.15">
      <c r="A1762" s="286">
        <v>714130</v>
      </c>
      <c r="B1762" s="288">
        <v>45518.59097222222</v>
      </c>
      <c r="C1762" s="286" t="s">
        <v>2102</v>
      </c>
      <c r="D1762" s="286" t="s">
        <v>1105</v>
      </c>
      <c r="E1762" s="286" t="s">
        <v>1106</v>
      </c>
      <c r="F1762" s="286" t="s">
        <v>2286</v>
      </c>
      <c r="G1762" s="286" t="s">
        <v>1011</v>
      </c>
      <c r="H1762" s="286" t="s">
        <v>1011</v>
      </c>
      <c r="I1762" s="286" t="s">
        <v>1129</v>
      </c>
      <c r="J1762" s="286" t="s">
        <v>1312</v>
      </c>
      <c r="K1762" s="286" t="s">
        <v>526</v>
      </c>
      <c r="L1762" s="286" t="s">
        <v>1360</v>
      </c>
      <c r="M1762" s="286">
        <v>50</v>
      </c>
      <c r="N1762" s="287">
        <v>265.5</v>
      </c>
      <c r="O1762" s="294">
        <f t="shared" si="27"/>
        <v>45535</v>
      </c>
      <c r="P1762" s="286" t="s">
        <v>164</v>
      </c>
    </row>
    <row r="1763" spans="1:16" hidden="1" x14ac:dyDescent="0.15">
      <c r="A1763" s="286">
        <v>714130</v>
      </c>
      <c r="B1763" s="288">
        <v>45518.59097222222</v>
      </c>
      <c r="C1763" s="286" t="s">
        <v>2102</v>
      </c>
      <c r="D1763" s="286" t="s">
        <v>1105</v>
      </c>
      <c r="E1763" s="286" t="s">
        <v>1106</v>
      </c>
      <c r="F1763" s="286" t="s">
        <v>2286</v>
      </c>
      <c r="G1763" s="286" t="s">
        <v>1011</v>
      </c>
      <c r="H1763" s="286" t="s">
        <v>1011</v>
      </c>
      <c r="I1763" s="286" t="s">
        <v>1129</v>
      </c>
      <c r="J1763" s="286" t="s">
        <v>1312</v>
      </c>
      <c r="K1763" s="286" t="s">
        <v>528</v>
      </c>
      <c r="L1763" s="286" t="s">
        <v>529</v>
      </c>
      <c r="M1763" s="286">
        <v>50</v>
      </c>
      <c r="N1763" s="287">
        <v>264.5</v>
      </c>
      <c r="O1763" s="294">
        <f t="shared" si="27"/>
        <v>45535</v>
      </c>
      <c r="P1763" s="286" t="s">
        <v>164</v>
      </c>
    </row>
    <row r="1764" spans="1:16" hidden="1" x14ac:dyDescent="0.15">
      <c r="A1764" s="286">
        <v>778470</v>
      </c>
      <c r="B1764" s="288">
        <v>45555.450694444444</v>
      </c>
      <c r="C1764" s="286" t="s">
        <v>2132</v>
      </c>
      <c r="D1764" s="286" t="s">
        <v>1105</v>
      </c>
      <c r="E1764" s="286" t="s">
        <v>1106</v>
      </c>
      <c r="F1764" s="286" t="s">
        <v>2346</v>
      </c>
      <c r="G1764" s="286" t="s">
        <v>1011</v>
      </c>
      <c r="H1764" s="286" t="s">
        <v>1011</v>
      </c>
      <c r="I1764" s="286" t="s">
        <v>1129</v>
      </c>
      <c r="J1764" s="286" t="s">
        <v>1312</v>
      </c>
      <c r="K1764" s="286" t="s">
        <v>1402</v>
      </c>
      <c r="L1764" s="286" t="s">
        <v>1403</v>
      </c>
      <c r="M1764" s="286">
        <v>1</v>
      </c>
      <c r="N1764" s="287">
        <v>263.35000000000002</v>
      </c>
      <c r="O1764" s="294">
        <f t="shared" si="27"/>
        <v>45565</v>
      </c>
      <c r="P1764" s="286" t="s">
        <v>164</v>
      </c>
    </row>
    <row r="1765" spans="1:16" hidden="1" x14ac:dyDescent="0.15">
      <c r="A1765" s="286">
        <v>714130</v>
      </c>
      <c r="B1765" s="288">
        <v>45518.59097222222</v>
      </c>
      <c r="C1765" s="286" t="s">
        <v>2102</v>
      </c>
      <c r="D1765" s="286" t="s">
        <v>1105</v>
      </c>
      <c r="E1765" s="286" t="s">
        <v>1106</v>
      </c>
      <c r="F1765" s="286" t="s">
        <v>2286</v>
      </c>
      <c r="G1765" s="286" t="s">
        <v>1011</v>
      </c>
      <c r="H1765" s="286" t="s">
        <v>1011</v>
      </c>
      <c r="I1765" s="286" t="s">
        <v>1129</v>
      </c>
      <c r="J1765" s="286" t="s">
        <v>1312</v>
      </c>
      <c r="K1765" s="286" t="s">
        <v>524</v>
      </c>
      <c r="L1765" s="286" t="s">
        <v>1346</v>
      </c>
      <c r="M1765" s="286">
        <v>50</v>
      </c>
      <c r="N1765" s="287">
        <v>255.5</v>
      </c>
      <c r="O1765" s="294">
        <f t="shared" si="27"/>
        <v>45535</v>
      </c>
      <c r="P1765" s="286" t="s">
        <v>164</v>
      </c>
    </row>
    <row r="1766" spans="1:16" hidden="1" x14ac:dyDescent="0.15">
      <c r="A1766" s="286">
        <v>847474</v>
      </c>
      <c r="B1766" s="288">
        <v>45607.428472222222</v>
      </c>
      <c r="C1766" s="286" t="s">
        <v>2100</v>
      </c>
      <c r="D1766" s="286" t="s">
        <v>1105</v>
      </c>
      <c r="E1766" s="286" t="s">
        <v>1106</v>
      </c>
      <c r="F1766" s="286" t="s">
        <v>2418</v>
      </c>
      <c r="G1766" s="286" t="s">
        <v>1013</v>
      </c>
      <c r="H1766" s="286" t="s">
        <v>1013</v>
      </c>
      <c r="I1766" s="286" t="s">
        <v>1129</v>
      </c>
      <c r="J1766" s="286" t="s">
        <v>1312</v>
      </c>
      <c r="K1766" s="286" t="s">
        <v>528</v>
      </c>
      <c r="L1766" s="286" t="s">
        <v>529</v>
      </c>
      <c r="M1766" s="286">
        <v>50</v>
      </c>
      <c r="N1766" s="287">
        <v>249</v>
      </c>
      <c r="O1766" s="294">
        <f t="shared" si="27"/>
        <v>45626</v>
      </c>
      <c r="P1766" s="286" t="s">
        <v>164</v>
      </c>
    </row>
    <row r="1767" spans="1:16" hidden="1" x14ac:dyDescent="0.15">
      <c r="A1767" s="286">
        <v>618794</v>
      </c>
      <c r="B1767" s="288">
        <v>45457.657638888886</v>
      </c>
      <c r="C1767" s="286" t="s">
        <v>2116</v>
      </c>
      <c r="D1767" s="286" t="s">
        <v>1105</v>
      </c>
      <c r="E1767" s="286" t="s">
        <v>1106</v>
      </c>
      <c r="F1767" s="286" t="s">
        <v>2419</v>
      </c>
      <c r="G1767" s="286" t="s">
        <v>1080</v>
      </c>
      <c r="H1767" s="286" t="s">
        <v>1080</v>
      </c>
      <c r="I1767" s="286" t="s">
        <v>1152</v>
      </c>
      <c r="J1767" s="286" t="s">
        <v>1312</v>
      </c>
      <c r="K1767" s="286" t="s">
        <v>918</v>
      </c>
      <c r="L1767" s="286" t="s">
        <v>2288</v>
      </c>
      <c r="M1767" s="286">
        <v>1</v>
      </c>
      <c r="N1767" s="287">
        <v>245.87</v>
      </c>
      <c r="O1767" s="294">
        <f t="shared" si="27"/>
        <v>45473</v>
      </c>
      <c r="P1767" s="286" t="s">
        <v>58</v>
      </c>
    </row>
    <row r="1768" spans="1:16" hidden="1" x14ac:dyDescent="0.15">
      <c r="A1768" s="286">
        <v>504817</v>
      </c>
      <c r="B1768" s="288">
        <v>45359.645138888889</v>
      </c>
      <c r="C1768" s="286" t="s">
        <v>2109</v>
      </c>
      <c r="D1768" s="286" t="s">
        <v>1105</v>
      </c>
      <c r="E1768" s="286" t="s">
        <v>1106</v>
      </c>
      <c r="F1768" s="286" t="s">
        <v>2154</v>
      </c>
      <c r="G1768" s="286" t="s">
        <v>1051</v>
      </c>
      <c r="H1768" s="286" t="s">
        <v>1051</v>
      </c>
      <c r="I1768" s="286" t="s">
        <v>1129</v>
      </c>
      <c r="J1768" s="286" t="s">
        <v>1312</v>
      </c>
      <c r="K1768" s="286" t="s">
        <v>1861</v>
      </c>
      <c r="L1768" s="286" t="s">
        <v>1862</v>
      </c>
      <c r="M1768" s="286">
        <v>4</v>
      </c>
      <c r="N1768" s="287">
        <v>243.68</v>
      </c>
      <c r="O1768" s="294">
        <f t="shared" si="27"/>
        <v>45382</v>
      </c>
      <c r="P1768" s="286" t="s">
        <v>164</v>
      </c>
    </row>
    <row r="1769" spans="1:16" hidden="1" x14ac:dyDescent="0.15">
      <c r="A1769" s="286">
        <v>646075</v>
      </c>
      <c r="B1769" s="288">
        <v>45474.519444444442</v>
      </c>
      <c r="C1769" s="286" t="s">
        <v>2111</v>
      </c>
      <c r="D1769" s="286" t="s">
        <v>1105</v>
      </c>
      <c r="E1769" s="286" t="s">
        <v>1106</v>
      </c>
      <c r="F1769" s="286" t="s">
        <v>2137</v>
      </c>
      <c r="G1769" s="286" t="s">
        <v>1071</v>
      </c>
      <c r="H1769" s="286" t="s">
        <v>1071</v>
      </c>
      <c r="I1769" s="286" t="s">
        <v>1199</v>
      </c>
      <c r="J1769" s="286" t="s">
        <v>53</v>
      </c>
      <c r="K1769" s="286" t="s">
        <v>53</v>
      </c>
      <c r="L1769" s="286" t="s">
        <v>53</v>
      </c>
      <c r="M1769" s="286" t="s">
        <v>53</v>
      </c>
      <c r="N1769" s="287">
        <v>243.34</v>
      </c>
      <c r="O1769" s="294">
        <f t="shared" si="27"/>
        <v>45504</v>
      </c>
      <c r="P1769" s="286" t="s">
        <v>58</v>
      </c>
    </row>
    <row r="1770" spans="1:16" hidden="1" x14ac:dyDescent="0.15">
      <c r="A1770" s="286">
        <v>749526</v>
      </c>
      <c r="B1770" s="288">
        <v>45540.356944444444</v>
      </c>
      <c r="C1770" s="286" t="s">
        <v>2102</v>
      </c>
      <c r="D1770" s="286" t="s">
        <v>1105</v>
      </c>
      <c r="E1770" s="286" t="s">
        <v>1106</v>
      </c>
      <c r="F1770" s="286" t="s">
        <v>2168</v>
      </c>
      <c r="G1770" s="286" t="s">
        <v>1011</v>
      </c>
      <c r="H1770" s="286" t="s">
        <v>1011</v>
      </c>
      <c r="I1770" s="286" t="s">
        <v>1129</v>
      </c>
      <c r="J1770" s="286" t="s">
        <v>1312</v>
      </c>
      <c r="K1770" s="286" t="s">
        <v>2420</v>
      </c>
      <c r="L1770" s="286" t="s">
        <v>2421</v>
      </c>
      <c r="M1770" s="286">
        <v>2</v>
      </c>
      <c r="N1770" s="287">
        <v>240.69</v>
      </c>
      <c r="O1770" s="294">
        <f t="shared" si="27"/>
        <v>45565</v>
      </c>
      <c r="P1770" s="286" t="s">
        <v>164</v>
      </c>
    </row>
    <row r="1771" spans="1:16" hidden="1" x14ac:dyDescent="0.15">
      <c r="A1771" s="286">
        <v>778470</v>
      </c>
      <c r="B1771" s="288">
        <v>45555.450694444444</v>
      </c>
      <c r="C1771" s="286" t="s">
        <v>2132</v>
      </c>
      <c r="D1771" s="286" t="s">
        <v>1105</v>
      </c>
      <c r="E1771" s="286" t="s">
        <v>1106</v>
      </c>
      <c r="F1771" s="286" t="s">
        <v>2346</v>
      </c>
      <c r="G1771" s="286" t="s">
        <v>1011</v>
      </c>
      <c r="H1771" s="286" t="s">
        <v>1011</v>
      </c>
      <c r="I1771" s="286" t="s">
        <v>1129</v>
      </c>
      <c r="J1771" s="286" t="s">
        <v>1312</v>
      </c>
      <c r="K1771" s="286" t="s">
        <v>1514</v>
      </c>
      <c r="L1771" s="286" t="s">
        <v>1515</v>
      </c>
      <c r="M1771" s="286">
        <v>1</v>
      </c>
      <c r="N1771" s="287">
        <v>234.26</v>
      </c>
      <c r="O1771" s="294">
        <f t="shared" si="27"/>
        <v>45565</v>
      </c>
      <c r="P1771" s="286" t="s">
        <v>164</v>
      </c>
    </row>
    <row r="1772" spans="1:16" hidden="1" x14ac:dyDescent="0.15">
      <c r="A1772" s="286">
        <v>847474</v>
      </c>
      <c r="B1772" s="288">
        <v>45607.428472222222</v>
      </c>
      <c r="C1772" s="286" t="s">
        <v>2100</v>
      </c>
      <c r="D1772" s="286" t="s">
        <v>1105</v>
      </c>
      <c r="E1772" s="286" t="s">
        <v>1106</v>
      </c>
      <c r="F1772" s="286" t="s">
        <v>2418</v>
      </c>
      <c r="G1772" s="286" t="s">
        <v>1013</v>
      </c>
      <c r="H1772" s="286" t="s">
        <v>1013</v>
      </c>
      <c r="I1772" s="286" t="s">
        <v>1129</v>
      </c>
      <c r="J1772" s="286" t="s">
        <v>1312</v>
      </c>
      <c r="K1772" s="286" t="s">
        <v>526</v>
      </c>
      <c r="L1772" s="286" t="s">
        <v>1360</v>
      </c>
      <c r="M1772" s="286">
        <v>50</v>
      </c>
      <c r="N1772" s="287">
        <v>232.5</v>
      </c>
      <c r="O1772" s="294">
        <f t="shared" si="27"/>
        <v>45626</v>
      </c>
      <c r="P1772" s="286" t="s">
        <v>164</v>
      </c>
    </row>
    <row r="1773" spans="1:16" hidden="1" x14ac:dyDescent="0.15">
      <c r="A1773" s="286">
        <v>472168</v>
      </c>
      <c r="B1773" s="288">
        <v>45331.416666666664</v>
      </c>
      <c r="C1773" s="286" t="s">
        <v>2113</v>
      </c>
      <c r="D1773" s="286" t="s">
        <v>1105</v>
      </c>
      <c r="E1773" s="286" t="s">
        <v>1106</v>
      </c>
      <c r="F1773" s="286" t="s">
        <v>2153</v>
      </c>
      <c r="G1773" s="286" t="s">
        <v>1004</v>
      </c>
      <c r="H1773" s="286" t="s">
        <v>1004</v>
      </c>
      <c r="I1773" s="286" t="s">
        <v>1199</v>
      </c>
      <c r="J1773" s="286" t="s">
        <v>53</v>
      </c>
      <c r="K1773" s="286" t="s">
        <v>53</v>
      </c>
      <c r="L1773" s="286" t="s">
        <v>53</v>
      </c>
      <c r="M1773" s="286" t="s">
        <v>53</v>
      </c>
      <c r="N1773" s="287">
        <v>231.01</v>
      </c>
      <c r="O1773" s="294">
        <f t="shared" si="27"/>
        <v>45351</v>
      </c>
      <c r="P1773" s="286" t="s">
        <v>58</v>
      </c>
    </row>
    <row r="1774" spans="1:16" hidden="1" x14ac:dyDescent="0.15">
      <c r="A1774" s="286">
        <v>827675</v>
      </c>
      <c r="B1774" s="288">
        <v>45590.5</v>
      </c>
      <c r="C1774" s="286" t="s">
        <v>2130</v>
      </c>
      <c r="D1774" s="286" t="s">
        <v>1105</v>
      </c>
      <c r="E1774" s="286" t="s">
        <v>1106</v>
      </c>
      <c r="F1774" s="286" t="s">
        <v>2422</v>
      </c>
      <c r="G1774" s="286" t="s">
        <v>1004</v>
      </c>
      <c r="H1774" s="286" t="s">
        <v>1004</v>
      </c>
      <c r="I1774" s="286" t="s">
        <v>1129</v>
      </c>
      <c r="J1774" s="286" t="s">
        <v>1312</v>
      </c>
      <c r="K1774" s="286" t="s">
        <v>660</v>
      </c>
      <c r="L1774" s="286" t="s">
        <v>1384</v>
      </c>
      <c r="M1774" s="286">
        <v>1</v>
      </c>
      <c r="N1774" s="287">
        <v>226.23</v>
      </c>
      <c r="O1774" s="294">
        <f t="shared" si="27"/>
        <v>45596</v>
      </c>
      <c r="P1774" s="286" t="s">
        <v>164</v>
      </c>
    </row>
    <row r="1775" spans="1:16" hidden="1" x14ac:dyDescent="0.15">
      <c r="A1775" s="286">
        <v>848716</v>
      </c>
      <c r="B1775" s="288">
        <v>45607.647916666669</v>
      </c>
      <c r="C1775" s="286" t="s">
        <v>2130</v>
      </c>
      <c r="D1775" s="286" t="s">
        <v>1105</v>
      </c>
      <c r="E1775" s="286" t="s">
        <v>1106</v>
      </c>
      <c r="F1775" s="286" t="s">
        <v>2241</v>
      </c>
      <c r="G1775" s="286" t="s">
        <v>1049</v>
      </c>
      <c r="H1775" s="286" t="s">
        <v>1049</v>
      </c>
      <c r="I1775" s="286" t="s">
        <v>1199</v>
      </c>
      <c r="J1775" s="286" t="s">
        <v>1312</v>
      </c>
      <c r="K1775" s="286" t="s">
        <v>53</v>
      </c>
      <c r="L1775" s="286" t="s">
        <v>53</v>
      </c>
      <c r="M1775" s="286" t="s">
        <v>53</v>
      </c>
      <c r="N1775" s="287">
        <v>224.29</v>
      </c>
      <c r="O1775" s="294">
        <f t="shared" si="27"/>
        <v>45626</v>
      </c>
      <c r="P1775" s="286" t="s">
        <v>58</v>
      </c>
    </row>
    <row r="1776" spans="1:16" hidden="1" x14ac:dyDescent="0.15">
      <c r="A1776" s="286">
        <v>864918</v>
      </c>
      <c r="B1776" s="288">
        <v>45617.508333333331</v>
      </c>
      <c r="C1776" s="286" t="s">
        <v>2100</v>
      </c>
      <c r="D1776" s="286" t="s">
        <v>1105</v>
      </c>
      <c r="E1776" s="286" t="s">
        <v>1106</v>
      </c>
      <c r="F1776" s="286" t="s">
        <v>2233</v>
      </c>
      <c r="G1776" s="286" t="s">
        <v>1049</v>
      </c>
      <c r="H1776" s="286" t="s">
        <v>1049</v>
      </c>
      <c r="I1776" s="286" t="s">
        <v>1199</v>
      </c>
      <c r="J1776" s="286" t="s">
        <v>53</v>
      </c>
      <c r="K1776" s="286" t="s">
        <v>53</v>
      </c>
      <c r="L1776" s="286" t="s">
        <v>53</v>
      </c>
      <c r="M1776" s="286" t="s">
        <v>53</v>
      </c>
      <c r="N1776" s="287">
        <v>224.29</v>
      </c>
      <c r="O1776" s="294">
        <f t="shared" si="27"/>
        <v>45626</v>
      </c>
      <c r="P1776" s="286" t="s">
        <v>58</v>
      </c>
    </row>
    <row r="1777" spans="1:16" hidden="1" x14ac:dyDescent="0.15">
      <c r="A1777" s="286">
        <v>898877</v>
      </c>
      <c r="B1777" s="288">
        <v>45644.552083333336</v>
      </c>
      <c r="C1777" s="286" t="s">
        <v>2098</v>
      </c>
      <c r="D1777" s="286" t="s">
        <v>1105</v>
      </c>
      <c r="E1777" s="286" t="s">
        <v>1106</v>
      </c>
      <c r="F1777" s="286" t="s">
        <v>2234</v>
      </c>
      <c r="G1777" s="286" t="s">
        <v>1049</v>
      </c>
      <c r="H1777" s="286" t="s">
        <v>1049</v>
      </c>
      <c r="I1777" s="286" t="s">
        <v>1199</v>
      </c>
      <c r="J1777" s="286" t="s">
        <v>1312</v>
      </c>
      <c r="K1777" s="286" t="s">
        <v>53</v>
      </c>
      <c r="L1777" s="286" t="s">
        <v>53</v>
      </c>
      <c r="M1777" s="286" t="s">
        <v>53</v>
      </c>
      <c r="N1777" s="287">
        <v>224.29</v>
      </c>
      <c r="O1777" s="294">
        <f t="shared" si="27"/>
        <v>45657</v>
      </c>
      <c r="P1777" s="286" t="s">
        <v>58</v>
      </c>
    </row>
    <row r="1778" spans="1:16" hidden="1" x14ac:dyDescent="0.15">
      <c r="A1778" s="286">
        <v>438112</v>
      </c>
      <c r="B1778" s="288">
        <v>45293.53402777778</v>
      </c>
      <c r="C1778" s="286" t="s">
        <v>2125</v>
      </c>
      <c r="D1778" s="286" t="s">
        <v>1105</v>
      </c>
      <c r="E1778" s="286" t="s">
        <v>1106</v>
      </c>
      <c r="F1778" s="286" t="s">
        <v>2152</v>
      </c>
      <c r="G1778" s="286" t="s">
        <v>1027</v>
      </c>
      <c r="H1778" s="286" t="s">
        <v>1027</v>
      </c>
      <c r="I1778" s="286" t="s">
        <v>1228</v>
      </c>
      <c r="J1778" s="286" t="s">
        <v>1312</v>
      </c>
      <c r="K1778" s="286" t="s">
        <v>2292</v>
      </c>
      <c r="L1778" s="286" t="s">
        <v>53</v>
      </c>
      <c r="M1778" s="286">
        <v>1</v>
      </c>
      <c r="N1778" s="287">
        <v>223.78</v>
      </c>
      <c r="O1778" s="294">
        <f t="shared" si="27"/>
        <v>45322</v>
      </c>
      <c r="P1778" s="286" t="s">
        <v>58</v>
      </c>
    </row>
    <row r="1779" spans="1:16" hidden="1" x14ac:dyDescent="0.15">
      <c r="A1779" s="286">
        <v>847474</v>
      </c>
      <c r="B1779" s="288">
        <v>45607.428472222222</v>
      </c>
      <c r="C1779" s="286" t="s">
        <v>2100</v>
      </c>
      <c r="D1779" s="286" t="s">
        <v>1105</v>
      </c>
      <c r="E1779" s="286" t="s">
        <v>1106</v>
      </c>
      <c r="F1779" s="286" t="s">
        <v>2418</v>
      </c>
      <c r="G1779" s="286" t="s">
        <v>1013</v>
      </c>
      <c r="H1779" s="286" t="s">
        <v>1013</v>
      </c>
      <c r="I1779" s="286" t="s">
        <v>1129</v>
      </c>
      <c r="J1779" s="286" t="s">
        <v>1312</v>
      </c>
      <c r="K1779" s="286" t="s">
        <v>524</v>
      </c>
      <c r="L1779" s="286" t="s">
        <v>1346</v>
      </c>
      <c r="M1779" s="286">
        <v>50</v>
      </c>
      <c r="N1779" s="287">
        <v>223.5</v>
      </c>
      <c r="O1779" s="294">
        <f t="shared" si="27"/>
        <v>45626</v>
      </c>
      <c r="P1779" s="286" t="s">
        <v>164</v>
      </c>
    </row>
    <row r="1780" spans="1:16" hidden="1" x14ac:dyDescent="0.15">
      <c r="A1780" s="286">
        <v>518933</v>
      </c>
      <c r="B1780" s="288">
        <v>45371.527083333334</v>
      </c>
      <c r="C1780" s="286" t="s">
        <v>2109</v>
      </c>
      <c r="D1780" s="286" t="s">
        <v>1105</v>
      </c>
      <c r="E1780" s="286" t="s">
        <v>1106</v>
      </c>
      <c r="F1780" s="286" t="s">
        <v>2246</v>
      </c>
      <c r="G1780" s="286" t="s">
        <v>1349</v>
      </c>
      <c r="H1780" s="286" t="s">
        <v>1349</v>
      </c>
      <c r="I1780" s="286" t="s">
        <v>1129</v>
      </c>
      <c r="J1780" s="286" t="s">
        <v>1312</v>
      </c>
      <c r="K1780" s="286" t="s">
        <v>526</v>
      </c>
      <c r="L1780" s="286" t="s">
        <v>1360</v>
      </c>
      <c r="M1780" s="286">
        <v>48</v>
      </c>
      <c r="N1780" s="287">
        <v>220.8</v>
      </c>
      <c r="O1780" s="294">
        <f t="shared" si="27"/>
        <v>45382</v>
      </c>
      <c r="P1780" s="286" t="s">
        <v>164</v>
      </c>
    </row>
    <row r="1781" spans="1:16" hidden="1" x14ac:dyDescent="0.15">
      <c r="A1781" s="286">
        <v>547605</v>
      </c>
      <c r="B1781" s="288">
        <v>45398.661805555559</v>
      </c>
      <c r="C1781" s="286" t="s">
        <v>2096</v>
      </c>
      <c r="D1781" s="286" t="s">
        <v>1105</v>
      </c>
      <c r="E1781" s="286" t="s">
        <v>1106</v>
      </c>
      <c r="F1781" s="286" t="s">
        <v>2423</v>
      </c>
      <c r="G1781" s="286" t="s">
        <v>1349</v>
      </c>
      <c r="H1781" s="286" t="s">
        <v>1349</v>
      </c>
      <c r="I1781" s="286" t="s">
        <v>1129</v>
      </c>
      <c r="J1781" s="286" t="s">
        <v>1312</v>
      </c>
      <c r="K1781" s="286" t="s">
        <v>526</v>
      </c>
      <c r="L1781" s="286" t="s">
        <v>1360</v>
      </c>
      <c r="M1781" s="286">
        <v>48</v>
      </c>
      <c r="N1781" s="287">
        <v>220.8</v>
      </c>
      <c r="O1781" s="294">
        <f t="shared" si="27"/>
        <v>45412</v>
      </c>
      <c r="P1781" s="286" t="s">
        <v>164</v>
      </c>
    </row>
    <row r="1782" spans="1:16" hidden="1" x14ac:dyDescent="0.15">
      <c r="A1782" s="286">
        <v>518933</v>
      </c>
      <c r="B1782" s="288">
        <v>45371.527083333334</v>
      </c>
      <c r="C1782" s="286" t="s">
        <v>2109</v>
      </c>
      <c r="D1782" s="286" t="s">
        <v>1105</v>
      </c>
      <c r="E1782" s="286" t="s">
        <v>1106</v>
      </c>
      <c r="F1782" s="286" t="s">
        <v>2246</v>
      </c>
      <c r="G1782" s="286" t="s">
        <v>1349</v>
      </c>
      <c r="H1782" s="286" t="s">
        <v>1349</v>
      </c>
      <c r="I1782" s="286" t="s">
        <v>1129</v>
      </c>
      <c r="J1782" s="286" t="s">
        <v>1312</v>
      </c>
      <c r="K1782" s="286" t="s">
        <v>524</v>
      </c>
      <c r="L1782" s="286" t="s">
        <v>1346</v>
      </c>
      <c r="M1782" s="286">
        <v>48</v>
      </c>
      <c r="N1782" s="287">
        <v>214.56</v>
      </c>
      <c r="O1782" s="294">
        <f t="shared" si="27"/>
        <v>45382</v>
      </c>
      <c r="P1782" s="286" t="s">
        <v>164</v>
      </c>
    </row>
    <row r="1783" spans="1:16" hidden="1" x14ac:dyDescent="0.15">
      <c r="A1783" s="286">
        <v>547605</v>
      </c>
      <c r="B1783" s="288">
        <v>45398.661805555559</v>
      </c>
      <c r="C1783" s="286" t="s">
        <v>2096</v>
      </c>
      <c r="D1783" s="286" t="s">
        <v>1105</v>
      </c>
      <c r="E1783" s="286" t="s">
        <v>1106</v>
      </c>
      <c r="F1783" s="286" t="s">
        <v>2423</v>
      </c>
      <c r="G1783" s="286" t="s">
        <v>1349</v>
      </c>
      <c r="H1783" s="286" t="s">
        <v>1349</v>
      </c>
      <c r="I1783" s="286" t="s">
        <v>1129</v>
      </c>
      <c r="J1783" s="286" t="s">
        <v>1312</v>
      </c>
      <c r="K1783" s="286" t="s">
        <v>524</v>
      </c>
      <c r="L1783" s="286" t="s">
        <v>1346</v>
      </c>
      <c r="M1783" s="286">
        <v>48</v>
      </c>
      <c r="N1783" s="287">
        <v>214.56</v>
      </c>
      <c r="O1783" s="294">
        <f t="shared" si="27"/>
        <v>45412</v>
      </c>
      <c r="P1783" s="286" t="s">
        <v>164</v>
      </c>
    </row>
    <row r="1784" spans="1:16" hidden="1" x14ac:dyDescent="0.15">
      <c r="A1784" s="286">
        <v>614316</v>
      </c>
      <c r="B1784" s="288">
        <v>45455.717361111114</v>
      </c>
      <c r="C1784" s="286" t="s">
        <v>2092</v>
      </c>
      <c r="D1784" s="286" t="s">
        <v>1105</v>
      </c>
      <c r="E1784" s="286" t="s">
        <v>1106</v>
      </c>
      <c r="F1784" s="286" t="s">
        <v>2167</v>
      </c>
      <c r="G1784" s="286" t="s">
        <v>1838</v>
      </c>
      <c r="H1784" s="286" t="s">
        <v>1838</v>
      </c>
      <c r="I1784" s="286" t="s">
        <v>1228</v>
      </c>
      <c r="J1784" s="286" t="s">
        <v>1312</v>
      </c>
      <c r="K1784" s="286" t="s">
        <v>2365</v>
      </c>
      <c r="L1784" s="286" t="s">
        <v>672</v>
      </c>
      <c r="M1784" s="286">
        <v>1</v>
      </c>
      <c r="N1784" s="287">
        <v>210.37</v>
      </c>
      <c r="O1784" s="294">
        <f t="shared" si="27"/>
        <v>45473</v>
      </c>
      <c r="P1784" s="286" t="s">
        <v>58</v>
      </c>
    </row>
    <row r="1785" spans="1:16" hidden="1" x14ac:dyDescent="0.15">
      <c r="A1785" s="286">
        <v>438112</v>
      </c>
      <c r="B1785" s="288">
        <v>45293.53402777778</v>
      </c>
      <c r="C1785" s="286" t="s">
        <v>2125</v>
      </c>
      <c r="D1785" s="286" t="s">
        <v>1105</v>
      </c>
      <c r="E1785" s="286" t="s">
        <v>1106</v>
      </c>
      <c r="F1785" s="286" t="s">
        <v>2152</v>
      </c>
      <c r="G1785" s="286" t="s">
        <v>1049</v>
      </c>
      <c r="H1785" s="286" t="s">
        <v>1049</v>
      </c>
      <c r="I1785" s="286" t="s">
        <v>1199</v>
      </c>
      <c r="J1785" s="286" t="s">
        <v>53</v>
      </c>
      <c r="K1785" s="286" t="s">
        <v>53</v>
      </c>
      <c r="L1785" s="286" t="s">
        <v>53</v>
      </c>
      <c r="M1785" s="286" t="s">
        <v>53</v>
      </c>
      <c r="N1785" s="287">
        <v>209.27</v>
      </c>
      <c r="O1785" s="294">
        <f t="shared" si="27"/>
        <v>45322</v>
      </c>
      <c r="P1785" s="286" t="s">
        <v>58</v>
      </c>
    </row>
    <row r="1786" spans="1:16" hidden="1" x14ac:dyDescent="0.15">
      <c r="A1786" s="286">
        <v>472168</v>
      </c>
      <c r="B1786" s="288">
        <v>45331.416666666664</v>
      </c>
      <c r="C1786" s="286" t="s">
        <v>2113</v>
      </c>
      <c r="D1786" s="286" t="s">
        <v>1105</v>
      </c>
      <c r="E1786" s="286" t="s">
        <v>1106</v>
      </c>
      <c r="F1786" s="286" t="s">
        <v>2153</v>
      </c>
      <c r="G1786" s="286" t="s">
        <v>1049</v>
      </c>
      <c r="H1786" s="286" t="s">
        <v>1049</v>
      </c>
      <c r="I1786" s="286" t="s">
        <v>1199</v>
      </c>
      <c r="J1786" s="286" t="s">
        <v>53</v>
      </c>
      <c r="K1786" s="286" t="s">
        <v>53</v>
      </c>
      <c r="L1786" s="286" t="s">
        <v>53</v>
      </c>
      <c r="M1786" s="286" t="s">
        <v>53</v>
      </c>
      <c r="N1786" s="287">
        <v>209.27</v>
      </c>
      <c r="O1786" s="294">
        <f t="shared" si="27"/>
        <v>45351</v>
      </c>
      <c r="P1786" s="286" t="s">
        <v>58</v>
      </c>
    </row>
    <row r="1787" spans="1:16" hidden="1" x14ac:dyDescent="0.15">
      <c r="A1787" s="286">
        <v>504817</v>
      </c>
      <c r="B1787" s="288">
        <v>45359.645138888889</v>
      </c>
      <c r="C1787" s="286" t="s">
        <v>2109</v>
      </c>
      <c r="D1787" s="286" t="s">
        <v>1105</v>
      </c>
      <c r="E1787" s="286" t="s">
        <v>1106</v>
      </c>
      <c r="F1787" s="286" t="s">
        <v>2154</v>
      </c>
      <c r="G1787" s="286" t="s">
        <v>1049</v>
      </c>
      <c r="H1787" s="286" t="s">
        <v>1049</v>
      </c>
      <c r="I1787" s="286" t="s">
        <v>1199</v>
      </c>
      <c r="J1787" s="286" t="s">
        <v>53</v>
      </c>
      <c r="K1787" s="286" t="s">
        <v>53</v>
      </c>
      <c r="L1787" s="286" t="s">
        <v>53</v>
      </c>
      <c r="M1787" s="286" t="s">
        <v>53</v>
      </c>
      <c r="N1787" s="287">
        <v>209.26</v>
      </c>
      <c r="O1787" s="294">
        <f t="shared" si="27"/>
        <v>45382</v>
      </c>
      <c r="P1787" s="286" t="s">
        <v>58</v>
      </c>
    </row>
    <row r="1788" spans="1:16" hidden="1" x14ac:dyDescent="0.15">
      <c r="A1788" s="286">
        <v>547605</v>
      </c>
      <c r="B1788" s="288">
        <v>45398.661805555559</v>
      </c>
      <c r="C1788" s="286" t="s">
        <v>2096</v>
      </c>
      <c r="D1788" s="286" t="s">
        <v>1105</v>
      </c>
      <c r="E1788" s="286" t="s">
        <v>1106</v>
      </c>
      <c r="F1788" s="286" t="s">
        <v>2423</v>
      </c>
      <c r="G1788" s="286" t="s">
        <v>1349</v>
      </c>
      <c r="H1788" s="286" t="s">
        <v>1349</v>
      </c>
      <c r="I1788" s="286" t="s">
        <v>1129</v>
      </c>
      <c r="J1788" s="286" t="s">
        <v>1312</v>
      </c>
      <c r="K1788" s="286" t="s">
        <v>1321</v>
      </c>
      <c r="L1788" s="286" t="s">
        <v>1322</v>
      </c>
      <c r="M1788" s="286">
        <v>18</v>
      </c>
      <c r="N1788" s="287">
        <v>206.28</v>
      </c>
      <c r="O1788" s="294">
        <f t="shared" si="27"/>
        <v>45412</v>
      </c>
      <c r="P1788" s="286" t="s">
        <v>164</v>
      </c>
    </row>
    <row r="1789" spans="1:16" hidden="1" x14ac:dyDescent="0.15">
      <c r="A1789" s="286">
        <v>472168</v>
      </c>
      <c r="B1789" s="288">
        <v>45331.416666666664</v>
      </c>
      <c r="C1789" s="286" t="s">
        <v>2113</v>
      </c>
      <c r="D1789" s="286" t="s">
        <v>1105</v>
      </c>
      <c r="E1789" s="286" t="s">
        <v>1106</v>
      </c>
      <c r="F1789" s="286" t="s">
        <v>2153</v>
      </c>
      <c r="G1789" s="286" t="s">
        <v>1044</v>
      </c>
      <c r="H1789" s="286" t="s">
        <v>1044</v>
      </c>
      <c r="I1789" s="286" t="s">
        <v>1152</v>
      </c>
      <c r="J1789" s="286" t="s">
        <v>53</v>
      </c>
      <c r="K1789" s="286" t="s">
        <v>53</v>
      </c>
      <c r="L1789" s="286" t="s">
        <v>53</v>
      </c>
      <c r="M1789" s="286" t="s">
        <v>53</v>
      </c>
      <c r="N1789" s="287">
        <v>203.3</v>
      </c>
      <c r="O1789" s="294">
        <f t="shared" si="27"/>
        <v>45351</v>
      </c>
      <c r="P1789" s="286" t="s">
        <v>58</v>
      </c>
    </row>
    <row r="1790" spans="1:16" hidden="1" x14ac:dyDescent="0.15">
      <c r="A1790" s="286">
        <v>534207</v>
      </c>
      <c r="B1790" s="288">
        <v>45385.750694444447</v>
      </c>
      <c r="C1790" s="286" t="s">
        <v>2096</v>
      </c>
      <c r="D1790" s="286" t="s">
        <v>1105</v>
      </c>
      <c r="E1790" s="286" t="s">
        <v>1106</v>
      </c>
      <c r="F1790" s="286" t="s">
        <v>2155</v>
      </c>
      <c r="G1790" s="286" t="s">
        <v>1049</v>
      </c>
      <c r="H1790" s="286" t="s">
        <v>1049</v>
      </c>
      <c r="I1790" s="286" t="s">
        <v>1199</v>
      </c>
      <c r="J1790" s="286" t="s">
        <v>53</v>
      </c>
      <c r="K1790" s="286" t="s">
        <v>53</v>
      </c>
      <c r="L1790" s="286" t="s">
        <v>53</v>
      </c>
      <c r="M1790" s="286" t="s">
        <v>53</v>
      </c>
      <c r="N1790" s="287">
        <v>198.98</v>
      </c>
      <c r="O1790" s="294">
        <f t="shared" si="27"/>
        <v>45412</v>
      </c>
      <c r="P1790" s="286" t="s">
        <v>58</v>
      </c>
    </row>
    <row r="1791" spans="1:16" hidden="1" x14ac:dyDescent="0.15">
      <c r="A1791" s="286">
        <v>778470</v>
      </c>
      <c r="B1791" s="288">
        <v>45555.450694444444</v>
      </c>
      <c r="C1791" s="286" t="s">
        <v>2132</v>
      </c>
      <c r="D1791" s="286" t="s">
        <v>1105</v>
      </c>
      <c r="E1791" s="286" t="s">
        <v>1106</v>
      </c>
      <c r="F1791" s="286" t="s">
        <v>2346</v>
      </c>
      <c r="G1791" s="286" t="s">
        <v>1011</v>
      </c>
      <c r="H1791" s="286" t="s">
        <v>1011</v>
      </c>
      <c r="I1791" s="286" t="s">
        <v>1129</v>
      </c>
      <c r="J1791" s="286" t="s">
        <v>1312</v>
      </c>
      <c r="K1791" s="286" t="s">
        <v>1321</v>
      </c>
      <c r="L1791" s="286" t="s">
        <v>1322</v>
      </c>
      <c r="M1791" s="286">
        <v>12</v>
      </c>
      <c r="N1791" s="287">
        <v>196.08</v>
      </c>
      <c r="O1791" s="294">
        <f t="shared" si="27"/>
        <v>45565</v>
      </c>
      <c r="P1791" s="286" t="s">
        <v>164</v>
      </c>
    </row>
    <row r="1792" spans="1:16" hidden="1" x14ac:dyDescent="0.15">
      <c r="A1792" s="286">
        <v>464905</v>
      </c>
      <c r="B1792" s="288">
        <v>45323.521527777775</v>
      </c>
      <c r="C1792" s="286" t="s">
        <v>2125</v>
      </c>
      <c r="D1792" s="286" t="s">
        <v>1105</v>
      </c>
      <c r="E1792" s="286" t="s">
        <v>1106</v>
      </c>
      <c r="F1792" s="286" t="s">
        <v>2212</v>
      </c>
      <c r="G1792" s="286" t="s">
        <v>1047</v>
      </c>
      <c r="H1792" s="286" t="s">
        <v>1047</v>
      </c>
      <c r="I1792" s="286" t="s">
        <v>1301</v>
      </c>
      <c r="J1792" s="286" t="s">
        <v>1312</v>
      </c>
      <c r="K1792" s="286" t="s">
        <v>56</v>
      </c>
      <c r="L1792" s="286" t="s">
        <v>71</v>
      </c>
      <c r="M1792" s="286">
        <v>1</v>
      </c>
      <c r="N1792" s="287">
        <v>173</v>
      </c>
      <c r="O1792" s="294">
        <f t="shared" si="27"/>
        <v>45351</v>
      </c>
      <c r="P1792" s="286" t="s">
        <v>55</v>
      </c>
    </row>
    <row r="1793" spans="1:16" hidden="1" x14ac:dyDescent="0.15">
      <c r="A1793" s="286">
        <v>530286</v>
      </c>
      <c r="B1793" s="288">
        <v>45383.563194444447</v>
      </c>
      <c r="C1793" s="286" t="s">
        <v>2109</v>
      </c>
      <c r="D1793" s="286" t="s">
        <v>1105</v>
      </c>
      <c r="E1793" s="286" t="s">
        <v>1106</v>
      </c>
      <c r="F1793" s="286" t="s">
        <v>2400</v>
      </c>
      <c r="G1793" s="286" t="s">
        <v>1349</v>
      </c>
      <c r="H1793" s="286" t="s">
        <v>1349</v>
      </c>
      <c r="I1793" s="286" t="s">
        <v>1129</v>
      </c>
      <c r="J1793" s="286" t="s">
        <v>1312</v>
      </c>
      <c r="K1793" s="286" t="s">
        <v>530</v>
      </c>
      <c r="L1793" s="286" t="s">
        <v>531</v>
      </c>
      <c r="M1793" s="286">
        <v>50</v>
      </c>
      <c r="N1793" s="287">
        <v>169</v>
      </c>
      <c r="O1793" s="294">
        <f t="shared" si="27"/>
        <v>45412</v>
      </c>
      <c r="P1793" s="286" t="s">
        <v>164</v>
      </c>
    </row>
    <row r="1794" spans="1:16" hidden="1" x14ac:dyDescent="0.15">
      <c r="A1794" s="286">
        <v>543430</v>
      </c>
      <c r="B1794" s="288">
        <v>45394.39166666667</v>
      </c>
      <c r="C1794" s="286" t="s">
        <v>2096</v>
      </c>
      <c r="D1794" s="286" t="s">
        <v>1105</v>
      </c>
      <c r="E1794" s="286" t="s">
        <v>1106</v>
      </c>
      <c r="F1794" s="286" t="s">
        <v>2424</v>
      </c>
      <c r="G1794" s="286" t="s">
        <v>1349</v>
      </c>
      <c r="H1794" s="286" t="s">
        <v>1349</v>
      </c>
      <c r="I1794" s="286" t="s">
        <v>1129</v>
      </c>
      <c r="J1794" s="286" t="s">
        <v>1312</v>
      </c>
      <c r="K1794" s="286" t="s">
        <v>530</v>
      </c>
      <c r="L1794" s="286" t="s">
        <v>531</v>
      </c>
      <c r="M1794" s="286">
        <v>50</v>
      </c>
      <c r="N1794" s="287">
        <v>169</v>
      </c>
      <c r="O1794" s="294">
        <f t="shared" si="27"/>
        <v>45412</v>
      </c>
      <c r="P1794" s="286" t="s">
        <v>164</v>
      </c>
    </row>
    <row r="1795" spans="1:16" hidden="1" x14ac:dyDescent="0.15">
      <c r="A1795" s="286">
        <v>438112</v>
      </c>
      <c r="B1795" s="288">
        <v>45293.53402777778</v>
      </c>
      <c r="C1795" s="286" t="s">
        <v>2125</v>
      </c>
      <c r="D1795" s="286" t="s">
        <v>1105</v>
      </c>
      <c r="E1795" s="286" t="s">
        <v>1106</v>
      </c>
      <c r="F1795" s="286" t="s">
        <v>2152</v>
      </c>
      <c r="G1795" s="286" t="s">
        <v>1838</v>
      </c>
      <c r="H1795" s="286" t="s">
        <v>1838</v>
      </c>
      <c r="I1795" s="286" t="s">
        <v>1228</v>
      </c>
      <c r="J1795" s="286" t="s">
        <v>53</v>
      </c>
      <c r="K1795" s="286" t="s">
        <v>53</v>
      </c>
      <c r="L1795" s="286" t="s">
        <v>53</v>
      </c>
      <c r="M1795" s="286" t="s">
        <v>53</v>
      </c>
      <c r="N1795" s="287">
        <v>161.32</v>
      </c>
      <c r="O1795" s="294">
        <f t="shared" si="27"/>
        <v>45322</v>
      </c>
      <c r="P1795" s="286" t="s">
        <v>58</v>
      </c>
    </row>
    <row r="1796" spans="1:16" hidden="1" x14ac:dyDescent="0.15">
      <c r="A1796" s="286">
        <v>472168</v>
      </c>
      <c r="B1796" s="288">
        <v>45331.416666666664</v>
      </c>
      <c r="C1796" s="286" t="s">
        <v>2113</v>
      </c>
      <c r="D1796" s="286" t="s">
        <v>1105</v>
      </c>
      <c r="E1796" s="286" t="s">
        <v>1106</v>
      </c>
      <c r="F1796" s="286" t="s">
        <v>2153</v>
      </c>
      <c r="G1796" s="286" t="s">
        <v>1838</v>
      </c>
      <c r="H1796" s="286" t="s">
        <v>1838</v>
      </c>
      <c r="I1796" s="286" t="s">
        <v>1228</v>
      </c>
      <c r="J1796" s="286" t="s">
        <v>53</v>
      </c>
      <c r="K1796" s="286" t="s">
        <v>53</v>
      </c>
      <c r="L1796" s="286" t="s">
        <v>53</v>
      </c>
      <c r="M1796" s="286" t="s">
        <v>53</v>
      </c>
      <c r="N1796" s="287">
        <v>161.32</v>
      </c>
      <c r="O1796" s="294">
        <f t="shared" ref="O1796:O1859" si="28">EOMONTH(B1796,0)</f>
        <v>45351</v>
      </c>
      <c r="P1796" s="286" t="s">
        <v>58</v>
      </c>
    </row>
    <row r="1797" spans="1:16" hidden="1" x14ac:dyDescent="0.15">
      <c r="A1797" s="286">
        <v>504817</v>
      </c>
      <c r="B1797" s="288">
        <v>45359.645138888889</v>
      </c>
      <c r="C1797" s="286" t="s">
        <v>2109</v>
      </c>
      <c r="D1797" s="286" t="s">
        <v>1105</v>
      </c>
      <c r="E1797" s="286" t="s">
        <v>1106</v>
      </c>
      <c r="F1797" s="286" t="s">
        <v>2154</v>
      </c>
      <c r="G1797" s="286" t="s">
        <v>1838</v>
      </c>
      <c r="H1797" s="286" t="s">
        <v>1838</v>
      </c>
      <c r="I1797" s="286" t="s">
        <v>1228</v>
      </c>
      <c r="J1797" s="286" t="s">
        <v>53</v>
      </c>
      <c r="K1797" s="286" t="s">
        <v>53</v>
      </c>
      <c r="L1797" s="286" t="s">
        <v>53</v>
      </c>
      <c r="M1797" s="286" t="s">
        <v>53</v>
      </c>
      <c r="N1797" s="287">
        <v>161.32</v>
      </c>
      <c r="O1797" s="294">
        <f t="shared" si="28"/>
        <v>45382</v>
      </c>
      <c r="P1797" s="286" t="s">
        <v>58</v>
      </c>
    </row>
    <row r="1798" spans="1:16" hidden="1" x14ac:dyDescent="0.15">
      <c r="A1798" s="286">
        <v>534207</v>
      </c>
      <c r="B1798" s="288">
        <v>45385.750694444447</v>
      </c>
      <c r="C1798" s="286" t="s">
        <v>2096</v>
      </c>
      <c r="D1798" s="286" t="s">
        <v>1105</v>
      </c>
      <c r="E1798" s="286" t="s">
        <v>1106</v>
      </c>
      <c r="F1798" s="286" t="s">
        <v>2155</v>
      </c>
      <c r="G1798" s="286" t="s">
        <v>1838</v>
      </c>
      <c r="H1798" s="286" t="s">
        <v>1838</v>
      </c>
      <c r="I1798" s="286" t="s">
        <v>1228</v>
      </c>
      <c r="J1798" s="286" t="s">
        <v>53</v>
      </c>
      <c r="K1798" s="286" t="s">
        <v>53</v>
      </c>
      <c r="L1798" s="286" t="s">
        <v>53</v>
      </c>
      <c r="M1798" s="286" t="s">
        <v>53</v>
      </c>
      <c r="N1798" s="287">
        <v>161.32</v>
      </c>
      <c r="O1798" s="294">
        <f t="shared" si="28"/>
        <v>45412</v>
      </c>
      <c r="P1798" s="286" t="s">
        <v>58</v>
      </c>
    </row>
    <row r="1799" spans="1:16" hidden="1" x14ac:dyDescent="0.15">
      <c r="A1799" s="286">
        <v>614216</v>
      </c>
      <c r="B1799" s="288">
        <v>45455.716666666667</v>
      </c>
      <c r="C1799" s="286" t="s">
        <v>2116</v>
      </c>
      <c r="D1799" s="286" t="s">
        <v>1105</v>
      </c>
      <c r="E1799" s="286" t="s">
        <v>1106</v>
      </c>
      <c r="F1799" s="286" t="s">
        <v>2156</v>
      </c>
      <c r="G1799" s="286" t="s">
        <v>1838</v>
      </c>
      <c r="H1799" s="286" t="s">
        <v>1838</v>
      </c>
      <c r="I1799" s="286" t="s">
        <v>1228</v>
      </c>
      <c r="J1799" s="286" t="s">
        <v>53</v>
      </c>
      <c r="K1799" s="286" t="s">
        <v>53</v>
      </c>
      <c r="L1799" s="286" t="s">
        <v>53</v>
      </c>
      <c r="M1799" s="286" t="s">
        <v>53</v>
      </c>
      <c r="N1799" s="287">
        <v>161.32</v>
      </c>
      <c r="O1799" s="294">
        <f t="shared" si="28"/>
        <v>45473</v>
      </c>
      <c r="P1799" s="286" t="s">
        <v>58</v>
      </c>
    </row>
    <row r="1800" spans="1:16" hidden="1" x14ac:dyDescent="0.15">
      <c r="A1800" s="286">
        <v>706328</v>
      </c>
      <c r="B1800" s="288">
        <v>45513.59375</v>
      </c>
      <c r="C1800" s="286" t="s">
        <v>2102</v>
      </c>
      <c r="D1800" s="286" t="s">
        <v>1105</v>
      </c>
      <c r="E1800" s="286" t="s">
        <v>1106</v>
      </c>
      <c r="F1800" s="286" t="s">
        <v>2356</v>
      </c>
      <c r="G1800" s="286" t="s">
        <v>2425</v>
      </c>
      <c r="H1800" s="286" t="s">
        <v>2425</v>
      </c>
      <c r="I1800" s="286" t="s">
        <v>1129</v>
      </c>
      <c r="J1800" s="286" t="s">
        <v>1312</v>
      </c>
      <c r="K1800" s="286" t="s">
        <v>167</v>
      </c>
      <c r="L1800" s="286" t="s">
        <v>1328</v>
      </c>
      <c r="M1800" s="286">
        <v>1</v>
      </c>
      <c r="N1800" s="287">
        <v>158.83000000000001</v>
      </c>
      <c r="O1800" s="294">
        <f t="shared" si="28"/>
        <v>45535</v>
      </c>
      <c r="P1800" s="286" t="s">
        <v>164</v>
      </c>
    </row>
    <row r="1801" spans="1:16" hidden="1" x14ac:dyDescent="0.15">
      <c r="A1801" s="286">
        <v>714130</v>
      </c>
      <c r="B1801" s="288">
        <v>45518.59097222222</v>
      </c>
      <c r="C1801" s="286" t="s">
        <v>2102</v>
      </c>
      <c r="D1801" s="286" t="s">
        <v>1105</v>
      </c>
      <c r="E1801" s="286" t="s">
        <v>1106</v>
      </c>
      <c r="F1801" s="286" t="s">
        <v>2286</v>
      </c>
      <c r="G1801" s="286" t="s">
        <v>1349</v>
      </c>
      <c r="H1801" s="286" t="s">
        <v>1349</v>
      </c>
      <c r="I1801" s="286" t="s">
        <v>1129</v>
      </c>
      <c r="J1801" s="286" t="s">
        <v>1312</v>
      </c>
      <c r="K1801" s="286" t="s">
        <v>167</v>
      </c>
      <c r="L1801" s="286" t="s">
        <v>1328</v>
      </c>
      <c r="M1801" s="286">
        <v>1</v>
      </c>
      <c r="N1801" s="287">
        <v>158.83000000000001</v>
      </c>
      <c r="O1801" s="294">
        <f t="shared" si="28"/>
        <v>45535</v>
      </c>
      <c r="P1801" s="286" t="s">
        <v>164</v>
      </c>
    </row>
    <row r="1802" spans="1:16" hidden="1" x14ac:dyDescent="0.15">
      <c r="A1802" s="286">
        <v>848817</v>
      </c>
      <c r="B1802" s="288">
        <v>45607.65902777778</v>
      </c>
      <c r="C1802" s="286" t="s">
        <v>2130</v>
      </c>
      <c r="D1802" s="286" t="s">
        <v>1105</v>
      </c>
      <c r="E1802" s="286" t="s">
        <v>1106</v>
      </c>
      <c r="F1802" s="286" t="s">
        <v>2140</v>
      </c>
      <c r="G1802" s="286" t="s">
        <v>1349</v>
      </c>
      <c r="H1802" s="286" t="s">
        <v>1349</v>
      </c>
      <c r="I1802" s="286" t="s">
        <v>1129</v>
      </c>
      <c r="J1802" s="286" t="s">
        <v>1312</v>
      </c>
      <c r="K1802" s="286" t="s">
        <v>167</v>
      </c>
      <c r="L1802" s="286" t="s">
        <v>1328</v>
      </c>
      <c r="M1802" s="286">
        <v>1</v>
      </c>
      <c r="N1802" s="287">
        <v>158.83000000000001</v>
      </c>
      <c r="O1802" s="294">
        <f t="shared" si="28"/>
        <v>45626</v>
      </c>
      <c r="P1802" s="286" t="s">
        <v>164</v>
      </c>
    </row>
    <row r="1803" spans="1:16" hidden="1" x14ac:dyDescent="0.15">
      <c r="A1803" s="286">
        <v>504817</v>
      </c>
      <c r="B1803" s="288">
        <v>45359.645138888889</v>
      </c>
      <c r="C1803" s="286" t="s">
        <v>2109</v>
      </c>
      <c r="D1803" s="286" t="s">
        <v>1105</v>
      </c>
      <c r="E1803" s="286" t="s">
        <v>1106</v>
      </c>
      <c r="F1803" s="286" t="s">
        <v>2154</v>
      </c>
      <c r="G1803" s="286" t="s">
        <v>1051</v>
      </c>
      <c r="H1803" s="286" t="s">
        <v>1051</v>
      </c>
      <c r="I1803" s="286" t="s">
        <v>1129</v>
      </c>
      <c r="J1803" s="286" t="s">
        <v>1312</v>
      </c>
      <c r="K1803" s="286" t="s">
        <v>2426</v>
      </c>
      <c r="L1803" s="286" t="s">
        <v>2427</v>
      </c>
      <c r="M1803" s="286">
        <v>12</v>
      </c>
      <c r="N1803" s="287">
        <v>157.56</v>
      </c>
      <c r="O1803" s="294">
        <f t="shared" si="28"/>
        <v>45382</v>
      </c>
      <c r="P1803" s="286" t="s">
        <v>164</v>
      </c>
    </row>
    <row r="1804" spans="1:16" hidden="1" x14ac:dyDescent="0.15">
      <c r="A1804" s="286">
        <v>827675</v>
      </c>
      <c r="B1804" s="288">
        <v>45590.5</v>
      </c>
      <c r="C1804" s="286" t="s">
        <v>2130</v>
      </c>
      <c r="D1804" s="286" t="s">
        <v>1105</v>
      </c>
      <c r="E1804" s="286" t="s">
        <v>1106</v>
      </c>
      <c r="F1804" s="286" t="s">
        <v>2422</v>
      </c>
      <c r="G1804" s="286" t="s">
        <v>1017</v>
      </c>
      <c r="H1804" s="286" t="s">
        <v>1017</v>
      </c>
      <c r="I1804" s="286" t="s">
        <v>1129</v>
      </c>
      <c r="J1804" s="286" t="s">
        <v>1312</v>
      </c>
      <c r="K1804" s="286" t="s">
        <v>2428</v>
      </c>
      <c r="L1804" s="286" t="s">
        <v>2429</v>
      </c>
      <c r="M1804" s="286">
        <v>1</v>
      </c>
      <c r="N1804" s="287">
        <v>147.80000000000001</v>
      </c>
      <c r="O1804" s="294">
        <f t="shared" si="28"/>
        <v>45596</v>
      </c>
      <c r="P1804" s="286" t="s">
        <v>164</v>
      </c>
    </row>
    <row r="1805" spans="1:16" hidden="1" x14ac:dyDescent="0.15">
      <c r="A1805" s="286">
        <v>504817</v>
      </c>
      <c r="B1805" s="288">
        <v>45359.645138888889</v>
      </c>
      <c r="C1805" s="286" t="s">
        <v>2109</v>
      </c>
      <c r="D1805" s="286" t="s">
        <v>1105</v>
      </c>
      <c r="E1805" s="286" t="s">
        <v>1106</v>
      </c>
      <c r="F1805" s="286" t="s">
        <v>2154</v>
      </c>
      <c r="G1805" s="286" t="s">
        <v>1012</v>
      </c>
      <c r="H1805" s="286" t="s">
        <v>1012</v>
      </c>
      <c r="I1805" s="286" t="s">
        <v>1199</v>
      </c>
      <c r="J1805" s="286" t="s">
        <v>53</v>
      </c>
      <c r="K1805" s="286" t="s">
        <v>53</v>
      </c>
      <c r="L1805" s="286" t="s">
        <v>53</v>
      </c>
      <c r="M1805" s="286" t="s">
        <v>53</v>
      </c>
      <c r="N1805" s="287">
        <v>140.35</v>
      </c>
      <c r="O1805" s="294">
        <f t="shared" si="28"/>
        <v>45382</v>
      </c>
      <c r="P1805" s="286" t="s">
        <v>58</v>
      </c>
    </row>
    <row r="1806" spans="1:16" hidden="1" x14ac:dyDescent="0.15">
      <c r="A1806" s="286">
        <v>438112</v>
      </c>
      <c r="B1806" s="288">
        <v>45293.53402777778</v>
      </c>
      <c r="C1806" s="286" t="s">
        <v>2125</v>
      </c>
      <c r="D1806" s="286" t="s">
        <v>1105</v>
      </c>
      <c r="E1806" s="286" t="s">
        <v>1106</v>
      </c>
      <c r="F1806" s="286" t="s">
        <v>2152</v>
      </c>
      <c r="G1806" s="286" t="s">
        <v>1005</v>
      </c>
      <c r="H1806" s="286" t="s">
        <v>1005</v>
      </c>
      <c r="I1806" s="286" t="s">
        <v>1199</v>
      </c>
      <c r="J1806" s="286" t="s">
        <v>53</v>
      </c>
      <c r="K1806" s="286" t="s">
        <v>53</v>
      </c>
      <c r="L1806" s="286" t="s">
        <v>53</v>
      </c>
      <c r="M1806" s="286" t="s">
        <v>53</v>
      </c>
      <c r="N1806" s="287">
        <v>132.24</v>
      </c>
      <c r="O1806" s="294">
        <f t="shared" si="28"/>
        <v>45322</v>
      </c>
      <c r="P1806" s="286" t="s">
        <v>58</v>
      </c>
    </row>
    <row r="1807" spans="1:16" hidden="1" x14ac:dyDescent="0.15">
      <c r="A1807" s="286">
        <v>608480</v>
      </c>
      <c r="B1807" s="288">
        <v>45450.422222222223</v>
      </c>
      <c r="C1807" s="286" t="s">
        <v>2092</v>
      </c>
      <c r="D1807" s="286" t="s">
        <v>1105</v>
      </c>
      <c r="E1807" s="286" t="s">
        <v>1106</v>
      </c>
      <c r="F1807" s="286" t="s">
        <v>2157</v>
      </c>
      <c r="G1807" s="286" t="s">
        <v>1838</v>
      </c>
      <c r="H1807" s="286" t="s">
        <v>1838</v>
      </c>
      <c r="I1807" s="286" t="s">
        <v>1228</v>
      </c>
      <c r="J1807" s="286" t="s">
        <v>53</v>
      </c>
      <c r="K1807" s="286" t="s">
        <v>53</v>
      </c>
      <c r="L1807" s="286" t="s">
        <v>53</v>
      </c>
      <c r="M1807" s="286" t="s">
        <v>53</v>
      </c>
      <c r="N1807" s="287">
        <v>132.07</v>
      </c>
      <c r="O1807" s="294">
        <f t="shared" si="28"/>
        <v>45473</v>
      </c>
      <c r="P1807" s="286" t="s">
        <v>58</v>
      </c>
    </row>
    <row r="1808" spans="1:16" hidden="1" x14ac:dyDescent="0.15">
      <c r="A1808" s="286">
        <v>453975</v>
      </c>
      <c r="B1808" s="288">
        <v>45309.636111111111</v>
      </c>
      <c r="C1808" s="286" t="s">
        <v>2125</v>
      </c>
      <c r="D1808" s="286" t="s">
        <v>1105</v>
      </c>
      <c r="E1808" s="286" t="s">
        <v>1106</v>
      </c>
      <c r="F1808" s="286" t="s">
        <v>2333</v>
      </c>
      <c r="G1808" s="286" t="s">
        <v>1831</v>
      </c>
      <c r="H1808" s="286" t="s">
        <v>1831</v>
      </c>
      <c r="I1808" s="286" t="s">
        <v>1129</v>
      </c>
      <c r="J1808" s="286" t="s">
        <v>1312</v>
      </c>
      <c r="K1808" s="286" t="s">
        <v>2430</v>
      </c>
      <c r="L1808" s="286" t="s">
        <v>2431</v>
      </c>
      <c r="M1808" s="286">
        <v>3</v>
      </c>
      <c r="N1808" s="287">
        <v>130.88999999999999</v>
      </c>
      <c r="O1808" s="294">
        <f t="shared" si="28"/>
        <v>45322</v>
      </c>
      <c r="P1808" s="286" t="s">
        <v>164</v>
      </c>
    </row>
    <row r="1809" spans="1:16" hidden="1" x14ac:dyDescent="0.15">
      <c r="A1809" s="286">
        <v>694412</v>
      </c>
      <c r="B1809" s="288">
        <v>45505.400694444441</v>
      </c>
      <c r="C1809" s="286" t="s">
        <v>2111</v>
      </c>
      <c r="D1809" s="286" t="s">
        <v>1105</v>
      </c>
      <c r="E1809" s="286" t="s">
        <v>1106</v>
      </c>
      <c r="F1809" s="286" t="s">
        <v>2396</v>
      </c>
      <c r="G1809" s="286" t="s">
        <v>1343</v>
      </c>
      <c r="H1809" s="286" t="s">
        <v>1343</v>
      </c>
      <c r="I1809" s="286" t="s">
        <v>1129</v>
      </c>
      <c r="J1809" s="286" t="s">
        <v>1312</v>
      </c>
      <c r="K1809" s="286" t="s">
        <v>528</v>
      </c>
      <c r="L1809" s="286" t="s">
        <v>529</v>
      </c>
      <c r="M1809" s="286">
        <v>24</v>
      </c>
      <c r="N1809" s="287">
        <v>126.96</v>
      </c>
      <c r="O1809" s="294">
        <f t="shared" si="28"/>
        <v>45535</v>
      </c>
      <c r="P1809" s="286" t="s">
        <v>164</v>
      </c>
    </row>
    <row r="1810" spans="1:16" hidden="1" x14ac:dyDescent="0.15">
      <c r="A1810" s="286">
        <v>543430</v>
      </c>
      <c r="B1810" s="288">
        <v>45394.39166666667</v>
      </c>
      <c r="C1810" s="286" t="s">
        <v>2096</v>
      </c>
      <c r="D1810" s="286" t="s">
        <v>1105</v>
      </c>
      <c r="E1810" s="286" t="s">
        <v>1106</v>
      </c>
      <c r="F1810" s="286" t="s">
        <v>2424</v>
      </c>
      <c r="G1810" s="286" t="s">
        <v>1352</v>
      </c>
      <c r="H1810" s="286" t="s">
        <v>1352</v>
      </c>
      <c r="I1810" s="286" t="s">
        <v>1129</v>
      </c>
      <c r="J1810" s="286" t="s">
        <v>1312</v>
      </c>
      <c r="K1810" s="286" t="s">
        <v>167</v>
      </c>
      <c r="L1810" s="286" t="s">
        <v>1328</v>
      </c>
      <c r="M1810" s="286">
        <v>1</v>
      </c>
      <c r="N1810" s="287">
        <v>123.61</v>
      </c>
      <c r="O1810" s="294">
        <f t="shared" si="28"/>
        <v>45412</v>
      </c>
      <c r="P1810" s="286" t="s">
        <v>164</v>
      </c>
    </row>
    <row r="1811" spans="1:16" hidden="1" x14ac:dyDescent="0.15">
      <c r="A1811" s="286">
        <v>453975</v>
      </c>
      <c r="B1811" s="288">
        <v>45309.636111111111</v>
      </c>
      <c r="C1811" s="286" t="s">
        <v>2125</v>
      </c>
      <c r="D1811" s="286" t="s">
        <v>1105</v>
      </c>
      <c r="E1811" s="286" t="s">
        <v>1106</v>
      </c>
      <c r="F1811" s="286" t="s">
        <v>2333</v>
      </c>
      <c r="G1811" s="286" t="s">
        <v>1074</v>
      </c>
      <c r="H1811" s="286" t="s">
        <v>1034</v>
      </c>
      <c r="I1811" s="286" t="s">
        <v>1129</v>
      </c>
      <c r="J1811" s="286" t="s">
        <v>1312</v>
      </c>
      <c r="K1811" s="286" t="s">
        <v>1511</v>
      </c>
      <c r="L1811" s="286" t="s">
        <v>1512</v>
      </c>
      <c r="M1811" s="286">
        <v>4</v>
      </c>
      <c r="N1811" s="287">
        <v>120</v>
      </c>
      <c r="O1811" s="294">
        <f t="shared" si="28"/>
        <v>45322</v>
      </c>
      <c r="P1811" s="286" t="s">
        <v>164</v>
      </c>
    </row>
    <row r="1812" spans="1:16" hidden="1" x14ac:dyDescent="0.15">
      <c r="A1812" s="286">
        <v>608480</v>
      </c>
      <c r="B1812" s="288">
        <v>45450.422222222223</v>
      </c>
      <c r="C1812" s="286" t="s">
        <v>2092</v>
      </c>
      <c r="D1812" s="286" t="s">
        <v>1105</v>
      </c>
      <c r="E1812" s="286" t="s">
        <v>1106</v>
      </c>
      <c r="F1812" s="286" t="s">
        <v>2157</v>
      </c>
      <c r="G1812" s="286" t="s">
        <v>1039</v>
      </c>
      <c r="H1812" s="286" t="s">
        <v>1039</v>
      </c>
      <c r="I1812" s="286" t="s">
        <v>1228</v>
      </c>
      <c r="J1812" s="286" t="s">
        <v>53</v>
      </c>
      <c r="K1812" s="286" t="s">
        <v>53</v>
      </c>
      <c r="L1812" s="286" t="s">
        <v>53</v>
      </c>
      <c r="M1812" s="286" t="s">
        <v>53</v>
      </c>
      <c r="N1812" s="287">
        <v>119.84</v>
      </c>
      <c r="O1812" s="294">
        <f t="shared" si="28"/>
        <v>45473</v>
      </c>
      <c r="P1812" s="286" t="s">
        <v>58</v>
      </c>
    </row>
    <row r="1813" spans="1:16" hidden="1" x14ac:dyDescent="0.15">
      <c r="A1813" s="286">
        <v>691482</v>
      </c>
      <c r="B1813" s="288">
        <v>45504.42083333333</v>
      </c>
      <c r="C1813" s="286" t="s">
        <v>2111</v>
      </c>
      <c r="D1813" s="286" t="s">
        <v>1105</v>
      </c>
      <c r="E1813" s="286" t="s">
        <v>1106</v>
      </c>
      <c r="F1813" s="286" t="s">
        <v>2395</v>
      </c>
      <c r="G1813" s="286" t="s">
        <v>1343</v>
      </c>
      <c r="H1813" s="286" t="s">
        <v>1343</v>
      </c>
      <c r="I1813" s="286" t="s">
        <v>1129</v>
      </c>
      <c r="J1813" s="286" t="s">
        <v>1312</v>
      </c>
      <c r="K1813" s="286" t="s">
        <v>530</v>
      </c>
      <c r="L1813" s="286" t="s">
        <v>531</v>
      </c>
      <c r="M1813" s="286">
        <v>24</v>
      </c>
      <c r="N1813" s="287">
        <v>119.28</v>
      </c>
      <c r="O1813" s="294">
        <f t="shared" si="28"/>
        <v>45504</v>
      </c>
      <c r="P1813" s="286" t="s">
        <v>164</v>
      </c>
    </row>
    <row r="1814" spans="1:16" hidden="1" x14ac:dyDescent="0.15">
      <c r="A1814" s="286">
        <v>530286</v>
      </c>
      <c r="B1814" s="288">
        <v>45383.563194444447</v>
      </c>
      <c r="C1814" s="286" t="s">
        <v>2109</v>
      </c>
      <c r="D1814" s="286" t="s">
        <v>1105</v>
      </c>
      <c r="E1814" s="286" t="s">
        <v>1106</v>
      </c>
      <c r="F1814" s="286" t="s">
        <v>2400</v>
      </c>
      <c r="G1814" s="286" t="s">
        <v>1349</v>
      </c>
      <c r="H1814" s="286" t="s">
        <v>1349</v>
      </c>
      <c r="I1814" s="286" t="s">
        <v>1129</v>
      </c>
      <c r="J1814" s="286" t="s">
        <v>1312</v>
      </c>
      <c r="K1814" s="286" t="s">
        <v>1321</v>
      </c>
      <c r="L1814" s="286" t="s">
        <v>1322</v>
      </c>
      <c r="M1814" s="286">
        <v>10</v>
      </c>
      <c r="N1814" s="287">
        <v>114.6</v>
      </c>
      <c r="O1814" s="294">
        <f t="shared" si="28"/>
        <v>45412</v>
      </c>
      <c r="P1814" s="286" t="s">
        <v>164</v>
      </c>
    </row>
    <row r="1815" spans="1:16" hidden="1" x14ac:dyDescent="0.15">
      <c r="A1815" s="286">
        <v>518933</v>
      </c>
      <c r="B1815" s="288">
        <v>45371.527083333334</v>
      </c>
      <c r="C1815" s="286" t="s">
        <v>2109</v>
      </c>
      <c r="D1815" s="286" t="s">
        <v>1105</v>
      </c>
      <c r="E1815" s="286" t="s">
        <v>1106</v>
      </c>
      <c r="F1815" s="286" t="s">
        <v>2246</v>
      </c>
      <c r="G1815" s="286" t="s">
        <v>1349</v>
      </c>
      <c r="H1815" s="286" t="s">
        <v>1349</v>
      </c>
      <c r="I1815" s="286" t="s">
        <v>1129</v>
      </c>
      <c r="J1815" s="286" t="s">
        <v>1312</v>
      </c>
      <c r="K1815" s="286" t="s">
        <v>1321</v>
      </c>
      <c r="L1815" s="286" t="s">
        <v>1322</v>
      </c>
      <c r="M1815" s="286">
        <v>8</v>
      </c>
      <c r="N1815" s="287">
        <v>114.4</v>
      </c>
      <c r="O1815" s="294">
        <f t="shared" si="28"/>
        <v>45382</v>
      </c>
      <c r="P1815" s="286" t="s">
        <v>164</v>
      </c>
    </row>
    <row r="1816" spans="1:16" hidden="1" x14ac:dyDescent="0.15">
      <c r="A1816" s="286">
        <v>464905</v>
      </c>
      <c r="B1816" s="288">
        <v>45323.521527777775</v>
      </c>
      <c r="C1816" s="286" t="s">
        <v>2125</v>
      </c>
      <c r="D1816" s="286" t="s">
        <v>1105</v>
      </c>
      <c r="E1816" s="286" t="s">
        <v>1106</v>
      </c>
      <c r="F1816" s="286" t="s">
        <v>2212</v>
      </c>
      <c r="G1816" s="286" t="s">
        <v>1047</v>
      </c>
      <c r="H1816" s="286" t="s">
        <v>1047</v>
      </c>
      <c r="I1816" s="286" t="s">
        <v>1129</v>
      </c>
      <c r="J1816" s="286" t="s">
        <v>1312</v>
      </c>
      <c r="K1816" s="286" t="s">
        <v>722</v>
      </c>
      <c r="L1816" s="286" t="s">
        <v>1899</v>
      </c>
      <c r="M1816" s="286">
        <v>2</v>
      </c>
      <c r="N1816" s="287">
        <v>114</v>
      </c>
      <c r="O1816" s="294">
        <f t="shared" si="28"/>
        <v>45351</v>
      </c>
      <c r="P1816" s="286" t="s">
        <v>164</v>
      </c>
    </row>
    <row r="1817" spans="1:16" hidden="1" x14ac:dyDescent="0.15">
      <c r="A1817" s="286">
        <v>694412</v>
      </c>
      <c r="B1817" s="288">
        <v>45505.400694444441</v>
      </c>
      <c r="C1817" s="286" t="s">
        <v>2111</v>
      </c>
      <c r="D1817" s="286" t="s">
        <v>1105</v>
      </c>
      <c r="E1817" s="286" t="s">
        <v>1106</v>
      </c>
      <c r="F1817" s="286" t="s">
        <v>2396</v>
      </c>
      <c r="G1817" s="286" t="s">
        <v>1343</v>
      </c>
      <c r="H1817" s="286" t="s">
        <v>1343</v>
      </c>
      <c r="I1817" s="286" t="s">
        <v>1129</v>
      </c>
      <c r="J1817" s="286" t="s">
        <v>1312</v>
      </c>
      <c r="K1817" s="286" t="s">
        <v>2432</v>
      </c>
      <c r="L1817" s="286" t="s">
        <v>2433</v>
      </c>
      <c r="M1817" s="286">
        <v>6</v>
      </c>
      <c r="N1817" s="287">
        <v>103.86</v>
      </c>
      <c r="O1817" s="294">
        <f t="shared" si="28"/>
        <v>45535</v>
      </c>
      <c r="P1817" s="286" t="s">
        <v>164</v>
      </c>
    </row>
    <row r="1818" spans="1:16" hidden="1" x14ac:dyDescent="0.15">
      <c r="A1818" s="286">
        <v>543430</v>
      </c>
      <c r="B1818" s="288">
        <v>45394.39166666667</v>
      </c>
      <c r="C1818" s="286" t="s">
        <v>2096</v>
      </c>
      <c r="D1818" s="286" t="s">
        <v>1105</v>
      </c>
      <c r="E1818" s="286" t="s">
        <v>1106</v>
      </c>
      <c r="F1818" s="286" t="s">
        <v>2424</v>
      </c>
      <c r="G1818" s="286" t="s">
        <v>1352</v>
      </c>
      <c r="H1818" s="286" t="s">
        <v>1352</v>
      </c>
      <c r="I1818" s="286" t="s">
        <v>1129</v>
      </c>
      <c r="J1818" s="286" t="s">
        <v>1312</v>
      </c>
      <c r="K1818" s="286" t="s">
        <v>165</v>
      </c>
      <c r="L1818" s="286" t="s">
        <v>1329</v>
      </c>
      <c r="M1818" s="286">
        <v>1</v>
      </c>
      <c r="N1818" s="287">
        <v>103.69</v>
      </c>
      <c r="O1818" s="294">
        <f t="shared" si="28"/>
        <v>45412</v>
      </c>
      <c r="P1818" s="286" t="s">
        <v>164</v>
      </c>
    </row>
    <row r="1819" spans="1:16" hidden="1" x14ac:dyDescent="0.15">
      <c r="A1819" s="286">
        <v>706328</v>
      </c>
      <c r="B1819" s="288">
        <v>45513.59375</v>
      </c>
      <c r="C1819" s="286" t="s">
        <v>2102</v>
      </c>
      <c r="D1819" s="286" t="s">
        <v>1105</v>
      </c>
      <c r="E1819" s="286" t="s">
        <v>1106</v>
      </c>
      <c r="F1819" s="286" t="s">
        <v>2356</v>
      </c>
      <c r="G1819" s="286" t="s">
        <v>2425</v>
      </c>
      <c r="H1819" s="286" t="s">
        <v>2425</v>
      </c>
      <c r="I1819" s="286" t="s">
        <v>1129</v>
      </c>
      <c r="J1819" s="286" t="s">
        <v>1312</v>
      </c>
      <c r="K1819" s="286" t="s">
        <v>165</v>
      </c>
      <c r="L1819" s="286" t="s">
        <v>1329</v>
      </c>
      <c r="M1819" s="286">
        <v>1</v>
      </c>
      <c r="N1819" s="287">
        <v>103.69</v>
      </c>
      <c r="O1819" s="294">
        <f t="shared" si="28"/>
        <v>45535</v>
      </c>
      <c r="P1819" s="286" t="s">
        <v>164</v>
      </c>
    </row>
    <row r="1820" spans="1:16" hidden="1" x14ac:dyDescent="0.15">
      <c r="A1820" s="286">
        <v>714130</v>
      </c>
      <c r="B1820" s="288">
        <v>45518.59097222222</v>
      </c>
      <c r="C1820" s="286" t="s">
        <v>2102</v>
      </c>
      <c r="D1820" s="286" t="s">
        <v>1105</v>
      </c>
      <c r="E1820" s="286" t="s">
        <v>1106</v>
      </c>
      <c r="F1820" s="286" t="s">
        <v>2286</v>
      </c>
      <c r="G1820" s="286" t="s">
        <v>1349</v>
      </c>
      <c r="H1820" s="286" t="s">
        <v>1349</v>
      </c>
      <c r="I1820" s="286" t="s">
        <v>1129</v>
      </c>
      <c r="J1820" s="286" t="s">
        <v>1312</v>
      </c>
      <c r="K1820" s="286" t="s">
        <v>165</v>
      </c>
      <c r="L1820" s="286" t="s">
        <v>1329</v>
      </c>
      <c r="M1820" s="286">
        <v>1</v>
      </c>
      <c r="N1820" s="287">
        <v>103.69</v>
      </c>
      <c r="O1820" s="294">
        <f t="shared" si="28"/>
        <v>45535</v>
      </c>
      <c r="P1820" s="286" t="s">
        <v>164</v>
      </c>
    </row>
    <row r="1821" spans="1:16" hidden="1" x14ac:dyDescent="0.15">
      <c r="A1821" s="286">
        <v>848817</v>
      </c>
      <c r="B1821" s="288">
        <v>45607.65902777778</v>
      </c>
      <c r="C1821" s="286" t="s">
        <v>2130</v>
      </c>
      <c r="D1821" s="286" t="s">
        <v>1105</v>
      </c>
      <c r="E1821" s="286" t="s">
        <v>1106</v>
      </c>
      <c r="F1821" s="286" t="s">
        <v>2140</v>
      </c>
      <c r="G1821" s="286" t="s">
        <v>1349</v>
      </c>
      <c r="H1821" s="286" t="s">
        <v>1349</v>
      </c>
      <c r="I1821" s="286" t="s">
        <v>1129</v>
      </c>
      <c r="J1821" s="286" t="s">
        <v>1312</v>
      </c>
      <c r="K1821" s="286" t="s">
        <v>165</v>
      </c>
      <c r="L1821" s="286" t="s">
        <v>1329</v>
      </c>
      <c r="M1821" s="286">
        <v>1</v>
      </c>
      <c r="N1821" s="287">
        <v>103.69</v>
      </c>
      <c r="O1821" s="294">
        <f t="shared" si="28"/>
        <v>45626</v>
      </c>
      <c r="P1821" s="286" t="s">
        <v>164</v>
      </c>
    </row>
    <row r="1822" spans="1:16" hidden="1" x14ac:dyDescent="0.15">
      <c r="A1822" s="286">
        <v>741366</v>
      </c>
      <c r="B1822" s="288">
        <v>45532.655555555553</v>
      </c>
      <c r="C1822" s="286" t="s">
        <v>2102</v>
      </c>
      <c r="D1822" s="286" t="s">
        <v>1105</v>
      </c>
      <c r="E1822" s="286" t="s">
        <v>1106</v>
      </c>
      <c r="F1822" s="286" t="s">
        <v>2161</v>
      </c>
      <c r="G1822" s="286" t="s">
        <v>1021</v>
      </c>
      <c r="H1822" s="286" t="s">
        <v>1021</v>
      </c>
      <c r="I1822" s="286" t="s">
        <v>1199</v>
      </c>
      <c r="J1822" s="286" t="s">
        <v>1312</v>
      </c>
      <c r="K1822" s="286" t="s">
        <v>53</v>
      </c>
      <c r="L1822" s="286" t="s">
        <v>53</v>
      </c>
      <c r="M1822" s="286" t="s">
        <v>53</v>
      </c>
      <c r="N1822" s="287">
        <v>100.25</v>
      </c>
      <c r="O1822" s="294">
        <f t="shared" si="28"/>
        <v>45535</v>
      </c>
      <c r="P1822" s="286" t="s">
        <v>58</v>
      </c>
    </row>
    <row r="1823" spans="1:16" hidden="1" x14ac:dyDescent="0.15">
      <c r="A1823" s="286">
        <v>785030</v>
      </c>
      <c r="B1823" s="288">
        <v>45559.581944444442</v>
      </c>
      <c r="C1823" s="286" t="s">
        <v>2132</v>
      </c>
      <c r="D1823" s="286" t="s">
        <v>1105</v>
      </c>
      <c r="E1823" s="286" t="s">
        <v>1106</v>
      </c>
      <c r="F1823" s="286" t="s">
        <v>2162</v>
      </c>
      <c r="G1823" s="286" t="s">
        <v>1021</v>
      </c>
      <c r="H1823" s="286" t="s">
        <v>1021</v>
      </c>
      <c r="I1823" s="286" t="s">
        <v>1199</v>
      </c>
      <c r="J1823" s="286" t="s">
        <v>1312</v>
      </c>
      <c r="K1823" s="286" t="s">
        <v>53</v>
      </c>
      <c r="L1823" s="286" t="s">
        <v>53</v>
      </c>
      <c r="M1823" s="286" t="s">
        <v>53</v>
      </c>
      <c r="N1823" s="287">
        <v>100.25</v>
      </c>
      <c r="O1823" s="294">
        <f t="shared" si="28"/>
        <v>45565</v>
      </c>
      <c r="P1823" s="286" t="s">
        <v>58</v>
      </c>
    </row>
    <row r="1824" spans="1:16" hidden="1" x14ac:dyDescent="0.15">
      <c r="A1824" s="286">
        <v>821955</v>
      </c>
      <c r="B1824" s="288">
        <v>45587.62777777778</v>
      </c>
      <c r="C1824" s="286" t="s">
        <v>2130</v>
      </c>
      <c r="D1824" s="286" t="s">
        <v>1105</v>
      </c>
      <c r="E1824" s="286" t="s">
        <v>1106</v>
      </c>
      <c r="F1824" s="286" t="s">
        <v>2163</v>
      </c>
      <c r="G1824" s="286" t="s">
        <v>1021</v>
      </c>
      <c r="H1824" s="286" t="s">
        <v>1021</v>
      </c>
      <c r="I1824" s="286" t="s">
        <v>1199</v>
      </c>
      <c r="J1824" s="286" t="s">
        <v>1312</v>
      </c>
      <c r="K1824" s="286" t="s">
        <v>53</v>
      </c>
      <c r="L1824" s="286" t="s">
        <v>53</v>
      </c>
      <c r="M1824" s="286" t="s">
        <v>53</v>
      </c>
      <c r="N1824" s="287">
        <v>100.25</v>
      </c>
      <c r="O1824" s="294">
        <f t="shared" si="28"/>
        <v>45596</v>
      </c>
      <c r="P1824" s="286" t="s">
        <v>58</v>
      </c>
    </row>
    <row r="1825" spans="1:16" hidden="1" x14ac:dyDescent="0.15">
      <c r="A1825" s="286">
        <v>864918</v>
      </c>
      <c r="B1825" s="288">
        <v>45617.508333333331</v>
      </c>
      <c r="C1825" s="286" t="s">
        <v>2100</v>
      </c>
      <c r="D1825" s="286" t="s">
        <v>1105</v>
      </c>
      <c r="E1825" s="286" t="s">
        <v>1106</v>
      </c>
      <c r="F1825" s="286" t="s">
        <v>2233</v>
      </c>
      <c r="G1825" s="286" t="s">
        <v>1021</v>
      </c>
      <c r="H1825" s="286" t="s">
        <v>1021</v>
      </c>
      <c r="I1825" s="286" t="s">
        <v>1199</v>
      </c>
      <c r="J1825" s="286" t="s">
        <v>53</v>
      </c>
      <c r="K1825" s="286" t="s">
        <v>53</v>
      </c>
      <c r="L1825" s="286" t="s">
        <v>53</v>
      </c>
      <c r="M1825" s="286" t="s">
        <v>53</v>
      </c>
      <c r="N1825" s="287">
        <v>100.25</v>
      </c>
      <c r="O1825" s="294">
        <f t="shared" si="28"/>
        <v>45626</v>
      </c>
      <c r="P1825" s="286" t="s">
        <v>58</v>
      </c>
    </row>
    <row r="1826" spans="1:16" hidden="1" x14ac:dyDescent="0.15">
      <c r="A1826" s="286">
        <v>898877</v>
      </c>
      <c r="B1826" s="288">
        <v>45644.552083333336</v>
      </c>
      <c r="C1826" s="286" t="s">
        <v>2098</v>
      </c>
      <c r="D1826" s="286" t="s">
        <v>1105</v>
      </c>
      <c r="E1826" s="286" t="s">
        <v>1106</v>
      </c>
      <c r="F1826" s="286" t="s">
        <v>2234</v>
      </c>
      <c r="G1826" s="286" t="s">
        <v>1021</v>
      </c>
      <c r="H1826" s="286" t="s">
        <v>1021</v>
      </c>
      <c r="I1826" s="286" t="s">
        <v>1199</v>
      </c>
      <c r="J1826" s="286" t="s">
        <v>1312</v>
      </c>
      <c r="K1826" s="286" t="s">
        <v>53</v>
      </c>
      <c r="L1826" s="286" t="s">
        <v>53</v>
      </c>
      <c r="M1826" s="286" t="s">
        <v>53</v>
      </c>
      <c r="N1826" s="287">
        <v>100.25</v>
      </c>
      <c r="O1826" s="294">
        <f t="shared" si="28"/>
        <v>45657</v>
      </c>
      <c r="P1826" s="286" t="s">
        <v>58</v>
      </c>
    </row>
    <row r="1827" spans="1:16" hidden="1" x14ac:dyDescent="0.15">
      <c r="A1827" s="286">
        <v>665246</v>
      </c>
      <c r="B1827" s="288">
        <v>45489.452777777777</v>
      </c>
      <c r="C1827" s="286" t="s">
        <v>2111</v>
      </c>
      <c r="D1827" s="286" t="s">
        <v>1105</v>
      </c>
      <c r="E1827" s="286" t="s">
        <v>1106</v>
      </c>
      <c r="F1827" s="286" t="s">
        <v>2330</v>
      </c>
      <c r="G1827" s="286" t="s">
        <v>1068</v>
      </c>
      <c r="H1827" s="286" t="s">
        <v>1068</v>
      </c>
      <c r="I1827" s="286" t="s">
        <v>1152</v>
      </c>
      <c r="J1827" s="286" t="s">
        <v>1312</v>
      </c>
      <c r="K1827" s="286" t="s">
        <v>1959</v>
      </c>
      <c r="L1827" s="286" t="s">
        <v>1960</v>
      </c>
      <c r="M1827" s="286">
        <v>1</v>
      </c>
      <c r="N1827" s="287">
        <v>98.6</v>
      </c>
      <c r="O1827" s="294">
        <f t="shared" si="28"/>
        <v>45504</v>
      </c>
      <c r="P1827" s="286" t="s">
        <v>58</v>
      </c>
    </row>
    <row r="1828" spans="1:16" hidden="1" x14ac:dyDescent="0.15">
      <c r="A1828" s="286">
        <v>679026</v>
      </c>
      <c r="B1828" s="288">
        <v>45497.402777777781</v>
      </c>
      <c r="C1828" s="286" t="s">
        <v>2111</v>
      </c>
      <c r="D1828" s="286" t="s">
        <v>1105</v>
      </c>
      <c r="E1828" s="286" t="s">
        <v>1106</v>
      </c>
      <c r="F1828" s="286" t="s">
        <v>2331</v>
      </c>
      <c r="G1828" s="286" t="s">
        <v>1068</v>
      </c>
      <c r="H1828" s="286" t="s">
        <v>1068</v>
      </c>
      <c r="I1828" s="286" t="s">
        <v>1152</v>
      </c>
      <c r="J1828" s="286" t="s">
        <v>1312</v>
      </c>
      <c r="K1828" s="286" t="s">
        <v>1959</v>
      </c>
      <c r="L1828" s="286" t="s">
        <v>1960</v>
      </c>
      <c r="M1828" s="286">
        <v>1</v>
      </c>
      <c r="N1828" s="287">
        <v>98.6</v>
      </c>
      <c r="O1828" s="294">
        <f t="shared" si="28"/>
        <v>45504</v>
      </c>
      <c r="P1828" s="286" t="s">
        <v>58</v>
      </c>
    </row>
    <row r="1829" spans="1:16" hidden="1" x14ac:dyDescent="0.15">
      <c r="A1829" s="286">
        <v>825672</v>
      </c>
      <c r="B1829" s="288">
        <v>45589.395138888889</v>
      </c>
      <c r="C1829" s="286" t="s">
        <v>2130</v>
      </c>
      <c r="D1829" s="286" t="s">
        <v>1105</v>
      </c>
      <c r="E1829" s="286" t="s">
        <v>1106</v>
      </c>
      <c r="F1829" s="286" t="s">
        <v>2311</v>
      </c>
      <c r="G1829" s="286" t="s">
        <v>1017</v>
      </c>
      <c r="H1829" s="286" t="s">
        <v>1017</v>
      </c>
      <c r="I1829" s="286" t="s">
        <v>1152</v>
      </c>
      <c r="J1829" s="286" t="s">
        <v>1312</v>
      </c>
      <c r="K1829" s="286" t="s">
        <v>53</v>
      </c>
      <c r="L1829" s="286" t="s">
        <v>53</v>
      </c>
      <c r="M1829" s="286" t="s">
        <v>53</v>
      </c>
      <c r="N1829" s="287">
        <v>98.22</v>
      </c>
      <c r="O1829" s="294">
        <f t="shared" si="28"/>
        <v>45596</v>
      </c>
      <c r="P1829" s="286" t="s">
        <v>58</v>
      </c>
    </row>
    <row r="1830" spans="1:16" hidden="1" x14ac:dyDescent="0.15">
      <c r="A1830" s="286">
        <v>825672</v>
      </c>
      <c r="B1830" s="288">
        <v>45589.395138888889</v>
      </c>
      <c r="C1830" s="286" t="s">
        <v>2130</v>
      </c>
      <c r="D1830" s="286" t="s">
        <v>1105</v>
      </c>
      <c r="E1830" s="286" t="s">
        <v>1106</v>
      </c>
      <c r="F1830" s="286" t="s">
        <v>2311</v>
      </c>
      <c r="G1830" s="286" t="s">
        <v>1017</v>
      </c>
      <c r="H1830" s="286" t="s">
        <v>1017</v>
      </c>
      <c r="I1830" s="286" t="s">
        <v>1152</v>
      </c>
      <c r="J1830" s="286" t="s">
        <v>1312</v>
      </c>
      <c r="K1830" s="286" t="s">
        <v>53</v>
      </c>
      <c r="L1830" s="286" t="s">
        <v>53</v>
      </c>
      <c r="M1830" s="286" t="s">
        <v>53</v>
      </c>
      <c r="N1830" s="287">
        <v>92.49</v>
      </c>
      <c r="O1830" s="294">
        <f t="shared" si="28"/>
        <v>45596</v>
      </c>
      <c r="P1830" s="286" t="s">
        <v>58</v>
      </c>
    </row>
    <row r="1831" spans="1:16" hidden="1" x14ac:dyDescent="0.15">
      <c r="A1831" s="286">
        <v>739791</v>
      </c>
      <c r="B1831" s="288">
        <v>45532.376388888886</v>
      </c>
      <c r="C1831" s="286" t="s">
        <v>2102</v>
      </c>
      <c r="D1831" s="286" t="s">
        <v>1105</v>
      </c>
      <c r="E1831" s="286" t="s">
        <v>1106</v>
      </c>
      <c r="F1831" s="286" t="s">
        <v>2372</v>
      </c>
      <c r="G1831" s="286" t="s">
        <v>2434</v>
      </c>
      <c r="H1831" s="286" t="s">
        <v>2434</v>
      </c>
      <c r="I1831" s="286" t="s">
        <v>1129</v>
      </c>
      <c r="J1831" s="286" t="s">
        <v>1312</v>
      </c>
      <c r="K1831" s="286" t="s">
        <v>530</v>
      </c>
      <c r="L1831" s="286" t="s">
        <v>531</v>
      </c>
      <c r="M1831" s="286">
        <v>20</v>
      </c>
      <c r="N1831" s="287">
        <v>87.6</v>
      </c>
      <c r="O1831" s="294">
        <f t="shared" si="28"/>
        <v>45535</v>
      </c>
      <c r="P1831" s="286" t="s">
        <v>164</v>
      </c>
    </row>
    <row r="1832" spans="1:16" hidden="1" x14ac:dyDescent="0.15">
      <c r="A1832" s="286">
        <v>472168</v>
      </c>
      <c r="B1832" s="288">
        <v>45331.416666666664</v>
      </c>
      <c r="C1832" s="286" t="s">
        <v>2113</v>
      </c>
      <c r="D1832" s="286" t="s">
        <v>1105</v>
      </c>
      <c r="E1832" s="286" t="s">
        <v>1106</v>
      </c>
      <c r="F1832" s="286" t="s">
        <v>2153</v>
      </c>
      <c r="G1832" s="286" t="s">
        <v>1831</v>
      </c>
      <c r="H1832" s="286" t="s">
        <v>1831</v>
      </c>
      <c r="I1832" s="286" t="s">
        <v>1129</v>
      </c>
      <c r="J1832" s="286" t="s">
        <v>1312</v>
      </c>
      <c r="K1832" s="286" t="s">
        <v>1901</v>
      </c>
      <c r="L1832" s="286" t="s">
        <v>1902</v>
      </c>
      <c r="M1832" s="286">
        <v>2</v>
      </c>
      <c r="N1832" s="287">
        <v>81.680000000000007</v>
      </c>
      <c r="O1832" s="294">
        <f t="shared" si="28"/>
        <v>45351</v>
      </c>
      <c r="P1832" s="286" t="s">
        <v>164</v>
      </c>
    </row>
    <row r="1833" spans="1:16" hidden="1" x14ac:dyDescent="0.15">
      <c r="A1833" s="286">
        <v>534207</v>
      </c>
      <c r="B1833" s="288">
        <v>45385.750694444447</v>
      </c>
      <c r="C1833" s="286" t="s">
        <v>2096</v>
      </c>
      <c r="D1833" s="286" t="s">
        <v>1105</v>
      </c>
      <c r="E1833" s="286" t="s">
        <v>1106</v>
      </c>
      <c r="F1833" s="286" t="s">
        <v>2155</v>
      </c>
      <c r="G1833" s="286" t="s">
        <v>1049</v>
      </c>
      <c r="H1833" s="286" t="s">
        <v>1049</v>
      </c>
      <c r="I1833" s="286" t="s">
        <v>1228</v>
      </c>
      <c r="J1833" s="286" t="s">
        <v>1312</v>
      </c>
      <c r="K1833" s="286" t="s">
        <v>2344</v>
      </c>
      <c r="L1833" s="286" t="s">
        <v>53</v>
      </c>
      <c r="M1833" s="286">
        <v>1</v>
      </c>
      <c r="N1833" s="287">
        <v>77.13</v>
      </c>
      <c r="O1833" s="294">
        <f t="shared" si="28"/>
        <v>45412</v>
      </c>
      <c r="P1833" s="286" t="s">
        <v>58</v>
      </c>
    </row>
    <row r="1834" spans="1:16" hidden="1" x14ac:dyDescent="0.15">
      <c r="A1834" s="286">
        <v>812436</v>
      </c>
      <c r="B1834" s="288">
        <v>45581.523611111108</v>
      </c>
      <c r="C1834" s="286" t="s">
        <v>2130</v>
      </c>
      <c r="D1834" s="286" t="s">
        <v>1105</v>
      </c>
      <c r="E1834" s="286" t="s">
        <v>1106</v>
      </c>
      <c r="F1834" s="286" t="s">
        <v>2270</v>
      </c>
      <c r="G1834" s="286" t="s">
        <v>1087</v>
      </c>
      <c r="H1834" s="286" t="s">
        <v>1087</v>
      </c>
      <c r="I1834" s="286" t="s">
        <v>1129</v>
      </c>
      <c r="J1834" s="286" t="s">
        <v>1312</v>
      </c>
      <c r="K1834" s="286" t="s">
        <v>526</v>
      </c>
      <c r="L1834" s="286" t="s">
        <v>1360</v>
      </c>
      <c r="M1834" s="286">
        <v>20</v>
      </c>
      <c r="N1834" s="287">
        <v>74.400000000000006</v>
      </c>
      <c r="O1834" s="294">
        <f t="shared" si="28"/>
        <v>45596</v>
      </c>
      <c r="P1834" s="286" t="s">
        <v>164</v>
      </c>
    </row>
    <row r="1835" spans="1:16" hidden="1" x14ac:dyDescent="0.15">
      <c r="A1835" s="286">
        <v>807477</v>
      </c>
      <c r="B1835" s="288">
        <v>45579.522222222222</v>
      </c>
      <c r="C1835" s="286" t="s">
        <v>2132</v>
      </c>
      <c r="D1835" s="286" t="s">
        <v>1105</v>
      </c>
      <c r="E1835" s="286" t="s">
        <v>1106</v>
      </c>
      <c r="F1835" s="286" t="s">
        <v>2133</v>
      </c>
      <c r="G1835" s="286" t="s">
        <v>1076</v>
      </c>
      <c r="H1835" s="286" t="s">
        <v>1076</v>
      </c>
      <c r="I1835" s="286" t="s">
        <v>1108</v>
      </c>
      <c r="J1835" s="286" t="s">
        <v>1312</v>
      </c>
      <c r="K1835" s="286" t="s">
        <v>2435</v>
      </c>
      <c r="L1835" s="286" t="s">
        <v>2436</v>
      </c>
      <c r="M1835" s="286">
        <v>1</v>
      </c>
      <c r="N1835" s="287">
        <v>72</v>
      </c>
      <c r="O1835" s="294">
        <f t="shared" si="28"/>
        <v>45596</v>
      </c>
      <c r="P1835" s="286" t="s">
        <v>37</v>
      </c>
    </row>
    <row r="1836" spans="1:16" hidden="1" x14ac:dyDescent="0.15">
      <c r="A1836" s="286">
        <v>812436</v>
      </c>
      <c r="B1836" s="288">
        <v>45581.523611111108</v>
      </c>
      <c r="C1836" s="286" t="s">
        <v>2130</v>
      </c>
      <c r="D1836" s="286" t="s">
        <v>1105</v>
      </c>
      <c r="E1836" s="286" t="s">
        <v>1106</v>
      </c>
      <c r="F1836" s="286" t="s">
        <v>2270</v>
      </c>
      <c r="G1836" s="286" t="s">
        <v>1087</v>
      </c>
      <c r="H1836" s="286" t="s">
        <v>1087</v>
      </c>
      <c r="I1836" s="286" t="s">
        <v>1129</v>
      </c>
      <c r="J1836" s="286" t="s">
        <v>1312</v>
      </c>
      <c r="K1836" s="286" t="s">
        <v>524</v>
      </c>
      <c r="L1836" s="286" t="s">
        <v>1346</v>
      </c>
      <c r="M1836" s="286">
        <v>20</v>
      </c>
      <c r="N1836" s="287">
        <v>71.599999999999994</v>
      </c>
      <c r="O1836" s="294">
        <f t="shared" si="28"/>
        <v>45596</v>
      </c>
      <c r="P1836" s="286" t="s">
        <v>164</v>
      </c>
    </row>
    <row r="1837" spans="1:16" hidden="1" x14ac:dyDescent="0.15">
      <c r="A1837" s="286">
        <v>825672</v>
      </c>
      <c r="B1837" s="288">
        <v>45589.395138888889</v>
      </c>
      <c r="C1837" s="286" t="s">
        <v>2130</v>
      </c>
      <c r="D1837" s="286" t="s">
        <v>1105</v>
      </c>
      <c r="E1837" s="286" t="s">
        <v>1106</v>
      </c>
      <c r="F1837" s="286" t="s">
        <v>2311</v>
      </c>
      <c r="G1837" s="286" t="s">
        <v>1017</v>
      </c>
      <c r="H1837" s="286" t="s">
        <v>1017</v>
      </c>
      <c r="I1837" s="286" t="s">
        <v>1152</v>
      </c>
      <c r="J1837" s="286" t="s">
        <v>1312</v>
      </c>
      <c r="K1837" s="286" t="s">
        <v>53</v>
      </c>
      <c r="L1837" s="286" t="s">
        <v>53</v>
      </c>
      <c r="M1837" s="286" t="s">
        <v>53</v>
      </c>
      <c r="N1837" s="287">
        <v>71.260000000000005</v>
      </c>
      <c r="O1837" s="294">
        <f t="shared" si="28"/>
        <v>45596</v>
      </c>
      <c r="P1837" s="286" t="s">
        <v>58</v>
      </c>
    </row>
    <row r="1838" spans="1:16" hidden="1" x14ac:dyDescent="0.15">
      <c r="A1838" s="286">
        <v>464905</v>
      </c>
      <c r="B1838" s="288">
        <v>45323.521527777775</v>
      </c>
      <c r="C1838" s="286" t="s">
        <v>2125</v>
      </c>
      <c r="D1838" s="286" t="s">
        <v>1105</v>
      </c>
      <c r="E1838" s="286" t="s">
        <v>1106</v>
      </c>
      <c r="F1838" s="286" t="s">
        <v>2212</v>
      </c>
      <c r="G1838" s="286" t="s">
        <v>1047</v>
      </c>
      <c r="H1838" s="286" t="s">
        <v>1047</v>
      </c>
      <c r="I1838" s="286" t="s">
        <v>1129</v>
      </c>
      <c r="J1838" s="286" t="s">
        <v>1312</v>
      </c>
      <c r="K1838" s="286" t="s">
        <v>726</v>
      </c>
      <c r="L1838" s="286" t="s">
        <v>751</v>
      </c>
      <c r="M1838" s="286">
        <v>7</v>
      </c>
      <c r="N1838" s="287">
        <v>70</v>
      </c>
      <c r="O1838" s="294">
        <f t="shared" si="28"/>
        <v>45351</v>
      </c>
      <c r="P1838" s="286" t="s">
        <v>164</v>
      </c>
    </row>
    <row r="1839" spans="1:16" hidden="1" x14ac:dyDescent="0.15">
      <c r="A1839" s="286">
        <v>657585</v>
      </c>
      <c r="B1839" s="288">
        <v>45483.55972222222</v>
      </c>
      <c r="C1839" s="286" t="s">
        <v>2111</v>
      </c>
      <c r="D1839" s="286" t="s">
        <v>1105</v>
      </c>
      <c r="E1839" s="286" t="s">
        <v>1106</v>
      </c>
      <c r="F1839" s="286" t="s">
        <v>2339</v>
      </c>
      <c r="G1839" s="286" t="s">
        <v>1343</v>
      </c>
      <c r="H1839" s="286" t="s">
        <v>1343</v>
      </c>
      <c r="I1839" s="286" t="s">
        <v>1129</v>
      </c>
      <c r="J1839" s="286" t="s">
        <v>1312</v>
      </c>
      <c r="K1839" s="286" t="s">
        <v>532</v>
      </c>
      <c r="L1839" s="286" t="s">
        <v>533</v>
      </c>
      <c r="M1839" s="286">
        <v>50</v>
      </c>
      <c r="N1839" s="287">
        <v>70</v>
      </c>
      <c r="O1839" s="294">
        <f t="shared" si="28"/>
        <v>45504</v>
      </c>
      <c r="P1839" s="286" t="s">
        <v>164</v>
      </c>
    </row>
    <row r="1840" spans="1:16" hidden="1" x14ac:dyDescent="0.15">
      <c r="A1840" s="286">
        <v>495492</v>
      </c>
      <c r="B1840" s="288">
        <v>45351.411805555559</v>
      </c>
      <c r="C1840" s="286" t="s">
        <v>2125</v>
      </c>
      <c r="D1840" s="286" t="s">
        <v>1105</v>
      </c>
      <c r="E1840" s="286" t="s">
        <v>1106</v>
      </c>
      <c r="F1840" s="286" t="s">
        <v>2437</v>
      </c>
      <c r="G1840" s="286" t="s">
        <v>1786</v>
      </c>
      <c r="H1840" s="286" t="s">
        <v>1786</v>
      </c>
      <c r="I1840" s="286" t="s">
        <v>1129</v>
      </c>
      <c r="J1840" s="286" t="s">
        <v>1312</v>
      </c>
      <c r="K1840" s="286" t="s">
        <v>53</v>
      </c>
      <c r="L1840" s="286" t="s">
        <v>53</v>
      </c>
      <c r="M1840" s="286" t="s">
        <v>53</v>
      </c>
      <c r="N1840" s="287">
        <v>64.86</v>
      </c>
      <c r="O1840" s="294">
        <f t="shared" si="28"/>
        <v>45351</v>
      </c>
      <c r="P1840" s="286" t="s">
        <v>164</v>
      </c>
    </row>
    <row r="1841" spans="1:16" hidden="1" x14ac:dyDescent="0.15">
      <c r="A1841" s="286">
        <v>778470</v>
      </c>
      <c r="B1841" s="288">
        <v>45555.450694444444</v>
      </c>
      <c r="C1841" s="286" t="s">
        <v>2132</v>
      </c>
      <c r="D1841" s="286" t="s">
        <v>1105</v>
      </c>
      <c r="E1841" s="286" t="s">
        <v>1106</v>
      </c>
      <c r="F1841" s="286" t="s">
        <v>2346</v>
      </c>
      <c r="G1841" s="286" t="s">
        <v>1011</v>
      </c>
      <c r="H1841" s="286" t="s">
        <v>1011</v>
      </c>
      <c r="I1841" s="286" t="s">
        <v>1129</v>
      </c>
      <c r="J1841" s="286" t="s">
        <v>1312</v>
      </c>
      <c r="K1841" s="286" t="s">
        <v>526</v>
      </c>
      <c r="L1841" s="286" t="s">
        <v>1360</v>
      </c>
      <c r="M1841" s="286">
        <v>12</v>
      </c>
      <c r="N1841" s="287">
        <v>63.72</v>
      </c>
      <c r="O1841" s="294">
        <f t="shared" si="28"/>
        <v>45565</v>
      </c>
      <c r="P1841" s="286" t="s">
        <v>164</v>
      </c>
    </row>
    <row r="1842" spans="1:16" hidden="1" x14ac:dyDescent="0.15">
      <c r="A1842" s="286">
        <v>778470</v>
      </c>
      <c r="B1842" s="288">
        <v>45555.450694444444</v>
      </c>
      <c r="C1842" s="286" t="s">
        <v>2132</v>
      </c>
      <c r="D1842" s="286" t="s">
        <v>1105</v>
      </c>
      <c r="E1842" s="286" t="s">
        <v>1106</v>
      </c>
      <c r="F1842" s="286" t="s">
        <v>2346</v>
      </c>
      <c r="G1842" s="286" t="s">
        <v>1343</v>
      </c>
      <c r="H1842" s="286" t="s">
        <v>1343</v>
      </c>
      <c r="I1842" s="286" t="s">
        <v>1129</v>
      </c>
      <c r="J1842" s="286" t="s">
        <v>1312</v>
      </c>
      <c r="K1842" s="286" t="s">
        <v>526</v>
      </c>
      <c r="L1842" s="286" t="s">
        <v>1360</v>
      </c>
      <c r="M1842" s="286">
        <v>12</v>
      </c>
      <c r="N1842" s="287">
        <v>63.72</v>
      </c>
      <c r="O1842" s="294">
        <f t="shared" si="28"/>
        <v>45565</v>
      </c>
      <c r="P1842" s="286" t="s">
        <v>164</v>
      </c>
    </row>
    <row r="1843" spans="1:16" hidden="1" x14ac:dyDescent="0.15">
      <c r="A1843" s="286">
        <v>778470</v>
      </c>
      <c r="B1843" s="288">
        <v>45555.450694444444</v>
      </c>
      <c r="C1843" s="286" t="s">
        <v>2132</v>
      </c>
      <c r="D1843" s="286" t="s">
        <v>1105</v>
      </c>
      <c r="E1843" s="286" t="s">
        <v>1106</v>
      </c>
      <c r="F1843" s="286" t="s">
        <v>2346</v>
      </c>
      <c r="G1843" s="286" t="s">
        <v>1011</v>
      </c>
      <c r="H1843" s="286" t="s">
        <v>1011</v>
      </c>
      <c r="I1843" s="286" t="s">
        <v>1129</v>
      </c>
      <c r="J1843" s="286" t="s">
        <v>1312</v>
      </c>
      <c r="K1843" s="286" t="s">
        <v>528</v>
      </c>
      <c r="L1843" s="286" t="s">
        <v>529</v>
      </c>
      <c r="M1843" s="286">
        <v>12</v>
      </c>
      <c r="N1843" s="287">
        <v>63.48</v>
      </c>
      <c r="O1843" s="294">
        <f t="shared" si="28"/>
        <v>45565</v>
      </c>
      <c r="P1843" s="286" t="s">
        <v>164</v>
      </c>
    </row>
    <row r="1844" spans="1:16" hidden="1" x14ac:dyDescent="0.15">
      <c r="A1844" s="286">
        <v>858019</v>
      </c>
      <c r="B1844" s="288">
        <v>45614.46597222222</v>
      </c>
      <c r="C1844" s="286" t="s">
        <v>2100</v>
      </c>
      <c r="D1844" s="286" t="s">
        <v>1105</v>
      </c>
      <c r="E1844" s="286" t="s">
        <v>1106</v>
      </c>
      <c r="F1844" s="286" t="s">
        <v>2438</v>
      </c>
      <c r="G1844" s="286" t="s">
        <v>2439</v>
      </c>
      <c r="H1844" s="286" t="s">
        <v>2439</v>
      </c>
      <c r="I1844" s="286" t="s">
        <v>1129</v>
      </c>
      <c r="J1844" s="286" t="s">
        <v>1312</v>
      </c>
      <c r="K1844" s="286" t="s">
        <v>2440</v>
      </c>
      <c r="L1844" s="286" t="s">
        <v>2441</v>
      </c>
      <c r="M1844" s="286">
        <v>6</v>
      </c>
      <c r="N1844" s="287">
        <v>62.16</v>
      </c>
      <c r="O1844" s="294">
        <f t="shared" si="28"/>
        <v>45626</v>
      </c>
      <c r="P1844" s="286" t="s">
        <v>164</v>
      </c>
    </row>
    <row r="1845" spans="1:16" hidden="1" x14ac:dyDescent="0.15">
      <c r="A1845" s="286">
        <v>858019</v>
      </c>
      <c r="B1845" s="288">
        <v>45614.46597222222</v>
      </c>
      <c r="C1845" s="286" t="s">
        <v>2100</v>
      </c>
      <c r="D1845" s="286" t="s">
        <v>1105</v>
      </c>
      <c r="E1845" s="286" t="s">
        <v>1106</v>
      </c>
      <c r="F1845" s="286" t="s">
        <v>2438</v>
      </c>
      <c r="G1845" s="286" t="s">
        <v>2439</v>
      </c>
      <c r="H1845" s="286" t="s">
        <v>2439</v>
      </c>
      <c r="I1845" s="286" t="s">
        <v>1129</v>
      </c>
      <c r="J1845" s="286" t="s">
        <v>1312</v>
      </c>
      <c r="K1845" s="286" t="s">
        <v>2442</v>
      </c>
      <c r="L1845" s="286" t="s">
        <v>2443</v>
      </c>
      <c r="M1845" s="286">
        <v>6</v>
      </c>
      <c r="N1845" s="287">
        <v>62.1</v>
      </c>
      <c r="O1845" s="294">
        <f t="shared" si="28"/>
        <v>45626</v>
      </c>
      <c r="P1845" s="286" t="s">
        <v>164</v>
      </c>
    </row>
    <row r="1846" spans="1:16" hidden="1" x14ac:dyDescent="0.15">
      <c r="A1846" s="286">
        <v>778470</v>
      </c>
      <c r="B1846" s="288">
        <v>45555.450694444444</v>
      </c>
      <c r="C1846" s="286" t="s">
        <v>2132</v>
      </c>
      <c r="D1846" s="286" t="s">
        <v>1105</v>
      </c>
      <c r="E1846" s="286" t="s">
        <v>1106</v>
      </c>
      <c r="F1846" s="286" t="s">
        <v>2346</v>
      </c>
      <c r="G1846" s="286" t="s">
        <v>1343</v>
      </c>
      <c r="H1846" s="286" t="s">
        <v>1343</v>
      </c>
      <c r="I1846" s="286" t="s">
        <v>1129</v>
      </c>
      <c r="J1846" s="286" t="s">
        <v>1312</v>
      </c>
      <c r="K1846" s="286" t="s">
        <v>524</v>
      </c>
      <c r="L1846" s="286" t="s">
        <v>1346</v>
      </c>
      <c r="M1846" s="286">
        <v>12</v>
      </c>
      <c r="N1846" s="287">
        <v>61.32</v>
      </c>
      <c r="O1846" s="294">
        <f t="shared" si="28"/>
        <v>45565</v>
      </c>
      <c r="P1846" s="286" t="s">
        <v>164</v>
      </c>
    </row>
    <row r="1847" spans="1:16" hidden="1" x14ac:dyDescent="0.15">
      <c r="A1847" s="286">
        <v>778470</v>
      </c>
      <c r="B1847" s="288">
        <v>45555.450694444444</v>
      </c>
      <c r="C1847" s="286" t="s">
        <v>2132</v>
      </c>
      <c r="D1847" s="286" t="s">
        <v>1105</v>
      </c>
      <c r="E1847" s="286" t="s">
        <v>1106</v>
      </c>
      <c r="F1847" s="286" t="s">
        <v>2346</v>
      </c>
      <c r="G1847" s="286" t="s">
        <v>1011</v>
      </c>
      <c r="H1847" s="286" t="s">
        <v>1011</v>
      </c>
      <c r="I1847" s="286" t="s">
        <v>1129</v>
      </c>
      <c r="J1847" s="286" t="s">
        <v>1312</v>
      </c>
      <c r="K1847" s="286" t="s">
        <v>524</v>
      </c>
      <c r="L1847" s="286" t="s">
        <v>1346</v>
      </c>
      <c r="M1847" s="286">
        <v>12</v>
      </c>
      <c r="N1847" s="287">
        <v>61.32</v>
      </c>
      <c r="O1847" s="294">
        <f t="shared" si="28"/>
        <v>45565</v>
      </c>
      <c r="P1847" s="286" t="s">
        <v>164</v>
      </c>
    </row>
    <row r="1848" spans="1:16" hidden="1" x14ac:dyDescent="0.15">
      <c r="A1848" s="286">
        <v>778470</v>
      </c>
      <c r="B1848" s="288">
        <v>45555.450694444444</v>
      </c>
      <c r="C1848" s="286" t="s">
        <v>2132</v>
      </c>
      <c r="D1848" s="286" t="s">
        <v>1105</v>
      </c>
      <c r="E1848" s="286" t="s">
        <v>1106</v>
      </c>
      <c r="F1848" s="286" t="s">
        <v>2346</v>
      </c>
      <c r="G1848" s="286" t="s">
        <v>1011</v>
      </c>
      <c r="H1848" s="286" t="s">
        <v>1011</v>
      </c>
      <c r="I1848" s="286" t="s">
        <v>1129</v>
      </c>
      <c r="J1848" s="286" t="s">
        <v>1312</v>
      </c>
      <c r="K1848" s="286" t="s">
        <v>530</v>
      </c>
      <c r="L1848" s="286" t="s">
        <v>531</v>
      </c>
      <c r="M1848" s="286">
        <v>12</v>
      </c>
      <c r="N1848" s="287">
        <v>59.64</v>
      </c>
      <c r="O1848" s="294">
        <f t="shared" si="28"/>
        <v>45565</v>
      </c>
      <c r="P1848" s="286" t="s">
        <v>164</v>
      </c>
    </row>
    <row r="1849" spans="1:16" hidden="1" x14ac:dyDescent="0.15">
      <c r="A1849" s="286">
        <v>549197</v>
      </c>
      <c r="B1849" s="288">
        <v>45400.42083333333</v>
      </c>
      <c r="C1849" s="286" t="s">
        <v>2096</v>
      </c>
      <c r="D1849" s="286" t="s">
        <v>1105</v>
      </c>
      <c r="E1849" s="286" t="s">
        <v>1106</v>
      </c>
      <c r="F1849" s="286" t="s">
        <v>2327</v>
      </c>
      <c r="G1849" s="286" t="s">
        <v>1831</v>
      </c>
      <c r="H1849" s="286" t="s">
        <v>1831</v>
      </c>
      <c r="I1849" s="286" t="s">
        <v>1129</v>
      </c>
      <c r="J1849" s="286" t="s">
        <v>1312</v>
      </c>
      <c r="K1849" s="286" t="s">
        <v>1939</v>
      </c>
      <c r="L1849" s="286" t="s">
        <v>1940</v>
      </c>
      <c r="M1849" s="286">
        <v>2</v>
      </c>
      <c r="N1849" s="287">
        <v>59.28</v>
      </c>
      <c r="O1849" s="294">
        <f t="shared" si="28"/>
        <v>45412</v>
      </c>
      <c r="P1849" s="286" t="s">
        <v>164</v>
      </c>
    </row>
    <row r="1850" spans="1:16" hidden="1" x14ac:dyDescent="0.15">
      <c r="A1850" s="286">
        <v>812436</v>
      </c>
      <c r="B1850" s="288">
        <v>45581.523611111108</v>
      </c>
      <c r="C1850" s="286" t="s">
        <v>2130</v>
      </c>
      <c r="D1850" s="286" t="s">
        <v>1105</v>
      </c>
      <c r="E1850" s="286" t="s">
        <v>1106</v>
      </c>
      <c r="F1850" s="286" t="s">
        <v>2270</v>
      </c>
      <c r="G1850" s="286" t="s">
        <v>1087</v>
      </c>
      <c r="H1850" s="286" t="s">
        <v>1087</v>
      </c>
      <c r="I1850" s="286" t="s">
        <v>1129</v>
      </c>
      <c r="J1850" s="286" t="s">
        <v>1312</v>
      </c>
      <c r="K1850" s="286" t="s">
        <v>528</v>
      </c>
      <c r="L1850" s="286" t="s">
        <v>529</v>
      </c>
      <c r="M1850" s="286">
        <v>16</v>
      </c>
      <c r="N1850" s="287">
        <v>59.04</v>
      </c>
      <c r="O1850" s="294">
        <f t="shared" si="28"/>
        <v>45596</v>
      </c>
      <c r="P1850" s="286" t="s">
        <v>164</v>
      </c>
    </row>
    <row r="1851" spans="1:16" hidden="1" x14ac:dyDescent="0.15">
      <c r="A1851" s="286">
        <v>776534</v>
      </c>
      <c r="B1851" s="288">
        <v>45554.480555555558</v>
      </c>
      <c r="C1851" s="286" t="s">
        <v>2132</v>
      </c>
      <c r="D1851" s="286" t="s">
        <v>1105</v>
      </c>
      <c r="E1851" s="286" t="s">
        <v>1106</v>
      </c>
      <c r="F1851" s="286" t="s">
        <v>2289</v>
      </c>
      <c r="G1851" s="286" t="s">
        <v>1076</v>
      </c>
      <c r="H1851" s="286" t="s">
        <v>1076</v>
      </c>
      <c r="I1851" s="286" t="s">
        <v>1129</v>
      </c>
      <c r="J1851" s="286" t="s">
        <v>1312</v>
      </c>
      <c r="K1851" s="286" t="s">
        <v>858</v>
      </c>
      <c r="L1851" s="286" t="s">
        <v>859</v>
      </c>
      <c r="M1851" s="286">
        <v>1</v>
      </c>
      <c r="N1851" s="287">
        <v>54</v>
      </c>
      <c r="O1851" s="294">
        <f t="shared" si="28"/>
        <v>45565</v>
      </c>
      <c r="P1851" s="286" t="s">
        <v>164</v>
      </c>
    </row>
    <row r="1852" spans="1:16" hidden="1" x14ac:dyDescent="0.15">
      <c r="A1852" s="286">
        <v>504716</v>
      </c>
      <c r="B1852" s="288">
        <v>45359.644444444442</v>
      </c>
      <c r="C1852" s="286" t="s">
        <v>2113</v>
      </c>
      <c r="D1852" s="286" t="s">
        <v>1105</v>
      </c>
      <c r="E1852" s="286" t="s">
        <v>1106</v>
      </c>
      <c r="F1852" s="286" t="s">
        <v>2444</v>
      </c>
      <c r="G1852" s="286" t="s">
        <v>1089</v>
      </c>
      <c r="H1852" s="286" t="s">
        <v>1089</v>
      </c>
      <c r="I1852" s="286" t="s">
        <v>1228</v>
      </c>
      <c r="J1852" s="286" t="s">
        <v>1312</v>
      </c>
      <c r="K1852" s="286" t="s">
        <v>2076</v>
      </c>
      <c r="L1852" s="286" t="s">
        <v>53</v>
      </c>
      <c r="M1852" s="286">
        <v>1</v>
      </c>
      <c r="N1852" s="287">
        <v>53.54</v>
      </c>
      <c r="O1852" s="294">
        <f t="shared" si="28"/>
        <v>45382</v>
      </c>
      <c r="P1852" s="286" t="s">
        <v>58</v>
      </c>
    </row>
    <row r="1853" spans="1:16" hidden="1" x14ac:dyDescent="0.15">
      <c r="A1853" s="286">
        <v>776534</v>
      </c>
      <c r="B1853" s="288">
        <v>45554.480555555558</v>
      </c>
      <c r="C1853" s="286" t="s">
        <v>2132</v>
      </c>
      <c r="D1853" s="286" t="s">
        <v>1105</v>
      </c>
      <c r="E1853" s="286" t="s">
        <v>1106</v>
      </c>
      <c r="F1853" s="286" t="s">
        <v>2289</v>
      </c>
      <c r="G1853" s="286" t="s">
        <v>1076</v>
      </c>
      <c r="H1853" s="286" t="s">
        <v>1076</v>
      </c>
      <c r="I1853" s="286" t="s">
        <v>1129</v>
      </c>
      <c r="J1853" s="286" t="s">
        <v>1312</v>
      </c>
      <c r="K1853" s="286" t="s">
        <v>860</v>
      </c>
      <c r="L1853" s="286" t="s">
        <v>861</v>
      </c>
      <c r="M1853" s="286">
        <v>4</v>
      </c>
      <c r="N1853" s="287">
        <v>53</v>
      </c>
      <c r="O1853" s="294">
        <f t="shared" si="28"/>
        <v>45565</v>
      </c>
      <c r="P1853" s="286" t="s">
        <v>164</v>
      </c>
    </row>
    <row r="1854" spans="1:16" hidden="1" x14ac:dyDescent="0.15">
      <c r="A1854" s="286">
        <v>464905</v>
      </c>
      <c r="B1854" s="288">
        <v>45323.521527777775</v>
      </c>
      <c r="C1854" s="286" t="s">
        <v>2125</v>
      </c>
      <c r="D1854" s="286" t="s">
        <v>1105</v>
      </c>
      <c r="E1854" s="286" t="s">
        <v>1106</v>
      </c>
      <c r="F1854" s="286" t="s">
        <v>2212</v>
      </c>
      <c r="G1854" s="286" t="s">
        <v>1047</v>
      </c>
      <c r="H1854" s="286" t="s">
        <v>1047</v>
      </c>
      <c r="I1854" s="286" t="s">
        <v>1129</v>
      </c>
      <c r="J1854" s="286" t="s">
        <v>1312</v>
      </c>
      <c r="K1854" s="286" t="s">
        <v>724</v>
      </c>
      <c r="L1854" s="286" t="s">
        <v>1934</v>
      </c>
      <c r="M1854" s="286">
        <v>2</v>
      </c>
      <c r="N1854" s="287">
        <v>52</v>
      </c>
      <c r="O1854" s="294">
        <f t="shared" si="28"/>
        <v>45351</v>
      </c>
      <c r="P1854" s="286" t="s">
        <v>164</v>
      </c>
    </row>
    <row r="1855" spans="1:16" hidden="1" x14ac:dyDescent="0.15">
      <c r="A1855" s="286">
        <v>657585</v>
      </c>
      <c r="B1855" s="288">
        <v>45483.55972222222</v>
      </c>
      <c r="C1855" s="286" t="s">
        <v>2111</v>
      </c>
      <c r="D1855" s="286" t="s">
        <v>1105</v>
      </c>
      <c r="E1855" s="286" t="s">
        <v>1106</v>
      </c>
      <c r="F1855" s="286" t="s">
        <v>2339</v>
      </c>
      <c r="G1855" s="286" t="s">
        <v>1050</v>
      </c>
      <c r="H1855" s="286" t="s">
        <v>1050</v>
      </c>
      <c r="I1855" s="286" t="s">
        <v>1129</v>
      </c>
      <c r="J1855" s="286" t="s">
        <v>1312</v>
      </c>
      <c r="K1855" s="286" t="s">
        <v>530</v>
      </c>
      <c r="L1855" s="286" t="s">
        <v>531</v>
      </c>
      <c r="M1855" s="286">
        <v>10</v>
      </c>
      <c r="N1855" s="287">
        <v>49.71</v>
      </c>
      <c r="O1855" s="294">
        <f t="shared" si="28"/>
        <v>45504</v>
      </c>
      <c r="P1855" s="286" t="s">
        <v>164</v>
      </c>
    </row>
    <row r="1856" spans="1:16" hidden="1" x14ac:dyDescent="0.15">
      <c r="A1856" s="286">
        <v>714130</v>
      </c>
      <c r="B1856" s="288">
        <v>45518.59097222222</v>
      </c>
      <c r="C1856" s="286" t="s">
        <v>2102</v>
      </c>
      <c r="D1856" s="286" t="s">
        <v>1105</v>
      </c>
      <c r="E1856" s="286" t="s">
        <v>1106</v>
      </c>
      <c r="F1856" s="286" t="s">
        <v>2286</v>
      </c>
      <c r="G1856" s="286" t="s">
        <v>1011</v>
      </c>
      <c r="H1856" s="286" t="s">
        <v>1011</v>
      </c>
      <c r="I1856" s="286" t="s">
        <v>1129</v>
      </c>
      <c r="J1856" s="286" t="s">
        <v>1312</v>
      </c>
      <c r="K1856" s="286" t="s">
        <v>530</v>
      </c>
      <c r="L1856" s="286" t="s">
        <v>531</v>
      </c>
      <c r="M1856" s="286">
        <v>10</v>
      </c>
      <c r="N1856" s="287">
        <v>49.7</v>
      </c>
      <c r="O1856" s="294">
        <f t="shared" si="28"/>
        <v>45535</v>
      </c>
      <c r="P1856" s="286" t="s">
        <v>164</v>
      </c>
    </row>
    <row r="1857" spans="1:16" hidden="1" x14ac:dyDescent="0.15">
      <c r="A1857" s="286">
        <v>776534</v>
      </c>
      <c r="B1857" s="288">
        <v>45554.480555555558</v>
      </c>
      <c r="C1857" s="286" t="s">
        <v>2132</v>
      </c>
      <c r="D1857" s="286" t="s">
        <v>1105</v>
      </c>
      <c r="E1857" s="286" t="s">
        <v>1106</v>
      </c>
      <c r="F1857" s="286" t="s">
        <v>2289</v>
      </c>
      <c r="G1857" s="286" t="s">
        <v>1076</v>
      </c>
      <c r="H1857" s="286" t="s">
        <v>1076</v>
      </c>
      <c r="I1857" s="286" t="s">
        <v>1129</v>
      </c>
      <c r="J1857" s="286" t="s">
        <v>1312</v>
      </c>
      <c r="K1857" s="286" t="s">
        <v>864</v>
      </c>
      <c r="L1857" s="286" t="s">
        <v>2445</v>
      </c>
      <c r="M1857" s="286">
        <v>240</v>
      </c>
      <c r="N1857" s="287">
        <v>48</v>
      </c>
      <c r="O1857" s="294">
        <f t="shared" si="28"/>
        <v>45565</v>
      </c>
      <c r="P1857" s="286" t="s">
        <v>164</v>
      </c>
    </row>
    <row r="1858" spans="1:16" hidden="1" x14ac:dyDescent="0.15">
      <c r="A1858" s="286">
        <v>709014</v>
      </c>
      <c r="B1858" s="288">
        <v>45516.609722222223</v>
      </c>
      <c r="C1858" s="286" t="s">
        <v>2111</v>
      </c>
      <c r="D1858" s="286" t="s">
        <v>1105</v>
      </c>
      <c r="E1858" s="286" t="s">
        <v>1106</v>
      </c>
      <c r="F1858" s="286" t="s">
        <v>2347</v>
      </c>
      <c r="G1858" s="286" t="s">
        <v>1021</v>
      </c>
      <c r="H1858" s="286" t="s">
        <v>1021</v>
      </c>
      <c r="I1858" s="286" t="s">
        <v>1199</v>
      </c>
      <c r="J1858" s="286" t="s">
        <v>1312</v>
      </c>
      <c r="K1858" s="286" t="s">
        <v>2064</v>
      </c>
      <c r="L1858" s="286" t="s">
        <v>53</v>
      </c>
      <c r="M1858" s="286">
        <v>1</v>
      </c>
      <c r="N1858" s="287">
        <v>46.44</v>
      </c>
      <c r="O1858" s="294">
        <f t="shared" si="28"/>
        <v>45535</v>
      </c>
      <c r="P1858" s="286" t="s">
        <v>58</v>
      </c>
    </row>
    <row r="1859" spans="1:16" hidden="1" x14ac:dyDescent="0.15">
      <c r="A1859" s="286">
        <v>709014</v>
      </c>
      <c r="B1859" s="288">
        <v>45516.609722222223</v>
      </c>
      <c r="C1859" s="286" t="s">
        <v>2111</v>
      </c>
      <c r="D1859" s="286" t="s">
        <v>1105</v>
      </c>
      <c r="E1859" s="286" t="s">
        <v>1106</v>
      </c>
      <c r="F1859" s="286" t="s">
        <v>2347</v>
      </c>
      <c r="G1859" s="286" t="s">
        <v>1021</v>
      </c>
      <c r="H1859" s="286" t="s">
        <v>1021</v>
      </c>
      <c r="I1859" s="286" t="s">
        <v>1199</v>
      </c>
      <c r="J1859" s="286" t="s">
        <v>1312</v>
      </c>
      <c r="K1859" s="286" t="s">
        <v>2064</v>
      </c>
      <c r="L1859" s="286" t="s">
        <v>53</v>
      </c>
      <c r="M1859" s="286">
        <v>1</v>
      </c>
      <c r="N1859" s="287">
        <v>46.44</v>
      </c>
      <c r="O1859" s="294">
        <f t="shared" si="28"/>
        <v>45535</v>
      </c>
      <c r="P1859" s="286" t="s">
        <v>58</v>
      </c>
    </row>
    <row r="1860" spans="1:16" hidden="1" x14ac:dyDescent="0.15">
      <c r="A1860" s="286">
        <v>709014</v>
      </c>
      <c r="B1860" s="288">
        <v>45516.609722222223</v>
      </c>
      <c r="C1860" s="286" t="s">
        <v>2111</v>
      </c>
      <c r="D1860" s="286" t="s">
        <v>1105</v>
      </c>
      <c r="E1860" s="286" t="s">
        <v>1106</v>
      </c>
      <c r="F1860" s="286" t="s">
        <v>2347</v>
      </c>
      <c r="G1860" s="286" t="s">
        <v>1021</v>
      </c>
      <c r="H1860" s="286" t="s">
        <v>1021</v>
      </c>
      <c r="I1860" s="286" t="s">
        <v>1199</v>
      </c>
      <c r="J1860" s="286" t="s">
        <v>1312</v>
      </c>
      <c r="K1860" s="286" t="s">
        <v>2064</v>
      </c>
      <c r="L1860" s="286" t="s">
        <v>53</v>
      </c>
      <c r="M1860" s="286">
        <v>1</v>
      </c>
      <c r="N1860" s="287">
        <v>46.44</v>
      </c>
      <c r="O1860" s="294">
        <f t="shared" ref="O1860:O1923" si="29">EOMONTH(B1860,0)</f>
        <v>45535</v>
      </c>
      <c r="P1860" s="286" t="s">
        <v>58</v>
      </c>
    </row>
    <row r="1861" spans="1:16" hidden="1" x14ac:dyDescent="0.15">
      <c r="A1861" s="286">
        <v>709014</v>
      </c>
      <c r="B1861" s="288">
        <v>45516.609722222223</v>
      </c>
      <c r="C1861" s="286" t="s">
        <v>2111</v>
      </c>
      <c r="D1861" s="286" t="s">
        <v>1105</v>
      </c>
      <c r="E1861" s="286" t="s">
        <v>1106</v>
      </c>
      <c r="F1861" s="286" t="s">
        <v>2347</v>
      </c>
      <c r="G1861" s="286" t="s">
        <v>1021</v>
      </c>
      <c r="H1861" s="286" t="s">
        <v>1021</v>
      </c>
      <c r="I1861" s="286" t="s">
        <v>1199</v>
      </c>
      <c r="J1861" s="286" t="s">
        <v>1312</v>
      </c>
      <c r="K1861" s="286" t="s">
        <v>2064</v>
      </c>
      <c r="L1861" s="286" t="s">
        <v>53</v>
      </c>
      <c r="M1861" s="286">
        <v>1</v>
      </c>
      <c r="N1861" s="287">
        <v>46.44</v>
      </c>
      <c r="O1861" s="294">
        <f t="shared" si="29"/>
        <v>45535</v>
      </c>
      <c r="P1861" s="286" t="s">
        <v>58</v>
      </c>
    </row>
    <row r="1862" spans="1:16" hidden="1" x14ac:dyDescent="0.15">
      <c r="A1862" s="286">
        <v>709014</v>
      </c>
      <c r="B1862" s="288">
        <v>45516.609722222223</v>
      </c>
      <c r="C1862" s="286" t="s">
        <v>2111</v>
      </c>
      <c r="D1862" s="286" t="s">
        <v>1105</v>
      </c>
      <c r="E1862" s="286" t="s">
        <v>1106</v>
      </c>
      <c r="F1862" s="286" t="s">
        <v>2347</v>
      </c>
      <c r="G1862" s="286" t="s">
        <v>1021</v>
      </c>
      <c r="H1862" s="286" t="s">
        <v>1021</v>
      </c>
      <c r="I1862" s="286" t="s">
        <v>1199</v>
      </c>
      <c r="J1862" s="286" t="s">
        <v>1312</v>
      </c>
      <c r="K1862" s="286" t="s">
        <v>2064</v>
      </c>
      <c r="L1862" s="286" t="s">
        <v>53</v>
      </c>
      <c r="M1862" s="286">
        <v>1</v>
      </c>
      <c r="N1862" s="287">
        <v>46.44</v>
      </c>
      <c r="O1862" s="294">
        <f t="shared" si="29"/>
        <v>45535</v>
      </c>
      <c r="P1862" s="286" t="s">
        <v>58</v>
      </c>
    </row>
    <row r="1863" spans="1:16" hidden="1" x14ac:dyDescent="0.15">
      <c r="A1863" s="286">
        <v>709014</v>
      </c>
      <c r="B1863" s="288">
        <v>45516.609722222223</v>
      </c>
      <c r="C1863" s="286" t="s">
        <v>2111</v>
      </c>
      <c r="D1863" s="286" t="s">
        <v>1105</v>
      </c>
      <c r="E1863" s="286" t="s">
        <v>1106</v>
      </c>
      <c r="F1863" s="286" t="s">
        <v>2347</v>
      </c>
      <c r="G1863" s="286" t="s">
        <v>1021</v>
      </c>
      <c r="H1863" s="286" t="s">
        <v>1021</v>
      </c>
      <c r="I1863" s="286" t="s">
        <v>1199</v>
      </c>
      <c r="J1863" s="286" t="s">
        <v>1312</v>
      </c>
      <c r="K1863" s="286" t="s">
        <v>2064</v>
      </c>
      <c r="L1863" s="286" t="s">
        <v>53</v>
      </c>
      <c r="M1863" s="286">
        <v>1</v>
      </c>
      <c r="N1863" s="287">
        <v>46.44</v>
      </c>
      <c r="O1863" s="294">
        <f t="shared" si="29"/>
        <v>45535</v>
      </c>
      <c r="P1863" s="286" t="s">
        <v>58</v>
      </c>
    </row>
    <row r="1864" spans="1:16" hidden="1" x14ac:dyDescent="0.15">
      <c r="A1864" s="286">
        <v>709014</v>
      </c>
      <c r="B1864" s="288">
        <v>45516.609722222223</v>
      </c>
      <c r="C1864" s="286" t="s">
        <v>2111</v>
      </c>
      <c r="D1864" s="286" t="s">
        <v>1105</v>
      </c>
      <c r="E1864" s="286" t="s">
        <v>1106</v>
      </c>
      <c r="F1864" s="286" t="s">
        <v>2347</v>
      </c>
      <c r="G1864" s="286" t="s">
        <v>1021</v>
      </c>
      <c r="H1864" s="286" t="s">
        <v>1021</v>
      </c>
      <c r="I1864" s="286" t="s">
        <v>1199</v>
      </c>
      <c r="J1864" s="286" t="s">
        <v>1312</v>
      </c>
      <c r="K1864" s="286" t="s">
        <v>2064</v>
      </c>
      <c r="L1864" s="286" t="s">
        <v>53</v>
      </c>
      <c r="M1864" s="286">
        <v>1</v>
      </c>
      <c r="N1864" s="287">
        <v>46.44</v>
      </c>
      <c r="O1864" s="294">
        <f t="shared" si="29"/>
        <v>45535</v>
      </c>
      <c r="P1864" s="286" t="s">
        <v>58</v>
      </c>
    </row>
    <row r="1865" spans="1:16" hidden="1" x14ac:dyDescent="0.15">
      <c r="A1865" s="286">
        <v>709014</v>
      </c>
      <c r="B1865" s="288">
        <v>45516.609722222223</v>
      </c>
      <c r="C1865" s="286" t="s">
        <v>2111</v>
      </c>
      <c r="D1865" s="286" t="s">
        <v>1105</v>
      </c>
      <c r="E1865" s="286" t="s">
        <v>1106</v>
      </c>
      <c r="F1865" s="286" t="s">
        <v>2347</v>
      </c>
      <c r="G1865" s="286" t="s">
        <v>1021</v>
      </c>
      <c r="H1865" s="286" t="s">
        <v>1021</v>
      </c>
      <c r="I1865" s="286" t="s">
        <v>1199</v>
      </c>
      <c r="J1865" s="286" t="s">
        <v>1312</v>
      </c>
      <c r="K1865" s="286" t="s">
        <v>2064</v>
      </c>
      <c r="L1865" s="286" t="s">
        <v>53</v>
      </c>
      <c r="M1865" s="286">
        <v>1</v>
      </c>
      <c r="N1865" s="287">
        <v>46.44</v>
      </c>
      <c r="O1865" s="294">
        <f t="shared" si="29"/>
        <v>45535</v>
      </c>
      <c r="P1865" s="286" t="s">
        <v>58</v>
      </c>
    </row>
    <row r="1866" spans="1:16" hidden="1" x14ac:dyDescent="0.15">
      <c r="A1866" s="286">
        <v>709014</v>
      </c>
      <c r="B1866" s="288">
        <v>45516.609722222223</v>
      </c>
      <c r="C1866" s="286" t="s">
        <v>2111</v>
      </c>
      <c r="D1866" s="286" t="s">
        <v>1105</v>
      </c>
      <c r="E1866" s="286" t="s">
        <v>1106</v>
      </c>
      <c r="F1866" s="286" t="s">
        <v>2347</v>
      </c>
      <c r="G1866" s="286" t="s">
        <v>1021</v>
      </c>
      <c r="H1866" s="286" t="s">
        <v>1021</v>
      </c>
      <c r="I1866" s="286" t="s">
        <v>1199</v>
      </c>
      <c r="J1866" s="286" t="s">
        <v>1312</v>
      </c>
      <c r="K1866" s="286" t="s">
        <v>2064</v>
      </c>
      <c r="L1866" s="286" t="s">
        <v>53</v>
      </c>
      <c r="M1866" s="286">
        <v>1</v>
      </c>
      <c r="N1866" s="287">
        <v>46.44</v>
      </c>
      <c r="O1866" s="294">
        <f t="shared" si="29"/>
        <v>45535</v>
      </c>
      <c r="P1866" s="286" t="s">
        <v>58</v>
      </c>
    </row>
    <row r="1867" spans="1:16" hidden="1" x14ac:dyDescent="0.15">
      <c r="A1867" s="286">
        <v>709014</v>
      </c>
      <c r="B1867" s="288">
        <v>45516.609722222223</v>
      </c>
      <c r="C1867" s="286" t="s">
        <v>2111</v>
      </c>
      <c r="D1867" s="286" t="s">
        <v>1105</v>
      </c>
      <c r="E1867" s="286" t="s">
        <v>1106</v>
      </c>
      <c r="F1867" s="286" t="s">
        <v>2347</v>
      </c>
      <c r="G1867" s="286" t="s">
        <v>1021</v>
      </c>
      <c r="H1867" s="286" t="s">
        <v>1021</v>
      </c>
      <c r="I1867" s="286" t="s">
        <v>1199</v>
      </c>
      <c r="J1867" s="286" t="s">
        <v>1312</v>
      </c>
      <c r="K1867" s="286" t="s">
        <v>2064</v>
      </c>
      <c r="L1867" s="286" t="s">
        <v>53</v>
      </c>
      <c r="M1867" s="286">
        <v>1</v>
      </c>
      <c r="N1867" s="287">
        <v>46.44</v>
      </c>
      <c r="O1867" s="294">
        <f t="shared" si="29"/>
        <v>45535</v>
      </c>
      <c r="P1867" s="286" t="s">
        <v>58</v>
      </c>
    </row>
    <row r="1868" spans="1:16" hidden="1" x14ac:dyDescent="0.15">
      <c r="A1868" s="286">
        <v>714130</v>
      </c>
      <c r="B1868" s="288">
        <v>45518.59097222222</v>
      </c>
      <c r="C1868" s="286" t="s">
        <v>2102</v>
      </c>
      <c r="D1868" s="286" t="s">
        <v>1105</v>
      </c>
      <c r="E1868" s="286" t="s">
        <v>1106</v>
      </c>
      <c r="F1868" s="286" t="s">
        <v>2286</v>
      </c>
      <c r="G1868" s="286" t="s">
        <v>1021</v>
      </c>
      <c r="H1868" s="286" t="s">
        <v>1021</v>
      </c>
      <c r="I1868" s="286" t="s">
        <v>1199</v>
      </c>
      <c r="J1868" s="286" t="s">
        <v>1312</v>
      </c>
      <c r="K1868" s="286" t="s">
        <v>2064</v>
      </c>
      <c r="L1868" s="286" t="s">
        <v>53</v>
      </c>
      <c r="M1868" s="286">
        <v>1</v>
      </c>
      <c r="N1868" s="287">
        <v>46.44</v>
      </c>
      <c r="O1868" s="294">
        <f t="shared" si="29"/>
        <v>45535</v>
      </c>
      <c r="P1868" s="286" t="s">
        <v>58</v>
      </c>
    </row>
    <row r="1869" spans="1:16" hidden="1" x14ac:dyDescent="0.15">
      <c r="A1869" s="286">
        <v>706328</v>
      </c>
      <c r="B1869" s="288">
        <v>45513.59375</v>
      </c>
      <c r="C1869" s="286" t="s">
        <v>2102</v>
      </c>
      <c r="D1869" s="286" t="s">
        <v>1105</v>
      </c>
      <c r="E1869" s="286" t="s">
        <v>1106</v>
      </c>
      <c r="F1869" s="286" t="s">
        <v>2356</v>
      </c>
      <c r="G1869" s="286" t="s">
        <v>1004</v>
      </c>
      <c r="H1869" s="286" t="s">
        <v>1004</v>
      </c>
      <c r="I1869" s="286" t="s">
        <v>1152</v>
      </c>
      <c r="J1869" s="286" t="s">
        <v>1312</v>
      </c>
      <c r="K1869" s="286" t="s">
        <v>1505</v>
      </c>
      <c r="L1869" s="286" t="s">
        <v>1506</v>
      </c>
      <c r="M1869" s="286">
        <v>1</v>
      </c>
      <c r="N1869" s="287">
        <v>45.29</v>
      </c>
      <c r="O1869" s="294">
        <f t="shared" si="29"/>
        <v>45535</v>
      </c>
      <c r="P1869" s="286" t="s">
        <v>58</v>
      </c>
    </row>
    <row r="1870" spans="1:16" hidden="1" x14ac:dyDescent="0.15">
      <c r="A1870" s="286">
        <v>784525</v>
      </c>
      <c r="B1870" s="288">
        <v>45559.536111111112</v>
      </c>
      <c r="C1870" s="286" t="s">
        <v>2132</v>
      </c>
      <c r="D1870" s="286" t="s">
        <v>1105</v>
      </c>
      <c r="E1870" s="286" t="s">
        <v>1106</v>
      </c>
      <c r="F1870" s="286" t="s">
        <v>2446</v>
      </c>
      <c r="G1870" s="286" t="s">
        <v>1048</v>
      </c>
      <c r="H1870" s="286" t="s">
        <v>1048</v>
      </c>
      <c r="I1870" s="286" t="s">
        <v>1199</v>
      </c>
      <c r="J1870" s="286" t="s">
        <v>1312</v>
      </c>
      <c r="K1870" s="286" t="s">
        <v>2447</v>
      </c>
      <c r="L1870" s="286" t="s">
        <v>53</v>
      </c>
      <c r="M1870" s="286">
        <v>1</v>
      </c>
      <c r="N1870" s="287">
        <v>44.64</v>
      </c>
      <c r="O1870" s="294">
        <f t="shared" si="29"/>
        <v>45565</v>
      </c>
      <c r="P1870" s="286" t="s">
        <v>58</v>
      </c>
    </row>
    <row r="1871" spans="1:16" hidden="1" x14ac:dyDescent="0.15">
      <c r="A1871" s="286">
        <v>784525</v>
      </c>
      <c r="B1871" s="288">
        <v>45559.536111111112</v>
      </c>
      <c r="C1871" s="286" t="s">
        <v>2132</v>
      </c>
      <c r="D1871" s="286" t="s">
        <v>1105</v>
      </c>
      <c r="E1871" s="286" t="s">
        <v>1106</v>
      </c>
      <c r="F1871" s="286" t="s">
        <v>2446</v>
      </c>
      <c r="G1871" s="286" t="s">
        <v>1048</v>
      </c>
      <c r="H1871" s="286" t="s">
        <v>1048</v>
      </c>
      <c r="I1871" s="286" t="s">
        <v>1199</v>
      </c>
      <c r="J1871" s="286" t="s">
        <v>1312</v>
      </c>
      <c r="K1871" s="286" t="s">
        <v>2447</v>
      </c>
      <c r="L1871" s="286" t="s">
        <v>53</v>
      </c>
      <c r="M1871" s="286">
        <v>1</v>
      </c>
      <c r="N1871" s="287">
        <v>43.41</v>
      </c>
      <c r="O1871" s="294">
        <f t="shared" si="29"/>
        <v>45565</v>
      </c>
      <c r="P1871" s="286" t="s">
        <v>58</v>
      </c>
    </row>
    <row r="1872" spans="1:16" hidden="1" x14ac:dyDescent="0.15">
      <c r="A1872" s="286">
        <v>455870</v>
      </c>
      <c r="B1872" s="288">
        <v>45310.583333333336</v>
      </c>
      <c r="C1872" s="286" t="s">
        <v>2125</v>
      </c>
      <c r="D1872" s="286" t="s">
        <v>1105</v>
      </c>
      <c r="E1872" s="286" t="s">
        <v>1106</v>
      </c>
      <c r="F1872" s="286" t="s">
        <v>2280</v>
      </c>
      <c r="G1872" s="286" t="s">
        <v>1045</v>
      </c>
      <c r="H1872" s="286" t="s">
        <v>1045</v>
      </c>
      <c r="I1872" s="286" t="s">
        <v>1152</v>
      </c>
      <c r="J1872" s="286" t="s">
        <v>1312</v>
      </c>
      <c r="K1872" s="286" t="s">
        <v>1505</v>
      </c>
      <c r="L1872" s="286" t="s">
        <v>1506</v>
      </c>
      <c r="M1872" s="286">
        <v>1</v>
      </c>
      <c r="N1872" s="287">
        <v>39.11</v>
      </c>
      <c r="O1872" s="294">
        <f t="shared" si="29"/>
        <v>45322</v>
      </c>
      <c r="P1872" s="286" t="s">
        <v>58</v>
      </c>
    </row>
    <row r="1873" spans="1:16" hidden="1" x14ac:dyDescent="0.15">
      <c r="A1873" s="286">
        <v>495492</v>
      </c>
      <c r="B1873" s="288">
        <v>45351.411805555559</v>
      </c>
      <c r="C1873" s="286" t="s">
        <v>2125</v>
      </c>
      <c r="D1873" s="286" t="s">
        <v>1105</v>
      </c>
      <c r="E1873" s="286" t="s">
        <v>1106</v>
      </c>
      <c r="F1873" s="286" t="s">
        <v>2437</v>
      </c>
      <c r="G1873" s="286" t="s">
        <v>1045</v>
      </c>
      <c r="H1873" s="286" t="s">
        <v>1045</v>
      </c>
      <c r="I1873" s="286" t="s">
        <v>1129</v>
      </c>
      <c r="J1873" s="286" t="s">
        <v>1312</v>
      </c>
      <c r="K1873" s="286" t="s">
        <v>53</v>
      </c>
      <c r="L1873" s="286" t="s">
        <v>53</v>
      </c>
      <c r="M1873" s="286" t="s">
        <v>53</v>
      </c>
      <c r="N1873" s="287">
        <v>39.11</v>
      </c>
      <c r="O1873" s="294">
        <f t="shared" si="29"/>
        <v>45351</v>
      </c>
      <c r="P1873" s="286" t="s">
        <v>164</v>
      </c>
    </row>
    <row r="1874" spans="1:16" hidden="1" x14ac:dyDescent="0.15">
      <c r="A1874" s="286">
        <v>650145</v>
      </c>
      <c r="B1874" s="288">
        <v>45476.460416666669</v>
      </c>
      <c r="C1874" s="286" t="s">
        <v>2111</v>
      </c>
      <c r="D1874" s="286" t="s">
        <v>1105</v>
      </c>
      <c r="E1874" s="286" t="s">
        <v>1106</v>
      </c>
      <c r="F1874" s="286" t="s">
        <v>2448</v>
      </c>
      <c r="G1874" s="286" t="s">
        <v>1043</v>
      </c>
      <c r="H1874" s="286" t="s">
        <v>1043</v>
      </c>
      <c r="I1874" s="286" t="s">
        <v>1129</v>
      </c>
      <c r="J1874" s="286" t="s">
        <v>1312</v>
      </c>
      <c r="K1874" s="286" t="s">
        <v>2449</v>
      </c>
      <c r="L1874" s="286" t="s">
        <v>2450</v>
      </c>
      <c r="M1874" s="286">
        <v>2</v>
      </c>
      <c r="N1874" s="287">
        <v>36.86</v>
      </c>
      <c r="O1874" s="294">
        <f t="shared" si="29"/>
        <v>45504</v>
      </c>
      <c r="P1874" s="286" t="s">
        <v>164</v>
      </c>
    </row>
    <row r="1875" spans="1:16" hidden="1" x14ac:dyDescent="0.15">
      <c r="A1875" s="286">
        <v>483613</v>
      </c>
      <c r="B1875" s="288">
        <v>45342.459027777775</v>
      </c>
      <c r="C1875" s="286" t="s">
        <v>2113</v>
      </c>
      <c r="D1875" s="286" t="s">
        <v>1105</v>
      </c>
      <c r="E1875" s="286" t="s">
        <v>1106</v>
      </c>
      <c r="F1875" s="286" t="s">
        <v>2263</v>
      </c>
      <c r="G1875" s="286" t="s">
        <v>1053</v>
      </c>
      <c r="H1875" s="286" t="s">
        <v>1053</v>
      </c>
      <c r="I1875" s="286" t="s">
        <v>1129</v>
      </c>
      <c r="J1875" s="286" t="s">
        <v>1312</v>
      </c>
      <c r="K1875" s="286" t="s">
        <v>732</v>
      </c>
      <c r="L1875" s="286" t="s">
        <v>750</v>
      </c>
      <c r="M1875" s="286">
        <v>1</v>
      </c>
      <c r="N1875" s="287">
        <v>36</v>
      </c>
      <c r="O1875" s="294">
        <f t="shared" si="29"/>
        <v>45351</v>
      </c>
      <c r="P1875" s="286" t="s">
        <v>164</v>
      </c>
    </row>
    <row r="1876" spans="1:16" hidden="1" x14ac:dyDescent="0.15">
      <c r="A1876" s="286">
        <v>805278</v>
      </c>
      <c r="B1876" s="288">
        <v>45576.382638888892</v>
      </c>
      <c r="C1876" s="286" t="s">
        <v>2130</v>
      </c>
      <c r="D1876" s="286" t="s">
        <v>1105</v>
      </c>
      <c r="E1876" s="286" t="s">
        <v>1106</v>
      </c>
      <c r="F1876" s="286" t="s">
        <v>2451</v>
      </c>
      <c r="G1876" s="286" t="s">
        <v>1061</v>
      </c>
      <c r="H1876" s="286" t="s">
        <v>1061</v>
      </c>
      <c r="I1876" s="286" t="s">
        <v>1152</v>
      </c>
      <c r="J1876" s="286" t="s">
        <v>1312</v>
      </c>
      <c r="K1876" s="286" t="s">
        <v>1972</v>
      </c>
      <c r="L1876" s="286" t="s">
        <v>1973</v>
      </c>
      <c r="M1876" s="286">
        <v>1</v>
      </c>
      <c r="N1876" s="287">
        <v>35.51</v>
      </c>
      <c r="O1876" s="294">
        <f t="shared" si="29"/>
        <v>45596</v>
      </c>
      <c r="P1876" s="286" t="s">
        <v>58</v>
      </c>
    </row>
    <row r="1877" spans="1:16" hidden="1" x14ac:dyDescent="0.15">
      <c r="A1877" s="286">
        <v>848716</v>
      </c>
      <c r="B1877" s="288">
        <v>45607.647916666669</v>
      </c>
      <c r="C1877" s="286" t="s">
        <v>2130</v>
      </c>
      <c r="D1877" s="286" t="s">
        <v>1105</v>
      </c>
      <c r="E1877" s="286" t="s">
        <v>1106</v>
      </c>
      <c r="F1877" s="286" t="s">
        <v>2241</v>
      </c>
      <c r="G1877" s="286" t="s">
        <v>1061</v>
      </c>
      <c r="H1877" s="286" t="s">
        <v>1061</v>
      </c>
      <c r="I1877" s="286" t="s">
        <v>1129</v>
      </c>
      <c r="J1877" s="286" t="s">
        <v>1312</v>
      </c>
      <c r="K1877" s="286" t="s">
        <v>53</v>
      </c>
      <c r="L1877" s="286" t="s">
        <v>53</v>
      </c>
      <c r="M1877" s="286" t="s">
        <v>53</v>
      </c>
      <c r="N1877" s="287">
        <v>35.51</v>
      </c>
      <c r="O1877" s="294">
        <f t="shared" si="29"/>
        <v>45626</v>
      </c>
      <c r="P1877" s="286" t="s">
        <v>164</v>
      </c>
    </row>
    <row r="1878" spans="1:16" x14ac:dyDescent="0.15">
      <c r="A1878" s="286">
        <v>800112</v>
      </c>
      <c r="B1878" s="288">
        <v>45569.661805555559</v>
      </c>
      <c r="C1878" s="286" t="s">
        <v>2130</v>
      </c>
      <c r="D1878" s="286" t="s">
        <v>1105</v>
      </c>
      <c r="E1878" s="286" t="s">
        <v>1106</v>
      </c>
      <c r="F1878" s="286" t="s">
        <v>2340</v>
      </c>
      <c r="G1878" s="286" t="s">
        <v>1066</v>
      </c>
      <c r="H1878" s="286" t="s">
        <v>1066</v>
      </c>
      <c r="I1878" s="286" t="s">
        <v>1152</v>
      </c>
      <c r="J1878" s="286" t="s">
        <v>1312</v>
      </c>
      <c r="K1878" s="286" t="s">
        <v>1972</v>
      </c>
      <c r="L1878" s="286" t="s">
        <v>1973</v>
      </c>
      <c r="M1878" s="286">
        <v>1</v>
      </c>
      <c r="N1878" s="287">
        <v>35.17</v>
      </c>
      <c r="O1878" s="294">
        <f t="shared" si="29"/>
        <v>45596</v>
      </c>
      <c r="P1878" s="286" t="s">
        <v>58</v>
      </c>
    </row>
    <row r="1879" spans="1:16" x14ac:dyDescent="0.15">
      <c r="A1879" s="286">
        <v>848716</v>
      </c>
      <c r="B1879" s="288">
        <v>45607.647916666669</v>
      </c>
      <c r="C1879" s="286" t="s">
        <v>2130</v>
      </c>
      <c r="D1879" s="286" t="s">
        <v>1105</v>
      </c>
      <c r="E1879" s="286" t="s">
        <v>1106</v>
      </c>
      <c r="F1879" s="286" t="s">
        <v>2241</v>
      </c>
      <c r="G1879" s="286" t="s">
        <v>1066</v>
      </c>
      <c r="H1879" s="286" t="s">
        <v>1066</v>
      </c>
      <c r="I1879" s="286" t="s">
        <v>1129</v>
      </c>
      <c r="J1879" s="286" t="s">
        <v>1312</v>
      </c>
      <c r="K1879" s="286" t="s">
        <v>53</v>
      </c>
      <c r="L1879" s="286" t="s">
        <v>53</v>
      </c>
      <c r="M1879" s="286" t="s">
        <v>53</v>
      </c>
      <c r="N1879" s="287">
        <v>35.17</v>
      </c>
      <c r="O1879" s="294">
        <f t="shared" si="29"/>
        <v>45626</v>
      </c>
      <c r="P1879" s="286" t="s">
        <v>164</v>
      </c>
    </row>
    <row r="1880" spans="1:16" hidden="1" x14ac:dyDescent="0.15">
      <c r="A1880" s="286">
        <v>709014</v>
      </c>
      <c r="B1880" s="288">
        <v>45516.609722222223</v>
      </c>
      <c r="C1880" s="286" t="s">
        <v>2111</v>
      </c>
      <c r="D1880" s="286" t="s">
        <v>1105</v>
      </c>
      <c r="E1880" s="286" t="s">
        <v>1106</v>
      </c>
      <c r="F1880" s="286" t="s">
        <v>2347</v>
      </c>
      <c r="G1880" s="286" t="s">
        <v>1021</v>
      </c>
      <c r="H1880" s="286" t="s">
        <v>1021</v>
      </c>
      <c r="I1880" s="286" t="s">
        <v>1199</v>
      </c>
      <c r="J1880" s="286" t="s">
        <v>1312</v>
      </c>
      <c r="K1880" s="286" t="s">
        <v>2068</v>
      </c>
      <c r="L1880" s="286" t="s">
        <v>53</v>
      </c>
      <c r="M1880" s="286">
        <v>1</v>
      </c>
      <c r="N1880" s="287">
        <v>34.909999999999997</v>
      </c>
      <c r="O1880" s="294">
        <f t="shared" si="29"/>
        <v>45535</v>
      </c>
      <c r="P1880" s="286" t="s">
        <v>58</v>
      </c>
    </row>
    <row r="1881" spans="1:16" hidden="1" x14ac:dyDescent="0.15">
      <c r="A1881" s="286">
        <v>744833</v>
      </c>
      <c r="B1881" s="288">
        <v>45534.574305555558</v>
      </c>
      <c r="C1881" s="286" t="s">
        <v>2102</v>
      </c>
      <c r="D1881" s="286" t="s">
        <v>1105</v>
      </c>
      <c r="E1881" s="286" t="s">
        <v>1106</v>
      </c>
      <c r="F1881" s="286" t="s">
        <v>2452</v>
      </c>
      <c r="G1881" s="286" t="s">
        <v>1045</v>
      </c>
      <c r="H1881" s="286" t="s">
        <v>1045</v>
      </c>
      <c r="I1881" s="286" t="s">
        <v>1152</v>
      </c>
      <c r="J1881" s="286" t="s">
        <v>1312</v>
      </c>
      <c r="K1881" s="286" t="s">
        <v>1972</v>
      </c>
      <c r="L1881" s="286" t="s">
        <v>1973</v>
      </c>
      <c r="M1881" s="286">
        <v>1</v>
      </c>
      <c r="N1881" s="287">
        <v>34.89</v>
      </c>
      <c r="O1881" s="294">
        <f t="shared" si="29"/>
        <v>45535</v>
      </c>
      <c r="P1881" s="286" t="s">
        <v>58</v>
      </c>
    </row>
    <row r="1882" spans="1:16" hidden="1" x14ac:dyDescent="0.15">
      <c r="A1882" s="286">
        <v>706328</v>
      </c>
      <c r="B1882" s="288">
        <v>45513.59375</v>
      </c>
      <c r="C1882" s="286" t="s">
        <v>2102</v>
      </c>
      <c r="D1882" s="286" t="s">
        <v>1105</v>
      </c>
      <c r="E1882" s="286" t="s">
        <v>1106</v>
      </c>
      <c r="F1882" s="286" t="s">
        <v>2356</v>
      </c>
      <c r="G1882" s="286" t="s">
        <v>1004</v>
      </c>
      <c r="H1882" s="286" t="s">
        <v>1004</v>
      </c>
      <c r="I1882" s="286" t="s">
        <v>1152</v>
      </c>
      <c r="J1882" s="286" t="s">
        <v>1312</v>
      </c>
      <c r="K1882" s="286" t="s">
        <v>1972</v>
      </c>
      <c r="L1882" s="286" t="s">
        <v>1973</v>
      </c>
      <c r="M1882" s="286">
        <v>1</v>
      </c>
      <c r="N1882" s="287">
        <v>34.26</v>
      </c>
      <c r="O1882" s="294">
        <f t="shared" si="29"/>
        <v>45535</v>
      </c>
      <c r="P1882" s="286" t="s">
        <v>58</v>
      </c>
    </row>
    <row r="1883" spans="1:16" hidden="1" x14ac:dyDescent="0.15">
      <c r="A1883" s="286">
        <v>825672</v>
      </c>
      <c r="B1883" s="288">
        <v>45589.395138888889</v>
      </c>
      <c r="C1883" s="286" t="s">
        <v>2130</v>
      </c>
      <c r="D1883" s="286" t="s">
        <v>1105</v>
      </c>
      <c r="E1883" s="286" t="s">
        <v>1106</v>
      </c>
      <c r="F1883" s="286" t="s">
        <v>2311</v>
      </c>
      <c r="G1883" s="286" t="s">
        <v>1017</v>
      </c>
      <c r="H1883" s="286" t="s">
        <v>1017</v>
      </c>
      <c r="I1883" s="286" t="s">
        <v>1152</v>
      </c>
      <c r="J1883" s="286" t="s">
        <v>1312</v>
      </c>
      <c r="K1883" s="286" t="s">
        <v>53</v>
      </c>
      <c r="L1883" s="286" t="s">
        <v>53</v>
      </c>
      <c r="M1883" s="286" t="s">
        <v>53</v>
      </c>
      <c r="N1883" s="287">
        <v>33.770000000000003</v>
      </c>
      <c r="O1883" s="294">
        <f t="shared" si="29"/>
        <v>45596</v>
      </c>
      <c r="P1883" s="286" t="s">
        <v>58</v>
      </c>
    </row>
    <row r="1884" spans="1:16" hidden="1" x14ac:dyDescent="0.15">
      <c r="A1884" s="286">
        <v>453975</v>
      </c>
      <c r="B1884" s="288">
        <v>45309.636111111111</v>
      </c>
      <c r="C1884" s="286" t="s">
        <v>2125</v>
      </c>
      <c r="D1884" s="286" t="s">
        <v>1105</v>
      </c>
      <c r="E1884" s="286" t="s">
        <v>1106</v>
      </c>
      <c r="F1884" s="286" t="s">
        <v>2333</v>
      </c>
      <c r="G1884" s="286" t="s">
        <v>1074</v>
      </c>
      <c r="H1884" s="286" t="s">
        <v>1034</v>
      </c>
      <c r="I1884" s="286" t="s">
        <v>1129</v>
      </c>
      <c r="J1884" s="286" t="s">
        <v>1312</v>
      </c>
      <c r="K1884" s="286" t="s">
        <v>1313</v>
      </c>
      <c r="L1884" s="286" t="s">
        <v>1314</v>
      </c>
      <c r="M1884" s="286">
        <v>1</v>
      </c>
      <c r="N1884" s="287">
        <v>33.43</v>
      </c>
      <c r="O1884" s="294">
        <f t="shared" si="29"/>
        <v>45322</v>
      </c>
      <c r="P1884" s="286" t="s">
        <v>164</v>
      </c>
    </row>
    <row r="1885" spans="1:16" hidden="1" x14ac:dyDescent="0.15">
      <c r="A1885" s="286">
        <v>652082</v>
      </c>
      <c r="B1885" s="288">
        <v>45481.518055555556</v>
      </c>
      <c r="C1885" s="286" t="s">
        <v>2111</v>
      </c>
      <c r="D1885" s="286" t="s">
        <v>1105</v>
      </c>
      <c r="E1885" s="286" t="s">
        <v>1106</v>
      </c>
      <c r="F1885" s="286" t="s">
        <v>2290</v>
      </c>
      <c r="G1885" s="286" t="s">
        <v>1068</v>
      </c>
      <c r="H1885" s="286" t="s">
        <v>1068</v>
      </c>
      <c r="I1885" s="286" t="s">
        <v>1152</v>
      </c>
      <c r="J1885" s="286" t="s">
        <v>1312</v>
      </c>
      <c r="K1885" s="286" t="s">
        <v>1972</v>
      </c>
      <c r="L1885" s="286" t="s">
        <v>1973</v>
      </c>
      <c r="M1885" s="286">
        <v>1</v>
      </c>
      <c r="N1885" s="287">
        <v>33.229999999999997</v>
      </c>
      <c r="O1885" s="294">
        <f t="shared" si="29"/>
        <v>45504</v>
      </c>
      <c r="P1885" s="286" t="s">
        <v>58</v>
      </c>
    </row>
    <row r="1886" spans="1:16" hidden="1" x14ac:dyDescent="0.15">
      <c r="A1886" s="286">
        <v>464905</v>
      </c>
      <c r="B1886" s="288">
        <v>45323.521527777775</v>
      </c>
      <c r="C1886" s="286" t="s">
        <v>2125</v>
      </c>
      <c r="D1886" s="286" t="s">
        <v>1105</v>
      </c>
      <c r="E1886" s="286" t="s">
        <v>1106</v>
      </c>
      <c r="F1886" s="286" t="s">
        <v>2212</v>
      </c>
      <c r="G1886" s="286" t="s">
        <v>1047</v>
      </c>
      <c r="H1886" s="286" t="s">
        <v>1047</v>
      </c>
      <c r="I1886" s="286" t="s">
        <v>1129</v>
      </c>
      <c r="J1886" s="286" t="s">
        <v>1312</v>
      </c>
      <c r="K1886" s="286" t="s">
        <v>732</v>
      </c>
      <c r="L1886" s="286" t="s">
        <v>750</v>
      </c>
      <c r="M1886" s="286">
        <v>1</v>
      </c>
      <c r="N1886" s="287">
        <v>33</v>
      </c>
      <c r="O1886" s="294">
        <f t="shared" si="29"/>
        <v>45351</v>
      </c>
      <c r="P1886" s="286" t="s">
        <v>164</v>
      </c>
    </row>
    <row r="1887" spans="1:16" hidden="1" x14ac:dyDescent="0.15">
      <c r="A1887" s="286">
        <v>453975</v>
      </c>
      <c r="B1887" s="288">
        <v>45309.636111111111</v>
      </c>
      <c r="C1887" s="286" t="s">
        <v>2125</v>
      </c>
      <c r="D1887" s="286" t="s">
        <v>1105</v>
      </c>
      <c r="E1887" s="286" t="s">
        <v>1106</v>
      </c>
      <c r="F1887" s="286" t="s">
        <v>2333</v>
      </c>
      <c r="G1887" s="286" t="s">
        <v>1786</v>
      </c>
      <c r="H1887" s="286" t="s">
        <v>1786</v>
      </c>
      <c r="I1887" s="286" t="s">
        <v>1152</v>
      </c>
      <c r="J1887" s="286" t="s">
        <v>1312</v>
      </c>
      <c r="K1887" s="286" t="s">
        <v>1972</v>
      </c>
      <c r="L1887" s="286" t="s">
        <v>1973</v>
      </c>
      <c r="M1887" s="286">
        <v>2</v>
      </c>
      <c r="N1887" s="287">
        <v>32.43</v>
      </c>
      <c r="O1887" s="294">
        <f t="shared" si="29"/>
        <v>45322</v>
      </c>
      <c r="P1887" s="286" t="s">
        <v>58</v>
      </c>
    </row>
    <row r="1888" spans="1:16" hidden="1" x14ac:dyDescent="0.15">
      <c r="A1888" s="286">
        <v>453975</v>
      </c>
      <c r="B1888" s="288">
        <v>45309.636111111111</v>
      </c>
      <c r="C1888" s="286" t="s">
        <v>2125</v>
      </c>
      <c r="D1888" s="286" t="s">
        <v>1105</v>
      </c>
      <c r="E1888" s="286" t="s">
        <v>1106</v>
      </c>
      <c r="F1888" s="286" t="s">
        <v>2333</v>
      </c>
      <c r="G1888" s="286" t="s">
        <v>1786</v>
      </c>
      <c r="H1888" s="286" t="s">
        <v>1786</v>
      </c>
      <c r="I1888" s="286" t="s">
        <v>1152</v>
      </c>
      <c r="J1888" s="286" t="s">
        <v>1312</v>
      </c>
      <c r="K1888" s="286" t="s">
        <v>1972</v>
      </c>
      <c r="L1888" s="286" t="s">
        <v>1973</v>
      </c>
      <c r="M1888" s="286">
        <v>2</v>
      </c>
      <c r="N1888" s="287">
        <v>32.43</v>
      </c>
      <c r="O1888" s="294">
        <f t="shared" si="29"/>
        <v>45322</v>
      </c>
      <c r="P1888" s="286" t="s">
        <v>58</v>
      </c>
    </row>
    <row r="1889" spans="1:16" hidden="1" x14ac:dyDescent="0.15">
      <c r="A1889" s="286">
        <v>483613</v>
      </c>
      <c r="B1889" s="288">
        <v>45342.459027777775</v>
      </c>
      <c r="C1889" s="286" t="s">
        <v>2113</v>
      </c>
      <c r="D1889" s="286" t="s">
        <v>1105</v>
      </c>
      <c r="E1889" s="286" t="s">
        <v>1106</v>
      </c>
      <c r="F1889" s="286" t="s">
        <v>2263</v>
      </c>
      <c r="G1889" s="286" t="s">
        <v>1053</v>
      </c>
      <c r="H1889" s="286" t="s">
        <v>1053</v>
      </c>
      <c r="I1889" s="286" t="s">
        <v>1129</v>
      </c>
      <c r="J1889" s="286" t="s">
        <v>1312</v>
      </c>
      <c r="K1889" s="286" t="s">
        <v>320</v>
      </c>
      <c r="L1889" s="286" t="s">
        <v>749</v>
      </c>
      <c r="M1889" s="286">
        <v>1</v>
      </c>
      <c r="N1889" s="287">
        <v>32</v>
      </c>
      <c r="O1889" s="294">
        <f t="shared" si="29"/>
        <v>45351</v>
      </c>
      <c r="P1889" s="286" t="s">
        <v>164</v>
      </c>
    </row>
    <row r="1890" spans="1:16" hidden="1" x14ac:dyDescent="0.15">
      <c r="A1890" s="286">
        <v>776534</v>
      </c>
      <c r="B1890" s="288">
        <v>45554.480555555558</v>
      </c>
      <c r="C1890" s="286" t="s">
        <v>2132</v>
      </c>
      <c r="D1890" s="286" t="s">
        <v>1105</v>
      </c>
      <c r="E1890" s="286" t="s">
        <v>1106</v>
      </c>
      <c r="F1890" s="286" t="s">
        <v>2289</v>
      </c>
      <c r="G1890" s="286" t="s">
        <v>1076</v>
      </c>
      <c r="H1890" s="286" t="s">
        <v>1076</v>
      </c>
      <c r="I1890" s="286" t="s">
        <v>1129</v>
      </c>
      <c r="J1890" s="286" t="s">
        <v>1312</v>
      </c>
      <c r="K1890" s="286" t="s">
        <v>862</v>
      </c>
      <c r="L1890" s="286" t="s">
        <v>863</v>
      </c>
      <c r="M1890" s="286">
        <v>4</v>
      </c>
      <c r="N1890" s="287">
        <v>31</v>
      </c>
      <c r="O1890" s="294">
        <f t="shared" si="29"/>
        <v>45565</v>
      </c>
      <c r="P1890" s="286" t="s">
        <v>164</v>
      </c>
    </row>
    <row r="1891" spans="1:16" hidden="1" x14ac:dyDescent="0.15">
      <c r="A1891" s="286">
        <v>472168</v>
      </c>
      <c r="B1891" s="288">
        <v>45331.416666666664</v>
      </c>
      <c r="C1891" s="286" t="s">
        <v>2113</v>
      </c>
      <c r="D1891" s="286" t="s">
        <v>1105</v>
      </c>
      <c r="E1891" s="286" t="s">
        <v>1106</v>
      </c>
      <c r="F1891" s="286" t="s">
        <v>2153</v>
      </c>
      <c r="G1891" s="286" t="s">
        <v>1831</v>
      </c>
      <c r="H1891" s="286" t="s">
        <v>1831</v>
      </c>
      <c r="I1891" s="286" t="s">
        <v>1129</v>
      </c>
      <c r="J1891" s="286" t="s">
        <v>1312</v>
      </c>
      <c r="K1891" s="286" t="s">
        <v>2432</v>
      </c>
      <c r="L1891" s="286" t="s">
        <v>2433</v>
      </c>
      <c r="M1891" s="286">
        <v>2</v>
      </c>
      <c r="N1891" s="287">
        <v>25</v>
      </c>
      <c r="O1891" s="294">
        <f t="shared" si="29"/>
        <v>45351</v>
      </c>
      <c r="P1891" s="286" t="s">
        <v>164</v>
      </c>
    </row>
    <row r="1892" spans="1:16" hidden="1" x14ac:dyDescent="0.15">
      <c r="A1892" s="286">
        <v>709014</v>
      </c>
      <c r="B1892" s="288">
        <v>45516.609722222223</v>
      </c>
      <c r="C1892" s="286" t="s">
        <v>2111</v>
      </c>
      <c r="D1892" s="286" t="s">
        <v>1105</v>
      </c>
      <c r="E1892" s="286" t="s">
        <v>1106</v>
      </c>
      <c r="F1892" s="286" t="s">
        <v>2347</v>
      </c>
      <c r="G1892" s="286" t="s">
        <v>1021</v>
      </c>
      <c r="H1892" s="286" t="s">
        <v>1021</v>
      </c>
      <c r="I1892" s="286" t="s">
        <v>1199</v>
      </c>
      <c r="J1892" s="286" t="s">
        <v>1312</v>
      </c>
      <c r="K1892" s="286" t="s">
        <v>2068</v>
      </c>
      <c r="L1892" s="286" t="s">
        <v>53</v>
      </c>
      <c r="M1892" s="286">
        <v>1</v>
      </c>
      <c r="N1892" s="287">
        <v>23.29</v>
      </c>
      <c r="O1892" s="294">
        <f t="shared" si="29"/>
        <v>45535</v>
      </c>
      <c r="P1892" s="286" t="s">
        <v>58</v>
      </c>
    </row>
    <row r="1893" spans="1:16" hidden="1" x14ac:dyDescent="0.15">
      <c r="A1893" s="286">
        <v>739791</v>
      </c>
      <c r="B1893" s="288">
        <v>45532.376388888886</v>
      </c>
      <c r="C1893" s="286" t="s">
        <v>2102</v>
      </c>
      <c r="D1893" s="286" t="s">
        <v>1105</v>
      </c>
      <c r="E1893" s="286" t="s">
        <v>1106</v>
      </c>
      <c r="F1893" s="286" t="s">
        <v>2372</v>
      </c>
      <c r="G1893" s="286" t="s">
        <v>2434</v>
      </c>
      <c r="H1893" s="286" t="s">
        <v>2434</v>
      </c>
      <c r="I1893" s="286" t="s">
        <v>1129</v>
      </c>
      <c r="J1893" s="286" t="s">
        <v>1312</v>
      </c>
      <c r="K1893" s="286" t="s">
        <v>1321</v>
      </c>
      <c r="L1893" s="286" t="s">
        <v>1322</v>
      </c>
      <c r="M1893" s="286">
        <v>2</v>
      </c>
      <c r="N1893" s="287">
        <v>22.88</v>
      </c>
      <c r="O1893" s="294">
        <f t="shared" si="29"/>
        <v>45535</v>
      </c>
      <c r="P1893" s="286" t="s">
        <v>164</v>
      </c>
    </row>
    <row r="1894" spans="1:16" hidden="1" x14ac:dyDescent="0.15">
      <c r="A1894" s="286">
        <v>812436</v>
      </c>
      <c r="B1894" s="288">
        <v>45581.523611111108</v>
      </c>
      <c r="C1894" s="286" t="s">
        <v>2130</v>
      </c>
      <c r="D1894" s="286" t="s">
        <v>1105</v>
      </c>
      <c r="E1894" s="286" t="s">
        <v>1106</v>
      </c>
      <c r="F1894" s="286" t="s">
        <v>2270</v>
      </c>
      <c r="G1894" s="286" t="s">
        <v>1087</v>
      </c>
      <c r="H1894" s="286" t="s">
        <v>1087</v>
      </c>
      <c r="I1894" s="286" t="s">
        <v>1129</v>
      </c>
      <c r="J1894" s="286" t="s">
        <v>1312</v>
      </c>
      <c r="K1894" s="286" t="s">
        <v>1321</v>
      </c>
      <c r="L1894" s="286" t="s">
        <v>1322</v>
      </c>
      <c r="M1894" s="286">
        <v>2</v>
      </c>
      <c r="N1894" s="287">
        <v>22.84</v>
      </c>
      <c r="O1894" s="294">
        <f t="shared" si="29"/>
        <v>45596</v>
      </c>
      <c r="P1894" s="286" t="s">
        <v>164</v>
      </c>
    </row>
    <row r="1895" spans="1:16" hidden="1" x14ac:dyDescent="0.15">
      <c r="A1895" s="286">
        <v>861580</v>
      </c>
      <c r="B1895" s="288">
        <v>45616.398611111108</v>
      </c>
      <c r="C1895" s="286" t="s">
        <v>2100</v>
      </c>
      <c r="D1895" s="286" t="s">
        <v>1105</v>
      </c>
      <c r="E1895" s="286" t="s">
        <v>1106</v>
      </c>
      <c r="F1895" s="286" t="s">
        <v>2453</v>
      </c>
      <c r="G1895" s="286" t="s">
        <v>2454</v>
      </c>
      <c r="H1895" s="286" t="s">
        <v>2455</v>
      </c>
      <c r="I1895" s="286" t="s">
        <v>1129</v>
      </c>
      <c r="J1895" s="286" t="s">
        <v>1312</v>
      </c>
      <c r="K1895" s="286" t="s">
        <v>2442</v>
      </c>
      <c r="L1895" s="286" t="s">
        <v>2443</v>
      </c>
      <c r="M1895" s="286">
        <v>2</v>
      </c>
      <c r="N1895" s="287">
        <v>22.08</v>
      </c>
      <c r="O1895" s="294">
        <f t="shared" si="29"/>
        <v>45626</v>
      </c>
      <c r="P1895" s="286" t="s">
        <v>164</v>
      </c>
    </row>
    <row r="1896" spans="1:16" hidden="1" x14ac:dyDescent="0.15">
      <c r="A1896" s="286">
        <v>464905</v>
      </c>
      <c r="B1896" s="288">
        <v>45323.521527777775</v>
      </c>
      <c r="C1896" s="286" t="s">
        <v>2125</v>
      </c>
      <c r="D1896" s="286" t="s">
        <v>1105</v>
      </c>
      <c r="E1896" s="286" t="s">
        <v>1106</v>
      </c>
      <c r="F1896" s="286" t="s">
        <v>2212</v>
      </c>
      <c r="G1896" s="286" t="s">
        <v>1047</v>
      </c>
      <c r="H1896" s="286" t="s">
        <v>1047</v>
      </c>
      <c r="I1896" s="286" t="s">
        <v>1129</v>
      </c>
      <c r="J1896" s="286" t="s">
        <v>1312</v>
      </c>
      <c r="K1896" s="286" t="s">
        <v>728</v>
      </c>
      <c r="L1896" s="286" t="s">
        <v>1945</v>
      </c>
      <c r="M1896" s="286">
        <v>2</v>
      </c>
      <c r="N1896" s="287">
        <v>22</v>
      </c>
      <c r="O1896" s="294">
        <f t="shared" si="29"/>
        <v>45351</v>
      </c>
      <c r="P1896" s="286" t="s">
        <v>164</v>
      </c>
    </row>
    <row r="1897" spans="1:16" hidden="1" x14ac:dyDescent="0.15">
      <c r="A1897" s="286">
        <v>861580</v>
      </c>
      <c r="B1897" s="288">
        <v>45616.398611111108</v>
      </c>
      <c r="C1897" s="286" t="s">
        <v>2100</v>
      </c>
      <c r="D1897" s="286" t="s">
        <v>1105</v>
      </c>
      <c r="E1897" s="286" t="s">
        <v>1106</v>
      </c>
      <c r="F1897" s="286" t="s">
        <v>2453</v>
      </c>
      <c r="G1897" s="286" t="s">
        <v>2454</v>
      </c>
      <c r="H1897" s="286" t="s">
        <v>2455</v>
      </c>
      <c r="I1897" s="286" t="s">
        <v>1129</v>
      </c>
      <c r="J1897" s="286" t="s">
        <v>1312</v>
      </c>
      <c r="K1897" s="286" t="s">
        <v>2440</v>
      </c>
      <c r="L1897" s="286" t="s">
        <v>2441</v>
      </c>
      <c r="M1897" s="286">
        <v>2</v>
      </c>
      <c r="N1897" s="287">
        <v>21.96</v>
      </c>
      <c r="O1897" s="294">
        <f t="shared" si="29"/>
        <v>45626</v>
      </c>
      <c r="P1897" s="286" t="s">
        <v>164</v>
      </c>
    </row>
    <row r="1898" spans="1:16" hidden="1" x14ac:dyDescent="0.15">
      <c r="A1898" s="286">
        <v>872069</v>
      </c>
      <c r="B1898" s="288">
        <v>45622.559027777781</v>
      </c>
      <c r="C1898" s="286" t="s">
        <v>2100</v>
      </c>
      <c r="D1898" s="286" t="s">
        <v>1105</v>
      </c>
      <c r="E1898" s="286" t="s">
        <v>1106</v>
      </c>
      <c r="F1898" s="286" t="s">
        <v>2371</v>
      </c>
      <c r="G1898" s="286" t="s">
        <v>1010</v>
      </c>
      <c r="H1898" s="286" t="s">
        <v>1010</v>
      </c>
      <c r="I1898" s="286" t="s">
        <v>1129</v>
      </c>
      <c r="J1898" s="286" t="s">
        <v>1312</v>
      </c>
      <c r="K1898" s="286" t="s">
        <v>2440</v>
      </c>
      <c r="L1898" s="286" t="s">
        <v>2441</v>
      </c>
      <c r="M1898" s="286">
        <v>2</v>
      </c>
      <c r="N1898" s="287">
        <v>21.96</v>
      </c>
      <c r="O1898" s="294">
        <f t="shared" si="29"/>
        <v>45626</v>
      </c>
      <c r="P1898" s="286" t="s">
        <v>164</v>
      </c>
    </row>
    <row r="1899" spans="1:16" hidden="1" x14ac:dyDescent="0.15">
      <c r="A1899" s="286">
        <v>900015</v>
      </c>
      <c r="B1899" s="288">
        <v>45645.397222222222</v>
      </c>
      <c r="C1899" s="286" t="s">
        <v>2098</v>
      </c>
      <c r="D1899" s="286" t="s">
        <v>1105</v>
      </c>
      <c r="E1899" s="286" t="s">
        <v>1106</v>
      </c>
      <c r="F1899" s="286" t="s">
        <v>2364</v>
      </c>
      <c r="G1899" s="286" t="s">
        <v>1917</v>
      </c>
      <c r="H1899" s="286" t="s">
        <v>1917</v>
      </c>
      <c r="I1899" s="286" t="s">
        <v>1129</v>
      </c>
      <c r="J1899" s="286" t="s">
        <v>1312</v>
      </c>
      <c r="K1899" s="286" t="s">
        <v>2440</v>
      </c>
      <c r="L1899" s="286" t="s">
        <v>2441</v>
      </c>
      <c r="M1899" s="286">
        <v>2</v>
      </c>
      <c r="N1899" s="287">
        <v>21.96</v>
      </c>
      <c r="O1899" s="294">
        <f t="shared" si="29"/>
        <v>45657</v>
      </c>
      <c r="P1899" s="286" t="s">
        <v>164</v>
      </c>
    </row>
    <row r="1900" spans="1:16" hidden="1" x14ac:dyDescent="0.15">
      <c r="A1900" s="286">
        <v>900015</v>
      </c>
      <c r="B1900" s="288">
        <v>45645.397222222222</v>
      </c>
      <c r="C1900" s="286" t="s">
        <v>2098</v>
      </c>
      <c r="D1900" s="286" t="s">
        <v>1105</v>
      </c>
      <c r="E1900" s="286" t="s">
        <v>1106</v>
      </c>
      <c r="F1900" s="286" t="s">
        <v>2364</v>
      </c>
      <c r="G1900" s="286" t="s">
        <v>1917</v>
      </c>
      <c r="H1900" s="286" t="s">
        <v>1917</v>
      </c>
      <c r="I1900" s="286" t="s">
        <v>1129</v>
      </c>
      <c r="J1900" s="286" t="s">
        <v>1312</v>
      </c>
      <c r="K1900" s="286" t="s">
        <v>2440</v>
      </c>
      <c r="L1900" s="286" t="s">
        <v>2441</v>
      </c>
      <c r="M1900" s="286">
        <v>2</v>
      </c>
      <c r="N1900" s="287">
        <v>21.96</v>
      </c>
      <c r="O1900" s="294">
        <f t="shared" si="29"/>
        <v>45657</v>
      </c>
      <c r="P1900" s="286" t="s">
        <v>164</v>
      </c>
    </row>
    <row r="1901" spans="1:16" hidden="1" x14ac:dyDescent="0.15">
      <c r="A1901" s="286">
        <v>872069</v>
      </c>
      <c r="B1901" s="288">
        <v>45622.559027777781</v>
      </c>
      <c r="C1901" s="286" t="s">
        <v>2100</v>
      </c>
      <c r="D1901" s="286" t="s">
        <v>1105</v>
      </c>
      <c r="E1901" s="286" t="s">
        <v>1106</v>
      </c>
      <c r="F1901" s="286" t="s">
        <v>2371</v>
      </c>
      <c r="G1901" s="286" t="s">
        <v>1010</v>
      </c>
      <c r="H1901" s="286" t="s">
        <v>1010</v>
      </c>
      <c r="I1901" s="286" t="s">
        <v>1129</v>
      </c>
      <c r="J1901" s="286" t="s">
        <v>1312</v>
      </c>
      <c r="K1901" s="286" t="s">
        <v>2442</v>
      </c>
      <c r="L1901" s="286" t="s">
        <v>2443</v>
      </c>
      <c r="M1901" s="286">
        <v>2</v>
      </c>
      <c r="N1901" s="287">
        <v>21.94</v>
      </c>
      <c r="O1901" s="294">
        <f t="shared" si="29"/>
        <v>45626</v>
      </c>
      <c r="P1901" s="286" t="s">
        <v>164</v>
      </c>
    </row>
    <row r="1902" spans="1:16" hidden="1" x14ac:dyDescent="0.15">
      <c r="A1902" s="286">
        <v>900015</v>
      </c>
      <c r="B1902" s="288">
        <v>45645.397222222222</v>
      </c>
      <c r="C1902" s="286" t="s">
        <v>2098</v>
      </c>
      <c r="D1902" s="286" t="s">
        <v>1105</v>
      </c>
      <c r="E1902" s="286" t="s">
        <v>1106</v>
      </c>
      <c r="F1902" s="286" t="s">
        <v>2364</v>
      </c>
      <c r="G1902" s="286" t="s">
        <v>1917</v>
      </c>
      <c r="H1902" s="286" t="s">
        <v>1917</v>
      </c>
      <c r="I1902" s="286" t="s">
        <v>1129</v>
      </c>
      <c r="J1902" s="286" t="s">
        <v>1312</v>
      </c>
      <c r="K1902" s="286" t="s">
        <v>2442</v>
      </c>
      <c r="L1902" s="286" t="s">
        <v>2443</v>
      </c>
      <c r="M1902" s="286">
        <v>2</v>
      </c>
      <c r="N1902" s="287">
        <v>21.94</v>
      </c>
      <c r="O1902" s="294">
        <f t="shared" si="29"/>
        <v>45657</v>
      </c>
      <c r="P1902" s="286" t="s">
        <v>164</v>
      </c>
    </row>
    <row r="1903" spans="1:16" hidden="1" x14ac:dyDescent="0.15">
      <c r="A1903" s="286">
        <v>900015</v>
      </c>
      <c r="B1903" s="288">
        <v>45645.397222222222</v>
      </c>
      <c r="C1903" s="286" t="s">
        <v>2098</v>
      </c>
      <c r="D1903" s="286" t="s">
        <v>1105</v>
      </c>
      <c r="E1903" s="286" t="s">
        <v>1106</v>
      </c>
      <c r="F1903" s="286" t="s">
        <v>2364</v>
      </c>
      <c r="G1903" s="286" t="s">
        <v>1917</v>
      </c>
      <c r="H1903" s="286" t="s">
        <v>1917</v>
      </c>
      <c r="I1903" s="286" t="s">
        <v>1129</v>
      </c>
      <c r="J1903" s="286" t="s">
        <v>1312</v>
      </c>
      <c r="K1903" s="286" t="s">
        <v>2442</v>
      </c>
      <c r="L1903" s="286" t="s">
        <v>2443</v>
      </c>
      <c r="M1903" s="286">
        <v>2</v>
      </c>
      <c r="N1903" s="287">
        <v>21.94</v>
      </c>
      <c r="O1903" s="294">
        <f t="shared" si="29"/>
        <v>45657</v>
      </c>
      <c r="P1903" s="286" t="s">
        <v>164</v>
      </c>
    </row>
    <row r="1904" spans="1:16" hidden="1" x14ac:dyDescent="0.15">
      <c r="A1904" s="286">
        <v>893109</v>
      </c>
      <c r="B1904" s="288">
        <v>45639.332638888889</v>
      </c>
      <c r="C1904" s="286" t="s">
        <v>2098</v>
      </c>
      <c r="D1904" s="286" t="s">
        <v>1105</v>
      </c>
      <c r="E1904" s="286" t="s">
        <v>1106</v>
      </c>
      <c r="F1904" s="286" t="s">
        <v>2363</v>
      </c>
      <c r="G1904" s="286" t="s">
        <v>2456</v>
      </c>
      <c r="H1904" s="286" t="s">
        <v>2456</v>
      </c>
      <c r="I1904" s="286" t="s">
        <v>1129</v>
      </c>
      <c r="J1904" s="286" t="s">
        <v>1312</v>
      </c>
      <c r="K1904" s="286" t="s">
        <v>2442</v>
      </c>
      <c r="L1904" s="286" t="s">
        <v>2443</v>
      </c>
      <c r="M1904" s="286">
        <v>2</v>
      </c>
      <c r="N1904" s="287">
        <v>20.84</v>
      </c>
      <c r="O1904" s="294">
        <f t="shared" si="29"/>
        <v>45657</v>
      </c>
      <c r="P1904" s="286" t="s">
        <v>164</v>
      </c>
    </row>
    <row r="1905" spans="1:16" hidden="1" x14ac:dyDescent="0.15">
      <c r="A1905" s="286">
        <v>858019</v>
      </c>
      <c r="B1905" s="288">
        <v>45614.46597222222</v>
      </c>
      <c r="C1905" s="286" t="s">
        <v>2100</v>
      </c>
      <c r="D1905" s="286" t="s">
        <v>1105</v>
      </c>
      <c r="E1905" s="286" t="s">
        <v>1106</v>
      </c>
      <c r="F1905" s="286" t="s">
        <v>2438</v>
      </c>
      <c r="G1905" s="286" t="s">
        <v>2439</v>
      </c>
      <c r="H1905" s="286" t="s">
        <v>2439</v>
      </c>
      <c r="I1905" s="286" t="s">
        <v>1129</v>
      </c>
      <c r="J1905" s="286" t="s">
        <v>1312</v>
      </c>
      <c r="K1905" s="286" t="s">
        <v>2457</v>
      </c>
      <c r="L1905" s="286" t="s">
        <v>2458</v>
      </c>
      <c r="M1905" s="286">
        <v>6</v>
      </c>
      <c r="N1905" s="287">
        <v>20.82</v>
      </c>
      <c r="O1905" s="294">
        <f t="shared" si="29"/>
        <v>45626</v>
      </c>
      <c r="P1905" s="286" t="s">
        <v>164</v>
      </c>
    </row>
    <row r="1906" spans="1:16" hidden="1" x14ac:dyDescent="0.15">
      <c r="A1906" s="286">
        <v>893109</v>
      </c>
      <c r="B1906" s="288">
        <v>45639.332638888889</v>
      </c>
      <c r="C1906" s="286" t="s">
        <v>2098</v>
      </c>
      <c r="D1906" s="286" t="s">
        <v>1105</v>
      </c>
      <c r="E1906" s="286" t="s">
        <v>1106</v>
      </c>
      <c r="F1906" s="286" t="s">
        <v>2363</v>
      </c>
      <c r="G1906" s="286" t="s">
        <v>2456</v>
      </c>
      <c r="H1906" s="286" t="s">
        <v>2456</v>
      </c>
      <c r="I1906" s="286" t="s">
        <v>1129</v>
      </c>
      <c r="J1906" s="286" t="s">
        <v>1312</v>
      </c>
      <c r="K1906" s="286" t="s">
        <v>2440</v>
      </c>
      <c r="L1906" s="286" t="s">
        <v>2441</v>
      </c>
      <c r="M1906" s="286">
        <v>2</v>
      </c>
      <c r="N1906" s="287">
        <v>20.72</v>
      </c>
      <c r="O1906" s="294">
        <f t="shared" si="29"/>
        <v>45657</v>
      </c>
      <c r="P1906" s="286" t="s">
        <v>164</v>
      </c>
    </row>
    <row r="1907" spans="1:16" hidden="1" x14ac:dyDescent="0.15">
      <c r="A1907" s="286">
        <v>786710</v>
      </c>
      <c r="B1907" s="288">
        <v>45560.535416666666</v>
      </c>
      <c r="C1907" s="286" t="s">
        <v>2132</v>
      </c>
      <c r="D1907" s="286" t="s">
        <v>1105</v>
      </c>
      <c r="E1907" s="286" t="s">
        <v>1106</v>
      </c>
      <c r="F1907" s="286" t="s">
        <v>2459</v>
      </c>
      <c r="G1907" s="286" t="s">
        <v>2460</v>
      </c>
      <c r="H1907" s="286" t="s">
        <v>2460</v>
      </c>
      <c r="I1907" s="286" t="s">
        <v>1129</v>
      </c>
      <c r="J1907" s="286" t="s">
        <v>1350</v>
      </c>
      <c r="K1907" s="286" t="s">
        <v>1356</v>
      </c>
      <c r="L1907" s="286" t="s">
        <v>1357</v>
      </c>
      <c r="M1907" s="286">
        <v>1</v>
      </c>
      <c r="N1907" s="287">
        <v>20.5</v>
      </c>
      <c r="O1907" s="294">
        <f t="shared" si="29"/>
        <v>45565</v>
      </c>
      <c r="P1907" s="286" t="s">
        <v>164</v>
      </c>
    </row>
    <row r="1908" spans="1:16" hidden="1" x14ac:dyDescent="0.15">
      <c r="A1908" s="286">
        <v>872069</v>
      </c>
      <c r="B1908" s="288">
        <v>45622.559027777781</v>
      </c>
      <c r="C1908" s="286" t="s">
        <v>2100</v>
      </c>
      <c r="D1908" s="286" t="s">
        <v>1105</v>
      </c>
      <c r="E1908" s="286" t="s">
        <v>1106</v>
      </c>
      <c r="F1908" s="286" t="s">
        <v>2371</v>
      </c>
      <c r="G1908" s="286" t="s">
        <v>1010</v>
      </c>
      <c r="H1908" s="286" t="s">
        <v>1010</v>
      </c>
      <c r="I1908" s="286" t="s">
        <v>1129</v>
      </c>
      <c r="J1908" s="286" t="s">
        <v>1350</v>
      </c>
      <c r="K1908" s="286" t="s">
        <v>1356</v>
      </c>
      <c r="L1908" s="286" t="s">
        <v>1357</v>
      </c>
      <c r="M1908" s="286">
        <v>1</v>
      </c>
      <c r="N1908" s="287">
        <v>20.38</v>
      </c>
      <c r="O1908" s="294">
        <f t="shared" si="29"/>
        <v>45626</v>
      </c>
      <c r="P1908" s="286" t="s">
        <v>164</v>
      </c>
    </row>
    <row r="1909" spans="1:16" hidden="1" x14ac:dyDescent="0.15">
      <c r="A1909" s="286">
        <v>776534</v>
      </c>
      <c r="B1909" s="288">
        <v>45554.480555555558</v>
      </c>
      <c r="C1909" s="286" t="s">
        <v>2132</v>
      </c>
      <c r="D1909" s="286" t="s">
        <v>1105</v>
      </c>
      <c r="E1909" s="286" t="s">
        <v>1106</v>
      </c>
      <c r="F1909" s="286" t="s">
        <v>2289</v>
      </c>
      <c r="G1909" s="286" t="s">
        <v>1076</v>
      </c>
      <c r="H1909" s="286" t="s">
        <v>1076</v>
      </c>
      <c r="I1909" s="286" t="s">
        <v>1129</v>
      </c>
      <c r="J1909" s="286" t="s">
        <v>1312</v>
      </c>
      <c r="K1909" s="286" t="s">
        <v>868</v>
      </c>
      <c r="L1909" s="286" t="s">
        <v>2461</v>
      </c>
      <c r="M1909" s="286">
        <v>2</v>
      </c>
      <c r="N1909" s="287">
        <v>15</v>
      </c>
      <c r="O1909" s="294">
        <f t="shared" si="29"/>
        <v>45565</v>
      </c>
      <c r="P1909" s="286" t="s">
        <v>164</v>
      </c>
    </row>
    <row r="1910" spans="1:16" hidden="1" x14ac:dyDescent="0.15">
      <c r="A1910" s="286">
        <v>776534</v>
      </c>
      <c r="B1910" s="288">
        <v>45554.480555555558</v>
      </c>
      <c r="C1910" s="286" t="s">
        <v>2132</v>
      </c>
      <c r="D1910" s="286" t="s">
        <v>1105</v>
      </c>
      <c r="E1910" s="286" t="s">
        <v>1106</v>
      </c>
      <c r="F1910" s="286" t="s">
        <v>2289</v>
      </c>
      <c r="G1910" s="286" t="s">
        <v>1076</v>
      </c>
      <c r="H1910" s="286" t="s">
        <v>1076</v>
      </c>
      <c r="I1910" s="286" t="s">
        <v>1129</v>
      </c>
      <c r="J1910" s="286" t="s">
        <v>1312</v>
      </c>
      <c r="K1910" s="286" t="s">
        <v>866</v>
      </c>
      <c r="L1910" s="286" t="s">
        <v>867</v>
      </c>
      <c r="M1910" s="286">
        <v>240</v>
      </c>
      <c r="N1910" s="287">
        <v>14</v>
      </c>
      <c r="O1910" s="294">
        <f t="shared" si="29"/>
        <v>45565</v>
      </c>
      <c r="P1910" s="286" t="s">
        <v>164</v>
      </c>
    </row>
    <row r="1911" spans="1:16" hidden="1" x14ac:dyDescent="0.15">
      <c r="A1911" s="286">
        <v>812436</v>
      </c>
      <c r="B1911" s="288">
        <v>45581.523611111108</v>
      </c>
      <c r="C1911" s="286" t="s">
        <v>2130</v>
      </c>
      <c r="D1911" s="286" t="s">
        <v>1105</v>
      </c>
      <c r="E1911" s="286" t="s">
        <v>1106</v>
      </c>
      <c r="F1911" s="286" t="s">
        <v>2270</v>
      </c>
      <c r="G1911" s="286" t="s">
        <v>1087</v>
      </c>
      <c r="H1911" s="286" t="s">
        <v>1087</v>
      </c>
      <c r="I1911" s="286" t="s">
        <v>1129</v>
      </c>
      <c r="J1911" s="286" t="s">
        <v>1312</v>
      </c>
      <c r="K1911" s="286" t="s">
        <v>530</v>
      </c>
      <c r="L1911" s="286" t="s">
        <v>531</v>
      </c>
      <c r="M1911" s="286">
        <v>4</v>
      </c>
      <c r="N1911" s="287">
        <v>13.92</v>
      </c>
      <c r="O1911" s="294">
        <f t="shared" si="29"/>
        <v>45596</v>
      </c>
      <c r="P1911" s="286" t="s">
        <v>164</v>
      </c>
    </row>
    <row r="1912" spans="1:16" hidden="1" x14ac:dyDescent="0.15">
      <c r="A1912" s="286">
        <v>665246</v>
      </c>
      <c r="B1912" s="288">
        <v>45489.452777777777</v>
      </c>
      <c r="C1912" s="286" t="s">
        <v>2111</v>
      </c>
      <c r="D1912" s="286" t="s">
        <v>1105</v>
      </c>
      <c r="E1912" s="286" t="s">
        <v>1106</v>
      </c>
      <c r="F1912" s="286" t="s">
        <v>2330</v>
      </c>
      <c r="G1912" s="286" t="s">
        <v>1068</v>
      </c>
      <c r="H1912" s="286" t="s">
        <v>1068</v>
      </c>
      <c r="I1912" s="286" t="s">
        <v>1129</v>
      </c>
      <c r="J1912" s="286" t="s">
        <v>1312</v>
      </c>
      <c r="K1912" s="286" t="s">
        <v>2462</v>
      </c>
      <c r="L1912" s="286" t="s">
        <v>2463</v>
      </c>
      <c r="M1912" s="286">
        <v>1</v>
      </c>
      <c r="N1912" s="287">
        <v>12.63</v>
      </c>
      <c r="O1912" s="294">
        <f t="shared" si="29"/>
        <v>45504</v>
      </c>
      <c r="P1912" s="286" t="s">
        <v>164</v>
      </c>
    </row>
    <row r="1913" spans="1:16" hidden="1" x14ac:dyDescent="0.15">
      <c r="A1913" s="286">
        <v>679026</v>
      </c>
      <c r="B1913" s="288">
        <v>45497.402777777781</v>
      </c>
      <c r="C1913" s="286" t="s">
        <v>2111</v>
      </c>
      <c r="D1913" s="286" t="s">
        <v>1105</v>
      </c>
      <c r="E1913" s="286" t="s">
        <v>1106</v>
      </c>
      <c r="F1913" s="286" t="s">
        <v>2331</v>
      </c>
      <c r="G1913" s="286" t="s">
        <v>1068</v>
      </c>
      <c r="H1913" s="286" t="s">
        <v>1068</v>
      </c>
      <c r="I1913" s="286" t="s">
        <v>1129</v>
      </c>
      <c r="J1913" s="286" t="s">
        <v>1312</v>
      </c>
      <c r="K1913" s="286" t="s">
        <v>2462</v>
      </c>
      <c r="L1913" s="286" t="s">
        <v>2463</v>
      </c>
      <c r="M1913" s="286">
        <v>1</v>
      </c>
      <c r="N1913" s="287">
        <v>12.63</v>
      </c>
      <c r="O1913" s="294">
        <f t="shared" si="29"/>
        <v>45504</v>
      </c>
      <c r="P1913" s="286" t="s">
        <v>164</v>
      </c>
    </row>
    <row r="1914" spans="1:16" hidden="1" x14ac:dyDescent="0.15">
      <c r="A1914" s="286">
        <v>778470</v>
      </c>
      <c r="B1914" s="288">
        <v>45555.450694444444</v>
      </c>
      <c r="C1914" s="286" t="s">
        <v>2132</v>
      </c>
      <c r="D1914" s="286" t="s">
        <v>1105</v>
      </c>
      <c r="E1914" s="286" t="s">
        <v>1106</v>
      </c>
      <c r="F1914" s="286" t="s">
        <v>2346</v>
      </c>
      <c r="G1914" s="286" t="s">
        <v>1011</v>
      </c>
      <c r="H1914" s="286" t="s">
        <v>1011</v>
      </c>
      <c r="I1914" s="286" t="s">
        <v>1129</v>
      </c>
      <c r="J1914" s="286" t="s">
        <v>1312</v>
      </c>
      <c r="K1914" s="286" t="s">
        <v>1932</v>
      </c>
      <c r="L1914" s="286" t="s">
        <v>1933</v>
      </c>
      <c r="M1914" s="286">
        <v>2</v>
      </c>
      <c r="N1914" s="287">
        <v>11.82</v>
      </c>
      <c r="O1914" s="294">
        <f t="shared" si="29"/>
        <v>45565</v>
      </c>
      <c r="P1914" s="286" t="s">
        <v>164</v>
      </c>
    </row>
    <row r="1915" spans="1:16" hidden="1" x14ac:dyDescent="0.15">
      <c r="A1915" s="286">
        <v>778470</v>
      </c>
      <c r="B1915" s="288">
        <v>45555.450694444444</v>
      </c>
      <c r="C1915" s="286" t="s">
        <v>2132</v>
      </c>
      <c r="D1915" s="286" t="s">
        <v>1105</v>
      </c>
      <c r="E1915" s="286" t="s">
        <v>1106</v>
      </c>
      <c r="F1915" s="286" t="s">
        <v>2346</v>
      </c>
      <c r="G1915" s="286" t="s">
        <v>1011</v>
      </c>
      <c r="H1915" s="286" t="s">
        <v>1011</v>
      </c>
      <c r="I1915" s="286" t="s">
        <v>1129</v>
      </c>
      <c r="J1915" s="286" t="s">
        <v>1312</v>
      </c>
      <c r="K1915" s="286" t="s">
        <v>532</v>
      </c>
      <c r="L1915" s="286" t="s">
        <v>533</v>
      </c>
      <c r="M1915" s="286">
        <v>12</v>
      </c>
      <c r="N1915" s="287">
        <v>11.64</v>
      </c>
      <c r="O1915" s="294">
        <f t="shared" si="29"/>
        <v>45565</v>
      </c>
      <c r="P1915" s="286" t="s">
        <v>164</v>
      </c>
    </row>
    <row r="1916" spans="1:16" hidden="1" x14ac:dyDescent="0.15">
      <c r="A1916" s="286">
        <v>483613</v>
      </c>
      <c r="B1916" s="288">
        <v>45342.459027777775</v>
      </c>
      <c r="C1916" s="286" t="s">
        <v>2113</v>
      </c>
      <c r="D1916" s="286" t="s">
        <v>1105</v>
      </c>
      <c r="E1916" s="286" t="s">
        <v>1106</v>
      </c>
      <c r="F1916" s="286" t="s">
        <v>2263</v>
      </c>
      <c r="G1916" s="286" t="s">
        <v>1053</v>
      </c>
      <c r="H1916" s="286" t="s">
        <v>1053</v>
      </c>
      <c r="I1916" s="286" t="s">
        <v>1129</v>
      </c>
      <c r="J1916" s="286" t="s">
        <v>1312</v>
      </c>
      <c r="K1916" s="286" t="s">
        <v>726</v>
      </c>
      <c r="L1916" s="286" t="s">
        <v>751</v>
      </c>
      <c r="M1916" s="286">
        <v>1</v>
      </c>
      <c r="N1916" s="287">
        <v>11</v>
      </c>
      <c r="O1916" s="294">
        <f t="shared" si="29"/>
        <v>45351</v>
      </c>
      <c r="P1916" s="286" t="s">
        <v>164</v>
      </c>
    </row>
    <row r="1917" spans="1:16" hidden="1" x14ac:dyDescent="0.15">
      <c r="A1917" s="286">
        <v>559626</v>
      </c>
      <c r="B1917" s="288">
        <v>45408.642361111109</v>
      </c>
      <c r="C1917" s="286" t="s">
        <v>2109</v>
      </c>
      <c r="D1917" s="286" t="s">
        <v>1105</v>
      </c>
      <c r="E1917" s="286" t="s">
        <v>1106</v>
      </c>
      <c r="F1917" s="286" t="s">
        <v>2231</v>
      </c>
      <c r="G1917" s="286" t="s">
        <v>1004</v>
      </c>
      <c r="H1917" s="286" t="s">
        <v>1004</v>
      </c>
      <c r="I1917" s="286" t="s">
        <v>1152</v>
      </c>
      <c r="J1917" s="286" t="s">
        <v>1312</v>
      </c>
      <c r="K1917" s="286" t="s">
        <v>53</v>
      </c>
      <c r="L1917" s="286" t="s">
        <v>53</v>
      </c>
      <c r="M1917" s="286" t="s">
        <v>53</v>
      </c>
      <c r="N1917" s="287">
        <v>9.49</v>
      </c>
      <c r="O1917" s="294">
        <f t="shared" si="29"/>
        <v>45412</v>
      </c>
      <c r="P1917" s="286" t="s">
        <v>58</v>
      </c>
    </row>
    <row r="1918" spans="1:16" hidden="1" x14ac:dyDescent="0.15">
      <c r="A1918" s="286">
        <v>650145</v>
      </c>
      <c r="B1918" s="288">
        <v>45476.460416666669</v>
      </c>
      <c r="C1918" s="286" t="s">
        <v>2111</v>
      </c>
      <c r="D1918" s="286" t="s">
        <v>1105</v>
      </c>
      <c r="E1918" s="286" t="s">
        <v>1106</v>
      </c>
      <c r="F1918" s="286" t="s">
        <v>2448</v>
      </c>
      <c r="G1918" s="286" t="s">
        <v>1043</v>
      </c>
      <c r="H1918" s="286" t="s">
        <v>1043</v>
      </c>
      <c r="I1918" s="286" t="s">
        <v>1129</v>
      </c>
      <c r="J1918" s="286" t="s">
        <v>1312</v>
      </c>
      <c r="K1918" s="286" t="s">
        <v>526</v>
      </c>
      <c r="L1918" s="286" t="s">
        <v>1360</v>
      </c>
      <c r="M1918" s="286">
        <v>2</v>
      </c>
      <c r="N1918" s="287">
        <v>9.36</v>
      </c>
      <c r="O1918" s="294">
        <f t="shared" si="29"/>
        <v>45504</v>
      </c>
      <c r="P1918" s="286" t="s">
        <v>164</v>
      </c>
    </row>
    <row r="1919" spans="1:16" hidden="1" x14ac:dyDescent="0.15">
      <c r="A1919" s="286">
        <v>518933</v>
      </c>
      <c r="B1919" s="288">
        <v>45371.527083333334</v>
      </c>
      <c r="C1919" s="286" t="s">
        <v>2109</v>
      </c>
      <c r="D1919" s="286" t="s">
        <v>1105</v>
      </c>
      <c r="E1919" s="286" t="s">
        <v>1106</v>
      </c>
      <c r="F1919" s="286" t="s">
        <v>2246</v>
      </c>
      <c r="G1919" s="286" t="s">
        <v>1349</v>
      </c>
      <c r="H1919" s="286" t="s">
        <v>1349</v>
      </c>
      <c r="I1919" s="286" t="s">
        <v>1129</v>
      </c>
      <c r="J1919" s="286" t="s">
        <v>1312</v>
      </c>
      <c r="K1919" s="286" t="s">
        <v>532</v>
      </c>
      <c r="L1919" s="286" t="s">
        <v>533</v>
      </c>
      <c r="M1919" s="286">
        <v>8</v>
      </c>
      <c r="N1919" s="287">
        <v>8.4</v>
      </c>
      <c r="O1919" s="294">
        <f t="shared" si="29"/>
        <v>45382</v>
      </c>
      <c r="P1919" s="286" t="s">
        <v>164</v>
      </c>
    </row>
    <row r="1920" spans="1:16" hidden="1" x14ac:dyDescent="0.15">
      <c r="A1920" s="286">
        <v>547605</v>
      </c>
      <c r="B1920" s="288">
        <v>45398.661805555559</v>
      </c>
      <c r="C1920" s="286" t="s">
        <v>2096</v>
      </c>
      <c r="D1920" s="286" t="s">
        <v>1105</v>
      </c>
      <c r="E1920" s="286" t="s">
        <v>1106</v>
      </c>
      <c r="F1920" s="286" t="s">
        <v>2423</v>
      </c>
      <c r="G1920" s="286" t="s">
        <v>1349</v>
      </c>
      <c r="H1920" s="286" t="s">
        <v>1349</v>
      </c>
      <c r="I1920" s="286" t="s">
        <v>1129</v>
      </c>
      <c r="J1920" s="286" t="s">
        <v>1312</v>
      </c>
      <c r="K1920" s="286" t="s">
        <v>532</v>
      </c>
      <c r="L1920" s="286" t="s">
        <v>533</v>
      </c>
      <c r="M1920" s="286">
        <v>8</v>
      </c>
      <c r="N1920" s="287">
        <v>8.4</v>
      </c>
      <c r="O1920" s="294">
        <f t="shared" si="29"/>
        <v>45412</v>
      </c>
      <c r="P1920" s="286" t="s">
        <v>164</v>
      </c>
    </row>
    <row r="1921" spans="1:16" hidden="1" x14ac:dyDescent="0.15">
      <c r="A1921" s="286">
        <v>778470</v>
      </c>
      <c r="B1921" s="288">
        <v>45555.450694444444</v>
      </c>
      <c r="C1921" s="286" t="s">
        <v>2132</v>
      </c>
      <c r="D1921" s="286" t="s">
        <v>1105</v>
      </c>
      <c r="E1921" s="286" t="s">
        <v>1106</v>
      </c>
      <c r="F1921" s="286" t="s">
        <v>2346</v>
      </c>
      <c r="G1921" s="286" t="s">
        <v>1011</v>
      </c>
      <c r="H1921" s="286" t="s">
        <v>1011</v>
      </c>
      <c r="I1921" s="286" t="s">
        <v>1129</v>
      </c>
      <c r="J1921" s="286" t="s">
        <v>1312</v>
      </c>
      <c r="K1921" s="286" t="s">
        <v>1517</v>
      </c>
      <c r="L1921" s="286" t="s">
        <v>1518</v>
      </c>
      <c r="M1921" s="286">
        <v>12</v>
      </c>
      <c r="N1921" s="287">
        <v>7.8</v>
      </c>
      <c r="O1921" s="294">
        <f t="shared" si="29"/>
        <v>45565</v>
      </c>
      <c r="P1921" s="286" t="s">
        <v>164</v>
      </c>
    </row>
    <row r="1922" spans="1:16" hidden="1" x14ac:dyDescent="0.15">
      <c r="A1922" s="286">
        <v>472168</v>
      </c>
      <c r="B1922" s="288">
        <v>45331.416666666664</v>
      </c>
      <c r="C1922" s="286" t="s">
        <v>2113</v>
      </c>
      <c r="D1922" s="286" t="s">
        <v>1105</v>
      </c>
      <c r="E1922" s="286" t="s">
        <v>1106</v>
      </c>
      <c r="F1922" s="286" t="s">
        <v>2153</v>
      </c>
      <c r="G1922" s="286" t="s">
        <v>1831</v>
      </c>
      <c r="H1922" s="286" t="s">
        <v>1831</v>
      </c>
      <c r="I1922" s="286" t="s">
        <v>1129</v>
      </c>
      <c r="J1922" s="286" t="s">
        <v>1312</v>
      </c>
      <c r="K1922" s="286" t="s">
        <v>528</v>
      </c>
      <c r="L1922" s="286" t="s">
        <v>529</v>
      </c>
      <c r="M1922" s="286">
        <v>2</v>
      </c>
      <c r="N1922" s="287">
        <v>7.4</v>
      </c>
      <c r="O1922" s="294">
        <f t="shared" si="29"/>
        <v>45351</v>
      </c>
      <c r="P1922" s="286" t="s">
        <v>164</v>
      </c>
    </row>
    <row r="1923" spans="1:16" hidden="1" x14ac:dyDescent="0.15">
      <c r="A1923" s="286">
        <v>861580</v>
      </c>
      <c r="B1923" s="288">
        <v>45616.398611111108</v>
      </c>
      <c r="C1923" s="286" t="s">
        <v>2100</v>
      </c>
      <c r="D1923" s="286" t="s">
        <v>1105</v>
      </c>
      <c r="E1923" s="286" t="s">
        <v>1106</v>
      </c>
      <c r="F1923" s="286" t="s">
        <v>2453</v>
      </c>
      <c r="G1923" s="286" t="s">
        <v>2454</v>
      </c>
      <c r="H1923" s="286" t="s">
        <v>2455</v>
      </c>
      <c r="I1923" s="286" t="s">
        <v>1129</v>
      </c>
      <c r="J1923" s="286" t="s">
        <v>1312</v>
      </c>
      <c r="K1923" s="286" t="s">
        <v>2457</v>
      </c>
      <c r="L1923" s="286" t="s">
        <v>2458</v>
      </c>
      <c r="M1923" s="286">
        <v>2</v>
      </c>
      <c r="N1923" s="287">
        <v>7.4</v>
      </c>
      <c r="O1923" s="294">
        <f t="shared" si="29"/>
        <v>45626</v>
      </c>
      <c r="P1923" s="286" t="s">
        <v>164</v>
      </c>
    </row>
    <row r="1924" spans="1:16" hidden="1" x14ac:dyDescent="0.15">
      <c r="A1924" s="286">
        <v>872069</v>
      </c>
      <c r="B1924" s="288">
        <v>45622.559027777781</v>
      </c>
      <c r="C1924" s="286" t="s">
        <v>2100</v>
      </c>
      <c r="D1924" s="286" t="s">
        <v>1105</v>
      </c>
      <c r="E1924" s="286" t="s">
        <v>1106</v>
      </c>
      <c r="F1924" s="286" t="s">
        <v>2371</v>
      </c>
      <c r="G1924" s="286" t="s">
        <v>1010</v>
      </c>
      <c r="H1924" s="286" t="s">
        <v>1010</v>
      </c>
      <c r="I1924" s="286" t="s">
        <v>1129</v>
      </c>
      <c r="J1924" s="286" t="s">
        <v>1312</v>
      </c>
      <c r="K1924" s="286" t="s">
        <v>2457</v>
      </c>
      <c r="L1924" s="286" t="s">
        <v>2458</v>
      </c>
      <c r="M1924" s="286">
        <v>2</v>
      </c>
      <c r="N1924" s="287">
        <v>7.36</v>
      </c>
      <c r="O1924" s="294">
        <f t="shared" ref="O1924:O1987" si="30">EOMONTH(B1924,0)</f>
        <v>45626</v>
      </c>
      <c r="P1924" s="286" t="s">
        <v>164</v>
      </c>
    </row>
    <row r="1925" spans="1:16" hidden="1" x14ac:dyDescent="0.15">
      <c r="A1925" s="286">
        <v>900015</v>
      </c>
      <c r="B1925" s="288">
        <v>45645.397222222222</v>
      </c>
      <c r="C1925" s="286" t="s">
        <v>2098</v>
      </c>
      <c r="D1925" s="286" t="s">
        <v>1105</v>
      </c>
      <c r="E1925" s="286" t="s">
        <v>1106</v>
      </c>
      <c r="F1925" s="286" t="s">
        <v>2364</v>
      </c>
      <c r="G1925" s="286" t="s">
        <v>1917</v>
      </c>
      <c r="H1925" s="286" t="s">
        <v>1917</v>
      </c>
      <c r="I1925" s="286" t="s">
        <v>1129</v>
      </c>
      <c r="J1925" s="286" t="s">
        <v>1312</v>
      </c>
      <c r="K1925" s="286" t="s">
        <v>2457</v>
      </c>
      <c r="L1925" s="286" t="s">
        <v>2458</v>
      </c>
      <c r="M1925" s="286">
        <v>2</v>
      </c>
      <c r="N1925" s="287">
        <v>7.36</v>
      </c>
      <c r="O1925" s="294">
        <f t="shared" si="30"/>
        <v>45657</v>
      </c>
      <c r="P1925" s="286" t="s">
        <v>164</v>
      </c>
    </row>
    <row r="1926" spans="1:16" hidden="1" x14ac:dyDescent="0.15">
      <c r="A1926" s="286">
        <v>900015</v>
      </c>
      <c r="B1926" s="288">
        <v>45645.397222222222</v>
      </c>
      <c r="C1926" s="286" t="s">
        <v>2098</v>
      </c>
      <c r="D1926" s="286" t="s">
        <v>1105</v>
      </c>
      <c r="E1926" s="286" t="s">
        <v>1106</v>
      </c>
      <c r="F1926" s="286" t="s">
        <v>2364</v>
      </c>
      <c r="G1926" s="286" t="s">
        <v>1917</v>
      </c>
      <c r="H1926" s="286" t="s">
        <v>1917</v>
      </c>
      <c r="I1926" s="286" t="s">
        <v>1129</v>
      </c>
      <c r="J1926" s="286" t="s">
        <v>1312</v>
      </c>
      <c r="K1926" s="286" t="s">
        <v>2457</v>
      </c>
      <c r="L1926" s="286" t="s">
        <v>2458</v>
      </c>
      <c r="M1926" s="286">
        <v>2</v>
      </c>
      <c r="N1926" s="287">
        <v>7.36</v>
      </c>
      <c r="O1926" s="294">
        <f t="shared" si="30"/>
        <v>45657</v>
      </c>
      <c r="P1926" s="286" t="s">
        <v>164</v>
      </c>
    </row>
    <row r="1927" spans="1:16" hidden="1" x14ac:dyDescent="0.15">
      <c r="A1927" s="286">
        <v>472168</v>
      </c>
      <c r="B1927" s="288">
        <v>45331.416666666664</v>
      </c>
      <c r="C1927" s="286" t="s">
        <v>2113</v>
      </c>
      <c r="D1927" s="286" t="s">
        <v>1105</v>
      </c>
      <c r="E1927" s="286" t="s">
        <v>1106</v>
      </c>
      <c r="F1927" s="286" t="s">
        <v>2153</v>
      </c>
      <c r="G1927" s="286" t="s">
        <v>1831</v>
      </c>
      <c r="H1927" s="286" t="s">
        <v>1831</v>
      </c>
      <c r="I1927" s="286" t="s">
        <v>1129</v>
      </c>
      <c r="J1927" s="286" t="s">
        <v>1312</v>
      </c>
      <c r="K1927" s="286" t="s">
        <v>530</v>
      </c>
      <c r="L1927" s="286" t="s">
        <v>531</v>
      </c>
      <c r="M1927" s="286">
        <v>2</v>
      </c>
      <c r="N1927" s="287">
        <v>7</v>
      </c>
      <c r="O1927" s="294">
        <f t="shared" si="30"/>
        <v>45351</v>
      </c>
      <c r="P1927" s="286" t="s">
        <v>164</v>
      </c>
    </row>
    <row r="1928" spans="1:16" hidden="1" x14ac:dyDescent="0.15">
      <c r="A1928" s="286">
        <v>893109</v>
      </c>
      <c r="B1928" s="288">
        <v>45639.332638888889</v>
      </c>
      <c r="C1928" s="286" t="s">
        <v>2098</v>
      </c>
      <c r="D1928" s="286" t="s">
        <v>1105</v>
      </c>
      <c r="E1928" s="286" t="s">
        <v>1106</v>
      </c>
      <c r="F1928" s="286" t="s">
        <v>2363</v>
      </c>
      <c r="G1928" s="286" t="s">
        <v>2456</v>
      </c>
      <c r="H1928" s="286" t="s">
        <v>2456</v>
      </c>
      <c r="I1928" s="286" t="s">
        <v>1129</v>
      </c>
      <c r="J1928" s="286" t="s">
        <v>1312</v>
      </c>
      <c r="K1928" s="286" t="s">
        <v>2457</v>
      </c>
      <c r="L1928" s="286" t="s">
        <v>2458</v>
      </c>
      <c r="M1928" s="286">
        <v>2</v>
      </c>
      <c r="N1928" s="287">
        <v>6.98</v>
      </c>
      <c r="O1928" s="294">
        <f t="shared" si="30"/>
        <v>45657</v>
      </c>
      <c r="P1928" s="286" t="s">
        <v>164</v>
      </c>
    </row>
    <row r="1929" spans="1:16" hidden="1" x14ac:dyDescent="0.15">
      <c r="A1929" s="286">
        <v>464905</v>
      </c>
      <c r="B1929" s="288">
        <v>45323.521527777775</v>
      </c>
      <c r="C1929" s="286" t="s">
        <v>2125</v>
      </c>
      <c r="D1929" s="286" t="s">
        <v>1105</v>
      </c>
      <c r="E1929" s="286" t="s">
        <v>1106</v>
      </c>
      <c r="F1929" s="286" t="s">
        <v>2212</v>
      </c>
      <c r="G1929" s="286" t="s">
        <v>1047</v>
      </c>
      <c r="H1929" s="286" t="s">
        <v>1047</v>
      </c>
      <c r="I1929" s="286" t="s">
        <v>1129</v>
      </c>
      <c r="J1929" s="286" t="s">
        <v>1312</v>
      </c>
      <c r="K1929" s="286" t="s">
        <v>730</v>
      </c>
      <c r="L1929" s="286" t="s">
        <v>1949</v>
      </c>
      <c r="M1929" s="286">
        <v>1</v>
      </c>
      <c r="N1929" s="287">
        <v>5</v>
      </c>
      <c r="O1929" s="294">
        <f t="shared" si="30"/>
        <v>45351</v>
      </c>
      <c r="P1929" s="286" t="s">
        <v>164</v>
      </c>
    </row>
    <row r="1930" spans="1:16" hidden="1" x14ac:dyDescent="0.15">
      <c r="A1930" s="286">
        <v>709014</v>
      </c>
      <c r="B1930" s="288">
        <v>45516.609722222223</v>
      </c>
      <c r="C1930" s="286" t="s">
        <v>2111</v>
      </c>
      <c r="D1930" s="286" t="s">
        <v>1105</v>
      </c>
      <c r="E1930" s="286" t="s">
        <v>1106</v>
      </c>
      <c r="F1930" s="286" t="s">
        <v>2347</v>
      </c>
      <c r="G1930" s="286" t="s">
        <v>1021</v>
      </c>
      <c r="H1930" s="286" t="s">
        <v>1021</v>
      </c>
      <c r="I1930" s="286" t="s">
        <v>1199</v>
      </c>
      <c r="J1930" s="286" t="s">
        <v>1312</v>
      </c>
      <c r="K1930" s="286" t="s">
        <v>2064</v>
      </c>
      <c r="L1930" s="286" t="s">
        <v>53</v>
      </c>
      <c r="M1930" s="286">
        <v>1</v>
      </c>
      <c r="N1930" s="287">
        <v>3.04</v>
      </c>
      <c r="O1930" s="294">
        <f t="shared" si="30"/>
        <v>45535</v>
      </c>
      <c r="P1930" s="286" t="s">
        <v>58</v>
      </c>
    </row>
    <row r="1931" spans="1:16" hidden="1" x14ac:dyDescent="0.15">
      <c r="A1931" s="286">
        <v>812436</v>
      </c>
      <c r="B1931" s="288">
        <v>45581.523611111108</v>
      </c>
      <c r="C1931" s="286" t="s">
        <v>2130</v>
      </c>
      <c r="D1931" s="286" t="s">
        <v>1105</v>
      </c>
      <c r="E1931" s="286" t="s">
        <v>1106</v>
      </c>
      <c r="F1931" s="286" t="s">
        <v>2270</v>
      </c>
      <c r="G1931" s="286" t="s">
        <v>1087</v>
      </c>
      <c r="H1931" s="286" t="s">
        <v>1087</v>
      </c>
      <c r="I1931" s="286" t="s">
        <v>1129</v>
      </c>
      <c r="J1931" s="286" t="s">
        <v>1312</v>
      </c>
      <c r="K1931" s="286" t="s">
        <v>532</v>
      </c>
      <c r="L1931" s="286" t="s">
        <v>533</v>
      </c>
      <c r="M1931" s="286">
        <v>4</v>
      </c>
      <c r="N1931" s="287">
        <v>2.68</v>
      </c>
      <c r="O1931" s="294">
        <f t="shared" si="30"/>
        <v>45596</v>
      </c>
      <c r="P1931" s="286" t="s">
        <v>164</v>
      </c>
    </row>
    <row r="1932" spans="1:16" hidden="1" x14ac:dyDescent="0.15">
      <c r="A1932" s="286">
        <v>597250</v>
      </c>
      <c r="B1932" s="288">
        <v>45442.59652777778</v>
      </c>
      <c r="C1932" s="286" t="s">
        <v>2116</v>
      </c>
      <c r="D1932" s="286" t="s">
        <v>1105</v>
      </c>
      <c r="E1932" s="286" t="s">
        <v>1106</v>
      </c>
      <c r="F1932" s="286" t="s">
        <v>2464</v>
      </c>
      <c r="G1932" s="286" t="s">
        <v>2465</v>
      </c>
      <c r="H1932" s="286" t="s">
        <v>2465</v>
      </c>
      <c r="I1932" s="286" t="s">
        <v>1108</v>
      </c>
      <c r="J1932" s="286" t="s">
        <v>53</v>
      </c>
      <c r="K1932" s="286" t="s">
        <v>1339</v>
      </c>
      <c r="L1932" s="286" t="s">
        <v>1340</v>
      </c>
      <c r="M1932" s="286">
        <v>10</v>
      </c>
      <c r="N1932" s="287">
        <v>1</v>
      </c>
      <c r="O1932" s="294">
        <f t="shared" si="30"/>
        <v>45443</v>
      </c>
      <c r="P1932" s="286" t="s">
        <v>37</v>
      </c>
    </row>
    <row r="1933" spans="1:16" hidden="1" x14ac:dyDescent="0.15">
      <c r="A1933" s="286">
        <v>597250</v>
      </c>
      <c r="B1933" s="288">
        <v>45442.59652777778</v>
      </c>
      <c r="C1933" s="286" t="s">
        <v>2116</v>
      </c>
      <c r="D1933" s="286" t="s">
        <v>1105</v>
      </c>
      <c r="E1933" s="286" t="s">
        <v>1106</v>
      </c>
      <c r="F1933" s="286" t="s">
        <v>2464</v>
      </c>
      <c r="G1933" s="286" t="s">
        <v>2465</v>
      </c>
      <c r="H1933" s="286" t="s">
        <v>2465</v>
      </c>
      <c r="I1933" s="286" t="s">
        <v>1108</v>
      </c>
      <c r="J1933" s="286" t="s">
        <v>53</v>
      </c>
      <c r="K1933" s="286" t="s">
        <v>1339</v>
      </c>
      <c r="L1933" s="286" t="s">
        <v>1340</v>
      </c>
      <c r="M1933" s="286">
        <v>10</v>
      </c>
      <c r="N1933" s="287">
        <v>1</v>
      </c>
      <c r="O1933" s="294">
        <f t="shared" si="30"/>
        <v>45443</v>
      </c>
      <c r="P1933" s="286" t="s">
        <v>37</v>
      </c>
    </row>
    <row r="1934" spans="1:16" hidden="1" x14ac:dyDescent="0.15">
      <c r="A1934" s="286">
        <v>812436</v>
      </c>
      <c r="B1934" s="288">
        <v>45581.523611111108</v>
      </c>
      <c r="C1934" s="286" t="s">
        <v>2130</v>
      </c>
      <c r="D1934" s="286" t="s">
        <v>1105</v>
      </c>
      <c r="E1934" s="286" t="s">
        <v>1106</v>
      </c>
      <c r="F1934" s="286" t="s">
        <v>2270</v>
      </c>
      <c r="G1934" s="286" t="s">
        <v>1087</v>
      </c>
      <c r="H1934" s="286" t="s">
        <v>1087</v>
      </c>
      <c r="I1934" s="286" t="s">
        <v>1129</v>
      </c>
      <c r="J1934" s="286" t="s">
        <v>1312</v>
      </c>
      <c r="K1934" s="286" t="s">
        <v>1517</v>
      </c>
      <c r="L1934" s="286" t="s">
        <v>1518</v>
      </c>
      <c r="M1934" s="286">
        <v>2</v>
      </c>
      <c r="N1934" s="287">
        <v>0.92</v>
      </c>
      <c r="O1934" s="294">
        <f t="shared" si="30"/>
        <v>45596</v>
      </c>
      <c r="P1934" s="286" t="s">
        <v>164</v>
      </c>
    </row>
    <row r="1935" spans="1:16" hidden="1" x14ac:dyDescent="0.15">
      <c r="A1935" s="286">
        <v>879479</v>
      </c>
      <c r="B1935" s="288">
        <v>45629.647222222222</v>
      </c>
      <c r="C1935" s="286" t="s">
        <v>2100</v>
      </c>
      <c r="D1935" s="286" t="s">
        <v>1105</v>
      </c>
      <c r="E1935" s="286" t="s">
        <v>1106</v>
      </c>
      <c r="F1935" s="286" t="s">
        <v>2466</v>
      </c>
      <c r="G1935" s="286" t="s">
        <v>1016</v>
      </c>
      <c r="H1935" s="286" t="s">
        <v>1016</v>
      </c>
      <c r="I1935" s="286" t="s">
        <v>1228</v>
      </c>
      <c r="J1935" s="286" t="s">
        <v>1312</v>
      </c>
      <c r="K1935" s="286" t="s">
        <v>53</v>
      </c>
      <c r="L1935" s="286" t="s">
        <v>53</v>
      </c>
      <c r="M1935" s="286" t="s">
        <v>53</v>
      </c>
      <c r="N1935" s="287">
        <v>0.1</v>
      </c>
      <c r="O1935" s="294">
        <f t="shared" si="30"/>
        <v>45657</v>
      </c>
      <c r="P1935" s="286" t="s">
        <v>58</v>
      </c>
    </row>
    <row r="1936" spans="1:16" hidden="1" x14ac:dyDescent="0.15">
      <c r="A1936" s="286">
        <v>438112</v>
      </c>
      <c r="B1936" s="288">
        <v>45293.53402777778</v>
      </c>
      <c r="C1936" s="286" t="s">
        <v>2125</v>
      </c>
      <c r="D1936" s="286" t="s">
        <v>1105</v>
      </c>
      <c r="E1936" s="286" t="s">
        <v>1106</v>
      </c>
      <c r="F1936" s="286" t="s">
        <v>2152</v>
      </c>
      <c r="G1936" s="286" t="s">
        <v>1030</v>
      </c>
      <c r="H1936" s="286" t="s">
        <v>1030</v>
      </c>
      <c r="I1936" s="286" t="s">
        <v>1199</v>
      </c>
      <c r="J1936" s="286" t="s">
        <v>1312</v>
      </c>
      <c r="K1936" s="286" t="s">
        <v>1805</v>
      </c>
      <c r="L1936" s="286" t="s">
        <v>672</v>
      </c>
      <c r="M1936" s="286">
        <v>0</v>
      </c>
      <c r="N1936" s="287">
        <v>0</v>
      </c>
      <c r="O1936" s="294">
        <f t="shared" si="30"/>
        <v>45322</v>
      </c>
      <c r="P1936" s="286" t="s">
        <v>58</v>
      </c>
    </row>
    <row r="1937" spans="1:16" hidden="1" x14ac:dyDescent="0.15">
      <c r="A1937" s="286">
        <v>453975</v>
      </c>
      <c r="B1937" s="288">
        <v>45309.636111111111</v>
      </c>
      <c r="C1937" s="286" t="s">
        <v>2125</v>
      </c>
      <c r="D1937" s="286" t="s">
        <v>1105</v>
      </c>
      <c r="E1937" s="286" t="s">
        <v>1106</v>
      </c>
      <c r="F1937" s="286" t="s">
        <v>2333</v>
      </c>
      <c r="G1937" s="286" t="s">
        <v>1831</v>
      </c>
      <c r="H1937" s="286" t="s">
        <v>1831</v>
      </c>
      <c r="I1937" s="286" t="s">
        <v>1129</v>
      </c>
      <c r="J1937" s="286" t="s">
        <v>1312</v>
      </c>
      <c r="K1937" s="286" t="s">
        <v>530</v>
      </c>
      <c r="L1937" s="286" t="s">
        <v>531</v>
      </c>
      <c r="M1937" s="286">
        <v>18</v>
      </c>
      <c r="N1937" s="287">
        <v>0</v>
      </c>
      <c r="O1937" s="294">
        <f t="shared" si="30"/>
        <v>45322</v>
      </c>
      <c r="P1937" s="286" t="s">
        <v>164</v>
      </c>
    </row>
    <row r="1938" spans="1:16" hidden="1" x14ac:dyDescent="0.15">
      <c r="A1938" s="286">
        <v>453975</v>
      </c>
      <c r="B1938" s="288">
        <v>45309.636111111111</v>
      </c>
      <c r="C1938" s="286" t="s">
        <v>2125</v>
      </c>
      <c r="D1938" s="286" t="s">
        <v>1105</v>
      </c>
      <c r="E1938" s="286" t="s">
        <v>1106</v>
      </c>
      <c r="F1938" s="286" t="s">
        <v>2333</v>
      </c>
      <c r="G1938" s="286" t="s">
        <v>1045</v>
      </c>
      <c r="H1938" s="286" t="s">
        <v>1045</v>
      </c>
      <c r="I1938" s="286" t="s">
        <v>1108</v>
      </c>
      <c r="J1938" s="286" t="s">
        <v>53</v>
      </c>
      <c r="K1938" s="286" t="s">
        <v>1339</v>
      </c>
      <c r="L1938" s="286" t="s">
        <v>1340</v>
      </c>
      <c r="M1938" s="286">
        <v>1</v>
      </c>
      <c r="N1938" s="287">
        <v>0</v>
      </c>
      <c r="O1938" s="294">
        <f t="shared" si="30"/>
        <v>45322</v>
      </c>
      <c r="P1938" s="286" t="s">
        <v>37</v>
      </c>
    </row>
    <row r="1939" spans="1:16" hidden="1" x14ac:dyDescent="0.15">
      <c r="A1939" s="286">
        <v>453975</v>
      </c>
      <c r="B1939" s="288">
        <v>45309.636111111111</v>
      </c>
      <c r="C1939" s="286" t="s">
        <v>2125</v>
      </c>
      <c r="D1939" s="286" t="s">
        <v>1105</v>
      </c>
      <c r="E1939" s="286" t="s">
        <v>1106</v>
      </c>
      <c r="F1939" s="286" t="s">
        <v>2333</v>
      </c>
      <c r="G1939" s="286" t="s">
        <v>1002</v>
      </c>
      <c r="H1939" s="286" t="s">
        <v>1002</v>
      </c>
      <c r="I1939" s="286" t="s">
        <v>1108</v>
      </c>
      <c r="J1939" s="286" t="s">
        <v>53</v>
      </c>
      <c r="K1939" s="286" t="s">
        <v>1339</v>
      </c>
      <c r="L1939" s="286" t="s">
        <v>1340</v>
      </c>
      <c r="M1939" s="286">
        <v>1</v>
      </c>
      <c r="N1939" s="287">
        <v>0</v>
      </c>
      <c r="O1939" s="294">
        <f t="shared" si="30"/>
        <v>45322</v>
      </c>
      <c r="P1939" s="286" t="s">
        <v>37</v>
      </c>
    </row>
    <row r="1940" spans="1:16" hidden="1" x14ac:dyDescent="0.15">
      <c r="A1940" s="286">
        <v>464905</v>
      </c>
      <c r="B1940" s="288">
        <v>45323.521527777775</v>
      </c>
      <c r="C1940" s="286" t="s">
        <v>2125</v>
      </c>
      <c r="D1940" s="286" t="s">
        <v>1105</v>
      </c>
      <c r="E1940" s="286" t="s">
        <v>1106</v>
      </c>
      <c r="F1940" s="286" t="s">
        <v>2212</v>
      </c>
      <c r="G1940" s="286" t="s">
        <v>1045</v>
      </c>
      <c r="H1940" s="286" t="s">
        <v>1045</v>
      </c>
      <c r="I1940" s="286" t="s">
        <v>1129</v>
      </c>
      <c r="J1940" s="286" t="s">
        <v>1312</v>
      </c>
      <c r="K1940" s="286" t="s">
        <v>2467</v>
      </c>
      <c r="L1940" s="286" t="s">
        <v>2468</v>
      </c>
      <c r="M1940" s="286">
        <v>1</v>
      </c>
      <c r="N1940" s="287">
        <v>0</v>
      </c>
      <c r="O1940" s="294">
        <f t="shared" si="30"/>
        <v>45351</v>
      </c>
      <c r="P1940" s="286" t="s">
        <v>164</v>
      </c>
    </row>
    <row r="1941" spans="1:16" hidden="1" x14ac:dyDescent="0.15">
      <c r="A1941" s="286">
        <v>464905</v>
      </c>
      <c r="B1941" s="288">
        <v>45323.521527777775</v>
      </c>
      <c r="C1941" s="286" t="s">
        <v>2125</v>
      </c>
      <c r="D1941" s="286" t="s">
        <v>1105</v>
      </c>
      <c r="E1941" s="286" t="s">
        <v>1106</v>
      </c>
      <c r="F1941" s="286" t="s">
        <v>2212</v>
      </c>
      <c r="G1941" s="286" t="s">
        <v>1073</v>
      </c>
      <c r="H1941" s="286" t="s">
        <v>1073</v>
      </c>
      <c r="I1941" s="286" t="s">
        <v>1112</v>
      </c>
      <c r="J1941" s="286" t="s">
        <v>1312</v>
      </c>
      <c r="K1941" s="286" t="s">
        <v>1718</v>
      </c>
      <c r="L1941" s="286" t="s">
        <v>1719</v>
      </c>
      <c r="M1941" s="286">
        <v>1</v>
      </c>
      <c r="N1941" s="287">
        <v>0</v>
      </c>
      <c r="O1941" s="294">
        <f t="shared" si="30"/>
        <v>45351</v>
      </c>
      <c r="P1941" s="286" t="s">
        <v>175</v>
      </c>
    </row>
    <row r="1942" spans="1:16" hidden="1" x14ac:dyDescent="0.15">
      <c r="A1942" s="286">
        <v>464905</v>
      </c>
      <c r="B1942" s="288">
        <v>45323.521527777775</v>
      </c>
      <c r="C1942" s="286" t="s">
        <v>2125</v>
      </c>
      <c r="D1942" s="286" t="s">
        <v>1105</v>
      </c>
      <c r="E1942" s="286" t="s">
        <v>1106</v>
      </c>
      <c r="F1942" s="286" t="s">
        <v>2212</v>
      </c>
      <c r="G1942" s="286" t="s">
        <v>1073</v>
      </c>
      <c r="H1942" s="286" t="s">
        <v>1073</v>
      </c>
      <c r="I1942" s="286" t="s">
        <v>1112</v>
      </c>
      <c r="J1942" s="286" t="s">
        <v>1312</v>
      </c>
      <c r="K1942" s="286" t="s">
        <v>1678</v>
      </c>
      <c r="L1942" s="286" t="s">
        <v>1679</v>
      </c>
      <c r="M1942" s="286">
        <v>3</v>
      </c>
      <c r="N1942" s="287">
        <v>0</v>
      </c>
      <c r="O1942" s="294">
        <f t="shared" si="30"/>
        <v>45351</v>
      </c>
      <c r="P1942" s="286" t="s">
        <v>175</v>
      </c>
    </row>
    <row r="1943" spans="1:16" hidden="1" x14ac:dyDescent="0.15">
      <c r="A1943" s="286">
        <v>472168</v>
      </c>
      <c r="B1943" s="288">
        <v>45331.416666666664</v>
      </c>
      <c r="C1943" s="286" t="s">
        <v>2113</v>
      </c>
      <c r="D1943" s="286" t="s">
        <v>1105</v>
      </c>
      <c r="E1943" s="286" t="s">
        <v>1106</v>
      </c>
      <c r="F1943" s="286" t="s">
        <v>2153</v>
      </c>
      <c r="G1943" s="286" t="s">
        <v>1831</v>
      </c>
      <c r="H1943" s="286" t="s">
        <v>1831</v>
      </c>
      <c r="I1943" s="286" t="s">
        <v>1129</v>
      </c>
      <c r="J1943" s="286" t="s">
        <v>1312</v>
      </c>
      <c r="K1943" s="286" t="s">
        <v>2469</v>
      </c>
      <c r="L1943" s="286" t="s">
        <v>2470</v>
      </c>
      <c r="M1943" s="286">
        <v>1</v>
      </c>
      <c r="N1943" s="287">
        <v>0</v>
      </c>
      <c r="O1943" s="294">
        <f t="shared" si="30"/>
        <v>45351</v>
      </c>
      <c r="P1943" s="286" t="s">
        <v>164</v>
      </c>
    </row>
    <row r="1944" spans="1:16" hidden="1" x14ac:dyDescent="0.15">
      <c r="A1944" s="286">
        <v>472168</v>
      </c>
      <c r="B1944" s="288">
        <v>45331.416666666664</v>
      </c>
      <c r="C1944" s="286" t="s">
        <v>2113</v>
      </c>
      <c r="D1944" s="286" t="s">
        <v>1105</v>
      </c>
      <c r="E1944" s="286" t="s">
        <v>1106</v>
      </c>
      <c r="F1944" s="286" t="s">
        <v>2153</v>
      </c>
      <c r="G1944" s="286" t="s">
        <v>1075</v>
      </c>
      <c r="H1944" s="286" t="s">
        <v>1075</v>
      </c>
      <c r="I1944" s="286" t="s">
        <v>1129</v>
      </c>
      <c r="J1944" s="286" t="s">
        <v>1312</v>
      </c>
      <c r="K1944" s="286" t="s">
        <v>1380</v>
      </c>
      <c r="L1944" s="286" t="s">
        <v>1381</v>
      </c>
      <c r="M1944" s="286">
        <v>1</v>
      </c>
      <c r="N1944" s="287">
        <v>0</v>
      </c>
      <c r="O1944" s="294">
        <f t="shared" si="30"/>
        <v>45351</v>
      </c>
      <c r="P1944" s="286" t="s">
        <v>164</v>
      </c>
    </row>
    <row r="1945" spans="1:16" hidden="1" x14ac:dyDescent="0.15">
      <c r="A1945" s="286">
        <v>472168</v>
      </c>
      <c r="B1945" s="288">
        <v>45331.416666666664</v>
      </c>
      <c r="C1945" s="286" t="s">
        <v>2113</v>
      </c>
      <c r="D1945" s="286" t="s">
        <v>1105</v>
      </c>
      <c r="E1945" s="286" t="s">
        <v>1106</v>
      </c>
      <c r="F1945" s="286" t="s">
        <v>2153</v>
      </c>
      <c r="G1945" s="286" t="s">
        <v>1856</v>
      </c>
      <c r="H1945" s="286" t="s">
        <v>1856</v>
      </c>
      <c r="I1945" s="286" t="s">
        <v>1152</v>
      </c>
      <c r="J1945" s="286" t="s">
        <v>1312</v>
      </c>
      <c r="K1945" s="286" t="s">
        <v>1621</v>
      </c>
      <c r="L1945" s="286" t="s">
        <v>1622</v>
      </c>
      <c r="M1945" s="286">
        <v>1</v>
      </c>
      <c r="N1945" s="287">
        <v>0</v>
      </c>
      <c r="O1945" s="294">
        <f t="shared" si="30"/>
        <v>45351</v>
      </c>
      <c r="P1945" s="286" t="s">
        <v>58</v>
      </c>
    </row>
    <row r="1946" spans="1:16" hidden="1" x14ac:dyDescent="0.15">
      <c r="A1946" s="286">
        <v>472168</v>
      </c>
      <c r="B1946" s="288">
        <v>45331.416666666664</v>
      </c>
      <c r="C1946" s="286" t="s">
        <v>2113</v>
      </c>
      <c r="D1946" s="286" t="s">
        <v>1105</v>
      </c>
      <c r="E1946" s="286" t="s">
        <v>1106</v>
      </c>
      <c r="F1946" s="286" t="s">
        <v>2153</v>
      </c>
      <c r="G1946" s="286" t="s">
        <v>1030</v>
      </c>
      <c r="H1946" s="286" t="s">
        <v>1030</v>
      </c>
      <c r="I1946" s="286" t="s">
        <v>1199</v>
      </c>
      <c r="J1946" s="286" t="s">
        <v>1312</v>
      </c>
      <c r="K1946" s="286" t="s">
        <v>1805</v>
      </c>
      <c r="L1946" s="286" t="s">
        <v>672</v>
      </c>
      <c r="M1946" s="286">
        <v>0</v>
      </c>
      <c r="N1946" s="287">
        <v>0</v>
      </c>
      <c r="O1946" s="294">
        <f t="shared" si="30"/>
        <v>45351</v>
      </c>
      <c r="P1946" s="286" t="s">
        <v>58</v>
      </c>
    </row>
    <row r="1947" spans="1:16" hidden="1" x14ac:dyDescent="0.15">
      <c r="A1947" s="286">
        <v>474038</v>
      </c>
      <c r="B1947" s="288">
        <v>45334.591666666667</v>
      </c>
      <c r="C1947" s="286" t="s">
        <v>2113</v>
      </c>
      <c r="D1947" s="286" t="s">
        <v>1105</v>
      </c>
      <c r="E1947" s="286" t="s">
        <v>1106</v>
      </c>
      <c r="F1947" s="286" t="s">
        <v>2334</v>
      </c>
      <c r="G1947" s="286" t="s">
        <v>1017</v>
      </c>
      <c r="H1947" s="286" t="s">
        <v>1017</v>
      </c>
      <c r="I1947" s="286" t="s">
        <v>1152</v>
      </c>
      <c r="J1947" s="286" t="s">
        <v>1312</v>
      </c>
      <c r="K1947" s="286" t="s">
        <v>1826</v>
      </c>
      <c r="L1947" s="286" t="s">
        <v>1827</v>
      </c>
      <c r="M1947" s="286">
        <v>1</v>
      </c>
      <c r="N1947" s="287">
        <v>0</v>
      </c>
      <c r="O1947" s="294">
        <f t="shared" si="30"/>
        <v>45351</v>
      </c>
      <c r="P1947" s="286" t="s">
        <v>58</v>
      </c>
    </row>
    <row r="1948" spans="1:16" hidden="1" x14ac:dyDescent="0.15">
      <c r="A1948" s="286">
        <v>483613</v>
      </c>
      <c r="B1948" s="288">
        <v>45342.459027777775</v>
      </c>
      <c r="C1948" s="286" t="s">
        <v>2113</v>
      </c>
      <c r="D1948" s="286" t="s">
        <v>1105</v>
      </c>
      <c r="E1948" s="286" t="s">
        <v>1106</v>
      </c>
      <c r="F1948" s="286" t="s">
        <v>2263</v>
      </c>
      <c r="G1948" s="286" t="s">
        <v>1036</v>
      </c>
      <c r="H1948" s="286" t="s">
        <v>1036</v>
      </c>
      <c r="I1948" s="286" t="s">
        <v>1129</v>
      </c>
      <c r="J1948" s="286" t="s">
        <v>1312</v>
      </c>
      <c r="K1948" s="286" t="s">
        <v>1464</v>
      </c>
      <c r="L1948" s="286" t="s">
        <v>1465</v>
      </c>
      <c r="M1948" s="286">
        <v>2</v>
      </c>
      <c r="N1948" s="287">
        <v>0</v>
      </c>
      <c r="O1948" s="294">
        <f t="shared" si="30"/>
        <v>45351</v>
      </c>
      <c r="P1948" s="286" t="s">
        <v>164</v>
      </c>
    </row>
    <row r="1949" spans="1:16" hidden="1" x14ac:dyDescent="0.15">
      <c r="A1949" s="286">
        <v>483613</v>
      </c>
      <c r="B1949" s="288">
        <v>45342.459027777775</v>
      </c>
      <c r="C1949" s="286" t="s">
        <v>2113</v>
      </c>
      <c r="D1949" s="286" t="s">
        <v>1105</v>
      </c>
      <c r="E1949" s="286" t="s">
        <v>1106</v>
      </c>
      <c r="F1949" s="286" t="s">
        <v>2263</v>
      </c>
      <c r="G1949" s="286" t="s">
        <v>1316</v>
      </c>
      <c r="H1949" s="286" t="s">
        <v>1316</v>
      </c>
      <c r="I1949" s="286" t="s">
        <v>1129</v>
      </c>
      <c r="J1949" s="286" t="s">
        <v>1312</v>
      </c>
      <c r="K1949" s="286" t="s">
        <v>1318</v>
      </c>
      <c r="L1949" s="286" t="s">
        <v>1319</v>
      </c>
      <c r="M1949" s="286">
        <v>1</v>
      </c>
      <c r="N1949" s="287">
        <v>0</v>
      </c>
      <c r="O1949" s="294">
        <f t="shared" si="30"/>
        <v>45351</v>
      </c>
      <c r="P1949" s="286" t="s">
        <v>164</v>
      </c>
    </row>
    <row r="1950" spans="1:16" hidden="1" x14ac:dyDescent="0.15">
      <c r="A1950" s="286">
        <v>483613</v>
      </c>
      <c r="B1950" s="288">
        <v>45342.459027777775</v>
      </c>
      <c r="C1950" s="286" t="s">
        <v>2113</v>
      </c>
      <c r="D1950" s="286" t="s">
        <v>1105</v>
      </c>
      <c r="E1950" s="286" t="s">
        <v>1106</v>
      </c>
      <c r="F1950" s="286" t="s">
        <v>2263</v>
      </c>
      <c r="G1950" s="286" t="s">
        <v>1044</v>
      </c>
      <c r="H1950" s="286" t="s">
        <v>1044</v>
      </c>
      <c r="I1950" s="286" t="s">
        <v>1230</v>
      </c>
      <c r="J1950" s="286" t="s">
        <v>1312</v>
      </c>
      <c r="K1950" s="286" t="s">
        <v>1748</v>
      </c>
      <c r="L1950" s="286" t="s">
        <v>1749</v>
      </c>
      <c r="M1950" s="286">
        <v>0</v>
      </c>
      <c r="N1950" s="287">
        <v>0</v>
      </c>
      <c r="O1950" s="294">
        <f t="shared" si="30"/>
        <v>45351</v>
      </c>
      <c r="P1950" s="286" t="s">
        <v>175</v>
      </c>
    </row>
    <row r="1951" spans="1:16" hidden="1" x14ac:dyDescent="0.15">
      <c r="A1951" s="286">
        <v>495844</v>
      </c>
      <c r="B1951" s="288">
        <v>45351.559027777781</v>
      </c>
      <c r="C1951" s="286" t="s">
        <v>2113</v>
      </c>
      <c r="D1951" s="286" t="s">
        <v>1105</v>
      </c>
      <c r="E1951" s="286" t="s">
        <v>1106</v>
      </c>
      <c r="F1951" s="286" t="s">
        <v>2471</v>
      </c>
      <c r="G1951" s="286" t="s">
        <v>1079</v>
      </c>
      <c r="H1951" s="286" t="s">
        <v>1079</v>
      </c>
      <c r="I1951" s="286" t="s">
        <v>1128</v>
      </c>
      <c r="J1951" s="286" t="s">
        <v>1312</v>
      </c>
      <c r="K1951" s="286" t="s">
        <v>1757</v>
      </c>
      <c r="L1951" s="286" t="s">
        <v>694</v>
      </c>
      <c r="M1951" s="286">
        <v>1</v>
      </c>
      <c r="N1951" s="287">
        <v>0</v>
      </c>
      <c r="O1951" s="294">
        <f t="shared" si="30"/>
        <v>45351</v>
      </c>
      <c r="P1951" s="286" t="s">
        <v>47</v>
      </c>
    </row>
    <row r="1952" spans="1:16" hidden="1" x14ac:dyDescent="0.15">
      <c r="A1952" s="286">
        <v>496295</v>
      </c>
      <c r="B1952" s="288">
        <v>45352.356944444444</v>
      </c>
      <c r="C1952" s="286" t="s">
        <v>2113</v>
      </c>
      <c r="D1952" s="286" t="s">
        <v>1105</v>
      </c>
      <c r="E1952" s="286" t="s">
        <v>1106</v>
      </c>
      <c r="F1952" s="286" t="s">
        <v>2114</v>
      </c>
      <c r="G1952" s="286" t="s">
        <v>1024</v>
      </c>
      <c r="H1952" s="286" t="s">
        <v>1024</v>
      </c>
      <c r="I1952" s="286" t="s">
        <v>1112</v>
      </c>
      <c r="J1952" s="286" t="s">
        <v>1312</v>
      </c>
      <c r="K1952" s="286" t="s">
        <v>1773</v>
      </c>
      <c r="L1952" s="286" t="s">
        <v>1774</v>
      </c>
      <c r="M1952" s="286">
        <v>1</v>
      </c>
      <c r="N1952" s="287">
        <v>0</v>
      </c>
      <c r="O1952" s="294">
        <f t="shared" si="30"/>
        <v>45382</v>
      </c>
      <c r="P1952" s="286" t="s">
        <v>175</v>
      </c>
    </row>
    <row r="1953" spans="1:16" hidden="1" x14ac:dyDescent="0.15">
      <c r="A1953" s="286">
        <v>496295</v>
      </c>
      <c r="B1953" s="288">
        <v>45352.356944444444</v>
      </c>
      <c r="C1953" s="286" t="s">
        <v>2113</v>
      </c>
      <c r="D1953" s="286" t="s">
        <v>1105</v>
      </c>
      <c r="E1953" s="286" t="s">
        <v>1106</v>
      </c>
      <c r="F1953" s="286" t="s">
        <v>2114</v>
      </c>
      <c r="G1953" s="286" t="s">
        <v>1024</v>
      </c>
      <c r="H1953" s="286" t="s">
        <v>1024</v>
      </c>
      <c r="I1953" s="286" t="s">
        <v>1112</v>
      </c>
      <c r="J1953" s="286" t="s">
        <v>1312</v>
      </c>
      <c r="K1953" s="286" t="s">
        <v>2050</v>
      </c>
      <c r="L1953" s="286" t="s">
        <v>2051</v>
      </c>
      <c r="M1953" s="286">
        <v>1</v>
      </c>
      <c r="N1953" s="287">
        <v>0</v>
      </c>
      <c r="O1953" s="294">
        <f t="shared" si="30"/>
        <v>45382</v>
      </c>
      <c r="P1953" s="286" t="s">
        <v>175</v>
      </c>
    </row>
    <row r="1954" spans="1:16" hidden="1" x14ac:dyDescent="0.15">
      <c r="A1954" s="286">
        <v>504817</v>
      </c>
      <c r="B1954" s="288">
        <v>45359.645138888889</v>
      </c>
      <c r="C1954" s="286" t="s">
        <v>2109</v>
      </c>
      <c r="D1954" s="286" t="s">
        <v>1105</v>
      </c>
      <c r="E1954" s="286" t="s">
        <v>1106</v>
      </c>
      <c r="F1954" s="286" t="s">
        <v>2154</v>
      </c>
      <c r="G1954" s="286" t="s">
        <v>1026</v>
      </c>
      <c r="H1954" s="286" t="s">
        <v>1026</v>
      </c>
      <c r="I1954" s="286" t="s">
        <v>1129</v>
      </c>
      <c r="J1954" s="286" t="s">
        <v>1312</v>
      </c>
      <c r="K1954" s="286" t="s">
        <v>2388</v>
      </c>
      <c r="L1954" s="286" t="s">
        <v>2389</v>
      </c>
      <c r="M1954" s="286">
        <v>2</v>
      </c>
      <c r="N1954" s="287">
        <v>0</v>
      </c>
      <c r="O1954" s="294">
        <f t="shared" si="30"/>
        <v>45382</v>
      </c>
      <c r="P1954" s="286" t="s">
        <v>164</v>
      </c>
    </row>
    <row r="1955" spans="1:16" hidden="1" x14ac:dyDescent="0.15">
      <c r="A1955" s="286">
        <v>504817</v>
      </c>
      <c r="B1955" s="288">
        <v>45359.645138888889</v>
      </c>
      <c r="C1955" s="286" t="s">
        <v>2109</v>
      </c>
      <c r="D1955" s="286" t="s">
        <v>1105</v>
      </c>
      <c r="E1955" s="286" t="s">
        <v>1106</v>
      </c>
      <c r="F1955" s="286" t="s">
        <v>2154</v>
      </c>
      <c r="G1955" s="286" t="s">
        <v>1030</v>
      </c>
      <c r="H1955" s="286" t="s">
        <v>1030</v>
      </c>
      <c r="I1955" s="286" t="s">
        <v>1199</v>
      </c>
      <c r="J1955" s="286" t="s">
        <v>1312</v>
      </c>
      <c r="K1955" s="286" t="s">
        <v>1805</v>
      </c>
      <c r="L1955" s="286" t="s">
        <v>672</v>
      </c>
      <c r="M1955" s="286">
        <v>0</v>
      </c>
      <c r="N1955" s="287">
        <v>0</v>
      </c>
      <c r="O1955" s="294">
        <f t="shared" si="30"/>
        <v>45382</v>
      </c>
      <c r="P1955" s="286" t="s">
        <v>58</v>
      </c>
    </row>
    <row r="1956" spans="1:16" hidden="1" x14ac:dyDescent="0.15">
      <c r="A1956" s="286">
        <v>510054</v>
      </c>
      <c r="B1956" s="288">
        <v>45364.376388888886</v>
      </c>
      <c r="C1956" s="286" t="s">
        <v>2109</v>
      </c>
      <c r="D1956" s="286" t="s">
        <v>1105</v>
      </c>
      <c r="E1956" s="286" t="s">
        <v>1106</v>
      </c>
      <c r="F1956" s="286" t="s">
        <v>2472</v>
      </c>
      <c r="G1956" s="286" t="s">
        <v>1031</v>
      </c>
      <c r="H1956" s="286" t="s">
        <v>1031</v>
      </c>
      <c r="I1956" s="286" t="s">
        <v>1108</v>
      </c>
      <c r="J1956" s="286" t="s">
        <v>1312</v>
      </c>
      <c r="K1956" s="286" t="s">
        <v>1634</v>
      </c>
      <c r="L1956" s="286" t="s">
        <v>708</v>
      </c>
      <c r="M1956" s="286">
        <v>1</v>
      </c>
      <c r="N1956" s="287">
        <v>0</v>
      </c>
      <c r="O1956" s="294">
        <f t="shared" si="30"/>
        <v>45382</v>
      </c>
      <c r="P1956" s="286" t="s">
        <v>37</v>
      </c>
    </row>
    <row r="1957" spans="1:16" hidden="1" x14ac:dyDescent="0.15">
      <c r="A1957" s="286">
        <v>510054</v>
      </c>
      <c r="B1957" s="288">
        <v>45364.376388888886</v>
      </c>
      <c r="C1957" s="286" t="s">
        <v>2109</v>
      </c>
      <c r="D1957" s="286" t="s">
        <v>1105</v>
      </c>
      <c r="E1957" s="286" t="s">
        <v>1106</v>
      </c>
      <c r="F1957" s="286" t="s">
        <v>2472</v>
      </c>
      <c r="G1957" s="286" t="s">
        <v>1026</v>
      </c>
      <c r="H1957" s="286" t="s">
        <v>1026</v>
      </c>
      <c r="I1957" s="286" t="s">
        <v>1108</v>
      </c>
      <c r="J1957" s="286" t="s">
        <v>53</v>
      </c>
      <c r="K1957" s="286" t="s">
        <v>1339</v>
      </c>
      <c r="L1957" s="286" t="s">
        <v>1340</v>
      </c>
      <c r="M1957" s="286">
        <v>1</v>
      </c>
      <c r="N1957" s="287">
        <v>0</v>
      </c>
      <c r="O1957" s="294">
        <f t="shared" si="30"/>
        <v>45382</v>
      </c>
      <c r="P1957" s="286" t="s">
        <v>37</v>
      </c>
    </row>
    <row r="1958" spans="1:16" hidden="1" x14ac:dyDescent="0.15">
      <c r="A1958" s="286">
        <v>518933</v>
      </c>
      <c r="B1958" s="288">
        <v>45371.527083333334</v>
      </c>
      <c r="C1958" s="286" t="s">
        <v>2109</v>
      </c>
      <c r="D1958" s="286" t="s">
        <v>1105</v>
      </c>
      <c r="E1958" s="286" t="s">
        <v>1106</v>
      </c>
      <c r="F1958" s="286" t="s">
        <v>2246</v>
      </c>
      <c r="G1958" s="286" t="s">
        <v>1051</v>
      </c>
      <c r="H1958" s="286" t="s">
        <v>1051</v>
      </c>
      <c r="I1958" s="286" t="s">
        <v>1129</v>
      </c>
      <c r="J1958" s="286" t="s">
        <v>1312</v>
      </c>
      <c r="K1958" s="286" t="s">
        <v>1892</v>
      </c>
      <c r="L1958" s="286" t="s">
        <v>1893</v>
      </c>
      <c r="M1958" s="286">
        <v>12</v>
      </c>
      <c r="N1958" s="287">
        <v>0</v>
      </c>
      <c r="O1958" s="294">
        <f t="shared" si="30"/>
        <v>45382</v>
      </c>
      <c r="P1958" s="286" t="s">
        <v>164</v>
      </c>
    </row>
    <row r="1959" spans="1:16" hidden="1" x14ac:dyDescent="0.15">
      <c r="A1959" s="286">
        <v>518933</v>
      </c>
      <c r="B1959" s="288">
        <v>45371.527083333334</v>
      </c>
      <c r="C1959" s="286" t="s">
        <v>2109</v>
      </c>
      <c r="D1959" s="286" t="s">
        <v>1105</v>
      </c>
      <c r="E1959" s="286" t="s">
        <v>1106</v>
      </c>
      <c r="F1959" s="286" t="s">
        <v>2246</v>
      </c>
      <c r="G1959" s="286" t="s">
        <v>1028</v>
      </c>
      <c r="H1959" s="286" t="s">
        <v>1028</v>
      </c>
      <c r="I1959" s="286" t="s">
        <v>1152</v>
      </c>
      <c r="J1959" s="286" t="s">
        <v>1312</v>
      </c>
      <c r="K1959" s="286" t="s">
        <v>1957</v>
      </c>
      <c r="L1959" s="286" t="s">
        <v>1958</v>
      </c>
      <c r="M1959" s="286">
        <v>1</v>
      </c>
      <c r="N1959" s="287">
        <v>0</v>
      </c>
      <c r="O1959" s="294">
        <f t="shared" si="30"/>
        <v>45382</v>
      </c>
      <c r="P1959" s="286" t="s">
        <v>58</v>
      </c>
    </row>
    <row r="1960" spans="1:16" hidden="1" x14ac:dyDescent="0.15">
      <c r="A1960" s="286">
        <v>531355</v>
      </c>
      <c r="B1960" s="288">
        <v>45384.463888888888</v>
      </c>
      <c r="C1960" s="286" t="s">
        <v>2109</v>
      </c>
      <c r="D1960" s="286" t="s">
        <v>1105</v>
      </c>
      <c r="E1960" s="286" t="s">
        <v>1106</v>
      </c>
      <c r="F1960" s="286" t="s">
        <v>2151</v>
      </c>
      <c r="G1960" s="286" t="s">
        <v>1026</v>
      </c>
      <c r="H1960" s="286" t="s">
        <v>1026</v>
      </c>
      <c r="I1960" s="286" t="s">
        <v>1108</v>
      </c>
      <c r="J1960" s="286" t="s">
        <v>1312</v>
      </c>
      <c r="K1960" s="286" t="s">
        <v>765</v>
      </c>
      <c r="L1960" s="286" t="s">
        <v>2473</v>
      </c>
      <c r="M1960" s="286">
        <v>1</v>
      </c>
      <c r="N1960" s="287">
        <v>0</v>
      </c>
      <c r="O1960" s="294">
        <f t="shared" si="30"/>
        <v>45412</v>
      </c>
      <c r="P1960" s="286" t="s">
        <v>37</v>
      </c>
    </row>
    <row r="1961" spans="1:16" hidden="1" x14ac:dyDescent="0.15">
      <c r="A1961" s="286">
        <v>531355</v>
      </c>
      <c r="B1961" s="288">
        <v>45384.463888888888</v>
      </c>
      <c r="C1961" s="286" t="s">
        <v>2109</v>
      </c>
      <c r="D1961" s="286" t="s">
        <v>1105</v>
      </c>
      <c r="E1961" s="286" t="s">
        <v>1106</v>
      </c>
      <c r="F1961" s="286" t="s">
        <v>2151</v>
      </c>
      <c r="G1961" s="286" t="s">
        <v>1073</v>
      </c>
      <c r="H1961" s="286" t="s">
        <v>1073</v>
      </c>
      <c r="I1961" s="286" t="s">
        <v>1112</v>
      </c>
      <c r="J1961" s="286" t="s">
        <v>1312</v>
      </c>
      <c r="K1961" s="286" t="s">
        <v>1707</v>
      </c>
      <c r="L1961" s="286" t="s">
        <v>1708</v>
      </c>
      <c r="M1961" s="286">
        <v>3</v>
      </c>
      <c r="N1961" s="287">
        <v>0</v>
      </c>
      <c r="O1961" s="294">
        <f t="shared" si="30"/>
        <v>45412</v>
      </c>
      <c r="P1961" s="286" t="s">
        <v>175</v>
      </c>
    </row>
    <row r="1962" spans="1:16" hidden="1" x14ac:dyDescent="0.15">
      <c r="A1962" s="286">
        <v>531355</v>
      </c>
      <c r="B1962" s="288">
        <v>45384.463888888888</v>
      </c>
      <c r="C1962" s="286" t="s">
        <v>2109</v>
      </c>
      <c r="D1962" s="286" t="s">
        <v>1105</v>
      </c>
      <c r="E1962" s="286" t="s">
        <v>1106</v>
      </c>
      <c r="F1962" s="286" t="s">
        <v>2151</v>
      </c>
      <c r="G1962" s="286" t="s">
        <v>1073</v>
      </c>
      <c r="H1962" s="286" t="s">
        <v>1073</v>
      </c>
      <c r="I1962" s="286" t="s">
        <v>1112</v>
      </c>
      <c r="J1962" s="286" t="s">
        <v>1312</v>
      </c>
      <c r="K1962" s="286" t="s">
        <v>1732</v>
      </c>
      <c r="L1962" s="286" t="s">
        <v>1733</v>
      </c>
      <c r="M1962" s="286">
        <v>1</v>
      </c>
      <c r="N1962" s="287">
        <v>0</v>
      </c>
      <c r="O1962" s="294">
        <f t="shared" si="30"/>
        <v>45412</v>
      </c>
      <c r="P1962" s="286" t="s">
        <v>175</v>
      </c>
    </row>
    <row r="1963" spans="1:16" hidden="1" x14ac:dyDescent="0.15">
      <c r="A1963" s="286">
        <v>536791</v>
      </c>
      <c r="B1963" s="288">
        <v>45390.404166666667</v>
      </c>
      <c r="C1963" s="286" t="s">
        <v>2109</v>
      </c>
      <c r="D1963" s="286" t="s">
        <v>1105</v>
      </c>
      <c r="E1963" s="286" t="s">
        <v>1106</v>
      </c>
      <c r="F1963" s="286" t="s">
        <v>2110</v>
      </c>
      <c r="G1963" s="286" t="s">
        <v>1062</v>
      </c>
      <c r="H1963" s="286" t="s">
        <v>1062</v>
      </c>
      <c r="I1963" s="286" t="s">
        <v>1230</v>
      </c>
      <c r="J1963" s="286" t="s">
        <v>1312</v>
      </c>
      <c r="K1963" s="286" t="s">
        <v>2166</v>
      </c>
      <c r="L1963" s="286" t="s">
        <v>2028</v>
      </c>
      <c r="M1963" s="286">
        <v>1</v>
      </c>
      <c r="N1963" s="287">
        <v>0</v>
      </c>
      <c r="O1963" s="294">
        <f t="shared" si="30"/>
        <v>45412</v>
      </c>
      <c r="P1963" s="286" t="s">
        <v>175</v>
      </c>
    </row>
    <row r="1964" spans="1:16" hidden="1" x14ac:dyDescent="0.15">
      <c r="A1964" s="286">
        <v>536791</v>
      </c>
      <c r="B1964" s="288">
        <v>45390.404166666667</v>
      </c>
      <c r="C1964" s="286" t="s">
        <v>2109</v>
      </c>
      <c r="D1964" s="286" t="s">
        <v>1105</v>
      </c>
      <c r="E1964" s="286" t="s">
        <v>1106</v>
      </c>
      <c r="F1964" s="286" t="s">
        <v>2110</v>
      </c>
      <c r="G1964" s="286" t="s">
        <v>1062</v>
      </c>
      <c r="H1964" s="286" t="s">
        <v>1062</v>
      </c>
      <c r="I1964" s="286" t="s">
        <v>1230</v>
      </c>
      <c r="J1964" s="286" t="s">
        <v>1312</v>
      </c>
      <c r="K1964" s="286" t="s">
        <v>2180</v>
      </c>
      <c r="L1964" s="286" t="s">
        <v>2030</v>
      </c>
      <c r="M1964" s="286">
        <v>1</v>
      </c>
      <c r="N1964" s="287">
        <v>0</v>
      </c>
      <c r="O1964" s="294">
        <f t="shared" si="30"/>
        <v>45412</v>
      </c>
      <c r="P1964" s="286" t="s">
        <v>175</v>
      </c>
    </row>
    <row r="1965" spans="1:16" hidden="1" x14ac:dyDescent="0.15">
      <c r="A1965" s="286">
        <v>534207</v>
      </c>
      <c r="B1965" s="288">
        <v>45385.750694444447</v>
      </c>
      <c r="C1965" s="286" t="s">
        <v>2096</v>
      </c>
      <c r="D1965" s="286" t="s">
        <v>1105</v>
      </c>
      <c r="E1965" s="286" t="s">
        <v>1106</v>
      </c>
      <c r="F1965" s="286" t="s">
        <v>2155</v>
      </c>
      <c r="G1965" s="286" t="s">
        <v>1030</v>
      </c>
      <c r="H1965" s="286" t="s">
        <v>1030</v>
      </c>
      <c r="I1965" s="286" t="s">
        <v>1199</v>
      </c>
      <c r="J1965" s="286" t="s">
        <v>1312</v>
      </c>
      <c r="K1965" s="286" t="s">
        <v>1805</v>
      </c>
      <c r="L1965" s="286" t="s">
        <v>672</v>
      </c>
      <c r="M1965" s="286">
        <v>0</v>
      </c>
      <c r="N1965" s="287">
        <v>0</v>
      </c>
      <c r="O1965" s="294">
        <f t="shared" si="30"/>
        <v>45412</v>
      </c>
      <c r="P1965" s="286" t="s">
        <v>58</v>
      </c>
    </row>
    <row r="1966" spans="1:16" hidden="1" x14ac:dyDescent="0.15">
      <c r="A1966" s="286">
        <v>543430</v>
      </c>
      <c r="B1966" s="288">
        <v>45394.39166666667</v>
      </c>
      <c r="C1966" s="286" t="s">
        <v>2096</v>
      </c>
      <c r="D1966" s="286" t="s">
        <v>1105</v>
      </c>
      <c r="E1966" s="286" t="s">
        <v>1106</v>
      </c>
      <c r="F1966" s="286" t="s">
        <v>2424</v>
      </c>
      <c r="G1966" s="286" t="s">
        <v>1023</v>
      </c>
      <c r="H1966" s="286" t="s">
        <v>1023</v>
      </c>
      <c r="I1966" s="286" t="s">
        <v>1129</v>
      </c>
      <c r="J1966" s="286" t="s">
        <v>1312</v>
      </c>
      <c r="K1966" s="286" t="s">
        <v>2398</v>
      </c>
      <c r="L1966" s="286" t="s">
        <v>2399</v>
      </c>
      <c r="M1966" s="286">
        <v>1</v>
      </c>
      <c r="N1966" s="287">
        <v>0</v>
      </c>
      <c r="O1966" s="294">
        <f t="shared" si="30"/>
        <v>45412</v>
      </c>
      <c r="P1966" s="286" t="s">
        <v>164</v>
      </c>
    </row>
    <row r="1967" spans="1:16" hidden="1" x14ac:dyDescent="0.15">
      <c r="A1967" s="286">
        <v>543430</v>
      </c>
      <c r="B1967" s="288">
        <v>45394.39166666667</v>
      </c>
      <c r="C1967" s="286" t="s">
        <v>2096</v>
      </c>
      <c r="D1967" s="286" t="s">
        <v>1105</v>
      </c>
      <c r="E1967" s="286" t="s">
        <v>1106</v>
      </c>
      <c r="F1967" s="286" t="s">
        <v>2424</v>
      </c>
      <c r="G1967" s="286" t="s">
        <v>1840</v>
      </c>
      <c r="H1967" s="286" t="s">
        <v>1840</v>
      </c>
      <c r="I1967" s="286" t="s">
        <v>1152</v>
      </c>
      <c r="J1967" s="286" t="s">
        <v>1312</v>
      </c>
      <c r="K1967" s="286" t="s">
        <v>1972</v>
      </c>
      <c r="L1967" s="286" t="s">
        <v>1973</v>
      </c>
      <c r="M1967" s="286">
        <v>1</v>
      </c>
      <c r="N1967" s="287">
        <v>0</v>
      </c>
      <c r="O1967" s="294">
        <f t="shared" si="30"/>
        <v>45412</v>
      </c>
      <c r="P1967" s="286" t="s">
        <v>58</v>
      </c>
    </row>
    <row r="1968" spans="1:16" hidden="1" x14ac:dyDescent="0.15">
      <c r="A1968" s="286">
        <v>562222</v>
      </c>
      <c r="B1968" s="288">
        <v>45412.663888888892</v>
      </c>
      <c r="C1968" s="286" t="s">
        <v>2096</v>
      </c>
      <c r="D1968" s="286" t="s">
        <v>1105</v>
      </c>
      <c r="E1968" s="286" t="s">
        <v>1106</v>
      </c>
      <c r="F1968" s="286" t="s">
        <v>2474</v>
      </c>
      <c r="G1968" s="286" t="s">
        <v>1068</v>
      </c>
      <c r="H1968" s="286" t="s">
        <v>1068</v>
      </c>
      <c r="I1968" s="286" t="s">
        <v>1152</v>
      </c>
      <c r="J1968" s="286" t="s">
        <v>1312</v>
      </c>
      <c r="K1968" s="286" t="s">
        <v>781</v>
      </c>
      <c r="L1968" s="286" t="s">
        <v>782</v>
      </c>
      <c r="M1968" s="286">
        <v>1</v>
      </c>
      <c r="N1968" s="287">
        <v>0</v>
      </c>
      <c r="O1968" s="294">
        <f t="shared" si="30"/>
        <v>45412</v>
      </c>
      <c r="P1968" s="286" t="s">
        <v>58</v>
      </c>
    </row>
    <row r="1969" spans="1:16" hidden="1" x14ac:dyDescent="0.15">
      <c r="A1969" s="286">
        <v>562222</v>
      </c>
      <c r="B1969" s="288">
        <v>45412.663888888892</v>
      </c>
      <c r="C1969" s="286" t="s">
        <v>2096</v>
      </c>
      <c r="D1969" s="286" t="s">
        <v>1105</v>
      </c>
      <c r="E1969" s="286" t="s">
        <v>1106</v>
      </c>
      <c r="F1969" s="286" t="s">
        <v>2474</v>
      </c>
      <c r="G1969" s="286" t="s">
        <v>1024</v>
      </c>
      <c r="H1969" s="286" t="s">
        <v>1024</v>
      </c>
      <c r="I1969" s="286" t="s">
        <v>1152</v>
      </c>
      <c r="J1969" s="286" t="s">
        <v>1312</v>
      </c>
      <c r="K1969" s="286" t="s">
        <v>781</v>
      </c>
      <c r="L1969" s="286" t="s">
        <v>782</v>
      </c>
      <c r="M1969" s="286">
        <v>1</v>
      </c>
      <c r="N1969" s="287">
        <v>0</v>
      </c>
      <c r="O1969" s="294">
        <f t="shared" si="30"/>
        <v>45412</v>
      </c>
      <c r="P1969" s="286" t="s">
        <v>58</v>
      </c>
    </row>
    <row r="1970" spans="1:16" hidden="1" x14ac:dyDescent="0.15">
      <c r="A1970" s="286">
        <v>567550</v>
      </c>
      <c r="B1970" s="288">
        <v>45415.565972222219</v>
      </c>
      <c r="C1970" s="286" t="s">
        <v>2116</v>
      </c>
      <c r="D1970" s="286" t="s">
        <v>1105</v>
      </c>
      <c r="E1970" s="286" t="s">
        <v>1106</v>
      </c>
      <c r="F1970" s="286" t="s">
        <v>2475</v>
      </c>
      <c r="G1970" s="286" t="s">
        <v>1030</v>
      </c>
      <c r="H1970" s="286" t="s">
        <v>1030</v>
      </c>
      <c r="I1970" s="286" t="s">
        <v>1129</v>
      </c>
      <c r="J1970" s="286" t="s">
        <v>1312</v>
      </c>
      <c r="K1970" s="286" t="s">
        <v>1624</v>
      </c>
      <c r="L1970" s="286" t="s">
        <v>1625</v>
      </c>
      <c r="M1970" s="286">
        <v>1</v>
      </c>
      <c r="N1970" s="287">
        <v>0</v>
      </c>
      <c r="O1970" s="294">
        <f t="shared" si="30"/>
        <v>45443</v>
      </c>
      <c r="P1970" s="286" t="s">
        <v>164</v>
      </c>
    </row>
    <row r="1971" spans="1:16" hidden="1" x14ac:dyDescent="0.15">
      <c r="A1971" s="286">
        <v>578161</v>
      </c>
      <c r="B1971" s="288">
        <v>45426.431250000001</v>
      </c>
      <c r="C1971" s="286" t="s">
        <v>2116</v>
      </c>
      <c r="D1971" s="286" t="s">
        <v>1105</v>
      </c>
      <c r="E1971" s="286" t="s">
        <v>1106</v>
      </c>
      <c r="F1971" s="286" t="s">
        <v>2275</v>
      </c>
      <c r="G1971" s="286" t="s">
        <v>1057</v>
      </c>
      <c r="H1971" s="286" t="s">
        <v>1057</v>
      </c>
      <c r="I1971" s="286" t="s">
        <v>1282</v>
      </c>
      <c r="J1971" s="286" t="s">
        <v>1312</v>
      </c>
      <c r="K1971" s="286" t="s">
        <v>202</v>
      </c>
      <c r="L1971" s="286" t="s">
        <v>203</v>
      </c>
      <c r="M1971" s="286">
        <v>1</v>
      </c>
      <c r="N1971" s="287">
        <v>0</v>
      </c>
      <c r="O1971" s="294">
        <f t="shared" si="30"/>
        <v>45443</v>
      </c>
      <c r="P1971" s="286" t="s">
        <v>201</v>
      </c>
    </row>
    <row r="1972" spans="1:16" hidden="1" x14ac:dyDescent="0.15">
      <c r="A1972" s="286">
        <v>583601</v>
      </c>
      <c r="B1972" s="288">
        <v>45430.375694444447</v>
      </c>
      <c r="C1972" s="286" t="s">
        <v>2116</v>
      </c>
      <c r="D1972" s="286" t="s">
        <v>1105</v>
      </c>
      <c r="E1972" s="286" t="s">
        <v>1106</v>
      </c>
      <c r="F1972" s="286" t="s">
        <v>2195</v>
      </c>
      <c r="G1972" s="286" t="s">
        <v>1030</v>
      </c>
      <c r="H1972" s="286" t="s">
        <v>1030</v>
      </c>
      <c r="I1972" s="286" t="s">
        <v>1129</v>
      </c>
      <c r="J1972" s="286" t="s">
        <v>1312</v>
      </c>
      <c r="K1972" s="286" t="s">
        <v>1624</v>
      </c>
      <c r="L1972" s="286" t="s">
        <v>1625</v>
      </c>
      <c r="M1972" s="286">
        <v>1</v>
      </c>
      <c r="N1972" s="287">
        <v>0</v>
      </c>
      <c r="O1972" s="294">
        <f t="shared" si="30"/>
        <v>45443</v>
      </c>
      <c r="P1972" s="286" t="s">
        <v>164</v>
      </c>
    </row>
    <row r="1973" spans="1:16" hidden="1" x14ac:dyDescent="0.15">
      <c r="A1973" s="286">
        <v>597250</v>
      </c>
      <c r="B1973" s="288">
        <v>45442.59652777778</v>
      </c>
      <c r="C1973" s="286" t="s">
        <v>2116</v>
      </c>
      <c r="D1973" s="286" t="s">
        <v>1105</v>
      </c>
      <c r="E1973" s="286" t="s">
        <v>1106</v>
      </c>
      <c r="F1973" s="286" t="s">
        <v>2464</v>
      </c>
      <c r="G1973" s="286" t="s">
        <v>1057</v>
      </c>
      <c r="H1973" s="286" t="s">
        <v>1057</v>
      </c>
      <c r="I1973" s="286" t="s">
        <v>1112</v>
      </c>
      <c r="J1973" s="286" t="s">
        <v>1312</v>
      </c>
      <c r="K1973" s="286" t="s">
        <v>1773</v>
      </c>
      <c r="L1973" s="286" t="s">
        <v>1774</v>
      </c>
      <c r="M1973" s="286">
        <v>1</v>
      </c>
      <c r="N1973" s="287">
        <v>0</v>
      </c>
      <c r="O1973" s="294">
        <f t="shared" si="30"/>
        <v>45443</v>
      </c>
      <c r="P1973" s="286" t="s">
        <v>175</v>
      </c>
    </row>
    <row r="1974" spans="1:16" hidden="1" x14ac:dyDescent="0.15">
      <c r="A1974" s="286">
        <v>614216</v>
      </c>
      <c r="B1974" s="288">
        <v>45455.716666666667</v>
      </c>
      <c r="C1974" s="286" t="s">
        <v>2116</v>
      </c>
      <c r="D1974" s="286" t="s">
        <v>1105</v>
      </c>
      <c r="E1974" s="286" t="s">
        <v>1106</v>
      </c>
      <c r="F1974" s="286" t="s">
        <v>2156</v>
      </c>
      <c r="G1974" s="286" t="s">
        <v>1030</v>
      </c>
      <c r="H1974" s="286" t="s">
        <v>1030</v>
      </c>
      <c r="I1974" s="286" t="s">
        <v>1199</v>
      </c>
      <c r="J1974" s="286" t="s">
        <v>1312</v>
      </c>
      <c r="K1974" s="286" t="s">
        <v>1805</v>
      </c>
      <c r="L1974" s="286" t="s">
        <v>672</v>
      </c>
      <c r="M1974" s="286">
        <v>0</v>
      </c>
      <c r="N1974" s="287">
        <v>0</v>
      </c>
      <c r="O1974" s="294">
        <f t="shared" si="30"/>
        <v>45473</v>
      </c>
      <c r="P1974" s="286" t="s">
        <v>58</v>
      </c>
    </row>
    <row r="1975" spans="1:16" hidden="1" x14ac:dyDescent="0.15">
      <c r="A1975" s="286">
        <v>608480</v>
      </c>
      <c r="B1975" s="288">
        <v>45450.422222222223</v>
      </c>
      <c r="C1975" s="286" t="s">
        <v>2092</v>
      </c>
      <c r="D1975" s="286" t="s">
        <v>1105</v>
      </c>
      <c r="E1975" s="286" t="s">
        <v>1106</v>
      </c>
      <c r="F1975" s="286" t="s">
        <v>2157</v>
      </c>
      <c r="G1975" s="286" t="s">
        <v>1030</v>
      </c>
      <c r="H1975" s="286" t="s">
        <v>1030</v>
      </c>
      <c r="I1975" s="286" t="s">
        <v>1199</v>
      </c>
      <c r="J1975" s="286" t="s">
        <v>1312</v>
      </c>
      <c r="K1975" s="286" t="s">
        <v>1805</v>
      </c>
      <c r="L1975" s="286" t="s">
        <v>672</v>
      </c>
      <c r="M1975" s="286">
        <v>0</v>
      </c>
      <c r="N1975" s="287">
        <v>0</v>
      </c>
      <c r="O1975" s="294">
        <f t="shared" si="30"/>
        <v>45473</v>
      </c>
      <c r="P1975" s="286" t="s">
        <v>58</v>
      </c>
    </row>
    <row r="1976" spans="1:16" hidden="1" x14ac:dyDescent="0.15">
      <c r="A1976" s="286">
        <v>614316</v>
      </c>
      <c r="B1976" s="288">
        <v>45455.717361111114</v>
      </c>
      <c r="C1976" s="286" t="s">
        <v>2092</v>
      </c>
      <c r="D1976" s="286" t="s">
        <v>1105</v>
      </c>
      <c r="E1976" s="286" t="s">
        <v>1106</v>
      </c>
      <c r="F1976" s="286" t="s">
        <v>2167</v>
      </c>
      <c r="G1976" s="286" t="s">
        <v>1008</v>
      </c>
      <c r="H1976" s="286" t="s">
        <v>1008</v>
      </c>
      <c r="I1976" s="286" t="s">
        <v>1129</v>
      </c>
      <c r="J1976" s="286" t="s">
        <v>1312</v>
      </c>
      <c r="K1976" s="286" t="s">
        <v>1318</v>
      </c>
      <c r="L1976" s="286" t="s">
        <v>1319</v>
      </c>
      <c r="M1976" s="286">
        <v>2</v>
      </c>
      <c r="N1976" s="287">
        <v>0</v>
      </c>
      <c r="O1976" s="294">
        <f t="shared" si="30"/>
        <v>45473</v>
      </c>
      <c r="P1976" s="286" t="s">
        <v>164</v>
      </c>
    </row>
    <row r="1977" spans="1:16" hidden="1" x14ac:dyDescent="0.15">
      <c r="A1977" s="286">
        <v>614316</v>
      </c>
      <c r="B1977" s="288">
        <v>45455.717361111114</v>
      </c>
      <c r="C1977" s="286" t="s">
        <v>2092</v>
      </c>
      <c r="D1977" s="286" t="s">
        <v>1105</v>
      </c>
      <c r="E1977" s="286" t="s">
        <v>1106</v>
      </c>
      <c r="F1977" s="286" t="s">
        <v>2167</v>
      </c>
      <c r="G1977" s="286" t="s">
        <v>1058</v>
      </c>
      <c r="H1977" s="286" t="s">
        <v>1058</v>
      </c>
      <c r="I1977" s="286" t="s">
        <v>1228</v>
      </c>
      <c r="J1977" s="286" t="s">
        <v>1312</v>
      </c>
      <c r="K1977" s="286" t="s">
        <v>2291</v>
      </c>
      <c r="L1977" s="286" t="s">
        <v>672</v>
      </c>
      <c r="M1977" s="286">
        <v>0</v>
      </c>
      <c r="N1977" s="287">
        <v>0</v>
      </c>
      <c r="O1977" s="294">
        <f t="shared" si="30"/>
        <v>45473</v>
      </c>
      <c r="P1977" s="286" t="s">
        <v>58</v>
      </c>
    </row>
    <row r="1978" spans="1:16" hidden="1" x14ac:dyDescent="0.15">
      <c r="A1978" s="286">
        <v>614316</v>
      </c>
      <c r="B1978" s="288">
        <v>45455.717361111114</v>
      </c>
      <c r="C1978" s="286" t="s">
        <v>2092</v>
      </c>
      <c r="D1978" s="286" t="s">
        <v>1105</v>
      </c>
      <c r="E1978" s="286" t="s">
        <v>1106</v>
      </c>
      <c r="F1978" s="286" t="s">
        <v>2167</v>
      </c>
      <c r="G1978" s="286" t="s">
        <v>2476</v>
      </c>
      <c r="H1978" s="286" t="s">
        <v>2477</v>
      </c>
      <c r="I1978" s="286" t="s">
        <v>1108</v>
      </c>
      <c r="J1978" s="286" t="s">
        <v>53</v>
      </c>
      <c r="K1978" s="286" t="s">
        <v>1339</v>
      </c>
      <c r="L1978" s="286" t="s">
        <v>1340</v>
      </c>
      <c r="M1978" s="286">
        <v>1</v>
      </c>
      <c r="N1978" s="287">
        <v>0</v>
      </c>
      <c r="O1978" s="294">
        <f t="shared" si="30"/>
        <v>45473</v>
      </c>
      <c r="P1978" s="286" t="s">
        <v>37</v>
      </c>
    </row>
    <row r="1979" spans="1:16" hidden="1" x14ac:dyDescent="0.15">
      <c r="A1979" s="286">
        <v>618693</v>
      </c>
      <c r="B1979" s="288">
        <v>45457.648611111108</v>
      </c>
      <c r="C1979" s="286" t="s">
        <v>2092</v>
      </c>
      <c r="D1979" s="286" t="s">
        <v>1105</v>
      </c>
      <c r="E1979" s="286" t="s">
        <v>1106</v>
      </c>
      <c r="F1979" s="286" t="s">
        <v>2392</v>
      </c>
      <c r="G1979" s="286" t="s">
        <v>1062</v>
      </c>
      <c r="H1979" s="286" t="s">
        <v>1062</v>
      </c>
      <c r="I1979" s="286" t="s">
        <v>1129</v>
      </c>
      <c r="J1979" s="286" t="s">
        <v>1312</v>
      </c>
      <c r="K1979" s="286" t="s">
        <v>532</v>
      </c>
      <c r="L1979" s="286" t="s">
        <v>533</v>
      </c>
      <c r="M1979" s="286">
        <v>12</v>
      </c>
      <c r="N1979" s="287">
        <v>0</v>
      </c>
      <c r="O1979" s="294">
        <f t="shared" si="30"/>
        <v>45473</v>
      </c>
      <c r="P1979" s="286" t="s">
        <v>164</v>
      </c>
    </row>
    <row r="1980" spans="1:16" hidden="1" x14ac:dyDescent="0.15">
      <c r="A1980" s="286">
        <v>621343</v>
      </c>
      <c r="B1980" s="288">
        <v>45461.401388888888</v>
      </c>
      <c r="C1980" s="286" t="s">
        <v>2092</v>
      </c>
      <c r="D1980" s="286" t="s">
        <v>1105</v>
      </c>
      <c r="E1980" s="286" t="s">
        <v>1106</v>
      </c>
      <c r="F1980" s="286" t="s">
        <v>2268</v>
      </c>
      <c r="G1980" s="286" t="s">
        <v>1016</v>
      </c>
      <c r="H1980" s="286" t="s">
        <v>1016</v>
      </c>
      <c r="I1980" s="286" t="s">
        <v>1129</v>
      </c>
      <c r="J1980" s="286" t="s">
        <v>1312</v>
      </c>
      <c r="K1980" s="286" t="s">
        <v>1402</v>
      </c>
      <c r="L1980" s="286" t="s">
        <v>1403</v>
      </c>
      <c r="M1980" s="286">
        <v>1</v>
      </c>
      <c r="N1980" s="287">
        <v>0</v>
      </c>
      <c r="O1980" s="294">
        <f t="shared" si="30"/>
        <v>45473</v>
      </c>
      <c r="P1980" s="286" t="s">
        <v>164</v>
      </c>
    </row>
    <row r="1981" spans="1:16" hidden="1" x14ac:dyDescent="0.15">
      <c r="A1981" s="286">
        <v>630517</v>
      </c>
      <c r="B1981" s="288">
        <v>45467.556250000001</v>
      </c>
      <c r="C1981" s="286" t="s">
        <v>2092</v>
      </c>
      <c r="D1981" s="286" t="s">
        <v>1105</v>
      </c>
      <c r="E1981" s="286" t="s">
        <v>1106</v>
      </c>
      <c r="F1981" s="286" t="s">
        <v>2251</v>
      </c>
      <c r="G1981" s="286" t="s">
        <v>1050</v>
      </c>
      <c r="H1981" s="286" t="s">
        <v>1050</v>
      </c>
      <c r="I1981" s="286" t="s">
        <v>1129</v>
      </c>
      <c r="J1981" s="286" t="s">
        <v>1312</v>
      </c>
      <c r="K1981" s="286" t="s">
        <v>2478</v>
      </c>
      <c r="L1981" s="286" t="s">
        <v>2479</v>
      </c>
      <c r="M1981" s="286">
        <v>4</v>
      </c>
      <c r="N1981" s="287">
        <v>0</v>
      </c>
      <c r="O1981" s="294">
        <f t="shared" si="30"/>
        <v>45473</v>
      </c>
      <c r="P1981" s="286" t="s">
        <v>164</v>
      </c>
    </row>
    <row r="1982" spans="1:16" hidden="1" x14ac:dyDescent="0.15">
      <c r="A1982" s="286">
        <v>630517</v>
      </c>
      <c r="B1982" s="288">
        <v>45467.556250000001</v>
      </c>
      <c r="C1982" s="286" t="s">
        <v>2092</v>
      </c>
      <c r="D1982" s="286" t="s">
        <v>1105</v>
      </c>
      <c r="E1982" s="286" t="s">
        <v>1106</v>
      </c>
      <c r="F1982" s="286" t="s">
        <v>2251</v>
      </c>
      <c r="G1982" s="286" t="s">
        <v>1006</v>
      </c>
      <c r="H1982" s="286" t="s">
        <v>1006</v>
      </c>
      <c r="I1982" s="286" t="s">
        <v>1112</v>
      </c>
      <c r="J1982" s="286" t="s">
        <v>1312</v>
      </c>
      <c r="K1982" s="286" t="s">
        <v>1776</v>
      </c>
      <c r="L1982" s="286" t="s">
        <v>1679</v>
      </c>
      <c r="M1982" s="286">
        <v>1</v>
      </c>
      <c r="N1982" s="287">
        <v>0</v>
      </c>
      <c r="O1982" s="294">
        <f t="shared" si="30"/>
        <v>45473</v>
      </c>
      <c r="P1982" s="286" t="s">
        <v>175</v>
      </c>
    </row>
    <row r="1983" spans="1:16" hidden="1" x14ac:dyDescent="0.15">
      <c r="A1983" s="286">
        <v>630517</v>
      </c>
      <c r="B1983" s="288">
        <v>45467.556250000001</v>
      </c>
      <c r="C1983" s="286" t="s">
        <v>2092</v>
      </c>
      <c r="D1983" s="286" t="s">
        <v>1105</v>
      </c>
      <c r="E1983" s="286" t="s">
        <v>1106</v>
      </c>
      <c r="F1983" s="286" t="s">
        <v>2251</v>
      </c>
      <c r="G1983" s="286" t="s">
        <v>1079</v>
      </c>
      <c r="H1983" s="286" t="s">
        <v>1079</v>
      </c>
      <c r="I1983" s="286" t="s">
        <v>1108</v>
      </c>
      <c r="J1983" s="286" t="s">
        <v>53</v>
      </c>
      <c r="K1983" s="286" t="s">
        <v>1339</v>
      </c>
      <c r="L1983" s="286" t="s">
        <v>1340</v>
      </c>
      <c r="M1983" s="286">
        <v>6</v>
      </c>
      <c r="N1983" s="287">
        <v>0</v>
      </c>
      <c r="O1983" s="294">
        <f t="shared" si="30"/>
        <v>45473</v>
      </c>
      <c r="P1983" s="286" t="s">
        <v>37</v>
      </c>
    </row>
    <row r="1984" spans="1:16" hidden="1" x14ac:dyDescent="0.15">
      <c r="A1984" s="286">
        <v>651672</v>
      </c>
      <c r="B1984" s="288">
        <v>45481.448611111111</v>
      </c>
      <c r="C1984" s="286" t="s">
        <v>2092</v>
      </c>
      <c r="D1984" s="286" t="s">
        <v>1105</v>
      </c>
      <c r="E1984" s="286" t="s">
        <v>1106</v>
      </c>
      <c r="F1984" s="286" t="s">
        <v>2120</v>
      </c>
      <c r="G1984" s="286" t="s">
        <v>1073</v>
      </c>
      <c r="H1984" s="286" t="s">
        <v>1073</v>
      </c>
      <c r="I1984" s="286" t="s">
        <v>1112</v>
      </c>
      <c r="J1984" s="286" t="s">
        <v>1312</v>
      </c>
      <c r="K1984" s="286" t="s">
        <v>1732</v>
      </c>
      <c r="L1984" s="286" t="s">
        <v>1733</v>
      </c>
      <c r="M1984" s="286">
        <v>1</v>
      </c>
      <c r="N1984" s="287">
        <v>0</v>
      </c>
      <c r="O1984" s="294">
        <f t="shared" si="30"/>
        <v>45504</v>
      </c>
      <c r="P1984" s="286" t="s">
        <v>175</v>
      </c>
    </row>
    <row r="1985" spans="1:16" hidden="1" x14ac:dyDescent="0.15">
      <c r="A1985" s="286">
        <v>651672</v>
      </c>
      <c r="B1985" s="288">
        <v>45481.448611111111</v>
      </c>
      <c r="C1985" s="286" t="s">
        <v>2092</v>
      </c>
      <c r="D1985" s="286" t="s">
        <v>1105</v>
      </c>
      <c r="E1985" s="286" t="s">
        <v>1106</v>
      </c>
      <c r="F1985" s="286" t="s">
        <v>2120</v>
      </c>
      <c r="G1985" s="286" t="s">
        <v>1073</v>
      </c>
      <c r="H1985" s="286" t="s">
        <v>1073</v>
      </c>
      <c r="I1985" s="286" t="s">
        <v>1112</v>
      </c>
      <c r="J1985" s="286" t="s">
        <v>1312</v>
      </c>
      <c r="K1985" s="286" t="s">
        <v>1707</v>
      </c>
      <c r="L1985" s="286" t="s">
        <v>1708</v>
      </c>
      <c r="M1985" s="286">
        <v>3</v>
      </c>
      <c r="N1985" s="287">
        <v>0</v>
      </c>
      <c r="O1985" s="294">
        <f t="shared" si="30"/>
        <v>45504</v>
      </c>
      <c r="P1985" s="286" t="s">
        <v>175</v>
      </c>
    </row>
    <row r="1986" spans="1:16" hidden="1" x14ac:dyDescent="0.15">
      <c r="A1986" s="286">
        <v>659936</v>
      </c>
      <c r="B1986" s="288">
        <v>45484.529861111114</v>
      </c>
      <c r="C1986" s="286" t="s">
        <v>2092</v>
      </c>
      <c r="D1986" s="286" t="s">
        <v>1105</v>
      </c>
      <c r="E1986" s="286" t="s">
        <v>1106</v>
      </c>
      <c r="F1986" s="286" t="s">
        <v>2159</v>
      </c>
      <c r="G1986" s="286" t="s">
        <v>1090</v>
      </c>
      <c r="H1986" s="286" t="s">
        <v>1090</v>
      </c>
      <c r="I1986" s="286" t="s">
        <v>1228</v>
      </c>
      <c r="J1986" s="286" t="s">
        <v>1312</v>
      </c>
      <c r="K1986" s="286" t="s">
        <v>53</v>
      </c>
      <c r="L1986" s="286" t="s">
        <v>53</v>
      </c>
      <c r="M1986" s="286" t="s">
        <v>53</v>
      </c>
      <c r="N1986" s="287">
        <v>0</v>
      </c>
      <c r="O1986" s="294">
        <f t="shared" si="30"/>
        <v>45504</v>
      </c>
      <c r="P1986" s="286" t="s">
        <v>58</v>
      </c>
    </row>
    <row r="1987" spans="1:16" hidden="1" x14ac:dyDescent="0.15">
      <c r="A1987" s="286">
        <v>659936</v>
      </c>
      <c r="B1987" s="288">
        <v>45484.529861111114</v>
      </c>
      <c r="C1987" s="286" t="s">
        <v>2092</v>
      </c>
      <c r="D1987" s="286" t="s">
        <v>1105</v>
      </c>
      <c r="E1987" s="286" t="s">
        <v>1106</v>
      </c>
      <c r="F1987" s="286" t="s">
        <v>2159</v>
      </c>
      <c r="G1987" s="286" t="s">
        <v>1090</v>
      </c>
      <c r="H1987" s="286" t="s">
        <v>1090</v>
      </c>
      <c r="I1987" s="286" t="s">
        <v>1199</v>
      </c>
      <c r="J1987" s="286" t="s">
        <v>1312</v>
      </c>
      <c r="K1987" s="286" t="s">
        <v>53</v>
      </c>
      <c r="L1987" s="286" t="s">
        <v>53</v>
      </c>
      <c r="M1987" s="286" t="s">
        <v>53</v>
      </c>
      <c r="N1987" s="287">
        <v>0</v>
      </c>
      <c r="O1987" s="294">
        <f t="shared" si="30"/>
        <v>45504</v>
      </c>
      <c r="P1987" s="286" t="s">
        <v>58</v>
      </c>
    </row>
    <row r="1988" spans="1:16" hidden="1" x14ac:dyDescent="0.15">
      <c r="A1988" s="286">
        <v>646075</v>
      </c>
      <c r="B1988" s="288">
        <v>45474.519444444442</v>
      </c>
      <c r="C1988" s="286" t="s">
        <v>2111</v>
      </c>
      <c r="D1988" s="286" t="s">
        <v>1105</v>
      </c>
      <c r="E1988" s="286" t="s">
        <v>1106</v>
      </c>
      <c r="F1988" s="286" t="s">
        <v>2137</v>
      </c>
      <c r="G1988" s="286" t="s">
        <v>1856</v>
      </c>
      <c r="H1988" s="286" t="s">
        <v>1856</v>
      </c>
      <c r="I1988" s="286" t="s">
        <v>1199</v>
      </c>
      <c r="J1988" s="286" t="s">
        <v>1312</v>
      </c>
      <c r="K1988" s="286" t="s">
        <v>2293</v>
      </c>
      <c r="L1988" s="286" t="s">
        <v>672</v>
      </c>
      <c r="M1988" s="286">
        <v>0</v>
      </c>
      <c r="N1988" s="287">
        <v>0</v>
      </c>
      <c r="O1988" s="294">
        <f t="shared" ref="O1988:O2051" si="31">EOMONTH(B1988,0)</f>
        <v>45504</v>
      </c>
      <c r="P1988" s="286" t="s">
        <v>58</v>
      </c>
    </row>
    <row r="1989" spans="1:16" hidden="1" x14ac:dyDescent="0.15">
      <c r="A1989" s="286">
        <v>646075</v>
      </c>
      <c r="B1989" s="288">
        <v>45474.519444444442</v>
      </c>
      <c r="C1989" s="286" t="s">
        <v>2111</v>
      </c>
      <c r="D1989" s="286" t="s">
        <v>1105</v>
      </c>
      <c r="E1989" s="286" t="s">
        <v>1106</v>
      </c>
      <c r="F1989" s="286" t="s">
        <v>2137</v>
      </c>
      <c r="G1989" s="286" t="s">
        <v>1030</v>
      </c>
      <c r="H1989" s="286" t="s">
        <v>1030</v>
      </c>
      <c r="I1989" s="286" t="s">
        <v>1199</v>
      </c>
      <c r="J1989" s="286" t="s">
        <v>1312</v>
      </c>
      <c r="K1989" s="286" t="s">
        <v>1805</v>
      </c>
      <c r="L1989" s="286" t="s">
        <v>672</v>
      </c>
      <c r="M1989" s="286">
        <v>0</v>
      </c>
      <c r="N1989" s="287">
        <v>0</v>
      </c>
      <c r="O1989" s="294">
        <f t="shared" si="31"/>
        <v>45504</v>
      </c>
      <c r="P1989" s="286" t="s">
        <v>58</v>
      </c>
    </row>
    <row r="1990" spans="1:16" hidden="1" x14ac:dyDescent="0.15">
      <c r="A1990" s="286">
        <v>646075</v>
      </c>
      <c r="B1990" s="288">
        <v>45474.519444444442</v>
      </c>
      <c r="C1990" s="286" t="s">
        <v>2111</v>
      </c>
      <c r="D1990" s="286" t="s">
        <v>1105</v>
      </c>
      <c r="E1990" s="286" t="s">
        <v>1106</v>
      </c>
      <c r="F1990" s="286" t="s">
        <v>2137</v>
      </c>
      <c r="G1990" s="286" t="s">
        <v>1058</v>
      </c>
      <c r="H1990" s="286" t="s">
        <v>1058</v>
      </c>
      <c r="I1990" s="286" t="s">
        <v>1228</v>
      </c>
      <c r="J1990" s="286" t="s">
        <v>1312</v>
      </c>
      <c r="K1990" s="286" t="s">
        <v>2291</v>
      </c>
      <c r="L1990" s="286" t="s">
        <v>672</v>
      </c>
      <c r="M1990" s="286">
        <v>0</v>
      </c>
      <c r="N1990" s="287">
        <v>0</v>
      </c>
      <c r="O1990" s="294">
        <f t="shared" si="31"/>
        <v>45504</v>
      </c>
      <c r="P1990" s="286" t="s">
        <v>58</v>
      </c>
    </row>
    <row r="1991" spans="1:16" hidden="1" x14ac:dyDescent="0.15">
      <c r="A1991" s="286">
        <v>646075</v>
      </c>
      <c r="B1991" s="288">
        <v>45474.519444444442</v>
      </c>
      <c r="C1991" s="286" t="s">
        <v>2111</v>
      </c>
      <c r="D1991" s="286" t="s">
        <v>1105</v>
      </c>
      <c r="E1991" s="286" t="s">
        <v>1106</v>
      </c>
      <c r="F1991" s="286" t="s">
        <v>2137</v>
      </c>
      <c r="G1991" s="286" t="s">
        <v>1349</v>
      </c>
      <c r="H1991" s="286" t="s">
        <v>1349</v>
      </c>
      <c r="I1991" s="286" t="s">
        <v>1108</v>
      </c>
      <c r="J1991" s="286" t="s">
        <v>53</v>
      </c>
      <c r="K1991" s="286" t="s">
        <v>1339</v>
      </c>
      <c r="L1991" s="286" t="s">
        <v>1340</v>
      </c>
      <c r="M1991" s="286">
        <v>1</v>
      </c>
      <c r="N1991" s="287">
        <v>0</v>
      </c>
      <c r="O1991" s="294">
        <f t="shared" si="31"/>
        <v>45504</v>
      </c>
      <c r="P1991" s="286" t="s">
        <v>37</v>
      </c>
    </row>
    <row r="1992" spans="1:16" hidden="1" x14ac:dyDescent="0.15">
      <c r="A1992" s="286">
        <v>657585</v>
      </c>
      <c r="B1992" s="288">
        <v>45483.55972222222</v>
      </c>
      <c r="C1992" s="286" t="s">
        <v>2111</v>
      </c>
      <c r="D1992" s="286" t="s">
        <v>1105</v>
      </c>
      <c r="E1992" s="286" t="s">
        <v>1106</v>
      </c>
      <c r="F1992" s="286" t="s">
        <v>2339</v>
      </c>
      <c r="G1992" s="286" t="s">
        <v>1026</v>
      </c>
      <c r="H1992" s="286" t="s">
        <v>1026</v>
      </c>
      <c r="I1992" s="286" t="s">
        <v>1129</v>
      </c>
      <c r="J1992" s="286" t="s">
        <v>1312</v>
      </c>
      <c r="K1992" s="286" t="s">
        <v>2478</v>
      </c>
      <c r="L1992" s="286" t="s">
        <v>2479</v>
      </c>
      <c r="M1992" s="286">
        <v>2</v>
      </c>
      <c r="N1992" s="287">
        <v>0</v>
      </c>
      <c r="O1992" s="294">
        <f t="shared" si="31"/>
        <v>45504</v>
      </c>
      <c r="P1992" s="286" t="s">
        <v>164</v>
      </c>
    </row>
    <row r="1993" spans="1:16" hidden="1" x14ac:dyDescent="0.15">
      <c r="A1993" s="286">
        <v>657585</v>
      </c>
      <c r="B1993" s="288">
        <v>45483.55972222222</v>
      </c>
      <c r="C1993" s="286" t="s">
        <v>2111</v>
      </c>
      <c r="D1993" s="286" t="s">
        <v>1105</v>
      </c>
      <c r="E1993" s="286" t="s">
        <v>1106</v>
      </c>
      <c r="F1993" s="286" t="s">
        <v>2339</v>
      </c>
      <c r="G1993" s="286" t="s">
        <v>1026</v>
      </c>
      <c r="H1993" s="286" t="s">
        <v>1026</v>
      </c>
      <c r="I1993" s="286" t="s">
        <v>1129</v>
      </c>
      <c r="J1993" s="286" t="s">
        <v>1312</v>
      </c>
      <c r="K1993" s="286" t="s">
        <v>2480</v>
      </c>
      <c r="L1993" s="286" t="s">
        <v>2481</v>
      </c>
      <c r="M1993" s="286">
        <v>2</v>
      </c>
      <c r="N1993" s="287">
        <v>0</v>
      </c>
      <c r="O1993" s="294">
        <f t="shared" si="31"/>
        <v>45504</v>
      </c>
      <c r="P1993" s="286" t="s">
        <v>164</v>
      </c>
    </row>
    <row r="1994" spans="1:16" hidden="1" x14ac:dyDescent="0.15">
      <c r="A1994" s="286">
        <v>657585</v>
      </c>
      <c r="B1994" s="288">
        <v>45483.55972222222</v>
      </c>
      <c r="C1994" s="286" t="s">
        <v>2111</v>
      </c>
      <c r="D1994" s="286" t="s">
        <v>1105</v>
      </c>
      <c r="E1994" s="286" t="s">
        <v>1106</v>
      </c>
      <c r="F1994" s="286" t="s">
        <v>2339</v>
      </c>
      <c r="G1994" s="286" t="s">
        <v>1024</v>
      </c>
      <c r="H1994" s="286" t="s">
        <v>1024</v>
      </c>
      <c r="I1994" s="286" t="s">
        <v>1112</v>
      </c>
      <c r="J1994" s="286" t="s">
        <v>1312</v>
      </c>
      <c r="K1994" s="286" t="s">
        <v>2050</v>
      </c>
      <c r="L1994" s="286" t="s">
        <v>2051</v>
      </c>
      <c r="M1994" s="286">
        <v>1</v>
      </c>
      <c r="N1994" s="287">
        <v>0</v>
      </c>
      <c r="O1994" s="294">
        <f t="shared" si="31"/>
        <v>45504</v>
      </c>
      <c r="P1994" s="286" t="s">
        <v>175</v>
      </c>
    </row>
    <row r="1995" spans="1:16" hidden="1" x14ac:dyDescent="0.15">
      <c r="A1995" s="286">
        <v>657585</v>
      </c>
      <c r="B1995" s="288">
        <v>45483.55972222222</v>
      </c>
      <c r="C1995" s="286" t="s">
        <v>2111</v>
      </c>
      <c r="D1995" s="286" t="s">
        <v>1105</v>
      </c>
      <c r="E1995" s="286" t="s">
        <v>1106</v>
      </c>
      <c r="F1995" s="286" t="s">
        <v>2339</v>
      </c>
      <c r="G1995" s="286" t="s">
        <v>1024</v>
      </c>
      <c r="H1995" s="286" t="s">
        <v>1024</v>
      </c>
      <c r="I1995" s="286" t="s">
        <v>1112</v>
      </c>
      <c r="J1995" s="286" t="s">
        <v>1312</v>
      </c>
      <c r="K1995" s="286" t="s">
        <v>1773</v>
      </c>
      <c r="L1995" s="286" t="s">
        <v>1774</v>
      </c>
      <c r="M1995" s="286">
        <v>1</v>
      </c>
      <c r="N1995" s="287">
        <v>0</v>
      </c>
      <c r="O1995" s="294">
        <f t="shared" si="31"/>
        <v>45504</v>
      </c>
      <c r="P1995" s="286" t="s">
        <v>175</v>
      </c>
    </row>
    <row r="1996" spans="1:16" hidden="1" x14ac:dyDescent="0.15">
      <c r="A1996" s="286">
        <v>679026</v>
      </c>
      <c r="B1996" s="288">
        <v>45497.402777777781</v>
      </c>
      <c r="C1996" s="286" t="s">
        <v>2111</v>
      </c>
      <c r="D1996" s="286" t="s">
        <v>1105</v>
      </c>
      <c r="E1996" s="286" t="s">
        <v>1106</v>
      </c>
      <c r="F1996" s="286" t="s">
        <v>2331</v>
      </c>
      <c r="G1996" s="286" t="s">
        <v>1068</v>
      </c>
      <c r="H1996" s="286" t="s">
        <v>1068</v>
      </c>
      <c r="I1996" s="286" t="s">
        <v>1108</v>
      </c>
      <c r="J1996" s="286" t="s">
        <v>53</v>
      </c>
      <c r="K1996" s="286" t="s">
        <v>1339</v>
      </c>
      <c r="L1996" s="286" t="s">
        <v>1340</v>
      </c>
      <c r="M1996" s="286">
        <v>1</v>
      </c>
      <c r="N1996" s="287">
        <v>0</v>
      </c>
      <c r="O1996" s="294">
        <f t="shared" si="31"/>
        <v>45504</v>
      </c>
      <c r="P1996" s="286" t="s">
        <v>37</v>
      </c>
    </row>
    <row r="1997" spans="1:16" hidden="1" x14ac:dyDescent="0.15">
      <c r="A1997" s="286">
        <v>697810</v>
      </c>
      <c r="B1997" s="288">
        <v>45510.366666666669</v>
      </c>
      <c r="C1997" s="286" t="s">
        <v>2102</v>
      </c>
      <c r="D1997" s="286" t="s">
        <v>1105</v>
      </c>
      <c r="E1997" s="286" t="s">
        <v>1106</v>
      </c>
      <c r="F1997" s="286" t="s">
        <v>2138</v>
      </c>
      <c r="G1997" s="286" t="s">
        <v>1856</v>
      </c>
      <c r="H1997" s="286" t="s">
        <v>1856</v>
      </c>
      <c r="I1997" s="286" t="s">
        <v>1199</v>
      </c>
      <c r="J1997" s="286" t="s">
        <v>1312</v>
      </c>
      <c r="K1997" s="286" t="s">
        <v>2293</v>
      </c>
      <c r="L1997" s="286" t="s">
        <v>672</v>
      </c>
      <c r="M1997" s="286">
        <v>0</v>
      </c>
      <c r="N1997" s="287">
        <v>0</v>
      </c>
      <c r="O1997" s="294">
        <f t="shared" si="31"/>
        <v>45535</v>
      </c>
      <c r="P1997" s="286" t="s">
        <v>58</v>
      </c>
    </row>
    <row r="1998" spans="1:16" hidden="1" x14ac:dyDescent="0.15">
      <c r="A1998" s="286">
        <v>697810</v>
      </c>
      <c r="B1998" s="288">
        <v>45510.366666666669</v>
      </c>
      <c r="C1998" s="286" t="s">
        <v>2102</v>
      </c>
      <c r="D1998" s="286" t="s">
        <v>1105</v>
      </c>
      <c r="E1998" s="286" t="s">
        <v>1106</v>
      </c>
      <c r="F1998" s="286" t="s">
        <v>2138</v>
      </c>
      <c r="G1998" s="286" t="s">
        <v>1030</v>
      </c>
      <c r="H1998" s="286" t="s">
        <v>1030</v>
      </c>
      <c r="I1998" s="286" t="s">
        <v>1199</v>
      </c>
      <c r="J1998" s="286" t="s">
        <v>1312</v>
      </c>
      <c r="K1998" s="286" t="s">
        <v>1805</v>
      </c>
      <c r="L1998" s="286" t="s">
        <v>672</v>
      </c>
      <c r="M1998" s="286">
        <v>0</v>
      </c>
      <c r="N1998" s="287">
        <v>0</v>
      </c>
      <c r="O1998" s="294">
        <f t="shared" si="31"/>
        <v>45535</v>
      </c>
      <c r="P1998" s="286" t="s">
        <v>58</v>
      </c>
    </row>
    <row r="1999" spans="1:16" hidden="1" x14ac:dyDescent="0.15">
      <c r="A1999" s="286">
        <v>697810</v>
      </c>
      <c r="B1999" s="288">
        <v>45510.366666666669</v>
      </c>
      <c r="C1999" s="286" t="s">
        <v>2102</v>
      </c>
      <c r="D1999" s="286" t="s">
        <v>1105</v>
      </c>
      <c r="E1999" s="286" t="s">
        <v>1106</v>
      </c>
      <c r="F1999" s="286" t="s">
        <v>2138</v>
      </c>
      <c r="G1999" s="286" t="s">
        <v>1058</v>
      </c>
      <c r="H1999" s="286" t="s">
        <v>1058</v>
      </c>
      <c r="I1999" s="286" t="s">
        <v>1228</v>
      </c>
      <c r="J1999" s="286" t="s">
        <v>1312</v>
      </c>
      <c r="K1999" s="286" t="s">
        <v>2291</v>
      </c>
      <c r="L1999" s="286" t="s">
        <v>672</v>
      </c>
      <c r="M1999" s="286">
        <v>0</v>
      </c>
      <c r="N1999" s="287">
        <v>0</v>
      </c>
      <c r="O1999" s="294">
        <f t="shared" si="31"/>
        <v>45535</v>
      </c>
      <c r="P1999" s="286" t="s">
        <v>58</v>
      </c>
    </row>
    <row r="2000" spans="1:16" hidden="1" x14ac:dyDescent="0.15">
      <c r="A2000" s="286">
        <v>706952</v>
      </c>
      <c r="B2000" s="288">
        <v>45513.677777777775</v>
      </c>
      <c r="C2000" s="286" t="s">
        <v>2102</v>
      </c>
      <c r="D2000" s="286" t="s">
        <v>1105</v>
      </c>
      <c r="E2000" s="286" t="s">
        <v>1106</v>
      </c>
      <c r="F2000" s="286" t="s">
        <v>2199</v>
      </c>
      <c r="G2000" s="286" t="s">
        <v>1040</v>
      </c>
      <c r="H2000" s="286" t="s">
        <v>1040</v>
      </c>
      <c r="I2000" s="286" t="s">
        <v>1230</v>
      </c>
      <c r="J2000" s="286" t="s">
        <v>1312</v>
      </c>
      <c r="K2000" s="286" t="s">
        <v>2482</v>
      </c>
      <c r="L2000" s="286" t="s">
        <v>2177</v>
      </c>
      <c r="M2000" s="286">
        <v>1</v>
      </c>
      <c r="N2000" s="287">
        <v>0</v>
      </c>
      <c r="O2000" s="294">
        <f t="shared" si="31"/>
        <v>45535</v>
      </c>
      <c r="P2000" s="286" t="s">
        <v>175</v>
      </c>
    </row>
    <row r="2001" spans="1:16" hidden="1" x14ac:dyDescent="0.15">
      <c r="A2001" s="286">
        <v>706952</v>
      </c>
      <c r="B2001" s="288">
        <v>45513.677777777775</v>
      </c>
      <c r="C2001" s="286" t="s">
        <v>2102</v>
      </c>
      <c r="D2001" s="286" t="s">
        <v>1105</v>
      </c>
      <c r="E2001" s="286" t="s">
        <v>1106</v>
      </c>
      <c r="F2001" s="286" t="s">
        <v>2199</v>
      </c>
      <c r="G2001" s="286" t="s">
        <v>1040</v>
      </c>
      <c r="H2001" s="286" t="s">
        <v>1040</v>
      </c>
      <c r="I2001" s="286" t="s">
        <v>1230</v>
      </c>
      <c r="J2001" s="286" t="s">
        <v>1312</v>
      </c>
      <c r="K2001" s="286" t="s">
        <v>2483</v>
      </c>
      <c r="L2001" s="286" t="s">
        <v>2123</v>
      </c>
      <c r="M2001" s="286">
        <v>1</v>
      </c>
      <c r="N2001" s="287">
        <v>0</v>
      </c>
      <c r="O2001" s="294">
        <f t="shared" si="31"/>
        <v>45535</v>
      </c>
      <c r="P2001" s="286" t="s">
        <v>175</v>
      </c>
    </row>
    <row r="2002" spans="1:16" hidden="1" x14ac:dyDescent="0.15">
      <c r="A2002" s="286">
        <v>744088</v>
      </c>
      <c r="B2002" s="288">
        <v>45533.661111111112</v>
      </c>
      <c r="C2002" s="286" t="s">
        <v>2102</v>
      </c>
      <c r="D2002" s="286" t="s">
        <v>1105</v>
      </c>
      <c r="E2002" s="286" t="s">
        <v>1106</v>
      </c>
      <c r="F2002" s="286" t="s">
        <v>2170</v>
      </c>
      <c r="G2002" s="286" t="s">
        <v>1050</v>
      </c>
      <c r="H2002" s="286" t="s">
        <v>1050</v>
      </c>
      <c r="I2002" s="286" t="s">
        <v>1108</v>
      </c>
      <c r="J2002" s="286" t="s">
        <v>1312</v>
      </c>
      <c r="K2002" s="286" t="s">
        <v>765</v>
      </c>
      <c r="L2002" s="286" t="s">
        <v>2473</v>
      </c>
      <c r="M2002" s="286">
        <v>1</v>
      </c>
      <c r="N2002" s="287">
        <v>0</v>
      </c>
      <c r="O2002" s="294">
        <f t="shared" si="31"/>
        <v>45535</v>
      </c>
      <c r="P2002" s="286" t="s">
        <v>37</v>
      </c>
    </row>
    <row r="2003" spans="1:16" hidden="1" x14ac:dyDescent="0.15">
      <c r="A2003" s="286">
        <v>745811</v>
      </c>
      <c r="B2003" s="288">
        <v>45538.439583333333</v>
      </c>
      <c r="C2003" s="286" t="s">
        <v>2102</v>
      </c>
      <c r="D2003" s="286" t="s">
        <v>1105</v>
      </c>
      <c r="E2003" s="286" t="s">
        <v>1106</v>
      </c>
      <c r="F2003" s="286" t="s">
        <v>2484</v>
      </c>
      <c r="G2003" s="286" t="s">
        <v>1024</v>
      </c>
      <c r="H2003" s="286" t="s">
        <v>1024</v>
      </c>
      <c r="I2003" s="286" t="s">
        <v>1112</v>
      </c>
      <c r="J2003" s="286" t="s">
        <v>1312</v>
      </c>
      <c r="K2003" s="286" t="s">
        <v>2050</v>
      </c>
      <c r="L2003" s="286" t="s">
        <v>2051</v>
      </c>
      <c r="M2003" s="286">
        <v>1</v>
      </c>
      <c r="N2003" s="287">
        <v>0</v>
      </c>
      <c r="O2003" s="294">
        <f t="shared" si="31"/>
        <v>45565</v>
      </c>
      <c r="P2003" s="286" t="s">
        <v>175</v>
      </c>
    </row>
    <row r="2004" spans="1:16" hidden="1" x14ac:dyDescent="0.15">
      <c r="A2004" s="286">
        <v>745811</v>
      </c>
      <c r="B2004" s="288">
        <v>45538.439583333333</v>
      </c>
      <c r="C2004" s="286" t="s">
        <v>2102</v>
      </c>
      <c r="D2004" s="286" t="s">
        <v>1105</v>
      </c>
      <c r="E2004" s="286" t="s">
        <v>1106</v>
      </c>
      <c r="F2004" s="286" t="s">
        <v>2484</v>
      </c>
      <c r="G2004" s="286" t="s">
        <v>1024</v>
      </c>
      <c r="H2004" s="286" t="s">
        <v>1024</v>
      </c>
      <c r="I2004" s="286" t="s">
        <v>1112</v>
      </c>
      <c r="J2004" s="286" t="s">
        <v>1312</v>
      </c>
      <c r="K2004" s="286" t="s">
        <v>1773</v>
      </c>
      <c r="L2004" s="286" t="s">
        <v>1774</v>
      </c>
      <c r="M2004" s="286">
        <v>1</v>
      </c>
      <c r="N2004" s="287">
        <v>0</v>
      </c>
      <c r="O2004" s="294">
        <f t="shared" si="31"/>
        <v>45565</v>
      </c>
      <c r="P2004" s="286" t="s">
        <v>175</v>
      </c>
    </row>
    <row r="2005" spans="1:16" hidden="1" x14ac:dyDescent="0.15">
      <c r="A2005" s="286">
        <v>745911</v>
      </c>
      <c r="B2005" s="288">
        <v>45538.44027777778</v>
      </c>
      <c r="C2005" s="286" t="s">
        <v>2132</v>
      </c>
      <c r="D2005" s="286" t="s">
        <v>1105</v>
      </c>
      <c r="E2005" s="286" t="s">
        <v>1106</v>
      </c>
      <c r="F2005" s="286" t="s">
        <v>2139</v>
      </c>
      <c r="G2005" s="286" t="s">
        <v>1856</v>
      </c>
      <c r="H2005" s="286" t="s">
        <v>1856</v>
      </c>
      <c r="I2005" s="286" t="s">
        <v>1199</v>
      </c>
      <c r="J2005" s="286" t="s">
        <v>1312</v>
      </c>
      <c r="K2005" s="286" t="s">
        <v>2293</v>
      </c>
      <c r="L2005" s="286" t="s">
        <v>672</v>
      </c>
      <c r="M2005" s="286">
        <v>0</v>
      </c>
      <c r="N2005" s="287">
        <v>0</v>
      </c>
      <c r="O2005" s="294">
        <f t="shared" si="31"/>
        <v>45565</v>
      </c>
      <c r="P2005" s="286" t="s">
        <v>58</v>
      </c>
    </row>
    <row r="2006" spans="1:16" hidden="1" x14ac:dyDescent="0.15">
      <c r="A2006" s="286">
        <v>745911</v>
      </c>
      <c r="B2006" s="288">
        <v>45538.44027777778</v>
      </c>
      <c r="C2006" s="286" t="s">
        <v>2132</v>
      </c>
      <c r="D2006" s="286" t="s">
        <v>1105</v>
      </c>
      <c r="E2006" s="286" t="s">
        <v>1106</v>
      </c>
      <c r="F2006" s="286" t="s">
        <v>2139</v>
      </c>
      <c r="G2006" s="286" t="s">
        <v>1030</v>
      </c>
      <c r="H2006" s="286" t="s">
        <v>1030</v>
      </c>
      <c r="I2006" s="286" t="s">
        <v>1199</v>
      </c>
      <c r="J2006" s="286" t="s">
        <v>1312</v>
      </c>
      <c r="K2006" s="286" t="s">
        <v>1805</v>
      </c>
      <c r="L2006" s="286" t="s">
        <v>672</v>
      </c>
      <c r="M2006" s="286">
        <v>0</v>
      </c>
      <c r="N2006" s="287">
        <v>0</v>
      </c>
      <c r="O2006" s="294">
        <f t="shared" si="31"/>
        <v>45565</v>
      </c>
      <c r="P2006" s="286" t="s">
        <v>58</v>
      </c>
    </row>
    <row r="2007" spans="1:16" hidden="1" x14ac:dyDescent="0.15">
      <c r="A2007" s="286">
        <v>745911</v>
      </c>
      <c r="B2007" s="288">
        <v>45538.44027777778</v>
      </c>
      <c r="C2007" s="286" t="s">
        <v>2132</v>
      </c>
      <c r="D2007" s="286" t="s">
        <v>1105</v>
      </c>
      <c r="E2007" s="286" t="s">
        <v>1106</v>
      </c>
      <c r="F2007" s="286" t="s">
        <v>2139</v>
      </c>
      <c r="G2007" s="286" t="s">
        <v>1058</v>
      </c>
      <c r="H2007" s="286" t="s">
        <v>1058</v>
      </c>
      <c r="I2007" s="286" t="s">
        <v>1228</v>
      </c>
      <c r="J2007" s="286" t="s">
        <v>1312</v>
      </c>
      <c r="K2007" s="286" t="s">
        <v>2291</v>
      </c>
      <c r="L2007" s="286" t="s">
        <v>672</v>
      </c>
      <c r="M2007" s="286">
        <v>0</v>
      </c>
      <c r="N2007" s="287">
        <v>0</v>
      </c>
      <c r="O2007" s="294">
        <f t="shared" si="31"/>
        <v>45565</v>
      </c>
      <c r="P2007" s="286" t="s">
        <v>58</v>
      </c>
    </row>
    <row r="2008" spans="1:16" hidden="1" x14ac:dyDescent="0.15">
      <c r="A2008" s="286">
        <v>776534</v>
      </c>
      <c r="B2008" s="288">
        <v>45554.480555555558</v>
      </c>
      <c r="C2008" s="286" t="s">
        <v>2132</v>
      </c>
      <c r="D2008" s="286" t="s">
        <v>1105</v>
      </c>
      <c r="E2008" s="286" t="s">
        <v>1106</v>
      </c>
      <c r="F2008" s="286" t="s">
        <v>2289</v>
      </c>
      <c r="G2008" s="286" t="s">
        <v>1349</v>
      </c>
      <c r="H2008" s="286" t="s">
        <v>1349</v>
      </c>
      <c r="I2008" s="286" t="s">
        <v>1129</v>
      </c>
      <c r="J2008" s="286" t="s">
        <v>1312</v>
      </c>
      <c r="K2008" s="286" t="s">
        <v>2415</v>
      </c>
      <c r="L2008" s="286" t="s">
        <v>2416</v>
      </c>
      <c r="M2008" s="286">
        <v>1</v>
      </c>
      <c r="N2008" s="287">
        <v>0</v>
      </c>
      <c r="O2008" s="294">
        <f t="shared" si="31"/>
        <v>45565</v>
      </c>
      <c r="P2008" s="286" t="s">
        <v>164</v>
      </c>
    </row>
    <row r="2009" spans="1:16" hidden="1" x14ac:dyDescent="0.15">
      <c r="A2009" s="286">
        <v>776534</v>
      </c>
      <c r="B2009" s="288">
        <v>45554.480555555558</v>
      </c>
      <c r="C2009" s="286" t="s">
        <v>2132</v>
      </c>
      <c r="D2009" s="286" t="s">
        <v>1105</v>
      </c>
      <c r="E2009" s="286" t="s">
        <v>1106</v>
      </c>
      <c r="F2009" s="286" t="s">
        <v>2289</v>
      </c>
      <c r="G2009" s="286" t="s">
        <v>2032</v>
      </c>
      <c r="H2009" s="286" t="s">
        <v>2032</v>
      </c>
      <c r="I2009" s="286" t="s">
        <v>1108</v>
      </c>
      <c r="J2009" s="286" t="s">
        <v>53</v>
      </c>
      <c r="K2009" s="286" t="s">
        <v>1339</v>
      </c>
      <c r="L2009" s="286" t="s">
        <v>1340</v>
      </c>
      <c r="M2009" s="286">
        <v>1</v>
      </c>
      <c r="N2009" s="287">
        <v>0</v>
      </c>
      <c r="O2009" s="294">
        <f t="shared" si="31"/>
        <v>45565</v>
      </c>
      <c r="P2009" s="286" t="s">
        <v>37</v>
      </c>
    </row>
    <row r="2010" spans="1:16" hidden="1" x14ac:dyDescent="0.15">
      <c r="A2010" s="286">
        <v>776534</v>
      </c>
      <c r="B2010" s="288">
        <v>45554.480555555558</v>
      </c>
      <c r="C2010" s="286" t="s">
        <v>2132</v>
      </c>
      <c r="D2010" s="286" t="s">
        <v>1105</v>
      </c>
      <c r="E2010" s="286" t="s">
        <v>1106</v>
      </c>
      <c r="F2010" s="286" t="s">
        <v>2289</v>
      </c>
      <c r="G2010" s="286" t="s">
        <v>2032</v>
      </c>
      <c r="H2010" s="286" t="s">
        <v>2032</v>
      </c>
      <c r="I2010" s="286" t="s">
        <v>1108</v>
      </c>
      <c r="J2010" s="286" t="s">
        <v>53</v>
      </c>
      <c r="K2010" s="286" t="s">
        <v>1339</v>
      </c>
      <c r="L2010" s="286" t="s">
        <v>1340</v>
      </c>
      <c r="M2010" s="286">
        <v>1</v>
      </c>
      <c r="N2010" s="287">
        <v>0</v>
      </c>
      <c r="O2010" s="294">
        <f t="shared" si="31"/>
        <v>45565</v>
      </c>
      <c r="P2010" s="286" t="s">
        <v>37</v>
      </c>
    </row>
    <row r="2011" spans="1:16" hidden="1" x14ac:dyDescent="0.15">
      <c r="A2011" s="286">
        <v>784525</v>
      </c>
      <c r="B2011" s="288">
        <v>45559.536111111112</v>
      </c>
      <c r="C2011" s="286" t="s">
        <v>2132</v>
      </c>
      <c r="D2011" s="286" t="s">
        <v>1105</v>
      </c>
      <c r="E2011" s="286" t="s">
        <v>1106</v>
      </c>
      <c r="F2011" s="286" t="s">
        <v>2446</v>
      </c>
      <c r="G2011" s="286" t="s">
        <v>1021</v>
      </c>
      <c r="H2011" s="286" t="s">
        <v>1021</v>
      </c>
      <c r="I2011" s="286" t="s">
        <v>1301</v>
      </c>
      <c r="J2011" s="286" t="s">
        <v>1312</v>
      </c>
      <c r="K2011" s="286" t="s">
        <v>56</v>
      </c>
      <c r="L2011" s="286" t="s">
        <v>71</v>
      </c>
      <c r="M2011" s="286">
        <v>1</v>
      </c>
      <c r="N2011" s="287">
        <v>0</v>
      </c>
      <c r="O2011" s="294">
        <f t="shared" si="31"/>
        <v>45565</v>
      </c>
      <c r="P2011" s="286" t="s">
        <v>55</v>
      </c>
    </row>
    <row r="2012" spans="1:16" hidden="1" x14ac:dyDescent="0.15">
      <c r="A2012" s="286">
        <v>785030</v>
      </c>
      <c r="B2012" s="288">
        <v>45559.581944444442</v>
      </c>
      <c r="C2012" s="286" t="s">
        <v>2132</v>
      </c>
      <c r="D2012" s="286" t="s">
        <v>1105</v>
      </c>
      <c r="E2012" s="286" t="s">
        <v>1106</v>
      </c>
      <c r="F2012" s="286" t="s">
        <v>2162</v>
      </c>
      <c r="G2012" s="286" t="s">
        <v>1045</v>
      </c>
      <c r="H2012" s="286" t="s">
        <v>1045</v>
      </c>
      <c r="I2012" s="286" t="s">
        <v>1152</v>
      </c>
      <c r="J2012" s="286" t="s">
        <v>1312</v>
      </c>
      <c r="K2012" s="286" t="s">
        <v>53</v>
      </c>
      <c r="L2012" s="286" t="s">
        <v>53</v>
      </c>
      <c r="M2012" s="286" t="s">
        <v>53</v>
      </c>
      <c r="N2012" s="287">
        <v>0</v>
      </c>
      <c r="O2012" s="294">
        <f t="shared" si="31"/>
        <v>45565</v>
      </c>
      <c r="P2012" s="286" t="s">
        <v>58</v>
      </c>
    </row>
    <row r="2013" spans="1:16" hidden="1" x14ac:dyDescent="0.15">
      <c r="A2013" s="286">
        <v>791946</v>
      </c>
      <c r="B2013" s="288">
        <v>45566.592361111114</v>
      </c>
      <c r="C2013" s="286" t="s">
        <v>2132</v>
      </c>
      <c r="D2013" s="286" t="s">
        <v>1105</v>
      </c>
      <c r="E2013" s="286" t="s">
        <v>1106</v>
      </c>
      <c r="F2013" s="286" t="s">
        <v>2260</v>
      </c>
      <c r="G2013" s="286" t="s">
        <v>1004</v>
      </c>
      <c r="H2013" s="286" t="s">
        <v>1004</v>
      </c>
      <c r="I2013" s="286" t="s">
        <v>1108</v>
      </c>
      <c r="J2013" s="286" t="s">
        <v>1312</v>
      </c>
      <c r="K2013" s="286" t="s">
        <v>765</v>
      </c>
      <c r="L2013" s="286" t="s">
        <v>2473</v>
      </c>
      <c r="M2013" s="286">
        <v>1</v>
      </c>
      <c r="N2013" s="287">
        <v>0</v>
      </c>
      <c r="O2013" s="294">
        <f t="shared" si="31"/>
        <v>45596</v>
      </c>
      <c r="P2013" s="286" t="s">
        <v>37</v>
      </c>
    </row>
    <row r="2014" spans="1:16" hidden="1" x14ac:dyDescent="0.15">
      <c r="A2014" s="286">
        <v>800323</v>
      </c>
      <c r="B2014" s="288">
        <v>45572.363888888889</v>
      </c>
      <c r="C2014" s="286" t="s">
        <v>2130</v>
      </c>
      <c r="D2014" s="286" t="s">
        <v>1105</v>
      </c>
      <c r="E2014" s="286" t="s">
        <v>1106</v>
      </c>
      <c r="F2014" s="286" t="s">
        <v>2485</v>
      </c>
      <c r="G2014" s="286" t="s">
        <v>2486</v>
      </c>
      <c r="H2014" s="286" t="s">
        <v>2486</v>
      </c>
      <c r="I2014" s="286" t="s">
        <v>1129</v>
      </c>
      <c r="J2014" s="286" t="s">
        <v>1312</v>
      </c>
      <c r="K2014" s="286" t="s">
        <v>1914</v>
      </c>
      <c r="L2014" s="286" t="s">
        <v>1915</v>
      </c>
      <c r="M2014" s="286">
        <v>4</v>
      </c>
      <c r="N2014" s="287">
        <v>0</v>
      </c>
      <c r="O2014" s="294">
        <f t="shared" si="31"/>
        <v>45596</v>
      </c>
      <c r="P2014" s="286" t="s">
        <v>164</v>
      </c>
    </row>
    <row r="2015" spans="1:16" hidden="1" x14ac:dyDescent="0.15">
      <c r="A2015" s="286">
        <v>812436</v>
      </c>
      <c r="B2015" s="288">
        <v>45581.523611111108</v>
      </c>
      <c r="C2015" s="286" t="s">
        <v>2130</v>
      </c>
      <c r="D2015" s="286" t="s">
        <v>1105</v>
      </c>
      <c r="E2015" s="286" t="s">
        <v>1106</v>
      </c>
      <c r="F2015" s="286" t="s">
        <v>2270</v>
      </c>
      <c r="G2015" s="286" t="s">
        <v>2486</v>
      </c>
      <c r="H2015" s="286" t="s">
        <v>2486</v>
      </c>
      <c r="I2015" s="286" t="s">
        <v>1129</v>
      </c>
      <c r="J2015" s="286" t="s">
        <v>1312</v>
      </c>
      <c r="K2015" s="286" t="s">
        <v>1914</v>
      </c>
      <c r="L2015" s="286" t="s">
        <v>1915</v>
      </c>
      <c r="M2015" s="286">
        <v>4</v>
      </c>
      <c r="N2015" s="287">
        <v>0</v>
      </c>
      <c r="O2015" s="294">
        <f t="shared" si="31"/>
        <v>45596</v>
      </c>
      <c r="P2015" s="286" t="s">
        <v>164</v>
      </c>
    </row>
    <row r="2016" spans="1:16" hidden="1" x14ac:dyDescent="0.15">
      <c r="A2016" s="286">
        <v>821955</v>
      </c>
      <c r="B2016" s="288">
        <v>45587.62777777778</v>
      </c>
      <c r="C2016" s="286" t="s">
        <v>2130</v>
      </c>
      <c r="D2016" s="286" t="s">
        <v>1105</v>
      </c>
      <c r="E2016" s="286" t="s">
        <v>1106</v>
      </c>
      <c r="F2016" s="286" t="s">
        <v>2163</v>
      </c>
      <c r="G2016" s="286" t="s">
        <v>1045</v>
      </c>
      <c r="H2016" s="286" t="s">
        <v>1045</v>
      </c>
      <c r="I2016" s="286" t="s">
        <v>1152</v>
      </c>
      <c r="J2016" s="286" t="s">
        <v>1312</v>
      </c>
      <c r="K2016" s="286" t="s">
        <v>53</v>
      </c>
      <c r="L2016" s="286" t="s">
        <v>53</v>
      </c>
      <c r="M2016" s="286" t="s">
        <v>53</v>
      </c>
      <c r="N2016" s="287">
        <v>0</v>
      </c>
      <c r="O2016" s="294">
        <f t="shared" si="31"/>
        <v>45596</v>
      </c>
      <c r="P2016" s="286" t="s">
        <v>58</v>
      </c>
    </row>
    <row r="2017" spans="1:16" hidden="1" x14ac:dyDescent="0.15">
      <c r="A2017" s="286">
        <v>823797</v>
      </c>
      <c r="B2017" s="288">
        <v>45588.468055555553</v>
      </c>
      <c r="C2017" s="286" t="s">
        <v>2130</v>
      </c>
      <c r="D2017" s="286" t="s">
        <v>1105</v>
      </c>
      <c r="E2017" s="286" t="s">
        <v>1106</v>
      </c>
      <c r="F2017" s="286" t="s">
        <v>2325</v>
      </c>
      <c r="G2017" s="286" t="s">
        <v>1026</v>
      </c>
      <c r="H2017" s="286" t="s">
        <v>1026</v>
      </c>
      <c r="I2017" s="286" t="s">
        <v>1108</v>
      </c>
      <c r="J2017" s="286" t="s">
        <v>53</v>
      </c>
      <c r="K2017" s="286" t="s">
        <v>1339</v>
      </c>
      <c r="L2017" s="286" t="s">
        <v>1340</v>
      </c>
      <c r="M2017" s="286">
        <v>2</v>
      </c>
      <c r="N2017" s="287">
        <v>0</v>
      </c>
      <c r="O2017" s="294">
        <f t="shared" si="31"/>
        <v>45596</v>
      </c>
      <c r="P2017" s="286" t="s">
        <v>37</v>
      </c>
    </row>
    <row r="2018" spans="1:16" hidden="1" x14ac:dyDescent="0.15">
      <c r="A2018" s="286">
        <v>823797</v>
      </c>
      <c r="B2018" s="288">
        <v>45588.468055555553</v>
      </c>
      <c r="C2018" s="286" t="s">
        <v>2130</v>
      </c>
      <c r="D2018" s="286" t="s">
        <v>1105</v>
      </c>
      <c r="E2018" s="286" t="s">
        <v>1106</v>
      </c>
      <c r="F2018" s="286" t="s">
        <v>2325</v>
      </c>
      <c r="G2018" s="286" t="s">
        <v>1026</v>
      </c>
      <c r="H2018" s="286" t="s">
        <v>1026</v>
      </c>
      <c r="I2018" s="286" t="s">
        <v>1108</v>
      </c>
      <c r="J2018" s="286" t="s">
        <v>53</v>
      </c>
      <c r="K2018" s="286" t="s">
        <v>1339</v>
      </c>
      <c r="L2018" s="286" t="s">
        <v>1340</v>
      </c>
      <c r="M2018" s="286">
        <v>1</v>
      </c>
      <c r="N2018" s="287">
        <v>0</v>
      </c>
      <c r="O2018" s="294">
        <f t="shared" si="31"/>
        <v>45596</v>
      </c>
      <c r="P2018" s="286" t="s">
        <v>37</v>
      </c>
    </row>
    <row r="2019" spans="1:16" hidden="1" x14ac:dyDescent="0.15">
      <c r="A2019" s="286">
        <v>825672</v>
      </c>
      <c r="B2019" s="288">
        <v>45589.395138888889</v>
      </c>
      <c r="C2019" s="286" t="s">
        <v>2130</v>
      </c>
      <c r="D2019" s="286" t="s">
        <v>1105</v>
      </c>
      <c r="E2019" s="286" t="s">
        <v>1106</v>
      </c>
      <c r="F2019" s="286" t="s">
        <v>2311</v>
      </c>
      <c r="G2019" s="286" t="s">
        <v>1017</v>
      </c>
      <c r="H2019" s="286" t="s">
        <v>1017</v>
      </c>
      <c r="I2019" s="286" t="s">
        <v>1108</v>
      </c>
      <c r="J2019" s="286" t="s">
        <v>53</v>
      </c>
      <c r="K2019" s="286" t="s">
        <v>1339</v>
      </c>
      <c r="L2019" s="286" t="s">
        <v>1340</v>
      </c>
      <c r="M2019" s="286">
        <v>1</v>
      </c>
      <c r="N2019" s="287">
        <v>0</v>
      </c>
      <c r="O2019" s="294">
        <f t="shared" si="31"/>
        <v>45596</v>
      </c>
      <c r="P2019" s="286" t="s">
        <v>37</v>
      </c>
    </row>
    <row r="2020" spans="1:16" hidden="1" x14ac:dyDescent="0.15">
      <c r="A2020" s="286">
        <v>836671</v>
      </c>
      <c r="B2020" s="288">
        <v>45597.537499999999</v>
      </c>
      <c r="C2020" s="286" t="s">
        <v>2130</v>
      </c>
      <c r="D2020" s="286" t="s">
        <v>1105</v>
      </c>
      <c r="E2020" s="286" t="s">
        <v>1106</v>
      </c>
      <c r="F2020" s="286" t="s">
        <v>2487</v>
      </c>
      <c r="G2020" s="286" t="s">
        <v>1021</v>
      </c>
      <c r="H2020" s="286" t="s">
        <v>1021</v>
      </c>
      <c r="I2020" s="286" t="s">
        <v>1301</v>
      </c>
      <c r="J2020" s="286" t="s">
        <v>1312</v>
      </c>
      <c r="K2020" s="286" t="s">
        <v>56</v>
      </c>
      <c r="L2020" s="286" t="s">
        <v>71</v>
      </c>
      <c r="M2020" s="286">
        <v>1</v>
      </c>
      <c r="N2020" s="287">
        <v>0</v>
      </c>
      <c r="O2020" s="294">
        <f t="shared" si="31"/>
        <v>45626</v>
      </c>
      <c r="P2020" s="286" t="s">
        <v>55</v>
      </c>
    </row>
    <row r="2021" spans="1:16" hidden="1" x14ac:dyDescent="0.15">
      <c r="A2021" s="286">
        <v>844759</v>
      </c>
      <c r="B2021" s="288">
        <v>45603.465277777781</v>
      </c>
      <c r="C2021" s="286" t="s">
        <v>2130</v>
      </c>
      <c r="D2021" s="286" t="s">
        <v>1105</v>
      </c>
      <c r="E2021" s="286" t="s">
        <v>1106</v>
      </c>
      <c r="F2021" s="286" t="s">
        <v>2488</v>
      </c>
      <c r="G2021" s="286" t="s">
        <v>1016</v>
      </c>
      <c r="H2021" s="286" t="s">
        <v>1016</v>
      </c>
      <c r="I2021" s="286" t="s">
        <v>1230</v>
      </c>
      <c r="J2021" s="286" t="s">
        <v>1312</v>
      </c>
      <c r="K2021" s="286" t="s">
        <v>2482</v>
      </c>
      <c r="L2021" s="286" t="s">
        <v>2177</v>
      </c>
      <c r="M2021" s="286">
        <v>1</v>
      </c>
      <c r="N2021" s="287">
        <v>0</v>
      </c>
      <c r="O2021" s="294">
        <f t="shared" si="31"/>
        <v>45626</v>
      </c>
      <c r="P2021" s="286" t="s">
        <v>175</v>
      </c>
    </row>
    <row r="2022" spans="1:16" hidden="1" x14ac:dyDescent="0.15">
      <c r="A2022" s="286">
        <v>844759</v>
      </c>
      <c r="B2022" s="288">
        <v>45603.465277777781</v>
      </c>
      <c r="C2022" s="286" t="s">
        <v>2130</v>
      </c>
      <c r="D2022" s="286" t="s">
        <v>1105</v>
      </c>
      <c r="E2022" s="286" t="s">
        <v>1106</v>
      </c>
      <c r="F2022" s="286" t="s">
        <v>2488</v>
      </c>
      <c r="G2022" s="286" t="s">
        <v>1016</v>
      </c>
      <c r="H2022" s="286" t="s">
        <v>1016</v>
      </c>
      <c r="I2022" s="286" t="s">
        <v>1230</v>
      </c>
      <c r="J2022" s="286" t="s">
        <v>1312</v>
      </c>
      <c r="K2022" s="286" t="s">
        <v>2483</v>
      </c>
      <c r="L2022" s="286" t="s">
        <v>2123</v>
      </c>
      <c r="M2022" s="286">
        <v>1</v>
      </c>
      <c r="N2022" s="287">
        <v>0</v>
      </c>
      <c r="O2022" s="294">
        <f t="shared" si="31"/>
        <v>45626</v>
      </c>
      <c r="P2022" s="286" t="s">
        <v>175</v>
      </c>
    </row>
    <row r="2023" spans="1:16" hidden="1" x14ac:dyDescent="0.15">
      <c r="A2023" s="286">
        <v>848817</v>
      </c>
      <c r="B2023" s="288">
        <v>45607.65902777778</v>
      </c>
      <c r="C2023" s="286" t="s">
        <v>2130</v>
      </c>
      <c r="D2023" s="286" t="s">
        <v>1105</v>
      </c>
      <c r="E2023" s="286" t="s">
        <v>1106</v>
      </c>
      <c r="F2023" s="286" t="s">
        <v>2140</v>
      </c>
      <c r="G2023" s="286" t="s">
        <v>1856</v>
      </c>
      <c r="H2023" s="286" t="s">
        <v>1856</v>
      </c>
      <c r="I2023" s="286" t="s">
        <v>1199</v>
      </c>
      <c r="J2023" s="286" t="s">
        <v>1312</v>
      </c>
      <c r="K2023" s="286" t="s">
        <v>2293</v>
      </c>
      <c r="L2023" s="286" t="s">
        <v>672</v>
      </c>
      <c r="M2023" s="286">
        <v>0</v>
      </c>
      <c r="N2023" s="287">
        <v>0</v>
      </c>
      <c r="O2023" s="294">
        <f t="shared" si="31"/>
        <v>45626</v>
      </c>
      <c r="P2023" s="286" t="s">
        <v>58</v>
      </c>
    </row>
    <row r="2024" spans="1:16" hidden="1" x14ac:dyDescent="0.15">
      <c r="A2024" s="286">
        <v>848817</v>
      </c>
      <c r="B2024" s="288">
        <v>45607.65902777778</v>
      </c>
      <c r="C2024" s="286" t="s">
        <v>2130</v>
      </c>
      <c r="D2024" s="286" t="s">
        <v>1105</v>
      </c>
      <c r="E2024" s="286" t="s">
        <v>1106</v>
      </c>
      <c r="F2024" s="286" t="s">
        <v>2140</v>
      </c>
      <c r="G2024" s="286" t="s">
        <v>1030</v>
      </c>
      <c r="H2024" s="286" t="s">
        <v>1030</v>
      </c>
      <c r="I2024" s="286" t="s">
        <v>1199</v>
      </c>
      <c r="J2024" s="286" t="s">
        <v>1312</v>
      </c>
      <c r="K2024" s="286" t="s">
        <v>1805</v>
      </c>
      <c r="L2024" s="286" t="s">
        <v>672</v>
      </c>
      <c r="M2024" s="286">
        <v>0</v>
      </c>
      <c r="N2024" s="287">
        <v>0</v>
      </c>
      <c r="O2024" s="294">
        <f t="shared" si="31"/>
        <v>45626</v>
      </c>
      <c r="P2024" s="286" t="s">
        <v>58</v>
      </c>
    </row>
    <row r="2025" spans="1:16" hidden="1" x14ac:dyDescent="0.15">
      <c r="A2025" s="286">
        <v>848817</v>
      </c>
      <c r="B2025" s="288">
        <v>45607.65902777778</v>
      </c>
      <c r="C2025" s="286" t="s">
        <v>2130</v>
      </c>
      <c r="D2025" s="286" t="s">
        <v>1105</v>
      </c>
      <c r="E2025" s="286" t="s">
        <v>1106</v>
      </c>
      <c r="F2025" s="286" t="s">
        <v>2140</v>
      </c>
      <c r="G2025" s="286" t="s">
        <v>1058</v>
      </c>
      <c r="H2025" s="286" t="s">
        <v>1058</v>
      </c>
      <c r="I2025" s="286" t="s">
        <v>1228</v>
      </c>
      <c r="J2025" s="286" t="s">
        <v>1312</v>
      </c>
      <c r="K2025" s="286" t="s">
        <v>2291</v>
      </c>
      <c r="L2025" s="286" t="s">
        <v>672</v>
      </c>
      <c r="M2025" s="286">
        <v>0</v>
      </c>
      <c r="N2025" s="287">
        <v>0</v>
      </c>
      <c r="O2025" s="294">
        <f t="shared" si="31"/>
        <v>45626</v>
      </c>
      <c r="P2025" s="286" t="s">
        <v>58</v>
      </c>
    </row>
    <row r="2026" spans="1:16" hidden="1" x14ac:dyDescent="0.15">
      <c r="A2026" s="286">
        <v>848917</v>
      </c>
      <c r="B2026" s="288">
        <v>45607.660416666666</v>
      </c>
      <c r="C2026" s="286" t="s">
        <v>2100</v>
      </c>
      <c r="D2026" s="286" t="s">
        <v>1105</v>
      </c>
      <c r="E2026" s="286" t="s">
        <v>1106</v>
      </c>
      <c r="F2026" s="286" t="s">
        <v>2141</v>
      </c>
      <c r="G2026" s="286" t="s">
        <v>1856</v>
      </c>
      <c r="H2026" s="286" t="s">
        <v>1856</v>
      </c>
      <c r="I2026" s="286" t="s">
        <v>1199</v>
      </c>
      <c r="J2026" s="286" t="s">
        <v>1312</v>
      </c>
      <c r="K2026" s="286" t="s">
        <v>2293</v>
      </c>
      <c r="L2026" s="286" t="s">
        <v>672</v>
      </c>
      <c r="M2026" s="286">
        <v>0</v>
      </c>
      <c r="N2026" s="287">
        <v>0</v>
      </c>
      <c r="O2026" s="294">
        <f t="shared" si="31"/>
        <v>45626</v>
      </c>
      <c r="P2026" s="286" t="s">
        <v>58</v>
      </c>
    </row>
    <row r="2027" spans="1:16" hidden="1" x14ac:dyDescent="0.15">
      <c r="A2027" s="286">
        <v>848917</v>
      </c>
      <c r="B2027" s="288">
        <v>45607.660416666666</v>
      </c>
      <c r="C2027" s="286" t="s">
        <v>2100</v>
      </c>
      <c r="D2027" s="286" t="s">
        <v>1105</v>
      </c>
      <c r="E2027" s="286" t="s">
        <v>1106</v>
      </c>
      <c r="F2027" s="286" t="s">
        <v>2141</v>
      </c>
      <c r="G2027" s="286" t="s">
        <v>1030</v>
      </c>
      <c r="H2027" s="286" t="s">
        <v>1030</v>
      </c>
      <c r="I2027" s="286" t="s">
        <v>1199</v>
      </c>
      <c r="J2027" s="286" t="s">
        <v>1312</v>
      </c>
      <c r="K2027" s="286" t="s">
        <v>1805</v>
      </c>
      <c r="L2027" s="286" t="s">
        <v>672</v>
      </c>
      <c r="M2027" s="286">
        <v>0</v>
      </c>
      <c r="N2027" s="287">
        <v>0</v>
      </c>
      <c r="O2027" s="294">
        <f t="shared" si="31"/>
        <v>45626</v>
      </c>
      <c r="P2027" s="286" t="s">
        <v>58</v>
      </c>
    </row>
    <row r="2028" spans="1:16" hidden="1" x14ac:dyDescent="0.15">
      <c r="A2028" s="286">
        <v>848917</v>
      </c>
      <c r="B2028" s="288">
        <v>45607.660416666666</v>
      </c>
      <c r="C2028" s="286" t="s">
        <v>2100</v>
      </c>
      <c r="D2028" s="286" t="s">
        <v>1105</v>
      </c>
      <c r="E2028" s="286" t="s">
        <v>1106</v>
      </c>
      <c r="F2028" s="286" t="s">
        <v>2141</v>
      </c>
      <c r="G2028" s="286" t="s">
        <v>1058</v>
      </c>
      <c r="H2028" s="286" t="s">
        <v>1058</v>
      </c>
      <c r="I2028" s="286" t="s">
        <v>1228</v>
      </c>
      <c r="J2028" s="286" t="s">
        <v>1312</v>
      </c>
      <c r="K2028" s="286" t="s">
        <v>2291</v>
      </c>
      <c r="L2028" s="286" t="s">
        <v>672</v>
      </c>
      <c r="M2028" s="286">
        <v>0</v>
      </c>
      <c r="N2028" s="287">
        <v>0</v>
      </c>
      <c r="O2028" s="294">
        <f t="shared" si="31"/>
        <v>45626</v>
      </c>
      <c r="P2028" s="286" t="s">
        <v>58</v>
      </c>
    </row>
    <row r="2029" spans="1:16" hidden="1" x14ac:dyDescent="0.15">
      <c r="A2029" s="286">
        <v>855813</v>
      </c>
      <c r="B2029" s="288">
        <v>45611.399305555555</v>
      </c>
      <c r="C2029" s="286" t="s">
        <v>2100</v>
      </c>
      <c r="D2029" s="286" t="s">
        <v>1105</v>
      </c>
      <c r="E2029" s="286" t="s">
        <v>1106</v>
      </c>
      <c r="F2029" s="286" t="s">
        <v>2489</v>
      </c>
      <c r="G2029" s="286" t="s">
        <v>1016</v>
      </c>
      <c r="H2029" s="286" t="s">
        <v>1016</v>
      </c>
      <c r="I2029" s="286" t="s">
        <v>1129</v>
      </c>
      <c r="J2029" s="286" t="s">
        <v>1312</v>
      </c>
      <c r="K2029" s="286" t="s">
        <v>2490</v>
      </c>
      <c r="L2029" s="286" t="s">
        <v>2491</v>
      </c>
      <c r="M2029" s="286">
        <v>1</v>
      </c>
      <c r="N2029" s="287">
        <v>0</v>
      </c>
      <c r="O2029" s="294">
        <f t="shared" si="31"/>
        <v>45626</v>
      </c>
      <c r="P2029" s="286" t="s">
        <v>164</v>
      </c>
    </row>
    <row r="2030" spans="1:16" hidden="1" x14ac:dyDescent="0.15">
      <c r="A2030" s="286">
        <v>855813</v>
      </c>
      <c r="B2030" s="288">
        <v>45611.399305555555</v>
      </c>
      <c r="C2030" s="286" t="s">
        <v>2100</v>
      </c>
      <c r="D2030" s="286" t="s">
        <v>1105</v>
      </c>
      <c r="E2030" s="286" t="s">
        <v>1106</v>
      </c>
      <c r="F2030" s="286" t="s">
        <v>2489</v>
      </c>
      <c r="G2030" s="286" t="s">
        <v>1016</v>
      </c>
      <c r="H2030" s="286" t="s">
        <v>1016</v>
      </c>
      <c r="I2030" s="286" t="s">
        <v>1129</v>
      </c>
      <c r="J2030" s="286" t="s">
        <v>1312</v>
      </c>
      <c r="K2030" s="286" t="s">
        <v>2492</v>
      </c>
      <c r="L2030" s="286" t="s">
        <v>2493</v>
      </c>
      <c r="M2030" s="286">
        <v>1</v>
      </c>
      <c r="N2030" s="287">
        <v>0</v>
      </c>
      <c r="O2030" s="294">
        <f t="shared" si="31"/>
        <v>45626</v>
      </c>
      <c r="P2030" s="286" t="s">
        <v>164</v>
      </c>
    </row>
    <row r="2031" spans="1:16" hidden="1" x14ac:dyDescent="0.15">
      <c r="A2031" s="286">
        <v>855813</v>
      </c>
      <c r="B2031" s="288">
        <v>45611.399305555555</v>
      </c>
      <c r="C2031" s="286" t="s">
        <v>2100</v>
      </c>
      <c r="D2031" s="286" t="s">
        <v>1105</v>
      </c>
      <c r="E2031" s="286" t="s">
        <v>1106</v>
      </c>
      <c r="F2031" s="286" t="s">
        <v>2489</v>
      </c>
      <c r="G2031" s="286" t="s">
        <v>1052</v>
      </c>
      <c r="H2031" s="286" t="s">
        <v>1052</v>
      </c>
      <c r="I2031" s="286" t="s">
        <v>1129</v>
      </c>
      <c r="J2031" s="286" t="s">
        <v>1312</v>
      </c>
      <c r="K2031" s="286" t="s">
        <v>1318</v>
      </c>
      <c r="L2031" s="286" t="s">
        <v>1319</v>
      </c>
      <c r="M2031" s="286">
        <v>1</v>
      </c>
      <c r="N2031" s="287">
        <v>0</v>
      </c>
      <c r="O2031" s="294">
        <f t="shared" si="31"/>
        <v>45626</v>
      </c>
      <c r="P2031" s="286" t="s">
        <v>164</v>
      </c>
    </row>
    <row r="2032" spans="1:16" hidden="1" x14ac:dyDescent="0.15">
      <c r="A2032" s="286">
        <v>858019</v>
      </c>
      <c r="B2032" s="288">
        <v>45614.46597222222</v>
      </c>
      <c r="C2032" s="286" t="s">
        <v>2100</v>
      </c>
      <c r="D2032" s="286" t="s">
        <v>1105</v>
      </c>
      <c r="E2032" s="286" t="s">
        <v>1106</v>
      </c>
      <c r="F2032" s="286" t="s">
        <v>2438</v>
      </c>
      <c r="G2032" s="286" t="s">
        <v>1041</v>
      </c>
      <c r="H2032" s="286" t="s">
        <v>1041</v>
      </c>
      <c r="I2032" s="286" t="s">
        <v>1108</v>
      </c>
      <c r="J2032" s="286" t="s">
        <v>53</v>
      </c>
      <c r="K2032" s="286" t="s">
        <v>1339</v>
      </c>
      <c r="L2032" s="286" t="s">
        <v>1340</v>
      </c>
      <c r="M2032" s="286">
        <v>1</v>
      </c>
      <c r="N2032" s="287">
        <v>0</v>
      </c>
      <c r="O2032" s="294">
        <f t="shared" si="31"/>
        <v>45626</v>
      </c>
      <c r="P2032" s="286" t="s">
        <v>37</v>
      </c>
    </row>
    <row r="2033" spans="1:16" hidden="1" x14ac:dyDescent="0.15">
      <c r="A2033" s="286">
        <v>863033</v>
      </c>
      <c r="B2033" s="288">
        <v>45616.619444444441</v>
      </c>
      <c r="C2033" s="286" t="s">
        <v>2100</v>
      </c>
      <c r="D2033" s="286" t="s">
        <v>1105</v>
      </c>
      <c r="E2033" s="286" t="s">
        <v>1106</v>
      </c>
      <c r="F2033" s="286" t="s">
        <v>2494</v>
      </c>
      <c r="G2033" s="286" t="s">
        <v>1017</v>
      </c>
      <c r="H2033" s="286" t="s">
        <v>1017</v>
      </c>
      <c r="I2033" s="286" t="s">
        <v>1199</v>
      </c>
      <c r="J2033" s="286" t="s">
        <v>1312</v>
      </c>
      <c r="K2033" s="286" t="s">
        <v>634</v>
      </c>
      <c r="L2033" s="286" t="s">
        <v>2058</v>
      </c>
      <c r="M2033" s="286">
        <v>1</v>
      </c>
      <c r="N2033" s="287">
        <v>0</v>
      </c>
      <c r="O2033" s="294">
        <f t="shared" si="31"/>
        <v>45626</v>
      </c>
      <c r="P2033" s="286" t="s">
        <v>58</v>
      </c>
    </row>
    <row r="2034" spans="1:16" hidden="1" x14ac:dyDescent="0.15">
      <c r="A2034" s="286">
        <v>874698</v>
      </c>
      <c r="B2034" s="288">
        <v>45628.357638888891</v>
      </c>
      <c r="C2034" s="286" t="s">
        <v>2098</v>
      </c>
      <c r="D2034" s="286" t="s">
        <v>1105</v>
      </c>
      <c r="E2034" s="286" t="s">
        <v>1106</v>
      </c>
      <c r="F2034" s="286" t="s">
        <v>2142</v>
      </c>
      <c r="G2034" s="286" t="s">
        <v>1856</v>
      </c>
      <c r="H2034" s="286" t="s">
        <v>1856</v>
      </c>
      <c r="I2034" s="286" t="s">
        <v>1199</v>
      </c>
      <c r="J2034" s="286" t="s">
        <v>1312</v>
      </c>
      <c r="K2034" s="286" t="s">
        <v>2293</v>
      </c>
      <c r="L2034" s="286" t="s">
        <v>672</v>
      </c>
      <c r="M2034" s="286">
        <v>0</v>
      </c>
      <c r="N2034" s="287">
        <v>0</v>
      </c>
      <c r="O2034" s="294">
        <f t="shared" si="31"/>
        <v>45657</v>
      </c>
      <c r="P2034" s="286" t="s">
        <v>58</v>
      </c>
    </row>
    <row r="2035" spans="1:16" hidden="1" x14ac:dyDescent="0.15">
      <c r="A2035" s="286">
        <v>874698</v>
      </c>
      <c r="B2035" s="288">
        <v>45628.357638888891</v>
      </c>
      <c r="C2035" s="286" t="s">
        <v>2098</v>
      </c>
      <c r="D2035" s="286" t="s">
        <v>1105</v>
      </c>
      <c r="E2035" s="286" t="s">
        <v>1106</v>
      </c>
      <c r="F2035" s="286" t="s">
        <v>2142</v>
      </c>
      <c r="G2035" s="286" t="s">
        <v>1030</v>
      </c>
      <c r="H2035" s="286" t="s">
        <v>1030</v>
      </c>
      <c r="I2035" s="286" t="s">
        <v>1199</v>
      </c>
      <c r="J2035" s="286" t="s">
        <v>1312</v>
      </c>
      <c r="K2035" s="286" t="s">
        <v>1805</v>
      </c>
      <c r="L2035" s="286" t="s">
        <v>672</v>
      </c>
      <c r="M2035" s="286">
        <v>0</v>
      </c>
      <c r="N2035" s="287">
        <v>0</v>
      </c>
      <c r="O2035" s="294">
        <f t="shared" si="31"/>
        <v>45657</v>
      </c>
      <c r="P2035" s="286" t="s">
        <v>58</v>
      </c>
    </row>
    <row r="2036" spans="1:16" hidden="1" x14ac:dyDescent="0.15">
      <c r="A2036" s="286">
        <v>874698</v>
      </c>
      <c r="B2036" s="288">
        <v>45628.357638888891</v>
      </c>
      <c r="C2036" s="286" t="s">
        <v>2098</v>
      </c>
      <c r="D2036" s="286" t="s">
        <v>1105</v>
      </c>
      <c r="E2036" s="286" t="s">
        <v>1106</v>
      </c>
      <c r="F2036" s="286" t="s">
        <v>2142</v>
      </c>
      <c r="G2036" s="286" t="s">
        <v>1058</v>
      </c>
      <c r="H2036" s="286" t="s">
        <v>1058</v>
      </c>
      <c r="I2036" s="286" t="s">
        <v>1228</v>
      </c>
      <c r="J2036" s="286" t="s">
        <v>1312</v>
      </c>
      <c r="K2036" s="286" t="s">
        <v>2291</v>
      </c>
      <c r="L2036" s="286" t="s">
        <v>672</v>
      </c>
      <c r="M2036" s="286">
        <v>0</v>
      </c>
      <c r="N2036" s="287">
        <v>0</v>
      </c>
      <c r="O2036" s="294">
        <f t="shared" si="31"/>
        <v>45657</v>
      </c>
      <c r="P2036" s="286" t="s">
        <v>58</v>
      </c>
    </row>
    <row r="2037" spans="1:16" hidden="1" x14ac:dyDescent="0.15">
      <c r="A2037" s="286">
        <v>883883</v>
      </c>
      <c r="B2037" s="288">
        <v>45632.650694444441</v>
      </c>
      <c r="C2037" s="286" t="s">
        <v>2098</v>
      </c>
      <c r="D2037" s="286" t="s">
        <v>1105</v>
      </c>
      <c r="E2037" s="286" t="s">
        <v>1106</v>
      </c>
      <c r="F2037" s="286" t="s">
        <v>2384</v>
      </c>
      <c r="G2037" s="286" t="s">
        <v>1041</v>
      </c>
      <c r="H2037" s="286" t="s">
        <v>1041</v>
      </c>
      <c r="I2037" s="286" t="s">
        <v>1282</v>
      </c>
      <c r="J2037" s="286" t="s">
        <v>1312</v>
      </c>
      <c r="K2037" s="286" t="s">
        <v>202</v>
      </c>
      <c r="L2037" s="286" t="s">
        <v>203</v>
      </c>
      <c r="M2037" s="286">
        <v>1</v>
      </c>
      <c r="N2037" s="287">
        <v>0</v>
      </c>
      <c r="O2037" s="294">
        <f t="shared" si="31"/>
        <v>45657</v>
      </c>
      <c r="P2037" s="286" t="s">
        <v>201</v>
      </c>
    </row>
    <row r="2038" spans="1:16" hidden="1" x14ac:dyDescent="0.15">
      <c r="A2038" s="286">
        <v>883883</v>
      </c>
      <c r="B2038" s="288">
        <v>45632.650694444441</v>
      </c>
      <c r="C2038" s="286" t="s">
        <v>2098</v>
      </c>
      <c r="D2038" s="286" t="s">
        <v>1105</v>
      </c>
      <c r="E2038" s="286" t="s">
        <v>1106</v>
      </c>
      <c r="F2038" s="286" t="s">
        <v>2384</v>
      </c>
      <c r="G2038" s="286" t="s">
        <v>1061</v>
      </c>
      <c r="H2038" s="286" t="s">
        <v>1061</v>
      </c>
      <c r="I2038" s="286" t="s">
        <v>1108</v>
      </c>
      <c r="J2038" s="286" t="s">
        <v>53</v>
      </c>
      <c r="K2038" s="286" t="s">
        <v>1339</v>
      </c>
      <c r="L2038" s="286" t="s">
        <v>1340</v>
      </c>
      <c r="M2038" s="286">
        <v>1</v>
      </c>
      <c r="N2038" s="287">
        <v>0</v>
      </c>
      <c r="O2038" s="294">
        <f t="shared" si="31"/>
        <v>45657</v>
      </c>
      <c r="P2038" s="286" t="s">
        <v>37</v>
      </c>
    </row>
    <row r="2039" spans="1:16" hidden="1" x14ac:dyDescent="0.15">
      <c r="A2039" s="286">
        <v>883883</v>
      </c>
      <c r="B2039" s="288">
        <v>45632.650694444441</v>
      </c>
      <c r="C2039" s="286" t="s">
        <v>2098</v>
      </c>
      <c r="D2039" s="286" t="s">
        <v>1105</v>
      </c>
      <c r="E2039" s="286" t="s">
        <v>1106</v>
      </c>
      <c r="F2039" s="286" t="s">
        <v>2384</v>
      </c>
      <c r="G2039" s="286" t="s">
        <v>1041</v>
      </c>
      <c r="H2039" s="286" t="s">
        <v>1041</v>
      </c>
      <c r="I2039" s="286" t="s">
        <v>1129</v>
      </c>
      <c r="J2039" s="286" t="s">
        <v>53</v>
      </c>
      <c r="K2039" s="286" t="s">
        <v>2495</v>
      </c>
      <c r="L2039" s="286" t="s">
        <v>2496</v>
      </c>
      <c r="M2039" s="286">
        <v>1</v>
      </c>
      <c r="N2039" s="287">
        <v>0</v>
      </c>
      <c r="O2039" s="294">
        <f t="shared" si="31"/>
        <v>45657</v>
      </c>
      <c r="P2039" s="286" t="s">
        <v>164</v>
      </c>
    </row>
    <row r="2040" spans="1:16" hidden="1" x14ac:dyDescent="0.15">
      <c r="A2040" s="286">
        <v>883883</v>
      </c>
      <c r="B2040" s="288">
        <v>45632.650694444441</v>
      </c>
      <c r="C2040" s="286" t="s">
        <v>2098</v>
      </c>
      <c r="D2040" s="286" t="s">
        <v>1105</v>
      </c>
      <c r="E2040" s="286" t="s">
        <v>1106</v>
      </c>
      <c r="F2040" s="286" t="s">
        <v>2384</v>
      </c>
      <c r="G2040" s="286" t="s">
        <v>1041</v>
      </c>
      <c r="H2040" s="286" t="s">
        <v>1041</v>
      </c>
      <c r="I2040" s="286" t="s">
        <v>1282</v>
      </c>
      <c r="J2040" s="286" t="s">
        <v>53</v>
      </c>
      <c r="K2040" s="286" t="s">
        <v>2497</v>
      </c>
      <c r="L2040" s="286" t="s">
        <v>2496</v>
      </c>
      <c r="M2040" s="286">
        <v>1</v>
      </c>
      <c r="N2040" s="287">
        <v>0</v>
      </c>
      <c r="O2040" s="294">
        <f t="shared" si="31"/>
        <v>45657</v>
      </c>
      <c r="P2040" s="286" t="s">
        <v>201</v>
      </c>
    </row>
    <row r="2041" spans="1:16" hidden="1" x14ac:dyDescent="0.15">
      <c r="A2041" s="286">
        <v>891175</v>
      </c>
      <c r="B2041" s="288">
        <v>45637.631249999999</v>
      </c>
      <c r="C2041" s="286" t="s">
        <v>2098</v>
      </c>
      <c r="D2041" s="286" t="s">
        <v>1105</v>
      </c>
      <c r="E2041" s="286" t="s">
        <v>1106</v>
      </c>
      <c r="F2041" s="286" t="s">
        <v>2498</v>
      </c>
      <c r="G2041" s="286" t="s">
        <v>1021</v>
      </c>
      <c r="H2041" s="286" t="s">
        <v>1021</v>
      </c>
      <c r="I2041" s="286" t="s">
        <v>1129</v>
      </c>
      <c r="J2041" s="286" t="s">
        <v>1312</v>
      </c>
      <c r="K2041" s="286" t="s">
        <v>2499</v>
      </c>
      <c r="L2041" s="286" t="s">
        <v>2500</v>
      </c>
      <c r="M2041" s="286">
        <v>2</v>
      </c>
      <c r="N2041" s="287">
        <v>0</v>
      </c>
      <c r="O2041" s="294">
        <f t="shared" si="31"/>
        <v>45657</v>
      </c>
      <c r="P2041" s="286" t="s">
        <v>164</v>
      </c>
    </row>
    <row r="2042" spans="1:16" hidden="1" x14ac:dyDescent="0.15">
      <c r="A2042" s="286">
        <v>893109</v>
      </c>
      <c r="B2042" s="288">
        <v>45639.332638888889</v>
      </c>
      <c r="C2042" s="286" t="s">
        <v>2098</v>
      </c>
      <c r="D2042" s="286" t="s">
        <v>1105</v>
      </c>
      <c r="E2042" s="286" t="s">
        <v>1106</v>
      </c>
      <c r="F2042" s="286" t="s">
        <v>2363</v>
      </c>
      <c r="G2042" s="286" t="s">
        <v>1041</v>
      </c>
      <c r="H2042" s="286" t="s">
        <v>1041</v>
      </c>
      <c r="I2042" s="286" t="s">
        <v>1152</v>
      </c>
      <c r="J2042" s="286" t="s">
        <v>1312</v>
      </c>
      <c r="K2042" s="286" t="s">
        <v>1826</v>
      </c>
      <c r="L2042" s="286" t="s">
        <v>1827</v>
      </c>
      <c r="M2042" s="286">
        <v>1</v>
      </c>
      <c r="N2042" s="287">
        <v>0</v>
      </c>
      <c r="O2042" s="294">
        <f t="shared" si="31"/>
        <v>45657</v>
      </c>
      <c r="P2042" s="286" t="s">
        <v>58</v>
      </c>
    </row>
    <row r="2043" spans="1:16" hidden="1" x14ac:dyDescent="0.15">
      <c r="A2043" s="286">
        <v>900015</v>
      </c>
      <c r="B2043" s="288">
        <v>45645.397222222222</v>
      </c>
      <c r="C2043" s="286" t="s">
        <v>2098</v>
      </c>
      <c r="D2043" s="286" t="s">
        <v>1105</v>
      </c>
      <c r="E2043" s="286" t="s">
        <v>1106</v>
      </c>
      <c r="F2043" s="286" t="s">
        <v>2364</v>
      </c>
      <c r="G2043" s="286" t="s">
        <v>1028</v>
      </c>
      <c r="H2043" s="286" t="s">
        <v>1028</v>
      </c>
      <c r="I2043" s="286" t="s">
        <v>1129</v>
      </c>
      <c r="J2043" s="286" t="s">
        <v>1312</v>
      </c>
      <c r="K2043" s="286" t="s">
        <v>1380</v>
      </c>
      <c r="L2043" s="286" t="s">
        <v>1381</v>
      </c>
      <c r="M2043" s="286">
        <v>1</v>
      </c>
      <c r="N2043" s="287">
        <v>0</v>
      </c>
      <c r="O2043" s="294">
        <f t="shared" si="31"/>
        <v>45657</v>
      </c>
      <c r="P2043" s="286" t="s">
        <v>164</v>
      </c>
    </row>
    <row r="2044" spans="1:16" hidden="1" x14ac:dyDescent="0.15">
      <c r="A2044" s="286">
        <v>900901</v>
      </c>
      <c r="B2044" s="288">
        <v>45646.374305555553</v>
      </c>
      <c r="C2044" s="286" t="s">
        <v>2098</v>
      </c>
      <c r="D2044" s="286" t="s">
        <v>1105</v>
      </c>
      <c r="E2044" s="286" t="s">
        <v>1106</v>
      </c>
      <c r="F2044" s="286" t="s">
        <v>2349</v>
      </c>
      <c r="G2044" s="286" t="s">
        <v>1029</v>
      </c>
      <c r="H2044" s="286" t="s">
        <v>1029</v>
      </c>
      <c r="I2044" s="286" t="s">
        <v>1129</v>
      </c>
      <c r="J2044" s="286" t="s">
        <v>1312</v>
      </c>
      <c r="K2044" s="286" t="s">
        <v>1318</v>
      </c>
      <c r="L2044" s="286" t="s">
        <v>1319</v>
      </c>
      <c r="M2044" s="286">
        <v>1</v>
      </c>
      <c r="N2044" s="287">
        <v>0</v>
      </c>
      <c r="O2044" s="294">
        <f t="shared" si="31"/>
        <v>45657</v>
      </c>
      <c r="P2044" s="286" t="s">
        <v>164</v>
      </c>
    </row>
    <row r="2045" spans="1:16" hidden="1" x14ac:dyDescent="0.15">
      <c r="A2045" s="286">
        <v>618592</v>
      </c>
      <c r="B2045" s="288">
        <v>45457.646527777775</v>
      </c>
      <c r="C2045" s="286" t="s">
        <v>2116</v>
      </c>
      <c r="D2045" s="286" t="s">
        <v>1105</v>
      </c>
      <c r="E2045" s="286" t="s">
        <v>1106</v>
      </c>
      <c r="F2045" s="286" t="s">
        <v>2117</v>
      </c>
      <c r="G2045" s="286" t="s">
        <v>2465</v>
      </c>
      <c r="H2045" s="286" t="s">
        <v>2465</v>
      </c>
      <c r="I2045" s="286" t="s">
        <v>1108</v>
      </c>
      <c r="J2045" s="286" t="s">
        <v>53</v>
      </c>
      <c r="K2045" s="286" t="s">
        <v>1339</v>
      </c>
      <c r="L2045" s="286" t="s">
        <v>1340</v>
      </c>
      <c r="M2045" s="286">
        <v>10</v>
      </c>
      <c r="N2045" s="287">
        <v>-1</v>
      </c>
      <c r="O2045" s="294">
        <f t="shared" si="31"/>
        <v>45473</v>
      </c>
      <c r="P2045" s="286" t="s">
        <v>37</v>
      </c>
    </row>
    <row r="2046" spans="1:16" hidden="1" x14ac:dyDescent="0.15">
      <c r="A2046" s="286">
        <v>618592</v>
      </c>
      <c r="B2046" s="288">
        <v>45457.646527777775</v>
      </c>
      <c r="C2046" s="286" t="s">
        <v>2116</v>
      </c>
      <c r="D2046" s="286" t="s">
        <v>1105</v>
      </c>
      <c r="E2046" s="286" t="s">
        <v>1106</v>
      </c>
      <c r="F2046" s="286" t="s">
        <v>2117</v>
      </c>
      <c r="G2046" s="286" t="s">
        <v>2465</v>
      </c>
      <c r="H2046" s="286" t="s">
        <v>2465</v>
      </c>
      <c r="I2046" s="286" t="s">
        <v>1108</v>
      </c>
      <c r="J2046" s="286" t="s">
        <v>53</v>
      </c>
      <c r="K2046" s="286" t="s">
        <v>1339</v>
      </c>
      <c r="L2046" s="286" t="s">
        <v>1340</v>
      </c>
      <c r="M2046" s="286">
        <v>10</v>
      </c>
      <c r="N2046" s="287">
        <v>-1</v>
      </c>
      <c r="O2046" s="294">
        <f t="shared" si="31"/>
        <v>45473</v>
      </c>
      <c r="P2046" s="286" t="s">
        <v>37</v>
      </c>
    </row>
    <row r="2047" spans="1:16" hidden="1" x14ac:dyDescent="0.15">
      <c r="A2047" s="286">
        <v>848917</v>
      </c>
      <c r="B2047" s="288">
        <v>45607.660416666666</v>
      </c>
      <c r="C2047" s="286" t="s">
        <v>2100</v>
      </c>
      <c r="D2047" s="286" t="s">
        <v>1105</v>
      </c>
      <c r="E2047" s="286" t="s">
        <v>1106</v>
      </c>
      <c r="F2047" s="286" t="s">
        <v>2141</v>
      </c>
      <c r="G2047" s="286" t="s">
        <v>1856</v>
      </c>
      <c r="H2047" s="286" t="s">
        <v>1856</v>
      </c>
      <c r="I2047" s="286" t="s">
        <v>1199</v>
      </c>
      <c r="J2047" s="286" t="s">
        <v>1312</v>
      </c>
      <c r="K2047" s="286" t="s">
        <v>2376</v>
      </c>
      <c r="L2047" s="286" t="s">
        <v>53</v>
      </c>
      <c r="M2047" s="286">
        <v>1</v>
      </c>
      <c r="N2047" s="287">
        <v>-1.06</v>
      </c>
      <c r="O2047" s="294">
        <f t="shared" si="31"/>
        <v>45626</v>
      </c>
      <c r="P2047" s="286" t="s">
        <v>58</v>
      </c>
    </row>
    <row r="2048" spans="1:16" hidden="1" x14ac:dyDescent="0.15">
      <c r="A2048" s="286">
        <v>708501</v>
      </c>
      <c r="B2048" s="288">
        <v>45516.557638888888</v>
      </c>
      <c r="C2048" s="286" t="s">
        <v>2111</v>
      </c>
      <c r="D2048" s="286" t="s">
        <v>1105</v>
      </c>
      <c r="E2048" s="286" t="s">
        <v>1106</v>
      </c>
      <c r="F2048" s="286" t="s">
        <v>2501</v>
      </c>
      <c r="G2048" s="286" t="s">
        <v>1055</v>
      </c>
      <c r="H2048" s="286" t="s">
        <v>1055</v>
      </c>
      <c r="I2048" s="286" t="s">
        <v>1199</v>
      </c>
      <c r="J2048" s="286" t="s">
        <v>1312</v>
      </c>
      <c r="K2048" s="286" t="s">
        <v>2376</v>
      </c>
      <c r="L2048" s="286" t="s">
        <v>53</v>
      </c>
      <c r="M2048" s="286">
        <v>1</v>
      </c>
      <c r="N2048" s="287">
        <v>-3.17</v>
      </c>
      <c r="O2048" s="294">
        <f t="shared" si="31"/>
        <v>45535</v>
      </c>
      <c r="P2048" s="286" t="s">
        <v>58</v>
      </c>
    </row>
    <row r="2049" spans="1:16" hidden="1" x14ac:dyDescent="0.15">
      <c r="A2049" s="286">
        <v>874698</v>
      </c>
      <c r="B2049" s="288">
        <v>45628.357638888891</v>
      </c>
      <c r="C2049" s="286" t="s">
        <v>2098</v>
      </c>
      <c r="D2049" s="286" t="s">
        <v>1105</v>
      </c>
      <c r="E2049" s="286" t="s">
        <v>1106</v>
      </c>
      <c r="F2049" s="286" t="s">
        <v>2142</v>
      </c>
      <c r="G2049" s="286" t="s">
        <v>1036</v>
      </c>
      <c r="H2049" s="286" t="s">
        <v>1036</v>
      </c>
      <c r="I2049" s="286" t="s">
        <v>1199</v>
      </c>
      <c r="J2049" s="286" t="s">
        <v>1312</v>
      </c>
      <c r="K2049" s="286" t="s">
        <v>2376</v>
      </c>
      <c r="L2049" s="286" t="s">
        <v>53</v>
      </c>
      <c r="M2049" s="286">
        <v>1</v>
      </c>
      <c r="N2049" s="287">
        <v>-5.75</v>
      </c>
      <c r="O2049" s="294">
        <f t="shared" si="31"/>
        <v>45657</v>
      </c>
      <c r="P2049" s="286" t="s">
        <v>58</v>
      </c>
    </row>
    <row r="2050" spans="1:16" hidden="1" x14ac:dyDescent="0.15">
      <c r="A2050" s="286">
        <v>559626</v>
      </c>
      <c r="B2050" s="288">
        <v>45408.642361111109</v>
      </c>
      <c r="C2050" s="286" t="s">
        <v>2109</v>
      </c>
      <c r="D2050" s="286" t="s">
        <v>1105</v>
      </c>
      <c r="E2050" s="286" t="s">
        <v>1106</v>
      </c>
      <c r="F2050" s="286" t="s">
        <v>2231</v>
      </c>
      <c r="G2050" s="286" t="s">
        <v>1004</v>
      </c>
      <c r="H2050" s="286" t="s">
        <v>1004</v>
      </c>
      <c r="I2050" s="286" t="s">
        <v>1199</v>
      </c>
      <c r="J2050" s="286" t="s">
        <v>1312</v>
      </c>
      <c r="K2050" s="286" t="s">
        <v>53</v>
      </c>
      <c r="L2050" s="286" t="s">
        <v>53</v>
      </c>
      <c r="M2050" s="286" t="s">
        <v>53</v>
      </c>
      <c r="N2050" s="287">
        <v>-9.49</v>
      </c>
      <c r="O2050" s="294">
        <f t="shared" si="31"/>
        <v>45412</v>
      </c>
      <c r="P2050" s="286" t="s">
        <v>58</v>
      </c>
    </row>
    <row r="2051" spans="1:16" hidden="1" x14ac:dyDescent="0.15">
      <c r="A2051" s="286">
        <v>534207</v>
      </c>
      <c r="B2051" s="288">
        <v>45385.750694444447</v>
      </c>
      <c r="C2051" s="286" t="s">
        <v>2096</v>
      </c>
      <c r="D2051" s="286" t="s">
        <v>1105</v>
      </c>
      <c r="E2051" s="286" t="s">
        <v>1106</v>
      </c>
      <c r="F2051" s="286" t="s">
        <v>2155</v>
      </c>
      <c r="G2051" s="286" t="s">
        <v>1025</v>
      </c>
      <c r="H2051" s="286" t="s">
        <v>1025</v>
      </c>
      <c r="I2051" s="286" t="s">
        <v>1199</v>
      </c>
      <c r="J2051" s="286" t="s">
        <v>1312</v>
      </c>
      <c r="K2051" s="286" t="s">
        <v>2067</v>
      </c>
      <c r="L2051" s="286" t="s">
        <v>53</v>
      </c>
      <c r="M2051" s="286">
        <v>1</v>
      </c>
      <c r="N2051" s="287">
        <v>-9.64</v>
      </c>
      <c r="O2051" s="294">
        <f t="shared" si="31"/>
        <v>45412</v>
      </c>
      <c r="P2051" s="286" t="s">
        <v>58</v>
      </c>
    </row>
    <row r="2052" spans="1:16" hidden="1" x14ac:dyDescent="0.15">
      <c r="A2052" s="286">
        <v>534207</v>
      </c>
      <c r="B2052" s="288">
        <v>45385.750694444447</v>
      </c>
      <c r="C2052" s="286" t="s">
        <v>2096</v>
      </c>
      <c r="D2052" s="286" t="s">
        <v>1105</v>
      </c>
      <c r="E2052" s="286" t="s">
        <v>1106</v>
      </c>
      <c r="F2052" s="286" t="s">
        <v>2155</v>
      </c>
      <c r="G2052" s="286" t="s">
        <v>1049</v>
      </c>
      <c r="H2052" s="286" t="s">
        <v>1049</v>
      </c>
      <c r="I2052" s="286" t="s">
        <v>1228</v>
      </c>
      <c r="J2052" s="286" t="s">
        <v>1312</v>
      </c>
      <c r="K2052" s="286" t="s">
        <v>2502</v>
      </c>
      <c r="L2052" s="286" t="s">
        <v>53</v>
      </c>
      <c r="M2052" s="286">
        <v>1</v>
      </c>
      <c r="N2052" s="287">
        <v>-10.16</v>
      </c>
      <c r="O2052" s="294">
        <f t="shared" ref="O2052:O2115" si="32">EOMONTH(B2052,0)</f>
        <v>45412</v>
      </c>
      <c r="P2052" s="286" t="s">
        <v>58</v>
      </c>
    </row>
    <row r="2053" spans="1:16" hidden="1" x14ac:dyDescent="0.15">
      <c r="A2053" s="286">
        <v>874698</v>
      </c>
      <c r="B2053" s="288">
        <v>45628.357638888891</v>
      </c>
      <c r="C2053" s="286" t="s">
        <v>2098</v>
      </c>
      <c r="D2053" s="286" t="s">
        <v>1105</v>
      </c>
      <c r="E2053" s="286" t="s">
        <v>1106</v>
      </c>
      <c r="F2053" s="286" t="s">
        <v>2142</v>
      </c>
      <c r="G2053" s="286" t="s">
        <v>1036</v>
      </c>
      <c r="H2053" s="286" t="s">
        <v>1036</v>
      </c>
      <c r="I2053" s="286" t="s">
        <v>1199</v>
      </c>
      <c r="J2053" s="286" t="s">
        <v>1312</v>
      </c>
      <c r="K2053" s="286" t="s">
        <v>2447</v>
      </c>
      <c r="L2053" s="286" t="s">
        <v>53</v>
      </c>
      <c r="M2053" s="286">
        <v>1</v>
      </c>
      <c r="N2053" s="287">
        <v>-11.12</v>
      </c>
      <c r="O2053" s="294">
        <f t="shared" si="32"/>
        <v>45657</v>
      </c>
      <c r="P2053" s="286" t="s">
        <v>58</v>
      </c>
    </row>
    <row r="2054" spans="1:16" hidden="1" x14ac:dyDescent="0.15">
      <c r="A2054" s="286">
        <v>614216</v>
      </c>
      <c r="B2054" s="288">
        <v>45455.716666666667</v>
      </c>
      <c r="C2054" s="286" t="s">
        <v>2116</v>
      </c>
      <c r="D2054" s="286" t="s">
        <v>1105</v>
      </c>
      <c r="E2054" s="286" t="s">
        <v>1106</v>
      </c>
      <c r="F2054" s="286" t="s">
        <v>2156</v>
      </c>
      <c r="G2054" s="286" t="s">
        <v>1025</v>
      </c>
      <c r="H2054" s="286" t="s">
        <v>1025</v>
      </c>
      <c r="I2054" s="286" t="s">
        <v>1199</v>
      </c>
      <c r="J2054" s="286" t="s">
        <v>1312</v>
      </c>
      <c r="K2054" s="286" t="s">
        <v>2067</v>
      </c>
      <c r="L2054" s="286" t="s">
        <v>53</v>
      </c>
      <c r="M2054" s="286">
        <v>1</v>
      </c>
      <c r="N2054" s="287">
        <v>-14.69</v>
      </c>
      <c r="O2054" s="294">
        <f t="shared" si="32"/>
        <v>45473</v>
      </c>
      <c r="P2054" s="286" t="s">
        <v>58</v>
      </c>
    </row>
    <row r="2055" spans="1:16" hidden="1" x14ac:dyDescent="0.15">
      <c r="A2055" s="286">
        <v>608480</v>
      </c>
      <c r="B2055" s="288">
        <v>45450.422222222223</v>
      </c>
      <c r="C2055" s="286" t="s">
        <v>2092</v>
      </c>
      <c r="D2055" s="286" t="s">
        <v>1105</v>
      </c>
      <c r="E2055" s="286" t="s">
        <v>1106</v>
      </c>
      <c r="F2055" s="286" t="s">
        <v>2157</v>
      </c>
      <c r="G2055" s="286" t="s">
        <v>1025</v>
      </c>
      <c r="H2055" s="286" t="s">
        <v>1025</v>
      </c>
      <c r="I2055" s="286" t="s">
        <v>1199</v>
      </c>
      <c r="J2055" s="286" t="s">
        <v>1312</v>
      </c>
      <c r="K2055" s="286" t="s">
        <v>2067</v>
      </c>
      <c r="L2055" s="286" t="s">
        <v>53</v>
      </c>
      <c r="M2055" s="286">
        <v>1</v>
      </c>
      <c r="N2055" s="287">
        <v>-14.69</v>
      </c>
      <c r="O2055" s="294">
        <f t="shared" si="32"/>
        <v>45473</v>
      </c>
      <c r="P2055" s="286" t="s">
        <v>58</v>
      </c>
    </row>
    <row r="2056" spans="1:16" hidden="1" x14ac:dyDescent="0.15">
      <c r="A2056" s="286">
        <v>646075</v>
      </c>
      <c r="B2056" s="288">
        <v>45474.519444444442</v>
      </c>
      <c r="C2056" s="286" t="s">
        <v>2111</v>
      </c>
      <c r="D2056" s="286" t="s">
        <v>1105</v>
      </c>
      <c r="E2056" s="286" t="s">
        <v>1106</v>
      </c>
      <c r="F2056" s="286" t="s">
        <v>2137</v>
      </c>
      <c r="G2056" s="286" t="s">
        <v>1025</v>
      </c>
      <c r="H2056" s="286" t="s">
        <v>1025</v>
      </c>
      <c r="I2056" s="286" t="s">
        <v>1199</v>
      </c>
      <c r="J2056" s="286" t="s">
        <v>1312</v>
      </c>
      <c r="K2056" s="286" t="s">
        <v>2067</v>
      </c>
      <c r="L2056" s="286" t="s">
        <v>53</v>
      </c>
      <c r="M2056" s="286">
        <v>1</v>
      </c>
      <c r="N2056" s="287">
        <v>-14.69</v>
      </c>
      <c r="O2056" s="294">
        <f t="shared" si="32"/>
        <v>45504</v>
      </c>
      <c r="P2056" s="286" t="s">
        <v>58</v>
      </c>
    </row>
    <row r="2057" spans="1:16" hidden="1" x14ac:dyDescent="0.15">
      <c r="A2057" s="286">
        <v>697810</v>
      </c>
      <c r="B2057" s="288">
        <v>45510.366666666669</v>
      </c>
      <c r="C2057" s="286" t="s">
        <v>2102</v>
      </c>
      <c r="D2057" s="286" t="s">
        <v>1105</v>
      </c>
      <c r="E2057" s="286" t="s">
        <v>1106</v>
      </c>
      <c r="F2057" s="286" t="s">
        <v>2138</v>
      </c>
      <c r="G2057" s="286" t="s">
        <v>1025</v>
      </c>
      <c r="H2057" s="286" t="s">
        <v>1025</v>
      </c>
      <c r="I2057" s="286" t="s">
        <v>1199</v>
      </c>
      <c r="J2057" s="286" t="s">
        <v>1312</v>
      </c>
      <c r="K2057" s="286" t="s">
        <v>2067</v>
      </c>
      <c r="L2057" s="286" t="s">
        <v>53</v>
      </c>
      <c r="M2057" s="286">
        <v>1</v>
      </c>
      <c r="N2057" s="287">
        <v>-14.69</v>
      </c>
      <c r="O2057" s="294">
        <f t="shared" si="32"/>
        <v>45535</v>
      </c>
      <c r="P2057" s="286" t="s">
        <v>58</v>
      </c>
    </row>
    <row r="2058" spans="1:16" hidden="1" x14ac:dyDescent="0.15">
      <c r="A2058" s="286">
        <v>745911</v>
      </c>
      <c r="B2058" s="288">
        <v>45538.44027777778</v>
      </c>
      <c r="C2058" s="286" t="s">
        <v>2132</v>
      </c>
      <c r="D2058" s="286" t="s">
        <v>1105</v>
      </c>
      <c r="E2058" s="286" t="s">
        <v>1106</v>
      </c>
      <c r="F2058" s="286" t="s">
        <v>2139</v>
      </c>
      <c r="G2058" s="286" t="s">
        <v>1025</v>
      </c>
      <c r="H2058" s="286" t="s">
        <v>1025</v>
      </c>
      <c r="I2058" s="286" t="s">
        <v>1199</v>
      </c>
      <c r="J2058" s="286" t="s">
        <v>1312</v>
      </c>
      <c r="K2058" s="286" t="s">
        <v>2067</v>
      </c>
      <c r="L2058" s="286" t="s">
        <v>53</v>
      </c>
      <c r="M2058" s="286">
        <v>1</v>
      </c>
      <c r="N2058" s="287">
        <v>-14.69</v>
      </c>
      <c r="O2058" s="294">
        <f t="shared" si="32"/>
        <v>45565</v>
      </c>
      <c r="P2058" s="286" t="s">
        <v>58</v>
      </c>
    </row>
    <row r="2059" spans="1:16" hidden="1" x14ac:dyDescent="0.15">
      <c r="A2059" s="286">
        <v>848817</v>
      </c>
      <c r="B2059" s="288">
        <v>45607.65902777778</v>
      </c>
      <c r="C2059" s="286" t="s">
        <v>2130</v>
      </c>
      <c r="D2059" s="286" t="s">
        <v>1105</v>
      </c>
      <c r="E2059" s="286" t="s">
        <v>1106</v>
      </c>
      <c r="F2059" s="286" t="s">
        <v>2140</v>
      </c>
      <c r="G2059" s="286" t="s">
        <v>1025</v>
      </c>
      <c r="H2059" s="286" t="s">
        <v>1025</v>
      </c>
      <c r="I2059" s="286" t="s">
        <v>1199</v>
      </c>
      <c r="J2059" s="286" t="s">
        <v>1312</v>
      </c>
      <c r="K2059" s="286" t="s">
        <v>2067</v>
      </c>
      <c r="L2059" s="286" t="s">
        <v>53</v>
      </c>
      <c r="M2059" s="286">
        <v>1</v>
      </c>
      <c r="N2059" s="287">
        <v>-14.69</v>
      </c>
      <c r="O2059" s="294">
        <f t="shared" si="32"/>
        <v>45626</v>
      </c>
      <c r="P2059" s="286" t="s">
        <v>58</v>
      </c>
    </row>
    <row r="2060" spans="1:16" hidden="1" x14ac:dyDescent="0.15">
      <c r="A2060" s="286">
        <v>848917</v>
      </c>
      <c r="B2060" s="288">
        <v>45607.660416666666</v>
      </c>
      <c r="C2060" s="286" t="s">
        <v>2100</v>
      </c>
      <c r="D2060" s="286" t="s">
        <v>1105</v>
      </c>
      <c r="E2060" s="286" t="s">
        <v>1106</v>
      </c>
      <c r="F2060" s="286" t="s">
        <v>2141</v>
      </c>
      <c r="G2060" s="286" t="s">
        <v>1025</v>
      </c>
      <c r="H2060" s="286" t="s">
        <v>1025</v>
      </c>
      <c r="I2060" s="286" t="s">
        <v>1199</v>
      </c>
      <c r="J2060" s="286" t="s">
        <v>1312</v>
      </c>
      <c r="K2060" s="286" t="s">
        <v>2067</v>
      </c>
      <c r="L2060" s="286" t="s">
        <v>53</v>
      </c>
      <c r="M2060" s="286">
        <v>1</v>
      </c>
      <c r="N2060" s="287">
        <v>-14.69</v>
      </c>
      <c r="O2060" s="294">
        <f t="shared" si="32"/>
        <v>45626</v>
      </c>
      <c r="P2060" s="286" t="s">
        <v>58</v>
      </c>
    </row>
    <row r="2061" spans="1:16" hidden="1" x14ac:dyDescent="0.15">
      <c r="A2061" s="286">
        <v>874698</v>
      </c>
      <c r="B2061" s="288">
        <v>45628.357638888891</v>
      </c>
      <c r="C2061" s="286" t="s">
        <v>2098</v>
      </c>
      <c r="D2061" s="286" t="s">
        <v>1105</v>
      </c>
      <c r="E2061" s="286" t="s">
        <v>1106</v>
      </c>
      <c r="F2061" s="286" t="s">
        <v>2142</v>
      </c>
      <c r="G2061" s="286" t="s">
        <v>1025</v>
      </c>
      <c r="H2061" s="286" t="s">
        <v>1025</v>
      </c>
      <c r="I2061" s="286" t="s">
        <v>1199</v>
      </c>
      <c r="J2061" s="286" t="s">
        <v>1312</v>
      </c>
      <c r="K2061" s="286" t="s">
        <v>2067</v>
      </c>
      <c r="L2061" s="286" t="s">
        <v>53</v>
      </c>
      <c r="M2061" s="286">
        <v>1</v>
      </c>
      <c r="N2061" s="287">
        <v>-14.69</v>
      </c>
      <c r="O2061" s="294">
        <f t="shared" si="32"/>
        <v>45657</v>
      </c>
      <c r="P2061" s="286" t="s">
        <v>58</v>
      </c>
    </row>
    <row r="2062" spans="1:16" hidden="1" x14ac:dyDescent="0.15">
      <c r="A2062" s="286">
        <v>874698</v>
      </c>
      <c r="B2062" s="288">
        <v>45628.357638888891</v>
      </c>
      <c r="C2062" s="286" t="s">
        <v>2098</v>
      </c>
      <c r="D2062" s="286" t="s">
        <v>1105</v>
      </c>
      <c r="E2062" s="286" t="s">
        <v>1106</v>
      </c>
      <c r="F2062" s="286" t="s">
        <v>2142</v>
      </c>
      <c r="G2062" s="286" t="s">
        <v>1856</v>
      </c>
      <c r="H2062" s="286" t="s">
        <v>1856</v>
      </c>
      <c r="I2062" s="286" t="s">
        <v>1199</v>
      </c>
      <c r="J2062" s="286" t="s">
        <v>1312</v>
      </c>
      <c r="K2062" s="286" t="s">
        <v>2376</v>
      </c>
      <c r="L2062" s="286" t="s">
        <v>53</v>
      </c>
      <c r="M2062" s="286">
        <v>1</v>
      </c>
      <c r="N2062" s="287">
        <v>-16.190000000000001</v>
      </c>
      <c r="O2062" s="294">
        <f t="shared" si="32"/>
        <v>45657</v>
      </c>
      <c r="P2062" s="286" t="s">
        <v>58</v>
      </c>
    </row>
    <row r="2063" spans="1:16" hidden="1" x14ac:dyDescent="0.15">
      <c r="A2063" s="286">
        <v>504716</v>
      </c>
      <c r="B2063" s="288">
        <v>45359.644444444442</v>
      </c>
      <c r="C2063" s="286" t="s">
        <v>2113</v>
      </c>
      <c r="D2063" s="286" t="s">
        <v>1105</v>
      </c>
      <c r="E2063" s="286" t="s">
        <v>1106</v>
      </c>
      <c r="F2063" s="286" t="s">
        <v>2444</v>
      </c>
      <c r="G2063" s="286" t="s">
        <v>1089</v>
      </c>
      <c r="H2063" s="286" t="s">
        <v>1089</v>
      </c>
      <c r="I2063" s="286" t="s">
        <v>1228</v>
      </c>
      <c r="J2063" s="286" t="s">
        <v>1312</v>
      </c>
      <c r="K2063" s="286" t="s">
        <v>1813</v>
      </c>
      <c r="L2063" s="286" t="s">
        <v>672</v>
      </c>
      <c r="M2063" s="286">
        <v>1</v>
      </c>
      <c r="N2063" s="287">
        <v>-16.79</v>
      </c>
      <c r="O2063" s="294">
        <f t="shared" si="32"/>
        <v>45382</v>
      </c>
      <c r="P2063" s="286" t="s">
        <v>58</v>
      </c>
    </row>
    <row r="2064" spans="1:16" hidden="1" x14ac:dyDescent="0.15">
      <c r="A2064" s="286">
        <v>785030</v>
      </c>
      <c r="B2064" s="288">
        <v>45559.581944444442</v>
      </c>
      <c r="C2064" s="286" t="s">
        <v>2132</v>
      </c>
      <c r="D2064" s="286" t="s">
        <v>1105</v>
      </c>
      <c r="E2064" s="286" t="s">
        <v>1106</v>
      </c>
      <c r="F2064" s="286" t="s">
        <v>2162</v>
      </c>
      <c r="G2064" s="286" t="s">
        <v>1856</v>
      </c>
      <c r="H2064" s="286" t="s">
        <v>1856</v>
      </c>
      <c r="I2064" s="286" t="s">
        <v>1199</v>
      </c>
      <c r="J2064" s="286" t="s">
        <v>1312</v>
      </c>
      <c r="K2064" s="286" t="s">
        <v>53</v>
      </c>
      <c r="L2064" s="286" t="s">
        <v>53</v>
      </c>
      <c r="M2064" s="286" t="s">
        <v>53</v>
      </c>
      <c r="N2064" s="287">
        <v>-19.84</v>
      </c>
      <c r="O2064" s="294">
        <f t="shared" si="32"/>
        <v>45565</v>
      </c>
      <c r="P2064" s="286" t="s">
        <v>58</v>
      </c>
    </row>
    <row r="2065" spans="1:16" hidden="1" x14ac:dyDescent="0.15">
      <c r="A2065" s="286">
        <v>821955</v>
      </c>
      <c r="B2065" s="288">
        <v>45587.62777777778</v>
      </c>
      <c r="C2065" s="286" t="s">
        <v>2130</v>
      </c>
      <c r="D2065" s="286" t="s">
        <v>1105</v>
      </c>
      <c r="E2065" s="286" t="s">
        <v>1106</v>
      </c>
      <c r="F2065" s="286" t="s">
        <v>2163</v>
      </c>
      <c r="G2065" s="286" t="s">
        <v>1856</v>
      </c>
      <c r="H2065" s="286" t="s">
        <v>1856</v>
      </c>
      <c r="I2065" s="286" t="s">
        <v>1199</v>
      </c>
      <c r="J2065" s="286" t="s">
        <v>1312</v>
      </c>
      <c r="K2065" s="286" t="s">
        <v>53</v>
      </c>
      <c r="L2065" s="286" t="s">
        <v>53</v>
      </c>
      <c r="M2065" s="286" t="s">
        <v>53</v>
      </c>
      <c r="N2065" s="287">
        <v>-19.84</v>
      </c>
      <c r="O2065" s="294">
        <f t="shared" si="32"/>
        <v>45596</v>
      </c>
      <c r="P2065" s="286" t="s">
        <v>58</v>
      </c>
    </row>
    <row r="2066" spans="1:16" hidden="1" x14ac:dyDescent="0.15">
      <c r="A2066" s="286">
        <v>864918</v>
      </c>
      <c r="B2066" s="288">
        <v>45617.508333333331</v>
      </c>
      <c r="C2066" s="286" t="s">
        <v>2100</v>
      </c>
      <c r="D2066" s="286" t="s">
        <v>1105</v>
      </c>
      <c r="E2066" s="286" t="s">
        <v>1106</v>
      </c>
      <c r="F2066" s="286" t="s">
        <v>2233</v>
      </c>
      <c r="G2066" s="286" t="s">
        <v>1856</v>
      </c>
      <c r="H2066" s="286" t="s">
        <v>1856</v>
      </c>
      <c r="I2066" s="286" t="s">
        <v>1199</v>
      </c>
      <c r="J2066" s="286" t="s">
        <v>53</v>
      </c>
      <c r="K2066" s="286" t="s">
        <v>53</v>
      </c>
      <c r="L2066" s="286" t="s">
        <v>53</v>
      </c>
      <c r="M2066" s="286" t="s">
        <v>53</v>
      </c>
      <c r="N2066" s="287">
        <v>-19.84</v>
      </c>
      <c r="O2066" s="294">
        <f t="shared" si="32"/>
        <v>45626</v>
      </c>
      <c r="P2066" s="286" t="s">
        <v>58</v>
      </c>
    </row>
    <row r="2067" spans="1:16" hidden="1" x14ac:dyDescent="0.15">
      <c r="A2067" s="286">
        <v>898877</v>
      </c>
      <c r="B2067" s="288">
        <v>45644.552083333336</v>
      </c>
      <c r="C2067" s="286" t="s">
        <v>2098</v>
      </c>
      <c r="D2067" s="286" t="s">
        <v>1105</v>
      </c>
      <c r="E2067" s="286" t="s">
        <v>1106</v>
      </c>
      <c r="F2067" s="286" t="s">
        <v>2234</v>
      </c>
      <c r="G2067" s="286" t="s">
        <v>1856</v>
      </c>
      <c r="H2067" s="286" t="s">
        <v>1856</v>
      </c>
      <c r="I2067" s="286" t="s">
        <v>1199</v>
      </c>
      <c r="J2067" s="286" t="s">
        <v>1312</v>
      </c>
      <c r="K2067" s="286" t="s">
        <v>53</v>
      </c>
      <c r="L2067" s="286" t="s">
        <v>53</v>
      </c>
      <c r="M2067" s="286" t="s">
        <v>53</v>
      </c>
      <c r="N2067" s="287">
        <v>-19.84</v>
      </c>
      <c r="O2067" s="294">
        <f t="shared" si="32"/>
        <v>45657</v>
      </c>
      <c r="P2067" s="286" t="s">
        <v>58</v>
      </c>
    </row>
    <row r="2068" spans="1:16" hidden="1" x14ac:dyDescent="0.15">
      <c r="A2068" s="286">
        <v>708601</v>
      </c>
      <c r="B2068" s="288">
        <v>45516.557638888888</v>
      </c>
      <c r="C2068" s="286" t="s">
        <v>2102</v>
      </c>
      <c r="D2068" s="286" t="s">
        <v>1105</v>
      </c>
      <c r="E2068" s="286" t="s">
        <v>1106</v>
      </c>
      <c r="F2068" s="286" t="s">
        <v>2503</v>
      </c>
      <c r="G2068" s="286" t="s">
        <v>1055</v>
      </c>
      <c r="H2068" s="286" t="s">
        <v>1055</v>
      </c>
      <c r="I2068" s="286" t="s">
        <v>1199</v>
      </c>
      <c r="J2068" s="286" t="s">
        <v>1312</v>
      </c>
      <c r="K2068" s="286" t="s">
        <v>2376</v>
      </c>
      <c r="L2068" s="286" t="s">
        <v>53</v>
      </c>
      <c r="M2068" s="286">
        <v>1</v>
      </c>
      <c r="N2068" s="287">
        <v>-24.04</v>
      </c>
      <c r="O2068" s="294">
        <f t="shared" si="32"/>
        <v>45535</v>
      </c>
      <c r="P2068" s="286" t="s">
        <v>58</v>
      </c>
    </row>
    <row r="2069" spans="1:16" hidden="1" x14ac:dyDescent="0.15">
      <c r="A2069" s="286">
        <v>745911</v>
      </c>
      <c r="B2069" s="288">
        <v>45538.44027777778</v>
      </c>
      <c r="C2069" s="286" t="s">
        <v>2132</v>
      </c>
      <c r="D2069" s="286" t="s">
        <v>1105</v>
      </c>
      <c r="E2069" s="286" t="s">
        <v>1106</v>
      </c>
      <c r="F2069" s="286" t="s">
        <v>2139</v>
      </c>
      <c r="G2069" s="286" t="s">
        <v>1055</v>
      </c>
      <c r="H2069" s="286" t="s">
        <v>1055</v>
      </c>
      <c r="I2069" s="286" t="s">
        <v>1199</v>
      </c>
      <c r="J2069" s="286" t="s">
        <v>1312</v>
      </c>
      <c r="K2069" s="286" t="s">
        <v>2376</v>
      </c>
      <c r="L2069" s="286" t="s">
        <v>53</v>
      </c>
      <c r="M2069" s="286">
        <v>1</v>
      </c>
      <c r="N2069" s="287">
        <v>-24.04</v>
      </c>
      <c r="O2069" s="294">
        <f t="shared" si="32"/>
        <v>45565</v>
      </c>
      <c r="P2069" s="286" t="s">
        <v>58</v>
      </c>
    </row>
    <row r="2070" spans="1:16" hidden="1" x14ac:dyDescent="0.15">
      <c r="A2070" s="286">
        <v>848817</v>
      </c>
      <c r="B2070" s="288">
        <v>45607.65902777778</v>
      </c>
      <c r="C2070" s="286" t="s">
        <v>2130</v>
      </c>
      <c r="D2070" s="286" t="s">
        <v>1105</v>
      </c>
      <c r="E2070" s="286" t="s">
        <v>1106</v>
      </c>
      <c r="F2070" s="286" t="s">
        <v>2140</v>
      </c>
      <c r="G2070" s="286" t="s">
        <v>1055</v>
      </c>
      <c r="H2070" s="286" t="s">
        <v>1055</v>
      </c>
      <c r="I2070" s="286" t="s">
        <v>1199</v>
      </c>
      <c r="J2070" s="286" t="s">
        <v>1312</v>
      </c>
      <c r="K2070" s="286" t="s">
        <v>2376</v>
      </c>
      <c r="L2070" s="286" t="s">
        <v>53</v>
      </c>
      <c r="M2070" s="286">
        <v>1</v>
      </c>
      <c r="N2070" s="287">
        <v>-24.04</v>
      </c>
      <c r="O2070" s="294">
        <f t="shared" si="32"/>
        <v>45626</v>
      </c>
      <c r="P2070" s="286" t="s">
        <v>58</v>
      </c>
    </row>
    <row r="2071" spans="1:16" hidden="1" x14ac:dyDescent="0.15">
      <c r="A2071" s="286">
        <v>848917</v>
      </c>
      <c r="B2071" s="288">
        <v>45607.660416666666</v>
      </c>
      <c r="C2071" s="286" t="s">
        <v>2100</v>
      </c>
      <c r="D2071" s="286" t="s">
        <v>1105</v>
      </c>
      <c r="E2071" s="286" t="s">
        <v>1106</v>
      </c>
      <c r="F2071" s="286" t="s">
        <v>2141</v>
      </c>
      <c r="G2071" s="286" t="s">
        <v>1055</v>
      </c>
      <c r="H2071" s="286" t="s">
        <v>1055</v>
      </c>
      <c r="I2071" s="286" t="s">
        <v>1199</v>
      </c>
      <c r="J2071" s="286" t="s">
        <v>1312</v>
      </c>
      <c r="K2071" s="286" t="s">
        <v>2376</v>
      </c>
      <c r="L2071" s="286" t="s">
        <v>53</v>
      </c>
      <c r="M2071" s="286">
        <v>1</v>
      </c>
      <c r="N2071" s="287">
        <v>-24.04</v>
      </c>
      <c r="O2071" s="294">
        <f t="shared" si="32"/>
        <v>45626</v>
      </c>
      <c r="P2071" s="286" t="s">
        <v>58</v>
      </c>
    </row>
    <row r="2072" spans="1:16" hidden="1" x14ac:dyDescent="0.15">
      <c r="A2072" s="286">
        <v>874698</v>
      </c>
      <c r="B2072" s="288">
        <v>45628.357638888891</v>
      </c>
      <c r="C2072" s="286" t="s">
        <v>2098</v>
      </c>
      <c r="D2072" s="286" t="s">
        <v>1105</v>
      </c>
      <c r="E2072" s="286" t="s">
        <v>1106</v>
      </c>
      <c r="F2072" s="286" t="s">
        <v>2142</v>
      </c>
      <c r="G2072" s="286" t="s">
        <v>1055</v>
      </c>
      <c r="H2072" s="286" t="s">
        <v>1055</v>
      </c>
      <c r="I2072" s="286" t="s">
        <v>1199</v>
      </c>
      <c r="J2072" s="286" t="s">
        <v>1312</v>
      </c>
      <c r="K2072" s="286" t="s">
        <v>2376</v>
      </c>
      <c r="L2072" s="286" t="s">
        <v>53</v>
      </c>
      <c r="M2072" s="286">
        <v>1</v>
      </c>
      <c r="N2072" s="287">
        <v>-24.04</v>
      </c>
      <c r="O2072" s="294">
        <f t="shared" si="32"/>
        <v>45657</v>
      </c>
      <c r="P2072" s="286" t="s">
        <v>58</v>
      </c>
    </row>
    <row r="2073" spans="1:16" hidden="1" x14ac:dyDescent="0.15">
      <c r="A2073" s="286">
        <v>874698</v>
      </c>
      <c r="B2073" s="288">
        <v>45628.357638888891</v>
      </c>
      <c r="C2073" s="286" t="s">
        <v>2098</v>
      </c>
      <c r="D2073" s="286" t="s">
        <v>1105</v>
      </c>
      <c r="E2073" s="286" t="s">
        <v>1106</v>
      </c>
      <c r="F2073" s="286" t="s">
        <v>2142</v>
      </c>
      <c r="G2073" s="286" t="s">
        <v>1057</v>
      </c>
      <c r="H2073" s="286" t="s">
        <v>1057</v>
      </c>
      <c r="I2073" s="286" t="s">
        <v>1199</v>
      </c>
      <c r="J2073" s="286" t="s">
        <v>1312</v>
      </c>
      <c r="K2073" s="286" t="s">
        <v>2447</v>
      </c>
      <c r="L2073" s="286" t="s">
        <v>53</v>
      </c>
      <c r="M2073" s="286">
        <v>1</v>
      </c>
      <c r="N2073" s="287">
        <v>-26.68</v>
      </c>
      <c r="O2073" s="294">
        <f t="shared" si="32"/>
        <v>45657</v>
      </c>
      <c r="P2073" s="286" t="s">
        <v>58</v>
      </c>
    </row>
    <row r="2074" spans="1:16" hidden="1" x14ac:dyDescent="0.15">
      <c r="A2074" s="286">
        <v>888694</v>
      </c>
      <c r="B2074" s="288">
        <v>45636.390972222223</v>
      </c>
      <c r="C2074" s="286" t="s">
        <v>2100</v>
      </c>
      <c r="D2074" s="286" t="s">
        <v>1105</v>
      </c>
      <c r="E2074" s="286" t="s">
        <v>1106</v>
      </c>
      <c r="F2074" s="286" t="s">
        <v>2237</v>
      </c>
      <c r="G2074" s="286" t="s">
        <v>1048</v>
      </c>
      <c r="H2074" s="286" t="s">
        <v>1048</v>
      </c>
      <c r="I2074" s="286" t="s">
        <v>1112</v>
      </c>
      <c r="J2074" s="286" t="s">
        <v>1312</v>
      </c>
      <c r="K2074" s="286" t="s">
        <v>2079</v>
      </c>
      <c r="L2074" s="286" t="s">
        <v>53</v>
      </c>
      <c r="M2074" s="286">
        <v>1</v>
      </c>
      <c r="N2074" s="287">
        <v>-28</v>
      </c>
      <c r="O2074" s="294">
        <f t="shared" si="32"/>
        <v>45657</v>
      </c>
      <c r="P2074" s="286" t="s">
        <v>175</v>
      </c>
    </row>
    <row r="2075" spans="1:16" hidden="1" x14ac:dyDescent="0.15">
      <c r="A2075" s="286">
        <v>898877</v>
      </c>
      <c r="B2075" s="288">
        <v>45644.552083333336</v>
      </c>
      <c r="C2075" s="286" t="s">
        <v>2098</v>
      </c>
      <c r="D2075" s="286" t="s">
        <v>1105</v>
      </c>
      <c r="E2075" s="286" t="s">
        <v>1106</v>
      </c>
      <c r="F2075" s="286" t="s">
        <v>2234</v>
      </c>
      <c r="G2075" s="286" t="s">
        <v>1057</v>
      </c>
      <c r="H2075" s="286" t="s">
        <v>1057</v>
      </c>
      <c r="I2075" s="286" t="s">
        <v>1199</v>
      </c>
      <c r="J2075" s="286" t="s">
        <v>1312</v>
      </c>
      <c r="K2075" s="286" t="s">
        <v>53</v>
      </c>
      <c r="L2075" s="286" t="s">
        <v>53</v>
      </c>
      <c r="M2075" s="286" t="s">
        <v>53</v>
      </c>
      <c r="N2075" s="287">
        <v>-28.33</v>
      </c>
      <c r="O2075" s="294">
        <f t="shared" si="32"/>
        <v>45657</v>
      </c>
      <c r="P2075" s="286" t="s">
        <v>58</v>
      </c>
    </row>
    <row r="2076" spans="1:16" hidden="1" x14ac:dyDescent="0.15">
      <c r="A2076" s="286">
        <v>741366</v>
      </c>
      <c r="B2076" s="288">
        <v>45532.655555555553</v>
      </c>
      <c r="C2076" s="286" t="s">
        <v>2102</v>
      </c>
      <c r="D2076" s="286" t="s">
        <v>1105</v>
      </c>
      <c r="E2076" s="286" t="s">
        <v>1106</v>
      </c>
      <c r="F2076" s="286" t="s">
        <v>2161</v>
      </c>
      <c r="G2076" s="286" t="s">
        <v>1045</v>
      </c>
      <c r="H2076" s="286" t="s">
        <v>1045</v>
      </c>
      <c r="I2076" s="286" t="s">
        <v>1152</v>
      </c>
      <c r="J2076" s="286" t="s">
        <v>1312</v>
      </c>
      <c r="K2076" s="286" t="s">
        <v>53</v>
      </c>
      <c r="L2076" s="286" t="s">
        <v>53</v>
      </c>
      <c r="M2076" s="286" t="s">
        <v>53</v>
      </c>
      <c r="N2076" s="287">
        <v>-34.89</v>
      </c>
      <c r="O2076" s="294">
        <f t="shared" si="32"/>
        <v>45535</v>
      </c>
      <c r="P2076" s="286" t="s">
        <v>58</v>
      </c>
    </row>
    <row r="2077" spans="1:16" x14ac:dyDescent="0.15">
      <c r="A2077" s="286">
        <v>848716</v>
      </c>
      <c r="B2077" s="288">
        <v>45607.647916666669</v>
      </c>
      <c r="C2077" s="286" t="s">
        <v>2130</v>
      </c>
      <c r="D2077" s="286" t="s">
        <v>1105</v>
      </c>
      <c r="E2077" s="286" t="s">
        <v>1106</v>
      </c>
      <c r="F2077" s="286" t="s">
        <v>2241</v>
      </c>
      <c r="G2077" s="286" t="s">
        <v>1066</v>
      </c>
      <c r="H2077" s="286" t="s">
        <v>1066</v>
      </c>
      <c r="I2077" s="286" t="s">
        <v>1152</v>
      </c>
      <c r="J2077" s="286" t="s">
        <v>1312</v>
      </c>
      <c r="K2077" s="286" t="s">
        <v>53</v>
      </c>
      <c r="L2077" s="286" t="s">
        <v>53</v>
      </c>
      <c r="M2077" s="286" t="s">
        <v>53</v>
      </c>
      <c r="N2077" s="287">
        <v>-35.17</v>
      </c>
      <c r="O2077" s="294">
        <f t="shared" si="32"/>
        <v>45626</v>
      </c>
      <c r="P2077" s="286" t="s">
        <v>58</v>
      </c>
    </row>
    <row r="2078" spans="1:16" hidden="1" x14ac:dyDescent="0.15">
      <c r="A2078" s="286">
        <v>848716</v>
      </c>
      <c r="B2078" s="288">
        <v>45607.647916666669</v>
      </c>
      <c r="C2078" s="286" t="s">
        <v>2130</v>
      </c>
      <c r="D2078" s="286" t="s">
        <v>1105</v>
      </c>
      <c r="E2078" s="286" t="s">
        <v>1106</v>
      </c>
      <c r="F2078" s="286" t="s">
        <v>2241</v>
      </c>
      <c r="G2078" s="286" t="s">
        <v>1061</v>
      </c>
      <c r="H2078" s="286" t="s">
        <v>1061</v>
      </c>
      <c r="I2078" s="286" t="s">
        <v>1152</v>
      </c>
      <c r="J2078" s="286" t="s">
        <v>1312</v>
      </c>
      <c r="K2078" s="286" t="s">
        <v>53</v>
      </c>
      <c r="L2078" s="286" t="s">
        <v>53</v>
      </c>
      <c r="M2078" s="286" t="s">
        <v>53</v>
      </c>
      <c r="N2078" s="287">
        <v>-35.51</v>
      </c>
      <c r="O2078" s="294">
        <f t="shared" si="32"/>
        <v>45626</v>
      </c>
      <c r="P2078" s="286" t="s">
        <v>58</v>
      </c>
    </row>
    <row r="2079" spans="1:16" hidden="1" x14ac:dyDescent="0.15">
      <c r="A2079" s="286">
        <v>495492</v>
      </c>
      <c r="B2079" s="288">
        <v>45351.411805555559</v>
      </c>
      <c r="C2079" s="286" t="s">
        <v>2125</v>
      </c>
      <c r="D2079" s="286" t="s">
        <v>1105</v>
      </c>
      <c r="E2079" s="286" t="s">
        <v>1106</v>
      </c>
      <c r="F2079" s="286" t="s">
        <v>2437</v>
      </c>
      <c r="G2079" s="286" t="s">
        <v>1045</v>
      </c>
      <c r="H2079" s="286" t="s">
        <v>1045</v>
      </c>
      <c r="I2079" s="286" t="s">
        <v>1152</v>
      </c>
      <c r="J2079" s="286" t="s">
        <v>1312</v>
      </c>
      <c r="K2079" s="286" t="s">
        <v>53</v>
      </c>
      <c r="L2079" s="286" t="s">
        <v>53</v>
      </c>
      <c r="M2079" s="286" t="s">
        <v>53</v>
      </c>
      <c r="N2079" s="287">
        <v>-39.11</v>
      </c>
      <c r="O2079" s="294">
        <f t="shared" si="32"/>
        <v>45351</v>
      </c>
      <c r="P2079" s="286" t="s">
        <v>58</v>
      </c>
    </row>
    <row r="2080" spans="1:16" hidden="1" x14ac:dyDescent="0.15">
      <c r="A2080" s="286">
        <v>455870</v>
      </c>
      <c r="B2080" s="288">
        <v>45310.583333333336</v>
      </c>
      <c r="C2080" s="286" t="s">
        <v>2125</v>
      </c>
      <c r="D2080" s="286" t="s">
        <v>1105</v>
      </c>
      <c r="E2080" s="286" t="s">
        <v>1106</v>
      </c>
      <c r="F2080" s="286" t="s">
        <v>2280</v>
      </c>
      <c r="G2080" s="286" t="s">
        <v>1080</v>
      </c>
      <c r="H2080" s="286" t="s">
        <v>1080</v>
      </c>
      <c r="I2080" s="286" t="s">
        <v>1228</v>
      </c>
      <c r="J2080" s="286" t="s">
        <v>1312</v>
      </c>
      <c r="K2080" s="286" t="s">
        <v>1770</v>
      </c>
      <c r="L2080" s="286" t="s">
        <v>53</v>
      </c>
      <c r="M2080" s="286">
        <v>1</v>
      </c>
      <c r="N2080" s="287">
        <v>-43.91</v>
      </c>
      <c r="O2080" s="294">
        <f t="shared" si="32"/>
        <v>45322</v>
      </c>
      <c r="P2080" s="286" t="s">
        <v>58</v>
      </c>
    </row>
    <row r="2081" spans="1:16" hidden="1" x14ac:dyDescent="0.15">
      <c r="A2081" s="286">
        <v>848817</v>
      </c>
      <c r="B2081" s="288">
        <v>45607.65902777778</v>
      </c>
      <c r="C2081" s="286" t="s">
        <v>2130</v>
      </c>
      <c r="D2081" s="286" t="s">
        <v>1105</v>
      </c>
      <c r="E2081" s="286" t="s">
        <v>1106</v>
      </c>
      <c r="F2081" s="286" t="s">
        <v>2140</v>
      </c>
      <c r="G2081" s="286" t="s">
        <v>1048</v>
      </c>
      <c r="H2081" s="286" t="s">
        <v>1048</v>
      </c>
      <c r="I2081" s="286" t="s">
        <v>1199</v>
      </c>
      <c r="J2081" s="286" t="s">
        <v>1312</v>
      </c>
      <c r="K2081" s="286" t="s">
        <v>2447</v>
      </c>
      <c r="L2081" s="286" t="s">
        <v>53</v>
      </c>
      <c r="M2081" s="286">
        <v>1</v>
      </c>
      <c r="N2081" s="287">
        <v>-44.67</v>
      </c>
      <c r="O2081" s="294">
        <f t="shared" si="32"/>
        <v>45626</v>
      </c>
      <c r="P2081" s="286" t="s">
        <v>58</v>
      </c>
    </row>
    <row r="2082" spans="1:16" hidden="1" x14ac:dyDescent="0.15">
      <c r="A2082" s="286">
        <v>848917</v>
      </c>
      <c r="B2082" s="288">
        <v>45607.660416666666</v>
      </c>
      <c r="C2082" s="286" t="s">
        <v>2100</v>
      </c>
      <c r="D2082" s="286" t="s">
        <v>1105</v>
      </c>
      <c r="E2082" s="286" t="s">
        <v>1106</v>
      </c>
      <c r="F2082" s="286" t="s">
        <v>2141</v>
      </c>
      <c r="G2082" s="286" t="s">
        <v>1048</v>
      </c>
      <c r="H2082" s="286" t="s">
        <v>1048</v>
      </c>
      <c r="I2082" s="286" t="s">
        <v>1199</v>
      </c>
      <c r="J2082" s="286" t="s">
        <v>1312</v>
      </c>
      <c r="K2082" s="286" t="s">
        <v>2447</v>
      </c>
      <c r="L2082" s="286" t="s">
        <v>53</v>
      </c>
      <c r="M2082" s="286">
        <v>1</v>
      </c>
      <c r="N2082" s="287">
        <v>-44.67</v>
      </c>
      <c r="O2082" s="294">
        <f t="shared" si="32"/>
        <v>45626</v>
      </c>
      <c r="P2082" s="286" t="s">
        <v>58</v>
      </c>
    </row>
    <row r="2083" spans="1:16" hidden="1" x14ac:dyDescent="0.15">
      <c r="A2083" s="286">
        <v>874698</v>
      </c>
      <c r="B2083" s="288">
        <v>45628.357638888891</v>
      </c>
      <c r="C2083" s="286" t="s">
        <v>2098</v>
      </c>
      <c r="D2083" s="286" t="s">
        <v>1105</v>
      </c>
      <c r="E2083" s="286" t="s">
        <v>1106</v>
      </c>
      <c r="F2083" s="286" t="s">
        <v>2142</v>
      </c>
      <c r="G2083" s="286" t="s">
        <v>1048</v>
      </c>
      <c r="H2083" s="286" t="s">
        <v>1048</v>
      </c>
      <c r="I2083" s="286" t="s">
        <v>1199</v>
      </c>
      <c r="J2083" s="286" t="s">
        <v>1312</v>
      </c>
      <c r="K2083" s="286" t="s">
        <v>2447</v>
      </c>
      <c r="L2083" s="286" t="s">
        <v>53</v>
      </c>
      <c r="M2083" s="286">
        <v>1</v>
      </c>
      <c r="N2083" s="287">
        <v>-44.67</v>
      </c>
      <c r="O2083" s="294">
        <f t="shared" si="32"/>
        <v>45657</v>
      </c>
      <c r="P2083" s="286" t="s">
        <v>58</v>
      </c>
    </row>
    <row r="2084" spans="1:16" hidden="1" x14ac:dyDescent="0.15">
      <c r="A2084" s="286">
        <v>504716</v>
      </c>
      <c r="B2084" s="288">
        <v>45359.644444444442</v>
      </c>
      <c r="C2084" s="286" t="s">
        <v>2113</v>
      </c>
      <c r="D2084" s="286" t="s">
        <v>1105</v>
      </c>
      <c r="E2084" s="286" t="s">
        <v>1106</v>
      </c>
      <c r="F2084" s="286" t="s">
        <v>2444</v>
      </c>
      <c r="G2084" s="286" t="s">
        <v>1089</v>
      </c>
      <c r="H2084" s="286" t="s">
        <v>1089</v>
      </c>
      <c r="I2084" s="286" t="s">
        <v>1228</v>
      </c>
      <c r="J2084" s="286" t="s">
        <v>1312</v>
      </c>
      <c r="K2084" s="286" t="s">
        <v>2227</v>
      </c>
      <c r="L2084" s="286" t="s">
        <v>2228</v>
      </c>
      <c r="M2084" s="286">
        <v>1</v>
      </c>
      <c r="N2084" s="287">
        <v>-48.29</v>
      </c>
      <c r="O2084" s="294">
        <f t="shared" si="32"/>
        <v>45382</v>
      </c>
      <c r="P2084" s="286" t="s">
        <v>58</v>
      </c>
    </row>
    <row r="2085" spans="1:16" hidden="1" x14ac:dyDescent="0.15">
      <c r="A2085" s="286">
        <v>483613</v>
      </c>
      <c r="B2085" s="288">
        <v>45342.459027777775</v>
      </c>
      <c r="C2085" s="286" t="s">
        <v>2113</v>
      </c>
      <c r="D2085" s="286" t="s">
        <v>1105</v>
      </c>
      <c r="E2085" s="286" t="s">
        <v>1106</v>
      </c>
      <c r="F2085" s="286" t="s">
        <v>2263</v>
      </c>
      <c r="G2085" s="286" t="s">
        <v>1019</v>
      </c>
      <c r="H2085" s="286" t="s">
        <v>1019</v>
      </c>
      <c r="I2085" s="286" t="s">
        <v>1152</v>
      </c>
      <c r="J2085" s="286" t="s">
        <v>1312</v>
      </c>
      <c r="K2085" s="286" t="s">
        <v>2504</v>
      </c>
      <c r="L2085" s="286" t="s">
        <v>53</v>
      </c>
      <c r="M2085" s="286">
        <v>1</v>
      </c>
      <c r="N2085" s="287">
        <v>-48.77</v>
      </c>
      <c r="O2085" s="294">
        <f t="shared" si="32"/>
        <v>45351</v>
      </c>
      <c r="P2085" s="286" t="s">
        <v>58</v>
      </c>
    </row>
    <row r="2086" spans="1:16" hidden="1" x14ac:dyDescent="0.15">
      <c r="A2086" s="286">
        <v>848817</v>
      </c>
      <c r="B2086" s="288">
        <v>45607.65902777778</v>
      </c>
      <c r="C2086" s="286" t="s">
        <v>2130</v>
      </c>
      <c r="D2086" s="286" t="s">
        <v>1105</v>
      </c>
      <c r="E2086" s="286" t="s">
        <v>1106</v>
      </c>
      <c r="F2086" s="286" t="s">
        <v>2140</v>
      </c>
      <c r="G2086" s="286" t="s">
        <v>1010</v>
      </c>
      <c r="H2086" s="286" t="s">
        <v>1010</v>
      </c>
      <c r="I2086" s="286" t="s">
        <v>1199</v>
      </c>
      <c r="J2086" s="286" t="s">
        <v>1312</v>
      </c>
      <c r="K2086" s="286" t="s">
        <v>2067</v>
      </c>
      <c r="L2086" s="286" t="s">
        <v>53</v>
      </c>
      <c r="M2086" s="286">
        <v>1</v>
      </c>
      <c r="N2086" s="287">
        <v>-50.07</v>
      </c>
      <c r="O2086" s="294">
        <f t="shared" si="32"/>
        <v>45626</v>
      </c>
      <c r="P2086" s="286" t="s">
        <v>58</v>
      </c>
    </row>
    <row r="2087" spans="1:16" hidden="1" x14ac:dyDescent="0.15">
      <c r="A2087" s="286">
        <v>618693</v>
      </c>
      <c r="B2087" s="288">
        <v>45457.648611111108</v>
      </c>
      <c r="C2087" s="286" t="s">
        <v>2092</v>
      </c>
      <c r="D2087" s="286" t="s">
        <v>1105</v>
      </c>
      <c r="E2087" s="286" t="s">
        <v>1106</v>
      </c>
      <c r="F2087" s="286" t="s">
        <v>2392</v>
      </c>
      <c r="G2087" s="286" t="s">
        <v>1080</v>
      </c>
      <c r="H2087" s="286" t="s">
        <v>1080</v>
      </c>
      <c r="I2087" s="286" t="s">
        <v>1152</v>
      </c>
      <c r="J2087" s="286" t="s">
        <v>1312</v>
      </c>
      <c r="K2087" s="286" t="s">
        <v>2504</v>
      </c>
      <c r="L2087" s="286" t="s">
        <v>53</v>
      </c>
      <c r="M2087" s="286">
        <v>1</v>
      </c>
      <c r="N2087" s="287">
        <v>-50.52</v>
      </c>
      <c r="O2087" s="294">
        <f t="shared" si="32"/>
        <v>45473</v>
      </c>
      <c r="P2087" s="286" t="s">
        <v>58</v>
      </c>
    </row>
    <row r="2088" spans="1:16" hidden="1" x14ac:dyDescent="0.15">
      <c r="A2088" s="286">
        <v>499579</v>
      </c>
      <c r="B2088" s="288">
        <v>45355.714583333334</v>
      </c>
      <c r="C2088" s="286" t="s">
        <v>2125</v>
      </c>
      <c r="D2088" s="286" t="s">
        <v>1105</v>
      </c>
      <c r="E2088" s="286" t="s">
        <v>1106</v>
      </c>
      <c r="F2088" s="286" t="s">
        <v>2505</v>
      </c>
      <c r="G2088" s="286" t="s">
        <v>1057</v>
      </c>
      <c r="H2088" s="286" t="s">
        <v>1057</v>
      </c>
      <c r="I2088" s="286" t="s">
        <v>1199</v>
      </c>
      <c r="J2088" s="286" t="s">
        <v>53</v>
      </c>
      <c r="K2088" s="286" t="s">
        <v>53</v>
      </c>
      <c r="L2088" s="286" t="s">
        <v>53</v>
      </c>
      <c r="M2088" s="286" t="s">
        <v>53</v>
      </c>
      <c r="N2088" s="287">
        <v>-53.92</v>
      </c>
      <c r="O2088" s="294">
        <f t="shared" si="32"/>
        <v>45382</v>
      </c>
      <c r="P2088" s="286" t="s">
        <v>58</v>
      </c>
    </row>
    <row r="2089" spans="1:16" hidden="1" x14ac:dyDescent="0.15">
      <c r="A2089" s="286">
        <v>520079</v>
      </c>
      <c r="B2089" s="288">
        <v>45372.396527777775</v>
      </c>
      <c r="C2089" s="286" t="s">
        <v>2113</v>
      </c>
      <c r="D2089" s="286" t="s">
        <v>1105</v>
      </c>
      <c r="E2089" s="286" t="s">
        <v>1106</v>
      </c>
      <c r="F2089" s="286" t="s">
        <v>2506</v>
      </c>
      <c r="G2089" s="286" t="s">
        <v>1057</v>
      </c>
      <c r="H2089" s="286" t="s">
        <v>1057</v>
      </c>
      <c r="I2089" s="286" t="s">
        <v>1199</v>
      </c>
      <c r="J2089" s="286" t="s">
        <v>1312</v>
      </c>
      <c r="K2089" s="286" t="s">
        <v>53</v>
      </c>
      <c r="L2089" s="286" t="s">
        <v>53</v>
      </c>
      <c r="M2089" s="286" t="s">
        <v>53</v>
      </c>
      <c r="N2089" s="287">
        <v>-53.92</v>
      </c>
      <c r="O2089" s="294">
        <f t="shared" si="32"/>
        <v>45382</v>
      </c>
      <c r="P2089" s="286" t="s">
        <v>58</v>
      </c>
    </row>
    <row r="2090" spans="1:16" hidden="1" x14ac:dyDescent="0.15">
      <c r="A2090" s="286">
        <v>520080</v>
      </c>
      <c r="B2090" s="288">
        <v>45372.396527777775</v>
      </c>
      <c r="C2090" s="286" t="s">
        <v>2109</v>
      </c>
      <c r="D2090" s="286" t="s">
        <v>1105</v>
      </c>
      <c r="E2090" s="286" t="s">
        <v>1106</v>
      </c>
      <c r="F2090" s="286" t="s">
        <v>2507</v>
      </c>
      <c r="G2090" s="286" t="s">
        <v>1057</v>
      </c>
      <c r="H2090" s="286" t="s">
        <v>1057</v>
      </c>
      <c r="I2090" s="286" t="s">
        <v>1199</v>
      </c>
      <c r="J2090" s="286" t="s">
        <v>1312</v>
      </c>
      <c r="K2090" s="286" t="s">
        <v>53</v>
      </c>
      <c r="L2090" s="286" t="s">
        <v>53</v>
      </c>
      <c r="M2090" s="286" t="s">
        <v>53</v>
      </c>
      <c r="N2090" s="287">
        <v>-53.92</v>
      </c>
      <c r="O2090" s="294">
        <f t="shared" si="32"/>
        <v>45382</v>
      </c>
      <c r="P2090" s="286" t="s">
        <v>58</v>
      </c>
    </row>
    <row r="2091" spans="1:16" hidden="1" x14ac:dyDescent="0.15">
      <c r="A2091" s="286">
        <v>580947</v>
      </c>
      <c r="B2091" s="288">
        <v>45427.67291666667</v>
      </c>
      <c r="C2091" s="286" t="s">
        <v>2096</v>
      </c>
      <c r="D2091" s="286" t="s">
        <v>1105</v>
      </c>
      <c r="E2091" s="286" t="s">
        <v>1106</v>
      </c>
      <c r="F2091" s="286" t="s">
        <v>2381</v>
      </c>
      <c r="G2091" s="286" t="s">
        <v>1057</v>
      </c>
      <c r="H2091" s="286" t="s">
        <v>1057</v>
      </c>
      <c r="I2091" s="286" t="s">
        <v>1199</v>
      </c>
      <c r="J2091" s="286" t="s">
        <v>1312</v>
      </c>
      <c r="K2091" s="286" t="s">
        <v>53</v>
      </c>
      <c r="L2091" s="286" t="s">
        <v>53</v>
      </c>
      <c r="M2091" s="286" t="s">
        <v>53</v>
      </c>
      <c r="N2091" s="287">
        <v>-53.92</v>
      </c>
      <c r="O2091" s="294">
        <f t="shared" si="32"/>
        <v>45443</v>
      </c>
      <c r="P2091" s="286" t="s">
        <v>58</v>
      </c>
    </row>
    <row r="2092" spans="1:16" hidden="1" x14ac:dyDescent="0.15">
      <c r="A2092" s="286">
        <v>618175</v>
      </c>
      <c r="B2092" s="288">
        <v>45457.602083333331</v>
      </c>
      <c r="C2092" s="286" t="s">
        <v>2116</v>
      </c>
      <c r="D2092" s="286" t="s">
        <v>1105</v>
      </c>
      <c r="E2092" s="286" t="s">
        <v>1106</v>
      </c>
      <c r="F2092" s="286" t="s">
        <v>2158</v>
      </c>
      <c r="G2092" s="286" t="s">
        <v>1057</v>
      </c>
      <c r="H2092" s="286" t="s">
        <v>1057</v>
      </c>
      <c r="I2092" s="286" t="s">
        <v>1199</v>
      </c>
      <c r="J2092" s="286" t="s">
        <v>1312</v>
      </c>
      <c r="K2092" s="286" t="s">
        <v>53</v>
      </c>
      <c r="L2092" s="286" t="s">
        <v>53</v>
      </c>
      <c r="M2092" s="286" t="s">
        <v>53</v>
      </c>
      <c r="N2092" s="287">
        <v>-53.92</v>
      </c>
      <c r="O2092" s="294">
        <f t="shared" si="32"/>
        <v>45473</v>
      </c>
      <c r="P2092" s="286" t="s">
        <v>58</v>
      </c>
    </row>
    <row r="2093" spans="1:16" hidden="1" x14ac:dyDescent="0.15">
      <c r="A2093" s="286">
        <v>659936</v>
      </c>
      <c r="B2093" s="288">
        <v>45484.529861111114</v>
      </c>
      <c r="C2093" s="286" t="s">
        <v>2092</v>
      </c>
      <c r="D2093" s="286" t="s">
        <v>1105</v>
      </c>
      <c r="E2093" s="286" t="s">
        <v>1106</v>
      </c>
      <c r="F2093" s="286" t="s">
        <v>2159</v>
      </c>
      <c r="G2093" s="286" t="s">
        <v>1057</v>
      </c>
      <c r="H2093" s="286" t="s">
        <v>1057</v>
      </c>
      <c r="I2093" s="286" t="s">
        <v>1199</v>
      </c>
      <c r="J2093" s="286" t="s">
        <v>1312</v>
      </c>
      <c r="K2093" s="286" t="s">
        <v>53</v>
      </c>
      <c r="L2093" s="286" t="s">
        <v>53</v>
      </c>
      <c r="M2093" s="286" t="s">
        <v>53</v>
      </c>
      <c r="N2093" s="287">
        <v>-53.92</v>
      </c>
      <c r="O2093" s="294">
        <f t="shared" si="32"/>
        <v>45504</v>
      </c>
      <c r="P2093" s="286" t="s">
        <v>58</v>
      </c>
    </row>
    <row r="2094" spans="1:16" hidden="1" x14ac:dyDescent="0.15">
      <c r="A2094" s="286">
        <v>712645</v>
      </c>
      <c r="B2094" s="288">
        <v>45517.640972222223</v>
      </c>
      <c r="C2094" s="286" t="s">
        <v>2111</v>
      </c>
      <c r="D2094" s="286" t="s">
        <v>1105</v>
      </c>
      <c r="E2094" s="286" t="s">
        <v>1106</v>
      </c>
      <c r="F2094" s="286" t="s">
        <v>2160</v>
      </c>
      <c r="G2094" s="286" t="s">
        <v>1057</v>
      </c>
      <c r="H2094" s="286" t="s">
        <v>1057</v>
      </c>
      <c r="I2094" s="286" t="s">
        <v>1199</v>
      </c>
      <c r="J2094" s="286" t="s">
        <v>1312</v>
      </c>
      <c r="K2094" s="286" t="s">
        <v>53</v>
      </c>
      <c r="L2094" s="286" t="s">
        <v>53</v>
      </c>
      <c r="M2094" s="286" t="s">
        <v>53</v>
      </c>
      <c r="N2094" s="287">
        <v>-53.92</v>
      </c>
      <c r="O2094" s="294">
        <f t="shared" si="32"/>
        <v>45535</v>
      </c>
      <c r="P2094" s="286" t="s">
        <v>58</v>
      </c>
    </row>
    <row r="2095" spans="1:16" hidden="1" x14ac:dyDescent="0.15">
      <c r="A2095" s="286">
        <v>741366</v>
      </c>
      <c r="B2095" s="288">
        <v>45532.655555555553</v>
      </c>
      <c r="C2095" s="286" t="s">
        <v>2102</v>
      </c>
      <c r="D2095" s="286" t="s">
        <v>1105</v>
      </c>
      <c r="E2095" s="286" t="s">
        <v>1106</v>
      </c>
      <c r="F2095" s="286" t="s">
        <v>2161</v>
      </c>
      <c r="G2095" s="286" t="s">
        <v>1057</v>
      </c>
      <c r="H2095" s="286" t="s">
        <v>1057</v>
      </c>
      <c r="I2095" s="286" t="s">
        <v>1199</v>
      </c>
      <c r="J2095" s="286" t="s">
        <v>1312</v>
      </c>
      <c r="K2095" s="286" t="s">
        <v>53</v>
      </c>
      <c r="L2095" s="286" t="s">
        <v>53</v>
      </c>
      <c r="M2095" s="286" t="s">
        <v>53</v>
      </c>
      <c r="N2095" s="287">
        <v>-53.92</v>
      </c>
      <c r="O2095" s="294">
        <f t="shared" si="32"/>
        <v>45535</v>
      </c>
      <c r="P2095" s="286" t="s">
        <v>58</v>
      </c>
    </row>
    <row r="2096" spans="1:16" hidden="1" x14ac:dyDescent="0.15">
      <c r="A2096" s="286">
        <v>785030</v>
      </c>
      <c r="B2096" s="288">
        <v>45559.581944444442</v>
      </c>
      <c r="C2096" s="286" t="s">
        <v>2132</v>
      </c>
      <c r="D2096" s="286" t="s">
        <v>1105</v>
      </c>
      <c r="E2096" s="286" t="s">
        <v>1106</v>
      </c>
      <c r="F2096" s="286" t="s">
        <v>2162</v>
      </c>
      <c r="G2096" s="286" t="s">
        <v>1057</v>
      </c>
      <c r="H2096" s="286" t="s">
        <v>1057</v>
      </c>
      <c r="I2096" s="286" t="s">
        <v>1199</v>
      </c>
      <c r="J2096" s="286" t="s">
        <v>1312</v>
      </c>
      <c r="K2096" s="286" t="s">
        <v>53</v>
      </c>
      <c r="L2096" s="286" t="s">
        <v>53</v>
      </c>
      <c r="M2096" s="286" t="s">
        <v>53</v>
      </c>
      <c r="N2096" s="287">
        <v>-53.92</v>
      </c>
      <c r="O2096" s="294">
        <f t="shared" si="32"/>
        <v>45565</v>
      </c>
      <c r="P2096" s="286" t="s">
        <v>58</v>
      </c>
    </row>
    <row r="2097" spans="1:16" hidden="1" x14ac:dyDescent="0.15">
      <c r="A2097" s="286">
        <v>821955</v>
      </c>
      <c r="B2097" s="288">
        <v>45587.62777777778</v>
      </c>
      <c r="C2097" s="286" t="s">
        <v>2130</v>
      </c>
      <c r="D2097" s="286" t="s">
        <v>1105</v>
      </c>
      <c r="E2097" s="286" t="s">
        <v>1106</v>
      </c>
      <c r="F2097" s="286" t="s">
        <v>2163</v>
      </c>
      <c r="G2097" s="286" t="s">
        <v>1057</v>
      </c>
      <c r="H2097" s="286" t="s">
        <v>1057</v>
      </c>
      <c r="I2097" s="286" t="s">
        <v>1199</v>
      </c>
      <c r="J2097" s="286" t="s">
        <v>1312</v>
      </c>
      <c r="K2097" s="286" t="s">
        <v>53</v>
      </c>
      <c r="L2097" s="286" t="s">
        <v>53</v>
      </c>
      <c r="M2097" s="286" t="s">
        <v>53</v>
      </c>
      <c r="N2097" s="287">
        <v>-53.92</v>
      </c>
      <c r="O2097" s="294">
        <f t="shared" si="32"/>
        <v>45596</v>
      </c>
      <c r="P2097" s="286" t="s">
        <v>58</v>
      </c>
    </row>
    <row r="2098" spans="1:16" hidden="1" x14ac:dyDescent="0.15">
      <c r="A2098" s="286">
        <v>864918</v>
      </c>
      <c r="B2098" s="288">
        <v>45617.508333333331</v>
      </c>
      <c r="C2098" s="286" t="s">
        <v>2100</v>
      </c>
      <c r="D2098" s="286" t="s">
        <v>1105</v>
      </c>
      <c r="E2098" s="286" t="s">
        <v>1106</v>
      </c>
      <c r="F2098" s="286" t="s">
        <v>2233</v>
      </c>
      <c r="G2098" s="286" t="s">
        <v>1057</v>
      </c>
      <c r="H2098" s="286" t="s">
        <v>1057</v>
      </c>
      <c r="I2098" s="286" t="s">
        <v>1199</v>
      </c>
      <c r="J2098" s="286" t="s">
        <v>53</v>
      </c>
      <c r="K2098" s="286" t="s">
        <v>53</v>
      </c>
      <c r="L2098" s="286" t="s">
        <v>53</v>
      </c>
      <c r="M2098" s="286" t="s">
        <v>53</v>
      </c>
      <c r="N2098" s="287">
        <v>-53.92</v>
      </c>
      <c r="O2098" s="294">
        <f t="shared" si="32"/>
        <v>45626</v>
      </c>
      <c r="P2098" s="286" t="s">
        <v>58</v>
      </c>
    </row>
    <row r="2099" spans="1:16" hidden="1" x14ac:dyDescent="0.15">
      <c r="A2099" s="286">
        <v>534207</v>
      </c>
      <c r="B2099" s="288">
        <v>45385.750694444447</v>
      </c>
      <c r="C2099" s="286" t="s">
        <v>2096</v>
      </c>
      <c r="D2099" s="286" t="s">
        <v>1105</v>
      </c>
      <c r="E2099" s="286" t="s">
        <v>1106</v>
      </c>
      <c r="F2099" s="286" t="s">
        <v>2155</v>
      </c>
      <c r="G2099" s="286" t="s">
        <v>1049</v>
      </c>
      <c r="H2099" s="286" t="s">
        <v>1049</v>
      </c>
      <c r="I2099" s="286" t="s">
        <v>1228</v>
      </c>
      <c r="J2099" s="286" t="s">
        <v>1312</v>
      </c>
      <c r="K2099" s="286" t="s">
        <v>2076</v>
      </c>
      <c r="L2099" s="286" t="s">
        <v>53</v>
      </c>
      <c r="M2099" s="286">
        <v>1</v>
      </c>
      <c r="N2099" s="287">
        <v>-59.61</v>
      </c>
      <c r="O2099" s="294">
        <f t="shared" si="32"/>
        <v>45412</v>
      </c>
      <c r="P2099" s="286" t="s">
        <v>58</v>
      </c>
    </row>
    <row r="2100" spans="1:16" hidden="1" x14ac:dyDescent="0.15">
      <c r="A2100" s="286">
        <v>495492</v>
      </c>
      <c r="B2100" s="288">
        <v>45351.411805555559</v>
      </c>
      <c r="C2100" s="286" t="s">
        <v>2125</v>
      </c>
      <c r="D2100" s="286" t="s">
        <v>1105</v>
      </c>
      <c r="E2100" s="286" t="s">
        <v>1106</v>
      </c>
      <c r="F2100" s="286" t="s">
        <v>2437</v>
      </c>
      <c r="G2100" s="286" t="s">
        <v>1786</v>
      </c>
      <c r="H2100" s="286" t="s">
        <v>1786</v>
      </c>
      <c r="I2100" s="286" t="s">
        <v>1152</v>
      </c>
      <c r="J2100" s="286" t="s">
        <v>1312</v>
      </c>
      <c r="K2100" s="286" t="s">
        <v>53</v>
      </c>
      <c r="L2100" s="286" t="s">
        <v>53</v>
      </c>
      <c r="M2100" s="286" t="s">
        <v>53</v>
      </c>
      <c r="N2100" s="287">
        <v>-64.86</v>
      </c>
      <c r="O2100" s="294">
        <f t="shared" si="32"/>
        <v>45351</v>
      </c>
      <c r="P2100" s="286" t="s">
        <v>58</v>
      </c>
    </row>
    <row r="2101" spans="1:16" hidden="1" x14ac:dyDescent="0.15">
      <c r="A2101" s="286">
        <v>859399</v>
      </c>
      <c r="B2101" s="288">
        <v>45615.35833333333</v>
      </c>
      <c r="C2101" s="286" t="s">
        <v>2100</v>
      </c>
      <c r="D2101" s="286" t="s">
        <v>1105</v>
      </c>
      <c r="E2101" s="286" t="s">
        <v>1106</v>
      </c>
      <c r="F2101" s="286" t="s">
        <v>2326</v>
      </c>
      <c r="G2101" s="286" t="s">
        <v>1077</v>
      </c>
      <c r="H2101" s="286" t="s">
        <v>1077</v>
      </c>
      <c r="I2101" s="286" t="s">
        <v>1152</v>
      </c>
      <c r="J2101" s="286" t="s">
        <v>1312</v>
      </c>
      <c r="K2101" s="286" t="s">
        <v>2508</v>
      </c>
      <c r="L2101" s="286" t="s">
        <v>53</v>
      </c>
      <c r="M2101" s="286">
        <v>1</v>
      </c>
      <c r="N2101" s="287">
        <v>-65.25</v>
      </c>
      <c r="O2101" s="294">
        <f t="shared" si="32"/>
        <v>45626</v>
      </c>
      <c r="P2101" s="286" t="s">
        <v>58</v>
      </c>
    </row>
    <row r="2102" spans="1:16" hidden="1" x14ac:dyDescent="0.15">
      <c r="A2102" s="286">
        <v>504817</v>
      </c>
      <c r="B2102" s="288">
        <v>45359.645138888889</v>
      </c>
      <c r="C2102" s="286" t="s">
        <v>2109</v>
      </c>
      <c r="D2102" s="286" t="s">
        <v>1105</v>
      </c>
      <c r="E2102" s="286" t="s">
        <v>1106</v>
      </c>
      <c r="F2102" s="286" t="s">
        <v>2154</v>
      </c>
      <c r="G2102" s="286" t="s">
        <v>1008</v>
      </c>
      <c r="H2102" s="286" t="s">
        <v>1008</v>
      </c>
      <c r="I2102" s="286" t="s">
        <v>1199</v>
      </c>
      <c r="J2102" s="286" t="s">
        <v>1312</v>
      </c>
      <c r="K2102" s="286" t="s">
        <v>2064</v>
      </c>
      <c r="L2102" s="286" t="s">
        <v>53</v>
      </c>
      <c r="M2102" s="286">
        <v>1</v>
      </c>
      <c r="N2102" s="287">
        <v>-67.11</v>
      </c>
      <c r="O2102" s="294">
        <f t="shared" si="32"/>
        <v>45382</v>
      </c>
      <c r="P2102" s="286" t="s">
        <v>58</v>
      </c>
    </row>
    <row r="2103" spans="1:16" hidden="1" x14ac:dyDescent="0.15">
      <c r="A2103" s="286">
        <v>455870</v>
      </c>
      <c r="B2103" s="288">
        <v>45310.583333333336</v>
      </c>
      <c r="C2103" s="286" t="s">
        <v>2125</v>
      </c>
      <c r="D2103" s="286" t="s">
        <v>1105</v>
      </c>
      <c r="E2103" s="286" t="s">
        <v>1106</v>
      </c>
      <c r="F2103" s="286" t="s">
        <v>2280</v>
      </c>
      <c r="G2103" s="286" t="s">
        <v>1080</v>
      </c>
      <c r="H2103" s="286" t="s">
        <v>1080</v>
      </c>
      <c r="I2103" s="286" t="s">
        <v>1228</v>
      </c>
      <c r="J2103" s="286" t="s">
        <v>1312</v>
      </c>
      <c r="K2103" s="286" t="s">
        <v>1770</v>
      </c>
      <c r="L2103" s="286" t="s">
        <v>53</v>
      </c>
      <c r="M2103" s="286">
        <v>1</v>
      </c>
      <c r="N2103" s="287">
        <v>-67.22</v>
      </c>
      <c r="O2103" s="294">
        <f t="shared" si="32"/>
        <v>45322</v>
      </c>
      <c r="P2103" s="286" t="s">
        <v>58</v>
      </c>
    </row>
    <row r="2104" spans="1:16" hidden="1" x14ac:dyDescent="0.15">
      <c r="A2104" s="286">
        <v>689504</v>
      </c>
      <c r="B2104" s="288">
        <v>45503.417361111111</v>
      </c>
      <c r="C2104" s="286" t="s">
        <v>2111</v>
      </c>
      <c r="D2104" s="286" t="s">
        <v>1105</v>
      </c>
      <c r="E2104" s="286" t="s">
        <v>1106</v>
      </c>
      <c r="F2104" s="286" t="s">
        <v>2509</v>
      </c>
      <c r="G2104" s="286" t="s">
        <v>1343</v>
      </c>
      <c r="H2104" s="286" t="s">
        <v>1343</v>
      </c>
      <c r="I2104" s="286" t="s">
        <v>1129</v>
      </c>
      <c r="J2104" s="286" t="s">
        <v>1312</v>
      </c>
      <c r="K2104" s="286" t="s">
        <v>532</v>
      </c>
      <c r="L2104" s="286" t="s">
        <v>533</v>
      </c>
      <c r="M2104" s="286">
        <v>-50</v>
      </c>
      <c r="N2104" s="287">
        <v>-70</v>
      </c>
      <c r="O2104" s="294">
        <f t="shared" si="32"/>
        <v>45504</v>
      </c>
      <c r="P2104" s="286" t="s">
        <v>164</v>
      </c>
    </row>
    <row r="2105" spans="1:16" hidden="1" x14ac:dyDescent="0.15">
      <c r="A2105" s="286">
        <v>848817</v>
      </c>
      <c r="B2105" s="288">
        <v>45607.65902777778</v>
      </c>
      <c r="C2105" s="286" t="s">
        <v>2130</v>
      </c>
      <c r="D2105" s="286" t="s">
        <v>1105</v>
      </c>
      <c r="E2105" s="286" t="s">
        <v>1106</v>
      </c>
      <c r="F2105" s="286" t="s">
        <v>2140</v>
      </c>
      <c r="G2105" s="286" t="s">
        <v>1010</v>
      </c>
      <c r="H2105" s="286" t="s">
        <v>1010</v>
      </c>
      <c r="I2105" s="286" t="s">
        <v>1199</v>
      </c>
      <c r="J2105" s="286" t="s">
        <v>1312</v>
      </c>
      <c r="K2105" s="286" t="s">
        <v>2067</v>
      </c>
      <c r="L2105" s="286" t="s">
        <v>53</v>
      </c>
      <c r="M2105" s="286">
        <v>1</v>
      </c>
      <c r="N2105" s="287">
        <v>-71.86</v>
      </c>
      <c r="O2105" s="294">
        <f t="shared" si="32"/>
        <v>45626</v>
      </c>
      <c r="P2105" s="286" t="s">
        <v>58</v>
      </c>
    </row>
    <row r="2106" spans="1:16" hidden="1" x14ac:dyDescent="0.15">
      <c r="A2106" s="286">
        <v>646075</v>
      </c>
      <c r="B2106" s="288">
        <v>45474.519444444442</v>
      </c>
      <c r="C2106" s="286" t="s">
        <v>2111</v>
      </c>
      <c r="D2106" s="286" t="s">
        <v>1105</v>
      </c>
      <c r="E2106" s="286" t="s">
        <v>1106</v>
      </c>
      <c r="F2106" s="286" t="s">
        <v>2137</v>
      </c>
      <c r="G2106" s="286" t="s">
        <v>1080</v>
      </c>
      <c r="H2106" s="286" t="s">
        <v>1080</v>
      </c>
      <c r="I2106" s="286" t="s">
        <v>1152</v>
      </c>
      <c r="J2106" s="286" t="s">
        <v>1312</v>
      </c>
      <c r="K2106" s="286" t="s">
        <v>2504</v>
      </c>
      <c r="L2106" s="286" t="s">
        <v>53</v>
      </c>
      <c r="M2106" s="286">
        <v>1</v>
      </c>
      <c r="N2106" s="287">
        <v>-73.260000000000005</v>
      </c>
      <c r="O2106" s="294">
        <f t="shared" si="32"/>
        <v>45504</v>
      </c>
      <c r="P2106" s="286" t="s">
        <v>58</v>
      </c>
    </row>
    <row r="2107" spans="1:16" hidden="1" x14ac:dyDescent="0.15">
      <c r="A2107" s="286">
        <v>697810</v>
      </c>
      <c r="B2107" s="288">
        <v>45510.366666666669</v>
      </c>
      <c r="C2107" s="286" t="s">
        <v>2102</v>
      </c>
      <c r="D2107" s="286" t="s">
        <v>1105</v>
      </c>
      <c r="E2107" s="286" t="s">
        <v>1106</v>
      </c>
      <c r="F2107" s="286" t="s">
        <v>2138</v>
      </c>
      <c r="G2107" s="286" t="s">
        <v>1080</v>
      </c>
      <c r="H2107" s="286" t="s">
        <v>1080</v>
      </c>
      <c r="I2107" s="286" t="s">
        <v>1152</v>
      </c>
      <c r="J2107" s="286" t="s">
        <v>1312</v>
      </c>
      <c r="K2107" s="286" t="s">
        <v>2504</v>
      </c>
      <c r="L2107" s="286" t="s">
        <v>53</v>
      </c>
      <c r="M2107" s="286">
        <v>1</v>
      </c>
      <c r="N2107" s="287">
        <v>-73.260000000000005</v>
      </c>
      <c r="O2107" s="294">
        <f t="shared" si="32"/>
        <v>45535</v>
      </c>
      <c r="P2107" s="286" t="s">
        <v>58</v>
      </c>
    </row>
    <row r="2108" spans="1:16" hidden="1" x14ac:dyDescent="0.15">
      <c r="A2108" s="286">
        <v>745911</v>
      </c>
      <c r="B2108" s="288">
        <v>45538.44027777778</v>
      </c>
      <c r="C2108" s="286" t="s">
        <v>2132</v>
      </c>
      <c r="D2108" s="286" t="s">
        <v>1105</v>
      </c>
      <c r="E2108" s="286" t="s">
        <v>1106</v>
      </c>
      <c r="F2108" s="286" t="s">
        <v>2139</v>
      </c>
      <c r="G2108" s="286" t="s">
        <v>1080</v>
      </c>
      <c r="H2108" s="286" t="s">
        <v>1080</v>
      </c>
      <c r="I2108" s="286" t="s">
        <v>1152</v>
      </c>
      <c r="J2108" s="286" t="s">
        <v>1312</v>
      </c>
      <c r="K2108" s="286" t="s">
        <v>2504</v>
      </c>
      <c r="L2108" s="286" t="s">
        <v>53</v>
      </c>
      <c r="M2108" s="286">
        <v>1</v>
      </c>
      <c r="N2108" s="287">
        <v>-73.260000000000005</v>
      </c>
      <c r="O2108" s="294">
        <f t="shared" si="32"/>
        <v>45565</v>
      </c>
      <c r="P2108" s="286" t="s">
        <v>58</v>
      </c>
    </row>
    <row r="2109" spans="1:16" hidden="1" x14ac:dyDescent="0.15">
      <c r="A2109" s="286">
        <v>848817</v>
      </c>
      <c r="B2109" s="288">
        <v>45607.65902777778</v>
      </c>
      <c r="C2109" s="286" t="s">
        <v>2130</v>
      </c>
      <c r="D2109" s="286" t="s">
        <v>1105</v>
      </c>
      <c r="E2109" s="286" t="s">
        <v>1106</v>
      </c>
      <c r="F2109" s="286" t="s">
        <v>2140</v>
      </c>
      <c r="G2109" s="286" t="s">
        <v>1080</v>
      </c>
      <c r="H2109" s="286" t="s">
        <v>1080</v>
      </c>
      <c r="I2109" s="286" t="s">
        <v>1152</v>
      </c>
      <c r="J2109" s="286" t="s">
        <v>1312</v>
      </c>
      <c r="K2109" s="286" t="s">
        <v>2504</v>
      </c>
      <c r="L2109" s="286" t="s">
        <v>53</v>
      </c>
      <c r="M2109" s="286">
        <v>1</v>
      </c>
      <c r="N2109" s="287">
        <v>-73.260000000000005</v>
      </c>
      <c r="O2109" s="294">
        <f t="shared" si="32"/>
        <v>45626</v>
      </c>
      <c r="P2109" s="286" t="s">
        <v>58</v>
      </c>
    </row>
    <row r="2110" spans="1:16" hidden="1" x14ac:dyDescent="0.15">
      <c r="A2110" s="286">
        <v>848917</v>
      </c>
      <c r="B2110" s="288">
        <v>45607.660416666666</v>
      </c>
      <c r="C2110" s="286" t="s">
        <v>2100</v>
      </c>
      <c r="D2110" s="286" t="s">
        <v>1105</v>
      </c>
      <c r="E2110" s="286" t="s">
        <v>1106</v>
      </c>
      <c r="F2110" s="286" t="s">
        <v>2141</v>
      </c>
      <c r="G2110" s="286" t="s">
        <v>1080</v>
      </c>
      <c r="H2110" s="286" t="s">
        <v>1080</v>
      </c>
      <c r="I2110" s="286" t="s">
        <v>1152</v>
      </c>
      <c r="J2110" s="286" t="s">
        <v>1312</v>
      </c>
      <c r="K2110" s="286" t="s">
        <v>2504</v>
      </c>
      <c r="L2110" s="286" t="s">
        <v>53</v>
      </c>
      <c r="M2110" s="286">
        <v>1</v>
      </c>
      <c r="N2110" s="287">
        <v>-73.260000000000005</v>
      </c>
      <c r="O2110" s="294">
        <f t="shared" si="32"/>
        <v>45626</v>
      </c>
      <c r="P2110" s="286" t="s">
        <v>58</v>
      </c>
    </row>
    <row r="2111" spans="1:16" hidden="1" x14ac:dyDescent="0.15">
      <c r="A2111" s="286">
        <v>874698</v>
      </c>
      <c r="B2111" s="288">
        <v>45628.357638888891</v>
      </c>
      <c r="C2111" s="286" t="s">
        <v>2098</v>
      </c>
      <c r="D2111" s="286" t="s">
        <v>1105</v>
      </c>
      <c r="E2111" s="286" t="s">
        <v>1106</v>
      </c>
      <c r="F2111" s="286" t="s">
        <v>2142</v>
      </c>
      <c r="G2111" s="286" t="s">
        <v>1080</v>
      </c>
      <c r="H2111" s="286" t="s">
        <v>1080</v>
      </c>
      <c r="I2111" s="286" t="s">
        <v>1152</v>
      </c>
      <c r="J2111" s="286" t="s">
        <v>1312</v>
      </c>
      <c r="K2111" s="286" t="s">
        <v>2504</v>
      </c>
      <c r="L2111" s="286" t="s">
        <v>53</v>
      </c>
      <c r="M2111" s="286">
        <v>1</v>
      </c>
      <c r="N2111" s="287">
        <v>-73.260000000000005</v>
      </c>
      <c r="O2111" s="294">
        <f t="shared" si="32"/>
        <v>45657</v>
      </c>
      <c r="P2111" s="286" t="s">
        <v>58</v>
      </c>
    </row>
    <row r="2112" spans="1:16" hidden="1" x14ac:dyDescent="0.15">
      <c r="A2112" s="286">
        <v>712645</v>
      </c>
      <c r="B2112" s="288">
        <v>45517.640972222223</v>
      </c>
      <c r="C2112" s="286" t="s">
        <v>2111</v>
      </c>
      <c r="D2112" s="286" t="s">
        <v>1105</v>
      </c>
      <c r="E2112" s="286" t="s">
        <v>1106</v>
      </c>
      <c r="F2112" s="286" t="s">
        <v>2160</v>
      </c>
      <c r="G2112" s="286" t="s">
        <v>1078</v>
      </c>
      <c r="H2112" s="286" t="s">
        <v>1078</v>
      </c>
      <c r="I2112" s="286" t="s">
        <v>1199</v>
      </c>
      <c r="J2112" s="286" t="s">
        <v>1312</v>
      </c>
      <c r="K2112" s="286" t="s">
        <v>53</v>
      </c>
      <c r="L2112" s="286" t="s">
        <v>53</v>
      </c>
      <c r="M2112" s="286" t="s">
        <v>53</v>
      </c>
      <c r="N2112" s="287">
        <v>-75.069999999999993</v>
      </c>
      <c r="O2112" s="294">
        <f t="shared" si="32"/>
        <v>45535</v>
      </c>
      <c r="P2112" s="286" t="s">
        <v>58</v>
      </c>
    </row>
    <row r="2113" spans="1:16" hidden="1" x14ac:dyDescent="0.15">
      <c r="A2113" s="286">
        <v>848817</v>
      </c>
      <c r="B2113" s="288">
        <v>45607.65902777778</v>
      </c>
      <c r="C2113" s="286" t="s">
        <v>2130</v>
      </c>
      <c r="D2113" s="286" t="s">
        <v>1105</v>
      </c>
      <c r="E2113" s="286" t="s">
        <v>1106</v>
      </c>
      <c r="F2113" s="286" t="s">
        <v>2140</v>
      </c>
      <c r="G2113" s="286" t="s">
        <v>1024</v>
      </c>
      <c r="H2113" s="286" t="s">
        <v>1024</v>
      </c>
      <c r="I2113" s="286" t="s">
        <v>1228</v>
      </c>
      <c r="J2113" s="286" t="s">
        <v>1312</v>
      </c>
      <c r="K2113" s="286" t="s">
        <v>2510</v>
      </c>
      <c r="L2113" s="286" t="s">
        <v>53</v>
      </c>
      <c r="M2113" s="286">
        <v>1</v>
      </c>
      <c r="N2113" s="287">
        <v>-84.08</v>
      </c>
      <c r="O2113" s="294">
        <f t="shared" si="32"/>
        <v>45626</v>
      </c>
      <c r="P2113" s="286" t="s">
        <v>58</v>
      </c>
    </row>
    <row r="2114" spans="1:16" hidden="1" x14ac:dyDescent="0.15">
      <c r="A2114" s="286">
        <v>455870</v>
      </c>
      <c r="B2114" s="288">
        <v>45310.583333333336</v>
      </c>
      <c r="C2114" s="286" t="s">
        <v>2125</v>
      </c>
      <c r="D2114" s="286" t="s">
        <v>1105</v>
      </c>
      <c r="E2114" s="286" t="s">
        <v>1106</v>
      </c>
      <c r="F2114" s="286" t="s">
        <v>2280</v>
      </c>
      <c r="G2114" s="286" t="s">
        <v>1080</v>
      </c>
      <c r="H2114" s="286" t="s">
        <v>1080</v>
      </c>
      <c r="I2114" s="286" t="s">
        <v>1228</v>
      </c>
      <c r="J2114" s="286" t="s">
        <v>1312</v>
      </c>
      <c r="K2114" s="286" t="s">
        <v>1770</v>
      </c>
      <c r="L2114" s="286" t="s">
        <v>53</v>
      </c>
      <c r="M2114" s="286">
        <v>1</v>
      </c>
      <c r="N2114" s="287">
        <v>-86.4</v>
      </c>
      <c r="O2114" s="294">
        <f t="shared" si="32"/>
        <v>45322</v>
      </c>
      <c r="P2114" s="286" t="s">
        <v>58</v>
      </c>
    </row>
    <row r="2115" spans="1:16" hidden="1" x14ac:dyDescent="0.15">
      <c r="A2115" s="286">
        <v>472168</v>
      </c>
      <c r="B2115" s="288">
        <v>45331.416666666664</v>
      </c>
      <c r="C2115" s="286" t="s">
        <v>2113</v>
      </c>
      <c r="D2115" s="286" t="s">
        <v>1105</v>
      </c>
      <c r="E2115" s="286" t="s">
        <v>1106</v>
      </c>
      <c r="F2115" s="286" t="s">
        <v>2153</v>
      </c>
      <c r="G2115" s="286" t="s">
        <v>1080</v>
      </c>
      <c r="H2115" s="286" t="s">
        <v>1080</v>
      </c>
      <c r="I2115" s="286" t="s">
        <v>1228</v>
      </c>
      <c r="J2115" s="286" t="s">
        <v>1312</v>
      </c>
      <c r="K2115" s="286" t="s">
        <v>1770</v>
      </c>
      <c r="L2115" s="286" t="s">
        <v>53</v>
      </c>
      <c r="M2115" s="286">
        <v>1</v>
      </c>
      <c r="N2115" s="287">
        <v>-86.4</v>
      </c>
      <c r="O2115" s="294">
        <f t="shared" si="32"/>
        <v>45351</v>
      </c>
      <c r="P2115" s="286" t="s">
        <v>58</v>
      </c>
    </row>
    <row r="2116" spans="1:16" hidden="1" x14ac:dyDescent="0.15">
      <c r="A2116" s="286">
        <v>534207</v>
      </c>
      <c r="B2116" s="288">
        <v>45385.750694444447</v>
      </c>
      <c r="C2116" s="286" t="s">
        <v>2096</v>
      </c>
      <c r="D2116" s="286" t="s">
        <v>1105</v>
      </c>
      <c r="E2116" s="286" t="s">
        <v>1106</v>
      </c>
      <c r="F2116" s="286" t="s">
        <v>2155</v>
      </c>
      <c r="G2116" s="286" t="s">
        <v>1080</v>
      </c>
      <c r="H2116" s="286" t="s">
        <v>1080</v>
      </c>
      <c r="I2116" s="286" t="s">
        <v>1228</v>
      </c>
      <c r="J2116" s="286" t="s">
        <v>1312</v>
      </c>
      <c r="K2116" s="286" t="s">
        <v>1770</v>
      </c>
      <c r="L2116" s="286" t="s">
        <v>53</v>
      </c>
      <c r="M2116" s="286">
        <v>1</v>
      </c>
      <c r="N2116" s="287">
        <v>-86.4</v>
      </c>
      <c r="O2116" s="294">
        <f t="shared" ref="O2116:O2179" si="33">EOMONTH(B2116,0)</f>
        <v>45412</v>
      </c>
      <c r="P2116" s="286" t="s">
        <v>58</v>
      </c>
    </row>
    <row r="2117" spans="1:16" hidden="1" x14ac:dyDescent="0.15">
      <c r="A2117" s="286">
        <v>614316</v>
      </c>
      <c r="B2117" s="288">
        <v>45455.717361111114</v>
      </c>
      <c r="C2117" s="286" t="s">
        <v>2092</v>
      </c>
      <c r="D2117" s="286" t="s">
        <v>1105</v>
      </c>
      <c r="E2117" s="286" t="s">
        <v>1106</v>
      </c>
      <c r="F2117" s="286" t="s">
        <v>2167</v>
      </c>
      <c r="G2117" s="286" t="s">
        <v>1080</v>
      </c>
      <c r="H2117" s="286" t="s">
        <v>1080</v>
      </c>
      <c r="I2117" s="286" t="s">
        <v>1228</v>
      </c>
      <c r="J2117" s="286" t="s">
        <v>1312</v>
      </c>
      <c r="K2117" s="286" t="s">
        <v>1770</v>
      </c>
      <c r="L2117" s="286" t="s">
        <v>53</v>
      </c>
      <c r="M2117" s="286">
        <v>1</v>
      </c>
      <c r="N2117" s="287">
        <v>-86.4</v>
      </c>
      <c r="O2117" s="294">
        <f t="shared" si="33"/>
        <v>45473</v>
      </c>
      <c r="P2117" s="286" t="s">
        <v>58</v>
      </c>
    </row>
    <row r="2118" spans="1:16" hidden="1" x14ac:dyDescent="0.15">
      <c r="A2118" s="286">
        <v>697810</v>
      </c>
      <c r="B2118" s="288">
        <v>45510.366666666669</v>
      </c>
      <c r="C2118" s="286" t="s">
        <v>2102</v>
      </c>
      <c r="D2118" s="286" t="s">
        <v>1105</v>
      </c>
      <c r="E2118" s="286" t="s">
        <v>1106</v>
      </c>
      <c r="F2118" s="286" t="s">
        <v>2138</v>
      </c>
      <c r="G2118" s="286" t="s">
        <v>1048</v>
      </c>
      <c r="H2118" s="286" t="s">
        <v>1048</v>
      </c>
      <c r="I2118" s="286" t="s">
        <v>1199</v>
      </c>
      <c r="J2118" s="286" t="s">
        <v>1312</v>
      </c>
      <c r="K2118" s="286" t="s">
        <v>2447</v>
      </c>
      <c r="L2118" s="286" t="s">
        <v>53</v>
      </c>
      <c r="M2118" s="286">
        <v>1</v>
      </c>
      <c r="N2118" s="287">
        <v>-87.55</v>
      </c>
      <c r="O2118" s="294">
        <f t="shared" si="33"/>
        <v>45535</v>
      </c>
      <c r="P2118" s="286" t="s">
        <v>58</v>
      </c>
    </row>
    <row r="2119" spans="1:16" hidden="1" x14ac:dyDescent="0.15">
      <c r="A2119" s="286">
        <v>614216</v>
      </c>
      <c r="B2119" s="288">
        <v>45455.716666666667</v>
      </c>
      <c r="C2119" s="286" t="s">
        <v>2116</v>
      </c>
      <c r="D2119" s="286" t="s">
        <v>1105</v>
      </c>
      <c r="E2119" s="286" t="s">
        <v>1106</v>
      </c>
      <c r="F2119" s="286" t="s">
        <v>2156</v>
      </c>
      <c r="G2119" s="286" t="s">
        <v>1080</v>
      </c>
      <c r="H2119" s="286" t="s">
        <v>1080</v>
      </c>
      <c r="I2119" s="286" t="s">
        <v>1228</v>
      </c>
      <c r="J2119" s="286" t="s">
        <v>1312</v>
      </c>
      <c r="K2119" s="286" t="s">
        <v>1770</v>
      </c>
      <c r="L2119" s="286" t="s">
        <v>53</v>
      </c>
      <c r="M2119" s="286">
        <v>1</v>
      </c>
      <c r="N2119" s="287">
        <v>-89.28</v>
      </c>
      <c r="O2119" s="294">
        <f t="shared" si="33"/>
        <v>45473</v>
      </c>
      <c r="P2119" s="286" t="s">
        <v>58</v>
      </c>
    </row>
    <row r="2120" spans="1:16" hidden="1" x14ac:dyDescent="0.15">
      <c r="A2120" s="286">
        <v>745911</v>
      </c>
      <c r="B2120" s="288">
        <v>45538.44027777778</v>
      </c>
      <c r="C2120" s="286" t="s">
        <v>2132</v>
      </c>
      <c r="D2120" s="286" t="s">
        <v>1105</v>
      </c>
      <c r="E2120" s="286" t="s">
        <v>1106</v>
      </c>
      <c r="F2120" s="286" t="s">
        <v>2139</v>
      </c>
      <c r="G2120" s="286" t="s">
        <v>1048</v>
      </c>
      <c r="H2120" s="286" t="s">
        <v>1048</v>
      </c>
      <c r="I2120" s="286" t="s">
        <v>1199</v>
      </c>
      <c r="J2120" s="286" t="s">
        <v>1312</v>
      </c>
      <c r="K2120" s="286" t="s">
        <v>2447</v>
      </c>
      <c r="L2120" s="286" t="s">
        <v>53</v>
      </c>
      <c r="M2120" s="286">
        <v>1</v>
      </c>
      <c r="N2120" s="287">
        <v>-89.31</v>
      </c>
      <c r="O2120" s="294">
        <f t="shared" si="33"/>
        <v>45565</v>
      </c>
      <c r="P2120" s="286" t="s">
        <v>58</v>
      </c>
    </row>
    <row r="2121" spans="1:16" hidden="1" x14ac:dyDescent="0.15">
      <c r="A2121" s="286">
        <v>504817</v>
      </c>
      <c r="B2121" s="288">
        <v>45359.645138888889</v>
      </c>
      <c r="C2121" s="286" t="s">
        <v>2109</v>
      </c>
      <c r="D2121" s="286" t="s">
        <v>1105</v>
      </c>
      <c r="E2121" s="286" t="s">
        <v>1106</v>
      </c>
      <c r="F2121" s="286" t="s">
        <v>2154</v>
      </c>
      <c r="G2121" s="286" t="s">
        <v>1080</v>
      </c>
      <c r="H2121" s="286" t="s">
        <v>1080</v>
      </c>
      <c r="I2121" s="286" t="s">
        <v>1228</v>
      </c>
      <c r="J2121" s="286" t="s">
        <v>1312</v>
      </c>
      <c r="K2121" s="286" t="s">
        <v>1770</v>
      </c>
      <c r="L2121" s="286" t="s">
        <v>53</v>
      </c>
      <c r="M2121" s="286">
        <v>1</v>
      </c>
      <c r="N2121" s="287">
        <v>-92.36</v>
      </c>
      <c r="O2121" s="294">
        <f t="shared" si="33"/>
        <v>45382</v>
      </c>
      <c r="P2121" s="286" t="s">
        <v>58</v>
      </c>
    </row>
    <row r="2122" spans="1:16" hidden="1" x14ac:dyDescent="0.15">
      <c r="A2122" s="286">
        <v>697810</v>
      </c>
      <c r="B2122" s="288">
        <v>45510.366666666669</v>
      </c>
      <c r="C2122" s="286" t="s">
        <v>2102</v>
      </c>
      <c r="D2122" s="286" t="s">
        <v>1105</v>
      </c>
      <c r="E2122" s="286" t="s">
        <v>1106</v>
      </c>
      <c r="F2122" s="286" t="s">
        <v>2138</v>
      </c>
      <c r="G2122" s="286" t="s">
        <v>1080</v>
      </c>
      <c r="H2122" s="286" t="s">
        <v>1080</v>
      </c>
      <c r="I2122" s="286" t="s">
        <v>1228</v>
      </c>
      <c r="J2122" s="286" t="s">
        <v>1312</v>
      </c>
      <c r="K2122" s="286" t="s">
        <v>2511</v>
      </c>
      <c r="L2122" s="286" t="s">
        <v>53</v>
      </c>
      <c r="M2122" s="286">
        <v>1</v>
      </c>
      <c r="N2122" s="287">
        <v>-92.9</v>
      </c>
      <c r="O2122" s="294">
        <f t="shared" si="33"/>
        <v>45535</v>
      </c>
      <c r="P2122" s="286" t="s">
        <v>58</v>
      </c>
    </row>
    <row r="2123" spans="1:16" hidden="1" x14ac:dyDescent="0.15">
      <c r="A2123" s="286">
        <v>745911</v>
      </c>
      <c r="B2123" s="288">
        <v>45538.44027777778</v>
      </c>
      <c r="C2123" s="286" t="s">
        <v>2132</v>
      </c>
      <c r="D2123" s="286" t="s">
        <v>1105</v>
      </c>
      <c r="E2123" s="286" t="s">
        <v>1106</v>
      </c>
      <c r="F2123" s="286" t="s">
        <v>2139</v>
      </c>
      <c r="G2123" s="286" t="s">
        <v>1080</v>
      </c>
      <c r="H2123" s="286" t="s">
        <v>1080</v>
      </c>
      <c r="I2123" s="286" t="s">
        <v>1228</v>
      </c>
      <c r="J2123" s="286" t="s">
        <v>1312</v>
      </c>
      <c r="K2123" s="286" t="s">
        <v>2511</v>
      </c>
      <c r="L2123" s="286" t="s">
        <v>53</v>
      </c>
      <c r="M2123" s="286">
        <v>1</v>
      </c>
      <c r="N2123" s="287">
        <v>-92.9</v>
      </c>
      <c r="O2123" s="294">
        <f t="shared" si="33"/>
        <v>45565</v>
      </c>
      <c r="P2123" s="286" t="s">
        <v>58</v>
      </c>
    </row>
    <row r="2124" spans="1:16" hidden="1" x14ac:dyDescent="0.15">
      <c r="A2124" s="286">
        <v>848917</v>
      </c>
      <c r="B2124" s="288">
        <v>45607.660416666666</v>
      </c>
      <c r="C2124" s="286" t="s">
        <v>2100</v>
      </c>
      <c r="D2124" s="286" t="s">
        <v>1105</v>
      </c>
      <c r="E2124" s="286" t="s">
        <v>1106</v>
      </c>
      <c r="F2124" s="286" t="s">
        <v>2141</v>
      </c>
      <c r="G2124" s="286" t="s">
        <v>1080</v>
      </c>
      <c r="H2124" s="286" t="s">
        <v>1080</v>
      </c>
      <c r="I2124" s="286" t="s">
        <v>1228</v>
      </c>
      <c r="J2124" s="286" t="s">
        <v>1312</v>
      </c>
      <c r="K2124" s="286" t="s">
        <v>2511</v>
      </c>
      <c r="L2124" s="286" t="s">
        <v>53</v>
      </c>
      <c r="M2124" s="286">
        <v>1</v>
      </c>
      <c r="N2124" s="287">
        <v>-92.9</v>
      </c>
      <c r="O2124" s="294">
        <f t="shared" si="33"/>
        <v>45626</v>
      </c>
      <c r="P2124" s="286" t="s">
        <v>58</v>
      </c>
    </row>
    <row r="2125" spans="1:16" hidden="1" x14ac:dyDescent="0.15">
      <c r="A2125" s="286">
        <v>874698</v>
      </c>
      <c r="B2125" s="288">
        <v>45628.357638888891</v>
      </c>
      <c r="C2125" s="286" t="s">
        <v>2098</v>
      </c>
      <c r="D2125" s="286" t="s">
        <v>1105</v>
      </c>
      <c r="E2125" s="286" t="s">
        <v>1106</v>
      </c>
      <c r="F2125" s="286" t="s">
        <v>2142</v>
      </c>
      <c r="G2125" s="286" t="s">
        <v>1052</v>
      </c>
      <c r="H2125" s="286" t="s">
        <v>1052</v>
      </c>
      <c r="I2125" s="286" t="s">
        <v>1228</v>
      </c>
      <c r="J2125" s="286" t="s">
        <v>1312</v>
      </c>
      <c r="K2125" s="286" t="s">
        <v>2511</v>
      </c>
      <c r="L2125" s="286" t="s">
        <v>53</v>
      </c>
      <c r="M2125" s="286">
        <v>1</v>
      </c>
      <c r="N2125" s="287">
        <v>-93.9</v>
      </c>
      <c r="O2125" s="294">
        <f t="shared" si="33"/>
        <v>45657</v>
      </c>
      <c r="P2125" s="286" t="s">
        <v>58</v>
      </c>
    </row>
    <row r="2126" spans="1:16" hidden="1" x14ac:dyDescent="0.15">
      <c r="A2126" s="286">
        <v>646075</v>
      </c>
      <c r="B2126" s="288">
        <v>45474.519444444442</v>
      </c>
      <c r="C2126" s="286" t="s">
        <v>2111</v>
      </c>
      <c r="D2126" s="286" t="s">
        <v>1105</v>
      </c>
      <c r="E2126" s="286" t="s">
        <v>1106</v>
      </c>
      <c r="F2126" s="286" t="s">
        <v>2137</v>
      </c>
      <c r="G2126" s="286" t="s">
        <v>1080</v>
      </c>
      <c r="H2126" s="286" t="s">
        <v>1080</v>
      </c>
      <c r="I2126" s="286" t="s">
        <v>1228</v>
      </c>
      <c r="J2126" s="286" t="s">
        <v>1312</v>
      </c>
      <c r="K2126" s="286" t="s">
        <v>2511</v>
      </c>
      <c r="L2126" s="286" t="s">
        <v>53</v>
      </c>
      <c r="M2126" s="286">
        <v>1</v>
      </c>
      <c r="N2126" s="287">
        <v>-96</v>
      </c>
      <c r="O2126" s="294">
        <f t="shared" si="33"/>
        <v>45504</v>
      </c>
      <c r="P2126" s="286" t="s">
        <v>58</v>
      </c>
    </row>
    <row r="2127" spans="1:16" hidden="1" x14ac:dyDescent="0.15">
      <c r="A2127" s="286">
        <v>848817</v>
      </c>
      <c r="B2127" s="288">
        <v>45607.65902777778</v>
      </c>
      <c r="C2127" s="286" t="s">
        <v>2130</v>
      </c>
      <c r="D2127" s="286" t="s">
        <v>1105</v>
      </c>
      <c r="E2127" s="286" t="s">
        <v>1106</v>
      </c>
      <c r="F2127" s="286" t="s">
        <v>2140</v>
      </c>
      <c r="G2127" s="286" t="s">
        <v>1080</v>
      </c>
      <c r="H2127" s="286" t="s">
        <v>1080</v>
      </c>
      <c r="I2127" s="286" t="s">
        <v>1228</v>
      </c>
      <c r="J2127" s="286" t="s">
        <v>1312</v>
      </c>
      <c r="K2127" s="286" t="s">
        <v>2511</v>
      </c>
      <c r="L2127" s="286" t="s">
        <v>53</v>
      </c>
      <c r="M2127" s="286">
        <v>1</v>
      </c>
      <c r="N2127" s="287">
        <v>-96</v>
      </c>
      <c r="O2127" s="294">
        <f t="shared" si="33"/>
        <v>45626</v>
      </c>
      <c r="P2127" s="286" t="s">
        <v>58</v>
      </c>
    </row>
    <row r="2128" spans="1:16" hidden="1" x14ac:dyDescent="0.15">
      <c r="A2128" s="286">
        <v>874698</v>
      </c>
      <c r="B2128" s="288">
        <v>45628.357638888891</v>
      </c>
      <c r="C2128" s="286" t="s">
        <v>2098</v>
      </c>
      <c r="D2128" s="286" t="s">
        <v>1105</v>
      </c>
      <c r="E2128" s="286" t="s">
        <v>1106</v>
      </c>
      <c r="F2128" s="286" t="s">
        <v>2142</v>
      </c>
      <c r="G2128" s="286" t="s">
        <v>1080</v>
      </c>
      <c r="H2128" s="286" t="s">
        <v>1080</v>
      </c>
      <c r="I2128" s="286" t="s">
        <v>1228</v>
      </c>
      <c r="J2128" s="286" t="s">
        <v>1312</v>
      </c>
      <c r="K2128" s="286" t="s">
        <v>2511</v>
      </c>
      <c r="L2128" s="286" t="s">
        <v>53</v>
      </c>
      <c r="M2128" s="286">
        <v>1</v>
      </c>
      <c r="N2128" s="287">
        <v>-96</v>
      </c>
      <c r="O2128" s="294">
        <f t="shared" si="33"/>
        <v>45657</v>
      </c>
      <c r="P2128" s="286" t="s">
        <v>58</v>
      </c>
    </row>
    <row r="2129" spans="1:16" hidden="1" x14ac:dyDescent="0.15">
      <c r="A2129" s="286">
        <v>697810</v>
      </c>
      <c r="B2129" s="288">
        <v>45510.366666666669</v>
      </c>
      <c r="C2129" s="286" t="s">
        <v>2102</v>
      </c>
      <c r="D2129" s="286" t="s">
        <v>1105</v>
      </c>
      <c r="E2129" s="286" t="s">
        <v>1106</v>
      </c>
      <c r="F2129" s="286" t="s">
        <v>2138</v>
      </c>
      <c r="G2129" s="286" t="s">
        <v>1080</v>
      </c>
      <c r="H2129" s="286" t="s">
        <v>1080</v>
      </c>
      <c r="I2129" s="286" t="s">
        <v>1228</v>
      </c>
      <c r="J2129" s="286" t="s">
        <v>1312</v>
      </c>
      <c r="K2129" s="286" t="s">
        <v>2502</v>
      </c>
      <c r="L2129" s="286" t="s">
        <v>53</v>
      </c>
      <c r="M2129" s="286">
        <v>1</v>
      </c>
      <c r="N2129" s="287">
        <v>-98.56</v>
      </c>
      <c r="O2129" s="294">
        <f t="shared" si="33"/>
        <v>45535</v>
      </c>
      <c r="P2129" s="286" t="s">
        <v>58</v>
      </c>
    </row>
    <row r="2130" spans="1:16" hidden="1" x14ac:dyDescent="0.15">
      <c r="A2130" s="286">
        <v>745911</v>
      </c>
      <c r="B2130" s="288">
        <v>45538.44027777778</v>
      </c>
      <c r="C2130" s="286" t="s">
        <v>2132</v>
      </c>
      <c r="D2130" s="286" t="s">
        <v>1105</v>
      </c>
      <c r="E2130" s="286" t="s">
        <v>1106</v>
      </c>
      <c r="F2130" s="286" t="s">
        <v>2139</v>
      </c>
      <c r="G2130" s="286" t="s">
        <v>1080</v>
      </c>
      <c r="H2130" s="286" t="s">
        <v>1080</v>
      </c>
      <c r="I2130" s="286" t="s">
        <v>1228</v>
      </c>
      <c r="J2130" s="286" t="s">
        <v>1312</v>
      </c>
      <c r="K2130" s="286" t="s">
        <v>2502</v>
      </c>
      <c r="L2130" s="286" t="s">
        <v>53</v>
      </c>
      <c r="M2130" s="286">
        <v>1</v>
      </c>
      <c r="N2130" s="287">
        <v>-98.56</v>
      </c>
      <c r="O2130" s="294">
        <f t="shared" si="33"/>
        <v>45565</v>
      </c>
      <c r="P2130" s="286" t="s">
        <v>58</v>
      </c>
    </row>
    <row r="2131" spans="1:16" hidden="1" x14ac:dyDescent="0.15">
      <c r="A2131" s="286">
        <v>848917</v>
      </c>
      <c r="B2131" s="288">
        <v>45607.660416666666</v>
      </c>
      <c r="C2131" s="286" t="s">
        <v>2100</v>
      </c>
      <c r="D2131" s="286" t="s">
        <v>1105</v>
      </c>
      <c r="E2131" s="286" t="s">
        <v>1106</v>
      </c>
      <c r="F2131" s="286" t="s">
        <v>2141</v>
      </c>
      <c r="G2131" s="286" t="s">
        <v>1080</v>
      </c>
      <c r="H2131" s="286" t="s">
        <v>1080</v>
      </c>
      <c r="I2131" s="286" t="s">
        <v>1228</v>
      </c>
      <c r="J2131" s="286" t="s">
        <v>1312</v>
      </c>
      <c r="K2131" s="286" t="s">
        <v>2502</v>
      </c>
      <c r="L2131" s="286" t="s">
        <v>53</v>
      </c>
      <c r="M2131" s="286">
        <v>1</v>
      </c>
      <c r="N2131" s="287">
        <v>-98.56</v>
      </c>
      <c r="O2131" s="294">
        <f t="shared" si="33"/>
        <v>45626</v>
      </c>
      <c r="P2131" s="286" t="s">
        <v>58</v>
      </c>
    </row>
    <row r="2132" spans="1:16" hidden="1" x14ac:dyDescent="0.15">
      <c r="A2132" s="286">
        <v>504817</v>
      </c>
      <c r="B2132" s="288">
        <v>45359.645138888889</v>
      </c>
      <c r="C2132" s="286" t="s">
        <v>2109</v>
      </c>
      <c r="D2132" s="286" t="s">
        <v>1105</v>
      </c>
      <c r="E2132" s="286" t="s">
        <v>1106</v>
      </c>
      <c r="F2132" s="286" t="s">
        <v>2154</v>
      </c>
      <c r="G2132" s="286" t="s">
        <v>1019</v>
      </c>
      <c r="H2132" s="286" t="s">
        <v>1019</v>
      </c>
      <c r="I2132" s="286" t="s">
        <v>1152</v>
      </c>
      <c r="J2132" s="286" t="s">
        <v>1312</v>
      </c>
      <c r="K2132" s="286" t="s">
        <v>2504</v>
      </c>
      <c r="L2132" s="286" t="s">
        <v>53</v>
      </c>
      <c r="M2132" s="286">
        <v>1</v>
      </c>
      <c r="N2132" s="287">
        <v>-99.61</v>
      </c>
      <c r="O2132" s="294">
        <f t="shared" si="33"/>
        <v>45382</v>
      </c>
      <c r="P2132" s="286" t="s">
        <v>58</v>
      </c>
    </row>
    <row r="2133" spans="1:16" hidden="1" x14ac:dyDescent="0.15">
      <c r="A2133" s="286">
        <v>534207</v>
      </c>
      <c r="B2133" s="288">
        <v>45385.750694444447</v>
      </c>
      <c r="C2133" s="286" t="s">
        <v>2096</v>
      </c>
      <c r="D2133" s="286" t="s">
        <v>1105</v>
      </c>
      <c r="E2133" s="286" t="s">
        <v>1106</v>
      </c>
      <c r="F2133" s="286" t="s">
        <v>2155</v>
      </c>
      <c r="G2133" s="286" t="s">
        <v>1019</v>
      </c>
      <c r="H2133" s="286" t="s">
        <v>1019</v>
      </c>
      <c r="I2133" s="286" t="s">
        <v>1152</v>
      </c>
      <c r="J2133" s="286" t="s">
        <v>1312</v>
      </c>
      <c r="K2133" s="286" t="s">
        <v>2504</v>
      </c>
      <c r="L2133" s="286" t="s">
        <v>53</v>
      </c>
      <c r="M2133" s="286">
        <v>1</v>
      </c>
      <c r="N2133" s="287">
        <v>-99.61</v>
      </c>
      <c r="O2133" s="294">
        <f t="shared" si="33"/>
        <v>45412</v>
      </c>
      <c r="P2133" s="286" t="s">
        <v>58</v>
      </c>
    </row>
    <row r="2134" spans="1:16" hidden="1" x14ac:dyDescent="0.15">
      <c r="A2134" s="286">
        <v>614216</v>
      </c>
      <c r="B2134" s="288">
        <v>45455.716666666667</v>
      </c>
      <c r="C2134" s="286" t="s">
        <v>2116</v>
      </c>
      <c r="D2134" s="286" t="s">
        <v>1105</v>
      </c>
      <c r="E2134" s="286" t="s">
        <v>1106</v>
      </c>
      <c r="F2134" s="286" t="s">
        <v>2156</v>
      </c>
      <c r="G2134" s="286" t="s">
        <v>1019</v>
      </c>
      <c r="H2134" s="286" t="s">
        <v>1019</v>
      </c>
      <c r="I2134" s="286" t="s">
        <v>1152</v>
      </c>
      <c r="J2134" s="286" t="s">
        <v>1312</v>
      </c>
      <c r="K2134" s="286" t="s">
        <v>2504</v>
      </c>
      <c r="L2134" s="286" t="s">
        <v>53</v>
      </c>
      <c r="M2134" s="286">
        <v>1</v>
      </c>
      <c r="N2134" s="287">
        <v>-99.61</v>
      </c>
      <c r="O2134" s="294">
        <f t="shared" si="33"/>
        <v>45473</v>
      </c>
      <c r="P2134" s="286" t="s">
        <v>58</v>
      </c>
    </row>
    <row r="2135" spans="1:16" hidden="1" x14ac:dyDescent="0.15">
      <c r="A2135" s="286">
        <v>614316</v>
      </c>
      <c r="B2135" s="288">
        <v>45455.717361111114</v>
      </c>
      <c r="C2135" s="286" t="s">
        <v>2092</v>
      </c>
      <c r="D2135" s="286" t="s">
        <v>1105</v>
      </c>
      <c r="E2135" s="286" t="s">
        <v>1106</v>
      </c>
      <c r="F2135" s="286" t="s">
        <v>2167</v>
      </c>
      <c r="G2135" s="286" t="s">
        <v>1019</v>
      </c>
      <c r="H2135" s="286" t="s">
        <v>1019</v>
      </c>
      <c r="I2135" s="286" t="s">
        <v>1152</v>
      </c>
      <c r="J2135" s="286" t="s">
        <v>1312</v>
      </c>
      <c r="K2135" s="286" t="s">
        <v>2504</v>
      </c>
      <c r="L2135" s="286" t="s">
        <v>53</v>
      </c>
      <c r="M2135" s="286">
        <v>1</v>
      </c>
      <c r="N2135" s="287">
        <v>-99.61</v>
      </c>
      <c r="O2135" s="294">
        <f t="shared" si="33"/>
        <v>45473</v>
      </c>
      <c r="P2135" s="286" t="s">
        <v>58</v>
      </c>
    </row>
    <row r="2136" spans="1:16" hidden="1" x14ac:dyDescent="0.15">
      <c r="A2136" s="286">
        <v>646075</v>
      </c>
      <c r="B2136" s="288">
        <v>45474.519444444442</v>
      </c>
      <c r="C2136" s="286" t="s">
        <v>2111</v>
      </c>
      <c r="D2136" s="286" t="s">
        <v>1105</v>
      </c>
      <c r="E2136" s="286" t="s">
        <v>1106</v>
      </c>
      <c r="F2136" s="286" t="s">
        <v>2137</v>
      </c>
      <c r="G2136" s="286" t="s">
        <v>1019</v>
      </c>
      <c r="H2136" s="286" t="s">
        <v>1019</v>
      </c>
      <c r="I2136" s="286" t="s">
        <v>1152</v>
      </c>
      <c r="J2136" s="286" t="s">
        <v>1312</v>
      </c>
      <c r="K2136" s="286" t="s">
        <v>2504</v>
      </c>
      <c r="L2136" s="286" t="s">
        <v>53</v>
      </c>
      <c r="M2136" s="286">
        <v>1</v>
      </c>
      <c r="N2136" s="287">
        <v>-99.61</v>
      </c>
      <c r="O2136" s="294">
        <f t="shared" si="33"/>
        <v>45504</v>
      </c>
      <c r="P2136" s="286" t="s">
        <v>58</v>
      </c>
    </row>
    <row r="2137" spans="1:16" hidden="1" x14ac:dyDescent="0.15">
      <c r="A2137" s="286">
        <v>697810</v>
      </c>
      <c r="B2137" s="288">
        <v>45510.366666666669</v>
      </c>
      <c r="C2137" s="286" t="s">
        <v>2102</v>
      </c>
      <c r="D2137" s="286" t="s">
        <v>1105</v>
      </c>
      <c r="E2137" s="286" t="s">
        <v>1106</v>
      </c>
      <c r="F2137" s="286" t="s">
        <v>2138</v>
      </c>
      <c r="G2137" s="286" t="s">
        <v>1019</v>
      </c>
      <c r="H2137" s="286" t="s">
        <v>1019</v>
      </c>
      <c r="I2137" s="286" t="s">
        <v>1152</v>
      </c>
      <c r="J2137" s="286" t="s">
        <v>1312</v>
      </c>
      <c r="K2137" s="286" t="s">
        <v>2504</v>
      </c>
      <c r="L2137" s="286" t="s">
        <v>53</v>
      </c>
      <c r="M2137" s="286">
        <v>1</v>
      </c>
      <c r="N2137" s="287">
        <v>-99.61</v>
      </c>
      <c r="O2137" s="294">
        <f t="shared" si="33"/>
        <v>45535</v>
      </c>
      <c r="P2137" s="286" t="s">
        <v>58</v>
      </c>
    </row>
    <row r="2138" spans="1:16" hidden="1" x14ac:dyDescent="0.15">
      <c r="A2138" s="286">
        <v>745911</v>
      </c>
      <c r="B2138" s="288">
        <v>45538.44027777778</v>
      </c>
      <c r="C2138" s="286" t="s">
        <v>2132</v>
      </c>
      <c r="D2138" s="286" t="s">
        <v>1105</v>
      </c>
      <c r="E2138" s="286" t="s">
        <v>1106</v>
      </c>
      <c r="F2138" s="286" t="s">
        <v>2139</v>
      </c>
      <c r="G2138" s="286" t="s">
        <v>1019</v>
      </c>
      <c r="H2138" s="286" t="s">
        <v>1019</v>
      </c>
      <c r="I2138" s="286" t="s">
        <v>1152</v>
      </c>
      <c r="J2138" s="286" t="s">
        <v>1312</v>
      </c>
      <c r="K2138" s="286" t="s">
        <v>2504</v>
      </c>
      <c r="L2138" s="286" t="s">
        <v>53</v>
      </c>
      <c r="M2138" s="286">
        <v>1</v>
      </c>
      <c r="N2138" s="287">
        <v>-99.61</v>
      </c>
      <c r="O2138" s="294">
        <f t="shared" si="33"/>
        <v>45565</v>
      </c>
      <c r="P2138" s="286" t="s">
        <v>58</v>
      </c>
    </row>
    <row r="2139" spans="1:16" hidden="1" x14ac:dyDescent="0.15">
      <c r="A2139" s="286">
        <v>848817</v>
      </c>
      <c r="B2139" s="288">
        <v>45607.65902777778</v>
      </c>
      <c r="C2139" s="286" t="s">
        <v>2130</v>
      </c>
      <c r="D2139" s="286" t="s">
        <v>1105</v>
      </c>
      <c r="E2139" s="286" t="s">
        <v>1106</v>
      </c>
      <c r="F2139" s="286" t="s">
        <v>2140</v>
      </c>
      <c r="G2139" s="286" t="s">
        <v>1019</v>
      </c>
      <c r="H2139" s="286" t="s">
        <v>1019</v>
      </c>
      <c r="I2139" s="286" t="s">
        <v>1152</v>
      </c>
      <c r="J2139" s="286" t="s">
        <v>1312</v>
      </c>
      <c r="K2139" s="286" t="s">
        <v>2504</v>
      </c>
      <c r="L2139" s="286" t="s">
        <v>53</v>
      </c>
      <c r="M2139" s="286">
        <v>1</v>
      </c>
      <c r="N2139" s="287">
        <v>-99.61</v>
      </c>
      <c r="O2139" s="294">
        <f t="shared" si="33"/>
        <v>45626</v>
      </c>
      <c r="P2139" s="286" t="s">
        <v>58</v>
      </c>
    </row>
    <row r="2140" spans="1:16" hidden="1" x14ac:dyDescent="0.15">
      <c r="A2140" s="286">
        <v>848917</v>
      </c>
      <c r="B2140" s="288">
        <v>45607.660416666666</v>
      </c>
      <c r="C2140" s="286" t="s">
        <v>2100</v>
      </c>
      <c r="D2140" s="286" t="s">
        <v>1105</v>
      </c>
      <c r="E2140" s="286" t="s">
        <v>1106</v>
      </c>
      <c r="F2140" s="286" t="s">
        <v>2141</v>
      </c>
      <c r="G2140" s="286" t="s">
        <v>1019</v>
      </c>
      <c r="H2140" s="286" t="s">
        <v>1019</v>
      </c>
      <c r="I2140" s="286" t="s">
        <v>1152</v>
      </c>
      <c r="J2140" s="286" t="s">
        <v>1312</v>
      </c>
      <c r="K2140" s="286" t="s">
        <v>2504</v>
      </c>
      <c r="L2140" s="286" t="s">
        <v>53</v>
      </c>
      <c r="M2140" s="286">
        <v>1</v>
      </c>
      <c r="N2140" s="287">
        <v>-99.61</v>
      </c>
      <c r="O2140" s="294">
        <f t="shared" si="33"/>
        <v>45626</v>
      </c>
      <c r="P2140" s="286" t="s">
        <v>58</v>
      </c>
    </row>
    <row r="2141" spans="1:16" hidden="1" x14ac:dyDescent="0.15">
      <c r="A2141" s="286">
        <v>874698</v>
      </c>
      <c r="B2141" s="288">
        <v>45628.357638888891</v>
      </c>
      <c r="C2141" s="286" t="s">
        <v>2098</v>
      </c>
      <c r="D2141" s="286" t="s">
        <v>1105</v>
      </c>
      <c r="E2141" s="286" t="s">
        <v>1106</v>
      </c>
      <c r="F2141" s="286" t="s">
        <v>2142</v>
      </c>
      <c r="G2141" s="286" t="s">
        <v>1019</v>
      </c>
      <c r="H2141" s="286" t="s">
        <v>1019</v>
      </c>
      <c r="I2141" s="286" t="s">
        <v>1152</v>
      </c>
      <c r="J2141" s="286" t="s">
        <v>1312</v>
      </c>
      <c r="K2141" s="286" t="s">
        <v>2504</v>
      </c>
      <c r="L2141" s="286" t="s">
        <v>53</v>
      </c>
      <c r="M2141" s="286">
        <v>1</v>
      </c>
      <c r="N2141" s="287">
        <v>-99.61</v>
      </c>
      <c r="O2141" s="294">
        <f t="shared" si="33"/>
        <v>45657</v>
      </c>
      <c r="P2141" s="286" t="s">
        <v>58</v>
      </c>
    </row>
    <row r="2142" spans="1:16" hidden="1" x14ac:dyDescent="0.15">
      <c r="A2142" s="286">
        <v>741366</v>
      </c>
      <c r="B2142" s="288">
        <v>45532.655555555553</v>
      </c>
      <c r="C2142" s="286" t="s">
        <v>2102</v>
      </c>
      <c r="D2142" s="286" t="s">
        <v>1105</v>
      </c>
      <c r="E2142" s="286" t="s">
        <v>1106</v>
      </c>
      <c r="F2142" s="286" t="s">
        <v>2161</v>
      </c>
      <c r="G2142" s="286" t="s">
        <v>1021</v>
      </c>
      <c r="H2142" s="286" t="s">
        <v>1021</v>
      </c>
      <c r="I2142" s="286" t="s">
        <v>1152</v>
      </c>
      <c r="J2142" s="286" t="s">
        <v>1312</v>
      </c>
      <c r="K2142" s="286" t="s">
        <v>53</v>
      </c>
      <c r="L2142" s="286" t="s">
        <v>53</v>
      </c>
      <c r="M2142" s="286" t="s">
        <v>53</v>
      </c>
      <c r="N2142" s="287">
        <v>-100.25</v>
      </c>
      <c r="O2142" s="294">
        <f t="shared" si="33"/>
        <v>45535</v>
      </c>
      <c r="P2142" s="286" t="s">
        <v>58</v>
      </c>
    </row>
    <row r="2143" spans="1:16" hidden="1" x14ac:dyDescent="0.15">
      <c r="A2143" s="286">
        <v>785030</v>
      </c>
      <c r="B2143" s="288">
        <v>45559.581944444442</v>
      </c>
      <c r="C2143" s="286" t="s">
        <v>2132</v>
      </c>
      <c r="D2143" s="286" t="s">
        <v>1105</v>
      </c>
      <c r="E2143" s="286" t="s">
        <v>1106</v>
      </c>
      <c r="F2143" s="286" t="s">
        <v>2162</v>
      </c>
      <c r="G2143" s="286" t="s">
        <v>1021</v>
      </c>
      <c r="H2143" s="286" t="s">
        <v>1021</v>
      </c>
      <c r="I2143" s="286" t="s">
        <v>1152</v>
      </c>
      <c r="J2143" s="286" t="s">
        <v>1312</v>
      </c>
      <c r="K2143" s="286" t="s">
        <v>53</v>
      </c>
      <c r="L2143" s="286" t="s">
        <v>53</v>
      </c>
      <c r="M2143" s="286" t="s">
        <v>53</v>
      </c>
      <c r="N2143" s="287">
        <v>-100.25</v>
      </c>
      <c r="O2143" s="294">
        <f t="shared" si="33"/>
        <v>45565</v>
      </c>
      <c r="P2143" s="286" t="s">
        <v>58</v>
      </c>
    </row>
    <row r="2144" spans="1:16" hidden="1" x14ac:dyDescent="0.15">
      <c r="A2144" s="286">
        <v>821955</v>
      </c>
      <c r="B2144" s="288">
        <v>45587.62777777778</v>
      </c>
      <c r="C2144" s="286" t="s">
        <v>2130</v>
      </c>
      <c r="D2144" s="286" t="s">
        <v>1105</v>
      </c>
      <c r="E2144" s="286" t="s">
        <v>1106</v>
      </c>
      <c r="F2144" s="286" t="s">
        <v>2163</v>
      </c>
      <c r="G2144" s="286" t="s">
        <v>1021</v>
      </c>
      <c r="H2144" s="286" t="s">
        <v>1021</v>
      </c>
      <c r="I2144" s="286" t="s">
        <v>1152</v>
      </c>
      <c r="J2144" s="286" t="s">
        <v>1312</v>
      </c>
      <c r="K2144" s="286" t="s">
        <v>53</v>
      </c>
      <c r="L2144" s="286" t="s">
        <v>53</v>
      </c>
      <c r="M2144" s="286" t="s">
        <v>53</v>
      </c>
      <c r="N2144" s="287">
        <v>-100.25</v>
      </c>
      <c r="O2144" s="294">
        <f t="shared" si="33"/>
        <v>45596</v>
      </c>
      <c r="P2144" s="286" t="s">
        <v>58</v>
      </c>
    </row>
    <row r="2145" spans="1:16" hidden="1" x14ac:dyDescent="0.15">
      <c r="A2145" s="286">
        <v>646075</v>
      </c>
      <c r="B2145" s="288">
        <v>45474.519444444442</v>
      </c>
      <c r="C2145" s="286" t="s">
        <v>2111</v>
      </c>
      <c r="D2145" s="286" t="s">
        <v>1105</v>
      </c>
      <c r="E2145" s="286" t="s">
        <v>1106</v>
      </c>
      <c r="F2145" s="286" t="s">
        <v>2137</v>
      </c>
      <c r="G2145" s="286" t="s">
        <v>1080</v>
      </c>
      <c r="H2145" s="286" t="s">
        <v>1080</v>
      </c>
      <c r="I2145" s="286" t="s">
        <v>1228</v>
      </c>
      <c r="J2145" s="286" t="s">
        <v>1312</v>
      </c>
      <c r="K2145" s="286" t="s">
        <v>2502</v>
      </c>
      <c r="L2145" s="286" t="s">
        <v>53</v>
      </c>
      <c r="M2145" s="286">
        <v>1</v>
      </c>
      <c r="N2145" s="287">
        <v>-101.85</v>
      </c>
      <c r="O2145" s="294">
        <f t="shared" si="33"/>
        <v>45504</v>
      </c>
      <c r="P2145" s="286" t="s">
        <v>58</v>
      </c>
    </row>
    <row r="2146" spans="1:16" hidden="1" x14ac:dyDescent="0.15">
      <c r="A2146" s="286">
        <v>848817</v>
      </c>
      <c r="B2146" s="288">
        <v>45607.65902777778</v>
      </c>
      <c r="C2146" s="286" t="s">
        <v>2130</v>
      </c>
      <c r="D2146" s="286" t="s">
        <v>1105</v>
      </c>
      <c r="E2146" s="286" t="s">
        <v>1106</v>
      </c>
      <c r="F2146" s="286" t="s">
        <v>2140</v>
      </c>
      <c r="G2146" s="286" t="s">
        <v>1080</v>
      </c>
      <c r="H2146" s="286" t="s">
        <v>1080</v>
      </c>
      <c r="I2146" s="286" t="s">
        <v>1228</v>
      </c>
      <c r="J2146" s="286" t="s">
        <v>1312</v>
      </c>
      <c r="K2146" s="286" t="s">
        <v>2502</v>
      </c>
      <c r="L2146" s="286" t="s">
        <v>53</v>
      </c>
      <c r="M2146" s="286">
        <v>1</v>
      </c>
      <c r="N2146" s="287">
        <v>-101.85</v>
      </c>
      <c r="O2146" s="294">
        <f t="shared" si="33"/>
        <v>45626</v>
      </c>
      <c r="P2146" s="286" t="s">
        <v>58</v>
      </c>
    </row>
    <row r="2147" spans="1:16" hidden="1" x14ac:dyDescent="0.15">
      <c r="A2147" s="286">
        <v>874698</v>
      </c>
      <c r="B2147" s="288">
        <v>45628.357638888891</v>
      </c>
      <c r="C2147" s="286" t="s">
        <v>2098</v>
      </c>
      <c r="D2147" s="286" t="s">
        <v>1105</v>
      </c>
      <c r="E2147" s="286" t="s">
        <v>1106</v>
      </c>
      <c r="F2147" s="286" t="s">
        <v>2142</v>
      </c>
      <c r="G2147" s="286" t="s">
        <v>1080</v>
      </c>
      <c r="H2147" s="286" t="s">
        <v>1080</v>
      </c>
      <c r="I2147" s="286" t="s">
        <v>1228</v>
      </c>
      <c r="J2147" s="286" t="s">
        <v>1312</v>
      </c>
      <c r="K2147" s="286" t="s">
        <v>2502</v>
      </c>
      <c r="L2147" s="286" t="s">
        <v>53</v>
      </c>
      <c r="M2147" s="286">
        <v>1</v>
      </c>
      <c r="N2147" s="287">
        <v>-101.85</v>
      </c>
      <c r="O2147" s="294">
        <f t="shared" si="33"/>
        <v>45657</v>
      </c>
      <c r="P2147" s="286" t="s">
        <v>58</v>
      </c>
    </row>
    <row r="2148" spans="1:16" hidden="1" x14ac:dyDescent="0.15">
      <c r="A2148" s="286">
        <v>438112</v>
      </c>
      <c r="B2148" s="288">
        <v>45293.53402777778</v>
      </c>
      <c r="C2148" s="286" t="s">
        <v>2125</v>
      </c>
      <c r="D2148" s="286" t="s">
        <v>1105</v>
      </c>
      <c r="E2148" s="286" t="s">
        <v>1106</v>
      </c>
      <c r="F2148" s="286" t="s">
        <v>2152</v>
      </c>
      <c r="G2148" s="286" t="s">
        <v>1010</v>
      </c>
      <c r="H2148" s="286" t="s">
        <v>1010</v>
      </c>
      <c r="I2148" s="286" t="s">
        <v>1199</v>
      </c>
      <c r="J2148" s="286" t="s">
        <v>1312</v>
      </c>
      <c r="K2148" s="286" t="s">
        <v>2067</v>
      </c>
      <c r="L2148" s="286" t="s">
        <v>53</v>
      </c>
      <c r="M2148" s="286">
        <v>1</v>
      </c>
      <c r="N2148" s="287">
        <v>-115.16</v>
      </c>
      <c r="O2148" s="294">
        <f t="shared" si="33"/>
        <v>45322</v>
      </c>
      <c r="P2148" s="286" t="s">
        <v>58</v>
      </c>
    </row>
    <row r="2149" spans="1:16" hidden="1" x14ac:dyDescent="0.15">
      <c r="A2149" s="286">
        <v>472168</v>
      </c>
      <c r="B2149" s="288">
        <v>45331.416666666664</v>
      </c>
      <c r="C2149" s="286" t="s">
        <v>2113</v>
      </c>
      <c r="D2149" s="286" t="s">
        <v>1105</v>
      </c>
      <c r="E2149" s="286" t="s">
        <v>1106</v>
      </c>
      <c r="F2149" s="286" t="s">
        <v>2153</v>
      </c>
      <c r="G2149" s="286" t="s">
        <v>1010</v>
      </c>
      <c r="H2149" s="286" t="s">
        <v>1010</v>
      </c>
      <c r="I2149" s="286" t="s">
        <v>1199</v>
      </c>
      <c r="J2149" s="286" t="s">
        <v>1312</v>
      </c>
      <c r="K2149" s="286" t="s">
        <v>2067</v>
      </c>
      <c r="L2149" s="286" t="s">
        <v>53</v>
      </c>
      <c r="M2149" s="286">
        <v>1</v>
      </c>
      <c r="N2149" s="287">
        <v>-115.16</v>
      </c>
      <c r="O2149" s="294">
        <f t="shared" si="33"/>
        <v>45351</v>
      </c>
      <c r="P2149" s="286" t="s">
        <v>58</v>
      </c>
    </row>
    <row r="2150" spans="1:16" hidden="1" x14ac:dyDescent="0.15">
      <c r="A2150" s="286">
        <v>504817</v>
      </c>
      <c r="B2150" s="288">
        <v>45359.645138888889</v>
      </c>
      <c r="C2150" s="286" t="s">
        <v>2109</v>
      </c>
      <c r="D2150" s="286" t="s">
        <v>1105</v>
      </c>
      <c r="E2150" s="286" t="s">
        <v>1106</v>
      </c>
      <c r="F2150" s="286" t="s">
        <v>2154</v>
      </c>
      <c r="G2150" s="286" t="s">
        <v>1010</v>
      </c>
      <c r="H2150" s="286" t="s">
        <v>1010</v>
      </c>
      <c r="I2150" s="286" t="s">
        <v>1199</v>
      </c>
      <c r="J2150" s="286" t="s">
        <v>1312</v>
      </c>
      <c r="K2150" s="286" t="s">
        <v>2067</v>
      </c>
      <c r="L2150" s="286" t="s">
        <v>53</v>
      </c>
      <c r="M2150" s="286">
        <v>1</v>
      </c>
      <c r="N2150" s="287">
        <v>-115.16</v>
      </c>
      <c r="O2150" s="294">
        <f t="shared" si="33"/>
        <v>45382</v>
      </c>
      <c r="P2150" s="286" t="s">
        <v>58</v>
      </c>
    </row>
    <row r="2151" spans="1:16" hidden="1" x14ac:dyDescent="0.15">
      <c r="A2151" s="286">
        <v>534207</v>
      </c>
      <c r="B2151" s="288">
        <v>45385.750694444447</v>
      </c>
      <c r="C2151" s="286" t="s">
        <v>2096</v>
      </c>
      <c r="D2151" s="286" t="s">
        <v>1105</v>
      </c>
      <c r="E2151" s="286" t="s">
        <v>1106</v>
      </c>
      <c r="F2151" s="286" t="s">
        <v>2155</v>
      </c>
      <c r="G2151" s="286" t="s">
        <v>1010</v>
      </c>
      <c r="H2151" s="286" t="s">
        <v>1010</v>
      </c>
      <c r="I2151" s="286" t="s">
        <v>1199</v>
      </c>
      <c r="J2151" s="286" t="s">
        <v>1312</v>
      </c>
      <c r="K2151" s="286" t="s">
        <v>2067</v>
      </c>
      <c r="L2151" s="286" t="s">
        <v>53</v>
      </c>
      <c r="M2151" s="286">
        <v>1</v>
      </c>
      <c r="N2151" s="287">
        <v>-115.16</v>
      </c>
      <c r="O2151" s="294">
        <f t="shared" si="33"/>
        <v>45412</v>
      </c>
      <c r="P2151" s="286" t="s">
        <v>58</v>
      </c>
    </row>
    <row r="2152" spans="1:16" hidden="1" x14ac:dyDescent="0.15">
      <c r="A2152" s="286">
        <v>614216</v>
      </c>
      <c r="B2152" s="288">
        <v>45455.716666666667</v>
      </c>
      <c r="C2152" s="286" t="s">
        <v>2116</v>
      </c>
      <c r="D2152" s="286" t="s">
        <v>1105</v>
      </c>
      <c r="E2152" s="286" t="s">
        <v>1106</v>
      </c>
      <c r="F2152" s="286" t="s">
        <v>2156</v>
      </c>
      <c r="G2152" s="286" t="s">
        <v>1010</v>
      </c>
      <c r="H2152" s="286" t="s">
        <v>1010</v>
      </c>
      <c r="I2152" s="286" t="s">
        <v>1199</v>
      </c>
      <c r="J2152" s="286" t="s">
        <v>1312</v>
      </c>
      <c r="K2152" s="286" t="s">
        <v>2067</v>
      </c>
      <c r="L2152" s="286" t="s">
        <v>53</v>
      </c>
      <c r="M2152" s="286">
        <v>1</v>
      </c>
      <c r="N2152" s="287">
        <v>-115.16</v>
      </c>
      <c r="O2152" s="294">
        <f t="shared" si="33"/>
        <v>45473</v>
      </c>
      <c r="P2152" s="286" t="s">
        <v>58</v>
      </c>
    </row>
    <row r="2153" spans="1:16" hidden="1" x14ac:dyDescent="0.15">
      <c r="A2153" s="286">
        <v>608480</v>
      </c>
      <c r="B2153" s="288">
        <v>45450.422222222223</v>
      </c>
      <c r="C2153" s="286" t="s">
        <v>2092</v>
      </c>
      <c r="D2153" s="286" t="s">
        <v>1105</v>
      </c>
      <c r="E2153" s="286" t="s">
        <v>1106</v>
      </c>
      <c r="F2153" s="286" t="s">
        <v>2157</v>
      </c>
      <c r="G2153" s="286" t="s">
        <v>1010</v>
      </c>
      <c r="H2153" s="286" t="s">
        <v>1010</v>
      </c>
      <c r="I2153" s="286" t="s">
        <v>1199</v>
      </c>
      <c r="J2153" s="286" t="s">
        <v>1312</v>
      </c>
      <c r="K2153" s="286" t="s">
        <v>2067</v>
      </c>
      <c r="L2153" s="286" t="s">
        <v>53</v>
      </c>
      <c r="M2153" s="286">
        <v>1</v>
      </c>
      <c r="N2153" s="287">
        <v>-115.16</v>
      </c>
      <c r="O2153" s="294">
        <f t="shared" si="33"/>
        <v>45473</v>
      </c>
      <c r="P2153" s="286" t="s">
        <v>58</v>
      </c>
    </row>
    <row r="2154" spans="1:16" hidden="1" x14ac:dyDescent="0.15">
      <c r="A2154" s="286">
        <v>646075</v>
      </c>
      <c r="B2154" s="288">
        <v>45474.519444444442</v>
      </c>
      <c r="C2154" s="286" t="s">
        <v>2111</v>
      </c>
      <c r="D2154" s="286" t="s">
        <v>1105</v>
      </c>
      <c r="E2154" s="286" t="s">
        <v>1106</v>
      </c>
      <c r="F2154" s="286" t="s">
        <v>2137</v>
      </c>
      <c r="G2154" s="286" t="s">
        <v>1010</v>
      </c>
      <c r="H2154" s="286" t="s">
        <v>1010</v>
      </c>
      <c r="I2154" s="286" t="s">
        <v>1199</v>
      </c>
      <c r="J2154" s="286" t="s">
        <v>1312</v>
      </c>
      <c r="K2154" s="286" t="s">
        <v>2067</v>
      </c>
      <c r="L2154" s="286" t="s">
        <v>53</v>
      </c>
      <c r="M2154" s="286">
        <v>1</v>
      </c>
      <c r="N2154" s="287">
        <v>-115.16</v>
      </c>
      <c r="O2154" s="294">
        <f t="shared" si="33"/>
        <v>45504</v>
      </c>
      <c r="P2154" s="286" t="s">
        <v>58</v>
      </c>
    </row>
    <row r="2155" spans="1:16" hidden="1" x14ac:dyDescent="0.15">
      <c r="A2155" s="286">
        <v>697810</v>
      </c>
      <c r="B2155" s="288">
        <v>45510.366666666669</v>
      </c>
      <c r="C2155" s="286" t="s">
        <v>2102</v>
      </c>
      <c r="D2155" s="286" t="s">
        <v>1105</v>
      </c>
      <c r="E2155" s="286" t="s">
        <v>1106</v>
      </c>
      <c r="F2155" s="286" t="s">
        <v>2138</v>
      </c>
      <c r="G2155" s="286" t="s">
        <v>1010</v>
      </c>
      <c r="H2155" s="286" t="s">
        <v>1010</v>
      </c>
      <c r="I2155" s="286" t="s">
        <v>1199</v>
      </c>
      <c r="J2155" s="286" t="s">
        <v>1312</v>
      </c>
      <c r="K2155" s="286" t="s">
        <v>2067</v>
      </c>
      <c r="L2155" s="286" t="s">
        <v>53</v>
      </c>
      <c r="M2155" s="286">
        <v>1</v>
      </c>
      <c r="N2155" s="287">
        <v>-115.16</v>
      </c>
      <c r="O2155" s="294">
        <f t="shared" si="33"/>
        <v>45535</v>
      </c>
      <c r="P2155" s="286" t="s">
        <v>58</v>
      </c>
    </row>
    <row r="2156" spans="1:16" hidden="1" x14ac:dyDescent="0.15">
      <c r="A2156" s="286">
        <v>745911</v>
      </c>
      <c r="B2156" s="288">
        <v>45538.44027777778</v>
      </c>
      <c r="C2156" s="286" t="s">
        <v>2132</v>
      </c>
      <c r="D2156" s="286" t="s">
        <v>1105</v>
      </c>
      <c r="E2156" s="286" t="s">
        <v>1106</v>
      </c>
      <c r="F2156" s="286" t="s">
        <v>2139</v>
      </c>
      <c r="G2156" s="286" t="s">
        <v>1010</v>
      </c>
      <c r="H2156" s="286" t="s">
        <v>1010</v>
      </c>
      <c r="I2156" s="286" t="s">
        <v>1199</v>
      </c>
      <c r="J2156" s="286" t="s">
        <v>1312</v>
      </c>
      <c r="K2156" s="286" t="s">
        <v>2067</v>
      </c>
      <c r="L2156" s="286" t="s">
        <v>53</v>
      </c>
      <c r="M2156" s="286">
        <v>1</v>
      </c>
      <c r="N2156" s="287">
        <v>-115.16</v>
      </c>
      <c r="O2156" s="294">
        <f t="shared" si="33"/>
        <v>45565</v>
      </c>
      <c r="P2156" s="286" t="s">
        <v>58</v>
      </c>
    </row>
    <row r="2157" spans="1:16" hidden="1" x14ac:dyDescent="0.15">
      <c r="A2157" s="286">
        <v>874698</v>
      </c>
      <c r="B2157" s="288">
        <v>45628.357638888891</v>
      </c>
      <c r="C2157" s="286" t="s">
        <v>2098</v>
      </c>
      <c r="D2157" s="286" t="s">
        <v>1105</v>
      </c>
      <c r="E2157" s="286" t="s">
        <v>1106</v>
      </c>
      <c r="F2157" s="286" t="s">
        <v>2142</v>
      </c>
      <c r="G2157" s="286" t="s">
        <v>1077</v>
      </c>
      <c r="H2157" s="286" t="s">
        <v>1077</v>
      </c>
      <c r="I2157" s="286" t="s">
        <v>1152</v>
      </c>
      <c r="J2157" s="286" t="s">
        <v>1312</v>
      </c>
      <c r="K2157" s="286" t="s">
        <v>2508</v>
      </c>
      <c r="L2157" s="286" t="s">
        <v>53</v>
      </c>
      <c r="M2157" s="286">
        <v>1</v>
      </c>
      <c r="N2157" s="287">
        <v>-116.9</v>
      </c>
      <c r="O2157" s="294">
        <f t="shared" si="33"/>
        <v>45657</v>
      </c>
      <c r="P2157" s="286" t="s">
        <v>58</v>
      </c>
    </row>
    <row r="2158" spans="1:16" hidden="1" x14ac:dyDescent="0.15">
      <c r="A2158" s="286">
        <v>720637</v>
      </c>
      <c r="B2158" s="288">
        <v>45523.415277777778</v>
      </c>
      <c r="C2158" s="286" t="s">
        <v>2102</v>
      </c>
      <c r="D2158" s="286" t="s">
        <v>1105</v>
      </c>
      <c r="E2158" s="286" t="s">
        <v>1106</v>
      </c>
      <c r="F2158" s="286" t="s">
        <v>2313</v>
      </c>
      <c r="G2158" s="286" t="s">
        <v>1080</v>
      </c>
      <c r="H2158" s="286" t="s">
        <v>1080</v>
      </c>
      <c r="I2158" s="286" t="s">
        <v>1129</v>
      </c>
      <c r="J2158" s="286" t="s">
        <v>1312</v>
      </c>
      <c r="K2158" s="286" t="s">
        <v>2495</v>
      </c>
      <c r="L2158" s="286" t="s">
        <v>2496</v>
      </c>
      <c r="M2158" s="286">
        <v>1</v>
      </c>
      <c r="N2158" s="287">
        <v>-117.93</v>
      </c>
      <c r="O2158" s="294">
        <f t="shared" si="33"/>
        <v>45535</v>
      </c>
      <c r="P2158" s="286" t="s">
        <v>164</v>
      </c>
    </row>
    <row r="2159" spans="1:16" hidden="1" x14ac:dyDescent="0.15">
      <c r="A2159" s="286">
        <v>874698</v>
      </c>
      <c r="B2159" s="288">
        <v>45628.357638888891</v>
      </c>
      <c r="C2159" s="286" t="s">
        <v>2098</v>
      </c>
      <c r="D2159" s="286" t="s">
        <v>1105</v>
      </c>
      <c r="E2159" s="286" t="s">
        <v>1106</v>
      </c>
      <c r="F2159" s="286" t="s">
        <v>2142</v>
      </c>
      <c r="G2159" s="286" t="s">
        <v>1052</v>
      </c>
      <c r="H2159" s="286" t="s">
        <v>1052</v>
      </c>
      <c r="I2159" s="286" t="s">
        <v>1228</v>
      </c>
      <c r="J2159" s="286" t="s">
        <v>1312</v>
      </c>
      <c r="K2159" s="286" t="s">
        <v>1770</v>
      </c>
      <c r="L2159" s="286" t="s">
        <v>672</v>
      </c>
      <c r="M2159" s="286">
        <v>0</v>
      </c>
      <c r="N2159" s="287">
        <v>-125.71</v>
      </c>
      <c r="O2159" s="294">
        <f t="shared" si="33"/>
        <v>45657</v>
      </c>
      <c r="P2159" s="286" t="s">
        <v>58</v>
      </c>
    </row>
    <row r="2160" spans="1:16" hidden="1" x14ac:dyDescent="0.15">
      <c r="A2160" s="286">
        <v>874698</v>
      </c>
      <c r="B2160" s="288">
        <v>45628.357638888891</v>
      </c>
      <c r="C2160" s="286" t="s">
        <v>2098</v>
      </c>
      <c r="D2160" s="286" t="s">
        <v>1105</v>
      </c>
      <c r="E2160" s="286" t="s">
        <v>1106</v>
      </c>
      <c r="F2160" s="286" t="s">
        <v>2142</v>
      </c>
      <c r="G2160" s="286" t="s">
        <v>1052</v>
      </c>
      <c r="H2160" s="286" t="s">
        <v>1052</v>
      </c>
      <c r="I2160" s="286" t="s">
        <v>1228</v>
      </c>
      <c r="J2160" s="286" t="s">
        <v>1312</v>
      </c>
      <c r="K2160" s="286" t="s">
        <v>1808</v>
      </c>
      <c r="L2160" s="286" t="s">
        <v>53</v>
      </c>
      <c r="M2160" s="286">
        <v>0</v>
      </c>
      <c r="N2160" s="287">
        <v>-125.71</v>
      </c>
      <c r="O2160" s="294">
        <f t="shared" si="33"/>
        <v>45657</v>
      </c>
      <c r="P2160" s="286" t="s">
        <v>58</v>
      </c>
    </row>
    <row r="2161" spans="1:16" hidden="1" x14ac:dyDescent="0.15">
      <c r="A2161" s="286">
        <v>614316</v>
      </c>
      <c r="B2161" s="288">
        <v>45455.717361111114</v>
      </c>
      <c r="C2161" s="286" t="s">
        <v>2092</v>
      </c>
      <c r="D2161" s="286" t="s">
        <v>1105</v>
      </c>
      <c r="E2161" s="286" t="s">
        <v>1106</v>
      </c>
      <c r="F2161" s="286" t="s">
        <v>2167</v>
      </c>
      <c r="G2161" s="286" t="s">
        <v>1039</v>
      </c>
      <c r="H2161" s="286" t="s">
        <v>1039</v>
      </c>
      <c r="I2161" s="286" t="s">
        <v>1228</v>
      </c>
      <c r="J2161" s="286" t="s">
        <v>1312</v>
      </c>
      <c r="K2161" s="286" t="s">
        <v>53</v>
      </c>
      <c r="L2161" s="286" t="s">
        <v>53</v>
      </c>
      <c r="M2161" s="286" t="s">
        <v>53</v>
      </c>
      <c r="N2161" s="287">
        <v>-125.93</v>
      </c>
      <c r="O2161" s="294">
        <f t="shared" si="33"/>
        <v>45473</v>
      </c>
      <c r="P2161" s="286" t="s">
        <v>58</v>
      </c>
    </row>
    <row r="2162" spans="1:16" hidden="1" x14ac:dyDescent="0.15">
      <c r="A2162" s="286">
        <v>848917</v>
      </c>
      <c r="B2162" s="288">
        <v>45607.660416666666</v>
      </c>
      <c r="C2162" s="286" t="s">
        <v>2100</v>
      </c>
      <c r="D2162" s="286" t="s">
        <v>1105</v>
      </c>
      <c r="E2162" s="286" t="s">
        <v>1106</v>
      </c>
      <c r="F2162" s="286" t="s">
        <v>2141</v>
      </c>
      <c r="G2162" s="286" t="s">
        <v>1010</v>
      </c>
      <c r="H2162" s="286" t="s">
        <v>1010</v>
      </c>
      <c r="I2162" s="286" t="s">
        <v>1199</v>
      </c>
      <c r="J2162" s="286" t="s">
        <v>1312</v>
      </c>
      <c r="K2162" s="286" t="s">
        <v>2067</v>
      </c>
      <c r="L2162" s="286" t="s">
        <v>53</v>
      </c>
      <c r="M2162" s="286">
        <v>1</v>
      </c>
      <c r="N2162" s="287">
        <v>-126.7</v>
      </c>
      <c r="O2162" s="294">
        <f t="shared" si="33"/>
        <v>45626</v>
      </c>
      <c r="P2162" s="286" t="s">
        <v>58</v>
      </c>
    </row>
    <row r="2163" spans="1:16" hidden="1" x14ac:dyDescent="0.15">
      <c r="A2163" s="286">
        <v>874698</v>
      </c>
      <c r="B2163" s="288">
        <v>45628.357638888891</v>
      </c>
      <c r="C2163" s="286" t="s">
        <v>2098</v>
      </c>
      <c r="D2163" s="286" t="s">
        <v>1105</v>
      </c>
      <c r="E2163" s="286" t="s">
        <v>1106</v>
      </c>
      <c r="F2163" s="286" t="s">
        <v>2142</v>
      </c>
      <c r="G2163" s="286" t="s">
        <v>1010</v>
      </c>
      <c r="H2163" s="286" t="s">
        <v>1010</v>
      </c>
      <c r="I2163" s="286" t="s">
        <v>1199</v>
      </c>
      <c r="J2163" s="286" t="s">
        <v>1312</v>
      </c>
      <c r="K2163" s="286" t="s">
        <v>2067</v>
      </c>
      <c r="L2163" s="286" t="s">
        <v>53</v>
      </c>
      <c r="M2163" s="286">
        <v>1</v>
      </c>
      <c r="N2163" s="287">
        <v>-126.7</v>
      </c>
      <c r="O2163" s="294">
        <f t="shared" si="33"/>
        <v>45657</v>
      </c>
      <c r="P2163" s="286" t="s">
        <v>58</v>
      </c>
    </row>
    <row r="2164" spans="1:16" hidden="1" x14ac:dyDescent="0.15">
      <c r="A2164" s="286">
        <v>455870</v>
      </c>
      <c r="B2164" s="288">
        <v>45310.583333333336</v>
      </c>
      <c r="C2164" s="286" t="s">
        <v>2125</v>
      </c>
      <c r="D2164" s="286" t="s">
        <v>1105</v>
      </c>
      <c r="E2164" s="286" t="s">
        <v>1106</v>
      </c>
      <c r="F2164" s="286" t="s">
        <v>2280</v>
      </c>
      <c r="G2164" s="286" t="s">
        <v>1080</v>
      </c>
      <c r="H2164" s="286" t="s">
        <v>1080</v>
      </c>
      <c r="I2164" s="286" t="s">
        <v>1228</v>
      </c>
      <c r="J2164" s="286" t="s">
        <v>1312</v>
      </c>
      <c r="K2164" s="286" t="s">
        <v>1770</v>
      </c>
      <c r="L2164" s="286" t="s">
        <v>53</v>
      </c>
      <c r="M2164" s="286">
        <v>1</v>
      </c>
      <c r="N2164" s="287">
        <v>-132.27000000000001</v>
      </c>
      <c r="O2164" s="294">
        <f t="shared" si="33"/>
        <v>45322</v>
      </c>
      <c r="P2164" s="286" t="s">
        <v>58</v>
      </c>
    </row>
    <row r="2165" spans="1:16" hidden="1" x14ac:dyDescent="0.15">
      <c r="A2165" s="286">
        <v>472168</v>
      </c>
      <c r="B2165" s="288">
        <v>45331.416666666664</v>
      </c>
      <c r="C2165" s="286" t="s">
        <v>2113</v>
      </c>
      <c r="D2165" s="286" t="s">
        <v>1105</v>
      </c>
      <c r="E2165" s="286" t="s">
        <v>1106</v>
      </c>
      <c r="F2165" s="286" t="s">
        <v>2153</v>
      </c>
      <c r="G2165" s="286" t="s">
        <v>1080</v>
      </c>
      <c r="H2165" s="286" t="s">
        <v>1080</v>
      </c>
      <c r="I2165" s="286" t="s">
        <v>1228</v>
      </c>
      <c r="J2165" s="286" t="s">
        <v>1312</v>
      </c>
      <c r="K2165" s="286" t="s">
        <v>1770</v>
      </c>
      <c r="L2165" s="286" t="s">
        <v>53</v>
      </c>
      <c r="M2165" s="286">
        <v>1</v>
      </c>
      <c r="N2165" s="287">
        <v>-132.27000000000001</v>
      </c>
      <c r="O2165" s="294">
        <f t="shared" si="33"/>
        <v>45351</v>
      </c>
      <c r="P2165" s="286" t="s">
        <v>58</v>
      </c>
    </row>
    <row r="2166" spans="1:16" hidden="1" x14ac:dyDescent="0.15">
      <c r="A2166" s="286">
        <v>534207</v>
      </c>
      <c r="B2166" s="288">
        <v>45385.750694444447</v>
      </c>
      <c r="C2166" s="286" t="s">
        <v>2096</v>
      </c>
      <c r="D2166" s="286" t="s">
        <v>1105</v>
      </c>
      <c r="E2166" s="286" t="s">
        <v>1106</v>
      </c>
      <c r="F2166" s="286" t="s">
        <v>2155</v>
      </c>
      <c r="G2166" s="286" t="s">
        <v>1080</v>
      </c>
      <c r="H2166" s="286" t="s">
        <v>1080</v>
      </c>
      <c r="I2166" s="286" t="s">
        <v>1228</v>
      </c>
      <c r="J2166" s="286" t="s">
        <v>1312</v>
      </c>
      <c r="K2166" s="286" t="s">
        <v>1770</v>
      </c>
      <c r="L2166" s="286" t="s">
        <v>53</v>
      </c>
      <c r="M2166" s="286">
        <v>1</v>
      </c>
      <c r="N2166" s="287">
        <v>-132.27000000000001</v>
      </c>
      <c r="O2166" s="294">
        <f t="shared" si="33"/>
        <v>45412</v>
      </c>
      <c r="P2166" s="286" t="s">
        <v>58</v>
      </c>
    </row>
    <row r="2167" spans="1:16" hidden="1" x14ac:dyDescent="0.15">
      <c r="A2167" s="286">
        <v>614316</v>
      </c>
      <c r="B2167" s="288">
        <v>45455.717361111114</v>
      </c>
      <c r="C2167" s="286" t="s">
        <v>2092</v>
      </c>
      <c r="D2167" s="286" t="s">
        <v>1105</v>
      </c>
      <c r="E2167" s="286" t="s">
        <v>1106</v>
      </c>
      <c r="F2167" s="286" t="s">
        <v>2167</v>
      </c>
      <c r="G2167" s="286" t="s">
        <v>1080</v>
      </c>
      <c r="H2167" s="286" t="s">
        <v>1080</v>
      </c>
      <c r="I2167" s="286" t="s">
        <v>1228</v>
      </c>
      <c r="J2167" s="286" t="s">
        <v>1312</v>
      </c>
      <c r="K2167" s="286" t="s">
        <v>1770</v>
      </c>
      <c r="L2167" s="286" t="s">
        <v>53</v>
      </c>
      <c r="M2167" s="286">
        <v>1</v>
      </c>
      <c r="N2167" s="287">
        <v>-132.27000000000001</v>
      </c>
      <c r="O2167" s="294">
        <f t="shared" si="33"/>
        <v>45473</v>
      </c>
      <c r="P2167" s="286" t="s">
        <v>58</v>
      </c>
    </row>
    <row r="2168" spans="1:16" hidden="1" x14ac:dyDescent="0.15">
      <c r="A2168" s="286">
        <v>534207</v>
      </c>
      <c r="B2168" s="288">
        <v>45385.750694444447</v>
      </c>
      <c r="C2168" s="286" t="s">
        <v>2096</v>
      </c>
      <c r="D2168" s="286" t="s">
        <v>1105</v>
      </c>
      <c r="E2168" s="286" t="s">
        <v>1106</v>
      </c>
      <c r="F2168" s="286" t="s">
        <v>2155</v>
      </c>
      <c r="G2168" s="286" t="s">
        <v>1008</v>
      </c>
      <c r="H2168" s="286" t="s">
        <v>1008</v>
      </c>
      <c r="I2168" s="286" t="s">
        <v>1199</v>
      </c>
      <c r="J2168" s="286" t="s">
        <v>1312</v>
      </c>
      <c r="K2168" s="286" t="s">
        <v>2064</v>
      </c>
      <c r="L2168" s="286" t="s">
        <v>53</v>
      </c>
      <c r="M2168" s="286">
        <v>1</v>
      </c>
      <c r="N2168" s="287">
        <v>-135.85</v>
      </c>
      <c r="O2168" s="294">
        <f t="shared" si="33"/>
        <v>45412</v>
      </c>
      <c r="P2168" s="286" t="s">
        <v>58</v>
      </c>
    </row>
    <row r="2169" spans="1:16" hidden="1" x14ac:dyDescent="0.15">
      <c r="A2169" s="286">
        <v>614216</v>
      </c>
      <c r="B2169" s="288">
        <v>45455.716666666667</v>
      </c>
      <c r="C2169" s="286" t="s">
        <v>2116</v>
      </c>
      <c r="D2169" s="286" t="s">
        <v>1105</v>
      </c>
      <c r="E2169" s="286" t="s">
        <v>1106</v>
      </c>
      <c r="F2169" s="286" t="s">
        <v>2156</v>
      </c>
      <c r="G2169" s="286" t="s">
        <v>1008</v>
      </c>
      <c r="H2169" s="286" t="s">
        <v>1008</v>
      </c>
      <c r="I2169" s="286" t="s">
        <v>1199</v>
      </c>
      <c r="J2169" s="286" t="s">
        <v>1312</v>
      </c>
      <c r="K2169" s="286" t="s">
        <v>2064</v>
      </c>
      <c r="L2169" s="286" t="s">
        <v>53</v>
      </c>
      <c r="M2169" s="286">
        <v>1</v>
      </c>
      <c r="N2169" s="287">
        <v>-135.85</v>
      </c>
      <c r="O2169" s="294">
        <f t="shared" si="33"/>
        <v>45473</v>
      </c>
      <c r="P2169" s="286" t="s">
        <v>58</v>
      </c>
    </row>
    <row r="2170" spans="1:16" hidden="1" x14ac:dyDescent="0.15">
      <c r="A2170" s="286">
        <v>608480</v>
      </c>
      <c r="B2170" s="288">
        <v>45450.422222222223</v>
      </c>
      <c r="C2170" s="286" t="s">
        <v>2092</v>
      </c>
      <c r="D2170" s="286" t="s">
        <v>1105</v>
      </c>
      <c r="E2170" s="286" t="s">
        <v>1106</v>
      </c>
      <c r="F2170" s="286" t="s">
        <v>2157</v>
      </c>
      <c r="G2170" s="286" t="s">
        <v>1008</v>
      </c>
      <c r="H2170" s="286" t="s">
        <v>1008</v>
      </c>
      <c r="I2170" s="286" t="s">
        <v>1199</v>
      </c>
      <c r="J2170" s="286" t="s">
        <v>1312</v>
      </c>
      <c r="K2170" s="286" t="s">
        <v>2064</v>
      </c>
      <c r="L2170" s="286" t="s">
        <v>53</v>
      </c>
      <c r="M2170" s="286">
        <v>1</v>
      </c>
      <c r="N2170" s="287">
        <v>-135.85</v>
      </c>
      <c r="O2170" s="294">
        <f t="shared" si="33"/>
        <v>45473</v>
      </c>
      <c r="P2170" s="286" t="s">
        <v>58</v>
      </c>
    </row>
    <row r="2171" spans="1:16" hidden="1" x14ac:dyDescent="0.15">
      <c r="A2171" s="286">
        <v>646075</v>
      </c>
      <c r="B2171" s="288">
        <v>45474.519444444442</v>
      </c>
      <c r="C2171" s="286" t="s">
        <v>2111</v>
      </c>
      <c r="D2171" s="286" t="s">
        <v>1105</v>
      </c>
      <c r="E2171" s="286" t="s">
        <v>1106</v>
      </c>
      <c r="F2171" s="286" t="s">
        <v>2137</v>
      </c>
      <c r="G2171" s="286" t="s">
        <v>1008</v>
      </c>
      <c r="H2171" s="286" t="s">
        <v>1008</v>
      </c>
      <c r="I2171" s="286" t="s">
        <v>1199</v>
      </c>
      <c r="J2171" s="286" t="s">
        <v>1312</v>
      </c>
      <c r="K2171" s="286" t="s">
        <v>2064</v>
      </c>
      <c r="L2171" s="286" t="s">
        <v>53</v>
      </c>
      <c r="M2171" s="286">
        <v>1</v>
      </c>
      <c r="N2171" s="287">
        <v>-135.85</v>
      </c>
      <c r="O2171" s="294">
        <f t="shared" si="33"/>
        <v>45504</v>
      </c>
      <c r="P2171" s="286" t="s">
        <v>58</v>
      </c>
    </row>
    <row r="2172" spans="1:16" hidden="1" x14ac:dyDescent="0.15">
      <c r="A2172" s="286">
        <v>697810</v>
      </c>
      <c r="B2172" s="288">
        <v>45510.366666666669</v>
      </c>
      <c r="C2172" s="286" t="s">
        <v>2102</v>
      </c>
      <c r="D2172" s="286" t="s">
        <v>1105</v>
      </c>
      <c r="E2172" s="286" t="s">
        <v>1106</v>
      </c>
      <c r="F2172" s="286" t="s">
        <v>2138</v>
      </c>
      <c r="G2172" s="286" t="s">
        <v>1008</v>
      </c>
      <c r="H2172" s="286" t="s">
        <v>1008</v>
      </c>
      <c r="I2172" s="286" t="s">
        <v>1199</v>
      </c>
      <c r="J2172" s="286" t="s">
        <v>1312</v>
      </c>
      <c r="K2172" s="286" t="s">
        <v>2064</v>
      </c>
      <c r="L2172" s="286" t="s">
        <v>53</v>
      </c>
      <c r="M2172" s="286">
        <v>1</v>
      </c>
      <c r="N2172" s="287">
        <v>-135.85</v>
      </c>
      <c r="O2172" s="294">
        <f t="shared" si="33"/>
        <v>45535</v>
      </c>
      <c r="P2172" s="286" t="s">
        <v>58</v>
      </c>
    </row>
    <row r="2173" spans="1:16" hidden="1" x14ac:dyDescent="0.15">
      <c r="A2173" s="286">
        <v>745911</v>
      </c>
      <c r="B2173" s="288">
        <v>45538.44027777778</v>
      </c>
      <c r="C2173" s="286" t="s">
        <v>2132</v>
      </c>
      <c r="D2173" s="286" t="s">
        <v>1105</v>
      </c>
      <c r="E2173" s="286" t="s">
        <v>1106</v>
      </c>
      <c r="F2173" s="286" t="s">
        <v>2139</v>
      </c>
      <c r="G2173" s="286" t="s">
        <v>1008</v>
      </c>
      <c r="H2173" s="286" t="s">
        <v>1008</v>
      </c>
      <c r="I2173" s="286" t="s">
        <v>1199</v>
      </c>
      <c r="J2173" s="286" t="s">
        <v>1312</v>
      </c>
      <c r="K2173" s="286" t="s">
        <v>2064</v>
      </c>
      <c r="L2173" s="286" t="s">
        <v>53</v>
      </c>
      <c r="M2173" s="286">
        <v>1</v>
      </c>
      <c r="N2173" s="287">
        <v>-135.85</v>
      </c>
      <c r="O2173" s="294">
        <f t="shared" si="33"/>
        <v>45565</v>
      </c>
      <c r="P2173" s="286" t="s">
        <v>58</v>
      </c>
    </row>
    <row r="2174" spans="1:16" hidden="1" x14ac:dyDescent="0.15">
      <c r="A2174" s="286">
        <v>848817</v>
      </c>
      <c r="B2174" s="288">
        <v>45607.65902777778</v>
      </c>
      <c r="C2174" s="286" t="s">
        <v>2130</v>
      </c>
      <c r="D2174" s="286" t="s">
        <v>1105</v>
      </c>
      <c r="E2174" s="286" t="s">
        <v>1106</v>
      </c>
      <c r="F2174" s="286" t="s">
        <v>2140</v>
      </c>
      <c r="G2174" s="286" t="s">
        <v>1008</v>
      </c>
      <c r="H2174" s="286" t="s">
        <v>1008</v>
      </c>
      <c r="I2174" s="286" t="s">
        <v>1199</v>
      </c>
      <c r="J2174" s="286" t="s">
        <v>1312</v>
      </c>
      <c r="K2174" s="286" t="s">
        <v>2064</v>
      </c>
      <c r="L2174" s="286" t="s">
        <v>53</v>
      </c>
      <c r="M2174" s="286">
        <v>1</v>
      </c>
      <c r="N2174" s="287">
        <v>-135.85</v>
      </c>
      <c r="O2174" s="294">
        <f t="shared" si="33"/>
        <v>45626</v>
      </c>
      <c r="P2174" s="286" t="s">
        <v>58</v>
      </c>
    </row>
    <row r="2175" spans="1:16" hidden="1" x14ac:dyDescent="0.15">
      <c r="A2175" s="286">
        <v>848917</v>
      </c>
      <c r="B2175" s="288">
        <v>45607.660416666666</v>
      </c>
      <c r="C2175" s="286" t="s">
        <v>2100</v>
      </c>
      <c r="D2175" s="286" t="s">
        <v>1105</v>
      </c>
      <c r="E2175" s="286" t="s">
        <v>1106</v>
      </c>
      <c r="F2175" s="286" t="s">
        <v>2141</v>
      </c>
      <c r="G2175" s="286" t="s">
        <v>1008</v>
      </c>
      <c r="H2175" s="286" t="s">
        <v>1008</v>
      </c>
      <c r="I2175" s="286" t="s">
        <v>1199</v>
      </c>
      <c r="J2175" s="286" t="s">
        <v>1312</v>
      </c>
      <c r="K2175" s="286" t="s">
        <v>2064</v>
      </c>
      <c r="L2175" s="286" t="s">
        <v>53</v>
      </c>
      <c r="M2175" s="286">
        <v>1</v>
      </c>
      <c r="N2175" s="287">
        <v>-135.85</v>
      </c>
      <c r="O2175" s="294">
        <f t="shared" si="33"/>
        <v>45626</v>
      </c>
      <c r="P2175" s="286" t="s">
        <v>58</v>
      </c>
    </row>
    <row r="2176" spans="1:16" hidden="1" x14ac:dyDescent="0.15">
      <c r="A2176" s="286">
        <v>874698</v>
      </c>
      <c r="B2176" s="288">
        <v>45628.357638888891</v>
      </c>
      <c r="C2176" s="286" t="s">
        <v>2098</v>
      </c>
      <c r="D2176" s="286" t="s">
        <v>1105</v>
      </c>
      <c r="E2176" s="286" t="s">
        <v>1106</v>
      </c>
      <c r="F2176" s="286" t="s">
        <v>2142</v>
      </c>
      <c r="G2176" s="286" t="s">
        <v>1008</v>
      </c>
      <c r="H2176" s="286" t="s">
        <v>1008</v>
      </c>
      <c r="I2176" s="286" t="s">
        <v>1199</v>
      </c>
      <c r="J2176" s="286" t="s">
        <v>1312</v>
      </c>
      <c r="K2176" s="286" t="s">
        <v>2064</v>
      </c>
      <c r="L2176" s="286" t="s">
        <v>53</v>
      </c>
      <c r="M2176" s="286">
        <v>1</v>
      </c>
      <c r="N2176" s="287">
        <v>-135.85</v>
      </c>
      <c r="O2176" s="294">
        <f t="shared" si="33"/>
        <v>45657</v>
      </c>
      <c r="P2176" s="286" t="s">
        <v>58</v>
      </c>
    </row>
    <row r="2177" spans="1:16" hidden="1" x14ac:dyDescent="0.15">
      <c r="A2177" s="286">
        <v>614216</v>
      </c>
      <c r="B2177" s="288">
        <v>45455.716666666667</v>
      </c>
      <c r="C2177" s="286" t="s">
        <v>2116</v>
      </c>
      <c r="D2177" s="286" t="s">
        <v>1105</v>
      </c>
      <c r="E2177" s="286" t="s">
        <v>1106</v>
      </c>
      <c r="F2177" s="286" t="s">
        <v>2156</v>
      </c>
      <c r="G2177" s="286" t="s">
        <v>1080</v>
      </c>
      <c r="H2177" s="286" t="s">
        <v>1080</v>
      </c>
      <c r="I2177" s="286" t="s">
        <v>1228</v>
      </c>
      <c r="J2177" s="286" t="s">
        <v>1312</v>
      </c>
      <c r="K2177" s="286" t="s">
        <v>1770</v>
      </c>
      <c r="L2177" s="286" t="s">
        <v>53</v>
      </c>
      <c r="M2177" s="286">
        <v>1</v>
      </c>
      <c r="N2177" s="287">
        <v>-136.68</v>
      </c>
      <c r="O2177" s="294">
        <f t="shared" si="33"/>
        <v>45473</v>
      </c>
      <c r="P2177" s="286" t="s">
        <v>58</v>
      </c>
    </row>
    <row r="2178" spans="1:16" hidden="1" x14ac:dyDescent="0.15">
      <c r="A2178" s="286">
        <v>848917</v>
      </c>
      <c r="B2178" s="288">
        <v>45607.660416666666</v>
      </c>
      <c r="C2178" s="286" t="s">
        <v>2100</v>
      </c>
      <c r="D2178" s="286" t="s">
        <v>1105</v>
      </c>
      <c r="E2178" s="286" t="s">
        <v>1106</v>
      </c>
      <c r="F2178" s="286" t="s">
        <v>2141</v>
      </c>
      <c r="G2178" s="286" t="s">
        <v>1074</v>
      </c>
      <c r="H2178" s="286" t="s">
        <v>1034</v>
      </c>
      <c r="I2178" s="286" t="s">
        <v>1199</v>
      </c>
      <c r="J2178" s="286" t="s">
        <v>1312</v>
      </c>
      <c r="K2178" s="286" t="s">
        <v>2068</v>
      </c>
      <c r="L2178" s="286" t="s">
        <v>53</v>
      </c>
      <c r="M2178" s="286">
        <v>1</v>
      </c>
      <c r="N2178" s="287">
        <v>-140.22999999999999</v>
      </c>
      <c r="O2178" s="294">
        <f t="shared" si="33"/>
        <v>45626</v>
      </c>
      <c r="P2178" s="286" t="s">
        <v>58</v>
      </c>
    </row>
    <row r="2179" spans="1:16" hidden="1" x14ac:dyDescent="0.15">
      <c r="A2179" s="286">
        <v>848917</v>
      </c>
      <c r="B2179" s="288">
        <v>45607.660416666666</v>
      </c>
      <c r="C2179" s="286" t="s">
        <v>2100</v>
      </c>
      <c r="D2179" s="286" t="s">
        <v>1105</v>
      </c>
      <c r="E2179" s="286" t="s">
        <v>1106</v>
      </c>
      <c r="F2179" s="286" t="s">
        <v>2141</v>
      </c>
      <c r="G2179" s="286" t="s">
        <v>1074</v>
      </c>
      <c r="H2179" s="286" t="s">
        <v>1034</v>
      </c>
      <c r="I2179" s="286" t="s">
        <v>1199</v>
      </c>
      <c r="J2179" s="286" t="s">
        <v>1312</v>
      </c>
      <c r="K2179" s="286" t="s">
        <v>2068</v>
      </c>
      <c r="L2179" s="286" t="s">
        <v>53</v>
      </c>
      <c r="M2179" s="286">
        <v>1</v>
      </c>
      <c r="N2179" s="287">
        <v>-140.22999999999999</v>
      </c>
      <c r="O2179" s="294">
        <f t="shared" si="33"/>
        <v>45626</v>
      </c>
      <c r="P2179" s="286" t="s">
        <v>58</v>
      </c>
    </row>
    <row r="2180" spans="1:16" hidden="1" x14ac:dyDescent="0.15">
      <c r="A2180" s="286">
        <v>504817</v>
      </c>
      <c r="B2180" s="288">
        <v>45359.645138888889</v>
      </c>
      <c r="C2180" s="286" t="s">
        <v>2109</v>
      </c>
      <c r="D2180" s="286" t="s">
        <v>1105</v>
      </c>
      <c r="E2180" s="286" t="s">
        <v>1106</v>
      </c>
      <c r="F2180" s="286" t="s">
        <v>2154</v>
      </c>
      <c r="G2180" s="286" t="s">
        <v>1080</v>
      </c>
      <c r="H2180" s="286" t="s">
        <v>1080</v>
      </c>
      <c r="I2180" s="286" t="s">
        <v>1228</v>
      </c>
      <c r="J2180" s="286" t="s">
        <v>1312</v>
      </c>
      <c r="K2180" s="286" t="s">
        <v>1770</v>
      </c>
      <c r="L2180" s="286" t="s">
        <v>53</v>
      </c>
      <c r="M2180" s="286">
        <v>1</v>
      </c>
      <c r="N2180" s="287">
        <v>-141.38999999999999</v>
      </c>
      <c r="O2180" s="294">
        <f t="shared" ref="O2180:O2243" si="34">EOMONTH(B2180,0)</f>
        <v>45382</v>
      </c>
      <c r="P2180" s="286" t="s">
        <v>58</v>
      </c>
    </row>
    <row r="2181" spans="1:16" hidden="1" x14ac:dyDescent="0.15">
      <c r="A2181" s="286">
        <v>438112</v>
      </c>
      <c r="B2181" s="288">
        <v>45293.53402777778</v>
      </c>
      <c r="C2181" s="286" t="s">
        <v>2125</v>
      </c>
      <c r="D2181" s="286" t="s">
        <v>1105</v>
      </c>
      <c r="E2181" s="286" t="s">
        <v>1106</v>
      </c>
      <c r="F2181" s="286" t="s">
        <v>2152</v>
      </c>
      <c r="G2181" s="286" t="s">
        <v>1052</v>
      </c>
      <c r="H2181" s="286" t="s">
        <v>1052</v>
      </c>
      <c r="I2181" s="286" t="s">
        <v>1228</v>
      </c>
      <c r="J2181" s="286" t="s">
        <v>1312</v>
      </c>
      <c r="K2181" s="286" t="s">
        <v>1770</v>
      </c>
      <c r="L2181" s="286" t="s">
        <v>672</v>
      </c>
      <c r="M2181" s="286">
        <v>0</v>
      </c>
      <c r="N2181" s="287">
        <v>-166.46</v>
      </c>
      <c r="O2181" s="294">
        <f t="shared" si="34"/>
        <v>45322</v>
      </c>
      <c r="P2181" s="286" t="s">
        <v>58</v>
      </c>
    </row>
    <row r="2182" spans="1:16" hidden="1" x14ac:dyDescent="0.15">
      <c r="A2182" s="286">
        <v>438112</v>
      </c>
      <c r="B2182" s="288">
        <v>45293.53402777778</v>
      </c>
      <c r="C2182" s="286" t="s">
        <v>2125</v>
      </c>
      <c r="D2182" s="286" t="s">
        <v>1105</v>
      </c>
      <c r="E2182" s="286" t="s">
        <v>1106</v>
      </c>
      <c r="F2182" s="286" t="s">
        <v>2152</v>
      </c>
      <c r="G2182" s="286" t="s">
        <v>1052</v>
      </c>
      <c r="H2182" s="286" t="s">
        <v>1052</v>
      </c>
      <c r="I2182" s="286" t="s">
        <v>1228</v>
      </c>
      <c r="J2182" s="286" t="s">
        <v>1312</v>
      </c>
      <c r="K2182" s="286" t="s">
        <v>1808</v>
      </c>
      <c r="L2182" s="286" t="s">
        <v>53</v>
      </c>
      <c r="M2182" s="286">
        <v>0</v>
      </c>
      <c r="N2182" s="287">
        <v>-166.46</v>
      </c>
      <c r="O2182" s="294">
        <f t="shared" si="34"/>
        <v>45322</v>
      </c>
      <c r="P2182" s="286" t="s">
        <v>58</v>
      </c>
    </row>
    <row r="2183" spans="1:16" hidden="1" x14ac:dyDescent="0.15">
      <c r="A2183" s="286">
        <v>472168</v>
      </c>
      <c r="B2183" s="288">
        <v>45331.416666666664</v>
      </c>
      <c r="C2183" s="286" t="s">
        <v>2113</v>
      </c>
      <c r="D2183" s="286" t="s">
        <v>1105</v>
      </c>
      <c r="E2183" s="286" t="s">
        <v>1106</v>
      </c>
      <c r="F2183" s="286" t="s">
        <v>2153</v>
      </c>
      <c r="G2183" s="286" t="s">
        <v>1052</v>
      </c>
      <c r="H2183" s="286" t="s">
        <v>1052</v>
      </c>
      <c r="I2183" s="286" t="s">
        <v>1228</v>
      </c>
      <c r="J2183" s="286" t="s">
        <v>1312</v>
      </c>
      <c r="K2183" s="286" t="s">
        <v>1770</v>
      </c>
      <c r="L2183" s="286" t="s">
        <v>672</v>
      </c>
      <c r="M2183" s="286">
        <v>0</v>
      </c>
      <c r="N2183" s="287">
        <v>-166.46</v>
      </c>
      <c r="O2183" s="294">
        <f t="shared" si="34"/>
        <v>45351</v>
      </c>
      <c r="P2183" s="286" t="s">
        <v>58</v>
      </c>
    </row>
    <row r="2184" spans="1:16" hidden="1" x14ac:dyDescent="0.15">
      <c r="A2184" s="286">
        <v>472168</v>
      </c>
      <c r="B2184" s="288">
        <v>45331.416666666664</v>
      </c>
      <c r="C2184" s="286" t="s">
        <v>2113</v>
      </c>
      <c r="D2184" s="286" t="s">
        <v>1105</v>
      </c>
      <c r="E2184" s="286" t="s">
        <v>1106</v>
      </c>
      <c r="F2184" s="286" t="s">
        <v>2153</v>
      </c>
      <c r="G2184" s="286" t="s">
        <v>1052</v>
      </c>
      <c r="H2184" s="286" t="s">
        <v>1052</v>
      </c>
      <c r="I2184" s="286" t="s">
        <v>1228</v>
      </c>
      <c r="J2184" s="286" t="s">
        <v>1312</v>
      </c>
      <c r="K2184" s="286" t="s">
        <v>1808</v>
      </c>
      <c r="L2184" s="286" t="s">
        <v>53</v>
      </c>
      <c r="M2184" s="286">
        <v>0</v>
      </c>
      <c r="N2184" s="287">
        <v>-166.46</v>
      </c>
      <c r="O2184" s="294">
        <f t="shared" si="34"/>
        <v>45351</v>
      </c>
      <c r="P2184" s="286" t="s">
        <v>58</v>
      </c>
    </row>
    <row r="2185" spans="1:16" hidden="1" x14ac:dyDescent="0.15">
      <c r="A2185" s="286">
        <v>504817</v>
      </c>
      <c r="B2185" s="288">
        <v>45359.645138888889</v>
      </c>
      <c r="C2185" s="286" t="s">
        <v>2109</v>
      </c>
      <c r="D2185" s="286" t="s">
        <v>1105</v>
      </c>
      <c r="E2185" s="286" t="s">
        <v>1106</v>
      </c>
      <c r="F2185" s="286" t="s">
        <v>2154</v>
      </c>
      <c r="G2185" s="286" t="s">
        <v>1052</v>
      </c>
      <c r="H2185" s="286" t="s">
        <v>1052</v>
      </c>
      <c r="I2185" s="286" t="s">
        <v>1228</v>
      </c>
      <c r="J2185" s="286" t="s">
        <v>1312</v>
      </c>
      <c r="K2185" s="286" t="s">
        <v>1770</v>
      </c>
      <c r="L2185" s="286" t="s">
        <v>672</v>
      </c>
      <c r="M2185" s="286">
        <v>0</v>
      </c>
      <c r="N2185" s="287">
        <v>-166.46</v>
      </c>
      <c r="O2185" s="294">
        <f t="shared" si="34"/>
        <v>45382</v>
      </c>
      <c r="P2185" s="286" t="s">
        <v>58</v>
      </c>
    </row>
    <row r="2186" spans="1:16" hidden="1" x14ac:dyDescent="0.15">
      <c r="A2186" s="286">
        <v>504817</v>
      </c>
      <c r="B2186" s="288">
        <v>45359.645138888889</v>
      </c>
      <c r="C2186" s="286" t="s">
        <v>2109</v>
      </c>
      <c r="D2186" s="286" t="s">
        <v>1105</v>
      </c>
      <c r="E2186" s="286" t="s">
        <v>1106</v>
      </c>
      <c r="F2186" s="286" t="s">
        <v>2154</v>
      </c>
      <c r="G2186" s="286" t="s">
        <v>1052</v>
      </c>
      <c r="H2186" s="286" t="s">
        <v>1052</v>
      </c>
      <c r="I2186" s="286" t="s">
        <v>1228</v>
      </c>
      <c r="J2186" s="286" t="s">
        <v>1312</v>
      </c>
      <c r="K2186" s="286" t="s">
        <v>1808</v>
      </c>
      <c r="L2186" s="286" t="s">
        <v>53</v>
      </c>
      <c r="M2186" s="286">
        <v>0</v>
      </c>
      <c r="N2186" s="287">
        <v>-166.46</v>
      </c>
      <c r="O2186" s="294">
        <f t="shared" si="34"/>
        <v>45382</v>
      </c>
      <c r="P2186" s="286" t="s">
        <v>58</v>
      </c>
    </row>
    <row r="2187" spans="1:16" hidden="1" x14ac:dyDescent="0.15">
      <c r="A2187" s="286">
        <v>534207</v>
      </c>
      <c r="B2187" s="288">
        <v>45385.750694444447</v>
      </c>
      <c r="C2187" s="286" t="s">
        <v>2096</v>
      </c>
      <c r="D2187" s="286" t="s">
        <v>1105</v>
      </c>
      <c r="E2187" s="286" t="s">
        <v>1106</v>
      </c>
      <c r="F2187" s="286" t="s">
        <v>2155</v>
      </c>
      <c r="G2187" s="286" t="s">
        <v>1052</v>
      </c>
      <c r="H2187" s="286" t="s">
        <v>1052</v>
      </c>
      <c r="I2187" s="286" t="s">
        <v>1228</v>
      </c>
      <c r="J2187" s="286" t="s">
        <v>1312</v>
      </c>
      <c r="K2187" s="286" t="s">
        <v>1770</v>
      </c>
      <c r="L2187" s="286" t="s">
        <v>672</v>
      </c>
      <c r="M2187" s="286">
        <v>0</v>
      </c>
      <c r="N2187" s="287">
        <v>-166.46</v>
      </c>
      <c r="O2187" s="294">
        <f t="shared" si="34"/>
        <v>45412</v>
      </c>
      <c r="P2187" s="286" t="s">
        <v>58</v>
      </c>
    </row>
    <row r="2188" spans="1:16" hidden="1" x14ac:dyDescent="0.15">
      <c r="A2188" s="286">
        <v>534207</v>
      </c>
      <c r="B2188" s="288">
        <v>45385.750694444447</v>
      </c>
      <c r="C2188" s="286" t="s">
        <v>2096</v>
      </c>
      <c r="D2188" s="286" t="s">
        <v>1105</v>
      </c>
      <c r="E2188" s="286" t="s">
        <v>1106</v>
      </c>
      <c r="F2188" s="286" t="s">
        <v>2155</v>
      </c>
      <c r="G2188" s="286" t="s">
        <v>1052</v>
      </c>
      <c r="H2188" s="286" t="s">
        <v>1052</v>
      </c>
      <c r="I2188" s="286" t="s">
        <v>1228</v>
      </c>
      <c r="J2188" s="286" t="s">
        <v>1312</v>
      </c>
      <c r="K2188" s="286" t="s">
        <v>1808</v>
      </c>
      <c r="L2188" s="286" t="s">
        <v>53</v>
      </c>
      <c r="M2188" s="286">
        <v>0</v>
      </c>
      <c r="N2188" s="287">
        <v>-166.46</v>
      </c>
      <c r="O2188" s="294">
        <f t="shared" si="34"/>
        <v>45412</v>
      </c>
      <c r="P2188" s="286" t="s">
        <v>58</v>
      </c>
    </row>
    <row r="2189" spans="1:16" hidden="1" x14ac:dyDescent="0.15">
      <c r="A2189" s="286">
        <v>614216</v>
      </c>
      <c r="B2189" s="288">
        <v>45455.716666666667</v>
      </c>
      <c r="C2189" s="286" t="s">
        <v>2116</v>
      </c>
      <c r="D2189" s="286" t="s">
        <v>1105</v>
      </c>
      <c r="E2189" s="286" t="s">
        <v>1106</v>
      </c>
      <c r="F2189" s="286" t="s">
        <v>2156</v>
      </c>
      <c r="G2189" s="286" t="s">
        <v>1052</v>
      </c>
      <c r="H2189" s="286" t="s">
        <v>1052</v>
      </c>
      <c r="I2189" s="286" t="s">
        <v>1228</v>
      </c>
      <c r="J2189" s="286" t="s">
        <v>1312</v>
      </c>
      <c r="K2189" s="286" t="s">
        <v>1770</v>
      </c>
      <c r="L2189" s="286" t="s">
        <v>672</v>
      </c>
      <c r="M2189" s="286">
        <v>0</v>
      </c>
      <c r="N2189" s="287">
        <v>-166.46</v>
      </c>
      <c r="O2189" s="294">
        <f t="shared" si="34"/>
        <v>45473</v>
      </c>
      <c r="P2189" s="286" t="s">
        <v>58</v>
      </c>
    </row>
    <row r="2190" spans="1:16" hidden="1" x14ac:dyDescent="0.15">
      <c r="A2190" s="286">
        <v>614216</v>
      </c>
      <c r="B2190" s="288">
        <v>45455.716666666667</v>
      </c>
      <c r="C2190" s="286" t="s">
        <v>2116</v>
      </c>
      <c r="D2190" s="286" t="s">
        <v>1105</v>
      </c>
      <c r="E2190" s="286" t="s">
        <v>1106</v>
      </c>
      <c r="F2190" s="286" t="s">
        <v>2156</v>
      </c>
      <c r="G2190" s="286" t="s">
        <v>1052</v>
      </c>
      <c r="H2190" s="286" t="s">
        <v>1052</v>
      </c>
      <c r="I2190" s="286" t="s">
        <v>1228</v>
      </c>
      <c r="J2190" s="286" t="s">
        <v>1312</v>
      </c>
      <c r="K2190" s="286" t="s">
        <v>1808</v>
      </c>
      <c r="L2190" s="286" t="s">
        <v>53</v>
      </c>
      <c r="M2190" s="286">
        <v>0</v>
      </c>
      <c r="N2190" s="287">
        <v>-166.46</v>
      </c>
      <c r="O2190" s="294">
        <f t="shared" si="34"/>
        <v>45473</v>
      </c>
      <c r="P2190" s="286" t="s">
        <v>58</v>
      </c>
    </row>
    <row r="2191" spans="1:16" hidden="1" x14ac:dyDescent="0.15">
      <c r="A2191" s="286">
        <v>614316</v>
      </c>
      <c r="B2191" s="288">
        <v>45455.717361111114</v>
      </c>
      <c r="C2191" s="286" t="s">
        <v>2092</v>
      </c>
      <c r="D2191" s="286" t="s">
        <v>1105</v>
      </c>
      <c r="E2191" s="286" t="s">
        <v>1106</v>
      </c>
      <c r="F2191" s="286" t="s">
        <v>2167</v>
      </c>
      <c r="G2191" s="286" t="s">
        <v>1052</v>
      </c>
      <c r="H2191" s="286" t="s">
        <v>1052</v>
      </c>
      <c r="I2191" s="286" t="s">
        <v>1228</v>
      </c>
      <c r="J2191" s="286" t="s">
        <v>1312</v>
      </c>
      <c r="K2191" s="286" t="s">
        <v>1770</v>
      </c>
      <c r="L2191" s="286" t="s">
        <v>672</v>
      </c>
      <c r="M2191" s="286">
        <v>0</v>
      </c>
      <c r="N2191" s="287">
        <v>-166.46</v>
      </c>
      <c r="O2191" s="294">
        <f t="shared" si="34"/>
        <v>45473</v>
      </c>
      <c r="P2191" s="286" t="s">
        <v>58</v>
      </c>
    </row>
    <row r="2192" spans="1:16" hidden="1" x14ac:dyDescent="0.15">
      <c r="A2192" s="286">
        <v>614316</v>
      </c>
      <c r="B2192" s="288">
        <v>45455.717361111114</v>
      </c>
      <c r="C2192" s="286" t="s">
        <v>2092</v>
      </c>
      <c r="D2192" s="286" t="s">
        <v>1105</v>
      </c>
      <c r="E2192" s="286" t="s">
        <v>1106</v>
      </c>
      <c r="F2192" s="286" t="s">
        <v>2167</v>
      </c>
      <c r="G2192" s="286" t="s">
        <v>1052</v>
      </c>
      <c r="H2192" s="286" t="s">
        <v>1052</v>
      </c>
      <c r="I2192" s="286" t="s">
        <v>1228</v>
      </c>
      <c r="J2192" s="286" t="s">
        <v>1312</v>
      </c>
      <c r="K2192" s="286" t="s">
        <v>1808</v>
      </c>
      <c r="L2192" s="286" t="s">
        <v>53</v>
      </c>
      <c r="M2192" s="286">
        <v>0</v>
      </c>
      <c r="N2192" s="287">
        <v>-166.46</v>
      </c>
      <c r="O2192" s="294">
        <f t="shared" si="34"/>
        <v>45473</v>
      </c>
      <c r="P2192" s="286" t="s">
        <v>58</v>
      </c>
    </row>
    <row r="2193" spans="1:16" hidden="1" x14ac:dyDescent="0.15">
      <c r="A2193" s="286">
        <v>646075</v>
      </c>
      <c r="B2193" s="288">
        <v>45474.519444444442</v>
      </c>
      <c r="C2193" s="286" t="s">
        <v>2111</v>
      </c>
      <c r="D2193" s="286" t="s">
        <v>1105</v>
      </c>
      <c r="E2193" s="286" t="s">
        <v>1106</v>
      </c>
      <c r="F2193" s="286" t="s">
        <v>2137</v>
      </c>
      <c r="G2193" s="286" t="s">
        <v>1052</v>
      </c>
      <c r="H2193" s="286" t="s">
        <v>1052</v>
      </c>
      <c r="I2193" s="286" t="s">
        <v>1228</v>
      </c>
      <c r="J2193" s="286" t="s">
        <v>1312</v>
      </c>
      <c r="K2193" s="286" t="s">
        <v>1770</v>
      </c>
      <c r="L2193" s="286" t="s">
        <v>672</v>
      </c>
      <c r="M2193" s="286">
        <v>0</v>
      </c>
      <c r="N2193" s="287">
        <v>-166.46</v>
      </c>
      <c r="O2193" s="294">
        <f t="shared" si="34"/>
        <v>45504</v>
      </c>
      <c r="P2193" s="286" t="s">
        <v>58</v>
      </c>
    </row>
    <row r="2194" spans="1:16" hidden="1" x14ac:dyDescent="0.15">
      <c r="A2194" s="286">
        <v>646075</v>
      </c>
      <c r="B2194" s="288">
        <v>45474.519444444442</v>
      </c>
      <c r="C2194" s="286" t="s">
        <v>2111</v>
      </c>
      <c r="D2194" s="286" t="s">
        <v>1105</v>
      </c>
      <c r="E2194" s="286" t="s">
        <v>1106</v>
      </c>
      <c r="F2194" s="286" t="s">
        <v>2137</v>
      </c>
      <c r="G2194" s="286" t="s">
        <v>1052</v>
      </c>
      <c r="H2194" s="286" t="s">
        <v>1052</v>
      </c>
      <c r="I2194" s="286" t="s">
        <v>1228</v>
      </c>
      <c r="J2194" s="286" t="s">
        <v>1312</v>
      </c>
      <c r="K2194" s="286" t="s">
        <v>1808</v>
      </c>
      <c r="L2194" s="286" t="s">
        <v>53</v>
      </c>
      <c r="M2194" s="286">
        <v>0</v>
      </c>
      <c r="N2194" s="287">
        <v>-166.46</v>
      </c>
      <c r="O2194" s="294">
        <f t="shared" si="34"/>
        <v>45504</v>
      </c>
      <c r="P2194" s="286" t="s">
        <v>58</v>
      </c>
    </row>
    <row r="2195" spans="1:16" hidden="1" x14ac:dyDescent="0.15">
      <c r="A2195" s="286">
        <v>697810</v>
      </c>
      <c r="B2195" s="288">
        <v>45510.366666666669</v>
      </c>
      <c r="C2195" s="286" t="s">
        <v>2102</v>
      </c>
      <c r="D2195" s="286" t="s">
        <v>1105</v>
      </c>
      <c r="E2195" s="286" t="s">
        <v>1106</v>
      </c>
      <c r="F2195" s="286" t="s">
        <v>2138</v>
      </c>
      <c r="G2195" s="286" t="s">
        <v>1052</v>
      </c>
      <c r="H2195" s="286" t="s">
        <v>1052</v>
      </c>
      <c r="I2195" s="286" t="s">
        <v>1228</v>
      </c>
      <c r="J2195" s="286" t="s">
        <v>1312</v>
      </c>
      <c r="K2195" s="286" t="s">
        <v>1770</v>
      </c>
      <c r="L2195" s="286" t="s">
        <v>672</v>
      </c>
      <c r="M2195" s="286">
        <v>0</v>
      </c>
      <c r="N2195" s="287">
        <v>-166.46</v>
      </c>
      <c r="O2195" s="294">
        <f t="shared" si="34"/>
        <v>45535</v>
      </c>
      <c r="P2195" s="286" t="s">
        <v>58</v>
      </c>
    </row>
    <row r="2196" spans="1:16" hidden="1" x14ac:dyDescent="0.15">
      <c r="A2196" s="286">
        <v>697810</v>
      </c>
      <c r="B2196" s="288">
        <v>45510.366666666669</v>
      </c>
      <c r="C2196" s="286" t="s">
        <v>2102</v>
      </c>
      <c r="D2196" s="286" t="s">
        <v>1105</v>
      </c>
      <c r="E2196" s="286" t="s">
        <v>1106</v>
      </c>
      <c r="F2196" s="286" t="s">
        <v>2138</v>
      </c>
      <c r="G2196" s="286" t="s">
        <v>1052</v>
      </c>
      <c r="H2196" s="286" t="s">
        <v>1052</v>
      </c>
      <c r="I2196" s="286" t="s">
        <v>1228</v>
      </c>
      <c r="J2196" s="286" t="s">
        <v>1312</v>
      </c>
      <c r="K2196" s="286" t="s">
        <v>1808</v>
      </c>
      <c r="L2196" s="286" t="s">
        <v>53</v>
      </c>
      <c r="M2196" s="286">
        <v>0</v>
      </c>
      <c r="N2196" s="287">
        <v>-166.46</v>
      </c>
      <c r="O2196" s="294">
        <f t="shared" si="34"/>
        <v>45535</v>
      </c>
      <c r="P2196" s="286" t="s">
        <v>58</v>
      </c>
    </row>
    <row r="2197" spans="1:16" hidden="1" x14ac:dyDescent="0.15">
      <c r="A2197" s="286">
        <v>745911</v>
      </c>
      <c r="B2197" s="288">
        <v>45538.44027777778</v>
      </c>
      <c r="C2197" s="286" t="s">
        <v>2132</v>
      </c>
      <c r="D2197" s="286" t="s">
        <v>1105</v>
      </c>
      <c r="E2197" s="286" t="s">
        <v>1106</v>
      </c>
      <c r="F2197" s="286" t="s">
        <v>2139</v>
      </c>
      <c r="G2197" s="286" t="s">
        <v>1052</v>
      </c>
      <c r="H2197" s="286" t="s">
        <v>1052</v>
      </c>
      <c r="I2197" s="286" t="s">
        <v>1228</v>
      </c>
      <c r="J2197" s="286" t="s">
        <v>1312</v>
      </c>
      <c r="K2197" s="286" t="s">
        <v>1770</v>
      </c>
      <c r="L2197" s="286" t="s">
        <v>672</v>
      </c>
      <c r="M2197" s="286">
        <v>0</v>
      </c>
      <c r="N2197" s="287">
        <v>-166.46</v>
      </c>
      <c r="O2197" s="294">
        <f t="shared" si="34"/>
        <v>45565</v>
      </c>
      <c r="P2197" s="286" t="s">
        <v>58</v>
      </c>
    </row>
    <row r="2198" spans="1:16" hidden="1" x14ac:dyDescent="0.15">
      <c r="A2198" s="286">
        <v>745911</v>
      </c>
      <c r="B2198" s="288">
        <v>45538.44027777778</v>
      </c>
      <c r="C2198" s="286" t="s">
        <v>2132</v>
      </c>
      <c r="D2198" s="286" t="s">
        <v>1105</v>
      </c>
      <c r="E2198" s="286" t="s">
        <v>1106</v>
      </c>
      <c r="F2198" s="286" t="s">
        <v>2139</v>
      </c>
      <c r="G2198" s="286" t="s">
        <v>1052</v>
      </c>
      <c r="H2198" s="286" t="s">
        <v>1052</v>
      </c>
      <c r="I2198" s="286" t="s">
        <v>1228</v>
      </c>
      <c r="J2198" s="286" t="s">
        <v>1312</v>
      </c>
      <c r="K2198" s="286" t="s">
        <v>1808</v>
      </c>
      <c r="L2198" s="286" t="s">
        <v>53</v>
      </c>
      <c r="M2198" s="286">
        <v>0</v>
      </c>
      <c r="N2198" s="287">
        <v>-166.46</v>
      </c>
      <c r="O2198" s="294">
        <f t="shared" si="34"/>
        <v>45565</v>
      </c>
      <c r="P2198" s="286" t="s">
        <v>58</v>
      </c>
    </row>
    <row r="2199" spans="1:16" hidden="1" x14ac:dyDescent="0.15">
      <c r="A2199" s="286">
        <v>848817</v>
      </c>
      <c r="B2199" s="288">
        <v>45607.65902777778</v>
      </c>
      <c r="C2199" s="286" t="s">
        <v>2130</v>
      </c>
      <c r="D2199" s="286" t="s">
        <v>1105</v>
      </c>
      <c r="E2199" s="286" t="s">
        <v>1106</v>
      </c>
      <c r="F2199" s="286" t="s">
        <v>2140</v>
      </c>
      <c r="G2199" s="286" t="s">
        <v>1052</v>
      </c>
      <c r="H2199" s="286" t="s">
        <v>1052</v>
      </c>
      <c r="I2199" s="286" t="s">
        <v>1228</v>
      </c>
      <c r="J2199" s="286" t="s">
        <v>1312</v>
      </c>
      <c r="K2199" s="286" t="s">
        <v>1770</v>
      </c>
      <c r="L2199" s="286" t="s">
        <v>672</v>
      </c>
      <c r="M2199" s="286">
        <v>0</v>
      </c>
      <c r="N2199" s="287">
        <v>-166.46</v>
      </c>
      <c r="O2199" s="294">
        <f t="shared" si="34"/>
        <v>45626</v>
      </c>
      <c r="P2199" s="286" t="s">
        <v>58</v>
      </c>
    </row>
    <row r="2200" spans="1:16" hidden="1" x14ac:dyDescent="0.15">
      <c r="A2200" s="286">
        <v>848817</v>
      </c>
      <c r="B2200" s="288">
        <v>45607.65902777778</v>
      </c>
      <c r="C2200" s="286" t="s">
        <v>2130</v>
      </c>
      <c r="D2200" s="286" t="s">
        <v>1105</v>
      </c>
      <c r="E2200" s="286" t="s">
        <v>1106</v>
      </c>
      <c r="F2200" s="286" t="s">
        <v>2140</v>
      </c>
      <c r="G2200" s="286" t="s">
        <v>1052</v>
      </c>
      <c r="H2200" s="286" t="s">
        <v>1052</v>
      </c>
      <c r="I2200" s="286" t="s">
        <v>1228</v>
      </c>
      <c r="J2200" s="286" t="s">
        <v>1312</v>
      </c>
      <c r="K2200" s="286" t="s">
        <v>1808</v>
      </c>
      <c r="L2200" s="286" t="s">
        <v>53</v>
      </c>
      <c r="M2200" s="286">
        <v>0</v>
      </c>
      <c r="N2200" s="287">
        <v>-166.46</v>
      </c>
      <c r="O2200" s="294">
        <f t="shared" si="34"/>
        <v>45626</v>
      </c>
      <c r="P2200" s="286" t="s">
        <v>58</v>
      </c>
    </row>
    <row r="2201" spans="1:16" hidden="1" x14ac:dyDescent="0.15">
      <c r="A2201" s="286">
        <v>848917</v>
      </c>
      <c r="B2201" s="288">
        <v>45607.660416666666</v>
      </c>
      <c r="C2201" s="286" t="s">
        <v>2100</v>
      </c>
      <c r="D2201" s="286" t="s">
        <v>1105</v>
      </c>
      <c r="E2201" s="286" t="s">
        <v>1106</v>
      </c>
      <c r="F2201" s="286" t="s">
        <v>2141</v>
      </c>
      <c r="G2201" s="286" t="s">
        <v>1052</v>
      </c>
      <c r="H2201" s="286" t="s">
        <v>1052</v>
      </c>
      <c r="I2201" s="286" t="s">
        <v>1228</v>
      </c>
      <c r="J2201" s="286" t="s">
        <v>1312</v>
      </c>
      <c r="K2201" s="286" t="s">
        <v>1770</v>
      </c>
      <c r="L2201" s="286" t="s">
        <v>672</v>
      </c>
      <c r="M2201" s="286">
        <v>0</v>
      </c>
      <c r="N2201" s="287">
        <v>-166.46</v>
      </c>
      <c r="O2201" s="294">
        <f t="shared" si="34"/>
        <v>45626</v>
      </c>
      <c r="P2201" s="286" t="s">
        <v>58</v>
      </c>
    </row>
    <row r="2202" spans="1:16" hidden="1" x14ac:dyDescent="0.15">
      <c r="A2202" s="286">
        <v>848917</v>
      </c>
      <c r="B2202" s="288">
        <v>45607.660416666666</v>
      </c>
      <c r="C2202" s="286" t="s">
        <v>2100</v>
      </c>
      <c r="D2202" s="286" t="s">
        <v>1105</v>
      </c>
      <c r="E2202" s="286" t="s">
        <v>1106</v>
      </c>
      <c r="F2202" s="286" t="s">
        <v>2141</v>
      </c>
      <c r="G2202" s="286" t="s">
        <v>1052</v>
      </c>
      <c r="H2202" s="286" t="s">
        <v>1052</v>
      </c>
      <c r="I2202" s="286" t="s">
        <v>1228</v>
      </c>
      <c r="J2202" s="286" t="s">
        <v>1312</v>
      </c>
      <c r="K2202" s="286" t="s">
        <v>1808</v>
      </c>
      <c r="L2202" s="286" t="s">
        <v>53</v>
      </c>
      <c r="M2202" s="286">
        <v>0</v>
      </c>
      <c r="N2202" s="287">
        <v>-166.46</v>
      </c>
      <c r="O2202" s="294">
        <f t="shared" si="34"/>
        <v>45626</v>
      </c>
      <c r="P2202" s="286" t="s">
        <v>58</v>
      </c>
    </row>
    <row r="2203" spans="1:16" hidden="1" x14ac:dyDescent="0.15">
      <c r="A2203" s="286">
        <v>740103</v>
      </c>
      <c r="B2203" s="288">
        <v>45532.394444444442</v>
      </c>
      <c r="C2203" s="286" t="s">
        <v>2102</v>
      </c>
      <c r="D2203" s="286" t="s">
        <v>1105</v>
      </c>
      <c r="E2203" s="286" t="s">
        <v>1106</v>
      </c>
      <c r="F2203" s="286" t="s">
        <v>2512</v>
      </c>
      <c r="G2203" s="286" t="s">
        <v>1063</v>
      </c>
      <c r="H2203" s="286" t="s">
        <v>1063</v>
      </c>
      <c r="I2203" s="286" t="s">
        <v>1228</v>
      </c>
      <c r="J2203" s="286" t="s">
        <v>53</v>
      </c>
      <c r="K2203" s="286" t="s">
        <v>53</v>
      </c>
      <c r="L2203" s="286" t="s">
        <v>53</v>
      </c>
      <c r="M2203" s="286" t="s">
        <v>53</v>
      </c>
      <c r="N2203" s="287">
        <v>-166.58</v>
      </c>
      <c r="O2203" s="294">
        <f t="shared" si="34"/>
        <v>45535</v>
      </c>
      <c r="P2203" s="286" t="s">
        <v>58</v>
      </c>
    </row>
    <row r="2204" spans="1:16" hidden="1" x14ac:dyDescent="0.15">
      <c r="A2204" s="286">
        <v>769793</v>
      </c>
      <c r="B2204" s="288">
        <v>45548.663194444445</v>
      </c>
      <c r="C2204" s="286" t="s">
        <v>2102</v>
      </c>
      <c r="D2204" s="286" t="s">
        <v>1105</v>
      </c>
      <c r="E2204" s="286" t="s">
        <v>1106</v>
      </c>
      <c r="F2204" s="286" t="s">
        <v>2375</v>
      </c>
      <c r="G2204" s="286" t="s">
        <v>1004</v>
      </c>
      <c r="H2204" s="286" t="s">
        <v>1004</v>
      </c>
      <c r="I2204" s="286" t="s">
        <v>1199</v>
      </c>
      <c r="J2204" s="286" t="s">
        <v>1312</v>
      </c>
      <c r="K2204" s="286" t="s">
        <v>2376</v>
      </c>
      <c r="L2204" s="286" t="s">
        <v>53</v>
      </c>
      <c r="M2204" s="286">
        <v>1</v>
      </c>
      <c r="N2204" s="287">
        <v>-177.22</v>
      </c>
      <c r="O2204" s="294">
        <f t="shared" si="34"/>
        <v>45565</v>
      </c>
      <c r="P2204" s="286" t="s">
        <v>58</v>
      </c>
    </row>
    <row r="2205" spans="1:16" hidden="1" x14ac:dyDescent="0.15">
      <c r="A2205" s="286">
        <v>769793</v>
      </c>
      <c r="B2205" s="288">
        <v>45548.663194444445</v>
      </c>
      <c r="C2205" s="286" t="s">
        <v>2102</v>
      </c>
      <c r="D2205" s="286" t="s">
        <v>1105</v>
      </c>
      <c r="E2205" s="286" t="s">
        <v>1106</v>
      </c>
      <c r="F2205" s="286" t="s">
        <v>2375</v>
      </c>
      <c r="G2205" s="286" t="s">
        <v>1004</v>
      </c>
      <c r="H2205" s="286" t="s">
        <v>1004</v>
      </c>
      <c r="I2205" s="286" t="s">
        <v>1199</v>
      </c>
      <c r="J2205" s="286" t="s">
        <v>1312</v>
      </c>
      <c r="K2205" s="286" t="s">
        <v>2376</v>
      </c>
      <c r="L2205" s="286" t="s">
        <v>53</v>
      </c>
      <c r="M2205" s="286">
        <v>1</v>
      </c>
      <c r="N2205" s="287">
        <v>-177.22</v>
      </c>
      <c r="O2205" s="294">
        <f t="shared" si="34"/>
        <v>45565</v>
      </c>
      <c r="P2205" s="286" t="s">
        <v>58</v>
      </c>
    </row>
    <row r="2206" spans="1:16" hidden="1" x14ac:dyDescent="0.15">
      <c r="A2206" s="286">
        <v>769793</v>
      </c>
      <c r="B2206" s="288">
        <v>45548.663194444445</v>
      </c>
      <c r="C2206" s="286" t="s">
        <v>2102</v>
      </c>
      <c r="D2206" s="286" t="s">
        <v>1105</v>
      </c>
      <c r="E2206" s="286" t="s">
        <v>1106</v>
      </c>
      <c r="F2206" s="286" t="s">
        <v>2375</v>
      </c>
      <c r="G2206" s="286" t="s">
        <v>1004</v>
      </c>
      <c r="H2206" s="286" t="s">
        <v>1004</v>
      </c>
      <c r="I2206" s="286" t="s">
        <v>1199</v>
      </c>
      <c r="J2206" s="286" t="s">
        <v>1312</v>
      </c>
      <c r="K2206" s="286" t="s">
        <v>2376</v>
      </c>
      <c r="L2206" s="286" t="s">
        <v>53</v>
      </c>
      <c r="M2206" s="286">
        <v>1</v>
      </c>
      <c r="N2206" s="287">
        <v>-177.22</v>
      </c>
      <c r="O2206" s="294">
        <f t="shared" si="34"/>
        <v>45565</v>
      </c>
      <c r="P2206" s="286" t="s">
        <v>58</v>
      </c>
    </row>
    <row r="2207" spans="1:16" hidden="1" x14ac:dyDescent="0.15">
      <c r="A2207" s="286">
        <v>769793</v>
      </c>
      <c r="B2207" s="288">
        <v>45548.663194444445</v>
      </c>
      <c r="C2207" s="286" t="s">
        <v>2102</v>
      </c>
      <c r="D2207" s="286" t="s">
        <v>1105</v>
      </c>
      <c r="E2207" s="286" t="s">
        <v>1106</v>
      </c>
      <c r="F2207" s="286" t="s">
        <v>2375</v>
      </c>
      <c r="G2207" s="286" t="s">
        <v>1004</v>
      </c>
      <c r="H2207" s="286" t="s">
        <v>1004</v>
      </c>
      <c r="I2207" s="286" t="s">
        <v>1199</v>
      </c>
      <c r="J2207" s="286" t="s">
        <v>1312</v>
      </c>
      <c r="K2207" s="286" t="s">
        <v>2376</v>
      </c>
      <c r="L2207" s="286" t="s">
        <v>53</v>
      </c>
      <c r="M2207" s="286">
        <v>1</v>
      </c>
      <c r="N2207" s="287">
        <v>-177.22</v>
      </c>
      <c r="O2207" s="294">
        <f t="shared" si="34"/>
        <v>45565</v>
      </c>
      <c r="P2207" s="286" t="s">
        <v>58</v>
      </c>
    </row>
    <row r="2208" spans="1:16" hidden="1" x14ac:dyDescent="0.15">
      <c r="A2208" s="286">
        <v>769793</v>
      </c>
      <c r="B2208" s="288">
        <v>45548.663194444445</v>
      </c>
      <c r="C2208" s="286" t="s">
        <v>2102</v>
      </c>
      <c r="D2208" s="286" t="s">
        <v>1105</v>
      </c>
      <c r="E2208" s="286" t="s">
        <v>1106</v>
      </c>
      <c r="F2208" s="286" t="s">
        <v>2375</v>
      </c>
      <c r="G2208" s="286" t="s">
        <v>1004</v>
      </c>
      <c r="H2208" s="286" t="s">
        <v>1004</v>
      </c>
      <c r="I2208" s="286" t="s">
        <v>1199</v>
      </c>
      <c r="J2208" s="286" t="s">
        <v>1312</v>
      </c>
      <c r="K2208" s="286" t="s">
        <v>2376</v>
      </c>
      <c r="L2208" s="286" t="s">
        <v>53</v>
      </c>
      <c r="M2208" s="286">
        <v>1</v>
      </c>
      <c r="N2208" s="287">
        <v>-177.22</v>
      </c>
      <c r="O2208" s="294">
        <f t="shared" si="34"/>
        <v>45565</v>
      </c>
      <c r="P2208" s="286" t="s">
        <v>58</v>
      </c>
    </row>
    <row r="2209" spans="1:16" hidden="1" x14ac:dyDescent="0.15">
      <c r="A2209" s="286">
        <v>769893</v>
      </c>
      <c r="B2209" s="288">
        <v>45548.663888888892</v>
      </c>
      <c r="C2209" s="286" t="s">
        <v>2132</v>
      </c>
      <c r="D2209" s="286" t="s">
        <v>1105</v>
      </c>
      <c r="E2209" s="286" t="s">
        <v>1106</v>
      </c>
      <c r="F2209" s="286" t="s">
        <v>2513</v>
      </c>
      <c r="G2209" s="286" t="s">
        <v>1004</v>
      </c>
      <c r="H2209" s="286" t="s">
        <v>1004</v>
      </c>
      <c r="I2209" s="286" t="s">
        <v>1199</v>
      </c>
      <c r="J2209" s="286" t="s">
        <v>1312</v>
      </c>
      <c r="K2209" s="286" t="s">
        <v>2376</v>
      </c>
      <c r="L2209" s="286" t="s">
        <v>53</v>
      </c>
      <c r="M2209" s="286">
        <v>1</v>
      </c>
      <c r="N2209" s="287">
        <v>-177.22</v>
      </c>
      <c r="O2209" s="294">
        <f t="shared" si="34"/>
        <v>45565</v>
      </c>
      <c r="P2209" s="286" t="s">
        <v>58</v>
      </c>
    </row>
    <row r="2210" spans="1:16" hidden="1" x14ac:dyDescent="0.15">
      <c r="A2210" s="286">
        <v>848817</v>
      </c>
      <c r="B2210" s="288">
        <v>45607.65902777778</v>
      </c>
      <c r="C2210" s="286" t="s">
        <v>2130</v>
      </c>
      <c r="D2210" s="286" t="s">
        <v>1105</v>
      </c>
      <c r="E2210" s="286" t="s">
        <v>1106</v>
      </c>
      <c r="F2210" s="286" t="s">
        <v>2140</v>
      </c>
      <c r="G2210" s="286" t="s">
        <v>1004</v>
      </c>
      <c r="H2210" s="286" t="s">
        <v>1004</v>
      </c>
      <c r="I2210" s="286" t="s">
        <v>1199</v>
      </c>
      <c r="J2210" s="286" t="s">
        <v>1312</v>
      </c>
      <c r="K2210" s="286" t="s">
        <v>2376</v>
      </c>
      <c r="L2210" s="286" t="s">
        <v>53</v>
      </c>
      <c r="M2210" s="286">
        <v>1</v>
      </c>
      <c r="N2210" s="287">
        <v>-177.22</v>
      </c>
      <c r="O2210" s="294">
        <f t="shared" si="34"/>
        <v>45626</v>
      </c>
      <c r="P2210" s="286" t="s">
        <v>58</v>
      </c>
    </row>
    <row r="2211" spans="1:16" hidden="1" x14ac:dyDescent="0.15">
      <c r="A2211" s="286">
        <v>848917</v>
      </c>
      <c r="B2211" s="288">
        <v>45607.660416666666</v>
      </c>
      <c r="C2211" s="286" t="s">
        <v>2100</v>
      </c>
      <c r="D2211" s="286" t="s">
        <v>1105</v>
      </c>
      <c r="E2211" s="286" t="s">
        <v>1106</v>
      </c>
      <c r="F2211" s="286" t="s">
        <v>2141</v>
      </c>
      <c r="G2211" s="286" t="s">
        <v>1004</v>
      </c>
      <c r="H2211" s="286" t="s">
        <v>1004</v>
      </c>
      <c r="I2211" s="286" t="s">
        <v>1199</v>
      </c>
      <c r="J2211" s="286" t="s">
        <v>1312</v>
      </c>
      <c r="K2211" s="286" t="s">
        <v>2376</v>
      </c>
      <c r="L2211" s="286" t="s">
        <v>53</v>
      </c>
      <c r="M2211" s="286">
        <v>1</v>
      </c>
      <c r="N2211" s="287">
        <v>-177.22</v>
      </c>
      <c r="O2211" s="294">
        <f t="shared" si="34"/>
        <v>45626</v>
      </c>
      <c r="P2211" s="286" t="s">
        <v>58</v>
      </c>
    </row>
    <row r="2212" spans="1:16" hidden="1" x14ac:dyDescent="0.15">
      <c r="A2212" s="286">
        <v>874698</v>
      </c>
      <c r="B2212" s="288">
        <v>45628.357638888891</v>
      </c>
      <c r="C2212" s="286" t="s">
        <v>2098</v>
      </c>
      <c r="D2212" s="286" t="s">
        <v>1105</v>
      </c>
      <c r="E2212" s="286" t="s">
        <v>1106</v>
      </c>
      <c r="F2212" s="286" t="s">
        <v>2142</v>
      </c>
      <c r="G2212" s="286" t="s">
        <v>1004</v>
      </c>
      <c r="H2212" s="286" t="s">
        <v>1004</v>
      </c>
      <c r="I2212" s="286" t="s">
        <v>1199</v>
      </c>
      <c r="J2212" s="286" t="s">
        <v>1312</v>
      </c>
      <c r="K2212" s="286" t="s">
        <v>2376</v>
      </c>
      <c r="L2212" s="286" t="s">
        <v>53</v>
      </c>
      <c r="M2212" s="286">
        <v>1</v>
      </c>
      <c r="N2212" s="287">
        <v>-177.22</v>
      </c>
      <c r="O2212" s="294">
        <f t="shared" si="34"/>
        <v>45657</v>
      </c>
      <c r="P2212" s="286" t="s">
        <v>58</v>
      </c>
    </row>
    <row r="2213" spans="1:16" hidden="1" x14ac:dyDescent="0.15">
      <c r="A2213" s="286">
        <v>697810</v>
      </c>
      <c r="B2213" s="288">
        <v>45510.366666666669</v>
      </c>
      <c r="C2213" s="286" t="s">
        <v>2102</v>
      </c>
      <c r="D2213" s="286" t="s">
        <v>1105</v>
      </c>
      <c r="E2213" s="286" t="s">
        <v>1106</v>
      </c>
      <c r="F2213" s="286" t="s">
        <v>2138</v>
      </c>
      <c r="G2213" s="286" t="s">
        <v>1860</v>
      </c>
      <c r="H2213" s="286" t="s">
        <v>1860</v>
      </c>
      <c r="I2213" s="286" t="s">
        <v>1228</v>
      </c>
      <c r="J2213" s="286" t="s">
        <v>1312</v>
      </c>
      <c r="K2213" s="286" t="s">
        <v>2502</v>
      </c>
      <c r="L2213" s="286" t="s">
        <v>53</v>
      </c>
      <c r="M2213" s="286">
        <v>1</v>
      </c>
      <c r="N2213" s="287">
        <v>-178.17</v>
      </c>
      <c r="O2213" s="294">
        <f t="shared" si="34"/>
        <v>45535</v>
      </c>
      <c r="P2213" s="286" t="s">
        <v>58</v>
      </c>
    </row>
    <row r="2214" spans="1:16" hidden="1" x14ac:dyDescent="0.15">
      <c r="A2214" s="286">
        <v>614316</v>
      </c>
      <c r="B2214" s="288">
        <v>45455.717361111114</v>
      </c>
      <c r="C2214" s="286" t="s">
        <v>2092</v>
      </c>
      <c r="D2214" s="286" t="s">
        <v>1105</v>
      </c>
      <c r="E2214" s="286" t="s">
        <v>1106</v>
      </c>
      <c r="F2214" s="286" t="s">
        <v>2167</v>
      </c>
      <c r="G2214" s="286" t="s">
        <v>1838</v>
      </c>
      <c r="H2214" s="286" t="s">
        <v>1838</v>
      </c>
      <c r="I2214" s="286" t="s">
        <v>1228</v>
      </c>
      <c r="J2214" s="286" t="s">
        <v>1312</v>
      </c>
      <c r="K2214" s="286" t="s">
        <v>2510</v>
      </c>
      <c r="L2214" s="286" t="s">
        <v>53</v>
      </c>
      <c r="M2214" s="286">
        <v>1</v>
      </c>
      <c r="N2214" s="287">
        <v>-181.23</v>
      </c>
      <c r="O2214" s="294">
        <f t="shared" si="34"/>
        <v>45473</v>
      </c>
      <c r="P2214" s="286" t="s">
        <v>58</v>
      </c>
    </row>
    <row r="2215" spans="1:16" hidden="1" x14ac:dyDescent="0.15">
      <c r="A2215" s="286">
        <v>499579</v>
      </c>
      <c r="B2215" s="288">
        <v>45355.714583333334</v>
      </c>
      <c r="C2215" s="286" t="s">
        <v>2125</v>
      </c>
      <c r="D2215" s="286" t="s">
        <v>1105</v>
      </c>
      <c r="E2215" s="286" t="s">
        <v>1106</v>
      </c>
      <c r="F2215" s="286" t="s">
        <v>2505</v>
      </c>
      <c r="G2215" s="286" t="s">
        <v>1083</v>
      </c>
      <c r="H2215" s="286" t="s">
        <v>1083</v>
      </c>
      <c r="I2215" s="286" t="s">
        <v>1199</v>
      </c>
      <c r="J2215" s="286" t="s">
        <v>53</v>
      </c>
      <c r="K2215" s="286" t="s">
        <v>53</v>
      </c>
      <c r="L2215" s="286" t="s">
        <v>53</v>
      </c>
      <c r="M2215" s="286" t="s">
        <v>53</v>
      </c>
      <c r="N2215" s="287">
        <v>-194.53</v>
      </c>
      <c r="O2215" s="294">
        <f t="shared" si="34"/>
        <v>45382</v>
      </c>
      <c r="P2215" s="286" t="s">
        <v>58</v>
      </c>
    </row>
    <row r="2216" spans="1:16" hidden="1" x14ac:dyDescent="0.15">
      <c r="A2216" s="286">
        <v>520079</v>
      </c>
      <c r="B2216" s="288">
        <v>45372.396527777775</v>
      </c>
      <c r="C2216" s="286" t="s">
        <v>2113</v>
      </c>
      <c r="D2216" s="286" t="s">
        <v>1105</v>
      </c>
      <c r="E2216" s="286" t="s">
        <v>1106</v>
      </c>
      <c r="F2216" s="286" t="s">
        <v>2506</v>
      </c>
      <c r="G2216" s="286" t="s">
        <v>1083</v>
      </c>
      <c r="H2216" s="286" t="s">
        <v>1083</v>
      </c>
      <c r="I2216" s="286" t="s">
        <v>1199</v>
      </c>
      <c r="J2216" s="286" t="s">
        <v>1312</v>
      </c>
      <c r="K2216" s="286" t="s">
        <v>53</v>
      </c>
      <c r="L2216" s="286" t="s">
        <v>53</v>
      </c>
      <c r="M2216" s="286" t="s">
        <v>53</v>
      </c>
      <c r="N2216" s="287">
        <v>-194.53</v>
      </c>
      <c r="O2216" s="294">
        <f t="shared" si="34"/>
        <v>45382</v>
      </c>
      <c r="P2216" s="286" t="s">
        <v>58</v>
      </c>
    </row>
    <row r="2217" spans="1:16" hidden="1" x14ac:dyDescent="0.15">
      <c r="A2217" s="286">
        <v>520080</v>
      </c>
      <c r="B2217" s="288">
        <v>45372.396527777775</v>
      </c>
      <c r="C2217" s="286" t="s">
        <v>2109</v>
      </c>
      <c r="D2217" s="286" t="s">
        <v>1105</v>
      </c>
      <c r="E2217" s="286" t="s">
        <v>1106</v>
      </c>
      <c r="F2217" s="286" t="s">
        <v>2507</v>
      </c>
      <c r="G2217" s="286" t="s">
        <v>1083</v>
      </c>
      <c r="H2217" s="286" t="s">
        <v>1083</v>
      </c>
      <c r="I2217" s="286" t="s">
        <v>1199</v>
      </c>
      <c r="J2217" s="286" t="s">
        <v>1312</v>
      </c>
      <c r="K2217" s="286" t="s">
        <v>53</v>
      </c>
      <c r="L2217" s="286" t="s">
        <v>53</v>
      </c>
      <c r="M2217" s="286" t="s">
        <v>53</v>
      </c>
      <c r="N2217" s="287">
        <v>-194.53</v>
      </c>
      <c r="O2217" s="294">
        <f t="shared" si="34"/>
        <v>45382</v>
      </c>
      <c r="P2217" s="286" t="s">
        <v>58</v>
      </c>
    </row>
    <row r="2218" spans="1:16" hidden="1" x14ac:dyDescent="0.15">
      <c r="A2218" s="286">
        <v>580947</v>
      </c>
      <c r="B2218" s="288">
        <v>45427.67291666667</v>
      </c>
      <c r="C2218" s="286" t="s">
        <v>2096</v>
      </c>
      <c r="D2218" s="286" t="s">
        <v>1105</v>
      </c>
      <c r="E2218" s="286" t="s">
        <v>1106</v>
      </c>
      <c r="F2218" s="286" t="s">
        <v>2381</v>
      </c>
      <c r="G2218" s="286" t="s">
        <v>1083</v>
      </c>
      <c r="H2218" s="286" t="s">
        <v>1083</v>
      </c>
      <c r="I2218" s="286" t="s">
        <v>1199</v>
      </c>
      <c r="J2218" s="286" t="s">
        <v>1312</v>
      </c>
      <c r="K2218" s="286" t="s">
        <v>53</v>
      </c>
      <c r="L2218" s="286" t="s">
        <v>53</v>
      </c>
      <c r="M2218" s="286" t="s">
        <v>53</v>
      </c>
      <c r="N2218" s="287">
        <v>-194.53</v>
      </c>
      <c r="O2218" s="294">
        <f t="shared" si="34"/>
        <v>45443</v>
      </c>
      <c r="P2218" s="286" t="s">
        <v>58</v>
      </c>
    </row>
    <row r="2219" spans="1:16" hidden="1" x14ac:dyDescent="0.15">
      <c r="A2219" s="286">
        <v>618175</v>
      </c>
      <c r="B2219" s="288">
        <v>45457.602083333331</v>
      </c>
      <c r="C2219" s="286" t="s">
        <v>2116</v>
      </c>
      <c r="D2219" s="286" t="s">
        <v>1105</v>
      </c>
      <c r="E2219" s="286" t="s">
        <v>1106</v>
      </c>
      <c r="F2219" s="286" t="s">
        <v>2158</v>
      </c>
      <c r="G2219" s="286" t="s">
        <v>1083</v>
      </c>
      <c r="H2219" s="286" t="s">
        <v>1083</v>
      </c>
      <c r="I2219" s="286" t="s">
        <v>1199</v>
      </c>
      <c r="J2219" s="286" t="s">
        <v>1312</v>
      </c>
      <c r="K2219" s="286" t="s">
        <v>53</v>
      </c>
      <c r="L2219" s="286" t="s">
        <v>53</v>
      </c>
      <c r="M2219" s="286" t="s">
        <v>53</v>
      </c>
      <c r="N2219" s="287">
        <v>-194.53</v>
      </c>
      <c r="O2219" s="294">
        <f t="shared" si="34"/>
        <v>45473</v>
      </c>
      <c r="P2219" s="286" t="s">
        <v>58</v>
      </c>
    </row>
    <row r="2220" spans="1:16" hidden="1" x14ac:dyDescent="0.15">
      <c r="A2220" s="286">
        <v>659936</v>
      </c>
      <c r="B2220" s="288">
        <v>45484.529861111114</v>
      </c>
      <c r="C2220" s="286" t="s">
        <v>2092</v>
      </c>
      <c r="D2220" s="286" t="s">
        <v>1105</v>
      </c>
      <c r="E2220" s="286" t="s">
        <v>1106</v>
      </c>
      <c r="F2220" s="286" t="s">
        <v>2159</v>
      </c>
      <c r="G2220" s="286" t="s">
        <v>1083</v>
      </c>
      <c r="H2220" s="286" t="s">
        <v>1083</v>
      </c>
      <c r="I2220" s="286" t="s">
        <v>1199</v>
      </c>
      <c r="J2220" s="286" t="s">
        <v>1312</v>
      </c>
      <c r="K2220" s="286" t="s">
        <v>53</v>
      </c>
      <c r="L2220" s="286" t="s">
        <v>53</v>
      </c>
      <c r="M2220" s="286" t="s">
        <v>53</v>
      </c>
      <c r="N2220" s="287">
        <v>-194.53</v>
      </c>
      <c r="O2220" s="294">
        <f t="shared" si="34"/>
        <v>45504</v>
      </c>
      <c r="P2220" s="286" t="s">
        <v>58</v>
      </c>
    </row>
    <row r="2221" spans="1:16" hidden="1" x14ac:dyDescent="0.15">
      <c r="A2221" s="286">
        <v>712645</v>
      </c>
      <c r="B2221" s="288">
        <v>45517.640972222223</v>
      </c>
      <c r="C2221" s="286" t="s">
        <v>2111</v>
      </c>
      <c r="D2221" s="286" t="s">
        <v>1105</v>
      </c>
      <c r="E2221" s="286" t="s">
        <v>1106</v>
      </c>
      <c r="F2221" s="286" t="s">
        <v>2160</v>
      </c>
      <c r="G2221" s="286" t="s">
        <v>1083</v>
      </c>
      <c r="H2221" s="286" t="s">
        <v>1083</v>
      </c>
      <c r="I2221" s="286" t="s">
        <v>1199</v>
      </c>
      <c r="J2221" s="286" t="s">
        <v>1312</v>
      </c>
      <c r="K2221" s="286" t="s">
        <v>53</v>
      </c>
      <c r="L2221" s="286" t="s">
        <v>53</v>
      </c>
      <c r="M2221" s="286" t="s">
        <v>53</v>
      </c>
      <c r="N2221" s="287">
        <v>-194.53</v>
      </c>
      <c r="O2221" s="294">
        <f t="shared" si="34"/>
        <v>45535</v>
      </c>
      <c r="P2221" s="286" t="s">
        <v>58</v>
      </c>
    </row>
    <row r="2222" spans="1:16" hidden="1" x14ac:dyDescent="0.15">
      <c r="A2222" s="286">
        <v>741366</v>
      </c>
      <c r="B2222" s="288">
        <v>45532.655555555553</v>
      </c>
      <c r="C2222" s="286" t="s">
        <v>2102</v>
      </c>
      <c r="D2222" s="286" t="s">
        <v>1105</v>
      </c>
      <c r="E2222" s="286" t="s">
        <v>1106</v>
      </c>
      <c r="F2222" s="286" t="s">
        <v>2161</v>
      </c>
      <c r="G2222" s="286" t="s">
        <v>1083</v>
      </c>
      <c r="H2222" s="286" t="s">
        <v>1083</v>
      </c>
      <c r="I2222" s="286" t="s">
        <v>1199</v>
      </c>
      <c r="J2222" s="286" t="s">
        <v>1312</v>
      </c>
      <c r="K2222" s="286" t="s">
        <v>53</v>
      </c>
      <c r="L2222" s="286" t="s">
        <v>53</v>
      </c>
      <c r="M2222" s="286" t="s">
        <v>53</v>
      </c>
      <c r="N2222" s="287">
        <v>-194.53</v>
      </c>
      <c r="O2222" s="294">
        <f t="shared" si="34"/>
        <v>45535</v>
      </c>
      <c r="P2222" s="286" t="s">
        <v>58</v>
      </c>
    </row>
    <row r="2223" spans="1:16" hidden="1" x14ac:dyDescent="0.15">
      <c r="A2223" s="286">
        <v>785030</v>
      </c>
      <c r="B2223" s="288">
        <v>45559.581944444442</v>
      </c>
      <c r="C2223" s="286" t="s">
        <v>2132</v>
      </c>
      <c r="D2223" s="286" t="s">
        <v>1105</v>
      </c>
      <c r="E2223" s="286" t="s">
        <v>1106</v>
      </c>
      <c r="F2223" s="286" t="s">
        <v>2162</v>
      </c>
      <c r="G2223" s="286" t="s">
        <v>1083</v>
      </c>
      <c r="H2223" s="286" t="s">
        <v>1083</v>
      </c>
      <c r="I2223" s="286" t="s">
        <v>1199</v>
      </c>
      <c r="J2223" s="286" t="s">
        <v>1312</v>
      </c>
      <c r="K2223" s="286" t="s">
        <v>53</v>
      </c>
      <c r="L2223" s="286" t="s">
        <v>53</v>
      </c>
      <c r="M2223" s="286" t="s">
        <v>53</v>
      </c>
      <c r="N2223" s="287">
        <v>-194.53</v>
      </c>
      <c r="O2223" s="294">
        <f t="shared" si="34"/>
        <v>45565</v>
      </c>
      <c r="P2223" s="286" t="s">
        <v>58</v>
      </c>
    </row>
    <row r="2224" spans="1:16" hidden="1" x14ac:dyDescent="0.15">
      <c r="A2224" s="286">
        <v>821955</v>
      </c>
      <c r="B2224" s="288">
        <v>45587.62777777778</v>
      </c>
      <c r="C2224" s="286" t="s">
        <v>2130</v>
      </c>
      <c r="D2224" s="286" t="s">
        <v>1105</v>
      </c>
      <c r="E2224" s="286" t="s">
        <v>1106</v>
      </c>
      <c r="F2224" s="286" t="s">
        <v>2163</v>
      </c>
      <c r="G2224" s="286" t="s">
        <v>1083</v>
      </c>
      <c r="H2224" s="286" t="s">
        <v>1083</v>
      </c>
      <c r="I2224" s="286" t="s">
        <v>1199</v>
      </c>
      <c r="J2224" s="286" t="s">
        <v>1312</v>
      </c>
      <c r="K2224" s="286" t="s">
        <v>53</v>
      </c>
      <c r="L2224" s="286" t="s">
        <v>53</v>
      </c>
      <c r="M2224" s="286" t="s">
        <v>53</v>
      </c>
      <c r="N2224" s="287">
        <v>-194.53</v>
      </c>
      <c r="O2224" s="294">
        <f t="shared" si="34"/>
        <v>45596</v>
      </c>
      <c r="P2224" s="286" t="s">
        <v>58</v>
      </c>
    </row>
    <row r="2225" spans="1:16" hidden="1" x14ac:dyDescent="0.15">
      <c r="A2225" s="286">
        <v>864918</v>
      </c>
      <c r="B2225" s="288">
        <v>45617.508333333331</v>
      </c>
      <c r="C2225" s="286" t="s">
        <v>2100</v>
      </c>
      <c r="D2225" s="286" t="s">
        <v>1105</v>
      </c>
      <c r="E2225" s="286" t="s">
        <v>1106</v>
      </c>
      <c r="F2225" s="286" t="s">
        <v>2233</v>
      </c>
      <c r="G2225" s="286" t="s">
        <v>1083</v>
      </c>
      <c r="H2225" s="286" t="s">
        <v>1083</v>
      </c>
      <c r="I2225" s="286" t="s">
        <v>1199</v>
      </c>
      <c r="J2225" s="286" t="s">
        <v>53</v>
      </c>
      <c r="K2225" s="286" t="s">
        <v>53</v>
      </c>
      <c r="L2225" s="286" t="s">
        <v>53</v>
      </c>
      <c r="M2225" s="286" t="s">
        <v>53</v>
      </c>
      <c r="N2225" s="287">
        <v>-194.53</v>
      </c>
      <c r="O2225" s="294">
        <f t="shared" si="34"/>
        <v>45626</v>
      </c>
      <c r="P2225" s="286" t="s">
        <v>58</v>
      </c>
    </row>
    <row r="2226" spans="1:16" hidden="1" x14ac:dyDescent="0.15">
      <c r="A2226" s="286">
        <v>898877</v>
      </c>
      <c r="B2226" s="288">
        <v>45644.552083333336</v>
      </c>
      <c r="C2226" s="286" t="s">
        <v>2098</v>
      </c>
      <c r="D2226" s="286" t="s">
        <v>1105</v>
      </c>
      <c r="E2226" s="286" t="s">
        <v>1106</v>
      </c>
      <c r="F2226" s="286" t="s">
        <v>2234</v>
      </c>
      <c r="G2226" s="286" t="s">
        <v>1083</v>
      </c>
      <c r="H2226" s="286" t="s">
        <v>1083</v>
      </c>
      <c r="I2226" s="286" t="s">
        <v>1199</v>
      </c>
      <c r="J2226" s="286" t="s">
        <v>1312</v>
      </c>
      <c r="K2226" s="286" t="s">
        <v>53</v>
      </c>
      <c r="L2226" s="286" t="s">
        <v>53</v>
      </c>
      <c r="M2226" s="286" t="s">
        <v>53</v>
      </c>
      <c r="N2226" s="287">
        <v>-194.53</v>
      </c>
      <c r="O2226" s="294">
        <f t="shared" si="34"/>
        <v>45657</v>
      </c>
      <c r="P2226" s="286" t="s">
        <v>58</v>
      </c>
    </row>
    <row r="2227" spans="1:16" hidden="1" x14ac:dyDescent="0.15">
      <c r="A2227" s="286">
        <v>472168</v>
      </c>
      <c r="B2227" s="288">
        <v>45331.416666666664</v>
      </c>
      <c r="C2227" s="286" t="s">
        <v>2113</v>
      </c>
      <c r="D2227" s="286" t="s">
        <v>1105</v>
      </c>
      <c r="E2227" s="286" t="s">
        <v>1106</v>
      </c>
      <c r="F2227" s="286" t="s">
        <v>2153</v>
      </c>
      <c r="G2227" s="286" t="s">
        <v>1080</v>
      </c>
      <c r="H2227" s="286" t="s">
        <v>1080</v>
      </c>
      <c r="I2227" s="286" t="s">
        <v>1228</v>
      </c>
      <c r="J2227" s="286" t="s">
        <v>1312</v>
      </c>
      <c r="K2227" s="286" t="s">
        <v>1770</v>
      </c>
      <c r="L2227" s="286" t="s">
        <v>53</v>
      </c>
      <c r="M2227" s="286">
        <v>1</v>
      </c>
      <c r="N2227" s="287">
        <v>-205.23</v>
      </c>
      <c r="O2227" s="294">
        <f t="shared" si="34"/>
        <v>45351</v>
      </c>
      <c r="P2227" s="286" t="s">
        <v>58</v>
      </c>
    </row>
    <row r="2228" spans="1:16" hidden="1" x14ac:dyDescent="0.15">
      <c r="A2228" s="286">
        <v>883883</v>
      </c>
      <c r="B2228" s="288">
        <v>45632.650694444441</v>
      </c>
      <c r="C2228" s="286" t="s">
        <v>2098</v>
      </c>
      <c r="D2228" s="286" t="s">
        <v>1105</v>
      </c>
      <c r="E2228" s="286" t="s">
        <v>1106</v>
      </c>
      <c r="F2228" s="286" t="s">
        <v>2384</v>
      </c>
      <c r="G2228" s="286" t="s">
        <v>1041</v>
      </c>
      <c r="H2228" s="286" t="s">
        <v>1041</v>
      </c>
      <c r="I2228" s="286" t="s">
        <v>1129</v>
      </c>
      <c r="J2228" s="286" t="s">
        <v>53</v>
      </c>
      <c r="K2228" s="286" t="s">
        <v>2495</v>
      </c>
      <c r="L2228" s="286" t="s">
        <v>2496</v>
      </c>
      <c r="M2228" s="286">
        <v>1</v>
      </c>
      <c r="N2228" s="287">
        <v>-206.61</v>
      </c>
      <c r="O2228" s="294">
        <f t="shared" si="34"/>
        <v>45657</v>
      </c>
      <c r="P2228" s="286" t="s">
        <v>164</v>
      </c>
    </row>
    <row r="2229" spans="1:16" hidden="1" x14ac:dyDescent="0.15">
      <c r="A2229" s="286">
        <v>534207</v>
      </c>
      <c r="B2229" s="288">
        <v>45385.750694444447</v>
      </c>
      <c r="C2229" s="286" t="s">
        <v>2096</v>
      </c>
      <c r="D2229" s="286" t="s">
        <v>1105</v>
      </c>
      <c r="E2229" s="286" t="s">
        <v>1106</v>
      </c>
      <c r="F2229" s="286" t="s">
        <v>2155</v>
      </c>
      <c r="G2229" s="286" t="s">
        <v>1080</v>
      </c>
      <c r="H2229" s="286" t="s">
        <v>1080</v>
      </c>
      <c r="I2229" s="286" t="s">
        <v>1228</v>
      </c>
      <c r="J2229" s="286" t="s">
        <v>1312</v>
      </c>
      <c r="K2229" s="286" t="s">
        <v>1770</v>
      </c>
      <c r="L2229" s="286" t="s">
        <v>53</v>
      </c>
      <c r="M2229" s="286">
        <v>1</v>
      </c>
      <c r="N2229" s="287">
        <v>-208.31</v>
      </c>
      <c r="O2229" s="294">
        <f t="shared" si="34"/>
        <v>45412</v>
      </c>
      <c r="P2229" s="286" t="s">
        <v>58</v>
      </c>
    </row>
    <row r="2230" spans="1:16" hidden="1" x14ac:dyDescent="0.15">
      <c r="A2230" s="286">
        <v>453975</v>
      </c>
      <c r="B2230" s="288">
        <v>45309.636111111111</v>
      </c>
      <c r="C2230" s="286" t="s">
        <v>2125</v>
      </c>
      <c r="D2230" s="286" t="s">
        <v>1105</v>
      </c>
      <c r="E2230" s="286" t="s">
        <v>1106</v>
      </c>
      <c r="F2230" s="286" t="s">
        <v>2333</v>
      </c>
      <c r="G2230" s="286" t="s">
        <v>1080</v>
      </c>
      <c r="H2230" s="286" t="s">
        <v>1080</v>
      </c>
      <c r="I2230" s="286" t="s">
        <v>1228</v>
      </c>
      <c r="J2230" s="286" t="s">
        <v>1312</v>
      </c>
      <c r="K2230" s="286" t="s">
        <v>1770</v>
      </c>
      <c r="L2230" s="286" t="s">
        <v>53</v>
      </c>
      <c r="M2230" s="286">
        <v>1</v>
      </c>
      <c r="N2230" s="287">
        <v>-211.19</v>
      </c>
      <c r="O2230" s="294">
        <f t="shared" si="34"/>
        <v>45322</v>
      </c>
      <c r="P2230" s="286" t="s">
        <v>58</v>
      </c>
    </row>
    <row r="2231" spans="1:16" hidden="1" x14ac:dyDescent="0.15">
      <c r="A2231" s="286">
        <v>504817</v>
      </c>
      <c r="B2231" s="288">
        <v>45359.645138888889</v>
      </c>
      <c r="C2231" s="286" t="s">
        <v>2109</v>
      </c>
      <c r="D2231" s="286" t="s">
        <v>1105</v>
      </c>
      <c r="E2231" s="286" t="s">
        <v>1106</v>
      </c>
      <c r="F2231" s="286" t="s">
        <v>2154</v>
      </c>
      <c r="G2231" s="286" t="s">
        <v>1080</v>
      </c>
      <c r="H2231" s="286" t="s">
        <v>1080</v>
      </c>
      <c r="I2231" s="286" t="s">
        <v>1228</v>
      </c>
      <c r="J2231" s="286" t="s">
        <v>1312</v>
      </c>
      <c r="K2231" s="286" t="s">
        <v>1770</v>
      </c>
      <c r="L2231" s="286" t="s">
        <v>53</v>
      </c>
      <c r="M2231" s="286">
        <v>1</v>
      </c>
      <c r="N2231" s="287">
        <v>-211.19</v>
      </c>
      <c r="O2231" s="294">
        <f t="shared" si="34"/>
        <v>45382</v>
      </c>
      <c r="P2231" s="286" t="s">
        <v>58</v>
      </c>
    </row>
    <row r="2232" spans="1:16" hidden="1" x14ac:dyDescent="0.15">
      <c r="A2232" s="286">
        <v>614216</v>
      </c>
      <c r="B2232" s="288">
        <v>45455.716666666667</v>
      </c>
      <c r="C2232" s="286" t="s">
        <v>2116</v>
      </c>
      <c r="D2232" s="286" t="s">
        <v>1105</v>
      </c>
      <c r="E2232" s="286" t="s">
        <v>1106</v>
      </c>
      <c r="F2232" s="286" t="s">
        <v>2156</v>
      </c>
      <c r="G2232" s="286" t="s">
        <v>1080</v>
      </c>
      <c r="H2232" s="286" t="s">
        <v>1080</v>
      </c>
      <c r="I2232" s="286" t="s">
        <v>1228</v>
      </c>
      <c r="J2232" s="286" t="s">
        <v>1312</v>
      </c>
      <c r="K2232" s="286" t="s">
        <v>1770</v>
      </c>
      <c r="L2232" s="286" t="s">
        <v>53</v>
      </c>
      <c r="M2232" s="286">
        <v>1</v>
      </c>
      <c r="N2232" s="287">
        <v>-211.19</v>
      </c>
      <c r="O2232" s="294">
        <f t="shared" si="34"/>
        <v>45473</v>
      </c>
      <c r="P2232" s="286" t="s">
        <v>58</v>
      </c>
    </row>
    <row r="2233" spans="1:16" hidden="1" x14ac:dyDescent="0.15">
      <c r="A2233" s="286">
        <v>438112</v>
      </c>
      <c r="B2233" s="288">
        <v>45293.53402777778</v>
      </c>
      <c r="C2233" s="286" t="s">
        <v>2125</v>
      </c>
      <c r="D2233" s="286" t="s">
        <v>1105</v>
      </c>
      <c r="E2233" s="286" t="s">
        <v>1106</v>
      </c>
      <c r="F2233" s="286" t="s">
        <v>2152</v>
      </c>
      <c r="G2233" s="286" t="s">
        <v>1062</v>
      </c>
      <c r="H2233" s="286" t="s">
        <v>1062</v>
      </c>
      <c r="I2233" s="286" t="s">
        <v>1228</v>
      </c>
      <c r="J2233" s="286" t="s">
        <v>1312</v>
      </c>
      <c r="K2233" s="286" t="s">
        <v>2511</v>
      </c>
      <c r="L2233" s="286" t="s">
        <v>53</v>
      </c>
      <c r="M2233" s="286">
        <v>1</v>
      </c>
      <c r="N2233" s="287">
        <v>-213.33</v>
      </c>
      <c r="O2233" s="294">
        <f t="shared" si="34"/>
        <v>45322</v>
      </c>
      <c r="P2233" s="286" t="s">
        <v>58</v>
      </c>
    </row>
    <row r="2234" spans="1:16" hidden="1" x14ac:dyDescent="0.15">
      <c r="A2234" s="286">
        <v>472168</v>
      </c>
      <c r="B2234" s="288">
        <v>45331.416666666664</v>
      </c>
      <c r="C2234" s="286" t="s">
        <v>2113</v>
      </c>
      <c r="D2234" s="286" t="s">
        <v>1105</v>
      </c>
      <c r="E2234" s="286" t="s">
        <v>1106</v>
      </c>
      <c r="F2234" s="286" t="s">
        <v>2153</v>
      </c>
      <c r="G2234" s="286" t="s">
        <v>1062</v>
      </c>
      <c r="H2234" s="286" t="s">
        <v>1062</v>
      </c>
      <c r="I2234" s="286" t="s">
        <v>1228</v>
      </c>
      <c r="J2234" s="286" t="s">
        <v>1312</v>
      </c>
      <c r="K2234" s="286" t="s">
        <v>2511</v>
      </c>
      <c r="L2234" s="286" t="s">
        <v>53</v>
      </c>
      <c r="M2234" s="286">
        <v>1</v>
      </c>
      <c r="N2234" s="287">
        <v>-213.33</v>
      </c>
      <c r="O2234" s="294">
        <f t="shared" si="34"/>
        <v>45351</v>
      </c>
      <c r="P2234" s="286" t="s">
        <v>58</v>
      </c>
    </row>
    <row r="2235" spans="1:16" hidden="1" x14ac:dyDescent="0.15">
      <c r="A2235" s="286">
        <v>504817</v>
      </c>
      <c r="B2235" s="288">
        <v>45359.645138888889</v>
      </c>
      <c r="C2235" s="286" t="s">
        <v>2109</v>
      </c>
      <c r="D2235" s="286" t="s">
        <v>1105</v>
      </c>
      <c r="E2235" s="286" t="s">
        <v>1106</v>
      </c>
      <c r="F2235" s="286" t="s">
        <v>2154</v>
      </c>
      <c r="G2235" s="286" t="s">
        <v>1062</v>
      </c>
      <c r="H2235" s="286" t="s">
        <v>1062</v>
      </c>
      <c r="I2235" s="286" t="s">
        <v>1228</v>
      </c>
      <c r="J2235" s="286" t="s">
        <v>1312</v>
      </c>
      <c r="K2235" s="286" t="s">
        <v>2511</v>
      </c>
      <c r="L2235" s="286" t="s">
        <v>53</v>
      </c>
      <c r="M2235" s="286">
        <v>1</v>
      </c>
      <c r="N2235" s="287">
        <v>-213.33</v>
      </c>
      <c r="O2235" s="294">
        <f t="shared" si="34"/>
        <v>45382</v>
      </c>
      <c r="P2235" s="286" t="s">
        <v>58</v>
      </c>
    </row>
    <row r="2236" spans="1:16" hidden="1" x14ac:dyDescent="0.15">
      <c r="A2236" s="286">
        <v>534207</v>
      </c>
      <c r="B2236" s="288">
        <v>45385.750694444447</v>
      </c>
      <c r="C2236" s="286" t="s">
        <v>2096</v>
      </c>
      <c r="D2236" s="286" t="s">
        <v>1105</v>
      </c>
      <c r="E2236" s="286" t="s">
        <v>1106</v>
      </c>
      <c r="F2236" s="286" t="s">
        <v>2155</v>
      </c>
      <c r="G2236" s="286" t="s">
        <v>1062</v>
      </c>
      <c r="H2236" s="286" t="s">
        <v>1062</v>
      </c>
      <c r="I2236" s="286" t="s">
        <v>1228</v>
      </c>
      <c r="J2236" s="286" t="s">
        <v>1312</v>
      </c>
      <c r="K2236" s="286" t="s">
        <v>2511</v>
      </c>
      <c r="L2236" s="286" t="s">
        <v>53</v>
      </c>
      <c r="M2236" s="286">
        <v>1</v>
      </c>
      <c r="N2236" s="287">
        <v>-213.33</v>
      </c>
      <c r="O2236" s="294">
        <f t="shared" si="34"/>
        <v>45412</v>
      </c>
      <c r="P2236" s="286" t="s">
        <v>58</v>
      </c>
    </row>
    <row r="2237" spans="1:16" hidden="1" x14ac:dyDescent="0.15">
      <c r="A2237" s="286">
        <v>614216</v>
      </c>
      <c r="B2237" s="288">
        <v>45455.716666666667</v>
      </c>
      <c r="C2237" s="286" t="s">
        <v>2116</v>
      </c>
      <c r="D2237" s="286" t="s">
        <v>1105</v>
      </c>
      <c r="E2237" s="286" t="s">
        <v>1106</v>
      </c>
      <c r="F2237" s="286" t="s">
        <v>2156</v>
      </c>
      <c r="G2237" s="286" t="s">
        <v>1062</v>
      </c>
      <c r="H2237" s="286" t="s">
        <v>1062</v>
      </c>
      <c r="I2237" s="286" t="s">
        <v>1228</v>
      </c>
      <c r="J2237" s="286" t="s">
        <v>1312</v>
      </c>
      <c r="K2237" s="286" t="s">
        <v>2511</v>
      </c>
      <c r="L2237" s="286" t="s">
        <v>53</v>
      </c>
      <c r="M2237" s="286">
        <v>1</v>
      </c>
      <c r="N2237" s="287">
        <v>-213.33</v>
      </c>
      <c r="O2237" s="294">
        <f t="shared" si="34"/>
        <v>45473</v>
      </c>
      <c r="P2237" s="286" t="s">
        <v>58</v>
      </c>
    </row>
    <row r="2238" spans="1:16" hidden="1" x14ac:dyDescent="0.15">
      <c r="A2238" s="286">
        <v>614316</v>
      </c>
      <c r="B2238" s="288">
        <v>45455.717361111114</v>
      </c>
      <c r="C2238" s="286" t="s">
        <v>2092</v>
      </c>
      <c r="D2238" s="286" t="s">
        <v>1105</v>
      </c>
      <c r="E2238" s="286" t="s">
        <v>1106</v>
      </c>
      <c r="F2238" s="286" t="s">
        <v>2167</v>
      </c>
      <c r="G2238" s="286" t="s">
        <v>1062</v>
      </c>
      <c r="H2238" s="286" t="s">
        <v>1062</v>
      </c>
      <c r="I2238" s="286" t="s">
        <v>1228</v>
      </c>
      <c r="J2238" s="286" t="s">
        <v>1312</v>
      </c>
      <c r="K2238" s="286" t="s">
        <v>2511</v>
      </c>
      <c r="L2238" s="286" t="s">
        <v>53</v>
      </c>
      <c r="M2238" s="286">
        <v>1</v>
      </c>
      <c r="N2238" s="287">
        <v>-213.33</v>
      </c>
      <c r="O2238" s="294">
        <f t="shared" si="34"/>
        <v>45473</v>
      </c>
      <c r="P2238" s="286" t="s">
        <v>58</v>
      </c>
    </row>
    <row r="2239" spans="1:16" hidden="1" x14ac:dyDescent="0.15">
      <c r="A2239" s="286">
        <v>646075</v>
      </c>
      <c r="B2239" s="288">
        <v>45474.519444444442</v>
      </c>
      <c r="C2239" s="286" t="s">
        <v>2111</v>
      </c>
      <c r="D2239" s="286" t="s">
        <v>1105</v>
      </c>
      <c r="E2239" s="286" t="s">
        <v>1106</v>
      </c>
      <c r="F2239" s="286" t="s">
        <v>2137</v>
      </c>
      <c r="G2239" s="286" t="s">
        <v>1062</v>
      </c>
      <c r="H2239" s="286" t="s">
        <v>1062</v>
      </c>
      <c r="I2239" s="286" t="s">
        <v>1228</v>
      </c>
      <c r="J2239" s="286" t="s">
        <v>1312</v>
      </c>
      <c r="K2239" s="286" t="s">
        <v>2511</v>
      </c>
      <c r="L2239" s="286" t="s">
        <v>53</v>
      </c>
      <c r="M2239" s="286">
        <v>1</v>
      </c>
      <c r="N2239" s="287">
        <v>-213.33</v>
      </c>
      <c r="O2239" s="294">
        <f t="shared" si="34"/>
        <v>45504</v>
      </c>
      <c r="P2239" s="286" t="s">
        <v>58</v>
      </c>
    </row>
    <row r="2240" spans="1:16" hidden="1" x14ac:dyDescent="0.15">
      <c r="A2240" s="286">
        <v>697810</v>
      </c>
      <c r="B2240" s="288">
        <v>45510.366666666669</v>
      </c>
      <c r="C2240" s="286" t="s">
        <v>2102</v>
      </c>
      <c r="D2240" s="286" t="s">
        <v>1105</v>
      </c>
      <c r="E2240" s="286" t="s">
        <v>1106</v>
      </c>
      <c r="F2240" s="286" t="s">
        <v>2138</v>
      </c>
      <c r="G2240" s="286" t="s">
        <v>1062</v>
      </c>
      <c r="H2240" s="286" t="s">
        <v>1062</v>
      </c>
      <c r="I2240" s="286" t="s">
        <v>1228</v>
      </c>
      <c r="J2240" s="286" t="s">
        <v>1312</v>
      </c>
      <c r="K2240" s="286" t="s">
        <v>2511</v>
      </c>
      <c r="L2240" s="286" t="s">
        <v>53</v>
      </c>
      <c r="M2240" s="286">
        <v>1</v>
      </c>
      <c r="N2240" s="287">
        <v>-213.33</v>
      </c>
      <c r="O2240" s="294">
        <f t="shared" si="34"/>
        <v>45535</v>
      </c>
      <c r="P2240" s="286" t="s">
        <v>58</v>
      </c>
    </row>
    <row r="2241" spans="1:16" hidden="1" x14ac:dyDescent="0.15">
      <c r="A2241" s="286">
        <v>745911</v>
      </c>
      <c r="B2241" s="288">
        <v>45538.44027777778</v>
      </c>
      <c r="C2241" s="286" t="s">
        <v>2132</v>
      </c>
      <c r="D2241" s="286" t="s">
        <v>1105</v>
      </c>
      <c r="E2241" s="286" t="s">
        <v>1106</v>
      </c>
      <c r="F2241" s="286" t="s">
        <v>2139</v>
      </c>
      <c r="G2241" s="286" t="s">
        <v>1062</v>
      </c>
      <c r="H2241" s="286" t="s">
        <v>1062</v>
      </c>
      <c r="I2241" s="286" t="s">
        <v>1228</v>
      </c>
      <c r="J2241" s="286" t="s">
        <v>1312</v>
      </c>
      <c r="K2241" s="286" t="s">
        <v>2511</v>
      </c>
      <c r="L2241" s="286" t="s">
        <v>53</v>
      </c>
      <c r="M2241" s="286">
        <v>1</v>
      </c>
      <c r="N2241" s="287">
        <v>-213.33</v>
      </c>
      <c r="O2241" s="294">
        <f t="shared" si="34"/>
        <v>45565</v>
      </c>
      <c r="P2241" s="286" t="s">
        <v>58</v>
      </c>
    </row>
    <row r="2242" spans="1:16" hidden="1" x14ac:dyDescent="0.15">
      <c r="A2242" s="286">
        <v>848817</v>
      </c>
      <c r="B2242" s="288">
        <v>45607.65902777778</v>
      </c>
      <c r="C2242" s="286" t="s">
        <v>2130</v>
      </c>
      <c r="D2242" s="286" t="s">
        <v>1105</v>
      </c>
      <c r="E2242" s="286" t="s">
        <v>1106</v>
      </c>
      <c r="F2242" s="286" t="s">
        <v>2140</v>
      </c>
      <c r="G2242" s="286" t="s">
        <v>1062</v>
      </c>
      <c r="H2242" s="286" t="s">
        <v>1062</v>
      </c>
      <c r="I2242" s="286" t="s">
        <v>1228</v>
      </c>
      <c r="J2242" s="286" t="s">
        <v>1312</v>
      </c>
      <c r="K2242" s="286" t="s">
        <v>2511</v>
      </c>
      <c r="L2242" s="286" t="s">
        <v>53</v>
      </c>
      <c r="M2242" s="286">
        <v>1</v>
      </c>
      <c r="N2242" s="287">
        <v>-213.33</v>
      </c>
      <c r="O2242" s="294">
        <f t="shared" si="34"/>
        <v>45626</v>
      </c>
      <c r="P2242" s="286" t="s">
        <v>58</v>
      </c>
    </row>
    <row r="2243" spans="1:16" hidden="1" x14ac:dyDescent="0.15">
      <c r="A2243" s="286">
        <v>848917</v>
      </c>
      <c r="B2243" s="288">
        <v>45607.660416666666</v>
      </c>
      <c r="C2243" s="286" t="s">
        <v>2100</v>
      </c>
      <c r="D2243" s="286" t="s">
        <v>1105</v>
      </c>
      <c r="E2243" s="286" t="s">
        <v>1106</v>
      </c>
      <c r="F2243" s="286" t="s">
        <v>2141</v>
      </c>
      <c r="G2243" s="286" t="s">
        <v>1062</v>
      </c>
      <c r="H2243" s="286" t="s">
        <v>1062</v>
      </c>
      <c r="I2243" s="286" t="s">
        <v>1228</v>
      </c>
      <c r="J2243" s="286" t="s">
        <v>1312</v>
      </c>
      <c r="K2243" s="286" t="s">
        <v>2511</v>
      </c>
      <c r="L2243" s="286" t="s">
        <v>53</v>
      </c>
      <c r="M2243" s="286">
        <v>1</v>
      </c>
      <c r="N2243" s="287">
        <v>-213.33</v>
      </c>
      <c r="O2243" s="294">
        <f t="shared" si="34"/>
        <v>45626</v>
      </c>
      <c r="P2243" s="286" t="s">
        <v>58</v>
      </c>
    </row>
    <row r="2244" spans="1:16" hidden="1" x14ac:dyDescent="0.15">
      <c r="A2244" s="286">
        <v>874698</v>
      </c>
      <c r="B2244" s="288">
        <v>45628.357638888891</v>
      </c>
      <c r="C2244" s="286" t="s">
        <v>2098</v>
      </c>
      <c r="D2244" s="286" t="s">
        <v>1105</v>
      </c>
      <c r="E2244" s="286" t="s">
        <v>1106</v>
      </c>
      <c r="F2244" s="286" t="s">
        <v>2142</v>
      </c>
      <c r="G2244" s="286" t="s">
        <v>1062</v>
      </c>
      <c r="H2244" s="286" t="s">
        <v>1062</v>
      </c>
      <c r="I2244" s="286" t="s">
        <v>1228</v>
      </c>
      <c r="J2244" s="286" t="s">
        <v>1312</v>
      </c>
      <c r="K2244" s="286" t="s">
        <v>2511</v>
      </c>
      <c r="L2244" s="286" t="s">
        <v>53</v>
      </c>
      <c r="M2244" s="286">
        <v>1</v>
      </c>
      <c r="N2244" s="287">
        <v>-213.37</v>
      </c>
      <c r="O2244" s="294">
        <f t="shared" ref="O2244:O2307" si="35">EOMONTH(B2244,0)</f>
        <v>45657</v>
      </c>
      <c r="P2244" s="286" t="s">
        <v>58</v>
      </c>
    </row>
    <row r="2245" spans="1:16" hidden="1" x14ac:dyDescent="0.15">
      <c r="A2245" s="286">
        <v>534207</v>
      </c>
      <c r="B2245" s="288">
        <v>45385.750694444447</v>
      </c>
      <c r="C2245" s="286" t="s">
        <v>2096</v>
      </c>
      <c r="D2245" s="286" t="s">
        <v>1105</v>
      </c>
      <c r="E2245" s="286" t="s">
        <v>1106</v>
      </c>
      <c r="F2245" s="286" t="s">
        <v>2155</v>
      </c>
      <c r="G2245" s="286" t="s">
        <v>1011</v>
      </c>
      <c r="H2245" s="286" t="s">
        <v>1011</v>
      </c>
      <c r="I2245" s="286" t="s">
        <v>1228</v>
      </c>
      <c r="J2245" s="286" t="s">
        <v>1312</v>
      </c>
      <c r="K2245" s="286" t="s">
        <v>2514</v>
      </c>
      <c r="L2245" s="286" t="s">
        <v>53</v>
      </c>
      <c r="M2245" s="286">
        <v>1</v>
      </c>
      <c r="N2245" s="287">
        <v>-216.23</v>
      </c>
      <c r="O2245" s="294">
        <f t="shared" si="35"/>
        <v>45412</v>
      </c>
      <c r="P2245" s="286" t="s">
        <v>58</v>
      </c>
    </row>
    <row r="2246" spans="1:16" hidden="1" x14ac:dyDescent="0.15">
      <c r="A2246" s="286">
        <v>520807</v>
      </c>
      <c r="B2246" s="288">
        <v>45372.554166666669</v>
      </c>
      <c r="C2246" s="286" t="s">
        <v>2113</v>
      </c>
      <c r="D2246" s="286" t="s">
        <v>1105</v>
      </c>
      <c r="E2246" s="286" t="s">
        <v>1106</v>
      </c>
      <c r="F2246" s="286" t="s">
        <v>2515</v>
      </c>
      <c r="G2246" s="286" t="s">
        <v>1079</v>
      </c>
      <c r="H2246" s="286" t="s">
        <v>1079</v>
      </c>
      <c r="I2246" s="286" t="s">
        <v>1152</v>
      </c>
      <c r="J2246" s="286" t="s">
        <v>1312</v>
      </c>
      <c r="K2246" s="286" t="s">
        <v>53</v>
      </c>
      <c r="L2246" s="286" t="s">
        <v>53</v>
      </c>
      <c r="M2246" s="286" t="s">
        <v>53</v>
      </c>
      <c r="N2246" s="287">
        <v>-221</v>
      </c>
      <c r="O2246" s="294">
        <f t="shared" si="35"/>
        <v>45382</v>
      </c>
      <c r="P2246" s="286" t="s">
        <v>58</v>
      </c>
    </row>
    <row r="2247" spans="1:16" hidden="1" x14ac:dyDescent="0.15">
      <c r="A2247" s="286">
        <v>614316</v>
      </c>
      <c r="B2247" s="288">
        <v>45455.717361111114</v>
      </c>
      <c r="C2247" s="286" t="s">
        <v>2092</v>
      </c>
      <c r="D2247" s="286" t="s">
        <v>1105</v>
      </c>
      <c r="E2247" s="286" t="s">
        <v>1106</v>
      </c>
      <c r="F2247" s="286" t="s">
        <v>2167</v>
      </c>
      <c r="G2247" s="286" t="s">
        <v>1080</v>
      </c>
      <c r="H2247" s="286" t="s">
        <v>1080</v>
      </c>
      <c r="I2247" s="286" t="s">
        <v>1228</v>
      </c>
      <c r="J2247" s="286" t="s">
        <v>1312</v>
      </c>
      <c r="K2247" s="286" t="s">
        <v>2511</v>
      </c>
      <c r="L2247" s="286" t="s">
        <v>53</v>
      </c>
      <c r="M2247" s="286">
        <v>1</v>
      </c>
      <c r="N2247" s="287">
        <v>-224</v>
      </c>
      <c r="O2247" s="294">
        <f t="shared" si="35"/>
        <v>45473</v>
      </c>
      <c r="P2247" s="286" t="s">
        <v>58</v>
      </c>
    </row>
    <row r="2248" spans="1:16" hidden="1" x14ac:dyDescent="0.15">
      <c r="A2248" s="286">
        <v>749626</v>
      </c>
      <c r="B2248" s="288">
        <v>45540.357638888891</v>
      </c>
      <c r="C2248" s="286" t="s">
        <v>2132</v>
      </c>
      <c r="D2248" s="286" t="s">
        <v>1105</v>
      </c>
      <c r="E2248" s="286" t="s">
        <v>1106</v>
      </c>
      <c r="F2248" s="286" t="s">
        <v>2342</v>
      </c>
      <c r="G2248" s="286" t="s">
        <v>1080</v>
      </c>
      <c r="H2248" s="286" t="s">
        <v>1080</v>
      </c>
      <c r="I2248" s="286" t="s">
        <v>1228</v>
      </c>
      <c r="J2248" s="286" t="s">
        <v>1312</v>
      </c>
      <c r="K2248" s="286" t="s">
        <v>2511</v>
      </c>
      <c r="L2248" s="286" t="s">
        <v>53</v>
      </c>
      <c r="M2248" s="286">
        <v>1</v>
      </c>
      <c r="N2248" s="287">
        <v>-224</v>
      </c>
      <c r="O2248" s="294">
        <f t="shared" si="35"/>
        <v>45565</v>
      </c>
      <c r="P2248" s="286" t="s">
        <v>58</v>
      </c>
    </row>
    <row r="2249" spans="1:16" hidden="1" x14ac:dyDescent="0.15">
      <c r="A2249" s="286">
        <v>844859</v>
      </c>
      <c r="B2249" s="288">
        <v>45603.465277777781</v>
      </c>
      <c r="C2249" s="286" t="s">
        <v>2100</v>
      </c>
      <c r="D2249" s="286" t="s">
        <v>1105</v>
      </c>
      <c r="E2249" s="286" t="s">
        <v>1106</v>
      </c>
      <c r="F2249" s="286" t="s">
        <v>2343</v>
      </c>
      <c r="G2249" s="286" t="s">
        <v>1080</v>
      </c>
      <c r="H2249" s="286" t="s">
        <v>1080</v>
      </c>
      <c r="I2249" s="286" t="s">
        <v>1228</v>
      </c>
      <c r="J2249" s="286" t="s">
        <v>1312</v>
      </c>
      <c r="K2249" s="286" t="s">
        <v>2511</v>
      </c>
      <c r="L2249" s="286" t="s">
        <v>53</v>
      </c>
      <c r="M2249" s="286">
        <v>1</v>
      </c>
      <c r="N2249" s="287">
        <v>-224</v>
      </c>
      <c r="O2249" s="294">
        <f t="shared" si="35"/>
        <v>45626</v>
      </c>
      <c r="P2249" s="286" t="s">
        <v>58</v>
      </c>
    </row>
    <row r="2250" spans="1:16" hidden="1" x14ac:dyDescent="0.15">
      <c r="A2250" s="286">
        <v>848716</v>
      </c>
      <c r="B2250" s="288">
        <v>45607.647916666669</v>
      </c>
      <c r="C2250" s="286" t="s">
        <v>2130</v>
      </c>
      <c r="D2250" s="286" t="s">
        <v>1105</v>
      </c>
      <c r="E2250" s="286" t="s">
        <v>1106</v>
      </c>
      <c r="F2250" s="286" t="s">
        <v>2241</v>
      </c>
      <c r="G2250" s="286" t="s">
        <v>1049</v>
      </c>
      <c r="H2250" s="286" t="s">
        <v>1049</v>
      </c>
      <c r="I2250" s="286" t="s">
        <v>1228</v>
      </c>
      <c r="J2250" s="286" t="s">
        <v>1312</v>
      </c>
      <c r="K2250" s="286" t="s">
        <v>53</v>
      </c>
      <c r="L2250" s="286" t="s">
        <v>53</v>
      </c>
      <c r="M2250" s="286" t="s">
        <v>53</v>
      </c>
      <c r="N2250" s="287">
        <v>-224.29</v>
      </c>
      <c r="O2250" s="294">
        <f t="shared" si="35"/>
        <v>45626</v>
      </c>
      <c r="P2250" s="286" t="s">
        <v>58</v>
      </c>
    </row>
    <row r="2251" spans="1:16" hidden="1" x14ac:dyDescent="0.15">
      <c r="A2251" s="286">
        <v>864918</v>
      </c>
      <c r="B2251" s="288">
        <v>45617.508333333331</v>
      </c>
      <c r="C2251" s="286" t="s">
        <v>2100</v>
      </c>
      <c r="D2251" s="286" t="s">
        <v>1105</v>
      </c>
      <c r="E2251" s="286" t="s">
        <v>1106</v>
      </c>
      <c r="F2251" s="286" t="s">
        <v>2233</v>
      </c>
      <c r="G2251" s="286" t="s">
        <v>1049</v>
      </c>
      <c r="H2251" s="286" t="s">
        <v>1049</v>
      </c>
      <c r="I2251" s="286" t="s">
        <v>1228</v>
      </c>
      <c r="J2251" s="286" t="s">
        <v>53</v>
      </c>
      <c r="K2251" s="286" t="s">
        <v>53</v>
      </c>
      <c r="L2251" s="286" t="s">
        <v>53</v>
      </c>
      <c r="M2251" s="286" t="s">
        <v>53</v>
      </c>
      <c r="N2251" s="287">
        <v>-224.29</v>
      </c>
      <c r="O2251" s="294">
        <f t="shared" si="35"/>
        <v>45626</v>
      </c>
      <c r="P2251" s="286" t="s">
        <v>58</v>
      </c>
    </row>
    <row r="2252" spans="1:16" hidden="1" x14ac:dyDescent="0.15">
      <c r="A2252" s="286">
        <v>898877</v>
      </c>
      <c r="B2252" s="288">
        <v>45644.552083333336</v>
      </c>
      <c r="C2252" s="286" t="s">
        <v>2098</v>
      </c>
      <c r="D2252" s="286" t="s">
        <v>1105</v>
      </c>
      <c r="E2252" s="286" t="s">
        <v>1106</v>
      </c>
      <c r="F2252" s="286" t="s">
        <v>2234</v>
      </c>
      <c r="G2252" s="286" t="s">
        <v>1049</v>
      </c>
      <c r="H2252" s="286" t="s">
        <v>1049</v>
      </c>
      <c r="I2252" s="286" t="s">
        <v>1228</v>
      </c>
      <c r="J2252" s="286" t="s">
        <v>1312</v>
      </c>
      <c r="K2252" s="286" t="s">
        <v>53</v>
      </c>
      <c r="L2252" s="286" t="s">
        <v>53</v>
      </c>
      <c r="M2252" s="286" t="s">
        <v>53</v>
      </c>
      <c r="N2252" s="287">
        <v>-224.29</v>
      </c>
      <c r="O2252" s="294">
        <f t="shared" si="35"/>
        <v>45657</v>
      </c>
      <c r="P2252" s="286" t="s">
        <v>58</v>
      </c>
    </row>
    <row r="2253" spans="1:16" hidden="1" x14ac:dyDescent="0.15">
      <c r="A2253" s="286">
        <v>657585</v>
      </c>
      <c r="B2253" s="288">
        <v>45483.55972222222</v>
      </c>
      <c r="C2253" s="286" t="s">
        <v>2111</v>
      </c>
      <c r="D2253" s="286" t="s">
        <v>1105</v>
      </c>
      <c r="E2253" s="286" t="s">
        <v>1106</v>
      </c>
      <c r="F2253" s="286" t="s">
        <v>2339</v>
      </c>
      <c r="G2253" s="286" t="s">
        <v>1080</v>
      </c>
      <c r="H2253" s="286" t="s">
        <v>1080</v>
      </c>
      <c r="I2253" s="286" t="s">
        <v>1228</v>
      </c>
      <c r="J2253" s="286" t="s">
        <v>1312</v>
      </c>
      <c r="K2253" s="286" t="s">
        <v>2511</v>
      </c>
      <c r="L2253" s="286" t="s">
        <v>53</v>
      </c>
      <c r="M2253" s="286">
        <v>1</v>
      </c>
      <c r="N2253" s="287">
        <v>-227.1</v>
      </c>
      <c r="O2253" s="294">
        <f t="shared" si="35"/>
        <v>45504</v>
      </c>
      <c r="P2253" s="286" t="s">
        <v>58</v>
      </c>
    </row>
    <row r="2254" spans="1:16" hidden="1" x14ac:dyDescent="0.15">
      <c r="A2254" s="286">
        <v>697810</v>
      </c>
      <c r="B2254" s="288">
        <v>45510.366666666669</v>
      </c>
      <c r="C2254" s="286" t="s">
        <v>2102</v>
      </c>
      <c r="D2254" s="286" t="s">
        <v>1105</v>
      </c>
      <c r="E2254" s="286" t="s">
        <v>1106</v>
      </c>
      <c r="F2254" s="286" t="s">
        <v>2138</v>
      </c>
      <c r="G2254" s="286" t="s">
        <v>1080</v>
      </c>
      <c r="H2254" s="286" t="s">
        <v>1080</v>
      </c>
      <c r="I2254" s="286" t="s">
        <v>1228</v>
      </c>
      <c r="J2254" s="286" t="s">
        <v>1312</v>
      </c>
      <c r="K2254" s="286" t="s">
        <v>2511</v>
      </c>
      <c r="L2254" s="286" t="s">
        <v>53</v>
      </c>
      <c r="M2254" s="286">
        <v>1</v>
      </c>
      <c r="N2254" s="287">
        <v>-227.1</v>
      </c>
      <c r="O2254" s="294">
        <f t="shared" si="35"/>
        <v>45535</v>
      </c>
      <c r="P2254" s="286" t="s">
        <v>58</v>
      </c>
    </row>
    <row r="2255" spans="1:16" hidden="1" x14ac:dyDescent="0.15">
      <c r="A2255" s="286">
        <v>800112</v>
      </c>
      <c r="B2255" s="288">
        <v>45569.661805555559</v>
      </c>
      <c r="C2255" s="286" t="s">
        <v>2130</v>
      </c>
      <c r="D2255" s="286" t="s">
        <v>1105</v>
      </c>
      <c r="E2255" s="286" t="s">
        <v>1106</v>
      </c>
      <c r="F2255" s="286" t="s">
        <v>2340</v>
      </c>
      <c r="G2255" s="286" t="s">
        <v>1080</v>
      </c>
      <c r="H2255" s="286" t="s">
        <v>1080</v>
      </c>
      <c r="I2255" s="286" t="s">
        <v>1228</v>
      </c>
      <c r="J2255" s="286" t="s">
        <v>1312</v>
      </c>
      <c r="K2255" s="286" t="s">
        <v>2511</v>
      </c>
      <c r="L2255" s="286" t="s">
        <v>53</v>
      </c>
      <c r="M2255" s="286">
        <v>1</v>
      </c>
      <c r="N2255" s="287">
        <v>-227.1</v>
      </c>
      <c r="O2255" s="294">
        <f t="shared" si="35"/>
        <v>45596</v>
      </c>
      <c r="P2255" s="286" t="s">
        <v>58</v>
      </c>
    </row>
    <row r="2256" spans="1:16" hidden="1" x14ac:dyDescent="0.15">
      <c r="A2256" s="286">
        <v>880752</v>
      </c>
      <c r="B2256" s="288">
        <v>45631.365972222222</v>
      </c>
      <c r="C2256" s="286" t="s">
        <v>2098</v>
      </c>
      <c r="D2256" s="286" t="s">
        <v>1105</v>
      </c>
      <c r="E2256" s="286" t="s">
        <v>1106</v>
      </c>
      <c r="F2256" s="286" t="s">
        <v>2341</v>
      </c>
      <c r="G2256" s="286" t="s">
        <v>1080</v>
      </c>
      <c r="H2256" s="286" t="s">
        <v>1080</v>
      </c>
      <c r="I2256" s="286" t="s">
        <v>1228</v>
      </c>
      <c r="J2256" s="286" t="s">
        <v>1312</v>
      </c>
      <c r="K2256" s="286" t="s">
        <v>2511</v>
      </c>
      <c r="L2256" s="286" t="s">
        <v>53</v>
      </c>
      <c r="M2256" s="286">
        <v>1</v>
      </c>
      <c r="N2256" s="287">
        <v>-227.1</v>
      </c>
      <c r="O2256" s="294">
        <f t="shared" si="35"/>
        <v>45657</v>
      </c>
      <c r="P2256" s="286" t="s">
        <v>58</v>
      </c>
    </row>
    <row r="2257" spans="1:16" hidden="1" x14ac:dyDescent="0.15">
      <c r="A2257" s="286">
        <v>749626</v>
      </c>
      <c r="B2257" s="288">
        <v>45540.357638888891</v>
      </c>
      <c r="C2257" s="286" t="s">
        <v>2132</v>
      </c>
      <c r="D2257" s="286" t="s">
        <v>1105</v>
      </c>
      <c r="E2257" s="286" t="s">
        <v>1106</v>
      </c>
      <c r="F2257" s="286" t="s">
        <v>2342</v>
      </c>
      <c r="G2257" s="286" t="s">
        <v>1080</v>
      </c>
      <c r="H2257" s="286" t="s">
        <v>1080</v>
      </c>
      <c r="I2257" s="286" t="s">
        <v>1228</v>
      </c>
      <c r="J2257" s="286" t="s">
        <v>1312</v>
      </c>
      <c r="K2257" s="286" t="s">
        <v>2502</v>
      </c>
      <c r="L2257" s="286" t="s">
        <v>53</v>
      </c>
      <c r="M2257" s="286">
        <v>1</v>
      </c>
      <c r="N2257" s="287">
        <v>-237.64</v>
      </c>
      <c r="O2257" s="294">
        <f t="shared" si="35"/>
        <v>45565</v>
      </c>
      <c r="P2257" s="286" t="s">
        <v>58</v>
      </c>
    </row>
    <row r="2258" spans="1:16" hidden="1" x14ac:dyDescent="0.15">
      <c r="A2258" s="286">
        <v>844859</v>
      </c>
      <c r="B2258" s="288">
        <v>45603.465277777781</v>
      </c>
      <c r="C2258" s="286" t="s">
        <v>2100</v>
      </c>
      <c r="D2258" s="286" t="s">
        <v>1105</v>
      </c>
      <c r="E2258" s="286" t="s">
        <v>1106</v>
      </c>
      <c r="F2258" s="286" t="s">
        <v>2343</v>
      </c>
      <c r="G2258" s="286" t="s">
        <v>1080</v>
      </c>
      <c r="H2258" s="286" t="s">
        <v>1080</v>
      </c>
      <c r="I2258" s="286" t="s">
        <v>1228</v>
      </c>
      <c r="J2258" s="286" t="s">
        <v>1312</v>
      </c>
      <c r="K2258" s="286" t="s">
        <v>2502</v>
      </c>
      <c r="L2258" s="286" t="s">
        <v>53</v>
      </c>
      <c r="M2258" s="286">
        <v>1</v>
      </c>
      <c r="N2258" s="287">
        <v>-237.64</v>
      </c>
      <c r="O2258" s="294">
        <f t="shared" si="35"/>
        <v>45626</v>
      </c>
      <c r="P2258" s="286" t="s">
        <v>58</v>
      </c>
    </row>
    <row r="2259" spans="1:16" hidden="1" x14ac:dyDescent="0.15">
      <c r="A2259" s="286">
        <v>614316</v>
      </c>
      <c r="B2259" s="288">
        <v>45455.717361111114</v>
      </c>
      <c r="C2259" s="286" t="s">
        <v>2092</v>
      </c>
      <c r="D2259" s="286" t="s">
        <v>1105</v>
      </c>
      <c r="E2259" s="286" t="s">
        <v>1106</v>
      </c>
      <c r="F2259" s="286" t="s">
        <v>2167</v>
      </c>
      <c r="G2259" s="286" t="s">
        <v>1080</v>
      </c>
      <c r="H2259" s="286" t="s">
        <v>1080</v>
      </c>
      <c r="I2259" s="286" t="s">
        <v>1228</v>
      </c>
      <c r="J2259" s="286" t="s">
        <v>1312</v>
      </c>
      <c r="K2259" s="286" t="s">
        <v>2502</v>
      </c>
      <c r="L2259" s="286" t="s">
        <v>53</v>
      </c>
      <c r="M2259" s="286">
        <v>1</v>
      </c>
      <c r="N2259" s="287">
        <v>-237.65</v>
      </c>
      <c r="O2259" s="294">
        <f t="shared" si="35"/>
        <v>45473</v>
      </c>
      <c r="P2259" s="286" t="s">
        <v>58</v>
      </c>
    </row>
    <row r="2260" spans="1:16" hidden="1" x14ac:dyDescent="0.15">
      <c r="A2260" s="286">
        <v>496729</v>
      </c>
      <c r="B2260" s="288">
        <v>45352.454861111109</v>
      </c>
      <c r="C2260" s="286" t="s">
        <v>2125</v>
      </c>
      <c r="D2260" s="286" t="s">
        <v>1105</v>
      </c>
      <c r="E2260" s="286" t="s">
        <v>1106</v>
      </c>
      <c r="F2260" s="286" t="s">
        <v>2516</v>
      </c>
      <c r="G2260" s="286" t="s">
        <v>1027</v>
      </c>
      <c r="H2260" s="286" t="s">
        <v>1027</v>
      </c>
      <c r="I2260" s="286" t="s">
        <v>1228</v>
      </c>
      <c r="J2260" s="286" t="s">
        <v>1312</v>
      </c>
      <c r="K2260" s="286" t="s">
        <v>53</v>
      </c>
      <c r="L2260" s="286" t="s">
        <v>53</v>
      </c>
      <c r="M2260" s="286" t="s">
        <v>53</v>
      </c>
      <c r="N2260" s="287">
        <v>-237.75</v>
      </c>
      <c r="O2260" s="294">
        <f t="shared" si="35"/>
        <v>45382</v>
      </c>
      <c r="P2260" s="286" t="s">
        <v>58</v>
      </c>
    </row>
    <row r="2261" spans="1:16" hidden="1" x14ac:dyDescent="0.15">
      <c r="A2261" s="286">
        <v>848917</v>
      </c>
      <c r="B2261" s="288">
        <v>45607.660416666666</v>
      </c>
      <c r="C2261" s="286" t="s">
        <v>2100</v>
      </c>
      <c r="D2261" s="286" t="s">
        <v>1105</v>
      </c>
      <c r="E2261" s="286" t="s">
        <v>1106</v>
      </c>
      <c r="F2261" s="286" t="s">
        <v>2141</v>
      </c>
      <c r="G2261" s="286" t="s">
        <v>1856</v>
      </c>
      <c r="H2261" s="286" t="s">
        <v>1856</v>
      </c>
      <c r="I2261" s="286" t="s">
        <v>1199</v>
      </c>
      <c r="J2261" s="286" t="s">
        <v>1312</v>
      </c>
      <c r="K2261" s="286" t="s">
        <v>2068</v>
      </c>
      <c r="L2261" s="286" t="s">
        <v>53</v>
      </c>
      <c r="M2261" s="286">
        <v>1</v>
      </c>
      <c r="N2261" s="287">
        <v>-238.44</v>
      </c>
      <c r="O2261" s="294">
        <f t="shared" si="35"/>
        <v>45626</v>
      </c>
      <c r="P2261" s="286" t="s">
        <v>58</v>
      </c>
    </row>
    <row r="2262" spans="1:16" hidden="1" x14ac:dyDescent="0.15">
      <c r="A2262" s="286">
        <v>657585</v>
      </c>
      <c r="B2262" s="288">
        <v>45483.55972222222</v>
      </c>
      <c r="C2262" s="286" t="s">
        <v>2111</v>
      </c>
      <c r="D2262" s="286" t="s">
        <v>1105</v>
      </c>
      <c r="E2262" s="286" t="s">
        <v>1106</v>
      </c>
      <c r="F2262" s="286" t="s">
        <v>2339</v>
      </c>
      <c r="G2262" s="286" t="s">
        <v>1080</v>
      </c>
      <c r="H2262" s="286" t="s">
        <v>1080</v>
      </c>
      <c r="I2262" s="286" t="s">
        <v>1228</v>
      </c>
      <c r="J2262" s="286" t="s">
        <v>1312</v>
      </c>
      <c r="K2262" s="286" t="s">
        <v>2502</v>
      </c>
      <c r="L2262" s="286" t="s">
        <v>53</v>
      </c>
      <c r="M2262" s="286">
        <v>1</v>
      </c>
      <c r="N2262" s="287">
        <v>-240.93</v>
      </c>
      <c r="O2262" s="294">
        <f t="shared" si="35"/>
        <v>45504</v>
      </c>
      <c r="P2262" s="286" t="s">
        <v>58</v>
      </c>
    </row>
    <row r="2263" spans="1:16" hidden="1" x14ac:dyDescent="0.15">
      <c r="A2263" s="286">
        <v>697810</v>
      </c>
      <c r="B2263" s="288">
        <v>45510.366666666669</v>
      </c>
      <c r="C2263" s="286" t="s">
        <v>2102</v>
      </c>
      <c r="D2263" s="286" t="s">
        <v>1105</v>
      </c>
      <c r="E2263" s="286" t="s">
        <v>1106</v>
      </c>
      <c r="F2263" s="286" t="s">
        <v>2138</v>
      </c>
      <c r="G2263" s="286" t="s">
        <v>1080</v>
      </c>
      <c r="H2263" s="286" t="s">
        <v>1080</v>
      </c>
      <c r="I2263" s="286" t="s">
        <v>1228</v>
      </c>
      <c r="J2263" s="286" t="s">
        <v>1312</v>
      </c>
      <c r="K2263" s="286" t="s">
        <v>2502</v>
      </c>
      <c r="L2263" s="286" t="s">
        <v>53</v>
      </c>
      <c r="M2263" s="286">
        <v>1</v>
      </c>
      <c r="N2263" s="287">
        <v>-240.93</v>
      </c>
      <c r="O2263" s="294">
        <f t="shared" si="35"/>
        <v>45535</v>
      </c>
      <c r="P2263" s="286" t="s">
        <v>58</v>
      </c>
    </row>
    <row r="2264" spans="1:16" hidden="1" x14ac:dyDescent="0.15">
      <c r="A2264" s="286">
        <v>800112</v>
      </c>
      <c r="B2264" s="288">
        <v>45569.661805555559</v>
      </c>
      <c r="C2264" s="286" t="s">
        <v>2130</v>
      </c>
      <c r="D2264" s="286" t="s">
        <v>1105</v>
      </c>
      <c r="E2264" s="286" t="s">
        <v>1106</v>
      </c>
      <c r="F2264" s="286" t="s">
        <v>2340</v>
      </c>
      <c r="G2264" s="286" t="s">
        <v>1080</v>
      </c>
      <c r="H2264" s="286" t="s">
        <v>1080</v>
      </c>
      <c r="I2264" s="286" t="s">
        <v>1228</v>
      </c>
      <c r="J2264" s="286" t="s">
        <v>1312</v>
      </c>
      <c r="K2264" s="286" t="s">
        <v>2502</v>
      </c>
      <c r="L2264" s="286" t="s">
        <v>53</v>
      </c>
      <c r="M2264" s="286">
        <v>1</v>
      </c>
      <c r="N2264" s="287">
        <v>-240.93</v>
      </c>
      <c r="O2264" s="294">
        <f t="shared" si="35"/>
        <v>45596</v>
      </c>
      <c r="P2264" s="286" t="s">
        <v>58</v>
      </c>
    </row>
    <row r="2265" spans="1:16" hidden="1" x14ac:dyDescent="0.15">
      <c r="A2265" s="286">
        <v>880752</v>
      </c>
      <c r="B2265" s="288">
        <v>45631.365972222222</v>
      </c>
      <c r="C2265" s="286" t="s">
        <v>2098</v>
      </c>
      <c r="D2265" s="286" t="s">
        <v>1105</v>
      </c>
      <c r="E2265" s="286" t="s">
        <v>1106</v>
      </c>
      <c r="F2265" s="286" t="s">
        <v>2341</v>
      </c>
      <c r="G2265" s="286" t="s">
        <v>1080</v>
      </c>
      <c r="H2265" s="286" t="s">
        <v>1080</v>
      </c>
      <c r="I2265" s="286" t="s">
        <v>1228</v>
      </c>
      <c r="J2265" s="286" t="s">
        <v>1312</v>
      </c>
      <c r="K2265" s="286" t="s">
        <v>2502</v>
      </c>
      <c r="L2265" s="286" t="s">
        <v>53</v>
      </c>
      <c r="M2265" s="286">
        <v>1</v>
      </c>
      <c r="N2265" s="287">
        <v>-240.93</v>
      </c>
      <c r="O2265" s="294">
        <f t="shared" si="35"/>
        <v>45657</v>
      </c>
      <c r="P2265" s="286" t="s">
        <v>58</v>
      </c>
    </row>
    <row r="2266" spans="1:16" hidden="1" x14ac:dyDescent="0.15">
      <c r="A2266" s="286">
        <v>744615</v>
      </c>
      <c r="B2266" s="288">
        <v>45534.426388888889</v>
      </c>
      <c r="C2266" s="286" t="s">
        <v>2102</v>
      </c>
      <c r="D2266" s="286" t="s">
        <v>1105</v>
      </c>
      <c r="E2266" s="286" t="s">
        <v>1106</v>
      </c>
      <c r="F2266" s="286" t="s">
        <v>2517</v>
      </c>
      <c r="G2266" s="286" t="s">
        <v>1055</v>
      </c>
      <c r="H2266" s="286" t="s">
        <v>1055</v>
      </c>
      <c r="I2266" s="286" t="s">
        <v>1112</v>
      </c>
      <c r="J2266" s="286" t="s">
        <v>1312</v>
      </c>
      <c r="K2266" s="286" t="s">
        <v>53</v>
      </c>
      <c r="L2266" s="286" t="s">
        <v>53</v>
      </c>
      <c r="M2266" s="286" t="s">
        <v>53</v>
      </c>
      <c r="N2266" s="287">
        <v>-247</v>
      </c>
      <c r="O2266" s="294">
        <f t="shared" si="35"/>
        <v>45535</v>
      </c>
      <c r="P2266" s="286" t="s">
        <v>175</v>
      </c>
    </row>
    <row r="2267" spans="1:16" hidden="1" x14ac:dyDescent="0.15">
      <c r="A2267" s="286">
        <v>668414</v>
      </c>
      <c r="B2267" s="288">
        <v>45490.529166666667</v>
      </c>
      <c r="C2267" s="286" t="s">
        <v>2092</v>
      </c>
      <c r="D2267" s="286" t="s">
        <v>1105</v>
      </c>
      <c r="E2267" s="286" t="s">
        <v>1106</v>
      </c>
      <c r="F2267" s="286" t="s">
        <v>2518</v>
      </c>
      <c r="G2267" s="286" t="s">
        <v>1022</v>
      </c>
      <c r="H2267" s="286" t="s">
        <v>1022</v>
      </c>
      <c r="I2267" s="286" t="s">
        <v>1228</v>
      </c>
      <c r="J2267" s="286" t="s">
        <v>1312</v>
      </c>
      <c r="K2267" s="286" t="s">
        <v>53</v>
      </c>
      <c r="L2267" s="286" t="s">
        <v>53</v>
      </c>
      <c r="M2267" s="286" t="s">
        <v>53</v>
      </c>
      <c r="N2267" s="287">
        <v>-250.56</v>
      </c>
      <c r="O2267" s="294">
        <f t="shared" si="35"/>
        <v>45504</v>
      </c>
      <c r="P2267" s="286" t="s">
        <v>58</v>
      </c>
    </row>
    <row r="2268" spans="1:16" hidden="1" x14ac:dyDescent="0.15">
      <c r="A2268" s="286">
        <v>848817</v>
      </c>
      <c r="B2268" s="288">
        <v>45607.65902777778</v>
      </c>
      <c r="C2268" s="286" t="s">
        <v>2130</v>
      </c>
      <c r="D2268" s="286" t="s">
        <v>1105</v>
      </c>
      <c r="E2268" s="286" t="s">
        <v>1106</v>
      </c>
      <c r="F2268" s="286" t="s">
        <v>2140</v>
      </c>
      <c r="G2268" s="286" t="s">
        <v>1010</v>
      </c>
      <c r="H2268" s="286" t="s">
        <v>1010</v>
      </c>
      <c r="I2268" s="286" t="s">
        <v>1199</v>
      </c>
      <c r="J2268" s="286" t="s">
        <v>1312</v>
      </c>
      <c r="K2268" s="286" t="s">
        <v>2069</v>
      </c>
      <c r="L2268" s="286" t="s">
        <v>53</v>
      </c>
      <c r="M2268" s="286">
        <v>1</v>
      </c>
      <c r="N2268" s="287">
        <v>-257.93</v>
      </c>
      <c r="O2268" s="294">
        <f t="shared" si="35"/>
        <v>45626</v>
      </c>
      <c r="P2268" s="286" t="s">
        <v>58</v>
      </c>
    </row>
    <row r="2269" spans="1:16" hidden="1" x14ac:dyDescent="0.15">
      <c r="A2269" s="286">
        <v>745911</v>
      </c>
      <c r="B2269" s="288">
        <v>45538.44027777778</v>
      </c>
      <c r="C2269" s="286" t="s">
        <v>2132</v>
      </c>
      <c r="D2269" s="286" t="s">
        <v>1105</v>
      </c>
      <c r="E2269" s="286" t="s">
        <v>1106</v>
      </c>
      <c r="F2269" s="286" t="s">
        <v>2139</v>
      </c>
      <c r="G2269" s="286" t="s">
        <v>1021</v>
      </c>
      <c r="H2269" s="286" t="s">
        <v>1021</v>
      </c>
      <c r="I2269" s="286" t="s">
        <v>1199</v>
      </c>
      <c r="J2269" s="286" t="s">
        <v>1312</v>
      </c>
      <c r="K2269" s="286" t="s">
        <v>2064</v>
      </c>
      <c r="L2269" s="286" t="s">
        <v>53</v>
      </c>
      <c r="M2269" s="286">
        <v>1</v>
      </c>
      <c r="N2269" s="287">
        <v>-258.98</v>
      </c>
      <c r="O2269" s="294">
        <f t="shared" si="35"/>
        <v>45565</v>
      </c>
      <c r="P2269" s="286" t="s">
        <v>58</v>
      </c>
    </row>
    <row r="2270" spans="1:16" hidden="1" x14ac:dyDescent="0.15">
      <c r="A2270" s="286">
        <v>848817</v>
      </c>
      <c r="B2270" s="288">
        <v>45607.65902777778</v>
      </c>
      <c r="C2270" s="286" t="s">
        <v>2130</v>
      </c>
      <c r="D2270" s="286" t="s">
        <v>1105</v>
      </c>
      <c r="E2270" s="286" t="s">
        <v>1106</v>
      </c>
      <c r="F2270" s="286" t="s">
        <v>2140</v>
      </c>
      <c r="G2270" s="286" t="s">
        <v>1021</v>
      </c>
      <c r="H2270" s="286" t="s">
        <v>1021</v>
      </c>
      <c r="I2270" s="286" t="s">
        <v>1199</v>
      </c>
      <c r="J2270" s="286" t="s">
        <v>1312</v>
      </c>
      <c r="K2270" s="286" t="s">
        <v>2064</v>
      </c>
      <c r="L2270" s="286" t="s">
        <v>53</v>
      </c>
      <c r="M2270" s="286">
        <v>1</v>
      </c>
      <c r="N2270" s="287">
        <v>-258.98</v>
      </c>
      <c r="O2270" s="294">
        <f t="shared" si="35"/>
        <v>45626</v>
      </c>
      <c r="P2270" s="286" t="s">
        <v>58</v>
      </c>
    </row>
    <row r="2271" spans="1:16" hidden="1" x14ac:dyDescent="0.15">
      <c r="A2271" s="286">
        <v>848917</v>
      </c>
      <c r="B2271" s="288">
        <v>45607.660416666666</v>
      </c>
      <c r="C2271" s="286" t="s">
        <v>2100</v>
      </c>
      <c r="D2271" s="286" t="s">
        <v>1105</v>
      </c>
      <c r="E2271" s="286" t="s">
        <v>1106</v>
      </c>
      <c r="F2271" s="286" t="s">
        <v>2141</v>
      </c>
      <c r="G2271" s="286" t="s">
        <v>1021</v>
      </c>
      <c r="H2271" s="286" t="s">
        <v>1021</v>
      </c>
      <c r="I2271" s="286" t="s">
        <v>1199</v>
      </c>
      <c r="J2271" s="286" t="s">
        <v>1312</v>
      </c>
      <c r="K2271" s="286" t="s">
        <v>2064</v>
      </c>
      <c r="L2271" s="286" t="s">
        <v>53</v>
      </c>
      <c r="M2271" s="286">
        <v>1</v>
      </c>
      <c r="N2271" s="287">
        <v>-258.98</v>
      </c>
      <c r="O2271" s="294">
        <f t="shared" si="35"/>
        <v>45626</v>
      </c>
      <c r="P2271" s="286" t="s">
        <v>58</v>
      </c>
    </row>
    <row r="2272" spans="1:16" hidden="1" x14ac:dyDescent="0.15">
      <c r="A2272" s="286">
        <v>874698</v>
      </c>
      <c r="B2272" s="288">
        <v>45628.357638888891</v>
      </c>
      <c r="C2272" s="286" t="s">
        <v>2098</v>
      </c>
      <c r="D2272" s="286" t="s">
        <v>1105</v>
      </c>
      <c r="E2272" s="286" t="s">
        <v>1106</v>
      </c>
      <c r="F2272" s="286" t="s">
        <v>2142</v>
      </c>
      <c r="G2272" s="286" t="s">
        <v>1021</v>
      </c>
      <c r="H2272" s="286" t="s">
        <v>1021</v>
      </c>
      <c r="I2272" s="286" t="s">
        <v>1199</v>
      </c>
      <c r="J2272" s="286" t="s">
        <v>1312</v>
      </c>
      <c r="K2272" s="286" t="s">
        <v>2064</v>
      </c>
      <c r="L2272" s="286" t="s">
        <v>53</v>
      </c>
      <c r="M2272" s="286">
        <v>1</v>
      </c>
      <c r="N2272" s="287">
        <v>-258.98</v>
      </c>
      <c r="O2272" s="294">
        <f t="shared" si="35"/>
        <v>45657</v>
      </c>
      <c r="P2272" s="286" t="s">
        <v>58</v>
      </c>
    </row>
    <row r="2273" spans="1:16" hidden="1" x14ac:dyDescent="0.15">
      <c r="A2273" s="286">
        <v>646075</v>
      </c>
      <c r="B2273" s="288">
        <v>45474.519444444442</v>
      </c>
      <c r="C2273" s="286" t="s">
        <v>2111</v>
      </c>
      <c r="D2273" s="286" t="s">
        <v>1105</v>
      </c>
      <c r="E2273" s="286" t="s">
        <v>1106</v>
      </c>
      <c r="F2273" s="286" t="s">
        <v>2137</v>
      </c>
      <c r="G2273" s="286" t="s">
        <v>1035</v>
      </c>
      <c r="H2273" s="286" t="s">
        <v>1035</v>
      </c>
      <c r="I2273" s="286" t="s">
        <v>1199</v>
      </c>
      <c r="J2273" s="286" t="s">
        <v>1312</v>
      </c>
      <c r="K2273" s="286" t="s">
        <v>2068</v>
      </c>
      <c r="L2273" s="286" t="s">
        <v>53</v>
      </c>
      <c r="M2273" s="286">
        <v>1</v>
      </c>
      <c r="N2273" s="287">
        <v>-270.08999999999997</v>
      </c>
      <c r="O2273" s="294">
        <f t="shared" si="35"/>
        <v>45504</v>
      </c>
      <c r="P2273" s="286" t="s">
        <v>58</v>
      </c>
    </row>
    <row r="2274" spans="1:16" hidden="1" x14ac:dyDescent="0.15">
      <c r="A2274" s="286">
        <v>874698</v>
      </c>
      <c r="B2274" s="288">
        <v>45628.357638888891</v>
      </c>
      <c r="C2274" s="286" t="s">
        <v>2098</v>
      </c>
      <c r="D2274" s="286" t="s">
        <v>1105</v>
      </c>
      <c r="E2274" s="286" t="s">
        <v>1106</v>
      </c>
      <c r="F2274" s="286" t="s">
        <v>2142</v>
      </c>
      <c r="G2274" s="286" t="s">
        <v>1316</v>
      </c>
      <c r="H2274" s="286" t="s">
        <v>1316</v>
      </c>
      <c r="I2274" s="286" t="s">
        <v>1228</v>
      </c>
      <c r="J2274" s="286" t="s">
        <v>1312</v>
      </c>
      <c r="K2274" s="286" t="s">
        <v>2076</v>
      </c>
      <c r="L2274" s="286" t="s">
        <v>53</v>
      </c>
      <c r="M2274" s="286">
        <v>1</v>
      </c>
      <c r="N2274" s="287">
        <v>-294.39999999999998</v>
      </c>
      <c r="O2274" s="294">
        <f t="shared" si="35"/>
        <v>45657</v>
      </c>
      <c r="P2274" s="286" t="s">
        <v>58</v>
      </c>
    </row>
    <row r="2275" spans="1:16" hidden="1" x14ac:dyDescent="0.15">
      <c r="A2275" s="286">
        <v>438112</v>
      </c>
      <c r="B2275" s="288">
        <v>45293.53402777778</v>
      </c>
      <c r="C2275" s="286" t="s">
        <v>2125</v>
      </c>
      <c r="D2275" s="286" t="s">
        <v>1105</v>
      </c>
      <c r="E2275" s="286" t="s">
        <v>1106</v>
      </c>
      <c r="F2275" s="286" t="s">
        <v>2152</v>
      </c>
      <c r="G2275" s="286" t="s">
        <v>1021</v>
      </c>
      <c r="H2275" s="286" t="s">
        <v>1021</v>
      </c>
      <c r="I2275" s="286" t="s">
        <v>1199</v>
      </c>
      <c r="J2275" s="286" t="s">
        <v>1312</v>
      </c>
      <c r="K2275" s="286" t="s">
        <v>2064</v>
      </c>
      <c r="L2275" s="286" t="s">
        <v>53</v>
      </c>
      <c r="M2275" s="286">
        <v>1</v>
      </c>
      <c r="N2275" s="287">
        <v>-305.42</v>
      </c>
      <c r="O2275" s="294">
        <f t="shared" si="35"/>
        <v>45322</v>
      </c>
      <c r="P2275" s="286" t="s">
        <v>58</v>
      </c>
    </row>
    <row r="2276" spans="1:16" hidden="1" x14ac:dyDescent="0.15">
      <c r="A2276" s="286">
        <v>472168</v>
      </c>
      <c r="B2276" s="288">
        <v>45331.416666666664</v>
      </c>
      <c r="C2276" s="286" t="s">
        <v>2113</v>
      </c>
      <c r="D2276" s="286" t="s">
        <v>1105</v>
      </c>
      <c r="E2276" s="286" t="s">
        <v>1106</v>
      </c>
      <c r="F2276" s="286" t="s">
        <v>2153</v>
      </c>
      <c r="G2276" s="286" t="s">
        <v>1021</v>
      </c>
      <c r="H2276" s="286" t="s">
        <v>1021</v>
      </c>
      <c r="I2276" s="286" t="s">
        <v>1199</v>
      </c>
      <c r="J2276" s="286" t="s">
        <v>1312</v>
      </c>
      <c r="K2276" s="286" t="s">
        <v>2064</v>
      </c>
      <c r="L2276" s="286" t="s">
        <v>53</v>
      </c>
      <c r="M2276" s="286">
        <v>1</v>
      </c>
      <c r="N2276" s="287">
        <v>-305.42</v>
      </c>
      <c r="O2276" s="294">
        <f t="shared" si="35"/>
        <v>45351</v>
      </c>
      <c r="P2276" s="286" t="s">
        <v>58</v>
      </c>
    </row>
    <row r="2277" spans="1:16" hidden="1" x14ac:dyDescent="0.15">
      <c r="A2277" s="286">
        <v>504817</v>
      </c>
      <c r="B2277" s="288">
        <v>45359.645138888889</v>
      </c>
      <c r="C2277" s="286" t="s">
        <v>2109</v>
      </c>
      <c r="D2277" s="286" t="s">
        <v>1105</v>
      </c>
      <c r="E2277" s="286" t="s">
        <v>1106</v>
      </c>
      <c r="F2277" s="286" t="s">
        <v>2154</v>
      </c>
      <c r="G2277" s="286" t="s">
        <v>1021</v>
      </c>
      <c r="H2277" s="286" t="s">
        <v>1021</v>
      </c>
      <c r="I2277" s="286" t="s">
        <v>1199</v>
      </c>
      <c r="J2277" s="286" t="s">
        <v>1312</v>
      </c>
      <c r="K2277" s="286" t="s">
        <v>2064</v>
      </c>
      <c r="L2277" s="286" t="s">
        <v>53</v>
      </c>
      <c r="M2277" s="286">
        <v>1</v>
      </c>
      <c r="N2277" s="287">
        <v>-305.42</v>
      </c>
      <c r="O2277" s="294">
        <f t="shared" si="35"/>
        <v>45382</v>
      </c>
      <c r="P2277" s="286" t="s">
        <v>58</v>
      </c>
    </row>
    <row r="2278" spans="1:16" hidden="1" x14ac:dyDescent="0.15">
      <c r="A2278" s="286">
        <v>534207</v>
      </c>
      <c r="B2278" s="288">
        <v>45385.750694444447</v>
      </c>
      <c r="C2278" s="286" t="s">
        <v>2096</v>
      </c>
      <c r="D2278" s="286" t="s">
        <v>1105</v>
      </c>
      <c r="E2278" s="286" t="s">
        <v>1106</v>
      </c>
      <c r="F2278" s="286" t="s">
        <v>2155</v>
      </c>
      <c r="G2278" s="286" t="s">
        <v>1021</v>
      </c>
      <c r="H2278" s="286" t="s">
        <v>1021</v>
      </c>
      <c r="I2278" s="286" t="s">
        <v>1199</v>
      </c>
      <c r="J2278" s="286" t="s">
        <v>1312</v>
      </c>
      <c r="K2278" s="286" t="s">
        <v>2064</v>
      </c>
      <c r="L2278" s="286" t="s">
        <v>53</v>
      </c>
      <c r="M2278" s="286">
        <v>1</v>
      </c>
      <c r="N2278" s="287">
        <v>-305.42</v>
      </c>
      <c r="O2278" s="294">
        <f t="shared" si="35"/>
        <v>45412</v>
      </c>
      <c r="P2278" s="286" t="s">
        <v>58</v>
      </c>
    </row>
    <row r="2279" spans="1:16" hidden="1" x14ac:dyDescent="0.15">
      <c r="A2279" s="286">
        <v>614216</v>
      </c>
      <c r="B2279" s="288">
        <v>45455.716666666667</v>
      </c>
      <c r="C2279" s="286" t="s">
        <v>2116</v>
      </c>
      <c r="D2279" s="286" t="s">
        <v>1105</v>
      </c>
      <c r="E2279" s="286" t="s">
        <v>1106</v>
      </c>
      <c r="F2279" s="286" t="s">
        <v>2156</v>
      </c>
      <c r="G2279" s="286" t="s">
        <v>1021</v>
      </c>
      <c r="H2279" s="286" t="s">
        <v>1021</v>
      </c>
      <c r="I2279" s="286" t="s">
        <v>1199</v>
      </c>
      <c r="J2279" s="286" t="s">
        <v>1312</v>
      </c>
      <c r="K2279" s="286" t="s">
        <v>2064</v>
      </c>
      <c r="L2279" s="286" t="s">
        <v>53</v>
      </c>
      <c r="M2279" s="286">
        <v>1</v>
      </c>
      <c r="N2279" s="287">
        <v>-305.42</v>
      </c>
      <c r="O2279" s="294">
        <f t="shared" si="35"/>
        <v>45473</v>
      </c>
      <c r="P2279" s="286" t="s">
        <v>58</v>
      </c>
    </row>
    <row r="2280" spans="1:16" hidden="1" x14ac:dyDescent="0.15">
      <c r="A2280" s="286">
        <v>608480</v>
      </c>
      <c r="B2280" s="288">
        <v>45450.422222222223</v>
      </c>
      <c r="C2280" s="286" t="s">
        <v>2092</v>
      </c>
      <c r="D2280" s="286" t="s">
        <v>1105</v>
      </c>
      <c r="E2280" s="286" t="s">
        <v>1106</v>
      </c>
      <c r="F2280" s="286" t="s">
        <v>2157</v>
      </c>
      <c r="G2280" s="286" t="s">
        <v>1021</v>
      </c>
      <c r="H2280" s="286" t="s">
        <v>1021</v>
      </c>
      <c r="I2280" s="286" t="s">
        <v>1199</v>
      </c>
      <c r="J2280" s="286" t="s">
        <v>1312</v>
      </c>
      <c r="K2280" s="286" t="s">
        <v>2064</v>
      </c>
      <c r="L2280" s="286" t="s">
        <v>53</v>
      </c>
      <c r="M2280" s="286">
        <v>1</v>
      </c>
      <c r="N2280" s="287">
        <v>-305.42</v>
      </c>
      <c r="O2280" s="294">
        <f t="shared" si="35"/>
        <v>45473</v>
      </c>
      <c r="P2280" s="286" t="s">
        <v>58</v>
      </c>
    </row>
    <row r="2281" spans="1:16" hidden="1" x14ac:dyDescent="0.15">
      <c r="A2281" s="286">
        <v>646075</v>
      </c>
      <c r="B2281" s="288">
        <v>45474.519444444442</v>
      </c>
      <c r="C2281" s="286" t="s">
        <v>2111</v>
      </c>
      <c r="D2281" s="286" t="s">
        <v>1105</v>
      </c>
      <c r="E2281" s="286" t="s">
        <v>1106</v>
      </c>
      <c r="F2281" s="286" t="s">
        <v>2137</v>
      </c>
      <c r="G2281" s="286" t="s">
        <v>1021</v>
      </c>
      <c r="H2281" s="286" t="s">
        <v>1021</v>
      </c>
      <c r="I2281" s="286" t="s">
        <v>1199</v>
      </c>
      <c r="J2281" s="286" t="s">
        <v>1312</v>
      </c>
      <c r="K2281" s="286" t="s">
        <v>2064</v>
      </c>
      <c r="L2281" s="286" t="s">
        <v>53</v>
      </c>
      <c r="M2281" s="286">
        <v>1</v>
      </c>
      <c r="N2281" s="287">
        <v>-305.42</v>
      </c>
      <c r="O2281" s="294">
        <f t="shared" si="35"/>
        <v>45504</v>
      </c>
      <c r="P2281" s="286" t="s">
        <v>58</v>
      </c>
    </row>
    <row r="2282" spans="1:16" hidden="1" x14ac:dyDescent="0.15">
      <c r="A2282" s="286">
        <v>697810</v>
      </c>
      <c r="B2282" s="288">
        <v>45510.366666666669</v>
      </c>
      <c r="C2282" s="286" t="s">
        <v>2102</v>
      </c>
      <c r="D2282" s="286" t="s">
        <v>1105</v>
      </c>
      <c r="E2282" s="286" t="s">
        <v>1106</v>
      </c>
      <c r="F2282" s="286" t="s">
        <v>2138</v>
      </c>
      <c r="G2282" s="286" t="s">
        <v>1021</v>
      </c>
      <c r="H2282" s="286" t="s">
        <v>1021</v>
      </c>
      <c r="I2282" s="286" t="s">
        <v>1199</v>
      </c>
      <c r="J2282" s="286" t="s">
        <v>1312</v>
      </c>
      <c r="K2282" s="286" t="s">
        <v>2064</v>
      </c>
      <c r="L2282" s="286" t="s">
        <v>53</v>
      </c>
      <c r="M2282" s="286">
        <v>1</v>
      </c>
      <c r="N2282" s="287">
        <v>-305.42</v>
      </c>
      <c r="O2282" s="294">
        <f t="shared" si="35"/>
        <v>45535</v>
      </c>
      <c r="P2282" s="286" t="s">
        <v>58</v>
      </c>
    </row>
    <row r="2283" spans="1:16" hidden="1" x14ac:dyDescent="0.15">
      <c r="A2283" s="286">
        <v>614216</v>
      </c>
      <c r="B2283" s="288">
        <v>45455.716666666667</v>
      </c>
      <c r="C2283" s="286" t="s">
        <v>2116</v>
      </c>
      <c r="D2283" s="286" t="s">
        <v>1105</v>
      </c>
      <c r="E2283" s="286" t="s">
        <v>1106</v>
      </c>
      <c r="F2283" s="286" t="s">
        <v>2156</v>
      </c>
      <c r="G2283" s="286" t="s">
        <v>1049</v>
      </c>
      <c r="H2283" s="286" t="s">
        <v>1049</v>
      </c>
      <c r="I2283" s="286" t="s">
        <v>1228</v>
      </c>
      <c r="J2283" s="286" t="s">
        <v>1312</v>
      </c>
      <c r="K2283" s="286" t="s">
        <v>2502</v>
      </c>
      <c r="L2283" s="286" t="s">
        <v>53</v>
      </c>
      <c r="M2283" s="286">
        <v>1</v>
      </c>
      <c r="N2283" s="287">
        <v>-309.38</v>
      </c>
      <c r="O2283" s="294">
        <f t="shared" si="35"/>
        <v>45473</v>
      </c>
      <c r="P2283" s="286" t="s">
        <v>58</v>
      </c>
    </row>
    <row r="2284" spans="1:16" hidden="1" x14ac:dyDescent="0.15">
      <c r="A2284" s="286">
        <v>614316</v>
      </c>
      <c r="B2284" s="288">
        <v>45455.717361111114</v>
      </c>
      <c r="C2284" s="286" t="s">
        <v>2092</v>
      </c>
      <c r="D2284" s="286" t="s">
        <v>1105</v>
      </c>
      <c r="E2284" s="286" t="s">
        <v>1106</v>
      </c>
      <c r="F2284" s="286" t="s">
        <v>2167</v>
      </c>
      <c r="G2284" s="286" t="s">
        <v>1049</v>
      </c>
      <c r="H2284" s="286" t="s">
        <v>1049</v>
      </c>
      <c r="I2284" s="286" t="s">
        <v>1228</v>
      </c>
      <c r="J2284" s="286" t="s">
        <v>1312</v>
      </c>
      <c r="K2284" s="286" t="s">
        <v>2502</v>
      </c>
      <c r="L2284" s="286" t="s">
        <v>53</v>
      </c>
      <c r="M2284" s="286">
        <v>1</v>
      </c>
      <c r="N2284" s="287">
        <v>-309.38</v>
      </c>
      <c r="O2284" s="294">
        <f t="shared" si="35"/>
        <v>45473</v>
      </c>
      <c r="P2284" s="286" t="s">
        <v>58</v>
      </c>
    </row>
    <row r="2285" spans="1:16" hidden="1" x14ac:dyDescent="0.15">
      <c r="A2285" s="286">
        <v>646075</v>
      </c>
      <c r="B2285" s="288">
        <v>45474.519444444442</v>
      </c>
      <c r="C2285" s="286" t="s">
        <v>2111</v>
      </c>
      <c r="D2285" s="286" t="s">
        <v>1105</v>
      </c>
      <c r="E2285" s="286" t="s">
        <v>1106</v>
      </c>
      <c r="F2285" s="286" t="s">
        <v>2137</v>
      </c>
      <c r="G2285" s="286" t="s">
        <v>1049</v>
      </c>
      <c r="H2285" s="286" t="s">
        <v>1049</v>
      </c>
      <c r="I2285" s="286" t="s">
        <v>1228</v>
      </c>
      <c r="J2285" s="286" t="s">
        <v>1312</v>
      </c>
      <c r="K2285" s="286" t="s">
        <v>2502</v>
      </c>
      <c r="L2285" s="286" t="s">
        <v>53</v>
      </c>
      <c r="M2285" s="286">
        <v>1</v>
      </c>
      <c r="N2285" s="287">
        <v>-309.38</v>
      </c>
      <c r="O2285" s="294">
        <f t="shared" si="35"/>
        <v>45504</v>
      </c>
      <c r="P2285" s="286" t="s">
        <v>58</v>
      </c>
    </row>
    <row r="2286" spans="1:16" hidden="1" x14ac:dyDescent="0.15">
      <c r="A2286" s="286">
        <v>697810</v>
      </c>
      <c r="B2286" s="288">
        <v>45510.366666666669</v>
      </c>
      <c r="C2286" s="286" t="s">
        <v>2102</v>
      </c>
      <c r="D2286" s="286" t="s">
        <v>1105</v>
      </c>
      <c r="E2286" s="286" t="s">
        <v>1106</v>
      </c>
      <c r="F2286" s="286" t="s">
        <v>2138</v>
      </c>
      <c r="G2286" s="286" t="s">
        <v>1049</v>
      </c>
      <c r="H2286" s="286" t="s">
        <v>1049</v>
      </c>
      <c r="I2286" s="286" t="s">
        <v>1228</v>
      </c>
      <c r="J2286" s="286" t="s">
        <v>1312</v>
      </c>
      <c r="K2286" s="286" t="s">
        <v>2502</v>
      </c>
      <c r="L2286" s="286" t="s">
        <v>53</v>
      </c>
      <c r="M2286" s="286">
        <v>1</v>
      </c>
      <c r="N2286" s="287">
        <v>-309.38</v>
      </c>
      <c r="O2286" s="294">
        <f t="shared" si="35"/>
        <v>45535</v>
      </c>
      <c r="P2286" s="286" t="s">
        <v>58</v>
      </c>
    </row>
    <row r="2287" spans="1:16" hidden="1" x14ac:dyDescent="0.15">
      <c r="A2287" s="286">
        <v>745911</v>
      </c>
      <c r="B2287" s="288">
        <v>45538.44027777778</v>
      </c>
      <c r="C2287" s="286" t="s">
        <v>2132</v>
      </c>
      <c r="D2287" s="286" t="s">
        <v>1105</v>
      </c>
      <c r="E2287" s="286" t="s">
        <v>1106</v>
      </c>
      <c r="F2287" s="286" t="s">
        <v>2139</v>
      </c>
      <c r="G2287" s="286" t="s">
        <v>1049</v>
      </c>
      <c r="H2287" s="286" t="s">
        <v>1049</v>
      </c>
      <c r="I2287" s="286" t="s">
        <v>1228</v>
      </c>
      <c r="J2287" s="286" t="s">
        <v>1312</v>
      </c>
      <c r="K2287" s="286" t="s">
        <v>2502</v>
      </c>
      <c r="L2287" s="286" t="s">
        <v>53</v>
      </c>
      <c r="M2287" s="286">
        <v>1</v>
      </c>
      <c r="N2287" s="287">
        <v>-309.38</v>
      </c>
      <c r="O2287" s="294">
        <f t="shared" si="35"/>
        <v>45565</v>
      </c>
      <c r="P2287" s="286" t="s">
        <v>58</v>
      </c>
    </row>
    <row r="2288" spans="1:16" hidden="1" x14ac:dyDescent="0.15">
      <c r="A2288" s="286">
        <v>848817</v>
      </c>
      <c r="B2288" s="288">
        <v>45607.65902777778</v>
      </c>
      <c r="C2288" s="286" t="s">
        <v>2130</v>
      </c>
      <c r="D2288" s="286" t="s">
        <v>1105</v>
      </c>
      <c r="E2288" s="286" t="s">
        <v>1106</v>
      </c>
      <c r="F2288" s="286" t="s">
        <v>2140</v>
      </c>
      <c r="G2288" s="286" t="s">
        <v>1049</v>
      </c>
      <c r="H2288" s="286" t="s">
        <v>1049</v>
      </c>
      <c r="I2288" s="286" t="s">
        <v>1228</v>
      </c>
      <c r="J2288" s="286" t="s">
        <v>1312</v>
      </c>
      <c r="K2288" s="286" t="s">
        <v>2502</v>
      </c>
      <c r="L2288" s="286" t="s">
        <v>53</v>
      </c>
      <c r="M2288" s="286">
        <v>1</v>
      </c>
      <c r="N2288" s="287">
        <v>-309.38</v>
      </c>
      <c r="O2288" s="294">
        <f t="shared" si="35"/>
        <v>45626</v>
      </c>
      <c r="P2288" s="286" t="s">
        <v>58</v>
      </c>
    </row>
    <row r="2289" spans="1:16" hidden="1" x14ac:dyDescent="0.15">
      <c r="A2289" s="286">
        <v>848917</v>
      </c>
      <c r="B2289" s="288">
        <v>45607.660416666666</v>
      </c>
      <c r="C2289" s="286" t="s">
        <v>2100</v>
      </c>
      <c r="D2289" s="286" t="s">
        <v>1105</v>
      </c>
      <c r="E2289" s="286" t="s">
        <v>1106</v>
      </c>
      <c r="F2289" s="286" t="s">
        <v>2141</v>
      </c>
      <c r="G2289" s="286" t="s">
        <v>1049</v>
      </c>
      <c r="H2289" s="286" t="s">
        <v>1049</v>
      </c>
      <c r="I2289" s="286" t="s">
        <v>1228</v>
      </c>
      <c r="J2289" s="286" t="s">
        <v>1312</v>
      </c>
      <c r="K2289" s="286" t="s">
        <v>2502</v>
      </c>
      <c r="L2289" s="286" t="s">
        <v>53</v>
      </c>
      <c r="M2289" s="286">
        <v>1</v>
      </c>
      <c r="N2289" s="287">
        <v>-309.38</v>
      </c>
      <c r="O2289" s="294">
        <f t="shared" si="35"/>
        <v>45626</v>
      </c>
      <c r="P2289" s="286" t="s">
        <v>58</v>
      </c>
    </row>
    <row r="2290" spans="1:16" hidden="1" x14ac:dyDescent="0.15">
      <c r="A2290" s="286">
        <v>874698</v>
      </c>
      <c r="B2290" s="288">
        <v>45628.357638888891</v>
      </c>
      <c r="C2290" s="286" t="s">
        <v>2098</v>
      </c>
      <c r="D2290" s="286" t="s">
        <v>1105</v>
      </c>
      <c r="E2290" s="286" t="s">
        <v>1106</v>
      </c>
      <c r="F2290" s="286" t="s">
        <v>2142</v>
      </c>
      <c r="G2290" s="286" t="s">
        <v>1049</v>
      </c>
      <c r="H2290" s="286" t="s">
        <v>1049</v>
      </c>
      <c r="I2290" s="286" t="s">
        <v>1228</v>
      </c>
      <c r="J2290" s="286" t="s">
        <v>1312</v>
      </c>
      <c r="K2290" s="286" t="s">
        <v>2502</v>
      </c>
      <c r="L2290" s="286" t="s">
        <v>53</v>
      </c>
      <c r="M2290" s="286">
        <v>1</v>
      </c>
      <c r="N2290" s="287">
        <v>-309.38</v>
      </c>
      <c r="O2290" s="294">
        <f t="shared" si="35"/>
        <v>45657</v>
      </c>
      <c r="P2290" s="286" t="s">
        <v>58</v>
      </c>
    </row>
    <row r="2291" spans="1:16" hidden="1" x14ac:dyDescent="0.15">
      <c r="A2291" s="286">
        <v>472168</v>
      </c>
      <c r="B2291" s="288">
        <v>45331.416666666664</v>
      </c>
      <c r="C2291" s="286" t="s">
        <v>2113</v>
      </c>
      <c r="D2291" s="286" t="s">
        <v>1105</v>
      </c>
      <c r="E2291" s="286" t="s">
        <v>1106</v>
      </c>
      <c r="F2291" s="286" t="s">
        <v>2153</v>
      </c>
      <c r="G2291" s="286" t="s">
        <v>1080</v>
      </c>
      <c r="H2291" s="286" t="s">
        <v>1080</v>
      </c>
      <c r="I2291" s="286" t="s">
        <v>1228</v>
      </c>
      <c r="J2291" s="286" t="s">
        <v>1312</v>
      </c>
      <c r="K2291" s="286" t="s">
        <v>1770</v>
      </c>
      <c r="L2291" s="286" t="s">
        <v>53</v>
      </c>
      <c r="M2291" s="286">
        <v>1</v>
      </c>
      <c r="N2291" s="287">
        <v>-314.2</v>
      </c>
      <c r="O2291" s="294">
        <f t="shared" si="35"/>
        <v>45351</v>
      </c>
      <c r="P2291" s="286" t="s">
        <v>58</v>
      </c>
    </row>
    <row r="2292" spans="1:16" hidden="1" x14ac:dyDescent="0.15">
      <c r="A2292" s="286">
        <v>614316</v>
      </c>
      <c r="B2292" s="288">
        <v>45455.717361111114</v>
      </c>
      <c r="C2292" s="286" t="s">
        <v>2092</v>
      </c>
      <c r="D2292" s="286" t="s">
        <v>1105</v>
      </c>
      <c r="E2292" s="286" t="s">
        <v>1106</v>
      </c>
      <c r="F2292" s="286" t="s">
        <v>2167</v>
      </c>
      <c r="G2292" s="286" t="s">
        <v>1039</v>
      </c>
      <c r="H2292" s="286" t="s">
        <v>1039</v>
      </c>
      <c r="I2292" s="286" t="s">
        <v>1228</v>
      </c>
      <c r="J2292" s="286" t="s">
        <v>1312</v>
      </c>
      <c r="K2292" s="286" t="s">
        <v>2076</v>
      </c>
      <c r="L2292" s="286" t="s">
        <v>53</v>
      </c>
      <c r="M2292" s="286">
        <v>1</v>
      </c>
      <c r="N2292" s="287">
        <v>-314.62</v>
      </c>
      <c r="O2292" s="294">
        <f t="shared" si="35"/>
        <v>45473</v>
      </c>
      <c r="P2292" s="286" t="s">
        <v>58</v>
      </c>
    </row>
    <row r="2293" spans="1:16" hidden="1" x14ac:dyDescent="0.15">
      <c r="A2293" s="286">
        <v>556087</v>
      </c>
      <c r="B2293" s="288">
        <v>45406.408333333333</v>
      </c>
      <c r="C2293" s="286" t="s">
        <v>2096</v>
      </c>
      <c r="D2293" s="286" t="s">
        <v>1105</v>
      </c>
      <c r="E2293" s="286" t="s">
        <v>1106</v>
      </c>
      <c r="F2293" s="286" t="s">
        <v>2105</v>
      </c>
      <c r="G2293" s="286" t="s">
        <v>1004</v>
      </c>
      <c r="H2293" s="286" t="s">
        <v>1004</v>
      </c>
      <c r="I2293" s="286" t="s">
        <v>1152</v>
      </c>
      <c r="J2293" s="286" t="s">
        <v>1312</v>
      </c>
      <c r="K2293" s="286" t="s">
        <v>2504</v>
      </c>
      <c r="L2293" s="286" t="s">
        <v>53</v>
      </c>
      <c r="M2293" s="286">
        <v>1</v>
      </c>
      <c r="N2293" s="287">
        <v>-315.48</v>
      </c>
      <c r="O2293" s="294">
        <f t="shared" si="35"/>
        <v>45412</v>
      </c>
      <c r="P2293" s="286" t="s">
        <v>58</v>
      </c>
    </row>
    <row r="2294" spans="1:16" hidden="1" x14ac:dyDescent="0.15">
      <c r="A2294" s="286">
        <v>534207</v>
      </c>
      <c r="B2294" s="288">
        <v>45385.750694444447</v>
      </c>
      <c r="C2294" s="286" t="s">
        <v>2096</v>
      </c>
      <c r="D2294" s="286" t="s">
        <v>1105</v>
      </c>
      <c r="E2294" s="286" t="s">
        <v>1106</v>
      </c>
      <c r="F2294" s="286" t="s">
        <v>2155</v>
      </c>
      <c r="G2294" s="286" t="s">
        <v>1080</v>
      </c>
      <c r="H2294" s="286" t="s">
        <v>1080</v>
      </c>
      <c r="I2294" s="286" t="s">
        <v>1228</v>
      </c>
      <c r="J2294" s="286" t="s">
        <v>1312</v>
      </c>
      <c r="K2294" s="286" t="s">
        <v>1770</v>
      </c>
      <c r="L2294" s="286" t="s">
        <v>53</v>
      </c>
      <c r="M2294" s="286">
        <v>1</v>
      </c>
      <c r="N2294" s="287">
        <v>-318.91000000000003</v>
      </c>
      <c r="O2294" s="294">
        <f t="shared" si="35"/>
        <v>45412</v>
      </c>
      <c r="P2294" s="286" t="s">
        <v>58</v>
      </c>
    </row>
    <row r="2295" spans="1:16" hidden="1" x14ac:dyDescent="0.15">
      <c r="A2295" s="286">
        <v>453975</v>
      </c>
      <c r="B2295" s="288">
        <v>45309.636111111111</v>
      </c>
      <c r="C2295" s="286" t="s">
        <v>2125</v>
      </c>
      <c r="D2295" s="286" t="s">
        <v>1105</v>
      </c>
      <c r="E2295" s="286" t="s">
        <v>1106</v>
      </c>
      <c r="F2295" s="286" t="s">
        <v>2333</v>
      </c>
      <c r="G2295" s="286" t="s">
        <v>1080</v>
      </c>
      <c r="H2295" s="286" t="s">
        <v>1080</v>
      </c>
      <c r="I2295" s="286" t="s">
        <v>1228</v>
      </c>
      <c r="J2295" s="286" t="s">
        <v>1312</v>
      </c>
      <c r="K2295" s="286" t="s">
        <v>1770</v>
      </c>
      <c r="L2295" s="286" t="s">
        <v>53</v>
      </c>
      <c r="M2295" s="286">
        <v>1</v>
      </c>
      <c r="N2295" s="287">
        <v>-323.32</v>
      </c>
      <c r="O2295" s="294">
        <f t="shared" si="35"/>
        <v>45322</v>
      </c>
      <c r="P2295" s="286" t="s">
        <v>58</v>
      </c>
    </row>
    <row r="2296" spans="1:16" hidden="1" x14ac:dyDescent="0.15">
      <c r="A2296" s="286">
        <v>504817</v>
      </c>
      <c r="B2296" s="288">
        <v>45359.645138888889</v>
      </c>
      <c r="C2296" s="286" t="s">
        <v>2109</v>
      </c>
      <c r="D2296" s="286" t="s">
        <v>1105</v>
      </c>
      <c r="E2296" s="286" t="s">
        <v>1106</v>
      </c>
      <c r="F2296" s="286" t="s">
        <v>2154</v>
      </c>
      <c r="G2296" s="286" t="s">
        <v>1080</v>
      </c>
      <c r="H2296" s="286" t="s">
        <v>1080</v>
      </c>
      <c r="I2296" s="286" t="s">
        <v>1228</v>
      </c>
      <c r="J2296" s="286" t="s">
        <v>1312</v>
      </c>
      <c r="K2296" s="286" t="s">
        <v>1770</v>
      </c>
      <c r="L2296" s="286" t="s">
        <v>53</v>
      </c>
      <c r="M2296" s="286">
        <v>1</v>
      </c>
      <c r="N2296" s="287">
        <v>-323.32</v>
      </c>
      <c r="O2296" s="294">
        <f t="shared" si="35"/>
        <v>45382</v>
      </c>
      <c r="P2296" s="286" t="s">
        <v>58</v>
      </c>
    </row>
    <row r="2297" spans="1:16" hidden="1" x14ac:dyDescent="0.15">
      <c r="A2297" s="286">
        <v>614216</v>
      </c>
      <c r="B2297" s="288">
        <v>45455.716666666667</v>
      </c>
      <c r="C2297" s="286" t="s">
        <v>2116</v>
      </c>
      <c r="D2297" s="286" t="s">
        <v>1105</v>
      </c>
      <c r="E2297" s="286" t="s">
        <v>1106</v>
      </c>
      <c r="F2297" s="286" t="s">
        <v>2156</v>
      </c>
      <c r="G2297" s="286" t="s">
        <v>1080</v>
      </c>
      <c r="H2297" s="286" t="s">
        <v>1080</v>
      </c>
      <c r="I2297" s="286" t="s">
        <v>1228</v>
      </c>
      <c r="J2297" s="286" t="s">
        <v>1312</v>
      </c>
      <c r="K2297" s="286" t="s">
        <v>1770</v>
      </c>
      <c r="L2297" s="286" t="s">
        <v>53</v>
      </c>
      <c r="M2297" s="286">
        <v>1</v>
      </c>
      <c r="N2297" s="287">
        <v>-323.32</v>
      </c>
      <c r="O2297" s="294">
        <f t="shared" si="35"/>
        <v>45473</v>
      </c>
      <c r="P2297" s="286" t="s">
        <v>58</v>
      </c>
    </row>
    <row r="2298" spans="1:16" hidden="1" x14ac:dyDescent="0.15">
      <c r="A2298" s="286">
        <v>712645</v>
      </c>
      <c r="B2298" s="288">
        <v>45517.640972222223</v>
      </c>
      <c r="C2298" s="286" t="s">
        <v>2111</v>
      </c>
      <c r="D2298" s="286" t="s">
        <v>1105</v>
      </c>
      <c r="E2298" s="286" t="s">
        <v>1106</v>
      </c>
      <c r="F2298" s="286" t="s">
        <v>2160</v>
      </c>
      <c r="G2298" s="286" t="s">
        <v>1856</v>
      </c>
      <c r="H2298" s="286" t="s">
        <v>1856</v>
      </c>
      <c r="I2298" s="286" t="s">
        <v>1228</v>
      </c>
      <c r="J2298" s="286" t="s">
        <v>1312</v>
      </c>
      <c r="K2298" s="286" t="s">
        <v>53</v>
      </c>
      <c r="L2298" s="286" t="s">
        <v>53</v>
      </c>
      <c r="M2298" s="286" t="s">
        <v>53</v>
      </c>
      <c r="N2298" s="287">
        <v>-337.89</v>
      </c>
      <c r="O2298" s="294">
        <f t="shared" si="35"/>
        <v>45535</v>
      </c>
      <c r="P2298" s="286" t="s">
        <v>58</v>
      </c>
    </row>
    <row r="2299" spans="1:16" hidden="1" x14ac:dyDescent="0.15">
      <c r="A2299" s="286">
        <v>697810</v>
      </c>
      <c r="B2299" s="288">
        <v>45510.366666666669</v>
      </c>
      <c r="C2299" s="286" t="s">
        <v>2102</v>
      </c>
      <c r="D2299" s="286" t="s">
        <v>1105</v>
      </c>
      <c r="E2299" s="286" t="s">
        <v>1106</v>
      </c>
      <c r="F2299" s="286" t="s">
        <v>2138</v>
      </c>
      <c r="G2299" s="286" t="s">
        <v>1035</v>
      </c>
      <c r="H2299" s="286" t="s">
        <v>1035</v>
      </c>
      <c r="I2299" s="286" t="s">
        <v>1199</v>
      </c>
      <c r="J2299" s="286" t="s">
        <v>1312</v>
      </c>
      <c r="K2299" s="286" t="s">
        <v>2068</v>
      </c>
      <c r="L2299" s="286" t="s">
        <v>53</v>
      </c>
      <c r="M2299" s="286">
        <v>1</v>
      </c>
      <c r="N2299" s="287">
        <v>-372.77</v>
      </c>
      <c r="O2299" s="294">
        <f t="shared" si="35"/>
        <v>45535</v>
      </c>
      <c r="P2299" s="286" t="s">
        <v>58</v>
      </c>
    </row>
    <row r="2300" spans="1:16" hidden="1" x14ac:dyDescent="0.15">
      <c r="A2300" s="286">
        <v>745911</v>
      </c>
      <c r="B2300" s="288">
        <v>45538.44027777778</v>
      </c>
      <c r="C2300" s="286" t="s">
        <v>2132</v>
      </c>
      <c r="D2300" s="286" t="s">
        <v>1105</v>
      </c>
      <c r="E2300" s="286" t="s">
        <v>1106</v>
      </c>
      <c r="F2300" s="286" t="s">
        <v>2139</v>
      </c>
      <c r="G2300" s="286" t="s">
        <v>1035</v>
      </c>
      <c r="H2300" s="286" t="s">
        <v>1035</v>
      </c>
      <c r="I2300" s="286" t="s">
        <v>1199</v>
      </c>
      <c r="J2300" s="286" t="s">
        <v>1312</v>
      </c>
      <c r="K2300" s="286" t="s">
        <v>2068</v>
      </c>
      <c r="L2300" s="286" t="s">
        <v>53</v>
      </c>
      <c r="M2300" s="286">
        <v>1</v>
      </c>
      <c r="N2300" s="287">
        <v>-372.77</v>
      </c>
      <c r="O2300" s="294">
        <f t="shared" si="35"/>
        <v>45565</v>
      </c>
      <c r="P2300" s="286" t="s">
        <v>58</v>
      </c>
    </row>
    <row r="2301" spans="1:16" hidden="1" x14ac:dyDescent="0.15">
      <c r="A2301" s="286">
        <v>848817</v>
      </c>
      <c r="B2301" s="288">
        <v>45607.65902777778</v>
      </c>
      <c r="C2301" s="286" t="s">
        <v>2130</v>
      </c>
      <c r="D2301" s="286" t="s">
        <v>1105</v>
      </c>
      <c r="E2301" s="286" t="s">
        <v>1106</v>
      </c>
      <c r="F2301" s="286" t="s">
        <v>2140</v>
      </c>
      <c r="G2301" s="286" t="s">
        <v>1035</v>
      </c>
      <c r="H2301" s="286" t="s">
        <v>1035</v>
      </c>
      <c r="I2301" s="286" t="s">
        <v>1199</v>
      </c>
      <c r="J2301" s="286" t="s">
        <v>1312</v>
      </c>
      <c r="K2301" s="286" t="s">
        <v>2068</v>
      </c>
      <c r="L2301" s="286" t="s">
        <v>53</v>
      </c>
      <c r="M2301" s="286">
        <v>1</v>
      </c>
      <c r="N2301" s="287">
        <v>-372.77</v>
      </c>
      <c r="O2301" s="294">
        <f t="shared" si="35"/>
        <v>45626</v>
      </c>
      <c r="P2301" s="286" t="s">
        <v>58</v>
      </c>
    </row>
    <row r="2302" spans="1:16" hidden="1" x14ac:dyDescent="0.15">
      <c r="A2302" s="286">
        <v>848917</v>
      </c>
      <c r="B2302" s="288">
        <v>45607.660416666666</v>
      </c>
      <c r="C2302" s="286" t="s">
        <v>2100</v>
      </c>
      <c r="D2302" s="286" t="s">
        <v>1105</v>
      </c>
      <c r="E2302" s="286" t="s">
        <v>1106</v>
      </c>
      <c r="F2302" s="286" t="s">
        <v>2141</v>
      </c>
      <c r="G2302" s="286" t="s">
        <v>1035</v>
      </c>
      <c r="H2302" s="286" t="s">
        <v>1035</v>
      </c>
      <c r="I2302" s="286" t="s">
        <v>1199</v>
      </c>
      <c r="J2302" s="286" t="s">
        <v>1312</v>
      </c>
      <c r="K2302" s="286" t="s">
        <v>2068</v>
      </c>
      <c r="L2302" s="286" t="s">
        <v>53</v>
      </c>
      <c r="M2302" s="286">
        <v>1</v>
      </c>
      <c r="N2302" s="287">
        <v>-372.77</v>
      </c>
      <c r="O2302" s="294">
        <f t="shared" si="35"/>
        <v>45626</v>
      </c>
      <c r="P2302" s="286" t="s">
        <v>58</v>
      </c>
    </row>
    <row r="2303" spans="1:16" hidden="1" x14ac:dyDescent="0.15">
      <c r="A2303" s="286">
        <v>874698</v>
      </c>
      <c r="B2303" s="288">
        <v>45628.357638888891</v>
      </c>
      <c r="C2303" s="286" t="s">
        <v>2098</v>
      </c>
      <c r="D2303" s="286" t="s">
        <v>1105</v>
      </c>
      <c r="E2303" s="286" t="s">
        <v>1106</v>
      </c>
      <c r="F2303" s="286" t="s">
        <v>2142</v>
      </c>
      <c r="G2303" s="286" t="s">
        <v>1035</v>
      </c>
      <c r="H2303" s="286" t="s">
        <v>1035</v>
      </c>
      <c r="I2303" s="286" t="s">
        <v>1199</v>
      </c>
      <c r="J2303" s="286" t="s">
        <v>1312</v>
      </c>
      <c r="K2303" s="286" t="s">
        <v>2068</v>
      </c>
      <c r="L2303" s="286" t="s">
        <v>53</v>
      </c>
      <c r="M2303" s="286">
        <v>1</v>
      </c>
      <c r="N2303" s="287">
        <v>-372.77</v>
      </c>
      <c r="O2303" s="294">
        <f t="shared" si="35"/>
        <v>45657</v>
      </c>
      <c r="P2303" s="286" t="s">
        <v>58</v>
      </c>
    </row>
    <row r="2304" spans="1:16" hidden="1" x14ac:dyDescent="0.15">
      <c r="A2304" s="286">
        <v>874698</v>
      </c>
      <c r="B2304" s="288">
        <v>45628.357638888891</v>
      </c>
      <c r="C2304" s="286" t="s">
        <v>2098</v>
      </c>
      <c r="D2304" s="286" t="s">
        <v>1105</v>
      </c>
      <c r="E2304" s="286" t="s">
        <v>1106</v>
      </c>
      <c r="F2304" s="286" t="s">
        <v>2142</v>
      </c>
      <c r="G2304" s="286" t="s">
        <v>1052</v>
      </c>
      <c r="H2304" s="286" t="s">
        <v>1052</v>
      </c>
      <c r="I2304" s="286" t="s">
        <v>1228</v>
      </c>
      <c r="J2304" s="286" t="s">
        <v>1312</v>
      </c>
      <c r="K2304" s="286" t="s">
        <v>2510</v>
      </c>
      <c r="L2304" s="286" t="s">
        <v>53</v>
      </c>
      <c r="M2304" s="286">
        <v>1</v>
      </c>
      <c r="N2304" s="287">
        <v>-375.52</v>
      </c>
      <c r="O2304" s="294">
        <f t="shared" si="35"/>
        <v>45657</v>
      </c>
      <c r="P2304" s="286" t="s">
        <v>58</v>
      </c>
    </row>
    <row r="2305" spans="1:16" hidden="1" x14ac:dyDescent="0.15">
      <c r="A2305" s="286">
        <v>848817</v>
      </c>
      <c r="B2305" s="288">
        <v>45607.65902777778</v>
      </c>
      <c r="C2305" s="286" t="s">
        <v>2130</v>
      </c>
      <c r="D2305" s="286" t="s">
        <v>1105</v>
      </c>
      <c r="E2305" s="286" t="s">
        <v>1106</v>
      </c>
      <c r="F2305" s="286" t="s">
        <v>2140</v>
      </c>
      <c r="G2305" s="286" t="s">
        <v>1010</v>
      </c>
      <c r="H2305" s="286" t="s">
        <v>1010</v>
      </c>
      <c r="I2305" s="286" t="s">
        <v>1199</v>
      </c>
      <c r="J2305" s="286" t="s">
        <v>1312</v>
      </c>
      <c r="K2305" s="286" t="s">
        <v>2447</v>
      </c>
      <c r="L2305" s="286" t="s">
        <v>53</v>
      </c>
      <c r="M2305" s="286">
        <v>1</v>
      </c>
      <c r="N2305" s="287">
        <v>-381.34</v>
      </c>
      <c r="O2305" s="294">
        <f t="shared" si="35"/>
        <v>45626</v>
      </c>
      <c r="P2305" s="286" t="s">
        <v>58</v>
      </c>
    </row>
    <row r="2306" spans="1:16" hidden="1" x14ac:dyDescent="0.15">
      <c r="A2306" s="286">
        <v>614216</v>
      </c>
      <c r="B2306" s="288">
        <v>45455.716666666667</v>
      </c>
      <c r="C2306" s="286" t="s">
        <v>2116</v>
      </c>
      <c r="D2306" s="286" t="s">
        <v>1105</v>
      </c>
      <c r="E2306" s="286" t="s">
        <v>1106</v>
      </c>
      <c r="F2306" s="286" t="s">
        <v>2156</v>
      </c>
      <c r="G2306" s="286" t="s">
        <v>1063</v>
      </c>
      <c r="H2306" s="286" t="s">
        <v>1063</v>
      </c>
      <c r="I2306" s="286" t="s">
        <v>1228</v>
      </c>
      <c r="J2306" s="286" t="s">
        <v>1312</v>
      </c>
      <c r="K2306" s="286" t="s">
        <v>2076</v>
      </c>
      <c r="L2306" s="286" t="s">
        <v>53</v>
      </c>
      <c r="M2306" s="286">
        <v>1</v>
      </c>
      <c r="N2306" s="287">
        <v>-394.4</v>
      </c>
      <c r="O2306" s="294">
        <f t="shared" si="35"/>
        <v>45473</v>
      </c>
      <c r="P2306" s="286" t="s">
        <v>58</v>
      </c>
    </row>
    <row r="2307" spans="1:16" hidden="1" x14ac:dyDescent="0.15">
      <c r="A2307" s="286">
        <v>438112</v>
      </c>
      <c r="B2307" s="288">
        <v>45293.53402777778</v>
      </c>
      <c r="C2307" s="286" t="s">
        <v>2125</v>
      </c>
      <c r="D2307" s="286" t="s">
        <v>1105</v>
      </c>
      <c r="E2307" s="286" t="s">
        <v>1106</v>
      </c>
      <c r="F2307" s="286" t="s">
        <v>2152</v>
      </c>
      <c r="G2307" s="286" t="s">
        <v>1010</v>
      </c>
      <c r="H2307" s="286" t="s">
        <v>1010</v>
      </c>
      <c r="I2307" s="286" t="s">
        <v>1199</v>
      </c>
      <c r="J2307" s="286" t="s">
        <v>1312</v>
      </c>
      <c r="K2307" s="286" t="s">
        <v>2069</v>
      </c>
      <c r="L2307" s="286" t="s">
        <v>53</v>
      </c>
      <c r="M2307" s="286">
        <v>1</v>
      </c>
      <c r="N2307" s="287">
        <v>-413.38</v>
      </c>
      <c r="O2307" s="294">
        <f t="shared" si="35"/>
        <v>45322</v>
      </c>
      <c r="P2307" s="286" t="s">
        <v>58</v>
      </c>
    </row>
    <row r="2308" spans="1:16" hidden="1" x14ac:dyDescent="0.15">
      <c r="A2308" s="286">
        <v>472168</v>
      </c>
      <c r="B2308" s="288">
        <v>45331.416666666664</v>
      </c>
      <c r="C2308" s="286" t="s">
        <v>2113</v>
      </c>
      <c r="D2308" s="286" t="s">
        <v>1105</v>
      </c>
      <c r="E2308" s="286" t="s">
        <v>1106</v>
      </c>
      <c r="F2308" s="286" t="s">
        <v>2153</v>
      </c>
      <c r="G2308" s="286" t="s">
        <v>1010</v>
      </c>
      <c r="H2308" s="286" t="s">
        <v>1010</v>
      </c>
      <c r="I2308" s="286" t="s">
        <v>1199</v>
      </c>
      <c r="J2308" s="286" t="s">
        <v>1312</v>
      </c>
      <c r="K2308" s="286" t="s">
        <v>2069</v>
      </c>
      <c r="L2308" s="286" t="s">
        <v>53</v>
      </c>
      <c r="M2308" s="286">
        <v>1</v>
      </c>
      <c r="N2308" s="287">
        <v>-413.38</v>
      </c>
      <c r="O2308" s="294">
        <f t="shared" ref="O2308:O2371" si="36">EOMONTH(B2308,0)</f>
        <v>45351</v>
      </c>
      <c r="P2308" s="286" t="s">
        <v>58</v>
      </c>
    </row>
    <row r="2309" spans="1:16" hidden="1" x14ac:dyDescent="0.15">
      <c r="A2309" s="286">
        <v>504817</v>
      </c>
      <c r="B2309" s="288">
        <v>45359.645138888889</v>
      </c>
      <c r="C2309" s="286" t="s">
        <v>2109</v>
      </c>
      <c r="D2309" s="286" t="s">
        <v>1105</v>
      </c>
      <c r="E2309" s="286" t="s">
        <v>1106</v>
      </c>
      <c r="F2309" s="286" t="s">
        <v>2154</v>
      </c>
      <c r="G2309" s="286" t="s">
        <v>1010</v>
      </c>
      <c r="H2309" s="286" t="s">
        <v>1010</v>
      </c>
      <c r="I2309" s="286" t="s">
        <v>1199</v>
      </c>
      <c r="J2309" s="286" t="s">
        <v>1312</v>
      </c>
      <c r="K2309" s="286" t="s">
        <v>2069</v>
      </c>
      <c r="L2309" s="286" t="s">
        <v>53</v>
      </c>
      <c r="M2309" s="286">
        <v>1</v>
      </c>
      <c r="N2309" s="287">
        <v>-413.38</v>
      </c>
      <c r="O2309" s="294">
        <f t="shared" si="36"/>
        <v>45382</v>
      </c>
      <c r="P2309" s="286" t="s">
        <v>58</v>
      </c>
    </row>
    <row r="2310" spans="1:16" hidden="1" x14ac:dyDescent="0.15">
      <c r="A2310" s="286">
        <v>534207</v>
      </c>
      <c r="B2310" s="288">
        <v>45385.750694444447</v>
      </c>
      <c r="C2310" s="286" t="s">
        <v>2096</v>
      </c>
      <c r="D2310" s="286" t="s">
        <v>1105</v>
      </c>
      <c r="E2310" s="286" t="s">
        <v>1106</v>
      </c>
      <c r="F2310" s="286" t="s">
        <v>2155</v>
      </c>
      <c r="G2310" s="286" t="s">
        <v>1010</v>
      </c>
      <c r="H2310" s="286" t="s">
        <v>1010</v>
      </c>
      <c r="I2310" s="286" t="s">
        <v>1199</v>
      </c>
      <c r="J2310" s="286" t="s">
        <v>1312</v>
      </c>
      <c r="K2310" s="286" t="s">
        <v>2069</v>
      </c>
      <c r="L2310" s="286" t="s">
        <v>53</v>
      </c>
      <c r="M2310" s="286">
        <v>1</v>
      </c>
      <c r="N2310" s="287">
        <v>-413.38</v>
      </c>
      <c r="O2310" s="294">
        <f t="shared" si="36"/>
        <v>45412</v>
      </c>
      <c r="P2310" s="286" t="s">
        <v>58</v>
      </c>
    </row>
    <row r="2311" spans="1:16" hidden="1" x14ac:dyDescent="0.15">
      <c r="A2311" s="286">
        <v>614216</v>
      </c>
      <c r="B2311" s="288">
        <v>45455.716666666667</v>
      </c>
      <c r="C2311" s="286" t="s">
        <v>2116</v>
      </c>
      <c r="D2311" s="286" t="s">
        <v>1105</v>
      </c>
      <c r="E2311" s="286" t="s">
        <v>1106</v>
      </c>
      <c r="F2311" s="286" t="s">
        <v>2156</v>
      </c>
      <c r="G2311" s="286" t="s">
        <v>1010</v>
      </c>
      <c r="H2311" s="286" t="s">
        <v>1010</v>
      </c>
      <c r="I2311" s="286" t="s">
        <v>1199</v>
      </c>
      <c r="J2311" s="286" t="s">
        <v>1312</v>
      </c>
      <c r="K2311" s="286" t="s">
        <v>2069</v>
      </c>
      <c r="L2311" s="286" t="s">
        <v>53</v>
      </c>
      <c r="M2311" s="286">
        <v>1</v>
      </c>
      <c r="N2311" s="287">
        <v>-413.38</v>
      </c>
      <c r="O2311" s="294">
        <f t="shared" si="36"/>
        <v>45473</v>
      </c>
      <c r="P2311" s="286" t="s">
        <v>58</v>
      </c>
    </row>
    <row r="2312" spans="1:16" hidden="1" x14ac:dyDescent="0.15">
      <c r="A2312" s="286">
        <v>608480</v>
      </c>
      <c r="B2312" s="288">
        <v>45450.422222222223</v>
      </c>
      <c r="C2312" s="286" t="s">
        <v>2092</v>
      </c>
      <c r="D2312" s="286" t="s">
        <v>1105</v>
      </c>
      <c r="E2312" s="286" t="s">
        <v>1106</v>
      </c>
      <c r="F2312" s="286" t="s">
        <v>2157</v>
      </c>
      <c r="G2312" s="286" t="s">
        <v>1010</v>
      </c>
      <c r="H2312" s="286" t="s">
        <v>1010</v>
      </c>
      <c r="I2312" s="286" t="s">
        <v>1199</v>
      </c>
      <c r="J2312" s="286" t="s">
        <v>1312</v>
      </c>
      <c r="K2312" s="286" t="s">
        <v>2069</v>
      </c>
      <c r="L2312" s="286" t="s">
        <v>53</v>
      </c>
      <c r="M2312" s="286">
        <v>1</v>
      </c>
      <c r="N2312" s="287">
        <v>-413.38</v>
      </c>
      <c r="O2312" s="294">
        <f t="shared" si="36"/>
        <v>45473</v>
      </c>
      <c r="P2312" s="286" t="s">
        <v>58</v>
      </c>
    </row>
    <row r="2313" spans="1:16" hidden="1" x14ac:dyDescent="0.15">
      <c r="A2313" s="286">
        <v>646075</v>
      </c>
      <c r="B2313" s="288">
        <v>45474.519444444442</v>
      </c>
      <c r="C2313" s="286" t="s">
        <v>2111</v>
      </c>
      <c r="D2313" s="286" t="s">
        <v>1105</v>
      </c>
      <c r="E2313" s="286" t="s">
        <v>1106</v>
      </c>
      <c r="F2313" s="286" t="s">
        <v>2137</v>
      </c>
      <c r="G2313" s="286" t="s">
        <v>1010</v>
      </c>
      <c r="H2313" s="286" t="s">
        <v>1010</v>
      </c>
      <c r="I2313" s="286" t="s">
        <v>1199</v>
      </c>
      <c r="J2313" s="286" t="s">
        <v>1312</v>
      </c>
      <c r="K2313" s="286" t="s">
        <v>2069</v>
      </c>
      <c r="L2313" s="286" t="s">
        <v>53</v>
      </c>
      <c r="M2313" s="286">
        <v>1</v>
      </c>
      <c r="N2313" s="287">
        <v>-413.38</v>
      </c>
      <c r="O2313" s="294">
        <f t="shared" si="36"/>
        <v>45504</v>
      </c>
      <c r="P2313" s="286" t="s">
        <v>58</v>
      </c>
    </row>
    <row r="2314" spans="1:16" hidden="1" x14ac:dyDescent="0.15">
      <c r="A2314" s="286">
        <v>697810</v>
      </c>
      <c r="B2314" s="288">
        <v>45510.366666666669</v>
      </c>
      <c r="C2314" s="286" t="s">
        <v>2102</v>
      </c>
      <c r="D2314" s="286" t="s">
        <v>1105</v>
      </c>
      <c r="E2314" s="286" t="s">
        <v>1106</v>
      </c>
      <c r="F2314" s="286" t="s">
        <v>2138</v>
      </c>
      <c r="G2314" s="286" t="s">
        <v>1010</v>
      </c>
      <c r="H2314" s="286" t="s">
        <v>1010</v>
      </c>
      <c r="I2314" s="286" t="s">
        <v>1199</v>
      </c>
      <c r="J2314" s="286" t="s">
        <v>1312</v>
      </c>
      <c r="K2314" s="286" t="s">
        <v>2069</v>
      </c>
      <c r="L2314" s="286" t="s">
        <v>53</v>
      </c>
      <c r="M2314" s="286">
        <v>1</v>
      </c>
      <c r="N2314" s="287">
        <v>-413.38</v>
      </c>
      <c r="O2314" s="294">
        <f t="shared" si="36"/>
        <v>45535</v>
      </c>
      <c r="P2314" s="286" t="s">
        <v>58</v>
      </c>
    </row>
    <row r="2315" spans="1:16" hidden="1" x14ac:dyDescent="0.15">
      <c r="A2315" s="286">
        <v>745911</v>
      </c>
      <c r="B2315" s="288">
        <v>45538.44027777778</v>
      </c>
      <c r="C2315" s="286" t="s">
        <v>2132</v>
      </c>
      <c r="D2315" s="286" t="s">
        <v>1105</v>
      </c>
      <c r="E2315" s="286" t="s">
        <v>1106</v>
      </c>
      <c r="F2315" s="286" t="s">
        <v>2139</v>
      </c>
      <c r="G2315" s="286" t="s">
        <v>1010</v>
      </c>
      <c r="H2315" s="286" t="s">
        <v>1010</v>
      </c>
      <c r="I2315" s="286" t="s">
        <v>1199</v>
      </c>
      <c r="J2315" s="286" t="s">
        <v>1312</v>
      </c>
      <c r="K2315" s="286" t="s">
        <v>2069</v>
      </c>
      <c r="L2315" s="286" t="s">
        <v>53</v>
      </c>
      <c r="M2315" s="286">
        <v>1</v>
      </c>
      <c r="N2315" s="287">
        <v>-413.38</v>
      </c>
      <c r="O2315" s="294">
        <f t="shared" si="36"/>
        <v>45565</v>
      </c>
      <c r="P2315" s="286" t="s">
        <v>58</v>
      </c>
    </row>
    <row r="2316" spans="1:16" hidden="1" x14ac:dyDescent="0.15">
      <c r="A2316" s="286">
        <v>646075</v>
      </c>
      <c r="B2316" s="288">
        <v>45474.519444444442</v>
      </c>
      <c r="C2316" s="286" t="s">
        <v>2111</v>
      </c>
      <c r="D2316" s="286" t="s">
        <v>1105</v>
      </c>
      <c r="E2316" s="286" t="s">
        <v>1106</v>
      </c>
      <c r="F2316" s="286" t="s">
        <v>2137</v>
      </c>
      <c r="G2316" s="286" t="s">
        <v>1055</v>
      </c>
      <c r="H2316" s="286" t="s">
        <v>1055</v>
      </c>
      <c r="I2316" s="286" t="s">
        <v>1199</v>
      </c>
      <c r="J2316" s="286" t="s">
        <v>1312</v>
      </c>
      <c r="K2316" s="286" t="s">
        <v>2068</v>
      </c>
      <c r="L2316" s="286" t="s">
        <v>53</v>
      </c>
      <c r="M2316" s="286">
        <v>1</v>
      </c>
      <c r="N2316" s="287">
        <v>-420.65</v>
      </c>
      <c r="O2316" s="294">
        <f t="shared" si="36"/>
        <v>45504</v>
      </c>
      <c r="P2316" s="286" t="s">
        <v>58</v>
      </c>
    </row>
    <row r="2317" spans="1:16" hidden="1" x14ac:dyDescent="0.15">
      <c r="A2317" s="286">
        <v>741366</v>
      </c>
      <c r="B2317" s="288">
        <v>45532.655555555553</v>
      </c>
      <c r="C2317" s="286" t="s">
        <v>2102</v>
      </c>
      <c r="D2317" s="286" t="s">
        <v>1105</v>
      </c>
      <c r="E2317" s="286" t="s">
        <v>1106</v>
      </c>
      <c r="F2317" s="286" t="s">
        <v>2161</v>
      </c>
      <c r="G2317" s="286" t="s">
        <v>1004</v>
      </c>
      <c r="H2317" s="286" t="s">
        <v>1004</v>
      </c>
      <c r="I2317" s="286" t="s">
        <v>1152</v>
      </c>
      <c r="J2317" s="286" t="s">
        <v>1312</v>
      </c>
      <c r="K2317" s="286" t="s">
        <v>53</v>
      </c>
      <c r="L2317" s="286" t="s">
        <v>53</v>
      </c>
      <c r="M2317" s="286" t="s">
        <v>53</v>
      </c>
      <c r="N2317" s="287">
        <v>-440.13</v>
      </c>
      <c r="O2317" s="294">
        <f t="shared" si="36"/>
        <v>45535</v>
      </c>
      <c r="P2317" s="286" t="s">
        <v>58</v>
      </c>
    </row>
    <row r="2318" spans="1:16" hidden="1" x14ac:dyDescent="0.15">
      <c r="A2318" s="286">
        <v>741366</v>
      </c>
      <c r="B2318" s="288">
        <v>45532.655555555553</v>
      </c>
      <c r="C2318" s="286" t="s">
        <v>2102</v>
      </c>
      <c r="D2318" s="286" t="s">
        <v>1105</v>
      </c>
      <c r="E2318" s="286" t="s">
        <v>1106</v>
      </c>
      <c r="F2318" s="286" t="s">
        <v>2161</v>
      </c>
      <c r="G2318" s="286" t="s">
        <v>1078</v>
      </c>
      <c r="H2318" s="286" t="s">
        <v>1078</v>
      </c>
      <c r="I2318" s="286" t="s">
        <v>1199</v>
      </c>
      <c r="J2318" s="286" t="s">
        <v>1312</v>
      </c>
      <c r="K2318" s="286" t="s">
        <v>53</v>
      </c>
      <c r="L2318" s="286" t="s">
        <v>53</v>
      </c>
      <c r="M2318" s="286" t="s">
        <v>53</v>
      </c>
      <c r="N2318" s="287">
        <v>-455.87</v>
      </c>
      <c r="O2318" s="294">
        <f t="shared" si="36"/>
        <v>45535</v>
      </c>
      <c r="P2318" s="286" t="s">
        <v>58</v>
      </c>
    </row>
    <row r="2319" spans="1:16" hidden="1" x14ac:dyDescent="0.15">
      <c r="A2319" s="286">
        <v>785030</v>
      </c>
      <c r="B2319" s="288">
        <v>45559.581944444442</v>
      </c>
      <c r="C2319" s="286" t="s">
        <v>2132</v>
      </c>
      <c r="D2319" s="286" t="s">
        <v>1105</v>
      </c>
      <c r="E2319" s="286" t="s">
        <v>1106</v>
      </c>
      <c r="F2319" s="286" t="s">
        <v>2162</v>
      </c>
      <c r="G2319" s="286" t="s">
        <v>1078</v>
      </c>
      <c r="H2319" s="286" t="s">
        <v>1078</v>
      </c>
      <c r="I2319" s="286" t="s">
        <v>1199</v>
      </c>
      <c r="J2319" s="286" t="s">
        <v>1312</v>
      </c>
      <c r="K2319" s="286" t="s">
        <v>53</v>
      </c>
      <c r="L2319" s="286" t="s">
        <v>53</v>
      </c>
      <c r="M2319" s="286" t="s">
        <v>53</v>
      </c>
      <c r="N2319" s="287">
        <v>-455.87</v>
      </c>
      <c r="O2319" s="294">
        <f t="shared" si="36"/>
        <v>45565</v>
      </c>
      <c r="P2319" s="286" t="s">
        <v>58</v>
      </c>
    </row>
    <row r="2320" spans="1:16" hidden="1" x14ac:dyDescent="0.15">
      <c r="A2320" s="286">
        <v>821955</v>
      </c>
      <c r="B2320" s="288">
        <v>45587.62777777778</v>
      </c>
      <c r="C2320" s="286" t="s">
        <v>2130</v>
      </c>
      <c r="D2320" s="286" t="s">
        <v>1105</v>
      </c>
      <c r="E2320" s="286" t="s">
        <v>1106</v>
      </c>
      <c r="F2320" s="286" t="s">
        <v>2163</v>
      </c>
      <c r="G2320" s="286" t="s">
        <v>1078</v>
      </c>
      <c r="H2320" s="286" t="s">
        <v>1078</v>
      </c>
      <c r="I2320" s="286" t="s">
        <v>1199</v>
      </c>
      <c r="J2320" s="286" t="s">
        <v>1312</v>
      </c>
      <c r="K2320" s="286" t="s">
        <v>53</v>
      </c>
      <c r="L2320" s="286" t="s">
        <v>53</v>
      </c>
      <c r="M2320" s="286" t="s">
        <v>53</v>
      </c>
      <c r="N2320" s="287">
        <v>-455.87</v>
      </c>
      <c r="O2320" s="294">
        <f t="shared" si="36"/>
        <v>45596</v>
      </c>
      <c r="P2320" s="286" t="s">
        <v>58</v>
      </c>
    </row>
    <row r="2321" spans="1:16" hidden="1" x14ac:dyDescent="0.15">
      <c r="A2321" s="286">
        <v>864918</v>
      </c>
      <c r="B2321" s="288">
        <v>45617.508333333331</v>
      </c>
      <c r="C2321" s="286" t="s">
        <v>2100</v>
      </c>
      <c r="D2321" s="286" t="s">
        <v>1105</v>
      </c>
      <c r="E2321" s="286" t="s">
        <v>1106</v>
      </c>
      <c r="F2321" s="286" t="s">
        <v>2233</v>
      </c>
      <c r="G2321" s="286" t="s">
        <v>1078</v>
      </c>
      <c r="H2321" s="286" t="s">
        <v>1078</v>
      </c>
      <c r="I2321" s="286" t="s">
        <v>1199</v>
      </c>
      <c r="J2321" s="286" t="s">
        <v>53</v>
      </c>
      <c r="K2321" s="286" t="s">
        <v>53</v>
      </c>
      <c r="L2321" s="286" t="s">
        <v>53</v>
      </c>
      <c r="M2321" s="286" t="s">
        <v>53</v>
      </c>
      <c r="N2321" s="287">
        <v>-455.87</v>
      </c>
      <c r="O2321" s="294">
        <f t="shared" si="36"/>
        <v>45626</v>
      </c>
      <c r="P2321" s="286" t="s">
        <v>58</v>
      </c>
    </row>
    <row r="2322" spans="1:16" hidden="1" x14ac:dyDescent="0.15">
      <c r="A2322" s="286">
        <v>898877</v>
      </c>
      <c r="B2322" s="288">
        <v>45644.552083333336</v>
      </c>
      <c r="C2322" s="286" t="s">
        <v>2098</v>
      </c>
      <c r="D2322" s="286" t="s">
        <v>1105</v>
      </c>
      <c r="E2322" s="286" t="s">
        <v>1106</v>
      </c>
      <c r="F2322" s="286" t="s">
        <v>2234</v>
      </c>
      <c r="G2322" s="286" t="s">
        <v>1078</v>
      </c>
      <c r="H2322" s="286" t="s">
        <v>1078</v>
      </c>
      <c r="I2322" s="286" t="s">
        <v>1199</v>
      </c>
      <c r="J2322" s="286" t="s">
        <v>1312</v>
      </c>
      <c r="K2322" s="286" t="s">
        <v>53</v>
      </c>
      <c r="L2322" s="286" t="s">
        <v>53</v>
      </c>
      <c r="M2322" s="286" t="s">
        <v>53</v>
      </c>
      <c r="N2322" s="287">
        <v>-455.87</v>
      </c>
      <c r="O2322" s="294">
        <f t="shared" si="36"/>
        <v>45657</v>
      </c>
      <c r="P2322" s="286" t="s">
        <v>58</v>
      </c>
    </row>
    <row r="2323" spans="1:16" hidden="1" x14ac:dyDescent="0.15">
      <c r="A2323" s="286">
        <v>741366</v>
      </c>
      <c r="B2323" s="288">
        <v>45532.655555555553</v>
      </c>
      <c r="C2323" s="286" t="s">
        <v>2102</v>
      </c>
      <c r="D2323" s="286" t="s">
        <v>1105</v>
      </c>
      <c r="E2323" s="286" t="s">
        <v>1106</v>
      </c>
      <c r="F2323" s="286" t="s">
        <v>2161</v>
      </c>
      <c r="G2323" s="286" t="s">
        <v>1856</v>
      </c>
      <c r="H2323" s="286" t="s">
        <v>1856</v>
      </c>
      <c r="I2323" s="286" t="s">
        <v>1228</v>
      </c>
      <c r="J2323" s="286" t="s">
        <v>1312</v>
      </c>
      <c r="K2323" s="286" t="s">
        <v>53</v>
      </c>
      <c r="L2323" s="286" t="s">
        <v>53</v>
      </c>
      <c r="M2323" s="286" t="s">
        <v>53</v>
      </c>
      <c r="N2323" s="287">
        <v>-487.69</v>
      </c>
      <c r="O2323" s="294">
        <f t="shared" si="36"/>
        <v>45535</v>
      </c>
      <c r="P2323" s="286" t="s">
        <v>58</v>
      </c>
    </row>
    <row r="2324" spans="1:16" hidden="1" x14ac:dyDescent="0.15">
      <c r="A2324" s="286">
        <v>741366</v>
      </c>
      <c r="B2324" s="288">
        <v>45532.655555555553</v>
      </c>
      <c r="C2324" s="286" t="s">
        <v>2102</v>
      </c>
      <c r="D2324" s="286" t="s">
        <v>1105</v>
      </c>
      <c r="E2324" s="286" t="s">
        <v>1106</v>
      </c>
      <c r="F2324" s="286" t="s">
        <v>2161</v>
      </c>
      <c r="G2324" s="286" t="s">
        <v>1856</v>
      </c>
      <c r="H2324" s="286" t="s">
        <v>1856</v>
      </c>
      <c r="I2324" s="286" t="s">
        <v>1199</v>
      </c>
      <c r="J2324" s="286" t="s">
        <v>1312</v>
      </c>
      <c r="K2324" s="286" t="s">
        <v>53</v>
      </c>
      <c r="L2324" s="286" t="s">
        <v>53</v>
      </c>
      <c r="M2324" s="286" t="s">
        <v>53</v>
      </c>
      <c r="N2324" s="287">
        <v>-487.69</v>
      </c>
      <c r="O2324" s="294">
        <f t="shared" si="36"/>
        <v>45535</v>
      </c>
      <c r="P2324" s="286" t="s">
        <v>58</v>
      </c>
    </row>
    <row r="2325" spans="1:16" hidden="1" x14ac:dyDescent="0.15">
      <c r="A2325" s="286">
        <v>745911</v>
      </c>
      <c r="B2325" s="288">
        <v>45538.44027777778</v>
      </c>
      <c r="C2325" s="286" t="s">
        <v>2132</v>
      </c>
      <c r="D2325" s="286" t="s">
        <v>1105</v>
      </c>
      <c r="E2325" s="286" t="s">
        <v>1106</v>
      </c>
      <c r="F2325" s="286" t="s">
        <v>2139</v>
      </c>
      <c r="G2325" s="286" t="s">
        <v>1860</v>
      </c>
      <c r="H2325" s="286" t="s">
        <v>1860</v>
      </c>
      <c r="I2325" s="286" t="s">
        <v>1228</v>
      </c>
      <c r="J2325" s="286" t="s">
        <v>1312</v>
      </c>
      <c r="K2325" s="286" t="s">
        <v>2502</v>
      </c>
      <c r="L2325" s="286" t="s">
        <v>53</v>
      </c>
      <c r="M2325" s="286">
        <v>1</v>
      </c>
      <c r="N2325" s="287">
        <v>-491.81</v>
      </c>
      <c r="O2325" s="294">
        <f t="shared" si="36"/>
        <v>45565</v>
      </c>
      <c r="P2325" s="286" t="s">
        <v>58</v>
      </c>
    </row>
    <row r="2326" spans="1:16" hidden="1" x14ac:dyDescent="0.15">
      <c r="A2326" s="286">
        <v>848817</v>
      </c>
      <c r="B2326" s="288">
        <v>45607.65902777778</v>
      </c>
      <c r="C2326" s="286" t="s">
        <v>2130</v>
      </c>
      <c r="D2326" s="286" t="s">
        <v>1105</v>
      </c>
      <c r="E2326" s="286" t="s">
        <v>1106</v>
      </c>
      <c r="F2326" s="286" t="s">
        <v>2140</v>
      </c>
      <c r="G2326" s="286" t="s">
        <v>1860</v>
      </c>
      <c r="H2326" s="286" t="s">
        <v>1860</v>
      </c>
      <c r="I2326" s="286" t="s">
        <v>1228</v>
      </c>
      <c r="J2326" s="286" t="s">
        <v>1312</v>
      </c>
      <c r="K2326" s="286" t="s">
        <v>2502</v>
      </c>
      <c r="L2326" s="286" t="s">
        <v>53</v>
      </c>
      <c r="M2326" s="286">
        <v>1</v>
      </c>
      <c r="N2326" s="287">
        <v>-491.81</v>
      </c>
      <c r="O2326" s="294">
        <f t="shared" si="36"/>
        <v>45626</v>
      </c>
      <c r="P2326" s="286" t="s">
        <v>58</v>
      </c>
    </row>
    <row r="2327" spans="1:16" hidden="1" x14ac:dyDescent="0.15">
      <c r="A2327" s="286">
        <v>848917</v>
      </c>
      <c r="B2327" s="288">
        <v>45607.660416666666</v>
      </c>
      <c r="C2327" s="286" t="s">
        <v>2100</v>
      </c>
      <c r="D2327" s="286" t="s">
        <v>1105</v>
      </c>
      <c r="E2327" s="286" t="s">
        <v>1106</v>
      </c>
      <c r="F2327" s="286" t="s">
        <v>2141</v>
      </c>
      <c r="G2327" s="286" t="s">
        <v>1860</v>
      </c>
      <c r="H2327" s="286" t="s">
        <v>1860</v>
      </c>
      <c r="I2327" s="286" t="s">
        <v>1228</v>
      </c>
      <c r="J2327" s="286" t="s">
        <v>1312</v>
      </c>
      <c r="K2327" s="286" t="s">
        <v>2502</v>
      </c>
      <c r="L2327" s="286" t="s">
        <v>53</v>
      </c>
      <c r="M2327" s="286">
        <v>1</v>
      </c>
      <c r="N2327" s="287">
        <v>-491.81</v>
      </c>
      <c r="O2327" s="294">
        <f t="shared" si="36"/>
        <v>45626</v>
      </c>
      <c r="P2327" s="286" t="s">
        <v>58</v>
      </c>
    </row>
    <row r="2328" spans="1:16" hidden="1" x14ac:dyDescent="0.15">
      <c r="A2328" s="286">
        <v>874698</v>
      </c>
      <c r="B2328" s="288">
        <v>45628.357638888891</v>
      </c>
      <c r="C2328" s="286" t="s">
        <v>2098</v>
      </c>
      <c r="D2328" s="286" t="s">
        <v>1105</v>
      </c>
      <c r="E2328" s="286" t="s">
        <v>1106</v>
      </c>
      <c r="F2328" s="286" t="s">
        <v>2142</v>
      </c>
      <c r="G2328" s="286" t="s">
        <v>1860</v>
      </c>
      <c r="H2328" s="286" t="s">
        <v>1860</v>
      </c>
      <c r="I2328" s="286" t="s">
        <v>1228</v>
      </c>
      <c r="J2328" s="286" t="s">
        <v>1312</v>
      </c>
      <c r="K2328" s="286" t="s">
        <v>2502</v>
      </c>
      <c r="L2328" s="286" t="s">
        <v>53</v>
      </c>
      <c r="M2328" s="286">
        <v>1</v>
      </c>
      <c r="N2328" s="287">
        <v>-491.81</v>
      </c>
      <c r="O2328" s="294">
        <f t="shared" si="36"/>
        <v>45657</v>
      </c>
      <c r="P2328" s="286" t="s">
        <v>58</v>
      </c>
    </row>
    <row r="2329" spans="1:16" hidden="1" x14ac:dyDescent="0.15">
      <c r="A2329" s="286">
        <v>830593</v>
      </c>
      <c r="B2329" s="288">
        <v>45594.475694444445</v>
      </c>
      <c r="C2329" s="286" t="s">
        <v>2130</v>
      </c>
      <c r="D2329" s="286" t="s">
        <v>1105</v>
      </c>
      <c r="E2329" s="286" t="s">
        <v>1106</v>
      </c>
      <c r="F2329" s="286" t="s">
        <v>2224</v>
      </c>
      <c r="G2329" s="286" t="s">
        <v>1036</v>
      </c>
      <c r="H2329" s="286" t="s">
        <v>1036</v>
      </c>
      <c r="I2329" s="286" t="s">
        <v>1112</v>
      </c>
      <c r="J2329" s="286" t="s">
        <v>1312</v>
      </c>
      <c r="K2329" s="286" t="s">
        <v>2079</v>
      </c>
      <c r="L2329" s="286" t="s">
        <v>53</v>
      </c>
      <c r="M2329" s="286">
        <v>1</v>
      </c>
      <c r="N2329" s="287">
        <v>-497</v>
      </c>
      <c r="O2329" s="294">
        <f t="shared" si="36"/>
        <v>45596</v>
      </c>
      <c r="P2329" s="286" t="s">
        <v>175</v>
      </c>
    </row>
    <row r="2330" spans="1:16" hidden="1" x14ac:dyDescent="0.15">
      <c r="A2330" s="286">
        <v>646075</v>
      </c>
      <c r="B2330" s="288">
        <v>45474.519444444442</v>
      </c>
      <c r="C2330" s="286" t="s">
        <v>2111</v>
      </c>
      <c r="D2330" s="286" t="s">
        <v>1105</v>
      </c>
      <c r="E2330" s="286" t="s">
        <v>1106</v>
      </c>
      <c r="F2330" s="286" t="s">
        <v>2137</v>
      </c>
      <c r="G2330" s="286" t="s">
        <v>1856</v>
      </c>
      <c r="H2330" s="286" t="s">
        <v>1856</v>
      </c>
      <c r="I2330" s="286" t="s">
        <v>1199</v>
      </c>
      <c r="J2330" s="286" t="s">
        <v>1312</v>
      </c>
      <c r="K2330" s="286" t="s">
        <v>2068</v>
      </c>
      <c r="L2330" s="286" t="s">
        <v>53</v>
      </c>
      <c r="M2330" s="286">
        <v>-1</v>
      </c>
      <c r="N2330" s="287">
        <v>-520.21</v>
      </c>
      <c r="O2330" s="294">
        <f t="shared" si="36"/>
        <v>45504</v>
      </c>
      <c r="P2330" s="286" t="s">
        <v>58</v>
      </c>
    </row>
    <row r="2331" spans="1:16" hidden="1" x14ac:dyDescent="0.15">
      <c r="A2331" s="286">
        <v>779500</v>
      </c>
      <c r="B2331" s="288">
        <v>45555.57916666667</v>
      </c>
      <c r="C2331" s="286" t="s">
        <v>2132</v>
      </c>
      <c r="D2331" s="286" t="s">
        <v>1105</v>
      </c>
      <c r="E2331" s="286" t="s">
        <v>1106</v>
      </c>
      <c r="F2331" s="286" t="s">
        <v>2248</v>
      </c>
      <c r="G2331" s="286" t="s">
        <v>1078</v>
      </c>
      <c r="H2331" s="286" t="s">
        <v>1078</v>
      </c>
      <c r="I2331" s="286" t="s">
        <v>1112</v>
      </c>
      <c r="J2331" s="286" t="s">
        <v>1312</v>
      </c>
      <c r="K2331" s="286" t="s">
        <v>2519</v>
      </c>
      <c r="L2331" s="286" t="s">
        <v>53</v>
      </c>
      <c r="M2331" s="286">
        <v>1</v>
      </c>
      <c r="N2331" s="287">
        <v>-524</v>
      </c>
      <c r="O2331" s="294">
        <f t="shared" si="36"/>
        <v>45565</v>
      </c>
      <c r="P2331" s="286" t="s">
        <v>175</v>
      </c>
    </row>
    <row r="2332" spans="1:16" hidden="1" x14ac:dyDescent="0.15">
      <c r="A2332" s="286">
        <v>874698</v>
      </c>
      <c r="B2332" s="288">
        <v>45628.357638888891</v>
      </c>
      <c r="C2332" s="286" t="s">
        <v>2098</v>
      </c>
      <c r="D2332" s="286" t="s">
        <v>1105</v>
      </c>
      <c r="E2332" s="286" t="s">
        <v>1106</v>
      </c>
      <c r="F2332" s="286" t="s">
        <v>2142</v>
      </c>
      <c r="G2332" s="286" t="s">
        <v>1075</v>
      </c>
      <c r="H2332" s="286" t="s">
        <v>1075</v>
      </c>
      <c r="I2332" s="286" t="s">
        <v>1228</v>
      </c>
      <c r="J2332" s="286" t="s">
        <v>1312</v>
      </c>
      <c r="K2332" s="286" t="s">
        <v>2511</v>
      </c>
      <c r="L2332" s="286" t="s">
        <v>53</v>
      </c>
      <c r="M2332" s="286">
        <v>1</v>
      </c>
      <c r="N2332" s="287">
        <v>-533.13</v>
      </c>
      <c r="O2332" s="294">
        <f t="shared" si="36"/>
        <v>45657</v>
      </c>
      <c r="P2332" s="286" t="s">
        <v>58</v>
      </c>
    </row>
    <row r="2333" spans="1:16" hidden="1" x14ac:dyDescent="0.15">
      <c r="A2333" s="286">
        <v>438112</v>
      </c>
      <c r="B2333" s="288">
        <v>45293.53402777778</v>
      </c>
      <c r="C2333" s="286" t="s">
        <v>2125</v>
      </c>
      <c r="D2333" s="286" t="s">
        <v>1105</v>
      </c>
      <c r="E2333" s="286" t="s">
        <v>1106</v>
      </c>
      <c r="F2333" s="286" t="s">
        <v>2152</v>
      </c>
      <c r="G2333" s="286" t="s">
        <v>1075</v>
      </c>
      <c r="H2333" s="286" t="s">
        <v>1075</v>
      </c>
      <c r="I2333" s="286" t="s">
        <v>1228</v>
      </c>
      <c r="J2333" s="286" t="s">
        <v>1312</v>
      </c>
      <c r="K2333" s="286" t="s">
        <v>2511</v>
      </c>
      <c r="L2333" s="286" t="s">
        <v>53</v>
      </c>
      <c r="M2333" s="286">
        <v>1</v>
      </c>
      <c r="N2333" s="287">
        <v>-533.16999999999996</v>
      </c>
      <c r="O2333" s="294">
        <f t="shared" si="36"/>
        <v>45322</v>
      </c>
      <c r="P2333" s="286" t="s">
        <v>58</v>
      </c>
    </row>
    <row r="2334" spans="1:16" hidden="1" x14ac:dyDescent="0.15">
      <c r="A2334" s="286">
        <v>472168</v>
      </c>
      <c r="B2334" s="288">
        <v>45331.416666666664</v>
      </c>
      <c r="C2334" s="286" t="s">
        <v>2113</v>
      </c>
      <c r="D2334" s="286" t="s">
        <v>1105</v>
      </c>
      <c r="E2334" s="286" t="s">
        <v>1106</v>
      </c>
      <c r="F2334" s="286" t="s">
        <v>2153</v>
      </c>
      <c r="G2334" s="286" t="s">
        <v>1075</v>
      </c>
      <c r="H2334" s="286" t="s">
        <v>1075</v>
      </c>
      <c r="I2334" s="286" t="s">
        <v>1228</v>
      </c>
      <c r="J2334" s="286" t="s">
        <v>1312</v>
      </c>
      <c r="K2334" s="286" t="s">
        <v>2511</v>
      </c>
      <c r="L2334" s="286" t="s">
        <v>53</v>
      </c>
      <c r="M2334" s="286">
        <v>1</v>
      </c>
      <c r="N2334" s="287">
        <v>-533.16999999999996</v>
      </c>
      <c r="O2334" s="294">
        <f t="shared" si="36"/>
        <v>45351</v>
      </c>
      <c r="P2334" s="286" t="s">
        <v>58</v>
      </c>
    </row>
    <row r="2335" spans="1:16" hidden="1" x14ac:dyDescent="0.15">
      <c r="A2335" s="286">
        <v>504817</v>
      </c>
      <c r="B2335" s="288">
        <v>45359.645138888889</v>
      </c>
      <c r="C2335" s="286" t="s">
        <v>2109</v>
      </c>
      <c r="D2335" s="286" t="s">
        <v>1105</v>
      </c>
      <c r="E2335" s="286" t="s">
        <v>1106</v>
      </c>
      <c r="F2335" s="286" t="s">
        <v>2154</v>
      </c>
      <c r="G2335" s="286" t="s">
        <v>1075</v>
      </c>
      <c r="H2335" s="286" t="s">
        <v>1075</v>
      </c>
      <c r="I2335" s="286" t="s">
        <v>1228</v>
      </c>
      <c r="J2335" s="286" t="s">
        <v>1312</v>
      </c>
      <c r="K2335" s="286" t="s">
        <v>2511</v>
      </c>
      <c r="L2335" s="286" t="s">
        <v>53</v>
      </c>
      <c r="M2335" s="286">
        <v>1</v>
      </c>
      <c r="N2335" s="287">
        <v>-533.16999999999996</v>
      </c>
      <c r="O2335" s="294">
        <f t="shared" si="36"/>
        <v>45382</v>
      </c>
      <c r="P2335" s="286" t="s">
        <v>58</v>
      </c>
    </row>
    <row r="2336" spans="1:16" hidden="1" x14ac:dyDescent="0.15">
      <c r="A2336" s="286">
        <v>534207</v>
      </c>
      <c r="B2336" s="288">
        <v>45385.750694444447</v>
      </c>
      <c r="C2336" s="286" t="s">
        <v>2096</v>
      </c>
      <c r="D2336" s="286" t="s">
        <v>1105</v>
      </c>
      <c r="E2336" s="286" t="s">
        <v>1106</v>
      </c>
      <c r="F2336" s="286" t="s">
        <v>2155</v>
      </c>
      <c r="G2336" s="286" t="s">
        <v>1075</v>
      </c>
      <c r="H2336" s="286" t="s">
        <v>1075</v>
      </c>
      <c r="I2336" s="286" t="s">
        <v>1228</v>
      </c>
      <c r="J2336" s="286" t="s">
        <v>1312</v>
      </c>
      <c r="K2336" s="286" t="s">
        <v>2511</v>
      </c>
      <c r="L2336" s="286" t="s">
        <v>53</v>
      </c>
      <c r="M2336" s="286">
        <v>1</v>
      </c>
      <c r="N2336" s="287">
        <v>-533.16999999999996</v>
      </c>
      <c r="O2336" s="294">
        <f t="shared" si="36"/>
        <v>45412</v>
      </c>
      <c r="P2336" s="286" t="s">
        <v>58</v>
      </c>
    </row>
    <row r="2337" spans="1:16" hidden="1" x14ac:dyDescent="0.15">
      <c r="A2337" s="286">
        <v>614216</v>
      </c>
      <c r="B2337" s="288">
        <v>45455.716666666667</v>
      </c>
      <c r="C2337" s="286" t="s">
        <v>2116</v>
      </c>
      <c r="D2337" s="286" t="s">
        <v>1105</v>
      </c>
      <c r="E2337" s="286" t="s">
        <v>1106</v>
      </c>
      <c r="F2337" s="286" t="s">
        <v>2156</v>
      </c>
      <c r="G2337" s="286" t="s">
        <v>1075</v>
      </c>
      <c r="H2337" s="286" t="s">
        <v>1075</v>
      </c>
      <c r="I2337" s="286" t="s">
        <v>1228</v>
      </c>
      <c r="J2337" s="286" t="s">
        <v>1312</v>
      </c>
      <c r="K2337" s="286" t="s">
        <v>2511</v>
      </c>
      <c r="L2337" s="286" t="s">
        <v>53</v>
      </c>
      <c r="M2337" s="286">
        <v>1</v>
      </c>
      <c r="N2337" s="287">
        <v>-533.16999999999996</v>
      </c>
      <c r="O2337" s="294">
        <f t="shared" si="36"/>
        <v>45473</v>
      </c>
      <c r="P2337" s="286" t="s">
        <v>58</v>
      </c>
    </row>
    <row r="2338" spans="1:16" hidden="1" x14ac:dyDescent="0.15">
      <c r="A2338" s="286">
        <v>608480</v>
      </c>
      <c r="B2338" s="288">
        <v>45450.422222222223</v>
      </c>
      <c r="C2338" s="286" t="s">
        <v>2092</v>
      </c>
      <c r="D2338" s="286" t="s">
        <v>1105</v>
      </c>
      <c r="E2338" s="286" t="s">
        <v>1106</v>
      </c>
      <c r="F2338" s="286" t="s">
        <v>2157</v>
      </c>
      <c r="G2338" s="286" t="s">
        <v>1075</v>
      </c>
      <c r="H2338" s="286" t="s">
        <v>1075</v>
      </c>
      <c r="I2338" s="286" t="s">
        <v>1228</v>
      </c>
      <c r="J2338" s="286" t="s">
        <v>1312</v>
      </c>
      <c r="K2338" s="286" t="s">
        <v>2511</v>
      </c>
      <c r="L2338" s="286" t="s">
        <v>53</v>
      </c>
      <c r="M2338" s="286">
        <v>1</v>
      </c>
      <c r="N2338" s="287">
        <v>-533.16999999999996</v>
      </c>
      <c r="O2338" s="294">
        <f t="shared" si="36"/>
        <v>45473</v>
      </c>
      <c r="P2338" s="286" t="s">
        <v>58</v>
      </c>
    </row>
    <row r="2339" spans="1:16" hidden="1" x14ac:dyDescent="0.15">
      <c r="A2339" s="286">
        <v>646075</v>
      </c>
      <c r="B2339" s="288">
        <v>45474.519444444442</v>
      </c>
      <c r="C2339" s="286" t="s">
        <v>2111</v>
      </c>
      <c r="D2339" s="286" t="s">
        <v>1105</v>
      </c>
      <c r="E2339" s="286" t="s">
        <v>1106</v>
      </c>
      <c r="F2339" s="286" t="s">
        <v>2137</v>
      </c>
      <c r="G2339" s="286" t="s">
        <v>1075</v>
      </c>
      <c r="H2339" s="286" t="s">
        <v>1075</v>
      </c>
      <c r="I2339" s="286" t="s">
        <v>1228</v>
      </c>
      <c r="J2339" s="286" t="s">
        <v>1312</v>
      </c>
      <c r="K2339" s="286" t="s">
        <v>2511</v>
      </c>
      <c r="L2339" s="286" t="s">
        <v>53</v>
      </c>
      <c r="M2339" s="286">
        <v>1</v>
      </c>
      <c r="N2339" s="287">
        <v>-533.16999999999996</v>
      </c>
      <c r="O2339" s="294">
        <f t="shared" si="36"/>
        <v>45504</v>
      </c>
      <c r="P2339" s="286" t="s">
        <v>58</v>
      </c>
    </row>
    <row r="2340" spans="1:16" hidden="1" x14ac:dyDescent="0.15">
      <c r="A2340" s="286">
        <v>697810</v>
      </c>
      <c r="B2340" s="288">
        <v>45510.366666666669</v>
      </c>
      <c r="C2340" s="286" t="s">
        <v>2102</v>
      </c>
      <c r="D2340" s="286" t="s">
        <v>1105</v>
      </c>
      <c r="E2340" s="286" t="s">
        <v>1106</v>
      </c>
      <c r="F2340" s="286" t="s">
        <v>2138</v>
      </c>
      <c r="G2340" s="286" t="s">
        <v>1075</v>
      </c>
      <c r="H2340" s="286" t="s">
        <v>1075</v>
      </c>
      <c r="I2340" s="286" t="s">
        <v>1228</v>
      </c>
      <c r="J2340" s="286" t="s">
        <v>1312</v>
      </c>
      <c r="K2340" s="286" t="s">
        <v>2511</v>
      </c>
      <c r="L2340" s="286" t="s">
        <v>53</v>
      </c>
      <c r="M2340" s="286">
        <v>1</v>
      </c>
      <c r="N2340" s="287">
        <v>-533.16999999999996</v>
      </c>
      <c r="O2340" s="294">
        <f t="shared" si="36"/>
        <v>45535</v>
      </c>
      <c r="P2340" s="286" t="s">
        <v>58</v>
      </c>
    </row>
    <row r="2341" spans="1:16" hidden="1" x14ac:dyDescent="0.15">
      <c r="A2341" s="286">
        <v>745911</v>
      </c>
      <c r="B2341" s="288">
        <v>45538.44027777778</v>
      </c>
      <c r="C2341" s="286" t="s">
        <v>2132</v>
      </c>
      <c r="D2341" s="286" t="s">
        <v>1105</v>
      </c>
      <c r="E2341" s="286" t="s">
        <v>1106</v>
      </c>
      <c r="F2341" s="286" t="s">
        <v>2139</v>
      </c>
      <c r="G2341" s="286" t="s">
        <v>1075</v>
      </c>
      <c r="H2341" s="286" t="s">
        <v>1075</v>
      </c>
      <c r="I2341" s="286" t="s">
        <v>1228</v>
      </c>
      <c r="J2341" s="286" t="s">
        <v>1312</v>
      </c>
      <c r="K2341" s="286" t="s">
        <v>2511</v>
      </c>
      <c r="L2341" s="286" t="s">
        <v>53</v>
      </c>
      <c r="M2341" s="286">
        <v>1</v>
      </c>
      <c r="N2341" s="287">
        <v>-533.16999999999996</v>
      </c>
      <c r="O2341" s="294">
        <f t="shared" si="36"/>
        <v>45565</v>
      </c>
      <c r="P2341" s="286" t="s">
        <v>58</v>
      </c>
    </row>
    <row r="2342" spans="1:16" hidden="1" x14ac:dyDescent="0.15">
      <c r="A2342" s="286">
        <v>848817</v>
      </c>
      <c r="B2342" s="288">
        <v>45607.65902777778</v>
      </c>
      <c r="C2342" s="286" t="s">
        <v>2130</v>
      </c>
      <c r="D2342" s="286" t="s">
        <v>1105</v>
      </c>
      <c r="E2342" s="286" t="s">
        <v>1106</v>
      </c>
      <c r="F2342" s="286" t="s">
        <v>2140</v>
      </c>
      <c r="G2342" s="286" t="s">
        <v>1075</v>
      </c>
      <c r="H2342" s="286" t="s">
        <v>1075</v>
      </c>
      <c r="I2342" s="286" t="s">
        <v>1228</v>
      </c>
      <c r="J2342" s="286" t="s">
        <v>1312</v>
      </c>
      <c r="K2342" s="286" t="s">
        <v>2511</v>
      </c>
      <c r="L2342" s="286" t="s">
        <v>53</v>
      </c>
      <c r="M2342" s="286">
        <v>1</v>
      </c>
      <c r="N2342" s="287">
        <v>-533.16999999999996</v>
      </c>
      <c r="O2342" s="294">
        <f t="shared" si="36"/>
        <v>45626</v>
      </c>
      <c r="P2342" s="286" t="s">
        <v>58</v>
      </c>
    </row>
    <row r="2343" spans="1:16" hidden="1" x14ac:dyDescent="0.15">
      <c r="A2343" s="286">
        <v>848917</v>
      </c>
      <c r="B2343" s="288">
        <v>45607.660416666666</v>
      </c>
      <c r="C2343" s="286" t="s">
        <v>2100</v>
      </c>
      <c r="D2343" s="286" t="s">
        <v>1105</v>
      </c>
      <c r="E2343" s="286" t="s">
        <v>1106</v>
      </c>
      <c r="F2343" s="286" t="s">
        <v>2141</v>
      </c>
      <c r="G2343" s="286" t="s">
        <v>1075</v>
      </c>
      <c r="H2343" s="286" t="s">
        <v>1075</v>
      </c>
      <c r="I2343" s="286" t="s">
        <v>1228</v>
      </c>
      <c r="J2343" s="286" t="s">
        <v>1312</v>
      </c>
      <c r="K2343" s="286" t="s">
        <v>2511</v>
      </c>
      <c r="L2343" s="286" t="s">
        <v>53</v>
      </c>
      <c r="M2343" s="286">
        <v>1</v>
      </c>
      <c r="N2343" s="287">
        <v>-533.16999999999996</v>
      </c>
      <c r="O2343" s="294">
        <f t="shared" si="36"/>
        <v>45626</v>
      </c>
      <c r="P2343" s="286" t="s">
        <v>58</v>
      </c>
    </row>
    <row r="2344" spans="1:16" hidden="1" x14ac:dyDescent="0.15">
      <c r="A2344" s="286">
        <v>890854</v>
      </c>
      <c r="B2344" s="288">
        <v>45637.478472222225</v>
      </c>
      <c r="C2344" s="286" t="s">
        <v>2100</v>
      </c>
      <c r="D2344" s="286" t="s">
        <v>1105</v>
      </c>
      <c r="E2344" s="286" t="s">
        <v>1106</v>
      </c>
      <c r="F2344" s="286" t="s">
        <v>2181</v>
      </c>
      <c r="G2344" s="286" t="s">
        <v>1014</v>
      </c>
      <c r="H2344" s="286" t="s">
        <v>1014</v>
      </c>
      <c r="I2344" s="286" t="s">
        <v>1112</v>
      </c>
      <c r="J2344" s="286" t="s">
        <v>1312</v>
      </c>
      <c r="K2344" s="286" t="s">
        <v>2079</v>
      </c>
      <c r="L2344" s="286" t="s">
        <v>53</v>
      </c>
      <c r="M2344" s="286">
        <v>1</v>
      </c>
      <c r="N2344" s="287">
        <v>-546</v>
      </c>
      <c r="O2344" s="294">
        <f t="shared" si="36"/>
        <v>45657</v>
      </c>
      <c r="P2344" s="286" t="s">
        <v>175</v>
      </c>
    </row>
    <row r="2345" spans="1:16" hidden="1" x14ac:dyDescent="0.15">
      <c r="A2345" s="286">
        <v>769994</v>
      </c>
      <c r="B2345" s="288">
        <v>45548.686111111114</v>
      </c>
      <c r="C2345" s="286" t="s">
        <v>2102</v>
      </c>
      <c r="D2345" s="286" t="s">
        <v>1105</v>
      </c>
      <c r="E2345" s="286" t="s">
        <v>1106</v>
      </c>
      <c r="F2345" s="286" t="s">
        <v>2242</v>
      </c>
      <c r="G2345" s="286" t="s">
        <v>1029</v>
      </c>
      <c r="H2345" s="286" t="s">
        <v>1029</v>
      </c>
      <c r="I2345" s="286" t="s">
        <v>1199</v>
      </c>
      <c r="J2345" s="286" t="s">
        <v>1312</v>
      </c>
      <c r="K2345" s="286" t="s">
        <v>2067</v>
      </c>
      <c r="L2345" s="286" t="s">
        <v>53</v>
      </c>
      <c r="M2345" s="286">
        <v>1</v>
      </c>
      <c r="N2345" s="287">
        <v>-546.36</v>
      </c>
      <c r="O2345" s="294">
        <f t="shared" si="36"/>
        <v>45565</v>
      </c>
      <c r="P2345" s="286" t="s">
        <v>58</v>
      </c>
    </row>
    <row r="2346" spans="1:16" hidden="1" x14ac:dyDescent="0.15">
      <c r="A2346" s="286">
        <v>848817</v>
      </c>
      <c r="B2346" s="288">
        <v>45607.65902777778</v>
      </c>
      <c r="C2346" s="286" t="s">
        <v>2130</v>
      </c>
      <c r="D2346" s="286" t="s">
        <v>1105</v>
      </c>
      <c r="E2346" s="286" t="s">
        <v>1106</v>
      </c>
      <c r="F2346" s="286" t="s">
        <v>2140</v>
      </c>
      <c r="G2346" s="286" t="s">
        <v>1010</v>
      </c>
      <c r="H2346" s="286" t="s">
        <v>1010</v>
      </c>
      <c r="I2346" s="286" t="s">
        <v>1199</v>
      </c>
      <c r="J2346" s="286" t="s">
        <v>1312</v>
      </c>
      <c r="K2346" s="286" t="s">
        <v>2070</v>
      </c>
      <c r="L2346" s="286" t="s">
        <v>53</v>
      </c>
      <c r="M2346" s="286">
        <v>1</v>
      </c>
      <c r="N2346" s="287">
        <v>-574.98</v>
      </c>
      <c r="O2346" s="294">
        <f t="shared" si="36"/>
        <v>45626</v>
      </c>
      <c r="P2346" s="286" t="s">
        <v>58</v>
      </c>
    </row>
    <row r="2347" spans="1:16" hidden="1" x14ac:dyDescent="0.15">
      <c r="A2347" s="286">
        <v>764381</v>
      </c>
      <c r="B2347" s="288">
        <v>45546.6875</v>
      </c>
      <c r="C2347" s="286" t="s">
        <v>2132</v>
      </c>
      <c r="D2347" s="286" t="s">
        <v>1105</v>
      </c>
      <c r="E2347" s="286" t="s">
        <v>1106</v>
      </c>
      <c r="F2347" s="286" t="s">
        <v>2321</v>
      </c>
      <c r="G2347" s="286" t="s">
        <v>1004</v>
      </c>
      <c r="H2347" s="286" t="s">
        <v>1004</v>
      </c>
      <c r="I2347" s="286" t="s">
        <v>1129</v>
      </c>
      <c r="J2347" s="286" t="s">
        <v>1312</v>
      </c>
      <c r="K2347" s="286" t="s">
        <v>2398</v>
      </c>
      <c r="L2347" s="286" t="s">
        <v>2399</v>
      </c>
      <c r="M2347" s="286">
        <v>-1</v>
      </c>
      <c r="N2347" s="287">
        <v>-591.42999999999995</v>
      </c>
      <c r="O2347" s="294">
        <f t="shared" si="36"/>
        <v>45565</v>
      </c>
      <c r="P2347" s="286" t="s">
        <v>164</v>
      </c>
    </row>
    <row r="2348" spans="1:16" hidden="1" x14ac:dyDescent="0.15">
      <c r="A2348" s="286">
        <v>602948</v>
      </c>
      <c r="B2348" s="288">
        <v>45447.428472222222</v>
      </c>
      <c r="C2348" s="286" t="s">
        <v>2116</v>
      </c>
      <c r="D2348" s="286" t="s">
        <v>1105</v>
      </c>
      <c r="E2348" s="286" t="s">
        <v>1106</v>
      </c>
      <c r="F2348" s="286" t="s">
        <v>2252</v>
      </c>
      <c r="G2348" s="286" t="s">
        <v>1035</v>
      </c>
      <c r="H2348" s="286" t="s">
        <v>1035</v>
      </c>
      <c r="I2348" s="286" t="s">
        <v>1112</v>
      </c>
      <c r="J2348" s="286" t="s">
        <v>1312</v>
      </c>
      <c r="K2348" s="286" t="s">
        <v>2079</v>
      </c>
      <c r="L2348" s="286" t="s">
        <v>53</v>
      </c>
      <c r="M2348" s="286">
        <v>1</v>
      </c>
      <c r="N2348" s="287">
        <v>-592</v>
      </c>
      <c r="O2348" s="294">
        <f t="shared" si="36"/>
        <v>45473</v>
      </c>
      <c r="P2348" s="286" t="s">
        <v>175</v>
      </c>
    </row>
    <row r="2349" spans="1:16" hidden="1" x14ac:dyDescent="0.15">
      <c r="A2349" s="286">
        <v>497134</v>
      </c>
      <c r="B2349" s="288">
        <v>45352.500694444447</v>
      </c>
      <c r="C2349" s="286" t="s">
        <v>2125</v>
      </c>
      <c r="D2349" s="286" t="s">
        <v>1105</v>
      </c>
      <c r="E2349" s="286" t="s">
        <v>1106</v>
      </c>
      <c r="F2349" s="286" t="s">
        <v>2520</v>
      </c>
      <c r="G2349" s="286" t="s">
        <v>1052</v>
      </c>
      <c r="H2349" s="286" t="s">
        <v>1052</v>
      </c>
      <c r="I2349" s="286" t="s">
        <v>1228</v>
      </c>
      <c r="J2349" s="286" t="s">
        <v>1312</v>
      </c>
      <c r="K2349" s="286" t="s">
        <v>53</v>
      </c>
      <c r="L2349" s="286" t="s">
        <v>53</v>
      </c>
      <c r="M2349" s="286" t="s">
        <v>53</v>
      </c>
      <c r="N2349" s="287">
        <v>-600.32000000000005</v>
      </c>
      <c r="O2349" s="294">
        <f t="shared" si="36"/>
        <v>45382</v>
      </c>
      <c r="P2349" s="286" t="s">
        <v>58</v>
      </c>
    </row>
    <row r="2350" spans="1:16" hidden="1" x14ac:dyDescent="0.15">
      <c r="A2350" s="286">
        <v>497136</v>
      </c>
      <c r="B2350" s="288">
        <v>45352.50277777778</v>
      </c>
      <c r="C2350" s="286" t="s">
        <v>2113</v>
      </c>
      <c r="D2350" s="286" t="s">
        <v>1105</v>
      </c>
      <c r="E2350" s="286" t="s">
        <v>1106</v>
      </c>
      <c r="F2350" s="286" t="s">
        <v>2521</v>
      </c>
      <c r="G2350" s="286" t="s">
        <v>1052</v>
      </c>
      <c r="H2350" s="286" t="s">
        <v>1052</v>
      </c>
      <c r="I2350" s="286" t="s">
        <v>1228</v>
      </c>
      <c r="J2350" s="286" t="s">
        <v>1312</v>
      </c>
      <c r="K2350" s="286" t="s">
        <v>53</v>
      </c>
      <c r="L2350" s="286" t="s">
        <v>53</v>
      </c>
      <c r="M2350" s="286" t="s">
        <v>53</v>
      </c>
      <c r="N2350" s="287">
        <v>-600.32000000000005</v>
      </c>
      <c r="O2350" s="294">
        <f t="shared" si="36"/>
        <v>45382</v>
      </c>
      <c r="P2350" s="286" t="s">
        <v>58</v>
      </c>
    </row>
    <row r="2351" spans="1:16" hidden="1" x14ac:dyDescent="0.15">
      <c r="A2351" s="286">
        <v>706328</v>
      </c>
      <c r="B2351" s="288">
        <v>45513.59375</v>
      </c>
      <c r="C2351" s="286" t="s">
        <v>2102</v>
      </c>
      <c r="D2351" s="286" t="s">
        <v>1105</v>
      </c>
      <c r="E2351" s="286" t="s">
        <v>1106</v>
      </c>
      <c r="F2351" s="286" t="s">
        <v>2356</v>
      </c>
      <c r="G2351" s="286" t="s">
        <v>1002</v>
      </c>
      <c r="H2351" s="286" t="s">
        <v>1002</v>
      </c>
      <c r="I2351" s="286" t="s">
        <v>1129</v>
      </c>
      <c r="J2351" s="286" t="s">
        <v>53</v>
      </c>
      <c r="K2351" s="286" t="s">
        <v>2495</v>
      </c>
      <c r="L2351" s="286" t="s">
        <v>2496</v>
      </c>
      <c r="M2351" s="286">
        <v>1</v>
      </c>
      <c r="N2351" s="287">
        <v>-611.76</v>
      </c>
      <c r="O2351" s="294">
        <f t="shared" si="36"/>
        <v>45535</v>
      </c>
      <c r="P2351" s="286" t="s">
        <v>164</v>
      </c>
    </row>
    <row r="2352" spans="1:16" hidden="1" x14ac:dyDescent="0.15">
      <c r="A2352" s="286">
        <v>848817</v>
      </c>
      <c r="B2352" s="288">
        <v>45607.65902777778</v>
      </c>
      <c r="C2352" s="286" t="s">
        <v>2130</v>
      </c>
      <c r="D2352" s="286" t="s">
        <v>1105</v>
      </c>
      <c r="E2352" s="286" t="s">
        <v>1106</v>
      </c>
      <c r="F2352" s="286" t="s">
        <v>2140</v>
      </c>
      <c r="G2352" s="286" t="s">
        <v>1010</v>
      </c>
      <c r="H2352" s="286" t="s">
        <v>1010</v>
      </c>
      <c r="I2352" s="286" t="s">
        <v>1199</v>
      </c>
      <c r="J2352" s="286" t="s">
        <v>1312</v>
      </c>
      <c r="K2352" s="286" t="s">
        <v>2069</v>
      </c>
      <c r="L2352" s="286" t="s">
        <v>53</v>
      </c>
      <c r="M2352" s="286">
        <v>1</v>
      </c>
      <c r="N2352" s="287">
        <v>-622.59</v>
      </c>
      <c r="O2352" s="294">
        <f t="shared" si="36"/>
        <v>45626</v>
      </c>
      <c r="P2352" s="286" t="s">
        <v>58</v>
      </c>
    </row>
    <row r="2353" spans="1:16" hidden="1" x14ac:dyDescent="0.15">
      <c r="A2353" s="286">
        <v>438112</v>
      </c>
      <c r="B2353" s="288">
        <v>45293.53402777778</v>
      </c>
      <c r="C2353" s="286" t="s">
        <v>2125</v>
      </c>
      <c r="D2353" s="286" t="s">
        <v>1105</v>
      </c>
      <c r="E2353" s="286" t="s">
        <v>1106</v>
      </c>
      <c r="F2353" s="286" t="s">
        <v>2152</v>
      </c>
      <c r="G2353" s="286" t="s">
        <v>1027</v>
      </c>
      <c r="H2353" s="286" t="s">
        <v>1027</v>
      </c>
      <c r="I2353" s="286" t="s">
        <v>1199</v>
      </c>
      <c r="J2353" s="286" t="s">
        <v>1312</v>
      </c>
      <c r="K2353" s="286" t="s">
        <v>2076</v>
      </c>
      <c r="L2353" s="286" t="s">
        <v>53</v>
      </c>
      <c r="M2353" s="286">
        <v>1</v>
      </c>
      <c r="N2353" s="287">
        <v>-629.34</v>
      </c>
      <c r="O2353" s="294">
        <f t="shared" si="36"/>
        <v>45322</v>
      </c>
      <c r="P2353" s="286" t="s">
        <v>58</v>
      </c>
    </row>
    <row r="2354" spans="1:16" hidden="1" x14ac:dyDescent="0.15">
      <c r="A2354" s="286">
        <v>495493</v>
      </c>
      <c r="B2354" s="288">
        <v>45351.434027777781</v>
      </c>
      <c r="C2354" s="286" t="s">
        <v>2125</v>
      </c>
      <c r="D2354" s="286" t="s">
        <v>1105</v>
      </c>
      <c r="E2354" s="286" t="s">
        <v>1106</v>
      </c>
      <c r="F2354" s="286" t="s">
        <v>2397</v>
      </c>
      <c r="G2354" s="286" t="s">
        <v>1027</v>
      </c>
      <c r="H2354" s="286" t="s">
        <v>1027</v>
      </c>
      <c r="I2354" s="286" t="s">
        <v>1228</v>
      </c>
      <c r="J2354" s="286" t="s">
        <v>53</v>
      </c>
      <c r="K2354" s="286" t="s">
        <v>53</v>
      </c>
      <c r="L2354" s="286" t="s">
        <v>53</v>
      </c>
      <c r="M2354" s="286" t="s">
        <v>53</v>
      </c>
      <c r="N2354" s="287">
        <v>-629.34</v>
      </c>
      <c r="O2354" s="294">
        <f t="shared" si="36"/>
        <v>45351</v>
      </c>
      <c r="P2354" s="286" t="s">
        <v>58</v>
      </c>
    </row>
    <row r="2355" spans="1:16" hidden="1" x14ac:dyDescent="0.15">
      <c r="A2355" s="286">
        <v>770094</v>
      </c>
      <c r="B2355" s="288">
        <v>45548.6875</v>
      </c>
      <c r="C2355" s="286" t="s">
        <v>2132</v>
      </c>
      <c r="D2355" s="286" t="s">
        <v>1105</v>
      </c>
      <c r="E2355" s="286" t="s">
        <v>1106</v>
      </c>
      <c r="F2355" s="286" t="s">
        <v>2221</v>
      </c>
      <c r="G2355" s="286" t="s">
        <v>1029</v>
      </c>
      <c r="H2355" s="286" t="s">
        <v>1029</v>
      </c>
      <c r="I2355" s="286" t="s">
        <v>1199</v>
      </c>
      <c r="J2355" s="286" t="s">
        <v>1312</v>
      </c>
      <c r="K2355" s="286" t="s">
        <v>2067</v>
      </c>
      <c r="L2355" s="286" t="s">
        <v>53</v>
      </c>
      <c r="M2355" s="286">
        <v>1</v>
      </c>
      <c r="N2355" s="287">
        <v>-638.04999999999995</v>
      </c>
      <c r="O2355" s="294">
        <f t="shared" si="36"/>
        <v>45565</v>
      </c>
      <c r="P2355" s="286" t="s">
        <v>58</v>
      </c>
    </row>
    <row r="2356" spans="1:16" hidden="1" x14ac:dyDescent="0.15">
      <c r="A2356" s="286">
        <v>848817</v>
      </c>
      <c r="B2356" s="288">
        <v>45607.65902777778</v>
      </c>
      <c r="C2356" s="286" t="s">
        <v>2130</v>
      </c>
      <c r="D2356" s="286" t="s">
        <v>1105</v>
      </c>
      <c r="E2356" s="286" t="s">
        <v>1106</v>
      </c>
      <c r="F2356" s="286" t="s">
        <v>2140</v>
      </c>
      <c r="G2356" s="286" t="s">
        <v>1029</v>
      </c>
      <c r="H2356" s="286" t="s">
        <v>1029</v>
      </c>
      <c r="I2356" s="286" t="s">
        <v>1199</v>
      </c>
      <c r="J2356" s="286" t="s">
        <v>1312</v>
      </c>
      <c r="K2356" s="286" t="s">
        <v>2067</v>
      </c>
      <c r="L2356" s="286" t="s">
        <v>53</v>
      </c>
      <c r="M2356" s="286">
        <v>1</v>
      </c>
      <c r="N2356" s="287">
        <v>-638.04999999999995</v>
      </c>
      <c r="O2356" s="294">
        <f t="shared" si="36"/>
        <v>45626</v>
      </c>
      <c r="P2356" s="286" t="s">
        <v>58</v>
      </c>
    </row>
    <row r="2357" spans="1:16" hidden="1" x14ac:dyDescent="0.15">
      <c r="A2357" s="286">
        <v>848917</v>
      </c>
      <c r="B2357" s="288">
        <v>45607.660416666666</v>
      </c>
      <c r="C2357" s="286" t="s">
        <v>2100</v>
      </c>
      <c r="D2357" s="286" t="s">
        <v>1105</v>
      </c>
      <c r="E2357" s="286" t="s">
        <v>1106</v>
      </c>
      <c r="F2357" s="286" t="s">
        <v>2141</v>
      </c>
      <c r="G2357" s="286" t="s">
        <v>1029</v>
      </c>
      <c r="H2357" s="286" t="s">
        <v>1029</v>
      </c>
      <c r="I2357" s="286" t="s">
        <v>1199</v>
      </c>
      <c r="J2357" s="286" t="s">
        <v>1312</v>
      </c>
      <c r="K2357" s="286" t="s">
        <v>2067</v>
      </c>
      <c r="L2357" s="286" t="s">
        <v>53</v>
      </c>
      <c r="M2357" s="286">
        <v>1</v>
      </c>
      <c r="N2357" s="287">
        <v>-638.04999999999995</v>
      </c>
      <c r="O2357" s="294">
        <f t="shared" si="36"/>
        <v>45626</v>
      </c>
      <c r="P2357" s="286" t="s">
        <v>58</v>
      </c>
    </row>
    <row r="2358" spans="1:16" hidden="1" x14ac:dyDescent="0.15">
      <c r="A2358" s="286">
        <v>874698</v>
      </c>
      <c r="B2358" s="288">
        <v>45628.357638888891</v>
      </c>
      <c r="C2358" s="286" t="s">
        <v>2098</v>
      </c>
      <c r="D2358" s="286" t="s">
        <v>1105</v>
      </c>
      <c r="E2358" s="286" t="s">
        <v>1106</v>
      </c>
      <c r="F2358" s="286" t="s">
        <v>2142</v>
      </c>
      <c r="G2358" s="286" t="s">
        <v>1029</v>
      </c>
      <c r="H2358" s="286" t="s">
        <v>1029</v>
      </c>
      <c r="I2358" s="286" t="s">
        <v>1199</v>
      </c>
      <c r="J2358" s="286" t="s">
        <v>1312</v>
      </c>
      <c r="K2358" s="286" t="s">
        <v>2067</v>
      </c>
      <c r="L2358" s="286" t="s">
        <v>53</v>
      </c>
      <c r="M2358" s="286">
        <v>1</v>
      </c>
      <c r="N2358" s="287">
        <v>-638.04999999999995</v>
      </c>
      <c r="O2358" s="294">
        <f t="shared" si="36"/>
        <v>45657</v>
      </c>
      <c r="P2358" s="286" t="s">
        <v>58</v>
      </c>
    </row>
    <row r="2359" spans="1:16" hidden="1" x14ac:dyDescent="0.15">
      <c r="A2359" s="286">
        <v>646075</v>
      </c>
      <c r="B2359" s="288">
        <v>45474.519444444442</v>
      </c>
      <c r="C2359" s="286" t="s">
        <v>2111</v>
      </c>
      <c r="D2359" s="286" t="s">
        <v>1105</v>
      </c>
      <c r="E2359" s="286" t="s">
        <v>1106</v>
      </c>
      <c r="F2359" s="286" t="s">
        <v>2137</v>
      </c>
      <c r="G2359" s="286" t="s">
        <v>1073</v>
      </c>
      <c r="H2359" s="286" t="s">
        <v>1073</v>
      </c>
      <c r="I2359" s="286" t="s">
        <v>1199</v>
      </c>
      <c r="J2359" s="286" t="s">
        <v>1312</v>
      </c>
      <c r="K2359" s="286" t="s">
        <v>2069</v>
      </c>
      <c r="L2359" s="286" t="s">
        <v>53</v>
      </c>
      <c r="M2359" s="286">
        <v>1</v>
      </c>
      <c r="N2359" s="287">
        <v>-639.83000000000004</v>
      </c>
      <c r="O2359" s="294">
        <f t="shared" si="36"/>
        <v>45504</v>
      </c>
      <c r="P2359" s="286" t="s">
        <v>58</v>
      </c>
    </row>
    <row r="2360" spans="1:16" hidden="1" x14ac:dyDescent="0.15">
      <c r="A2360" s="286">
        <v>646075</v>
      </c>
      <c r="B2360" s="288">
        <v>45474.519444444442</v>
      </c>
      <c r="C2360" s="286" t="s">
        <v>2111</v>
      </c>
      <c r="D2360" s="286" t="s">
        <v>1105</v>
      </c>
      <c r="E2360" s="286" t="s">
        <v>1106</v>
      </c>
      <c r="F2360" s="286" t="s">
        <v>2137</v>
      </c>
      <c r="G2360" s="286" t="s">
        <v>1073</v>
      </c>
      <c r="H2360" s="286" t="s">
        <v>1073</v>
      </c>
      <c r="I2360" s="286" t="s">
        <v>1199</v>
      </c>
      <c r="J2360" s="286" t="s">
        <v>1312</v>
      </c>
      <c r="K2360" s="286" t="s">
        <v>2067</v>
      </c>
      <c r="L2360" s="286" t="s">
        <v>53</v>
      </c>
      <c r="M2360" s="286">
        <v>1</v>
      </c>
      <c r="N2360" s="287">
        <v>-639.83000000000004</v>
      </c>
      <c r="O2360" s="294">
        <f t="shared" si="36"/>
        <v>45504</v>
      </c>
      <c r="P2360" s="286" t="s">
        <v>58</v>
      </c>
    </row>
    <row r="2361" spans="1:16" hidden="1" x14ac:dyDescent="0.15">
      <c r="A2361" s="286">
        <v>697810</v>
      </c>
      <c r="B2361" s="288">
        <v>45510.366666666669</v>
      </c>
      <c r="C2361" s="286" t="s">
        <v>2102</v>
      </c>
      <c r="D2361" s="286" t="s">
        <v>1105</v>
      </c>
      <c r="E2361" s="286" t="s">
        <v>1106</v>
      </c>
      <c r="F2361" s="286" t="s">
        <v>2138</v>
      </c>
      <c r="G2361" s="286" t="s">
        <v>1073</v>
      </c>
      <c r="H2361" s="286" t="s">
        <v>1073</v>
      </c>
      <c r="I2361" s="286" t="s">
        <v>1199</v>
      </c>
      <c r="J2361" s="286" t="s">
        <v>1312</v>
      </c>
      <c r="K2361" s="286" t="s">
        <v>2069</v>
      </c>
      <c r="L2361" s="286" t="s">
        <v>53</v>
      </c>
      <c r="M2361" s="286">
        <v>1</v>
      </c>
      <c r="N2361" s="287">
        <v>-639.83000000000004</v>
      </c>
      <c r="O2361" s="294">
        <f t="shared" si="36"/>
        <v>45535</v>
      </c>
      <c r="P2361" s="286" t="s">
        <v>58</v>
      </c>
    </row>
    <row r="2362" spans="1:16" hidden="1" x14ac:dyDescent="0.15">
      <c r="A2362" s="286">
        <v>697810</v>
      </c>
      <c r="B2362" s="288">
        <v>45510.366666666669</v>
      </c>
      <c r="C2362" s="286" t="s">
        <v>2102</v>
      </c>
      <c r="D2362" s="286" t="s">
        <v>1105</v>
      </c>
      <c r="E2362" s="286" t="s">
        <v>1106</v>
      </c>
      <c r="F2362" s="286" t="s">
        <v>2138</v>
      </c>
      <c r="G2362" s="286" t="s">
        <v>1073</v>
      </c>
      <c r="H2362" s="286" t="s">
        <v>1073</v>
      </c>
      <c r="I2362" s="286" t="s">
        <v>1199</v>
      </c>
      <c r="J2362" s="286" t="s">
        <v>1312</v>
      </c>
      <c r="K2362" s="286" t="s">
        <v>2067</v>
      </c>
      <c r="L2362" s="286" t="s">
        <v>53</v>
      </c>
      <c r="M2362" s="286">
        <v>1</v>
      </c>
      <c r="N2362" s="287">
        <v>-639.83000000000004</v>
      </c>
      <c r="O2362" s="294">
        <f t="shared" si="36"/>
        <v>45535</v>
      </c>
      <c r="P2362" s="286" t="s">
        <v>58</v>
      </c>
    </row>
    <row r="2363" spans="1:16" hidden="1" x14ac:dyDescent="0.15">
      <c r="A2363" s="286">
        <v>745911</v>
      </c>
      <c r="B2363" s="288">
        <v>45538.44027777778</v>
      </c>
      <c r="C2363" s="286" t="s">
        <v>2132</v>
      </c>
      <c r="D2363" s="286" t="s">
        <v>1105</v>
      </c>
      <c r="E2363" s="286" t="s">
        <v>1106</v>
      </c>
      <c r="F2363" s="286" t="s">
        <v>2139</v>
      </c>
      <c r="G2363" s="286" t="s">
        <v>1073</v>
      </c>
      <c r="H2363" s="286" t="s">
        <v>1073</v>
      </c>
      <c r="I2363" s="286" t="s">
        <v>1199</v>
      </c>
      <c r="J2363" s="286" t="s">
        <v>1312</v>
      </c>
      <c r="K2363" s="286" t="s">
        <v>2069</v>
      </c>
      <c r="L2363" s="286" t="s">
        <v>53</v>
      </c>
      <c r="M2363" s="286">
        <v>1</v>
      </c>
      <c r="N2363" s="287">
        <v>-639.83000000000004</v>
      </c>
      <c r="O2363" s="294">
        <f t="shared" si="36"/>
        <v>45565</v>
      </c>
      <c r="P2363" s="286" t="s">
        <v>58</v>
      </c>
    </row>
    <row r="2364" spans="1:16" hidden="1" x14ac:dyDescent="0.15">
      <c r="A2364" s="286">
        <v>745911</v>
      </c>
      <c r="B2364" s="288">
        <v>45538.44027777778</v>
      </c>
      <c r="C2364" s="286" t="s">
        <v>2132</v>
      </c>
      <c r="D2364" s="286" t="s">
        <v>1105</v>
      </c>
      <c r="E2364" s="286" t="s">
        <v>1106</v>
      </c>
      <c r="F2364" s="286" t="s">
        <v>2139</v>
      </c>
      <c r="G2364" s="286" t="s">
        <v>1073</v>
      </c>
      <c r="H2364" s="286" t="s">
        <v>1073</v>
      </c>
      <c r="I2364" s="286" t="s">
        <v>1199</v>
      </c>
      <c r="J2364" s="286" t="s">
        <v>1312</v>
      </c>
      <c r="K2364" s="286" t="s">
        <v>2067</v>
      </c>
      <c r="L2364" s="286" t="s">
        <v>53</v>
      </c>
      <c r="M2364" s="286">
        <v>1</v>
      </c>
      <c r="N2364" s="287">
        <v>-639.83000000000004</v>
      </c>
      <c r="O2364" s="294">
        <f t="shared" si="36"/>
        <v>45565</v>
      </c>
      <c r="P2364" s="286" t="s">
        <v>58</v>
      </c>
    </row>
    <row r="2365" spans="1:16" hidden="1" x14ac:dyDescent="0.15">
      <c r="A2365" s="286">
        <v>848817</v>
      </c>
      <c r="B2365" s="288">
        <v>45607.65902777778</v>
      </c>
      <c r="C2365" s="286" t="s">
        <v>2130</v>
      </c>
      <c r="D2365" s="286" t="s">
        <v>1105</v>
      </c>
      <c r="E2365" s="286" t="s">
        <v>1106</v>
      </c>
      <c r="F2365" s="286" t="s">
        <v>2140</v>
      </c>
      <c r="G2365" s="286" t="s">
        <v>1073</v>
      </c>
      <c r="H2365" s="286" t="s">
        <v>1073</v>
      </c>
      <c r="I2365" s="286" t="s">
        <v>1199</v>
      </c>
      <c r="J2365" s="286" t="s">
        <v>1312</v>
      </c>
      <c r="K2365" s="286" t="s">
        <v>2069</v>
      </c>
      <c r="L2365" s="286" t="s">
        <v>53</v>
      </c>
      <c r="M2365" s="286">
        <v>1</v>
      </c>
      <c r="N2365" s="287">
        <v>-639.83000000000004</v>
      </c>
      <c r="O2365" s="294">
        <f t="shared" si="36"/>
        <v>45626</v>
      </c>
      <c r="P2365" s="286" t="s">
        <v>58</v>
      </c>
    </row>
    <row r="2366" spans="1:16" hidden="1" x14ac:dyDescent="0.15">
      <c r="A2366" s="286">
        <v>848817</v>
      </c>
      <c r="B2366" s="288">
        <v>45607.65902777778</v>
      </c>
      <c r="C2366" s="286" t="s">
        <v>2130</v>
      </c>
      <c r="D2366" s="286" t="s">
        <v>1105</v>
      </c>
      <c r="E2366" s="286" t="s">
        <v>1106</v>
      </c>
      <c r="F2366" s="286" t="s">
        <v>2140</v>
      </c>
      <c r="G2366" s="286" t="s">
        <v>1073</v>
      </c>
      <c r="H2366" s="286" t="s">
        <v>1073</v>
      </c>
      <c r="I2366" s="286" t="s">
        <v>1199</v>
      </c>
      <c r="J2366" s="286" t="s">
        <v>1312</v>
      </c>
      <c r="K2366" s="286" t="s">
        <v>2067</v>
      </c>
      <c r="L2366" s="286" t="s">
        <v>53</v>
      </c>
      <c r="M2366" s="286">
        <v>1</v>
      </c>
      <c r="N2366" s="287">
        <v>-639.83000000000004</v>
      </c>
      <c r="O2366" s="294">
        <f t="shared" si="36"/>
        <v>45626</v>
      </c>
      <c r="P2366" s="286" t="s">
        <v>58</v>
      </c>
    </row>
    <row r="2367" spans="1:16" hidden="1" x14ac:dyDescent="0.15">
      <c r="A2367" s="286">
        <v>848917</v>
      </c>
      <c r="B2367" s="288">
        <v>45607.660416666666</v>
      </c>
      <c r="C2367" s="286" t="s">
        <v>2100</v>
      </c>
      <c r="D2367" s="286" t="s">
        <v>1105</v>
      </c>
      <c r="E2367" s="286" t="s">
        <v>1106</v>
      </c>
      <c r="F2367" s="286" t="s">
        <v>2141</v>
      </c>
      <c r="G2367" s="286" t="s">
        <v>1073</v>
      </c>
      <c r="H2367" s="286" t="s">
        <v>1073</v>
      </c>
      <c r="I2367" s="286" t="s">
        <v>1199</v>
      </c>
      <c r="J2367" s="286" t="s">
        <v>1312</v>
      </c>
      <c r="K2367" s="286" t="s">
        <v>2069</v>
      </c>
      <c r="L2367" s="286" t="s">
        <v>53</v>
      </c>
      <c r="M2367" s="286">
        <v>1</v>
      </c>
      <c r="N2367" s="287">
        <v>-639.83000000000004</v>
      </c>
      <c r="O2367" s="294">
        <f t="shared" si="36"/>
        <v>45626</v>
      </c>
      <c r="P2367" s="286" t="s">
        <v>58</v>
      </c>
    </row>
    <row r="2368" spans="1:16" hidden="1" x14ac:dyDescent="0.15">
      <c r="A2368" s="286">
        <v>848917</v>
      </c>
      <c r="B2368" s="288">
        <v>45607.660416666666</v>
      </c>
      <c r="C2368" s="286" t="s">
        <v>2100</v>
      </c>
      <c r="D2368" s="286" t="s">
        <v>1105</v>
      </c>
      <c r="E2368" s="286" t="s">
        <v>1106</v>
      </c>
      <c r="F2368" s="286" t="s">
        <v>2141</v>
      </c>
      <c r="G2368" s="286" t="s">
        <v>1073</v>
      </c>
      <c r="H2368" s="286" t="s">
        <v>1073</v>
      </c>
      <c r="I2368" s="286" t="s">
        <v>1199</v>
      </c>
      <c r="J2368" s="286" t="s">
        <v>1312</v>
      </c>
      <c r="K2368" s="286" t="s">
        <v>2067</v>
      </c>
      <c r="L2368" s="286" t="s">
        <v>53</v>
      </c>
      <c r="M2368" s="286">
        <v>1</v>
      </c>
      <c r="N2368" s="287">
        <v>-639.83000000000004</v>
      </c>
      <c r="O2368" s="294">
        <f t="shared" si="36"/>
        <v>45626</v>
      </c>
      <c r="P2368" s="286" t="s">
        <v>58</v>
      </c>
    </row>
    <row r="2369" spans="1:16" hidden="1" x14ac:dyDescent="0.15">
      <c r="A2369" s="286">
        <v>874698</v>
      </c>
      <c r="B2369" s="288">
        <v>45628.357638888891</v>
      </c>
      <c r="C2369" s="286" t="s">
        <v>2098</v>
      </c>
      <c r="D2369" s="286" t="s">
        <v>1105</v>
      </c>
      <c r="E2369" s="286" t="s">
        <v>1106</v>
      </c>
      <c r="F2369" s="286" t="s">
        <v>2142</v>
      </c>
      <c r="G2369" s="286" t="s">
        <v>1073</v>
      </c>
      <c r="H2369" s="286" t="s">
        <v>1073</v>
      </c>
      <c r="I2369" s="286" t="s">
        <v>1199</v>
      </c>
      <c r="J2369" s="286" t="s">
        <v>1312</v>
      </c>
      <c r="K2369" s="286" t="s">
        <v>2069</v>
      </c>
      <c r="L2369" s="286" t="s">
        <v>53</v>
      </c>
      <c r="M2369" s="286">
        <v>1</v>
      </c>
      <c r="N2369" s="287">
        <v>-639.83000000000004</v>
      </c>
      <c r="O2369" s="294">
        <f t="shared" si="36"/>
        <v>45657</v>
      </c>
      <c r="P2369" s="286" t="s">
        <v>58</v>
      </c>
    </row>
    <row r="2370" spans="1:16" hidden="1" x14ac:dyDescent="0.15">
      <c r="A2370" s="286">
        <v>874698</v>
      </c>
      <c r="B2370" s="288">
        <v>45628.357638888891</v>
      </c>
      <c r="C2370" s="286" t="s">
        <v>2098</v>
      </c>
      <c r="D2370" s="286" t="s">
        <v>1105</v>
      </c>
      <c r="E2370" s="286" t="s">
        <v>1106</v>
      </c>
      <c r="F2370" s="286" t="s">
        <v>2142</v>
      </c>
      <c r="G2370" s="286" t="s">
        <v>1073</v>
      </c>
      <c r="H2370" s="286" t="s">
        <v>1073</v>
      </c>
      <c r="I2370" s="286" t="s">
        <v>1199</v>
      </c>
      <c r="J2370" s="286" t="s">
        <v>1312</v>
      </c>
      <c r="K2370" s="286" t="s">
        <v>2067</v>
      </c>
      <c r="L2370" s="286" t="s">
        <v>53</v>
      </c>
      <c r="M2370" s="286">
        <v>1</v>
      </c>
      <c r="N2370" s="287">
        <v>-639.83000000000004</v>
      </c>
      <c r="O2370" s="294">
        <f t="shared" si="36"/>
        <v>45657</v>
      </c>
      <c r="P2370" s="286" t="s">
        <v>58</v>
      </c>
    </row>
    <row r="2371" spans="1:16" hidden="1" x14ac:dyDescent="0.15">
      <c r="A2371" s="286">
        <v>668514</v>
      </c>
      <c r="B2371" s="288">
        <v>45490.529861111114</v>
      </c>
      <c r="C2371" s="286" t="s">
        <v>2111</v>
      </c>
      <c r="D2371" s="286" t="s">
        <v>1105</v>
      </c>
      <c r="E2371" s="286" t="s">
        <v>1106</v>
      </c>
      <c r="F2371" s="286" t="s">
        <v>2522</v>
      </c>
      <c r="G2371" s="286" t="s">
        <v>1022</v>
      </c>
      <c r="H2371" s="286" t="s">
        <v>1022</v>
      </c>
      <c r="I2371" s="286" t="s">
        <v>1228</v>
      </c>
      <c r="J2371" s="286" t="s">
        <v>1312</v>
      </c>
      <c r="K2371" s="286" t="s">
        <v>53</v>
      </c>
      <c r="L2371" s="286" t="s">
        <v>53</v>
      </c>
      <c r="M2371" s="286" t="s">
        <v>53</v>
      </c>
      <c r="N2371" s="287">
        <v>-693.7</v>
      </c>
      <c r="O2371" s="294">
        <f t="shared" si="36"/>
        <v>45504</v>
      </c>
      <c r="P2371" s="286" t="s">
        <v>58</v>
      </c>
    </row>
    <row r="2372" spans="1:16" hidden="1" x14ac:dyDescent="0.15">
      <c r="A2372" s="286">
        <v>697810</v>
      </c>
      <c r="B2372" s="288">
        <v>45510.366666666669</v>
      </c>
      <c r="C2372" s="286" t="s">
        <v>2102</v>
      </c>
      <c r="D2372" s="286" t="s">
        <v>1105</v>
      </c>
      <c r="E2372" s="286" t="s">
        <v>1106</v>
      </c>
      <c r="F2372" s="286" t="s">
        <v>2138</v>
      </c>
      <c r="G2372" s="286" t="s">
        <v>1022</v>
      </c>
      <c r="H2372" s="286" t="s">
        <v>1022</v>
      </c>
      <c r="I2372" s="286" t="s">
        <v>1228</v>
      </c>
      <c r="J2372" s="286" t="s">
        <v>1312</v>
      </c>
      <c r="K2372" s="286" t="s">
        <v>53</v>
      </c>
      <c r="L2372" s="286" t="s">
        <v>53</v>
      </c>
      <c r="M2372" s="286" t="s">
        <v>53</v>
      </c>
      <c r="N2372" s="287">
        <v>-693.7</v>
      </c>
      <c r="O2372" s="294">
        <f t="shared" ref="O2372:O2435" si="37">EOMONTH(B2372,0)</f>
        <v>45535</v>
      </c>
      <c r="P2372" s="286" t="s">
        <v>58</v>
      </c>
    </row>
    <row r="2373" spans="1:16" hidden="1" x14ac:dyDescent="0.15">
      <c r="A2373" s="286">
        <v>745911</v>
      </c>
      <c r="B2373" s="288">
        <v>45538.44027777778</v>
      </c>
      <c r="C2373" s="286" t="s">
        <v>2132</v>
      </c>
      <c r="D2373" s="286" t="s">
        <v>1105</v>
      </c>
      <c r="E2373" s="286" t="s">
        <v>1106</v>
      </c>
      <c r="F2373" s="286" t="s">
        <v>2139</v>
      </c>
      <c r="G2373" s="286" t="s">
        <v>1022</v>
      </c>
      <c r="H2373" s="286" t="s">
        <v>1022</v>
      </c>
      <c r="I2373" s="286" t="s">
        <v>1228</v>
      </c>
      <c r="J2373" s="286" t="s">
        <v>1312</v>
      </c>
      <c r="K2373" s="286" t="s">
        <v>53</v>
      </c>
      <c r="L2373" s="286" t="s">
        <v>53</v>
      </c>
      <c r="M2373" s="286" t="s">
        <v>53</v>
      </c>
      <c r="N2373" s="287">
        <v>-693.7</v>
      </c>
      <c r="O2373" s="294">
        <f t="shared" si="37"/>
        <v>45565</v>
      </c>
      <c r="P2373" s="286" t="s">
        <v>58</v>
      </c>
    </row>
    <row r="2374" spans="1:16" hidden="1" x14ac:dyDescent="0.15">
      <c r="A2374" s="286">
        <v>848817</v>
      </c>
      <c r="B2374" s="288">
        <v>45607.65902777778</v>
      </c>
      <c r="C2374" s="286" t="s">
        <v>2130</v>
      </c>
      <c r="D2374" s="286" t="s">
        <v>1105</v>
      </c>
      <c r="E2374" s="286" t="s">
        <v>1106</v>
      </c>
      <c r="F2374" s="286" t="s">
        <v>2140</v>
      </c>
      <c r="G2374" s="286" t="s">
        <v>1022</v>
      </c>
      <c r="H2374" s="286" t="s">
        <v>1022</v>
      </c>
      <c r="I2374" s="286" t="s">
        <v>1228</v>
      </c>
      <c r="J2374" s="286" t="s">
        <v>1312</v>
      </c>
      <c r="K2374" s="286" t="s">
        <v>53</v>
      </c>
      <c r="L2374" s="286" t="s">
        <v>53</v>
      </c>
      <c r="M2374" s="286" t="s">
        <v>53</v>
      </c>
      <c r="N2374" s="287">
        <v>-693.7</v>
      </c>
      <c r="O2374" s="294">
        <f t="shared" si="37"/>
        <v>45626</v>
      </c>
      <c r="P2374" s="286" t="s">
        <v>58</v>
      </c>
    </row>
    <row r="2375" spans="1:16" hidden="1" x14ac:dyDescent="0.15">
      <c r="A2375" s="286">
        <v>848917</v>
      </c>
      <c r="B2375" s="288">
        <v>45607.660416666666</v>
      </c>
      <c r="C2375" s="286" t="s">
        <v>2100</v>
      </c>
      <c r="D2375" s="286" t="s">
        <v>1105</v>
      </c>
      <c r="E2375" s="286" t="s">
        <v>1106</v>
      </c>
      <c r="F2375" s="286" t="s">
        <v>2141</v>
      </c>
      <c r="G2375" s="286" t="s">
        <v>1022</v>
      </c>
      <c r="H2375" s="286" t="s">
        <v>1022</v>
      </c>
      <c r="I2375" s="286" t="s">
        <v>1228</v>
      </c>
      <c r="J2375" s="286" t="s">
        <v>1312</v>
      </c>
      <c r="K2375" s="286" t="s">
        <v>53</v>
      </c>
      <c r="L2375" s="286" t="s">
        <v>53</v>
      </c>
      <c r="M2375" s="286" t="s">
        <v>53</v>
      </c>
      <c r="N2375" s="287">
        <v>-693.7</v>
      </c>
      <c r="O2375" s="294">
        <f t="shared" si="37"/>
        <v>45626</v>
      </c>
      <c r="P2375" s="286" t="s">
        <v>58</v>
      </c>
    </row>
    <row r="2376" spans="1:16" hidden="1" x14ac:dyDescent="0.15">
      <c r="A2376" s="286">
        <v>874698</v>
      </c>
      <c r="B2376" s="288">
        <v>45628.357638888891</v>
      </c>
      <c r="C2376" s="286" t="s">
        <v>2098</v>
      </c>
      <c r="D2376" s="286" t="s">
        <v>1105</v>
      </c>
      <c r="E2376" s="286" t="s">
        <v>1106</v>
      </c>
      <c r="F2376" s="286" t="s">
        <v>2142</v>
      </c>
      <c r="G2376" s="286" t="s">
        <v>1022</v>
      </c>
      <c r="H2376" s="286" t="s">
        <v>1022</v>
      </c>
      <c r="I2376" s="286" t="s">
        <v>1228</v>
      </c>
      <c r="J2376" s="286" t="s">
        <v>1312</v>
      </c>
      <c r="K2376" s="286" t="s">
        <v>53</v>
      </c>
      <c r="L2376" s="286" t="s">
        <v>53</v>
      </c>
      <c r="M2376" s="286" t="s">
        <v>53</v>
      </c>
      <c r="N2376" s="287">
        <v>-693.7</v>
      </c>
      <c r="O2376" s="294">
        <f t="shared" si="37"/>
        <v>45657</v>
      </c>
      <c r="P2376" s="286" t="s">
        <v>58</v>
      </c>
    </row>
    <row r="2377" spans="1:16" hidden="1" x14ac:dyDescent="0.15">
      <c r="A2377" s="286">
        <v>874698</v>
      </c>
      <c r="B2377" s="288">
        <v>45628.357638888891</v>
      </c>
      <c r="C2377" s="286" t="s">
        <v>2098</v>
      </c>
      <c r="D2377" s="286" t="s">
        <v>1105</v>
      </c>
      <c r="E2377" s="286" t="s">
        <v>1106</v>
      </c>
      <c r="F2377" s="286" t="s">
        <v>2142</v>
      </c>
      <c r="G2377" s="286" t="s">
        <v>1017</v>
      </c>
      <c r="H2377" s="286" t="s">
        <v>1017</v>
      </c>
      <c r="I2377" s="286" t="s">
        <v>1199</v>
      </c>
      <c r="J2377" s="286" t="s">
        <v>1312</v>
      </c>
      <c r="K2377" s="286" t="s">
        <v>2067</v>
      </c>
      <c r="L2377" s="286" t="s">
        <v>53</v>
      </c>
      <c r="M2377" s="286">
        <v>1</v>
      </c>
      <c r="N2377" s="287">
        <v>-701.37</v>
      </c>
      <c r="O2377" s="294">
        <f t="shared" si="37"/>
        <v>45657</v>
      </c>
      <c r="P2377" s="286" t="s">
        <v>58</v>
      </c>
    </row>
    <row r="2378" spans="1:16" hidden="1" x14ac:dyDescent="0.15">
      <c r="A2378" s="286">
        <v>499579</v>
      </c>
      <c r="B2378" s="288">
        <v>45355.714583333334</v>
      </c>
      <c r="C2378" s="286" t="s">
        <v>2125</v>
      </c>
      <c r="D2378" s="286" t="s">
        <v>1105</v>
      </c>
      <c r="E2378" s="286" t="s">
        <v>1106</v>
      </c>
      <c r="F2378" s="286" t="s">
        <v>2505</v>
      </c>
      <c r="G2378" s="286" t="s">
        <v>1010</v>
      </c>
      <c r="H2378" s="286" t="s">
        <v>1010</v>
      </c>
      <c r="I2378" s="286" t="s">
        <v>1199</v>
      </c>
      <c r="J2378" s="286" t="s">
        <v>53</v>
      </c>
      <c r="K2378" s="286" t="s">
        <v>53</v>
      </c>
      <c r="L2378" s="286" t="s">
        <v>53</v>
      </c>
      <c r="M2378" s="286" t="s">
        <v>53</v>
      </c>
      <c r="N2378" s="287">
        <v>-714.18</v>
      </c>
      <c r="O2378" s="294">
        <f t="shared" si="37"/>
        <v>45382</v>
      </c>
      <c r="P2378" s="286" t="s">
        <v>58</v>
      </c>
    </row>
    <row r="2379" spans="1:16" hidden="1" x14ac:dyDescent="0.15">
      <c r="A2379" s="286">
        <v>520079</v>
      </c>
      <c r="B2379" s="288">
        <v>45372.396527777775</v>
      </c>
      <c r="C2379" s="286" t="s">
        <v>2113</v>
      </c>
      <c r="D2379" s="286" t="s">
        <v>1105</v>
      </c>
      <c r="E2379" s="286" t="s">
        <v>1106</v>
      </c>
      <c r="F2379" s="286" t="s">
        <v>2506</v>
      </c>
      <c r="G2379" s="286" t="s">
        <v>1010</v>
      </c>
      <c r="H2379" s="286" t="s">
        <v>1010</v>
      </c>
      <c r="I2379" s="286" t="s">
        <v>1199</v>
      </c>
      <c r="J2379" s="286" t="s">
        <v>1312</v>
      </c>
      <c r="K2379" s="286" t="s">
        <v>53</v>
      </c>
      <c r="L2379" s="286" t="s">
        <v>53</v>
      </c>
      <c r="M2379" s="286" t="s">
        <v>53</v>
      </c>
      <c r="N2379" s="287">
        <v>-714.18</v>
      </c>
      <c r="O2379" s="294">
        <f t="shared" si="37"/>
        <v>45382</v>
      </c>
      <c r="P2379" s="286" t="s">
        <v>58</v>
      </c>
    </row>
    <row r="2380" spans="1:16" hidden="1" x14ac:dyDescent="0.15">
      <c r="A2380" s="286">
        <v>520080</v>
      </c>
      <c r="B2380" s="288">
        <v>45372.396527777775</v>
      </c>
      <c r="C2380" s="286" t="s">
        <v>2109</v>
      </c>
      <c r="D2380" s="286" t="s">
        <v>1105</v>
      </c>
      <c r="E2380" s="286" t="s">
        <v>1106</v>
      </c>
      <c r="F2380" s="286" t="s">
        <v>2507</v>
      </c>
      <c r="G2380" s="286" t="s">
        <v>1010</v>
      </c>
      <c r="H2380" s="286" t="s">
        <v>1010</v>
      </c>
      <c r="I2380" s="286" t="s">
        <v>1199</v>
      </c>
      <c r="J2380" s="286" t="s">
        <v>1312</v>
      </c>
      <c r="K2380" s="286" t="s">
        <v>53</v>
      </c>
      <c r="L2380" s="286" t="s">
        <v>53</v>
      </c>
      <c r="M2380" s="286" t="s">
        <v>53</v>
      </c>
      <c r="N2380" s="287">
        <v>-714.18</v>
      </c>
      <c r="O2380" s="294">
        <f t="shared" si="37"/>
        <v>45382</v>
      </c>
      <c r="P2380" s="286" t="s">
        <v>58</v>
      </c>
    </row>
    <row r="2381" spans="1:16" hidden="1" x14ac:dyDescent="0.15">
      <c r="A2381" s="286">
        <v>580947</v>
      </c>
      <c r="B2381" s="288">
        <v>45427.67291666667</v>
      </c>
      <c r="C2381" s="286" t="s">
        <v>2096</v>
      </c>
      <c r="D2381" s="286" t="s">
        <v>1105</v>
      </c>
      <c r="E2381" s="286" t="s">
        <v>1106</v>
      </c>
      <c r="F2381" s="286" t="s">
        <v>2381</v>
      </c>
      <c r="G2381" s="286" t="s">
        <v>1010</v>
      </c>
      <c r="H2381" s="286" t="s">
        <v>1010</v>
      </c>
      <c r="I2381" s="286" t="s">
        <v>1199</v>
      </c>
      <c r="J2381" s="286" t="s">
        <v>1312</v>
      </c>
      <c r="K2381" s="286" t="s">
        <v>53</v>
      </c>
      <c r="L2381" s="286" t="s">
        <v>53</v>
      </c>
      <c r="M2381" s="286" t="s">
        <v>53</v>
      </c>
      <c r="N2381" s="287">
        <v>-714.18</v>
      </c>
      <c r="O2381" s="294">
        <f t="shared" si="37"/>
        <v>45443</v>
      </c>
      <c r="P2381" s="286" t="s">
        <v>58</v>
      </c>
    </row>
    <row r="2382" spans="1:16" hidden="1" x14ac:dyDescent="0.15">
      <c r="A2382" s="286">
        <v>618175</v>
      </c>
      <c r="B2382" s="288">
        <v>45457.602083333331</v>
      </c>
      <c r="C2382" s="286" t="s">
        <v>2116</v>
      </c>
      <c r="D2382" s="286" t="s">
        <v>1105</v>
      </c>
      <c r="E2382" s="286" t="s">
        <v>1106</v>
      </c>
      <c r="F2382" s="286" t="s">
        <v>2158</v>
      </c>
      <c r="G2382" s="286" t="s">
        <v>1010</v>
      </c>
      <c r="H2382" s="286" t="s">
        <v>1010</v>
      </c>
      <c r="I2382" s="286" t="s">
        <v>1199</v>
      </c>
      <c r="J2382" s="286" t="s">
        <v>1312</v>
      </c>
      <c r="K2382" s="286" t="s">
        <v>53</v>
      </c>
      <c r="L2382" s="286" t="s">
        <v>53</v>
      </c>
      <c r="M2382" s="286" t="s">
        <v>53</v>
      </c>
      <c r="N2382" s="287">
        <v>-714.18</v>
      </c>
      <c r="O2382" s="294">
        <f t="shared" si="37"/>
        <v>45473</v>
      </c>
      <c r="P2382" s="286" t="s">
        <v>58</v>
      </c>
    </row>
    <row r="2383" spans="1:16" hidden="1" x14ac:dyDescent="0.15">
      <c r="A2383" s="286">
        <v>720637</v>
      </c>
      <c r="B2383" s="288">
        <v>45523.415277777778</v>
      </c>
      <c r="C2383" s="286" t="s">
        <v>2102</v>
      </c>
      <c r="D2383" s="286" t="s">
        <v>1105</v>
      </c>
      <c r="E2383" s="286" t="s">
        <v>1106</v>
      </c>
      <c r="F2383" s="286" t="s">
        <v>2313</v>
      </c>
      <c r="G2383" s="286" t="s">
        <v>1028</v>
      </c>
      <c r="H2383" s="286" t="s">
        <v>1028</v>
      </c>
      <c r="I2383" s="286" t="s">
        <v>1129</v>
      </c>
      <c r="J2383" s="286" t="s">
        <v>53</v>
      </c>
      <c r="K2383" s="286" t="s">
        <v>2495</v>
      </c>
      <c r="L2383" s="286" t="s">
        <v>2496</v>
      </c>
      <c r="M2383" s="286">
        <v>1</v>
      </c>
      <c r="N2383" s="287">
        <v>-734.43</v>
      </c>
      <c r="O2383" s="294">
        <f t="shared" si="37"/>
        <v>45535</v>
      </c>
      <c r="P2383" s="286" t="s">
        <v>164</v>
      </c>
    </row>
    <row r="2384" spans="1:16" hidden="1" x14ac:dyDescent="0.15">
      <c r="A2384" s="286">
        <v>614316</v>
      </c>
      <c r="B2384" s="288">
        <v>45455.717361111114</v>
      </c>
      <c r="C2384" s="286" t="s">
        <v>2092</v>
      </c>
      <c r="D2384" s="286" t="s">
        <v>1105</v>
      </c>
      <c r="E2384" s="286" t="s">
        <v>1106</v>
      </c>
      <c r="F2384" s="286" t="s">
        <v>2167</v>
      </c>
      <c r="G2384" s="286" t="s">
        <v>1061</v>
      </c>
      <c r="H2384" s="286" t="s">
        <v>1061</v>
      </c>
      <c r="I2384" s="286" t="s">
        <v>1228</v>
      </c>
      <c r="J2384" s="286" t="s">
        <v>1312</v>
      </c>
      <c r="K2384" s="286" t="s">
        <v>2076</v>
      </c>
      <c r="L2384" s="286" t="s">
        <v>53</v>
      </c>
      <c r="M2384" s="286">
        <v>1</v>
      </c>
      <c r="N2384" s="287">
        <v>-736.21</v>
      </c>
      <c r="O2384" s="294">
        <f t="shared" si="37"/>
        <v>45473</v>
      </c>
      <c r="P2384" s="286" t="s">
        <v>58</v>
      </c>
    </row>
    <row r="2385" spans="1:16" hidden="1" x14ac:dyDescent="0.15">
      <c r="A2385" s="286">
        <v>438112</v>
      </c>
      <c r="B2385" s="288">
        <v>45293.53402777778</v>
      </c>
      <c r="C2385" s="286" t="s">
        <v>2125</v>
      </c>
      <c r="D2385" s="286" t="s">
        <v>1105</v>
      </c>
      <c r="E2385" s="286" t="s">
        <v>1106</v>
      </c>
      <c r="F2385" s="286" t="s">
        <v>2152</v>
      </c>
      <c r="G2385" s="286" t="s">
        <v>1030</v>
      </c>
      <c r="H2385" s="286" t="s">
        <v>1030</v>
      </c>
      <c r="I2385" s="286" t="s">
        <v>1199</v>
      </c>
      <c r="J2385" s="286" t="s">
        <v>1312</v>
      </c>
      <c r="K2385" s="286" t="s">
        <v>2076</v>
      </c>
      <c r="L2385" s="286" t="s">
        <v>53</v>
      </c>
      <c r="M2385" s="286">
        <v>1</v>
      </c>
      <c r="N2385" s="287">
        <v>-769.4</v>
      </c>
      <c r="O2385" s="294">
        <f t="shared" si="37"/>
        <v>45322</v>
      </c>
      <c r="P2385" s="286" t="s">
        <v>58</v>
      </c>
    </row>
    <row r="2386" spans="1:16" hidden="1" x14ac:dyDescent="0.15">
      <c r="A2386" s="286">
        <v>784829</v>
      </c>
      <c r="B2386" s="288">
        <v>45559.570833333331</v>
      </c>
      <c r="C2386" s="286" t="s">
        <v>2132</v>
      </c>
      <c r="D2386" s="286" t="s">
        <v>1105</v>
      </c>
      <c r="E2386" s="286" t="s">
        <v>1106</v>
      </c>
      <c r="F2386" s="286" t="s">
        <v>2523</v>
      </c>
      <c r="G2386" s="286" t="s">
        <v>1033</v>
      </c>
      <c r="H2386" s="286" t="s">
        <v>1033</v>
      </c>
      <c r="I2386" s="286" t="s">
        <v>1228</v>
      </c>
      <c r="J2386" s="286" t="s">
        <v>1312</v>
      </c>
      <c r="K2386" s="286" t="s">
        <v>53</v>
      </c>
      <c r="L2386" s="286" t="s">
        <v>53</v>
      </c>
      <c r="M2386" s="286" t="s">
        <v>53</v>
      </c>
      <c r="N2386" s="287">
        <v>-799.77</v>
      </c>
      <c r="O2386" s="294">
        <f t="shared" si="37"/>
        <v>45565</v>
      </c>
      <c r="P2386" s="286" t="s">
        <v>58</v>
      </c>
    </row>
    <row r="2387" spans="1:16" hidden="1" x14ac:dyDescent="0.15">
      <c r="A2387" s="286">
        <v>455870</v>
      </c>
      <c r="B2387" s="288">
        <v>45310.583333333336</v>
      </c>
      <c r="C2387" s="286" t="s">
        <v>2125</v>
      </c>
      <c r="D2387" s="286" t="s">
        <v>1105</v>
      </c>
      <c r="E2387" s="286" t="s">
        <v>1106</v>
      </c>
      <c r="F2387" s="286" t="s">
        <v>2280</v>
      </c>
      <c r="G2387" s="286" t="s">
        <v>1766</v>
      </c>
      <c r="H2387" s="286" t="s">
        <v>1766</v>
      </c>
      <c r="I2387" s="286" t="s">
        <v>1199</v>
      </c>
      <c r="J2387" s="286" t="s">
        <v>53</v>
      </c>
      <c r="K2387" s="286" t="s">
        <v>53</v>
      </c>
      <c r="L2387" s="286" t="s">
        <v>53</v>
      </c>
      <c r="M2387" s="286" t="s">
        <v>53</v>
      </c>
      <c r="N2387" s="287">
        <v>-808.87</v>
      </c>
      <c r="O2387" s="294">
        <f t="shared" si="37"/>
        <v>45322</v>
      </c>
      <c r="P2387" s="286" t="s">
        <v>58</v>
      </c>
    </row>
    <row r="2388" spans="1:16" hidden="1" x14ac:dyDescent="0.15">
      <c r="A2388" s="286">
        <v>472168</v>
      </c>
      <c r="B2388" s="288">
        <v>45331.416666666664</v>
      </c>
      <c r="C2388" s="286" t="s">
        <v>2113</v>
      </c>
      <c r="D2388" s="286" t="s">
        <v>1105</v>
      </c>
      <c r="E2388" s="286" t="s">
        <v>1106</v>
      </c>
      <c r="F2388" s="286" t="s">
        <v>2153</v>
      </c>
      <c r="G2388" s="286" t="s">
        <v>1766</v>
      </c>
      <c r="H2388" s="286" t="s">
        <v>1766</v>
      </c>
      <c r="I2388" s="286" t="s">
        <v>1199</v>
      </c>
      <c r="J2388" s="286" t="s">
        <v>53</v>
      </c>
      <c r="K2388" s="286" t="s">
        <v>53</v>
      </c>
      <c r="L2388" s="286" t="s">
        <v>53</v>
      </c>
      <c r="M2388" s="286" t="s">
        <v>53</v>
      </c>
      <c r="N2388" s="287">
        <v>-808.87</v>
      </c>
      <c r="O2388" s="294">
        <f t="shared" si="37"/>
        <v>45351</v>
      </c>
      <c r="P2388" s="286" t="s">
        <v>58</v>
      </c>
    </row>
    <row r="2389" spans="1:16" hidden="1" x14ac:dyDescent="0.15">
      <c r="A2389" s="286">
        <v>504817</v>
      </c>
      <c r="B2389" s="288">
        <v>45359.645138888889</v>
      </c>
      <c r="C2389" s="286" t="s">
        <v>2109</v>
      </c>
      <c r="D2389" s="286" t="s">
        <v>1105</v>
      </c>
      <c r="E2389" s="286" t="s">
        <v>1106</v>
      </c>
      <c r="F2389" s="286" t="s">
        <v>2154</v>
      </c>
      <c r="G2389" s="286" t="s">
        <v>1766</v>
      </c>
      <c r="H2389" s="286" t="s">
        <v>1766</v>
      </c>
      <c r="I2389" s="286" t="s">
        <v>1199</v>
      </c>
      <c r="J2389" s="286" t="s">
        <v>53</v>
      </c>
      <c r="K2389" s="286" t="s">
        <v>53</v>
      </c>
      <c r="L2389" s="286" t="s">
        <v>53</v>
      </c>
      <c r="M2389" s="286" t="s">
        <v>53</v>
      </c>
      <c r="N2389" s="287">
        <v>-808.87</v>
      </c>
      <c r="O2389" s="294">
        <f t="shared" si="37"/>
        <v>45382</v>
      </c>
      <c r="P2389" s="286" t="s">
        <v>58</v>
      </c>
    </row>
    <row r="2390" spans="1:16" hidden="1" x14ac:dyDescent="0.15">
      <c r="A2390" s="286">
        <v>534207</v>
      </c>
      <c r="B2390" s="288">
        <v>45385.750694444447</v>
      </c>
      <c r="C2390" s="286" t="s">
        <v>2096</v>
      </c>
      <c r="D2390" s="286" t="s">
        <v>1105</v>
      </c>
      <c r="E2390" s="286" t="s">
        <v>1106</v>
      </c>
      <c r="F2390" s="286" t="s">
        <v>2155</v>
      </c>
      <c r="G2390" s="286" t="s">
        <v>1766</v>
      </c>
      <c r="H2390" s="286" t="s">
        <v>1766</v>
      </c>
      <c r="I2390" s="286" t="s">
        <v>1199</v>
      </c>
      <c r="J2390" s="286" t="s">
        <v>53</v>
      </c>
      <c r="K2390" s="286" t="s">
        <v>53</v>
      </c>
      <c r="L2390" s="286" t="s">
        <v>53</v>
      </c>
      <c r="M2390" s="286" t="s">
        <v>53</v>
      </c>
      <c r="N2390" s="287">
        <v>-808.87</v>
      </c>
      <c r="O2390" s="294">
        <f t="shared" si="37"/>
        <v>45412</v>
      </c>
      <c r="P2390" s="286" t="s">
        <v>58</v>
      </c>
    </row>
    <row r="2391" spans="1:16" hidden="1" x14ac:dyDescent="0.15">
      <c r="A2391" s="286">
        <v>614216</v>
      </c>
      <c r="B2391" s="288">
        <v>45455.716666666667</v>
      </c>
      <c r="C2391" s="286" t="s">
        <v>2116</v>
      </c>
      <c r="D2391" s="286" t="s">
        <v>1105</v>
      </c>
      <c r="E2391" s="286" t="s">
        <v>1106</v>
      </c>
      <c r="F2391" s="286" t="s">
        <v>2156</v>
      </c>
      <c r="G2391" s="286" t="s">
        <v>1766</v>
      </c>
      <c r="H2391" s="286" t="s">
        <v>1766</v>
      </c>
      <c r="I2391" s="286" t="s">
        <v>1199</v>
      </c>
      <c r="J2391" s="286" t="s">
        <v>53</v>
      </c>
      <c r="K2391" s="286" t="s">
        <v>53</v>
      </c>
      <c r="L2391" s="286" t="s">
        <v>53</v>
      </c>
      <c r="M2391" s="286" t="s">
        <v>53</v>
      </c>
      <c r="N2391" s="287">
        <v>-808.87</v>
      </c>
      <c r="O2391" s="294">
        <f t="shared" si="37"/>
        <v>45473</v>
      </c>
      <c r="P2391" s="286" t="s">
        <v>58</v>
      </c>
    </row>
    <row r="2392" spans="1:16" hidden="1" x14ac:dyDescent="0.15">
      <c r="A2392" s="286">
        <v>614316</v>
      </c>
      <c r="B2392" s="288">
        <v>45455.717361111114</v>
      </c>
      <c r="C2392" s="286" t="s">
        <v>2092</v>
      </c>
      <c r="D2392" s="286" t="s">
        <v>1105</v>
      </c>
      <c r="E2392" s="286" t="s">
        <v>1106</v>
      </c>
      <c r="F2392" s="286" t="s">
        <v>2167</v>
      </c>
      <c r="G2392" s="286" t="s">
        <v>1766</v>
      </c>
      <c r="H2392" s="286" t="s">
        <v>1766</v>
      </c>
      <c r="I2392" s="286" t="s">
        <v>1199</v>
      </c>
      <c r="J2392" s="286" t="s">
        <v>53</v>
      </c>
      <c r="K2392" s="286" t="s">
        <v>53</v>
      </c>
      <c r="L2392" s="286" t="s">
        <v>53</v>
      </c>
      <c r="M2392" s="286" t="s">
        <v>53</v>
      </c>
      <c r="N2392" s="287">
        <v>-808.87</v>
      </c>
      <c r="O2392" s="294">
        <f t="shared" si="37"/>
        <v>45473</v>
      </c>
      <c r="P2392" s="286" t="s">
        <v>58</v>
      </c>
    </row>
    <row r="2393" spans="1:16" hidden="1" x14ac:dyDescent="0.15">
      <c r="A2393" s="286">
        <v>646075</v>
      </c>
      <c r="B2393" s="288">
        <v>45474.519444444442</v>
      </c>
      <c r="C2393" s="286" t="s">
        <v>2111</v>
      </c>
      <c r="D2393" s="286" t="s">
        <v>1105</v>
      </c>
      <c r="E2393" s="286" t="s">
        <v>1106</v>
      </c>
      <c r="F2393" s="286" t="s">
        <v>2137</v>
      </c>
      <c r="G2393" s="286" t="s">
        <v>1766</v>
      </c>
      <c r="H2393" s="286" t="s">
        <v>1766</v>
      </c>
      <c r="I2393" s="286" t="s">
        <v>1199</v>
      </c>
      <c r="J2393" s="286" t="s">
        <v>53</v>
      </c>
      <c r="K2393" s="286" t="s">
        <v>53</v>
      </c>
      <c r="L2393" s="286" t="s">
        <v>53</v>
      </c>
      <c r="M2393" s="286" t="s">
        <v>53</v>
      </c>
      <c r="N2393" s="287">
        <v>-808.87</v>
      </c>
      <c r="O2393" s="294">
        <f t="shared" si="37"/>
        <v>45504</v>
      </c>
      <c r="P2393" s="286" t="s">
        <v>58</v>
      </c>
    </row>
    <row r="2394" spans="1:16" hidden="1" x14ac:dyDescent="0.15">
      <c r="A2394" s="286">
        <v>697810</v>
      </c>
      <c r="B2394" s="288">
        <v>45510.366666666669</v>
      </c>
      <c r="C2394" s="286" t="s">
        <v>2102</v>
      </c>
      <c r="D2394" s="286" t="s">
        <v>1105</v>
      </c>
      <c r="E2394" s="286" t="s">
        <v>1106</v>
      </c>
      <c r="F2394" s="286" t="s">
        <v>2138</v>
      </c>
      <c r="G2394" s="286" t="s">
        <v>1766</v>
      </c>
      <c r="H2394" s="286" t="s">
        <v>1766</v>
      </c>
      <c r="I2394" s="286" t="s">
        <v>1199</v>
      </c>
      <c r="J2394" s="286" t="s">
        <v>53</v>
      </c>
      <c r="K2394" s="286" t="s">
        <v>53</v>
      </c>
      <c r="L2394" s="286" t="s">
        <v>53</v>
      </c>
      <c r="M2394" s="286" t="s">
        <v>53</v>
      </c>
      <c r="N2394" s="287">
        <v>-808.89</v>
      </c>
      <c r="O2394" s="294">
        <f t="shared" si="37"/>
        <v>45535</v>
      </c>
      <c r="P2394" s="286" t="s">
        <v>58</v>
      </c>
    </row>
    <row r="2395" spans="1:16" hidden="1" x14ac:dyDescent="0.15">
      <c r="A2395" s="286">
        <v>848817</v>
      </c>
      <c r="B2395" s="288">
        <v>45607.65902777778</v>
      </c>
      <c r="C2395" s="286" t="s">
        <v>2130</v>
      </c>
      <c r="D2395" s="286" t="s">
        <v>1105</v>
      </c>
      <c r="E2395" s="286" t="s">
        <v>1106</v>
      </c>
      <c r="F2395" s="286" t="s">
        <v>2140</v>
      </c>
      <c r="G2395" s="286" t="s">
        <v>1010</v>
      </c>
      <c r="H2395" s="286" t="s">
        <v>1010</v>
      </c>
      <c r="I2395" s="286" t="s">
        <v>1199</v>
      </c>
      <c r="J2395" s="286" t="s">
        <v>1312</v>
      </c>
      <c r="K2395" s="286" t="s">
        <v>2070</v>
      </c>
      <c r="L2395" s="286" t="s">
        <v>53</v>
      </c>
      <c r="M2395" s="286">
        <v>1</v>
      </c>
      <c r="N2395" s="287">
        <v>-825.38</v>
      </c>
      <c r="O2395" s="294">
        <f t="shared" si="37"/>
        <v>45626</v>
      </c>
      <c r="P2395" s="286" t="s">
        <v>58</v>
      </c>
    </row>
    <row r="2396" spans="1:16" hidden="1" x14ac:dyDescent="0.15">
      <c r="A2396" s="286">
        <v>697810</v>
      </c>
      <c r="B2396" s="288">
        <v>45510.366666666669</v>
      </c>
      <c r="C2396" s="286" t="s">
        <v>2102</v>
      </c>
      <c r="D2396" s="286" t="s">
        <v>1105</v>
      </c>
      <c r="E2396" s="286" t="s">
        <v>1106</v>
      </c>
      <c r="F2396" s="286" t="s">
        <v>2138</v>
      </c>
      <c r="G2396" s="286" t="s">
        <v>1856</v>
      </c>
      <c r="H2396" s="286" t="s">
        <v>1856</v>
      </c>
      <c r="I2396" s="286" t="s">
        <v>1199</v>
      </c>
      <c r="J2396" s="286" t="s">
        <v>1312</v>
      </c>
      <c r="K2396" s="286" t="s">
        <v>2068</v>
      </c>
      <c r="L2396" s="286" t="s">
        <v>53</v>
      </c>
      <c r="M2396" s="286">
        <v>-1</v>
      </c>
      <c r="N2396" s="287">
        <v>-831.34</v>
      </c>
      <c r="O2396" s="294">
        <f t="shared" si="37"/>
        <v>45535</v>
      </c>
      <c r="P2396" s="286" t="s">
        <v>58</v>
      </c>
    </row>
    <row r="2397" spans="1:16" hidden="1" x14ac:dyDescent="0.15">
      <c r="A2397" s="286">
        <v>745911</v>
      </c>
      <c r="B2397" s="288">
        <v>45538.44027777778</v>
      </c>
      <c r="C2397" s="286" t="s">
        <v>2132</v>
      </c>
      <c r="D2397" s="286" t="s">
        <v>1105</v>
      </c>
      <c r="E2397" s="286" t="s">
        <v>1106</v>
      </c>
      <c r="F2397" s="286" t="s">
        <v>2139</v>
      </c>
      <c r="G2397" s="286" t="s">
        <v>1856</v>
      </c>
      <c r="H2397" s="286" t="s">
        <v>1856</v>
      </c>
      <c r="I2397" s="286" t="s">
        <v>1199</v>
      </c>
      <c r="J2397" s="286" t="s">
        <v>1312</v>
      </c>
      <c r="K2397" s="286" t="s">
        <v>2068</v>
      </c>
      <c r="L2397" s="286" t="s">
        <v>53</v>
      </c>
      <c r="M2397" s="286">
        <v>-1</v>
      </c>
      <c r="N2397" s="287">
        <v>-831.34</v>
      </c>
      <c r="O2397" s="294">
        <f t="shared" si="37"/>
        <v>45565</v>
      </c>
      <c r="P2397" s="286" t="s">
        <v>58</v>
      </c>
    </row>
    <row r="2398" spans="1:16" hidden="1" x14ac:dyDescent="0.15">
      <c r="A2398" s="286">
        <v>848817</v>
      </c>
      <c r="B2398" s="288">
        <v>45607.65902777778</v>
      </c>
      <c r="C2398" s="286" t="s">
        <v>2130</v>
      </c>
      <c r="D2398" s="286" t="s">
        <v>1105</v>
      </c>
      <c r="E2398" s="286" t="s">
        <v>1106</v>
      </c>
      <c r="F2398" s="286" t="s">
        <v>2140</v>
      </c>
      <c r="G2398" s="286" t="s">
        <v>1856</v>
      </c>
      <c r="H2398" s="286" t="s">
        <v>1856</v>
      </c>
      <c r="I2398" s="286" t="s">
        <v>1199</v>
      </c>
      <c r="J2398" s="286" t="s">
        <v>1312</v>
      </c>
      <c r="K2398" s="286" t="s">
        <v>2068</v>
      </c>
      <c r="L2398" s="286" t="s">
        <v>53</v>
      </c>
      <c r="M2398" s="286">
        <v>-1</v>
      </c>
      <c r="N2398" s="287">
        <v>-831.34</v>
      </c>
      <c r="O2398" s="294">
        <f t="shared" si="37"/>
        <v>45626</v>
      </c>
      <c r="P2398" s="286" t="s">
        <v>58</v>
      </c>
    </row>
    <row r="2399" spans="1:16" hidden="1" x14ac:dyDescent="0.15">
      <c r="A2399" s="286">
        <v>848917</v>
      </c>
      <c r="B2399" s="288">
        <v>45607.660416666666</v>
      </c>
      <c r="C2399" s="286" t="s">
        <v>2100</v>
      </c>
      <c r="D2399" s="286" t="s">
        <v>1105</v>
      </c>
      <c r="E2399" s="286" t="s">
        <v>1106</v>
      </c>
      <c r="F2399" s="286" t="s">
        <v>2141</v>
      </c>
      <c r="G2399" s="286" t="s">
        <v>1856</v>
      </c>
      <c r="H2399" s="286" t="s">
        <v>1856</v>
      </c>
      <c r="I2399" s="286" t="s">
        <v>1199</v>
      </c>
      <c r="J2399" s="286" t="s">
        <v>1312</v>
      </c>
      <c r="K2399" s="286" t="s">
        <v>2068</v>
      </c>
      <c r="L2399" s="286" t="s">
        <v>53</v>
      </c>
      <c r="M2399" s="286">
        <v>-1</v>
      </c>
      <c r="N2399" s="287">
        <v>-831.34</v>
      </c>
      <c r="O2399" s="294">
        <f t="shared" si="37"/>
        <v>45626</v>
      </c>
      <c r="P2399" s="286" t="s">
        <v>58</v>
      </c>
    </row>
    <row r="2400" spans="1:16" hidden="1" x14ac:dyDescent="0.15">
      <c r="A2400" s="286">
        <v>874698</v>
      </c>
      <c r="B2400" s="288">
        <v>45628.357638888891</v>
      </c>
      <c r="C2400" s="286" t="s">
        <v>2098</v>
      </c>
      <c r="D2400" s="286" t="s">
        <v>1105</v>
      </c>
      <c r="E2400" s="286" t="s">
        <v>1106</v>
      </c>
      <c r="F2400" s="286" t="s">
        <v>2142</v>
      </c>
      <c r="G2400" s="286" t="s">
        <v>1856</v>
      </c>
      <c r="H2400" s="286" t="s">
        <v>1856</v>
      </c>
      <c r="I2400" s="286" t="s">
        <v>1199</v>
      </c>
      <c r="J2400" s="286" t="s">
        <v>1312</v>
      </c>
      <c r="K2400" s="286" t="s">
        <v>2068</v>
      </c>
      <c r="L2400" s="286" t="s">
        <v>53</v>
      </c>
      <c r="M2400" s="286">
        <v>-1</v>
      </c>
      <c r="N2400" s="287">
        <v>-831.34</v>
      </c>
      <c r="O2400" s="294">
        <f t="shared" si="37"/>
        <v>45657</v>
      </c>
      <c r="P2400" s="286" t="s">
        <v>58</v>
      </c>
    </row>
    <row r="2401" spans="1:16" hidden="1" x14ac:dyDescent="0.15">
      <c r="A2401" s="286">
        <v>745911</v>
      </c>
      <c r="B2401" s="288">
        <v>45538.44027777778</v>
      </c>
      <c r="C2401" s="286" t="s">
        <v>2132</v>
      </c>
      <c r="D2401" s="286" t="s">
        <v>1105</v>
      </c>
      <c r="E2401" s="286" t="s">
        <v>1106</v>
      </c>
      <c r="F2401" s="286" t="s">
        <v>2139</v>
      </c>
      <c r="G2401" s="286" t="s">
        <v>1002</v>
      </c>
      <c r="H2401" s="286" t="s">
        <v>1002</v>
      </c>
      <c r="I2401" s="286" t="s">
        <v>1199</v>
      </c>
      <c r="J2401" s="286" t="s">
        <v>1312</v>
      </c>
      <c r="K2401" s="286" t="s">
        <v>2447</v>
      </c>
      <c r="L2401" s="286" t="s">
        <v>53</v>
      </c>
      <c r="M2401" s="286">
        <v>1</v>
      </c>
      <c r="N2401" s="287">
        <v>-891.03</v>
      </c>
      <c r="O2401" s="294">
        <f t="shared" si="37"/>
        <v>45565</v>
      </c>
      <c r="P2401" s="286" t="s">
        <v>58</v>
      </c>
    </row>
    <row r="2402" spans="1:16" hidden="1" x14ac:dyDescent="0.15">
      <c r="A2402" s="286">
        <v>474038</v>
      </c>
      <c r="B2402" s="288">
        <v>45334.591666666667</v>
      </c>
      <c r="C2402" s="286" t="s">
        <v>2113</v>
      </c>
      <c r="D2402" s="286" t="s">
        <v>1105</v>
      </c>
      <c r="E2402" s="286" t="s">
        <v>1106</v>
      </c>
      <c r="F2402" s="286" t="s">
        <v>2334</v>
      </c>
      <c r="G2402" s="286" t="s">
        <v>1089</v>
      </c>
      <c r="H2402" s="286" t="s">
        <v>1089</v>
      </c>
      <c r="I2402" s="286" t="s">
        <v>1228</v>
      </c>
      <c r="J2402" s="286" t="s">
        <v>1312</v>
      </c>
      <c r="K2402" s="286" t="s">
        <v>1805</v>
      </c>
      <c r="L2402" s="286" t="s">
        <v>672</v>
      </c>
      <c r="M2402" s="286">
        <v>0</v>
      </c>
      <c r="N2402" s="287">
        <v>-895.1</v>
      </c>
      <c r="O2402" s="294">
        <f t="shared" si="37"/>
        <v>45351</v>
      </c>
      <c r="P2402" s="286" t="s">
        <v>58</v>
      </c>
    </row>
    <row r="2403" spans="1:16" hidden="1" x14ac:dyDescent="0.15">
      <c r="A2403" s="286">
        <v>520079</v>
      </c>
      <c r="B2403" s="288">
        <v>45372.396527777775</v>
      </c>
      <c r="C2403" s="286" t="s">
        <v>2113</v>
      </c>
      <c r="D2403" s="286" t="s">
        <v>1105</v>
      </c>
      <c r="E2403" s="286" t="s">
        <v>1106</v>
      </c>
      <c r="F2403" s="286" t="s">
        <v>2506</v>
      </c>
      <c r="G2403" s="286" t="s">
        <v>1045</v>
      </c>
      <c r="H2403" s="286" t="s">
        <v>1045</v>
      </c>
      <c r="I2403" s="286" t="s">
        <v>1199</v>
      </c>
      <c r="J2403" s="286" t="s">
        <v>1312</v>
      </c>
      <c r="K2403" s="286" t="s">
        <v>53</v>
      </c>
      <c r="L2403" s="286" t="s">
        <v>53</v>
      </c>
      <c r="M2403" s="286" t="s">
        <v>53</v>
      </c>
      <c r="N2403" s="287">
        <v>-926.19</v>
      </c>
      <c r="O2403" s="294">
        <f t="shared" si="37"/>
        <v>45382</v>
      </c>
      <c r="P2403" s="286" t="s">
        <v>58</v>
      </c>
    </row>
    <row r="2404" spans="1:16" hidden="1" x14ac:dyDescent="0.15">
      <c r="A2404" s="286">
        <v>520080</v>
      </c>
      <c r="B2404" s="288">
        <v>45372.396527777775</v>
      </c>
      <c r="C2404" s="286" t="s">
        <v>2109</v>
      </c>
      <c r="D2404" s="286" t="s">
        <v>1105</v>
      </c>
      <c r="E2404" s="286" t="s">
        <v>1106</v>
      </c>
      <c r="F2404" s="286" t="s">
        <v>2507</v>
      </c>
      <c r="G2404" s="286" t="s">
        <v>1045</v>
      </c>
      <c r="H2404" s="286" t="s">
        <v>1045</v>
      </c>
      <c r="I2404" s="286" t="s">
        <v>1199</v>
      </c>
      <c r="J2404" s="286" t="s">
        <v>1312</v>
      </c>
      <c r="K2404" s="286" t="s">
        <v>53</v>
      </c>
      <c r="L2404" s="286" t="s">
        <v>53</v>
      </c>
      <c r="M2404" s="286" t="s">
        <v>53</v>
      </c>
      <c r="N2404" s="287">
        <v>-926.19</v>
      </c>
      <c r="O2404" s="294">
        <f t="shared" si="37"/>
        <v>45382</v>
      </c>
      <c r="P2404" s="286" t="s">
        <v>58</v>
      </c>
    </row>
    <row r="2405" spans="1:16" hidden="1" x14ac:dyDescent="0.15">
      <c r="A2405" s="286">
        <v>848917</v>
      </c>
      <c r="B2405" s="288">
        <v>45607.660416666666</v>
      </c>
      <c r="C2405" s="286" t="s">
        <v>2100</v>
      </c>
      <c r="D2405" s="286" t="s">
        <v>1105</v>
      </c>
      <c r="E2405" s="286" t="s">
        <v>1106</v>
      </c>
      <c r="F2405" s="286" t="s">
        <v>2141</v>
      </c>
      <c r="G2405" s="286" t="s">
        <v>1015</v>
      </c>
      <c r="H2405" s="286" t="s">
        <v>1015</v>
      </c>
      <c r="I2405" s="286" t="s">
        <v>1228</v>
      </c>
      <c r="J2405" s="286" t="s">
        <v>1312</v>
      </c>
      <c r="K2405" s="286" t="s">
        <v>2510</v>
      </c>
      <c r="L2405" s="286" t="s">
        <v>53</v>
      </c>
      <c r="M2405" s="286">
        <v>1</v>
      </c>
      <c r="N2405" s="287">
        <v>-939.71</v>
      </c>
      <c r="O2405" s="294">
        <f t="shared" si="37"/>
        <v>45626</v>
      </c>
      <c r="P2405" s="286" t="s">
        <v>58</v>
      </c>
    </row>
    <row r="2406" spans="1:16" hidden="1" x14ac:dyDescent="0.15">
      <c r="A2406" s="286">
        <v>874698</v>
      </c>
      <c r="B2406" s="288">
        <v>45628.357638888891</v>
      </c>
      <c r="C2406" s="286" t="s">
        <v>2098</v>
      </c>
      <c r="D2406" s="286" t="s">
        <v>1105</v>
      </c>
      <c r="E2406" s="286" t="s">
        <v>1106</v>
      </c>
      <c r="F2406" s="286" t="s">
        <v>2142</v>
      </c>
      <c r="G2406" s="286" t="s">
        <v>1069</v>
      </c>
      <c r="H2406" s="286" t="s">
        <v>1069</v>
      </c>
      <c r="I2406" s="286" t="s">
        <v>1228</v>
      </c>
      <c r="J2406" s="286" t="s">
        <v>1312</v>
      </c>
      <c r="K2406" s="286" t="s">
        <v>2076</v>
      </c>
      <c r="L2406" s="286" t="s">
        <v>53</v>
      </c>
      <c r="M2406" s="286">
        <v>1</v>
      </c>
      <c r="N2406" s="287">
        <v>-953.51</v>
      </c>
      <c r="O2406" s="294">
        <f t="shared" si="37"/>
        <v>45657</v>
      </c>
      <c r="P2406" s="286" t="s">
        <v>58</v>
      </c>
    </row>
    <row r="2407" spans="1:16" hidden="1" x14ac:dyDescent="0.15">
      <c r="A2407" s="286">
        <v>848917</v>
      </c>
      <c r="B2407" s="288">
        <v>45607.660416666666</v>
      </c>
      <c r="C2407" s="286" t="s">
        <v>2100</v>
      </c>
      <c r="D2407" s="286" t="s">
        <v>1105</v>
      </c>
      <c r="E2407" s="286" t="s">
        <v>1106</v>
      </c>
      <c r="F2407" s="286" t="s">
        <v>2141</v>
      </c>
      <c r="G2407" s="286" t="s">
        <v>1010</v>
      </c>
      <c r="H2407" s="286" t="s">
        <v>1010</v>
      </c>
      <c r="I2407" s="286" t="s">
        <v>1199</v>
      </c>
      <c r="J2407" s="286" t="s">
        <v>1312</v>
      </c>
      <c r="K2407" s="286" t="s">
        <v>2447</v>
      </c>
      <c r="L2407" s="286" t="s">
        <v>53</v>
      </c>
      <c r="M2407" s="286">
        <v>1</v>
      </c>
      <c r="N2407" s="287">
        <v>-964.9</v>
      </c>
      <c r="O2407" s="294">
        <f t="shared" si="37"/>
        <v>45626</v>
      </c>
      <c r="P2407" s="286" t="s">
        <v>58</v>
      </c>
    </row>
    <row r="2408" spans="1:16" hidden="1" x14ac:dyDescent="0.15">
      <c r="A2408" s="286">
        <v>874698</v>
      </c>
      <c r="B2408" s="288">
        <v>45628.357638888891</v>
      </c>
      <c r="C2408" s="286" t="s">
        <v>2098</v>
      </c>
      <c r="D2408" s="286" t="s">
        <v>1105</v>
      </c>
      <c r="E2408" s="286" t="s">
        <v>1106</v>
      </c>
      <c r="F2408" s="286" t="s">
        <v>2142</v>
      </c>
      <c r="G2408" s="286" t="s">
        <v>1010</v>
      </c>
      <c r="H2408" s="286" t="s">
        <v>1010</v>
      </c>
      <c r="I2408" s="286" t="s">
        <v>1199</v>
      </c>
      <c r="J2408" s="286" t="s">
        <v>1312</v>
      </c>
      <c r="K2408" s="286" t="s">
        <v>2447</v>
      </c>
      <c r="L2408" s="286" t="s">
        <v>53</v>
      </c>
      <c r="M2408" s="286">
        <v>1</v>
      </c>
      <c r="N2408" s="287">
        <v>-964.9</v>
      </c>
      <c r="O2408" s="294">
        <f t="shared" si="37"/>
        <v>45657</v>
      </c>
      <c r="P2408" s="286" t="s">
        <v>58</v>
      </c>
    </row>
    <row r="2409" spans="1:16" hidden="1" x14ac:dyDescent="0.15">
      <c r="A2409" s="286">
        <v>483613</v>
      </c>
      <c r="B2409" s="288">
        <v>45342.459027777775</v>
      </c>
      <c r="C2409" s="286" t="s">
        <v>2113</v>
      </c>
      <c r="D2409" s="286" t="s">
        <v>1105</v>
      </c>
      <c r="E2409" s="286" t="s">
        <v>1106</v>
      </c>
      <c r="F2409" s="286" t="s">
        <v>2263</v>
      </c>
      <c r="G2409" s="286" t="s">
        <v>1019</v>
      </c>
      <c r="H2409" s="286" t="s">
        <v>1019</v>
      </c>
      <c r="I2409" s="286" t="s">
        <v>1152</v>
      </c>
      <c r="J2409" s="286" t="s">
        <v>1312</v>
      </c>
      <c r="K2409" s="286" t="s">
        <v>2504</v>
      </c>
      <c r="L2409" s="286" t="s">
        <v>53</v>
      </c>
      <c r="M2409" s="286">
        <v>1</v>
      </c>
      <c r="N2409" s="287">
        <v>-976.23</v>
      </c>
      <c r="O2409" s="294">
        <f t="shared" si="37"/>
        <v>45351</v>
      </c>
      <c r="P2409" s="286" t="s">
        <v>58</v>
      </c>
    </row>
    <row r="2410" spans="1:16" hidden="1" x14ac:dyDescent="0.15">
      <c r="A2410" s="286">
        <v>613911</v>
      </c>
      <c r="B2410" s="288">
        <v>45455.678472222222</v>
      </c>
      <c r="C2410" s="286" t="s">
        <v>2092</v>
      </c>
      <c r="D2410" s="286" t="s">
        <v>1105</v>
      </c>
      <c r="E2410" s="286" t="s">
        <v>1106</v>
      </c>
      <c r="F2410" s="286" t="s">
        <v>2368</v>
      </c>
      <c r="G2410" s="286" t="s">
        <v>1022</v>
      </c>
      <c r="H2410" s="286" t="s">
        <v>1022</v>
      </c>
      <c r="I2410" s="286" t="s">
        <v>1228</v>
      </c>
      <c r="J2410" s="286" t="s">
        <v>1312</v>
      </c>
      <c r="K2410" s="286" t="s">
        <v>2076</v>
      </c>
      <c r="L2410" s="286" t="s">
        <v>53</v>
      </c>
      <c r="M2410" s="286">
        <v>1</v>
      </c>
      <c r="N2410" s="287">
        <v>-983.58</v>
      </c>
      <c r="O2410" s="294">
        <f t="shared" si="37"/>
        <v>45473</v>
      </c>
      <c r="P2410" s="286" t="s">
        <v>58</v>
      </c>
    </row>
    <row r="2411" spans="1:16" hidden="1" x14ac:dyDescent="0.15">
      <c r="A2411" s="286">
        <v>614316</v>
      </c>
      <c r="B2411" s="288">
        <v>45455.717361111114</v>
      </c>
      <c r="C2411" s="286" t="s">
        <v>2092</v>
      </c>
      <c r="D2411" s="286" t="s">
        <v>1105</v>
      </c>
      <c r="E2411" s="286" t="s">
        <v>1106</v>
      </c>
      <c r="F2411" s="286" t="s">
        <v>2167</v>
      </c>
      <c r="G2411" s="286" t="s">
        <v>1022</v>
      </c>
      <c r="H2411" s="286" t="s">
        <v>1022</v>
      </c>
      <c r="I2411" s="286" t="s">
        <v>1228</v>
      </c>
      <c r="J2411" s="286" t="s">
        <v>1312</v>
      </c>
      <c r="K2411" s="286" t="s">
        <v>2076</v>
      </c>
      <c r="L2411" s="286" t="s">
        <v>53</v>
      </c>
      <c r="M2411" s="286">
        <v>1</v>
      </c>
      <c r="N2411" s="287">
        <v>-983.58</v>
      </c>
      <c r="O2411" s="294">
        <f t="shared" si="37"/>
        <v>45473</v>
      </c>
      <c r="P2411" s="286" t="s">
        <v>58</v>
      </c>
    </row>
    <row r="2412" spans="1:16" hidden="1" x14ac:dyDescent="0.15">
      <c r="A2412" s="286">
        <v>438112</v>
      </c>
      <c r="B2412" s="288">
        <v>45293.53402777778</v>
      </c>
      <c r="C2412" s="286" t="s">
        <v>2125</v>
      </c>
      <c r="D2412" s="286" t="s">
        <v>1105</v>
      </c>
      <c r="E2412" s="286" t="s">
        <v>1106</v>
      </c>
      <c r="F2412" s="286" t="s">
        <v>2152</v>
      </c>
      <c r="G2412" s="286" t="s">
        <v>1017</v>
      </c>
      <c r="H2412" s="286" t="s">
        <v>1017</v>
      </c>
      <c r="I2412" s="286" t="s">
        <v>1228</v>
      </c>
      <c r="J2412" s="286" t="s">
        <v>1312</v>
      </c>
      <c r="K2412" s="286" t="s">
        <v>2511</v>
      </c>
      <c r="L2412" s="286" t="s">
        <v>53</v>
      </c>
      <c r="M2412" s="286">
        <v>1</v>
      </c>
      <c r="N2412" s="287">
        <v>-992.08</v>
      </c>
      <c r="O2412" s="294">
        <f t="shared" si="37"/>
        <v>45322</v>
      </c>
      <c r="P2412" s="286" t="s">
        <v>58</v>
      </c>
    </row>
    <row r="2413" spans="1:16" hidden="1" x14ac:dyDescent="0.15">
      <c r="A2413" s="286">
        <v>472168</v>
      </c>
      <c r="B2413" s="288">
        <v>45331.416666666664</v>
      </c>
      <c r="C2413" s="286" t="s">
        <v>2113</v>
      </c>
      <c r="D2413" s="286" t="s">
        <v>1105</v>
      </c>
      <c r="E2413" s="286" t="s">
        <v>1106</v>
      </c>
      <c r="F2413" s="286" t="s">
        <v>2153</v>
      </c>
      <c r="G2413" s="286" t="s">
        <v>1017</v>
      </c>
      <c r="H2413" s="286" t="s">
        <v>1017</v>
      </c>
      <c r="I2413" s="286" t="s">
        <v>1228</v>
      </c>
      <c r="J2413" s="286" t="s">
        <v>1312</v>
      </c>
      <c r="K2413" s="286" t="s">
        <v>2511</v>
      </c>
      <c r="L2413" s="286" t="s">
        <v>53</v>
      </c>
      <c r="M2413" s="286">
        <v>1</v>
      </c>
      <c r="N2413" s="287">
        <v>-992.08</v>
      </c>
      <c r="O2413" s="294">
        <f t="shared" si="37"/>
        <v>45351</v>
      </c>
      <c r="P2413" s="286" t="s">
        <v>58</v>
      </c>
    </row>
    <row r="2414" spans="1:16" hidden="1" x14ac:dyDescent="0.15">
      <c r="A2414" s="286">
        <v>504817</v>
      </c>
      <c r="B2414" s="288">
        <v>45359.645138888889</v>
      </c>
      <c r="C2414" s="286" t="s">
        <v>2109</v>
      </c>
      <c r="D2414" s="286" t="s">
        <v>1105</v>
      </c>
      <c r="E2414" s="286" t="s">
        <v>1106</v>
      </c>
      <c r="F2414" s="286" t="s">
        <v>2154</v>
      </c>
      <c r="G2414" s="286" t="s">
        <v>1017</v>
      </c>
      <c r="H2414" s="286" t="s">
        <v>1017</v>
      </c>
      <c r="I2414" s="286" t="s">
        <v>1228</v>
      </c>
      <c r="J2414" s="286" t="s">
        <v>1312</v>
      </c>
      <c r="K2414" s="286" t="s">
        <v>2511</v>
      </c>
      <c r="L2414" s="286" t="s">
        <v>53</v>
      </c>
      <c r="M2414" s="286">
        <v>1</v>
      </c>
      <c r="N2414" s="287">
        <v>-992.08</v>
      </c>
      <c r="O2414" s="294">
        <f t="shared" si="37"/>
        <v>45382</v>
      </c>
      <c r="P2414" s="286" t="s">
        <v>58</v>
      </c>
    </row>
    <row r="2415" spans="1:16" hidden="1" x14ac:dyDescent="0.15">
      <c r="A2415" s="286">
        <v>534207</v>
      </c>
      <c r="B2415" s="288">
        <v>45385.750694444447</v>
      </c>
      <c r="C2415" s="286" t="s">
        <v>2096</v>
      </c>
      <c r="D2415" s="286" t="s">
        <v>1105</v>
      </c>
      <c r="E2415" s="286" t="s">
        <v>1106</v>
      </c>
      <c r="F2415" s="286" t="s">
        <v>2155</v>
      </c>
      <c r="G2415" s="286" t="s">
        <v>1017</v>
      </c>
      <c r="H2415" s="286" t="s">
        <v>1017</v>
      </c>
      <c r="I2415" s="286" t="s">
        <v>1228</v>
      </c>
      <c r="J2415" s="286" t="s">
        <v>1312</v>
      </c>
      <c r="K2415" s="286" t="s">
        <v>2511</v>
      </c>
      <c r="L2415" s="286" t="s">
        <v>53</v>
      </c>
      <c r="M2415" s="286">
        <v>1</v>
      </c>
      <c r="N2415" s="287">
        <v>-992.08</v>
      </c>
      <c r="O2415" s="294">
        <f t="shared" si="37"/>
        <v>45412</v>
      </c>
      <c r="P2415" s="286" t="s">
        <v>58</v>
      </c>
    </row>
    <row r="2416" spans="1:16" hidden="1" x14ac:dyDescent="0.15">
      <c r="A2416" s="286">
        <v>614216</v>
      </c>
      <c r="B2416" s="288">
        <v>45455.716666666667</v>
      </c>
      <c r="C2416" s="286" t="s">
        <v>2116</v>
      </c>
      <c r="D2416" s="286" t="s">
        <v>1105</v>
      </c>
      <c r="E2416" s="286" t="s">
        <v>1106</v>
      </c>
      <c r="F2416" s="286" t="s">
        <v>2156</v>
      </c>
      <c r="G2416" s="286" t="s">
        <v>1017</v>
      </c>
      <c r="H2416" s="286" t="s">
        <v>1017</v>
      </c>
      <c r="I2416" s="286" t="s">
        <v>1228</v>
      </c>
      <c r="J2416" s="286" t="s">
        <v>1312</v>
      </c>
      <c r="K2416" s="286" t="s">
        <v>2511</v>
      </c>
      <c r="L2416" s="286" t="s">
        <v>53</v>
      </c>
      <c r="M2416" s="286">
        <v>1</v>
      </c>
      <c r="N2416" s="287">
        <v>-992.08</v>
      </c>
      <c r="O2416" s="294">
        <f t="shared" si="37"/>
        <v>45473</v>
      </c>
      <c r="P2416" s="286" t="s">
        <v>58</v>
      </c>
    </row>
    <row r="2417" spans="1:16" hidden="1" x14ac:dyDescent="0.15">
      <c r="A2417" s="286">
        <v>614316</v>
      </c>
      <c r="B2417" s="288">
        <v>45455.717361111114</v>
      </c>
      <c r="C2417" s="286" t="s">
        <v>2092</v>
      </c>
      <c r="D2417" s="286" t="s">
        <v>1105</v>
      </c>
      <c r="E2417" s="286" t="s">
        <v>1106</v>
      </c>
      <c r="F2417" s="286" t="s">
        <v>2167</v>
      </c>
      <c r="G2417" s="286" t="s">
        <v>1017</v>
      </c>
      <c r="H2417" s="286" t="s">
        <v>1017</v>
      </c>
      <c r="I2417" s="286" t="s">
        <v>1228</v>
      </c>
      <c r="J2417" s="286" t="s">
        <v>1312</v>
      </c>
      <c r="K2417" s="286" t="s">
        <v>2511</v>
      </c>
      <c r="L2417" s="286" t="s">
        <v>53</v>
      </c>
      <c r="M2417" s="286">
        <v>1</v>
      </c>
      <c r="N2417" s="287">
        <v>-992.08</v>
      </c>
      <c r="O2417" s="294">
        <f t="shared" si="37"/>
        <v>45473</v>
      </c>
      <c r="P2417" s="286" t="s">
        <v>58</v>
      </c>
    </row>
    <row r="2418" spans="1:16" hidden="1" x14ac:dyDescent="0.15">
      <c r="A2418" s="286">
        <v>646075</v>
      </c>
      <c r="B2418" s="288">
        <v>45474.519444444442</v>
      </c>
      <c r="C2418" s="286" t="s">
        <v>2111</v>
      </c>
      <c r="D2418" s="286" t="s">
        <v>1105</v>
      </c>
      <c r="E2418" s="286" t="s">
        <v>1106</v>
      </c>
      <c r="F2418" s="286" t="s">
        <v>2137</v>
      </c>
      <c r="G2418" s="286" t="s">
        <v>1017</v>
      </c>
      <c r="H2418" s="286" t="s">
        <v>1017</v>
      </c>
      <c r="I2418" s="286" t="s">
        <v>1228</v>
      </c>
      <c r="J2418" s="286" t="s">
        <v>1312</v>
      </c>
      <c r="K2418" s="286" t="s">
        <v>2511</v>
      </c>
      <c r="L2418" s="286" t="s">
        <v>53</v>
      </c>
      <c r="M2418" s="286">
        <v>1</v>
      </c>
      <c r="N2418" s="287">
        <v>-992.08</v>
      </c>
      <c r="O2418" s="294">
        <f t="shared" si="37"/>
        <v>45504</v>
      </c>
      <c r="P2418" s="286" t="s">
        <v>58</v>
      </c>
    </row>
    <row r="2419" spans="1:16" hidden="1" x14ac:dyDescent="0.15">
      <c r="A2419" s="286">
        <v>697810</v>
      </c>
      <c r="B2419" s="288">
        <v>45510.366666666669</v>
      </c>
      <c r="C2419" s="286" t="s">
        <v>2102</v>
      </c>
      <c r="D2419" s="286" t="s">
        <v>1105</v>
      </c>
      <c r="E2419" s="286" t="s">
        <v>1106</v>
      </c>
      <c r="F2419" s="286" t="s">
        <v>2138</v>
      </c>
      <c r="G2419" s="286" t="s">
        <v>1017</v>
      </c>
      <c r="H2419" s="286" t="s">
        <v>1017</v>
      </c>
      <c r="I2419" s="286" t="s">
        <v>1228</v>
      </c>
      <c r="J2419" s="286" t="s">
        <v>1312</v>
      </c>
      <c r="K2419" s="286" t="s">
        <v>2511</v>
      </c>
      <c r="L2419" s="286" t="s">
        <v>53</v>
      </c>
      <c r="M2419" s="286">
        <v>1</v>
      </c>
      <c r="N2419" s="287">
        <v>-992.08</v>
      </c>
      <c r="O2419" s="294">
        <f t="shared" si="37"/>
        <v>45535</v>
      </c>
      <c r="P2419" s="286" t="s">
        <v>58</v>
      </c>
    </row>
    <row r="2420" spans="1:16" hidden="1" x14ac:dyDescent="0.15">
      <c r="A2420" s="286">
        <v>745911</v>
      </c>
      <c r="B2420" s="288">
        <v>45538.44027777778</v>
      </c>
      <c r="C2420" s="286" t="s">
        <v>2132</v>
      </c>
      <c r="D2420" s="286" t="s">
        <v>1105</v>
      </c>
      <c r="E2420" s="286" t="s">
        <v>1106</v>
      </c>
      <c r="F2420" s="286" t="s">
        <v>2139</v>
      </c>
      <c r="G2420" s="286" t="s">
        <v>1017</v>
      </c>
      <c r="H2420" s="286" t="s">
        <v>1017</v>
      </c>
      <c r="I2420" s="286" t="s">
        <v>1228</v>
      </c>
      <c r="J2420" s="286" t="s">
        <v>1312</v>
      </c>
      <c r="K2420" s="286" t="s">
        <v>2511</v>
      </c>
      <c r="L2420" s="286" t="s">
        <v>53</v>
      </c>
      <c r="M2420" s="286">
        <v>1</v>
      </c>
      <c r="N2420" s="287">
        <v>-992.08</v>
      </c>
      <c r="O2420" s="294">
        <f t="shared" si="37"/>
        <v>45565</v>
      </c>
      <c r="P2420" s="286" t="s">
        <v>58</v>
      </c>
    </row>
    <row r="2421" spans="1:16" hidden="1" x14ac:dyDescent="0.15">
      <c r="A2421" s="286">
        <v>848817</v>
      </c>
      <c r="B2421" s="288">
        <v>45607.65902777778</v>
      </c>
      <c r="C2421" s="286" t="s">
        <v>2130</v>
      </c>
      <c r="D2421" s="286" t="s">
        <v>1105</v>
      </c>
      <c r="E2421" s="286" t="s">
        <v>1106</v>
      </c>
      <c r="F2421" s="286" t="s">
        <v>2140</v>
      </c>
      <c r="G2421" s="286" t="s">
        <v>1017</v>
      </c>
      <c r="H2421" s="286" t="s">
        <v>1017</v>
      </c>
      <c r="I2421" s="286" t="s">
        <v>1228</v>
      </c>
      <c r="J2421" s="286" t="s">
        <v>1312</v>
      </c>
      <c r="K2421" s="286" t="s">
        <v>2511</v>
      </c>
      <c r="L2421" s="286" t="s">
        <v>53</v>
      </c>
      <c r="M2421" s="286">
        <v>1</v>
      </c>
      <c r="N2421" s="287">
        <v>-992.08</v>
      </c>
      <c r="O2421" s="294">
        <f t="shared" si="37"/>
        <v>45626</v>
      </c>
      <c r="P2421" s="286" t="s">
        <v>58</v>
      </c>
    </row>
    <row r="2422" spans="1:16" hidden="1" x14ac:dyDescent="0.15">
      <c r="A2422" s="286">
        <v>848917</v>
      </c>
      <c r="B2422" s="288">
        <v>45607.660416666666</v>
      </c>
      <c r="C2422" s="286" t="s">
        <v>2100</v>
      </c>
      <c r="D2422" s="286" t="s">
        <v>1105</v>
      </c>
      <c r="E2422" s="286" t="s">
        <v>1106</v>
      </c>
      <c r="F2422" s="286" t="s">
        <v>2141</v>
      </c>
      <c r="G2422" s="286" t="s">
        <v>1017</v>
      </c>
      <c r="H2422" s="286" t="s">
        <v>1017</v>
      </c>
      <c r="I2422" s="286" t="s">
        <v>1228</v>
      </c>
      <c r="J2422" s="286" t="s">
        <v>1312</v>
      </c>
      <c r="K2422" s="286" t="s">
        <v>2511</v>
      </c>
      <c r="L2422" s="286" t="s">
        <v>53</v>
      </c>
      <c r="M2422" s="286">
        <v>1</v>
      </c>
      <c r="N2422" s="287">
        <v>-992.08</v>
      </c>
      <c r="O2422" s="294">
        <f t="shared" si="37"/>
        <v>45626</v>
      </c>
      <c r="P2422" s="286" t="s">
        <v>58</v>
      </c>
    </row>
    <row r="2423" spans="1:16" hidden="1" x14ac:dyDescent="0.15">
      <c r="A2423" s="286">
        <v>874698</v>
      </c>
      <c r="B2423" s="288">
        <v>45628.357638888891</v>
      </c>
      <c r="C2423" s="286" t="s">
        <v>2098</v>
      </c>
      <c r="D2423" s="286" t="s">
        <v>1105</v>
      </c>
      <c r="E2423" s="286" t="s">
        <v>1106</v>
      </c>
      <c r="F2423" s="286" t="s">
        <v>2142</v>
      </c>
      <c r="G2423" s="286" t="s">
        <v>1017</v>
      </c>
      <c r="H2423" s="286" t="s">
        <v>1017</v>
      </c>
      <c r="I2423" s="286" t="s">
        <v>1228</v>
      </c>
      <c r="J2423" s="286" t="s">
        <v>1312</v>
      </c>
      <c r="K2423" s="286" t="s">
        <v>2511</v>
      </c>
      <c r="L2423" s="286" t="s">
        <v>53</v>
      </c>
      <c r="M2423" s="286">
        <v>1</v>
      </c>
      <c r="N2423" s="287">
        <v>-992.12</v>
      </c>
      <c r="O2423" s="294">
        <f t="shared" si="37"/>
        <v>45657</v>
      </c>
      <c r="P2423" s="286" t="s">
        <v>58</v>
      </c>
    </row>
    <row r="2424" spans="1:16" hidden="1" x14ac:dyDescent="0.15">
      <c r="A2424" s="286">
        <v>614316</v>
      </c>
      <c r="B2424" s="288">
        <v>45455.717361111114</v>
      </c>
      <c r="C2424" s="286" t="s">
        <v>2092</v>
      </c>
      <c r="D2424" s="286" t="s">
        <v>1105</v>
      </c>
      <c r="E2424" s="286" t="s">
        <v>1106</v>
      </c>
      <c r="F2424" s="286" t="s">
        <v>2167</v>
      </c>
      <c r="G2424" s="286" t="s">
        <v>1058</v>
      </c>
      <c r="H2424" s="286" t="s">
        <v>1058</v>
      </c>
      <c r="I2424" s="286" t="s">
        <v>1199</v>
      </c>
      <c r="J2424" s="286" t="s">
        <v>1312</v>
      </c>
      <c r="K2424" s="286" t="s">
        <v>2068</v>
      </c>
      <c r="L2424" s="286" t="s">
        <v>53</v>
      </c>
      <c r="M2424" s="286">
        <v>1</v>
      </c>
      <c r="N2424" s="287">
        <v>-1007.87</v>
      </c>
      <c r="O2424" s="294">
        <f t="shared" si="37"/>
        <v>45473</v>
      </c>
      <c r="P2424" s="286" t="s">
        <v>58</v>
      </c>
    </row>
    <row r="2425" spans="1:16" hidden="1" x14ac:dyDescent="0.15">
      <c r="A2425" s="286">
        <v>740103</v>
      </c>
      <c r="B2425" s="288">
        <v>45532.394444444442</v>
      </c>
      <c r="C2425" s="286" t="s">
        <v>2102</v>
      </c>
      <c r="D2425" s="286" t="s">
        <v>1105</v>
      </c>
      <c r="E2425" s="286" t="s">
        <v>1106</v>
      </c>
      <c r="F2425" s="286" t="s">
        <v>2512</v>
      </c>
      <c r="G2425" s="286" t="s">
        <v>1063</v>
      </c>
      <c r="H2425" s="286" t="s">
        <v>1063</v>
      </c>
      <c r="I2425" s="286" t="s">
        <v>1228</v>
      </c>
      <c r="J2425" s="286" t="s">
        <v>53</v>
      </c>
      <c r="K2425" s="286" t="s">
        <v>53</v>
      </c>
      <c r="L2425" s="286" t="s">
        <v>53</v>
      </c>
      <c r="M2425" s="286" t="s">
        <v>53</v>
      </c>
      <c r="N2425" s="287">
        <v>-1011.57</v>
      </c>
      <c r="O2425" s="294">
        <f t="shared" si="37"/>
        <v>45535</v>
      </c>
      <c r="P2425" s="286" t="s">
        <v>58</v>
      </c>
    </row>
    <row r="2426" spans="1:16" hidden="1" x14ac:dyDescent="0.15">
      <c r="A2426" s="286">
        <v>740103</v>
      </c>
      <c r="B2426" s="288">
        <v>45532.394444444442</v>
      </c>
      <c r="C2426" s="286" t="s">
        <v>2102</v>
      </c>
      <c r="D2426" s="286" t="s">
        <v>1105</v>
      </c>
      <c r="E2426" s="286" t="s">
        <v>1106</v>
      </c>
      <c r="F2426" s="286" t="s">
        <v>2512</v>
      </c>
      <c r="G2426" s="286" t="s">
        <v>1063</v>
      </c>
      <c r="H2426" s="286" t="s">
        <v>1063</v>
      </c>
      <c r="I2426" s="286" t="s">
        <v>1228</v>
      </c>
      <c r="J2426" s="286" t="s">
        <v>53</v>
      </c>
      <c r="K2426" s="286" t="s">
        <v>53</v>
      </c>
      <c r="L2426" s="286" t="s">
        <v>53</v>
      </c>
      <c r="M2426" s="286" t="s">
        <v>53</v>
      </c>
      <c r="N2426" s="287">
        <v>-1011.57</v>
      </c>
      <c r="O2426" s="294">
        <f t="shared" si="37"/>
        <v>45535</v>
      </c>
      <c r="P2426" s="286" t="s">
        <v>58</v>
      </c>
    </row>
    <row r="2427" spans="1:16" hidden="1" x14ac:dyDescent="0.15">
      <c r="A2427" s="286">
        <v>740103</v>
      </c>
      <c r="B2427" s="288">
        <v>45532.394444444442</v>
      </c>
      <c r="C2427" s="286" t="s">
        <v>2102</v>
      </c>
      <c r="D2427" s="286" t="s">
        <v>1105</v>
      </c>
      <c r="E2427" s="286" t="s">
        <v>1106</v>
      </c>
      <c r="F2427" s="286" t="s">
        <v>2512</v>
      </c>
      <c r="G2427" s="286" t="s">
        <v>1063</v>
      </c>
      <c r="H2427" s="286" t="s">
        <v>1063</v>
      </c>
      <c r="I2427" s="286" t="s">
        <v>1228</v>
      </c>
      <c r="J2427" s="286" t="s">
        <v>53</v>
      </c>
      <c r="K2427" s="286" t="s">
        <v>53</v>
      </c>
      <c r="L2427" s="286" t="s">
        <v>53</v>
      </c>
      <c r="M2427" s="286" t="s">
        <v>53</v>
      </c>
      <c r="N2427" s="287">
        <v>-1011.57</v>
      </c>
      <c r="O2427" s="294">
        <f t="shared" si="37"/>
        <v>45535</v>
      </c>
      <c r="P2427" s="286" t="s">
        <v>58</v>
      </c>
    </row>
    <row r="2428" spans="1:16" hidden="1" x14ac:dyDescent="0.15">
      <c r="A2428" s="286">
        <v>745911</v>
      </c>
      <c r="B2428" s="288">
        <v>45538.44027777778</v>
      </c>
      <c r="C2428" s="286" t="s">
        <v>2132</v>
      </c>
      <c r="D2428" s="286" t="s">
        <v>1105</v>
      </c>
      <c r="E2428" s="286" t="s">
        <v>1106</v>
      </c>
      <c r="F2428" s="286" t="s">
        <v>2139</v>
      </c>
      <c r="G2428" s="286" t="s">
        <v>1063</v>
      </c>
      <c r="H2428" s="286" t="s">
        <v>1063</v>
      </c>
      <c r="I2428" s="286" t="s">
        <v>1228</v>
      </c>
      <c r="J2428" s="286" t="s">
        <v>53</v>
      </c>
      <c r="K2428" s="286" t="s">
        <v>53</v>
      </c>
      <c r="L2428" s="286" t="s">
        <v>53</v>
      </c>
      <c r="M2428" s="286" t="s">
        <v>53</v>
      </c>
      <c r="N2428" s="287">
        <v>-1011.57</v>
      </c>
      <c r="O2428" s="294">
        <f t="shared" si="37"/>
        <v>45565</v>
      </c>
      <c r="P2428" s="286" t="s">
        <v>58</v>
      </c>
    </row>
    <row r="2429" spans="1:16" hidden="1" x14ac:dyDescent="0.15">
      <c r="A2429" s="286">
        <v>848817</v>
      </c>
      <c r="B2429" s="288">
        <v>45607.65902777778</v>
      </c>
      <c r="C2429" s="286" t="s">
        <v>2130</v>
      </c>
      <c r="D2429" s="286" t="s">
        <v>1105</v>
      </c>
      <c r="E2429" s="286" t="s">
        <v>1106</v>
      </c>
      <c r="F2429" s="286" t="s">
        <v>2140</v>
      </c>
      <c r="G2429" s="286" t="s">
        <v>1063</v>
      </c>
      <c r="H2429" s="286" t="s">
        <v>1063</v>
      </c>
      <c r="I2429" s="286" t="s">
        <v>1228</v>
      </c>
      <c r="J2429" s="286" t="s">
        <v>53</v>
      </c>
      <c r="K2429" s="286" t="s">
        <v>53</v>
      </c>
      <c r="L2429" s="286" t="s">
        <v>53</v>
      </c>
      <c r="M2429" s="286" t="s">
        <v>53</v>
      </c>
      <c r="N2429" s="287">
        <v>-1011.57</v>
      </c>
      <c r="O2429" s="294">
        <f t="shared" si="37"/>
        <v>45626</v>
      </c>
      <c r="P2429" s="286" t="s">
        <v>58</v>
      </c>
    </row>
    <row r="2430" spans="1:16" hidden="1" x14ac:dyDescent="0.15">
      <c r="A2430" s="286">
        <v>848917</v>
      </c>
      <c r="B2430" s="288">
        <v>45607.660416666666</v>
      </c>
      <c r="C2430" s="286" t="s">
        <v>2100</v>
      </c>
      <c r="D2430" s="286" t="s">
        <v>1105</v>
      </c>
      <c r="E2430" s="286" t="s">
        <v>1106</v>
      </c>
      <c r="F2430" s="286" t="s">
        <v>2141</v>
      </c>
      <c r="G2430" s="286" t="s">
        <v>1063</v>
      </c>
      <c r="H2430" s="286" t="s">
        <v>1063</v>
      </c>
      <c r="I2430" s="286" t="s">
        <v>1228</v>
      </c>
      <c r="J2430" s="286" t="s">
        <v>53</v>
      </c>
      <c r="K2430" s="286" t="s">
        <v>53</v>
      </c>
      <c r="L2430" s="286" t="s">
        <v>53</v>
      </c>
      <c r="M2430" s="286" t="s">
        <v>53</v>
      </c>
      <c r="N2430" s="287">
        <v>-1011.57</v>
      </c>
      <c r="O2430" s="294">
        <f t="shared" si="37"/>
        <v>45626</v>
      </c>
      <c r="P2430" s="286" t="s">
        <v>58</v>
      </c>
    </row>
    <row r="2431" spans="1:16" hidden="1" x14ac:dyDescent="0.15">
      <c r="A2431" s="286">
        <v>874698</v>
      </c>
      <c r="B2431" s="288">
        <v>45628.357638888891</v>
      </c>
      <c r="C2431" s="286" t="s">
        <v>2098</v>
      </c>
      <c r="D2431" s="286" t="s">
        <v>1105</v>
      </c>
      <c r="E2431" s="286" t="s">
        <v>1106</v>
      </c>
      <c r="F2431" s="286" t="s">
        <v>2142</v>
      </c>
      <c r="G2431" s="286" t="s">
        <v>1063</v>
      </c>
      <c r="H2431" s="286" t="s">
        <v>1063</v>
      </c>
      <c r="I2431" s="286" t="s">
        <v>1228</v>
      </c>
      <c r="J2431" s="286" t="s">
        <v>53</v>
      </c>
      <c r="K2431" s="286" t="s">
        <v>53</v>
      </c>
      <c r="L2431" s="286" t="s">
        <v>53</v>
      </c>
      <c r="M2431" s="286" t="s">
        <v>53</v>
      </c>
      <c r="N2431" s="287">
        <v>-1011.57</v>
      </c>
      <c r="O2431" s="294">
        <f t="shared" si="37"/>
        <v>45657</v>
      </c>
      <c r="P2431" s="286" t="s">
        <v>58</v>
      </c>
    </row>
    <row r="2432" spans="1:16" hidden="1" x14ac:dyDescent="0.15">
      <c r="A2432" s="286">
        <v>646075</v>
      </c>
      <c r="B2432" s="288">
        <v>45474.519444444442</v>
      </c>
      <c r="C2432" s="286" t="s">
        <v>2111</v>
      </c>
      <c r="D2432" s="286" t="s">
        <v>1105</v>
      </c>
      <c r="E2432" s="286" t="s">
        <v>1106</v>
      </c>
      <c r="F2432" s="286" t="s">
        <v>2137</v>
      </c>
      <c r="G2432" s="286" t="s">
        <v>1084</v>
      </c>
      <c r="H2432" s="286" t="s">
        <v>1442</v>
      </c>
      <c r="I2432" s="286" t="s">
        <v>1228</v>
      </c>
      <c r="J2432" s="286" t="s">
        <v>1312</v>
      </c>
      <c r="K2432" s="286" t="s">
        <v>2076</v>
      </c>
      <c r="L2432" s="286" t="s">
        <v>53</v>
      </c>
      <c r="M2432" s="286">
        <v>1</v>
      </c>
      <c r="N2432" s="287">
        <v>-1067</v>
      </c>
      <c r="O2432" s="294">
        <f t="shared" si="37"/>
        <v>45504</v>
      </c>
      <c r="P2432" s="286" t="s">
        <v>58</v>
      </c>
    </row>
    <row r="2433" spans="1:16" hidden="1" x14ac:dyDescent="0.15">
      <c r="A2433" s="286">
        <v>697810</v>
      </c>
      <c r="B2433" s="288">
        <v>45510.366666666669</v>
      </c>
      <c r="C2433" s="286" t="s">
        <v>2102</v>
      </c>
      <c r="D2433" s="286" t="s">
        <v>1105</v>
      </c>
      <c r="E2433" s="286" t="s">
        <v>1106</v>
      </c>
      <c r="F2433" s="286" t="s">
        <v>2138</v>
      </c>
      <c r="G2433" s="286" t="s">
        <v>1084</v>
      </c>
      <c r="H2433" s="286" t="s">
        <v>1442</v>
      </c>
      <c r="I2433" s="286" t="s">
        <v>1228</v>
      </c>
      <c r="J2433" s="286" t="s">
        <v>1312</v>
      </c>
      <c r="K2433" s="286" t="s">
        <v>2076</v>
      </c>
      <c r="L2433" s="286" t="s">
        <v>53</v>
      </c>
      <c r="M2433" s="286">
        <v>1</v>
      </c>
      <c r="N2433" s="287">
        <v>-1067</v>
      </c>
      <c r="O2433" s="294">
        <f t="shared" si="37"/>
        <v>45535</v>
      </c>
      <c r="P2433" s="286" t="s">
        <v>58</v>
      </c>
    </row>
    <row r="2434" spans="1:16" hidden="1" x14ac:dyDescent="0.15">
      <c r="A2434" s="286">
        <v>745911</v>
      </c>
      <c r="B2434" s="288">
        <v>45538.44027777778</v>
      </c>
      <c r="C2434" s="286" t="s">
        <v>2132</v>
      </c>
      <c r="D2434" s="286" t="s">
        <v>1105</v>
      </c>
      <c r="E2434" s="286" t="s">
        <v>1106</v>
      </c>
      <c r="F2434" s="286" t="s">
        <v>2139</v>
      </c>
      <c r="G2434" s="286" t="s">
        <v>1084</v>
      </c>
      <c r="H2434" s="286" t="s">
        <v>1442</v>
      </c>
      <c r="I2434" s="286" t="s">
        <v>1228</v>
      </c>
      <c r="J2434" s="286" t="s">
        <v>1312</v>
      </c>
      <c r="K2434" s="286" t="s">
        <v>2076</v>
      </c>
      <c r="L2434" s="286" t="s">
        <v>53</v>
      </c>
      <c r="M2434" s="286">
        <v>1</v>
      </c>
      <c r="N2434" s="287">
        <v>-1067</v>
      </c>
      <c r="O2434" s="294">
        <f t="shared" si="37"/>
        <v>45565</v>
      </c>
      <c r="P2434" s="286" t="s">
        <v>58</v>
      </c>
    </row>
    <row r="2435" spans="1:16" hidden="1" x14ac:dyDescent="0.15">
      <c r="A2435" s="286">
        <v>848817</v>
      </c>
      <c r="B2435" s="288">
        <v>45607.65902777778</v>
      </c>
      <c r="C2435" s="286" t="s">
        <v>2130</v>
      </c>
      <c r="D2435" s="286" t="s">
        <v>1105</v>
      </c>
      <c r="E2435" s="286" t="s">
        <v>1106</v>
      </c>
      <c r="F2435" s="286" t="s">
        <v>2140</v>
      </c>
      <c r="G2435" s="286" t="s">
        <v>1084</v>
      </c>
      <c r="H2435" s="286" t="s">
        <v>1442</v>
      </c>
      <c r="I2435" s="286" t="s">
        <v>1228</v>
      </c>
      <c r="J2435" s="286" t="s">
        <v>1312</v>
      </c>
      <c r="K2435" s="286" t="s">
        <v>2076</v>
      </c>
      <c r="L2435" s="286" t="s">
        <v>53</v>
      </c>
      <c r="M2435" s="286">
        <v>1</v>
      </c>
      <c r="N2435" s="287">
        <v>-1067</v>
      </c>
      <c r="O2435" s="294">
        <f t="shared" si="37"/>
        <v>45626</v>
      </c>
      <c r="P2435" s="286" t="s">
        <v>58</v>
      </c>
    </row>
    <row r="2436" spans="1:16" hidden="1" x14ac:dyDescent="0.15">
      <c r="A2436" s="286">
        <v>848917</v>
      </c>
      <c r="B2436" s="288">
        <v>45607.660416666666</v>
      </c>
      <c r="C2436" s="286" t="s">
        <v>2100</v>
      </c>
      <c r="D2436" s="286" t="s">
        <v>1105</v>
      </c>
      <c r="E2436" s="286" t="s">
        <v>1106</v>
      </c>
      <c r="F2436" s="286" t="s">
        <v>2141</v>
      </c>
      <c r="G2436" s="286" t="s">
        <v>1084</v>
      </c>
      <c r="H2436" s="286" t="s">
        <v>1442</v>
      </c>
      <c r="I2436" s="286" t="s">
        <v>1228</v>
      </c>
      <c r="J2436" s="286" t="s">
        <v>1312</v>
      </c>
      <c r="K2436" s="286" t="s">
        <v>2076</v>
      </c>
      <c r="L2436" s="286" t="s">
        <v>53</v>
      </c>
      <c r="M2436" s="286">
        <v>1</v>
      </c>
      <c r="N2436" s="287">
        <v>-1067</v>
      </c>
      <c r="O2436" s="294">
        <f t="shared" ref="O2436:O2499" si="38">EOMONTH(B2436,0)</f>
        <v>45626</v>
      </c>
      <c r="P2436" s="286" t="s">
        <v>58</v>
      </c>
    </row>
    <row r="2437" spans="1:16" hidden="1" x14ac:dyDescent="0.15">
      <c r="A2437" s="286">
        <v>874698</v>
      </c>
      <c r="B2437" s="288">
        <v>45628.357638888891</v>
      </c>
      <c r="C2437" s="286" t="s">
        <v>2098</v>
      </c>
      <c r="D2437" s="286" t="s">
        <v>1105</v>
      </c>
      <c r="E2437" s="286" t="s">
        <v>1106</v>
      </c>
      <c r="F2437" s="286" t="s">
        <v>2142</v>
      </c>
      <c r="G2437" s="286" t="s">
        <v>1084</v>
      </c>
      <c r="H2437" s="286" t="s">
        <v>1442</v>
      </c>
      <c r="I2437" s="286" t="s">
        <v>1228</v>
      </c>
      <c r="J2437" s="286" t="s">
        <v>1312</v>
      </c>
      <c r="K2437" s="286" t="s">
        <v>2076</v>
      </c>
      <c r="L2437" s="286" t="s">
        <v>53</v>
      </c>
      <c r="M2437" s="286">
        <v>1</v>
      </c>
      <c r="N2437" s="287">
        <v>-1067</v>
      </c>
      <c r="O2437" s="294">
        <f t="shared" si="38"/>
        <v>45657</v>
      </c>
      <c r="P2437" s="286" t="s">
        <v>58</v>
      </c>
    </row>
    <row r="2438" spans="1:16" hidden="1" x14ac:dyDescent="0.15">
      <c r="A2438" s="286">
        <v>874698</v>
      </c>
      <c r="B2438" s="288">
        <v>45628.357638888891</v>
      </c>
      <c r="C2438" s="286" t="s">
        <v>2098</v>
      </c>
      <c r="D2438" s="286" t="s">
        <v>1105</v>
      </c>
      <c r="E2438" s="286" t="s">
        <v>1106</v>
      </c>
      <c r="F2438" s="286" t="s">
        <v>2142</v>
      </c>
      <c r="G2438" s="286" t="s">
        <v>1074</v>
      </c>
      <c r="H2438" s="286" t="s">
        <v>1034</v>
      </c>
      <c r="I2438" s="286" t="s">
        <v>1199</v>
      </c>
      <c r="J2438" s="286" t="s">
        <v>1312</v>
      </c>
      <c r="K2438" s="286" t="s">
        <v>2068</v>
      </c>
      <c r="L2438" s="286" t="s">
        <v>53</v>
      </c>
      <c r="M2438" s="286">
        <v>1</v>
      </c>
      <c r="N2438" s="287">
        <v>-1067.6600000000001</v>
      </c>
      <c r="O2438" s="294">
        <f t="shared" si="38"/>
        <v>45657</v>
      </c>
      <c r="P2438" s="286" t="s">
        <v>58</v>
      </c>
    </row>
    <row r="2439" spans="1:16" hidden="1" x14ac:dyDescent="0.15">
      <c r="A2439" s="286">
        <v>874698</v>
      </c>
      <c r="B2439" s="288">
        <v>45628.357638888891</v>
      </c>
      <c r="C2439" s="286" t="s">
        <v>2098</v>
      </c>
      <c r="D2439" s="286" t="s">
        <v>1105</v>
      </c>
      <c r="E2439" s="286" t="s">
        <v>1106</v>
      </c>
      <c r="F2439" s="286" t="s">
        <v>2142</v>
      </c>
      <c r="G2439" s="286" t="s">
        <v>1074</v>
      </c>
      <c r="H2439" s="286" t="s">
        <v>1034</v>
      </c>
      <c r="I2439" s="286" t="s">
        <v>1199</v>
      </c>
      <c r="J2439" s="286" t="s">
        <v>1312</v>
      </c>
      <c r="K2439" s="286" t="s">
        <v>2068</v>
      </c>
      <c r="L2439" s="286" t="s">
        <v>53</v>
      </c>
      <c r="M2439" s="286">
        <v>1</v>
      </c>
      <c r="N2439" s="287">
        <v>-1067.6600000000001</v>
      </c>
      <c r="O2439" s="294">
        <f t="shared" si="38"/>
        <v>45657</v>
      </c>
      <c r="P2439" s="286" t="s">
        <v>58</v>
      </c>
    </row>
    <row r="2440" spans="1:16" hidden="1" x14ac:dyDescent="0.15">
      <c r="A2440" s="286">
        <v>830593</v>
      </c>
      <c r="B2440" s="288">
        <v>45594.475694444445</v>
      </c>
      <c r="C2440" s="286" t="s">
        <v>2130</v>
      </c>
      <c r="D2440" s="286" t="s">
        <v>1105</v>
      </c>
      <c r="E2440" s="286" t="s">
        <v>1106</v>
      </c>
      <c r="F2440" s="286" t="s">
        <v>2224</v>
      </c>
      <c r="G2440" s="286" t="s">
        <v>1007</v>
      </c>
      <c r="H2440" s="286" t="s">
        <v>1007</v>
      </c>
      <c r="I2440" s="286" t="s">
        <v>1129</v>
      </c>
      <c r="J2440" s="286" t="s">
        <v>1312</v>
      </c>
      <c r="K2440" s="286" t="s">
        <v>2373</v>
      </c>
      <c r="L2440" s="286" t="s">
        <v>2374</v>
      </c>
      <c r="M2440" s="286">
        <v>-1</v>
      </c>
      <c r="N2440" s="287">
        <v>-1074.29</v>
      </c>
      <c r="O2440" s="294">
        <f t="shared" si="38"/>
        <v>45596</v>
      </c>
      <c r="P2440" s="286" t="s">
        <v>164</v>
      </c>
    </row>
    <row r="2441" spans="1:16" hidden="1" x14ac:dyDescent="0.15">
      <c r="A2441" s="286">
        <v>848817</v>
      </c>
      <c r="B2441" s="288">
        <v>45607.65902777778</v>
      </c>
      <c r="C2441" s="286" t="s">
        <v>2130</v>
      </c>
      <c r="D2441" s="286" t="s">
        <v>1105</v>
      </c>
      <c r="E2441" s="286" t="s">
        <v>1106</v>
      </c>
      <c r="F2441" s="286" t="s">
        <v>2140</v>
      </c>
      <c r="G2441" s="286" t="s">
        <v>1002</v>
      </c>
      <c r="H2441" s="286" t="s">
        <v>1002</v>
      </c>
      <c r="I2441" s="286" t="s">
        <v>1199</v>
      </c>
      <c r="J2441" s="286" t="s">
        <v>1312</v>
      </c>
      <c r="K2441" s="286" t="s">
        <v>2447</v>
      </c>
      <c r="L2441" s="286" t="s">
        <v>53</v>
      </c>
      <c r="M2441" s="286">
        <v>1</v>
      </c>
      <c r="N2441" s="287">
        <v>-1085.43</v>
      </c>
      <c r="O2441" s="294">
        <f t="shared" si="38"/>
        <v>45626</v>
      </c>
      <c r="P2441" s="286" t="s">
        <v>58</v>
      </c>
    </row>
    <row r="2442" spans="1:16" hidden="1" x14ac:dyDescent="0.15">
      <c r="A2442" s="286">
        <v>848917</v>
      </c>
      <c r="B2442" s="288">
        <v>45607.660416666666</v>
      </c>
      <c r="C2442" s="286" t="s">
        <v>2100</v>
      </c>
      <c r="D2442" s="286" t="s">
        <v>1105</v>
      </c>
      <c r="E2442" s="286" t="s">
        <v>1106</v>
      </c>
      <c r="F2442" s="286" t="s">
        <v>2141</v>
      </c>
      <c r="G2442" s="286" t="s">
        <v>1002</v>
      </c>
      <c r="H2442" s="286" t="s">
        <v>1002</v>
      </c>
      <c r="I2442" s="286" t="s">
        <v>1199</v>
      </c>
      <c r="J2442" s="286" t="s">
        <v>1312</v>
      </c>
      <c r="K2442" s="286" t="s">
        <v>2447</v>
      </c>
      <c r="L2442" s="286" t="s">
        <v>53</v>
      </c>
      <c r="M2442" s="286">
        <v>1</v>
      </c>
      <c r="N2442" s="287">
        <v>-1085.43</v>
      </c>
      <c r="O2442" s="294">
        <f t="shared" si="38"/>
        <v>45626</v>
      </c>
      <c r="P2442" s="286" t="s">
        <v>58</v>
      </c>
    </row>
    <row r="2443" spans="1:16" hidden="1" x14ac:dyDescent="0.15">
      <c r="A2443" s="286">
        <v>874698</v>
      </c>
      <c r="B2443" s="288">
        <v>45628.357638888891</v>
      </c>
      <c r="C2443" s="286" t="s">
        <v>2098</v>
      </c>
      <c r="D2443" s="286" t="s">
        <v>1105</v>
      </c>
      <c r="E2443" s="286" t="s">
        <v>1106</v>
      </c>
      <c r="F2443" s="286" t="s">
        <v>2142</v>
      </c>
      <c r="G2443" s="286" t="s">
        <v>1002</v>
      </c>
      <c r="H2443" s="286" t="s">
        <v>1002</v>
      </c>
      <c r="I2443" s="286" t="s">
        <v>1199</v>
      </c>
      <c r="J2443" s="286" t="s">
        <v>1312</v>
      </c>
      <c r="K2443" s="286" t="s">
        <v>2447</v>
      </c>
      <c r="L2443" s="286" t="s">
        <v>53</v>
      </c>
      <c r="M2443" s="286">
        <v>1</v>
      </c>
      <c r="N2443" s="287">
        <v>-1085.43</v>
      </c>
      <c r="O2443" s="294">
        <f t="shared" si="38"/>
        <v>45657</v>
      </c>
      <c r="P2443" s="286" t="s">
        <v>58</v>
      </c>
    </row>
    <row r="2444" spans="1:16" hidden="1" x14ac:dyDescent="0.15">
      <c r="A2444" s="286">
        <v>712645</v>
      </c>
      <c r="B2444" s="288">
        <v>45517.640972222223</v>
      </c>
      <c r="C2444" s="286" t="s">
        <v>2111</v>
      </c>
      <c r="D2444" s="286" t="s">
        <v>1105</v>
      </c>
      <c r="E2444" s="286" t="s">
        <v>1106</v>
      </c>
      <c r="F2444" s="286" t="s">
        <v>2160</v>
      </c>
      <c r="G2444" s="286" t="s">
        <v>1055</v>
      </c>
      <c r="H2444" s="286" t="s">
        <v>1055</v>
      </c>
      <c r="I2444" s="286" t="s">
        <v>1228</v>
      </c>
      <c r="J2444" s="286" t="s">
        <v>1312</v>
      </c>
      <c r="K2444" s="286" t="s">
        <v>53</v>
      </c>
      <c r="L2444" s="286" t="s">
        <v>53</v>
      </c>
      <c r="M2444" s="286" t="s">
        <v>53</v>
      </c>
      <c r="N2444" s="287">
        <v>-1093.1500000000001</v>
      </c>
      <c r="O2444" s="294">
        <f t="shared" si="38"/>
        <v>45535</v>
      </c>
      <c r="P2444" s="286" t="s">
        <v>58</v>
      </c>
    </row>
    <row r="2445" spans="1:16" hidden="1" x14ac:dyDescent="0.15">
      <c r="A2445" s="286">
        <v>614216</v>
      </c>
      <c r="B2445" s="288">
        <v>45455.716666666667</v>
      </c>
      <c r="C2445" s="286" t="s">
        <v>2116</v>
      </c>
      <c r="D2445" s="286" t="s">
        <v>1105</v>
      </c>
      <c r="E2445" s="286" t="s">
        <v>1106</v>
      </c>
      <c r="F2445" s="286" t="s">
        <v>2156</v>
      </c>
      <c r="G2445" s="286" t="s">
        <v>1011</v>
      </c>
      <c r="H2445" s="286" t="s">
        <v>1011</v>
      </c>
      <c r="I2445" s="286" t="s">
        <v>1228</v>
      </c>
      <c r="J2445" s="286" t="s">
        <v>1312</v>
      </c>
      <c r="K2445" s="286" t="s">
        <v>2514</v>
      </c>
      <c r="L2445" s="286" t="s">
        <v>53</v>
      </c>
      <c r="M2445" s="286">
        <v>1</v>
      </c>
      <c r="N2445" s="287">
        <v>-1097.53</v>
      </c>
      <c r="O2445" s="294">
        <f t="shared" si="38"/>
        <v>45473</v>
      </c>
      <c r="P2445" s="286" t="s">
        <v>58</v>
      </c>
    </row>
    <row r="2446" spans="1:16" hidden="1" x14ac:dyDescent="0.15">
      <c r="A2446" s="286">
        <v>614316</v>
      </c>
      <c r="B2446" s="288">
        <v>45455.717361111114</v>
      </c>
      <c r="C2446" s="286" t="s">
        <v>2092</v>
      </c>
      <c r="D2446" s="286" t="s">
        <v>1105</v>
      </c>
      <c r="E2446" s="286" t="s">
        <v>1106</v>
      </c>
      <c r="F2446" s="286" t="s">
        <v>2167</v>
      </c>
      <c r="G2446" s="286" t="s">
        <v>1011</v>
      </c>
      <c r="H2446" s="286" t="s">
        <v>1011</v>
      </c>
      <c r="I2446" s="286" t="s">
        <v>1228</v>
      </c>
      <c r="J2446" s="286" t="s">
        <v>1312</v>
      </c>
      <c r="K2446" s="286" t="s">
        <v>2514</v>
      </c>
      <c r="L2446" s="286" t="s">
        <v>53</v>
      </c>
      <c r="M2446" s="286">
        <v>1</v>
      </c>
      <c r="N2446" s="287">
        <v>-1097.53</v>
      </c>
      <c r="O2446" s="294">
        <f t="shared" si="38"/>
        <v>45473</v>
      </c>
      <c r="P2446" s="286" t="s">
        <v>58</v>
      </c>
    </row>
    <row r="2447" spans="1:16" hidden="1" x14ac:dyDescent="0.15">
      <c r="A2447" s="286">
        <v>646075</v>
      </c>
      <c r="B2447" s="288">
        <v>45474.519444444442</v>
      </c>
      <c r="C2447" s="286" t="s">
        <v>2111</v>
      </c>
      <c r="D2447" s="286" t="s">
        <v>1105</v>
      </c>
      <c r="E2447" s="286" t="s">
        <v>1106</v>
      </c>
      <c r="F2447" s="286" t="s">
        <v>2137</v>
      </c>
      <c r="G2447" s="286" t="s">
        <v>1011</v>
      </c>
      <c r="H2447" s="286" t="s">
        <v>1011</v>
      </c>
      <c r="I2447" s="286" t="s">
        <v>1228</v>
      </c>
      <c r="J2447" s="286" t="s">
        <v>1312</v>
      </c>
      <c r="K2447" s="286" t="s">
        <v>2514</v>
      </c>
      <c r="L2447" s="286" t="s">
        <v>53</v>
      </c>
      <c r="M2447" s="286">
        <v>1</v>
      </c>
      <c r="N2447" s="287">
        <v>-1097.53</v>
      </c>
      <c r="O2447" s="294">
        <f t="shared" si="38"/>
        <v>45504</v>
      </c>
      <c r="P2447" s="286" t="s">
        <v>58</v>
      </c>
    </row>
    <row r="2448" spans="1:16" hidden="1" x14ac:dyDescent="0.15">
      <c r="A2448" s="286">
        <v>697810</v>
      </c>
      <c r="B2448" s="288">
        <v>45510.366666666669</v>
      </c>
      <c r="C2448" s="286" t="s">
        <v>2102</v>
      </c>
      <c r="D2448" s="286" t="s">
        <v>1105</v>
      </c>
      <c r="E2448" s="286" t="s">
        <v>1106</v>
      </c>
      <c r="F2448" s="286" t="s">
        <v>2138</v>
      </c>
      <c r="G2448" s="286" t="s">
        <v>1011</v>
      </c>
      <c r="H2448" s="286" t="s">
        <v>1011</v>
      </c>
      <c r="I2448" s="286" t="s">
        <v>1228</v>
      </c>
      <c r="J2448" s="286" t="s">
        <v>1312</v>
      </c>
      <c r="K2448" s="286" t="s">
        <v>2514</v>
      </c>
      <c r="L2448" s="286" t="s">
        <v>53</v>
      </c>
      <c r="M2448" s="286">
        <v>1</v>
      </c>
      <c r="N2448" s="287">
        <v>-1097.53</v>
      </c>
      <c r="O2448" s="294">
        <f t="shared" si="38"/>
        <v>45535</v>
      </c>
      <c r="P2448" s="286" t="s">
        <v>58</v>
      </c>
    </row>
    <row r="2449" spans="1:16" hidden="1" x14ac:dyDescent="0.15">
      <c r="A2449" s="286">
        <v>745911</v>
      </c>
      <c r="B2449" s="288">
        <v>45538.44027777778</v>
      </c>
      <c r="C2449" s="286" t="s">
        <v>2132</v>
      </c>
      <c r="D2449" s="286" t="s">
        <v>1105</v>
      </c>
      <c r="E2449" s="286" t="s">
        <v>1106</v>
      </c>
      <c r="F2449" s="286" t="s">
        <v>2139</v>
      </c>
      <c r="G2449" s="286" t="s">
        <v>1011</v>
      </c>
      <c r="H2449" s="286" t="s">
        <v>1011</v>
      </c>
      <c r="I2449" s="286" t="s">
        <v>1228</v>
      </c>
      <c r="J2449" s="286" t="s">
        <v>1312</v>
      </c>
      <c r="K2449" s="286" t="s">
        <v>2514</v>
      </c>
      <c r="L2449" s="286" t="s">
        <v>53</v>
      </c>
      <c r="M2449" s="286">
        <v>1</v>
      </c>
      <c r="N2449" s="287">
        <v>-1097.53</v>
      </c>
      <c r="O2449" s="294">
        <f t="shared" si="38"/>
        <v>45565</v>
      </c>
      <c r="P2449" s="286" t="s">
        <v>58</v>
      </c>
    </row>
    <row r="2450" spans="1:16" hidden="1" x14ac:dyDescent="0.15">
      <c r="A2450" s="286">
        <v>848817</v>
      </c>
      <c r="B2450" s="288">
        <v>45607.65902777778</v>
      </c>
      <c r="C2450" s="286" t="s">
        <v>2130</v>
      </c>
      <c r="D2450" s="286" t="s">
        <v>1105</v>
      </c>
      <c r="E2450" s="286" t="s">
        <v>1106</v>
      </c>
      <c r="F2450" s="286" t="s">
        <v>2140</v>
      </c>
      <c r="G2450" s="286" t="s">
        <v>1011</v>
      </c>
      <c r="H2450" s="286" t="s">
        <v>1011</v>
      </c>
      <c r="I2450" s="286" t="s">
        <v>1228</v>
      </c>
      <c r="J2450" s="286" t="s">
        <v>1312</v>
      </c>
      <c r="K2450" s="286" t="s">
        <v>2514</v>
      </c>
      <c r="L2450" s="286" t="s">
        <v>53</v>
      </c>
      <c r="M2450" s="286">
        <v>1</v>
      </c>
      <c r="N2450" s="287">
        <v>-1097.53</v>
      </c>
      <c r="O2450" s="294">
        <f t="shared" si="38"/>
        <v>45626</v>
      </c>
      <c r="P2450" s="286" t="s">
        <v>58</v>
      </c>
    </row>
    <row r="2451" spans="1:16" hidden="1" x14ac:dyDescent="0.15">
      <c r="A2451" s="286">
        <v>848917</v>
      </c>
      <c r="B2451" s="288">
        <v>45607.660416666666</v>
      </c>
      <c r="C2451" s="286" t="s">
        <v>2100</v>
      </c>
      <c r="D2451" s="286" t="s">
        <v>1105</v>
      </c>
      <c r="E2451" s="286" t="s">
        <v>1106</v>
      </c>
      <c r="F2451" s="286" t="s">
        <v>2141</v>
      </c>
      <c r="G2451" s="286" t="s">
        <v>1011</v>
      </c>
      <c r="H2451" s="286" t="s">
        <v>1011</v>
      </c>
      <c r="I2451" s="286" t="s">
        <v>1228</v>
      </c>
      <c r="J2451" s="286" t="s">
        <v>1312</v>
      </c>
      <c r="K2451" s="286" t="s">
        <v>2514</v>
      </c>
      <c r="L2451" s="286" t="s">
        <v>53</v>
      </c>
      <c r="M2451" s="286">
        <v>1</v>
      </c>
      <c r="N2451" s="287">
        <v>-1097.53</v>
      </c>
      <c r="O2451" s="294">
        <f t="shared" si="38"/>
        <v>45626</v>
      </c>
      <c r="P2451" s="286" t="s">
        <v>58</v>
      </c>
    </row>
    <row r="2452" spans="1:16" hidden="1" x14ac:dyDescent="0.15">
      <c r="A2452" s="286">
        <v>874698</v>
      </c>
      <c r="B2452" s="288">
        <v>45628.357638888891</v>
      </c>
      <c r="C2452" s="286" t="s">
        <v>2098</v>
      </c>
      <c r="D2452" s="286" t="s">
        <v>1105</v>
      </c>
      <c r="E2452" s="286" t="s">
        <v>1106</v>
      </c>
      <c r="F2452" s="286" t="s">
        <v>2142</v>
      </c>
      <c r="G2452" s="286" t="s">
        <v>1011</v>
      </c>
      <c r="H2452" s="286" t="s">
        <v>1011</v>
      </c>
      <c r="I2452" s="286" t="s">
        <v>1228</v>
      </c>
      <c r="J2452" s="286" t="s">
        <v>1312</v>
      </c>
      <c r="K2452" s="286" t="s">
        <v>2514</v>
      </c>
      <c r="L2452" s="286" t="s">
        <v>53</v>
      </c>
      <c r="M2452" s="286">
        <v>1</v>
      </c>
      <c r="N2452" s="287">
        <v>-1097.53</v>
      </c>
      <c r="O2452" s="294">
        <f t="shared" si="38"/>
        <v>45657</v>
      </c>
      <c r="P2452" s="286" t="s">
        <v>58</v>
      </c>
    </row>
    <row r="2453" spans="1:16" hidden="1" x14ac:dyDescent="0.15">
      <c r="A2453" s="286">
        <v>874698</v>
      </c>
      <c r="B2453" s="288">
        <v>45628.357638888891</v>
      </c>
      <c r="C2453" s="286" t="s">
        <v>2098</v>
      </c>
      <c r="D2453" s="286" t="s">
        <v>1105</v>
      </c>
      <c r="E2453" s="286" t="s">
        <v>1106</v>
      </c>
      <c r="F2453" s="286" t="s">
        <v>2142</v>
      </c>
      <c r="G2453" s="286" t="s">
        <v>1062</v>
      </c>
      <c r="H2453" s="286" t="s">
        <v>1062</v>
      </c>
      <c r="I2453" s="286" t="s">
        <v>1228</v>
      </c>
      <c r="J2453" s="286" t="s">
        <v>1312</v>
      </c>
      <c r="K2453" s="286" t="s">
        <v>2502</v>
      </c>
      <c r="L2453" s="286" t="s">
        <v>53</v>
      </c>
      <c r="M2453" s="286">
        <v>1</v>
      </c>
      <c r="N2453" s="287">
        <v>-1099.6300000000001</v>
      </c>
      <c r="O2453" s="294">
        <f t="shared" si="38"/>
        <v>45657</v>
      </c>
      <c r="P2453" s="286" t="s">
        <v>58</v>
      </c>
    </row>
    <row r="2454" spans="1:16" hidden="1" x14ac:dyDescent="0.15">
      <c r="A2454" s="286">
        <v>438112</v>
      </c>
      <c r="B2454" s="288">
        <v>45293.53402777778</v>
      </c>
      <c r="C2454" s="286" t="s">
        <v>2125</v>
      </c>
      <c r="D2454" s="286" t="s">
        <v>1105</v>
      </c>
      <c r="E2454" s="286" t="s">
        <v>1106</v>
      </c>
      <c r="F2454" s="286" t="s">
        <v>2152</v>
      </c>
      <c r="G2454" s="286" t="s">
        <v>1062</v>
      </c>
      <c r="H2454" s="286" t="s">
        <v>1062</v>
      </c>
      <c r="I2454" s="286" t="s">
        <v>1228</v>
      </c>
      <c r="J2454" s="286" t="s">
        <v>1312</v>
      </c>
      <c r="K2454" s="286" t="s">
        <v>2502</v>
      </c>
      <c r="L2454" s="286" t="s">
        <v>53</v>
      </c>
      <c r="M2454" s="286">
        <v>1</v>
      </c>
      <c r="N2454" s="287">
        <v>-1099.67</v>
      </c>
      <c r="O2454" s="294">
        <f t="shared" si="38"/>
        <v>45322</v>
      </c>
      <c r="P2454" s="286" t="s">
        <v>58</v>
      </c>
    </row>
    <row r="2455" spans="1:16" hidden="1" x14ac:dyDescent="0.15">
      <c r="A2455" s="286">
        <v>472168</v>
      </c>
      <c r="B2455" s="288">
        <v>45331.416666666664</v>
      </c>
      <c r="C2455" s="286" t="s">
        <v>2113</v>
      </c>
      <c r="D2455" s="286" t="s">
        <v>1105</v>
      </c>
      <c r="E2455" s="286" t="s">
        <v>1106</v>
      </c>
      <c r="F2455" s="286" t="s">
        <v>2153</v>
      </c>
      <c r="G2455" s="286" t="s">
        <v>1062</v>
      </c>
      <c r="H2455" s="286" t="s">
        <v>1062</v>
      </c>
      <c r="I2455" s="286" t="s">
        <v>1228</v>
      </c>
      <c r="J2455" s="286" t="s">
        <v>1312</v>
      </c>
      <c r="K2455" s="286" t="s">
        <v>2502</v>
      </c>
      <c r="L2455" s="286" t="s">
        <v>53</v>
      </c>
      <c r="M2455" s="286">
        <v>1</v>
      </c>
      <c r="N2455" s="287">
        <v>-1099.67</v>
      </c>
      <c r="O2455" s="294">
        <f t="shared" si="38"/>
        <v>45351</v>
      </c>
      <c r="P2455" s="286" t="s">
        <v>58</v>
      </c>
    </row>
    <row r="2456" spans="1:16" hidden="1" x14ac:dyDescent="0.15">
      <c r="A2456" s="286">
        <v>504817</v>
      </c>
      <c r="B2456" s="288">
        <v>45359.645138888889</v>
      </c>
      <c r="C2456" s="286" t="s">
        <v>2109</v>
      </c>
      <c r="D2456" s="286" t="s">
        <v>1105</v>
      </c>
      <c r="E2456" s="286" t="s">
        <v>1106</v>
      </c>
      <c r="F2456" s="286" t="s">
        <v>2154</v>
      </c>
      <c r="G2456" s="286" t="s">
        <v>1062</v>
      </c>
      <c r="H2456" s="286" t="s">
        <v>1062</v>
      </c>
      <c r="I2456" s="286" t="s">
        <v>1228</v>
      </c>
      <c r="J2456" s="286" t="s">
        <v>1312</v>
      </c>
      <c r="K2456" s="286" t="s">
        <v>2502</v>
      </c>
      <c r="L2456" s="286" t="s">
        <v>53</v>
      </c>
      <c r="M2456" s="286">
        <v>1</v>
      </c>
      <c r="N2456" s="287">
        <v>-1099.67</v>
      </c>
      <c r="O2456" s="294">
        <f t="shared" si="38"/>
        <v>45382</v>
      </c>
      <c r="P2456" s="286" t="s">
        <v>58</v>
      </c>
    </row>
    <row r="2457" spans="1:16" hidden="1" x14ac:dyDescent="0.15">
      <c r="A2457" s="286">
        <v>534207</v>
      </c>
      <c r="B2457" s="288">
        <v>45385.750694444447</v>
      </c>
      <c r="C2457" s="286" t="s">
        <v>2096</v>
      </c>
      <c r="D2457" s="286" t="s">
        <v>1105</v>
      </c>
      <c r="E2457" s="286" t="s">
        <v>1106</v>
      </c>
      <c r="F2457" s="286" t="s">
        <v>2155</v>
      </c>
      <c r="G2457" s="286" t="s">
        <v>1062</v>
      </c>
      <c r="H2457" s="286" t="s">
        <v>1062</v>
      </c>
      <c r="I2457" s="286" t="s">
        <v>1228</v>
      </c>
      <c r="J2457" s="286" t="s">
        <v>1312</v>
      </c>
      <c r="K2457" s="286" t="s">
        <v>2502</v>
      </c>
      <c r="L2457" s="286" t="s">
        <v>53</v>
      </c>
      <c r="M2457" s="286">
        <v>1</v>
      </c>
      <c r="N2457" s="287">
        <v>-1099.67</v>
      </c>
      <c r="O2457" s="294">
        <f t="shared" si="38"/>
        <v>45412</v>
      </c>
      <c r="P2457" s="286" t="s">
        <v>58</v>
      </c>
    </row>
    <row r="2458" spans="1:16" hidden="1" x14ac:dyDescent="0.15">
      <c r="A2458" s="286">
        <v>614216</v>
      </c>
      <c r="B2458" s="288">
        <v>45455.716666666667</v>
      </c>
      <c r="C2458" s="286" t="s">
        <v>2116</v>
      </c>
      <c r="D2458" s="286" t="s">
        <v>1105</v>
      </c>
      <c r="E2458" s="286" t="s">
        <v>1106</v>
      </c>
      <c r="F2458" s="286" t="s">
        <v>2156</v>
      </c>
      <c r="G2458" s="286" t="s">
        <v>1062</v>
      </c>
      <c r="H2458" s="286" t="s">
        <v>1062</v>
      </c>
      <c r="I2458" s="286" t="s">
        <v>1228</v>
      </c>
      <c r="J2458" s="286" t="s">
        <v>1312</v>
      </c>
      <c r="K2458" s="286" t="s">
        <v>2502</v>
      </c>
      <c r="L2458" s="286" t="s">
        <v>53</v>
      </c>
      <c r="M2458" s="286">
        <v>1</v>
      </c>
      <c r="N2458" s="287">
        <v>-1099.67</v>
      </c>
      <c r="O2458" s="294">
        <f t="shared" si="38"/>
        <v>45473</v>
      </c>
      <c r="P2458" s="286" t="s">
        <v>58</v>
      </c>
    </row>
    <row r="2459" spans="1:16" hidden="1" x14ac:dyDescent="0.15">
      <c r="A2459" s="286">
        <v>614316</v>
      </c>
      <c r="B2459" s="288">
        <v>45455.717361111114</v>
      </c>
      <c r="C2459" s="286" t="s">
        <v>2092</v>
      </c>
      <c r="D2459" s="286" t="s">
        <v>1105</v>
      </c>
      <c r="E2459" s="286" t="s">
        <v>1106</v>
      </c>
      <c r="F2459" s="286" t="s">
        <v>2167</v>
      </c>
      <c r="G2459" s="286" t="s">
        <v>1062</v>
      </c>
      <c r="H2459" s="286" t="s">
        <v>1062</v>
      </c>
      <c r="I2459" s="286" t="s">
        <v>1228</v>
      </c>
      <c r="J2459" s="286" t="s">
        <v>1312</v>
      </c>
      <c r="K2459" s="286" t="s">
        <v>2502</v>
      </c>
      <c r="L2459" s="286" t="s">
        <v>53</v>
      </c>
      <c r="M2459" s="286">
        <v>1</v>
      </c>
      <c r="N2459" s="287">
        <v>-1099.67</v>
      </c>
      <c r="O2459" s="294">
        <f t="shared" si="38"/>
        <v>45473</v>
      </c>
      <c r="P2459" s="286" t="s">
        <v>58</v>
      </c>
    </row>
    <row r="2460" spans="1:16" hidden="1" x14ac:dyDescent="0.15">
      <c r="A2460" s="286">
        <v>646075</v>
      </c>
      <c r="B2460" s="288">
        <v>45474.519444444442</v>
      </c>
      <c r="C2460" s="286" t="s">
        <v>2111</v>
      </c>
      <c r="D2460" s="286" t="s">
        <v>1105</v>
      </c>
      <c r="E2460" s="286" t="s">
        <v>1106</v>
      </c>
      <c r="F2460" s="286" t="s">
        <v>2137</v>
      </c>
      <c r="G2460" s="286" t="s">
        <v>1062</v>
      </c>
      <c r="H2460" s="286" t="s">
        <v>1062</v>
      </c>
      <c r="I2460" s="286" t="s">
        <v>1228</v>
      </c>
      <c r="J2460" s="286" t="s">
        <v>1312</v>
      </c>
      <c r="K2460" s="286" t="s">
        <v>2502</v>
      </c>
      <c r="L2460" s="286" t="s">
        <v>53</v>
      </c>
      <c r="M2460" s="286">
        <v>1</v>
      </c>
      <c r="N2460" s="287">
        <v>-1099.67</v>
      </c>
      <c r="O2460" s="294">
        <f t="shared" si="38"/>
        <v>45504</v>
      </c>
      <c r="P2460" s="286" t="s">
        <v>58</v>
      </c>
    </row>
    <row r="2461" spans="1:16" hidden="1" x14ac:dyDescent="0.15">
      <c r="A2461" s="286">
        <v>697810</v>
      </c>
      <c r="B2461" s="288">
        <v>45510.366666666669</v>
      </c>
      <c r="C2461" s="286" t="s">
        <v>2102</v>
      </c>
      <c r="D2461" s="286" t="s">
        <v>1105</v>
      </c>
      <c r="E2461" s="286" t="s">
        <v>1106</v>
      </c>
      <c r="F2461" s="286" t="s">
        <v>2138</v>
      </c>
      <c r="G2461" s="286" t="s">
        <v>1062</v>
      </c>
      <c r="H2461" s="286" t="s">
        <v>1062</v>
      </c>
      <c r="I2461" s="286" t="s">
        <v>1228</v>
      </c>
      <c r="J2461" s="286" t="s">
        <v>1312</v>
      </c>
      <c r="K2461" s="286" t="s">
        <v>2502</v>
      </c>
      <c r="L2461" s="286" t="s">
        <v>53</v>
      </c>
      <c r="M2461" s="286">
        <v>1</v>
      </c>
      <c r="N2461" s="287">
        <v>-1099.67</v>
      </c>
      <c r="O2461" s="294">
        <f t="shared" si="38"/>
        <v>45535</v>
      </c>
      <c r="P2461" s="286" t="s">
        <v>58</v>
      </c>
    </row>
    <row r="2462" spans="1:16" hidden="1" x14ac:dyDescent="0.15">
      <c r="A2462" s="286">
        <v>745911</v>
      </c>
      <c r="B2462" s="288">
        <v>45538.44027777778</v>
      </c>
      <c r="C2462" s="286" t="s">
        <v>2132</v>
      </c>
      <c r="D2462" s="286" t="s">
        <v>1105</v>
      </c>
      <c r="E2462" s="286" t="s">
        <v>1106</v>
      </c>
      <c r="F2462" s="286" t="s">
        <v>2139</v>
      </c>
      <c r="G2462" s="286" t="s">
        <v>1062</v>
      </c>
      <c r="H2462" s="286" t="s">
        <v>1062</v>
      </c>
      <c r="I2462" s="286" t="s">
        <v>1228</v>
      </c>
      <c r="J2462" s="286" t="s">
        <v>1312</v>
      </c>
      <c r="K2462" s="286" t="s">
        <v>2502</v>
      </c>
      <c r="L2462" s="286" t="s">
        <v>53</v>
      </c>
      <c r="M2462" s="286">
        <v>1</v>
      </c>
      <c r="N2462" s="287">
        <v>-1099.67</v>
      </c>
      <c r="O2462" s="294">
        <f t="shared" si="38"/>
        <v>45565</v>
      </c>
      <c r="P2462" s="286" t="s">
        <v>58</v>
      </c>
    </row>
    <row r="2463" spans="1:16" hidden="1" x14ac:dyDescent="0.15">
      <c r="A2463" s="286">
        <v>848817</v>
      </c>
      <c r="B2463" s="288">
        <v>45607.65902777778</v>
      </c>
      <c r="C2463" s="286" t="s">
        <v>2130</v>
      </c>
      <c r="D2463" s="286" t="s">
        <v>1105</v>
      </c>
      <c r="E2463" s="286" t="s">
        <v>1106</v>
      </c>
      <c r="F2463" s="286" t="s">
        <v>2140</v>
      </c>
      <c r="G2463" s="286" t="s">
        <v>1062</v>
      </c>
      <c r="H2463" s="286" t="s">
        <v>1062</v>
      </c>
      <c r="I2463" s="286" t="s">
        <v>1228</v>
      </c>
      <c r="J2463" s="286" t="s">
        <v>1312</v>
      </c>
      <c r="K2463" s="286" t="s">
        <v>2502</v>
      </c>
      <c r="L2463" s="286" t="s">
        <v>53</v>
      </c>
      <c r="M2463" s="286">
        <v>1</v>
      </c>
      <c r="N2463" s="287">
        <v>-1099.67</v>
      </c>
      <c r="O2463" s="294">
        <f t="shared" si="38"/>
        <v>45626</v>
      </c>
      <c r="P2463" s="286" t="s">
        <v>58</v>
      </c>
    </row>
    <row r="2464" spans="1:16" hidden="1" x14ac:dyDescent="0.15">
      <c r="A2464" s="286">
        <v>848917</v>
      </c>
      <c r="B2464" s="288">
        <v>45607.660416666666</v>
      </c>
      <c r="C2464" s="286" t="s">
        <v>2100</v>
      </c>
      <c r="D2464" s="286" t="s">
        <v>1105</v>
      </c>
      <c r="E2464" s="286" t="s">
        <v>1106</v>
      </c>
      <c r="F2464" s="286" t="s">
        <v>2141</v>
      </c>
      <c r="G2464" s="286" t="s">
        <v>1062</v>
      </c>
      <c r="H2464" s="286" t="s">
        <v>1062</v>
      </c>
      <c r="I2464" s="286" t="s">
        <v>1228</v>
      </c>
      <c r="J2464" s="286" t="s">
        <v>1312</v>
      </c>
      <c r="K2464" s="286" t="s">
        <v>2502</v>
      </c>
      <c r="L2464" s="286" t="s">
        <v>53</v>
      </c>
      <c r="M2464" s="286">
        <v>1</v>
      </c>
      <c r="N2464" s="287">
        <v>-1099.67</v>
      </c>
      <c r="O2464" s="294">
        <f t="shared" si="38"/>
        <v>45626</v>
      </c>
      <c r="P2464" s="286" t="s">
        <v>58</v>
      </c>
    </row>
    <row r="2465" spans="1:16" hidden="1" x14ac:dyDescent="0.15">
      <c r="A2465" s="286">
        <v>646075</v>
      </c>
      <c r="B2465" s="288">
        <v>45474.519444444442</v>
      </c>
      <c r="C2465" s="286" t="s">
        <v>2111</v>
      </c>
      <c r="D2465" s="286" t="s">
        <v>1105</v>
      </c>
      <c r="E2465" s="286" t="s">
        <v>1106</v>
      </c>
      <c r="F2465" s="286" t="s">
        <v>2137</v>
      </c>
      <c r="G2465" s="286" t="s">
        <v>1838</v>
      </c>
      <c r="H2465" s="286" t="s">
        <v>1838</v>
      </c>
      <c r="I2465" s="286" t="s">
        <v>1228</v>
      </c>
      <c r="J2465" s="286" t="s">
        <v>1312</v>
      </c>
      <c r="K2465" s="286" t="s">
        <v>2510</v>
      </c>
      <c r="L2465" s="286" t="s">
        <v>53</v>
      </c>
      <c r="M2465" s="286">
        <v>1</v>
      </c>
      <c r="N2465" s="287">
        <v>-1103.8699999999999</v>
      </c>
      <c r="O2465" s="294">
        <f t="shared" si="38"/>
        <v>45504</v>
      </c>
      <c r="P2465" s="286" t="s">
        <v>58</v>
      </c>
    </row>
    <row r="2466" spans="1:16" hidden="1" x14ac:dyDescent="0.15">
      <c r="A2466" s="286">
        <v>697810</v>
      </c>
      <c r="B2466" s="288">
        <v>45510.366666666669</v>
      </c>
      <c r="C2466" s="286" t="s">
        <v>2102</v>
      </c>
      <c r="D2466" s="286" t="s">
        <v>1105</v>
      </c>
      <c r="E2466" s="286" t="s">
        <v>1106</v>
      </c>
      <c r="F2466" s="286" t="s">
        <v>2138</v>
      </c>
      <c r="G2466" s="286" t="s">
        <v>1838</v>
      </c>
      <c r="H2466" s="286" t="s">
        <v>1838</v>
      </c>
      <c r="I2466" s="286" t="s">
        <v>1228</v>
      </c>
      <c r="J2466" s="286" t="s">
        <v>1312</v>
      </c>
      <c r="K2466" s="286" t="s">
        <v>2510</v>
      </c>
      <c r="L2466" s="286" t="s">
        <v>53</v>
      </c>
      <c r="M2466" s="286">
        <v>1</v>
      </c>
      <c r="N2466" s="287">
        <v>-1103.8699999999999</v>
      </c>
      <c r="O2466" s="294">
        <f t="shared" si="38"/>
        <v>45535</v>
      </c>
      <c r="P2466" s="286" t="s">
        <v>58</v>
      </c>
    </row>
    <row r="2467" spans="1:16" hidden="1" x14ac:dyDescent="0.15">
      <c r="A2467" s="286">
        <v>745911</v>
      </c>
      <c r="B2467" s="288">
        <v>45538.44027777778</v>
      </c>
      <c r="C2467" s="286" t="s">
        <v>2132</v>
      </c>
      <c r="D2467" s="286" t="s">
        <v>1105</v>
      </c>
      <c r="E2467" s="286" t="s">
        <v>1106</v>
      </c>
      <c r="F2467" s="286" t="s">
        <v>2139</v>
      </c>
      <c r="G2467" s="286" t="s">
        <v>1838</v>
      </c>
      <c r="H2467" s="286" t="s">
        <v>1838</v>
      </c>
      <c r="I2467" s="286" t="s">
        <v>1228</v>
      </c>
      <c r="J2467" s="286" t="s">
        <v>1312</v>
      </c>
      <c r="K2467" s="286" t="s">
        <v>2510</v>
      </c>
      <c r="L2467" s="286" t="s">
        <v>53</v>
      </c>
      <c r="M2467" s="286">
        <v>1</v>
      </c>
      <c r="N2467" s="287">
        <v>-1103.8699999999999</v>
      </c>
      <c r="O2467" s="294">
        <f t="shared" si="38"/>
        <v>45565</v>
      </c>
      <c r="P2467" s="286" t="s">
        <v>58</v>
      </c>
    </row>
    <row r="2468" spans="1:16" hidden="1" x14ac:dyDescent="0.15">
      <c r="A2468" s="286">
        <v>848817</v>
      </c>
      <c r="B2468" s="288">
        <v>45607.65902777778</v>
      </c>
      <c r="C2468" s="286" t="s">
        <v>2130</v>
      </c>
      <c r="D2468" s="286" t="s">
        <v>1105</v>
      </c>
      <c r="E2468" s="286" t="s">
        <v>1106</v>
      </c>
      <c r="F2468" s="286" t="s">
        <v>2140</v>
      </c>
      <c r="G2468" s="286" t="s">
        <v>1838</v>
      </c>
      <c r="H2468" s="286" t="s">
        <v>1838</v>
      </c>
      <c r="I2468" s="286" t="s">
        <v>1228</v>
      </c>
      <c r="J2468" s="286" t="s">
        <v>1312</v>
      </c>
      <c r="K2468" s="286" t="s">
        <v>2510</v>
      </c>
      <c r="L2468" s="286" t="s">
        <v>53</v>
      </c>
      <c r="M2468" s="286">
        <v>1</v>
      </c>
      <c r="N2468" s="287">
        <v>-1103.8699999999999</v>
      </c>
      <c r="O2468" s="294">
        <f t="shared" si="38"/>
        <v>45626</v>
      </c>
      <c r="P2468" s="286" t="s">
        <v>58</v>
      </c>
    </row>
    <row r="2469" spans="1:16" hidden="1" x14ac:dyDescent="0.15">
      <c r="A2469" s="286">
        <v>848917</v>
      </c>
      <c r="B2469" s="288">
        <v>45607.660416666666</v>
      </c>
      <c r="C2469" s="286" t="s">
        <v>2100</v>
      </c>
      <c r="D2469" s="286" t="s">
        <v>1105</v>
      </c>
      <c r="E2469" s="286" t="s">
        <v>1106</v>
      </c>
      <c r="F2469" s="286" t="s">
        <v>2141</v>
      </c>
      <c r="G2469" s="286" t="s">
        <v>1838</v>
      </c>
      <c r="H2469" s="286" t="s">
        <v>1838</v>
      </c>
      <c r="I2469" s="286" t="s">
        <v>1228</v>
      </c>
      <c r="J2469" s="286" t="s">
        <v>1312</v>
      </c>
      <c r="K2469" s="286" t="s">
        <v>2510</v>
      </c>
      <c r="L2469" s="286" t="s">
        <v>53</v>
      </c>
      <c r="M2469" s="286">
        <v>1</v>
      </c>
      <c r="N2469" s="287">
        <v>-1103.8699999999999</v>
      </c>
      <c r="O2469" s="294">
        <f t="shared" si="38"/>
        <v>45626</v>
      </c>
      <c r="P2469" s="286" t="s">
        <v>58</v>
      </c>
    </row>
    <row r="2470" spans="1:16" hidden="1" x14ac:dyDescent="0.15">
      <c r="A2470" s="286">
        <v>874698</v>
      </c>
      <c r="B2470" s="288">
        <v>45628.357638888891</v>
      </c>
      <c r="C2470" s="286" t="s">
        <v>2098</v>
      </c>
      <c r="D2470" s="286" t="s">
        <v>1105</v>
      </c>
      <c r="E2470" s="286" t="s">
        <v>1106</v>
      </c>
      <c r="F2470" s="286" t="s">
        <v>2142</v>
      </c>
      <c r="G2470" s="286" t="s">
        <v>1838</v>
      </c>
      <c r="H2470" s="286" t="s">
        <v>1838</v>
      </c>
      <c r="I2470" s="286" t="s">
        <v>1228</v>
      </c>
      <c r="J2470" s="286" t="s">
        <v>1312</v>
      </c>
      <c r="K2470" s="286" t="s">
        <v>2510</v>
      </c>
      <c r="L2470" s="286" t="s">
        <v>53</v>
      </c>
      <c r="M2470" s="286">
        <v>1</v>
      </c>
      <c r="N2470" s="287">
        <v>-1103.8699999999999</v>
      </c>
      <c r="O2470" s="294">
        <f t="shared" si="38"/>
        <v>45657</v>
      </c>
      <c r="P2470" s="286" t="s">
        <v>58</v>
      </c>
    </row>
    <row r="2471" spans="1:16" hidden="1" x14ac:dyDescent="0.15">
      <c r="A2471" s="286">
        <v>614316</v>
      </c>
      <c r="B2471" s="288">
        <v>45455.717361111114</v>
      </c>
      <c r="C2471" s="286" t="s">
        <v>2092</v>
      </c>
      <c r="D2471" s="286" t="s">
        <v>1105</v>
      </c>
      <c r="E2471" s="286" t="s">
        <v>1106</v>
      </c>
      <c r="F2471" s="286" t="s">
        <v>2167</v>
      </c>
      <c r="G2471" s="286" t="s">
        <v>1058</v>
      </c>
      <c r="H2471" s="286" t="s">
        <v>1058</v>
      </c>
      <c r="I2471" s="286" t="s">
        <v>1228</v>
      </c>
      <c r="J2471" s="286" t="s">
        <v>1312</v>
      </c>
      <c r="K2471" s="286" t="s">
        <v>2076</v>
      </c>
      <c r="L2471" s="286" t="s">
        <v>53</v>
      </c>
      <c r="M2471" s="286">
        <v>1</v>
      </c>
      <c r="N2471" s="287">
        <v>-1122.19</v>
      </c>
      <c r="O2471" s="294">
        <f t="shared" si="38"/>
        <v>45473</v>
      </c>
      <c r="P2471" s="286" t="s">
        <v>58</v>
      </c>
    </row>
    <row r="2472" spans="1:16" hidden="1" x14ac:dyDescent="0.15">
      <c r="A2472" s="286">
        <v>651672</v>
      </c>
      <c r="B2472" s="288">
        <v>45481.448611111111</v>
      </c>
      <c r="C2472" s="286" t="s">
        <v>2092</v>
      </c>
      <c r="D2472" s="286" t="s">
        <v>1105</v>
      </c>
      <c r="E2472" s="286" t="s">
        <v>1106</v>
      </c>
      <c r="F2472" s="286" t="s">
        <v>2120</v>
      </c>
      <c r="G2472" s="286" t="s">
        <v>1050</v>
      </c>
      <c r="H2472" s="286" t="s">
        <v>1050</v>
      </c>
      <c r="I2472" s="286" t="s">
        <v>1152</v>
      </c>
      <c r="J2472" s="286" t="s">
        <v>1312</v>
      </c>
      <c r="K2472" s="286" t="s">
        <v>2504</v>
      </c>
      <c r="L2472" s="286" t="s">
        <v>53</v>
      </c>
      <c r="M2472" s="286">
        <v>1</v>
      </c>
      <c r="N2472" s="287">
        <v>-1134.02</v>
      </c>
      <c r="O2472" s="294">
        <f t="shared" si="38"/>
        <v>45504</v>
      </c>
      <c r="P2472" s="286" t="s">
        <v>58</v>
      </c>
    </row>
    <row r="2473" spans="1:16" hidden="1" x14ac:dyDescent="0.15">
      <c r="A2473" s="286">
        <v>516434</v>
      </c>
      <c r="B2473" s="288">
        <v>45369.660416666666</v>
      </c>
      <c r="C2473" s="286" t="s">
        <v>2113</v>
      </c>
      <c r="D2473" s="286" t="s">
        <v>1105</v>
      </c>
      <c r="E2473" s="286" t="s">
        <v>1106</v>
      </c>
      <c r="F2473" s="286" t="s">
        <v>2218</v>
      </c>
      <c r="G2473" s="286" t="s">
        <v>1057</v>
      </c>
      <c r="H2473" s="286" t="s">
        <v>1057</v>
      </c>
      <c r="I2473" s="286" t="s">
        <v>1112</v>
      </c>
      <c r="J2473" s="286" t="s">
        <v>1312</v>
      </c>
      <c r="K2473" s="286" t="s">
        <v>2519</v>
      </c>
      <c r="L2473" s="286" t="s">
        <v>53</v>
      </c>
      <c r="M2473" s="286">
        <v>1</v>
      </c>
      <c r="N2473" s="287">
        <v>-1135</v>
      </c>
      <c r="O2473" s="294">
        <f t="shared" si="38"/>
        <v>45382</v>
      </c>
      <c r="P2473" s="286" t="s">
        <v>175</v>
      </c>
    </row>
    <row r="2474" spans="1:16" hidden="1" x14ac:dyDescent="0.15">
      <c r="A2474" s="286">
        <v>791946</v>
      </c>
      <c r="B2474" s="288">
        <v>45566.592361111114</v>
      </c>
      <c r="C2474" s="286" t="s">
        <v>2132</v>
      </c>
      <c r="D2474" s="286" t="s">
        <v>1105</v>
      </c>
      <c r="E2474" s="286" t="s">
        <v>1106</v>
      </c>
      <c r="F2474" s="286" t="s">
        <v>2260</v>
      </c>
      <c r="G2474" s="286" t="s">
        <v>1058</v>
      </c>
      <c r="H2474" s="286" t="s">
        <v>1058</v>
      </c>
      <c r="I2474" s="286" t="s">
        <v>1282</v>
      </c>
      <c r="J2474" s="286" t="s">
        <v>1312</v>
      </c>
      <c r="K2474" s="286" t="s">
        <v>2524</v>
      </c>
      <c r="L2474" s="286" t="s">
        <v>2525</v>
      </c>
      <c r="M2474" s="286">
        <v>1</v>
      </c>
      <c r="N2474" s="287">
        <v>-1170</v>
      </c>
      <c r="O2474" s="294">
        <f t="shared" si="38"/>
        <v>45596</v>
      </c>
      <c r="P2474" s="286" t="s">
        <v>201</v>
      </c>
    </row>
    <row r="2475" spans="1:16" hidden="1" x14ac:dyDescent="0.15">
      <c r="A2475" s="286">
        <v>803468</v>
      </c>
      <c r="B2475" s="288">
        <v>45573.458333333336</v>
      </c>
      <c r="C2475" s="286" t="s">
        <v>2132</v>
      </c>
      <c r="D2475" s="286" t="s">
        <v>1105</v>
      </c>
      <c r="E2475" s="286" t="s">
        <v>1106</v>
      </c>
      <c r="F2475" s="286" t="s">
        <v>2526</v>
      </c>
      <c r="G2475" s="286" t="s">
        <v>1058</v>
      </c>
      <c r="H2475" s="286" t="s">
        <v>1058</v>
      </c>
      <c r="I2475" s="286" t="s">
        <v>1282</v>
      </c>
      <c r="J2475" s="286" t="s">
        <v>1312</v>
      </c>
      <c r="K2475" s="286" t="s">
        <v>53</v>
      </c>
      <c r="L2475" s="286" t="s">
        <v>53</v>
      </c>
      <c r="M2475" s="286" t="s">
        <v>53</v>
      </c>
      <c r="N2475" s="287">
        <v>-1170</v>
      </c>
      <c r="O2475" s="294">
        <f t="shared" si="38"/>
        <v>45596</v>
      </c>
      <c r="P2475" s="286" t="s">
        <v>201</v>
      </c>
    </row>
    <row r="2476" spans="1:16" hidden="1" x14ac:dyDescent="0.15">
      <c r="A2476" s="286">
        <v>614216</v>
      </c>
      <c r="B2476" s="288">
        <v>45455.716666666667</v>
      </c>
      <c r="C2476" s="286" t="s">
        <v>2116</v>
      </c>
      <c r="D2476" s="286" t="s">
        <v>1105</v>
      </c>
      <c r="E2476" s="286" t="s">
        <v>1106</v>
      </c>
      <c r="F2476" s="286" t="s">
        <v>2156</v>
      </c>
      <c r="G2476" s="286" t="s">
        <v>1090</v>
      </c>
      <c r="H2476" s="286" t="s">
        <v>1090</v>
      </c>
      <c r="I2476" s="286" t="s">
        <v>1199</v>
      </c>
      <c r="J2476" s="286" t="s">
        <v>1312</v>
      </c>
      <c r="K2476" s="286" t="s">
        <v>2076</v>
      </c>
      <c r="L2476" s="286" t="s">
        <v>53</v>
      </c>
      <c r="M2476" s="286">
        <v>1</v>
      </c>
      <c r="N2476" s="287">
        <v>-1192.33</v>
      </c>
      <c r="O2476" s="294">
        <f t="shared" si="38"/>
        <v>45473</v>
      </c>
      <c r="P2476" s="286" t="s">
        <v>58</v>
      </c>
    </row>
    <row r="2477" spans="1:16" hidden="1" x14ac:dyDescent="0.15">
      <c r="A2477" s="286">
        <v>766030</v>
      </c>
      <c r="B2477" s="288">
        <v>45547.447222222225</v>
      </c>
      <c r="C2477" s="286" t="s">
        <v>2132</v>
      </c>
      <c r="D2477" s="286" t="s">
        <v>1105</v>
      </c>
      <c r="E2477" s="286" t="s">
        <v>1106</v>
      </c>
      <c r="F2477" s="286" t="s">
        <v>2414</v>
      </c>
      <c r="G2477" s="286" t="s">
        <v>1004</v>
      </c>
      <c r="H2477" s="286" t="s">
        <v>1004</v>
      </c>
      <c r="I2477" s="286" t="s">
        <v>1199</v>
      </c>
      <c r="J2477" s="286" t="s">
        <v>1312</v>
      </c>
      <c r="K2477" s="286" t="s">
        <v>2376</v>
      </c>
      <c r="L2477" s="286" t="s">
        <v>53</v>
      </c>
      <c r="M2477" s="286">
        <v>1</v>
      </c>
      <c r="N2477" s="287">
        <v>-1201.32</v>
      </c>
      <c r="O2477" s="294">
        <f t="shared" si="38"/>
        <v>45565</v>
      </c>
      <c r="P2477" s="286" t="s">
        <v>58</v>
      </c>
    </row>
    <row r="2478" spans="1:16" hidden="1" x14ac:dyDescent="0.15">
      <c r="A2478" s="286">
        <v>880652</v>
      </c>
      <c r="B2478" s="288">
        <v>45631.365972222222</v>
      </c>
      <c r="C2478" s="286" t="s">
        <v>2100</v>
      </c>
      <c r="D2478" s="286" t="s">
        <v>1105</v>
      </c>
      <c r="E2478" s="286" t="s">
        <v>1106</v>
      </c>
      <c r="F2478" s="286" t="s">
        <v>2247</v>
      </c>
      <c r="G2478" s="286" t="s">
        <v>1069</v>
      </c>
      <c r="H2478" s="286" t="s">
        <v>1069</v>
      </c>
      <c r="I2478" s="286" t="s">
        <v>1230</v>
      </c>
      <c r="J2478" s="286" t="s">
        <v>1312</v>
      </c>
      <c r="K2478" s="286" t="s">
        <v>2527</v>
      </c>
      <c r="L2478" s="286" t="s">
        <v>53</v>
      </c>
      <c r="M2478" s="286">
        <v>1</v>
      </c>
      <c r="N2478" s="287">
        <v>-1217</v>
      </c>
      <c r="O2478" s="294">
        <f t="shared" si="38"/>
        <v>45657</v>
      </c>
      <c r="P2478" s="286" t="s">
        <v>175</v>
      </c>
    </row>
    <row r="2479" spans="1:16" hidden="1" x14ac:dyDescent="0.15">
      <c r="A2479" s="286">
        <v>741366</v>
      </c>
      <c r="B2479" s="288">
        <v>45532.655555555553</v>
      </c>
      <c r="C2479" s="286" t="s">
        <v>2102</v>
      </c>
      <c r="D2479" s="286" t="s">
        <v>1105</v>
      </c>
      <c r="E2479" s="286" t="s">
        <v>1106</v>
      </c>
      <c r="F2479" s="286" t="s">
        <v>2161</v>
      </c>
      <c r="G2479" s="286" t="s">
        <v>1004</v>
      </c>
      <c r="H2479" s="286" t="s">
        <v>1004</v>
      </c>
      <c r="I2479" s="286" t="s">
        <v>1199</v>
      </c>
      <c r="J2479" s="286" t="s">
        <v>1312</v>
      </c>
      <c r="K2479" s="286" t="s">
        <v>53</v>
      </c>
      <c r="L2479" s="286" t="s">
        <v>53</v>
      </c>
      <c r="M2479" s="286" t="s">
        <v>53</v>
      </c>
      <c r="N2479" s="287">
        <v>-1226.49</v>
      </c>
      <c r="O2479" s="294">
        <f t="shared" si="38"/>
        <v>45535</v>
      </c>
      <c r="P2479" s="286" t="s">
        <v>58</v>
      </c>
    </row>
    <row r="2480" spans="1:16" hidden="1" x14ac:dyDescent="0.15">
      <c r="A2480" s="286">
        <v>614316</v>
      </c>
      <c r="B2480" s="288">
        <v>45455.717361111114</v>
      </c>
      <c r="C2480" s="286" t="s">
        <v>2092</v>
      </c>
      <c r="D2480" s="286" t="s">
        <v>1105</v>
      </c>
      <c r="E2480" s="286" t="s">
        <v>1106</v>
      </c>
      <c r="F2480" s="286" t="s">
        <v>2167</v>
      </c>
      <c r="G2480" s="286" t="s">
        <v>1058</v>
      </c>
      <c r="H2480" s="286" t="s">
        <v>1058</v>
      </c>
      <c r="I2480" s="286" t="s">
        <v>1228</v>
      </c>
      <c r="J2480" s="286" t="s">
        <v>1312</v>
      </c>
      <c r="K2480" s="286" t="s">
        <v>2076</v>
      </c>
      <c r="L2480" s="286" t="s">
        <v>53</v>
      </c>
      <c r="M2480" s="286">
        <v>-1</v>
      </c>
      <c r="N2480" s="287">
        <v>-1233.8800000000001</v>
      </c>
      <c r="O2480" s="294">
        <f t="shared" si="38"/>
        <v>45473</v>
      </c>
      <c r="P2480" s="286" t="s">
        <v>58</v>
      </c>
    </row>
    <row r="2481" spans="1:16" hidden="1" x14ac:dyDescent="0.15">
      <c r="A2481" s="286">
        <v>766030</v>
      </c>
      <c r="B2481" s="288">
        <v>45547.447222222225</v>
      </c>
      <c r="C2481" s="286" t="s">
        <v>2132</v>
      </c>
      <c r="D2481" s="286" t="s">
        <v>1105</v>
      </c>
      <c r="E2481" s="286" t="s">
        <v>1106</v>
      </c>
      <c r="F2481" s="286" t="s">
        <v>2414</v>
      </c>
      <c r="G2481" s="286" t="s">
        <v>1004</v>
      </c>
      <c r="H2481" s="286" t="s">
        <v>1004</v>
      </c>
      <c r="I2481" s="286" t="s">
        <v>1199</v>
      </c>
      <c r="J2481" s="286" t="s">
        <v>1312</v>
      </c>
      <c r="K2481" s="286" t="s">
        <v>2376</v>
      </c>
      <c r="L2481" s="286" t="s">
        <v>53</v>
      </c>
      <c r="M2481" s="286">
        <v>1</v>
      </c>
      <c r="N2481" s="287">
        <v>-1245.81</v>
      </c>
      <c r="O2481" s="294">
        <f t="shared" si="38"/>
        <v>45565</v>
      </c>
      <c r="P2481" s="286" t="s">
        <v>58</v>
      </c>
    </row>
    <row r="2482" spans="1:16" hidden="1" x14ac:dyDescent="0.15">
      <c r="A2482" s="286">
        <v>874698</v>
      </c>
      <c r="B2482" s="288">
        <v>45628.357638888891</v>
      </c>
      <c r="C2482" s="286" t="s">
        <v>2098</v>
      </c>
      <c r="D2482" s="286" t="s">
        <v>1105</v>
      </c>
      <c r="E2482" s="286" t="s">
        <v>1106</v>
      </c>
      <c r="F2482" s="286" t="s">
        <v>2142</v>
      </c>
      <c r="G2482" s="286" t="s">
        <v>1036</v>
      </c>
      <c r="H2482" s="286" t="s">
        <v>1036</v>
      </c>
      <c r="I2482" s="286" t="s">
        <v>1199</v>
      </c>
      <c r="J2482" s="286" t="s">
        <v>1312</v>
      </c>
      <c r="K2482" s="286" t="s">
        <v>2068</v>
      </c>
      <c r="L2482" s="286" t="s">
        <v>53</v>
      </c>
      <c r="M2482" s="286">
        <v>1</v>
      </c>
      <c r="N2482" s="287">
        <v>-1251.98</v>
      </c>
      <c r="O2482" s="294">
        <f t="shared" si="38"/>
        <v>45657</v>
      </c>
      <c r="P2482" s="286" t="s">
        <v>58</v>
      </c>
    </row>
    <row r="2483" spans="1:16" hidden="1" x14ac:dyDescent="0.15">
      <c r="A2483" s="286">
        <v>848917</v>
      </c>
      <c r="B2483" s="288">
        <v>45607.660416666666</v>
      </c>
      <c r="C2483" s="286" t="s">
        <v>2100</v>
      </c>
      <c r="D2483" s="286" t="s">
        <v>1105</v>
      </c>
      <c r="E2483" s="286" t="s">
        <v>1106</v>
      </c>
      <c r="F2483" s="286" t="s">
        <v>2141</v>
      </c>
      <c r="G2483" s="286" t="s">
        <v>1024</v>
      </c>
      <c r="H2483" s="286" t="s">
        <v>1024</v>
      </c>
      <c r="I2483" s="286" t="s">
        <v>1228</v>
      </c>
      <c r="J2483" s="286" t="s">
        <v>1312</v>
      </c>
      <c r="K2483" s="286" t="s">
        <v>2510</v>
      </c>
      <c r="L2483" s="286" t="s">
        <v>53</v>
      </c>
      <c r="M2483" s="286">
        <v>1</v>
      </c>
      <c r="N2483" s="287">
        <v>-1276.52</v>
      </c>
      <c r="O2483" s="294">
        <f t="shared" si="38"/>
        <v>45626</v>
      </c>
      <c r="P2483" s="286" t="s">
        <v>58</v>
      </c>
    </row>
    <row r="2484" spans="1:16" hidden="1" x14ac:dyDescent="0.15">
      <c r="A2484" s="286">
        <v>874698</v>
      </c>
      <c r="B2484" s="288">
        <v>45628.357638888891</v>
      </c>
      <c r="C2484" s="286" t="s">
        <v>2098</v>
      </c>
      <c r="D2484" s="286" t="s">
        <v>1105</v>
      </c>
      <c r="E2484" s="286" t="s">
        <v>1106</v>
      </c>
      <c r="F2484" s="286" t="s">
        <v>2142</v>
      </c>
      <c r="G2484" s="286" t="s">
        <v>1024</v>
      </c>
      <c r="H2484" s="286" t="s">
        <v>1024</v>
      </c>
      <c r="I2484" s="286" t="s">
        <v>1228</v>
      </c>
      <c r="J2484" s="286" t="s">
        <v>1312</v>
      </c>
      <c r="K2484" s="286" t="s">
        <v>2510</v>
      </c>
      <c r="L2484" s="286" t="s">
        <v>53</v>
      </c>
      <c r="M2484" s="286">
        <v>1</v>
      </c>
      <c r="N2484" s="287">
        <v>-1276.52</v>
      </c>
      <c r="O2484" s="294">
        <f t="shared" si="38"/>
        <v>45657</v>
      </c>
      <c r="P2484" s="286" t="s">
        <v>58</v>
      </c>
    </row>
    <row r="2485" spans="1:16" hidden="1" x14ac:dyDescent="0.15">
      <c r="A2485" s="286">
        <v>848817</v>
      </c>
      <c r="B2485" s="288">
        <v>45607.65902777778</v>
      </c>
      <c r="C2485" s="286" t="s">
        <v>2130</v>
      </c>
      <c r="D2485" s="286" t="s">
        <v>1105</v>
      </c>
      <c r="E2485" s="286" t="s">
        <v>1106</v>
      </c>
      <c r="F2485" s="286" t="s">
        <v>2140</v>
      </c>
      <c r="G2485" s="286" t="s">
        <v>1033</v>
      </c>
      <c r="H2485" s="286" t="s">
        <v>1033</v>
      </c>
      <c r="I2485" s="286" t="s">
        <v>1228</v>
      </c>
      <c r="J2485" s="286" t="s">
        <v>1312</v>
      </c>
      <c r="K2485" s="286" t="s">
        <v>53</v>
      </c>
      <c r="L2485" s="286" t="s">
        <v>53</v>
      </c>
      <c r="M2485" s="286" t="s">
        <v>53</v>
      </c>
      <c r="N2485" s="287">
        <v>-1281.93</v>
      </c>
      <c r="O2485" s="294">
        <f t="shared" si="38"/>
        <v>45626</v>
      </c>
      <c r="P2485" s="286" t="s">
        <v>58</v>
      </c>
    </row>
    <row r="2486" spans="1:16" hidden="1" x14ac:dyDescent="0.15">
      <c r="A2486" s="286">
        <v>848917</v>
      </c>
      <c r="B2486" s="288">
        <v>45607.660416666666</v>
      </c>
      <c r="C2486" s="286" t="s">
        <v>2100</v>
      </c>
      <c r="D2486" s="286" t="s">
        <v>1105</v>
      </c>
      <c r="E2486" s="286" t="s">
        <v>1106</v>
      </c>
      <c r="F2486" s="286" t="s">
        <v>2141</v>
      </c>
      <c r="G2486" s="286" t="s">
        <v>1033</v>
      </c>
      <c r="H2486" s="286" t="s">
        <v>1033</v>
      </c>
      <c r="I2486" s="286" t="s">
        <v>1228</v>
      </c>
      <c r="J2486" s="286" t="s">
        <v>1312</v>
      </c>
      <c r="K2486" s="286" t="s">
        <v>53</v>
      </c>
      <c r="L2486" s="286" t="s">
        <v>53</v>
      </c>
      <c r="M2486" s="286" t="s">
        <v>53</v>
      </c>
      <c r="N2486" s="287">
        <v>-1281.93</v>
      </c>
      <c r="O2486" s="294">
        <f t="shared" si="38"/>
        <v>45626</v>
      </c>
      <c r="P2486" s="286" t="s">
        <v>58</v>
      </c>
    </row>
    <row r="2487" spans="1:16" hidden="1" x14ac:dyDescent="0.15">
      <c r="A2487" s="286">
        <v>874698</v>
      </c>
      <c r="B2487" s="288">
        <v>45628.357638888891</v>
      </c>
      <c r="C2487" s="286" t="s">
        <v>2098</v>
      </c>
      <c r="D2487" s="286" t="s">
        <v>1105</v>
      </c>
      <c r="E2487" s="286" t="s">
        <v>1106</v>
      </c>
      <c r="F2487" s="286" t="s">
        <v>2142</v>
      </c>
      <c r="G2487" s="286" t="s">
        <v>1033</v>
      </c>
      <c r="H2487" s="286" t="s">
        <v>1033</v>
      </c>
      <c r="I2487" s="286" t="s">
        <v>1228</v>
      </c>
      <c r="J2487" s="286" t="s">
        <v>1312</v>
      </c>
      <c r="K2487" s="286" t="s">
        <v>53</v>
      </c>
      <c r="L2487" s="286" t="s">
        <v>53</v>
      </c>
      <c r="M2487" s="286" t="s">
        <v>53</v>
      </c>
      <c r="N2487" s="287">
        <v>-1281.93</v>
      </c>
      <c r="O2487" s="294">
        <f t="shared" si="38"/>
        <v>45657</v>
      </c>
      <c r="P2487" s="286" t="s">
        <v>58</v>
      </c>
    </row>
    <row r="2488" spans="1:16" hidden="1" x14ac:dyDescent="0.15">
      <c r="A2488" s="286">
        <v>455870</v>
      </c>
      <c r="B2488" s="288">
        <v>45310.583333333336</v>
      </c>
      <c r="C2488" s="286" t="s">
        <v>2125</v>
      </c>
      <c r="D2488" s="286" t="s">
        <v>1105</v>
      </c>
      <c r="E2488" s="286" t="s">
        <v>1106</v>
      </c>
      <c r="F2488" s="286" t="s">
        <v>2280</v>
      </c>
      <c r="G2488" s="286" t="s">
        <v>1039</v>
      </c>
      <c r="H2488" s="286" t="s">
        <v>1039</v>
      </c>
      <c r="I2488" s="286" t="s">
        <v>1228</v>
      </c>
      <c r="J2488" s="286" t="s">
        <v>1312</v>
      </c>
      <c r="K2488" s="286" t="s">
        <v>53</v>
      </c>
      <c r="L2488" s="286" t="s">
        <v>53</v>
      </c>
      <c r="M2488" s="286" t="s">
        <v>53</v>
      </c>
      <c r="N2488" s="287">
        <v>-1282.24</v>
      </c>
      <c r="O2488" s="294">
        <f t="shared" si="38"/>
        <v>45322</v>
      </c>
      <c r="P2488" s="286" t="s">
        <v>58</v>
      </c>
    </row>
    <row r="2489" spans="1:16" hidden="1" x14ac:dyDescent="0.15">
      <c r="A2489" s="286">
        <v>472168</v>
      </c>
      <c r="B2489" s="288">
        <v>45331.416666666664</v>
      </c>
      <c r="C2489" s="286" t="s">
        <v>2113</v>
      </c>
      <c r="D2489" s="286" t="s">
        <v>1105</v>
      </c>
      <c r="E2489" s="286" t="s">
        <v>1106</v>
      </c>
      <c r="F2489" s="286" t="s">
        <v>2153</v>
      </c>
      <c r="G2489" s="286" t="s">
        <v>1039</v>
      </c>
      <c r="H2489" s="286" t="s">
        <v>1039</v>
      </c>
      <c r="I2489" s="286" t="s">
        <v>1228</v>
      </c>
      <c r="J2489" s="286" t="s">
        <v>1312</v>
      </c>
      <c r="K2489" s="286" t="s">
        <v>53</v>
      </c>
      <c r="L2489" s="286" t="s">
        <v>53</v>
      </c>
      <c r="M2489" s="286" t="s">
        <v>53</v>
      </c>
      <c r="N2489" s="287">
        <v>-1282.24</v>
      </c>
      <c r="O2489" s="294">
        <f t="shared" si="38"/>
        <v>45351</v>
      </c>
      <c r="P2489" s="286" t="s">
        <v>58</v>
      </c>
    </row>
    <row r="2490" spans="1:16" hidden="1" x14ac:dyDescent="0.15">
      <c r="A2490" s="286">
        <v>504817</v>
      </c>
      <c r="B2490" s="288">
        <v>45359.645138888889</v>
      </c>
      <c r="C2490" s="286" t="s">
        <v>2109</v>
      </c>
      <c r="D2490" s="286" t="s">
        <v>1105</v>
      </c>
      <c r="E2490" s="286" t="s">
        <v>1106</v>
      </c>
      <c r="F2490" s="286" t="s">
        <v>2154</v>
      </c>
      <c r="G2490" s="286" t="s">
        <v>1039</v>
      </c>
      <c r="H2490" s="286" t="s">
        <v>1039</v>
      </c>
      <c r="I2490" s="286" t="s">
        <v>1228</v>
      </c>
      <c r="J2490" s="286" t="s">
        <v>1312</v>
      </c>
      <c r="K2490" s="286" t="s">
        <v>53</v>
      </c>
      <c r="L2490" s="286" t="s">
        <v>53</v>
      </c>
      <c r="M2490" s="286" t="s">
        <v>53</v>
      </c>
      <c r="N2490" s="287">
        <v>-1282.24</v>
      </c>
      <c r="O2490" s="294">
        <f t="shared" si="38"/>
        <v>45382</v>
      </c>
      <c r="P2490" s="286" t="s">
        <v>58</v>
      </c>
    </row>
    <row r="2491" spans="1:16" hidden="1" x14ac:dyDescent="0.15">
      <c r="A2491" s="286">
        <v>534207</v>
      </c>
      <c r="B2491" s="288">
        <v>45385.750694444447</v>
      </c>
      <c r="C2491" s="286" t="s">
        <v>2096</v>
      </c>
      <c r="D2491" s="286" t="s">
        <v>1105</v>
      </c>
      <c r="E2491" s="286" t="s">
        <v>1106</v>
      </c>
      <c r="F2491" s="286" t="s">
        <v>2155</v>
      </c>
      <c r="G2491" s="286" t="s">
        <v>1039</v>
      </c>
      <c r="H2491" s="286" t="s">
        <v>1039</v>
      </c>
      <c r="I2491" s="286" t="s">
        <v>1228</v>
      </c>
      <c r="J2491" s="286" t="s">
        <v>1312</v>
      </c>
      <c r="K2491" s="286" t="s">
        <v>53</v>
      </c>
      <c r="L2491" s="286" t="s">
        <v>53</v>
      </c>
      <c r="M2491" s="286" t="s">
        <v>53</v>
      </c>
      <c r="N2491" s="287">
        <v>-1282.24</v>
      </c>
      <c r="O2491" s="294">
        <f t="shared" si="38"/>
        <v>45412</v>
      </c>
      <c r="P2491" s="286" t="s">
        <v>58</v>
      </c>
    </row>
    <row r="2492" spans="1:16" hidden="1" x14ac:dyDescent="0.15">
      <c r="A2492" s="286">
        <v>614216</v>
      </c>
      <c r="B2492" s="288">
        <v>45455.716666666667</v>
      </c>
      <c r="C2492" s="286" t="s">
        <v>2116</v>
      </c>
      <c r="D2492" s="286" t="s">
        <v>1105</v>
      </c>
      <c r="E2492" s="286" t="s">
        <v>1106</v>
      </c>
      <c r="F2492" s="286" t="s">
        <v>2156</v>
      </c>
      <c r="G2492" s="286" t="s">
        <v>1039</v>
      </c>
      <c r="H2492" s="286" t="s">
        <v>1039</v>
      </c>
      <c r="I2492" s="286" t="s">
        <v>1228</v>
      </c>
      <c r="J2492" s="286" t="s">
        <v>1312</v>
      </c>
      <c r="K2492" s="286" t="s">
        <v>53</v>
      </c>
      <c r="L2492" s="286" t="s">
        <v>53</v>
      </c>
      <c r="M2492" s="286" t="s">
        <v>53</v>
      </c>
      <c r="N2492" s="287">
        <v>-1282.26</v>
      </c>
      <c r="O2492" s="294">
        <f t="shared" si="38"/>
        <v>45473</v>
      </c>
      <c r="P2492" s="286" t="s">
        <v>58</v>
      </c>
    </row>
    <row r="2493" spans="1:16" hidden="1" x14ac:dyDescent="0.15">
      <c r="A2493" s="286">
        <v>697810</v>
      </c>
      <c r="B2493" s="288">
        <v>45510.366666666669</v>
      </c>
      <c r="C2493" s="286" t="s">
        <v>2102</v>
      </c>
      <c r="D2493" s="286" t="s">
        <v>1105</v>
      </c>
      <c r="E2493" s="286" t="s">
        <v>1106</v>
      </c>
      <c r="F2493" s="286" t="s">
        <v>2138</v>
      </c>
      <c r="G2493" s="286" t="s">
        <v>1007</v>
      </c>
      <c r="H2493" s="286" t="s">
        <v>1007</v>
      </c>
      <c r="I2493" s="286" t="s">
        <v>1228</v>
      </c>
      <c r="J2493" s="286" t="s">
        <v>1312</v>
      </c>
      <c r="K2493" s="286" t="s">
        <v>2502</v>
      </c>
      <c r="L2493" s="286" t="s">
        <v>53</v>
      </c>
      <c r="M2493" s="286">
        <v>1</v>
      </c>
      <c r="N2493" s="287">
        <v>-1321.8</v>
      </c>
      <c r="O2493" s="294">
        <f t="shared" si="38"/>
        <v>45535</v>
      </c>
      <c r="P2493" s="286" t="s">
        <v>58</v>
      </c>
    </row>
    <row r="2494" spans="1:16" hidden="1" x14ac:dyDescent="0.15">
      <c r="A2494" s="286">
        <v>438112</v>
      </c>
      <c r="B2494" s="288">
        <v>45293.53402777778</v>
      </c>
      <c r="C2494" s="286" t="s">
        <v>2125</v>
      </c>
      <c r="D2494" s="286" t="s">
        <v>1105</v>
      </c>
      <c r="E2494" s="286" t="s">
        <v>1106</v>
      </c>
      <c r="F2494" s="286" t="s">
        <v>2152</v>
      </c>
      <c r="G2494" s="286" t="s">
        <v>1010</v>
      </c>
      <c r="H2494" s="286" t="s">
        <v>1010</v>
      </c>
      <c r="I2494" s="286" t="s">
        <v>1199</v>
      </c>
      <c r="J2494" s="286" t="s">
        <v>1312</v>
      </c>
      <c r="K2494" s="286" t="s">
        <v>2070</v>
      </c>
      <c r="L2494" s="286" t="s">
        <v>53</v>
      </c>
      <c r="M2494" s="286">
        <v>1</v>
      </c>
      <c r="N2494" s="287">
        <v>-1322.94</v>
      </c>
      <c r="O2494" s="294">
        <f t="shared" si="38"/>
        <v>45322</v>
      </c>
      <c r="P2494" s="286" t="s">
        <v>58</v>
      </c>
    </row>
    <row r="2495" spans="1:16" hidden="1" x14ac:dyDescent="0.15">
      <c r="A2495" s="286">
        <v>472168</v>
      </c>
      <c r="B2495" s="288">
        <v>45331.416666666664</v>
      </c>
      <c r="C2495" s="286" t="s">
        <v>2113</v>
      </c>
      <c r="D2495" s="286" t="s">
        <v>1105</v>
      </c>
      <c r="E2495" s="286" t="s">
        <v>1106</v>
      </c>
      <c r="F2495" s="286" t="s">
        <v>2153</v>
      </c>
      <c r="G2495" s="286" t="s">
        <v>1010</v>
      </c>
      <c r="H2495" s="286" t="s">
        <v>1010</v>
      </c>
      <c r="I2495" s="286" t="s">
        <v>1199</v>
      </c>
      <c r="J2495" s="286" t="s">
        <v>1312</v>
      </c>
      <c r="K2495" s="286" t="s">
        <v>2070</v>
      </c>
      <c r="L2495" s="286" t="s">
        <v>53</v>
      </c>
      <c r="M2495" s="286">
        <v>1</v>
      </c>
      <c r="N2495" s="287">
        <v>-1322.94</v>
      </c>
      <c r="O2495" s="294">
        <f t="shared" si="38"/>
        <v>45351</v>
      </c>
      <c r="P2495" s="286" t="s">
        <v>58</v>
      </c>
    </row>
    <row r="2496" spans="1:16" hidden="1" x14ac:dyDescent="0.15">
      <c r="A2496" s="286">
        <v>504817</v>
      </c>
      <c r="B2496" s="288">
        <v>45359.645138888889</v>
      </c>
      <c r="C2496" s="286" t="s">
        <v>2109</v>
      </c>
      <c r="D2496" s="286" t="s">
        <v>1105</v>
      </c>
      <c r="E2496" s="286" t="s">
        <v>1106</v>
      </c>
      <c r="F2496" s="286" t="s">
        <v>2154</v>
      </c>
      <c r="G2496" s="286" t="s">
        <v>1010</v>
      </c>
      <c r="H2496" s="286" t="s">
        <v>1010</v>
      </c>
      <c r="I2496" s="286" t="s">
        <v>1199</v>
      </c>
      <c r="J2496" s="286" t="s">
        <v>1312</v>
      </c>
      <c r="K2496" s="286" t="s">
        <v>2070</v>
      </c>
      <c r="L2496" s="286" t="s">
        <v>53</v>
      </c>
      <c r="M2496" s="286">
        <v>1</v>
      </c>
      <c r="N2496" s="287">
        <v>-1322.94</v>
      </c>
      <c r="O2496" s="294">
        <f t="shared" si="38"/>
        <v>45382</v>
      </c>
      <c r="P2496" s="286" t="s">
        <v>58</v>
      </c>
    </row>
    <row r="2497" spans="1:16" hidden="1" x14ac:dyDescent="0.15">
      <c r="A2497" s="286">
        <v>534207</v>
      </c>
      <c r="B2497" s="288">
        <v>45385.750694444447</v>
      </c>
      <c r="C2497" s="286" t="s">
        <v>2096</v>
      </c>
      <c r="D2497" s="286" t="s">
        <v>1105</v>
      </c>
      <c r="E2497" s="286" t="s">
        <v>1106</v>
      </c>
      <c r="F2497" s="286" t="s">
        <v>2155</v>
      </c>
      <c r="G2497" s="286" t="s">
        <v>1010</v>
      </c>
      <c r="H2497" s="286" t="s">
        <v>1010</v>
      </c>
      <c r="I2497" s="286" t="s">
        <v>1199</v>
      </c>
      <c r="J2497" s="286" t="s">
        <v>1312</v>
      </c>
      <c r="K2497" s="286" t="s">
        <v>2070</v>
      </c>
      <c r="L2497" s="286" t="s">
        <v>53</v>
      </c>
      <c r="M2497" s="286">
        <v>1</v>
      </c>
      <c r="N2497" s="287">
        <v>-1322.94</v>
      </c>
      <c r="O2497" s="294">
        <f t="shared" si="38"/>
        <v>45412</v>
      </c>
      <c r="P2497" s="286" t="s">
        <v>58</v>
      </c>
    </row>
    <row r="2498" spans="1:16" hidden="1" x14ac:dyDescent="0.15">
      <c r="A2498" s="286">
        <v>614216</v>
      </c>
      <c r="B2498" s="288">
        <v>45455.716666666667</v>
      </c>
      <c r="C2498" s="286" t="s">
        <v>2116</v>
      </c>
      <c r="D2498" s="286" t="s">
        <v>1105</v>
      </c>
      <c r="E2498" s="286" t="s">
        <v>1106</v>
      </c>
      <c r="F2498" s="286" t="s">
        <v>2156</v>
      </c>
      <c r="G2498" s="286" t="s">
        <v>1010</v>
      </c>
      <c r="H2498" s="286" t="s">
        <v>1010</v>
      </c>
      <c r="I2498" s="286" t="s">
        <v>1199</v>
      </c>
      <c r="J2498" s="286" t="s">
        <v>1312</v>
      </c>
      <c r="K2498" s="286" t="s">
        <v>2070</v>
      </c>
      <c r="L2498" s="286" t="s">
        <v>53</v>
      </c>
      <c r="M2498" s="286">
        <v>1</v>
      </c>
      <c r="N2498" s="287">
        <v>-1322.94</v>
      </c>
      <c r="O2498" s="294">
        <f t="shared" si="38"/>
        <v>45473</v>
      </c>
      <c r="P2498" s="286" t="s">
        <v>58</v>
      </c>
    </row>
    <row r="2499" spans="1:16" hidden="1" x14ac:dyDescent="0.15">
      <c r="A2499" s="286">
        <v>608480</v>
      </c>
      <c r="B2499" s="288">
        <v>45450.422222222223</v>
      </c>
      <c r="C2499" s="286" t="s">
        <v>2092</v>
      </c>
      <c r="D2499" s="286" t="s">
        <v>1105</v>
      </c>
      <c r="E2499" s="286" t="s">
        <v>1106</v>
      </c>
      <c r="F2499" s="286" t="s">
        <v>2157</v>
      </c>
      <c r="G2499" s="286" t="s">
        <v>1010</v>
      </c>
      <c r="H2499" s="286" t="s">
        <v>1010</v>
      </c>
      <c r="I2499" s="286" t="s">
        <v>1199</v>
      </c>
      <c r="J2499" s="286" t="s">
        <v>1312</v>
      </c>
      <c r="K2499" s="286" t="s">
        <v>2070</v>
      </c>
      <c r="L2499" s="286" t="s">
        <v>53</v>
      </c>
      <c r="M2499" s="286">
        <v>1</v>
      </c>
      <c r="N2499" s="287">
        <v>-1322.94</v>
      </c>
      <c r="O2499" s="294">
        <f t="shared" si="38"/>
        <v>45473</v>
      </c>
      <c r="P2499" s="286" t="s">
        <v>58</v>
      </c>
    </row>
    <row r="2500" spans="1:16" hidden="1" x14ac:dyDescent="0.15">
      <c r="A2500" s="286">
        <v>646075</v>
      </c>
      <c r="B2500" s="288">
        <v>45474.519444444442</v>
      </c>
      <c r="C2500" s="286" t="s">
        <v>2111</v>
      </c>
      <c r="D2500" s="286" t="s">
        <v>1105</v>
      </c>
      <c r="E2500" s="286" t="s">
        <v>1106</v>
      </c>
      <c r="F2500" s="286" t="s">
        <v>2137</v>
      </c>
      <c r="G2500" s="286" t="s">
        <v>1010</v>
      </c>
      <c r="H2500" s="286" t="s">
        <v>1010</v>
      </c>
      <c r="I2500" s="286" t="s">
        <v>1199</v>
      </c>
      <c r="J2500" s="286" t="s">
        <v>1312</v>
      </c>
      <c r="K2500" s="286" t="s">
        <v>2070</v>
      </c>
      <c r="L2500" s="286" t="s">
        <v>53</v>
      </c>
      <c r="M2500" s="286">
        <v>1</v>
      </c>
      <c r="N2500" s="287">
        <v>-1322.94</v>
      </c>
      <c r="O2500" s="294">
        <f t="shared" ref="O2500:O2563" si="39">EOMONTH(B2500,0)</f>
        <v>45504</v>
      </c>
      <c r="P2500" s="286" t="s">
        <v>58</v>
      </c>
    </row>
    <row r="2501" spans="1:16" hidden="1" x14ac:dyDescent="0.15">
      <c r="A2501" s="286">
        <v>697810</v>
      </c>
      <c r="B2501" s="288">
        <v>45510.366666666669</v>
      </c>
      <c r="C2501" s="286" t="s">
        <v>2102</v>
      </c>
      <c r="D2501" s="286" t="s">
        <v>1105</v>
      </c>
      <c r="E2501" s="286" t="s">
        <v>1106</v>
      </c>
      <c r="F2501" s="286" t="s">
        <v>2138</v>
      </c>
      <c r="G2501" s="286" t="s">
        <v>1010</v>
      </c>
      <c r="H2501" s="286" t="s">
        <v>1010</v>
      </c>
      <c r="I2501" s="286" t="s">
        <v>1199</v>
      </c>
      <c r="J2501" s="286" t="s">
        <v>1312</v>
      </c>
      <c r="K2501" s="286" t="s">
        <v>2070</v>
      </c>
      <c r="L2501" s="286" t="s">
        <v>53</v>
      </c>
      <c r="M2501" s="286">
        <v>1</v>
      </c>
      <c r="N2501" s="287">
        <v>-1322.94</v>
      </c>
      <c r="O2501" s="294">
        <f t="shared" si="39"/>
        <v>45535</v>
      </c>
      <c r="P2501" s="286" t="s">
        <v>58</v>
      </c>
    </row>
    <row r="2502" spans="1:16" hidden="1" x14ac:dyDescent="0.15">
      <c r="A2502" s="286">
        <v>745911</v>
      </c>
      <c r="B2502" s="288">
        <v>45538.44027777778</v>
      </c>
      <c r="C2502" s="286" t="s">
        <v>2132</v>
      </c>
      <c r="D2502" s="286" t="s">
        <v>1105</v>
      </c>
      <c r="E2502" s="286" t="s">
        <v>1106</v>
      </c>
      <c r="F2502" s="286" t="s">
        <v>2139</v>
      </c>
      <c r="G2502" s="286" t="s">
        <v>1010</v>
      </c>
      <c r="H2502" s="286" t="s">
        <v>1010</v>
      </c>
      <c r="I2502" s="286" t="s">
        <v>1199</v>
      </c>
      <c r="J2502" s="286" t="s">
        <v>1312</v>
      </c>
      <c r="K2502" s="286" t="s">
        <v>2070</v>
      </c>
      <c r="L2502" s="286" t="s">
        <v>53</v>
      </c>
      <c r="M2502" s="286">
        <v>1</v>
      </c>
      <c r="N2502" s="287">
        <v>-1322.94</v>
      </c>
      <c r="O2502" s="294">
        <f t="shared" si="39"/>
        <v>45565</v>
      </c>
      <c r="P2502" s="286" t="s">
        <v>58</v>
      </c>
    </row>
    <row r="2503" spans="1:16" hidden="1" x14ac:dyDescent="0.15">
      <c r="A2503" s="286">
        <v>848716</v>
      </c>
      <c r="B2503" s="288">
        <v>45607.647916666669</v>
      </c>
      <c r="C2503" s="286" t="s">
        <v>2130</v>
      </c>
      <c r="D2503" s="286" t="s">
        <v>1105</v>
      </c>
      <c r="E2503" s="286" t="s">
        <v>1106</v>
      </c>
      <c r="F2503" s="286" t="s">
        <v>2241</v>
      </c>
      <c r="G2503" s="286" t="s">
        <v>1024</v>
      </c>
      <c r="H2503" s="286" t="s">
        <v>1024</v>
      </c>
      <c r="I2503" s="286" t="s">
        <v>1199</v>
      </c>
      <c r="J2503" s="286" t="s">
        <v>1312</v>
      </c>
      <c r="K2503" s="286" t="s">
        <v>53</v>
      </c>
      <c r="L2503" s="286" t="s">
        <v>53</v>
      </c>
      <c r="M2503" s="286" t="s">
        <v>53</v>
      </c>
      <c r="N2503" s="287">
        <v>-1360.34</v>
      </c>
      <c r="O2503" s="294">
        <f t="shared" si="39"/>
        <v>45626</v>
      </c>
      <c r="P2503" s="286" t="s">
        <v>58</v>
      </c>
    </row>
    <row r="2504" spans="1:16" hidden="1" x14ac:dyDescent="0.15">
      <c r="A2504" s="286">
        <v>848716</v>
      </c>
      <c r="B2504" s="288">
        <v>45607.647916666669</v>
      </c>
      <c r="C2504" s="286" t="s">
        <v>2130</v>
      </c>
      <c r="D2504" s="286" t="s">
        <v>1105</v>
      </c>
      <c r="E2504" s="286" t="s">
        <v>1106</v>
      </c>
      <c r="F2504" s="286" t="s">
        <v>2241</v>
      </c>
      <c r="G2504" s="286" t="s">
        <v>1024</v>
      </c>
      <c r="H2504" s="286" t="s">
        <v>1024</v>
      </c>
      <c r="I2504" s="286" t="s">
        <v>1228</v>
      </c>
      <c r="J2504" s="286" t="s">
        <v>1312</v>
      </c>
      <c r="K2504" s="286" t="s">
        <v>53</v>
      </c>
      <c r="L2504" s="286" t="s">
        <v>53</v>
      </c>
      <c r="M2504" s="286" t="s">
        <v>53</v>
      </c>
      <c r="N2504" s="287">
        <v>-1360.37</v>
      </c>
      <c r="O2504" s="294">
        <f t="shared" si="39"/>
        <v>45626</v>
      </c>
      <c r="P2504" s="286" t="s">
        <v>58</v>
      </c>
    </row>
    <row r="2505" spans="1:16" hidden="1" x14ac:dyDescent="0.15">
      <c r="A2505" s="286">
        <v>874698</v>
      </c>
      <c r="B2505" s="288">
        <v>45628.357638888891</v>
      </c>
      <c r="C2505" s="286" t="s">
        <v>2098</v>
      </c>
      <c r="D2505" s="286" t="s">
        <v>1105</v>
      </c>
      <c r="E2505" s="286" t="s">
        <v>1106</v>
      </c>
      <c r="F2505" s="286" t="s">
        <v>2142</v>
      </c>
      <c r="G2505" s="286" t="s">
        <v>1015</v>
      </c>
      <c r="H2505" s="286" t="s">
        <v>1015</v>
      </c>
      <c r="I2505" s="286" t="s">
        <v>1228</v>
      </c>
      <c r="J2505" s="286" t="s">
        <v>1312</v>
      </c>
      <c r="K2505" s="286" t="s">
        <v>2510</v>
      </c>
      <c r="L2505" s="286" t="s">
        <v>53</v>
      </c>
      <c r="M2505" s="286">
        <v>1</v>
      </c>
      <c r="N2505" s="287">
        <v>-1362.78</v>
      </c>
      <c r="O2505" s="294">
        <f t="shared" si="39"/>
        <v>45657</v>
      </c>
      <c r="P2505" s="286" t="s">
        <v>58</v>
      </c>
    </row>
    <row r="2506" spans="1:16" hidden="1" x14ac:dyDescent="0.15">
      <c r="A2506" s="286">
        <v>874698</v>
      </c>
      <c r="B2506" s="288">
        <v>45628.357638888891</v>
      </c>
      <c r="C2506" s="286" t="s">
        <v>2098</v>
      </c>
      <c r="D2506" s="286" t="s">
        <v>1105</v>
      </c>
      <c r="E2506" s="286" t="s">
        <v>1106</v>
      </c>
      <c r="F2506" s="286" t="s">
        <v>2142</v>
      </c>
      <c r="G2506" s="286" t="s">
        <v>1036</v>
      </c>
      <c r="H2506" s="286" t="s">
        <v>1036</v>
      </c>
      <c r="I2506" s="286" t="s">
        <v>1199</v>
      </c>
      <c r="J2506" s="286" t="s">
        <v>1312</v>
      </c>
      <c r="K2506" s="286" t="s">
        <v>2068</v>
      </c>
      <c r="L2506" s="286" t="s">
        <v>53</v>
      </c>
      <c r="M2506" s="286">
        <v>1</v>
      </c>
      <c r="N2506" s="287">
        <v>-1410.3</v>
      </c>
      <c r="O2506" s="294">
        <f t="shared" si="39"/>
        <v>45657</v>
      </c>
      <c r="P2506" s="286" t="s">
        <v>58</v>
      </c>
    </row>
    <row r="2507" spans="1:16" hidden="1" x14ac:dyDescent="0.15">
      <c r="A2507" s="286">
        <v>848917</v>
      </c>
      <c r="B2507" s="288">
        <v>45607.660416666666</v>
      </c>
      <c r="C2507" s="286" t="s">
        <v>2100</v>
      </c>
      <c r="D2507" s="286" t="s">
        <v>1105</v>
      </c>
      <c r="E2507" s="286" t="s">
        <v>1106</v>
      </c>
      <c r="F2507" s="286" t="s">
        <v>2141</v>
      </c>
      <c r="G2507" s="286" t="s">
        <v>1010</v>
      </c>
      <c r="H2507" s="286" t="s">
        <v>1010</v>
      </c>
      <c r="I2507" s="286" t="s">
        <v>1199</v>
      </c>
      <c r="J2507" s="286" t="s">
        <v>1312</v>
      </c>
      <c r="K2507" s="286" t="s">
        <v>2070</v>
      </c>
      <c r="L2507" s="286" t="s">
        <v>53</v>
      </c>
      <c r="M2507" s="286">
        <v>1</v>
      </c>
      <c r="N2507" s="287">
        <v>-1454.88</v>
      </c>
      <c r="O2507" s="294">
        <f t="shared" si="39"/>
        <v>45626</v>
      </c>
      <c r="P2507" s="286" t="s">
        <v>58</v>
      </c>
    </row>
    <row r="2508" spans="1:16" hidden="1" x14ac:dyDescent="0.15">
      <c r="A2508" s="286">
        <v>874698</v>
      </c>
      <c r="B2508" s="288">
        <v>45628.357638888891</v>
      </c>
      <c r="C2508" s="286" t="s">
        <v>2098</v>
      </c>
      <c r="D2508" s="286" t="s">
        <v>1105</v>
      </c>
      <c r="E2508" s="286" t="s">
        <v>1106</v>
      </c>
      <c r="F2508" s="286" t="s">
        <v>2142</v>
      </c>
      <c r="G2508" s="286" t="s">
        <v>1010</v>
      </c>
      <c r="H2508" s="286" t="s">
        <v>1010</v>
      </c>
      <c r="I2508" s="286" t="s">
        <v>1199</v>
      </c>
      <c r="J2508" s="286" t="s">
        <v>1312</v>
      </c>
      <c r="K2508" s="286" t="s">
        <v>2070</v>
      </c>
      <c r="L2508" s="286" t="s">
        <v>53</v>
      </c>
      <c r="M2508" s="286">
        <v>1</v>
      </c>
      <c r="N2508" s="287">
        <v>-1454.88</v>
      </c>
      <c r="O2508" s="294">
        <f t="shared" si="39"/>
        <v>45657</v>
      </c>
      <c r="P2508" s="286" t="s">
        <v>58</v>
      </c>
    </row>
    <row r="2509" spans="1:16" hidden="1" x14ac:dyDescent="0.15">
      <c r="A2509" s="286">
        <v>874698</v>
      </c>
      <c r="B2509" s="288">
        <v>45628.357638888891</v>
      </c>
      <c r="C2509" s="286" t="s">
        <v>2098</v>
      </c>
      <c r="D2509" s="286" t="s">
        <v>1105</v>
      </c>
      <c r="E2509" s="286" t="s">
        <v>1106</v>
      </c>
      <c r="F2509" s="286" t="s">
        <v>2142</v>
      </c>
      <c r="G2509" s="286" t="s">
        <v>1036</v>
      </c>
      <c r="H2509" s="286" t="s">
        <v>1036</v>
      </c>
      <c r="I2509" s="286" t="s">
        <v>1199</v>
      </c>
      <c r="J2509" s="286" t="s">
        <v>1312</v>
      </c>
      <c r="K2509" s="286" t="s">
        <v>2068</v>
      </c>
      <c r="L2509" s="286" t="s">
        <v>53</v>
      </c>
      <c r="M2509" s="286">
        <v>1</v>
      </c>
      <c r="N2509" s="287">
        <v>-1472.38</v>
      </c>
      <c r="O2509" s="294">
        <f t="shared" si="39"/>
        <v>45657</v>
      </c>
      <c r="P2509" s="286" t="s">
        <v>58</v>
      </c>
    </row>
    <row r="2510" spans="1:16" hidden="1" x14ac:dyDescent="0.15">
      <c r="A2510" s="286">
        <v>883783</v>
      </c>
      <c r="B2510" s="288">
        <v>45632.650694444441</v>
      </c>
      <c r="C2510" s="286" t="s">
        <v>2100</v>
      </c>
      <c r="D2510" s="286" t="s">
        <v>1105</v>
      </c>
      <c r="E2510" s="286" t="s">
        <v>1106</v>
      </c>
      <c r="F2510" s="286" t="s">
        <v>2528</v>
      </c>
      <c r="G2510" s="286" t="s">
        <v>1041</v>
      </c>
      <c r="H2510" s="286" t="s">
        <v>1041</v>
      </c>
      <c r="I2510" s="286" t="s">
        <v>1129</v>
      </c>
      <c r="J2510" s="286" t="s">
        <v>1312</v>
      </c>
      <c r="K2510" s="286" t="s">
        <v>2359</v>
      </c>
      <c r="L2510" s="286" t="s">
        <v>2360</v>
      </c>
      <c r="M2510" s="286">
        <v>1</v>
      </c>
      <c r="N2510" s="287">
        <v>-1530.28</v>
      </c>
      <c r="O2510" s="294">
        <f t="shared" si="39"/>
        <v>45657</v>
      </c>
      <c r="P2510" s="286" t="s">
        <v>164</v>
      </c>
    </row>
    <row r="2511" spans="1:16" hidden="1" x14ac:dyDescent="0.15">
      <c r="A2511" s="286">
        <v>848917</v>
      </c>
      <c r="B2511" s="288">
        <v>45607.660416666666</v>
      </c>
      <c r="C2511" s="286" t="s">
        <v>2100</v>
      </c>
      <c r="D2511" s="286" t="s">
        <v>1105</v>
      </c>
      <c r="E2511" s="286" t="s">
        <v>1106</v>
      </c>
      <c r="F2511" s="286" t="s">
        <v>2141</v>
      </c>
      <c r="G2511" s="286" t="s">
        <v>1010</v>
      </c>
      <c r="H2511" s="286" t="s">
        <v>1010</v>
      </c>
      <c r="I2511" s="286" t="s">
        <v>1199</v>
      </c>
      <c r="J2511" s="286" t="s">
        <v>1312</v>
      </c>
      <c r="K2511" s="286" t="s">
        <v>2069</v>
      </c>
      <c r="L2511" s="286" t="s">
        <v>53</v>
      </c>
      <c r="M2511" s="286">
        <v>1</v>
      </c>
      <c r="N2511" s="287">
        <v>-1575.33</v>
      </c>
      <c r="O2511" s="294">
        <f t="shared" si="39"/>
        <v>45626</v>
      </c>
      <c r="P2511" s="286" t="s">
        <v>58</v>
      </c>
    </row>
    <row r="2512" spans="1:16" hidden="1" x14ac:dyDescent="0.15">
      <c r="A2512" s="286">
        <v>874698</v>
      </c>
      <c r="B2512" s="288">
        <v>45628.357638888891</v>
      </c>
      <c r="C2512" s="286" t="s">
        <v>2098</v>
      </c>
      <c r="D2512" s="286" t="s">
        <v>1105</v>
      </c>
      <c r="E2512" s="286" t="s">
        <v>1106</v>
      </c>
      <c r="F2512" s="286" t="s">
        <v>2142</v>
      </c>
      <c r="G2512" s="286" t="s">
        <v>1010</v>
      </c>
      <c r="H2512" s="286" t="s">
        <v>1010</v>
      </c>
      <c r="I2512" s="286" t="s">
        <v>1199</v>
      </c>
      <c r="J2512" s="286" t="s">
        <v>1312</v>
      </c>
      <c r="K2512" s="286" t="s">
        <v>2069</v>
      </c>
      <c r="L2512" s="286" t="s">
        <v>53</v>
      </c>
      <c r="M2512" s="286">
        <v>1</v>
      </c>
      <c r="N2512" s="287">
        <v>-1575.33</v>
      </c>
      <c r="O2512" s="294">
        <f t="shared" si="39"/>
        <v>45657</v>
      </c>
      <c r="P2512" s="286" t="s">
        <v>58</v>
      </c>
    </row>
    <row r="2513" spans="1:16" hidden="1" x14ac:dyDescent="0.15">
      <c r="A2513" s="286">
        <v>495600</v>
      </c>
      <c r="B2513" s="288">
        <v>45351.454861111109</v>
      </c>
      <c r="C2513" s="286" t="s">
        <v>2125</v>
      </c>
      <c r="D2513" s="286" t="s">
        <v>1105</v>
      </c>
      <c r="E2513" s="286" t="s">
        <v>1106</v>
      </c>
      <c r="F2513" s="286" t="s">
        <v>2357</v>
      </c>
      <c r="G2513" s="286" t="s">
        <v>1030</v>
      </c>
      <c r="H2513" s="286" t="s">
        <v>1030</v>
      </c>
      <c r="I2513" s="286" t="s">
        <v>1228</v>
      </c>
      <c r="J2513" s="286" t="s">
        <v>53</v>
      </c>
      <c r="K2513" s="286" t="s">
        <v>53</v>
      </c>
      <c r="L2513" s="286" t="s">
        <v>53</v>
      </c>
      <c r="M2513" s="286" t="s">
        <v>53</v>
      </c>
      <c r="N2513" s="287">
        <v>-1615.38</v>
      </c>
      <c r="O2513" s="294">
        <f t="shared" si="39"/>
        <v>45351</v>
      </c>
      <c r="P2513" s="286" t="s">
        <v>58</v>
      </c>
    </row>
    <row r="2514" spans="1:16" hidden="1" x14ac:dyDescent="0.15">
      <c r="A2514" s="286">
        <v>504817</v>
      </c>
      <c r="B2514" s="288">
        <v>45359.645138888889</v>
      </c>
      <c r="C2514" s="286" t="s">
        <v>2109</v>
      </c>
      <c r="D2514" s="286" t="s">
        <v>1105</v>
      </c>
      <c r="E2514" s="286" t="s">
        <v>1106</v>
      </c>
      <c r="F2514" s="286" t="s">
        <v>2154</v>
      </c>
      <c r="G2514" s="286" t="s">
        <v>1028</v>
      </c>
      <c r="H2514" s="286" t="s">
        <v>1028</v>
      </c>
      <c r="I2514" s="286" t="s">
        <v>1228</v>
      </c>
      <c r="J2514" s="286" t="s">
        <v>1312</v>
      </c>
      <c r="K2514" s="286" t="s">
        <v>2502</v>
      </c>
      <c r="L2514" s="286" t="s">
        <v>53</v>
      </c>
      <c r="M2514" s="286">
        <v>1</v>
      </c>
      <c r="N2514" s="287">
        <v>-1621.14</v>
      </c>
      <c r="O2514" s="294">
        <f t="shared" si="39"/>
        <v>45382</v>
      </c>
      <c r="P2514" s="286" t="s">
        <v>58</v>
      </c>
    </row>
    <row r="2515" spans="1:16" hidden="1" x14ac:dyDescent="0.15">
      <c r="A2515" s="286">
        <v>534207</v>
      </c>
      <c r="B2515" s="288">
        <v>45385.750694444447</v>
      </c>
      <c r="C2515" s="286" t="s">
        <v>2096</v>
      </c>
      <c r="D2515" s="286" t="s">
        <v>1105</v>
      </c>
      <c r="E2515" s="286" t="s">
        <v>1106</v>
      </c>
      <c r="F2515" s="286" t="s">
        <v>2155</v>
      </c>
      <c r="G2515" s="286" t="s">
        <v>1028</v>
      </c>
      <c r="H2515" s="286" t="s">
        <v>1028</v>
      </c>
      <c r="I2515" s="286" t="s">
        <v>1228</v>
      </c>
      <c r="J2515" s="286" t="s">
        <v>1312</v>
      </c>
      <c r="K2515" s="286" t="s">
        <v>2502</v>
      </c>
      <c r="L2515" s="286" t="s">
        <v>53</v>
      </c>
      <c r="M2515" s="286">
        <v>1</v>
      </c>
      <c r="N2515" s="287">
        <v>-1621.14</v>
      </c>
      <c r="O2515" s="294">
        <f t="shared" si="39"/>
        <v>45412</v>
      </c>
      <c r="P2515" s="286" t="s">
        <v>58</v>
      </c>
    </row>
    <row r="2516" spans="1:16" hidden="1" x14ac:dyDescent="0.15">
      <c r="A2516" s="286">
        <v>614216</v>
      </c>
      <c r="B2516" s="288">
        <v>45455.716666666667</v>
      </c>
      <c r="C2516" s="286" t="s">
        <v>2116</v>
      </c>
      <c r="D2516" s="286" t="s">
        <v>1105</v>
      </c>
      <c r="E2516" s="286" t="s">
        <v>1106</v>
      </c>
      <c r="F2516" s="286" t="s">
        <v>2156</v>
      </c>
      <c r="G2516" s="286" t="s">
        <v>1028</v>
      </c>
      <c r="H2516" s="286" t="s">
        <v>1028</v>
      </c>
      <c r="I2516" s="286" t="s">
        <v>1228</v>
      </c>
      <c r="J2516" s="286" t="s">
        <v>1312</v>
      </c>
      <c r="K2516" s="286" t="s">
        <v>2502</v>
      </c>
      <c r="L2516" s="286" t="s">
        <v>53</v>
      </c>
      <c r="M2516" s="286">
        <v>1</v>
      </c>
      <c r="N2516" s="287">
        <v>-1621.14</v>
      </c>
      <c r="O2516" s="294">
        <f t="shared" si="39"/>
        <v>45473</v>
      </c>
      <c r="P2516" s="286" t="s">
        <v>58</v>
      </c>
    </row>
    <row r="2517" spans="1:16" hidden="1" x14ac:dyDescent="0.15">
      <c r="A2517" s="286">
        <v>608480</v>
      </c>
      <c r="B2517" s="288">
        <v>45450.422222222223</v>
      </c>
      <c r="C2517" s="286" t="s">
        <v>2092</v>
      </c>
      <c r="D2517" s="286" t="s">
        <v>1105</v>
      </c>
      <c r="E2517" s="286" t="s">
        <v>1106</v>
      </c>
      <c r="F2517" s="286" t="s">
        <v>2157</v>
      </c>
      <c r="G2517" s="286" t="s">
        <v>1028</v>
      </c>
      <c r="H2517" s="286" t="s">
        <v>1028</v>
      </c>
      <c r="I2517" s="286" t="s">
        <v>1228</v>
      </c>
      <c r="J2517" s="286" t="s">
        <v>1312</v>
      </c>
      <c r="K2517" s="286" t="s">
        <v>2502</v>
      </c>
      <c r="L2517" s="286" t="s">
        <v>53</v>
      </c>
      <c r="M2517" s="286">
        <v>1</v>
      </c>
      <c r="N2517" s="287">
        <v>-1621.14</v>
      </c>
      <c r="O2517" s="294">
        <f t="shared" si="39"/>
        <v>45473</v>
      </c>
      <c r="P2517" s="286" t="s">
        <v>58</v>
      </c>
    </row>
    <row r="2518" spans="1:16" hidden="1" x14ac:dyDescent="0.15">
      <c r="A2518" s="286">
        <v>646075</v>
      </c>
      <c r="B2518" s="288">
        <v>45474.519444444442</v>
      </c>
      <c r="C2518" s="286" t="s">
        <v>2111</v>
      </c>
      <c r="D2518" s="286" t="s">
        <v>1105</v>
      </c>
      <c r="E2518" s="286" t="s">
        <v>1106</v>
      </c>
      <c r="F2518" s="286" t="s">
        <v>2137</v>
      </c>
      <c r="G2518" s="286" t="s">
        <v>1028</v>
      </c>
      <c r="H2518" s="286" t="s">
        <v>1028</v>
      </c>
      <c r="I2518" s="286" t="s">
        <v>1228</v>
      </c>
      <c r="J2518" s="286" t="s">
        <v>1312</v>
      </c>
      <c r="K2518" s="286" t="s">
        <v>2502</v>
      </c>
      <c r="L2518" s="286" t="s">
        <v>53</v>
      </c>
      <c r="M2518" s="286">
        <v>1</v>
      </c>
      <c r="N2518" s="287">
        <v>-1621.14</v>
      </c>
      <c r="O2518" s="294">
        <f t="shared" si="39"/>
        <v>45504</v>
      </c>
      <c r="P2518" s="286" t="s">
        <v>58</v>
      </c>
    </row>
    <row r="2519" spans="1:16" hidden="1" x14ac:dyDescent="0.15">
      <c r="A2519" s="286">
        <v>697810</v>
      </c>
      <c r="B2519" s="288">
        <v>45510.366666666669</v>
      </c>
      <c r="C2519" s="286" t="s">
        <v>2102</v>
      </c>
      <c r="D2519" s="286" t="s">
        <v>1105</v>
      </c>
      <c r="E2519" s="286" t="s">
        <v>1106</v>
      </c>
      <c r="F2519" s="286" t="s">
        <v>2138</v>
      </c>
      <c r="G2519" s="286" t="s">
        <v>1028</v>
      </c>
      <c r="H2519" s="286" t="s">
        <v>1028</v>
      </c>
      <c r="I2519" s="286" t="s">
        <v>1228</v>
      </c>
      <c r="J2519" s="286" t="s">
        <v>1312</v>
      </c>
      <c r="K2519" s="286" t="s">
        <v>2502</v>
      </c>
      <c r="L2519" s="286" t="s">
        <v>53</v>
      </c>
      <c r="M2519" s="286">
        <v>1</v>
      </c>
      <c r="N2519" s="287">
        <v>-1621.14</v>
      </c>
      <c r="O2519" s="294">
        <f t="shared" si="39"/>
        <v>45535</v>
      </c>
      <c r="P2519" s="286" t="s">
        <v>58</v>
      </c>
    </row>
    <row r="2520" spans="1:16" hidden="1" x14ac:dyDescent="0.15">
      <c r="A2520" s="286">
        <v>745911</v>
      </c>
      <c r="B2520" s="288">
        <v>45538.44027777778</v>
      </c>
      <c r="C2520" s="286" t="s">
        <v>2132</v>
      </c>
      <c r="D2520" s="286" t="s">
        <v>1105</v>
      </c>
      <c r="E2520" s="286" t="s">
        <v>1106</v>
      </c>
      <c r="F2520" s="286" t="s">
        <v>2139</v>
      </c>
      <c r="G2520" s="286" t="s">
        <v>1028</v>
      </c>
      <c r="H2520" s="286" t="s">
        <v>1028</v>
      </c>
      <c r="I2520" s="286" t="s">
        <v>1228</v>
      </c>
      <c r="J2520" s="286" t="s">
        <v>1312</v>
      </c>
      <c r="K2520" s="286" t="s">
        <v>2502</v>
      </c>
      <c r="L2520" s="286" t="s">
        <v>53</v>
      </c>
      <c r="M2520" s="286">
        <v>1</v>
      </c>
      <c r="N2520" s="287">
        <v>-1621.14</v>
      </c>
      <c r="O2520" s="294">
        <f t="shared" si="39"/>
        <v>45565</v>
      </c>
      <c r="P2520" s="286" t="s">
        <v>58</v>
      </c>
    </row>
    <row r="2521" spans="1:16" hidden="1" x14ac:dyDescent="0.15">
      <c r="A2521" s="286">
        <v>848817</v>
      </c>
      <c r="B2521" s="288">
        <v>45607.65902777778</v>
      </c>
      <c r="C2521" s="286" t="s">
        <v>2130</v>
      </c>
      <c r="D2521" s="286" t="s">
        <v>1105</v>
      </c>
      <c r="E2521" s="286" t="s">
        <v>1106</v>
      </c>
      <c r="F2521" s="286" t="s">
        <v>2140</v>
      </c>
      <c r="G2521" s="286" t="s">
        <v>1028</v>
      </c>
      <c r="H2521" s="286" t="s">
        <v>1028</v>
      </c>
      <c r="I2521" s="286" t="s">
        <v>1228</v>
      </c>
      <c r="J2521" s="286" t="s">
        <v>1312</v>
      </c>
      <c r="K2521" s="286" t="s">
        <v>2502</v>
      </c>
      <c r="L2521" s="286" t="s">
        <v>53</v>
      </c>
      <c r="M2521" s="286">
        <v>1</v>
      </c>
      <c r="N2521" s="287">
        <v>-1621.14</v>
      </c>
      <c r="O2521" s="294">
        <f t="shared" si="39"/>
        <v>45626</v>
      </c>
      <c r="P2521" s="286" t="s">
        <v>58</v>
      </c>
    </row>
    <row r="2522" spans="1:16" hidden="1" x14ac:dyDescent="0.15">
      <c r="A2522" s="286">
        <v>848917</v>
      </c>
      <c r="B2522" s="288">
        <v>45607.660416666666</v>
      </c>
      <c r="C2522" s="286" t="s">
        <v>2100</v>
      </c>
      <c r="D2522" s="286" t="s">
        <v>1105</v>
      </c>
      <c r="E2522" s="286" t="s">
        <v>1106</v>
      </c>
      <c r="F2522" s="286" t="s">
        <v>2141</v>
      </c>
      <c r="G2522" s="286" t="s">
        <v>1028</v>
      </c>
      <c r="H2522" s="286" t="s">
        <v>1028</v>
      </c>
      <c r="I2522" s="286" t="s">
        <v>1228</v>
      </c>
      <c r="J2522" s="286" t="s">
        <v>1312</v>
      </c>
      <c r="K2522" s="286" t="s">
        <v>2502</v>
      </c>
      <c r="L2522" s="286" t="s">
        <v>53</v>
      </c>
      <c r="M2522" s="286">
        <v>1</v>
      </c>
      <c r="N2522" s="287">
        <v>-1621.14</v>
      </c>
      <c r="O2522" s="294">
        <f t="shared" si="39"/>
        <v>45626</v>
      </c>
      <c r="P2522" s="286" t="s">
        <v>58</v>
      </c>
    </row>
    <row r="2523" spans="1:16" hidden="1" x14ac:dyDescent="0.15">
      <c r="A2523" s="286">
        <v>874698</v>
      </c>
      <c r="B2523" s="288">
        <v>45628.357638888891</v>
      </c>
      <c r="C2523" s="286" t="s">
        <v>2098</v>
      </c>
      <c r="D2523" s="286" t="s">
        <v>1105</v>
      </c>
      <c r="E2523" s="286" t="s">
        <v>1106</v>
      </c>
      <c r="F2523" s="286" t="s">
        <v>2142</v>
      </c>
      <c r="G2523" s="286" t="s">
        <v>1028</v>
      </c>
      <c r="H2523" s="286" t="s">
        <v>1028</v>
      </c>
      <c r="I2523" s="286" t="s">
        <v>1228</v>
      </c>
      <c r="J2523" s="286" t="s">
        <v>1312</v>
      </c>
      <c r="K2523" s="286" t="s">
        <v>2502</v>
      </c>
      <c r="L2523" s="286" t="s">
        <v>53</v>
      </c>
      <c r="M2523" s="286">
        <v>1</v>
      </c>
      <c r="N2523" s="287">
        <v>-1621.14</v>
      </c>
      <c r="O2523" s="294">
        <f t="shared" si="39"/>
        <v>45657</v>
      </c>
      <c r="P2523" s="286" t="s">
        <v>58</v>
      </c>
    </row>
    <row r="2524" spans="1:16" hidden="1" x14ac:dyDescent="0.15">
      <c r="A2524" s="286">
        <v>495594</v>
      </c>
      <c r="B2524" s="288">
        <v>45351.45</v>
      </c>
      <c r="C2524" s="286" t="s">
        <v>2113</v>
      </c>
      <c r="D2524" s="286" t="s">
        <v>1105</v>
      </c>
      <c r="E2524" s="286" t="s">
        <v>1106</v>
      </c>
      <c r="F2524" s="286" t="s">
        <v>2353</v>
      </c>
      <c r="G2524" s="286" t="s">
        <v>1089</v>
      </c>
      <c r="H2524" s="286" t="s">
        <v>1089</v>
      </c>
      <c r="I2524" s="286" t="s">
        <v>1228</v>
      </c>
      <c r="J2524" s="286" t="s">
        <v>53</v>
      </c>
      <c r="K2524" s="286" t="s">
        <v>53</v>
      </c>
      <c r="L2524" s="286" t="s">
        <v>53</v>
      </c>
      <c r="M2524" s="286" t="s">
        <v>53</v>
      </c>
      <c r="N2524" s="287">
        <v>-1622.21</v>
      </c>
      <c r="O2524" s="294">
        <f t="shared" si="39"/>
        <v>45351</v>
      </c>
      <c r="P2524" s="286" t="s">
        <v>58</v>
      </c>
    </row>
    <row r="2525" spans="1:16" hidden="1" x14ac:dyDescent="0.15">
      <c r="A2525" s="286">
        <v>559626</v>
      </c>
      <c r="B2525" s="288">
        <v>45408.642361111109</v>
      </c>
      <c r="C2525" s="286" t="s">
        <v>2109</v>
      </c>
      <c r="D2525" s="286" t="s">
        <v>1105</v>
      </c>
      <c r="E2525" s="286" t="s">
        <v>1106</v>
      </c>
      <c r="F2525" s="286" t="s">
        <v>2231</v>
      </c>
      <c r="G2525" s="286" t="s">
        <v>1045</v>
      </c>
      <c r="H2525" s="286" t="s">
        <v>1045</v>
      </c>
      <c r="I2525" s="286" t="s">
        <v>1199</v>
      </c>
      <c r="J2525" s="286" t="s">
        <v>1312</v>
      </c>
      <c r="K2525" s="286" t="s">
        <v>53</v>
      </c>
      <c r="L2525" s="286" t="s">
        <v>53</v>
      </c>
      <c r="M2525" s="286" t="s">
        <v>53</v>
      </c>
      <c r="N2525" s="287">
        <v>-1653.38</v>
      </c>
      <c r="O2525" s="294">
        <f t="shared" si="39"/>
        <v>45412</v>
      </c>
      <c r="P2525" s="286" t="s">
        <v>58</v>
      </c>
    </row>
    <row r="2526" spans="1:16" hidden="1" x14ac:dyDescent="0.15">
      <c r="A2526" s="286">
        <v>874698</v>
      </c>
      <c r="B2526" s="288">
        <v>45628.357638888891</v>
      </c>
      <c r="C2526" s="286" t="s">
        <v>2098</v>
      </c>
      <c r="D2526" s="286" t="s">
        <v>1105</v>
      </c>
      <c r="E2526" s="286" t="s">
        <v>1106</v>
      </c>
      <c r="F2526" s="286" t="s">
        <v>2142</v>
      </c>
      <c r="G2526" s="286" t="s">
        <v>1036</v>
      </c>
      <c r="H2526" s="286" t="s">
        <v>1036</v>
      </c>
      <c r="I2526" s="286" t="s">
        <v>1199</v>
      </c>
      <c r="J2526" s="286" t="s">
        <v>1312</v>
      </c>
      <c r="K2526" s="286" t="s">
        <v>2068</v>
      </c>
      <c r="L2526" s="286" t="s">
        <v>53</v>
      </c>
      <c r="M2526" s="286">
        <v>1</v>
      </c>
      <c r="N2526" s="287">
        <v>-1658.57</v>
      </c>
      <c r="O2526" s="294">
        <f t="shared" si="39"/>
        <v>45657</v>
      </c>
      <c r="P2526" s="286" t="s">
        <v>58</v>
      </c>
    </row>
    <row r="2527" spans="1:16" hidden="1" x14ac:dyDescent="0.15">
      <c r="A2527" s="286">
        <v>848917</v>
      </c>
      <c r="B2527" s="288">
        <v>45607.660416666666</v>
      </c>
      <c r="C2527" s="286" t="s">
        <v>2100</v>
      </c>
      <c r="D2527" s="286" t="s">
        <v>1105</v>
      </c>
      <c r="E2527" s="286" t="s">
        <v>1106</v>
      </c>
      <c r="F2527" s="286" t="s">
        <v>2141</v>
      </c>
      <c r="G2527" s="286" t="s">
        <v>1074</v>
      </c>
      <c r="H2527" s="286" t="s">
        <v>1034</v>
      </c>
      <c r="I2527" s="286" t="s">
        <v>1152</v>
      </c>
      <c r="J2527" s="286" t="s">
        <v>1312</v>
      </c>
      <c r="K2527" s="286" t="s">
        <v>1811</v>
      </c>
      <c r="L2527" s="286" t="s">
        <v>86</v>
      </c>
      <c r="M2527" s="286">
        <v>1</v>
      </c>
      <c r="N2527" s="287">
        <v>-1692.13</v>
      </c>
      <c r="O2527" s="294">
        <f t="shared" si="39"/>
        <v>45626</v>
      </c>
      <c r="P2527" s="286" t="s">
        <v>58</v>
      </c>
    </row>
    <row r="2528" spans="1:16" hidden="1" x14ac:dyDescent="0.15">
      <c r="A2528" s="286">
        <v>874698</v>
      </c>
      <c r="B2528" s="288">
        <v>45628.357638888891</v>
      </c>
      <c r="C2528" s="286" t="s">
        <v>2098</v>
      </c>
      <c r="D2528" s="286" t="s">
        <v>1105</v>
      </c>
      <c r="E2528" s="286" t="s">
        <v>1106</v>
      </c>
      <c r="F2528" s="286" t="s">
        <v>2142</v>
      </c>
      <c r="G2528" s="286" t="s">
        <v>1057</v>
      </c>
      <c r="H2528" s="286" t="s">
        <v>1057</v>
      </c>
      <c r="I2528" s="286" t="s">
        <v>1199</v>
      </c>
      <c r="J2528" s="286" t="s">
        <v>1312</v>
      </c>
      <c r="K2528" s="286" t="s">
        <v>2068</v>
      </c>
      <c r="L2528" s="286" t="s">
        <v>53</v>
      </c>
      <c r="M2528" s="286">
        <v>1</v>
      </c>
      <c r="N2528" s="287">
        <v>-1704.79</v>
      </c>
      <c r="O2528" s="294">
        <f t="shared" si="39"/>
        <v>45657</v>
      </c>
      <c r="P2528" s="286" t="s">
        <v>58</v>
      </c>
    </row>
    <row r="2529" spans="1:16" hidden="1" x14ac:dyDescent="0.15">
      <c r="A2529" s="286">
        <v>848716</v>
      </c>
      <c r="B2529" s="288">
        <v>45607.647916666669</v>
      </c>
      <c r="C2529" s="286" t="s">
        <v>2130</v>
      </c>
      <c r="D2529" s="286" t="s">
        <v>1105</v>
      </c>
      <c r="E2529" s="286" t="s">
        <v>1106</v>
      </c>
      <c r="F2529" s="286" t="s">
        <v>2241</v>
      </c>
      <c r="G2529" s="286" t="s">
        <v>1010</v>
      </c>
      <c r="H2529" s="286" t="s">
        <v>1010</v>
      </c>
      <c r="I2529" s="286" t="s">
        <v>1199</v>
      </c>
      <c r="J2529" s="286" t="s">
        <v>1312</v>
      </c>
      <c r="K2529" s="286" t="s">
        <v>53</v>
      </c>
      <c r="L2529" s="286" t="s">
        <v>53</v>
      </c>
      <c r="M2529" s="286" t="s">
        <v>53</v>
      </c>
      <c r="N2529" s="287">
        <v>-1777.69</v>
      </c>
      <c r="O2529" s="294">
        <f t="shared" si="39"/>
        <v>45626</v>
      </c>
      <c r="P2529" s="286" t="s">
        <v>58</v>
      </c>
    </row>
    <row r="2530" spans="1:16" hidden="1" x14ac:dyDescent="0.15">
      <c r="A2530" s="286">
        <v>520705</v>
      </c>
      <c r="B2530" s="288">
        <v>45372.502083333333</v>
      </c>
      <c r="C2530" s="286" t="s">
        <v>2113</v>
      </c>
      <c r="D2530" s="286" t="s">
        <v>1105</v>
      </c>
      <c r="E2530" s="286" t="s">
        <v>1106</v>
      </c>
      <c r="F2530" s="286" t="s">
        <v>2150</v>
      </c>
      <c r="G2530" s="286" t="s">
        <v>1004</v>
      </c>
      <c r="H2530" s="286" t="s">
        <v>1004</v>
      </c>
      <c r="I2530" s="286" t="s">
        <v>1112</v>
      </c>
      <c r="J2530" s="286" t="s">
        <v>1312</v>
      </c>
      <c r="K2530" s="286" t="s">
        <v>53</v>
      </c>
      <c r="L2530" s="286" t="s">
        <v>53</v>
      </c>
      <c r="M2530" s="286" t="s">
        <v>53</v>
      </c>
      <c r="N2530" s="287">
        <v>-1808.78</v>
      </c>
      <c r="O2530" s="294">
        <f t="shared" si="39"/>
        <v>45382</v>
      </c>
      <c r="P2530" s="286" t="s">
        <v>175</v>
      </c>
    </row>
    <row r="2531" spans="1:16" hidden="1" x14ac:dyDescent="0.15">
      <c r="A2531" s="286">
        <v>874698</v>
      </c>
      <c r="B2531" s="288">
        <v>45628.357638888891</v>
      </c>
      <c r="C2531" s="286" t="s">
        <v>2098</v>
      </c>
      <c r="D2531" s="286" t="s">
        <v>1105</v>
      </c>
      <c r="E2531" s="286" t="s">
        <v>1106</v>
      </c>
      <c r="F2531" s="286" t="s">
        <v>2142</v>
      </c>
      <c r="G2531" s="286" t="s">
        <v>1057</v>
      </c>
      <c r="H2531" s="286" t="s">
        <v>1057</v>
      </c>
      <c r="I2531" s="286" t="s">
        <v>1199</v>
      </c>
      <c r="J2531" s="286" t="s">
        <v>1312</v>
      </c>
      <c r="K2531" s="286" t="s">
        <v>2068</v>
      </c>
      <c r="L2531" s="286" t="s">
        <v>53</v>
      </c>
      <c r="M2531" s="286">
        <v>1</v>
      </c>
      <c r="N2531" s="287">
        <v>-1813.51</v>
      </c>
      <c r="O2531" s="294">
        <f t="shared" si="39"/>
        <v>45657</v>
      </c>
      <c r="P2531" s="286" t="s">
        <v>58</v>
      </c>
    </row>
    <row r="2532" spans="1:16" hidden="1" x14ac:dyDescent="0.15">
      <c r="A2532" s="286">
        <v>614216</v>
      </c>
      <c r="B2532" s="288">
        <v>45455.716666666667</v>
      </c>
      <c r="C2532" s="286" t="s">
        <v>2116</v>
      </c>
      <c r="D2532" s="286" t="s">
        <v>1105</v>
      </c>
      <c r="E2532" s="286" t="s">
        <v>1106</v>
      </c>
      <c r="F2532" s="286" t="s">
        <v>2156</v>
      </c>
      <c r="G2532" s="286" t="s">
        <v>1049</v>
      </c>
      <c r="H2532" s="286" t="s">
        <v>1049</v>
      </c>
      <c r="I2532" s="286" t="s">
        <v>1228</v>
      </c>
      <c r="J2532" s="286" t="s">
        <v>1312</v>
      </c>
      <c r="K2532" s="286" t="s">
        <v>2076</v>
      </c>
      <c r="L2532" s="286" t="s">
        <v>53</v>
      </c>
      <c r="M2532" s="286">
        <v>1</v>
      </c>
      <c r="N2532" s="287">
        <v>-1815.42</v>
      </c>
      <c r="O2532" s="294">
        <f t="shared" si="39"/>
        <v>45473</v>
      </c>
      <c r="P2532" s="286" t="s">
        <v>58</v>
      </c>
    </row>
    <row r="2533" spans="1:16" hidden="1" x14ac:dyDescent="0.15">
      <c r="A2533" s="286">
        <v>614316</v>
      </c>
      <c r="B2533" s="288">
        <v>45455.717361111114</v>
      </c>
      <c r="C2533" s="286" t="s">
        <v>2092</v>
      </c>
      <c r="D2533" s="286" t="s">
        <v>1105</v>
      </c>
      <c r="E2533" s="286" t="s">
        <v>1106</v>
      </c>
      <c r="F2533" s="286" t="s">
        <v>2167</v>
      </c>
      <c r="G2533" s="286" t="s">
        <v>1049</v>
      </c>
      <c r="H2533" s="286" t="s">
        <v>1049</v>
      </c>
      <c r="I2533" s="286" t="s">
        <v>1228</v>
      </c>
      <c r="J2533" s="286" t="s">
        <v>1312</v>
      </c>
      <c r="K2533" s="286" t="s">
        <v>2076</v>
      </c>
      <c r="L2533" s="286" t="s">
        <v>53</v>
      </c>
      <c r="M2533" s="286">
        <v>1</v>
      </c>
      <c r="N2533" s="287">
        <v>-1815.42</v>
      </c>
      <c r="O2533" s="294">
        <f t="shared" si="39"/>
        <v>45473</v>
      </c>
      <c r="P2533" s="286" t="s">
        <v>58</v>
      </c>
    </row>
    <row r="2534" spans="1:16" hidden="1" x14ac:dyDescent="0.15">
      <c r="A2534" s="286">
        <v>646075</v>
      </c>
      <c r="B2534" s="288">
        <v>45474.519444444442</v>
      </c>
      <c r="C2534" s="286" t="s">
        <v>2111</v>
      </c>
      <c r="D2534" s="286" t="s">
        <v>1105</v>
      </c>
      <c r="E2534" s="286" t="s">
        <v>1106</v>
      </c>
      <c r="F2534" s="286" t="s">
        <v>2137</v>
      </c>
      <c r="G2534" s="286" t="s">
        <v>1049</v>
      </c>
      <c r="H2534" s="286" t="s">
        <v>1049</v>
      </c>
      <c r="I2534" s="286" t="s">
        <v>1228</v>
      </c>
      <c r="J2534" s="286" t="s">
        <v>1312</v>
      </c>
      <c r="K2534" s="286" t="s">
        <v>2076</v>
      </c>
      <c r="L2534" s="286" t="s">
        <v>53</v>
      </c>
      <c r="M2534" s="286">
        <v>1</v>
      </c>
      <c r="N2534" s="287">
        <v>-1815.42</v>
      </c>
      <c r="O2534" s="294">
        <f t="shared" si="39"/>
        <v>45504</v>
      </c>
      <c r="P2534" s="286" t="s">
        <v>58</v>
      </c>
    </row>
    <row r="2535" spans="1:16" hidden="1" x14ac:dyDescent="0.15">
      <c r="A2535" s="286">
        <v>697810</v>
      </c>
      <c r="B2535" s="288">
        <v>45510.366666666669</v>
      </c>
      <c r="C2535" s="286" t="s">
        <v>2102</v>
      </c>
      <c r="D2535" s="286" t="s">
        <v>1105</v>
      </c>
      <c r="E2535" s="286" t="s">
        <v>1106</v>
      </c>
      <c r="F2535" s="286" t="s">
        <v>2138</v>
      </c>
      <c r="G2535" s="286" t="s">
        <v>1049</v>
      </c>
      <c r="H2535" s="286" t="s">
        <v>1049</v>
      </c>
      <c r="I2535" s="286" t="s">
        <v>1228</v>
      </c>
      <c r="J2535" s="286" t="s">
        <v>1312</v>
      </c>
      <c r="K2535" s="286" t="s">
        <v>2076</v>
      </c>
      <c r="L2535" s="286" t="s">
        <v>53</v>
      </c>
      <c r="M2535" s="286">
        <v>1</v>
      </c>
      <c r="N2535" s="287">
        <v>-1815.42</v>
      </c>
      <c r="O2535" s="294">
        <f t="shared" si="39"/>
        <v>45535</v>
      </c>
      <c r="P2535" s="286" t="s">
        <v>58</v>
      </c>
    </row>
    <row r="2536" spans="1:16" hidden="1" x14ac:dyDescent="0.15">
      <c r="A2536" s="286">
        <v>745911</v>
      </c>
      <c r="B2536" s="288">
        <v>45538.44027777778</v>
      </c>
      <c r="C2536" s="286" t="s">
        <v>2132</v>
      </c>
      <c r="D2536" s="286" t="s">
        <v>1105</v>
      </c>
      <c r="E2536" s="286" t="s">
        <v>1106</v>
      </c>
      <c r="F2536" s="286" t="s">
        <v>2139</v>
      </c>
      <c r="G2536" s="286" t="s">
        <v>1049</v>
      </c>
      <c r="H2536" s="286" t="s">
        <v>1049</v>
      </c>
      <c r="I2536" s="286" t="s">
        <v>1228</v>
      </c>
      <c r="J2536" s="286" t="s">
        <v>1312</v>
      </c>
      <c r="K2536" s="286" t="s">
        <v>2076</v>
      </c>
      <c r="L2536" s="286" t="s">
        <v>53</v>
      </c>
      <c r="M2536" s="286">
        <v>1</v>
      </c>
      <c r="N2536" s="287">
        <v>-1815.42</v>
      </c>
      <c r="O2536" s="294">
        <f t="shared" si="39"/>
        <v>45565</v>
      </c>
      <c r="P2536" s="286" t="s">
        <v>58</v>
      </c>
    </row>
    <row r="2537" spans="1:16" hidden="1" x14ac:dyDescent="0.15">
      <c r="A2537" s="286">
        <v>848817</v>
      </c>
      <c r="B2537" s="288">
        <v>45607.65902777778</v>
      </c>
      <c r="C2537" s="286" t="s">
        <v>2130</v>
      </c>
      <c r="D2537" s="286" t="s">
        <v>1105</v>
      </c>
      <c r="E2537" s="286" t="s">
        <v>1106</v>
      </c>
      <c r="F2537" s="286" t="s">
        <v>2140</v>
      </c>
      <c r="G2537" s="286" t="s">
        <v>1049</v>
      </c>
      <c r="H2537" s="286" t="s">
        <v>1049</v>
      </c>
      <c r="I2537" s="286" t="s">
        <v>1228</v>
      </c>
      <c r="J2537" s="286" t="s">
        <v>1312</v>
      </c>
      <c r="K2537" s="286" t="s">
        <v>2076</v>
      </c>
      <c r="L2537" s="286" t="s">
        <v>53</v>
      </c>
      <c r="M2537" s="286">
        <v>1</v>
      </c>
      <c r="N2537" s="287">
        <v>-1815.42</v>
      </c>
      <c r="O2537" s="294">
        <f t="shared" si="39"/>
        <v>45626</v>
      </c>
      <c r="P2537" s="286" t="s">
        <v>58</v>
      </c>
    </row>
    <row r="2538" spans="1:16" hidden="1" x14ac:dyDescent="0.15">
      <c r="A2538" s="286">
        <v>848917</v>
      </c>
      <c r="B2538" s="288">
        <v>45607.660416666666</v>
      </c>
      <c r="C2538" s="286" t="s">
        <v>2100</v>
      </c>
      <c r="D2538" s="286" t="s">
        <v>1105</v>
      </c>
      <c r="E2538" s="286" t="s">
        <v>1106</v>
      </c>
      <c r="F2538" s="286" t="s">
        <v>2141</v>
      </c>
      <c r="G2538" s="286" t="s">
        <v>1049</v>
      </c>
      <c r="H2538" s="286" t="s">
        <v>1049</v>
      </c>
      <c r="I2538" s="286" t="s">
        <v>1228</v>
      </c>
      <c r="J2538" s="286" t="s">
        <v>1312</v>
      </c>
      <c r="K2538" s="286" t="s">
        <v>2076</v>
      </c>
      <c r="L2538" s="286" t="s">
        <v>53</v>
      </c>
      <c r="M2538" s="286">
        <v>1</v>
      </c>
      <c r="N2538" s="287">
        <v>-1815.42</v>
      </c>
      <c r="O2538" s="294">
        <f t="shared" si="39"/>
        <v>45626</v>
      </c>
      <c r="P2538" s="286" t="s">
        <v>58</v>
      </c>
    </row>
    <row r="2539" spans="1:16" hidden="1" x14ac:dyDescent="0.15">
      <c r="A2539" s="286">
        <v>874698</v>
      </c>
      <c r="B2539" s="288">
        <v>45628.357638888891</v>
      </c>
      <c r="C2539" s="286" t="s">
        <v>2098</v>
      </c>
      <c r="D2539" s="286" t="s">
        <v>1105</v>
      </c>
      <c r="E2539" s="286" t="s">
        <v>1106</v>
      </c>
      <c r="F2539" s="286" t="s">
        <v>2142</v>
      </c>
      <c r="G2539" s="286" t="s">
        <v>1049</v>
      </c>
      <c r="H2539" s="286" t="s">
        <v>1049</v>
      </c>
      <c r="I2539" s="286" t="s">
        <v>1228</v>
      </c>
      <c r="J2539" s="286" t="s">
        <v>1312</v>
      </c>
      <c r="K2539" s="286" t="s">
        <v>2076</v>
      </c>
      <c r="L2539" s="286" t="s">
        <v>53</v>
      </c>
      <c r="M2539" s="286">
        <v>1</v>
      </c>
      <c r="N2539" s="287">
        <v>-1815.42</v>
      </c>
      <c r="O2539" s="294">
        <f t="shared" si="39"/>
        <v>45657</v>
      </c>
      <c r="P2539" s="286" t="s">
        <v>58</v>
      </c>
    </row>
    <row r="2540" spans="1:16" hidden="1" x14ac:dyDescent="0.15">
      <c r="A2540" s="286">
        <v>575592</v>
      </c>
      <c r="B2540" s="288">
        <v>45425.339583333334</v>
      </c>
      <c r="C2540" s="286" t="s">
        <v>2116</v>
      </c>
      <c r="D2540" s="286" t="s">
        <v>1105</v>
      </c>
      <c r="E2540" s="286" t="s">
        <v>1106</v>
      </c>
      <c r="F2540" s="286" t="s">
        <v>2249</v>
      </c>
      <c r="G2540" s="286" t="s">
        <v>1037</v>
      </c>
      <c r="H2540" s="286" t="s">
        <v>1037</v>
      </c>
      <c r="I2540" s="286" t="s">
        <v>1152</v>
      </c>
      <c r="J2540" s="286" t="s">
        <v>1312</v>
      </c>
      <c r="K2540" s="286" t="s">
        <v>2508</v>
      </c>
      <c r="L2540" s="286" t="s">
        <v>53</v>
      </c>
      <c r="M2540" s="286">
        <v>1</v>
      </c>
      <c r="N2540" s="287">
        <v>-1892.55</v>
      </c>
      <c r="O2540" s="294">
        <f t="shared" si="39"/>
        <v>45443</v>
      </c>
      <c r="P2540" s="286" t="s">
        <v>58</v>
      </c>
    </row>
    <row r="2541" spans="1:16" hidden="1" x14ac:dyDescent="0.15">
      <c r="A2541" s="286">
        <v>724783</v>
      </c>
      <c r="B2541" s="288">
        <v>45524.476388888892</v>
      </c>
      <c r="C2541" s="286" t="s">
        <v>2111</v>
      </c>
      <c r="D2541" s="286" t="s">
        <v>1105</v>
      </c>
      <c r="E2541" s="286" t="s">
        <v>1106</v>
      </c>
      <c r="F2541" s="286" t="s">
        <v>2529</v>
      </c>
      <c r="G2541" s="286" t="s">
        <v>1021</v>
      </c>
      <c r="H2541" s="286" t="s">
        <v>1021</v>
      </c>
      <c r="I2541" s="286" t="s">
        <v>1152</v>
      </c>
      <c r="J2541" s="286" t="s">
        <v>1312</v>
      </c>
      <c r="K2541" s="286" t="s">
        <v>53</v>
      </c>
      <c r="L2541" s="286" t="s">
        <v>53</v>
      </c>
      <c r="M2541" s="286" t="s">
        <v>53</v>
      </c>
      <c r="N2541" s="287">
        <v>-1918.27</v>
      </c>
      <c r="O2541" s="294">
        <f t="shared" si="39"/>
        <v>45535</v>
      </c>
      <c r="P2541" s="286" t="s">
        <v>58</v>
      </c>
    </row>
    <row r="2542" spans="1:16" hidden="1" x14ac:dyDescent="0.15">
      <c r="A2542" s="286">
        <v>472168</v>
      </c>
      <c r="B2542" s="288">
        <v>45331.416666666664</v>
      </c>
      <c r="C2542" s="286" t="s">
        <v>2113</v>
      </c>
      <c r="D2542" s="286" t="s">
        <v>1105</v>
      </c>
      <c r="E2542" s="286" t="s">
        <v>1106</v>
      </c>
      <c r="F2542" s="286" t="s">
        <v>2153</v>
      </c>
      <c r="G2542" s="286" t="s">
        <v>1044</v>
      </c>
      <c r="H2542" s="286" t="s">
        <v>1044</v>
      </c>
      <c r="I2542" s="286" t="s">
        <v>1199</v>
      </c>
      <c r="J2542" s="286" t="s">
        <v>1312</v>
      </c>
      <c r="K2542" s="286" t="s">
        <v>2076</v>
      </c>
      <c r="L2542" s="286" t="s">
        <v>53</v>
      </c>
      <c r="M2542" s="286">
        <v>1</v>
      </c>
      <c r="N2542" s="287">
        <v>-1958.47</v>
      </c>
      <c r="O2542" s="294">
        <f t="shared" si="39"/>
        <v>45351</v>
      </c>
      <c r="P2542" s="286" t="s">
        <v>58</v>
      </c>
    </row>
    <row r="2543" spans="1:16" hidden="1" x14ac:dyDescent="0.15">
      <c r="A2543" s="286">
        <v>483613</v>
      </c>
      <c r="B2543" s="288">
        <v>45342.459027777775</v>
      </c>
      <c r="C2543" s="286" t="s">
        <v>2113</v>
      </c>
      <c r="D2543" s="286" t="s">
        <v>1105</v>
      </c>
      <c r="E2543" s="286" t="s">
        <v>1106</v>
      </c>
      <c r="F2543" s="286" t="s">
        <v>2263</v>
      </c>
      <c r="G2543" s="286" t="s">
        <v>1044</v>
      </c>
      <c r="H2543" s="286" t="s">
        <v>1044</v>
      </c>
      <c r="I2543" s="286" t="s">
        <v>1228</v>
      </c>
      <c r="J2543" s="286" t="s">
        <v>1312</v>
      </c>
      <c r="K2543" s="286" t="s">
        <v>2076</v>
      </c>
      <c r="L2543" s="286" t="s">
        <v>53</v>
      </c>
      <c r="M2543" s="286">
        <v>1</v>
      </c>
      <c r="N2543" s="287">
        <v>-1958.47</v>
      </c>
      <c r="O2543" s="294">
        <f t="shared" si="39"/>
        <v>45351</v>
      </c>
      <c r="P2543" s="286" t="s">
        <v>58</v>
      </c>
    </row>
    <row r="2544" spans="1:16" hidden="1" x14ac:dyDescent="0.15">
      <c r="A2544" s="286">
        <v>495594</v>
      </c>
      <c r="B2544" s="288">
        <v>45351.45</v>
      </c>
      <c r="C2544" s="286" t="s">
        <v>2113</v>
      </c>
      <c r="D2544" s="286" t="s">
        <v>1105</v>
      </c>
      <c r="E2544" s="286" t="s">
        <v>1106</v>
      </c>
      <c r="F2544" s="286" t="s">
        <v>2353</v>
      </c>
      <c r="G2544" s="286" t="s">
        <v>1044</v>
      </c>
      <c r="H2544" s="286" t="s">
        <v>1044</v>
      </c>
      <c r="I2544" s="286" t="s">
        <v>1228</v>
      </c>
      <c r="J2544" s="286" t="s">
        <v>53</v>
      </c>
      <c r="K2544" s="286" t="s">
        <v>53</v>
      </c>
      <c r="L2544" s="286" t="s">
        <v>53</v>
      </c>
      <c r="M2544" s="286" t="s">
        <v>53</v>
      </c>
      <c r="N2544" s="287">
        <v>-1958.47</v>
      </c>
      <c r="O2544" s="294">
        <f t="shared" si="39"/>
        <v>45351</v>
      </c>
      <c r="P2544" s="286" t="s">
        <v>58</v>
      </c>
    </row>
    <row r="2545" spans="1:16" hidden="1" x14ac:dyDescent="0.15">
      <c r="A2545" s="286">
        <v>697810</v>
      </c>
      <c r="B2545" s="288">
        <v>45510.366666666669</v>
      </c>
      <c r="C2545" s="286" t="s">
        <v>2102</v>
      </c>
      <c r="D2545" s="286" t="s">
        <v>1105</v>
      </c>
      <c r="E2545" s="286" t="s">
        <v>1106</v>
      </c>
      <c r="F2545" s="286" t="s">
        <v>2138</v>
      </c>
      <c r="G2545" s="286" t="s">
        <v>1048</v>
      </c>
      <c r="H2545" s="286" t="s">
        <v>1048</v>
      </c>
      <c r="I2545" s="286" t="s">
        <v>1199</v>
      </c>
      <c r="J2545" s="286" t="s">
        <v>1312</v>
      </c>
      <c r="K2545" s="286" t="s">
        <v>2068</v>
      </c>
      <c r="L2545" s="286" t="s">
        <v>53</v>
      </c>
      <c r="M2545" s="286">
        <v>1</v>
      </c>
      <c r="N2545" s="287">
        <v>-1971.86</v>
      </c>
      <c r="O2545" s="294">
        <f t="shared" si="39"/>
        <v>45535</v>
      </c>
      <c r="P2545" s="286" t="s">
        <v>58</v>
      </c>
    </row>
    <row r="2546" spans="1:16" hidden="1" x14ac:dyDescent="0.15">
      <c r="A2546" s="286">
        <v>614316</v>
      </c>
      <c r="B2546" s="288">
        <v>45455.717361111114</v>
      </c>
      <c r="C2546" s="286" t="s">
        <v>2092</v>
      </c>
      <c r="D2546" s="286" t="s">
        <v>1105</v>
      </c>
      <c r="E2546" s="286" t="s">
        <v>1106</v>
      </c>
      <c r="F2546" s="286" t="s">
        <v>2167</v>
      </c>
      <c r="G2546" s="286" t="s">
        <v>1037</v>
      </c>
      <c r="H2546" s="286" t="s">
        <v>1037</v>
      </c>
      <c r="I2546" s="286" t="s">
        <v>1152</v>
      </c>
      <c r="J2546" s="286" t="s">
        <v>1312</v>
      </c>
      <c r="K2546" s="286" t="s">
        <v>2508</v>
      </c>
      <c r="L2546" s="286" t="s">
        <v>53</v>
      </c>
      <c r="M2546" s="286">
        <v>1</v>
      </c>
      <c r="N2546" s="287">
        <v>-1981.54</v>
      </c>
      <c r="O2546" s="294">
        <f t="shared" si="39"/>
        <v>45473</v>
      </c>
      <c r="P2546" s="286" t="s">
        <v>58</v>
      </c>
    </row>
    <row r="2547" spans="1:16" hidden="1" x14ac:dyDescent="0.15">
      <c r="A2547" s="286">
        <v>646075</v>
      </c>
      <c r="B2547" s="288">
        <v>45474.519444444442</v>
      </c>
      <c r="C2547" s="286" t="s">
        <v>2111</v>
      </c>
      <c r="D2547" s="286" t="s">
        <v>1105</v>
      </c>
      <c r="E2547" s="286" t="s">
        <v>1106</v>
      </c>
      <c r="F2547" s="286" t="s">
        <v>2137</v>
      </c>
      <c r="G2547" s="286" t="s">
        <v>1037</v>
      </c>
      <c r="H2547" s="286" t="s">
        <v>1037</v>
      </c>
      <c r="I2547" s="286" t="s">
        <v>1152</v>
      </c>
      <c r="J2547" s="286" t="s">
        <v>1312</v>
      </c>
      <c r="K2547" s="286" t="s">
        <v>2508</v>
      </c>
      <c r="L2547" s="286" t="s">
        <v>53</v>
      </c>
      <c r="M2547" s="286">
        <v>1</v>
      </c>
      <c r="N2547" s="287">
        <v>-1981.54</v>
      </c>
      <c r="O2547" s="294">
        <f t="shared" si="39"/>
        <v>45504</v>
      </c>
      <c r="P2547" s="286" t="s">
        <v>58</v>
      </c>
    </row>
    <row r="2548" spans="1:16" hidden="1" x14ac:dyDescent="0.15">
      <c r="A2548" s="286">
        <v>697810</v>
      </c>
      <c r="B2548" s="288">
        <v>45510.366666666669</v>
      </c>
      <c r="C2548" s="286" t="s">
        <v>2102</v>
      </c>
      <c r="D2548" s="286" t="s">
        <v>1105</v>
      </c>
      <c r="E2548" s="286" t="s">
        <v>1106</v>
      </c>
      <c r="F2548" s="286" t="s">
        <v>2138</v>
      </c>
      <c r="G2548" s="286" t="s">
        <v>1037</v>
      </c>
      <c r="H2548" s="286" t="s">
        <v>1037</v>
      </c>
      <c r="I2548" s="286" t="s">
        <v>1152</v>
      </c>
      <c r="J2548" s="286" t="s">
        <v>1312</v>
      </c>
      <c r="K2548" s="286" t="s">
        <v>2508</v>
      </c>
      <c r="L2548" s="286" t="s">
        <v>53</v>
      </c>
      <c r="M2548" s="286">
        <v>1</v>
      </c>
      <c r="N2548" s="287">
        <v>-1981.54</v>
      </c>
      <c r="O2548" s="294">
        <f t="shared" si="39"/>
        <v>45535</v>
      </c>
      <c r="P2548" s="286" t="s">
        <v>58</v>
      </c>
    </row>
    <row r="2549" spans="1:16" hidden="1" x14ac:dyDescent="0.15">
      <c r="A2549" s="286">
        <v>745911</v>
      </c>
      <c r="B2549" s="288">
        <v>45538.44027777778</v>
      </c>
      <c r="C2549" s="286" t="s">
        <v>2132</v>
      </c>
      <c r="D2549" s="286" t="s">
        <v>1105</v>
      </c>
      <c r="E2549" s="286" t="s">
        <v>1106</v>
      </c>
      <c r="F2549" s="286" t="s">
        <v>2139</v>
      </c>
      <c r="G2549" s="286" t="s">
        <v>1037</v>
      </c>
      <c r="H2549" s="286" t="s">
        <v>1037</v>
      </c>
      <c r="I2549" s="286" t="s">
        <v>1152</v>
      </c>
      <c r="J2549" s="286" t="s">
        <v>1312</v>
      </c>
      <c r="K2549" s="286" t="s">
        <v>2508</v>
      </c>
      <c r="L2549" s="286" t="s">
        <v>53</v>
      </c>
      <c r="M2549" s="286">
        <v>1</v>
      </c>
      <c r="N2549" s="287">
        <v>-1981.54</v>
      </c>
      <c r="O2549" s="294">
        <f t="shared" si="39"/>
        <v>45565</v>
      </c>
      <c r="P2549" s="286" t="s">
        <v>58</v>
      </c>
    </row>
    <row r="2550" spans="1:16" hidden="1" x14ac:dyDescent="0.15">
      <c r="A2550" s="286">
        <v>848817</v>
      </c>
      <c r="B2550" s="288">
        <v>45607.65902777778</v>
      </c>
      <c r="C2550" s="286" t="s">
        <v>2130</v>
      </c>
      <c r="D2550" s="286" t="s">
        <v>1105</v>
      </c>
      <c r="E2550" s="286" t="s">
        <v>1106</v>
      </c>
      <c r="F2550" s="286" t="s">
        <v>2140</v>
      </c>
      <c r="G2550" s="286" t="s">
        <v>1037</v>
      </c>
      <c r="H2550" s="286" t="s">
        <v>1037</v>
      </c>
      <c r="I2550" s="286" t="s">
        <v>1152</v>
      </c>
      <c r="J2550" s="286" t="s">
        <v>1312</v>
      </c>
      <c r="K2550" s="286" t="s">
        <v>2508</v>
      </c>
      <c r="L2550" s="286" t="s">
        <v>53</v>
      </c>
      <c r="M2550" s="286">
        <v>1</v>
      </c>
      <c r="N2550" s="287">
        <v>-1981.54</v>
      </c>
      <c r="O2550" s="294">
        <f t="shared" si="39"/>
        <v>45626</v>
      </c>
      <c r="P2550" s="286" t="s">
        <v>58</v>
      </c>
    </row>
    <row r="2551" spans="1:16" hidden="1" x14ac:dyDescent="0.15">
      <c r="A2551" s="286">
        <v>848917</v>
      </c>
      <c r="B2551" s="288">
        <v>45607.660416666666</v>
      </c>
      <c r="C2551" s="286" t="s">
        <v>2100</v>
      </c>
      <c r="D2551" s="286" t="s">
        <v>1105</v>
      </c>
      <c r="E2551" s="286" t="s">
        <v>1106</v>
      </c>
      <c r="F2551" s="286" t="s">
        <v>2141</v>
      </c>
      <c r="G2551" s="286" t="s">
        <v>1037</v>
      </c>
      <c r="H2551" s="286" t="s">
        <v>1037</v>
      </c>
      <c r="I2551" s="286" t="s">
        <v>1152</v>
      </c>
      <c r="J2551" s="286" t="s">
        <v>1312</v>
      </c>
      <c r="K2551" s="286" t="s">
        <v>2508</v>
      </c>
      <c r="L2551" s="286" t="s">
        <v>53</v>
      </c>
      <c r="M2551" s="286">
        <v>1</v>
      </c>
      <c r="N2551" s="287">
        <v>-1981.54</v>
      </c>
      <c r="O2551" s="294">
        <f t="shared" si="39"/>
        <v>45626</v>
      </c>
      <c r="P2551" s="286" t="s">
        <v>58</v>
      </c>
    </row>
    <row r="2552" spans="1:16" hidden="1" x14ac:dyDescent="0.15">
      <c r="A2552" s="286">
        <v>874698</v>
      </c>
      <c r="B2552" s="288">
        <v>45628.357638888891</v>
      </c>
      <c r="C2552" s="286" t="s">
        <v>2098</v>
      </c>
      <c r="D2552" s="286" t="s">
        <v>1105</v>
      </c>
      <c r="E2552" s="286" t="s">
        <v>1106</v>
      </c>
      <c r="F2552" s="286" t="s">
        <v>2142</v>
      </c>
      <c r="G2552" s="286" t="s">
        <v>1037</v>
      </c>
      <c r="H2552" s="286" t="s">
        <v>1037</v>
      </c>
      <c r="I2552" s="286" t="s">
        <v>1152</v>
      </c>
      <c r="J2552" s="286" t="s">
        <v>1312</v>
      </c>
      <c r="K2552" s="286" t="s">
        <v>2508</v>
      </c>
      <c r="L2552" s="286" t="s">
        <v>53</v>
      </c>
      <c r="M2552" s="286">
        <v>1</v>
      </c>
      <c r="N2552" s="287">
        <v>-1981.54</v>
      </c>
      <c r="O2552" s="294">
        <f t="shared" si="39"/>
        <v>45657</v>
      </c>
      <c r="P2552" s="286" t="s">
        <v>58</v>
      </c>
    </row>
    <row r="2553" spans="1:16" hidden="1" x14ac:dyDescent="0.15">
      <c r="A2553" s="286">
        <v>745911</v>
      </c>
      <c r="B2553" s="288">
        <v>45538.44027777778</v>
      </c>
      <c r="C2553" s="286" t="s">
        <v>2132</v>
      </c>
      <c r="D2553" s="286" t="s">
        <v>1105</v>
      </c>
      <c r="E2553" s="286" t="s">
        <v>1106</v>
      </c>
      <c r="F2553" s="286" t="s">
        <v>2139</v>
      </c>
      <c r="G2553" s="286" t="s">
        <v>1021</v>
      </c>
      <c r="H2553" s="286" t="s">
        <v>1021</v>
      </c>
      <c r="I2553" s="286" t="s">
        <v>1199</v>
      </c>
      <c r="J2553" s="286" t="s">
        <v>1312</v>
      </c>
      <c r="K2553" s="286" t="s">
        <v>2068</v>
      </c>
      <c r="L2553" s="286" t="s">
        <v>53</v>
      </c>
      <c r="M2553" s="286">
        <v>1</v>
      </c>
      <c r="N2553" s="287">
        <v>-1986.24</v>
      </c>
      <c r="O2553" s="294">
        <f t="shared" si="39"/>
        <v>45565</v>
      </c>
      <c r="P2553" s="286" t="s">
        <v>58</v>
      </c>
    </row>
    <row r="2554" spans="1:16" hidden="1" x14ac:dyDescent="0.15">
      <c r="A2554" s="286">
        <v>848817</v>
      </c>
      <c r="B2554" s="288">
        <v>45607.65902777778</v>
      </c>
      <c r="C2554" s="286" t="s">
        <v>2130</v>
      </c>
      <c r="D2554" s="286" t="s">
        <v>1105</v>
      </c>
      <c r="E2554" s="286" t="s">
        <v>1106</v>
      </c>
      <c r="F2554" s="286" t="s">
        <v>2140</v>
      </c>
      <c r="G2554" s="286" t="s">
        <v>1021</v>
      </c>
      <c r="H2554" s="286" t="s">
        <v>1021</v>
      </c>
      <c r="I2554" s="286" t="s">
        <v>1199</v>
      </c>
      <c r="J2554" s="286" t="s">
        <v>1312</v>
      </c>
      <c r="K2554" s="286" t="s">
        <v>2068</v>
      </c>
      <c r="L2554" s="286" t="s">
        <v>53</v>
      </c>
      <c r="M2554" s="286">
        <v>1</v>
      </c>
      <c r="N2554" s="287">
        <v>-1986.24</v>
      </c>
      <c r="O2554" s="294">
        <f t="shared" si="39"/>
        <v>45626</v>
      </c>
      <c r="P2554" s="286" t="s">
        <v>58</v>
      </c>
    </row>
    <row r="2555" spans="1:16" hidden="1" x14ac:dyDescent="0.15">
      <c r="A2555" s="286">
        <v>848917</v>
      </c>
      <c r="B2555" s="288">
        <v>45607.660416666666</v>
      </c>
      <c r="C2555" s="286" t="s">
        <v>2100</v>
      </c>
      <c r="D2555" s="286" t="s">
        <v>1105</v>
      </c>
      <c r="E2555" s="286" t="s">
        <v>1106</v>
      </c>
      <c r="F2555" s="286" t="s">
        <v>2141</v>
      </c>
      <c r="G2555" s="286" t="s">
        <v>1021</v>
      </c>
      <c r="H2555" s="286" t="s">
        <v>1021</v>
      </c>
      <c r="I2555" s="286" t="s">
        <v>1199</v>
      </c>
      <c r="J2555" s="286" t="s">
        <v>1312</v>
      </c>
      <c r="K2555" s="286" t="s">
        <v>2068</v>
      </c>
      <c r="L2555" s="286" t="s">
        <v>53</v>
      </c>
      <c r="M2555" s="286">
        <v>1</v>
      </c>
      <c r="N2555" s="287">
        <v>-1986.24</v>
      </c>
      <c r="O2555" s="294">
        <f t="shared" si="39"/>
        <v>45626</v>
      </c>
      <c r="P2555" s="286" t="s">
        <v>58</v>
      </c>
    </row>
    <row r="2556" spans="1:16" hidden="1" x14ac:dyDescent="0.15">
      <c r="A2556" s="286">
        <v>874698</v>
      </c>
      <c r="B2556" s="288">
        <v>45628.357638888891</v>
      </c>
      <c r="C2556" s="286" t="s">
        <v>2098</v>
      </c>
      <c r="D2556" s="286" t="s">
        <v>1105</v>
      </c>
      <c r="E2556" s="286" t="s">
        <v>1106</v>
      </c>
      <c r="F2556" s="286" t="s">
        <v>2142</v>
      </c>
      <c r="G2556" s="286" t="s">
        <v>1021</v>
      </c>
      <c r="H2556" s="286" t="s">
        <v>1021</v>
      </c>
      <c r="I2556" s="286" t="s">
        <v>1199</v>
      </c>
      <c r="J2556" s="286" t="s">
        <v>1312</v>
      </c>
      <c r="K2556" s="286" t="s">
        <v>2068</v>
      </c>
      <c r="L2556" s="286" t="s">
        <v>53</v>
      </c>
      <c r="M2556" s="286">
        <v>1</v>
      </c>
      <c r="N2556" s="287">
        <v>-1986.24</v>
      </c>
      <c r="O2556" s="294">
        <f t="shared" si="39"/>
        <v>45657</v>
      </c>
      <c r="P2556" s="286" t="s">
        <v>58</v>
      </c>
    </row>
    <row r="2557" spans="1:16" hidden="1" x14ac:dyDescent="0.15">
      <c r="A2557" s="286">
        <v>848817</v>
      </c>
      <c r="B2557" s="288">
        <v>45607.65902777778</v>
      </c>
      <c r="C2557" s="286" t="s">
        <v>2130</v>
      </c>
      <c r="D2557" s="286" t="s">
        <v>1105</v>
      </c>
      <c r="E2557" s="286" t="s">
        <v>1106</v>
      </c>
      <c r="F2557" s="286" t="s">
        <v>2140</v>
      </c>
      <c r="G2557" s="286" t="s">
        <v>1074</v>
      </c>
      <c r="H2557" s="286" t="s">
        <v>1034</v>
      </c>
      <c r="I2557" s="286" t="s">
        <v>1152</v>
      </c>
      <c r="J2557" s="286" t="s">
        <v>1312</v>
      </c>
      <c r="K2557" s="286" t="s">
        <v>1811</v>
      </c>
      <c r="L2557" s="286" t="s">
        <v>86</v>
      </c>
      <c r="M2557" s="286">
        <v>1</v>
      </c>
      <c r="N2557" s="287">
        <v>-1987.94</v>
      </c>
      <c r="O2557" s="294">
        <f t="shared" si="39"/>
        <v>45626</v>
      </c>
      <c r="P2557" s="286" t="s">
        <v>58</v>
      </c>
    </row>
    <row r="2558" spans="1:16" hidden="1" x14ac:dyDescent="0.15">
      <c r="A2558" s="286">
        <v>438112</v>
      </c>
      <c r="B2558" s="288">
        <v>45293.53402777778</v>
      </c>
      <c r="C2558" s="286" t="s">
        <v>2125</v>
      </c>
      <c r="D2558" s="286" t="s">
        <v>1105</v>
      </c>
      <c r="E2558" s="286" t="s">
        <v>1106</v>
      </c>
      <c r="F2558" s="286" t="s">
        <v>2152</v>
      </c>
      <c r="G2558" s="286" t="s">
        <v>1074</v>
      </c>
      <c r="H2558" s="286" t="s">
        <v>1034</v>
      </c>
      <c r="I2558" s="286" t="s">
        <v>1152</v>
      </c>
      <c r="J2558" s="286" t="s">
        <v>1312</v>
      </c>
      <c r="K2558" s="286" t="s">
        <v>1811</v>
      </c>
      <c r="L2558" s="286" t="s">
        <v>86</v>
      </c>
      <c r="M2558" s="286">
        <v>1</v>
      </c>
      <c r="N2558" s="287">
        <v>-1987.96</v>
      </c>
      <c r="O2558" s="294">
        <f t="shared" si="39"/>
        <v>45322</v>
      </c>
      <c r="P2558" s="286" t="s">
        <v>58</v>
      </c>
    </row>
    <row r="2559" spans="1:16" hidden="1" x14ac:dyDescent="0.15">
      <c r="A2559" s="286">
        <v>472168</v>
      </c>
      <c r="B2559" s="288">
        <v>45331.416666666664</v>
      </c>
      <c r="C2559" s="286" t="s">
        <v>2113</v>
      </c>
      <c r="D2559" s="286" t="s">
        <v>1105</v>
      </c>
      <c r="E2559" s="286" t="s">
        <v>1106</v>
      </c>
      <c r="F2559" s="286" t="s">
        <v>2153</v>
      </c>
      <c r="G2559" s="286" t="s">
        <v>1074</v>
      </c>
      <c r="H2559" s="286" t="s">
        <v>1034</v>
      </c>
      <c r="I2559" s="286" t="s">
        <v>1152</v>
      </c>
      <c r="J2559" s="286" t="s">
        <v>1312</v>
      </c>
      <c r="K2559" s="286" t="s">
        <v>1811</v>
      </c>
      <c r="L2559" s="286" t="s">
        <v>86</v>
      </c>
      <c r="M2559" s="286">
        <v>1</v>
      </c>
      <c r="N2559" s="287">
        <v>-1987.96</v>
      </c>
      <c r="O2559" s="294">
        <f t="shared" si="39"/>
        <v>45351</v>
      </c>
      <c r="P2559" s="286" t="s">
        <v>58</v>
      </c>
    </row>
    <row r="2560" spans="1:16" hidden="1" x14ac:dyDescent="0.15">
      <c r="A2560" s="286">
        <v>504817</v>
      </c>
      <c r="B2560" s="288">
        <v>45359.645138888889</v>
      </c>
      <c r="C2560" s="286" t="s">
        <v>2109</v>
      </c>
      <c r="D2560" s="286" t="s">
        <v>1105</v>
      </c>
      <c r="E2560" s="286" t="s">
        <v>1106</v>
      </c>
      <c r="F2560" s="286" t="s">
        <v>2154</v>
      </c>
      <c r="G2560" s="286" t="s">
        <v>1074</v>
      </c>
      <c r="H2560" s="286" t="s">
        <v>1034</v>
      </c>
      <c r="I2560" s="286" t="s">
        <v>1152</v>
      </c>
      <c r="J2560" s="286" t="s">
        <v>1312</v>
      </c>
      <c r="K2560" s="286" t="s">
        <v>1811</v>
      </c>
      <c r="L2560" s="286" t="s">
        <v>86</v>
      </c>
      <c r="M2560" s="286">
        <v>1</v>
      </c>
      <c r="N2560" s="287">
        <v>-1987.96</v>
      </c>
      <c r="O2560" s="294">
        <f t="shared" si="39"/>
        <v>45382</v>
      </c>
      <c r="P2560" s="286" t="s">
        <v>58</v>
      </c>
    </row>
    <row r="2561" spans="1:16" hidden="1" x14ac:dyDescent="0.15">
      <c r="A2561" s="286">
        <v>534207</v>
      </c>
      <c r="B2561" s="288">
        <v>45385.750694444447</v>
      </c>
      <c r="C2561" s="286" t="s">
        <v>2096</v>
      </c>
      <c r="D2561" s="286" t="s">
        <v>1105</v>
      </c>
      <c r="E2561" s="286" t="s">
        <v>1106</v>
      </c>
      <c r="F2561" s="286" t="s">
        <v>2155</v>
      </c>
      <c r="G2561" s="286" t="s">
        <v>1074</v>
      </c>
      <c r="H2561" s="286" t="s">
        <v>1034</v>
      </c>
      <c r="I2561" s="286" t="s">
        <v>1152</v>
      </c>
      <c r="J2561" s="286" t="s">
        <v>1312</v>
      </c>
      <c r="K2561" s="286" t="s">
        <v>1811</v>
      </c>
      <c r="L2561" s="286" t="s">
        <v>86</v>
      </c>
      <c r="M2561" s="286">
        <v>1</v>
      </c>
      <c r="N2561" s="287">
        <v>-1987.96</v>
      </c>
      <c r="O2561" s="294">
        <f t="shared" si="39"/>
        <v>45412</v>
      </c>
      <c r="P2561" s="286" t="s">
        <v>58</v>
      </c>
    </row>
    <row r="2562" spans="1:16" hidden="1" x14ac:dyDescent="0.15">
      <c r="A2562" s="286">
        <v>614216</v>
      </c>
      <c r="B2562" s="288">
        <v>45455.716666666667</v>
      </c>
      <c r="C2562" s="286" t="s">
        <v>2116</v>
      </c>
      <c r="D2562" s="286" t="s">
        <v>1105</v>
      </c>
      <c r="E2562" s="286" t="s">
        <v>1106</v>
      </c>
      <c r="F2562" s="286" t="s">
        <v>2156</v>
      </c>
      <c r="G2562" s="286" t="s">
        <v>1074</v>
      </c>
      <c r="H2562" s="286" t="s">
        <v>1034</v>
      </c>
      <c r="I2562" s="286" t="s">
        <v>1152</v>
      </c>
      <c r="J2562" s="286" t="s">
        <v>1312</v>
      </c>
      <c r="K2562" s="286" t="s">
        <v>1811</v>
      </c>
      <c r="L2562" s="286" t="s">
        <v>86</v>
      </c>
      <c r="M2562" s="286">
        <v>1</v>
      </c>
      <c r="N2562" s="287">
        <v>-1987.96</v>
      </c>
      <c r="O2562" s="294">
        <f t="shared" si="39"/>
        <v>45473</v>
      </c>
      <c r="P2562" s="286" t="s">
        <v>58</v>
      </c>
    </row>
    <row r="2563" spans="1:16" hidden="1" x14ac:dyDescent="0.15">
      <c r="A2563" s="286">
        <v>614316</v>
      </c>
      <c r="B2563" s="288">
        <v>45455.717361111114</v>
      </c>
      <c r="C2563" s="286" t="s">
        <v>2092</v>
      </c>
      <c r="D2563" s="286" t="s">
        <v>1105</v>
      </c>
      <c r="E2563" s="286" t="s">
        <v>1106</v>
      </c>
      <c r="F2563" s="286" t="s">
        <v>2167</v>
      </c>
      <c r="G2563" s="286" t="s">
        <v>1074</v>
      </c>
      <c r="H2563" s="286" t="s">
        <v>1034</v>
      </c>
      <c r="I2563" s="286" t="s">
        <v>1152</v>
      </c>
      <c r="J2563" s="286" t="s">
        <v>1312</v>
      </c>
      <c r="K2563" s="286" t="s">
        <v>1811</v>
      </c>
      <c r="L2563" s="286" t="s">
        <v>86</v>
      </c>
      <c r="M2563" s="286">
        <v>1</v>
      </c>
      <c r="N2563" s="287">
        <v>-1987.96</v>
      </c>
      <c r="O2563" s="294">
        <f t="shared" si="39"/>
        <v>45473</v>
      </c>
      <c r="P2563" s="286" t="s">
        <v>58</v>
      </c>
    </row>
    <row r="2564" spans="1:16" hidden="1" x14ac:dyDescent="0.15">
      <c r="A2564" s="286">
        <v>646075</v>
      </c>
      <c r="B2564" s="288">
        <v>45474.519444444442</v>
      </c>
      <c r="C2564" s="286" t="s">
        <v>2111</v>
      </c>
      <c r="D2564" s="286" t="s">
        <v>1105</v>
      </c>
      <c r="E2564" s="286" t="s">
        <v>1106</v>
      </c>
      <c r="F2564" s="286" t="s">
        <v>2137</v>
      </c>
      <c r="G2564" s="286" t="s">
        <v>1074</v>
      </c>
      <c r="H2564" s="286" t="s">
        <v>1034</v>
      </c>
      <c r="I2564" s="286" t="s">
        <v>1152</v>
      </c>
      <c r="J2564" s="286" t="s">
        <v>1312</v>
      </c>
      <c r="K2564" s="286" t="s">
        <v>1811</v>
      </c>
      <c r="L2564" s="286" t="s">
        <v>86</v>
      </c>
      <c r="M2564" s="286">
        <v>1</v>
      </c>
      <c r="N2564" s="287">
        <v>-1987.96</v>
      </c>
      <c r="O2564" s="294">
        <f t="shared" ref="O2564:O2627" si="40">EOMONTH(B2564,0)</f>
        <v>45504</v>
      </c>
      <c r="P2564" s="286" t="s">
        <v>58</v>
      </c>
    </row>
    <row r="2565" spans="1:16" hidden="1" x14ac:dyDescent="0.15">
      <c r="A2565" s="286">
        <v>697810</v>
      </c>
      <c r="B2565" s="288">
        <v>45510.366666666669</v>
      </c>
      <c r="C2565" s="286" t="s">
        <v>2102</v>
      </c>
      <c r="D2565" s="286" t="s">
        <v>1105</v>
      </c>
      <c r="E2565" s="286" t="s">
        <v>1106</v>
      </c>
      <c r="F2565" s="286" t="s">
        <v>2138</v>
      </c>
      <c r="G2565" s="286" t="s">
        <v>1074</v>
      </c>
      <c r="H2565" s="286" t="s">
        <v>1034</v>
      </c>
      <c r="I2565" s="286" t="s">
        <v>1152</v>
      </c>
      <c r="J2565" s="286" t="s">
        <v>1312</v>
      </c>
      <c r="K2565" s="286" t="s">
        <v>1811</v>
      </c>
      <c r="L2565" s="286" t="s">
        <v>86</v>
      </c>
      <c r="M2565" s="286">
        <v>1</v>
      </c>
      <c r="N2565" s="287">
        <v>-1987.96</v>
      </c>
      <c r="O2565" s="294">
        <f t="shared" si="40"/>
        <v>45535</v>
      </c>
      <c r="P2565" s="286" t="s">
        <v>58</v>
      </c>
    </row>
    <row r="2566" spans="1:16" hidden="1" x14ac:dyDescent="0.15">
      <c r="A2566" s="286">
        <v>745911</v>
      </c>
      <c r="B2566" s="288">
        <v>45538.44027777778</v>
      </c>
      <c r="C2566" s="286" t="s">
        <v>2132</v>
      </c>
      <c r="D2566" s="286" t="s">
        <v>1105</v>
      </c>
      <c r="E2566" s="286" t="s">
        <v>1106</v>
      </c>
      <c r="F2566" s="286" t="s">
        <v>2139</v>
      </c>
      <c r="G2566" s="286" t="s">
        <v>1074</v>
      </c>
      <c r="H2566" s="286" t="s">
        <v>1034</v>
      </c>
      <c r="I2566" s="286" t="s">
        <v>1152</v>
      </c>
      <c r="J2566" s="286" t="s">
        <v>1312</v>
      </c>
      <c r="K2566" s="286" t="s">
        <v>1811</v>
      </c>
      <c r="L2566" s="286" t="s">
        <v>86</v>
      </c>
      <c r="M2566" s="286">
        <v>1</v>
      </c>
      <c r="N2566" s="287">
        <v>-1987.96</v>
      </c>
      <c r="O2566" s="294">
        <f t="shared" si="40"/>
        <v>45565</v>
      </c>
      <c r="P2566" s="286" t="s">
        <v>58</v>
      </c>
    </row>
    <row r="2567" spans="1:16" hidden="1" x14ac:dyDescent="0.15">
      <c r="A2567" s="286">
        <v>504817</v>
      </c>
      <c r="B2567" s="288">
        <v>45359.645138888889</v>
      </c>
      <c r="C2567" s="286" t="s">
        <v>2109</v>
      </c>
      <c r="D2567" s="286" t="s">
        <v>1105</v>
      </c>
      <c r="E2567" s="286" t="s">
        <v>1106</v>
      </c>
      <c r="F2567" s="286" t="s">
        <v>2154</v>
      </c>
      <c r="G2567" s="286" t="s">
        <v>1019</v>
      </c>
      <c r="H2567" s="286" t="s">
        <v>1019</v>
      </c>
      <c r="I2567" s="286" t="s">
        <v>1152</v>
      </c>
      <c r="J2567" s="286" t="s">
        <v>1312</v>
      </c>
      <c r="K2567" s="286" t="s">
        <v>2504</v>
      </c>
      <c r="L2567" s="286" t="s">
        <v>53</v>
      </c>
      <c r="M2567" s="286">
        <v>1</v>
      </c>
      <c r="N2567" s="287">
        <v>-1993.87</v>
      </c>
      <c r="O2567" s="294">
        <f t="shared" si="40"/>
        <v>45382</v>
      </c>
      <c r="P2567" s="286" t="s">
        <v>58</v>
      </c>
    </row>
    <row r="2568" spans="1:16" hidden="1" x14ac:dyDescent="0.15">
      <c r="A2568" s="286">
        <v>534207</v>
      </c>
      <c r="B2568" s="288">
        <v>45385.750694444447</v>
      </c>
      <c r="C2568" s="286" t="s">
        <v>2096</v>
      </c>
      <c r="D2568" s="286" t="s">
        <v>1105</v>
      </c>
      <c r="E2568" s="286" t="s">
        <v>1106</v>
      </c>
      <c r="F2568" s="286" t="s">
        <v>2155</v>
      </c>
      <c r="G2568" s="286" t="s">
        <v>1019</v>
      </c>
      <c r="H2568" s="286" t="s">
        <v>1019</v>
      </c>
      <c r="I2568" s="286" t="s">
        <v>1152</v>
      </c>
      <c r="J2568" s="286" t="s">
        <v>1312</v>
      </c>
      <c r="K2568" s="286" t="s">
        <v>2504</v>
      </c>
      <c r="L2568" s="286" t="s">
        <v>53</v>
      </c>
      <c r="M2568" s="286">
        <v>1</v>
      </c>
      <c r="N2568" s="287">
        <v>-1993.87</v>
      </c>
      <c r="O2568" s="294">
        <f t="shared" si="40"/>
        <v>45412</v>
      </c>
      <c r="P2568" s="286" t="s">
        <v>58</v>
      </c>
    </row>
    <row r="2569" spans="1:16" hidden="1" x14ac:dyDescent="0.15">
      <c r="A2569" s="286">
        <v>614216</v>
      </c>
      <c r="B2569" s="288">
        <v>45455.716666666667</v>
      </c>
      <c r="C2569" s="286" t="s">
        <v>2116</v>
      </c>
      <c r="D2569" s="286" t="s">
        <v>1105</v>
      </c>
      <c r="E2569" s="286" t="s">
        <v>1106</v>
      </c>
      <c r="F2569" s="286" t="s">
        <v>2156</v>
      </c>
      <c r="G2569" s="286" t="s">
        <v>1019</v>
      </c>
      <c r="H2569" s="286" t="s">
        <v>1019</v>
      </c>
      <c r="I2569" s="286" t="s">
        <v>1152</v>
      </c>
      <c r="J2569" s="286" t="s">
        <v>1312</v>
      </c>
      <c r="K2569" s="286" t="s">
        <v>2504</v>
      </c>
      <c r="L2569" s="286" t="s">
        <v>53</v>
      </c>
      <c r="M2569" s="286">
        <v>1</v>
      </c>
      <c r="N2569" s="287">
        <v>-1993.87</v>
      </c>
      <c r="O2569" s="294">
        <f t="shared" si="40"/>
        <v>45473</v>
      </c>
      <c r="P2569" s="286" t="s">
        <v>58</v>
      </c>
    </row>
    <row r="2570" spans="1:16" hidden="1" x14ac:dyDescent="0.15">
      <c r="A2570" s="286">
        <v>614316</v>
      </c>
      <c r="B2570" s="288">
        <v>45455.717361111114</v>
      </c>
      <c r="C2570" s="286" t="s">
        <v>2092</v>
      </c>
      <c r="D2570" s="286" t="s">
        <v>1105</v>
      </c>
      <c r="E2570" s="286" t="s">
        <v>1106</v>
      </c>
      <c r="F2570" s="286" t="s">
        <v>2167</v>
      </c>
      <c r="G2570" s="286" t="s">
        <v>1019</v>
      </c>
      <c r="H2570" s="286" t="s">
        <v>1019</v>
      </c>
      <c r="I2570" s="286" t="s">
        <v>1152</v>
      </c>
      <c r="J2570" s="286" t="s">
        <v>1312</v>
      </c>
      <c r="K2570" s="286" t="s">
        <v>2504</v>
      </c>
      <c r="L2570" s="286" t="s">
        <v>53</v>
      </c>
      <c r="M2570" s="286">
        <v>1</v>
      </c>
      <c r="N2570" s="287">
        <v>-1993.87</v>
      </c>
      <c r="O2570" s="294">
        <f t="shared" si="40"/>
        <v>45473</v>
      </c>
      <c r="P2570" s="286" t="s">
        <v>58</v>
      </c>
    </row>
    <row r="2571" spans="1:16" hidden="1" x14ac:dyDescent="0.15">
      <c r="A2571" s="286">
        <v>646075</v>
      </c>
      <c r="B2571" s="288">
        <v>45474.519444444442</v>
      </c>
      <c r="C2571" s="286" t="s">
        <v>2111</v>
      </c>
      <c r="D2571" s="286" t="s">
        <v>1105</v>
      </c>
      <c r="E2571" s="286" t="s">
        <v>1106</v>
      </c>
      <c r="F2571" s="286" t="s">
        <v>2137</v>
      </c>
      <c r="G2571" s="286" t="s">
        <v>1019</v>
      </c>
      <c r="H2571" s="286" t="s">
        <v>1019</v>
      </c>
      <c r="I2571" s="286" t="s">
        <v>1152</v>
      </c>
      <c r="J2571" s="286" t="s">
        <v>1312</v>
      </c>
      <c r="K2571" s="286" t="s">
        <v>2504</v>
      </c>
      <c r="L2571" s="286" t="s">
        <v>53</v>
      </c>
      <c r="M2571" s="286">
        <v>1</v>
      </c>
      <c r="N2571" s="287">
        <v>-1993.87</v>
      </c>
      <c r="O2571" s="294">
        <f t="shared" si="40"/>
        <v>45504</v>
      </c>
      <c r="P2571" s="286" t="s">
        <v>58</v>
      </c>
    </row>
    <row r="2572" spans="1:16" hidden="1" x14ac:dyDescent="0.15">
      <c r="A2572" s="286">
        <v>697810</v>
      </c>
      <c r="B2572" s="288">
        <v>45510.366666666669</v>
      </c>
      <c r="C2572" s="286" t="s">
        <v>2102</v>
      </c>
      <c r="D2572" s="286" t="s">
        <v>1105</v>
      </c>
      <c r="E2572" s="286" t="s">
        <v>1106</v>
      </c>
      <c r="F2572" s="286" t="s">
        <v>2138</v>
      </c>
      <c r="G2572" s="286" t="s">
        <v>1019</v>
      </c>
      <c r="H2572" s="286" t="s">
        <v>1019</v>
      </c>
      <c r="I2572" s="286" t="s">
        <v>1152</v>
      </c>
      <c r="J2572" s="286" t="s">
        <v>1312</v>
      </c>
      <c r="K2572" s="286" t="s">
        <v>2504</v>
      </c>
      <c r="L2572" s="286" t="s">
        <v>53</v>
      </c>
      <c r="M2572" s="286">
        <v>1</v>
      </c>
      <c r="N2572" s="287">
        <v>-1993.87</v>
      </c>
      <c r="O2572" s="294">
        <f t="shared" si="40"/>
        <v>45535</v>
      </c>
      <c r="P2572" s="286" t="s">
        <v>58</v>
      </c>
    </row>
    <row r="2573" spans="1:16" hidden="1" x14ac:dyDescent="0.15">
      <c r="A2573" s="286">
        <v>745911</v>
      </c>
      <c r="B2573" s="288">
        <v>45538.44027777778</v>
      </c>
      <c r="C2573" s="286" t="s">
        <v>2132</v>
      </c>
      <c r="D2573" s="286" t="s">
        <v>1105</v>
      </c>
      <c r="E2573" s="286" t="s">
        <v>1106</v>
      </c>
      <c r="F2573" s="286" t="s">
        <v>2139</v>
      </c>
      <c r="G2573" s="286" t="s">
        <v>1019</v>
      </c>
      <c r="H2573" s="286" t="s">
        <v>1019</v>
      </c>
      <c r="I2573" s="286" t="s">
        <v>1152</v>
      </c>
      <c r="J2573" s="286" t="s">
        <v>1312</v>
      </c>
      <c r="K2573" s="286" t="s">
        <v>2504</v>
      </c>
      <c r="L2573" s="286" t="s">
        <v>53</v>
      </c>
      <c r="M2573" s="286">
        <v>1</v>
      </c>
      <c r="N2573" s="287">
        <v>-1993.87</v>
      </c>
      <c r="O2573" s="294">
        <f t="shared" si="40"/>
        <v>45565</v>
      </c>
      <c r="P2573" s="286" t="s">
        <v>58</v>
      </c>
    </row>
    <row r="2574" spans="1:16" hidden="1" x14ac:dyDescent="0.15">
      <c r="A2574" s="286">
        <v>848817</v>
      </c>
      <c r="B2574" s="288">
        <v>45607.65902777778</v>
      </c>
      <c r="C2574" s="286" t="s">
        <v>2130</v>
      </c>
      <c r="D2574" s="286" t="s">
        <v>1105</v>
      </c>
      <c r="E2574" s="286" t="s">
        <v>1106</v>
      </c>
      <c r="F2574" s="286" t="s">
        <v>2140</v>
      </c>
      <c r="G2574" s="286" t="s">
        <v>1019</v>
      </c>
      <c r="H2574" s="286" t="s">
        <v>1019</v>
      </c>
      <c r="I2574" s="286" t="s">
        <v>1152</v>
      </c>
      <c r="J2574" s="286" t="s">
        <v>1312</v>
      </c>
      <c r="K2574" s="286" t="s">
        <v>2504</v>
      </c>
      <c r="L2574" s="286" t="s">
        <v>53</v>
      </c>
      <c r="M2574" s="286">
        <v>1</v>
      </c>
      <c r="N2574" s="287">
        <v>-1993.87</v>
      </c>
      <c r="O2574" s="294">
        <f t="shared" si="40"/>
        <v>45626</v>
      </c>
      <c r="P2574" s="286" t="s">
        <v>58</v>
      </c>
    </row>
    <row r="2575" spans="1:16" hidden="1" x14ac:dyDescent="0.15">
      <c r="A2575" s="286">
        <v>848917</v>
      </c>
      <c r="B2575" s="288">
        <v>45607.660416666666</v>
      </c>
      <c r="C2575" s="286" t="s">
        <v>2100</v>
      </c>
      <c r="D2575" s="286" t="s">
        <v>1105</v>
      </c>
      <c r="E2575" s="286" t="s">
        <v>1106</v>
      </c>
      <c r="F2575" s="286" t="s">
        <v>2141</v>
      </c>
      <c r="G2575" s="286" t="s">
        <v>1019</v>
      </c>
      <c r="H2575" s="286" t="s">
        <v>1019</v>
      </c>
      <c r="I2575" s="286" t="s">
        <v>1152</v>
      </c>
      <c r="J2575" s="286" t="s">
        <v>1312</v>
      </c>
      <c r="K2575" s="286" t="s">
        <v>2504</v>
      </c>
      <c r="L2575" s="286" t="s">
        <v>53</v>
      </c>
      <c r="M2575" s="286">
        <v>1</v>
      </c>
      <c r="N2575" s="287">
        <v>-1993.87</v>
      </c>
      <c r="O2575" s="294">
        <f t="shared" si="40"/>
        <v>45626</v>
      </c>
      <c r="P2575" s="286" t="s">
        <v>58</v>
      </c>
    </row>
    <row r="2576" spans="1:16" hidden="1" x14ac:dyDescent="0.15">
      <c r="A2576" s="286">
        <v>874698</v>
      </c>
      <c r="B2576" s="288">
        <v>45628.357638888891</v>
      </c>
      <c r="C2576" s="286" t="s">
        <v>2098</v>
      </c>
      <c r="D2576" s="286" t="s">
        <v>1105</v>
      </c>
      <c r="E2576" s="286" t="s">
        <v>1106</v>
      </c>
      <c r="F2576" s="286" t="s">
        <v>2142</v>
      </c>
      <c r="G2576" s="286" t="s">
        <v>1019</v>
      </c>
      <c r="H2576" s="286" t="s">
        <v>1019</v>
      </c>
      <c r="I2576" s="286" t="s">
        <v>1152</v>
      </c>
      <c r="J2576" s="286" t="s">
        <v>1312</v>
      </c>
      <c r="K2576" s="286" t="s">
        <v>2504</v>
      </c>
      <c r="L2576" s="286" t="s">
        <v>53</v>
      </c>
      <c r="M2576" s="286">
        <v>1</v>
      </c>
      <c r="N2576" s="287">
        <v>-1993.87</v>
      </c>
      <c r="O2576" s="294">
        <f t="shared" si="40"/>
        <v>45657</v>
      </c>
      <c r="P2576" s="286" t="s">
        <v>58</v>
      </c>
    </row>
    <row r="2577" spans="1:16" hidden="1" x14ac:dyDescent="0.15">
      <c r="A2577" s="286">
        <v>745911</v>
      </c>
      <c r="B2577" s="288">
        <v>45538.44027777778</v>
      </c>
      <c r="C2577" s="286" t="s">
        <v>2132</v>
      </c>
      <c r="D2577" s="286" t="s">
        <v>1105</v>
      </c>
      <c r="E2577" s="286" t="s">
        <v>1106</v>
      </c>
      <c r="F2577" s="286" t="s">
        <v>2139</v>
      </c>
      <c r="G2577" s="286" t="s">
        <v>1048</v>
      </c>
      <c r="H2577" s="286" t="s">
        <v>1048</v>
      </c>
      <c r="I2577" s="286" t="s">
        <v>1199</v>
      </c>
      <c r="J2577" s="286" t="s">
        <v>1312</v>
      </c>
      <c r="K2577" s="286" t="s">
        <v>2068</v>
      </c>
      <c r="L2577" s="286" t="s">
        <v>53</v>
      </c>
      <c r="M2577" s="286">
        <v>1</v>
      </c>
      <c r="N2577" s="287">
        <v>-1995.76</v>
      </c>
      <c r="O2577" s="294">
        <f t="shared" si="40"/>
        <v>45565</v>
      </c>
      <c r="P2577" s="286" t="s">
        <v>58</v>
      </c>
    </row>
    <row r="2578" spans="1:16" hidden="1" x14ac:dyDescent="0.15">
      <c r="A2578" s="286">
        <v>848817</v>
      </c>
      <c r="B2578" s="288">
        <v>45607.65902777778</v>
      </c>
      <c r="C2578" s="286" t="s">
        <v>2130</v>
      </c>
      <c r="D2578" s="286" t="s">
        <v>1105</v>
      </c>
      <c r="E2578" s="286" t="s">
        <v>1106</v>
      </c>
      <c r="F2578" s="286" t="s">
        <v>2140</v>
      </c>
      <c r="G2578" s="286" t="s">
        <v>1048</v>
      </c>
      <c r="H2578" s="286" t="s">
        <v>1048</v>
      </c>
      <c r="I2578" s="286" t="s">
        <v>1199</v>
      </c>
      <c r="J2578" s="286" t="s">
        <v>1312</v>
      </c>
      <c r="K2578" s="286" t="s">
        <v>2068</v>
      </c>
      <c r="L2578" s="286" t="s">
        <v>53</v>
      </c>
      <c r="M2578" s="286">
        <v>1</v>
      </c>
      <c r="N2578" s="287">
        <v>-1995.76</v>
      </c>
      <c r="O2578" s="294">
        <f t="shared" si="40"/>
        <v>45626</v>
      </c>
      <c r="P2578" s="286" t="s">
        <v>58</v>
      </c>
    </row>
    <row r="2579" spans="1:16" hidden="1" x14ac:dyDescent="0.15">
      <c r="A2579" s="286">
        <v>848917</v>
      </c>
      <c r="B2579" s="288">
        <v>45607.660416666666</v>
      </c>
      <c r="C2579" s="286" t="s">
        <v>2100</v>
      </c>
      <c r="D2579" s="286" t="s">
        <v>1105</v>
      </c>
      <c r="E2579" s="286" t="s">
        <v>1106</v>
      </c>
      <c r="F2579" s="286" t="s">
        <v>2141</v>
      </c>
      <c r="G2579" s="286" t="s">
        <v>1048</v>
      </c>
      <c r="H2579" s="286" t="s">
        <v>1048</v>
      </c>
      <c r="I2579" s="286" t="s">
        <v>1199</v>
      </c>
      <c r="J2579" s="286" t="s">
        <v>1312</v>
      </c>
      <c r="K2579" s="286" t="s">
        <v>2068</v>
      </c>
      <c r="L2579" s="286" t="s">
        <v>53</v>
      </c>
      <c r="M2579" s="286">
        <v>1</v>
      </c>
      <c r="N2579" s="287">
        <v>-1995.76</v>
      </c>
      <c r="O2579" s="294">
        <f t="shared" si="40"/>
        <v>45626</v>
      </c>
      <c r="P2579" s="286" t="s">
        <v>58</v>
      </c>
    </row>
    <row r="2580" spans="1:16" hidden="1" x14ac:dyDescent="0.15">
      <c r="A2580" s="286">
        <v>874698</v>
      </c>
      <c r="B2580" s="288">
        <v>45628.357638888891</v>
      </c>
      <c r="C2580" s="286" t="s">
        <v>2098</v>
      </c>
      <c r="D2580" s="286" t="s">
        <v>1105</v>
      </c>
      <c r="E2580" s="286" t="s">
        <v>1106</v>
      </c>
      <c r="F2580" s="286" t="s">
        <v>2142</v>
      </c>
      <c r="G2580" s="286" t="s">
        <v>1048</v>
      </c>
      <c r="H2580" s="286" t="s">
        <v>1048</v>
      </c>
      <c r="I2580" s="286" t="s">
        <v>1199</v>
      </c>
      <c r="J2580" s="286" t="s">
        <v>1312</v>
      </c>
      <c r="K2580" s="286" t="s">
        <v>2068</v>
      </c>
      <c r="L2580" s="286" t="s">
        <v>53</v>
      </c>
      <c r="M2580" s="286">
        <v>1</v>
      </c>
      <c r="N2580" s="287">
        <v>-1995.76</v>
      </c>
      <c r="O2580" s="294">
        <f t="shared" si="40"/>
        <v>45657</v>
      </c>
      <c r="P2580" s="286" t="s">
        <v>58</v>
      </c>
    </row>
    <row r="2581" spans="1:16" hidden="1" x14ac:dyDescent="0.15">
      <c r="A2581" s="286">
        <v>745911</v>
      </c>
      <c r="B2581" s="288">
        <v>45538.44027777778</v>
      </c>
      <c r="C2581" s="286" t="s">
        <v>2132</v>
      </c>
      <c r="D2581" s="286" t="s">
        <v>1105</v>
      </c>
      <c r="E2581" s="286" t="s">
        <v>1106</v>
      </c>
      <c r="F2581" s="286" t="s">
        <v>2139</v>
      </c>
      <c r="G2581" s="286" t="s">
        <v>1033</v>
      </c>
      <c r="H2581" s="286" t="s">
        <v>1033</v>
      </c>
      <c r="I2581" s="286" t="s">
        <v>1228</v>
      </c>
      <c r="J2581" s="286" t="s">
        <v>1312</v>
      </c>
      <c r="K2581" s="286" t="s">
        <v>2076</v>
      </c>
      <c r="L2581" s="286" t="s">
        <v>53</v>
      </c>
      <c r="M2581" s="286">
        <v>1</v>
      </c>
      <c r="N2581" s="287">
        <v>-1998.07</v>
      </c>
      <c r="O2581" s="294">
        <f t="shared" si="40"/>
        <v>45565</v>
      </c>
      <c r="P2581" s="286" t="s">
        <v>58</v>
      </c>
    </row>
    <row r="2582" spans="1:16" hidden="1" x14ac:dyDescent="0.15">
      <c r="A2582" s="286">
        <v>652082</v>
      </c>
      <c r="B2582" s="288">
        <v>45481.518055555556</v>
      </c>
      <c r="C2582" s="286" t="s">
        <v>2111</v>
      </c>
      <c r="D2582" s="286" t="s">
        <v>1105</v>
      </c>
      <c r="E2582" s="286" t="s">
        <v>1106</v>
      </c>
      <c r="F2582" s="286" t="s">
        <v>2290</v>
      </c>
      <c r="G2582" s="286" t="s">
        <v>1050</v>
      </c>
      <c r="H2582" s="286" t="s">
        <v>1050</v>
      </c>
      <c r="I2582" s="286" t="s">
        <v>1152</v>
      </c>
      <c r="J2582" s="286" t="s">
        <v>1312</v>
      </c>
      <c r="K2582" s="286" t="s">
        <v>2504</v>
      </c>
      <c r="L2582" s="286" t="s">
        <v>53</v>
      </c>
      <c r="M2582" s="286">
        <v>1</v>
      </c>
      <c r="N2582" s="287">
        <v>-2031.53</v>
      </c>
      <c r="O2582" s="294">
        <f t="shared" si="40"/>
        <v>45504</v>
      </c>
      <c r="P2582" s="286" t="s">
        <v>58</v>
      </c>
    </row>
    <row r="2583" spans="1:16" hidden="1" x14ac:dyDescent="0.15">
      <c r="A2583" s="286">
        <v>697810</v>
      </c>
      <c r="B2583" s="288">
        <v>45510.366666666669</v>
      </c>
      <c r="C2583" s="286" t="s">
        <v>2102</v>
      </c>
      <c r="D2583" s="286" t="s">
        <v>1105</v>
      </c>
      <c r="E2583" s="286" t="s">
        <v>1106</v>
      </c>
      <c r="F2583" s="286" t="s">
        <v>2138</v>
      </c>
      <c r="G2583" s="286" t="s">
        <v>1050</v>
      </c>
      <c r="H2583" s="286" t="s">
        <v>1050</v>
      </c>
      <c r="I2583" s="286" t="s">
        <v>1152</v>
      </c>
      <c r="J2583" s="286" t="s">
        <v>1312</v>
      </c>
      <c r="K2583" s="286" t="s">
        <v>2504</v>
      </c>
      <c r="L2583" s="286" t="s">
        <v>53</v>
      </c>
      <c r="M2583" s="286">
        <v>1</v>
      </c>
      <c r="N2583" s="287">
        <v>-2031.53</v>
      </c>
      <c r="O2583" s="294">
        <f t="shared" si="40"/>
        <v>45535</v>
      </c>
      <c r="P2583" s="286" t="s">
        <v>58</v>
      </c>
    </row>
    <row r="2584" spans="1:16" hidden="1" x14ac:dyDescent="0.15">
      <c r="A2584" s="286">
        <v>745911</v>
      </c>
      <c r="B2584" s="288">
        <v>45538.44027777778</v>
      </c>
      <c r="C2584" s="286" t="s">
        <v>2132</v>
      </c>
      <c r="D2584" s="286" t="s">
        <v>1105</v>
      </c>
      <c r="E2584" s="286" t="s">
        <v>1106</v>
      </c>
      <c r="F2584" s="286" t="s">
        <v>2139</v>
      </c>
      <c r="G2584" s="286" t="s">
        <v>1050</v>
      </c>
      <c r="H2584" s="286" t="s">
        <v>1050</v>
      </c>
      <c r="I2584" s="286" t="s">
        <v>1152</v>
      </c>
      <c r="J2584" s="286" t="s">
        <v>1312</v>
      </c>
      <c r="K2584" s="286" t="s">
        <v>2504</v>
      </c>
      <c r="L2584" s="286" t="s">
        <v>53</v>
      </c>
      <c r="M2584" s="286">
        <v>1</v>
      </c>
      <c r="N2584" s="287">
        <v>-2031.53</v>
      </c>
      <c r="O2584" s="294">
        <f t="shared" si="40"/>
        <v>45565</v>
      </c>
      <c r="P2584" s="286" t="s">
        <v>58</v>
      </c>
    </row>
    <row r="2585" spans="1:16" hidden="1" x14ac:dyDescent="0.15">
      <c r="A2585" s="286">
        <v>848817</v>
      </c>
      <c r="B2585" s="288">
        <v>45607.65902777778</v>
      </c>
      <c r="C2585" s="286" t="s">
        <v>2130</v>
      </c>
      <c r="D2585" s="286" t="s">
        <v>1105</v>
      </c>
      <c r="E2585" s="286" t="s">
        <v>1106</v>
      </c>
      <c r="F2585" s="286" t="s">
        <v>2140</v>
      </c>
      <c r="G2585" s="286" t="s">
        <v>1050</v>
      </c>
      <c r="H2585" s="286" t="s">
        <v>1050</v>
      </c>
      <c r="I2585" s="286" t="s">
        <v>1152</v>
      </c>
      <c r="J2585" s="286" t="s">
        <v>1312</v>
      </c>
      <c r="K2585" s="286" t="s">
        <v>2504</v>
      </c>
      <c r="L2585" s="286" t="s">
        <v>53</v>
      </c>
      <c r="M2585" s="286">
        <v>1</v>
      </c>
      <c r="N2585" s="287">
        <v>-2031.53</v>
      </c>
      <c r="O2585" s="294">
        <f t="shared" si="40"/>
        <v>45626</v>
      </c>
      <c r="P2585" s="286" t="s">
        <v>58</v>
      </c>
    </row>
    <row r="2586" spans="1:16" hidden="1" x14ac:dyDescent="0.15">
      <c r="A2586" s="286">
        <v>848917</v>
      </c>
      <c r="B2586" s="288">
        <v>45607.660416666666</v>
      </c>
      <c r="C2586" s="286" t="s">
        <v>2100</v>
      </c>
      <c r="D2586" s="286" t="s">
        <v>1105</v>
      </c>
      <c r="E2586" s="286" t="s">
        <v>1106</v>
      </c>
      <c r="F2586" s="286" t="s">
        <v>2141</v>
      </c>
      <c r="G2586" s="286" t="s">
        <v>1050</v>
      </c>
      <c r="H2586" s="286" t="s">
        <v>1050</v>
      </c>
      <c r="I2586" s="286" t="s">
        <v>1152</v>
      </c>
      <c r="J2586" s="286" t="s">
        <v>1312</v>
      </c>
      <c r="K2586" s="286" t="s">
        <v>2504</v>
      </c>
      <c r="L2586" s="286" t="s">
        <v>53</v>
      </c>
      <c r="M2586" s="286">
        <v>1</v>
      </c>
      <c r="N2586" s="287">
        <v>-2031.53</v>
      </c>
      <c r="O2586" s="294">
        <f t="shared" si="40"/>
        <v>45626</v>
      </c>
      <c r="P2586" s="286" t="s">
        <v>58</v>
      </c>
    </row>
    <row r="2587" spans="1:16" hidden="1" x14ac:dyDescent="0.15">
      <c r="A2587" s="286">
        <v>874698</v>
      </c>
      <c r="B2587" s="288">
        <v>45628.357638888891</v>
      </c>
      <c r="C2587" s="286" t="s">
        <v>2098</v>
      </c>
      <c r="D2587" s="286" t="s">
        <v>1105</v>
      </c>
      <c r="E2587" s="286" t="s">
        <v>1106</v>
      </c>
      <c r="F2587" s="286" t="s">
        <v>2142</v>
      </c>
      <c r="G2587" s="286" t="s">
        <v>1050</v>
      </c>
      <c r="H2587" s="286" t="s">
        <v>1050</v>
      </c>
      <c r="I2587" s="286" t="s">
        <v>1152</v>
      </c>
      <c r="J2587" s="286" t="s">
        <v>1312</v>
      </c>
      <c r="K2587" s="286" t="s">
        <v>2504</v>
      </c>
      <c r="L2587" s="286" t="s">
        <v>53</v>
      </c>
      <c r="M2587" s="286">
        <v>1</v>
      </c>
      <c r="N2587" s="287">
        <v>-2031.53</v>
      </c>
      <c r="O2587" s="294">
        <f t="shared" si="40"/>
        <v>45657</v>
      </c>
      <c r="P2587" s="286" t="s">
        <v>58</v>
      </c>
    </row>
    <row r="2588" spans="1:16" hidden="1" x14ac:dyDescent="0.15">
      <c r="A2588" s="286">
        <v>646075</v>
      </c>
      <c r="B2588" s="288">
        <v>45474.519444444442</v>
      </c>
      <c r="C2588" s="286" t="s">
        <v>2111</v>
      </c>
      <c r="D2588" s="286" t="s">
        <v>1105</v>
      </c>
      <c r="E2588" s="286" t="s">
        <v>1106</v>
      </c>
      <c r="F2588" s="286" t="s">
        <v>2137</v>
      </c>
      <c r="G2588" s="286" t="s">
        <v>1058</v>
      </c>
      <c r="H2588" s="286" t="s">
        <v>1058</v>
      </c>
      <c r="I2588" s="286" t="s">
        <v>1199</v>
      </c>
      <c r="J2588" s="286" t="s">
        <v>1312</v>
      </c>
      <c r="K2588" s="286" t="s">
        <v>2068</v>
      </c>
      <c r="L2588" s="286" t="s">
        <v>53</v>
      </c>
      <c r="M2588" s="286">
        <v>1</v>
      </c>
      <c r="N2588" s="287">
        <v>-2043.75</v>
      </c>
      <c r="O2588" s="294">
        <f t="shared" si="40"/>
        <v>45504</v>
      </c>
      <c r="P2588" s="286" t="s">
        <v>58</v>
      </c>
    </row>
    <row r="2589" spans="1:16" hidden="1" x14ac:dyDescent="0.15">
      <c r="A2589" s="286">
        <v>697810</v>
      </c>
      <c r="B2589" s="288">
        <v>45510.366666666669</v>
      </c>
      <c r="C2589" s="286" t="s">
        <v>2102</v>
      </c>
      <c r="D2589" s="286" t="s">
        <v>1105</v>
      </c>
      <c r="E2589" s="286" t="s">
        <v>1106</v>
      </c>
      <c r="F2589" s="286" t="s">
        <v>2138</v>
      </c>
      <c r="G2589" s="286" t="s">
        <v>1058</v>
      </c>
      <c r="H2589" s="286" t="s">
        <v>1058</v>
      </c>
      <c r="I2589" s="286" t="s">
        <v>1199</v>
      </c>
      <c r="J2589" s="286" t="s">
        <v>1312</v>
      </c>
      <c r="K2589" s="286" t="s">
        <v>2068</v>
      </c>
      <c r="L2589" s="286" t="s">
        <v>53</v>
      </c>
      <c r="M2589" s="286">
        <v>1</v>
      </c>
      <c r="N2589" s="287">
        <v>-2043.75</v>
      </c>
      <c r="O2589" s="294">
        <f t="shared" si="40"/>
        <v>45535</v>
      </c>
      <c r="P2589" s="286" t="s">
        <v>58</v>
      </c>
    </row>
    <row r="2590" spans="1:16" hidden="1" x14ac:dyDescent="0.15">
      <c r="A2590" s="286">
        <v>745911</v>
      </c>
      <c r="B2590" s="288">
        <v>45538.44027777778</v>
      </c>
      <c r="C2590" s="286" t="s">
        <v>2132</v>
      </c>
      <c r="D2590" s="286" t="s">
        <v>1105</v>
      </c>
      <c r="E2590" s="286" t="s">
        <v>1106</v>
      </c>
      <c r="F2590" s="286" t="s">
        <v>2139</v>
      </c>
      <c r="G2590" s="286" t="s">
        <v>1058</v>
      </c>
      <c r="H2590" s="286" t="s">
        <v>1058</v>
      </c>
      <c r="I2590" s="286" t="s">
        <v>1199</v>
      </c>
      <c r="J2590" s="286" t="s">
        <v>1312</v>
      </c>
      <c r="K2590" s="286" t="s">
        <v>2068</v>
      </c>
      <c r="L2590" s="286" t="s">
        <v>53</v>
      </c>
      <c r="M2590" s="286">
        <v>1</v>
      </c>
      <c r="N2590" s="287">
        <v>-2043.75</v>
      </c>
      <c r="O2590" s="294">
        <f t="shared" si="40"/>
        <v>45565</v>
      </c>
      <c r="P2590" s="286" t="s">
        <v>58</v>
      </c>
    </row>
    <row r="2591" spans="1:16" hidden="1" x14ac:dyDescent="0.15">
      <c r="A2591" s="286">
        <v>848817</v>
      </c>
      <c r="B2591" s="288">
        <v>45607.65902777778</v>
      </c>
      <c r="C2591" s="286" t="s">
        <v>2130</v>
      </c>
      <c r="D2591" s="286" t="s">
        <v>1105</v>
      </c>
      <c r="E2591" s="286" t="s">
        <v>1106</v>
      </c>
      <c r="F2591" s="286" t="s">
        <v>2140</v>
      </c>
      <c r="G2591" s="286" t="s">
        <v>1058</v>
      </c>
      <c r="H2591" s="286" t="s">
        <v>1058</v>
      </c>
      <c r="I2591" s="286" t="s">
        <v>1199</v>
      </c>
      <c r="J2591" s="286" t="s">
        <v>1312</v>
      </c>
      <c r="K2591" s="286" t="s">
        <v>2068</v>
      </c>
      <c r="L2591" s="286" t="s">
        <v>53</v>
      </c>
      <c r="M2591" s="286">
        <v>1</v>
      </c>
      <c r="N2591" s="287">
        <v>-2043.75</v>
      </c>
      <c r="O2591" s="294">
        <f t="shared" si="40"/>
        <v>45626</v>
      </c>
      <c r="P2591" s="286" t="s">
        <v>58</v>
      </c>
    </row>
    <row r="2592" spans="1:16" hidden="1" x14ac:dyDescent="0.15">
      <c r="A2592" s="286">
        <v>848917</v>
      </c>
      <c r="B2592" s="288">
        <v>45607.660416666666</v>
      </c>
      <c r="C2592" s="286" t="s">
        <v>2100</v>
      </c>
      <c r="D2592" s="286" t="s">
        <v>1105</v>
      </c>
      <c r="E2592" s="286" t="s">
        <v>1106</v>
      </c>
      <c r="F2592" s="286" t="s">
        <v>2141</v>
      </c>
      <c r="G2592" s="286" t="s">
        <v>1058</v>
      </c>
      <c r="H2592" s="286" t="s">
        <v>1058</v>
      </c>
      <c r="I2592" s="286" t="s">
        <v>1199</v>
      </c>
      <c r="J2592" s="286" t="s">
        <v>1312</v>
      </c>
      <c r="K2592" s="286" t="s">
        <v>2068</v>
      </c>
      <c r="L2592" s="286" t="s">
        <v>53</v>
      </c>
      <c r="M2592" s="286">
        <v>1</v>
      </c>
      <c r="N2592" s="287">
        <v>-2043.75</v>
      </c>
      <c r="O2592" s="294">
        <f t="shared" si="40"/>
        <v>45626</v>
      </c>
      <c r="P2592" s="286" t="s">
        <v>58</v>
      </c>
    </row>
    <row r="2593" spans="1:16" hidden="1" x14ac:dyDescent="0.15">
      <c r="A2593" s="286">
        <v>874698</v>
      </c>
      <c r="B2593" s="288">
        <v>45628.357638888891</v>
      </c>
      <c r="C2593" s="286" t="s">
        <v>2098</v>
      </c>
      <c r="D2593" s="286" t="s">
        <v>1105</v>
      </c>
      <c r="E2593" s="286" t="s">
        <v>1106</v>
      </c>
      <c r="F2593" s="286" t="s">
        <v>2142</v>
      </c>
      <c r="G2593" s="286" t="s">
        <v>1058</v>
      </c>
      <c r="H2593" s="286" t="s">
        <v>1058</v>
      </c>
      <c r="I2593" s="286" t="s">
        <v>1199</v>
      </c>
      <c r="J2593" s="286" t="s">
        <v>1312</v>
      </c>
      <c r="K2593" s="286" t="s">
        <v>2068</v>
      </c>
      <c r="L2593" s="286" t="s">
        <v>53</v>
      </c>
      <c r="M2593" s="286">
        <v>1</v>
      </c>
      <c r="N2593" s="287">
        <v>-2043.75</v>
      </c>
      <c r="O2593" s="294">
        <f t="shared" si="40"/>
        <v>45657</v>
      </c>
      <c r="P2593" s="286" t="s">
        <v>58</v>
      </c>
    </row>
    <row r="2594" spans="1:16" hidden="1" x14ac:dyDescent="0.15">
      <c r="A2594" s="286">
        <v>901364</v>
      </c>
      <c r="B2594" s="288">
        <v>45646.486111111109</v>
      </c>
      <c r="C2594" s="286" t="s">
        <v>2098</v>
      </c>
      <c r="D2594" s="286" t="s">
        <v>1105</v>
      </c>
      <c r="E2594" s="286" t="s">
        <v>1106</v>
      </c>
      <c r="F2594" s="286" t="s">
        <v>2530</v>
      </c>
      <c r="G2594" s="286" t="s">
        <v>1052</v>
      </c>
      <c r="H2594" s="286" t="s">
        <v>1052</v>
      </c>
      <c r="I2594" s="286" t="s">
        <v>1230</v>
      </c>
      <c r="J2594" s="286" t="s">
        <v>1312</v>
      </c>
      <c r="K2594" s="286" t="s">
        <v>53</v>
      </c>
      <c r="L2594" s="286" t="s">
        <v>53</v>
      </c>
      <c r="M2594" s="286" t="s">
        <v>53</v>
      </c>
      <c r="N2594" s="287">
        <v>-2085</v>
      </c>
      <c r="O2594" s="294">
        <f t="shared" si="40"/>
        <v>45657</v>
      </c>
      <c r="P2594" s="286" t="s">
        <v>175</v>
      </c>
    </row>
    <row r="2595" spans="1:16" hidden="1" x14ac:dyDescent="0.15">
      <c r="A2595" s="286">
        <v>614316</v>
      </c>
      <c r="B2595" s="288">
        <v>45455.717361111114</v>
      </c>
      <c r="C2595" s="286" t="s">
        <v>2092</v>
      </c>
      <c r="D2595" s="286" t="s">
        <v>1105</v>
      </c>
      <c r="E2595" s="286" t="s">
        <v>1106</v>
      </c>
      <c r="F2595" s="286" t="s">
        <v>2167</v>
      </c>
      <c r="G2595" s="286" t="s">
        <v>1090</v>
      </c>
      <c r="H2595" s="286" t="s">
        <v>1090</v>
      </c>
      <c r="I2595" s="286" t="s">
        <v>1199</v>
      </c>
      <c r="J2595" s="286" t="s">
        <v>1312</v>
      </c>
      <c r="K2595" s="286" t="s">
        <v>2076</v>
      </c>
      <c r="L2595" s="286" t="s">
        <v>53</v>
      </c>
      <c r="M2595" s="286">
        <v>1</v>
      </c>
      <c r="N2595" s="287">
        <v>-2129.61</v>
      </c>
      <c r="O2595" s="294">
        <f t="shared" si="40"/>
        <v>45473</v>
      </c>
      <c r="P2595" s="286" t="s">
        <v>58</v>
      </c>
    </row>
    <row r="2596" spans="1:16" hidden="1" x14ac:dyDescent="0.15">
      <c r="A2596" s="286">
        <v>646075</v>
      </c>
      <c r="B2596" s="288">
        <v>45474.519444444442</v>
      </c>
      <c r="C2596" s="286" t="s">
        <v>2111</v>
      </c>
      <c r="D2596" s="286" t="s">
        <v>1105</v>
      </c>
      <c r="E2596" s="286" t="s">
        <v>1106</v>
      </c>
      <c r="F2596" s="286" t="s">
        <v>2137</v>
      </c>
      <c r="G2596" s="286" t="s">
        <v>1090</v>
      </c>
      <c r="H2596" s="286" t="s">
        <v>1090</v>
      </c>
      <c r="I2596" s="286" t="s">
        <v>1199</v>
      </c>
      <c r="J2596" s="286" t="s">
        <v>1312</v>
      </c>
      <c r="K2596" s="286" t="s">
        <v>2076</v>
      </c>
      <c r="L2596" s="286" t="s">
        <v>53</v>
      </c>
      <c r="M2596" s="286">
        <v>1</v>
      </c>
      <c r="N2596" s="287">
        <v>-2129.61</v>
      </c>
      <c r="O2596" s="294">
        <f t="shared" si="40"/>
        <v>45504</v>
      </c>
      <c r="P2596" s="286" t="s">
        <v>58</v>
      </c>
    </row>
    <row r="2597" spans="1:16" hidden="1" x14ac:dyDescent="0.15">
      <c r="A2597" s="286">
        <v>697810</v>
      </c>
      <c r="B2597" s="288">
        <v>45510.366666666669</v>
      </c>
      <c r="C2597" s="286" t="s">
        <v>2102</v>
      </c>
      <c r="D2597" s="286" t="s">
        <v>1105</v>
      </c>
      <c r="E2597" s="286" t="s">
        <v>1106</v>
      </c>
      <c r="F2597" s="286" t="s">
        <v>2138</v>
      </c>
      <c r="G2597" s="286" t="s">
        <v>1090</v>
      </c>
      <c r="H2597" s="286" t="s">
        <v>1090</v>
      </c>
      <c r="I2597" s="286" t="s">
        <v>1199</v>
      </c>
      <c r="J2597" s="286" t="s">
        <v>1312</v>
      </c>
      <c r="K2597" s="286" t="s">
        <v>2076</v>
      </c>
      <c r="L2597" s="286" t="s">
        <v>53</v>
      </c>
      <c r="M2597" s="286">
        <v>1</v>
      </c>
      <c r="N2597" s="287">
        <v>-2129.61</v>
      </c>
      <c r="O2597" s="294">
        <f t="shared" si="40"/>
        <v>45535</v>
      </c>
      <c r="P2597" s="286" t="s">
        <v>58</v>
      </c>
    </row>
    <row r="2598" spans="1:16" hidden="1" x14ac:dyDescent="0.15">
      <c r="A2598" s="286">
        <v>745911</v>
      </c>
      <c r="B2598" s="288">
        <v>45538.44027777778</v>
      </c>
      <c r="C2598" s="286" t="s">
        <v>2132</v>
      </c>
      <c r="D2598" s="286" t="s">
        <v>1105</v>
      </c>
      <c r="E2598" s="286" t="s">
        <v>1106</v>
      </c>
      <c r="F2598" s="286" t="s">
        <v>2139</v>
      </c>
      <c r="G2598" s="286" t="s">
        <v>1090</v>
      </c>
      <c r="H2598" s="286" t="s">
        <v>1090</v>
      </c>
      <c r="I2598" s="286" t="s">
        <v>1199</v>
      </c>
      <c r="J2598" s="286" t="s">
        <v>1312</v>
      </c>
      <c r="K2598" s="286" t="s">
        <v>2076</v>
      </c>
      <c r="L2598" s="286" t="s">
        <v>53</v>
      </c>
      <c r="M2598" s="286">
        <v>1</v>
      </c>
      <c r="N2598" s="287">
        <v>-2129.61</v>
      </c>
      <c r="O2598" s="294">
        <f t="shared" si="40"/>
        <v>45565</v>
      </c>
      <c r="P2598" s="286" t="s">
        <v>58</v>
      </c>
    </row>
    <row r="2599" spans="1:16" hidden="1" x14ac:dyDescent="0.15">
      <c r="A2599" s="286">
        <v>848817</v>
      </c>
      <c r="B2599" s="288">
        <v>45607.65902777778</v>
      </c>
      <c r="C2599" s="286" t="s">
        <v>2130</v>
      </c>
      <c r="D2599" s="286" t="s">
        <v>1105</v>
      </c>
      <c r="E2599" s="286" t="s">
        <v>1106</v>
      </c>
      <c r="F2599" s="286" t="s">
        <v>2140</v>
      </c>
      <c r="G2599" s="286" t="s">
        <v>1090</v>
      </c>
      <c r="H2599" s="286" t="s">
        <v>1090</v>
      </c>
      <c r="I2599" s="286" t="s">
        <v>1199</v>
      </c>
      <c r="J2599" s="286" t="s">
        <v>1312</v>
      </c>
      <c r="K2599" s="286" t="s">
        <v>2076</v>
      </c>
      <c r="L2599" s="286" t="s">
        <v>53</v>
      </c>
      <c r="M2599" s="286">
        <v>1</v>
      </c>
      <c r="N2599" s="287">
        <v>-2129.61</v>
      </c>
      <c r="O2599" s="294">
        <f t="shared" si="40"/>
        <v>45626</v>
      </c>
      <c r="P2599" s="286" t="s">
        <v>58</v>
      </c>
    </row>
    <row r="2600" spans="1:16" hidden="1" x14ac:dyDescent="0.15">
      <c r="A2600" s="286">
        <v>848917</v>
      </c>
      <c r="B2600" s="288">
        <v>45607.660416666666</v>
      </c>
      <c r="C2600" s="286" t="s">
        <v>2100</v>
      </c>
      <c r="D2600" s="286" t="s">
        <v>1105</v>
      </c>
      <c r="E2600" s="286" t="s">
        <v>1106</v>
      </c>
      <c r="F2600" s="286" t="s">
        <v>2141</v>
      </c>
      <c r="G2600" s="286" t="s">
        <v>1090</v>
      </c>
      <c r="H2600" s="286" t="s">
        <v>1090</v>
      </c>
      <c r="I2600" s="286" t="s">
        <v>1199</v>
      </c>
      <c r="J2600" s="286" t="s">
        <v>1312</v>
      </c>
      <c r="K2600" s="286" t="s">
        <v>2076</v>
      </c>
      <c r="L2600" s="286" t="s">
        <v>53</v>
      </c>
      <c r="M2600" s="286">
        <v>1</v>
      </c>
      <c r="N2600" s="287">
        <v>-2129.61</v>
      </c>
      <c r="O2600" s="294">
        <f t="shared" si="40"/>
        <v>45626</v>
      </c>
      <c r="P2600" s="286" t="s">
        <v>58</v>
      </c>
    </row>
    <row r="2601" spans="1:16" hidden="1" x14ac:dyDescent="0.15">
      <c r="A2601" s="286">
        <v>874698</v>
      </c>
      <c r="B2601" s="288">
        <v>45628.357638888891</v>
      </c>
      <c r="C2601" s="286" t="s">
        <v>2098</v>
      </c>
      <c r="D2601" s="286" t="s">
        <v>1105</v>
      </c>
      <c r="E2601" s="286" t="s">
        <v>1106</v>
      </c>
      <c r="F2601" s="286" t="s">
        <v>2142</v>
      </c>
      <c r="G2601" s="286" t="s">
        <v>1090</v>
      </c>
      <c r="H2601" s="286" t="s">
        <v>1090</v>
      </c>
      <c r="I2601" s="286" t="s">
        <v>1199</v>
      </c>
      <c r="J2601" s="286" t="s">
        <v>1312</v>
      </c>
      <c r="K2601" s="286" t="s">
        <v>2076</v>
      </c>
      <c r="L2601" s="286" t="s">
        <v>53</v>
      </c>
      <c r="M2601" s="286">
        <v>1</v>
      </c>
      <c r="N2601" s="287">
        <v>-2129.61</v>
      </c>
      <c r="O2601" s="294">
        <f t="shared" si="40"/>
        <v>45657</v>
      </c>
      <c r="P2601" s="286" t="s">
        <v>58</v>
      </c>
    </row>
    <row r="2602" spans="1:16" hidden="1" x14ac:dyDescent="0.15">
      <c r="A2602" s="286">
        <v>472168</v>
      </c>
      <c r="B2602" s="288">
        <v>45331.416666666664</v>
      </c>
      <c r="C2602" s="286" t="s">
        <v>2113</v>
      </c>
      <c r="D2602" s="286" t="s">
        <v>1105</v>
      </c>
      <c r="E2602" s="286" t="s">
        <v>1106</v>
      </c>
      <c r="F2602" s="286" t="s">
        <v>2153</v>
      </c>
      <c r="G2602" s="286" t="s">
        <v>1030</v>
      </c>
      <c r="H2602" s="286" t="s">
        <v>1030</v>
      </c>
      <c r="I2602" s="286" t="s">
        <v>1199</v>
      </c>
      <c r="J2602" s="286" t="s">
        <v>1312</v>
      </c>
      <c r="K2602" s="286" t="s">
        <v>2076</v>
      </c>
      <c r="L2602" s="286" t="s">
        <v>53</v>
      </c>
      <c r="M2602" s="286">
        <v>1</v>
      </c>
      <c r="N2602" s="287">
        <v>-2130.15</v>
      </c>
      <c r="O2602" s="294">
        <f t="shared" si="40"/>
        <v>45351</v>
      </c>
      <c r="P2602" s="286" t="s">
        <v>58</v>
      </c>
    </row>
    <row r="2603" spans="1:16" hidden="1" x14ac:dyDescent="0.15">
      <c r="A2603" s="286">
        <v>504817</v>
      </c>
      <c r="B2603" s="288">
        <v>45359.645138888889</v>
      </c>
      <c r="C2603" s="286" t="s">
        <v>2109</v>
      </c>
      <c r="D2603" s="286" t="s">
        <v>1105</v>
      </c>
      <c r="E2603" s="286" t="s">
        <v>1106</v>
      </c>
      <c r="F2603" s="286" t="s">
        <v>2154</v>
      </c>
      <c r="G2603" s="286" t="s">
        <v>1030</v>
      </c>
      <c r="H2603" s="286" t="s">
        <v>1030</v>
      </c>
      <c r="I2603" s="286" t="s">
        <v>1199</v>
      </c>
      <c r="J2603" s="286" t="s">
        <v>1312</v>
      </c>
      <c r="K2603" s="286" t="s">
        <v>2076</v>
      </c>
      <c r="L2603" s="286" t="s">
        <v>53</v>
      </c>
      <c r="M2603" s="286">
        <v>1</v>
      </c>
      <c r="N2603" s="287">
        <v>-2130.15</v>
      </c>
      <c r="O2603" s="294">
        <f t="shared" si="40"/>
        <v>45382</v>
      </c>
      <c r="P2603" s="286" t="s">
        <v>58</v>
      </c>
    </row>
    <row r="2604" spans="1:16" hidden="1" x14ac:dyDescent="0.15">
      <c r="A2604" s="286">
        <v>534207</v>
      </c>
      <c r="B2604" s="288">
        <v>45385.750694444447</v>
      </c>
      <c r="C2604" s="286" t="s">
        <v>2096</v>
      </c>
      <c r="D2604" s="286" t="s">
        <v>1105</v>
      </c>
      <c r="E2604" s="286" t="s">
        <v>1106</v>
      </c>
      <c r="F2604" s="286" t="s">
        <v>2155</v>
      </c>
      <c r="G2604" s="286" t="s">
        <v>1030</v>
      </c>
      <c r="H2604" s="286" t="s">
        <v>1030</v>
      </c>
      <c r="I2604" s="286" t="s">
        <v>1199</v>
      </c>
      <c r="J2604" s="286" t="s">
        <v>1312</v>
      </c>
      <c r="K2604" s="286" t="s">
        <v>2076</v>
      </c>
      <c r="L2604" s="286" t="s">
        <v>53</v>
      </c>
      <c r="M2604" s="286">
        <v>1</v>
      </c>
      <c r="N2604" s="287">
        <v>-2130.15</v>
      </c>
      <c r="O2604" s="294">
        <f t="shared" si="40"/>
        <v>45412</v>
      </c>
      <c r="P2604" s="286" t="s">
        <v>58</v>
      </c>
    </row>
    <row r="2605" spans="1:16" hidden="1" x14ac:dyDescent="0.15">
      <c r="A2605" s="286">
        <v>614216</v>
      </c>
      <c r="B2605" s="288">
        <v>45455.716666666667</v>
      </c>
      <c r="C2605" s="286" t="s">
        <v>2116</v>
      </c>
      <c r="D2605" s="286" t="s">
        <v>1105</v>
      </c>
      <c r="E2605" s="286" t="s">
        <v>1106</v>
      </c>
      <c r="F2605" s="286" t="s">
        <v>2156</v>
      </c>
      <c r="G2605" s="286" t="s">
        <v>1030</v>
      </c>
      <c r="H2605" s="286" t="s">
        <v>1030</v>
      </c>
      <c r="I2605" s="286" t="s">
        <v>1199</v>
      </c>
      <c r="J2605" s="286" t="s">
        <v>1312</v>
      </c>
      <c r="K2605" s="286" t="s">
        <v>2076</v>
      </c>
      <c r="L2605" s="286" t="s">
        <v>53</v>
      </c>
      <c r="M2605" s="286">
        <v>1</v>
      </c>
      <c r="N2605" s="287">
        <v>-2130.15</v>
      </c>
      <c r="O2605" s="294">
        <f t="shared" si="40"/>
        <v>45473</v>
      </c>
      <c r="P2605" s="286" t="s">
        <v>58</v>
      </c>
    </row>
    <row r="2606" spans="1:16" hidden="1" x14ac:dyDescent="0.15">
      <c r="A2606" s="286">
        <v>608480</v>
      </c>
      <c r="B2606" s="288">
        <v>45450.422222222223</v>
      </c>
      <c r="C2606" s="286" t="s">
        <v>2092</v>
      </c>
      <c r="D2606" s="286" t="s">
        <v>1105</v>
      </c>
      <c r="E2606" s="286" t="s">
        <v>1106</v>
      </c>
      <c r="F2606" s="286" t="s">
        <v>2157</v>
      </c>
      <c r="G2606" s="286" t="s">
        <v>1030</v>
      </c>
      <c r="H2606" s="286" t="s">
        <v>1030</v>
      </c>
      <c r="I2606" s="286" t="s">
        <v>1199</v>
      </c>
      <c r="J2606" s="286" t="s">
        <v>1312</v>
      </c>
      <c r="K2606" s="286" t="s">
        <v>2076</v>
      </c>
      <c r="L2606" s="286" t="s">
        <v>53</v>
      </c>
      <c r="M2606" s="286">
        <v>1</v>
      </c>
      <c r="N2606" s="287">
        <v>-2130.15</v>
      </c>
      <c r="O2606" s="294">
        <f t="shared" si="40"/>
        <v>45473</v>
      </c>
      <c r="P2606" s="286" t="s">
        <v>58</v>
      </c>
    </row>
    <row r="2607" spans="1:16" hidden="1" x14ac:dyDescent="0.15">
      <c r="A2607" s="286">
        <v>646075</v>
      </c>
      <c r="B2607" s="288">
        <v>45474.519444444442</v>
      </c>
      <c r="C2607" s="286" t="s">
        <v>2111</v>
      </c>
      <c r="D2607" s="286" t="s">
        <v>1105</v>
      </c>
      <c r="E2607" s="286" t="s">
        <v>1106</v>
      </c>
      <c r="F2607" s="286" t="s">
        <v>2137</v>
      </c>
      <c r="G2607" s="286" t="s">
        <v>1030</v>
      </c>
      <c r="H2607" s="286" t="s">
        <v>1030</v>
      </c>
      <c r="I2607" s="286" t="s">
        <v>1199</v>
      </c>
      <c r="J2607" s="286" t="s">
        <v>1312</v>
      </c>
      <c r="K2607" s="286" t="s">
        <v>2076</v>
      </c>
      <c r="L2607" s="286" t="s">
        <v>53</v>
      </c>
      <c r="M2607" s="286">
        <v>1</v>
      </c>
      <c r="N2607" s="287">
        <v>-2130.15</v>
      </c>
      <c r="O2607" s="294">
        <f t="shared" si="40"/>
        <v>45504</v>
      </c>
      <c r="P2607" s="286" t="s">
        <v>58</v>
      </c>
    </row>
    <row r="2608" spans="1:16" hidden="1" x14ac:dyDescent="0.15">
      <c r="A2608" s="286">
        <v>697810</v>
      </c>
      <c r="B2608" s="288">
        <v>45510.366666666669</v>
      </c>
      <c r="C2608" s="286" t="s">
        <v>2102</v>
      </c>
      <c r="D2608" s="286" t="s">
        <v>1105</v>
      </c>
      <c r="E2608" s="286" t="s">
        <v>1106</v>
      </c>
      <c r="F2608" s="286" t="s">
        <v>2138</v>
      </c>
      <c r="G2608" s="286" t="s">
        <v>1030</v>
      </c>
      <c r="H2608" s="286" t="s">
        <v>1030</v>
      </c>
      <c r="I2608" s="286" t="s">
        <v>1199</v>
      </c>
      <c r="J2608" s="286" t="s">
        <v>1312</v>
      </c>
      <c r="K2608" s="286" t="s">
        <v>2076</v>
      </c>
      <c r="L2608" s="286" t="s">
        <v>53</v>
      </c>
      <c r="M2608" s="286">
        <v>1</v>
      </c>
      <c r="N2608" s="287">
        <v>-2130.15</v>
      </c>
      <c r="O2608" s="294">
        <f t="shared" si="40"/>
        <v>45535</v>
      </c>
      <c r="P2608" s="286" t="s">
        <v>58</v>
      </c>
    </row>
    <row r="2609" spans="1:16" hidden="1" x14ac:dyDescent="0.15">
      <c r="A2609" s="286">
        <v>745911</v>
      </c>
      <c r="B2609" s="288">
        <v>45538.44027777778</v>
      </c>
      <c r="C2609" s="286" t="s">
        <v>2132</v>
      </c>
      <c r="D2609" s="286" t="s">
        <v>1105</v>
      </c>
      <c r="E2609" s="286" t="s">
        <v>1106</v>
      </c>
      <c r="F2609" s="286" t="s">
        <v>2139</v>
      </c>
      <c r="G2609" s="286" t="s">
        <v>1030</v>
      </c>
      <c r="H2609" s="286" t="s">
        <v>1030</v>
      </c>
      <c r="I2609" s="286" t="s">
        <v>1199</v>
      </c>
      <c r="J2609" s="286" t="s">
        <v>1312</v>
      </c>
      <c r="K2609" s="286" t="s">
        <v>2076</v>
      </c>
      <c r="L2609" s="286" t="s">
        <v>53</v>
      </c>
      <c r="M2609" s="286">
        <v>1</v>
      </c>
      <c r="N2609" s="287">
        <v>-2130.15</v>
      </c>
      <c r="O2609" s="294">
        <f t="shared" si="40"/>
        <v>45565</v>
      </c>
      <c r="P2609" s="286" t="s">
        <v>58</v>
      </c>
    </row>
    <row r="2610" spans="1:16" hidden="1" x14ac:dyDescent="0.15">
      <c r="A2610" s="286">
        <v>848817</v>
      </c>
      <c r="B2610" s="288">
        <v>45607.65902777778</v>
      </c>
      <c r="C2610" s="286" t="s">
        <v>2130</v>
      </c>
      <c r="D2610" s="286" t="s">
        <v>1105</v>
      </c>
      <c r="E2610" s="286" t="s">
        <v>1106</v>
      </c>
      <c r="F2610" s="286" t="s">
        <v>2140</v>
      </c>
      <c r="G2610" s="286" t="s">
        <v>1030</v>
      </c>
      <c r="H2610" s="286" t="s">
        <v>1030</v>
      </c>
      <c r="I2610" s="286" t="s">
        <v>1199</v>
      </c>
      <c r="J2610" s="286" t="s">
        <v>1312</v>
      </c>
      <c r="K2610" s="286" t="s">
        <v>2076</v>
      </c>
      <c r="L2610" s="286" t="s">
        <v>53</v>
      </c>
      <c r="M2610" s="286">
        <v>1</v>
      </c>
      <c r="N2610" s="287">
        <v>-2130.15</v>
      </c>
      <c r="O2610" s="294">
        <f t="shared" si="40"/>
        <v>45626</v>
      </c>
      <c r="P2610" s="286" t="s">
        <v>58</v>
      </c>
    </row>
    <row r="2611" spans="1:16" hidden="1" x14ac:dyDescent="0.15">
      <c r="A2611" s="286">
        <v>848917</v>
      </c>
      <c r="B2611" s="288">
        <v>45607.660416666666</v>
      </c>
      <c r="C2611" s="286" t="s">
        <v>2100</v>
      </c>
      <c r="D2611" s="286" t="s">
        <v>1105</v>
      </c>
      <c r="E2611" s="286" t="s">
        <v>1106</v>
      </c>
      <c r="F2611" s="286" t="s">
        <v>2141</v>
      </c>
      <c r="G2611" s="286" t="s">
        <v>1030</v>
      </c>
      <c r="H2611" s="286" t="s">
        <v>1030</v>
      </c>
      <c r="I2611" s="286" t="s">
        <v>1199</v>
      </c>
      <c r="J2611" s="286" t="s">
        <v>1312</v>
      </c>
      <c r="K2611" s="286" t="s">
        <v>2076</v>
      </c>
      <c r="L2611" s="286" t="s">
        <v>53</v>
      </c>
      <c r="M2611" s="286">
        <v>1</v>
      </c>
      <c r="N2611" s="287">
        <v>-2130.15</v>
      </c>
      <c r="O2611" s="294">
        <f t="shared" si="40"/>
        <v>45626</v>
      </c>
      <c r="P2611" s="286" t="s">
        <v>58</v>
      </c>
    </row>
    <row r="2612" spans="1:16" hidden="1" x14ac:dyDescent="0.15">
      <c r="A2612" s="286">
        <v>874698</v>
      </c>
      <c r="B2612" s="288">
        <v>45628.357638888891</v>
      </c>
      <c r="C2612" s="286" t="s">
        <v>2098</v>
      </c>
      <c r="D2612" s="286" t="s">
        <v>1105</v>
      </c>
      <c r="E2612" s="286" t="s">
        <v>1106</v>
      </c>
      <c r="F2612" s="286" t="s">
        <v>2142</v>
      </c>
      <c r="G2612" s="286" t="s">
        <v>1030</v>
      </c>
      <c r="H2612" s="286" t="s">
        <v>1030</v>
      </c>
      <c r="I2612" s="286" t="s">
        <v>1199</v>
      </c>
      <c r="J2612" s="286" t="s">
        <v>1312</v>
      </c>
      <c r="K2612" s="286" t="s">
        <v>2076</v>
      </c>
      <c r="L2612" s="286" t="s">
        <v>53</v>
      </c>
      <c r="M2612" s="286">
        <v>1</v>
      </c>
      <c r="N2612" s="287">
        <v>-2130.15</v>
      </c>
      <c r="O2612" s="294">
        <f t="shared" si="40"/>
        <v>45657</v>
      </c>
      <c r="P2612" s="286" t="s">
        <v>58</v>
      </c>
    </row>
    <row r="2613" spans="1:16" hidden="1" x14ac:dyDescent="0.15">
      <c r="A2613" s="286">
        <v>535123</v>
      </c>
      <c r="B2613" s="288">
        <v>45386.585416666669</v>
      </c>
      <c r="C2613" s="286" t="s">
        <v>2109</v>
      </c>
      <c r="D2613" s="286" t="s">
        <v>1105</v>
      </c>
      <c r="E2613" s="286" t="s">
        <v>1106</v>
      </c>
      <c r="F2613" s="286" t="s">
        <v>2531</v>
      </c>
      <c r="G2613" s="286" t="s">
        <v>1004</v>
      </c>
      <c r="H2613" s="286" t="s">
        <v>1004</v>
      </c>
      <c r="I2613" s="286" t="s">
        <v>1112</v>
      </c>
      <c r="J2613" s="286" t="s">
        <v>1312</v>
      </c>
      <c r="K2613" s="286" t="s">
        <v>53</v>
      </c>
      <c r="L2613" s="286" t="s">
        <v>53</v>
      </c>
      <c r="M2613" s="286" t="s">
        <v>53</v>
      </c>
      <c r="N2613" s="287">
        <v>-2131.3200000000002</v>
      </c>
      <c r="O2613" s="294">
        <f t="shared" si="40"/>
        <v>45412</v>
      </c>
      <c r="P2613" s="286" t="s">
        <v>175</v>
      </c>
    </row>
    <row r="2614" spans="1:16" hidden="1" x14ac:dyDescent="0.15">
      <c r="A2614" s="286">
        <v>562325</v>
      </c>
      <c r="B2614" s="288">
        <v>45412.693055555559</v>
      </c>
      <c r="C2614" s="286" t="s">
        <v>2096</v>
      </c>
      <c r="D2614" s="286" t="s">
        <v>1105</v>
      </c>
      <c r="E2614" s="286" t="s">
        <v>1106</v>
      </c>
      <c r="F2614" s="286" t="s">
        <v>2532</v>
      </c>
      <c r="G2614" s="286" t="s">
        <v>1004</v>
      </c>
      <c r="H2614" s="286" t="s">
        <v>1004</v>
      </c>
      <c r="I2614" s="286" t="s">
        <v>1112</v>
      </c>
      <c r="J2614" s="286" t="s">
        <v>1312</v>
      </c>
      <c r="K2614" s="286" t="s">
        <v>53</v>
      </c>
      <c r="L2614" s="286" t="s">
        <v>53</v>
      </c>
      <c r="M2614" s="286" t="s">
        <v>53</v>
      </c>
      <c r="N2614" s="287">
        <v>-2131.3200000000002</v>
      </c>
      <c r="O2614" s="294">
        <f t="shared" si="40"/>
        <v>45412</v>
      </c>
      <c r="P2614" s="286" t="s">
        <v>175</v>
      </c>
    </row>
    <row r="2615" spans="1:16" hidden="1" x14ac:dyDescent="0.15">
      <c r="A2615" s="286">
        <v>609121</v>
      </c>
      <c r="B2615" s="288">
        <v>45450.634722222225</v>
      </c>
      <c r="C2615" s="286" t="s">
        <v>2116</v>
      </c>
      <c r="D2615" s="286" t="s">
        <v>1105</v>
      </c>
      <c r="E2615" s="286" t="s">
        <v>1106</v>
      </c>
      <c r="F2615" s="286" t="s">
        <v>2533</v>
      </c>
      <c r="G2615" s="286" t="s">
        <v>1004</v>
      </c>
      <c r="H2615" s="286" t="s">
        <v>1004</v>
      </c>
      <c r="I2615" s="286" t="s">
        <v>1112</v>
      </c>
      <c r="J2615" s="286" t="s">
        <v>1312</v>
      </c>
      <c r="K2615" s="286" t="s">
        <v>53</v>
      </c>
      <c r="L2615" s="286" t="s">
        <v>53</v>
      </c>
      <c r="M2615" s="286" t="s">
        <v>53</v>
      </c>
      <c r="N2615" s="287">
        <v>-2131.3200000000002</v>
      </c>
      <c r="O2615" s="294">
        <f t="shared" si="40"/>
        <v>45473</v>
      </c>
      <c r="P2615" s="286" t="s">
        <v>175</v>
      </c>
    </row>
    <row r="2616" spans="1:16" hidden="1" x14ac:dyDescent="0.15">
      <c r="A2616" s="286">
        <v>665979</v>
      </c>
      <c r="B2616" s="288">
        <v>45489.605555555558</v>
      </c>
      <c r="C2616" s="286" t="s">
        <v>2092</v>
      </c>
      <c r="D2616" s="286" t="s">
        <v>1105</v>
      </c>
      <c r="E2616" s="286" t="s">
        <v>1106</v>
      </c>
      <c r="F2616" s="286" t="s">
        <v>2534</v>
      </c>
      <c r="G2616" s="286" t="s">
        <v>1004</v>
      </c>
      <c r="H2616" s="286" t="s">
        <v>1004</v>
      </c>
      <c r="I2616" s="286" t="s">
        <v>1112</v>
      </c>
      <c r="J2616" s="286" t="s">
        <v>1312</v>
      </c>
      <c r="K2616" s="286" t="s">
        <v>53</v>
      </c>
      <c r="L2616" s="286" t="s">
        <v>53</v>
      </c>
      <c r="M2616" s="286" t="s">
        <v>53</v>
      </c>
      <c r="N2616" s="287">
        <v>-2131.3200000000002</v>
      </c>
      <c r="O2616" s="294">
        <f t="shared" si="40"/>
        <v>45504</v>
      </c>
      <c r="P2616" s="286" t="s">
        <v>175</v>
      </c>
    </row>
    <row r="2617" spans="1:16" hidden="1" x14ac:dyDescent="0.15">
      <c r="A2617" s="286">
        <v>708802</v>
      </c>
      <c r="B2617" s="288">
        <v>45516.568749999999</v>
      </c>
      <c r="C2617" s="286" t="s">
        <v>2111</v>
      </c>
      <c r="D2617" s="286" t="s">
        <v>1105</v>
      </c>
      <c r="E2617" s="286" t="s">
        <v>1106</v>
      </c>
      <c r="F2617" s="286" t="s">
        <v>2535</v>
      </c>
      <c r="G2617" s="286" t="s">
        <v>1004</v>
      </c>
      <c r="H2617" s="286" t="s">
        <v>1004</v>
      </c>
      <c r="I2617" s="286" t="s">
        <v>1112</v>
      </c>
      <c r="J2617" s="286" t="s">
        <v>1312</v>
      </c>
      <c r="K2617" s="286" t="s">
        <v>53</v>
      </c>
      <c r="L2617" s="286" t="s">
        <v>53</v>
      </c>
      <c r="M2617" s="286" t="s">
        <v>53</v>
      </c>
      <c r="N2617" s="287">
        <v>-2131.3200000000002</v>
      </c>
      <c r="O2617" s="294">
        <f t="shared" si="40"/>
        <v>45535</v>
      </c>
      <c r="P2617" s="286" t="s">
        <v>175</v>
      </c>
    </row>
    <row r="2618" spans="1:16" hidden="1" x14ac:dyDescent="0.15">
      <c r="A2618" s="286">
        <v>744294</v>
      </c>
      <c r="B2618" s="288">
        <v>45533.694444444445</v>
      </c>
      <c r="C2618" s="286" t="s">
        <v>2102</v>
      </c>
      <c r="D2618" s="286" t="s">
        <v>1105</v>
      </c>
      <c r="E2618" s="286" t="s">
        <v>1106</v>
      </c>
      <c r="F2618" s="286" t="s">
        <v>2536</v>
      </c>
      <c r="G2618" s="286" t="s">
        <v>1004</v>
      </c>
      <c r="H2618" s="286" t="s">
        <v>1004</v>
      </c>
      <c r="I2618" s="286" t="s">
        <v>1112</v>
      </c>
      <c r="J2618" s="286" t="s">
        <v>1312</v>
      </c>
      <c r="K2618" s="286" t="s">
        <v>53</v>
      </c>
      <c r="L2618" s="286" t="s">
        <v>53</v>
      </c>
      <c r="M2618" s="286" t="s">
        <v>53</v>
      </c>
      <c r="N2618" s="287">
        <v>-2131.3200000000002</v>
      </c>
      <c r="O2618" s="294">
        <f t="shared" si="40"/>
        <v>45535</v>
      </c>
      <c r="P2618" s="286" t="s">
        <v>175</v>
      </c>
    </row>
    <row r="2619" spans="1:16" hidden="1" x14ac:dyDescent="0.15">
      <c r="A2619" s="286">
        <v>775339</v>
      </c>
      <c r="B2619" s="288">
        <v>45553.537499999999</v>
      </c>
      <c r="C2619" s="286" t="s">
        <v>2132</v>
      </c>
      <c r="D2619" s="286" t="s">
        <v>1105</v>
      </c>
      <c r="E2619" s="286" t="s">
        <v>1106</v>
      </c>
      <c r="F2619" s="286" t="s">
        <v>2537</v>
      </c>
      <c r="G2619" s="286" t="s">
        <v>1004</v>
      </c>
      <c r="H2619" s="286" t="s">
        <v>1004</v>
      </c>
      <c r="I2619" s="286" t="s">
        <v>1112</v>
      </c>
      <c r="J2619" s="286" t="s">
        <v>1312</v>
      </c>
      <c r="K2619" s="286" t="s">
        <v>53</v>
      </c>
      <c r="L2619" s="286" t="s">
        <v>53</v>
      </c>
      <c r="M2619" s="286" t="s">
        <v>53</v>
      </c>
      <c r="N2619" s="287">
        <v>-2131.3200000000002</v>
      </c>
      <c r="O2619" s="294">
        <f t="shared" si="40"/>
        <v>45565</v>
      </c>
      <c r="P2619" s="286" t="s">
        <v>175</v>
      </c>
    </row>
    <row r="2620" spans="1:16" hidden="1" x14ac:dyDescent="0.15">
      <c r="A2620" s="286">
        <v>822162</v>
      </c>
      <c r="B2620" s="288">
        <v>45587.654166666667</v>
      </c>
      <c r="C2620" s="286" t="s">
        <v>2130</v>
      </c>
      <c r="D2620" s="286" t="s">
        <v>1105</v>
      </c>
      <c r="E2620" s="286" t="s">
        <v>1106</v>
      </c>
      <c r="F2620" s="286" t="s">
        <v>2538</v>
      </c>
      <c r="G2620" s="286" t="s">
        <v>1004</v>
      </c>
      <c r="H2620" s="286" t="s">
        <v>1004</v>
      </c>
      <c r="I2620" s="286" t="s">
        <v>1112</v>
      </c>
      <c r="J2620" s="286" t="s">
        <v>1312</v>
      </c>
      <c r="K2620" s="286" t="s">
        <v>53</v>
      </c>
      <c r="L2620" s="286" t="s">
        <v>53</v>
      </c>
      <c r="M2620" s="286" t="s">
        <v>53</v>
      </c>
      <c r="N2620" s="287">
        <v>-2131.3200000000002</v>
      </c>
      <c r="O2620" s="294">
        <f t="shared" si="40"/>
        <v>45596</v>
      </c>
      <c r="P2620" s="286" t="s">
        <v>175</v>
      </c>
    </row>
    <row r="2621" spans="1:16" hidden="1" x14ac:dyDescent="0.15">
      <c r="A2621" s="286">
        <v>859728</v>
      </c>
      <c r="B2621" s="288">
        <v>45615.472222222219</v>
      </c>
      <c r="C2621" s="286" t="s">
        <v>2100</v>
      </c>
      <c r="D2621" s="286" t="s">
        <v>1105</v>
      </c>
      <c r="E2621" s="286" t="s">
        <v>1106</v>
      </c>
      <c r="F2621" s="286" t="s">
        <v>2539</v>
      </c>
      <c r="G2621" s="286" t="s">
        <v>1004</v>
      </c>
      <c r="H2621" s="286" t="s">
        <v>1004</v>
      </c>
      <c r="I2621" s="286" t="s">
        <v>1112</v>
      </c>
      <c r="J2621" s="286" t="s">
        <v>1312</v>
      </c>
      <c r="K2621" s="286" t="s">
        <v>53</v>
      </c>
      <c r="L2621" s="286" t="s">
        <v>53</v>
      </c>
      <c r="M2621" s="286" t="s">
        <v>53</v>
      </c>
      <c r="N2621" s="287">
        <v>-2131.3200000000002</v>
      </c>
      <c r="O2621" s="294">
        <f t="shared" si="40"/>
        <v>45626</v>
      </c>
      <c r="P2621" s="286" t="s">
        <v>175</v>
      </c>
    </row>
    <row r="2622" spans="1:16" hidden="1" x14ac:dyDescent="0.15">
      <c r="A2622" s="286">
        <v>898877</v>
      </c>
      <c r="B2622" s="288">
        <v>45644.552083333336</v>
      </c>
      <c r="C2622" s="286" t="s">
        <v>2098</v>
      </c>
      <c r="D2622" s="286" t="s">
        <v>1105</v>
      </c>
      <c r="E2622" s="286" t="s">
        <v>1106</v>
      </c>
      <c r="F2622" s="286" t="s">
        <v>2234</v>
      </c>
      <c r="G2622" s="286" t="s">
        <v>1004</v>
      </c>
      <c r="H2622" s="286" t="s">
        <v>1004</v>
      </c>
      <c r="I2622" s="286" t="s">
        <v>1112</v>
      </c>
      <c r="J2622" s="286" t="s">
        <v>1312</v>
      </c>
      <c r="K2622" s="286" t="s">
        <v>53</v>
      </c>
      <c r="L2622" s="286" t="s">
        <v>53</v>
      </c>
      <c r="M2622" s="286" t="s">
        <v>53</v>
      </c>
      <c r="N2622" s="287">
        <v>-2131.3200000000002</v>
      </c>
      <c r="O2622" s="294">
        <f t="shared" si="40"/>
        <v>45657</v>
      </c>
      <c r="P2622" s="286" t="s">
        <v>175</v>
      </c>
    </row>
    <row r="2623" spans="1:16" hidden="1" x14ac:dyDescent="0.15">
      <c r="A2623" s="286">
        <v>646075</v>
      </c>
      <c r="B2623" s="288">
        <v>45474.519444444442</v>
      </c>
      <c r="C2623" s="286" t="s">
        <v>2111</v>
      </c>
      <c r="D2623" s="286" t="s">
        <v>1105</v>
      </c>
      <c r="E2623" s="286" t="s">
        <v>1106</v>
      </c>
      <c r="F2623" s="286" t="s">
        <v>2137</v>
      </c>
      <c r="G2623" s="286" t="s">
        <v>1058</v>
      </c>
      <c r="H2623" s="286" t="s">
        <v>1058</v>
      </c>
      <c r="I2623" s="286" t="s">
        <v>1228</v>
      </c>
      <c r="J2623" s="286" t="s">
        <v>1312</v>
      </c>
      <c r="K2623" s="286" t="s">
        <v>2076</v>
      </c>
      <c r="L2623" s="286" t="s">
        <v>53</v>
      </c>
      <c r="M2623" s="286">
        <v>1</v>
      </c>
      <c r="N2623" s="287">
        <v>-2135.9899999999998</v>
      </c>
      <c r="O2623" s="294">
        <f t="shared" si="40"/>
        <v>45504</v>
      </c>
      <c r="P2623" s="286" t="s">
        <v>58</v>
      </c>
    </row>
    <row r="2624" spans="1:16" hidden="1" x14ac:dyDescent="0.15">
      <c r="A2624" s="286">
        <v>697810</v>
      </c>
      <c r="B2624" s="288">
        <v>45510.366666666669</v>
      </c>
      <c r="C2624" s="286" t="s">
        <v>2102</v>
      </c>
      <c r="D2624" s="286" t="s">
        <v>1105</v>
      </c>
      <c r="E2624" s="286" t="s">
        <v>1106</v>
      </c>
      <c r="F2624" s="286" t="s">
        <v>2138</v>
      </c>
      <c r="G2624" s="286" t="s">
        <v>1058</v>
      </c>
      <c r="H2624" s="286" t="s">
        <v>1058</v>
      </c>
      <c r="I2624" s="286" t="s">
        <v>1228</v>
      </c>
      <c r="J2624" s="286" t="s">
        <v>1312</v>
      </c>
      <c r="K2624" s="286" t="s">
        <v>2076</v>
      </c>
      <c r="L2624" s="286" t="s">
        <v>53</v>
      </c>
      <c r="M2624" s="286">
        <v>1</v>
      </c>
      <c r="N2624" s="287">
        <v>-2135.9899999999998</v>
      </c>
      <c r="O2624" s="294">
        <f t="shared" si="40"/>
        <v>45535</v>
      </c>
      <c r="P2624" s="286" t="s">
        <v>58</v>
      </c>
    </row>
    <row r="2625" spans="1:16" hidden="1" x14ac:dyDescent="0.15">
      <c r="A2625" s="286">
        <v>745911</v>
      </c>
      <c r="B2625" s="288">
        <v>45538.44027777778</v>
      </c>
      <c r="C2625" s="286" t="s">
        <v>2132</v>
      </c>
      <c r="D2625" s="286" t="s">
        <v>1105</v>
      </c>
      <c r="E2625" s="286" t="s">
        <v>1106</v>
      </c>
      <c r="F2625" s="286" t="s">
        <v>2139</v>
      </c>
      <c r="G2625" s="286" t="s">
        <v>1058</v>
      </c>
      <c r="H2625" s="286" t="s">
        <v>1058</v>
      </c>
      <c r="I2625" s="286" t="s">
        <v>1228</v>
      </c>
      <c r="J2625" s="286" t="s">
        <v>1312</v>
      </c>
      <c r="K2625" s="286" t="s">
        <v>2076</v>
      </c>
      <c r="L2625" s="286" t="s">
        <v>53</v>
      </c>
      <c r="M2625" s="286">
        <v>1</v>
      </c>
      <c r="N2625" s="287">
        <v>-2135.9899999999998</v>
      </c>
      <c r="O2625" s="294">
        <f t="shared" si="40"/>
        <v>45565</v>
      </c>
      <c r="P2625" s="286" t="s">
        <v>58</v>
      </c>
    </row>
    <row r="2626" spans="1:16" hidden="1" x14ac:dyDescent="0.15">
      <c r="A2626" s="286">
        <v>848817</v>
      </c>
      <c r="B2626" s="288">
        <v>45607.65902777778</v>
      </c>
      <c r="C2626" s="286" t="s">
        <v>2130</v>
      </c>
      <c r="D2626" s="286" t="s">
        <v>1105</v>
      </c>
      <c r="E2626" s="286" t="s">
        <v>1106</v>
      </c>
      <c r="F2626" s="286" t="s">
        <v>2140</v>
      </c>
      <c r="G2626" s="286" t="s">
        <v>1058</v>
      </c>
      <c r="H2626" s="286" t="s">
        <v>1058</v>
      </c>
      <c r="I2626" s="286" t="s">
        <v>1228</v>
      </c>
      <c r="J2626" s="286" t="s">
        <v>1312</v>
      </c>
      <c r="K2626" s="286" t="s">
        <v>2076</v>
      </c>
      <c r="L2626" s="286" t="s">
        <v>53</v>
      </c>
      <c r="M2626" s="286">
        <v>1</v>
      </c>
      <c r="N2626" s="287">
        <v>-2135.9899999999998</v>
      </c>
      <c r="O2626" s="294">
        <f t="shared" si="40"/>
        <v>45626</v>
      </c>
      <c r="P2626" s="286" t="s">
        <v>58</v>
      </c>
    </row>
    <row r="2627" spans="1:16" hidden="1" x14ac:dyDescent="0.15">
      <c r="A2627" s="286">
        <v>848917</v>
      </c>
      <c r="B2627" s="288">
        <v>45607.660416666666</v>
      </c>
      <c r="C2627" s="286" t="s">
        <v>2100</v>
      </c>
      <c r="D2627" s="286" t="s">
        <v>1105</v>
      </c>
      <c r="E2627" s="286" t="s">
        <v>1106</v>
      </c>
      <c r="F2627" s="286" t="s">
        <v>2141</v>
      </c>
      <c r="G2627" s="286" t="s">
        <v>1058</v>
      </c>
      <c r="H2627" s="286" t="s">
        <v>1058</v>
      </c>
      <c r="I2627" s="286" t="s">
        <v>1228</v>
      </c>
      <c r="J2627" s="286" t="s">
        <v>1312</v>
      </c>
      <c r="K2627" s="286" t="s">
        <v>2076</v>
      </c>
      <c r="L2627" s="286" t="s">
        <v>53</v>
      </c>
      <c r="M2627" s="286">
        <v>1</v>
      </c>
      <c r="N2627" s="287">
        <v>-2135.9899999999998</v>
      </c>
      <c r="O2627" s="294">
        <f t="shared" si="40"/>
        <v>45626</v>
      </c>
      <c r="P2627" s="286" t="s">
        <v>58</v>
      </c>
    </row>
    <row r="2628" spans="1:16" hidden="1" x14ac:dyDescent="0.15">
      <c r="A2628" s="286">
        <v>874698</v>
      </c>
      <c r="B2628" s="288">
        <v>45628.357638888891</v>
      </c>
      <c r="C2628" s="286" t="s">
        <v>2098</v>
      </c>
      <c r="D2628" s="286" t="s">
        <v>1105</v>
      </c>
      <c r="E2628" s="286" t="s">
        <v>1106</v>
      </c>
      <c r="F2628" s="286" t="s">
        <v>2142</v>
      </c>
      <c r="G2628" s="286" t="s">
        <v>1058</v>
      </c>
      <c r="H2628" s="286" t="s">
        <v>1058</v>
      </c>
      <c r="I2628" s="286" t="s">
        <v>1228</v>
      </c>
      <c r="J2628" s="286" t="s">
        <v>1312</v>
      </c>
      <c r="K2628" s="286" t="s">
        <v>2076</v>
      </c>
      <c r="L2628" s="286" t="s">
        <v>53</v>
      </c>
      <c r="M2628" s="286">
        <v>1</v>
      </c>
      <c r="N2628" s="287">
        <v>-2135.9899999999998</v>
      </c>
      <c r="O2628" s="294">
        <f t="shared" ref="O2628:O2691" si="41">EOMONTH(B2628,0)</f>
        <v>45657</v>
      </c>
      <c r="P2628" s="286" t="s">
        <v>58</v>
      </c>
    </row>
    <row r="2629" spans="1:16" hidden="1" x14ac:dyDescent="0.15">
      <c r="A2629" s="286">
        <v>504817</v>
      </c>
      <c r="B2629" s="288">
        <v>45359.645138888889</v>
      </c>
      <c r="C2629" s="286" t="s">
        <v>2109</v>
      </c>
      <c r="D2629" s="286" t="s">
        <v>1105</v>
      </c>
      <c r="E2629" s="286" t="s">
        <v>1106</v>
      </c>
      <c r="F2629" s="286" t="s">
        <v>2154</v>
      </c>
      <c r="G2629" s="286" t="s">
        <v>1044</v>
      </c>
      <c r="H2629" s="286" t="s">
        <v>1044</v>
      </c>
      <c r="I2629" s="286" t="s">
        <v>1199</v>
      </c>
      <c r="J2629" s="286" t="s">
        <v>1312</v>
      </c>
      <c r="K2629" s="286" t="s">
        <v>2076</v>
      </c>
      <c r="L2629" s="286" t="s">
        <v>53</v>
      </c>
      <c r="M2629" s="286">
        <v>1</v>
      </c>
      <c r="N2629" s="287">
        <v>-2142.87</v>
      </c>
      <c r="O2629" s="294">
        <f t="shared" si="41"/>
        <v>45382</v>
      </c>
      <c r="P2629" s="286" t="s">
        <v>58</v>
      </c>
    </row>
    <row r="2630" spans="1:16" hidden="1" x14ac:dyDescent="0.15">
      <c r="A2630" s="286">
        <v>504817</v>
      </c>
      <c r="B2630" s="288">
        <v>45359.645138888889</v>
      </c>
      <c r="C2630" s="286" t="s">
        <v>2109</v>
      </c>
      <c r="D2630" s="286" t="s">
        <v>1105</v>
      </c>
      <c r="E2630" s="286" t="s">
        <v>1106</v>
      </c>
      <c r="F2630" s="286" t="s">
        <v>2154</v>
      </c>
      <c r="G2630" s="286" t="s">
        <v>1044</v>
      </c>
      <c r="H2630" s="286" t="s">
        <v>1044</v>
      </c>
      <c r="I2630" s="286" t="s">
        <v>1228</v>
      </c>
      <c r="J2630" s="286" t="s">
        <v>1312</v>
      </c>
      <c r="K2630" s="286" t="s">
        <v>2076</v>
      </c>
      <c r="L2630" s="286" t="s">
        <v>53</v>
      </c>
      <c r="M2630" s="286">
        <v>1</v>
      </c>
      <c r="N2630" s="287">
        <v>-2142.87</v>
      </c>
      <c r="O2630" s="294">
        <f t="shared" si="41"/>
        <v>45382</v>
      </c>
      <c r="P2630" s="286" t="s">
        <v>58</v>
      </c>
    </row>
    <row r="2631" spans="1:16" hidden="1" x14ac:dyDescent="0.15">
      <c r="A2631" s="286">
        <v>559626</v>
      </c>
      <c r="B2631" s="288">
        <v>45408.642361111109</v>
      </c>
      <c r="C2631" s="286" t="s">
        <v>2109</v>
      </c>
      <c r="D2631" s="286" t="s">
        <v>1105</v>
      </c>
      <c r="E2631" s="286" t="s">
        <v>1106</v>
      </c>
      <c r="F2631" s="286" t="s">
        <v>2231</v>
      </c>
      <c r="G2631" s="286" t="s">
        <v>1044</v>
      </c>
      <c r="H2631" s="286" t="s">
        <v>1044</v>
      </c>
      <c r="I2631" s="286" t="s">
        <v>1228</v>
      </c>
      <c r="J2631" s="286" t="s">
        <v>1312</v>
      </c>
      <c r="K2631" s="286" t="s">
        <v>53</v>
      </c>
      <c r="L2631" s="286" t="s">
        <v>53</v>
      </c>
      <c r="M2631" s="286" t="s">
        <v>53</v>
      </c>
      <c r="N2631" s="287">
        <v>-2142.87</v>
      </c>
      <c r="O2631" s="294">
        <f t="shared" si="41"/>
        <v>45412</v>
      </c>
      <c r="P2631" s="286" t="s">
        <v>58</v>
      </c>
    </row>
    <row r="2632" spans="1:16" hidden="1" x14ac:dyDescent="0.15">
      <c r="A2632" s="286">
        <v>534207</v>
      </c>
      <c r="B2632" s="288">
        <v>45385.750694444447</v>
      </c>
      <c r="C2632" s="286" t="s">
        <v>2096</v>
      </c>
      <c r="D2632" s="286" t="s">
        <v>1105</v>
      </c>
      <c r="E2632" s="286" t="s">
        <v>1106</v>
      </c>
      <c r="F2632" s="286" t="s">
        <v>2155</v>
      </c>
      <c r="G2632" s="286" t="s">
        <v>1044</v>
      </c>
      <c r="H2632" s="286" t="s">
        <v>1044</v>
      </c>
      <c r="I2632" s="286" t="s">
        <v>1199</v>
      </c>
      <c r="J2632" s="286" t="s">
        <v>1312</v>
      </c>
      <c r="K2632" s="286" t="s">
        <v>2076</v>
      </c>
      <c r="L2632" s="286" t="s">
        <v>53</v>
      </c>
      <c r="M2632" s="286">
        <v>1</v>
      </c>
      <c r="N2632" s="287">
        <v>-2142.87</v>
      </c>
      <c r="O2632" s="294">
        <f t="shared" si="41"/>
        <v>45412</v>
      </c>
      <c r="P2632" s="286" t="s">
        <v>58</v>
      </c>
    </row>
    <row r="2633" spans="1:16" hidden="1" x14ac:dyDescent="0.15">
      <c r="A2633" s="286">
        <v>534207</v>
      </c>
      <c r="B2633" s="288">
        <v>45385.750694444447</v>
      </c>
      <c r="C2633" s="286" t="s">
        <v>2096</v>
      </c>
      <c r="D2633" s="286" t="s">
        <v>1105</v>
      </c>
      <c r="E2633" s="286" t="s">
        <v>1106</v>
      </c>
      <c r="F2633" s="286" t="s">
        <v>2155</v>
      </c>
      <c r="G2633" s="286" t="s">
        <v>1044</v>
      </c>
      <c r="H2633" s="286" t="s">
        <v>1044</v>
      </c>
      <c r="I2633" s="286" t="s">
        <v>1228</v>
      </c>
      <c r="J2633" s="286" t="s">
        <v>1312</v>
      </c>
      <c r="K2633" s="286" t="s">
        <v>2076</v>
      </c>
      <c r="L2633" s="286" t="s">
        <v>53</v>
      </c>
      <c r="M2633" s="286">
        <v>1</v>
      </c>
      <c r="N2633" s="287">
        <v>-2142.87</v>
      </c>
      <c r="O2633" s="294">
        <f t="shared" si="41"/>
        <v>45412</v>
      </c>
      <c r="P2633" s="286" t="s">
        <v>58</v>
      </c>
    </row>
    <row r="2634" spans="1:16" hidden="1" x14ac:dyDescent="0.15">
      <c r="A2634" s="286">
        <v>577185</v>
      </c>
      <c r="B2634" s="288">
        <v>45425.680555555555</v>
      </c>
      <c r="C2634" s="286" t="s">
        <v>2096</v>
      </c>
      <c r="D2634" s="286" t="s">
        <v>1105</v>
      </c>
      <c r="E2634" s="286" t="s">
        <v>1106</v>
      </c>
      <c r="F2634" s="286" t="s">
        <v>2232</v>
      </c>
      <c r="G2634" s="286" t="s">
        <v>1044</v>
      </c>
      <c r="H2634" s="286" t="s">
        <v>1044</v>
      </c>
      <c r="I2634" s="286" t="s">
        <v>1228</v>
      </c>
      <c r="J2634" s="286" t="s">
        <v>53</v>
      </c>
      <c r="K2634" s="286" t="s">
        <v>53</v>
      </c>
      <c r="L2634" s="286" t="s">
        <v>53</v>
      </c>
      <c r="M2634" s="286" t="s">
        <v>53</v>
      </c>
      <c r="N2634" s="287">
        <v>-2142.87</v>
      </c>
      <c r="O2634" s="294">
        <f t="shared" si="41"/>
        <v>45443</v>
      </c>
      <c r="P2634" s="286" t="s">
        <v>58</v>
      </c>
    </row>
    <row r="2635" spans="1:16" hidden="1" x14ac:dyDescent="0.15">
      <c r="A2635" s="286">
        <v>614216</v>
      </c>
      <c r="B2635" s="288">
        <v>45455.716666666667</v>
      </c>
      <c r="C2635" s="286" t="s">
        <v>2116</v>
      </c>
      <c r="D2635" s="286" t="s">
        <v>1105</v>
      </c>
      <c r="E2635" s="286" t="s">
        <v>1106</v>
      </c>
      <c r="F2635" s="286" t="s">
        <v>2156</v>
      </c>
      <c r="G2635" s="286" t="s">
        <v>1044</v>
      </c>
      <c r="H2635" s="286" t="s">
        <v>1044</v>
      </c>
      <c r="I2635" s="286" t="s">
        <v>1199</v>
      </c>
      <c r="J2635" s="286" t="s">
        <v>1312</v>
      </c>
      <c r="K2635" s="286" t="s">
        <v>2076</v>
      </c>
      <c r="L2635" s="286" t="s">
        <v>53</v>
      </c>
      <c r="M2635" s="286">
        <v>1</v>
      </c>
      <c r="N2635" s="287">
        <v>-2142.87</v>
      </c>
      <c r="O2635" s="294">
        <f t="shared" si="41"/>
        <v>45473</v>
      </c>
      <c r="P2635" s="286" t="s">
        <v>58</v>
      </c>
    </row>
    <row r="2636" spans="1:16" hidden="1" x14ac:dyDescent="0.15">
      <c r="A2636" s="286">
        <v>614216</v>
      </c>
      <c r="B2636" s="288">
        <v>45455.716666666667</v>
      </c>
      <c r="C2636" s="286" t="s">
        <v>2116</v>
      </c>
      <c r="D2636" s="286" t="s">
        <v>1105</v>
      </c>
      <c r="E2636" s="286" t="s">
        <v>1106</v>
      </c>
      <c r="F2636" s="286" t="s">
        <v>2156</v>
      </c>
      <c r="G2636" s="286" t="s">
        <v>1044</v>
      </c>
      <c r="H2636" s="286" t="s">
        <v>1044</v>
      </c>
      <c r="I2636" s="286" t="s">
        <v>1228</v>
      </c>
      <c r="J2636" s="286" t="s">
        <v>1312</v>
      </c>
      <c r="K2636" s="286" t="s">
        <v>2076</v>
      </c>
      <c r="L2636" s="286" t="s">
        <v>53</v>
      </c>
      <c r="M2636" s="286">
        <v>1</v>
      </c>
      <c r="N2636" s="287">
        <v>-2142.87</v>
      </c>
      <c r="O2636" s="294">
        <f t="shared" si="41"/>
        <v>45473</v>
      </c>
      <c r="P2636" s="286" t="s">
        <v>58</v>
      </c>
    </row>
    <row r="2637" spans="1:16" hidden="1" x14ac:dyDescent="0.15">
      <c r="A2637" s="286">
        <v>618175</v>
      </c>
      <c r="B2637" s="288">
        <v>45457.602083333331</v>
      </c>
      <c r="C2637" s="286" t="s">
        <v>2116</v>
      </c>
      <c r="D2637" s="286" t="s">
        <v>1105</v>
      </c>
      <c r="E2637" s="286" t="s">
        <v>1106</v>
      </c>
      <c r="F2637" s="286" t="s">
        <v>2158</v>
      </c>
      <c r="G2637" s="286" t="s">
        <v>1044</v>
      </c>
      <c r="H2637" s="286" t="s">
        <v>1044</v>
      </c>
      <c r="I2637" s="286" t="s">
        <v>1228</v>
      </c>
      <c r="J2637" s="286" t="s">
        <v>1312</v>
      </c>
      <c r="K2637" s="286" t="s">
        <v>53</v>
      </c>
      <c r="L2637" s="286" t="s">
        <v>53</v>
      </c>
      <c r="M2637" s="286" t="s">
        <v>53</v>
      </c>
      <c r="N2637" s="287">
        <v>-2142.87</v>
      </c>
      <c r="O2637" s="294">
        <f t="shared" si="41"/>
        <v>45473</v>
      </c>
      <c r="P2637" s="286" t="s">
        <v>58</v>
      </c>
    </row>
    <row r="2638" spans="1:16" hidden="1" x14ac:dyDescent="0.15">
      <c r="A2638" s="286">
        <v>614316</v>
      </c>
      <c r="B2638" s="288">
        <v>45455.717361111114</v>
      </c>
      <c r="C2638" s="286" t="s">
        <v>2092</v>
      </c>
      <c r="D2638" s="286" t="s">
        <v>1105</v>
      </c>
      <c r="E2638" s="286" t="s">
        <v>1106</v>
      </c>
      <c r="F2638" s="286" t="s">
        <v>2167</v>
      </c>
      <c r="G2638" s="286" t="s">
        <v>1044</v>
      </c>
      <c r="H2638" s="286" t="s">
        <v>1044</v>
      </c>
      <c r="I2638" s="286" t="s">
        <v>1199</v>
      </c>
      <c r="J2638" s="286" t="s">
        <v>1312</v>
      </c>
      <c r="K2638" s="286" t="s">
        <v>2076</v>
      </c>
      <c r="L2638" s="286" t="s">
        <v>53</v>
      </c>
      <c r="M2638" s="286">
        <v>1</v>
      </c>
      <c r="N2638" s="287">
        <v>-2142.87</v>
      </c>
      <c r="O2638" s="294">
        <f t="shared" si="41"/>
        <v>45473</v>
      </c>
      <c r="P2638" s="286" t="s">
        <v>58</v>
      </c>
    </row>
    <row r="2639" spans="1:16" hidden="1" x14ac:dyDescent="0.15">
      <c r="A2639" s="286">
        <v>614316</v>
      </c>
      <c r="B2639" s="288">
        <v>45455.717361111114</v>
      </c>
      <c r="C2639" s="286" t="s">
        <v>2092</v>
      </c>
      <c r="D2639" s="286" t="s">
        <v>1105</v>
      </c>
      <c r="E2639" s="286" t="s">
        <v>1106</v>
      </c>
      <c r="F2639" s="286" t="s">
        <v>2167</v>
      </c>
      <c r="G2639" s="286" t="s">
        <v>1044</v>
      </c>
      <c r="H2639" s="286" t="s">
        <v>1044</v>
      </c>
      <c r="I2639" s="286" t="s">
        <v>1228</v>
      </c>
      <c r="J2639" s="286" t="s">
        <v>1312</v>
      </c>
      <c r="K2639" s="286" t="s">
        <v>2076</v>
      </c>
      <c r="L2639" s="286" t="s">
        <v>53</v>
      </c>
      <c r="M2639" s="286">
        <v>1</v>
      </c>
      <c r="N2639" s="287">
        <v>-2142.87</v>
      </c>
      <c r="O2639" s="294">
        <f t="shared" si="41"/>
        <v>45473</v>
      </c>
      <c r="P2639" s="286" t="s">
        <v>58</v>
      </c>
    </row>
    <row r="2640" spans="1:16" hidden="1" x14ac:dyDescent="0.15">
      <c r="A2640" s="286">
        <v>659936</v>
      </c>
      <c r="B2640" s="288">
        <v>45484.529861111114</v>
      </c>
      <c r="C2640" s="286" t="s">
        <v>2092</v>
      </c>
      <c r="D2640" s="286" t="s">
        <v>1105</v>
      </c>
      <c r="E2640" s="286" t="s">
        <v>1106</v>
      </c>
      <c r="F2640" s="286" t="s">
        <v>2159</v>
      </c>
      <c r="G2640" s="286" t="s">
        <v>1044</v>
      </c>
      <c r="H2640" s="286" t="s">
        <v>1044</v>
      </c>
      <c r="I2640" s="286" t="s">
        <v>1228</v>
      </c>
      <c r="J2640" s="286" t="s">
        <v>1312</v>
      </c>
      <c r="K2640" s="286" t="s">
        <v>53</v>
      </c>
      <c r="L2640" s="286" t="s">
        <v>53</v>
      </c>
      <c r="M2640" s="286" t="s">
        <v>53</v>
      </c>
      <c r="N2640" s="287">
        <v>-2142.87</v>
      </c>
      <c r="O2640" s="294">
        <f t="shared" si="41"/>
        <v>45504</v>
      </c>
      <c r="P2640" s="286" t="s">
        <v>58</v>
      </c>
    </row>
    <row r="2641" spans="1:16" hidden="1" x14ac:dyDescent="0.15">
      <c r="A2641" s="286">
        <v>646075</v>
      </c>
      <c r="B2641" s="288">
        <v>45474.519444444442</v>
      </c>
      <c r="C2641" s="286" t="s">
        <v>2111</v>
      </c>
      <c r="D2641" s="286" t="s">
        <v>1105</v>
      </c>
      <c r="E2641" s="286" t="s">
        <v>1106</v>
      </c>
      <c r="F2641" s="286" t="s">
        <v>2137</v>
      </c>
      <c r="G2641" s="286" t="s">
        <v>1044</v>
      </c>
      <c r="H2641" s="286" t="s">
        <v>1044</v>
      </c>
      <c r="I2641" s="286" t="s">
        <v>1199</v>
      </c>
      <c r="J2641" s="286" t="s">
        <v>1312</v>
      </c>
      <c r="K2641" s="286" t="s">
        <v>2076</v>
      </c>
      <c r="L2641" s="286" t="s">
        <v>53</v>
      </c>
      <c r="M2641" s="286">
        <v>1</v>
      </c>
      <c r="N2641" s="287">
        <v>-2142.87</v>
      </c>
      <c r="O2641" s="294">
        <f t="shared" si="41"/>
        <v>45504</v>
      </c>
      <c r="P2641" s="286" t="s">
        <v>58</v>
      </c>
    </row>
    <row r="2642" spans="1:16" hidden="1" x14ac:dyDescent="0.15">
      <c r="A2642" s="286">
        <v>646075</v>
      </c>
      <c r="B2642" s="288">
        <v>45474.519444444442</v>
      </c>
      <c r="C2642" s="286" t="s">
        <v>2111</v>
      </c>
      <c r="D2642" s="286" t="s">
        <v>1105</v>
      </c>
      <c r="E2642" s="286" t="s">
        <v>1106</v>
      </c>
      <c r="F2642" s="286" t="s">
        <v>2137</v>
      </c>
      <c r="G2642" s="286" t="s">
        <v>1044</v>
      </c>
      <c r="H2642" s="286" t="s">
        <v>1044</v>
      </c>
      <c r="I2642" s="286" t="s">
        <v>1228</v>
      </c>
      <c r="J2642" s="286" t="s">
        <v>1312</v>
      </c>
      <c r="K2642" s="286" t="s">
        <v>2076</v>
      </c>
      <c r="L2642" s="286" t="s">
        <v>53</v>
      </c>
      <c r="M2642" s="286">
        <v>1</v>
      </c>
      <c r="N2642" s="287">
        <v>-2142.87</v>
      </c>
      <c r="O2642" s="294">
        <f t="shared" si="41"/>
        <v>45504</v>
      </c>
      <c r="P2642" s="286" t="s">
        <v>58</v>
      </c>
    </row>
    <row r="2643" spans="1:16" hidden="1" x14ac:dyDescent="0.15">
      <c r="A2643" s="286">
        <v>712645</v>
      </c>
      <c r="B2643" s="288">
        <v>45517.640972222223</v>
      </c>
      <c r="C2643" s="286" t="s">
        <v>2111</v>
      </c>
      <c r="D2643" s="286" t="s">
        <v>1105</v>
      </c>
      <c r="E2643" s="286" t="s">
        <v>1106</v>
      </c>
      <c r="F2643" s="286" t="s">
        <v>2160</v>
      </c>
      <c r="G2643" s="286" t="s">
        <v>1044</v>
      </c>
      <c r="H2643" s="286" t="s">
        <v>1044</v>
      </c>
      <c r="I2643" s="286" t="s">
        <v>1228</v>
      </c>
      <c r="J2643" s="286" t="s">
        <v>1312</v>
      </c>
      <c r="K2643" s="286" t="s">
        <v>53</v>
      </c>
      <c r="L2643" s="286" t="s">
        <v>53</v>
      </c>
      <c r="M2643" s="286" t="s">
        <v>53</v>
      </c>
      <c r="N2643" s="287">
        <v>-2142.87</v>
      </c>
      <c r="O2643" s="294">
        <f t="shared" si="41"/>
        <v>45535</v>
      </c>
      <c r="P2643" s="286" t="s">
        <v>58</v>
      </c>
    </row>
    <row r="2644" spans="1:16" hidden="1" x14ac:dyDescent="0.15">
      <c r="A2644" s="286">
        <v>697810</v>
      </c>
      <c r="B2644" s="288">
        <v>45510.366666666669</v>
      </c>
      <c r="C2644" s="286" t="s">
        <v>2102</v>
      </c>
      <c r="D2644" s="286" t="s">
        <v>1105</v>
      </c>
      <c r="E2644" s="286" t="s">
        <v>1106</v>
      </c>
      <c r="F2644" s="286" t="s">
        <v>2138</v>
      </c>
      <c r="G2644" s="286" t="s">
        <v>1044</v>
      </c>
      <c r="H2644" s="286" t="s">
        <v>1044</v>
      </c>
      <c r="I2644" s="286" t="s">
        <v>1199</v>
      </c>
      <c r="J2644" s="286" t="s">
        <v>1312</v>
      </c>
      <c r="K2644" s="286" t="s">
        <v>2076</v>
      </c>
      <c r="L2644" s="286" t="s">
        <v>53</v>
      </c>
      <c r="M2644" s="286">
        <v>1</v>
      </c>
      <c r="N2644" s="287">
        <v>-2142.87</v>
      </c>
      <c r="O2644" s="294">
        <f t="shared" si="41"/>
        <v>45535</v>
      </c>
      <c r="P2644" s="286" t="s">
        <v>58</v>
      </c>
    </row>
    <row r="2645" spans="1:16" hidden="1" x14ac:dyDescent="0.15">
      <c r="A2645" s="286">
        <v>697810</v>
      </c>
      <c r="B2645" s="288">
        <v>45510.366666666669</v>
      </c>
      <c r="C2645" s="286" t="s">
        <v>2102</v>
      </c>
      <c r="D2645" s="286" t="s">
        <v>1105</v>
      </c>
      <c r="E2645" s="286" t="s">
        <v>1106</v>
      </c>
      <c r="F2645" s="286" t="s">
        <v>2138</v>
      </c>
      <c r="G2645" s="286" t="s">
        <v>1044</v>
      </c>
      <c r="H2645" s="286" t="s">
        <v>1044</v>
      </c>
      <c r="I2645" s="286" t="s">
        <v>1228</v>
      </c>
      <c r="J2645" s="286" t="s">
        <v>1312</v>
      </c>
      <c r="K2645" s="286" t="s">
        <v>2076</v>
      </c>
      <c r="L2645" s="286" t="s">
        <v>53</v>
      </c>
      <c r="M2645" s="286">
        <v>1</v>
      </c>
      <c r="N2645" s="287">
        <v>-2142.87</v>
      </c>
      <c r="O2645" s="294">
        <f t="shared" si="41"/>
        <v>45535</v>
      </c>
      <c r="P2645" s="286" t="s">
        <v>58</v>
      </c>
    </row>
    <row r="2646" spans="1:16" hidden="1" x14ac:dyDescent="0.15">
      <c r="A2646" s="286">
        <v>741366</v>
      </c>
      <c r="B2646" s="288">
        <v>45532.655555555553</v>
      </c>
      <c r="C2646" s="286" t="s">
        <v>2102</v>
      </c>
      <c r="D2646" s="286" t="s">
        <v>1105</v>
      </c>
      <c r="E2646" s="286" t="s">
        <v>1106</v>
      </c>
      <c r="F2646" s="286" t="s">
        <v>2161</v>
      </c>
      <c r="G2646" s="286" t="s">
        <v>1044</v>
      </c>
      <c r="H2646" s="286" t="s">
        <v>1044</v>
      </c>
      <c r="I2646" s="286" t="s">
        <v>1228</v>
      </c>
      <c r="J2646" s="286" t="s">
        <v>1312</v>
      </c>
      <c r="K2646" s="286" t="s">
        <v>53</v>
      </c>
      <c r="L2646" s="286" t="s">
        <v>53</v>
      </c>
      <c r="M2646" s="286" t="s">
        <v>53</v>
      </c>
      <c r="N2646" s="287">
        <v>-2142.87</v>
      </c>
      <c r="O2646" s="294">
        <f t="shared" si="41"/>
        <v>45535</v>
      </c>
      <c r="P2646" s="286" t="s">
        <v>58</v>
      </c>
    </row>
    <row r="2647" spans="1:16" hidden="1" x14ac:dyDescent="0.15">
      <c r="A2647" s="286">
        <v>745911</v>
      </c>
      <c r="B2647" s="288">
        <v>45538.44027777778</v>
      </c>
      <c r="C2647" s="286" t="s">
        <v>2132</v>
      </c>
      <c r="D2647" s="286" t="s">
        <v>1105</v>
      </c>
      <c r="E2647" s="286" t="s">
        <v>1106</v>
      </c>
      <c r="F2647" s="286" t="s">
        <v>2139</v>
      </c>
      <c r="G2647" s="286" t="s">
        <v>1044</v>
      </c>
      <c r="H2647" s="286" t="s">
        <v>1044</v>
      </c>
      <c r="I2647" s="286" t="s">
        <v>1199</v>
      </c>
      <c r="J2647" s="286" t="s">
        <v>1312</v>
      </c>
      <c r="K2647" s="286" t="s">
        <v>2076</v>
      </c>
      <c r="L2647" s="286" t="s">
        <v>53</v>
      </c>
      <c r="M2647" s="286">
        <v>1</v>
      </c>
      <c r="N2647" s="287">
        <v>-2142.87</v>
      </c>
      <c r="O2647" s="294">
        <f t="shared" si="41"/>
        <v>45565</v>
      </c>
      <c r="P2647" s="286" t="s">
        <v>58</v>
      </c>
    </row>
    <row r="2648" spans="1:16" hidden="1" x14ac:dyDescent="0.15">
      <c r="A2648" s="286">
        <v>745911</v>
      </c>
      <c r="B2648" s="288">
        <v>45538.44027777778</v>
      </c>
      <c r="C2648" s="286" t="s">
        <v>2132</v>
      </c>
      <c r="D2648" s="286" t="s">
        <v>1105</v>
      </c>
      <c r="E2648" s="286" t="s">
        <v>1106</v>
      </c>
      <c r="F2648" s="286" t="s">
        <v>2139</v>
      </c>
      <c r="G2648" s="286" t="s">
        <v>1044</v>
      </c>
      <c r="H2648" s="286" t="s">
        <v>1044</v>
      </c>
      <c r="I2648" s="286" t="s">
        <v>1228</v>
      </c>
      <c r="J2648" s="286" t="s">
        <v>1312</v>
      </c>
      <c r="K2648" s="286" t="s">
        <v>2076</v>
      </c>
      <c r="L2648" s="286" t="s">
        <v>53</v>
      </c>
      <c r="M2648" s="286">
        <v>1</v>
      </c>
      <c r="N2648" s="287">
        <v>-2142.87</v>
      </c>
      <c r="O2648" s="294">
        <f t="shared" si="41"/>
        <v>45565</v>
      </c>
      <c r="P2648" s="286" t="s">
        <v>58</v>
      </c>
    </row>
    <row r="2649" spans="1:16" hidden="1" x14ac:dyDescent="0.15">
      <c r="A2649" s="286">
        <v>785030</v>
      </c>
      <c r="B2649" s="288">
        <v>45559.581944444442</v>
      </c>
      <c r="C2649" s="286" t="s">
        <v>2132</v>
      </c>
      <c r="D2649" s="286" t="s">
        <v>1105</v>
      </c>
      <c r="E2649" s="286" t="s">
        <v>1106</v>
      </c>
      <c r="F2649" s="286" t="s">
        <v>2162</v>
      </c>
      <c r="G2649" s="286" t="s">
        <v>1044</v>
      </c>
      <c r="H2649" s="286" t="s">
        <v>1044</v>
      </c>
      <c r="I2649" s="286" t="s">
        <v>1228</v>
      </c>
      <c r="J2649" s="286" t="s">
        <v>1312</v>
      </c>
      <c r="K2649" s="286" t="s">
        <v>53</v>
      </c>
      <c r="L2649" s="286" t="s">
        <v>53</v>
      </c>
      <c r="M2649" s="286" t="s">
        <v>53</v>
      </c>
      <c r="N2649" s="287">
        <v>-2142.87</v>
      </c>
      <c r="O2649" s="294">
        <f t="shared" si="41"/>
        <v>45565</v>
      </c>
      <c r="P2649" s="286" t="s">
        <v>58</v>
      </c>
    </row>
    <row r="2650" spans="1:16" hidden="1" x14ac:dyDescent="0.15">
      <c r="A2650" s="286">
        <v>821955</v>
      </c>
      <c r="B2650" s="288">
        <v>45587.62777777778</v>
      </c>
      <c r="C2650" s="286" t="s">
        <v>2130</v>
      </c>
      <c r="D2650" s="286" t="s">
        <v>1105</v>
      </c>
      <c r="E2650" s="286" t="s">
        <v>1106</v>
      </c>
      <c r="F2650" s="286" t="s">
        <v>2163</v>
      </c>
      <c r="G2650" s="286" t="s">
        <v>1044</v>
      </c>
      <c r="H2650" s="286" t="s">
        <v>1044</v>
      </c>
      <c r="I2650" s="286" t="s">
        <v>1228</v>
      </c>
      <c r="J2650" s="286" t="s">
        <v>1312</v>
      </c>
      <c r="K2650" s="286" t="s">
        <v>53</v>
      </c>
      <c r="L2650" s="286" t="s">
        <v>53</v>
      </c>
      <c r="M2650" s="286" t="s">
        <v>53</v>
      </c>
      <c r="N2650" s="287">
        <v>-2142.87</v>
      </c>
      <c r="O2650" s="294">
        <f t="shared" si="41"/>
        <v>45596</v>
      </c>
      <c r="P2650" s="286" t="s">
        <v>58</v>
      </c>
    </row>
    <row r="2651" spans="1:16" hidden="1" x14ac:dyDescent="0.15">
      <c r="A2651" s="286">
        <v>848817</v>
      </c>
      <c r="B2651" s="288">
        <v>45607.65902777778</v>
      </c>
      <c r="C2651" s="286" t="s">
        <v>2130</v>
      </c>
      <c r="D2651" s="286" t="s">
        <v>1105</v>
      </c>
      <c r="E2651" s="286" t="s">
        <v>1106</v>
      </c>
      <c r="F2651" s="286" t="s">
        <v>2140</v>
      </c>
      <c r="G2651" s="286" t="s">
        <v>1044</v>
      </c>
      <c r="H2651" s="286" t="s">
        <v>1044</v>
      </c>
      <c r="I2651" s="286" t="s">
        <v>1199</v>
      </c>
      <c r="J2651" s="286" t="s">
        <v>1312</v>
      </c>
      <c r="K2651" s="286" t="s">
        <v>2076</v>
      </c>
      <c r="L2651" s="286" t="s">
        <v>53</v>
      </c>
      <c r="M2651" s="286">
        <v>1</v>
      </c>
      <c r="N2651" s="287">
        <v>-2142.87</v>
      </c>
      <c r="O2651" s="294">
        <f t="shared" si="41"/>
        <v>45626</v>
      </c>
      <c r="P2651" s="286" t="s">
        <v>58</v>
      </c>
    </row>
    <row r="2652" spans="1:16" hidden="1" x14ac:dyDescent="0.15">
      <c r="A2652" s="286">
        <v>848817</v>
      </c>
      <c r="B2652" s="288">
        <v>45607.65902777778</v>
      </c>
      <c r="C2652" s="286" t="s">
        <v>2130</v>
      </c>
      <c r="D2652" s="286" t="s">
        <v>1105</v>
      </c>
      <c r="E2652" s="286" t="s">
        <v>1106</v>
      </c>
      <c r="F2652" s="286" t="s">
        <v>2140</v>
      </c>
      <c r="G2652" s="286" t="s">
        <v>1044</v>
      </c>
      <c r="H2652" s="286" t="s">
        <v>1044</v>
      </c>
      <c r="I2652" s="286" t="s">
        <v>1228</v>
      </c>
      <c r="J2652" s="286" t="s">
        <v>1312</v>
      </c>
      <c r="K2652" s="286" t="s">
        <v>2076</v>
      </c>
      <c r="L2652" s="286" t="s">
        <v>53</v>
      </c>
      <c r="M2652" s="286">
        <v>1</v>
      </c>
      <c r="N2652" s="287">
        <v>-2142.87</v>
      </c>
      <c r="O2652" s="294">
        <f t="shared" si="41"/>
        <v>45626</v>
      </c>
      <c r="P2652" s="286" t="s">
        <v>58</v>
      </c>
    </row>
    <row r="2653" spans="1:16" hidden="1" x14ac:dyDescent="0.15">
      <c r="A2653" s="286">
        <v>848917</v>
      </c>
      <c r="B2653" s="288">
        <v>45607.660416666666</v>
      </c>
      <c r="C2653" s="286" t="s">
        <v>2100</v>
      </c>
      <c r="D2653" s="286" t="s">
        <v>1105</v>
      </c>
      <c r="E2653" s="286" t="s">
        <v>1106</v>
      </c>
      <c r="F2653" s="286" t="s">
        <v>2141</v>
      </c>
      <c r="G2653" s="286" t="s">
        <v>1044</v>
      </c>
      <c r="H2653" s="286" t="s">
        <v>1044</v>
      </c>
      <c r="I2653" s="286" t="s">
        <v>1199</v>
      </c>
      <c r="J2653" s="286" t="s">
        <v>1312</v>
      </c>
      <c r="K2653" s="286" t="s">
        <v>2076</v>
      </c>
      <c r="L2653" s="286" t="s">
        <v>53</v>
      </c>
      <c r="M2653" s="286">
        <v>1</v>
      </c>
      <c r="N2653" s="287">
        <v>-2142.87</v>
      </c>
      <c r="O2653" s="294">
        <f t="shared" si="41"/>
        <v>45626</v>
      </c>
      <c r="P2653" s="286" t="s">
        <v>58</v>
      </c>
    </row>
    <row r="2654" spans="1:16" hidden="1" x14ac:dyDescent="0.15">
      <c r="A2654" s="286">
        <v>848917</v>
      </c>
      <c r="B2654" s="288">
        <v>45607.660416666666</v>
      </c>
      <c r="C2654" s="286" t="s">
        <v>2100</v>
      </c>
      <c r="D2654" s="286" t="s">
        <v>1105</v>
      </c>
      <c r="E2654" s="286" t="s">
        <v>1106</v>
      </c>
      <c r="F2654" s="286" t="s">
        <v>2141</v>
      </c>
      <c r="G2654" s="286" t="s">
        <v>1044</v>
      </c>
      <c r="H2654" s="286" t="s">
        <v>1044</v>
      </c>
      <c r="I2654" s="286" t="s">
        <v>1228</v>
      </c>
      <c r="J2654" s="286" t="s">
        <v>1312</v>
      </c>
      <c r="K2654" s="286" t="s">
        <v>2076</v>
      </c>
      <c r="L2654" s="286" t="s">
        <v>53</v>
      </c>
      <c r="M2654" s="286">
        <v>1</v>
      </c>
      <c r="N2654" s="287">
        <v>-2142.87</v>
      </c>
      <c r="O2654" s="294">
        <f t="shared" si="41"/>
        <v>45626</v>
      </c>
      <c r="P2654" s="286" t="s">
        <v>58</v>
      </c>
    </row>
    <row r="2655" spans="1:16" hidden="1" x14ac:dyDescent="0.15">
      <c r="A2655" s="286">
        <v>864918</v>
      </c>
      <c r="B2655" s="288">
        <v>45617.508333333331</v>
      </c>
      <c r="C2655" s="286" t="s">
        <v>2100</v>
      </c>
      <c r="D2655" s="286" t="s">
        <v>1105</v>
      </c>
      <c r="E2655" s="286" t="s">
        <v>1106</v>
      </c>
      <c r="F2655" s="286" t="s">
        <v>2233</v>
      </c>
      <c r="G2655" s="286" t="s">
        <v>1044</v>
      </c>
      <c r="H2655" s="286" t="s">
        <v>1044</v>
      </c>
      <c r="I2655" s="286" t="s">
        <v>1228</v>
      </c>
      <c r="J2655" s="286" t="s">
        <v>53</v>
      </c>
      <c r="K2655" s="286" t="s">
        <v>53</v>
      </c>
      <c r="L2655" s="286" t="s">
        <v>53</v>
      </c>
      <c r="M2655" s="286" t="s">
        <v>53</v>
      </c>
      <c r="N2655" s="287">
        <v>-2142.87</v>
      </c>
      <c r="O2655" s="294">
        <f t="shared" si="41"/>
        <v>45626</v>
      </c>
      <c r="P2655" s="286" t="s">
        <v>58</v>
      </c>
    </row>
    <row r="2656" spans="1:16" hidden="1" x14ac:dyDescent="0.15">
      <c r="A2656" s="286">
        <v>874698</v>
      </c>
      <c r="B2656" s="288">
        <v>45628.357638888891</v>
      </c>
      <c r="C2656" s="286" t="s">
        <v>2098</v>
      </c>
      <c r="D2656" s="286" t="s">
        <v>1105</v>
      </c>
      <c r="E2656" s="286" t="s">
        <v>1106</v>
      </c>
      <c r="F2656" s="286" t="s">
        <v>2142</v>
      </c>
      <c r="G2656" s="286" t="s">
        <v>1044</v>
      </c>
      <c r="H2656" s="286" t="s">
        <v>1044</v>
      </c>
      <c r="I2656" s="286" t="s">
        <v>1199</v>
      </c>
      <c r="J2656" s="286" t="s">
        <v>1312</v>
      </c>
      <c r="K2656" s="286" t="s">
        <v>2076</v>
      </c>
      <c r="L2656" s="286" t="s">
        <v>53</v>
      </c>
      <c r="M2656" s="286">
        <v>1</v>
      </c>
      <c r="N2656" s="287">
        <v>-2142.87</v>
      </c>
      <c r="O2656" s="294">
        <f t="shared" si="41"/>
        <v>45657</v>
      </c>
      <c r="P2656" s="286" t="s">
        <v>58</v>
      </c>
    </row>
    <row r="2657" spans="1:16" hidden="1" x14ac:dyDescent="0.15">
      <c r="A2657" s="286">
        <v>874698</v>
      </c>
      <c r="B2657" s="288">
        <v>45628.357638888891</v>
      </c>
      <c r="C2657" s="286" t="s">
        <v>2098</v>
      </c>
      <c r="D2657" s="286" t="s">
        <v>1105</v>
      </c>
      <c r="E2657" s="286" t="s">
        <v>1106</v>
      </c>
      <c r="F2657" s="286" t="s">
        <v>2142</v>
      </c>
      <c r="G2657" s="286" t="s">
        <v>1044</v>
      </c>
      <c r="H2657" s="286" t="s">
        <v>1044</v>
      </c>
      <c r="I2657" s="286" t="s">
        <v>1228</v>
      </c>
      <c r="J2657" s="286" t="s">
        <v>1312</v>
      </c>
      <c r="K2657" s="286" t="s">
        <v>2076</v>
      </c>
      <c r="L2657" s="286" t="s">
        <v>53</v>
      </c>
      <c r="M2657" s="286">
        <v>1</v>
      </c>
      <c r="N2657" s="287">
        <v>-2142.87</v>
      </c>
      <c r="O2657" s="294">
        <f t="shared" si="41"/>
        <v>45657</v>
      </c>
      <c r="P2657" s="286" t="s">
        <v>58</v>
      </c>
    </row>
    <row r="2658" spans="1:16" hidden="1" x14ac:dyDescent="0.15">
      <c r="A2658" s="286">
        <v>898877</v>
      </c>
      <c r="B2658" s="288">
        <v>45644.552083333336</v>
      </c>
      <c r="C2658" s="286" t="s">
        <v>2098</v>
      </c>
      <c r="D2658" s="286" t="s">
        <v>1105</v>
      </c>
      <c r="E2658" s="286" t="s">
        <v>1106</v>
      </c>
      <c r="F2658" s="286" t="s">
        <v>2234</v>
      </c>
      <c r="G2658" s="286" t="s">
        <v>1044</v>
      </c>
      <c r="H2658" s="286" t="s">
        <v>1044</v>
      </c>
      <c r="I2658" s="286" t="s">
        <v>1228</v>
      </c>
      <c r="J2658" s="286" t="s">
        <v>1312</v>
      </c>
      <c r="K2658" s="286" t="s">
        <v>53</v>
      </c>
      <c r="L2658" s="286" t="s">
        <v>53</v>
      </c>
      <c r="M2658" s="286" t="s">
        <v>53</v>
      </c>
      <c r="N2658" s="287">
        <v>-2142.87</v>
      </c>
      <c r="O2658" s="294">
        <f t="shared" si="41"/>
        <v>45657</v>
      </c>
      <c r="P2658" s="286" t="s">
        <v>58</v>
      </c>
    </row>
    <row r="2659" spans="1:16" hidden="1" x14ac:dyDescent="0.15">
      <c r="A2659" s="286">
        <v>859399</v>
      </c>
      <c r="B2659" s="288">
        <v>45615.35833333333</v>
      </c>
      <c r="C2659" s="286" t="s">
        <v>2100</v>
      </c>
      <c r="D2659" s="286" t="s">
        <v>1105</v>
      </c>
      <c r="E2659" s="286" t="s">
        <v>1106</v>
      </c>
      <c r="F2659" s="286" t="s">
        <v>2326</v>
      </c>
      <c r="G2659" s="286" t="s">
        <v>1077</v>
      </c>
      <c r="H2659" s="286" t="s">
        <v>1077</v>
      </c>
      <c r="I2659" s="286" t="s">
        <v>1152</v>
      </c>
      <c r="J2659" s="286" t="s">
        <v>1312</v>
      </c>
      <c r="K2659" s="286" t="s">
        <v>2508</v>
      </c>
      <c r="L2659" s="286" t="s">
        <v>53</v>
      </c>
      <c r="M2659" s="286">
        <v>1</v>
      </c>
      <c r="N2659" s="287">
        <v>-2172.65</v>
      </c>
      <c r="O2659" s="294">
        <f t="shared" si="41"/>
        <v>45626</v>
      </c>
      <c r="P2659" s="286" t="s">
        <v>58</v>
      </c>
    </row>
    <row r="2660" spans="1:16" hidden="1" x14ac:dyDescent="0.15">
      <c r="A2660" s="286">
        <v>848917</v>
      </c>
      <c r="B2660" s="288">
        <v>45607.660416666666</v>
      </c>
      <c r="C2660" s="286" t="s">
        <v>2100</v>
      </c>
      <c r="D2660" s="286" t="s">
        <v>1105</v>
      </c>
      <c r="E2660" s="286" t="s">
        <v>1106</v>
      </c>
      <c r="F2660" s="286" t="s">
        <v>2141</v>
      </c>
      <c r="G2660" s="286" t="s">
        <v>1015</v>
      </c>
      <c r="H2660" s="286" t="s">
        <v>1015</v>
      </c>
      <c r="I2660" s="286" t="s">
        <v>1228</v>
      </c>
      <c r="J2660" s="286" t="s">
        <v>1312</v>
      </c>
      <c r="K2660" s="286" t="s">
        <v>2076</v>
      </c>
      <c r="L2660" s="286" t="s">
        <v>53</v>
      </c>
      <c r="M2660" s="286">
        <v>1</v>
      </c>
      <c r="N2660" s="287">
        <v>-2208.39</v>
      </c>
      <c r="O2660" s="294">
        <f t="shared" si="41"/>
        <v>45626</v>
      </c>
      <c r="P2660" s="286" t="s">
        <v>58</v>
      </c>
    </row>
    <row r="2661" spans="1:16" hidden="1" x14ac:dyDescent="0.15">
      <c r="A2661" s="286">
        <v>646075</v>
      </c>
      <c r="B2661" s="288">
        <v>45474.519444444442</v>
      </c>
      <c r="C2661" s="286" t="s">
        <v>2111</v>
      </c>
      <c r="D2661" s="286" t="s">
        <v>1105</v>
      </c>
      <c r="E2661" s="286" t="s">
        <v>1106</v>
      </c>
      <c r="F2661" s="286" t="s">
        <v>2137</v>
      </c>
      <c r="G2661" s="286" t="s">
        <v>1856</v>
      </c>
      <c r="H2661" s="286" t="s">
        <v>1856</v>
      </c>
      <c r="I2661" s="286" t="s">
        <v>1199</v>
      </c>
      <c r="J2661" s="286" t="s">
        <v>1312</v>
      </c>
      <c r="K2661" s="286" t="s">
        <v>2068</v>
      </c>
      <c r="L2661" s="286" t="s">
        <v>53</v>
      </c>
      <c r="M2661" s="286">
        <v>1</v>
      </c>
      <c r="N2661" s="287">
        <v>-2265.2199999999998</v>
      </c>
      <c r="O2661" s="294">
        <f t="shared" si="41"/>
        <v>45504</v>
      </c>
      <c r="P2661" s="286" t="s">
        <v>58</v>
      </c>
    </row>
    <row r="2662" spans="1:16" hidden="1" x14ac:dyDescent="0.15">
      <c r="A2662" s="286">
        <v>438112</v>
      </c>
      <c r="B2662" s="288">
        <v>45293.53402777778</v>
      </c>
      <c r="C2662" s="286" t="s">
        <v>2125</v>
      </c>
      <c r="D2662" s="286" t="s">
        <v>1105</v>
      </c>
      <c r="E2662" s="286" t="s">
        <v>1106</v>
      </c>
      <c r="F2662" s="286" t="s">
        <v>2152</v>
      </c>
      <c r="G2662" s="286" t="s">
        <v>1021</v>
      </c>
      <c r="H2662" s="286" t="s">
        <v>1021</v>
      </c>
      <c r="I2662" s="286" t="s">
        <v>1199</v>
      </c>
      <c r="J2662" s="286" t="s">
        <v>1312</v>
      </c>
      <c r="K2662" s="286" t="s">
        <v>2068</v>
      </c>
      <c r="L2662" s="286" t="s">
        <v>53</v>
      </c>
      <c r="M2662" s="286">
        <v>1</v>
      </c>
      <c r="N2662" s="287">
        <v>-2342.41</v>
      </c>
      <c r="O2662" s="294">
        <f t="shared" si="41"/>
        <v>45322</v>
      </c>
      <c r="P2662" s="286" t="s">
        <v>58</v>
      </c>
    </row>
    <row r="2663" spans="1:16" hidden="1" x14ac:dyDescent="0.15">
      <c r="A2663" s="286">
        <v>472168</v>
      </c>
      <c r="B2663" s="288">
        <v>45331.416666666664</v>
      </c>
      <c r="C2663" s="286" t="s">
        <v>2113</v>
      </c>
      <c r="D2663" s="286" t="s">
        <v>1105</v>
      </c>
      <c r="E2663" s="286" t="s">
        <v>1106</v>
      </c>
      <c r="F2663" s="286" t="s">
        <v>2153</v>
      </c>
      <c r="G2663" s="286" t="s">
        <v>1021</v>
      </c>
      <c r="H2663" s="286" t="s">
        <v>1021</v>
      </c>
      <c r="I2663" s="286" t="s">
        <v>1199</v>
      </c>
      <c r="J2663" s="286" t="s">
        <v>1312</v>
      </c>
      <c r="K2663" s="286" t="s">
        <v>2068</v>
      </c>
      <c r="L2663" s="286" t="s">
        <v>53</v>
      </c>
      <c r="M2663" s="286">
        <v>1</v>
      </c>
      <c r="N2663" s="287">
        <v>-2342.41</v>
      </c>
      <c r="O2663" s="294">
        <f t="shared" si="41"/>
        <v>45351</v>
      </c>
      <c r="P2663" s="286" t="s">
        <v>58</v>
      </c>
    </row>
    <row r="2664" spans="1:16" hidden="1" x14ac:dyDescent="0.15">
      <c r="A2664" s="286">
        <v>504817</v>
      </c>
      <c r="B2664" s="288">
        <v>45359.645138888889</v>
      </c>
      <c r="C2664" s="286" t="s">
        <v>2109</v>
      </c>
      <c r="D2664" s="286" t="s">
        <v>1105</v>
      </c>
      <c r="E2664" s="286" t="s">
        <v>1106</v>
      </c>
      <c r="F2664" s="286" t="s">
        <v>2154</v>
      </c>
      <c r="G2664" s="286" t="s">
        <v>1021</v>
      </c>
      <c r="H2664" s="286" t="s">
        <v>1021</v>
      </c>
      <c r="I2664" s="286" t="s">
        <v>1199</v>
      </c>
      <c r="J2664" s="286" t="s">
        <v>1312</v>
      </c>
      <c r="K2664" s="286" t="s">
        <v>2068</v>
      </c>
      <c r="L2664" s="286" t="s">
        <v>53</v>
      </c>
      <c r="M2664" s="286">
        <v>1</v>
      </c>
      <c r="N2664" s="287">
        <v>-2342.41</v>
      </c>
      <c r="O2664" s="294">
        <f t="shared" si="41"/>
        <v>45382</v>
      </c>
      <c r="P2664" s="286" t="s">
        <v>58</v>
      </c>
    </row>
    <row r="2665" spans="1:16" hidden="1" x14ac:dyDescent="0.15">
      <c r="A2665" s="286">
        <v>534207</v>
      </c>
      <c r="B2665" s="288">
        <v>45385.750694444447</v>
      </c>
      <c r="C2665" s="286" t="s">
        <v>2096</v>
      </c>
      <c r="D2665" s="286" t="s">
        <v>1105</v>
      </c>
      <c r="E2665" s="286" t="s">
        <v>1106</v>
      </c>
      <c r="F2665" s="286" t="s">
        <v>2155</v>
      </c>
      <c r="G2665" s="286" t="s">
        <v>1021</v>
      </c>
      <c r="H2665" s="286" t="s">
        <v>1021</v>
      </c>
      <c r="I2665" s="286" t="s">
        <v>1199</v>
      </c>
      <c r="J2665" s="286" t="s">
        <v>1312</v>
      </c>
      <c r="K2665" s="286" t="s">
        <v>2068</v>
      </c>
      <c r="L2665" s="286" t="s">
        <v>53</v>
      </c>
      <c r="M2665" s="286">
        <v>1</v>
      </c>
      <c r="N2665" s="287">
        <v>-2342.41</v>
      </c>
      <c r="O2665" s="294">
        <f t="shared" si="41"/>
        <v>45412</v>
      </c>
      <c r="P2665" s="286" t="s">
        <v>58</v>
      </c>
    </row>
    <row r="2666" spans="1:16" hidden="1" x14ac:dyDescent="0.15">
      <c r="A2666" s="286">
        <v>614216</v>
      </c>
      <c r="B2666" s="288">
        <v>45455.716666666667</v>
      </c>
      <c r="C2666" s="286" t="s">
        <v>2116</v>
      </c>
      <c r="D2666" s="286" t="s">
        <v>1105</v>
      </c>
      <c r="E2666" s="286" t="s">
        <v>1106</v>
      </c>
      <c r="F2666" s="286" t="s">
        <v>2156</v>
      </c>
      <c r="G2666" s="286" t="s">
        <v>1021</v>
      </c>
      <c r="H2666" s="286" t="s">
        <v>1021</v>
      </c>
      <c r="I2666" s="286" t="s">
        <v>1199</v>
      </c>
      <c r="J2666" s="286" t="s">
        <v>1312</v>
      </c>
      <c r="K2666" s="286" t="s">
        <v>2068</v>
      </c>
      <c r="L2666" s="286" t="s">
        <v>53</v>
      </c>
      <c r="M2666" s="286">
        <v>1</v>
      </c>
      <c r="N2666" s="287">
        <v>-2342.41</v>
      </c>
      <c r="O2666" s="294">
        <f t="shared" si="41"/>
        <v>45473</v>
      </c>
      <c r="P2666" s="286" t="s">
        <v>58</v>
      </c>
    </row>
    <row r="2667" spans="1:16" hidden="1" x14ac:dyDescent="0.15">
      <c r="A2667" s="286">
        <v>608480</v>
      </c>
      <c r="B2667" s="288">
        <v>45450.422222222223</v>
      </c>
      <c r="C2667" s="286" t="s">
        <v>2092</v>
      </c>
      <c r="D2667" s="286" t="s">
        <v>1105</v>
      </c>
      <c r="E2667" s="286" t="s">
        <v>1106</v>
      </c>
      <c r="F2667" s="286" t="s">
        <v>2157</v>
      </c>
      <c r="G2667" s="286" t="s">
        <v>1021</v>
      </c>
      <c r="H2667" s="286" t="s">
        <v>1021</v>
      </c>
      <c r="I2667" s="286" t="s">
        <v>1199</v>
      </c>
      <c r="J2667" s="286" t="s">
        <v>1312</v>
      </c>
      <c r="K2667" s="286" t="s">
        <v>2068</v>
      </c>
      <c r="L2667" s="286" t="s">
        <v>53</v>
      </c>
      <c r="M2667" s="286">
        <v>1</v>
      </c>
      <c r="N2667" s="287">
        <v>-2342.41</v>
      </c>
      <c r="O2667" s="294">
        <f t="shared" si="41"/>
        <v>45473</v>
      </c>
      <c r="P2667" s="286" t="s">
        <v>58</v>
      </c>
    </row>
    <row r="2668" spans="1:16" hidden="1" x14ac:dyDescent="0.15">
      <c r="A2668" s="286">
        <v>646075</v>
      </c>
      <c r="B2668" s="288">
        <v>45474.519444444442</v>
      </c>
      <c r="C2668" s="286" t="s">
        <v>2111</v>
      </c>
      <c r="D2668" s="286" t="s">
        <v>1105</v>
      </c>
      <c r="E2668" s="286" t="s">
        <v>1106</v>
      </c>
      <c r="F2668" s="286" t="s">
        <v>2137</v>
      </c>
      <c r="G2668" s="286" t="s">
        <v>1021</v>
      </c>
      <c r="H2668" s="286" t="s">
        <v>1021</v>
      </c>
      <c r="I2668" s="286" t="s">
        <v>1199</v>
      </c>
      <c r="J2668" s="286" t="s">
        <v>1312</v>
      </c>
      <c r="K2668" s="286" t="s">
        <v>2068</v>
      </c>
      <c r="L2668" s="286" t="s">
        <v>53</v>
      </c>
      <c r="M2668" s="286">
        <v>1</v>
      </c>
      <c r="N2668" s="287">
        <v>-2342.41</v>
      </c>
      <c r="O2668" s="294">
        <f t="shared" si="41"/>
        <v>45504</v>
      </c>
      <c r="P2668" s="286" t="s">
        <v>58</v>
      </c>
    </row>
    <row r="2669" spans="1:16" hidden="1" x14ac:dyDescent="0.15">
      <c r="A2669" s="286">
        <v>697810</v>
      </c>
      <c r="B2669" s="288">
        <v>45510.366666666669</v>
      </c>
      <c r="C2669" s="286" t="s">
        <v>2102</v>
      </c>
      <c r="D2669" s="286" t="s">
        <v>1105</v>
      </c>
      <c r="E2669" s="286" t="s">
        <v>1106</v>
      </c>
      <c r="F2669" s="286" t="s">
        <v>2138</v>
      </c>
      <c r="G2669" s="286" t="s">
        <v>1021</v>
      </c>
      <c r="H2669" s="286" t="s">
        <v>1021</v>
      </c>
      <c r="I2669" s="286" t="s">
        <v>1199</v>
      </c>
      <c r="J2669" s="286" t="s">
        <v>1312</v>
      </c>
      <c r="K2669" s="286" t="s">
        <v>2068</v>
      </c>
      <c r="L2669" s="286" t="s">
        <v>53</v>
      </c>
      <c r="M2669" s="286">
        <v>1</v>
      </c>
      <c r="N2669" s="287">
        <v>-2342.41</v>
      </c>
      <c r="O2669" s="294">
        <f t="shared" si="41"/>
        <v>45535</v>
      </c>
      <c r="P2669" s="286" t="s">
        <v>58</v>
      </c>
    </row>
    <row r="2670" spans="1:16" hidden="1" x14ac:dyDescent="0.15">
      <c r="A2670" s="286">
        <v>646075</v>
      </c>
      <c r="B2670" s="288">
        <v>45474.519444444442</v>
      </c>
      <c r="C2670" s="286" t="s">
        <v>2111</v>
      </c>
      <c r="D2670" s="286" t="s">
        <v>1105</v>
      </c>
      <c r="E2670" s="286" t="s">
        <v>1106</v>
      </c>
      <c r="F2670" s="286" t="s">
        <v>2137</v>
      </c>
      <c r="G2670" s="286" t="s">
        <v>1058</v>
      </c>
      <c r="H2670" s="286" t="s">
        <v>1058</v>
      </c>
      <c r="I2670" s="286" t="s">
        <v>1228</v>
      </c>
      <c r="J2670" s="286" t="s">
        <v>1312</v>
      </c>
      <c r="K2670" s="286" t="s">
        <v>2076</v>
      </c>
      <c r="L2670" s="286" t="s">
        <v>53</v>
      </c>
      <c r="M2670" s="286">
        <v>-1</v>
      </c>
      <c r="N2670" s="287">
        <v>-2348.59</v>
      </c>
      <c r="O2670" s="294">
        <f t="shared" si="41"/>
        <v>45504</v>
      </c>
      <c r="P2670" s="286" t="s">
        <v>58</v>
      </c>
    </row>
    <row r="2671" spans="1:16" hidden="1" x14ac:dyDescent="0.15">
      <c r="A2671" s="286">
        <v>697810</v>
      </c>
      <c r="B2671" s="288">
        <v>45510.366666666669</v>
      </c>
      <c r="C2671" s="286" t="s">
        <v>2102</v>
      </c>
      <c r="D2671" s="286" t="s">
        <v>1105</v>
      </c>
      <c r="E2671" s="286" t="s">
        <v>1106</v>
      </c>
      <c r="F2671" s="286" t="s">
        <v>2138</v>
      </c>
      <c r="G2671" s="286" t="s">
        <v>1058</v>
      </c>
      <c r="H2671" s="286" t="s">
        <v>1058</v>
      </c>
      <c r="I2671" s="286" t="s">
        <v>1228</v>
      </c>
      <c r="J2671" s="286" t="s">
        <v>1312</v>
      </c>
      <c r="K2671" s="286" t="s">
        <v>2076</v>
      </c>
      <c r="L2671" s="286" t="s">
        <v>53</v>
      </c>
      <c r="M2671" s="286">
        <v>-1</v>
      </c>
      <c r="N2671" s="287">
        <v>-2348.59</v>
      </c>
      <c r="O2671" s="294">
        <f t="shared" si="41"/>
        <v>45535</v>
      </c>
      <c r="P2671" s="286" t="s">
        <v>58</v>
      </c>
    </row>
    <row r="2672" spans="1:16" hidden="1" x14ac:dyDescent="0.15">
      <c r="A2672" s="286">
        <v>745911</v>
      </c>
      <c r="B2672" s="288">
        <v>45538.44027777778</v>
      </c>
      <c r="C2672" s="286" t="s">
        <v>2132</v>
      </c>
      <c r="D2672" s="286" t="s">
        <v>1105</v>
      </c>
      <c r="E2672" s="286" t="s">
        <v>1106</v>
      </c>
      <c r="F2672" s="286" t="s">
        <v>2139</v>
      </c>
      <c r="G2672" s="286" t="s">
        <v>1058</v>
      </c>
      <c r="H2672" s="286" t="s">
        <v>1058</v>
      </c>
      <c r="I2672" s="286" t="s">
        <v>1228</v>
      </c>
      <c r="J2672" s="286" t="s">
        <v>1312</v>
      </c>
      <c r="K2672" s="286" t="s">
        <v>2076</v>
      </c>
      <c r="L2672" s="286" t="s">
        <v>53</v>
      </c>
      <c r="M2672" s="286">
        <v>-1</v>
      </c>
      <c r="N2672" s="287">
        <v>-2348.59</v>
      </c>
      <c r="O2672" s="294">
        <f t="shared" si="41"/>
        <v>45565</v>
      </c>
      <c r="P2672" s="286" t="s">
        <v>58</v>
      </c>
    </row>
    <row r="2673" spans="1:16" hidden="1" x14ac:dyDescent="0.15">
      <c r="A2673" s="286">
        <v>848817</v>
      </c>
      <c r="B2673" s="288">
        <v>45607.65902777778</v>
      </c>
      <c r="C2673" s="286" t="s">
        <v>2130</v>
      </c>
      <c r="D2673" s="286" t="s">
        <v>1105</v>
      </c>
      <c r="E2673" s="286" t="s">
        <v>1106</v>
      </c>
      <c r="F2673" s="286" t="s">
        <v>2140</v>
      </c>
      <c r="G2673" s="286" t="s">
        <v>1058</v>
      </c>
      <c r="H2673" s="286" t="s">
        <v>1058</v>
      </c>
      <c r="I2673" s="286" t="s">
        <v>1228</v>
      </c>
      <c r="J2673" s="286" t="s">
        <v>1312</v>
      </c>
      <c r="K2673" s="286" t="s">
        <v>2076</v>
      </c>
      <c r="L2673" s="286" t="s">
        <v>53</v>
      </c>
      <c r="M2673" s="286">
        <v>-1</v>
      </c>
      <c r="N2673" s="287">
        <v>-2348.59</v>
      </c>
      <c r="O2673" s="294">
        <f t="shared" si="41"/>
        <v>45626</v>
      </c>
      <c r="P2673" s="286" t="s">
        <v>58</v>
      </c>
    </row>
    <row r="2674" spans="1:16" hidden="1" x14ac:dyDescent="0.15">
      <c r="A2674" s="286">
        <v>848917</v>
      </c>
      <c r="B2674" s="288">
        <v>45607.660416666666</v>
      </c>
      <c r="C2674" s="286" t="s">
        <v>2100</v>
      </c>
      <c r="D2674" s="286" t="s">
        <v>1105</v>
      </c>
      <c r="E2674" s="286" t="s">
        <v>1106</v>
      </c>
      <c r="F2674" s="286" t="s">
        <v>2141</v>
      </c>
      <c r="G2674" s="286" t="s">
        <v>1058</v>
      </c>
      <c r="H2674" s="286" t="s">
        <v>1058</v>
      </c>
      <c r="I2674" s="286" t="s">
        <v>1228</v>
      </c>
      <c r="J2674" s="286" t="s">
        <v>1312</v>
      </c>
      <c r="K2674" s="286" t="s">
        <v>2076</v>
      </c>
      <c r="L2674" s="286" t="s">
        <v>53</v>
      </c>
      <c r="M2674" s="286">
        <v>-1</v>
      </c>
      <c r="N2674" s="287">
        <v>-2348.59</v>
      </c>
      <c r="O2674" s="294">
        <f t="shared" si="41"/>
        <v>45626</v>
      </c>
      <c r="P2674" s="286" t="s">
        <v>58</v>
      </c>
    </row>
    <row r="2675" spans="1:16" hidden="1" x14ac:dyDescent="0.15">
      <c r="A2675" s="286">
        <v>874698</v>
      </c>
      <c r="B2675" s="288">
        <v>45628.357638888891</v>
      </c>
      <c r="C2675" s="286" t="s">
        <v>2098</v>
      </c>
      <c r="D2675" s="286" t="s">
        <v>1105</v>
      </c>
      <c r="E2675" s="286" t="s">
        <v>1106</v>
      </c>
      <c r="F2675" s="286" t="s">
        <v>2142</v>
      </c>
      <c r="G2675" s="286" t="s">
        <v>1058</v>
      </c>
      <c r="H2675" s="286" t="s">
        <v>1058</v>
      </c>
      <c r="I2675" s="286" t="s">
        <v>1228</v>
      </c>
      <c r="J2675" s="286" t="s">
        <v>1312</v>
      </c>
      <c r="K2675" s="286" t="s">
        <v>2076</v>
      </c>
      <c r="L2675" s="286" t="s">
        <v>53</v>
      </c>
      <c r="M2675" s="286">
        <v>-1</v>
      </c>
      <c r="N2675" s="287">
        <v>-2348.59</v>
      </c>
      <c r="O2675" s="294">
        <f t="shared" si="41"/>
        <v>45657</v>
      </c>
      <c r="P2675" s="286" t="s">
        <v>58</v>
      </c>
    </row>
    <row r="2676" spans="1:16" hidden="1" x14ac:dyDescent="0.15">
      <c r="A2676" s="286">
        <v>744088</v>
      </c>
      <c r="B2676" s="288">
        <v>45533.661111111112</v>
      </c>
      <c r="C2676" s="286" t="s">
        <v>2102</v>
      </c>
      <c r="D2676" s="286" t="s">
        <v>1105</v>
      </c>
      <c r="E2676" s="286" t="s">
        <v>1106</v>
      </c>
      <c r="F2676" s="286" t="s">
        <v>2170</v>
      </c>
      <c r="G2676" s="286" t="s">
        <v>1029</v>
      </c>
      <c r="H2676" s="286" t="s">
        <v>1029</v>
      </c>
      <c r="I2676" s="286" t="s">
        <v>1112</v>
      </c>
      <c r="J2676" s="286" t="s">
        <v>1312</v>
      </c>
      <c r="K2676" s="286" t="s">
        <v>2079</v>
      </c>
      <c r="L2676" s="286" t="s">
        <v>53</v>
      </c>
      <c r="M2676" s="286">
        <v>1</v>
      </c>
      <c r="N2676" s="287">
        <v>-2361</v>
      </c>
      <c r="O2676" s="294">
        <f t="shared" si="41"/>
        <v>45535</v>
      </c>
      <c r="P2676" s="286" t="s">
        <v>175</v>
      </c>
    </row>
    <row r="2677" spans="1:16" hidden="1" x14ac:dyDescent="0.15">
      <c r="A2677" s="286">
        <v>614316</v>
      </c>
      <c r="B2677" s="288">
        <v>45455.717361111114</v>
      </c>
      <c r="C2677" s="286" t="s">
        <v>2092</v>
      </c>
      <c r="D2677" s="286" t="s">
        <v>1105</v>
      </c>
      <c r="E2677" s="286" t="s">
        <v>1106</v>
      </c>
      <c r="F2677" s="286" t="s">
        <v>2167</v>
      </c>
      <c r="G2677" s="286" t="s">
        <v>1063</v>
      </c>
      <c r="H2677" s="286" t="s">
        <v>1063</v>
      </c>
      <c r="I2677" s="286" t="s">
        <v>1228</v>
      </c>
      <c r="J2677" s="286" t="s">
        <v>1312</v>
      </c>
      <c r="K2677" s="286" t="s">
        <v>2076</v>
      </c>
      <c r="L2677" s="286" t="s">
        <v>53</v>
      </c>
      <c r="M2677" s="286">
        <v>1</v>
      </c>
      <c r="N2677" s="287">
        <v>-2395.0700000000002</v>
      </c>
      <c r="O2677" s="294">
        <f t="shared" si="41"/>
        <v>45473</v>
      </c>
      <c r="P2677" s="286" t="s">
        <v>58</v>
      </c>
    </row>
    <row r="2678" spans="1:16" hidden="1" x14ac:dyDescent="0.15">
      <c r="A2678" s="286">
        <v>646075</v>
      </c>
      <c r="B2678" s="288">
        <v>45474.519444444442</v>
      </c>
      <c r="C2678" s="286" t="s">
        <v>2111</v>
      </c>
      <c r="D2678" s="286" t="s">
        <v>1105</v>
      </c>
      <c r="E2678" s="286" t="s">
        <v>1106</v>
      </c>
      <c r="F2678" s="286" t="s">
        <v>2137</v>
      </c>
      <c r="G2678" s="286" t="s">
        <v>1063</v>
      </c>
      <c r="H2678" s="286" t="s">
        <v>1063</v>
      </c>
      <c r="I2678" s="286" t="s">
        <v>1228</v>
      </c>
      <c r="J2678" s="286" t="s">
        <v>1312</v>
      </c>
      <c r="K2678" s="286" t="s">
        <v>2076</v>
      </c>
      <c r="L2678" s="286" t="s">
        <v>53</v>
      </c>
      <c r="M2678" s="286">
        <v>1</v>
      </c>
      <c r="N2678" s="287">
        <v>-2395.0700000000002</v>
      </c>
      <c r="O2678" s="294">
        <f t="shared" si="41"/>
        <v>45504</v>
      </c>
      <c r="P2678" s="286" t="s">
        <v>58</v>
      </c>
    </row>
    <row r="2679" spans="1:16" hidden="1" x14ac:dyDescent="0.15">
      <c r="A2679" s="286">
        <v>697810</v>
      </c>
      <c r="B2679" s="288">
        <v>45510.366666666669</v>
      </c>
      <c r="C2679" s="286" t="s">
        <v>2102</v>
      </c>
      <c r="D2679" s="286" t="s">
        <v>1105</v>
      </c>
      <c r="E2679" s="286" t="s">
        <v>1106</v>
      </c>
      <c r="F2679" s="286" t="s">
        <v>2138</v>
      </c>
      <c r="G2679" s="286" t="s">
        <v>1063</v>
      </c>
      <c r="H2679" s="286" t="s">
        <v>1063</v>
      </c>
      <c r="I2679" s="286" t="s">
        <v>1228</v>
      </c>
      <c r="J2679" s="286" t="s">
        <v>1312</v>
      </c>
      <c r="K2679" s="286" t="s">
        <v>2076</v>
      </c>
      <c r="L2679" s="286" t="s">
        <v>53</v>
      </c>
      <c r="M2679" s="286">
        <v>1</v>
      </c>
      <c r="N2679" s="287">
        <v>-2395.0700000000002</v>
      </c>
      <c r="O2679" s="294">
        <f t="shared" si="41"/>
        <v>45535</v>
      </c>
      <c r="P2679" s="286" t="s">
        <v>58</v>
      </c>
    </row>
    <row r="2680" spans="1:16" hidden="1" x14ac:dyDescent="0.15">
      <c r="A2680" s="286">
        <v>745911</v>
      </c>
      <c r="B2680" s="288">
        <v>45538.44027777778</v>
      </c>
      <c r="C2680" s="286" t="s">
        <v>2132</v>
      </c>
      <c r="D2680" s="286" t="s">
        <v>1105</v>
      </c>
      <c r="E2680" s="286" t="s">
        <v>1106</v>
      </c>
      <c r="F2680" s="286" t="s">
        <v>2139</v>
      </c>
      <c r="G2680" s="286" t="s">
        <v>1063</v>
      </c>
      <c r="H2680" s="286" t="s">
        <v>1063</v>
      </c>
      <c r="I2680" s="286" t="s">
        <v>1228</v>
      </c>
      <c r="J2680" s="286" t="s">
        <v>1312</v>
      </c>
      <c r="K2680" s="286" t="s">
        <v>2076</v>
      </c>
      <c r="L2680" s="286" t="s">
        <v>53</v>
      </c>
      <c r="M2680" s="286">
        <v>1</v>
      </c>
      <c r="N2680" s="287">
        <v>-2395.0700000000002</v>
      </c>
      <c r="O2680" s="294">
        <f t="shared" si="41"/>
        <v>45565</v>
      </c>
      <c r="P2680" s="286" t="s">
        <v>58</v>
      </c>
    </row>
    <row r="2681" spans="1:16" hidden="1" x14ac:dyDescent="0.15">
      <c r="A2681" s="286">
        <v>848817</v>
      </c>
      <c r="B2681" s="288">
        <v>45607.65902777778</v>
      </c>
      <c r="C2681" s="286" t="s">
        <v>2130</v>
      </c>
      <c r="D2681" s="286" t="s">
        <v>1105</v>
      </c>
      <c r="E2681" s="286" t="s">
        <v>1106</v>
      </c>
      <c r="F2681" s="286" t="s">
        <v>2140</v>
      </c>
      <c r="G2681" s="286" t="s">
        <v>1063</v>
      </c>
      <c r="H2681" s="286" t="s">
        <v>1063</v>
      </c>
      <c r="I2681" s="286" t="s">
        <v>1228</v>
      </c>
      <c r="J2681" s="286" t="s">
        <v>1312</v>
      </c>
      <c r="K2681" s="286" t="s">
        <v>2076</v>
      </c>
      <c r="L2681" s="286" t="s">
        <v>53</v>
      </c>
      <c r="M2681" s="286">
        <v>1</v>
      </c>
      <c r="N2681" s="287">
        <v>-2395.0700000000002</v>
      </c>
      <c r="O2681" s="294">
        <f t="shared" si="41"/>
        <v>45626</v>
      </c>
      <c r="P2681" s="286" t="s">
        <v>58</v>
      </c>
    </row>
    <row r="2682" spans="1:16" hidden="1" x14ac:dyDescent="0.15">
      <c r="A2682" s="286">
        <v>848917</v>
      </c>
      <c r="B2682" s="288">
        <v>45607.660416666666</v>
      </c>
      <c r="C2682" s="286" t="s">
        <v>2100</v>
      </c>
      <c r="D2682" s="286" t="s">
        <v>1105</v>
      </c>
      <c r="E2682" s="286" t="s">
        <v>1106</v>
      </c>
      <c r="F2682" s="286" t="s">
        <v>2141</v>
      </c>
      <c r="G2682" s="286" t="s">
        <v>1063</v>
      </c>
      <c r="H2682" s="286" t="s">
        <v>1063</v>
      </c>
      <c r="I2682" s="286" t="s">
        <v>1228</v>
      </c>
      <c r="J2682" s="286" t="s">
        <v>1312</v>
      </c>
      <c r="K2682" s="286" t="s">
        <v>2076</v>
      </c>
      <c r="L2682" s="286" t="s">
        <v>53</v>
      </c>
      <c r="M2682" s="286">
        <v>1</v>
      </c>
      <c r="N2682" s="287">
        <v>-2395.0700000000002</v>
      </c>
      <c r="O2682" s="294">
        <f t="shared" si="41"/>
        <v>45626</v>
      </c>
      <c r="P2682" s="286" t="s">
        <v>58</v>
      </c>
    </row>
    <row r="2683" spans="1:16" hidden="1" x14ac:dyDescent="0.15">
      <c r="A2683" s="286">
        <v>874698</v>
      </c>
      <c r="B2683" s="288">
        <v>45628.357638888891</v>
      </c>
      <c r="C2683" s="286" t="s">
        <v>2098</v>
      </c>
      <c r="D2683" s="286" t="s">
        <v>1105</v>
      </c>
      <c r="E2683" s="286" t="s">
        <v>1106</v>
      </c>
      <c r="F2683" s="286" t="s">
        <v>2142</v>
      </c>
      <c r="G2683" s="286" t="s">
        <v>1063</v>
      </c>
      <c r="H2683" s="286" t="s">
        <v>1063</v>
      </c>
      <c r="I2683" s="286" t="s">
        <v>1228</v>
      </c>
      <c r="J2683" s="286" t="s">
        <v>1312</v>
      </c>
      <c r="K2683" s="286" t="s">
        <v>2076</v>
      </c>
      <c r="L2683" s="286" t="s">
        <v>53</v>
      </c>
      <c r="M2683" s="286">
        <v>1</v>
      </c>
      <c r="N2683" s="287">
        <v>-2395.0700000000002</v>
      </c>
      <c r="O2683" s="294">
        <f t="shared" si="41"/>
        <v>45657</v>
      </c>
      <c r="P2683" s="286" t="s">
        <v>58</v>
      </c>
    </row>
    <row r="2684" spans="1:16" hidden="1" x14ac:dyDescent="0.15">
      <c r="A2684" s="286">
        <v>697810</v>
      </c>
      <c r="B2684" s="288">
        <v>45510.366666666669</v>
      </c>
      <c r="C2684" s="286" t="s">
        <v>2102</v>
      </c>
      <c r="D2684" s="286" t="s">
        <v>1105</v>
      </c>
      <c r="E2684" s="286" t="s">
        <v>1106</v>
      </c>
      <c r="F2684" s="286" t="s">
        <v>2138</v>
      </c>
      <c r="G2684" s="286" t="s">
        <v>1841</v>
      </c>
      <c r="H2684" s="286" t="s">
        <v>1841</v>
      </c>
      <c r="I2684" s="286" t="s">
        <v>1228</v>
      </c>
      <c r="J2684" s="286" t="s">
        <v>1312</v>
      </c>
      <c r="K2684" s="286" t="s">
        <v>2076</v>
      </c>
      <c r="L2684" s="286" t="s">
        <v>53</v>
      </c>
      <c r="M2684" s="286">
        <v>1</v>
      </c>
      <c r="N2684" s="287">
        <v>-2418.9699999999998</v>
      </c>
      <c r="O2684" s="294">
        <f t="shared" si="41"/>
        <v>45535</v>
      </c>
      <c r="P2684" s="286" t="s">
        <v>58</v>
      </c>
    </row>
    <row r="2685" spans="1:16" hidden="1" x14ac:dyDescent="0.15">
      <c r="A2685" s="286">
        <v>618175</v>
      </c>
      <c r="B2685" s="288">
        <v>45457.602083333331</v>
      </c>
      <c r="C2685" s="286" t="s">
        <v>2116</v>
      </c>
      <c r="D2685" s="286" t="s">
        <v>1105</v>
      </c>
      <c r="E2685" s="286" t="s">
        <v>1106</v>
      </c>
      <c r="F2685" s="286" t="s">
        <v>2158</v>
      </c>
      <c r="G2685" s="286" t="s">
        <v>1090</v>
      </c>
      <c r="H2685" s="286" t="s">
        <v>1090</v>
      </c>
      <c r="I2685" s="286" t="s">
        <v>1228</v>
      </c>
      <c r="J2685" s="286" t="s">
        <v>1312</v>
      </c>
      <c r="K2685" s="286" t="s">
        <v>53</v>
      </c>
      <c r="L2685" s="286" t="s">
        <v>53</v>
      </c>
      <c r="M2685" s="286" t="s">
        <v>53</v>
      </c>
      <c r="N2685" s="287">
        <v>-2503.33</v>
      </c>
      <c r="O2685" s="294">
        <f t="shared" si="41"/>
        <v>45473</v>
      </c>
      <c r="P2685" s="286" t="s">
        <v>58</v>
      </c>
    </row>
    <row r="2686" spans="1:16" hidden="1" x14ac:dyDescent="0.15">
      <c r="A2686" s="286">
        <v>472168</v>
      </c>
      <c r="B2686" s="288">
        <v>45331.416666666664</v>
      </c>
      <c r="C2686" s="286" t="s">
        <v>2113</v>
      </c>
      <c r="D2686" s="286" t="s">
        <v>1105</v>
      </c>
      <c r="E2686" s="286" t="s">
        <v>1106</v>
      </c>
      <c r="F2686" s="286" t="s">
        <v>2153</v>
      </c>
      <c r="G2686" s="286" t="s">
        <v>1089</v>
      </c>
      <c r="H2686" s="286" t="s">
        <v>1089</v>
      </c>
      <c r="I2686" s="286" t="s">
        <v>1199</v>
      </c>
      <c r="J2686" s="286" t="s">
        <v>1312</v>
      </c>
      <c r="K2686" s="286" t="s">
        <v>2076</v>
      </c>
      <c r="L2686" s="286" t="s">
        <v>53</v>
      </c>
      <c r="M2686" s="286">
        <v>1</v>
      </c>
      <c r="N2686" s="287">
        <v>-2517.31</v>
      </c>
      <c r="O2686" s="294">
        <f t="shared" si="41"/>
        <v>45351</v>
      </c>
      <c r="P2686" s="286" t="s">
        <v>58</v>
      </c>
    </row>
    <row r="2687" spans="1:16" hidden="1" x14ac:dyDescent="0.15">
      <c r="A2687" s="286">
        <v>848917</v>
      </c>
      <c r="B2687" s="288">
        <v>45607.660416666666</v>
      </c>
      <c r="C2687" s="286" t="s">
        <v>2100</v>
      </c>
      <c r="D2687" s="286" t="s">
        <v>1105</v>
      </c>
      <c r="E2687" s="286" t="s">
        <v>1106</v>
      </c>
      <c r="F2687" s="286" t="s">
        <v>2141</v>
      </c>
      <c r="G2687" s="286" t="s">
        <v>1036</v>
      </c>
      <c r="H2687" s="286" t="s">
        <v>1036</v>
      </c>
      <c r="I2687" s="286" t="s">
        <v>1199</v>
      </c>
      <c r="J2687" s="286" t="s">
        <v>1312</v>
      </c>
      <c r="K2687" s="286" t="s">
        <v>2068</v>
      </c>
      <c r="L2687" s="286" t="s">
        <v>53</v>
      </c>
      <c r="M2687" s="286">
        <v>1</v>
      </c>
      <c r="N2687" s="287">
        <v>-2526.4699999999998</v>
      </c>
      <c r="O2687" s="294">
        <f t="shared" si="41"/>
        <v>45626</v>
      </c>
      <c r="P2687" s="286" t="s">
        <v>58</v>
      </c>
    </row>
    <row r="2688" spans="1:16" hidden="1" x14ac:dyDescent="0.15">
      <c r="A2688" s="286">
        <v>438112</v>
      </c>
      <c r="B2688" s="288">
        <v>45293.53402777778</v>
      </c>
      <c r="C2688" s="286" t="s">
        <v>2125</v>
      </c>
      <c r="D2688" s="286" t="s">
        <v>1105</v>
      </c>
      <c r="E2688" s="286" t="s">
        <v>1106</v>
      </c>
      <c r="F2688" s="286" t="s">
        <v>2152</v>
      </c>
      <c r="G2688" s="286" t="s">
        <v>1036</v>
      </c>
      <c r="H2688" s="286" t="s">
        <v>1036</v>
      </c>
      <c r="I2688" s="286" t="s">
        <v>1199</v>
      </c>
      <c r="J2688" s="286" t="s">
        <v>1312</v>
      </c>
      <c r="K2688" s="286" t="s">
        <v>2068</v>
      </c>
      <c r="L2688" s="286" t="s">
        <v>53</v>
      </c>
      <c r="M2688" s="286">
        <v>1</v>
      </c>
      <c r="N2688" s="287">
        <v>-2526.48</v>
      </c>
      <c r="O2688" s="294">
        <f t="shared" si="41"/>
        <v>45322</v>
      </c>
      <c r="P2688" s="286" t="s">
        <v>58</v>
      </c>
    </row>
    <row r="2689" spans="1:16" hidden="1" x14ac:dyDescent="0.15">
      <c r="A2689" s="286">
        <v>472168</v>
      </c>
      <c r="B2689" s="288">
        <v>45331.416666666664</v>
      </c>
      <c r="C2689" s="286" t="s">
        <v>2113</v>
      </c>
      <c r="D2689" s="286" t="s">
        <v>1105</v>
      </c>
      <c r="E2689" s="286" t="s">
        <v>1106</v>
      </c>
      <c r="F2689" s="286" t="s">
        <v>2153</v>
      </c>
      <c r="G2689" s="286" t="s">
        <v>1036</v>
      </c>
      <c r="H2689" s="286" t="s">
        <v>1036</v>
      </c>
      <c r="I2689" s="286" t="s">
        <v>1199</v>
      </c>
      <c r="J2689" s="286" t="s">
        <v>1312</v>
      </c>
      <c r="K2689" s="286" t="s">
        <v>2068</v>
      </c>
      <c r="L2689" s="286" t="s">
        <v>53</v>
      </c>
      <c r="M2689" s="286">
        <v>1</v>
      </c>
      <c r="N2689" s="287">
        <v>-2526.48</v>
      </c>
      <c r="O2689" s="294">
        <f t="shared" si="41"/>
        <v>45351</v>
      </c>
      <c r="P2689" s="286" t="s">
        <v>58</v>
      </c>
    </row>
    <row r="2690" spans="1:16" hidden="1" x14ac:dyDescent="0.15">
      <c r="A2690" s="286">
        <v>504817</v>
      </c>
      <c r="B2690" s="288">
        <v>45359.645138888889</v>
      </c>
      <c r="C2690" s="286" t="s">
        <v>2109</v>
      </c>
      <c r="D2690" s="286" t="s">
        <v>1105</v>
      </c>
      <c r="E2690" s="286" t="s">
        <v>1106</v>
      </c>
      <c r="F2690" s="286" t="s">
        <v>2154</v>
      </c>
      <c r="G2690" s="286" t="s">
        <v>1036</v>
      </c>
      <c r="H2690" s="286" t="s">
        <v>1036</v>
      </c>
      <c r="I2690" s="286" t="s">
        <v>1199</v>
      </c>
      <c r="J2690" s="286" t="s">
        <v>1312</v>
      </c>
      <c r="K2690" s="286" t="s">
        <v>2068</v>
      </c>
      <c r="L2690" s="286" t="s">
        <v>53</v>
      </c>
      <c r="M2690" s="286">
        <v>1</v>
      </c>
      <c r="N2690" s="287">
        <v>-2526.48</v>
      </c>
      <c r="O2690" s="294">
        <f t="shared" si="41"/>
        <v>45382</v>
      </c>
      <c r="P2690" s="286" t="s">
        <v>58</v>
      </c>
    </row>
    <row r="2691" spans="1:16" hidden="1" x14ac:dyDescent="0.15">
      <c r="A2691" s="286">
        <v>534207</v>
      </c>
      <c r="B2691" s="288">
        <v>45385.750694444447</v>
      </c>
      <c r="C2691" s="286" t="s">
        <v>2096</v>
      </c>
      <c r="D2691" s="286" t="s">
        <v>1105</v>
      </c>
      <c r="E2691" s="286" t="s">
        <v>1106</v>
      </c>
      <c r="F2691" s="286" t="s">
        <v>2155</v>
      </c>
      <c r="G2691" s="286" t="s">
        <v>1036</v>
      </c>
      <c r="H2691" s="286" t="s">
        <v>1036</v>
      </c>
      <c r="I2691" s="286" t="s">
        <v>1199</v>
      </c>
      <c r="J2691" s="286" t="s">
        <v>1312</v>
      </c>
      <c r="K2691" s="286" t="s">
        <v>2068</v>
      </c>
      <c r="L2691" s="286" t="s">
        <v>53</v>
      </c>
      <c r="M2691" s="286">
        <v>1</v>
      </c>
      <c r="N2691" s="287">
        <v>-2526.48</v>
      </c>
      <c r="O2691" s="294">
        <f t="shared" si="41"/>
        <v>45412</v>
      </c>
      <c r="P2691" s="286" t="s">
        <v>58</v>
      </c>
    </row>
    <row r="2692" spans="1:16" hidden="1" x14ac:dyDescent="0.15">
      <c r="A2692" s="286">
        <v>614216</v>
      </c>
      <c r="B2692" s="288">
        <v>45455.716666666667</v>
      </c>
      <c r="C2692" s="286" t="s">
        <v>2116</v>
      </c>
      <c r="D2692" s="286" t="s">
        <v>1105</v>
      </c>
      <c r="E2692" s="286" t="s">
        <v>1106</v>
      </c>
      <c r="F2692" s="286" t="s">
        <v>2156</v>
      </c>
      <c r="G2692" s="286" t="s">
        <v>1036</v>
      </c>
      <c r="H2692" s="286" t="s">
        <v>1036</v>
      </c>
      <c r="I2692" s="286" t="s">
        <v>1199</v>
      </c>
      <c r="J2692" s="286" t="s">
        <v>1312</v>
      </c>
      <c r="K2692" s="286" t="s">
        <v>2068</v>
      </c>
      <c r="L2692" s="286" t="s">
        <v>53</v>
      </c>
      <c r="M2692" s="286">
        <v>1</v>
      </c>
      <c r="N2692" s="287">
        <v>-2526.48</v>
      </c>
      <c r="O2692" s="294">
        <f t="shared" ref="O2692:O2755" si="42">EOMONTH(B2692,0)</f>
        <v>45473</v>
      </c>
      <c r="P2692" s="286" t="s">
        <v>58</v>
      </c>
    </row>
    <row r="2693" spans="1:16" hidden="1" x14ac:dyDescent="0.15">
      <c r="A2693" s="286">
        <v>614316</v>
      </c>
      <c r="B2693" s="288">
        <v>45455.717361111114</v>
      </c>
      <c r="C2693" s="286" t="s">
        <v>2092</v>
      </c>
      <c r="D2693" s="286" t="s">
        <v>1105</v>
      </c>
      <c r="E2693" s="286" t="s">
        <v>1106</v>
      </c>
      <c r="F2693" s="286" t="s">
        <v>2167</v>
      </c>
      <c r="G2693" s="286" t="s">
        <v>1036</v>
      </c>
      <c r="H2693" s="286" t="s">
        <v>1036</v>
      </c>
      <c r="I2693" s="286" t="s">
        <v>1199</v>
      </c>
      <c r="J2693" s="286" t="s">
        <v>1312</v>
      </c>
      <c r="K2693" s="286" t="s">
        <v>2068</v>
      </c>
      <c r="L2693" s="286" t="s">
        <v>53</v>
      </c>
      <c r="M2693" s="286">
        <v>1</v>
      </c>
      <c r="N2693" s="287">
        <v>-2526.48</v>
      </c>
      <c r="O2693" s="294">
        <f t="shared" si="42"/>
        <v>45473</v>
      </c>
      <c r="P2693" s="286" t="s">
        <v>58</v>
      </c>
    </row>
    <row r="2694" spans="1:16" hidden="1" x14ac:dyDescent="0.15">
      <c r="A2694" s="286">
        <v>646075</v>
      </c>
      <c r="B2694" s="288">
        <v>45474.519444444442</v>
      </c>
      <c r="C2694" s="286" t="s">
        <v>2111</v>
      </c>
      <c r="D2694" s="286" t="s">
        <v>1105</v>
      </c>
      <c r="E2694" s="286" t="s">
        <v>1106</v>
      </c>
      <c r="F2694" s="286" t="s">
        <v>2137</v>
      </c>
      <c r="G2694" s="286" t="s">
        <v>1036</v>
      </c>
      <c r="H2694" s="286" t="s">
        <v>1036</v>
      </c>
      <c r="I2694" s="286" t="s">
        <v>1199</v>
      </c>
      <c r="J2694" s="286" t="s">
        <v>1312</v>
      </c>
      <c r="K2694" s="286" t="s">
        <v>2068</v>
      </c>
      <c r="L2694" s="286" t="s">
        <v>53</v>
      </c>
      <c r="M2694" s="286">
        <v>1</v>
      </c>
      <c r="N2694" s="287">
        <v>-2526.48</v>
      </c>
      <c r="O2694" s="294">
        <f t="shared" si="42"/>
        <v>45504</v>
      </c>
      <c r="P2694" s="286" t="s">
        <v>58</v>
      </c>
    </row>
    <row r="2695" spans="1:16" hidden="1" x14ac:dyDescent="0.15">
      <c r="A2695" s="286">
        <v>697810</v>
      </c>
      <c r="B2695" s="288">
        <v>45510.366666666669</v>
      </c>
      <c r="C2695" s="286" t="s">
        <v>2102</v>
      </c>
      <c r="D2695" s="286" t="s">
        <v>1105</v>
      </c>
      <c r="E2695" s="286" t="s">
        <v>1106</v>
      </c>
      <c r="F2695" s="286" t="s">
        <v>2138</v>
      </c>
      <c r="G2695" s="286" t="s">
        <v>1036</v>
      </c>
      <c r="H2695" s="286" t="s">
        <v>1036</v>
      </c>
      <c r="I2695" s="286" t="s">
        <v>1199</v>
      </c>
      <c r="J2695" s="286" t="s">
        <v>1312</v>
      </c>
      <c r="K2695" s="286" t="s">
        <v>2068</v>
      </c>
      <c r="L2695" s="286" t="s">
        <v>53</v>
      </c>
      <c r="M2695" s="286">
        <v>1</v>
      </c>
      <c r="N2695" s="287">
        <v>-2526.48</v>
      </c>
      <c r="O2695" s="294">
        <f t="shared" si="42"/>
        <v>45535</v>
      </c>
      <c r="P2695" s="286" t="s">
        <v>58</v>
      </c>
    </row>
    <row r="2696" spans="1:16" hidden="1" x14ac:dyDescent="0.15">
      <c r="A2696" s="286">
        <v>745911</v>
      </c>
      <c r="B2696" s="288">
        <v>45538.44027777778</v>
      </c>
      <c r="C2696" s="286" t="s">
        <v>2132</v>
      </c>
      <c r="D2696" s="286" t="s">
        <v>1105</v>
      </c>
      <c r="E2696" s="286" t="s">
        <v>1106</v>
      </c>
      <c r="F2696" s="286" t="s">
        <v>2139</v>
      </c>
      <c r="G2696" s="286" t="s">
        <v>1036</v>
      </c>
      <c r="H2696" s="286" t="s">
        <v>1036</v>
      </c>
      <c r="I2696" s="286" t="s">
        <v>1199</v>
      </c>
      <c r="J2696" s="286" t="s">
        <v>1312</v>
      </c>
      <c r="K2696" s="286" t="s">
        <v>2068</v>
      </c>
      <c r="L2696" s="286" t="s">
        <v>53</v>
      </c>
      <c r="M2696" s="286">
        <v>1</v>
      </c>
      <c r="N2696" s="287">
        <v>-2526.48</v>
      </c>
      <c r="O2696" s="294">
        <f t="shared" si="42"/>
        <v>45565</v>
      </c>
      <c r="P2696" s="286" t="s">
        <v>58</v>
      </c>
    </row>
    <row r="2697" spans="1:16" hidden="1" x14ac:dyDescent="0.15">
      <c r="A2697" s="286">
        <v>848817</v>
      </c>
      <c r="B2697" s="288">
        <v>45607.65902777778</v>
      </c>
      <c r="C2697" s="286" t="s">
        <v>2130</v>
      </c>
      <c r="D2697" s="286" t="s">
        <v>1105</v>
      </c>
      <c r="E2697" s="286" t="s">
        <v>1106</v>
      </c>
      <c r="F2697" s="286" t="s">
        <v>2140</v>
      </c>
      <c r="G2697" s="286" t="s">
        <v>1036</v>
      </c>
      <c r="H2697" s="286" t="s">
        <v>1036</v>
      </c>
      <c r="I2697" s="286" t="s">
        <v>1199</v>
      </c>
      <c r="J2697" s="286" t="s">
        <v>1312</v>
      </c>
      <c r="K2697" s="286" t="s">
        <v>2068</v>
      </c>
      <c r="L2697" s="286" t="s">
        <v>53</v>
      </c>
      <c r="M2697" s="286">
        <v>1</v>
      </c>
      <c r="N2697" s="287">
        <v>-2526.48</v>
      </c>
      <c r="O2697" s="294">
        <f t="shared" si="42"/>
        <v>45626</v>
      </c>
      <c r="P2697" s="286" t="s">
        <v>58</v>
      </c>
    </row>
    <row r="2698" spans="1:16" hidden="1" x14ac:dyDescent="0.15">
      <c r="A2698" s="286">
        <v>898877</v>
      </c>
      <c r="B2698" s="288">
        <v>45644.552083333336</v>
      </c>
      <c r="C2698" s="286" t="s">
        <v>2098</v>
      </c>
      <c r="D2698" s="286" t="s">
        <v>1105</v>
      </c>
      <c r="E2698" s="286" t="s">
        <v>1106</v>
      </c>
      <c r="F2698" s="286" t="s">
        <v>2234</v>
      </c>
      <c r="G2698" s="286" t="s">
        <v>1037</v>
      </c>
      <c r="H2698" s="286" t="s">
        <v>1037</v>
      </c>
      <c r="I2698" s="286" t="s">
        <v>1152</v>
      </c>
      <c r="J2698" s="286" t="s">
        <v>1312</v>
      </c>
      <c r="K2698" s="286" t="s">
        <v>53</v>
      </c>
      <c r="L2698" s="286" t="s">
        <v>53</v>
      </c>
      <c r="M2698" s="286" t="s">
        <v>53</v>
      </c>
      <c r="N2698" s="287">
        <v>-2569.23</v>
      </c>
      <c r="O2698" s="294">
        <f t="shared" si="42"/>
        <v>45657</v>
      </c>
      <c r="P2698" s="286" t="s">
        <v>58</v>
      </c>
    </row>
    <row r="2699" spans="1:16" hidden="1" x14ac:dyDescent="0.15">
      <c r="A2699" s="286">
        <v>474038</v>
      </c>
      <c r="B2699" s="288">
        <v>45334.591666666667</v>
      </c>
      <c r="C2699" s="286" t="s">
        <v>2113</v>
      </c>
      <c r="D2699" s="286" t="s">
        <v>1105</v>
      </c>
      <c r="E2699" s="286" t="s">
        <v>1106</v>
      </c>
      <c r="F2699" s="286" t="s">
        <v>2334</v>
      </c>
      <c r="G2699" s="286" t="s">
        <v>1089</v>
      </c>
      <c r="H2699" s="286" t="s">
        <v>1089</v>
      </c>
      <c r="I2699" s="286" t="s">
        <v>1228</v>
      </c>
      <c r="J2699" s="286" t="s">
        <v>1312</v>
      </c>
      <c r="K2699" s="286" t="s">
        <v>2229</v>
      </c>
      <c r="L2699" s="286" t="s">
        <v>53</v>
      </c>
      <c r="M2699" s="286">
        <v>0</v>
      </c>
      <c r="N2699" s="287">
        <v>-2573.27</v>
      </c>
      <c r="O2699" s="294">
        <f t="shared" si="42"/>
        <v>45351</v>
      </c>
      <c r="P2699" s="286" t="s">
        <v>58</v>
      </c>
    </row>
    <row r="2700" spans="1:16" hidden="1" x14ac:dyDescent="0.15">
      <c r="A2700" s="286">
        <v>580947</v>
      </c>
      <c r="B2700" s="288">
        <v>45427.67291666667</v>
      </c>
      <c r="C2700" s="286" t="s">
        <v>2096</v>
      </c>
      <c r="D2700" s="286" t="s">
        <v>1105</v>
      </c>
      <c r="E2700" s="286" t="s">
        <v>1106</v>
      </c>
      <c r="F2700" s="286" t="s">
        <v>2381</v>
      </c>
      <c r="G2700" s="286" t="s">
        <v>1045</v>
      </c>
      <c r="H2700" s="286" t="s">
        <v>1045</v>
      </c>
      <c r="I2700" s="286" t="s">
        <v>1199</v>
      </c>
      <c r="J2700" s="286" t="s">
        <v>1312</v>
      </c>
      <c r="K2700" s="286" t="s">
        <v>53</v>
      </c>
      <c r="L2700" s="286" t="s">
        <v>53</v>
      </c>
      <c r="M2700" s="286" t="s">
        <v>53</v>
      </c>
      <c r="N2700" s="287">
        <v>-2579.5700000000002</v>
      </c>
      <c r="O2700" s="294">
        <f t="shared" si="42"/>
        <v>45443</v>
      </c>
      <c r="P2700" s="286" t="s">
        <v>58</v>
      </c>
    </row>
    <row r="2701" spans="1:16" hidden="1" x14ac:dyDescent="0.15">
      <c r="A2701" s="286">
        <v>618175</v>
      </c>
      <c r="B2701" s="288">
        <v>45457.602083333331</v>
      </c>
      <c r="C2701" s="286" t="s">
        <v>2116</v>
      </c>
      <c r="D2701" s="286" t="s">
        <v>1105</v>
      </c>
      <c r="E2701" s="286" t="s">
        <v>1106</v>
      </c>
      <c r="F2701" s="286" t="s">
        <v>2158</v>
      </c>
      <c r="G2701" s="286" t="s">
        <v>1045</v>
      </c>
      <c r="H2701" s="286" t="s">
        <v>1045</v>
      </c>
      <c r="I2701" s="286" t="s">
        <v>1199</v>
      </c>
      <c r="J2701" s="286" t="s">
        <v>1312</v>
      </c>
      <c r="K2701" s="286" t="s">
        <v>53</v>
      </c>
      <c r="L2701" s="286" t="s">
        <v>53</v>
      </c>
      <c r="M2701" s="286" t="s">
        <v>53</v>
      </c>
      <c r="N2701" s="287">
        <v>-2579.5700000000002</v>
      </c>
      <c r="O2701" s="294">
        <f t="shared" si="42"/>
        <v>45473</v>
      </c>
      <c r="P2701" s="286" t="s">
        <v>58</v>
      </c>
    </row>
    <row r="2702" spans="1:16" hidden="1" x14ac:dyDescent="0.15">
      <c r="A2702" s="286">
        <v>659936</v>
      </c>
      <c r="B2702" s="288">
        <v>45484.529861111114</v>
      </c>
      <c r="C2702" s="286" t="s">
        <v>2092</v>
      </c>
      <c r="D2702" s="286" t="s">
        <v>1105</v>
      </c>
      <c r="E2702" s="286" t="s">
        <v>1106</v>
      </c>
      <c r="F2702" s="286" t="s">
        <v>2159</v>
      </c>
      <c r="G2702" s="286" t="s">
        <v>1045</v>
      </c>
      <c r="H2702" s="286" t="s">
        <v>1045</v>
      </c>
      <c r="I2702" s="286" t="s">
        <v>1199</v>
      </c>
      <c r="J2702" s="286" t="s">
        <v>1312</v>
      </c>
      <c r="K2702" s="286" t="s">
        <v>53</v>
      </c>
      <c r="L2702" s="286" t="s">
        <v>53</v>
      </c>
      <c r="M2702" s="286" t="s">
        <v>53</v>
      </c>
      <c r="N2702" s="287">
        <v>-2579.5700000000002</v>
      </c>
      <c r="O2702" s="294">
        <f t="shared" si="42"/>
        <v>45504</v>
      </c>
      <c r="P2702" s="286" t="s">
        <v>58</v>
      </c>
    </row>
    <row r="2703" spans="1:16" hidden="1" x14ac:dyDescent="0.15">
      <c r="A2703" s="286">
        <v>712645</v>
      </c>
      <c r="B2703" s="288">
        <v>45517.640972222223</v>
      </c>
      <c r="C2703" s="286" t="s">
        <v>2111</v>
      </c>
      <c r="D2703" s="286" t="s">
        <v>1105</v>
      </c>
      <c r="E2703" s="286" t="s">
        <v>1106</v>
      </c>
      <c r="F2703" s="286" t="s">
        <v>2160</v>
      </c>
      <c r="G2703" s="286" t="s">
        <v>1045</v>
      </c>
      <c r="H2703" s="286" t="s">
        <v>1045</v>
      </c>
      <c r="I2703" s="286" t="s">
        <v>1199</v>
      </c>
      <c r="J2703" s="286" t="s">
        <v>1312</v>
      </c>
      <c r="K2703" s="286" t="s">
        <v>53</v>
      </c>
      <c r="L2703" s="286" t="s">
        <v>53</v>
      </c>
      <c r="M2703" s="286" t="s">
        <v>53</v>
      </c>
      <c r="N2703" s="287">
        <v>-2579.5700000000002</v>
      </c>
      <c r="O2703" s="294">
        <f t="shared" si="42"/>
        <v>45535</v>
      </c>
      <c r="P2703" s="286" t="s">
        <v>58</v>
      </c>
    </row>
    <row r="2704" spans="1:16" hidden="1" x14ac:dyDescent="0.15">
      <c r="A2704" s="286">
        <v>741366</v>
      </c>
      <c r="B2704" s="288">
        <v>45532.655555555553</v>
      </c>
      <c r="C2704" s="286" t="s">
        <v>2102</v>
      </c>
      <c r="D2704" s="286" t="s">
        <v>1105</v>
      </c>
      <c r="E2704" s="286" t="s">
        <v>1106</v>
      </c>
      <c r="F2704" s="286" t="s">
        <v>2161</v>
      </c>
      <c r="G2704" s="286" t="s">
        <v>1045</v>
      </c>
      <c r="H2704" s="286" t="s">
        <v>1045</v>
      </c>
      <c r="I2704" s="286" t="s">
        <v>1199</v>
      </c>
      <c r="J2704" s="286" t="s">
        <v>1312</v>
      </c>
      <c r="K2704" s="286" t="s">
        <v>53</v>
      </c>
      <c r="L2704" s="286" t="s">
        <v>53</v>
      </c>
      <c r="M2704" s="286" t="s">
        <v>53</v>
      </c>
      <c r="N2704" s="287">
        <v>-2579.5700000000002</v>
      </c>
      <c r="O2704" s="294">
        <f t="shared" si="42"/>
        <v>45535</v>
      </c>
      <c r="P2704" s="286" t="s">
        <v>58</v>
      </c>
    </row>
    <row r="2705" spans="1:16" hidden="1" x14ac:dyDescent="0.15">
      <c r="A2705" s="286">
        <v>785030</v>
      </c>
      <c r="B2705" s="288">
        <v>45559.581944444442</v>
      </c>
      <c r="C2705" s="286" t="s">
        <v>2132</v>
      </c>
      <c r="D2705" s="286" t="s">
        <v>1105</v>
      </c>
      <c r="E2705" s="286" t="s">
        <v>1106</v>
      </c>
      <c r="F2705" s="286" t="s">
        <v>2162</v>
      </c>
      <c r="G2705" s="286" t="s">
        <v>1045</v>
      </c>
      <c r="H2705" s="286" t="s">
        <v>1045</v>
      </c>
      <c r="I2705" s="286" t="s">
        <v>1199</v>
      </c>
      <c r="J2705" s="286" t="s">
        <v>1312</v>
      </c>
      <c r="K2705" s="286" t="s">
        <v>53</v>
      </c>
      <c r="L2705" s="286" t="s">
        <v>53</v>
      </c>
      <c r="M2705" s="286" t="s">
        <v>53</v>
      </c>
      <c r="N2705" s="287">
        <v>-2579.5700000000002</v>
      </c>
      <c r="O2705" s="294">
        <f t="shared" si="42"/>
        <v>45565</v>
      </c>
      <c r="P2705" s="286" t="s">
        <v>58</v>
      </c>
    </row>
    <row r="2706" spans="1:16" hidden="1" x14ac:dyDescent="0.15">
      <c r="A2706" s="286">
        <v>821955</v>
      </c>
      <c r="B2706" s="288">
        <v>45587.62777777778</v>
      </c>
      <c r="C2706" s="286" t="s">
        <v>2130</v>
      </c>
      <c r="D2706" s="286" t="s">
        <v>1105</v>
      </c>
      <c r="E2706" s="286" t="s">
        <v>1106</v>
      </c>
      <c r="F2706" s="286" t="s">
        <v>2163</v>
      </c>
      <c r="G2706" s="286" t="s">
        <v>1045</v>
      </c>
      <c r="H2706" s="286" t="s">
        <v>1045</v>
      </c>
      <c r="I2706" s="286" t="s">
        <v>1199</v>
      </c>
      <c r="J2706" s="286" t="s">
        <v>1312</v>
      </c>
      <c r="K2706" s="286" t="s">
        <v>53</v>
      </c>
      <c r="L2706" s="286" t="s">
        <v>53</v>
      </c>
      <c r="M2706" s="286" t="s">
        <v>53</v>
      </c>
      <c r="N2706" s="287">
        <v>-2579.5700000000002</v>
      </c>
      <c r="O2706" s="294">
        <f t="shared" si="42"/>
        <v>45596</v>
      </c>
      <c r="P2706" s="286" t="s">
        <v>58</v>
      </c>
    </row>
    <row r="2707" spans="1:16" hidden="1" x14ac:dyDescent="0.15">
      <c r="A2707" s="286">
        <v>864918</v>
      </c>
      <c r="B2707" s="288">
        <v>45617.508333333331</v>
      </c>
      <c r="C2707" s="286" t="s">
        <v>2100</v>
      </c>
      <c r="D2707" s="286" t="s">
        <v>1105</v>
      </c>
      <c r="E2707" s="286" t="s">
        <v>1106</v>
      </c>
      <c r="F2707" s="286" t="s">
        <v>2233</v>
      </c>
      <c r="G2707" s="286" t="s">
        <v>1045</v>
      </c>
      <c r="H2707" s="286" t="s">
        <v>1045</v>
      </c>
      <c r="I2707" s="286" t="s">
        <v>1199</v>
      </c>
      <c r="J2707" s="286" t="s">
        <v>53</v>
      </c>
      <c r="K2707" s="286" t="s">
        <v>53</v>
      </c>
      <c r="L2707" s="286" t="s">
        <v>53</v>
      </c>
      <c r="M2707" s="286" t="s">
        <v>53</v>
      </c>
      <c r="N2707" s="287">
        <v>-2579.5700000000002</v>
      </c>
      <c r="O2707" s="294">
        <f t="shared" si="42"/>
        <v>45626</v>
      </c>
      <c r="P2707" s="286" t="s">
        <v>58</v>
      </c>
    </row>
    <row r="2708" spans="1:16" hidden="1" x14ac:dyDescent="0.15">
      <c r="A2708" s="286">
        <v>898877</v>
      </c>
      <c r="B2708" s="288">
        <v>45644.552083333336</v>
      </c>
      <c r="C2708" s="286" t="s">
        <v>2098</v>
      </c>
      <c r="D2708" s="286" t="s">
        <v>1105</v>
      </c>
      <c r="E2708" s="286" t="s">
        <v>1106</v>
      </c>
      <c r="F2708" s="286" t="s">
        <v>2234</v>
      </c>
      <c r="G2708" s="286" t="s">
        <v>1045</v>
      </c>
      <c r="H2708" s="286" t="s">
        <v>1045</v>
      </c>
      <c r="I2708" s="286" t="s">
        <v>1199</v>
      </c>
      <c r="J2708" s="286" t="s">
        <v>1312</v>
      </c>
      <c r="K2708" s="286" t="s">
        <v>53</v>
      </c>
      <c r="L2708" s="286" t="s">
        <v>53</v>
      </c>
      <c r="M2708" s="286" t="s">
        <v>53</v>
      </c>
      <c r="N2708" s="287">
        <v>-2579.5700000000002</v>
      </c>
      <c r="O2708" s="294">
        <f t="shared" si="42"/>
        <v>45657</v>
      </c>
      <c r="P2708" s="286" t="s">
        <v>58</v>
      </c>
    </row>
    <row r="2709" spans="1:16" hidden="1" x14ac:dyDescent="0.15">
      <c r="A2709" s="286">
        <v>497141</v>
      </c>
      <c r="B2709" s="288">
        <v>45352.522222222222</v>
      </c>
      <c r="C2709" s="286" t="s">
        <v>2125</v>
      </c>
      <c r="D2709" s="286" t="s">
        <v>1105</v>
      </c>
      <c r="E2709" s="286" t="s">
        <v>1106</v>
      </c>
      <c r="F2709" s="286" t="s">
        <v>2540</v>
      </c>
      <c r="G2709" s="286" t="s">
        <v>1072</v>
      </c>
      <c r="H2709" s="286" t="s">
        <v>1072</v>
      </c>
      <c r="I2709" s="286" t="s">
        <v>1152</v>
      </c>
      <c r="J2709" s="286" t="s">
        <v>1312</v>
      </c>
      <c r="K2709" s="286" t="s">
        <v>53</v>
      </c>
      <c r="L2709" s="286" t="s">
        <v>53</v>
      </c>
      <c r="M2709" s="286" t="s">
        <v>53</v>
      </c>
      <c r="N2709" s="287">
        <v>-2583.94</v>
      </c>
      <c r="O2709" s="294">
        <f t="shared" si="42"/>
        <v>45382</v>
      </c>
      <c r="P2709" s="286" t="s">
        <v>58</v>
      </c>
    </row>
    <row r="2710" spans="1:16" hidden="1" x14ac:dyDescent="0.15">
      <c r="A2710" s="286">
        <v>504817</v>
      </c>
      <c r="B2710" s="288">
        <v>45359.645138888889</v>
      </c>
      <c r="C2710" s="286" t="s">
        <v>2109</v>
      </c>
      <c r="D2710" s="286" t="s">
        <v>1105</v>
      </c>
      <c r="E2710" s="286" t="s">
        <v>1106</v>
      </c>
      <c r="F2710" s="286" t="s">
        <v>2154</v>
      </c>
      <c r="G2710" s="286" t="s">
        <v>1008</v>
      </c>
      <c r="H2710" s="286" t="s">
        <v>1008</v>
      </c>
      <c r="I2710" s="286" t="s">
        <v>1228</v>
      </c>
      <c r="J2710" s="286" t="s">
        <v>1312</v>
      </c>
      <c r="K2710" s="286" t="s">
        <v>53</v>
      </c>
      <c r="L2710" s="286" t="s">
        <v>53</v>
      </c>
      <c r="M2710" s="286" t="s">
        <v>53</v>
      </c>
      <c r="N2710" s="287">
        <v>-2659.58</v>
      </c>
      <c r="O2710" s="294">
        <f t="shared" si="42"/>
        <v>45382</v>
      </c>
      <c r="P2710" s="286" t="s">
        <v>58</v>
      </c>
    </row>
    <row r="2711" spans="1:16" hidden="1" x14ac:dyDescent="0.15">
      <c r="A2711" s="286">
        <v>646075</v>
      </c>
      <c r="B2711" s="288">
        <v>45474.519444444442</v>
      </c>
      <c r="C2711" s="286" t="s">
        <v>2111</v>
      </c>
      <c r="D2711" s="286" t="s">
        <v>1105</v>
      </c>
      <c r="E2711" s="286" t="s">
        <v>1106</v>
      </c>
      <c r="F2711" s="286" t="s">
        <v>2137</v>
      </c>
      <c r="G2711" s="286" t="s">
        <v>1022</v>
      </c>
      <c r="H2711" s="286" t="s">
        <v>1022</v>
      </c>
      <c r="I2711" s="286" t="s">
        <v>1228</v>
      </c>
      <c r="J2711" s="286" t="s">
        <v>1312</v>
      </c>
      <c r="K2711" s="286" t="s">
        <v>2076</v>
      </c>
      <c r="L2711" s="286" t="s">
        <v>53</v>
      </c>
      <c r="M2711" s="286">
        <v>1</v>
      </c>
      <c r="N2711" s="287">
        <v>-2723.14</v>
      </c>
      <c r="O2711" s="294">
        <f t="shared" si="42"/>
        <v>45504</v>
      </c>
      <c r="P2711" s="286" t="s">
        <v>58</v>
      </c>
    </row>
    <row r="2712" spans="1:16" hidden="1" x14ac:dyDescent="0.15">
      <c r="A2712" s="286">
        <v>646075</v>
      </c>
      <c r="B2712" s="288">
        <v>45474.519444444442</v>
      </c>
      <c r="C2712" s="286" t="s">
        <v>2111</v>
      </c>
      <c r="D2712" s="286" t="s">
        <v>1105</v>
      </c>
      <c r="E2712" s="286" t="s">
        <v>1106</v>
      </c>
      <c r="F2712" s="286" t="s">
        <v>2137</v>
      </c>
      <c r="G2712" s="286" t="s">
        <v>1022</v>
      </c>
      <c r="H2712" s="286" t="s">
        <v>1022</v>
      </c>
      <c r="I2712" s="286" t="s">
        <v>1228</v>
      </c>
      <c r="J2712" s="286" t="s">
        <v>1312</v>
      </c>
      <c r="K2712" s="286" t="s">
        <v>2076</v>
      </c>
      <c r="L2712" s="286" t="s">
        <v>53</v>
      </c>
      <c r="M2712" s="286">
        <v>1</v>
      </c>
      <c r="N2712" s="287">
        <v>-2723.14</v>
      </c>
      <c r="O2712" s="294">
        <f t="shared" si="42"/>
        <v>45504</v>
      </c>
      <c r="P2712" s="286" t="s">
        <v>58</v>
      </c>
    </row>
    <row r="2713" spans="1:16" hidden="1" x14ac:dyDescent="0.15">
      <c r="A2713" s="286">
        <v>697810</v>
      </c>
      <c r="B2713" s="288">
        <v>45510.366666666669</v>
      </c>
      <c r="C2713" s="286" t="s">
        <v>2102</v>
      </c>
      <c r="D2713" s="286" t="s">
        <v>1105</v>
      </c>
      <c r="E2713" s="286" t="s">
        <v>1106</v>
      </c>
      <c r="F2713" s="286" t="s">
        <v>2138</v>
      </c>
      <c r="G2713" s="286" t="s">
        <v>1022</v>
      </c>
      <c r="H2713" s="286" t="s">
        <v>1022</v>
      </c>
      <c r="I2713" s="286" t="s">
        <v>1228</v>
      </c>
      <c r="J2713" s="286" t="s">
        <v>1312</v>
      </c>
      <c r="K2713" s="286" t="s">
        <v>2076</v>
      </c>
      <c r="L2713" s="286" t="s">
        <v>53</v>
      </c>
      <c r="M2713" s="286">
        <v>1</v>
      </c>
      <c r="N2713" s="287">
        <v>-2723.14</v>
      </c>
      <c r="O2713" s="294">
        <f t="shared" si="42"/>
        <v>45535</v>
      </c>
      <c r="P2713" s="286" t="s">
        <v>58</v>
      </c>
    </row>
    <row r="2714" spans="1:16" hidden="1" x14ac:dyDescent="0.15">
      <c r="A2714" s="286">
        <v>697810</v>
      </c>
      <c r="B2714" s="288">
        <v>45510.366666666669</v>
      </c>
      <c r="C2714" s="286" t="s">
        <v>2102</v>
      </c>
      <c r="D2714" s="286" t="s">
        <v>1105</v>
      </c>
      <c r="E2714" s="286" t="s">
        <v>1106</v>
      </c>
      <c r="F2714" s="286" t="s">
        <v>2138</v>
      </c>
      <c r="G2714" s="286" t="s">
        <v>1022</v>
      </c>
      <c r="H2714" s="286" t="s">
        <v>1022</v>
      </c>
      <c r="I2714" s="286" t="s">
        <v>1228</v>
      </c>
      <c r="J2714" s="286" t="s">
        <v>1312</v>
      </c>
      <c r="K2714" s="286" t="s">
        <v>2076</v>
      </c>
      <c r="L2714" s="286" t="s">
        <v>53</v>
      </c>
      <c r="M2714" s="286">
        <v>1</v>
      </c>
      <c r="N2714" s="287">
        <v>-2723.14</v>
      </c>
      <c r="O2714" s="294">
        <f t="shared" si="42"/>
        <v>45535</v>
      </c>
      <c r="P2714" s="286" t="s">
        <v>58</v>
      </c>
    </row>
    <row r="2715" spans="1:16" hidden="1" x14ac:dyDescent="0.15">
      <c r="A2715" s="286">
        <v>745911</v>
      </c>
      <c r="B2715" s="288">
        <v>45538.44027777778</v>
      </c>
      <c r="C2715" s="286" t="s">
        <v>2132</v>
      </c>
      <c r="D2715" s="286" t="s">
        <v>1105</v>
      </c>
      <c r="E2715" s="286" t="s">
        <v>1106</v>
      </c>
      <c r="F2715" s="286" t="s">
        <v>2139</v>
      </c>
      <c r="G2715" s="286" t="s">
        <v>1022</v>
      </c>
      <c r="H2715" s="286" t="s">
        <v>1022</v>
      </c>
      <c r="I2715" s="286" t="s">
        <v>1228</v>
      </c>
      <c r="J2715" s="286" t="s">
        <v>1312</v>
      </c>
      <c r="K2715" s="286" t="s">
        <v>2076</v>
      </c>
      <c r="L2715" s="286" t="s">
        <v>53</v>
      </c>
      <c r="M2715" s="286">
        <v>1</v>
      </c>
      <c r="N2715" s="287">
        <v>-2723.14</v>
      </c>
      <c r="O2715" s="294">
        <f t="shared" si="42"/>
        <v>45565</v>
      </c>
      <c r="P2715" s="286" t="s">
        <v>58</v>
      </c>
    </row>
    <row r="2716" spans="1:16" hidden="1" x14ac:dyDescent="0.15">
      <c r="A2716" s="286">
        <v>745911</v>
      </c>
      <c r="B2716" s="288">
        <v>45538.44027777778</v>
      </c>
      <c r="C2716" s="286" t="s">
        <v>2132</v>
      </c>
      <c r="D2716" s="286" t="s">
        <v>1105</v>
      </c>
      <c r="E2716" s="286" t="s">
        <v>1106</v>
      </c>
      <c r="F2716" s="286" t="s">
        <v>2139</v>
      </c>
      <c r="G2716" s="286" t="s">
        <v>1022</v>
      </c>
      <c r="H2716" s="286" t="s">
        <v>1022</v>
      </c>
      <c r="I2716" s="286" t="s">
        <v>1228</v>
      </c>
      <c r="J2716" s="286" t="s">
        <v>1312</v>
      </c>
      <c r="K2716" s="286" t="s">
        <v>2076</v>
      </c>
      <c r="L2716" s="286" t="s">
        <v>53</v>
      </c>
      <c r="M2716" s="286">
        <v>1</v>
      </c>
      <c r="N2716" s="287">
        <v>-2723.14</v>
      </c>
      <c r="O2716" s="294">
        <f t="shared" si="42"/>
        <v>45565</v>
      </c>
      <c r="P2716" s="286" t="s">
        <v>58</v>
      </c>
    </row>
    <row r="2717" spans="1:16" hidden="1" x14ac:dyDescent="0.15">
      <c r="A2717" s="286">
        <v>848817</v>
      </c>
      <c r="B2717" s="288">
        <v>45607.65902777778</v>
      </c>
      <c r="C2717" s="286" t="s">
        <v>2130</v>
      </c>
      <c r="D2717" s="286" t="s">
        <v>1105</v>
      </c>
      <c r="E2717" s="286" t="s">
        <v>1106</v>
      </c>
      <c r="F2717" s="286" t="s">
        <v>2140</v>
      </c>
      <c r="G2717" s="286" t="s">
        <v>1022</v>
      </c>
      <c r="H2717" s="286" t="s">
        <v>1022</v>
      </c>
      <c r="I2717" s="286" t="s">
        <v>1228</v>
      </c>
      <c r="J2717" s="286" t="s">
        <v>1312</v>
      </c>
      <c r="K2717" s="286" t="s">
        <v>2076</v>
      </c>
      <c r="L2717" s="286" t="s">
        <v>53</v>
      </c>
      <c r="M2717" s="286">
        <v>1</v>
      </c>
      <c r="N2717" s="287">
        <v>-2723.14</v>
      </c>
      <c r="O2717" s="294">
        <f t="shared" si="42"/>
        <v>45626</v>
      </c>
      <c r="P2717" s="286" t="s">
        <v>58</v>
      </c>
    </row>
    <row r="2718" spans="1:16" hidden="1" x14ac:dyDescent="0.15">
      <c r="A2718" s="286">
        <v>848817</v>
      </c>
      <c r="B2718" s="288">
        <v>45607.65902777778</v>
      </c>
      <c r="C2718" s="286" t="s">
        <v>2130</v>
      </c>
      <c r="D2718" s="286" t="s">
        <v>1105</v>
      </c>
      <c r="E2718" s="286" t="s">
        <v>1106</v>
      </c>
      <c r="F2718" s="286" t="s">
        <v>2140</v>
      </c>
      <c r="G2718" s="286" t="s">
        <v>1022</v>
      </c>
      <c r="H2718" s="286" t="s">
        <v>1022</v>
      </c>
      <c r="I2718" s="286" t="s">
        <v>1228</v>
      </c>
      <c r="J2718" s="286" t="s">
        <v>1312</v>
      </c>
      <c r="K2718" s="286" t="s">
        <v>2076</v>
      </c>
      <c r="L2718" s="286" t="s">
        <v>53</v>
      </c>
      <c r="M2718" s="286">
        <v>1</v>
      </c>
      <c r="N2718" s="287">
        <v>-2723.14</v>
      </c>
      <c r="O2718" s="294">
        <f t="shared" si="42"/>
        <v>45626</v>
      </c>
      <c r="P2718" s="286" t="s">
        <v>58</v>
      </c>
    </row>
    <row r="2719" spans="1:16" hidden="1" x14ac:dyDescent="0.15">
      <c r="A2719" s="286">
        <v>848917</v>
      </c>
      <c r="B2719" s="288">
        <v>45607.660416666666</v>
      </c>
      <c r="C2719" s="286" t="s">
        <v>2100</v>
      </c>
      <c r="D2719" s="286" t="s">
        <v>1105</v>
      </c>
      <c r="E2719" s="286" t="s">
        <v>1106</v>
      </c>
      <c r="F2719" s="286" t="s">
        <v>2141</v>
      </c>
      <c r="G2719" s="286" t="s">
        <v>1022</v>
      </c>
      <c r="H2719" s="286" t="s">
        <v>1022</v>
      </c>
      <c r="I2719" s="286" t="s">
        <v>1228</v>
      </c>
      <c r="J2719" s="286" t="s">
        <v>1312</v>
      </c>
      <c r="K2719" s="286" t="s">
        <v>2076</v>
      </c>
      <c r="L2719" s="286" t="s">
        <v>53</v>
      </c>
      <c r="M2719" s="286">
        <v>1</v>
      </c>
      <c r="N2719" s="287">
        <v>-2723.14</v>
      </c>
      <c r="O2719" s="294">
        <f t="shared" si="42"/>
        <v>45626</v>
      </c>
      <c r="P2719" s="286" t="s">
        <v>58</v>
      </c>
    </row>
    <row r="2720" spans="1:16" hidden="1" x14ac:dyDescent="0.15">
      <c r="A2720" s="286">
        <v>848917</v>
      </c>
      <c r="B2720" s="288">
        <v>45607.660416666666</v>
      </c>
      <c r="C2720" s="286" t="s">
        <v>2100</v>
      </c>
      <c r="D2720" s="286" t="s">
        <v>1105</v>
      </c>
      <c r="E2720" s="286" t="s">
        <v>1106</v>
      </c>
      <c r="F2720" s="286" t="s">
        <v>2141</v>
      </c>
      <c r="G2720" s="286" t="s">
        <v>1022</v>
      </c>
      <c r="H2720" s="286" t="s">
        <v>1022</v>
      </c>
      <c r="I2720" s="286" t="s">
        <v>1228</v>
      </c>
      <c r="J2720" s="286" t="s">
        <v>1312</v>
      </c>
      <c r="K2720" s="286" t="s">
        <v>2076</v>
      </c>
      <c r="L2720" s="286" t="s">
        <v>53</v>
      </c>
      <c r="M2720" s="286">
        <v>1</v>
      </c>
      <c r="N2720" s="287">
        <v>-2723.14</v>
      </c>
      <c r="O2720" s="294">
        <f t="shared" si="42"/>
        <v>45626</v>
      </c>
      <c r="P2720" s="286" t="s">
        <v>58</v>
      </c>
    </row>
    <row r="2721" spans="1:16" hidden="1" x14ac:dyDescent="0.15">
      <c r="A2721" s="286">
        <v>874698</v>
      </c>
      <c r="B2721" s="288">
        <v>45628.357638888891</v>
      </c>
      <c r="C2721" s="286" t="s">
        <v>2098</v>
      </c>
      <c r="D2721" s="286" t="s">
        <v>1105</v>
      </c>
      <c r="E2721" s="286" t="s">
        <v>1106</v>
      </c>
      <c r="F2721" s="286" t="s">
        <v>2142</v>
      </c>
      <c r="G2721" s="286" t="s">
        <v>1022</v>
      </c>
      <c r="H2721" s="286" t="s">
        <v>1022</v>
      </c>
      <c r="I2721" s="286" t="s">
        <v>1228</v>
      </c>
      <c r="J2721" s="286" t="s">
        <v>1312</v>
      </c>
      <c r="K2721" s="286" t="s">
        <v>2076</v>
      </c>
      <c r="L2721" s="286" t="s">
        <v>53</v>
      </c>
      <c r="M2721" s="286">
        <v>1</v>
      </c>
      <c r="N2721" s="287">
        <v>-2723.14</v>
      </c>
      <c r="O2721" s="294">
        <f t="shared" si="42"/>
        <v>45657</v>
      </c>
      <c r="P2721" s="286" t="s">
        <v>58</v>
      </c>
    </row>
    <row r="2722" spans="1:16" hidden="1" x14ac:dyDescent="0.15">
      <c r="A2722" s="286">
        <v>874698</v>
      </c>
      <c r="B2722" s="288">
        <v>45628.357638888891</v>
      </c>
      <c r="C2722" s="286" t="s">
        <v>2098</v>
      </c>
      <c r="D2722" s="286" t="s">
        <v>1105</v>
      </c>
      <c r="E2722" s="286" t="s">
        <v>1106</v>
      </c>
      <c r="F2722" s="286" t="s">
        <v>2142</v>
      </c>
      <c r="G2722" s="286" t="s">
        <v>1022</v>
      </c>
      <c r="H2722" s="286" t="s">
        <v>1022</v>
      </c>
      <c r="I2722" s="286" t="s">
        <v>1228</v>
      </c>
      <c r="J2722" s="286" t="s">
        <v>1312</v>
      </c>
      <c r="K2722" s="286" t="s">
        <v>2076</v>
      </c>
      <c r="L2722" s="286" t="s">
        <v>53</v>
      </c>
      <c r="M2722" s="286">
        <v>1</v>
      </c>
      <c r="N2722" s="287">
        <v>-2723.14</v>
      </c>
      <c r="O2722" s="294">
        <f t="shared" si="42"/>
        <v>45657</v>
      </c>
      <c r="P2722" s="286" t="s">
        <v>58</v>
      </c>
    </row>
    <row r="2723" spans="1:16" hidden="1" x14ac:dyDescent="0.15">
      <c r="A2723" s="286">
        <v>745911</v>
      </c>
      <c r="B2723" s="288">
        <v>45538.44027777778</v>
      </c>
      <c r="C2723" s="286" t="s">
        <v>2132</v>
      </c>
      <c r="D2723" s="286" t="s">
        <v>1105</v>
      </c>
      <c r="E2723" s="286" t="s">
        <v>1106</v>
      </c>
      <c r="F2723" s="286" t="s">
        <v>2139</v>
      </c>
      <c r="G2723" s="286" t="s">
        <v>1016</v>
      </c>
      <c r="H2723" s="286" t="s">
        <v>1016</v>
      </c>
      <c r="I2723" s="286" t="s">
        <v>1199</v>
      </c>
      <c r="J2723" s="286" t="s">
        <v>1312</v>
      </c>
      <c r="K2723" s="286" t="s">
        <v>2068</v>
      </c>
      <c r="L2723" s="286" t="s">
        <v>53</v>
      </c>
      <c r="M2723" s="286">
        <v>1</v>
      </c>
      <c r="N2723" s="287">
        <v>-2732.37</v>
      </c>
      <c r="O2723" s="294">
        <f t="shared" si="42"/>
        <v>45565</v>
      </c>
      <c r="P2723" s="286" t="s">
        <v>58</v>
      </c>
    </row>
    <row r="2724" spans="1:16" hidden="1" x14ac:dyDescent="0.15">
      <c r="A2724" s="286">
        <v>578060</v>
      </c>
      <c r="B2724" s="288">
        <v>45426.430555555555</v>
      </c>
      <c r="C2724" s="286" t="s">
        <v>2096</v>
      </c>
      <c r="D2724" s="286" t="s">
        <v>1105</v>
      </c>
      <c r="E2724" s="286" t="s">
        <v>1106</v>
      </c>
      <c r="F2724" s="286" t="s">
        <v>2115</v>
      </c>
      <c r="G2724" s="286" t="s">
        <v>1037</v>
      </c>
      <c r="H2724" s="286" t="s">
        <v>1037</v>
      </c>
      <c r="I2724" s="286" t="s">
        <v>1112</v>
      </c>
      <c r="J2724" s="286" t="s">
        <v>1312</v>
      </c>
      <c r="K2724" s="286" t="s">
        <v>2046</v>
      </c>
      <c r="L2724" s="286" t="s">
        <v>53</v>
      </c>
      <c r="M2724" s="286">
        <v>1</v>
      </c>
      <c r="N2724" s="287">
        <v>-2780</v>
      </c>
      <c r="O2724" s="294">
        <f t="shared" si="42"/>
        <v>45443</v>
      </c>
      <c r="P2724" s="286" t="s">
        <v>175</v>
      </c>
    </row>
    <row r="2725" spans="1:16" hidden="1" x14ac:dyDescent="0.15">
      <c r="A2725" s="286">
        <v>474038</v>
      </c>
      <c r="B2725" s="288">
        <v>45334.591666666667</v>
      </c>
      <c r="C2725" s="286" t="s">
        <v>2113</v>
      </c>
      <c r="D2725" s="286" t="s">
        <v>1105</v>
      </c>
      <c r="E2725" s="286" t="s">
        <v>1106</v>
      </c>
      <c r="F2725" s="286" t="s">
        <v>2334</v>
      </c>
      <c r="G2725" s="286" t="s">
        <v>1089</v>
      </c>
      <c r="H2725" s="286" t="s">
        <v>1089</v>
      </c>
      <c r="I2725" s="286" t="s">
        <v>1228</v>
      </c>
      <c r="J2725" s="286" t="s">
        <v>1312</v>
      </c>
      <c r="K2725" s="286" t="s">
        <v>2076</v>
      </c>
      <c r="L2725" s="286" t="s">
        <v>53</v>
      </c>
      <c r="M2725" s="286">
        <v>1</v>
      </c>
      <c r="N2725" s="287">
        <v>-2853.18</v>
      </c>
      <c r="O2725" s="294">
        <f t="shared" si="42"/>
        <v>45351</v>
      </c>
      <c r="P2725" s="286" t="s">
        <v>58</v>
      </c>
    </row>
    <row r="2726" spans="1:16" hidden="1" x14ac:dyDescent="0.15">
      <c r="A2726" s="286">
        <v>749526</v>
      </c>
      <c r="B2726" s="288">
        <v>45540.356944444444</v>
      </c>
      <c r="C2726" s="286" t="s">
        <v>2102</v>
      </c>
      <c r="D2726" s="286" t="s">
        <v>1105</v>
      </c>
      <c r="E2726" s="286" t="s">
        <v>1106</v>
      </c>
      <c r="F2726" s="286" t="s">
        <v>2168</v>
      </c>
      <c r="G2726" s="286" t="s">
        <v>1002</v>
      </c>
      <c r="H2726" s="286" t="s">
        <v>1002</v>
      </c>
      <c r="I2726" s="286" t="s">
        <v>1112</v>
      </c>
      <c r="J2726" s="286" t="s">
        <v>1312</v>
      </c>
      <c r="K2726" s="286" t="s">
        <v>2079</v>
      </c>
      <c r="L2726" s="286" t="s">
        <v>53</v>
      </c>
      <c r="M2726" s="286">
        <v>1</v>
      </c>
      <c r="N2726" s="287">
        <v>-2928</v>
      </c>
      <c r="O2726" s="294">
        <f t="shared" si="42"/>
        <v>45565</v>
      </c>
      <c r="P2726" s="286" t="s">
        <v>175</v>
      </c>
    </row>
    <row r="2727" spans="1:16" hidden="1" x14ac:dyDescent="0.15">
      <c r="A2727" s="286">
        <v>438112</v>
      </c>
      <c r="B2727" s="288">
        <v>45293.53402777778</v>
      </c>
      <c r="C2727" s="286" t="s">
        <v>2125</v>
      </c>
      <c r="D2727" s="286" t="s">
        <v>1105</v>
      </c>
      <c r="E2727" s="286" t="s">
        <v>1106</v>
      </c>
      <c r="F2727" s="286" t="s">
        <v>2152</v>
      </c>
      <c r="G2727" s="286" t="s">
        <v>1036</v>
      </c>
      <c r="H2727" s="286" t="s">
        <v>1036</v>
      </c>
      <c r="I2727" s="286" t="s">
        <v>1199</v>
      </c>
      <c r="J2727" s="286" t="s">
        <v>1312</v>
      </c>
      <c r="K2727" s="286" t="s">
        <v>2068</v>
      </c>
      <c r="L2727" s="286" t="s">
        <v>53</v>
      </c>
      <c r="M2727" s="286">
        <v>1</v>
      </c>
      <c r="N2727" s="287">
        <v>-2971.23</v>
      </c>
      <c r="O2727" s="294">
        <f t="shared" si="42"/>
        <v>45322</v>
      </c>
      <c r="P2727" s="286" t="s">
        <v>58</v>
      </c>
    </row>
    <row r="2728" spans="1:16" hidden="1" x14ac:dyDescent="0.15">
      <c r="A2728" s="286">
        <v>472168</v>
      </c>
      <c r="B2728" s="288">
        <v>45331.416666666664</v>
      </c>
      <c r="C2728" s="286" t="s">
        <v>2113</v>
      </c>
      <c r="D2728" s="286" t="s">
        <v>1105</v>
      </c>
      <c r="E2728" s="286" t="s">
        <v>1106</v>
      </c>
      <c r="F2728" s="286" t="s">
        <v>2153</v>
      </c>
      <c r="G2728" s="286" t="s">
        <v>1036</v>
      </c>
      <c r="H2728" s="286" t="s">
        <v>1036</v>
      </c>
      <c r="I2728" s="286" t="s">
        <v>1199</v>
      </c>
      <c r="J2728" s="286" t="s">
        <v>1312</v>
      </c>
      <c r="K2728" s="286" t="s">
        <v>2068</v>
      </c>
      <c r="L2728" s="286" t="s">
        <v>53</v>
      </c>
      <c r="M2728" s="286">
        <v>1</v>
      </c>
      <c r="N2728" s="287">
        <v>-2971.23</v>
      </c>
      <c r="O2728" s="294">
        <f t="shared" si="42"/>
        <v>45351</v>
      </c>
      <c r="P2728" s="286" t="s">
        <v>58</v>
      </c>
    </row>
    <row r="2729" spans="1:16" hidden="1" x14ac:dyDescent="0.15">
      <c r="A2729" s="286">
        <v>504817</v>
      </c>
      <c r="B2729" s="288">
        <v>45359.645138888889</v>
      </c>
      <c r="C2729" s="286" t="s">
        <v>2109</v>
      </c>
      <c r="D2729" s="286" t="s">
        <v>1105</v>
      </c>
      <c r="E2729" s="286" t="s">
        <v>1106</v>
      </c>
      <c r="F2729" s="286" t="s">
        <v>2154</v>
      </c>
      <c r="G2729" s="286" t="s">
        <v>1036</v>
      </c>
      <c r="H2729" s="286" t="s">
        <v>1036</v>
      </c>
      <c r="I2729" s="286" t="s">
        <v>1199</v>
      </c>
      <c r="J2729" s="286" t="s">
        <v>1312</v>
      </c>
      <c r="K2729" s="286" t="s">
        <v>2068</v>
      </c>
      <c r="L2729" s="286" t="s">
        <v>53</v>
      </c>
      <c r="M2729" s="286">
        <v>1</v>
      </c>
      <c r="N2729" s="287">
        <v>-2971.23</v>
      </c>
      <c r="O2729" s="294">
        <f t="shared" si="42"/>
        <v>45382</v>
      </c>
      <c r="P2729" s="286" t="s">
        <v>58</v>
      </c>
    </row>
    <row r="2730" spans="1:16" hidden="1" x14ac:dyDescent="0.15">
      <c r="A2730" s="286">
        <v>534207</v>
      </c>
      <c r="B2730" s="288">
        <v>45385.750694444447</v>
      </c>
      <c r="C2730" s="286" t="s">
        <v>2096</v>
      </c>
      <c r="D2730" s="286" t="s">
        <v>1105</v>
      </c>
      <c r="E2730" s="286" t="s">
        <v>1106</v>
      </c>
      <c r="F2730" s="286" t="s">
        <v>2155</v>
      </c>
      <c r="G2730" s="286" t="s">
        <v>1036</v>
      </c>
      <c r="H2730" s="286" t="s">
        <v>1036</v>
      </c>
      <c r="I2730" s="286" t="s">
        <v>1199</v>
      </c>
      <c r="J2730" s="286" t="s">
        <v>1312</v>
      </c>
      <c r="K2730" s="286" t="s">
        <v>2068</v>
      </c>
      <c r="L2730" s="286" t="s">
        <v>53</v>
      </c>
      <c r="M2730" s="286">
        <v>1</v>
      </c>
      <c r="N2730" s="287">
        <v>-2971.23</v>
      </c>
      <c r="O2730" s="294">
        <f t="shared" si="42"/>
        <v>45412</v>
      </c>
      <c r="P2730" s="286" t="s">
        <v>58</v>
      </c>
    </row>
    <row r="2731" spans="1:16" hidden="1" x14ac:dyDescent="0.15">
      <c r="A2731" s="286">
        <v>614216</v>
      </c>
      <c r="B2731" s="288">
        <v>45455.716666666667</v>
      </c>
      <c r="C2731" s="286" t="s">
        <v>2116</v>
      </c>
      <c r="D2731" s="286" t="s">
        <v>1105</v>
      </c>
      <c r="E2731" s="286" t="s">
        <v>1106</v>
      </c>
      <c r="F2731" s="286" t="s">
        <v>2156</v>
      </c>
      <c r="G2731" s="286" t="s">
        <v>1036</v>
      </c>
      <c r="H2731" s="286" t="s">
        <v>1036</v>
      </c>
      <c r="I2731" s="286" t="s">
        <v>1199</v>
      </c>
      <c r="J2731" s="286" t="s">
        <v>1312</v>
      </c>
      <c r="K2731" s="286" t="s">
        <v>2068</v>
      </c>
      <c r="L2731" s="286" t="s">
        <v>53</v>
      </c>
      <c r="M2731" s="286">
        <v>1</v>
      </c>
      <c r="N2731" s="287">
        <v>-2971.23</v>
      </c>
      <c r="O2731" s="294">
        <f t="shared" si="42"/>
        <v>45473</v>
      </c>
      <c r="P2731" s="286" t="s">
        <v>58</v>
      </c>
    </row>
    <row r="2732" spans="1:16" hidden="1" x14ac:dyDescent="0.15">
      <c r="A2732" s="286">
        <v>614316</v>
      </c>
      <c r="B2732" s="288">
        <v>45455.717361111114</v>
      </c>
      <c r="C2732" s="286" t="s">
        <v>2092</v>
      </c>
      <c r="D2732" s="286" t="s">
        <v>1105</v>
      </c>
      <c r="E2732" s="286" t="s">
        <v>1106</v>
      </c>
      <c r="F2732" s="286" t="s">
        <v>2167</v>
      </c>
      <c r="G2732" s="286" t="s">
        <v>1036</v>
      </c>
      <c r="H2732" s="286" t="s">
        <v>1036</v>
      </c>
      <c r="I2732" s="286" t="s">
        <v>1199</v>
      </c>
      <c r="J2732" s="286" t="s">
        <v>1312</v>
      </c>
      <c r="K2732" s="286" t="s">
        <v>2068</v>
      </c>
      <c r="L2732" s="286" t="s">
        <v>53</v>
      </c>
      <c r="M2732" s="286">
        <v>1</v>
      </c>
      <c r="N2732" s="287">
        <v>-2971.23</v>
      </c>
      <c r="O2732" s="294">
        <f t="shared" si="42"/>
        <v>45473</v>
      </c>
      <c r="P2732" s="286" t="s">
        <v>58</v>
      </c>
    </row>
    <row r="2733" spans="1:16" hidden="1" x14ac:dyDescent="0.15">
      <c r="A2733" s="286">
        <v>646075</v>
      </c>
      <c r="B2733" s="288">
        <v>45474.519444444442</v>
      </c>
      <c r="C2733" s="286" t="s">
        <v>2111</v>
      </c>
      <c r="D2733" s="286" t="s">
        <v>1105</v>
      </c>
      <c r="E2733" s="286" t="s">
        <v>1106</v>
      </c>
      <c r="F2733" s="286" t="s">
        <v>2137</v>
      </c>
      <c r="G2733" s="286" t="s">
        <v>1036</v>
      </c>
      <c r="H2733" s="286" t="s">
        <v>1036</v>
      </c>
      <c r="I2733" s="286" t="s">
        <v>1199</v>
      </c>
      <c r="J2733" s="286" t="s">
        <v>1312</v>
      </c>
      <c r="K2733" s="286" t="s">
        <v>2068</v>
      </c>
      <c r="L2733" s="286" t="s">
        <v>53</v>
      </c>
      <c r="M2733" s="286">
        <v>1</v>
      </c>
      <c r="N2733" s="287">
        <v>-2971.23</v>
      </c>
      <c r="O2733" s="294">
        <f t="shared" si="42"/>
        <v>45504</v>
      </c>
      <c r="P2733" s="286" t="s">
        <v>58</v>
      </c>
    </row>
    <row r="2734" spans="1:16" hidden="1" x14ac:dyDescent="0.15">
      <c r="A2734" s="286">
        <v>697810</v>
      </c>
      <c r="B2734" s="288">
        <v>45510.366666666669</v>
      </c>
      <c r="C2734" s="286" t="s">
        <v>2102</v>
      </c>
      <c r="D2734" s="286" t="s">
        <v>1105</v>
      </c>
      <c r="E2734" s="286" t="s">
        <v>1106</v>
      </c>
      <c r="F2734" s="286" t="s">
        <v>2138</v>
      </c>
      <c r="G2734" s="286" t="s">
        <v>1036</v>
      </c>
      <c r="H2734" s="286" t="s">
        <v>1036</v>
      </c>
      <c r="I2734" s="286" t="s">
        <v>1199</v>
      </c>
      <c r="J2734" s="286" t="s">
        <v>1312</v>
      </c>
      <c r="K2734" s="286" t="s">
        <v>2068</v>
      </c>
      <c r="L2734" s="286" t="s">
        <v>53</v>
      </c>
      <c r="M2734" s="286">
        <v>1</v>
      </c>
      <c r="N2734" s="287">
        <v>-2971.23</v>
      </c>
      <c r="O2734" s="294">
        <f t="shared" si="42"/>
        <v>45535</v>
      </c>
      <c r="P2734" s="286" t="s">
        <v>58</v>
      </c>
    </row>
    <row r="2735" spans="1:16" hidden="1" x14ac:dyDescent="0.15">
      <c r="A2735" s="286">
        <v>745911</v>
      </c>
      <c r="B2735" s="288">
        <v>45538.44027777778</v>
      </c>
      <c r="C2735" s="286" t="s">
        <v>2132</v>
      </c>
      <c r="D2735" s="286" t="s">
        <v>1105</v>
      </c>
      <c r="E2735" s="286" t="s">
        <v>1106</v>
      </c>
      <c r="F2735" s="286" t="s">
        <v>2139</v>
      </c>
      <c r="G2735" s="286" t="s">
        <v>1036</v>
      </c>
      <c r="H2735" s="286" t="s">
        <v>1036</v>
      </c>
      <c r="I2735" s="286" t="s">
        <v>1199</v>
      </c>
      <c r="J2735" s="286" t="s">
        <v>1312</v>
      </c>
      <c r="K2735" s="286" t="s">
        <v>2068</v>
      </c>
      <c r="L2735" s="286" t="s">
        <v>53</v>
      </c>
      <c r="M2735" s="286">
        <v>1</v>
      </c>
      <c r="N2735" s="287">
        <v>-2971.23</v>
      </c>
      <c r="O2735" s="294">
        <f t="shared" si="42"/>
        <v>45565</v>
      </c>
      <c r="P2735" s="286" t="s">
        <v>58</v>
      </c>
    </row>
    <row r="2736" spans="1:16" hidden="1" x14ac:dyDescent="0.15">
      <c r="A2736" s="286">
        <v>848817</v>
      </c>
      <c r="B2736" s="288">
        <v>45607.65902777778</v>
      </c>
      <c r="C2736" s="286" t="s">
        <v>2130</v>
      </c>
      <c r="D2736" s="286" t="s">
        <v>1105</v>
      </c>
      <c r="E2736" s="286" t="s">
        <v>1106</v>
      </c>
      <c r="F2736" s="286" t="s">
        <v>2140</v>
      </c>
      <c r="G2736" s="286" t="s">
        <v>1036</v>
      </c>
      <c r="H2736" s="286" t="s">
        <v>1036</v>
      </c>
      <c r="I2736" s="286" t="s">
        <v>1199</v>
      </c>
      <c r="J2736" s="286" t="s">
        <v>1312</v>
      </c>
      <c r="K2736" s="286" t="s">
        <v>2068</v>
      </c>
      <c r="L2736" s="286" t="s">
        <v>53</v>
      </c>
      <c r="M2736" s="286">
        <v>1</v>
      </c>
      <c r="N2736" s="287">
        <v>-2971.23</v>
      </c>
      <c r="O2736" s="294">
        <f t="shared" si="42"/>
        <v>45626</v>
      </c>
      <c r="P2736" s="286" t="s">
        <v>58</v>
      </c>
    </row>
    <row r="2737" spans="1:16" hidden="1" x14ac:dyDescent="0.15">
      <c r="A2737" s="286">
        <v>848917</v>
      </c>
      <c r="B2737" s="288">
        <v>45607.660416666666</v>
      </c>
      <c r="C2737" s="286" t="s">
        <v>2100</v>
      </c>
      <c r="D2737" s="286" t="s">
        <v>1105</v>
      </c>
      <c r="E2737" s="286" t="s">
        <v>1106</v>
      </c>
      <c r="F2737" s="286" t="s">
        <v>2141</v>
      </c>
      <c r="G2737" s="286" t="s">
        <v>1036</v>
      </c>
      <c r="H2737" s="286" t="s">
        <v>1036</v>
      </c>
      <c r="I2737" s="286" t="s">
        <v>1199</v>
      </c>
      <c r="J2737" s="286" t="s">
        <v>1312</v>
      </c>
      <c r="K2737" s="286" t="s">
        <v>2068</v>
      </c>
      <c r="L2737" s="286" t="s">
        <v>53</v>
      </c>
      <c r="M2737" s="286">
        <v>1</v>
      </c>
      <c r="N2737" s="287">
        <v>-2971.25</v>
      </c>
      <c r="O2737" s="294">
        <f t="shared" si="42"/>
        <v>45626</v>
      </c>
      <c r="P2737" s="286" t="s">
        <v>58</v>
      </c>
    </row>
    <row r="2738" spans="1:16" hidden="1" x14ac:dyDescent="0.15">
      <c r="A2738" s="286">
        <v>745911</v>
      </c>
      <c r="B2738" s="288">
        <v>45538.44027777778</v>
      </c>
      <c r="C2738" s="286" t="s">
        <v>2132</v>
      </c>
      <c r="D2738" s="286" t="s">
        <v>1105</v>
      </c>
      <c r="E2738" s="286" t="s">
        <v>1106</v>
      </c>
      <c r="F2738" s="286" t="s">
        <v>2139</v>
      </c>
      <c r="G2738" s="286" t="s">
        <v>1021</v>
      </c>
      <c r="H2738" s="286" t="s">
        <v>1021</v>
      </c>
      <c r="I2738" s="286" t="s">
        <v>1199</v>
      </c>
      <c r="J2738" s="286" t="s">
        <v>1312</v>
      </c>
      <c r="K2738" s="286" t="s">
        <v>2068</v>
      </c>
      <c r="L2738" s="286" t="s">
        <v>53</v>
      </c>
      <c r="M2738" s="286">
        <v>1</v>
      </c>
      <c r="N2738" s="287">
        <v>-2977.53</v>
      </c>
      <c r="O2738" s="294">
        <f t="shared" si="42"/>
        <v>45565</v>
      </c>
      <c r="P2738" s="286" t="s">
        <v>58</v>
      </c>
    </row>
    <row r="2739" spans="1:16" hidden="1" x14ac:dyDescent="0.15">
      <c r="A2739" s="286">
        <v>848817</v>
      </c>
      <c r="B2739" s="288">
        <v>45607.65902777778</v>
      </c>
      <c r="C2739" s="286" t="s">
        <v>2130</v>
      </c>
      <c r="D2739" s="286" t="s">
        <v>1105</v>
      </c>
      <c r="E2739" s="286" t="s">
        <v>1106</v>
      </c>
      <c r="F2739" s="286" t="s">
        <v>2140</v>
      </c>
      <c r="G2739" s="286" t="s">
        <v>1021</v>
      </c>
      <c r="H2739" s="286" t="s">
        <v>1021</v>
      </c>
      <c r="I2739" s="286" t="s">
        <v>1199</v>
      </c>
      <c r="J2739" s="286" t="s">
        <v>1312</v>
      </c>
      <c r="K2739" s="286" t="s">
        <v>2068</v>
      </c>
      <c r="L2739" s="286" t="s">
        <v>53</v>
      </c>
      <c r="M2739" s="286">
        <v>1</v>
      </c>
      <c r="N2739" s="287">
        <v>-2977.53</v>
      </c>
      <c r="O2739" s="294">
        <f t="shared" si="42"/>
        <v>45626</v>
      </c>
      <c r="P2739" s="286" t="s">
        <v>58</v>
      </c>
    </row>
    <row r="2740" spans="1:16" hidden="1" x14ac:dyDescent="0.15">
      <c r="A2740" s="286">
        <v>848917</v>
      </c>
      <c r="B2740" s="288">
        <v>45607.660416666666</v>
      </c>
      <c r="C2740" s="286" t="s">
        <v>2100</v>
      </c>
      <c r="D2740" s="286" t="s">
        <v>1105</v>
      </c>
      <c r="E2740" s="286" t="s">
        <v>1106</v>
      </c>
      <c r="F2740" s="286" t="s">
        <v>2141</v>
      </c>
      <c r="G2740" s="286" t="s">
        <v>1021</v>
      </c>
      <c r="H2740" s="286" t="s">
        <v>1021</v>
      </c>
      <c r="I2740" s="286" t="s">
        <v>1199</v>
      </c>
      <c r="J2740" s="286" t="s">
        <v>1312</v>
      </c>
      <c r="K2740" s="286" t="s">
        <v>2068</v>
      </c>
      <c r="L2740" s="286" t="s">
        <v>53</v>
      </c>
      <c r="M2740" s="286">
        <v>1</v>
      </c>
      <c r="N2740" s="287">
        <v>-2977.53</v>
      </c>
      <c r="O2740" s="294">
        <f t="shared" si="42"/>
        <v>45626</v>
      </c>
      <c r="P2740" s="286" t="s">
        <v>58</v>
      </c>
    </row>
    <row r="2741" spans="1:16" hidden="1" x14ac:dyDescent="0.15">
      <c r="A2741" s="286">
        <v>874698</v>
      </c>
      <c r="B2741" s="288">
        <v>45628.357638888891</v>
      </c>
      <c r="C2741" s="286" t="s">
        <v>2098</v>
      </c>
      <c r="D2741" s="286" t="s">
        <v>1105</v>
      </c>
      <c r="E2741" s="286" t="s">
        <v>1106</v>
      </c>
      <c r="F2741" s="286" t="s">
        <v>2142</v>
      </c>
      <c r="G2741" s="286" t="s">
        <v>1021</v>
      </c>
      <c r="H2741" s="286" t="s">
        <v>1021</v>
      </c>
      <c r="I2741" s="286" t="s">
        <v>1199</v>
      </c>
      <c r="J2741" s="286" t="s">
        <v>1312</v>
      </c>
      <c r="K2741" s="286" t="s">
        <v>2068</v>
      </c>
      <c r="L2741" s="286" t="s">
        <v>53</v>
      </c>
      <c r="M2741" s="286">
        <v>1</v>
      </c>
      <c r="N2741" s="287">
        <v>-2977.53</v>
      </c>
      <c r="O2741" s="294">
        <f t="shared" si="42"/>
        <v>45657</v>
      </c>
      <c r="P2741" s="286" t="s">
        <v>58</v>
      </c>
    </row>
    <row r="2742" spans="1:16" hidden="1" x14ac:dyDescent="0.15">
      <c r="A2742" s="286">
        <v>497665</v>
      </c>
      <c r="B2742" s="288">
        <v>45352.703472222223</v>
      </c>
      <c r="C2742" s="286" t="s">
        <v>2113</v>
      </c>
      <c r="D2742" s="286" t="s">
        <v>1105</v>
      </c>
      <c r="E2742" s="286" t="s">
        <v>1106</v>
      </c>
      <c r="F2742" s="286" t="s">
        <v>2183</v>
      </c>
      <c r="G2742" s="286" t="s">
        <v>1025</v>
      </c>
      <c r="H2742" s="286" t="s">
        <v>1025</v>
      </c>
      <c r="I2742" s="286" t="s">
        <v>1112</v>
      </c>
      <c r="J2742" s="286" t="s">
        <v>1312</v>
      </c>
      <c r="K2742" s="286" t="s">
        <v>53</v>
      </c>
      <c r="L2742" s="286" t="s">
        <v>53</v>
      </c>
      <c r="M2742" s="286" t="s">
        <v>53</v>
      </c>
      <c r="N2742" s="287">
        <v>-3015</v>
      </c>
      <c r="O2742" s="294">
        <f t="shared" si="42"/>
        <v>45382</v>
      </c>
      <c r="P2742" s="286" t="s">
        <v>175</v>
      </c>
    </row>
    <row r="2743" spans="1:16" hidden="1" x14ac:dyDescent="0.15">
      <c r="A2743" s="286">
        <v>874698</v>
      </c>
      <c r="B2743" s="288">
        <v>45628.357638888891</v>
      </c>
      <c r="C2743" s="286" t="s">
        <v>2098</v>
      </c>
      <c r="D2743" s="286" t="s">
        <v>1105</v>
      </c>
      <c r="E2743" s="286" t="s">
        <v>1106</v>
      </c>
      <c r="F2743" s="286" t="s">
        <v>2142</v>
      </c>
      <c r="G2743" s="286" t="s">
        <v>1036</v>
      </c>
      <c r="H2743" s="286" t="s">
        <v>1036</v>
      </c>
      <c r="I2743" s="286" t="s">
        <v>1152</v>
      </c>
      <c r="J2743" s="286" t="s">
        <v>53</v>
      </c>
      <c r="K2743" s="286" t="s">
        <v>53</v>
      </c>
      <c r="L2743" s="286" t="s">
        <v>53</v>
      </c>
      <c r="M2743" s="286" t="s">
        <v>53</v>
      </c>
      <c r="N2743" s="287">
        <v>-3068.87</v>
      </c>
      <c r="O2743" s="294">
        <f t="shared" si="42"/>
        <v>45657</v>
      </c>
      <c r="P2743" s="286" t="s">
        <v>58</v>
      </c>
    </row>
    <row r="2744" spans="1:16" hidden="1" x14ac:dyDescent="0.15">
      <c r="A2744" s="286">
        <v>745911</v>
      </c>
      <c r="B2744" s="288">
        <v>45538.44027777778</v>
      </c>
      <c r="C2744" s="286" t="s">
        <v>2132</v>
      </c>
      <c r="D2744" s="286" t="s">
        <v>1105</v>
      </c>
      <c r="E2744" s="286" t="s">
        <v>1106</v>
      </c>
      <c r="F2744" s="286" t="s">
        <v>2139</v>
      </c>
      <c r="G2744" s="286" t="s">
        <v>1007</v>
      </c>
      <c r="H2744" s="286" t="s">
        <v>1007</v>
      </c>
      <c r="I2744" s="286" t="s">
        <v>1228</v>
      </c>
      <c r="J2744" s="286" t="s">
        <v>1312</v>
      </c>
      <c r="K2744" s="286" t="s">
        <v>2502</v>
      </c>
      <c r="L2744" s="286" t="s">
        <v>53</v>
      </c>
      <c r="M2744" s="286">
        <v>1</v>
      </c>
      <c r="N2744" s="287">
        <v>-3087.27</v>
      </c>
      <c r="O2744" s="294">
        <f t="shared" si="42"/>
        <v>45565</v>
      </c>
      <c r="P2744" s="286" t="s">
        <v>58</v>
      </c>
    </row>
    <row r="2745" spans="1:16" hidden="1" x14ac:dyDescent="0.15">
      <c r="A2745" s="286">
        <v>848817</v>
      </c>
      <c r="B2745" s="288">
        <v>45607.65902777778</v>
      </c>
      <c r="C2745" s="286" t="s">
        <v>2130</v>
      </c>
      <c r="D2745" s="286" t="s">
        <v>1105</v>
      </c>
      <c r="E2745" s="286" t="s">
        <v>1106</v>
      </c>
      <c r="F2745" s="286" t="s">
        <v>2140</v>
      </c>
      <c r="G2745" s="286" t="s">
        <v>1007</v>
      </c>
      <c r="H2745" s="286" t="s">
        <v>1007</v>
      </c>
      <c r="I2745" s="286" t="s">
        <v>1228</v>
      </c>
      <c r="J2745" s="286" t="s">
        <v>1312</v>
      </c>
      <c r="K2745" s="286" t="s">
        <v>2502</v>
      </c>
      <c r="L2745" s="286" t="s">
        <v>53</v>
      </c>
      <c r="M2745" s="286">
        <v>1</v>
      </c>
      <c r="N2745" s="287">
        <v>-3087.27</v>
      </c>
      <c r="O2745" s="294">
        <f t="shared" si="42"/>
        <v>45626</v>
      </c>
      <c r="P2745" s="286" t="s">
        <v>58</v>
      </c>
    </row>
    <row r="2746" spans="1:16" hidden="1" x14ac:dyDescent="0.15">
      <c r="A2746" s="286">
        <v>848917</v>
      </c>
      <c r="B2746" s="288">
        <v>45607.660416666666</v>
      </c>
      <c r="C2746" s="286" t="s">
        <v>2100</v>
      </c>
      <c r="D2746" s="286" t="s">
        <v>1105</v>
      </c>
      <c r="E2746" s="286" t="s">
        <v>1106</v>
      </c>
      <c r="F2746" s="286" t="s">
        <v>2141</v>
      </c>
      <c r="G2746" s="286" t="s">
        <v>1007</v>
      </c>
      <c r="H2746" s="286" t="s">
        <v>1007</v>
      </c>
      <c r="I2746" s="286" t="s">
        <v>1228</v>
      </c>
      <c r="J2746" s="286" t="s">
        <v>1312</v>
      </c>
      <c r="K2746" s="286" t="s">
        <v>2502</v>
      </c>
      <c r="L2746" s="286" t="s">
        <v>53</v>
      </c>
      <c r="M2746" s="286">
        <v>1</v>
      </c>
      <c r="N2746" s="287">
        <v>-3087.27</v>
      </c>
      <c r="O2746" s="294">
        <f t="shared" si="42"/>
        <v>45626</v>
      </c>
      <c r="P2746" s="286" t="s">
        <v>58</v>
      </c>
    </row>
    <row r="2747" spans="1:16" hidden="1" x14ac:dyDescent="0.15">
      <c r="A2747" s="286">
        <v>874698</v>
      </c>
      <c r="B2747" s="288">
        <v>45628.357638888891</v>
      </c>
      <c r="C2747" s="286" t="s">
        <v>2098</v>
      </c>
      <c r="D2747" s="286" t="s">
        <v>1105</v>
      </c>
      <c r="E2747" s="286" t="s">
        <v>1106</v>
      </c>
      <c r="F2747" s="286" t="s">
        <v>2142</v>
      </c>
      <c r="G2747" s="286" t="s">
        <v>1007</v>
      </c>
      <c r="H2747" s="286" t="s">
        <v>1007</v>
      </c>
      <c r="I2747" s="286" t="s">
        <v>1228</v>
      </c>
      <c r="J2747" s="286" t="s">
        <v>1312</v>
      </c>
      <c r="K2747" s="286" t="s">
        <v>2502</v>
      </c>
      <c r="L2747" s="286" t="s">
        <v>53</v>
      </c>
      <c r="M2747" s="286">
        <v>1</v>
      </c>
      <c r="N2747" s="287">
        <v>-3087.27</v>
      </c>
      <c r="O2747" s="294">
        <f t="shared" si="42"/>
        <v>45657</v>
      </c>
      <c r="P2747" s="286" t="s">
        <v>58</v>
      </c>
    </row>
    <row r="2748" spans="1:16" hidden="1" x14ac:dyDescent="0.15">
      <c r="A2748" s="286">
        <v>497143</v>
      </c>
      <c r="B2748" s="288">
        <v>45352.531944444447</v>
      </c>
      <c r="C2748" s="286" t="s">
        <v>2125</v>
      </c>
      <c r="D2748" s="286" t="s">
        <v>1105</v>
      </c>
      <c r="E2748" s="286" t="s">
        <v>1106</v>
      </c>
      <c r="F2748" s="286" t="s">
        <v>2541</v>
      </c>
      <c r="G2748" s="286" t="s">
        <v>1069</v>
      </c>
      <c r="H2748" s="286" t="s">
        <v>1069</v>
      </c>
      <c r="I2748" s="286" t="s">
        <v>1228</v>
      </c>
      <c r="J2748" s="286" t="s">
        <v>53</v>
      </c>
      <c r="K2748" s="286" t="s">
        <v>53</v>
      </c>
      <c r="L2748" s="286" t="s">
        <v>53</v>
      </c>
      <c r="M2748" s="286" t="s">
        <v>53</v>
      </c>
      <c r="N2748" s="287">
        <v>-3114.15</v>
      </c>
      <c r="O2748" s="294">
        <f t="shared" si="42"/>
        <v>45382</v>
      </c>
      <c r="P2748" s="286" t="s">
        <v>58</v>
      </c>
    </row>
    <row r="2749" spans="1:16" hidden="1" x14ac:dyDescent="0.15">
      <c r="A2749" s="286">
        <v>520694</v>
      </c>
      <c r="B2749" s="288">
        <v>45372.481944444444</v>
      </c>
      <c r="C2749" s="286" t="s">
        <v>2113</v>
      </c>
      <c r="D2749" s="286" t="s">
        <v>1105</v>
      </c>
      <c r="E2749" s="286" t="s">
        <v>1106</v>
      </c>
      <c r="F2749" s="286" t="s">
        <v>2542</v>
      </c>
      <c r="G2749" s="286" t="s">
        <v>1069</v>
      </c>
      <c r="H2749" s="286" t="s">
        <v>1069</v>
      </c>
      <c r="I2749" s="286" t="s">
        <v>1228</v>
      </c>
      <c r="J2749" s="286" t="s">
        <v>53</v>
      </c>
      <c r="K2749" s="286" t="s">
        <v>53</v>
      </c>
      <c r="L2749" s="286" t="s">
        <v>53</v>
      </c>
      <c r="M2749" s="286" t="s">
        <v>53</v>
      </c>
      <c r="N2749" s="287">
        <v>-3114.15</v>
      </c>
      <c r="O2749" s="294">
        <f t="shared" si="42"/>
        <v>45382</v>
      </c>
      <c r="P2749" s="286" t="s">
        <v>58</v>
      </c>
    </row>
    <row r="2750" spans="1:16" hidden="1" x14ac:dyDescent="0.15">
      <c r="A2750" s="286">
        <v>520695</v>
      </c>
      <c r="B2750" s="288">
        <v>45372.481944444444</v>
      </c>
      <c r="C2750" s="286" t="s">
        <v>2109</v>
      </c>
      <c r="D2750" s="286" t="s">
        <v>1105</v>
      </c>
      <c r="E2750" s="286" t="s">
        <v>1106</v>
      </c>
      <c r="F2750" s="286" t="s">
        <v>2543</v>
      </c>
      <c r="G2750" s="286" t="s">
        <v>1069</v>
      </c>
      <c r="H2750" s="286" t="s">
        <v>1069</v>
      </c>
      <c r="I2750" s="286" t="s">
        <v>1228</v>
      </c>
      <c r="J2750" s="286" t="s">
        <v>53</v>
      </c>
      <c r="K2750" s="286" t="s">
        <v>53</v>
      </c>
      <c r="L2750" s="286" t="s">
        <v>53</v>
      </c>
      <c r="M2750" s="286" t="s">
        <v>53</v>
      </c>
      <c r="N2750" s="287">
        <v>-3114.15</v>
      </c>
      <c r="O2750" s="294">
        <f t="shared" si="42"/>
        <v>45382</v>
      </c>
      <c r="P2750" s="286" t="s">
        <v>58</v>
      </c>
    </row>
    <row r="2751" spans="1:16" hidden="1" x14ac:dyDescent="0.15">
      <c r="A2751" s="286">
        <v>520696</v>
      </c>
      <c r="B2751" s="288">
        <v>45372.482638888891</v>
      </c>
      <c r="C2751" s="286" t="s">
        <v>2096</v>
      </c>
      <c r="D2751" s="286" t="s">
        <v>1105</v>
      </c>
      <c r="E2751" s="286" t="s">
        <v>1106</v>
      </c>
      <c r="F2751" s="286" t="s">
        <v>2544</v>
      </c>
      <c r="G2751" s="286" t="s">
        <v>1069</v>
      </c>
      <c r="H2751" s="286" t="s">
        <v>1069</v>
      </c>
      <c r="I2751" s="286" t="s">
        <v>1228</v>
      </c>
      <c r="J2751" s="286" t="s">
        <v>53</v>
      </c>
      <c r="K2751" s="286" t="s">
        <v>53</v>
      </c>
      <c r="L2751" s="286" t="s">
        <v>53</v>
      </c>
      <c r="M2751" s="286" t="s">
        <v>53</v>
      </c>
      <c r="N2751" s="287">
        <v>-3114.15</v>
      </c>
      <c r="O2751" s="294">
        <f t="shared" si="42"/>
        <v>45382</v>
      </c>
      <c r="P2751" s="286" t="s">
        <v>58</v>
      </c>
    </row>
    <row r="2752" spans="1:16" hidden="1" x14ac:dyDescent="0.15">
      <c r="A2752" s="286">
        <v>520697</v>
      </c>
      <c r="B2752" s="288">
        <v>45372.482638888891</v>
      </c>
      <c r="C2752" s="286" t="s">
        <v>2116</v>
      </c>
      <c r="D2752" s="286" t="s">
        <v>1105</v>
      </c>
      <c r="E2752" s="286" t="s">
        <v>1106</v>
      </c>
      <c r="F2752" s="286" t="s">
        <v>2545</v>
      </c>
      <c r="G2752" s="286" t="s">
        <v>1069</v>
      </c>
      <c r="H2752" s="286" t="s">
        <v>1069</v>
      </c>
      <c r="I2752" s="286" t="s">
        <v>1228</v>
      </c>
      <c r="J2752" s="286" t="s">
        <v>53</v>
      </c>
      <c r="K2752" s="286" t="s">
        <v>53</v>
      </c>
      <c r="L2752" s="286" t="s">
        <v>53</v>
      </c>
      <c r="M2752" s="286" t="s">
        <v>53</v>
      </c>
      <c r="N2752" s="287">
        <v>-3114.15</v>
      </c>
      <c r="O2752" s="294">
        <f t="shared" si="42"/>
        <v>45382</v>
      </c>
      <c r="P2752" s="286" t="s">
        <v>58</v>
      </c>
    </row>
    <row r="2753" spans="1:16" hidden="1" x14ac:dyDescent="0.15">
      <c r="A2753" s="286">
        <v>520698</v>
      </c>
      <c r="B2753" s="288">
        <v>45372.482638888891</v>
      </c>
      <c r="C2753" s="286" t="s">
        <v>2092</v>
      </c>
      <c r="D2753" s="286" t="s">
        <v>1105</v>
      </c>
      <c r="E2753" s="286" t="s">
        <v>1106</v>
      </c>
      <c r="F2753" s="286" t="s">
        <v>2546</v>
      </c>
      <c r="G2753" s="286" t="s">
        <v>1069</v>
      </c>
      <c r="H2753" s="286" t="s">
        <v>1069</v>
      </c>
      <c r="I2753" s="286" t="s">
        <v>1228</v>
      </c>
      <c r="J2753" s="286" t="s">
        <v>53</v>
      </c>
      <c r="K2753" s="286" t="s">
        <v>53</v>
      </c>
      <c r="L2753" s="286" t="s">
        <v>53</v>
      </c>
      <c r="M2753" s="286" t="s">
        <v>53</v>
      </c>
      <c r="N2753" s="287">
        <v>-3114.15</v>
      </c>
      <c r="O2753" s="294">
        <f t="shared" si="42"/>
        <v>45382</v>
      </c>
      <c r="P2753" s="286" t="s">
        <v>58</v>
      </c>
    </row>
    <row r="2754" spans="1:16" hidden="1" x14ac:dyDescent="0.15">
      <c r="A2754" s="286">
        <v>520699</v>
      </c>
      <c r="B2754" s="288">
        <v>45372.482638888891</v>
      </c>
      <c r="C2754" s="286" t="s">
        <v>2111</v>
      </c>
      <c r="D2754" s="286" t="s">
        <v>1105</v>
      </c>
      <c r="E2754" s="286" t="s">
        <v>1106</v>
      </c>
      <c r="F2754" s="286" t="s">
        <v>2547</v>
      </c>
      <c r="G2754" s="286" t="s">
        <v>1069</v>
      </c>
      <c r="H2754" s="286" t="s">
        <v>1069</v>
      </c>
      <c r="I2754" s="286" t="s">
        <v>1228</v>
      </c>
      <c r="J2754" s="286" t="s">
        <v>53</v>
      </c>
      <c r="K2754" s="286" t="s">
        <v>53</v>
      </c>
      <c r="L2754" s="286" t="s">
        <v>53</v>
      </c>
      <c r="M2754" s="286" t="s">
        <v>53</v>
      </c>
      <c r="N2754" s="287">
        <v>-3114.15</v>
      </c>
      <c r="O2754" s="294">
        <f t="shared" si="42"/>
        <v>45382</v>
      </c>
      <c r="P2754" s="286" t="s">
        <v>58</v>
      </c>
    </row>
    <row r="2755" spans="1:16" hidden="1" x14ac:dyDescent="0.15">
      <c r="A2755" s="286">
        <v>520700</v>
      </c>
      <c r="B2755" s="288">
        <v>45372.482638888891</v>
      </c>
      <c r="C2755" s="286" t="s">
        <v>2102</v>
      </c>
      <c r="D2755" s="286" t="s">
        <v>1105</v>
      </c>
      <c r="E2755" s="286" t="s">
        <v>1106</v>
      </c>
      <c r="F2755" s="286" t="s">
        <v>2548</v>
      </c>
      <c r="G2755" s="286" t="s">
        <v>1069</v>
      </c>
      <c r="H2755" s="286" t="s">
        <v>1069</v>
      </c>
      <c r="I2755" s="286" t="s">
        <v>1228</v>
      </c>
      <c r="J2755" s="286" t="s">
        <v>53</v>
      </c>
      <c r="K2755" s="286" t="s">
        <v>53</v>
      </c>
      <c r="L2755" s="286" t="s">
        <v>53</v>
      </c>
      <c r="M2755" s="286" t="s">
        <v>53</v>
      </c>
      <c r="N2755" s="287">
        <v>-3114.15</v>
      </c>
      <c r="O2755" s="294">
        <f t="shared" si="42"/>
        <v>45382</v>
      </c>
      <c r="P2755" s="286" t="s">
        <v>58</v>
      </c>
    </row>
    <row r="2756" spans="1:16" hidden="1" x14ac:dyDescent="0.15">
      <c r="A2756" s="286">
        <v>520701</v>
      </c>
      <c r="B2756" s="288">
        <v>45372.48333333333</v>
      </c>
      <c r="C2756" s="286" t="s">
        <v>2132</v>
      </c>
      <c r="D2756" s="286" t="s">
        <v>1105</v>
      </c>
      <c r="E2756" s="286" t="s">
        <v>1106</v>
      </c>
      <c r="F2756" s="286" t="s">
        <v>2549</v>
      </c>
      <c r="G2756" s="286" t="s">
        <v>1069</v>
      </c>
      <c r="H2756" s="286" t="s">
        <v>1069</v>
      </c>
      <c r="I2756" s="286" t="s">
        <v>1228</v>
      </c>
      <c r="J2756" s="286" t="s">
        <v>53</v>
      </c>
      <c r="K2756" s="286" t="s">
        <v>53</v>
      </c>
      <c r="L2756" s="286" t="s">
        <v>53</v>
      </c>
      <c r="M2756" s="286" t="s">
        <v>53</v>
      </c>
      <c r="N2756" s="287">
        <v>-3114.15</v>
      </c>
      <c r="O2756" s="294">
        <f t="shared" ref="O2756:O2819" si="43">EOMONTH(B2756,0)</f>
        <v>45382</v>
      </c>
      <c r="P2756" s="286" t="s">
        <v>58</v>
      </c>
    </row>
    <row r="2757" spans="1:16" hidden="1" x14ac:dyDescent="0.15">
      <c r="A2757" s="286">
        <v>520702</v>
      </c>
      <c r="B2757" s="288">
        <v>45372.48333333333</v>
      </c>
      <c r="C2757" s="286" t="s">
        <v>2130</v>
      </c>
      <c r="D2757" s="286" t="s">
        <v>1105</v>
      </c>
      <c r="E2757" s="286" t="s">
        <v>1106</v>
      </c>
      <c r="F2757" s="286" t="s">
        <v>2550</v>
      </c>
      <c r="G2757" s="286" t="s">
        <v>1069</v>
      </c>
      <c r="H2757" s="286" t="s">
        <v>1069</v>
      </c>
      <c r="I2757" s="286" t="s">
        <v>1228</v>
      </c>
      <c r="J2757" s="286" t="s">
        <v>53</v>
      </c>
      <c r="K2757" s="286" t="s">
        <v>53</v>
      </c>
      <c r="L2757" s="286" t="s">
        <v>53</v>
      </c>
      <c r="M2757" s="286" t="s">
        <v>53</v>
      </c>
      <c r="N2757" s="287">
        <v>-3114.15</v>
      </c>
      <c r="O2757" s="294">
        <f t="shared" si="43"/>
        <v>45382</v>
      </c>
      <c r="P2757" s="286" t="s">
        <v>58</v>
      </c>
    </row>
    <row r="2758" spans="1:16" hidden="1" x14ac:dyDescent="0.15">
      <c r="A2758" s="286">
        <v>520703</v>
      </c>
      <c r="B2758" s="288">
        <v>45372.48333333333</v>
      </c>
      <c r="C2758" s="286" t="s">
        <v>2100</v>
      </c>
      <c r="D2758" s="286" t="s">
        <v>1105</v>
      </c>
      <c r="E2758" s="286" t="s">
        <v>1106</v>
      </c>
      <c r="F2758" s="286" t="s">
        <v>2551</v>
      </c>
      <c r="G2758" s="286" t="s">
        <v>1069</v>
      </c>
      <c r="H2758" s="286" t="s">
        <v>1069</v>
      </c>
      <c r="I2758" s="286" t="s">
        <v>1228</v>
      </c>
      <c r="J2758" s="286" t="s">
        <v>53</v>
      </c>
      <c r="K2758" s="286" t="s">
        <v>53</v>
      </c>
      <c r="L2758" s="286" t="s">
        <v>53</v>
      </c>
      <c r="M2758" s="286" t="s">
        <v>53</v>
      </c>
      <c r="N2758" s="287">
        <v>-3114.15</v>
      </c>
      <c r="O2758" s="294">
        <f t="shared" si="43"/>
        <v>45382</v>
      </c>
      <c r="P2758" s="286" t="s">
        <v>58</v>
      </c>
    </row>
    <row r="2759" spans="1:16" hidden="1" x14ac:dyDescent="0.15">
      <c r="A2759" s="286">
        <v>520704</v>
      </c>
      <c r="B2759" s="288">
        <v>45372.48333333333</v>
      </c>
      <c r="C2759" s="286" t="s">
        <v>2098</v>
      </c>
      <c r="D2759" s="286" t="s">
        <v>1105</v>
      </c>
      <c r="E2759" s="286" t="s">
        <v>1106</v>
      </c>
      <c r="F2759" s="286" t="s">
        <v>2552</v>
      </c>
      <c r="G2759" s="286" t="s">
        <v>1069</v>
      </c>
      <c r="H2759" s="286" t="s">
        <v>1069</v>
      </c>
      <c r="I2759" s="286" t="s">
        <v>1228</v>
      </c>
      <c r="J2759" s="286" t="s">
        <v>53</v>
      </c>
      <c r="K2759" s="286" t="s">
        <v>53</v>
      </c>
      <c r="L2759" s="286" t="s">
        <v>53</v>
      </c>
      <c r="M2759" s="286" t="s">
        <v>53</v>
      </c>
      <c r="N2759" s="287">
        <v>-3114.15</v>
      </c>
      <c r="O2759" s="294">
        <f t="shared" si="43"/>
        <v>45382</v>
      </c>
      <c r="P2759" s="286" t="s">
        <v>58</v>
      </c>
    </row>
    <row r="2760" spans="1:16" hidden="1" x14ac:dyDescent="0.15">
      <c r="A2760" s="286">
        <v>651672</v>
      </c>
      <c r="B2760" s="288">
        <v>45481.448611111111</v>
      </c>
      <c r="C2760" s="286" t="s">
        <v>2092</v>
      </c>
      <c r="D2760" s="286" t="s">
        <v>1105</v>
      </c>
      <c r="E2760" s="286" t="s">
        <v>1106</v>
      </c>
      <c r="F2760" s="286" t="s">
        <v>2120</v>
      </c>
      <c r="G2760" s="286" t="s">
        <v>1091</v>
      </c>
      <c r="H2760" s="286" t="s">
        <v>1091</v>
      </c>
      <c r="I2760" s="286" t="s">
        <v>1282</v>
      </c>
      <c r="J2760" s="286" t="s">
        <v>1312</v>
      </c>
      <c r="K2760" s="286" t="s">
        <v>2497</v>
      </c>
      <c r="L2760" s="286" t="s">
        <v>2496</v>
      </c>
      <c r="M2760" s="286">
        <v>1</v>
      </c>
      <c r="N2760" s="287">
        <v>-3118</v>
      </c>
      <c r="O2760" s="294">
        <f t="shared" si="43"/>
        <v>45504</v>
      </c>
      <c r="P2760" s="286" t="s">
        <v>201</v>
      </c>
    </row>
    <row r="2761" spans="1:16" hidden="1" x14ac:dyDescent="0.15">
      <c r="A2761" s="286">
        <v>697810</v>
      </c>
      <c r="B2761" s="288">
        <v>45510.366666666669</v>
      </c>
      <c r="C2761" s="286" t="s">
        <v>2102</v>
      </c>
      <c r="D2761" s="286" t="s">
        <v>1105</v>
      </c>
      <c r="E2761" s="286" t="s">
        <v>1106</v>
      </c>
      <c r="F2761" s="286" t="s">
        <v>2138</v>
      </c>
      <c r="G2761" s="286" t="s">
        <v>1007</v>
      </c>
      <c r="H2761" s="286" t="s">
        <v>1007</v>
      </c>
      <c r="I2761" s="286" t="s">
        <v>1228</v>
      </c>
      <c r="J2761" s="286" t="s">
        <v>1312</v>
      </c>
      <c r="K2761" s="286" t="s">
        <v>53</v>
      </c>
      <c r="L2761" s="286" t="s">
        <v>53</v>
      </c>
      <c r="M2761" s="286" t="s">
        <v>53</v>
      </c>
      <c r="N2761" s="287">
        <v>-3139.24</v>
      </c>
      <c r="O2761" s="294">
        <f t="shared" si="43"/>
        <v>45535</v>
      </c>
      <c r="P2761" s="286" t="s">
        <v>58</v>
      </c>
    </row>
    <row r="2762" spans="1:16" hidden="1" x14ac:dyDescent="0.15">
      <c r="A2762" s="286">
        <v>608713</v>
      </c>
      <c r="B2762" s="288">
        <v>45450.607638888891</v>
      </c>
      <c r="C2762" s="286" t="s">
        <v>2116</v>
      </c>
      <c r="D2762" s="286" t="s">
        <v>1105</v>
      </c>
      <c r="E2762" s="286" t="s">
        <v>1106</v>
      </c>
      <c r="F2762" s="286" t="s">
        <v>2553</v>
      </c>
      <c r="G2762" s="286" t="s">
        <v>1059</v>
      </c>
      <c r="H2762" s="286" t="s">
        <v>1059</v>
      </c>
      <c r="I2762" s="286" t="s">
        <v>1129</v>
      </c>
      <c r="J2762" s="286" t="s">
        <v>1312</v>
      </c>
      <c r="K2762" s="286" t="s">
        <v>53</v>
      </c>
      <c r="L2762" s="286" t="s">
        <v>53</v>
      </c>
      <c r="M2762" s="286" t="s">
        <v>53</v>
      </c>
      <c r="N2762" s="287">
        <v>-3180</v>
      </c>
      <c r="O2762" s="294">
        <f t="shared" si="43"/>
        <v>45473</v>
      </c>
      <c r="P2762" s="286" t="s">
        <v>164</v>
      </c>
    </row>
    <row r="2763" spans="1:16" hidden="1" x14ac:dyDescent="0.15">
      <c r="A2763" s="286">
        <v>504817</v>
      </c>
      <c r="B2763" s="288">
        <v>45359.645138888889</v>
      </c>
      <c r="C2763" s="286" t="s">
        <v>2109</v>
      </c>
      <c r="D2763" s="286" t="s">
        <v>1105</v>
      </c>
      <c r="E2763" s="286" t="s">
        <v>1106</v>
      </c>
      <c r="F2763" s="286" t="s">
        <v>2154</v>
      </c>
      <c r="G2763" s="286" t="s">
        <v>1028</v>
      </c>
      <c r="H2763" s="286" t="s">
        <v>1028</v>
      </c>
      <c r="I2763" s="286" t="s">
        <v>1199</v>
      </c>
      <c r="J2763" s="286" t="s">
        <v>1312</v>
      </c>
      <c r="K2763" s="286" t="s">
        <v>2076</v>
      </c>
      <c r="L2763" s="286" t="s">
        <v>53</v>
      </c>
      <c r="M2763" s="286">
        <v>1</v>
      </c>
      <c r="N2763" s="287">
        <v>-3192.25</v>
      </c>
      <c r="O2763" s="294">
        <f t="shared" si="43"/>
        <v>45382</v>
      </c>
      <c r="P2763" s="286" t="s">
        <v>58</v>
      </c>
    </row>
    <row r="2764" spans="1:16" hidden="1" x14ac:dyDescent="0.15">
      <c r="A2764" s="286">
        <v>534207</v>
      </c>
      <c r="B2764" s="288">
        <v>45385.750694444447</v>
      </c>
      <c r="C2764" s="286" t="s">
        <v>2096</v>
      </c>
      <c r="D2764" s="286" t="s">
        <v>1105</v>
      </c>
      <c r="E2764" s="286" t="s">
        <v>1106</v>
      </c>
      <c r="F2764" s="286" t="s">
        <v>2155</v>
      </c>
      <c r="G2764" s="286" t="s">
        <v>1028</v>
      </c>
      <c r="H2764" s="286" t="s">
        <v>1028</v>
      </c>
      <c r="I2764" s="286" t="s">
        <v>1199</v>
      </c>
      <c r="J2764" s="286" t="s">
        <v>1312</v>
      </c>
      <c r="K2764" s="286" t="s">
        <v>2076</v>
      </c>
      <c r="L2764" s="286" t="s">
        <v>53</v>
      </c>
      <c r="M2764" s="286">
        <v>1</v>
      </c>
      <c r="N2764" s="287">
        <v>-3192.25</v>
      </c>
      <c r="O2764" s="294">
        <f t="shared" si="43"/>
        <v>45412</v>
      </c>
      <c r="P2764" s="286" t="s">
        <v>58</v>
      </c>
    </row>
    <row r="2765" spans="1:16" hidden="1" x14ac:dyDescent="0.15">
      <c r="A2765" s="286">
        <v>614216</v>
      </c>
      <c r="B2765" s="288">
        <v>45455.716666666667</v>
      </c>
      <c r="C2765" s="286" t="s">
        <v>2116</v>
      </c>
      <c r="D2765" s="286" t="s">
        <v>1105</v>
      </c>
      <c r="E2765" s="286" t="s">
        <v>1106</v>
      </c>
      <c r="F2765" s="286" t="s">
        <v>2156</v>
      </c>
      <c r="G2765" s="286" t="s">
        <v>1028</v>
      </c>
      <c r="H2765" s="286" t="s">
        <v>1028</v>
      </c>
      <c r="I2765" s="286" t="s">
        <v>1199</v>
      </c>
      <c r="J2765" s="286" t="s">
        <v>1312</v>
      </c>
      <c r="K2765" s="286" t="s">
        <v>2076</v>
      </c>
      <c r="L2765" s="286" t="s">
        <v>53</v>
      </c>
      <c r="M2765" s="286">
        <v>1</v>
      </c>
      <c r="N2765" s="287">
        <v>-3192.25</v>
      </c>
      <c r="O2765" s="294">
        <f t="shared" si="43"/>
        <v>45473</v>
      </c>
      <c r="P2765" s="286" t="s">
        <v>58</v>
      </c>
    </row>
    <row r="2766" spans="1:16" hidden="1" x14ac:dyDescent="0.15">
      <c r="A2766" s="286">
        <v>608480</v>
      </c>
      <c r="B2766" s="288">
        <v>45450.422222222223</v>
      </c>
      <c r="C2766" s="286" t="s">
        <v>2092</v>
      </c>
      <c r="D2766" s="286" t="s">
        <v>1105</v>
      </c>
      <c r="E2766" s="286" t="s">
        <v>1106</v>
      </c>
      <c r="F2766" s="286" t="s">
        <v>2157</v>
      </c>
      <c r="G2766" s="286" t="s">
        <v>1028</v>
      </c>
      <c r="H2766" s="286" t="s">
        <v>1028</v>
      </c>
      <c r="I2766" s="286" t="s">
        <v>1199</v>
      </c>
      <c r="J2766" s="286" t="s">
        <v>1312</v>
      </c>
      <c r="K2766" s="286" t="s">
        <v>2076</v>
      </c>
      <c r="L2766" s="286" t="s">
        <v>53</v>
      </c>
      <c r="M2766" s="286">
        <v>1</v>
      </c>
      <c r="N2766" s="287">
        <v>-3192.25</v>
      </c>
      <c r="O2766" s="294">
        <f t="shared" si="43"/>
        <v>45473</v>
      </c>
      <c r="P2766" s="286" t="s">
        <v>58</v>
      </c>
    </row>
    <row r="2767" spans="1:16" hidden="1" x14ac:dyDescent="0.15">
      <c r="A2767" s="286">
        <v>646075</v>
      </c>
      <c r="B2767" s="288">
        <v>45474.519444444442</v>
      </c>
      <c r="C2767" s="286" t="s">
        <v>2111</v>
      </c>
      <c r="D2767" s="286" t="s">
        <v>1105</v>
      </c>
      <c r="E2767" s="286" t="s">
        <v>1106</v>
      </c>
      <c r="F2767" s="286" t="s">
        <v>2137</v>
      </c>
      <c r="G2767" s="286" t="s">
        <v>1028</v>
      </c>
      <c r="H2767" s="286" t="s">
        <v>1028</v>
      </c>
      <c r="I2767" s="286" t="s">
        <v>1199</v>
      </c>
      <c r="J2767" s="286" t="s">
        <v>1312</v>
      </c>
      <c r="K2767" s="286" t="s">
        <v>2076</v>
      </c>
      <c r="L2767" s="286" t="s">
        <v>53</v>
      </c>
      <c r="M2767" s="286">
        <v>1</v>
      </c>
      <c r="N2767" s="287">
        <v>-3192.25</v>
      </c>
      <c r="O2767" s="294">
        <f t="shared" si="43"/>
        <v>45504</v>
      </c>
      <c r="P2767" s="286" t="s">
        <v>58</v>
      </c>
    </row>
    <row r="2768" spans="1:16" hidden="1" x14ac:dyDescent="0.15">
      <c r="A2768" s="286">
        <v>697810</v>
      </c>
      <c r="B2768" s="288">
        <v>45510.366666666669</v>
      </c>
      <c r="C2768" s="286" t="s">
        <v>2102</v>
      </c>
      <c r="D2768" s="286" t="s">
        <v>1105</v>
      </c>
      <c r="E2768" s="286" t="s">
        <v>1106</v>
      </c>
      <c r="F2768" s="286" t="s">
        <v>2138</v>
      </c>
      <c r="G2768" s="286" t="s">
        <v>1028</v>
      </c>
      <c r="H2768" s="286" t="s">
        <v>1028</v>
      </c>
      <c r="I2768" s="286" t="s">
        <v>1199</v>
      </c>
      <c r="J2768" s="286" t="s">
        <v>1312</v>
      </c>
      <c r="K2768" s="286" t="s">
        <v>2076</v>
      </c>
      <c r="L2768" s="286" t="s">
        <v>53</v>
      </c>
      <c r="M2768" s="286">
        <v>1</v>
      </c>
      <c r="N2768" s="287">
        <v>-3192.25</v>
      </c>
      <c r="O2768" s="294">
        <f t="shared" si="43"/>
        <v>45535</v>
      </c>
      <c r="P2768" s="286" t="s">
        <v>58</v>
      </c>
    </row>
    <row r="2769" spans="1:16" hidden="1" x14ac:dyDescent="0.15">
      <c r="A2769" s="286">
        <v>745911</v>
      </c>
      <c r="B2769" s="288">
        <v>45538.44027777778</v>
      </c>
      <c r="C2769" s="286" t="s">
        <v>2132</v>
      </c>
      <c r="D2769" s="286" t="s">
        <v>1105</v>
      </c>
      <c r="E2769" s="286" t="s">
        <v>1106</v>
      </c>
      <c r="F2769" s="286" t="s">
        <v>2139</v>
      </c>
      <c r="G2769" s="286" t="s">
        <v>1028</v>
      </c>
      <c r="H2769" s="286" t="s">
        <v>1028</v>
      </c>
      <c r="I2769" s="286" t="s">
        <v>1199</v>
      </c>
      <c r="J2769" s="286" t="s">
        <v>1312</v>
      </c>
      <c r="K2769" s="286" t="s">
        <v>2076</v>
      </c>
      <c r="L2769" s="286" t="s">
        <v>53</v>
      </c>
      <c r="M2769" s="286">
        <v>1</v>
      </c>
      <c r="N2769" s="287">
        <v>-3192.25</v>
      </c>
      <c r="O2769" s="294">
        <f t="shared" si="43"/>
        <v>45565</v>
      </c>
      <c r="P2769" s="286" t="s">
        <v>58</v>
      </c>
    </row>
    <row r="2770" spans="1:16" hidden="1" x14ac:dyDescent="0.15">
      <c r="A2770" s="286">
        <v>848817</v>
      </c>
      <c r="B2770" s="288">
        <v>45607.65902777778</v>
      </c>
      <c r="C2770" s="286" t="s">
        <v>2130</v>
      </c>
      <c r="D2770" s="286" t="s">
        <v>1105</v>
      </c>
      <c r="E2770" s="286" t="s">
        <v>1106</v>
      </c>
      <c r="F2770" s="286" t="s">
        <v>2140</v>
      </c>
      <c r="G2770" s="286" t="s">
        <v>1028</v>
      </c>
      <c r="H2770" s="286" t="s">
        <v>1028</v>
      </c>
      <c r="I2770" s="286" t="s">
        <v>1199</v>
      </c>
      <c r="J2770" s="286" t="s">
        <v>1312</v>
      </c>
      <c r="K2770" s="286" t="s">
        <v>2076</v>
      </c>
      <c r="L2770" s="286" t="s">
        <v>53</v>
      </c>
      <c r="M2770" s="286">
        <v>1</v>
      </c>
      <c r="N2770" s="287">
        <v>-3192.25</v>
      </c>
      <c r="O2770" s="294">
        <f t="shared" si="43"/>
        <v>45626</v>
      </c>
      <c r="P2770" s="286" t="s">
        <v>58</v>
      </c>
    </row>
    <row r="2771" spans="1:16" hidden="1" x14ac:dyDescent="0.15">
      <c r="A2771" s="286">
        <v>848917</v>
      </c>
      <c r="B2771" s="288">
        <v>45607.660416666666</v>
      </c>
      <c r="C2771" s="286" t="s">
        <v>2100</v>
      </c>
      <c r="D2771" s="286" t="s">
        <v>1105</v>
      </c>
      <c r="E2771" s="286" t="s">
        <v>1106</v>
      </c>
      <c r="F2771" s="286" t="s">
        <v>2141</v>
      </c>
      <c r="G2771" s="286" t="s">
        <v>1028</v>
      </c>
      <c r="H2771" s="286" t="s">
        <v>1028</v>
      </c>
      <c r="I2771" s="286" t="s">
        <v>1199</v>
      </c>
      <c r="J2771" s="286" t="s">
        <v>1312</v>
      </c>
      <c r="K2771" s="286" t="s">
        <v>2076</v>
      </c>
      <c r="L2771" s="286" t="s">
        <v>53</v>
      </c>
      <c r="M2771" s="286">
        <v>1</v>
      </c>
      <c r="N2771" s="287">
        <v>-3192.25</v>
      </c>
      <c r="O2771" s="294">
        <f t="shared" si="43"/>
        <v>45626</v>
      </c>
      <c r="P2771" s="286" t="s">
        <v>58</v>
      </c>
    </row>
    <row r="2772" spans="1:16" hidden="1" x14ac:dyDescent="0.15">
      <c r="A2772" s="286">
        <v>874698</v>
      </c>
      <c r="B2772" s="288">
        <v>45628.357638888891</v>
      </c>
      <c r="C2772" s="286" t="s">
        <v>2098</v>
      </c>
      <c r="D2772" s="286" t="s">
        <v>1105</v>
      </c>
      <c r="E2772" s="286" t="s">
        <v>1106</v>
      </c>
      <c r="F2772" s="286" t="s">
        <v>2142</v>
      </c>
      <c r="G2772" s="286" t="s">
        <v>1028</v>
      </c>
      <c r="H2772" s="286" t="s">
        <v>1028</v>
      </c>
      <c r="I2772" s="286" t="s">
        <v>1199</v>
      </c>
      <c r="J2772" s="286" t="s">
        <v>1312</v>
      </c>
      <c r="K2772" s="286" t="s">
        <v>2076</v>
      </c>
      <c r="L2772" s="286" t="s">
        <v>53</v>
      </c>
      <c r="M2772" s="286">
        <v>1</v>
      </c>
      <c r="N2772" s="287">
        <v>-3192.25</v>
      </c>
      <c r="O2772" s="294">
        <f t="shared" si="43"/>
        <v>45657</v>
      </c>
      <c r="P2772" s="286" t="s">
        <v>58</v>
      </c>
    </row>
    <row r="2773" spans="1:16" hidden="1" x14ac:dyDescent="0.15">
      <c r="A2773" s="286">
        <v>556087</v>
      </c>
      <c r="B2773" s="288">
        <v>45406.408333333333</v>
      </c>
      <c r="C2773" s="286" t="s">
        <v>2096</v>
      </c>
      <c r="D2773" s="286" t="s">
        <v>1105</v>
      </c>
      <c r="E2773" s="286" t="s">
        <v>1106</v>
      </c>
      <c r="F2773" s="286" t="s">
        <v>2105</v>
      </c>
      <c r="G2773" s="286" t="s">
        <v>1004</v>
      </c>
      <c r="H2773" s="286" t="s">
        <v>1004</v>
      </c>
      <c r="I2773" s="286" t="s">
        <v>1152</v>
      </c>
      <c r="J2773" s="286" t="s">
        <v>1312</v>
      </c>
      <c r="K2773" s="286" t="s">
        <v>2504</v>
      </c>
      <c r="L2773" s="286" t="s">
        <v>53</v>
      </c>
      <c r="M2773" s="286">
        <v>1</v>
      </c>
      <c r="N2773" s="287">
        <v>-3193.09</v>
      </c>
      <c r="O2773" s="294">
        <f t="shared" si="43"/>
        <v>45412</v>
      </c>
      <c r="P2773" s="286" t="s">
        <v>58</v>
      </c>
    </row>
    <row r="2774" spans="1:16" hidden="1" x14ac:dyDescent="0.15">
      <c r="A2774" s="286">
        <v>614216</v>
      </c>
      <c r="B2774" s="288">
        <v>45455.716666666667</v>
      </c>
      <c r="C2774" s="286" t="s">
        <v>2116</v>
      </c>
      <c r="D2774" s="286" t="s">
        <v>1105</v>
      </c>
      <c r="E2774" s="286" t="s">
        <v>1106</v>
      </c>
      <c r="F2774" s="286" t="s">
        <v>2156</v>
      </c>
      <c r="G2774" s="286" t="s">
        <v>1004</v>
      </c>
      <c r="H2774" s="286" t="s">
        <v>1004</v>
      </c>
      <c r="I2774" s="286" t="s">
        <v>1152</v>
      </c>
      <c r="J2774" s="286" t="s">
        <v>1312</v>
      </c>
      <c r="K2774" s="286" t="s">
        <v>2504</v>
      </c>
      <c r="L2774" s="286" t="s">
        <v>53</v>
      </c>
      <c r="M2774" s="286">
        <v>1</v>
      </c>
      <c r="N2774" s="287">
        <v>-3193.09</v>
      </c>
      <c r="O2774" s="294">
        <f t="shared" si="43"/>
        <v>45473</v>
      </c>
      <c r="P2774" s="286" t="s">
        <v>58</v>
      </c>
    </row>
    <row r="2775" spans="1:16" hidden="1" x14ac:dyDescent="0.15">
      <c r="A2775" s="286">
        <v>614316</v>
      </c>
      <c r="B2775" s="288">
        <v>45455.717361111114</v>
      </c>
      <c r="C2775" s="286" t="s">
        <v>2092</v>
      </c>
      <c r="D2775" s="286" t="s">
        <v>1105</v>
      </c>
      <c r="E2775" s="286" t="s">
        <v>1106</v>
      </c>
      <c r="F2775" s="286" t="s">
        <v>2167</v>
      </c>
      <c r="G2775" s="286" t="s">
        <v>1004</v>
      </c>
      <c r="H2775" s="286" t="s">
        <v>1004</v>
      </c>
      <c r="I2775" s="286" t="s">
        <v>1152</v>
      </c>
      <c r="J2775" s="286" t="s">
        <v>1312</v>
      </c>
      <c r="K2775" s="286" t="s">
        <v>2504</v>
      </c>
      <c r="L2775" s="286" t="s">
        <v>53</v>
      </c>
      <c r="M2775" s="286">
        <v>1</v>
      </c>
      <c r="N2775" s="287">
        <v>-3193.09</v>
      </c>
      <c r="O2775" s="294">
        <f t="shared" si="43"/>
        <v>45473</v>
      </c>
      <c r="P2775" s="286" t="s">
        <v>58</v>
      </c>
    </row>
    <row r="2776" spans="1:16" hidden="1" x14ac:dyDescent="0.15">
      <c r="A2776" s="286">
        <v>646075</v>
      </c>
      <c r="B2776" s="288">
        <v>45474.519444444442</v>
      </c>
      <c r="C2776" s="286" t="s">
        <v>2111</v>
      </c>
      <c r="D2776" s="286" t="s">
        <v>1105</v>
      </c>
      <c r="E2776" s="286" t="s">
        <v>1106</v>
      </c>
      <c r="F2776" s="286" t="s">
        <v>2137</v>
      </c>
      <c r="G2776" s="286" t="s">
        <v>1004</v>
      </c>
      <c r="H2776" s="286" t="s">
        <v>1004</v>
      </c>
      <c r="I2776" s="286" t="s">
        <v>1152</v>
      </c>
      <c r="J2776" s="286" t="s">
        <v>1312</v>
      </c>
      <c r="K2776" s="286" t="s">
        <v>2504</v>
      </c>
      <c r="L2776" s="286" t="s">
        <v>53</v>
      </c>
      <c r="M2776" s="286">
        <v>1</v>
      </c>
      <c r="N2776" s="287">
        <v>-3193.09</v>
      </c>
      <c r="O2776" s="294">
        <f t="shared" si="43"/>
        <v>45504</v>
      </c>
      <c r="P2776" s="286" t="s">
        <v>58</v>
      </c>
    </row>
    <row r="2777" spans="1:16" hidden="1" x14ac:dyDescent="0.15">
      <c r="A2777" s="286">
        <v>697810</v>
      </c>
      <c r="B2777" s="288">
        <v>45510.366666666669</v>
      </c>
      <c r="C2777" s="286" t="s">
        <v>2102</v>
      </c>
      <c r="D2777" s="286" t="s">
        <v>1105</v>
      </c>
      <c r="E2777" s="286" t="s">
        <v>1106</v>
      </c>
      <c r="F2777" s="286" t="s">
        <v>2138</v>
      </c>
      <c r="G2777" s="286" t="s">
        <v>1004</v>
      </c>
      <c r="H2777" s="286" t="s">
        <v>1004</v>
      </c>
      <c r="I2777" s="286" t="s">
        <v>1152</v>
      </c>
      <c r="J2777" s="286" t="s">
        <v>1312</v>
      </c>
      <c r="K2777" s="286" t="s">
        <v>2504</v>
      </c>
      <c r="L2777" s="286" t="s">
        <v>53</v>
      </c>
      <c r="M2777" s="286">
        <v>1</v>
      </c>
      <c r="N2777" s="287">
        <v>-3193.09</v>
      </c>
      <c r="O2777" s="294">
        <f t="shared" si="43"/>
        <v>45535</v>
      </c>
      <c r="P2777" s="286" t="s">
        <v>58</v>
      </c>
    </row>
    <row r="2778" spans="1:16" hidden="1" x14ac:dyDescent="0.15">
      <c r="A2778" s="286">
        <v>697810</v>
      </c>
      <c r="B2778" s="288">
        <v>45510.366666666669</v>
      </c>
      <c r="C2778" s="286" t="s">
        <v>2102</v>
      </c>
      <c r="D2778" s="286" t="s">
        <v>1105</v>
      </c>
      <c r="E2778" s="286" t="s">
        <v>1106</v>
      </c>
      <c r="F2778" s="286" t="s">
        <v>2138</v>
      </c>
      <c r="G2778" s="286" t="s">
        <v>1055</v>
      </c>
      <c r="H2778" s="286" t="s">
        <v>1055</v>
      </c>
      <c r="I2778" s="286" t="s">
        <v>1199</v>
      </c>
      <c r="J2778" s="286" t="s">
        <v>1312</v>
      </c>
      <c r="K2778" s="286" t="s">
        <v>2068</v>
      </c>
      <c r="L2778" s="286" t="s">
        <v>53</v>
      </c>
      <c r="M2778" s="286">
        <v>1</v>
      </c>
      <c r="N2778" s="287">
        <v>-3193.09</v>
      </c>
      <c r="O2778" s="294">
        <f t="shared" si="43"/>
        <v>45535</v>
      </c>
      <c r="P2778" s="286" t="s">
        <v>58</v>
      </c>
    </row>
    <row r="2779" spans="1:16" hidden="1" x14ac:dyDescent="0.15">
      <c r="A2779" s="286">
        <v>745911</v>
      </c>
      <c r="B2779" s="288">
        <v>45538.44027777778</v>
      </c>
      <c r="C2779" s="286" t="s">
        <v>2132</v>
      </c>
      <c r="D2779" s="286" t="s">
        <v>1105</v>
      </c>
      <c r="E2779" s="286" t="s">
        <v>1106</v>
      </c>
      <c r="F2779" s="286" t="s">
        <v>2139</v>
      </c>
      <c r="G2779" s="286" t="s">
        <v>1004</v>
      </c>
      <c r="H2779" s="286" t="s">
        <v>1004</v>
      </c>
      <c r="I2779" s="286" t="s">
        <v>1152</v>
      </c>
      <c r="J2779" s="286" t="s">
        <v>1312</v>
      </c>
      <c r="K2779" s="286" t="s">
        <v>2504</v>
      </c>
      <c r="L2779" s="286" t="s">
        <v>53</v>
      </c>
      <c r="M2779" s="286">
        <v>1</v>
      </c>
      <c r="N2779" s="287">
        <v>-3193.09</v>
      </c>
      <c r="O2779" s="294">
        <f t="shared" si="43"/>
        <v>45565</v>
      </c>
      <c r="P2779" s="286" t="s">
        <v>58</v>
      </c>
    </row>
    <row r="2780" spans="1:16" hidden="1" x14ac:dyDescent="0.15">
      <c r="A2780" s="286">
        <v>745911</v>
      </c>
      <c r="B2780" s="288">
        <v>45538.44027777778</v>
      </c>
      <c r="C2780" s="286" t="s">
        <v>2132</v>
      </c>
      <c r="D2780" s="286" t="s">
        <v>1105</v>
      </c>
      <c r="E2780" s="286" t="s">
        <v>1106</v>
      </c>
      <c r="F2780" s="286" t="s">
        <v>2139</v>
      </c>
      <c r="G2780" s="286" t="s">
        <v>1055</v>
      </c>
      <c r="H2780" s="286" t="s">
        <v>1055</v>
      </c>
      <c r="I2780" s="286" t="s">
        <v>1199</v>
      </c>
      <c r="J2780" s="286" t="s">
        <v>1312</v>
      </c>
      <c r="K2780" s="286" t="s">
        <v>2068</v>
      </c>
      <c r="L2780" s="286" t="s">
        <v>53</v>
      </c>
      <c r="M2780" s="286">
        <v>1</v>
      </c>
      <c r="N2780" s="287">
        <v>-3193.09</v>
      </c>
      <c r="O2780" s="294">
        <f t="shared" si="43"/>
        <v>45565</v>
      </c>
      <c r="P2780" s="286" t="s">
        <v>58</v>
      </c>
    </row>
    <row r="2781" spans="1:16" hidden="1" x14ac:dyDescent="0.15">
      <c r="A2781" s="286">
        <v>848817</v>
      </c>
      <c r="B2781" s="288">
        <v>45607.65902777778</v>
      </c>
      <c r="C2781" s="286" t="s">
        <v>2130</v>
      </c>
      <c r="D2781" s="286" t="s">
        <v>1105</v>
      </c>
      <c r="E2781" s="286" t="s">
        <v>1106</v>
      </c>
      <c r="F2781" s="286" t="s">
        <v>2140</v>
      </c>
      <c r="G2781" s="286" t="s">
        <v>1004</v>
      </c>
      <c r="H2781" s="286" t="s">
        <v>1004</v>
      </c>
      <c r="I2781" s="286" t="s">
        <v>1152</v>
      </c>
      <c r="J2781" s="286" t="s">
        <v>1312</v>
      </c>
      <c r="K2781" s="286" t="s">
        <v>2504</v>
      </c>
      <c r="L2781" s="286" t="s">
        <v>53</v>
      </c>
      <c r="M2781" s="286">
        <v>1</v>
      </c>
      <c r="N2781" s="287">
        <v>-3193.09</v>
      </c>
      <c r="O2781" s="294">
        <f t="shared" si="43"/>
        <v>45626</v>
      </c>
      <c r="P2781" s="286" t="s">
        <v>58</v>
      </c>
    </row>
    <row r="2782" spans="1:16" hidden="1" x14ac:dyDescent="0.15">
      <c r="A2782" s="286">
        <v>848817</v>
      </c>
      <c r="B2782" s="288">
        <v>45607.65902777778</v>
      </c>
      <c r="C2782" s="286" t="s">
        <v>2130</v>
      </c>
      <c r="D2782" s="286" t="s">
        <v>1105</v>
      </c>
      <c r="E2782" s="286" t="s">
        <v>1106</v>
      </c>
      <c r="F2782" s="286" t="s">
        <v>2140</v>
      </c>
      <c r="G2782" s="286" t="s">
        <v>1055</v>
      </c>
      <c r="H2782" s="286" t="s">
        <v>1055</v>
      </c>
      <c r="I2782" s="286" t="s">
        <v>1199</v>
      </c>
      <c r="J2782" s="286" t="s">
        <v>1312</v>
      </c>
      <c r="K2782" s="286" t="s">
        <v>2068</v>
      </c>
      <c r="L2782" s="286" t="s">
        <v>53</v>
      </c>
      <c r="M2782" s="286">
        <v>1</v>
      </c>
      <c r="N2782" s="287">
        <v>-3193.09</v>
      </c>
      <c r="O2782" s="294">
        <f t="shared" si="43"/>
        <v>45626</v>
      </c>
      <c r="P2782" s="286" t="s">
        <v>58</v>
      </c>
    </row>
    <row r="2783" spans="1:16" hidden="1" x14ac:dyDescent="0.15">
      <c r="A2783" s="286">
        <v>848917</v>
      </c>
      <c r="B2783" s="288">
        <v>45607.660416666666</v>
      </c>
      <c r="C2783" s="286" t="s">
        <v>2100</v>
      </c>
      <c r="D2783" s="286" t="s">
        <v>1105</v>
      </c>
      <c r="E2783" s="286" t="s">
        <v>1106</v>
      </c>
      <c r="F2783" s="286" t="s">
        <v>2141</v>
      </c>
      <c r="G2783" s="286" t="s">
        <v>1004</v>
      </c>
      <c r="H2783" s="286" t="s">
        <v>1004</v>
      </c>
      <c r="I2783" s="286" t="s">
        <v>1152</v>
      </c>
      <c r="J2783" s="286" t="s">
        <v>1312</v>
      </c>
      <c r="K2783" s="286" t="s">
        <v>2504</v>
      </c>
      <c r="L2783" s="286" t="s">
        <v>53</v>
      </c>
      <c r="M2783" s="286">
        <v>1</v>
      </c>
      <c r="N2783" s="287">
        <v>-3193.09</v>
      </c>
      <c r="O2783" s="294">
        <f t="shared" si="43"/>
        <v>45626</v>
      </c>
      <c r="P2783" s="286" t="s">
        <v>58</v>
      </c>
    </row>
    <row r="2784" spans="1:16" hidden="1" x14ac:dyDescent="0.15">
      <c r="A2784" s="286">
        <v>848917</v>
      </c>
      <c r="B2784" s="288">
        <v>45607.660416666666</v>
      </c>
      <c r="C2784" s="286" t="s">
        <v>2100</v>
      </c>
      <c r="D2784" s="286" t="s">
        <v>1105</v>
      </c>
      <c r="E2784" s="286" t="s">
        <v>1106</v>
      </c>
      <c r="F2784" s="286" t="s">
        <v>2141</v>
      </c>
      <c r="G2784" s="286" t="s">
        <v>1055</v>
      </c>
      <c r="H2784" s="286" t="s">
        <v>1055</v>
      </c>
      <c r="I2784" s="286" t="s">
        <v>1199</v>
      </c>
      <c r="J2784" s="286" t="s">
        <v>1312</v>
      </c>
      <c r="K2784" s="286" t="s">
        <v>2068</v>
      </c>
      <c r="L2784" s="286" t="s">
        <v>53</v>
      </c>
      <c r="M2784" s="286">
        <v>1</v>
      </c>
      <c r="N2784" s="287">
        <v>-3193.09</v>
      </c>
      <c r="O2784" s="294">
        <f t="shared" si="43"/>
        <v>45626</v>
      </c>
      <c r="P2784" s="286" t="s">
        <v>58</v>
      </c>
    </row>
    <row r="2785" spans="1:16" hidden="1" x14ac:dyDescent="0.15">
      <c r="A2785" s="286">
        <v>874698</v>
      </c>
      <c r="B2785" s="288">
        <v>45628.357638888891</v>
      </c>
      <c r="C2785" s="286" t="s">
        <v>2098</v>
      </c>
      <c r="D2785" s="286" t="s">
        <v>1105</v>
      </c>
      <c r="E2785" s="286" t="s">
        <v>1106</v>
      </c>
      <c r="F2785" s="286" t="s">
        <v>2142</v>
      </c>
      <c r="G2785" s="286" t="s">
        <v>1004</v>
      </c>
      <c r="H2785" s="286" t="s">
        <v>1004</v>
      </c>
      <c r="I2785" s="286" t="s">
        <v>1152</v>
      </c>
      <c r="J2785" s="286" t="s">
        <v>1312</v>
      </c>
      <c r="K2785" s="286" t="s">
        <v>2504</v>
      </c>
      <c r="L2785" s="286" t="s">
        <v>53</v>
      </c>
      <c r="M2785" s="286">
        <v>1</v>
      </c>
      <c r="N2785" s="287">
        <v>-3193.09</v>
      </c>
      <c r="O2785" s="294">
        <f t="shared" si="43"/>
        <v>45657</v>
      </c>
      <c r="P2785" s="286" t="s">
        <v>58</v>
      </c>
    </row>
    <row r="2786" spans="1:16" hidden="1" x14ac:dyDescent="0.15">
      <c r="A2786" s="286">
        <v>874698</v>
      </c>
      <c r="B2786" s="288">
        <v>45628.357638888891</v>
      </c>
      <c r="C2786" s="286" t="s">
        <v>2098</v>
      </c>
      <c r="D2786" s="286" t="s">
        <v>1105</v>
      </c>
      <c r="E2786" s="286" t="s">
        <v>1106</v>
      </c>
      <c r="F2786" s="286" t="s">
        <v>2142</v>
      </c>
      <c r="G2786" s="286" t="s">
        <v>1055</v>
      </c>
      <c r="H2786" s="286" t="s">
        <v>1055</v>
      </c>
      <c r="I2786" s="286" t="s">
        <v>1199</v>
      </c>
      <c r="J2786" s="286" t="s">
        <v>1312</v>
      </c>
      <c r="K2786" s="286" t="s">
        <v>2068</v>
      </c>
      <c r="L2786" s="286" t="s">
        <v>53</v>
      </c>
      <c r="M2786" s="286">
        <v>1</v>
      </c>
      <c r="N2786" s="287">
        <v>-3193.09</v>
      </c>
      <c r="O2786" s="294">
        <f t="shared" si="43"/>
        <v>45657</v>
      </c>
      <c r="P2786" s="286" t="s">
        <v>58</v>
      </c>
    </row>
    <row r="2787" spans="1:16" hidden="1" x14ac:dyDescent="0.15">
      <c r="A2787" s="286">
        <v>745911</v>
      </c>
      <c r="B2787" s="288">
        <v>45538.44027777778</v>
      </c>
      <c r="C2787" s="286" t="s">
        <v>2132</v>
      </c>
      <c r="D2787" s="286" t="s">
        <v>1105</v>
      </c>
      <c r="E2787" s="286" t="s">
        <v>1106</v>
      </c>
      <c r="F2787" s="286" t="s">
        <v>2139</v>
      </c>
      <c r="G2787" s="286" t="s">
        <v>1841</v>
      </c>
      <c r="H2787" s="286" t="s">
        <v>1841</v>
      </c>
      <c r="I2787" s="286" t="s">
        <v>1228</v>
      </c>
      <c r="J2787" s="286" t="s">
        <v>1312</v>
      </c>
      <c r="K2787" s="286" t="s">
        <v>2076</v>
      </c>
      <c r="L2787" s="286" t="s">
        <v>53</v>
      </c>
      <c r="M2787" s="286">
        <v>1</v>
      </c>
      <c r="N2787" s="287">
        <v>-3193.42</v>
      </c>
      <c r="O2787" s="294">
        <f t="shared" si="43"/>
        <v>45565</v>
      </c>
      <c r="P2787" s="286" t="s">
        <v>58</v>
      </c>
    </row>
    <row r="2788" spans="1:16" hidden="1" x14ac:dyDescent="0.15">
      <c r="A2788" s="286">
        <v>848817</v>
      </c>
      <c r="B2788" s="288">
        <v>45607.65902777778</v>
      </c>
      <c r="C2788" s="286" t="s">
        <v>2130</v>
      </c>
      <c r="D2788" s="286" t="s">
        <v>1105</v>
      </c>
      <c r="E2788" s="286" t="s">
        <v>1106</v>
      </c>
      <c r="F2788" s="286" t="s">
        <v>2140</v>
      </c>
      <c r="G2788" s="286" t="s">
        <v>1841</v>
      </c>
      <c r="H2788" s="286" t="s">
        <v>1841</v>
      </c>
      <c r="I2788" s="286" t="s">
        <v>1228</v>
      </c>
      <c r="J2788" s="286" t="s">
        <v>1312</v>
      </c>
      <c r="K2788" s="286" t="s">
        <v>2076</v>
      </c>
      <c r="L2788" s="286" t="s">
        <v>53</v>
      </c>
      <c r="M2788" s="286">
        <v>1</v>
      </c>
      <c r="N2788" s="287">
        <v>-3193.42</v>
      </c>
      <c r="O2788" s="294">
        <f t="shared" si="43"/>
        <v>45626</v>
      </c>
      <c r="P2788" s="286" t="s">
        <v>58</v>
      </c>
    </row>
    <row r="2789" spans="1:16" hidden="1" x14ac:dyDescent="0.15">
      <c r="A2789" s="286">
        <v>848917</v>
      </c>
      <c r="B2789" s="288">
        <v>45607.660416666666</v>
      </c>
      <c r="C2789" s="286" t="s">
        <v>2100</v>
      </c>
      <c r="D2789" s="286" t="s">
        <v>1105</v>
      </c>
      <c r="E2789" s="286" t="s">
        <v>1106</v>
      </c>
      <c r="F2789" s="286" t="s">
        <v>2141</v>
      </c>
      <c r="G2789" s="286" t="s">
        <v>1841</v>
      </c>
      <c r="H2789" s="286" t="s">
        <v>1841</v>
      </c>
      <c r="I2789" s="286" t="s">
        <v>1228</v>
      </c>
      <c r="J2789" s="286" t="s">
        <v>1312</v>
      </c>
      <c r="K2789" s="286" t="s">
        <v>2076</v>
      </c>
      <c r="L2789" s="286" t="s">
        <v>53</v>
      </c>
      <c r="M2789" s="286">
        <v>1</v>
      </c>
      <c r="N2789" s="287">
        <v>-3193.42</v>
      </c>
      <c r="O2789" s="294">
        <f t="shared" si="43"/>
        <v>45626</v>
      </c>
      <c r="P2789" s="286" t="s">
        <v>58</v>
      </c>
    </row>
    <row r="2790" spans="1:16" hidden="1" x14ac:dyDescent="0.15">
      <c r="A2790" s="286">
        <v>874698</v>
      </c>
      <c r="B2790" s="288">
        <v>45628.357638888891</v>
      </c>
      <c r="C2790" s="286" t="s">
        <v>2098</v>
      </c>
      <c r="D2790" s="286" t="s">
        <v>1105</v>
      </c>
      <c r="E2790" s="286" t="s">
        <v>1106</v>
      </c>
      <c r="F2790" s="286" t="s">
        <v>2142</v>
      </c>
      <c r="G2790" s="286" t="s">
        <v>1841</v>
      </c>
      <c r="H2790" s="286" t="s">
        <v>1841</v>
      </c>
      <c r="I2790" s="286" t="s">
        <v>1228</v>
      </c>
      <c r="J2790" s="286" t="s">
        <v>1312</v>
      </c>
      <c r="K2790" s="286" t="s">
        <v>2076</v>
      </c>
      <c r="L2790" s="286" t="s">
        <v>53</v>
      </c>
      <c r="M2790" s="286">
        <v>1</v>
      </c>
      <c r="N2790" s="287">
        <v>-3193.42</v>
      </c>
      <c r="O2790" s="294">
        <f t="shared" si="43"/>
        <v>45657</v>
      </c>
      <c r="P2790" s="286" t="s">
        <v>58</v>
      </c>
    </row>
    <row r="2791" spans="1:16" hidden="1" x14ac:dyDescent="0.15">
      <c r="A2791" s="286">
        <v>848817</v>
      </c>
      <c r="B2791" s="288">
        <v>45607.65902777778</v>
      </c>
      <c r="C2791" s="286" t="s">
        <v>2130</v>
      </c>
      <c r="D2791" s="286" t="s">
        <v>1105</v>
      </c>
      <c r="E2791" s="286" t="s">
        <v>1106</v>
      </c>
      <c r="F2791" s="286" t="s">
        <v>2140</v>
      </c>
      <c r="G2791" s="286" t="s">
        <v>1033</v>
      </c>
      <c r="H2791" s="286" t="s">
        <v>1033</v>
      </c>
      <c r="I2791" s="286" t="s">
        <v>1228</v>
      </c>
      <c r="J2791" s="286" t="s">
        <v>1312</v>
      </c>
      <c r="K2791" s="286" t="s">
        <v>2076</v>
      </c>
      <c r="L2791" s="286" t="s">
        <v>53</v>
      </c>
      <c r="M2791" s="286">
        <v>1</v>
      </c>
      <c r="N2791" s="287">
        <v>-3202.65</v>
      </c>
      <c r="O2791" s="294">
        <f t="shared" si="43"/>
        <v>45626</v>
      </c>
      <c r="P2791" s="286" t="s">
        <v>58</v>
      </c>
    </row>
    <row r="2792" spans="1:16" hidden="1" x14ac:dyDescent="0.15">
      <c r="A2792" s="286">
        <v>848917</v>
      </c>
      <c r="B2792" s="288">
        <v>45607.660416666666</v>
      </c>
      <c r="C2792" s="286" t="s">
        <v>2100</v>
      </c>
      <c r="D2792" s="286" t="s">
        <v>1105</v>
      </c>
      <c r="E2792" s="286" t="s">
        <v>1106</v>
      </c>
      <c r="F2792" s="286" t="s">
        <v>2141</v>
      </c>
      <c r="G2792" s="286" t="s">
        <v>1033</v>
      </c>
      <c r="H2792" s="286" t="s">
        <v>1033</v>
      </c>
      <c r="I2792" s="286" t="s">
        <v>1228</v>
      </c>
      <c r="J2792" s="286" t="s">
        <v>1312</v>
      </c>
      <c r="K2792" s="286" t="s">
        <v>2076</v>
      </c>
      <c r="L2792" s="286" t="s">
        <v>53</v>
      </c>
      <c r="M2792" s="286">
        <v>1</v>
      </c>
      <c r="N2792" s="287">
        <v>-3202.65</v>
      </c>
      <c r="O2792" s="294">
        <f t="shared" si="43"/>
        <v>45626</v>
      </c>
      <c r="P2792" s="286" t="s">
        <v>58</v>
      </c>
    </row>
    <row r="2793" spans="1:16" hidden="1" x14ac:dyDescent="0.15">
      <c r="A2793" s="286">
        <v>874698</v>
      </c>
      <c r="B2793" s="288">
        <v>45628.357638888891</v>
      </c>
      <c r="C2793" s="286" t="s">
        <v>2098</v>
      </c>
      <c r="D2793" s="286" t="s">
        <v>1105</v>
      </c>
      <c r="E2793" s="286" t="s">
        <v>1106</v>
      </c>
      <c r="F2793" s="286" t="s">
        <v>2142</v>
      </c>
      <c r="G2793" s="286" t="s">
        <v>1015</v>
      </c>
      <c r="H2793" s="286" t="s">
        <v>1015</v>
      </c>
      <c r="I2793" s="286" t="s">
        <v>1228</v>
      </c>
      <c r="J2793" s="286" t="s">
        <v>1312</v>
      </c>
      <c r="K2793" s="286" t="s">
        <v>2076</v>
      </c>
      <c r="L2793" s="286" t="s">
        <v>53</v>
      </c>
      <c r="M2793" s="286">
        <v>1</v>
      </c>
      <c r="N2793" s="287">
        <v>-3202.65</v>
      </c>
      <c r="O2793" s="294">
        <f t="shared" si="43"/>
        <v>45657</v>
      </c>
      <c r="P2793" s="286" t="s">
        <v>58</v>
      </c>
    </row>
    <row r="2794" spans="1:16" hidden="1" x14ac:dyDescent="0.15">
      <c r="A2794" s="286">
        <v>874698</v>
      </c>
      <c r="B2794" s="288">
        <v>45628.357638888891</v>
      </c>
      <c r="C2794" s="286" t="s">
        <v>2098</v>
      </c>
      <c r="D2794" s="286" t="s">
        <v>1105</v>
      </c>
      <c r="E2794" s="286" t="s">
        <v>1106</v>
      </c>
      <c r="F2794" s="286" t="s">
        <v>2142</v>
      </c>
      <c r="G2794" s="286" t="s">
        <v>1033</v>
      </c>
      <c r="H2794" s="286" t="s">
        <v>1033</v>
      </c>
      <c r="I2794" s="286" t="s">
        <v>1228</v>
      </c>
      <c r="J2794" s="286" t="s">
        <v>1312</v>
      </c>
      <c r="K2794" s="286" t="s">
        <v>2076</v>
      </c>
      <c r="L2794" s="286" t="s">
        <v>53</v>
      </c>
      <c r="M2794" s="286">
        <v>1</v>
      </c>
      <c r="N2794" s="287">
        <v>-3202.65</v>
      </c>
      <c r="O2794" s="294">
        <f t="shared" si="43"/>
        <v>45657</v>
      </c>
      <c r="P2794" s="286" t="s">
        <v>58</v>
      </c>
    </row>
    <row r="2795" spans="1:16" hidden="1" x14ac:dyDescent="0.15">
      <c r="A2795" s="286">
        <v>646075</v>
      </c>
      <c r="B2795" s="288">
        <v>45474.519444444442</v>
      </c>
      <c r="C2795" s="286" t="s">
        <v>2111</v>
      </c>
      <c r="D2795" s="286" t="s">
        <v>1105</v>
      </c>
      <c r="E2795" s="286" t="s">
        <v>1106</v>
      </c>
      <c r="F2795" s="286" t="s">
        <v>2137</v>
      </c>
      <c r="G2795" s="286" t="s">
        <v>1061</v>
      </c>
      <c r="H2795" s="286" t="s">
        <v>1061</v>
      </c>
      <c r="I2795" s="286" t="s">
        <v>1228</v>
      </c>
      <c r="J2795" s="286" t="s">
        <v>1312</v>
      </c>
      <c r="K2795" s="286" t="s">
        <v>2076</v>
      </c>
      <c r="L2795" s="286" t="s">
        <v>53</v>
      </c>
      <c r="M2795" s="286">
        <v>1</v>
      </c>
      <c r="N2795" s="287">
        <v>-3202.98</v>
      </c>
      <c r="O2795" s="294">
        <f t="shared" si="43"/>
        <v>45504</v>
      </c>
      <c r="P2795" s="286" t="s">
        <v>58</v>
      </c>
    </row>
    <row r="2796" spans="1:16" hidden="1" x14ac:dyDescent="0.15">
      <c r="A2796" s="286">
        <v>697810</v>
      </c>
      <c r="B2796" s="288">
        <v>45510.366666666669</v>
      </c>
      <c r="C2796" s="286" t="s">
        <v>2102</v>
      </c>
      <c r="D2796" s="286" t="s">
        <v>1105</v>
      </c>
      <c r="E2796" s="286" t="s">
        <v>1106</v>
      </c>
      <c r="F2796" s="286" t="s">
        <v>2138</v>
      </c>
      <c r="G2796" s="286" t="s">
        <v>1061</v>
      </c>
      <c r="H2796" s="286" t="s">
        <v>1061</v>
      </c>
      <c r="I2796" s="286" t="s">
        <v>1228</v>
      </c>
      <c r="J2796" s="286" t="s">
        <v>1312</v>
      </c>
      <c r="K2796" s="286" t="s">
        <v>2076</v>
      </c>
      <c r="L2796" s="286" t="s">
        <v>53</v>
      </c>
      <c r="M2796" s="286">
        <v>1</v>
      </c>
      <c r="N2796" s="287">
        <v>-3202.98</v>
      </c>
      <c r="O2796" s="294">
        <f t="shared" si="43"/>
        <v>45535</v>
      </c>
      <c r="P2796" s="286" t="s">
        <v>58</v>
      </c>
    </row>
    <row r="2797" spans="1:16" hidden="1" x14ac:dyDescent="0.15">
      <c r="A2797" s="286">
        <v>745911</v>
      </c>
      <c r="B2797" s="288">
        <v>45538.44027777778</v>
      </c>
      <c r="C2797" s="286" t="s">
        <v>2132</v>
      </c>
      <c r="D2797" s="286" t="s">
        <v>1105</v>
      </c>
      <c r="E2797" s="286" t="s">
        <v>1106</v>
      </c>
      <c r="F2797" s="286" t="s">
        <v>2139</v>
      </c>
      <c r="G2797" s="286" t="s">
        <v>1061</v>
      </c>
      <c r="H2797" s="286" t="s">
        <v>1061</v>
      </c>
      <c r="I2797" s="286" t="s">
        <v>1228</v>
      </c>
      <c r="J2797" s="286" t="s">
        <v>1312</v>
      </c>
      <c r="K2797" s="286" t="s">
        <v>2076</v>
      </c>
      <c r="L2797" s="286" t="s">
        <v>53</v>
      </c>
      <c r="M2797" s="286">
        <v>1</v>
      </c>
      <c r="N2797" s="287">
        <v>-3202.98</v>
      </c>
      <c r="O2797" s="294">
        <f t="shared" si="43"/>
        <v>45565</v>
      </c>
      <c r="P2797" s="286" t="s">
        <v>58</v>
      </c>
    </row>
    <row r="2798" spans="1:16" hidden="1" x14ac:dyDescent="0.15">
      <c r="A2798" s="286">
        <v>848817</v>
      </c>
      <c r="B2798" s="288">
        <v>45607.65902777778</v>
      </c>
      <c r="C2798" s="286" t="s">
        <v>2130</v>
      </c>
      <c r="D2798" s="286" t="s">
        <v>1105</v>
      </c>
      <c r="E2798" s="286" t="s">
        <v>1106</v>
      </c>
      <c r="F2798" s="286" t="s">
        <v>2140</v>
      </c>
      <c r="G2798" s="286" t="s">
        <v>1061</v>
      </c>
      <c r="H2798" s="286" t="s">
        <v>1061</v>
      </c>
      <c r="I2798" s="286" t="s">
        <v>1228</v>
      </c>
      <c r="J2798" s="286" t="s">
        <v>1312</v>
      </c>
      <c r="K2798" s="286" t="s">
        <v>2076</v>
      </c>
      <c r="L2798" s="286" t="s">
        <v>53</v>
      </c>
      <c r="M2798" s="286">
        <v>1</v>
      </c>
      <c r="N2798" s="287">
        <v>-3202.98</v>
      </c>
      <c r="O2798" s="294">
        <f t="shared" si="43"/>
        <v>45626</v>
      </c>
      <c r="P2798" s="286" t="s">
        <v>58</v>
      </c>
    </row>
    <row r="2799" spans="1:16" hidden="1" x14ac:dyDescent="0.15">
      <c r="A2799" s="286">
        <v>848917</v>
      </c>
      <c r="B2799" s="288">
        <v>45607.660416666666</v>
      </c>
      <c r="C2799" s="286" t="s">
        <v>2100</v>
      </c>
      <c r="D2799" s="286" t="s">
        <v>1105</v>
      </c>
      <c r="E2799" s="286" t="s">
        <v>1106</v>
      </c>
      <c r="F2799" s="286" t="s">
        <v>2141</v>
      </c>
      <c r="G2799" s="286" t="s">
        <v>1061</v>
      </c>
      <c r="H2799" s="286" t="s">
        <v>1061</v>
      </c>
      <c r="I2799" s="286" t="s">
        <v>1228</v>
      </c>
      <c r="J2799" s="286" t="s">
        <v>1312</v>
      </c>
      <c r="K2799" s="286" t="s">
        <v>2076</v>
      </c>
      <c r="L2799" s="286" t="s">
        <v>53</v>
      </c>
      <c r="M2799" s="286">
        <v>1</v>
      </c>
      <c r="N2799" s="287">
        <v>-3202.98</v>
      </c>
      <c r="O2799" s="294">
        <f t="shared" si="43"/>
        <v>45626</v>
      </c>
      <c r="P2799" s="286" t="s">
        <v>58</v>
      </c>
    </row>
    <row r="2800" spans="1:16" hidden="1" x14ac:dyDescent="0.15">
      <c r="A2800" s="286">
        <v>874698</v>
      </c>
      <c r="B2800" s="288">
        <v>45628.357638888891</v>
      </c>
      <c r="C2800" s="286" t="s">
        <v>2098</v>
      </c>
      <c r="D2800" s="286" t="s">
        <v>1105</v>
      </c>
      <c r="E2800" s="286" t="s">
        <v>1106</v>
      </c>
      <c r="F2800" s="286" t="s">
        <v>2142</v>
      </c>
      <c r="G2800" s="286" t="s">
        <v>1061</v>
      </c>
      <c r="H2800" s="286" t="s">
        <v>1061</v>
      </c>
      <c r="I2800" s="286" t="s">
        <v>1228</v>
      </c>
      <c r="J2800" s="286" t="s">
        <v>1312</v>
      </c>
      <c r="K2800" s="286" t="s">
        <v>2076</v>
      </c>
      <c r="L2800" s="286" t="s">
        <v>53</v>
      </c>
      <c r="M2800" s="286">
        <v>1</v>
      </c>
      <c r="N2800" s="287">
        <v>-3202.98</v>
      </c>
      <c r="O2800" s="294">
        <f t="shared" si="43"/>
        <v>45657</v>
      </c>
      <c r="P2800" s="286" t="s">
        <v>58</v>
      </c>
    </row>
    <row r="2801" spans="1:16" hidden="1" x14ac:dyDescent="0.15">
      <c r="A2801" s="286">
        <v>438112</v>
      </c>
      <c r="B2801" s="288">
        <v>45293.53402777778</v>
      </c>
      <c r="C2801" s="286" t="s">
        <v>2125</v>
      </c>
      <c r="D2801" s="286" t="s">
        <v>1105</v>
      </c>
      <c r="E2801" s="286" t="s">
        <v>1106</v>
      </c>
      <c r="F2801" s="286" t="s">
        <v>2152</v>
      </c>
      <c r="G2801" s="286" t="s">
        <v>1039</v>
      </c>
      <c r="H2801" s="286" t="s">
        <v>1039</v>
      </c>
      <c r="I2801" s="286" t="s">
        <v>1228</v>
      </c>
      <c r="J2801" s="286" t="s">
        <v>1312</v>
      </c>
      <c r="K2801" s="286" t="s">
        <v>2076</v>
      </c>
      <c r="L2801" s="286" t="s">
        <v>53</v>
      </c>
      <c r="M2801" s="286">
        <v>1</v>
      </c>
      <c r="N2801" s="287">
        <v>-3203.43</v>
      </c>
      <c r="O2801" s="294">
        <f t="shared" si="43"/>
        <v>45322</v>
      </c>
      <c r="P2801" s="286" t="s">
        <v>58</v>
      </c>
    </row>
    <row r="2802" spans="1:16" hidden="1" x14ac:dyDescent="0.15">
      <c r="A2802" s="286">
        <v>472168</v>
      </c>
      <c r="B2802" s="288">
        <v>45331.416666666664</v>
      </c>
      <c r="C2802" s="286" t="s">
        <v>2113</v>
      </c>
      <c r="D2802" s="286" t="s">
        <v>1105</v>
      </c>
      <c r="E2802" s="286" t="s">
        <v>1106</v>
      </c>
      <c r="F2802" s="286" t="s">
        <v>2153</v>
      </c>
      <c r="G2802" s="286" t="s">
        <v>1039</v>
      </c>
      <c r="H2802" s="286" t="s">
        <v>1039</v>
      </c>
      <c r="I2802" s="286" t="s">
        <v>1228</v>
      </c>
      <c r="J2802" s="286" t="s">
        <v>1312</v>
      </c>
      <c r="K2802" s="286" t="s">
        <v>2076</v>
      </c>
      <c r="L2802" s="286" t="s">
        <v>53</v>
      </c>
      <c r="M2802" s="286">
        <v>1</v>
      </c>
      <c r="N2802" s="287">
        <v>-3203.43</v>
      </c>
      <c r="O2802" s="294">
        <f t="shared" si="43"/>
        <v>45351</v>
      </c>
      <c r="P2802" s="286" t="s">
        <v>58</v>
      </c>
    </row>
    <row r="2803" spans="1:16" hidden="1" x14ac:dyDescent="0.15">
      <c r="A2803" s="286">
        <v>504817</v>
      </c>
      <c r="B2803" s="288">
        <v>45359.645138888889</v>
      </c>
      <c r="C2803" s="286" t="s">
        <v>2109</v>
      </c>
      <c r="D2803" s="286" t="s">
        <v>1105</v>
      </c>
      <c r="E2803" s="286" t="s">
        <v>1106</v>
      </c>
      <c r="F2803" s="286" t="s">
        <v>2154</v>
      </c>
      <c r="G2803" s="286" t="s">
        <v>1039</v>
      </c>
      <c r="H2803" s="286" t="s">
        <v>1039</v>
      </c>
      <c r="I2803" s="286" t="s">
        <v>1228</v>
      </c>
      <c r="J2803" s="286" t="s">
        <v>1312</v>
      </c>
      <c r="K2803" s="286" t="s">
        <v>2076</v>
      </c>
      <c r="L2803" s="286" t="s">
        <v>53</v>
      </c>
      <c r="M2803" s="286">
        <v>1</v>
      </c>
      <c r="N2803" s="287">
        <v>-3203.43</v>
      </c>
      <c r="O2803" s="294">
        <f t="shared" si="43"/>
        <v>45382</v>
      </c>
      <c r="P2803" s="286" t="s">
        <v>58</v>
      </c>
    </row>
    <row r="2804" spans="1:16" hidden="1" x14ac:dyDescent="0.15">
      <c r="A2804" s="286">
        <v>534207</v>
      </c>
      <c r="B2804" s="288">
        <v>45385.750694444447</v>
      </c>
      <c r="C2804" s="286" t="s">
        <v>2096</v>
      </c>
      <c r="D2804" s="286" t="s">
        <v>1105</v>
      </c>
      <c r="E2804" s="286" t="s">
        <v>1106</v>
      </c>
      <c r="F2804" s="286" t="s">
        <v>2155</v>
      </c>
      <c r="G2804" s="286" t="s">
        <v>1039</v>
      </c>
      <c r="H2804" s="286" t="s">
        <v>1039</v>
      </c>
      <c r="I2804" s="286" t="s">
        <v>1228</v>
      </c>
      <c r="J2804" s="286" t="s">
        <v>1312</v>
      </c>
      <c r="K2804" s="286" t="s">
        <v>2076</v>
      </c>
      <c r="L2804" s="286" t="s">
        <v>53</v>
      </c>
      <c r="M2804" s="286">
        <v>1</v>
      </c>
      <c r="N2804" s="287">
        <v>-3203.43</v>
      </c>
      <c r="O2804" s="294">
        <f t="shared" si="43"/>
        <v>45412</v>
      </c>
      <c r="P2804" s="286" t="s">
        <v>58</v>
      </c>
    </row>
    <row r="2805" spans="1:16" hidden="1" x14ac:dyDescent="0.15">
      <c r="A2805" s="286">
        <v>614216</v>
      </c>
      <c r="B2805" s="288">
        <v>45455.716666666667</v>
      </c>
      <c r="C2805" s="286" t="s">
        <v>2116</v>
      </c>
      <c r="D2805" s="286" t="s">
        <v>1105</v>
      </c>
      <c r="E2805" s="286" t="s">
        <v>1106</v>
      </c>
      <c r="F2805" s="286" t="s">
        <v>2156</v>
      </c>
      <c r="G2805" s="286" t="s">
        <v>1039</v>
      </c>
      <c r="H2805" s="286" t="s">
        <v>1039</v>
      </c>
      <c r="I2805" s="286" t="s">
        <v>1228</v>
      </c>
      <c r="J2805" s="286" t="s">
        <v>1312</v>
      </c>
      <c r="K2805" s="286" t="s">
        <v>2076</v>
      </c>
      <c r="L2805" s="286" t="s">
        <v>53</v>
      </c>
      <c r="M2805" s="286">
        <v>1</v>
      </c>
      <c r="N2805" s="287">
        <v>-3203.47</v>
      </c>
      <c r="O2805" s="294">
        <f t="shared" si="43"/>
        <v>45473</v>
      </c>
      <c r="P2805" s="286" t="s">
        <v>58</v>
      </c>
    </row>
    <row r="2806" spans="1:16" hidden="1" x14ac:dyDescent="0.15">
      <c r="A2806" s="286">
        <v>883783</v>
      </c>
      <c r="B2806" s="288">
        <v>45632.650694444441</v>
      </c>
      <c r="C2806" s="286" t="s">
        <v>2100</v>
      </c>
      <c r="D2806" s="286" t="s">
        <v>1105</v>
      </c>
      <c r="E2806" s="286" t="s">
        <v>1106</v>
      </c>
      <c r="F2806" s="286" t="s">
        <v>2528</v>
      </c>
      <c r="G2806" s="286" t="s">
        <v>1041</v>
      </c>
      <c r="H2806" s="286" t="s">
        <v>1041</v>
      </c>
      <c r="I2806" s="286" t="s">
        <v>1129</v>
      </c>
      <c r="J2806" s="286" t="s">
        <v>1312</v>
      </c>
      <c r="K2806" s="286" t="s">
        <v>2322</v>
      </c>
      <c r="L2806" s="286" t="s">
        <v>2323</v>
      </c>
      <c r="M2806" s="286">
        <v>1</v>
      </c>
      <c r="N2806" s="287">
        <v>-3243.85</v>
      </c>
      <c r="O2806" s="294">
        <f t="shared" si="43"/>
        <v>45657</v>
      </c>
      <c r="P2806" s="286" t="s">
        <v>164</v>
      </c>
    </row>
    <row r="2807" spans="1:16" hidden="1" x14ac:dyDescent="0.15">
      <c r="A2807" s="286">
        <v>504817</v>
      </c>
      <c r="B2807" s="288">
        <v>45359.645138888889</v>
      </c>
      <c r="C2807" s="286" t="s">
        <v>2109</v>
      </c>
      <c r="D2807" s="286" t="s">
        <v>1105</v>
      </c>
      <c r="E2807" s="286" t="s">
        <v>1106</v>
      </c>
      <c r="F2807" s="286" t="s">
        <v>2154</v>
      </c>
      <c r="G2807" s="286" t="s">
        <v>1089</v>
      </c>
      <c r="H2807" s="286" t="s">
        <v>1089</v>
      </c>
      <c r="I2807" s="286" t="s">
        <v>1228</v>
      </c>
      <c r="J2807" s="286" t="s">
        <v>1312</v>
      </c>
      <c r="K2807" s="286" t="s">
        <v>1805</v>
      </c>
      <c r="L2807" s="286" t="s">
        <v>672</v>
      </c>
      <c r="M2807" s="286">
        <v>0</v>
      </c>
      <c r="N2807" s="287">
        <v>-3427.84</v>
      </c>
      <c r="O2807" s="294">
        <f t="shared" si="43"/>
        <v>45382</v>
      </c>
      <c r="P2807" s="286" t="s">
        <v>58</v>
      </c>
    </row>
    <row r="2808" spans="1:16" hidden="1" x14ac:dyDescent="0.15">
      <c r="A2808" s="286">
        <v>534207</v>
      </c>
      <c r="B2808" s="288">
        <v>45385.750694444447</v>
      </c>
      <c r="C2808" s="286" t="s">
        <v>2096</v>
      </c>
      <c r="D2808" s="286" t="s">
        <v>1105</v>
      </c>
      <c r="E2808" s="286" t="s">
        <v>1106</v>
      </c>
      <c r="F2808" s="286" t="s">
        <v>2155</v>
      </c>
      <c r="G2808" s="286" t="s">
        <v>1089</v>
      </c>
      <c r="H2808" s="286" t="s">
        <v>1089</v>
      </c>
      <c r="I2808" s="286" t="s">
        <v>1228</v>
      </c>
      <c r="J2808" s="286" t="s">
        <v>1312</v>
      </c>
      <c r="K2808" s="286" t="s">
        <v>1805</v>
      </c>
      <c r="L2808" s="286" t="s">
        <v>672</v>
      </c>
      <c r="M2808" s="286">
        <v>0</v>
      </c>
      <c r="N2808" s="287">
        <v>-3427.84</v>
      </c>
      <c r="O2808" s="294">
        <f t="shared" si="43"/>
        <v>45412</v>
      </c>
      <c r="P2808" s="286" t="s">
        <v>58</v>
      </c>
    </row>
    <row r="2809" spans="1:16" hidden="1" x14ac:dyDescent="0.15">
      <c r="A2809" s="286">
        <v>614216</v>
      </c>
      <c r="B2809" s="288">
        <v>45455.716666666667</v>
      </c>
      <c r="C2809" s="286" t="s">
        <v>2116</v>
      </c>
      <c r="D2809" s="286" t="s">
        <v>1105</v>
      </c>
      <c r="E2809" s="286" t="s">
        <v>1106</v>
      </c>
      <c r="F2809" s="286" t="s">
        <v>2156</v>
      </c>
      <c r="G2809" s="286" t="s">
        <v>1089</v>
      </c>
      <c r="H2809" s="286" t="s">
        <v>1089</v>
      </c>
      <c r="I2809" s="286" t="s">
        <v>1228</v>
      </c>
      <c r="J2809" s="286" t="s">
        <v>1312</v>
      </c>
      <c r="K2809" s="286" t="s">
        <v>1805</v>
      </c>
      <c r="L2809" s="286" t="s">
        <v>672</v>
      </c>
      <c r="M2809" s="286">
        <v>0</v>
      </c>
      <c r="N2809" s="287">
        <v>-3427.84</v>
      </c>
      <c r="O2809" s="294">
        <f t="shared" si="43"/>
        <v>45473</v>
      </c>
      <c r="P2809" s="286" t="s">
        <v>58</v>
      </c>
    </row>
    <row r="2810" spans="1:16" hidden="1" x14ac:dyDescent="0.15">
      <c r="A2810" s="286">
        <v>614316</v>
      </c>
      <c r="B2810" s="288">
        <v>45455.717361111114</v>
      </c>
      <c r="C2810" s="286" t="s">
        <v>2092</v>
      </c>
      <c r="D2810" s="286" t="s">
        <v>1105</v>
      </c>
      <c r="E2810" s="286" t="s">
        <v>1106</v>
      </c>
      <c r="F2810" s="286" t="s">
        <v>2167</v>
      </c>
      <c r="G2810" s="286" t="s">
        <v>1089</v>
      </c>
      <c r="H2810" s="286" t="s">
        <v>1089</v>
      </c>
      <c r="I2810" s="286" t="s">
        <v>1228</v>
      </c>
      <c r="J2810" s="286" t="s">
        <v>1312</v>
      </c>
      <c r="K2810" s="286" t="s">
        <v>1805</v>
      </c>
      <c r="L2810" s="286" t="s">
        <v>672</v>
      </c>
      <c r="M2810" s="286">
        <v>0</v>
      </c>
      <c r="N2810" s="287">
        <v>-3427.84</v>
      </c>
      <c r="O2810" s="294">
        <f t="shared" si="43"/>
        <v>45473</v>
      </c>
      <c r="P2810" s="286" t="s">
        <v>58</v>
      </c>
    </row>
    <row r="2811" spans="1:16" hidden="1" x14ac:dyDescent="0.15">
      <c r="A2811" s="286">
        <v>646075</v>
      </c>
      <c r="B2811" s="288">
        <v>45474.519444444442</v>
      </c>
      <c r="C2811" s="286" t="s">
        <v>2111</v>
      </c>
      <c r="D2811" s="286" t="s">
        <v>1105</v>
      </c>
      <c r="E2811" s="286" t="s">
        <v>1106</v>
      </c>
      <c r="F2811" s="286" t="s">
        <v>2137</v>
      </c>
      <c r="G2811" s="286" t="s">
        <v>1089</v>
      </c>
      <c r="H2811" s="286" t="s">
        <v>1089</v>
      </c>
      <c r="I2811" s="286" t="s">
        <v>1228</v>
      </c>
      <c r="J2811" s="286" t="s">
        <v>1312</v>
      </c>
      <c r="K2811" s="286" t="s">
        <v>1805</v>
      </c>
      <c r="L2811" s="286" t="s">
        <v>672</v>
      </c>
      <c r="M2811" s="286">
        <v>0</v>
      </c>
      <c r="N2811" s="287">
        <v>-3427.84</v>
      </c>
      <c r="O2811" s="294">
        <f t="shared" si="43"/>
        <v>45504</v>
      </c>
      <c r="P2811" s="286" t="s">
        <v>58</v>
      </c>
    </row>
    <row r="2812" spans="1:16" hidden="1" x14ac:dyDescent="0.15">
      <c r="A2812" s="286">
        <v>697810</v>
      </c>
      <c r="B2812" s="288">
        <v>45510.366666666669</v>
      </c>
      <c r="C2812" s="286" t="s">
        <v>2102</v>
      </c>
      <c r="D2812" s="286" t="s">
        <v>1105</v>
      </c>
      <c r="E2812" s="286" t="s">
        <v>1106</v>
      </c>
      <c r="F2812" s="286" t="s">
        <v>2138</v>
      </c>
      <c r="G2812" s="286" t="s">
        <v>1089</v>
      </c>
      <c r="H2812" s="286" t="s">
        <v>1089</v>
      </c>
      <c r="I2812" s="286" t="s">
        <v>1228</v>
      </c>
      <c r="J2812" s="286" t="s">
        <v>1312</v>
      </c>
      <c r="K2812" s="286" t="s">
        <v>1805</v>
      </c>
      <c r="L2812" s="286" t="s">
        <v>672</v>
      </c>
      <c r="M2812" s="286">
        <v>0</v>
      </c>
      <c r="N2812" s="287">
        <v>-3427.84</v>
      </c>
      <c r="O2812" s="294">
        <f t="shared" si="43"/>
        <v>45535</v>
      </c>
      <c r="P2812" s="286" t="s">
        <v>58</v>
      </c>
    </row>
    <row r="2813" spans="1:16" hidden="1" x14ac:dyDescent="0.15">
      <c r="A2813" s="286">
        <v>745911</v>
      </c>
      <c r="B2813" s="288">
        <v>45538.44027777778</v>
      </c>
      <c r="C2813" s="286" t="s">
        <v>2132</v>
      </c>
      <c r="D2813" s="286" t="s">
        <v>1105</v>
      </c>
      <c r="E2813" s="286" t="s">
        <v>1106</v>
      </c>
      <c r="F2813" s="286" t="s">
        <v>2139</v>
      </c>
      <c r="G2813" s="286" t="s">
        <v>1089</v>
      </c>
      <c r="H2813" s="286" t="s">
        <v>1089</v>
      </c>
      <c r="I2813" s="286" t="s">
        <v>1228</v>
      </c>
      <c r="J2813" s="286" t="s">
        <v>1312</v>
      </c>
      <c r="K2813" s="286" t="s">
        <v>1805</v>
      </c>
      <c r="L2813" s="286" t="s">
        <v>672</v>
      </c>
      <c r="M2813" s="286">
        <v>0</v>
      </c>
      <c r="N2813" s="287">
        <v>-3427.84</v>
      </c>
      <c r="O2813" s="294">
        <f t="shared" si="43"/>
        <v>45565</v>
      </c>
      <c r="P2813" s="286" t="s">
        <v>58</v>
      </c>
    </row>
    <row r="2814" spans="1:16" hidden="1" x14ac:dyDescent="0.15">
      <c r="A2814" s="286">
        <v>848817</v>
      </c>
      <c r="B2814" s="288">
        <v>45607.65902777778</v>
      </c>
      <c r="C2814" s="286" t="s">
        <v>2130</v>
      </c>
      <c r="D2814" s="286" t="s">
        <v>1105</v>
      </c>
      <c r="E2814" s="286" t="s">
        <v>1106</v>
      </c>
      <c r="F2814" s="286" t="s">
        <v>2140</v>
      </c>
      <c r="G2814" s="286" t="s">
        <v>1089</v>
      </c>
      <c r="H2814" s="286" t="s">
        <v>1089</v>
      </c>
      <c r="I2814" s="286" t="s">
        <v>1228</v>
      </c>
      <c r="J2814" s="286" t="s">
        <v>1312</v>
      </c>
      <c r="K2814" s="286" t="s">
        <v>1805</v>
      </c>
      <c r="L2814" s="286" t="s">
        <v>672</v>
      </c>
      <c r="M2814" s="286">
        <v>0</v>
      </c>
      <c r="N2814" s="287">
        <v>-3427.84</v>
      </c>
      <c r="O2814" s="294">
        <f t="shared" si="43"/>
        <v>45626</v>
      </c>
      <c r="P2814" s="286" t="s">
        <v>58</v>
      </c>
    </row>
    <row r="2815" spans="1:16" hidden="1" x14ac:dyDescent="0.15">
      <c r="A2815" s="286">
        <v>848917</v>
      </c>
      <c r="B2815" s="288">
        <v>45607.660416666666</v>
      </c>
      <c r="C2815" s="286" t="s">
        <v>2100</v>
      </c>
      <c r="D2815" s="286" t="s">
        <v>1105</v>
      </c>
      <c r="E2815" s="286" t="s">
        <v>1106</v>
      </c>
      <c r="F2815" s="286" t="s">
        <v>2141</v>
      </c>
      <c r="G2815" s="286" t="s">
        <v>1089</v>
      </c>
      <c r="H2815" s="286" t="s">
        <v>1089</v>
      </c>
      <c r="I2815" s="286" t="s">
        <v>1228</v>
      </c>
      <c r="J2815" s="286" t="s">
        <v>1312</v>
      </c>
      <c r="K2815" s="286" t="s">
        <v>1805</v>
      </c>
      <c r="L2815" s="286" t="s">
        <v>672</v>
      </c>
      <c r="M2815" s="286">
        <v>0</v>
      </c>
      <c r="N2815" s="287">
        <v>-3427.84</v>
      </c>
      <c r="O2815" s="294">
        <f t="shared" si="43"/>
        <v>45626</v>
      </c>
      <c r="P2815" s="286" t="s">
        <v>58</v>
      </c>
    </row>
    <row r="2816" spans="1:16" hidden="1" x14ac:dyDescent="0.15">
      <c r="A2816" s="286">
        <v>874698</v>
      </c>
      <c r="B2816" s="288">
        <v>45628.357638888891</v>
      </c>
      <c r="C2816" s="286" t="s">
        <v>2098</v>
      </c>
      <c r="D2816" s="286" t="s">
        <v>1105</v>
      </c>
      <c r="E2816" s="286" t="s">
        <v>1106</v>
      </c>
      <c r="F2816" s="286" t="s">
        <v>2142</v>
      </c>
      <c r="G2816" s="286" t="s">
        <v>1089</v>
      </c>
      <c r="H2816" s="286" t="s">
        <v>1089</v>
      </c>
      <c r="I2816" s="286" t="s">
        <v>1228</v>
      </c>
      <c r="J2816" s="286" t="s">
        <v>1312</v>
      </c>
      <c r="K2816" s="286" t="s">
        <v>1805</v>
      </c>
      <c r="L2816" s="286" t="s">
        <v>672</v>
      </c>
      <c r="M2816" s="286">
        <v>0</v>
      </c>
      <c r="N2816" s="287">
        <v>-3427.84</v>
      </c>
      <c r="O2816" s="294">
        <f t="shared" si="43"/>
        <v>45657</v>
      </c>
      <c r="P2816" s="286" t="s">
        <v>58</v>
      </c>
    </row>
    <row r="2817" spans="1:16" hidden="1" x14ac:dyDescent="0.15">
      <c r="A2817" s="286">
        <v>848917</v>
      </c>
      <c r="B2817" s="288">
        <v>45607.660416666666</v>
      </c>
      <c r="C2817" s="286" t="s">
        <v>2100</v>
      </c>
      <c r="D2817" s="286" t="s">
        <v>1105</v>
      </c>
      <c r="E2817" s="286" t="s">
        <v>1106</v>
      </c>
      <c r="F2817" s="286" t="s">
        <v>2141</v>
      </c>
      <c r="G2817" s="286" t="s">
        <v>1057</v>
      </c>
      <c r="H2817" s="286" t="s">
        <v>1057</v>
      </c>
      <c r="I2817" s="286" t="s">
        <v>1199</v>
      </c>
      <c r="J2817" s="286" t="s">
        <v>1312</v>
      </c>
      <c r="K2817" s="286" t="s">
        <v>2068</v>
      </c>
      <c r="L2817" s="286" t="s">
        <v>53</v>
      </c>
      <c r="M2817" s="286">
        <v>1</v>
      </c>
      <c r="N2817" s="287">
        <v>-3451.83</v>
      </c>
      <c r="O2817" s="294">
        <f t="shared" si="43"/>
        <v>45626</v>
      </c>
      <c r="P2817" s="286" t="s">
        <v>58</v>
      </c>
    </row>
    <row r="2818" spans="1:16" hidden="1" x14ac:dyDescent="0.15">
      <c r="A2818" s="286">
        <v>438112</v>
      </c>
      <c r="B2818" s="288">
        <v>45293.53402777778</v>
      </c>
      <c r="C2818" s="286" t="s">
        <v>2125</v>
      </c>
      <c r="D2818" s="286" t="s">
        <v>1105</v>
      </c>
      <c r="E2818" s="286" t="s">
        <v>1106</v>
      </c>
      <c r="F2818" s="286" t="s">
        <v>2152</v>
      </c>
      <c r="G2818" s="286" t="s">
        <v>1057</v>
      </c>
      <c r="H2818" s="286" t="s">
        <v>1057</v>
      </c>
      <c r="I2818" s="286" t="s">
        <v>1199</v>
      </c>
      <c r="J2818" s="286" t="s">
        <v>1312</v>
      </c>
      <c r="K2818" s="286" t="s">
        <v>2068</v>
      </c>
      <c r="L2818" s="286" t="s">
        <v>53</v>
      </c>
      <c r="M2818" s="286">
        <v>1</v>
      </c>
      <c r="N2818" s="287">
        <v>-3451.85</v>
      </c>
      <c r="O2818" s="294">
        <f t="shared" si="43"/>
        <v>45322</v>
      </c>
      <c r="P2818" s="286" t="s">
        <v>58</v>
      </c>
    </row>
    <row r="2819" spans="1:16" hidden="1" x14ac:dyDescent="0.15">
      <c r="A2819" s="286">
        <v>472168</v>
      </c>
      <c r="B2819" s="288">
        <v>45331.416666666664</v>
      </c>
      <c r="C2819" s="286" t="s">
        <v>2113</v>
      </c>
      <c r="D2819" s="286" t="s">
        <v>1105</v>
      </c>
      <c r="E2819" s="286" t="s">
        <v>1106</v>
      </c>
      <c r="F2819" s="286" t="s">
        <v>2153</v>
      </c>
      <c r="G2819" s="286" t="s">
        <v>1057</v>
      </c>
      <c r="H2819" s="286" t="s">
        <v>1057</v>
      </c>
      <c r="I2819" s="286" t="s">
        <v>1199</v>
      </c>
      <c r="J2819" s="286" t="s">
        <v>1312</v>
      </c>
      <c r="K2819" s="286" t="s">
        <v>2068</v>
      </c>
      <c r="L2819" s="286" t="s">
        <v>53</v>
      </c>
      <c r="M2819" s="286">
        <v>1</v>
      </c>
      <c r="N2819" s="287">
        <v>-3451.85</v>
      </c>
      <c r="O2819" s="294">
        <f t="shared" si="43"/>
        <v>45351</v>
      </c>
      <c r="P2819" s="286" t="s">
        <v>58</v>
      </c>
    </row>
    <row r="2820" spans="1:16" hidden="1" x14ac:dyDescent="0.15">
      <c r="A2820" s="286">
        <v>504817</v>
      </c>
      <c r="B2820" s="288">
        <v>45359.645138888889</v>
      </c>
      <c r="C2820" s="286" t="s">
        <v>2109</v>
      </c>
      <c r="D2820" s="286" t="s">
        <v>1105</v>
      </c>
      <c r="E2820" s="286" t="s">
        <v>1106</v>
      </c>
      <c r="F2820" s="286" t="s">
        <v>2154</v>
      </c>
      <c r="G2820" s="286" t="s">
        <v>1057</v>
      </c>
      <c r="H2820" s="286" t="s">
        <v>1057</v>
      </c>
      <c r="I2820" s="286" t="s">
        <v>1199</v>
      </c>
      <c r="J2820" s="286" t="s">
        <v>1312</v>
      </c>
      <c r="K2820" s="286" t="s">
        <v>2068</v>
      </c>
      <c r="L2820" s="286" t="s">
        <v>53</v>
      </c>
      <c r="M2820" s="286">
        <v>1</v>
      </c>
      <c r="N2820" s="287">
        <v>-3451.85</v>
      </c>
      <c r="O2820" s="294">
        <f t="shared" ref="O2820:O2883" si="44">EOMONTH(B2820,0)</f>
        <v>45382</v>
      </c>
      <c r="P2820" s="286" t="s">
        <v>58</v>
      </c>
    </row>
    <row r="2821" spans="1:16" hidden="1" x14ac:dyDescent="0.15">
      <c r="A2821" s="286">
        <v>534207</v>
      </c>
      <c r="B2821" s="288">
        <v>45385.750694444447</v>
      </c>
      <c r="C2821" s="286" t="s">
        <v>2096</v>
      </c>
      <c r="D2821" s="286" t="s">
        <v>1105</v>
      </c>
      <c r="E2821" s="286" t="s">
        <v>1106</v>
      </c>
      <c r="F2821" s="286" t="s">
        <v>2155</v>
      </c>
      <c r="G2821" s="286" t="s">
        <v>1057</v>
      </c>
      <c r="H2821" s="286" t="s">
        <v>1057</v>
      </c>
      <c r="I2821" s="286" t="s">
        <v>1199</v>
      </c>
      <c r="J2821" s="286" t="s">
        <v>1312</v>
      </c>
      <c r="K2821" s="286" t="s">
        <v>2068</v>
      </c>
      <c r="L2821" s="286" t="s">
        <v>53</v>
      </c>
      <c r="M2821" s="286">
        <v>1</v>
      </c>
      <c r="N2821" s="287">
        <v>-3451.85</v>
      </c>
      <c r="O2821" s="294">
        <f t="shared" si="44"/>
        <v>45412</v>
      </c>
      <c r="P2821" s="286" t="s">
        <v>58</v>
      </c>
    </row>
    <row r="2822" spans="1:16" hidden="1" x14ac:dyDescent="0.15">
      <c r="A2822" s="286">
        <v>614216</v>
      </c>
      <c r="B2822" s="288">
        <v>45455.716666666667</v>
      </c>
      <c r="C2822" s="286" t="s">
        <v>2116</v>
      </c>
      <c r="D2822" s="286" t="s">
        <v>1105</v>
      </c>
      <c r="E2822" s="286" t="s">
        <v>1106</v>
      </c>
      <c r="F2822" s="286" t="s">
        <v>2156</v>
      </c>
      <c r="G2822" s="286" t="s">
        <v>1057</v>
      </c>
      <c r="H2822" s="286" t="s">
        <v>1057</v>
      </c>
      <c r="I2822" s="286" t="s">
        <v>1199</v>
      </c>
      <c r="J2822" s="286" t="s">
        <v>1312</v>
      </c>
      <c r="K2822" s="286" t="s">
        <v>2068</v>
      </c>
      <c r="L2822" s="286" t="s">
        <v>53</v>
      </c>
      <c r="M2822" s="286">
        <v>1</v>
      </c>
      <c r="N2822" s="287">
        <v>-3451.85</v>
      </c>
      <c r="O2822" s="294">
        <f t="shared" si="44"/>
        <v>45473</v>
      </c>
      <c r="P2822" s="286" t="s">
        <v>58</v>
      </c>
    </row>
    <row r="2823" spans="1:16" hidden="1" x14ac:dyDescent="0.15">
      <c r="A2823" s="286">
        <v>614316</v>
      </c>
      <c r="B2823" s="288">
        <v>45455.717361111114</v>
      </c>
      <c r="C2823" s="286" t="s">
        <v>2092</v>
      </c>
      <c r="D2823" s="286" t="s">
        <v>1105</v>
      </c>
      <c r="E2823" s="286" t="s">
        <v>1106</v>
      </c>
      <c r="F2823" s="286" t="s">
        <v>2167</v>
      </c>
      <c r="G2823" s="286" t="s">
        <v>1057</v>
      </c>
      <c r="H2823" s="286" t="s">
        <v>1057</v>
      </c>
      <c r="I2823" s="286" t="s">
        <v>1199</v>
      </c>
      <c r="J2823" s="286" t="s">
        <v>1312</v>
      </c>
      <c r="K2823" s="286" t="s">
        <v>2068</v>
      </c>
      <c r="L2823" s="286" t="s">
        <v>53</v>
      </c>
      <c r="M2823" s="286">
        <v>1</v>
      </c>
      <c r="N2823" s="287">
        <v>-3451.85</v>
      </c>
      <c r="O2823" s="294">
        <f t="shared" si="44"/>
        <v>45473</v>
      </c>
      <c r="P2823" s="286" t="s">
        <v>58</v>
      </c>
    </row>
    <row r="2824" spans="1:16" hidden="1" x14ac:dyDescent="0.15">
      <c r="A2824" s="286">
        <v>646075</v>
      </c>
      <c r="B2824" s="288">
        <v>45474.519444444442</v>
      </c>
      <c r="C2824" s="286" t="s">
        <v>2111</v>
      </c>
      <c r="D2824" s="286" t="s">
        <v>1105</v>
      </c>
      <c r="E2824" s="286" t="s">
        <v>1106</v>
      </c>
      <c r="F2824" s="286" t="s">
        <v>2137</v>
      </c>
      <c r="G2824" s="286" t="s">
        <v>1057</v>
      </c>
      <c r="H2824" s="286" t="s">
        <v>1057</v>
      </c>
      <c r="I2824" s="286" t="s">
        <v>1199</v>
      </c>
      <c r="J2824" s="286" t="s">
        <v>1312</v>
      </c>
      <c r="K2824" s="286" t="s">
        <v>2068</v>
      </c>
      <c r="L2824" s="286" t="s">
        <v>53</v>
      </c>
      <c r="M2824" s="286">
        <v>1</v>
      </c>
      <c r="N2824" s="287">
        <v>-3451.85</v>
      </c>
      <c r="O2824" s="294">
        <f t="shared" si="44"/>
        <v>45504</v>
      </c>
      <c r="P2824" s="286" t="s">
        <v>58</v>
      </c>
    </row>
    <row r="2825" spans="1:16" hidden="1" x14ac:dyDescent="0.15">
      <c r="A2825" s="286">
        <v>697810</v>
      </c>
      <c r="B2825" s="288">
        <v>45510.366666666669</v>
      </c>
      <c r="C2825" s="286" t="s">
        <v>2102</v>
      </c>
      <c r="D2825" s="286" t="s">
        <v>1105</v>
      </c>
      <c r="E2825" s="286" t="s">
        <v>1106</v>
      </c>
      <c r="F2825" s="286" t="s">
        <v>2138</v>
      </c>
      <c r="G2825" s="286" t="s">
        <v>1057</v>
      </c>
      <c r="H2825" s="286" t="s">
        <v>1057</v>
      </c>
      <c r="I2825" s="286" t="s">
        <v>1199</v>
      </c>
      <c r="J2825" s="286" t="s">
        <v>1312</v>
      </c>
      <c r="K2825" s="286" t="s">
        <v>2068</v>
      </c>
      <c r="L2825" s="286" t="s">
        <v>53</v>
      </c>
      <c r="M2825" s="286">
        <v>1</v>
      </c>
      <c r="N2825" s="287">
        <v>-3451.85</v>
      </c>
      <c r="O2825" s="294">
        <f t="shared" si="44"/>
        <v>45535</v>
      </c>
      <c r="P2825" s="286" t="s">
        <v>58</v>
      </c>
    </row>
    <row r="2826" spans="1:16" hidden="1" x14ac:dyDescent="0.15">
      <c r="A2826" s="286">
        <v>745911</v>
      </c>
      <c r="B2826" s="288">
        <v>45538.44027777778</v>
      </c>
      <c r="C2826" s="286" t="s">
        <v>2132</v>
      </c>
      <c r="D2826" s="286" t="s">
        <v>1105</v>
      </c>
      <c r="E2826" s="286" t="s">
        <v>1106</v>
      </c>
      <c r="F2826" s="286" t="s">
        <v>2139</v>
      </c>
      <c r="G2826" s="286" t="s">
        <v>1057</v>
      </c>
      <c r="H2826" s="286" t="s">
        <v>1057</v>
      </c>
      <c r="I2826" s="286" t="s">
        <v>1199</v>
      </c>
      <c r="J2826" s="286" t="s">
        <v>1312</v>
      </c>
      <c r="K2826" s="286" t="s">
        <v>2068</v>
      </c>
      <c r="L2826" s="286" t="s">
        <v>53</v>
      </c>
      <c r="M2826" s="286">
        <v>1</v>
      </c>
      <c r="N2826" s="287">
        <v>-3451.85</v>
      </c>
      <c r="O2826" s="294">
        <f t="shared" si="44"/>
        <v>45565</v>
      </c>
      <c r="P2826" s="286" t="s">
        <v>58</v>
      </c>
    </row>
    <row r="2827" spans="1:16" hidden="1" x14ac:dyDescent="0.15">
      <c r="A2827" s="286">
        <v>848817</v>
      </c>
      <c r="B2827" s="288">
        <v>45607.65902777778</v>
      </c>
      <c r="C2827" s="286" t="s">
        <v>2130</v>
      </c>
      <c r="D2827" s="286" t="s">
        <v>1105</v>
      </c>
      <c r="E2827" s="286" t="s">
        <v>1106</v>
      </c>
      <c r="F2827" s="286" t="s">
        <v>2140</v>
      </c>
      <c r="G2827" s="286" t="s">
        <v>1057</v>
      </c>
      <c r="H2827" s="286" t="s">
        <v>1057</v>
      </c>
      <c r="I2827" s="286" t="s">
        <v>1199</v>
      </c>
      <c r="J2827" s="286" t="s">
        <v>1312</v>
      </c>
      <c r="K2827" s="286" t="s">
        <v>2068</v>
      </c>
      <c r="L2827" s="286" t="s">
        <v>53</v>
      </c>
      <c r="M2827" s="286">
        <v>1</v>
      </c>
      <c r="N2827" s="287">
        <v>-3451.85</v>
      </c>
      <c r="O2827" s="294">
        <f t="shared" si="44"/>
        <v>45626</v>
      </c>
      <c r="P2827" s="286" t="s">
        <v>58</v>
      </c>
    </row>
    <row r="2828" spans="1:16" hidden="1" x14ac:dyDescent="0.15">
      <c r="A2828" s="286">
        <v>438112</v>
      </c>
      <c r="B2828" s="288">
        <v>45293.53402777778</v>
      </c>
      <c r="C2828" s="286" t="s">
        <v>2125</v>
      </c>
      <c r="D2828" s="286" t="s">
        <v>1105</v>
      </c>
      <c r="E2828" s="286" t="s">
        <v>1106</v>
      </c>
      <c r="F2828" s="286" t="s">
        <v>2152</v>
      </c>
      <c r="G2828" s="286" t="s">
        <v>1021</v>
      </c>
      <c r="H2828" s="286" t="s">
        <v>1021</v>
      </c>
      <c r="I2828" s="286" t="s">
        <v>1199</v>
      </c>
      <c r="J2828" s="286" t="s">
        <v>1312</v>
      </c>
      <c r="K2828" s="286" t="s">
        <v>2068</v>
      </c>
      <c r="L2828" s="286" t="s">
        <v>53</v>
      </c>
      <c r="M2828" s="286">
        <v>1</v>
      </c>
      <c r="N2828" s="287">
        <v>-3511.45</v>
      </c>
      <c r="O2828" s="294">
        <f t="shared" si="44"/>
        <v>45322</v>
      </c>
      <c r="P2828" s="286" t="s">
        <v>58</v>
      </c>
    </row>
    <row r="2829" spans="1:16" hidden="1" x14ac:dyDescent="0.15">
      <c r="A2829" s="286">
        <v>472168</v>
      </c>
      <c r="B2829" s="288">
        <v>45331.416666666664</v>
      </c>
      <c r="C2829" s="286" t="s">
        <v>2113</v>
      </c>
      <c r="D2829" s="286" t="s">
        <v>1105</v>
      </c>
      <c r="E2829" s="286" t="s">
        <v>1106</v>
      </c>
      <c r="F2829" s="286" t="s">
        <v>2153</v>
      </c>
      <c r="G2829" s="286" t="s">
        <v>1021</v>
      </c>
      <c r="H2829" s="286" t="s">
        <v>1021</v>
      </c>
      <c r="I2829" s="286" t="s">
        <v>1199</v>
      </c>
      <c r="J2829" s="286" t="s">
        <v>1312</v>
      </c>
      <c r="K2829" s="286" t="s">
        <v>2068</v>
      </c>
      <c r="L2829" s="286" t="s">
        <v>53</v>
      </c>
      <c r="M2829" s="286">
        <v>1</v>
      </c>
      <c r="N2829" s="287">
        <v>-3511.45</v>
      </c>
      <c r="O2829" s="294">
        <f t="shared" si="44"/>
        <v>45351</v>
      </c>
      <c r="P2829" s="286" t="s">
        <v>58</v>
      </c>
    </row>
    <row r="2830" spans="1:16" hidden="1" x14ac:dyDescent="0.15">
      <c r="A2830" s="286">
        <v>504817</v>
      </c>
      <c r="B2830" s="288">
        <v>45359.645138888889</v>
      </c>
      <c r="C2830" s="286" t="s">
        <v>2109</v>
      </c>
      <c r="D2830" s="286" t="s">
        <v>1105</v>
      </c>
      <c r="E2830" s="286" t="s">
        <v>1106</v>
      </c>
      <c r="F2830" s="286" t="s">
        <v>2154</v>
      </c>
      <c r="G2830" s="286" t="s">
        <v>1021</v>
      </c>
      <c r="H2830" s="286" t="s">
        <v>1021</v>
      </c>
      <c r="I2830" s="286" t="s">
        <v>1199</v>
      </c>
      <c r="J2830" s="286" t="s">
        <v>1312</v>
      </c>
      <c r="K2830" s="286" t="s">
        <v>2068</v>
      </c>
      <c r="L2830" s="286" t="s">
        <v>53</v>
      </c>
      <c r="M2830" s="286">
        <v>1</v>
      </c>
      <c r="N2830" s="287">
        <v>-3511.45</v>
      </c>
      <c r="O2830" s="294">
        <f t="shared" si="44"/>
        <v>45382</v>
      </c>
      <c r="P2830" s="286" t="s">
        <v>58</v>
      </c>
    </row>
    <row r="2831" spans="1:16" hidden="1" x14ac:dyDescent="0.15">
      <c r="A2831" s="286">
        <v>534207</v>
      </c>
      <c r="B2831" s="288">
        <v>45385.750694444447</v>
      </c>
      <c r="C2831" s="286" t="s">
        <v>2096</v>
      </c>
      <c r="D2831" s="286" t="s">
        <v>1105</v>
      </c>
      <c r="E2831" s="286" t="s">
        <v>1106</v>
      </c>
      <c r="F2831" s="286" t="s">
        <v>2155</v>
      </c>
      <c r="G2831" s="286" t="s">
        <v>1021</v>
      </c>
      <c r="H2831" s="286" t="s">
        <v>1021</v>
      </c>
      <c r="I2831" s="286" t="s">
        <v>1199</v>
      </c>
      <c r="J2831" s="286" t="s">
        <v>1312</v>
      </c>
      <c r="K2831" s="286" t="s">
        <v>2068</v>
      </c>
      <c r="L2831" s="286" t="s">
        <v>53</v>
      </c>
      <c r="M2831" s="286">
        <v>1</v>
      </c>
      <c r="N2831" s="287">
        <v>-3511.45</v>
      </c>
      <c r="O2831" s="294">
        <f t="shared" si="44"/>
        <v>45412</v>
      </c>
      <c r="P2831" s="286" t="s">
        <v>58</v>
      </c>
    </row>
    <row r="2832" spans="1:16" hidden="1" x14ac:dyDescent="0.15">
      <c r="A2832" s="286">
        <v>614216</v>
      </c>
      <c r="B2832" s="288">
        <v>45455.716666666667</v>
      </c>
      <c r="C2832" s="286" t="s">
        <v>2116</v>
      </c>
      <c r="D2832" s="286" t="s">
        <v>1105</v>
      </c>
      <c r="E2832" s="286" t="s">
        <v>1106</v>
      </c>
      <c r="F2832" s="286" t="s">
        <v>2156</v>
      </c>
      <c r="G2832" s="286" t="s">
        <v>1021</v>
      </c>
      <c r="H2832" s="286" t="s">
        <v>1021</v>
      </c>
      <c r="I2832" s="286" t="s">
        <v>1199</v>
      </c>
      <c r="J2832" s="286" t="s">
        <v>1312</v>
      </c>
      <c r="K2832" s="286" t="s">
        <v>2068</v>
      </c>
      <c r="L2832" s="286" t="s">
        <v>53</v>
      </c>
      <c r="M2832" s="286">
        <v>1</v>
      </c>
      <c r="N2832" s="287">
        <v>-3511.45</v>
      </c>
      <c r="O2832" s="294">
        <f t="shared" si="44"/>
        <v>45473</v>
      </c>
      <c r="P2832" s="286" t="s">
        <v>58</v>
      </c>
    </row>
    <row r="2833" spans="1:16" hidden="1" x14ac:dyDescent="0.15">
      <c r="A2833" s="286">
        <v>608480</v>
      </c>
      <c r="B2833" s="288">
        <v>45450.422222222223</v>
      </c>
      <c r="C2833" s="286" t="s">
        <v>2092</v>
      </c>
      <c r="D2833" s="286" t="s">
        <v>1105</v>
      </c>
      <c r="E2833" s="286" t="s">
        <v>1106</v>
      </c>
      <c r="F2833" s="286" t="s">
        <v>2157</v>
      </c>
      <c r="G2833" s="286" t="s">
        <v>1021</v>
      </c>
      <c r="H2833" s="286" t="s">
        <v>1021</v>
      </c>
      <c r="I2833" s="286" t="s">
        <v>1199</v>
      </c>
      <c r="J2833" s="286" t="s">
        <v>1312</v>
      </c>
      <c r="K2833" s="286" t="s">
        <v>2068</v>
      </c>
      <c r="L2833" s="286" t="s">
        <v>53</v>
      </c>
      <c r="M2833" s="286">
        <v>1</v>
      </c>
      <c r="N2833" s="287">
        <v>-3511.45</v>
      </c>
      <c r="O2833" s="294">
        <f t="shared" si="44"/>
        <v>45473</v>
      </c>
      <c r="P2833" s="286" t="s">
        <v>58</v>
      </c>
    </row>
    <row r="2834" spans="1:16" hidden="1" x14ac:dyDescent="0.15">
      <c r="A2834" s="286">
        <v>646075</v>
      </c>
      <c r="B2834" s="288">
        <v>45474.519444444442</v>
      </c>
      <c r="C2834" s="286" t="s">
        <v>2111</v>
      </c>
      <c r="D2834" s="286" t="s">
        <v>1105</v>
      </c>
      <c r="E2834" s="286" t="s">
        <v>1106</v>
      </c>
      <c r="F2834" s="286" t="s">
        <v>2137</v>
      </c>
      <c r="G2834" s="286" t="s">
        <v>1021</v>
      </c>
      <c r="H2834" s="286" t="s">
        <v>1021</v>
      </c>
      <c r="I2834" s="286" t="s">
        <v>1199</v>
      </c>
      <c r="J2834" s="286" t="s">
        <v>1312</v>
      </c>
      <c r="K2834" s="286" t="s">
        <v>2068</v>
      </c>
      <c r="L2834" s="286" t="s">
        <v>53</v>
      </c>
      <c r="M2834" s="286">
        <v>1</v>
      </c>
      <c r="N2834" s="287">
        <v>-3511.45</v>
      </c>
      <c r="O2834" s="294">
        <f t="shared" si="44"/>
        <v>45504</v>
      </c>
      <c r="P2834" s="286" t="s">
        <v>58</v>
      </c>
    </row>
    <row r="2835" spans="1:16" hidden="1" x14ac:dyDescent="0.15">
      <c r="A2835" s="286">
        <v>697810</v>
      </c>
      <c r="B2835" s="288">
        <v>45510.366666666669</v>
      </c>
      <c r="C2835" s="286" t="s">
        <v>2102</v>
      </c>
      <c r="D2835" s="286" t="s">
        <v>1105</v>
      </c>
      <c r="E2835" s="286" t="s">
        <v>1106</v>
      </c>
      <c r="F2835" s="286" t="s">
        <v>2138</v>
      </c>
      <c r="G2835" s="286" t="s">
        <v>1021</v>
      </c>
      <c r="H2835" s="286" t="s">
        <v>1021</v>
      </c>
      <c r="I2835" s="286" t="s">
        <v>1199</v>
      </c>
      <c r="J2835" s="286" t="s">
        <v>1312</v>
      </c>
      <c r="K2835" s="286" t="s">
        <v>2068</v>
      </c>
      <c r="L2835" s="286" t="s">
        <v>53</v>
      </c>
      <c r="M2835" s="286">
        <v>1</v>
      </c>
      <c r="N2835" s="287">
        <v>-3511.45</v>
      </c>
      <c r="O2835" s="294">
        <f t="shared" si="44"/>
        <v>45535</v>
      </c>
      <c r="P2835" s="286" t="s">
        <v>58</v>
      </c>
    </row>
    <row r="2836" spans="1:16" hidden="1" x14ac:dyDescent="0.15">
      <c r="A2836" s="286">
        <v>580948</v>
      </c>
      <c r="B2836" s="288">
        <v>45427.684027777781</v>
      </c>
      <c r="C2836" s="286" t="s">
        <v>2096</v>
      </c>
      <c r="D2836" s="286" t="s">
        <v>1105</v>
      </c>
      <c r="E2836" s="286" t="s">
        <v>1106</v>
      </c>
      <c r="F2836" s="286" t="s">
        <v>2315</v>
      </c>
      <c r="G2836" s="286" t="s">
        <v>1025</v>
      </c>
      <c r="H2836" s="286" t="s">
        <v>1025</v>
      </c>
      <c r="I2836" s="286" t="s">
        <v>1199</v>
      </c>
      <c r="J2836" s="286" t="s">
        <v>1312</v>
      </c>
      <c r="K2836" s="286" t="s">
        <v>53</v>
      </c>
      <c r="L2836" s="286" t="s">
        <v>53</v>
      </c>
      <c r="M2836" s="286" t="s">
        <v>53</v>
      </c>
      <c r="N2836" s="287">
        <v>-3527.86</v>
      </c>
      <c r="O2836" s="294">
        <f t="shared" si="44"/>
        <v>45443</v>
      </c>
      <c r="P2836" s="286" t="s">
        <v>58</v>
      </c>
    </row>
    <row r="2837" spans="1:16" hidden="1" x14ac:dyDescent="0.15">
      <c r="A2837" s="286">
        <v>697810</v>
      </c>
      <c r="B2837" s="288">
        <v>45510.366666666669</v>
      </c>
      <c r="C2837" s="286" t="s">
        <v>2102</v>
      </c>
      <c r="D2837" s="286" t="s">
        <v>1105</v>
      </c>
      <c r="E2837" s="286" t="s">
        <v>1106</v>
      </c>
      <c r="F2837" s="286" t="s">
        <v>2138</v>
      </c>
      <c r="G2837" s="286" t="s">
        <v>1856</v>
      </c>
      <c r="H2837" s="286" t="s">
        <v>1856</v>
      </c>
      <c r="I2837" s="286" t="s">
        <v>1199</v>
      </c>
      <c r="J2837" s="286" t="s">
        <v>1312</v>
      </c>
      <c r="K2837" s="286" t="s">
        <v>2068</v>
      </c>
      <c r="L2837" s="286" t="s">
        <v>53</v>
      </c>
      <c r="M2837" s="286">
        <v>1</v>
      </c>
      <c r="N2837" s="287">
        <v>-3620.01</v>
      </c>
      <c r="O2837" s="294">
        <f t="shared" si="44"/>
        <v>45535</v>
      </c>
      <c r="P2837" s="286" t="s">
        <v>58</v>
      </c>
    </row>
    <row r="2838" spans="1:16" hidden="1" x14ac:dyDescent="0.15">
      <c r="A2838" s="286">
        <v>745911</v>
      </c>
      <c r="B2838" s="288">
        <v>45538.44027777778</v>
      </c>
      <c r="C2838" s="286" t="s">
        <v>2132</v>
      </c>
      <c r="D2838" s="286" t="s">
        <v>1105</v>
      </c>
      <c r="E2838" s="286" t="s">
        <v>1106</v>
      </c>
      <c r="F2838" s="286" t="s">
        <v>2139</v>
      </c>
      <c r="G2838" s="286" t="s">
        <v>1856</v>
      </c>
      <c r="H2838" s="286" t="s">
        <v>1856</v>
      </c>
      <c r="I2838" s="286" t="s">
        <v>1199</v>
      </c>
      <c r="J2838" s="286" t="s">
        <v>1312</v>
      </c>
      <c r="K2838" s="286" t="s">
        <v>2068</v>
      </c>
      <c r="L2838" s="286" t="s">
        <v>53</v>
      </c>
      <c r="M2838" s="286">
        <v>1</v>
      </c>
      <c r="N2838" s="287">
        <v>-3620.01</v>
      </c>
      <c r="O2838" s="294">
        <f t="shared" si="44"/>
        <v>45565</v>
      </c>
      <c r="P2838" s="286" t="s">
        <v>58</v>
      </c>
    </row>
    <row r="2839" spans="1:16" hidden="1" x14ac:dyDescent="0.15">
      <c r="A2839" s="286">
        <v>848817</v>
      </c>
      <c r="B2839" s="288">
        <v>45607.65902777778</v>
      </c>
      <c r="C2839" s="286" t="s">
        <v>2130</v>
      </c>
      <c r="D2839" s="286" t="s">
        <v>1105</v>
      </c>
      <c r="E2839" s="286" t="s">
        <v>1106</v>
      </c>
      <c r="F2839" s="286" t="s">
        <v>2140</v>
      </c>
      <c r="G2839" s="286" t="s">
        <v>1856</v>
      </c>
      <c r="H2839" s="286" t="s">
        <v>1856</v>
      </c>
      <c r="I2839" s="286" t="s">
        <v>1199</v>
      </c>
      <c r="J2839" s="286" t="s">
        <v>1312</v>
      </c>
      <c r="K2839" s="286" t="s">
        <v>2068</v>
      </c>
      <c r="L2839" s="286" t="s">
        <v>53</v>
      </c>
      <c r="M2839" s="286">
        <v>1</v>
      </c>
      <c r="N2839" s="287">
        <v>-3620.01</v>
      </c>
      <c r="O2839" s="294">
        <f t="shared" si="44"/>
        <v>45626</v>
      </c>
      <c r="P2839" s="286" t="s">
        <v>58</v>
      </c>
    </row>
    <row r="2840" spans="1:16" hidden="1" x14ac:dyDescent="0.15">
      <c r="A2840" s="286">
        <v>848917</v>
      </c>
      <c r="B2840" s="288">
        <v>45607.660416666666</v>
      </c>
      <c r="C2840" s="286" t="s">
        <v>2100</v>
      </c>
      <c r="D2840" s="286" t="s">
        <v>1105</v>
      </c>
      <c r="E2840" s="286" t="s">
        <v>1106</v>
      </c>
      <c r="F2840" s="286" t="s">
        <v>2141</v>
      </c>
      <c r="G2840" s="286" t="s">
        <v>1856</v>
      </c>
      <c r="H2840" s="286" t="s">
        <v>1856</v>
      </c>
      <c r="I2840" s="286" t="s">
        <v>1199</v>
      </c>
      <c r="J2840" s="286" t="s">
        <v>1312</v>
      </c>
      <c r="K2840" s="286" t="s">
        <v>2068</v>
      </c>
      <c r="L2840" s="286" t="s">
        <v>53</v>
      </c>
      <c r="M2840" s="286">
        <v>1</v>
      </c>
      <c r="N2840" s="287">
        <v>-3620.01</v>
      </c>
      <c r="O2840" s="294">
        <f t="shared" si="44"/>
        <v>45626</v>
      </c>
      <c r="P2840" s="286" t="s">
        <v>58</v>
      </c>
    </row>
    <row r="2841" spans="1:16" hidden="1" x14ac:dyDescent="0.15">
      <c r="A2841" s="286">
        <v>874698</v>
      </c>
      <c r="B2841" s="288">
        <v>45628.357638888891</v>
      </c>
      <c r="C2841" s="286" t="s">
        <v>2098</v>
      </c>
      <c r="D2841" s="286" t="s">
        <v>1105</v>
      </c>
      <c r="E2841" s="286" t="s">
        <v>1106</v>
      </c>
      <c r="F2841" s="286" t="s">
        <v>2142</v>
      </c>
      <c r="G2841" s="286" t="s">
        <v>1856</v>
      </c>
      <c r="H2841" s="286" t="s">
        <v>1856</v>
      </c>
      <c r="I2841" s="286" t="s">
        <v>1199</v>
      </c>
      <c r="J2841" s="286" t="s">
        <v>1312</v>
      </c>
      <c r="K2841" s="286" t="s">
        <v>2068</v>
      </c>
      <c r="L2841" s="286" t="s">
        <v>53</v>
      </c>
      <c r="M2841" s="286">
        <v>1</v>
      </c>
      <c r="N2841" s="287">
        <v>-3620.01</v>
      </c>
      <c r="O2841" s="294">
        <f t="shared" si="44"/>
        <v>45657</v>
      </c>
      <c r="P2841" s="286" t="s">
        <v>58</v>
      </c>
    </row>
    <row r="2842" spans="1:16" hidden="1" x14ac:dyDescent="0.15">
      <c r="A2842" s="286">
        <v>496730</v>
      </c>
      <c r="B2842" s="288">
        <v>45352.455555555556</v>
      </c>
      <c r="C2842" s="286" t="s">
        <v>2113</v>
      </c>
      <c r="D2842" s="286" t="s">
        <v>1105</v>
      </c>
      <c r="E2842" s="286" t="s">
        <v>1106</v>
      </c>
      <c r="F2842" s="286" t="s">
        <v>2554</v>
      </c>
      <c r="G2842" s="286" t="s">
        <v>1027</v>
      </c>
      <c r="H2842" s="286" t="s">
        <v>1027</v>
      </c>
      <c r="I2842" s="286" t="s">
        <v>1228</v>
      </c>
      <c r="J2842" s="286" t="s">
        <v>1312</v>
      </c>
      <c r="K2842" s="286" t="s">
        <v>53</v>
      </c>
      <c r="L2842" s="286" t="s">
        <v>53</v>
      </c>
      <c r="M2842" s="286" t="s">
        <v>53</v>
      </c>
      <c r="N2842" s="287">
        <v>-3620.26</v>
      </c>
      <c r="O2842" s="294">
        <f t="shared" si="44"/>
        <v>45382</v>
      </c>
      <c r="P2842" s="286" t="s">
        <v>58</v>
      </c>
    </row>
    <row r="2843" spans="1:16" hidden="1" x14ac:dyDescent="0.15">
      <c r="A2843" s="286">
        <v>504817</v>
      </c>
      <c r="B2843" s="288">
        <v>45359.645138888889</v>
      </c>
      <c r="C2843" s="286" t="s">
        <v>2109</v>
      </c>
      <c r="D2843" s="286" t="s">
        <v>1105</v>
      </c>
      <c r="E2843" s="286" t="s">
        <v>1106</v>
      </c>
      <c r="F2843" s="286" t="s">
        <v>2154</v>
      </c>
      <c r="G2843" s="286" t="s">
        <v>1027</v>
      </c>
      <c r="H2843" s="286" t="s">
        <v>1027</v>
      </c>
      <c r="I2843" s="286" t="s">
        <v>1228</v>
      </c>
      <c r="J2843" s="286" t="s">
        <v>1312</v>
      </c>
      <c r="K2843" s="286" t="s">
        <v>53</v>
      </c>
      <c r="L2843" s="286" t="s">
        <v>53</v>
      </c>
      <c r="M2843" s="286" t="s">
        <v>53</v>
      </c>
      <c r="N2843" s="287">
        <v>-3620.26</v>
      </c>
      <c r="O2843" s="294">
        <f t="shared" si="44"/>
        <v>45382</v>
      </c>
      <c r="P2843" s="286" t="s">
        <v>58</v>
      </c>
    </row>
    <row r="2844" spans="1:16" hidden="1" x14ac:dyDescent="0.15">
      <c r="A2844" s="286">
        <v>534207</v>
      </c>
      <c r="B2844" s="288">
        <v>45385.750694444447</v>
      </c>
      <c r="C2844" s="286" t="s">
        <v>2096</v>
      </c>
      <c r="D2844" s="286" t="s">
        <v>1105</v>
      </c>
      <c r="E2844" s="286" t="s">
        <v>1106</v>
      </c>
      <c r="F2844" s="286" t="s">
        <v>2155</v>
      </c>
      <c r="G2844" s="286" t="s">
        <v>1027</v>
      </c>
      <c r="H2844" s="286" t="s">
        <v>1027</v>
      </c>
      <c r="I2844" s="286" t="s">
        <v>1228</v>
      </c>
      <c r="J2844" s="286" t="s">
        <v>1312</v>
      </c>
      <c r="K2844" s="286" t="s">
        <v>53</v>
      </c>
      <c r="L2844" s="286" t="s">
        <v>53</v>
      </c>
      <c r="M2844" s="286" t="s">
        <v>53</v>
      </c>
      <c r="N2844" s="287">
        <v>-3620.26</v>
      </c>
      <c r="O2844" s="294">
        <f t="shared" si="44"/>
        <v>45412</v>
      </c>
      <c r="P2844" s="286" t="s">
        <v>58</v>
      </c>
    </row>
    <row r="2845" spans="1:16" hidden="1" x14ac:dyDescent="0.15">
      <c r="A2845" s="286">
        <v>614216</v>
      </c>
      <c r="B2845" s="288">
        <v>45455.716666666667</v>
      </c>
      <c r="C2845" s="286" t="s">
        <v>2116</v>
      </c>
      <c r="D2845" s="286" t="s">
        <v>1105</v>
      </c>
      <c r="E2845" s="286" t="s">
        <v>1106</v>
      </c>
      <c r="F2845" s="286" t="s">
        <v>2156</v>
      </c>
      <c r="G2845" s="286" t="s">
        <v>1027</v>
      </c>
      <c r="H2845" s="286" t="s">
        <v>1027</v>
      </c>
      <c r="I2845" s="286" t="s">
        <v>1228</v>
      </c>
      <c r="J2845" s="286" t="s">
        <v>1312</v>
      </c>
      <c r="K2845" s="286" t="s">
        <v>53</v>
      </c>
      <c r="L2845" s="286" t="s">
        <v>53</v>
      </c>
      <c r="M2845" s="286" t="s">
        <v>53</v>
      </c>
      <c r="N2845" s="287">
        <v>-3620.26</v>
      </c>
      <c r="O2845" s="294">
        <f t="shared" si="44"/>
        <v>45473</v>
      </c>
      <c r="P2845" s="286" t="s">
        <v>58</v>
      </c>
    </row>
    <row r="2846" spans="1:16" hidden="1" x14ac:dyDescent="0.15">
      <c r="A2846" s="286">
        <v>614316</v>
      </c>
      <c r="B2846" s="288">
        <v>45455.717361111114</v>
      </c>
      <c r="C2846" s="286" t="s">
        <v>2092</v>
      </c>
      <c r="D2846" s="286" t="s">
        <v>1105</v>
      </c>
      <c r="E2846" s="286" t="s">
        <v>1106</v>
      </c>
      <c r="F2846" s="286" t="s">
        <v>2167</v>
      </c>
      <c r="G2846" s="286" t="s">
        <v>1027</v>
      </c>
      <c r="H2846" s="286" t="s">
        <v>1027</v>
      </c>
      <c r="I2846" s="286" t="s">
        <v>1228</v>
      </c>
      <c r="J2846" s="286" t="s">
        <v>1312</v>
      </c>
      <c r="K2846" s="286" t="s">
        <v>53</v>
      </c>
      <c r="L2846" s="286" t="s">
        <v>53</v>
      </c>
      <c r="M2846" s="286" t="s">
        <v>53</v>
      </c>
      <c r="N2846" s="287">
        <v>-3620.26</v>
      </c>
      <c r="O2846" s="294">
        <f t="shared" si="44"/>
        <v>45473</v>
      </c>
      <c r="P2846" s="286" t="s">
        <v>58</v>
      </c>
    </row>
    <row r="2847" spans="1:16" hidden="1" x14ac:dyDescent="0.15">
      <c r="A2847" s="286">
        <v>646075</v>
      </c>
      <c r="B2847" s="288">
        <v>45474.519444444442</v>
      </c>
      <c r="C2847" s="286" t="s">
        <v>2111</v>
      </c>
      <c r="D2847" s="286" t="s">
        <v>1105</v>
      </c>
      <c r="E2847" s="286" t="s">
        <v>1106</v>
      </c>
      <c r="F2847" s="286" t="s">
        <v>2137</v>
      </c>
      <c r="G2847" s="286" t="s">
        <v>1027</v>
      </c>
      <c r="H2847" s="286" t="s">
        <v>1027</v>
      </c>
      <c r="I2847" s="286" t="s">
        <v>1228</v>
      </c>
      <c r="J2847" s="286" t="s">
        <v>1312</v>
      </c>
      <c r="K2847" s="286" t="s">
        <v>53</v>
      </c>
      <c r="L2847" s="286" t="s">
        <v>53</v>
      </c>
      <c r="M2847" s="286" t="s">
        <v>53</v>
      </c>
      <c r="N2847" s="287">
        <v>-3620.26</v>
      </c>
      <c r="O2847" s="294">
        <f t="shared" si="44"/>
        <v>45504</v>
      </c>
      <c r="P2847" s="286" t="s">
        <v>58</v>
      </c>
    </row>
    <row r="2848" spans="1:16" hidden="1" x14ac:dyDescent="0.15">
      <c r="A2848" s="286">
        <v>697810</v>
      </c>
      <c r="B2848" s="288">
        <v>45510.366666666669</v>
      </c>
      <c r="C2848" s="286" t="s">
        <v>2102</v>
      </c>
      <c r="D2848" s="286" t="s">
        <v>1105</v>
      </c>
      <c r="E2848" s="286" t="s">
        <v>1106</v>
      </c>
      <c r="F2848" s="286" t="s">
        <v>2138</v>
      </c>
      <c r="G2848" s="286" t="s">
        <v>1027</v>
      </c>
      <c r="H2848" s="286" t="s">
        <v>1027</v>
      </c>
      <c r="I2848" s="286" t="s">
        <v>1228</v>
      </c>
      <c r="J2848" s="286" t="s">
        <v>1312</v>
      </c>
      <c r="K2848" s="286" t="s">
        <v>53</v>
      </c>
      <c r="L2848" s="286" t="s">
        <v>53</v>
      </c>
      <c r="M2848" s="286" t="s">
        <v>53</v>
      </c>
      <c r="N2848" s="287">
        <v>-3620.26</v>
      </c>
      <c r="O2848" s="294">
        <f t="shared" si="44"/>
        <v>45535</v>
      </c>
      <c r="P2848" s="286" t="s">
        <v>58</v>
      </c>
    </row>
    <row r="2849" spans="1:16" hidden="1" x14ac:dyDescent="0.15">
      <c r="A2849" s="286">
        <v>745911</v>
      </c>
      <c r="B2849" s="288">
        <v>45538.44027777778</v>
      </c>
      <c r="C2849" s="286" t="s">
        <v>2132</v>
      </c>
      <c r="D2849" s="286" t="s">
        <v>1105</v>
      </c>
      <c r="E2849" s="286" t="s">
        <v>1106</v>
      </c>
      <c r="F2849" s="286" t="s">
        <v>2139</v>
      </c>
      <c r="G2849" s="286" t="s">
        <v>1027</v>
      </c>
      <c r="H2849" s="286" t="s">
        <v>1027</v>
      </c>
      <c r="I2849" s="286" t="s">
        <v>1228</v>
      </c>
      <c r="J2849" s="286" t="s">
        <v>1312</v>
      </c>
      <c r="K2849" s="286" t="s">
        <v>53</v>
      </c>
      <c r="L2849" s="286" t="s">
        <v>53</v>
      </c>
      <c r="M2849" s="286" t="s">
        <v>53</v>
      </c>
      <c r="N2849" s="287">
        <v>-3620.26</v>
      </c>
      <c r="O2849" s="294">
        <f t="shared" si="44"/>
        <v>45565</v>
      </c>
      <c r="P2849" s="286" t="s">
        <v>58</v>
      </c>
    </row>
    <row r="2850" spans="1:16" hidden="1" x14ac:dyDescent="0.15">
      <c r="A2850" s="286">
        <v>848817</v>
      </c>
      <c r="B2850" s="288">
        <v>45607.65902777778</v>
      </c>
      <c r="C2850" s="286" t="s">
        <v>2130</v>
      </c>
      <c r="D2850" s="286" t="s">
        <v>1105</v>
      </c>
      <c r="E2850" s="286" t="s">
        <v>1106</v>
      </c>
      <c r="F2850" s="286" t="s">
        <v>2140</v>
      </c>
      <c r="G2850" s="286" t="s">
        <v>1027</v>
      </c>
      <c r="H2850" s="286" t="s">
        <v>1027</v>
      </c>
      <c r="I2850" s="286" t="s">
        <v>1228</v>
      </c>
      <c r="J2850" s="286" t="s">
        <v>1312</v>
      </c>
      <c r="K2850" s="286" t="s">
        <v>53</v>
      </c>
      <c r="L2850" s="286" t="s">
        <v>53</v>
      </c>
      <c r="M2850" s="286" t="s">
        <v>53</v>
      </c>
      <c r="N2850" s="287">
        <v>-3620.26</v>
      </c>
      <c r="O2850" s="294">
        <f t="shared" si="44"/>
        <v>45626</v>
      </c>
      <c r="P2850" s="286" t="s">
        <v>58</v>
      </c>
    </row>
    <row r="2851" spans="1:16" hidden="1" x14ac:dyDescent="0.15">
      <c r="A2851" s="286">
        <v>848917</v>
      </c>
      <c r="B2851" s="288">
        <v>45607.660416666666</v>
      </c>
      <c r="C2851" s="286" t="s">
        <v>2100</v>
      </c>
      <c r="D2851" s="286" t="s">
        <v>1105</v>
      </c>
      <c r="E2851" s="286" t="s">
        <v>1106</v>
      </c>
      <c r="F2851" s="286" t="s">
        <v>2141</v>
      </c>
      <c r="G2851" s="286" t="s">
        <v>1027</v>
      </c>
      <c r="H2851" s="286" t="s">
        <v>1027</v>
      </c>
      <c r="I2851" s="286" t="s">
        <v>1228</v>
      </c>
      <c r="J2851" s="286" t="s">
        <v>1312</v>
      </c>
      <c r="K2851" s="286" t="s">
        <v>53</v>
      </c>
      <c r="L2851" s="286" t="s">
        <v>53</v>
      </c>
      <c r="M2851" s="286" t="s">
        <v>53</v>
      </c>
      <c r="N2851" s="287">
        <v>-3620.26</v>
      </c>
      <c r="O2851" s="294">
        <f t="shared" si="44"/>
        <v>45626</v>
      </c>
      <c r="P2851" s="286" t="s">
        <v>58</v>
      </c>
    </row>
    <row r="2852" spans="1:16" hidden="1" x14ac:dyDescent="0.15">
      <c r="A2852" s="286">
        <v>874698</v>
      </c>
      <c r="B2852" s="288">
        <v>45628.357638888891</v>
      </c>
      <c r="C2852" s="286" t="s">
        <v>2098</v>
      </c>
      <c r="D2852" s="286" t="s">
        <v>1105</v>
      </c>
      <c r="E2852" s="286" t="s">
        <v>1106</v>
      </c>
      <c r="F2852" s="286" t="s">
        <v>2142</v>
      </c>
      <c r="G2852" s="286" t="s">
        <v>1027</v>
      </c>
      <c r="H2852" s="286" t="s">
        <v>1027</v>
      </c>
      <c r="I2852" s="286" t="s">
        <v>1228</v>
      </c>
      <c r="J2852" s="286" t="s">
        <v>1312</v>
      </c>
      <c r="K2852" s="286" t="s">
        <v>53</v>
      </c>
      <c r="L2852" s="286" t="s">
        <v>53</v>
      </c>
      <c r="M2852" s="286" t="s">
        <v>53</v>
      </c>
      <c r="N2852" s="287">
        <v>-3620.29</v>
      </c>
      <c r="O2852" s="294">
        <f t="shared" si="44"/>
        <v>45657</v>
      </c>
      <c r="P2852" s="286" t="s">
        <v>58</v>
      </c>
    </row>
    <row r="2853" spans="1:16" hidden="1" x14ac:dyDescent="0.15">
      <c r="A2853" s="286">
        <v>874698</v>
      </c>
      <c r="B2853" s="288">
        <v>45628.357638888891</v>
      </c>
      <c r="C2853" s="286" t="s">
        <v>2098</v>
      </c>
      <c r="D2853" s="286" t="s">
        <v>1105</v>
      </c>
      <c r="E2853" s="286" t="s">
        <v>1106</v>
      </c>
      <c r="F2853" s="286" t="s">
        <v>2142</v>
      </c>
      <c r="G2853" s="286" t="s">
        <v>1856</v>
      </c>
      <c r="H2853" s="286" t="s">
        <v>1856</v>
      </c>
      <c r="I2853" s="286" t="s">
        <v>1199</v>
      </c>
      <c r="J2853" s="286" t="s">
        <v>1312</v>
      </c>
      <c r="K2853" s="286" t="s">
        <v>2068</v>
      </c>
      <c r="L2853" s="286" t="s">
        <v>53</v>
      </c>
      <c r="M2853" s="286">
        <v>1</v>
      </c>
      <c r="N2853" s="287">
        <v>-3630.85</v>
      </c>
      <c r="O2853" s="294">
        <f t="shared" si="44"/>
        <v>45657</v>
      </c>
      <c r="P2853" s="286" t="s">
        <v>58</v>
      </c>
    </row>
    <row r="2854" spans="1:16" hidden="1" x14ac:dyDescent="0.15">
      <c r="A2854" s="286">
        <v>614316</v>
      </c>
      <c r="B2854" s="288">
        <v>45455.717361111114</v>
      </c>
      <c r="C2854" s="286" t="s">
        <v>2092</v>
      </c>
      <c r="D2854" s="286" t="s">
        <v>1105</v>
      </c>
      <c r="E2854" s="286" t="s">
        <v>1106</v>
      </c>
      <c r="F2854" s="286" t="s">
        <v>2167</v>
      </c>
      <c r="G2854" s="286" t="s">
        <v>1028</v>
      </c>
      <c r="H2854" s="286" t="s">
        <v>1028</v>
      </c>
      <c r="I2854" s="286" t="s">
        <v>1129</v>
      </c>
      <c r="J2854" s="286" t="s">
        <v>1312</v>
      </c>
      <c r="K2854" s="286" t="s">
        <v>964</v>
      </c>
      <c r="L2854" s="286" t="s">
        <v>2312</v>
      </c>
      <c r="M2854" s="286">
        <v>-1</v>
      </c>
      <c r="N2854" s="287">
        <v>-3672.2</v>
      </c>
      <c r="O2854" s="294">
        <f t="shared" si="44"/>
        <v>45473</v>
      </c>
      <c r="P2854" s="286" t="s">
        <v>164</v>
      </c>
    </row>
    <row r="2855" spans="1:16" hidden="1" x14ac:dyDescent="0.15">
      <c r="A2855" s="286">
        <v>646075</v>
      </c>
      <c r="B2855" s="288">
        <v>45474.519444444442</v>
      </c>
      <c r="C2855" s="286" t="s">
        <v>2111</v>
      </c>
      <c r="D2855" s="286" t="s">
        <v>1105</v>
      </c>
      <c r="E2855" s="286" t="s">
        <v>1106</v>
      </c>
      <c r="F2855" s="286" t="s">
        <v>2137</v>
      </c>
      <c r="G2855" s="286" t="s">
        <v>1078</v>
      </c>
      <c r="H2855" s="286" t="s">
        <v>1078</v>
      </c>
      <c r="I2855" s="286" t="s">
        <v>1228</v>
      </c>
      <c r="J2855" s="286" t="s">
        <v>1312</v>
      </c>
      <c r="K2855" s="286" t="s">
        <v>53</v>
      </c>
      <c r="L2855" s="286" t="s">
        <v>53</v>
      </c>
      <c r="M2855" s="286" t="s">
        <v>53</v>
      </c>
      <c r="N2855" s="287">
        <v>-3773.55</v>
      </c>
      <c r="O2855" s="294">
        <f t="shared" si="44"/>
        <v>45504</v>
      </c>
      <c r="P2855" s="286" t="s">
        <v>58</v>
      </c>
    </row>
    <row r="2856" spans="1:16" hidden="1" x14ac:dyDescent="0.15">
      <c r="A2856" s="286">
        <v>874698</v>
      </c>
      <c r="B2856" s="288">
        <v>45628.357638888891</v>
      </c>
      <c r="C2856" s="286" t="s">
        <v>2098</v>
      </c>
      <c r="D2856" s="286" t="s">
        <v>1105</v>
      </c>
      <c r="E2856" s="286" t="s">
        <v>1106</v>
      </c>
      <c r="F2856" s="286" t="s">
        <v>2142</v>
      </c>
      <c r="G2856" s="286" t="s">
        <v>1077</v>
      </c>
      <c r="H2856" s="286" t="s">
        <v>1077</v>
      </c>
      <c r="I2856" s="286" t="s">
        <v>1152</v>
      </c>
      <c r="J2856" s="286" t="s">
        <v>1312</v>
      </c>
      <c r="K2856" s="286" t="s">
        <v>2508</v>
      </c>
      <c r="L2856" s="286" t="s">
        <v>53</v>
      </c>
      <c r="M2856" s="286">
        <v>1</v>
      </c>
      <c r="N2856" s="287">
        <v>-3892.17</v>
      </c>
      <c r="O2856" s="294">
        <f t="shared" si="44"/>
        <v>45657</v>
      </c>
      <c r="P2856" s="286" t="s">
        <v>58</v>
      </c>
    </row>
    <row r="2857" spans="1:16" hidden="1" x14ac:dyDescent="0.15">
      <c r="A2857" s="286">
        <v>453975</v>
      </c>
      <c r="B2857" s="288">
        <v>45309.636111111111</v>
      </c>
      <c r="C2857" s="286" t="s">
        <v>2125</v>
      </c>
      <c r="D2857" s="286" t="s">
        <v>1105</v>
      </c>
      <c r="E2857" s="286" t="s">
        <v>1106</v>
      </c>
      <c r="F2857" s="286" t="s">
        <v>2333</v>
      </c>
      <c r="G2857" s="286" t="s">
        <v>1084</v>
      </c>
      <c r="H2857" s="286" t="s">
        <v>1442</v>
      </c>
      <c r="I2857" s="286" t="s">
        <v>1230</v>
      </c>
      <c r="J2857" s="286" t="s">
        <v>1312</v>
      </c>
      <c r="K2857" s="286" t="s">
        <v>2077</v>
      </c>
      <c r="L2857" s="286" t="s">
        <v>53</v>
      </c>
      <c r="M2857" s="286">
        <v>1</v>
      </c>
      <c r="N2857" s="287">
        <v>-3983</v>
      </c>
      <c r="O2857" s="294">
        <f t="shared" si="44"/>
        <v>45322</v>
      </c>
      <c r="P2857" s="286" t="s">
        <v>175</v>
      </c>
    </row>
    <row r="2858" spans="1:16" hidden="1" x14ac:dyDescent="0.15">
      <c r="A2858" s="286">
        <v>724889</v>
      </c>
      <c r="B2858" s="288">
        <v>45524.493055555555</v>
      </c>
      <c r="C2858" s="286" t="s">
        <v>2111</v>
      </c>
      <c r="D2858" s="286" t="s">
        <v>1105</v>
      </c>
      <c r="E2858" s="286" t="s">
        <v>1106</v>
      </c>
      <c r="F2858" s="286" t="s">
        <v>2555</v>
      </c>
      <c r="G2858" s="286" t="s">
        <v>1084</v>
      </c>
      <c r="H2858" s="286" t="s">
        <v>1442</v>
      </c>
      <c r="I2858" s="286" t="s">
        <v>1230</v>
      </c>
      <c r="J2858" s="286" t="s">
        <v>1312</v>
      </c>
      <c r="K2858" s="286" t="s">
        <v>53</v>
      </c>
      <c r="L2858" s="286" t="s">
        <v>53</v>
      </c>
      <c r="M2858" s="286" t="s">
        <v>53</v>
      </c>
      <c r="N2858" s="287">
        <v>-3983</v>
      </c>
      <c r="O2858" s="294">
        <f t="shared" si="44"/>
        <v>45535</v>
      </c>
      <c r="P2858" s="286" t="s">
        <v>175</v>
      </c>
    </row>
    <row r="2859" spans="1:16" hidden="1" x14ac:dyDescent="0.15">
      <c r="A2859" s="286">
        <v>438112</v>
      </c>
      <c r="B2859" s="288">
        <v>45293.53402777778</v>
      </c>
      <c r="C2859" s="286" t="s">
        <v>2125</v>
      </c>
      <c r="D2859" s="286" t="s">
        <v>1105</v>
      </c>
      <c r="E2859" s="286" t="s">
        <v>1106</v>
      </c>
      <c r="F2859" s="286" t="s">
        <v>2152</v>
      </c>
      <c r="G2859" s="286" t="s">
        <v>1016</v>
      </c>
      <c r="H2859" s="286" t="s">
        <v>1016</v>
      </c>
      <c r="I2859" s="286" t="s">
        <v>1199</v>
      </c>
      <c r="J2859" s="286" t="s">
        <v>1312</v>
      </c>
      <c r="K2859" s="286" t="s">
        <v>53</v>
      </c>
      <c r="L2859" s="286" t="s">
        <v>53</v>
      </c>
      <c r="M2859" s="286" t="s">
        <v>53</v>
      </c>
      <c r="N2859" s="287">
        <v>-4072.17</v>
      </c>
      <c r="O2859" s="294">
        <f t="shared" si="44"/>
        <v>45322</v>
      </c>
      <c r="P2859" s="286" t="s">
        <v>58</v>
      </c>
    </row>
    <row r="2860" spans="1:16" hidden="1" x14ac:dyDescent="0.15">
      <c r="A2860" s="286">
        <v>472168</v>
      </c>
      <c r="B2860" s="288">
        <v>45331.416666666664</v>
      </c>
      <c r="C2860" s="286" t="s">
        <v>2113</v>
      </c>
      <c r="D2860" s="286" t="s">
        <v>1105</v>
      </c>
      <c r="E2860" s="286" t="s">
        <v>1106</v>
      </c>
      <c r="F2860" s="286" t="s">
        <v>2153</v>
      </c>
      <c r="G2860" s="286" t="s">
        <v>1016</v>
      </c>
      <c r="H2860" s="286" t="s">
        <v>1016</v>
      </c>
      <c r="I2860" s="286" t="s">
        <v>1199</v>
      </c>
      <c r="J2860" s="286" t="s">
        <v>1312</v>
      </c>
      <c r="K2860" s="286" t="s">
        <v>53</v>
      </c>
      <c r="L2860" s="286" t="s">
        <v>53</v>
      </c>
      <c r="M2860" s="286" t="s">
        <v>53</v>
      </c>
      <c r="N2860" s="287">
        <v>-4072.17</v>
      </c>
      <c r="O2860" s="294">
        <f t="shared" si="44"/>
        <v>45351</v>
      </c>
      <c r="P2860" s="286" t="s">
        <v>58</v>
      </c>
    </row>
    <row r="2861" spans="1:16" hidden="1" x14ac:dyDescent="0.15">
      <c r="A2861" s="286">
        <v>504817</v>
      </c>
      <c r="B2861" s="288">
        <v>45359.645138888889</v>
      </c>
      <c r="C2861" s="286" t="s">
        <v>2109</v>
      </c>
      <c r="D2861" s="286" t="s">
        <v>1105</v>
      </c>
      <c r="E2861" s="286" t="s">
        <v>1106</v>
      </c>
      <c r="F2861" s="286" t="s">
        <v>2154</v>
      </c>
      <c r="G2861" s="286" t="s">
        <v>1016</v>
      </c>
      <c r="H2861" s="286" t="s">
        <v>1016</v>
      </c>
      <c r="I2861" s="286" t="s">
        <v>1199</v>
      </c>
      <c r="J2861" s="286" t="s">
        <v>1312</v>
      </c>
      <c r="K2861" s="286" t="s">
        <v>53</v>
      </c>
      <c r="L2861" s="286" t="s">
        <v>53</v>
      </c>
      <c r="M2861" s="286" t="s">
        <v>53</v>
      </c>
      <c r="N2861" s="287">
        <v>-4072.17</v>
      </c>
      <c r="O2861" s="294">
        <f t="shared" si="44"/>
        <v>45382</v>
      </c>
      <c r="P2861" s="286" t="s">
        <v>58</v>
      </c>
    </row>
    <row r="2862" spans="1:16" hidden="1" x14ac:dyDescent="0.15">
      <c r="A2862" s="286">
        <v>534207</v>
      </c>
      <c r="B2862" s="288">
        <v>45385.750694444447</v>
      </c>
      <c r="C2862" s="286" t="s">
        <v>2096</v>
      </c>
      <c r="D2862" s="286" t="s">
        <v>1105</v>
      </c>
      <c r="E2862" s="286" t="s">
        <v>1106</v>
      </c>
      <c r="F2862" s="286" t="s">
        <v>2155</v>
      </c>
      <c r="G2862" s="286" t="s">
        <v>1016</v>
      </c>
      <c r="H2862" s="286" t="s">
        <v>1016</v>
      </c>
      <c r="I2862" s="286" t="s">
        <v>1199</v>
      </c>
      <c r="J2862" s="286" t="s">
        <v>1312</v>
      </c>
      <c r="K2862" s="286" t="s">
        <v>53</v>
      </c>
      <c r="L2862" s="286" t="s">
        <v>53</v>
      </c>
      <c r="M2862" s="286" t="s">
        <v>53</v>
      </c>
      <c r="N2862" s="287">
        <v>-4072.17</v>
      </c>
      <c r="O2862" s="294">
        <f t="shared" si="44"/>
        <v>45412</v>
      </c>
      <c r="P2862" s="286" t="s">
        <v>58</v>
      </c>
    </row>
    <row r="2863" spans="1:16" hidden="1" x14ac:dyDescent="0.15">
      <c r="A2863" s="286">
        <v>614216</v>
      </c>
      <c r="B2863" s="288">
        <v>45455.716666666667</v>
      </c>
      <c r="C2863" s="286" t="s">
        <v>2116</v>
      </c>
      <c r="D2863" s="286" t="s">
        <v>1105</v>
      </c>
      <c r="E2863" s="286" t="s">
        <v>1106</v>
      </c>
      <c r="F2863" s="286" t="s">
        <v>2156</v>
      </c>
      <c r="G2863" s="286" t="s">
        <v>1016</v>
      </c>
      <c r="H2863" s="286" t="s">
        <v>1016</v>
      </c>
      <c r="I2863" s="286" t="s">
        <v>1199</v>
      </c>
      <c r="J2863" s="286" t="s">
        <v>1312</v>
      </c>
      <c r="K2863" s="286" t="s">
        <v>53</v>
      </c>
      <c r="L2863" s="286" t="s">
        <v>53</v>
      </c>
      <c r="M2863" s="286" t="s">
        <v>53</v>
      </c>
      <c r="N2863" s="287">
        <v>-4072.17</v>
      </c>
      <c r="O2863" s="294">
        <f t="shared" si="44"/>
        <v>45473</v>
      </c>
      <c r="P2863" s="286" t="s">
        <v>58</v>
      </c>
    </row>
    <row r="2864" spans="1:16" hidden="1" x14ac:dyDescent="0.15">
      <c r="A2864" s="286">
        <v>614316</v>
      </c>
      <c r="B2864" s="288">
        <v>45455.717361111114</v>
      </c>
      <c r="C2864" s="286" t="s">
        <v>2092</v>
      </c>
      <c r="D2864" s="286" t="s">
        <v>1105</v>
      </c>
      <c r="E2864" s="286" t="s">
        <v>1106</v>
      </c>
      <c r="F2864" s="286" t="s">
        <v>2167</v>
      </c>
      <c r="G2864" s="286" t="s">
        <v>1016</v>
      </c>
      <c r="H2864" s="286" t="s">
        <v>1016</v>
      </c>
      <c r="I2864" s="286" t="s">
        <v>1199</v>
      </c>
      <c r="J2864" s="286" t="s">
        <v>1312</v>
      </c>
      <c r="K2864" s="286" t="s">
        <v>53</v>
      </c>
      <c r="L2864" s="286" t="s">
        <v>53</v>
      </c>
      <c r="M2864" s="286" t="s">
        <v>53</v>
      </c>
      <c r="N2864" s="287">
        <v>-4072.17</v>
      </c>
      <c r="O2864" s="294">
        <f t="shared" si="44"/>
        <v>45473</v>
      </c>
      <c r="P2864" s="286" t="s">
        <v>58</v>
      </c>
    </row>
    <row r="2865" spans="1:16" hidden="1" x14ac:dyDescent="0.15">
      <c r="A2865" s="286">
        <v>646075</v>
      </c>
      <c r="B2865" s="288">
        <v>45474.519444444442</v>
      </c>
      <c r="C2865" s="286" t="s">
        <v>2111</v>
      </c>
      <c r="D2865" s="286" t="s">
        <v>1105</v>
      </c>
      <c r="E2865" s="286" t="s">
        <v>1106</v>
      </c>
      <c r="F2865" s="286" t="s">
        <v>2137</v>
      </c>
      <c r="G2865" s="286" t="s">
        <v>1016</v>
      </c>
      <c r="H2865" s="286" t="s">
        <v>1016</v>
      </c>
      <c r="I2865" s="286" t="s">
        <v>1199</v>
      </c>
      <c r="J2865" s="286" t="s">
        <v>1312</v>
      </c>
      <c r="K2865" s="286" t="s">
        <v>53</v>
      </c>
      <c r="L2865" s="286" t="s">
        <v>53</v>
      </c>
      <c r="M2865" s="286" t="s">
        <v>53</v>
      </c>
      <c r="N2865" s="287">
        <v>-4072.17</v>
      </c>
      <c r="O2865" s="294">
        <f t="shared" si="44"/>
        <v>45504</v>
      </c>
      <c r="P2865" s="286" t="s">
        <v>58</v>
      </c>
    </row>
    <row r="2866" spans="1:16" hidden="1" x14ac:dyDescent="0.15">
      <c r="A2866" s="286">
        <v>697810</v>
      </c>
      <c r="B2866" s="288">
        <v>45510.366666666669</v>
      </c>
      <c r="C2866" s="286" t="s">
        <v>2102</v>
      </c>
      <c r="D2866" s="286" t="s">
        <v>1105</v>
      </c>
      <c r="E2866" s="286" t="s">
        <v>1106</v>
      </c>
      <c r="F2866" s="286" t="s">
        <v>2138</v>
      </c>
      <c r="G2866" s="286" t="s">
        <v>1016</v>
      </c>
      <c r="H2866" s="286" t="s">
        <v>1016</v>
      </c>
      <c r="I2866" s="286" t="s">
        <v>1199</v>
      </c>
      <c r="J2866" s="286" t="s">
        <v>1312</v>
      </c>
      <c r="K2866" s="286" t="s">
        <v>53</v>
      </c>
      <c r="L2866" s="286" t="s">
        <v>53</v>
      </c>
      <c r="M2866" s="286" t="s">
        <v>53</v>
      </c>
      <c r="N2866" s="287">
        <v>-4072.17</v>
      </c>
      <c r="O2866" s="294">
        <f t="shared" si="44"/>
        <v>45535</v>
      </c>
      <c r="P2866" s="286" t="s">
        <v>58</v>
      </c>
    </row>
    <row r="2867" spans="1:16" hidden="1" x14ac:dyDescent="0.15">
      <c r="A2867" s="286">
        <v>745911</v>
      </c>
      <c r="B2867" s="288">
        <v>45538.44027777778</v>
      </c>
      <c r="C2867" s="286" t="s">
        <v>2132</v>
      </c>
      <c r="D2867" s="286" t="s">
        <v>1105</v>
      </c>
      <c r="E2867" s="286" t="s">
        <v>1106</v>
      </c>
      <c r="F2867" s="286" t="s">
        <v>2139</v>
      </c>
      <c r="G2867" s="286" t="s">
        <v>1016</v>
      </c>
      <c r="H2867" s="286" t="s">
        <v>1016</v>
      </c>
      <c r="I2867" s="286" t="s">
        <v>1199</v>
      </c>
      <c r="J2867" s="286" t="s">
        <v>1312</v>
      </c>
      <c r="K2867" s="286" t="s">
        <v>53</v>
      </c>
      <c r="L2867" s="286" t="s">
        <v>53</v>
      </c>
      <c r="M2867" s="286" t="s">
        <v>53</v>
      </c>
      <c r="N2867" s="287">
        <v>-4072.17</v>
      </c>
      <c r="O2867" s="294">
        <f t="shared" si="44"/>
        <v>45565</v>
      </c>
      <c r="P2867" s="286" t="s">
        <v>58</v>
      </c>
    </row>
    <row r="2868" spans="1:16" hidden="1" x14ac:dyDescent="0.15">
      <c r="A2868" s="286">
        <v>848817</v>
      </c>
      <c r="B2868" s="288">
        <v>45607.65902777778</v>
      </c>
      <c r="C2868" s="286" t="s">
        <v>2130</v>
      </c>
      <c r="D2868" s="286" t="s">
        <v>1105</v>
      </c>
      <c r="E2868" s="286" t="s">
        <v>1106</v>
      </c>
      <c r="F2868" s="286" t="s">
        <v>2140</v>
      </c>
      <c r="G2868" s="286" t="s">
        <v>1016</v>
      </c>
      <c r="H2868" s="286" t="s">
        <v>1016</v>
      </c>
      <c r="I2868" s="286" t="s">
        <v>1199</v>
      </c>
      <c r="J2868" s="286" t="s">
        <v>1312</v>
      </c>
      <c r="K2868" s="286" t="s">
        <v>53</v>
      </c>
      <c r="L2868" s="286" t="s">
        <v>53</v>
      </c>
      <c r="M2868" s="286" t="s">
        <v>53</v>
      </c>
      <c r="N2868" s="287">
        <v>-4072.17</v>
      </c>
      <c r="O2868" s="294">
        <f t="shared" si="44"/>
        <v>45626</v>
      </c>
      <c r="P2868" s="286" t="s">
        <v>58</v>
      </c>
    </row>
    <row r="2869" spans="1:16" hidden="1" x14ac:dyDescent="0.15">
      <c r="A2869" s="286">
        <v>848917</v>
      </c>
      <c r="B2869" s="288">
        <v>45607.660416666666</v>
      </c>
      <c r="C2869" s="286" t="s">
        <v>2100</v>
      </c>
      <c r="D2869" s="286" t="s">
        <v>1105</v>
      </c>
      <c r="E2869" s="286" t="s">
        <v>1106</v>
      </c>
      <c r="F2869" s="286" t="s">
        <v>2141</v>
      </c>
      <c r="G2869" s="286" t="s">
        <v>1016</v>
      </c>
      <c r="H2869" s="286" t="s">
        <v>1016</v>
      </c>
      <c r="I2869" s="286" t="s">
        <v>1199</v>
      </c>
      <c r="J2869" s="286" t="s">
        <v>1312</v>
      </c>
      <c r="K2869" s="286" t="s">
        <v>53</v>
      </c>
      <c r="L2869" s="286" t="s">
        <v>53</v>
      </c>
      <c r="M2869" s="286" t="s">
        <v>53</v>
      </c>
      <c r="N2869" s="287">
        <v>-4072.23</v>
      </c>
      <c r="O2869" s="294">
        <f t="shared" si="44"/>
        <v>45626</v>
      </c>
      <c r="P2869" s="286" t="s">
        <v>58</v>
      </c>
    </row>
    <row r="2870" spans="1:16" hidden="1" x14ac:dyDescent="0.15">
      <c r="A2870" s="286">
        <v>483613</v>
      </c>
      <c r="B2870" s="288">
        <v>45342.459027777775</v>
      </c>
      <c r="C2870" s="286" t="s">
        <v>2113</v>
      </c>
      <c r="D2870" s="286" t="s">
        <v>1105</v>
      </c>
      <c r="E2870" s="286" t="s">
        <v>1106</v>
      </c>
      <c r="F2870" s="286" t="s">
        <v>2263</v>
      </c>
      <c r="G2870" s="286" t="s">
        <v>1044</v>
      </c>
      <c r="H2870" s="286" t="s">
        <v>1044</v>
      </c>
      <c r="I2870" s="286" t="s">
        <v>1228</v>
      </c>
      <c r="J2870" s="286" t="s">
        <v>1312</v>
      </c>
      <c r="K2870" s="286" t="s">
        <v>2291</v>
      </c>
      <c r="L2870" s="286" t="s">
        <v>672</v>
      </c>
      <c r="M2870" s="286">
        <v>0</v>
      </c>
      <c r="N2870" s="287">
        <v>-4111.87</v>
      </c>
      <c r="O2870" s="294">
        <f t="shared" si="44"/>
        <v>45351</v>
      </c>
      <c r="P2870" s="286" t="s">
        <v>58</v>
      </c>
    </row>
    <row r="2871" spans="1:16" hidden="1" x14ac:dyDescent="0.15">
      <c r="A2871" s="286">
        <v>438112</v>
      </c>
      <c r="B2871" s="288">
        <v>45293.53402777778</v>
      </c>
      <c r="C2871" s="286" t="s">
        <v>2125</v>
      </c>
      <c r="D2871" s="286" t="s">
        <v>1105</v>
      </c>
      <c r="E2871" s="286" t="s">
        <v>1106</v>
      </c>
      <c r="F2871" s="286" t="s">
        <v>2152</v>
      </c>
      <c r="G2871" s="286" t="s">
        <v>1078</v>
      </c>
      <c r="H2871" s="286" t="s">
        <v>1078</v>
      </c>
      <c r="I2871" s="286" t="s">
        <v>1228</v>
      </c>
      <c r="J2871" s="286" t="s">
        <v>1312</v>
      </c>
      <c r="K2871" s="286" t="s">
        <v>53</v>
      </c>
      <c r="L2871" s="286" t="s">
        <v>53</v>
      </c>
      <c r="M2871" s="286" t="s">
        <v>53</v>
      </c>
      <c r="N2871" s="287">
        <v>-4256.3100000000004</v>
      </c>
      <c r="O2871" s="294">
        <f t="shared" si="44"/>
        <v>45322</v>
      </c>
      <c r="P2871" s="286" t="s">
        <v>58</v>
      </c>
    </row>
    <row r="2872" spans="1:16" hidden="1" x14ac:dyDescent="0.15">
      <c r="A2872" s="286">
        <v>472168</v>
      </c>
      <c r="B2872" s="288">
        <v>45331.416666666664</v>
      </c>
      <c r="C2872" s="286" t="s">
        <v>2113</v>
      </c>
      <c r="D2872" s="286" t="s">
        <v>1105</v>
      </c>
      <c r="E2872" s="286" t="s">
        <v>1106</v>
      </c>
      <c r="F2872" s="286" t="s">
        <v>2153</v>
      </c>
      <c r="G2872" s="286" t="s">
        <v>1078</v>
      </c>
      <c r="H2872" s="286" t="s">
        <v>1078</v>
      </c>
      <c r="I2872" s="286" t="s">
        <v>1228</v>
      </c>
      <c r="J2872" s="286" t="s">
        <v>1312</v>
      </c>
      <c r="K2872" s="286" t="s">
        <v>53</v>
      </c>
      <c r="L2872" s="286" t="s">
        <v>53</v>
      </c>
      <c r="M2872" s="286" t="s">
        <v>53</v>
      </c>
      <c r="N2872" s="287">
        <v>-4256.3100000000004</v>
      </c>
      <c r="O2872" s="294">
        <f t="shared" si="44"/>
        <v>45351</v>
      </c>
      <c r="P2872" s="286" t="s">
        <v>58</v>
      </c>
    </row>
    <row r="2873" spans="1:16" hidden="1" x14ac:dyDescent="0.15">
      <c r="A2873" s="286">
        <v>504817</v>
      </c>
      <c r="B2873" s="288">
        <v>45359.645138888889</v>
      </c>
      <c r="C2873" s="286" t="s">
        <v>2109</v>
      </c>
      <c r="D2873" s="286" t="s">
        <v>1105</v>
      </c>
      <c r="E2873" s="286" t="s">
        <v>1106</v>
      </c>
      <c r="F2873" s="286" t="s">
        <v>2154</v>
      </c>
      <c r="G2873" s="286" t="s">
        <v>1078</v>
      </c>
      <c r="H2873" s="286" t="s">
        <v>1078</v>
      </c>
      <c r="I2873" s="286" t="s">
        <v>1228</v>
      </c>
      <c r="J2873" s="286" t="s">
        <v>1312</v>
      </c>
      <c r="K2873" s="286" t="s">
        <v>53</v>
      </c>
      <c r="L2873" s="286" t="s">
        <v>53</v>
      </c>
      <c r="M2873" s="286" t="s">
        <v>53</v>
      </c>
      <c r="N2873" s="287">
        <v>-4256.3100000000004</v>
      </c>
      <c r="O2873" s="294">
        <f t="shared" si="44"/>
        <v>45382</v>
      </c>
      <c r="P2873" s="286" t="s">
        <v>58</v>
      </c>
    </row>
    <row r="2874" spans="1:16" hidden="1" x14ac:dyDescent="0.15">
      <c r="A2874" s="286">
        <v>534207</v>
      </c>
      <c r="B2874" s="288">
        <v>45385.750694444447</v>
      </c>
      <c r="C2874" s="286" t="s">
        <v>2096</v>
      </c>
      <c r="D2874" s="286" t="s">
        <v>1105</v>
      </c>
      <c r="E2874" s="286" t="s">
        <v>1106</v>
      </c>
      <c r="F2874" s="286" t="s">
        <v>2155</v>
      </c>
      <c r="G2874" s="286" t="s">
        <v>1078</v>
      </c>
      <c r="H2874" s="286" t="s">
        <v>1078</v>
      </c>
      <c r="I2874" s="286" t="s">
        <v>1228</v>
      </c>
      <c r="J2874" s="286" t="s">
        <v>1312</v>
      </c>
      <c r="K2874" s="286" t="s">
        <v>53</v>
      </c>
      <c r="L2874" s="286" t="s">
        <v>53</v>
      </c>
      <c r="M2874" s="286" t="s">
        <v>53</v>
      </c>
      <c r="N2874" s="287">
        <v>-4256.3100000000004</v>
      </c>
      <c r="O2874" s="294">
        <f t="shared" si="44"/>
        <v>45412</v>
      </c>
      <c r="P2874" s="286" t="s">
        <v>58</v>
      </c>
    </row>
    <row r="2875" spans="1:16" hidden="1" x14ac:dyDescent="0.15">
      <c r="A2875" s="286">
        <v>614216</v>
      </c>
      <c r="B2875" s="288">
        <v>45455.716666666667</v>
      </c>
      <c r="C2875" s="286" t="s">
        <v>2116</v>
      </c>
      <c r="D2875" s="286" t="s">
        <v>1105</v>
      </c>
      <c r="E2875" s="286" t="s">
        <v>1106</v>
      </c>
      <c r="F2875" s="286" t="s">
        <v>2156</v>
      </c>
      <c r="G2875" s="286" t="s">
        <v>1078</v>
      </c>
      <c r="H2875" s="286" t="s">
        <v>1078</v>
      </c>
      <c r="I2875" s="286" t="s">
        <v>1228</v>
      </c>
      <c r="J2875" s="286" t="s">
        <v>1312</v>
      </c>
      <c r="K2875" s="286" t="s">
        <v>53</v>
      </c>
      <c r="L2875" s="286" t="s">
        <v>53</v>
      </c>
      <c r="M2875" s="286" t="s">
        <v>53</v>
      </c>
      <c r="N2875" s="287">
        <v>-4256.3100000000004</v>
      </c>
      <c r="O2875" s="294">
        <f t="shared" si="44"/>
        <v>45473</v>
      </c>
      <c r="P2875" s="286" t="s">
        <v>58</v>
      </c>
    </row>
    <row r="2876" spans="1:16" hidden="1" x14ac:dyDescent="0.15">
      <c r="A2876" s="286">
        <v>608480</v>
      </c>
      <c r="B2876" s="288">
        <v>45450.422222222223</v>
      </c>
      <c r="C2876" s="286" t="s">
        <v>2092</v>
      </c>
      <c r="D2876" s="286" t="s">
        <v>1105</v>
      </c>
      <c r="E2876" s="286" t="s">
        <v>1106</v>
      </c>
      <c r="F2876" s="286" t="s">
        <v>2157</v>
      </c>
      <c r="G2876" s="286" t="s">
        <v>1078</v>
      </c>
      <c r="H2876" s="286" t="s">
        <v>1078</v>
      </c>
      <c r="I2876" s="286" t="s">
        <v>1228</v>
      </c>
      <c r="J2876" s="286" t="s">
        <v>1312</v>
      </c>
      <c r="K2876" s="286" t="s">
        <v>53</v>
      </c>
      <c r="L2876" s="286" t="s">
        <v>53</v>
      </c>
      <c r="M2876" s="286" t="s">
        <v>53</v>
      </c>
      <c r="N2876" s="287">
        <v>-4256.3100000000004</v>
      </c>
      <c r="O2876" s="294">
        <f t="shared" si="44"/>
        <v>45473</v>
      </c>
      <c r="P2876" s="286" t="s">
        <v>58</v>
      </c>
    </row>
    <row r="2877" spans="1:16" hidden="1" x14ac:dyDescent="0.15">
      <c r="A2877" s="286">
        <v>898877</v>
      </c>
      <c r="B2877" s="288">
        <v>45644.552083333336</v>
      </c>
      <c r="C2877" s="286" t="s">
        <v>2098</v>
      </c>
      <c r="D2877" s="286" t="s">
        <v>1105</v>
      </c>
      <c r="E2877" s="286" t="s">
        <v>1106</v>
      </c>
      <c r="F2877" s="286" t="s">
        <v>2234</v>
      </c>
      <c r="G2877" s="286" t="s">
        <v>1026</v>
      </c>
      <c r="H2877" s="286" t="s">
        <v>1026</v>
      </c>
      <c r="I2877" s="286" t="s">
        <v>1152</v>
      </c>
      <c r="J2877" s="286" t="s">
        <v>1312</v>
      </c>
      <c r="K2877" s="286" t="s">
        <v>53</v>
      </c>
      <c r="L2877" s="286" t="s">
        <v>53</v>
      </c>
      <c r="M2877" s="286" t="s">
        <v>53</v>
      </c>
      <c r="N2877" s="287">
        <v>-4377.1000000000004</v>
      </c>
      <c r="O2877" s="294">
        <f t="shared" si="44"/>
        <v>45657</v>
      </c>
      <c r="P2877" s="286" t="s">
        <v>58</v>
      </c>
    </row>
    <row r="2878" spans="1:16" hidden="1" x14ac:dyDescent="0.15">
      <c r="A2878" s="286">
        <v>665446</v>
      </c>
      <c r="B2878" s="288">
        <v>45489.461111111108</v>
      </c>
      <c r="C2878" s="286" t="s">
        <v>2092</v>
      </c>
      <c r="D2878" s="286" t="s">
        <v>1105</v>
      </c>
      <c r="E2878" s="286" t="s">
        <v>1106</v>
      </c>
      <c r="F2878" s="286" t="s">
        <v>2296</v>
      </c>
      <c r="G2878" s="286" t="s">
        <v>1090</v>
      </c>
      <c r="H2878" s="286" t="s">
        <v>1090</v>
      </c>
      <c r="I2878" s="286" t="s">
        <v>1228</v>
      </c>
      <c r="J2878" s="286" t="s">
        <v>1312</v>
      </c>
      <c r="K2878" s="286" t="s">
        <v>53</v>
      </c>
      <c r="L2878" s="286" t="s">
        <v>53</v>
      </c>
      <c r="M2878" s="286" t="s">
        <v>53</v>
      </c>
      <c r="N2878" s="287">
        <v>-4471.1899999999996</v>
      </c>
      <c r="O2878" s="294">
        <f t="shared" si="44"/>
        <v>45504</v>
      </c>
      <c r="P2878" s="286" t="s">
        <v>58</v>
      </c>
    </row>
    <row r="2879" spans="1:16" hidden="1" x14ac:dyDescent="0.15">
      <c r="A2879" s="286">
        <v>665546</v>
      </c>
      <c r="B2879" s="288">
        <v>45489.461805555555</v>
      </c>
      <c r="C2879" s="286" t="s">
        <v>2111</v>
      </c>
      <c r="D2879" s="286" t="s">
        <v>1105</v>
      </c>
      <c r="E2879" s="286" t="s">
        <v>1106</v>
      </c>
      <c r="F2879" s="286" t="s">
        <v>2297</v>
      </c>
      <c r="G2879" s="286" t="s">
        <v>1090</v>
      </c>
      <c r="H2879" s="286" t="s">
        <v>1090</v>
      </c>
      <c r="I2879" s="286" t="s">
        <v>1228</v>
      </c>
      <c r="J2879" s="286" t="s">
        <v>1312</v>
      </c>
      <c r="K2879" s="286" t="s">
        <v>53</v>
      </c>
      <c r="L2879" s="286" t="s">
        <v>53</v>
      </c>
      <c r="M2879" s="286" t="s">
        <v>53</v>
      </c>
      <c r="N2879" s="287">
        <v>-4471.1899999999996</v>
      </c>
      <c r="O2879" s="294">
        <f t="shared" si="44"/>
        <v>45504</v>
      </c>
      <c r="P2879" s="286" t="s">
        <v>58</v>
      </c>
    </row>
    <row r="2880" spans="1:16" hidden="1" x14ac:dyDescent="0.15">
      <c r="A2880" s="286">
        <v>697810</v>
      </c>
      <c r="B2880" s="288">
        <v>45510.366666666669</v>
      </c>
      <c r="C2880" s="286" t="s">
        <v>2102</v>
      </c>
      <c r="D2880" s="286" t="s">
        <v>1105</v>
      </c>
      <c r="E2880" s="286" t="s">
        <v>1106</v>
      </c>
      <c r="F2880" s="286" t="s">
        <v>2138</v>
      </c>
      <c r="G2880" s="286" t="s">
        <v>1090</v>
      </c>
      <c r="H2880" s="286" t="s">
        <v>1090</v>
      </c>
      <c r="I2880" s="286" t="s">
        <v>1228</v>
      </c>
      <c r="J2880" s="286" t="s">
        <v>1312</v>
      </c>
      <c r="K2880" s="286" t="s">
        <v>53</v>
      </c>
      <c r="L2880" s="286" t="s">
        <v>53</v>
      </c>
      <c r="M2880" s="286" t="s">
        <v>53</v>
      </c>
      <c r="N2880" s="287">
        <v>-4471.1899999999996</v>
      </c>
      <c r="O2880" s="294">
        <f t="shared" si="44"/>
        <v>45535</v>
      </c>
      <c r="P2880" s="286" t="s">
        <v>58</v>
      </c>
    </row>
    <row r="2881" spans="1:16" hidden="1" x14ac:dyDescent="0.15">
      <c r="A2881" s="286">
        <v>745911</v>
      </c>
      <c r="B2881" s="288">
        <v>45538.44027777778</v>
      </c>
      <c r="C2881" s="286" t="s">
        <v>2132</v>
      </c>
      <c r="D2881" s="286" t="s">
        <v>1105</v>
      </c>
      <c r="E2881" s="286" t="s">
        <v>1106</v>
      </c>
      <c r="F2881" s="286" t="s">
        <v>2139</v>
      </c>
      <c r="G2881" s="286" t="s">
        <v>1090</v>
      </c>
      <c r="H2881" s="286" t="s">
        <v>1090</v>
      </c>
      <c r="I2881" s="286" t="s">
        <v>1228</v>
      </c>
      <c r="J2881" s="286" t="s">
        <v>1312</v>
      </c>
      <c r="K2881" s="286" t="s">
        <v>53</v>
      </c>
      <c r="L2881" s="286" t="s">
        <v>53</v>
      </c>
      <c r="M2881" s="286" t="s">
        <v>53</v>
      </c>
      <c r="N2881" s="287">
        <v>-4471.1899999999996</v>
      </c>
      <c r="O2881" s="294">
        <f t="shared" si="44"/>
        <v>45565</v>
      </c>
      <c r="P2881" s="286" t="s">
        <v>58</v>
      </c>
    </row>
    <row r="2882" spans="1:16" hidden="1" x14ac:dyDescent="0.15">
      <c r="A2882" s="286">
        <v>848817</v>
      </c>
      <c r="B2882" s="288">
        <v>45607.65902777778</v>
      </c>
      <c r="C2882" s="286" t="s">
        <v>2130</v>
      </c>
      <c r="D2882" s="286" t="s">
        <v>1105</v>
      </c>
      <c r="E2882" s="286" t="s">
        <v>1106</v>
      </c>
      <c r="F2882" s="286" t="s">
        <v>2140</v>
      </c>
      <c r="G2882" s="286" t="s">
        <v>1090</v>
      </c>
      <c r="H2882" s="286" t="s">
        <v>1090</v>
      </c>
      <c r="I2882" s="286" t="s">
        <v>1228</v>
      </c>
      <c r="J2882" s="286" t="s">
        <v>1312</v>
      </c>
      <c r="K2882" s="286" t="s">
        <v>53</v>
      </c>
      <c r="L2882" s="286" t="s">
        <v>53</v>
      </c>
      <c r="M2882" s="286" t="s">
        <v>53</v>
      </c>
      <c r="N2882" s="287">
        <v>-4471.1899999999996</v>
      </c>
      <c r="O2882" s="294">
        <f t="shared" si="44"/>
        <v>45626</v>
      </c>
      <c r="P2882" s="286" t="s">
        <v>58</v>
      </c>
    </row>
    <row r="2883" spans="1:16" hidden="1" x14ac:dyDescent="0.15">
      <c r="A2883" s="286">
        <v>848917</v>
      </c>
      <c r="B2883" s="288">
        <v>45607.660416666666</v>
      </c>
      <c r="C2883" s="286" t="s">
        <v>2100</v>
      </c>
      <c r="D2883" s="286" t="s">
        <v>1105</v>
      </c>
      <c r="E2883" s="286" t="s">
        <v>1106</v>
      </c>
      <c r="F2883" s="286" t="s">
        <v>2141</v>
      </c>
      <c r="G2883" s="286" t="s">
        <v>1090</v>
      </c>
      <c r="H2883" s="286" t="s">
        <v>1090</v>
      </c>
      <c r="I2883" s="286" t="s">
        <v>1228</v>
      </c>
      <c r="J2883" s="286" t="s">
        <v>1312</v>
      </c>
      <c r="K2883" s="286" t="s">
        <v>53</v>
      </c>
      <c r="L2883" s="286" t="s">
        <v>53</v>
      </c>
      <c r="M2883" s="286" t="s">
        <v>53</v>
      </c>
      <c r="N2883" s="287">
        <v>-4471.1899999999996</v>
      </c>
      <c r="O2883" s="294">
        <f t="shared" si="44"/>
        <v>45626</v>
      </c>
      <c r="P2883" s="286" t="s">
        <v>58</v>
      </c>
    </row>
    <row r="2884" spans="1:16" hidden="1" x14ac:dyDescent="0.15">
      <c r="A2884" s="286">
        <v>874698</v>
      </c>
      <c r="B2884" s="288">
        <v>45628.357638888891</v>
      </c>
      <c r="C2884" s="286" t="s">
        <v>2098</v>
      </c>
      <c r="D2884" s="286" t="s">
        <v>1105</v>
      </c>
      <c r="E2884" s="286" t="s">
        <v>1106</v>
      </c>
      <c r="F2884" s="286" t="s">
        <v>2142</v>
      </c>
      <c r="G2884" s="286" t="s">
        <v>1090</v>
      </c>
      <c r="H2884" s="286" t="s">
        <v>1090</v>
      </c>
      <c r="I2884" s="286" t="s">
        <v>1228</v>
      </c>
      <c r="J2884" s="286" t="s">
        <v>1312</v>
      </c>
      <c r="K2884" s="286" t="s">
        <v>53</v>
      </c>
      <c r="L2884" s="286" t="s">
        <v>53</v>
      </c>
      <c r="M2884" s="286" t="s">
        <v>53</v>
      </c>
      <c r="N2884" s="287">
        <v>-4471.1899999999996</v>
      </c>
      <c r="O2884" s="294">
        <f t="shared" ref="O2884:O2947" si="45">EOMONTH(B2884,0)</f>
        <v>45657</v>
      </c>
      <c r="P2884" s="286" t="s">
        <v>58</v>
      </c>
    </row>
    <row r="2885" spans="1:16" hidden="1" x14ac:dyDescent="0.15">
      <c r="A2885" s="286">
        <v>495601</v>
      </c>
      <c r="B2885" s="288">
        <v>45351.455555555556</v>
      </c>
      <c r="C2885" s="286" t="s">
        <v>2113</v>
      </c>
      <c r="D2885" s="286" t="s">
        <v>1105</v>
      </c>
      <c r="E2885" s="286" t="s">
        <v>1106</v>
      </c>
      <c r="F2885" s="286" t="s">
        <v>2295</v>
      </c>
      <c r="G2885" s="286" t="s">
        <v>1030</v>
      </c>
      <c r="H2885" s="286" t="s">
        <v>1030</v>
      </c>
      <c r="I2885" s="286" t="s">
        <v>1228</v>
      </c>
      <c r="J2885" s="286" t="s">
        <v>53</v>
      </c>
      <c r="K2885" s="286" t="s">
        <v>53</v>
      </c>
      <c r="L2885" s="286" t="s">
        <v>53</v>
      </c>
      <c r="M2885" s="286" t="s">
        <v>53</v>
      </c>
      <c r="N2885" s="287">
        <v>-4472.32</v>
      </c>
      <c r="O2885" s="294">
        <f t="shared" si="45"/>
        <v>45351</v>
      </c>
      <c r="P2885" s="286" t="s">
        <v>58</v>
      </c>
    </row>
    <row r="2886" spans="1:16" hidden="1" x14ac:dyDescent="0.15">
      <c r="A2886" s="286">
        <v>559626</v>
      </c>
      <c r="B2886" s="288">
        <v>45408.642361111109</v>
      </c>
      <c r="C2886" s="286" t="s">
        <v>2109</v>
      </c>
      <c r="D2886" s="286" t="s">
        <v>1105</v>
      </c>
      <c r="E2886" s="286" t="s">
        <v>1106</v>
      </c>
      <c r="F2886" s="286" t="s">
        <v>2231</v>
      </c>
      <c r="G2886" s="286" t="s">
        <v>1030</v>
      </c>
      <c r="H2886" s="286" t="s">
        <v>1030</v>
      </c>
      <c r="I2886" s="286" t="s">
        <v>1228</v>
      </c>
      <c r="J2886" s="286" t="s">
        <v>1312</v>
      </c>
      <c r="K2886" s="286" t="s">
        <v>53</v>
      </c>
      <c r="L2886" s="286" t="s">
        <v>53</v>
      </c>
      <c r="M2886" s="286" t="s">
        <v>53</v>
      </c>
      <c r="N2886" s="287">
        <v>-4472.32</v>
      </c>
      <c r="O2886" s="294">
        <f t="shared" si="45"/>
        <v>45412</v>
      </c>
      <c r="P2886" s="286" t="s">
        <v>58</v>
      </c>
    </row>
    <row r="2887" spans="1:16" hidden="1" x14ac:dyDescent="0.15">
      <c r="A2887" s="286">
        <v>577185</v>
      </c>
      <c r="B2887" s="288">
        <v>45425.680555555555</v>
      </c>
      <c r="C2887" s="286" t="s">
        <v>2096</v>
      </c>
      <c r="D2887" s="286" t="s">
        <v>1105</v>
      </c>
      <c r="E2887" s="286" t="s">
        <v>1106</v>
      </c>
      <c r="F2887" s="286" t="s">
        <v>2232</v>
      </c>
      <c r="G2887" s="286" t="s">
        <v>1030</v>
      </c>
      <c r="H2887" s="286" t="s">
        <v>1030</v>
      </c>
      <c r="I2887" s="286" t="s">
        <v>1228</v>
      </c>
      <c r="J2887" s="286" t="s">
        <v>53</v>
      </c>
      <c r="K2887" s="286" t="s">
        <v>53</v>
      </c>
      <c r="L2887" s="286" t="s">
        <v>53</v>
      </c>
      <c r="M2887" s="286" t="s">
        <v>53</v>
      </c>
      <c r="N2887" s="287">
        <v>-4472.32</v>
      </c>
      <c r="O2887" s="294">
        <f t="shared" si="45"/>
        <v>45443</v>
      </c>
      <c r="P2887" s="286" t="s">
        <v>58</v>
      </c>
    </row>
    <row r="2888" spans="1:16" hidden="1" x14ac:dyDescent="0.15">
      <c r="A2888" s="286">
        <v>618175</v>
      </c>
      <c r="B2888" s="288">
        <v>45457.602083333331</v>
      </c>
      <c r="C2888" s="286" t="s">
        <v>2116</v>
      </c>
      <c r="D2888" s="286" t="s">
        <v>1105</v>
      </c>
      <c r="E2888" s="286" t="s">
        <v>1106</v>
      </c>
      <c r="F2888" s="286" t="s">
        <v>2158</v>
      </c>
      <c r="G2888" s="286" t="s">
        <v>1030</v>
      </c>
      <c r="H2888" s="286" t="s">
        <v>1030</v>
      </c>
      <c r="I2888" s="286" t="s">
        <v>1228</v>
      </c>
      <c r="J2888" s="286" t="s">
        <v>1312</v>
      </c>
      <c r="K2888" s="286" t="s">
        <v>53</v>
      </c>
      <c r="L2888" s="286" t="s">
        <v>53</v>
      </c>
      <c r="M2888" s="286" t="s">
        <v>53</v>
      </c>
      <c r="N2888" s="287">
        <v>-4472.32</v>
      </c>
      <c r="O2888" s="294">
        <f t="shared" si="45"/>
        <v>45473</v>
      </c>
      <c r="P2888" s="286" t="s">
        <v>58</v>
      </c>
    </row>
    <row r="2889" spans="1:16" hidden="1" x14ac:dyDescent="0.15">
      <c r="A2889" s="286">
        <v>659936</v>
      </c>
      <c r="B2889" s="288">
        <v>45484.529861111114</v>
      </c>
      <c r="C2889" s="286" t="s">
        <v>2092</v>
      </c>
      <c r="D2889" s="286" t="s">
        <v>1105</v>
      </c>
      <c r="E2889" s="286" t="s">
        <v>1106</v>
      </c>
      <c r="F2889" s="286" t="s">
        <v>2159</v>
      </c>
      <c r="G2889" s="286" t="s">
        <v>1030</v>
      </c>
      <c r="H2889" s="286" t="s">
        <v>1030</v>
      </c>
      <c r="I2889" s="286" t="s">
        <v>1228</v>
      </c>
      <c r="J2889" s="286" t="s">
        <v>1312</v>
      </c>
      <c r="K2889" s="286" t="s">
        <v>53</v>
      </c>
      <c r="L2889" s="286" t="s">
        <v>53</v>
      </c>
      <c r="M2889" s="286" t="s">
        <v>53</v>
      </c>
      <c r="N2889" s="287">
        <v>-4472.32</v>
      </c>
      <c r="O2889" s="294">
        <f t="shared" si="45"/>
        <v>45504</v>
      </c>
      <c r="P2889" s="286" t="s">
        <v>58</v>
      </c>
    </row>
    <row r="2890" spans="1:16" hidden="1" x14ac:dyDescent="0.15">
      <c r="A2890" s="286">
        <v>712645</v>
      </c>
      <c r="B2890" s="288">
        <v>45517.640972222223</v>
      </c>
      <c r="C2890" s="286" t="s">
        <v>2111</v>
      </c>
      <c r="D2890" s="286" t="s">
        <v>1105</v>
      </c>
      <c r="E2890" s="286" t="s">
        <v>1106</v>
      </c>
      <c r="F2890" s="286" t="s">
        <v>2160</v>
      </c>
      <c r="G2890" s="286" t="s">
        <v>1030</v>
      </c>
      <c r="H2890" s="286" t="s">
        <v>1030</v>
      </c>
      <c r="I2890" s="286" t="s">
        <v>1228</v>
      </c>
      <c r="J2890" s="286" t="s">
        <v>1312</v>
      </c>
      <c r="K2890" s="286" t="s">
        <v>53</v>
      </c>
      <c r="L2890" s="286" t="s">
        <v>53</v>
      </c>
      <c r="M2890" s="286" t="s">
        <v>53</v>
      </c>
      <c r="N2890" s="287">
        <v>-4472.32</v>
      </c>
      <c r="O2890" s="294">
        <f t="shared" si="45"/>
        <v>45535</v>
      </c>
      <c r="P2890" s="286" t="s">
        <v>58</v>
      </c>
    </row>
    <row r="2891" spans="1:16" hidden="1" x14ac:dyDescent="0.15">
      <c r="A2891" s="286">
        <v>741366</v>
      </c>
      <c r="B2891" s="288">
        <v>45532.655555555553</v>
      </c>
      <c r="C2891" s="286" t="s">
        <v>2102</v>
      </c>
      <c r="D2891" s="286" t="s">
        <v>1105</v>
      </c>
      <c r="E2891" s="286" t="s">
        <v>1106</v>
      </c>
      <c r="F2891" s="286" t="s">
        <v>2161</v>
      </c>
      <c r="G2891" s="286" t="s">
        <v>1030</v>
      </c>
      <c r="H2891" s="286" t="s">
        <v>1030</v>
      </c>
      <c r="I2891" s="286" t="s">
        <v>1228</v>
      </c>
      <c r="J2891" s="286" t="s">
        <v>1312</v>
      </c>
      <c r="K2891" s="286" t="s">
        <v>53</v>
      </c>
      <c r="L2891" s="286" t="s">
        <v>53</v>
      </c>
      <c r="M2891" s="286" t="s">
        <v>53</v>
      </c>
      <c r="N2891" s="287">
        <v>-4472.32</v>
      </c>
      <c r="O2891" s="294">
        <f t="shared" si="45"/>
        <v>45535</v>
      </c>
      <c r="P2891" s="286" t="s">
        <v>58</v>
      </c>
    </row>
    <row r="2892" spans="1:16" hidden="1" x14ac:dyDescent="0.15">
      <c r="A2892" s="286">
        <v>785030</v>
      </c>
      <c r="B2892" s="288">
        <v>45559.581944444442</v>
      </c>
      <c r="C2892" s="286" t="s">
        <v>2132</v>
      </c>
      <c r="D2892" s="286" t="s">
        <v>1105</v>
      </c>
      <c r="E2892" s="286" t="s">
        <v>1106</v>
      </c>
      <c r="F2892" s="286" t="s">
        <v>2162</v>
      </c>
      <c r="G2892" s="286" t="s">
        <v>1030</v>
      </c>
      <c r="H2892" s="286" t="s">
        <v>1030</v>
      </c>
      <c r="I2892" s="286" t="s">
        <v>1228</v>
      </c>
      <c r="J2892" s="286" t="s">
        <v>1312</v>
      </c>
      <c r="K2892" s="286" t="s">
        <v>53</v>
      </c>
      <c r="L2892" s="286" t="s">
        <v>53</v>
      </c>
      <c r="M2892" s="286" t="s">
        <v>53</v>
      </c>
      <c r="N2892" s="287">
        <v>-4472.32</v>
      </c>
      <c r="O2892" s="294">
        <f t="shared" si="45"/>
        <v>45565</v>
      </c>
      <c r="P2892" s="286" t="s">
        <v>58</v>
      </c>
    </row>
    <row r="2893" spans="1:16" hidden="1" x14ac:dyDescent="0.15">
      <c r="A2893" s="286">
        <v>821955</v>
      </c>
      <c r="B2893" s="288">
        <v>45587.62777777778</v>
      </c>
      <c r="C2893" s="286" t="s">
        <v>2130</v>
      </c>
      <c r="D2893" s="286" t="s">
        <v>1105</v>
      </c>
      <c r="E2893" s="286" t="s">
        <v>1106</v>
      </c>
      <c r="F2893" s="286" t="s">
        <v>2163</v>
      </c>
      <c r="G2893" s="286" t="s">
        <v>1030</v>
      </c>
      <c r="H2893" s="286" t="s">
        <v>1030</v>
      </c>
      <c r="I2893" s="286" t="s">
        <v>1228</v>
      </c>
      <c r="J2893" s="286" t="s">
        <v>1312</v>
      </c>
      <c r="K2893" s="286" t="s">
        <v>53</v>
      </c>
      <c r="L2893" s="286" t="s">
        <v>53</v>
      </c>
      <c r="M2893" s="286" t="s">
        <v>53</v>
      </c>
      <c r="N2893" s="287">
        <v>-4472.32</v>
      </c>
      <c r="O2893" s="294">
        <f t="shared" si="45"/>
        <v>45596</v>
      </c>
      <c r="P2893" s="286" t="s">
        <v>58</v>
      </c>
    </row>
    <row r="2894" spans="1:16" hidden="1" x14ac:dyDescent="0.15">
      <c r="A2894" s="286">
        <v>864918</v>
      </c>
      <c r="B2894" s="288">
        <v>45617.508333333331</v>
      </c>
      <c r="C2894" s="286" t="s">
        <v>2100</v>
      </c>
      <c r="D2894" s="286" t="s">
        <v>1105</v>
      </c>
      <c r="E2894" s="286" t="s">
        <v>1106</v>
      </c>
      <c r="F2894" s="286" t="s">
        <v>2233</v>
      </c>
      <c r="G2894" s="286" t="s">
        <v>1030</v>
      </c>
      <c r="H2894" s="286" t="s">
        <v>1030</v>
      </c>
      <c r="I2894" s="286" t="s">
        <v>1228</v>
      </c>
      <c r="J2894" s="286" t="s">
        <v>53</v>
      </c>
      <c r="K2894" s="286" t="s">
        <v>53</v>
      </c>
      <c r="L2894" s="286" t="s">
        <v>53</v>
      </c>
      <c r="M2894" s="286" t="s">
        <v>53</v>
      </c>
      <c r="N2894" s="287">
        <v>-4472.32</v>
      </c>
      <c r="O2894" s="294">
        <f t="shared" si="45"/>
        <v>45626</v>
      </c>
      <c r="P2894" s="286" t="s">
        <v>58</v>
      </c>
    </row>
    <row r="2895" spans="1:16" hidden="1" x14ac:dyDescent="0.15">
      <c r="A2895" s="286">
        <v>898877</v>
      </c>
      <c r="B2895" s="288">
        <v>45644.552083333336</v>
      </c>
      <c r="C2895" s="286" t="s">
        <v>2098</v>
      </c>
      <c r="D2895" s="286" t="s">
        <v>1105</v>
      </c>
      <c r="E2895" s="286" t="s">
        <v>1106</v>
      </c>
      <c r="F2895" s="286" t="s">
        <v>2234</v>
      </c>
      <c r="G2895" s="286" t="s">
        <v>1030</v>
      </c>
      <c r="H2895" s="286" t="s">
        <v>1030</v>
      </c>
      <c r="I2895" s="286" t="s">
        <v>1228</v>
      </c>
      <c r="J2895" s="286" t="s">
        <v>1312</v>
      </c>
      <c r="K2895" s="286" t="s">
        <v>53</v>
      </c>
      <c r="L2895" s="286" t="s">
        <v>53</v>
      </c>
      <c r="M2895" s="286" t="s">
        <v>53</v>
      </c>
      <c r="N2895" s="287">
        <v>-4472.32</v>
      </c>
      <c r="O2895" s="294">
        <f t="shared" si="45"/>
        <v>45657</v>
      </c>
      <c r="P2895" s="286" t="s">
        <v>58</v>
      </c>
    </row>
    <row r="2896" spans="1:16" hidden="1" x14ac:dyDescent="0.15">
      <c r="A2896" s="286">
        <v>821955</v>
      </c>
      <c r="B2896" s="288">
        <v>45587.62777777778</v>
      </c>
      <c r="C2896" s="286" t="s">
        <v>2130</v>
      </c>
      <c r="D2896" s="286" t="s">
        <v>1105</v>
      </c>
      <c r="E2896" s="286" t="s">
        <v>1106</v>
      </c>
      <c r="F2896" s="286" t="s">
        <v>2163</v>
      </c>
      <c r="G2896" s="286" t="s">
        <v>1010</v>
      </c>
      <c r="H2896" s="286" t="s">
        <v>1010</v>
      </c>
      <c r="I2896" s="286" t="s">
        <v>1199</v>
      </c>
      <c r="J2896" s="286" t="s">
        <v>1312</v>
      </c>
      <c r="K2896" s="286" t="s">
        <v>53</v>
      </c>
      <c r="L2896" s="286" t="s">
        <v>53</v>
      </c>
      <c r="M2896" s="286" t="s">
        <v>53</v>
      </c>
      <c r="N2896" s="287">
        <v>-4488.38</v>
      </c>
      <c r="O2896" s="294">
        <f t="shared" si="45"/>
        <v>45596</v>
      </c>
      <c r="P2896" s="286" t="s">
        <v>58</v>
      </c>
    </row>
    <row r="2897" spans="1:16" hidden="1" x14ac:dyDescent="0.15">
      <c r="A2897" s="286">
        <v>504817</v>
      </c>
      <c r="B2897" s="288">
        <v>45359.645138888889</v>
      </c>
      <c r="C2897" s="286" t="s">
        <v>2109</v>
      </c>
      <c r="D2897" s="286" t="s">
        <v>1105</v>
      </c>
      <c r="E2897" s="286" t="s">
        <v>1106</v>
      </c>
      <c r="F2897" s="286" t="s">
        <v>2154</v>
      </c>
      <c r="G2897" s="286" t="s">
        <v>1044</v>
      </c>
      <c r="H2897" s="286" t="s">
        <v>1044</v>
      </c>
      <c r="I2897" s="286" t="s">
        <v>1228</v>
      </c>
      <c r="J2897" s="286" t="s">
        <v>1312</v>
      </c>
      <c r="K2897" s="286" t="s">
        <v>2291</v>
      </c>
      <c r="L2897" s="286" t="s">
        <v>672</v>
      </c>
      <c r="M2897" s="286">
        <v>0</v>
      </c>
      <c r="N2897" s="287">
        <v>-4499.03</v>
      </c>
      <c r="O2897" s="294">
        <f t="shared" si="45"/>
        <v>45382</v>
      </c>
      <c r="P2897" s="286" t="s">
        <v>58</v>
      </c>
    </row>
    <row r="2898" spans="1:16" hidden="1" x14ac:dyDescent="0.15">
      <c r="A2898" s="286">
        <v>534207</v>
      </c>
      <c r="B2898" s="288">
        <v>45385.750694444447</v>
      </c>
      <c r="C2898" s="286" t="s">
        <v>2096</v>
      </c>
      <c r="D2898" s="286" t="s">
        <v>1105</v>
      </c>
      <c r="E2898" s="286" t="s">
        <v>1106</v>
      </c>
      <c r="F2898" s="286" t="s">
        <v>2155</v>
      </c>
      <c r="G2898" s="286" t="s">
        <v>1044</v>
      </c>
      <c r="H2898" s="286" t="s">
        <v>1044</v>
      </c>
      <c r="I2898" s="286" t="s">
        <v>1228</v>
      </c>
      <c r="J2898" s="286" t="s">
        <v>1312</v>
      </c>
      <c r="K2898" s="286" t="s">
        <v>2291</v>
      </c>
      <c r="L2898" s="286" t="s">
        <v>672</v>
      </c>
      <c r="M2898" s="286">
        <v>0</v>
      </c>
      <c r="N2898" s="287">
        <v>-4499.03</v>
      </c>
      <c r="O2898" s="294">
        <f t="shared" si="45"/>
        <v>45412</v>
      </c>
      <c r="P2898" s="286" t="s">
        <v>58</v>
      </c>
    </row>
    <row r="2899" spans="1:16" hidden="1" x14ac:dyDescent="0.15">
      <c r="A2899" s="286">
        <v>614216</v>
      </c>
      <c r="B2899" s="288">
        <v>45455.716666666667</v>
      </c>
      <c r="C2899" s="286" t="s">
        <v>2116</v>
      </c>
      <c r="D2899" s="286" t="s">
        <v>1105</v>
      </c>
      <c r="E2899" s="286" t="s">
        <v>1106</v>
      </c>
      <c r="F2899" s="286" t="s">
        <v>2156</v>
      </c>
      <c r="G2899" s="286" t="s">
        <v>1044</v>
      </c>
      <c r="H2899" s="286" t="s">
        <v>1044</v>
      </c>
      <c r="I2899" s="286" t="s">
        <v>1228</v>
      </c>
      <c r="J2899" s="286" t="s">
        <v>1312</v>
      </c>
      <c r="K2899" s="286" t="s">
        <v>2291</v>
      </c>
      <c r="L2899" s="286" t="s">
        <v>672</v>
      </c>
      <c r="M2899" s="286">
        <v>0</v>
      </c>
      <c r="N2899" s="287">
        <v>-4499.03</v>
      </c>
      <c r="O2899" s="294">
        <f t="shared" si="45"/>
        <v>45473</v>
      </c>
      <c r="P2899" s="286" t="s">
        <v>58</v>
      </c>
    </row>
    <row r="2900" spans="1:16" hidden="1" x14ac:dyDescent="0.15">
      <c r="A2900" s="286">
        <v>614316</v>
      </c>
      <c r="B2900" s="288">
        <v>45455.717361111114</v>
      </c>
      <c r="C2900" s="286" t="s">
        <v>2092</v>
      </c>
      <c r="D2900" s="286" t="s">
        <v>1105</v>
      </c>
      <c r="E2900" s="286" t="s">
        <v>1106</v>
      </c>
      <c r="F2900" s="286" t="s">
        <v>2167</v>
      </c>
      <c r="G2900" s="286" t="s">
        <v>1044</v>
      </c>
      <c r="H2900" s="286" t="s">
        <v>1044</v>
      </c>
      <c r="I2900" s="286" t="s">
        <v>1228</v>
      </c>
      <c r="J2900" s="286" t="s">
        <v>1312</v>
      </c>
      <c r="K2900" s="286" t="s">
        <v>2291</v>
      </c>
      <c r="L2900" s="286" t="s">
        <v>672</v>
      </c>
      <c r="M2900" s="286">
        <v>0</v>
      </c>
      <c r="N2900" s="287">
        <v>-4499.03</v>
      </c>
      <c r="O2900" s="294">
        <f t="shared" si="45"/>
        <v>45473</v>
      </c>
      <c r="P2900" s="286" t="s">
        <v>58</v>
      </c>
    </row>
    <row r="2901" spans="1:16" hidden="1" x14ac:dyDescent="0.15">
      <c r="A2901" s="286">
        <v>646075</v>
      </c>
      <c r="B2901" s="288">
        <v>45474.519444444442</v>
      </c>
      <c r="C2901" s="286" t="s">
        <v>2111</v>
      </c>
      <c r="D2901" s="286" t="s">
        <v>1105</v>
      </c>
      <c r="E2901" s="286" t="s">
        <v>1106</v>
      </c>
      <c r="F2901" s="286" t="s">
        <v>2137</v>
      </c>
      <c r="G2901" s="286" t="s">
        <v>1044</v>
      </c>
      <c r="H2901" s="286" t="s">
        <v>1044</v>
      </c>
      <c r="I2901" s="286" t="s">
        <v>1228</v>
      </c>
      <c r="J2901" s="286" t="s">
        <v>1312</v>
      </c>
      <c r="K2901" s="286" t="s">
        <v>2291</v>
      </c>
      <c r="L2901" s="286" t="s">
        <v>672</v>
      </c>
      <c r="M2901" s="286">
        <v>0</v>
      </c>
      <c r="N2901" s="287">
        <v>-4499.03</v>
      </c>
      <c r="O2901" s="294">
        <f t="shared" si="45"/>
        <v>45504</v>
      </c>
      <c r="P2901" s="286" t="s">
        <v>58</v>
      </c>
    </row>
    <row r="2902" spans="1:16" hidden="1" x14ac:dyDescent="0.15">
      <c r="A2902" s="286">
        <v>697810</v>
      </c>
      <c r="B2902" s="288">
        <v>45510.366666666669</v>
      </c>
      <c r="C2902" s="286" t="s">
        <v>2102</v>
      </c>
      <c r="D2902" s="286" t="s">
        <v>1105</v>
      </c>
      <c r="E2902" s="286" t="s">
        <v>1106</v>
      </c>
      <c r="F2902" s="286" t="s">
        <v>2138</v>
      </c>
      <c r="G2902" s="286" t="s">
        <v>1044</v>
      </c>
      <c r="H2902" s="286" t="s">
        <v>1044</v>
      </c>
      <c r="I2902" s="286" t="s">
        <v>1228</v>
      </c>
      <c r="J2902" s="286" t="s">
        <v>1312</v>
      </c>
      <c r="K2902" s="286" t="s">
        <v>2291</v>
      </c>
      <c r="L2902" s="286" t="s">
        <v>672</v>
      </c>
      <c r="M2902" s="286">
        <v>0</v>
      </c>
      <c r="N2902" s="287">
        <v>-4499.03</v>
      </c>
      <c r="O2902" s="294">
        <f t="shared" si="45"/>
        <v>45535</v>
      </c>
      <c r="P2902" s="286" t="s">
        <v>58</v>
      </c>
    </row>
    <row r="2903" spans="1:16" hidden="1" x14ac:dyDescent="0.15">
      <c r="A2903" s="286">
        <v>745911</v>
      </c>
      <c r="B2903" s="288">
        <v>45538.44027777778</v>
      </c>
      <c r="C2903" s="286" t="s">
        <v>2132</v>
      </c>
      <c r="D2903" s="286" t="s">
        <v>1105</v>
      </c>
      <c r="E2903" s="286" t="s">
        <v>1106</v>
      </c>
      <c r="F2903" s="286" t="s">
        <v>2139</v>
      </c>
      <c r="G2903" s="286" t="s">
        <v>1044</v>
      </c>
      <c r="H2903" s="286" t="s">
        <v>1044</v>
      </c>
      <c r="I2903" s="286" t="s">
        <v>1228</v>
      </c>
      <c r="J2903" s="286" t="s">
        <v>1312</v>
      </c>
      <c r="K2903" s="286" t="s">
        <v>2291</v>
      </c>
      <c r="L2903" s="286" t="s">
        <v>672</v>
      </c>
      <c r="M2903" s="286">
        <v>0</v>
      </c>
      <c r="N2903" s="287">
        <v>-4499.03</v>
      </c>
      <c r="O2903" s="294">
        <f t="shared" si="45"/>
        <v>45565</v>
      </c>
      <c r="P2903" s="286" t="s">
        <v>58</v>
      </c>
    </row>
    <row r="2904" spans="1:16" hidden="1" x14ac:dyDescent="0.15">
      <c r="A2904" s="286">
        <v>848817</v>
      </c>
      <c r="B2904" s="288">
        <v>45607.65902777778</v>
      </c>
      <c r="C2904" s="286" t="s">
        <v>2130</v>
      </c>
      <c r="D2904" s="286" t="s">
        <v>1105</v>
      </c>
      <c r="E2904" s="286" t="s">
        <v>1106</v>
      </c>
      <c r="F2904" s="286" t="s">
        <v>2140</v>
      </c>
      <c r="G2904" s="286" t="s">
        <v>1044</v>
      </c>
      <c r="H2904" s="286" t="s">
        <v>1044</v>
      </c>
      <c r="I2904" s="286" t="s">
        <v>1228</v>
      </c>
      <c r="J2904" s="286" t="s">
        <v>1312</v>
      </c>
      <c r="K2904" s="286" t="s">
        <v>2291</v>
      </c>
      <c r="L2904" s="286" t="s">
        <v>672</v>
      </c>
      <c r="M2904" s="286">
        <v>0</v>
      </c>
      <c r="N2904" s="287">
        <v>-4499.03</v>
      </c>
      <c r="O2904" s="294">
        <f t="shared" si="45"/>
        <v>45626</v>
      </c>
      <c r="P2904" s="286" t="s">
        <v>58</v>
      </c>
    </row>
    <row r="2905" spans="1:16" hidden="1" x14ac:dyDescent="0.15">
      <c r="A2905" s="286">
        <v>848917</v>
      </c>
      <c r="B2905" s="288">
        <v>45607.660416666666</v>
      </c>
      <c r="C2905" s="286" t="s">
        <v>2100</v>
      </c>
      <c r="D2905" s="286" t="s">
        <v>1105</v>
      </c>
      <c r="E2905" s="286" t="s">
        <v>1106</v>
      </c>
      <c r="F2905" s="286" t="s">
        <v>2141</v>
      </c>
      <c r="G2905" s="286" t="s">
        <v>1044</v>
      </c>
      <c r="H2905" s="286" t="s">
        <v>1044</v>
      </c>
      <c r="I2905" s="286" t="s">
        <v>1228</v>
      </c>
      <c r="J2905" s="286" t="s">
        <v>1312</v>
      </c>
      <c r="K2905" s="286" t="s">
        <v>2291</v>
      </c>
      <c r="L2905" s="286" t="s">
        <v>672</v>
      </c>
      <c r="M2905" s="286">
        <v>0</v>
      </c>
      <c r="N2905" s="287">
        <v>-4499.03</v>
      </c>
      <c r="O2905" s="294">
        <f t="shared" si="45"/>
        <v>45626</v>
      </c>
      <c r="P2905" s="286" t="s">
        <v>58</v>
      </c>
    </row>
    <row r="2906" spans="1:16" hidden="1" x14ac:dyDescent="0.15">
      <c r="A2906" s="286">
        <v>874698</v>
      </c>
      <c r="B2906" s="288">
        <v>45628.357638888891</v>
      </c>
      <c r="C2906" s="286" t="s">
        <v>2098</v>
      </c>
      <c r="D2906" s="286" t="s">
        <v>1105</v>
      </c>
      <c r="E2906" s="286" t="s">
        <v>1106</v>
      </c>
      <c r="F2906" s="286" t="s">
        <v>2142</v>
      </c>
      <c r="G2906" s="286" t="s">
        <v>1044</v>
      </c>
      <c r="H2906" s="286" t="s">
        <v>1044</v>
      </c>
      <c r="I2906" s="286" t="s">
        <v>1228</v>
      </c>
      <c r="J2906" s="286" t="s">
        <v>1312</v>
      </c>
      <c r="K2906" s="286" t="s">
        <v>2291</v>
      </c>
      <c r="L2906" s="286" t="s">
        <v>672</v>
      </c>
      <c r="M2906" s="286">
        <v>0</v>
      </c>
      <c r="N2906" s="287">
        <v>-4499.03</v>
      </c>
      <c r="O2906" s="294">
        <f t="shared" si="45"/>
        <v>45657</v>
      </c>
      <c r="P2906" s="286" t="s">
        <v>58</v>
      </c>
    </row>
    <row r="2907" spans="1:16" hidden="1" x14ac:dyDescent="0.15">
      <c r="A2907" s="286">
        <v>751756</v>
      </c>
      <c r="B2907" s="288">
        <v>45540.734722222223</v>
      </c>
      <c r="C2907" s="286" t="s">
        <v>2102</v>
      </c>
      <c r="D2907" s="286" t="s">
        <v>1105</v>
      </c>
      <c r="E2907" s="286" t="s">
        <v>1106</v>
      </c>
      <c r="F2907" s="286" t="s">
        <v>2103</v>
      </c>
      <c r="G2907" s="286" t="s">
        <v>1011</v>
      </c>
      <c r="H2907" s="286" t="s">
        <v>1011</v>
      </c>
      <c r="I2907" s="286" t="s">
        <v>1108</v>
      </c>
      <c r="J2907" s="286" t="s">
        <v>1312</v>
      </c>
      <c r="K2907" s="286" t="s">
        <v>2083</v>
      </c>
      <c r="L2907" s="286" t="s">
        <v>53</v>
      </c>
      <c r="M2907" s="286">
        <v>1</v>
      </c>
      <c r="N2907" s="287">
        <v>-4730</v>
      </c>
      <c r="O2907" s="294">
        <f t="shared" si="45"/>
        <v>45565</v>
      </c>
      <c r="P2907" s="286" t="s">
        <v>37</v>
      </c>
    </row>
    <row r="2908" spans="1:16" hidden="1" x14ac:dyDescent="0.15">
      <c r="A2908" s="286">
        <v>472168</v>
      </c>
      <c r="B2908" s="288">
        <v>45331.416666666664</v>
      </c>
      <c r="C2908" s="286" t="s">
        <v>2113</v>
      </c>
      <c r="D2908" s="286" t="s">
        <v>1105</v>
      </c>
      <c r="E2908" s="286" t="s">
        <v>1106</v>
      </c>
      <c r="F2908" s="286" t="s">
        <v>2153</v>
      </c>
      <c r="G2908" s="286" t="s">
        <v>1008</v>
      </c>
      <c r="H2908" s="286" t="s">
        <v>1008</v>
      </c>
      <c r="I2908" s="286" t="s">
        <v>1228</v>
      </c>
      <c r="J2908" s="286" t="s">
        <v>1312</v>
      </c>
      <c r="K2908" s="286" t="s">
        <v>53</v>
      </c>
      <c r="L2908" s="286" t="s">
        <v>53</v>
      </c>
      <c r="M2908" s="286" t="s">
        <v>53</v>
      </c>
      <c r="N2908" s="287">
        <v>-4762.8900000000003</v>
      </c>
      <c r="O2908" s="294">
        <f t="shared" si="45"/>
        <v>45351</v>
      </c>
      <c r="P2908" s="286" t="s">
        <v>58</v>
      </c>
    </row>
    <row r="2909" spans="1:16" hidden="1" x14ac:dyDescent="0.15">
      <c r="A2909" s="286">
        <v>438112</v>
      </c>
      <c r="B2909" s="288">
        <v>45293.53402777778</v>
      </c>
      <c r="C2909" s="286" t="s">
        <v>2125</v>
      </c>
      <c r="D2909" s="286" t="s">
        <v>1105</v>
      </c>
      <c r="E2909" s="286" t="s">
        <v>1106</v>
      </c>
      <c r="F2909" s="286" t="s">
        <v>2152</v>
      </c>
      <c r="G2909" s="286" t="s">
        <v>1008</v>
      </c>
      <c r="H2909" s="286" t="s">
        <v>1008</v>
      </c>
      <c r="I2909" s="286" t="s">
        <v>1228</v>
      </c>
      <c r="J2909" s="286" t="s">
        <v>1312</v>
      </c>
      <c r="K2909" s="286" t="s">
        <v>53</v>
      </c>
      <c r="L2909" s="286" t="s">
        <v>53</v>
      </c>
      <c r="M2909" s="286" t="s">
        <v>53</v>
      </c>
      <c r="N2909" s="287">
        <v>-4762.92</v>
      </c>
      <c r="O2909" s="294">
        <f t="shared" si="45"/>
        <v>45322</v>
      </c>
      <c r="P2909" s="286" t="s">
        <v>58</v>
      </c>
    </row>
    <row r="2910" spans="1:16" hidden="1" x14ac:dyDescent="0.15">
      <c r="A2910" s="286">
        <v>848716</v>
      </c>
      <c r="B2910" s="288">
        <v>45607.647916666669</v>
      </c>
      <c r="C2910" s="286" t="s">
        <v>2130</v>
      </c>
      <c r="D2910" s="286" t="s">
        <v>1105</v>
      </c>
      <c r="E2910" s="286" t="s">
        <v>1106</v>
      </c>
      <c r="F2910" s="286" t="s">
        <v>2241</v>
      </c>
      <c r="G2910" s="286" t="s">
        <v>1004</v>
      </c>
      <c r="H2910" s="286" t="s">
        <v>1004</v>
      </c>
      <c r="I2910" s="286" t="s">
        <v>1199</v>
      </c>
      <c r="J2910" s="286" t="s">
        <v>1312</v>
      </c>
      <c r="K2910" s="286" t="s">
        <v>53</v>
      </c>
      <c r="L2910" s="286" t="s">
        <v>53</v>
      </c>
      <c r="M2910" s="286" t="s">
        <v>53</v>
      </c>
      <c r="N2910" s="287">
        <v>-4894.26</v>
      </c>
      <c r="O2910" s="294">
        <f t="shared" si="45"/>
        <v>45626</v>
      </c>
      <c r="P2910" s="286" t="s">
        <v>58</v>
      </c>
    </row>
    <row r="2911" spans="1:16" hidden="1" x14ac:dyDescent="0.15">
      <c r="A2911" s="286">
        <v>901365</v>
      </c>
      <c r="B2911" s="288">
        <v>45646.486805555556</v>
      </c>
      <c r="C2911" s="286" t="s">
        <v>2098</v>
      </c>
      <c r="D2911" s="286" t="s">
        <v>1105</v>
      </c>
      <c r="E2911" s="286" t="s">
        <v>1106</v>
      </c>
      <c r="F2911" s="286" t="s">
        <v>2099</v>
      </c>
      <c r="G2911" s="286" t="s">
        <v>1022</v>
      </c>
      <c r="H2911" s="286" t="s">
        <v>1022</v>
      </c>
      <c r="I2911" s="286" t="s">
        <v>1204</v>
      </c>
      <c r="J2911" s="286" t="s">
        <v>1312</v>
      </c>
      <c r="K2911" s="286" t="s">
        <v>2556</v>
      </c>
      <c r="L2911" s="286" t="s">
        <v>53</v>
      </c>
      <c r="M2911" s="286">
        <v>1</v>
      </c>
      <c r="N2911" s="287">
        <v>-4995</v>
      </c>
      <c r="O2911" s="294">
        <f t="shared" si="45"/>
        <v>45657</v>
      </c>
      <c r="P2911" s="286" t="s">
        <v>49</v>
      </c>
    </row>
    <row r="2912" spans="1:16" hidden="1" x14ac:dyDescent="0.15">
      <c r="A2912" s="286">
        <v>651672</v>
      </c>
      <c r="B2912" s="288">
        <v>45481.448611111111</v>
      </c>
      <c r="C2912" s="286" t="s">
        <v>2092</v>
      </c>
      <c r="D2912" s="286" t="s">
        <v>1105</v>
      </c>
      <c r="E2912" s="286" t="s">
        <v>1106</v>
      </c>
      <c r="F2912" s="286" t="s">
        <v>2120</v>
      </c>
      <c r="G2912" s="286" t="s">
        <v>1091</v>
      </c>
      <c r="H2912" s="286" t="s">
        <v>1091</v>
      </c>
      <c r="I2912" s="286" t="s">
        <v>1129</v>
      </c>
      <c r="J2912" s="286" t="s">
        <v>1312</v>
      </c>
      <c r="K2912" s="286" t="s">
        <v>2495</v>
      </c>
      <c r="L2912" s="286" t="s">
        <v>2496</v>
      </c>
      <c r="M2912" s="286">
        <v>1</v>
      </c>
      <c r="N2912" s="287">
        <v>-5000</v>
      </c>
      <c r="O2912" s="294">
        <f t="shared" si="45"/>
        <v>45504</v>
      </c>
      <c r="P2912" s="286" t="s">
        <v>164</v>
      </c>
    </row>
    <row r="2913" spans="1:16" hidden="1" x14ac:dyDescent="0.15">
      <c r="A2913" s="286">
        <v>584551</v>
      </c>
      <c r="B2913" s="288">
        <v>45432.695833333331</v>
      </c>
      <c r="C2913" s="286" t="s">
        <v>2116</v>
      </c>
      <c r="D2913" s="286" t="s">
        <v>1105</v>
      </c>
      <c r="E2913" s="286" t="s">
        <v>1106</v>
      </c>
      <c r="F2913" s="286" t="s">
        <v>2285</v>
      </c>
      <c r="G2913" s="286" t="s">
        <v>1016</v>
      </c>
      <c r="H2913" s="286" t="s">
        <v>1016</v>
      </c>
      <c r="I2913" s="286" t="s">
        <v>1112</v>
      </c>
      <c r="J2913" s="286" t="s">
        <v>1312</v>
      </c>
      <c r="K2913" s="286" t="s">
        <v>2046</v>
      </c>
      <c r="L2913" s="286" t="s">
        <v>53</v>
      </c>
      <c r="M2913" s="286">
        <v>1</v>
      </c>
      <c r="N2913" s="287">
        <v>-5026</v>
      </c>
      <c r="O2913" s="294">
        <f t="shared" si="45"/>
        <v>45443</v>
      </c>
      <c r="P2913" s="286" t="s">
        <v>175</v>
      </c>
    </row>
    <row r="2914" spans="1:16" hidden="1" x14ac:dyDescent="0.15">
      <c r="A2914" s="286">
        <v>438112</v>
      </c>
      <c r="B2914" s="288">
        <v>45293.53402777778</v>
      </c>
      <c r="C2914" s="286" t="s">
        <v>2125</v>
      </c>
      <c r="D2914" s="286" t="s">
        <v>1105</v>
      </c>
      <c r="E2914" s="286" t="s">
        <v>1106</v>
      </c>
      <c r="F2914" s="286" t="s">
        <v>2152</v>
      </c>
      <c r="G2914" s="286" t="s">
        <v>1075</v>
      </c>
      <c r="H2914" s="286" t="s">
        <v>1075</v>
      </c>
      <c r="I2914" s="286" t="s">
        <v>1228</v>
      </c>
      <c r="J2914" s="286" t="s">
        <v>1312</v>
      </c>
      <c r="K2914" s="286" t="s">
        <v>2510</v>
      </c>
      <c r="L2914" s="286" t="s">
        <v>53</v>
      </c>
      <c r="M2914" s="286">
        <v>1</v>
      </c>
      <c r="N2914" s="287">
        <v>-5068.08</v>
      </c>
      <c r="O2914" s="294">
        <f t="shared" si="45"/>
        <v>45322</v>
      </c>
      <c r="P2914" s="286" t="s">
        <v>58</v>
      </c>
    </row>
    <row r="2915" spans="1:16" hidden="1" x14ac:dyDescent="0.15">
      <c r="A2915" s="286">
        <v>472168</v>
      </c>
      <c r="B2915" s="288">
        <v>45331.416666666664</v>
      </c>
      <c r="C2915" s="286" t="s">
        <v>2113</v>
      </c>
      <c r="D2915" s="286" t="s">
        <v>1105</v>
      </c>
      <c r="E2915" s="286" t="s">
        <v>1106</v>
      </c>
      <c r="F2915" s="286" t="s">
        <v>2153</v>
      </c>
      <c r="G2915" s="286" t="s">
        <v>1075</v>
      </c>
      <c r="H2915" s="286" t="s">
        <v>1075</v>
      </c>
      <c r="I2915" s="286" t="s">
        <v>1228</v>
      </c>
      <c r="J2915" s="286" t="s">
        <v>1312</v>
      </c>
      <c r="K2915" s="286" t="s">
        <v>2510</v>
      </c>
      <c r="L2915" s="286" t="s">
        <v>53</v>
      </c>
      <c r="M2915" s="286">
        <v>1</v>
      </c>
      <c r="N2915" s="287">
        <v>-5068.08</v>
      </c>
      <c r="O2915" s="294">
        <f t="shared" si="45"/>
        <v>45351</v>
      </c>
      <c r="P2915" s="286" t="s">
        <v>58</v>
      </c>
    </row>
    <row r="2916" spans="1:16" hidden="1" x14ac:dyDescent="0.15">
      <c r="A2916" s="286">
        <v>504817</v>
      </c>
      <c r="B2916" s="288">
        <v>45359.645138888889</v>
      </c>
      <c r="C2916" s="286" t="s">
        <v>2109</v>
      </c>
      <c r="D2916" s="286" t="s">
        <v>1105</v>
      </c>
      <c r="E2916" s="286" t="s">
        <v>1106</v>
      </c>
      <c r="F2916" s="286" t="s">
        <v>2154</v>
      </c>
      <c r="G2916" s="286" t="s">
        <v>1075</v>
      </c>
      <c r="H2916" s="286" t="s">
        <v>1075</v>
      </c>
      <c r="I2916" s="286" t="s">
        <v>1228</v>
      </c>
      <c r="J2916" s="286" t="s">
        <v>1312</v>
      </c>
      <c r="K2916" s="286" t="s">
        <v>2510</v>
      </c>
      <c r="L2916" s="286" t="s">
        <v>53</v>
      </c>
      <c r="M2916" s="286">
        <v>1</v>
      </c>
      <c r="N2916" s="287">
        <v>-5068.08</v>
      </c>
      <c r="O2916" s="294">
        <f t="shared" si="45"/>
        <v>45382</v>
      </c>
      <c r="P2916" s="286" t="s">
        <v>58</v>
      </c>
    </row>
    <row r="2917" spans="1:16" hidden="1" x14ac:dyDescent="0.15">
      <c r="A2917" s="286">
        <v>534207</v>
      </c>
      <c r="B2917" s="288">
        <v>45385.750694444447</v>
      </c>
      <c r="C2917" s="286" t="s">
        <v>2096</v>
      </c>
      <c r="D2917" s="286" t="s">
        <v>1105</v>
      </c>
      <c r="E2917" s="286" t="s">
        <v>1106</v>
      </c>
      <c r="F2917" s="286" t="s">
        <v>2155</v>
      </c>
      <c r="G2917" s="286" t="s">
        <v>1075</v>
      </c>
      <c r="H2917" s="286" t="s">
        <v>1075</v>
      </c>
      <c r="I2917" s="286" t="s">
        <v>1228</v>
      </c>
      <c r="J2917" s="286" t="s">
        <v>1312</v>
      </c>
      <c r="K2917" s="286" t="s">
        <v>2510</v>
      </c>
      <c r="L2917" s="286" t="s">
        <v>53</v>
      </c>
      <c r="M2917" s="286">
        <v>1</v>
      </c>
      <c r="N2917" s="287">
        <v>-5068.08</v>
      </c>
      <c r="O2917" s="294">
        <f t="shared" si="45"/>
        <v>45412</v>
      </c>
      <c r="P2917" s="286" t="s">
        <v>58</v>
      </c>
    </row>
    <row r="2918" spans="1:16" hidden="1" x14ac:dyDescent="0.15">
      <c r="A2918" s="286">
        <v>614216</v>
      </c>
      <c r="B2918" s="288">
        <v>45455.716666666667</v>
      </c>
      <c r="C2918" s="286" t="s">
        <v>2116</v>
      </c>
      <c r="D2918" s="286" t="s">
        <v>1105</v>
      </c>
      <c r="E2918" s="286" t="s">
        <v>1106</v>
      </c>
      <c r="F2918" s="286" t="s">
        <v>2156</v>
      </c>
      <c r="G2918" s="286" t="s">
        <v>1075</v>
      </c>
      <c r="H2918" s="286" t="s">
        <v>1075</v>
      </c>
      <c r="I2918" s="286" t="s">
        <v>1228</v>
      </c>
      <c r="J2918" s="286" t="s">
        <v>1312</v>
      </c>
      <c r="K2918" s="286" t="s">
        <v>2510</v>
      </c>
      <c r="L2918" s="286" t="s">
        <v>53</v>
      </c>
      <c r="M2918" s="286">
        <v>1</v>
      </c>
      <c r="N2918" s="287">
        <v>-5068.08</v>
      </c>
      <c r="O2918" s="294">
        <f t="shared" si="45"/>
        <v>45473</v>
      </c>
      <c r="P2918" s="286" t="s">
        <v>58</v>
      </c>
    </row>
    <row r="2919" spans="1:16" hidden="1" x14ac:dyDescent="0.15">
      <c r="A2919" s="286">
        <v>608480</v>
      </c>
      <c r="B2919" s="288">
        <v>45450.422222222223</v>
      </c>
      <c r="C2919" s="286" t="s">
        <v>2092</v>
      </c>
      <c r="D2919" s="286" t="s">
        <v>1105</v>
      </c>
      <c r="E2919" s="286" t="s">
        <v>1106</v>
      </c>
      <c r="F2919" s="286" t="s">
        <v>2157</v>
      </c>
      <c r="G2919" s="286" t="s">
        <v>1075</v>
      </c>
      <c r="H2919" s="286" t="s">
        <v>1075</v>
      </c>
      <c r="I2919" s="286" t="s">
        <v>1228</v>
      </c>
      <c r="J2919" s="286" t="s">
        <v>1312</v>
      </c>
      <c r="K2919" s="286" t="s">
        <v>2510</v>
      </c>
      <c r="L2919" s="286" t="s">
        <v>53</v>
      </c>
      <c r="M2919" s="286">
        <v>1</v>
      </c>
      <c r="N2919" s="287">
        <v>-5068.08</v>
      </c>
      <c r="O2919" s="294">
        <f t="shared" si="45"/>
        <v>45473</v>
      </c>
      <c r="P2919" s="286" t="s">
        <v>58</v>
      </c>
    </row>
    <row r="2920" spans="1:16" hidden="1" x14ac:dyDescent="0.15">
      <c r="A2920" s="286">
        <v>646075</v>
      </c>
      <c r="B2920" s="288">
        <v>45474.519444444442</v>
      </c>
      <c r="C2920" s="286" t="s">
        <v>2111</v>
      </c>
      <c r="D2920" s="286" t="s">
        <v>1105</v>
      </c>
      <c r="E2920" s="286" t="s">
        <v>1106</v>
      </c>
      <c r="F2920" s="286" t="s">
        <v>2137</v>
      </c>
      <c r="G2920" s="286" t="s">
        <v>1075</v>
      </c>
      <c r="H2920" s="286" t="s">
        <v>1075</v>
      </c>
      <c r="I2920" s="286" t="s">
        <v>1228</v>
      </c>
      <c r="J2920" s="286" t="s">
        <v>1312</v>
      </c>
      <c r="K2920" s="286" t="s">
        <v>2510</v>
      </c>
      <c r="L2920" s="286" t="s">
        <v>53</v>
      </c>
      <c r="M2920" s="286">
        <v>1</v>
      </c>
      <c r="N2920" s="287">
        <v>-5068.08</v>
      </c>
      <c r="O2920" s="294">
        <f t="shared" si="45"/>
        <v>45504</v>
      </c>
      <c r="P2920" s="286" t="s">
        <v>58</v>
      </c>
    </row>
    <row r="2921" spans="1:16" hidden="1" x14ac:dyDescent="0.15">
      <c r="A2921" s="286">
        <v>697810</v>
      </c>
      <c r="B2921" s="288">
        <v>45510.366666666669</v>
      </c>
      <c r="C2921" s="286" t="s">
        <v>2102</v>
      </c>
      <c r="D2921" s="286" t="s">
        <v>1105</v>
      </c>
      <c r="E2921" s="286" t="s">
        <v>1106</v>
      </c>
      <c r="F2921" s="286" t="s">
        <v>2138</v>
      </c>
      <c r="G2921" s="286" t="s">
        <v>1075</v>
      </c>
      <c r="H2921" s="286" t="s">
        <v>1075</v>
      </c>
      <c r="I2921" s="286" t="s">
        <v>1228</v>
      </c>
      <c r="J2921" s="286" t="s">
        <v>1312</v>
      </c>
      <c r="K2921" s="286" t="s">
        <v>2510</v>
      </c>
      <c r="L2921" s="286" t="s">
        <v>53</v>
      </c>
      <c r="M2921" s="286">
        <v>1</v>
      </c>
      <c r="N2921" s="287">
        <v>-5068.08</v>
      </c>
      <c r="O2921" s="294">
        <f t="shared" si="45"/>
        <v>45535</v>
      </c>
      <c r="P2921" s="286" t="s">
        <v>58</v>
      </c>
    </row>
    <row r="2922" spans="1:16" hidden="1" x14ac:dyDescent="0.15">
      <c r="A2922" s="286">
        <v>745911</v>
      </c>
      <c r="B2922" s="288">
        <v>45538.44027777778</v>
      </c>
      <c r="C2922" s="286" t="s">
        <v>2132</v>
      </c>
      <c r="D2922" s="286" t="s">
        <v>1105</v>
      </c>
      <c r="E2922" s="286" t="s">
        <v>1106</v>
      </c>
      <c r="F2922" s="286" t="s">
        <v>2139</v>
      </c>
      <c r="G2922" s="286" t="s">
        <v>1075</v>
      </c>
      <c r="H2922" s="286" t="s">
        <v>1075</v>
      </c>
      <c r="I2922" s="286" t="s">
        <v>1228</v>
      </c>
      <c r="J2922" s="286" t="s">
        <v>1312</v>
      </c>
      <c r="K2922" s="286" t="s">
        <v>2510</v>
      </c>
      <c r="L2922" s="286" t="s">
        <v>53</v>
      </c>
      <c r="M2922" s="286">
        <v>1</v>
      </c>
      <c r="N2922" s="287">
        <v>-5068.08</v>
      </c>
      <c r="O2922" s="294">
        <f t="shared" si="45"/>
        <v>45565</v>
      </c>
      <c r="P2922" s="286" t="s">
        <v>58</v>
      </c>
    </row>
    <row r="2923" spans="1:16" hidden="1" x14ac:dyDescent="0.15">
      <c r="A2923" s="286">
        <v>848817</v>
      </c>
      <c r="B2923" s="288">
        <v>45607.65902777778</v>
      </c>
      <c r="C2923" s="286" t="s">
        <v>2130</v>
      </c>
      <c r="D2923" s="286" t="s">
        <v>1105</v>
      </c>
      <c r="E2923" s="286" t="s">
        <v>1106</v>
      </c>
      <c r="F2923" s="286" t="s">
        <v>2140</v>
      </c>
      <c r="G2923" s="286" t="s">
        <v>1075</v>
      </c>
      <c r="H2923" s="286" t="s">
        <v>1075</v>
      </c>
      <c r="I2923" s="286" t="s">
        <v>1228</v>
      </c>
      <c r="J2923" s="286" t="s">
        <v>1312</v>
      </c>
      <c r="K2923" s="286" t="s">
        <v>2510</v>
      </c>
      <c r="L2923" s="286" t="s">
        <v>53</v>
      </c>
      <c r="M2923" s="286">
        <v>1</v>
      </c>
      <c r="N2923" s="287">
        <v>-5068.08</v>
      </c>
      <c r="O2923" s="294">
        <f t="shared" si="45"/>
        <v>45626</v>
      </c>
      <c r="P2923" s="286" t="s">
        <v>58</v>
      </c>
    </row>
    <row r="2924" spans="1:16" hidden="1" x14ac:dyDescent="0.15">
      <c r="A2924" s="286">
        <v>848917</v>
      </c>
      <c r="B2924" s="288">
        <v>45607.660416666666</v>
      </c>
      <c r="C2924" s="286" t="s">
        <v>2100</v>
      </c>
      <c r="D2924" s="286" t="s">
        <v>1105</v>
      </c>
      <c r="E2924" s="286" t="s">
        <v>1106</v>
      </c>
      <c r="F2924" s="286" t="s">
        <v>2141</v>
      </c>
      <c r="G2924" s="286" t="s">
        <v>1075</v>
      </c>
      <c r="H2924" s="286" t="s">
        <v>1075</v>
      </c>
      <c r="I2924" s="286" t="s">
        <v>1228</v>
      </c>
      <c r="J2924" s="286" t="s">
        <v>1312</v>
      </c>
      <c r="K2924" s="286" t="s">
        <v>2510</v>
      </c>
      <c r="L2924" s="286" t="s">
        <v>53</v>
      </c>
      <c r="M2924" s="286">
        <v>1</v>
      </c>
      <c r="N2924" s="287">
        <v>-5068.08</v>
      </c>
      <c r="O2924" s="294">
        <f t="shared" si="45"/>
        <v>45626</v>
      </c>
      <c r="P2924" s="286" t="s">
        <v>58</v>
      </c>
    </row>
    <row r="2925" spans="1:16" hidden="1" x14ac:dyDescent="0.15">
      <c r="A2925" s="286">
        <v>874698</v>
      </c>
      <c r="B2925" s="288">
        <v>45628.357638888891</v>
      </c>
      <c r="C2925" s="286" t="s">
        <v>2098</v>
      </c>
      <c r="D2925" s="286" t="s">
        <v>1105</v>
      </c>
      <c r="E2925" s="286" t="s">
        <v>1106</v>
      </c>
      <c r="F2925" s="286" t="s">
        <v>2142</v>
      </c>
      <c r="G2925" s="286" t="s">
        <v>1075</v>
      </c>
      <c r="H2925" s="286" t="s">
        <v>1075</v>
      </c>
      <c r="I2925" s="286" t="s">
        <v>1228</v>
      </c>
      <c r="J2925" s="286" t="s">
        <v>1312</v>
      </c>
      <c r="K2925" s="286" t="s">
        <v>2510</v>
      </c>
      <c r="L2925" s="286" t="s">
        <v>53</v>
      </c>
      <c r="M2925" s="286">
        <v>1</v>
      </c>
      <c r="N2925" s="287">
        <v>-5068.12</v>
      </c>
      <c r="O2925" s="294">
        <f t="shared" si="45"/>
        <v>45657</v>
      </c>
      <c r="P2925" s="286" t="s">
        <v>58</v>
      </c>
    </row>
    <row r="2926" spans="1:16" hidden="1" x14ac:dyDescent="0.15">
      <c r="A2926" s="286">
        <v>890854</v>
      </c>
      <c r="B2926" s="288">
        <v>45637.478472222225</v>
      </c>
      <c r="C2926" s="286" t="s">
        <v>2100</v>
      </c>
      <c r="D2926" s="286" t="s">
        <v>1105</v>
      </c>
      <c r="E2926" s="286" t="s">
        <v>1106</v>
      </c>
      <c r="F2926" s="286" t="s">
        <v>2181</v>
      </c>
      <c r="G2926" s="286" t="s">
        <v>1014</v>
      </c>
      <c r="H2926" s="286" t="s">
        <v>1014</v>
      </c>
      <c r="I2926" s="286" t="s">
        <v>1112</v>
      </c>
      <c r="J2926" s="286" t="s">
        <v>1312</v>
      </c>
      <c r="K2926" s="286" t="s">
        <v>2046</v>
      </c>
      <c r="L2926" s="286" t="s">
        <v>53</v>
      </c>
      <c r="M2926" s="286">
        <v>1</v>
      </c>
      <c r="N2926" s="287">
        <v>-5195</v>
      </c>
      <c r="O2926" s="294">
        <f t="shared" si="45"/>
        <v>45657</v>
      </c>
      <c r="P2926" s="286" t="s">
        <v>175</v>
      </c>
    </row>
    <row r="2927" spans="1:16" hidden="1" x14ac:dyDescent="0.15">
      <c r="A2927" s="286">
        <v>520706</v>
      </c>
      <c r="B2927" s="288">
        <v>45372.521527777775</v>
      </c>
      <c r="C2927" s="286" t="s">
        <v>2113</v>
      </c>
      <c r="D2927" s="286" t="s">
        <v>1105</v>
      </c>
      <c r="E2927" s="286" t="s">
        <v>1106</v>
      </c>
      <c r="F2927" s="286" t="s">
        <v>2557</v>
      </c>
      <c r="G2927" s="286" t="s">
        <v>1062</v>
      </c>
      <c r="H2927" s="286" t="s">
        <v>1062</v>
      </c>
      <c r="I2927" s="286" t="s">
        <v>1230</v>
      </c>
      <c r="J2927" s="286" t="s">
        <v>1312</v>
      </c>
      <c r="K2927" s="286" t="s">
        <v>53</v>
      </c>
      <c r="L2927" s="286" t="s">
        <v>53</v>
      </c>
      <c r="M2927" s="286" t="s">
        <v>53</v>
      </c>
      <c r="N2927" s="287">
        <v>-5196</v>
      </c>
      <c r="O2927" s="294">
        <f t="shared" si="45"/>
        <v>45382</v>
      </c>
      <c r="P2927" s="286" t="s">
        <v>175</v>
      </c>
    </row>
    <row r="2928" spans="1:16" hidden="1" x14ac:dyDescent="0.15">
      <c r="A2928" s="286">
        <v>646075</v>
      </c>
      <c r="B2928" s="288">
        <v>45474.519444444442</v>
      </c>
      <c r="C2928" s="286" t="s">
        <v>2111</v>
      </c>
      <c r="D2928" s="286" t="s">
        <v>1105</v>
      </c>
      <c r="E2928" s="286" t="s">
        <v>1106</v>
      </c>
      <c r="F2928" s="286" t="s">
        <v>2137</v>
      </c>
      <c r="G2928" s="286" t="s">
        <v>1007</v>
      </c>
      <c r="H2928" s="286" t="s">
        <v>1007</v>
      </c>
      <c r="I2928" s="286" t="s">
        <v>1228</v>
      </c>
      <c r="J2928" s="286" t="s">
        <v>1312</v>
      </c>
      <c r="K2928" s="286" t="s">
        <v>53</v>
      </c>
      <c r="L2928" s="286" t="s">
        <v>53</v>
      </c>
      <c r="M2928" s="286" t="s">
        <v>53</v>
      </c>
      <c r="N2928" s="287">
        <v>-5311.29</v>
      </c>
      <c r="O2928" s="294">
        <f t="shared" si="45"/>
        <v>45504</v>
      </c>
      <c r="P2928" s="286" t="s">
        <v>58</v>
      </c>
    </row>
    <row r="2929" spans="1:16" hidden="1" x14ac:dyDescent="0.15">
      <c r="A2929" s="286">
        <v>438112</v>
      </c>
      <c r="B2929" s="288">
        <v>45293.53402777778</v>
      </c>
      <c r="C2929" s="286" t="s">
        <v>2125</v>
      </c>
      <c r="D2929" s="286" t="s">
        <v>1105</v>
      </c>
      <c r="E2929" s="286" t="s">
        <v>1106</v>
      </c>
      <c r="F2929" s="286" t="s">
        <v>2152</v>
      </c>
      <c r="G2929" s="286" t="s">
        <v>1007</v>
      </c>
      <c r="H2929" s="286" t="s">
        <v>1007</v>
      </c>
      <c r="I2929" s="286" t="s">
        <v>1228</v>
      </c>
      <c r="J2929" s="286" t="s">
        <v>1312</v>
      </c>
      <c r="K2929" s="286" t="s">
        <v>53</v>
      </c>
      <c r="L2929" s="286" t="s">
        <v>53</v>
      </c>
      <c r="M2929" s="286" t="s">
        <v>53</v>
      </c>
      <c r="N2929" s="287">
        <v>-5311.34</v>
      </c>
      <c r="O2929" s="294">
        <f t="shared" si="45"/>
        <v>45322</v>
      </c>
      <c r="P2929" s="286" t="s">
        <v>58</v>
      </c>
    </row>
    <row r="2930" spans="1:16" hidden="1" x14ac:dyDescent="0.15">
      <c r="A2930" s="286">
        <v>472168</v>
      </c>
      <c r="B2930" s="288">
        <v>45331.416666666664</v>
      </c>
      <c r="C2930" s="286" t="s">
        <v>2113</v>
      </c>
      <c r="D2930" s="286" t="s">
        <v>1105</v>
      </c>
      <c r="E2930" s="286" t="s">
        <v>1106</v>
      </c>
      <c r="F2930" s="286" t="s">
        <v>2153</v>
      </c>
      <c r="G2930" s="286" t="s">
        <v>1007</v>
      </c>
      <c r="H2930" s="286" t="s">
        <v>1007</v>
      </c>
      <c r="I2930" s="286" t="s">
        <v>1228</v>
      </c>
      <c r="J2930" s="286" t="s">
        <v>1312</v>
      </c>
      <c r="K2930" s="286" t="s">
        <v>53</v>
      </c>
      <c r="L2930" s="286" t="s">
        <v>53</v>
      </c>
      <c r="M2930" s="286" t="s">
        <v>53</v>
      </c>
      <c r="N2930" s="287">
        <v>-5311.34</v>
      </c>
      <c r="O2930" s="294">
        <f t="shared" si="45"/>
        <v>45351</v>
      </c>
      <c r="P2930" s="286" t="s">
        <v>58</v>
      </c>
    </row>
    <row r="2931" spans="1:16" hidden="1" x14ac:dyDescent="0.15">
      <c r="A2931" s="286">
        <v>504817</v>
      </c>
      <c r="B2931" s="288">
        <v>45359.645138888889</v>
      </c>
      <c r="C2931" s="286" t="s">
        <v>2109</v>
      </c>
      <c r="D2931" s="286" t="s">
        <v>1105</v>
      </c>
      <c r="E2931" s="286" t="s">
        <v>1106</v>
      </c>
      <c r="F2931" s="286" t="s">
        <v>2154</v>
      </c>
      <c r="G2931" s="286" t="s">
        <v>1007</v>
      </c>
      <c r="H2931" s="286" t="s">
        <v>1007</v>
      </c>
      <c r="I2931" s="286" t="s">
        <v>1228</v>
      </c>
      <c r="J2931" s="286" t="s">
        <v>1312</v>
      </c>
      <c r="K2931" s="286" t="s">
        <v>53</v>
      </c>
      <c r="L2931" s="286" t="s">
        <v>53</v>
      </c>
      <c r="M2931" s="286" t="s">
        <v>53</v>
      </c>
      <c r="N2931" s="287">
        <v>-5311.34</v>
      </c>
      <c r="O2931" s="294">
        <f t="shared" si="45"/>
        <v>45382</v>
      </c>
      <c r="P2931" s="286" t="s">
        <v>58</v>
      </c>
    </row>
    <row r="2932" spans="1:16" hidden="1" x14ac:dyDescent="0.15">
      <c r="A2932" s="286">
        <v>534207</v>
      </c>
      <c r="B2932" s="288">
        <v>45385.750694444447</v>
      </c>
      <c r="C2932" s="286" t="s">
        <v>2096</v>
      </c>
      <c r="D2932" s="286" t="s">
        <v>1105</v>
      </c>
      <c r="E2932" s="286" t="s">
        <v>1106</v>
      </c>
      <c r="F2932" s="286" t="s">
        <v>2155</v>
      </c>
      <c r="G2932" s="286" t="s">
        <v>1007</v>
      </c>
      <c r="H2932" s="286" t="s">
        <v>1007</v>
      </c>
      <c r="I2932" s="286" t="s">
        <v>1228</v>
      </c>
      <c r="J2932" s="286" t="s">
        <v>1312</v>
      </c>
      <c r="K2932" s="286" t="s">
        <v>53</v>
      </c>
      <c r="L2932" s="286" t="s">
        <v>53</v>
      </c>
      <c r="M2932" s="286" t="s">
        <v>53</v>
      </c>
      <c r="N2932" s="287">
        <v>-5311.34</v>
      </c>
      <c r="O2932" s="294">
        <f t="shared" si="45"/>
        <v>45412</v>
      </c>
      <c r="P2932" s="286" t="s">
        <v>58</v>
      </c>
    </row>
    <row r="2933" spans="1:16" hidden="1" x14ac:dyDescent="0.15">
      <c r="A2933" s="286">
        <v>614216</v>
      </c>
      <c r="B2933" s="288">
        <v>45455.716666666667</v>
      </c>
      <c r="C2933" s="286" t="s">
        <v>2116</v>
      </c>
      <c r="D2933" s="286" t="s">
        <v>1105</v>
      </c>
      <c r="E2933" s="286" t="s">
        <v>1106</v>
      </c>
      <c r="F2933" s="286" t="s">
        <v>2156</v>
      </c>
      <c r="G2933" s="286" t="s">
        <v>1007</v>
      </c>
      <c r="H2933" s="286" t="s">
        <v>1007</v>
      </c>
      <c r="I2933" s="286" t="s">
        <v>1228</v>
      </c>
      <c r="J2933" s="286" t="s">
        <v>1312</v>
      </c>
      <c r="K2933" s="286" t="s">
        <v>53</v>
      </c>
      <c r="L2933" s="286" t="s">
        <v>53</v>
      </c>
      <c r="M2933" s="286" t="s">
        <v>53</v>
      </c>
      <c r="N2933" s="287">
        <v>-5311.34</v>
      </c>
      <c r="O2933" s="294">
        <f t="shared" si="45"/>
        <v>45473</v>
      </c>
      <c r="P2933" s="286" t="s">
        <v>58</v>
      </c>
    </row>
    <row r="2934" spans="1:16" hidden="1" x14ac:dyDescent="0.15">
      <c r="A2934" s="286">
        <v>608480</v>
      </c>
      <c r="B2934" s="288">
        <v>45450.422222222223</v>
      </c>
      <c r="C2934" s="286" t="s">
        <v>2092</v>
      </c>
      <c r="D2934" s="286" t="s">
        <v>1105</v>
      </c>
      <c r="E2934" s="286" t="s">
        <v>1106</v>
      </c>
      <c r="F2934" s="286" t="s">
        <v>2157</v>
      </c>
      <c r="G2934" s="286" t="s">
        <v>1007</v>
      </c>
      <c r="H2934" s="286" t="s">
        <v>1007</v>
      </c>
      <c r="I2934" s="286" t="s">
        <v>1228</v>
      </c>
      <c r="J2934" s="286" t="s">
        <v>1312</v>
      </c>
      <c r="K2934" s="286" t="s">
        <v>53</v>
      </c>
      <c r="L2934" s="286" t="s">
        <v>53</v>
      </c>
      <c r="M2934" s="286" t="s">
        <v>53</v>
      </c>
      <c r="N2934" s="287">
        <v>-5311.34</v>
      </c>
      <c r="O2934" s="294">
        <f t="shared" si="45"/>
        <v>45473</v>
      </c>
      <c r="P2934" s="286" t="s">
        <v>58</v>
      </c>
    </row>
    <row r="2935" spans="1:16" hidden="1" x14ac:dyDescent="0.15">
      <c r="A2935" s="286">
        <v>455870</v>
      </c>
      <c r="B2935" s="288">
        <v>45310.583333333336</v>
      </c>
      <c r="C2935" s="286" t="s">
        <v>2125</v>
      </c>
      <c r="D2935" s="286" t="s">
        <v>1105</v>
      </c>
      <c r="E2935" s="286" t="s">
        <v>1106</v>
      </c>
      <c r="F2935" s="286" t="s">
        <v>2280</v>
      </c>
      <c r="G2935" s="286" t="s">
        <v>1036</v>
      </c>
      <c r="H2935" s="286" t="s">
        <v>1036</v>
      </c>
      <c r="I2935" s="286" t="s">
        <v>1152</v>
      </c>
      <c r="J2935" s="286" t="s">
        <v>53</v>
      </c>
      <c r="K2935" s="286" t="s">
        <v>53</v>
      </c>
      <c r="L2935" s="286" t="s">
        <v>53</v>
      </c>
      <c r="M2935" s="286" t="s">
        <v>53</v>
      </c>
      <c r="N2935" s="287">
        <v>-5497.71</v>
      </c>
      <c r="O2935" s="294">
        <f t="shared" si="45"/>
        <v>45322</v>
      </c>
      <c r="P2935" s="286" t="s">
        <v>58</v>
      </c>
    </row>
    <row r="2936" spans="1:16" hidden="1" x14ac:dyDescent="0.15">
      <c r="A2936" s="286">
        <v>472168</v>
      </c>
      <c r="B2936" s="288">
        <v>45331.416666666664</v>
      </c>
      <c r="C2936" s="286" t="s">
        <v>2113</v>
      </c>
      <c r="D2936" s="286" t="s">
        <v>1105</v>
      </c>
      <c r="E2936" s="286" t="s">
        <v>1106</v>
      </c>
      <c r="F2936" s="286" t="s">
        <v>2153</v>
      </c>
      <c r="G2936" s="286" t="s">
        <v>1036</v>
      </c>
      <c r="H2936" s="286" t="s">
        <v>1036</v>
      </c>
      <c r="I2936" s="286" t="s">
        <v>1152</v>
      </c>
      <c r="J2936" s="286" t="s">
        <v>53</v>
      </c>
      <c r="K2936" s="286" t="s">
        <v>53</v>
      </c>
      <c r="L2936" s="286" t="s">
        <v>53</v>
      </c>
      <c r="M2936" s="286" t="s">
        <v>53</v>
      </c>
      <c r="N2936" s="287">
        <v>-5497.71</v>
      </c>
      <c r="O2936" s="294">
        <f t="shared" si="45"/>
        <v>45351</v>
      </c>
      <c r="P2936" s="286" t="s">
        <v>58</v>
      </c>
    </row>
    <row r="2937" spans="1:16" hidden="1" x14ac:dyDescent="0.15">
      <c r="A2937" s="286">
        <v>504817</v>
      </c>
      <c r="B2937" s="288">
        <v>45359.645138888889</v>
      </c>
      <c r="C2937" s="286" t="s">
        <v>2109</v>
      </c>
      <c r="D2937" s="286" t="s">
        <v>1105</v>
      </c>
      <c r="E2937" s="286" t="s">
        <v>1106</v>
      </c>
      <c r="F2937" s="286" t="s">
        <v>2154</v>
      </c>
      <c r="G2937" s="286" t="s">
        <v>1036</v>
      </c>
      <c r="H2937" s="286" t="s">
        <v>1036</v>
      </c>
      <c r="I2937" s="286" t="s">
        <v>1152</v>
      </c>
      <c r="J2937" s="286" t="s">
        <v>53</v>
      </c>
      <c r="K2937" s="286" t="s">
        <v>53</v>
      </c>
      <c r="L2937" s="286" t="s">
        <v>53</v>
      </c>
      <c r="M2937" s="286" t="s">
        <v>53</v>
      </c>
      <c r="N2937" s="287">
        <v>-5497.71</v>
      </c>
      <c r="O2937" s="294">
        <f t="shared" si="45"/>
        <v>45382</v>
      </c>
      <c r="P2937" s="286" t="s">
        <v>58</v>
      </c>
    </row>
    <row r="2938" spans="1:16" hidden="1" x14ac:dyDescent="0.15">
      <c r="A2938" s="286">
        <v>534207</v>
      </c>
      <c r="B2938" s="288">
        <v>45385.750694444447</v>
      </c>
      <c r="C2938" s="286" t="s">
        <v>2096</v>
      </c>
      <c r="D2938" s="286" t="s">
        <v>1105</v>
      </c>
      <c r="E2938" s="286" t="s">
        <v>1106</v>
      </c>
      <c r="F2938" s="286" t="s">
        <v>2155</v>
      </c>
      <c r="G2938" s="286" t="s">
        <v>1036</v>
      </c>
      <c r="H2938" s="286" t="s">
        <v>1036</v>
      </c>
      <c r="I2938" s="286" t="s">
        <v>1152</v>
      </c>
      <c r="J2938" s="286" t="s">
        <v>53</v>
      </c>
      <c r="K2938" s="286" t="s">
        <v>53</v>
      </c>
      <c r="L2938" s="286" t="s">
        <v>53</v>
      </c>
      <c r="M2938" s="286" t="s">
        <v>53</v>
      </c>
      <c r="N2938" s="287">
        <v>-5497.71</v>
      </c>
      <c r="O2938" s="294">
        <f t="shared" si="45"/>
        <v>45412</v>
      </c>
      <c r="P2938" s="286" t="s">
        <v>58</v>
      </c>
    </row>
    <row r="2939" spans="1:16" hidden="1" x14ac:dyDescent="0.15">
      <c r="A2939" s="286">
        <v>614216</v>
      </c>
      <c r="B2939" s="288">
        <v>45455.716666666667</v>
      </c>
      <c r="C2939" s="286" t="s">
        <v>2116</v>
      </c>
      <c r="D2939" s="286" t="s">
        <v>1105</v>
      </c>
      <c r="E2939" s="286" t="s">
        <v>1106</v>
      </c>
      <c r="F2939" s="286" t="s">
        <v>2156</v>
      </c>
      <c r="G2939" s="286" t="s">
        <v>1036</v>
      </c>
      <c r="H2939" s="286" t="s">
        <v>1036</v>
      </c>
      <c r="I2939" s="286" t="s">
        <v>1152</v>
      </c>
      <c r="J2939" s="286" t="s">
        <v>53</v>
      </c>
      <c r="K2939" s="286" t="s">
        <v>53</v>
      </c>
      <c r="L2939" s="286" t="s">
        <v>53</v>
      </c>
      <c r="M2939" s="286" t="s">
        <v>53</v>
      </c>
      <c r="N2939" s="287">
        <v>-5497.71</v>
      </c>
      <c r="O2939" s="294">
        <f t="shared" si="45"/>
        <v>45473</v>
      </c>
      <c r="P2939" s="286" t="s">
        <v>58</v>
      </c>
    </row>
    <row r="2940" spans="1:16" hidden="1" x14ac:dyDescent="0.15">
      <c r="A2940" s="286">
        <v>614316</v>
      </c>
      <c r="B2940" s="288">
        <v>45455.717361111114</v>
      </c>
      <c r="C2940" s="286" t="s">
        <v>2092</v>
      </c>
      <c r="D2940" s="286" t="s">
        <v>1105</v>
      </c>
      <c r="E2940" s="286" t="s">
        <v>1106</v>
      </c>
      <c r="F2940" s="286" t="s">
        <v>2167</v>
      </c>
      <c r="G2940" s="286" t="s">
        <v>1036</v>
      </c>
      <c r="H2940" s="286" t="s">
        <v>1036</v>
      </c>
      <c r="I2940" s="286" t="s">
        <v>1152</v>
      </c>
      <c r="J2940" s="286" t="s">
        <v>53</v>
      </c>
      <c r="K2940" s="286" t="s">
        <v>53</v>
      </c>
      <c r="L2940" s="286" t="s">
        <v>53</v>
      </c>
      <c r="M2940" s="286" t="s">
        <v>53</v>
      </c>
      <c r="N2940" s="287">
        <v>-5497.71</v>
      </c>
      <c r="O2940" s="294">
        <f t="shared" si="45"/>
        <v>45473</v>
      </c>
      <c r="P2940" s="286" t="s">
        <v>58</v>
      </c>
    </row>
    <row r="2941" spans="1:16" hidden="1" x14ac:dyDescent="0.15">
      <c r="A2941" s="286">
        <v>646075</v>
      </c>
      <c r="B2941" s="288">
        <v>45474.519444444442</v>
      </c>
      <c r="C2941" s="286" t="s">
        <v>2111</v>
      </c>
      <c r="D2941" s="286" t="s">
        <v>1105</v>
      </c>
      <c r="E2941" s="286" t="s">
        <v>1106</v>
      </c>
      <c r="F2941" s="286" t="s">
        <v>2137</v>
      </c>
      <c r="G2941" s="286" t="s">
        <v>1036</v>
      </c>
      <c r="H2941" s="286" t="s">
        <v>1036</v>
      </c>
      <c r="I2941" s="286" t="s">
        <v>1152</v>
      </c>
      <c r="J2941" s="286" t="s">
        <v>53</v>
      </c>
      <c r="K2941" s="286" t="s">
        <v>53</v>
      </c>
      <c r="L2941" s="286" t="s">
        <v>53</v>
      </c>
      <c r="M2941" s="286" t="s">
        <v>53</v>
      </c>
      <c r="N2941" s="287">
        <v>-5497.71</v>
      </c>
      <c r="O2941" s="294">
        <f t="shared" si="45"/>
        <v>45504</v>
      </c>
      <c r="P2941" s="286" t="s">
        <v>58</v>
      </c>
    </row>
    <row r="2942" spans="1:16" hidden="1" x14ac:dyDescent="0.15">
      <c r="A2942" s="286">
        <v>697810</v>
      </c>
      <c r="B2942" s="288">
        <v>45510.366666666669</v>
      </c>
      <c r="C2942" s="286" t="s">
        <v>2102</v>
      </c>
      <c r="D2942" s="286" t="s">
        <v>1105</v>
      </c>
      <c r="E2942" s="286" t="s">
        <v>1106</v>
      </c>
      <c r="F2942" s="286" t="s">
        <v>2138</v>
      </c>
      <c r="G2942" s="286" t="s">
        <v>1036</v>
      </c>
      <c r="H2942" s="286" t="s">
        <v>1036</v>
      </c>
      <c r="I2942" s="286" t="s">
        <v>1152</v>
      </c>
      <c r="J2942" s="286" t="s">
        <v>53</v>
      </c>
      <c r="K2942" s="286" t="s">
        <v>53</v>
      </c>
      <c r="L2942" s="286" t="s">
        <v>53</v>
      </c>
      <c r="M2942" s="286" t="s">
        <v>53</v>
      </c>
      <c r="N2942" s="287">
        <v>-5497.71</v>
      </c>
      <c r="O2942" s="294">
        <f t="shared" si="45"/>
        <v>45535</v>
      </c>
      <c r="P2942" s="286" t="s">
        <v>58</v>
      </c>
    </row>
    <row r="2943" spans="1:16" hidden="1" x14ac:dyDescent="0.15">
      <c r="A2943" s="286">
        <v>745911</v>
      </c>
      <c r="B2943" s="288">
        <v>45538.44027777778</v>
      </c>
      <c r="C2943" s="286" t="s">
        <v>2132</v>
      </c>
      <c r="D2943" s="286" t="s">
        <v>1105</v>
      </c>
      <c r="E2943" s="286" t="s">
        <v>1106</v>
      </c>
      <c r="F2943" s="286" t="s">
        <v>2139</v>
      </c>
      <c r="G2943" s="286" t="s">
        <v>1036</v>
      </c>
      <c r="H2943" s="286" t="s">
        <v>1036</v>
      </c>
      <c r="I2943" s="286" t="s">
        <v>1152</v>
      </c>
      <c r="J2943" s="286" t="s">
        <v>53</v>
      </c>
      <c r="K2943" s="286" t="s">
        <v>53</v>
      </c>
      <c r="L2943" s="286" t="s">
        <v>53</v>
      </c>
      <c r="M2943" s="286" t="s">
        <v>53</v>
      </c>
      <c r="N2943" s="287">
        <v>-5497.71</v>
      </c>
      <c r="O2943" s="294">
        <f t="shared" si="45"/>
        <v>45565</v>
      </c>
      <c r="P2943" s="286" t="s">
        <v>58</v>
      </c>
    </row>
    <row r="2944" spans="1:16" hidden="1" x14ac:dyDescent="0.15">
      <c r="A2944" s="286">
        <v>848817</v>
      </c>
      <c r="B2944" s="288">
        <v>45607.65902777778</v>
      </c>
      <c r="C2944" s="286" t="s">
        <v>2130</v>
      </c>
      <c r="D2944" s="286" t="s">
        <v>1105</v>
      </c>
      <c r="E2944" s="286" t="s">
        <v>1106</v>
      </c>
      <c r="F2944" s="286" t="s">
        <v>2140</v>
      </c>
      <c r="G2944" s="286" t="s">
        <v>1036</v>
      </c>
      <c r="H2944" s="286" t="s">
        <v>1036</v>
      </c>
      <c r="I2944" s="286" t="s">
        <v>1152</v>
      </c>
      <c r="J2944" s="286" t="s">
        <v>53</v>
      </c>
      <c r="K2944" s="286" t="s">
        <v>53</v>
      </c>
      <c r="L2944" s="286" t="s">
        <v>53</v>
      </c>
      <c r="M2944" s="286" t="s">
        <v>53</v>
      </c>
      <c r="N2944" s="287">
        <v>-5497.71</v>
      </c>
      <c r="O2944" s="294">
        <f t="shared" si="45"/>
        <v>45626</v>
      </c>
      <c r="P2944" s="286" t="s">
        <v>58</v>
      </c>
    </row>
    <row r="2945" spans="1:16" hidden="1" x14ac:dyDescent="0.15">
      <c r="A2945" s="286">
        <v>848917</v>
      </c>
      <c r="B2945" s="288">
        <v>45607.660416666666</v>
      </c>
      <c r="C2945" s="286" t="s">
        <v>2100</v>
      </c>
      <c r="D2945" s="286" t="s">
        <v>1105</v>
      </c>
      <c r="E2945" s="286" t="s">
        <v>1106</v>
      </c>
      <c r="F2945" s="286" t="s">
        <v>2141</v>
      </c>
      <c r="G2945" s="286" t="s">
        <v>1036</v>
      </c>
      <c r="H2945" s="286" t="s">
        <v>1036</v>
      </c>
      <c r="I2945" s="286" t="s">
        <v>1152</v>
      </c>
      <c r="J2945" s="286" t="s">
        <v>53</v>
      </c>
      <c r="K2945" s="286" t="s">
        <v>53</v>
      </c>
      <c r="L2945" s="286" t="s">
        <v>53</v>
      </c>
      <c r="M2945" s="286" t="s">
        <v>53</v>
      </c>
      <c r="N2945" s="287">
        <v>-5497.72</v>
      </c>
      <c r="O2945" s="294">
        <f t="shared" si="45"/>
        <v>45626</v>
      </c>
      <c r="P2945" s="286" t="s">
        <v>58</v>
      </c>
    </row>
    <row r="2946" spans="1:16" hidden="1" x14ac:dyDescent="0.15">
      <c r="A2946" s="286">
        <v>785030</v>
      </c>
      <c r="B2946" s="288">
        <v>45559.581944444442</v>
      </c>
      <c r="C2946" s="286" t="s">
        <v>2132</v>
      </c>
      <c r="D2946" s="286" t="s">
        <v>1105</v>
      </c>
      <c r="E2946" s="286" t="s">
        <v>1106</v>
      </c>
      <c r="F2946" s="286" t="s">
        <v>2162</v>
      </c>
      <c r="G2946" s="286" t="s">
        <v>1016</v>
      </c>
      <c r="H2946" s="286" t="s">
        <v>1016</v>
      </c>
      <c r="I2946" s="286" t="s">
        <v>1199</v>
      </c>
      <c r="J2946" s="286" t="s">
        <v>1312</v>
      </c>
      <c r="K2946" s="286" t="s">
        <v>53</v>
      </c>
      <c r="L2946" s="286" t="s">
        <v>53</v>
      </c>
      <c r="M2946" s="286" t="s">
        <v>53</v>
      </c>
      <c r="N2946" s="287">
        <v>-5543.89</v>
      </c>
      <c r="O2946" s="294">
        <f t="shared" si="45"/>
        <v>45565</v>
      </c>
      <c r="P2946" s="286" t="s">
        <v>58</v>
      </c>
    </row>
    <row r="2947" spans="1:16" hidden="1" x14ac:dyDescent="0.15">
      <c r="A2947" s="286">
        <v>712646</v>
      </c>
      <c r="B2947" s="288">
        <v>45517.649305555555</v>
      </c>
      <c r="C2947" s="286" t="s">
        <v>2111</v>
      </c>
      <c r="D2947" s="286" t="s">
        <v>1105</v>
      </c>
      <c r="E2947" s="286" t="s">
        <v>1106</v>
      </c>
      <c r="F2947" s="286" t="s">
        <v>2558</v>
      </c>
      <c r="G2947" s="286" t="s">
        <v>1068</v>
      </c>
      <c r="H2947" s="286" t="s">
        <v>1068</v>
      </c>
      <c r="I2947" s="286" t="s">
        <v>1152</v>
      </c>
      <c r="J2947" s="286" t="s">
        <v>1312</v>
      </c>
      <c r="K2947" s="286" t="s">
        <v>53</v>
      </c>
      <c r="L2947" s="286" t="s">
        <v>53</v>
      </c>
      <c r="M2947" s="286" t="s">
        <v>53</v>
      </c>
      <c r="N2947" s="287">
        <v>-5560.55</v>
      </c>
      <c r="O2947" s="294">
        <f t="shared" si="45"/>
        <v>45535</v>
      </c>
      <c r="P2947" s="286" t="s">
        <v>58</v>
      </c>
    </row>
    <row r="2948" spans="1:16" hidden="1" x14ac:dyDescent="0.15">
      <c r="A2948" s="286">
        <v>519047</v>
      </c>
      <c r="B2948" s="288">
        <v>45371.57708333333</v>
      </c>
      <c r="C2948" s="286" t="s">
        <v>2113</v>
      </c>
      <c r="D2948" s="286" t="s">
        <v>1105</v>
      </c>
      <c r="E2948" s="286" t="s">
        <v>1106</v>
      </c>
      <c r="F2948" s="286" t="s">
        <v>2559</v>
      </c>
      <c r="G2948" s="286" t="s">
        <v>1047</v>
      </c>
      <c r="H2948" s="286" t="s">
        <v>1047</v>
      </c>
      <c r="I2948" s="286" t="s">
        <v>1129</v>
      </c>
      <c r="J2948" s="286" t="s">
        <v>1312</v>
      </c>
      <c r="K2948" s="286" t="s">
        <v>53</v>
      </c>
      <c r="L2948" s="286" t="s">
        <v>53</v>
      </c>
      <c r="M2948" s="286" t="s">
        <v>53</v>
      </c>
      <c r="N2948" s="287">
        <v>-5595</v>
      </c>
      <c r="O2948" s="294">
        <f t="shared" ref="O2948:O3011" si="46">EOMONTH(B2948,0)</f>
        <v>45382</v>
      </c>
      <c r="P2948" s="286" t="s">
        <v>164</v>
      </c>
    </row>
    <row r="2949" spans="1:16" hidden="1" x14ac:dyDescent="0.15">
      <c r="A2949" s="286">
        <v>651672</v>
      </c>
      <c r="B2949" s="288">
        <v>45481.448611111111</v>
      </c>
      <c r="C2949" s="286" t="s">
        <v>2092</v>
      </c>
      <c r="D2949" s="286" t="s">
        <v>1105</v>
      </c>
      <c r="E2949" s="286" t="s">
        <v>1106</v>
      </c>
      <c r="F2949" s="286" t="s">
        <v>2120</v>
      </c>
      <c r="G2949" s="286" t="s">
        <v>1015</v>
      </c>
      <c r="H2949" s="286" t="s">
        <v>1015</v>
      </c>
      <c r="I2949" s="286" t="s">
        <v>1230</v>
      </c>
      <c r="J2949" s="286" t="s">
        <v>1312</v>
      </c>
      <c r="K2949" s="286" t="s">
        <v>2077</v>
      </c>
      <c r="L2949" s="286" t="s">
        <v>53</v>
      </c>
      <c r="M2949" s="286">
        <v>1</v>
      </c>
      <c r="N2949" s="287">
        <v>-5612</v>
      </c>
      <c r="O2949" s="294">
        <f t="shared" si="46"/>
        <v>45504</v>
      </c>
      <c r="P2949" s="286" t="s">
        <v>175</v>
      </c>
    </row>
    <row r="2950" spans="1:16" hidden="1" x14ac:dyDescent="0.15">
      <c r="A2950" s="286">
        <v>504817</v>
      </c>
      <c r="B2950" s="288">
        <v>45359.645138888889</v>
      </c>
      <c r="C2950" s="286" t="s">
        <v>2109</v>
      </c>
      <c r="D2950" s="286" t="s">
        <v>1105</v>
      </c>
      <c r="E2950" s="286" t="s">
        <v>1106</v>
      </c>
      <c r="F2950" s="286" t="s">
        <v>2154</v>
      </c>
      <c r="G2950" s="286" t="s">
        <v>1008</v>
      </c>
      <c r="H2950" s="286" t="s">
        <v>1008</v>
      </c>
      <c r="I2950" s="286" t="s">
        <v>1199</v>
      </c>
      <c r="J2950" s="286" t="s">
        <v>1312</v>
      </c>
      <c r="K2950" s="286" t="s">
        <v>2068</v>
      </c>
      <c r="L2950" s="286" t="s">
        <v>53</v>
      </c>
      <c r="M2950" s="286">
        <v>1</v>
      </c>
      <c r="N2950" s="287">
        <v>-5740.52</v>
      </c>
      <c r="O2950" s="294">
        <f t="shared" si="46"/>
        <v>45382</v>
      </c>
      <c r="P2950" s="286" t="s">
        <v>58</v>
      </c>
    </row>
    <row r="2951" spans="1:16" hidden="1" x14ac:dyDescent="0.15">
      <c r="A2951" s="286">
        <v>769993</v>
      </c>
      <c r="B2951" s="288">
        <v>45548.677083333336</v>
      </c>
      <c r="C2951" s="286" t="s">
        <v>2102</v>
      </c>
      <c r="D2951" s="286" t="s">
        <v>1105</v>
      </c>
      <c r="E2951" s="286" t="s">
        <v>1106</v>
      </c>
      <c r="F2951" s="286" t="s">
        <v>2560</v>
      </c>
      <c r="G2951" s="286" t="s">
        <v>1021</v>
      </c>
      <c r="H2951" s="286" t="s">
        <v>1021</v>
      </c>
      <c r="I2951" s="286" t="s">
        <v>1152</v>
      </c>
      <c r="J2951" s="286" t="s">
        <v>53</v>
      </c>
      <c r="K2951" s="286" t="s">
        <v>53</v>
      </c>
      <c r="L2951" s="286" t="s">
        <v>53</v>
      </c>
      <c r="M2951" s="286" t="s">
        <v>53</v>
      </c>
      <c r="N2951" s="287">
        <v>-5960.07</v>
      </c>
      <c r="O2951" s="294">
        <f t="shared" si="46"/>
        <v>45565</v>
      </c>
      <c r="P2951" s="286" t="s">
        <v>58</v>
      </c>
    </row>
    <row r="2952" spans="1:16" hidden="1" x14ac:dyDescent="0.15">
      <c r="A2952" s="286">
        <v>785030</v>
      </c>
      <c r="B2952" s="288">
        <v>45559.581944444442</v>
      </c>
      <c r="C2952" s="286" t="s">
        <v>2132</v>
      </c>
      <c r="D2952" s="286" t="s">
        <v>1105</v>
      </c>
      <c r="E2952" s="286" t="s">
        <v>1106</v>
      </c>
      <c r="F2952" s="286" t="s">
        <v>2162</v>
      </c>
      <c r="G2952" s="286" t="s">
        <v>1021</v>
      </c>
      <c r="H2952" s="286" t="s">
        <v>1021</v>
      </c>
      <c r="I2952" s="286" t="s">
        <v>1152</v>
      </c>
      <c r="J2952" s="286" t="s">
        <v>1312</v>
      </c>
      <c r="K2952" s="286" t="s">
        <v>53</v>
      </c>
      <c r="L2952" s="286" t="s">
        <v>53</v>
      </c>
      <c r="M2952" s="286" t="s">
        <v>53</v>
      </c>
      <c r="N2952" s="287">
        <v>-5960.07</v>
      </c>
      <c r="O2952" s="294">
        <f t="shared" si="46"/>
        <v>45565</v>
      </c>
      <c r="P2952" s="286" t="s">
        <v>58</v>
      </c>
    </row>
    <row r="2953" spans="1:16" hidden="1" x14ac:dyDescent="0.15">
      <c r="A2953" s="286">
        <v>821955</v>
      </c>
      <c r="B2953" s="288">
        <v>45587.62777777778</v>
      </c>
      <c r="C2953" s="286" t="s">
        <v>2130</v>
      </c>
      <c r="D2953" s="286" t="s">
        <v>1105</v>
      </c>
      <c r="E2953" s="286" t="s">
        <v>1106</v>
      </c>
      <c r="F2953" s="286" t="s">
        <v>2163</v>
      </c>
      <c r="G2953" s="286" t="s">
        <v>1021</v>
      </c>
      <c r="H2953" s="286" t="s">
        <v>1021</v>
      </c>
      <c r="I2953" s="286" t="s">
        <v>1152</v>
      </c>
      <c r="J2953" s="286" t="s">
        <v>1312</v>
      </c>
      <c r="K2953" s="286" t="s">
        <v>53</v>
      </c>
      <c r="L2953" s="286" t="s">
        <v>53</v>
      </c>
      <c r="M2953" s="286" t="s">
        <v>53</v>
      </c>
      <c r="N2953" s="287">
        <v>-5960.07</v>
      </c>
      <c r="O2953" s="294">
        <f t="shared" si="46"/>
        <v>45596</v>
      </c>
      <c r="P2953" s="286" t="s">
        <v>58</v>
      </c>
    </row>
    <row r="2954" spans="1:16" hidden="1" x14ac:dyDescent="0.15">
      <c r="A2954" s="286">
        <v>697810</v>
      </c>
      <c r="B2954" s="288">
        <v>45510.366666666669</v>
      </c>
      <c r="C2954" s="286" t="s">
        <v>2102</v>
      </c>
      <c r="D2954" s="286" t="s">
        <v>1105</v>
      </c>
      <c r="E2954" s="286" t="s">
        <v>1106</v>
      </c>
      <c r="F2954" s="286" t="s">
        <v>2138</v>
      </c>
      <c r="G2954" s="286" t="s">
        <v>1016</v>
      </c>
      <c r="H2954" s="286" t="s">
        <v>1016</v>
      </c>
      <c r="I2954" s="286" t="s">
        <v>1199</v>
      </c>
      <c r="J2954" s="286" t="s">
        <v>1312</v>
      </c>
      <c r="K2954" s="286" t="s">
        <v>2068</v>
      </c>
      <c r="L2954" s="286" t="s">
        <v>53</v>
      </c>
      <c r="M2954" s="286">
        <v>1</v>
      </c>
      <c r="N2954" s="287">
        <v>-5961.52</v>
      </c>
      <c r="O2954" s="294">
        <f t="shared" si="46"/>
        <v>45535</v>
      </c>
      <c r="P2954" s="286" t="s">
        <v>58</v>
      </c>
    </row>
    <row r="2955" spans="1:16" hidden="1" x14ac:dyDescent="0.15">
      <c r="A2955" s="286">
        <v>438112</v>
      </c>
      <c r="B2955" s="288">
        <v>45293.53402777778</v>
      </c>
      <c r="C2955" s="286" t="s">
        <v>2125</v>
      </c>
      <c r="D2955" s="286" t="s">
        <v>1105</v>
      </c>
      <c r="E2955" s="286" t="s">
        <v>1106</v>
      </c>
      <c r="F2955" s="286" t="s">
        <v>2152</v>
      </c>
      <c r="G2955" s="286" t="s">
        <v>1766</v>
      </c>
      <c r="H2955" s="286" t="s">
        <v>1766</v>
      </c>
      <c r="I2955" s="286" t="s">
        <v>1199</v>
      </c>
      <c r="J2955" s="286" t="s">
        <v>1312</v>
      </c>
      <c r="K2955" s="286" t="s">
        <v>2068</v>
      </c>
      <c r="L2955" s="286" t="s">
        <v>53</v>
      </c>
      <c r="M2955" s="286">
        <v>1</v>
      </c>
      <c r="N2955" s="287">
        <v>-5961.54</v>
      </c>
      <c r="O2955" s="294">
        <f t="shared" si="46"/>
        <v>45322</v>
      </c>
      <c r="P2955" s="286" t="s">
        <v>58</v>
      </c>
    </row>
    <row r="2956" spans="1:16" hidden="1" x14ac:dyDescent="0.15">
      <c r="A2956" s="286">
        <v>472168</v>
      </c>
      <c r="B2956" s="288">
        <v>45331.416666666664</v>
      </c>
      <c r="C2956" s="286" t="s">
        <v>2113</v>
      </c>
      <c r="D2956" s="286" t="s">
        <v>1105</v>
      </c>
      <c r="E2956" s="286" t="s">
        <v>1106</v>
      </c>
      <c r="F2956" s="286" t="s">
        <v>2153</v>
      </c>
      <c r="G2956" s="286" t="s">
        <v>1766</v>
      </c>
      <c r="H2956" s="286" t="s">
        <v>1766</v>
      </c>
      <c r="I2956" s="286" t="s">
        <v>1199</v>
      </c>
      <c r="J2956" s="286" t="s">
        <v>1312</v>
      </c>
      <c r="K2956" s="286" t="s">
        <v>2068</v>
      </c>
      <c r="L2956" s="286" t="s">
        <v>53</v>
      </c>
      <c r="M2956" s="286">
        <v>1</v>
      </c>
      <c r="N2956" s="287">
        <v>-5961.54</v>
      </c>
      <c r="O2956" s="294">
        <f t="shared" si="46"/>
        <v>45351</v>
      </c>
      <c r="P2956" s="286" t="s">
        <v>58</v>
      </c>
    </row>
    <row r="2957" spans="1:16" hidden="1" x14ac:dyDescent="0.15">
      <c r="A2957" s="286">
        <v>504817</v>
      </c>
      <c r="B2957" s="288">
        <v>45359.645138888889</v>
      </c>
      <c r="C2957" s="286" t="s">
        <v>2109</v>
      </c>
      <c r="D2957" s="286" t="s">
        <v>1105</v>
      </c>
      <c r="E2957" s="286" t="s">
        <v>1106</v>
      </c>
      <c r="F2957" s="286" t="s">
        <v>2154</v>
      </c>
      <c r="G2957" s="286" t="s">
        <v>1766</v>
      </c>
      <c r="H2957" s="286" t="s">
        <v>1766</v>
      </c>
      <c r="I2957" s="286" t="s">
        <v>1199</v>
      </c>
      <c r="J2957" s="286" t="s">
        <v>1312</v>
      </c>
      <c r="K2957" s="286" t="s">
        <v>2068</v>
      </c>
      <c r="L2957" s="286" t="s">
        <v>53</v>
      </c>
      <c r="M2957" s="286">
        <v>1</v>
      </c>
      <c r="N2957" s="287">
        <v>-5961.54</v>
      </c>
      <c r="O2957" s="294">
        <f t="shared" si="46"/>
        <v>45382</v>
      </c>
      <c r="P2957" s="286" t="s">
        <v>58</v>
      </c>
    </row>
    <row r="2958" spans="1:16" hidden="1" x14ac:dyDescent="0.15">
      <c r="A2958" s="286">
        <v>534207</v>
      </c>
      <c r="B2958" s="288">
        <v>45385.750694444447</v>
      </c>
      <c r="C2958" s="286" t="s">
        <v>2096</v>
      </c>
      <c r="D2958" s="286" t="s">
        <v>1105</v>
      </c>
      <c r="E2958" s="286" t="s">
        <v>1106</v>
      </c>
      <c r="F2958" s="286" t="s">
        <v>2155</v>
      </c>
      <c r="G2958" s="286" t="s">
        <v>1766</v>
      </c>
      <c r="H2958" s="286" t="s">
        <v>1766</v>
      </c>
      <c r="I2958" s="286" t="s">
        <v>1199</v>
      </c>
      <c r="J2958" s="286" t="s">
        <v>1312</v>
      </c>
      <c r="K2958" s="286" t="s">
        <v>2068</v>
      </c>
      <c r="L2958" s="286" t="s">
        <v>53</v>
      </c>
      <c r="M2958" s="286">
        <v>1</v>
      </c>
      <c r="N2958" s="287">
        <v>-5961.54</v>
      </c>
      <c r="O2958" s="294">
        <f t="shared" si="46"/>
        <v>45412</v>
      </c>
      <c r="P2958" s="286" t="s">
        <v>58</v>
      </c>
    </row>
    <row r="2959" spans="1:16" hidden="1" x14ac:dyDescent="0.15">
      <c r="A2959" s="286">
        <v>614216</v>
      </c>
      <c r="B2959" s="288">
        <v>45455.716666666667</v>
      </c>
      <c r="C2959" s="286" t="s">
        <v>2116</v>
      </c>
      <c r="D2959" s="286" t="s">
        <v>1105</v>
      </c>
      <c r="E2959" s="286" t="s">
        <v>1106</v>
      </c>
      <c r="F2959" s="286" t="s">
        <v>2156</v>
      </c>
      <c r="G2959" s="286" t="s">
        <v>1016</v>
      </c>
      <c r="H2959" s="286" t="s">
        <v>1016</v>
      </c>
      <c r="I2959" s="286" t="s">
        <v>1199</v>
      </c>
      <c r="J2959" s="286" t="s">
        <v>1312</v>
      </c>
      <c r="K2959" s="286" t="s">
        <v>2068</v>
      </c>
      <c r="L2959" s="286" t="s">
        <v>53</v>
      </c>
      <c r="M2959" s="286">
        <v>1</v>
      </c>
      <c r="N2959" s="287">
        <v>-5961.54</v>
      </c>
      <c r="O2959" s="294">
        <f t="shared" si="46"/>
        <v>45473</v>
      </c>
      <c r="P2959" s="286" t="s">
        <v>58</v>
      </c>
    </row>
    <row r="2960" spans="1:16" hidden="1" x14ac:dyDescent="0.15">
      <c r="A2960" s="286">
        <v>608480</v>
      </c>
      <c r="B2960" s="288">
        <v>45450.422222222223</v>
      </c>
      <c r="C2960" s="286" t="s">
        <v>2092</v>
      </c>
      <c r="D2960" s="286" t="s">
        <v>1105</v>
      </c>
      <c r="E2960" s="286" t="s">
        <v>1106</v>
      </c>
      <c r="F2960" s="286" t="s">
        <v>2157</v>
      </c>
      <c r="G2960" s="286" t="s">
        <v>1016</v>
      </c>
      <c r="H2960" s="286" t="s">
        <v>1016</v>
      </c>
      <c r="I2960" s="286" t="s">
        <v>1199</v>
      </c>
      <c r="J2960" s="286" t="s">
        <v>1312</v>
      </c>
      <c r="K2960" s="286" t="s">
        <v>2068</v>
      </c>
      <c r="L2960" s="286" t="s">
        <v>53</v>
      </c>
      <c r="M2960" s="286">
        <v>1</v>
      </c>
      <c r="N2960" s="287">
        <v>-5961.54</v>
      </c>
      <c r="O2960" s="294">
        <f t="shared" si="46"/>
        <v>45473</v>
      </c>
      <c r="P2960" s="286" t="s">
        <v>58</v>
      </c>
    </row>
    <row r="2961" spans="1:16" hidden="1" x14ac:dyDescent="0.15">
      <c r="A2961" s="286">
        <v>646075</v>
      </c>
      <c r="B2961" s="288">
        <v>45474.519444444442</v>
      </c>
      <c r="C2961" s="286" t="s">
        <v>2111</v>
      </c>
      <c r="D2961" s="286" t="s">
        <v>1105</v>
      </c>
      <c r="E2961" s="286" t="s">
        <v>1106</v>
      </c>
      <c r="F2961" s="286" t="s">
        <v>2137</v>
      </c>
      <c r="G2961" s="286" t="s">
        <v>1016</v>
      </c>
      <c r="H2961" s="286" t="s">
        <v>1016</v>
      </c>
      <c r="I2961" s="286" t="s">
        <v>1199</v>
      </c>
      <c r="J2961" s="286" t="s">
        <v>1312</v>
      </c>
      <c r="K2961" s="286" t="s">
        <v>2068</v>
      </c>
      <c r="L2961" s="286" t="s">
        <v>53</v>
      </c>
      <c r="M2961" s="286">
        <v>1</v>
      </c>
      <c r="N2961" s="287">
        <v>-5961.54</v>
      </c>
      <c r="O2961" s="294">
        <f t="shared" si="46"/>
        <v>45504</v>
      </c>
      <c r="P2961" s="286" t="s">
        <v>58</v>
      </c>
    </row>
    <row r="2962" spans="1:16" hidden="1" x14ac:dyDescent="0.15">
      <c r="A2962" s="286">
        <v>744088</v>
      </c>
      <c r="B2962" s="288">
        <v>45533.661111111112</v>
      </c>
      <c r="C2962" s="286" t="s">
        <v>2102</v>
      </c>
      <c r="D2962" s="286" t="s">
        <v>1105</v>
      </c>
      <c r="E2962" s="286" t="s">
        <v>1106</v>
      </c>
      <c r="F2962" s="286" t="s">
        <v>2170</v>
      </c>
      <c r="G2962" s="286" t="s">
        <v>1029</v>
      </c>
      <c r="H2962" s="286" t="s">
        <v>1029</v>
      </c>
      <c r="I2962" s="286" t="s">
        <v>1112</v>
      </c>
      <c r="J2962" s="286" t="s">
        <v>1312</v>
      </c>
      <c r="K2962" s="286" t="s">
        <v>2046</v>
      </c>
      <c r="L2962" s="286" t="s">
        <v>53</v>
      </c>
      <c r="M2962" s="286">
        <v>1</v>
      </c>
      <c r="N2962" s="287">
        <v>-6023</v>
      </c>
      <c r="O2962" s="294">
        <f t="shared" si="46"/>
        <v>45535</v>
      </c>
      <c r="P2962" s="286" t="s">
        <v>175</v>
      </c>
    </row>
    <row r="2963" spans="1:16" hidden="1" x14ac:dyDescent="0.15">
      <c r="A2963" s="286">
        <v>864918</v>
      </c>
      <c r="B2963" s="288">
        <v>45617.508333333331</v>
      </c>
      <c r="C2963" s="286" t="s">
        <v>2100</v>
      </c>
      <c r="D2963" s="286" t="s">
        <v>1105</v>
      </c>
      <c r="E2963" s="286" t="s">
        <v>1106</v>
      </c>
      <c r="F2963" s="286" t="s">
        <v>2233</v>
      </c>
      <c r="G2963" s="286" t="s">
        <v>1021</v>
      </c>
      <c r="H2963" s="286" t="s">
        <v>1021</v>
      </c>
      <c r="I2963" s="286" t="s">
        <v>1152</v>
      </c>
      <c r="J2963" s="286" t="s">
        <v>53</v>
      </c>
      <c r="K2963" s="286" t="s">
        <v>53</v>
      </c>
      <c r="L2963" s="286" t="s">
        <v>53</v>
      </c>
      <c r="M2963" s="286" t="s">
        <v>53</v>
      </c>
      <c r="N2963" s="287">
        <v>-6060.32</v>
      </c>
      <c r="O2963" s="294">
        <f t="shared" si="46"/>
        <v>45626</v>
      </c>
      <c r="P2963" s="286" t="s">
        <v>58</v>
      </c>
    </row>
    <row r="2964" spans="1:16" hidden="1" x14ac:dyDescent="0.15">
      <c r="A2964" s="286">
        <v>898877</v>
      </c>
      <c r="B2964" s="288">
        <v>45644.552083333336</v>
      </c>
      <c r="C2964" s="286" t="s">
        <v>2098</v>
      </c>
      <c r="D2964" s="286" t="s">
        <v>1105</v>
      </c>
      <c r="E2964" s="286" t="s">
        <v>1106</v>
      </c>
      <c r="F2964" s="286" t="s">
        <v>2234</v>
      </c>
      <c r="G2964" s="286" t="s">
        <v>1021</v>
      </c>
      <c r="H2964" s="286" t="s">
        <v>1021</v>
      </c>
      <c r="I2964" s="286" t="s">
        <v>1152</v>
      </c>
      <c r="J2964" s="286" t="s">
        <v>1312</v>
      </c>
      <c r="K2964" s="286" t="s">
        <v>53</v>
      </c>
      <c r="L2964" s="286" t="s">
        <v>53</v>
      </c>
      <c r="M2964" s="286" t="s">
        <v>53</v>
      </c>
      <c r="N2964" s="287">
        <v>-6060.32</v>
      </c>
      <c r="O2964" s="294">
        <f t="shared" si="46"/>
        <v>45657</v>
      </c>
      <c r="P2964" s="286" t="s">
        <v>58</v>
      </c>
    </row>
    <row r="2965" spans="1:16" hidden="1" x14ac:dyDescent="0.15">
      <c r="A2965" s="286">
        <v>580949</v>
      </c>
      <c r="B2965" s="288">
        <v>45427.710416666669</v>
      </c>
      <c r="C2965" s="286" t="s">
        <v>2096</v>
      </c>
      <c r="D2965" s="286" t="s">
        <v>1105</v>
      </c>
      <c r="E2965" s="286" t="s">
        <v>1106</v>
      </c>
      <c r="F2965" s="286" t="s">
        <v>2279</v>
      </c>
      <c r="G2965" s="286" t="s">
        <v>1024</v>
      </c>
      <c r="H2965" s="286" t="s">
        <v>1024</v>
      </c>
      <c r="I2965" s="286" t="s">
        <v>1282</v>
      </c>
      <c r="J2965" s="286" t="s">
        <v>1312</v>
      </c>
      <c r="K2965" s="286" t="s">
        <v>53</v>
      </c>
      <c r="L2965" s="286" t="s">
        <v>53</v>
      </c>
      <c r="M2965" s="286" t="s">
        <v>53</v>
      </c>
      <c r="N2965" s="287">
        <v>-6100</v>
      </c>
      <c r="O2965" s="294">
        <f t="shared" si="46"/>
        <v>45443</v>
      </c>
      <c r="P2965" s="286" t="s">
        <v>201</v>
      </c>
    </row>
    <row r="2966" spans="1:16" hidden="1" x14ac:dyDescent="0.15">
      <c r="A2966" s="286">
        <v>808000</v>
      </c>
      <c r="B2966" s="288">
        <v>45579.585416666669</v>
      </c>
      <c r="C2966" s="286" t="s">
        <v>2132</v>
      </c>
      <c r="D2966" s="286" t="s">
        <v>1105</v>
      </c>
      <c r="E2966" s="286" t="s">
        <v>1106</v>
      </c>
      <c r="F2966" s="286" t="s">
        <v>2561</v>
      </c>
      <c r="G2966" s="286" t="s">
        <v>1075</v>
      </c>
      <c r="H2966" s="286" t="s">
        <v>1075</v>
      </c>
      <c r="I2966" s="286" t="s">
        <v>1230</v>
      </c>
      <c r="J2966" s="286" t="s">
        <v>1312</v>
      </c>
      <c r="K2966" s="286" t="s">
        <v>53</v>
      </c>
      <c r="L2966" s="286" t="s">
        <v>53</v>
      </c>
      <c r="M2966" s="286" t="s">
        <v>53</v>
      </c>
      <c r="N2966" s="287">
        <v>-6127</v>
      </c>
      <c r="O2966" s="294">
        <f t="shared" si="46"/>
        <v>45596</v>
      </c>
      <c r="P2966" s="286" t="s">
        <v>175</v>
      </c>
    </row>
    <row r="2967" spans="1:16" hidden="1" x14ac:dyDescent="0.15">
      <c r="A2967" s="286">
        <v>559626</v>
      </c>
      <c r="B2967" s="288">
        <v>45408.642361111109</v>
      </c>
      <c r="C2967" s="286" t="s">
        <v>2109</v>
      </c>
      <c r="D2967" s="286" t="s">
        <v>1105</v>
      </c>
      <c r="E2967" s="286" t="s">
        <v>1106</v>
      </c>
      <c r="F2967" s="286" t="s">
        <v>2231</v>
      </c>
      <c r="G2967" s="286" t="s">
        <v>1089</v>
      </c>
      <c r="H2967" s="286" t="s">
        <v>1089</v>
      </c>
      <c r="I2967" s="286" t="s">
        <v>1228</v>
      </c>
      <c r="J2967" s="286" t="s">
        <v>1312</v>
      </c>
      <c r="K2967" s="286" t="s">
        <v>53</v>
      </c>
      <c r="L2967" s="286" t="s">
        <v>53</v>
      </c>
      <c r="M2967" s="286" t="s">
        <v>53</v>
      </c>
      <c r="N2967" s="287">
        <v>-6212.32</v>
      </c>
      <c r="O2967" s="294">
        <f t="shared" si="46"/>
        <v>45412</v>
      </c>
      <c r="P2967" s="286" t="s">
        <v>58</v>
      </c>
    </row>
    <row r="2968" spans="1:16" hidden="1" x14ac:dyDescent="0.15">
      <c r="A2968" s="286">
        <v>577185</v>
      </c>
      <c r="B2968" s="288">
        <v>45425.680555555555</v>
      </c>
      <c r="C2968" s="286" t="s">
        <v>2096</v>
      </c>
      <c r="D2968" s="286" t="s">
        <v>1105</v>
      </c>
      <c r="E2968" s="286" t="s">
        <v>1106</v>
      </c>
      <c r="F2968" s="286" t="s">
        <v>2232</v>
      </c>
      <c r="G2968" s="286" t="s">
        <v>1089</v>
      </c>
      <c r="H2968" s="286" t="s">
        <v>1089</v>
      </c>
      <c r="I2968" s="286" t="s">
        <v>1228</v>
      </c>
      <c r="J2968" s="286" t="s">
        <v>53</v>
      </c>
      <c r="K2968" s="286" t="s">
        <v>53</v>
      </c>
      <c r="L2968" s="286" t="s">
        <v>53</v>
      </c>
      <c r="M2968" s="286" t="s">
        <v>53</v>
      </c>
      <c r="N2968" s="287">
        <v>-6212.32</v>
      </c>
      <c r="O2968" s="294">
        <f t="shared" si="46"/>
        <v>45443</v>
      </c>
      <c r="P2968" s="286" t="s">
        <v>58</v>
      </c>
    </row>
    <row r="2969" spans="1:16" hidden="1" x14ac:dyDescent="0.15">
      <c r="A2969" s="286">
        <v>618175</v>
      </c>
      <c r="B2969" s="288">
        <v>45457.602083333331</v>
      </c>
      <c r="C2969" s="286" t="s">
        <v>2116</v>
      </c>
      <c r="D2969" s="286" t="s">
        <v>1105</v>
      </c>
      <c r="E2969" s="286" t="s">
        <v>1106</v>
      </c>
      <c r="F2969" s="286" t="s">
        <v>2158</v>
      </c>
      <c r="G2969" s="286" t="s">
        <v>1089</v>
      </c>
      <c r="H2969" s="286" t="s">
        <v>1089</v>
      </c>
      <c r="I2969" s="286" t="s">
        <v>1228</v>
      </c>
      <c r="J2969" s="286" t="s">
        <v>1312</v>
      </c>
      <c r="K2969" s="286" t="s">
        <v>53</v>
      </c>
      <c r="L2969" s="286" t="s">
        <v>53</v>
      </c>
      <c r="M2969" s="286" t="s">
        <v>53</v>
      </c>
      <c r="N2969" s="287">
        <v>-6212.32</v>
      </c>
      <c r="O2969" s="294">
        <f t="shared" si="46"/>
        <v>45473</v>
      </c>
      <c r="P2969" s="286" t="s">
        <v>58</v>
      </c>
    </row>
    <row r="2970" spans="1:16" hidden="1" x14ac:dyDescent="0.15">
      <c r="A2970" s="286">
        <v>659936</v>
      </c>
      <c r="B2970" s="288">
        <v>45484.529861111114</v>
      </c>
      <c r="C2970" s="286" t="s">
        <v>2092</v>
      </c>
      <c r="D2970" s="286" t="s">
        <v>1105</v>
      </c>
      <c r="E2970" s="286" t="s">
        <v>1106</v>
      </c>
      <c r="F2970" s="286" t="s">
        <v>2159</v>
      </c>
      <c r="G2970" s="286" t="s">
        <v>1089</v>
      </c>
      <c r="H2970" s="286" t="s">
        <v>1089</v>
      </c>
      <c r="I2970" s="286" t="s">
        <v>1228</v>
      </c>
      <c r="J2970" s="286" t="s">
        <v>1312</v>
      </c>
      <c r="K2970" s="286" t="s">
        <v>53</v>
      </c>
      <c r="L2970" s="286" t="s">
        <v>53</v>
      </c>
      <c r="M2970" s="286" t="s">
        <v>53</v>
      </c>
      <c r="N2970" s="287">
        <v>-6212.32</v>
      </c>
      <c r="O2970" s="294">
        <f t="shared" si="46"/>
        <v>45504</v>
      </c>
      <c r="P2970" s="286" t="s">
        <v>58</v>
      </c>
    </row>
    <row r="2971" spans="1:16" hidden="1" x14ac:dyDescent="0.15">
      <c r="A2971" s="286">
        <v>712645</v>
      </c>
      <c r="B2971" s="288">
        <v>45517.640972222223</v>
      </c>
      <c r="C2971" s="286" t="s">
        <v>2111</v>
      </c>
      <c r="D2971" s="286" t="s">
        <v>1105</v>
      </c>
      <c r="E2971" s="286" t="s">
        <v>1106</v>
      </c>
      <c r="F2971" s="286" t="s">
        <v>2160</v>
      </c>
      <c r="G2971" s="286" t="s">
        <v>1089</v>
      </c>
      <c r="H2971" s="286" t="s">
        <v>1089</v>
      </c>
      <c r="I2971" s="286" t="s">
        <v>1228</v>
      </c>
      <c r="J2971" s="286" t="s">
        <v>1312</v>
      </c>
      <c r="K2971" s="286" t="s">
        <v>53</v>
      </c>
      <c r="L2971" s="286" t="s">
        <v>53</v>
      </c>
      <c r="M2971" s="286" t="s">
        <v>53</v>
      </c>
      <c r="N2971" s="287">
        <v>-6212.32</v>
      </c>
      <c r="O2971" s="294">
        <f t="shared" si="46"/>
        <v>45535</v>
      </c>
      <c r="P2971" s="286" t="s">
        <v>58</v>
      </c>
    </row>
    <row r="2972" spans="1:16" hidden="1" x14ac:dyDescent="0.15">
      <c r="A2972" s="286">
        <v>741366</v>
      </c>
      <c r="B2972" s="288">
        <v>45532.655555555553</v>
      </c>
      <c r="C2972" s="286" t="s">
        <v>2102</v>
      </c>
      <c r="D2972" s="286" t="s">
        <v>1105</v>
      </c>
      <c r="E2972" s="286" t="s">
        <v>1106</v>
      </c>
      <c r="F2972" s="286" t="s">
        <v>2161</v>
      </c>
      <c r="G2972" s="286" t="s">
        <v>1089</v>
      </c>
      <c r="H2972" s="286" t="s">
        <v>1089</v>
      </c>
      <c r="I2972" s="286" t="s">
        <v>1228</v>
      </c>
      <c r="J2972" s="286" t="s">
        <v>1312</v>
      </c>
      <c r="K2972" s="286" t="s">
        <v>53</v>
      </c>
      <c r="L2972" s="286" t="s">
        <v>53</v>
      </c>
      <c r="M2972" s="286" t="s">
        <v>53</v>
      </c>
      <c r="N2972" s="287">
        <v>-6212.32</v>
      </c>
      <c r="O2972" s="294">
        <f t="shared" si="46"/>
        <v>45535</v>
      </c>
      <c r="P2972" s="286" t="s">
        <v>58</v>
      </c>
    </row>
    <row r="2973" spans="1:16" hidden="1" x14ac:dyDescent="0.15">
      <c r="A2973" s="286">
        <v>785030</v>
      </c>
      <c r="B2973" s="288">
        <v>45559.581944444442</v>
      </c>
      <c r="C2973" s="286" t="s">
        <v>2132</v>
      </c>
      <c r="D2973" s="286" t="s">
        <v>1105</v>
      </c>
      <c r="E2973" s="286" t="s">
        <v>1106</v>
      </c>
      <c r="F2973" s="286" t="s">
        <v>2162</v>
      </c>
      <c r="G2973" s="286" t="s">
        <v>1089</v>
      </c>
      <c r="H2973" s="286" t="s">
        <v>1089</v>
      </c>
      <c r="I2973" s="286" t="s">
        <v>1228</v>
      </c>
      <c r="J2973" s="286" t="s">
        <v>1312</v>
      </c>
      <c r="K2973" s="286" t="s">
        <v>53</v>
      </c>
      <c r="L2973" s="286" t="s">
        <v>53</v>
      </c>
      <c r="M2973" s="286" t="s">
        <v>53</v>
      </c>
      <c r="N2973" s="287">
        <v>-6212.32</v>
      </c>
      <c r="O2973" s="294">
        <f t="shared" si="46"/>
        <v>45565</v>
      </c>
      <c r="P2973" s="286" t="s">
        <v>58</v>
      </c>
    </row>
    <row r="2974" spans="1:16" hidden="1" x14ac:dyDescent="0.15">
      <c r="A2974" s="286">
        <v>821955</v>
      </c>
      <c r="B2974" s="288">
        <v>45587.62777777778</v>
      </c>
      <c r="C2974" s="286" t="s">
        <v>2130</v>
      </c>
      <c r="D2974" s="286" t="s">
        <v>1105</v>
      </c>
      <c r="E2974" s="286" t="s">
        <v>1106</v>
      </c>
      <c r="F2974" s="286" t="s">
        <v>2163</v>
      </c>
      <c r="G2974" s="286" t="s">
        <v>1089</v>
      </c>
      <c r="H2974" s="286" t="s">
        <v>1089</v>
      </c>
      <c r="I2974" s="286" t="s">
        <v>1228</v>
      </c>
      <c r="J2974" s="286" t="s">
        <v>1312</v>
      </c>
      <c r="K2974" s="286" t="s">
        <v>53</v>
      </c>
      <c r="L2974" s="286" t="s">
        <v>53</v>
      </c>
      <c r="M2974" s="286" t="s">
        <v>53</v>
      </c>
      <c r="N2974" s="287">
        <v>-6212.32</v>
      </c>
      <c r="O2974" s="294">
        <f t="shared" si="46"/>
        <v>45596</v>
      </c>
      <c r="P2974" s="286" t="s">
        <v>58</v>
      </c>
    </row>
    <row r="2975" spans="1:16" hidden="1" x14ac:dyDescent="0.15">
      <c r="A2975" s="286">
        <v>864918</v>
      </c>
      <c r="B2975" s="288">
        <v>45617.508333333331</v>
      </c>
      <c r="C2975" s="286" t="s">
        <v>2100</v>
      </c>
      <c r="D2975" s="286" t="s">
        <v>1105</v>
      </c>
      <c r="E2975" s="286" t="s">
        <v>1106</v>
      </c>
      <c r="F2975" s="286" t="s">
        <v>2233</v>
      </c>
      <c r="G2975" s="286" t="s">
        <v>1089</v>
      </c>
      <c r="H2975" s="286" t="s">
        <v>1089</v>
      </c>
      <c r="I2975" s="286" t="s">
        <v>1199</v>
      </c>
      <c r="J2975" s="286" t="s">
        <v>53</v>
      </c>
      <c r="K2975" s="286" t="s">
        <v>53</v>
      </c>
      <c r="L2975" s="286" t="s">
        <v>53</v>
      </c>
      <c r="M2975" s="286" t="s">
        <v>53</v>
      </c>
      <c r="N2975" s="287">
        <v>-6212.32</v>
      </c>
      <c r="O2975" s="294">
        <f t="shared" si="46"/>
        <v>45626</v>
      </c>
      <c r="P2975" s="286" t="s">
        <v>58</v>
      </c>
    </row>
    <row r="2976" spans="1:16" hidden="1" x14ac:dyDescent="0.15">
      <c r="A2976" s="286">
        <v>898877</v>
      </c>
      <c r="B2976" s="288">
        <v>45644.552083333336</v>
      </c>
      <c r="C2976" s="286" t="s">
        <v>2098</v>
      </c>
      <c r="D2976" s="286" t="s">
        <v>1105</v>
      </c>
      <c r="E2976" s="286" t="s">
        <v>1106</v>
      </c>
      <c r="F2976" s="286" t="s">
        <v>2234</v>
      </c>
      <c r="G2976" s="286" t="s">
        <v>1089</v>
      </c>
      <c r="H2976" s="286" t="s">
        <v>1089</v>
      </c>
      <c r="I2976" s="286" t="s">
        <v>1199</v>
      </c>
      <c r="J2976" s="286" t="s">
        <v>1312</v>
      </c>
      <c r="K2976" s="286" t="s">
        <v>53</v>
      </c>
      <c r="L2976" s="286" t="s">
        <v>53</v>
      </c>
      <c r="M2976" s="286" t="s">
        <v>53</v>
      </c>
      <c r="N2976" s="287">
        <v>-6212.32</v>
      </c>
      <c r="O2976" s="294">
        <f t="shared" si="46"/>
        <v>45657</v>
      </c>
      <c r="P2976" s="286" t="s">
        <v>58</v>
      </c>
    </row>
    <row r="2977" spans="1:16" hidden="1" x14ac:dyDescent="0.15">
      <c r="A2977" s="286">
        <v>749526</v>
      </c>
      <c r="B2977" s="288">
        <v>45540.356944444444</v>
      </c>
      <c r="C2977" s="286" t="s">
        <v>2102</v>
      </c>
      <c r="D2977" s="286" t="s">
        <v>1105</v>
      </c>
      <c r="E2977" s="286" t="s">
        <v>1106</v>
      </c>
      <c r="F2977" s="286" t="s">
        <v>2168</v>
      </c>
      <c r="G2977" s="286" t="s">
        <v>1002</v>
      </c>
      <c r="H2977" s="286" t="s">
        <v>1002</v>
      </c>
      <c r="I2977" s="286" t="s">
        <v>1112</v>
      </c>
      <c r="J2977" s="286" t="s">
        <v>1312</v>
      </c>
      <c r="K2977" s="286" t="s">
        <v>2046</v>
      </c>
      <c r="L2977" s="286" t="s">
        <v>53</v>
      </c>
      <c r="M2977" s="286">
        <v>1</v>
      </c>
      <c r="N2977" s="287">
        <v>-6266</v>
      </c>
      <c r="O2977" s="294">
        <f t="shared" si="46"/>
        <v>45565</v>
      </c>
      <c r="P2977" s="286" t="s">
        <v>175</v>
      </c>
    </row>
    <row r="2978" spans="1:16" hidden="1" x14ac:dyDescent="0.15">
      <c r="A2978" s="286">
        <v>848817</v>
      </c>
      <c r="B2978" s="288">
        <v>45607.65902777778</v>
      </c>
      <c r="C2978" s="286" t="s">
        <v>2130</v>
      </c>
      <c r="D2978" s="286" t="s">
        <v>1105</v>
      </c>
      <c r="E2978" s="286" t="s">
        <v>1106</v>
      </c>
      <c r="F2978" s="286" t="s">
        <v>2140</v>
      </c>
      <c r="G2978" s="286" t="s">
        <v>1064</v>
      </c>
      <c r="H2978" s="286" t="s">
        <v>1064</v>
      </c>
      <c r="I2978" s="286" t="s">
        <v>1199</v>
      </c>
      <c r="J2978" s="286" t="s">
        <v>1312</v>
      </c>
      <c r="K2978" s="286" t="s">
        <v>53</v>
      </c>
      <c r="L2978" s="286" t="s">
        <v>53</v>
      </c>
      <c r="M2978" s="286" t="s">
        <v>53</v>
      </c>
      <c r="N2978" s="287">
        <v>-6350.69</v>
      </c>
      <c r="O2978" s="294">
        <f t="shared" si="46"/>
        <v>45626</v>
      </c>
      <c r="P2978" s="286" t="s">
        <v>58</v>
      </c>
    </row>
    <row r="2979" spans="1:16" hidden="1" x14ac:dyDescent="0.15">
      <c r="A2979" s="286">
        <v>848817</v>
      </c>
      <c r="B2979" s="288">
        <v>45607.65902777778</v>
      </c>
      <c r="C2979" s="286" t="s">
        <v>2130</v>
      </c>
      <c r="D2979" s="286" t="s">
        <v>1105</v>
      </c>
      <c r="E2979" s="286" t="s">
        <v>1106</v>
      </c>
      <c r="F2979" s="286" t="s">
        <v>2140</v>
      </c>
      <c r="G2979" s="286" t="s">
        <v>1064</v>
      </c>
      <c r="H2979" s="286" t="s">
        <v>1064</v>
      </c>
      <c r="I2979" s="286" t="s">
        <v>1228</v>
      </c>
      <c r="J2979" s="286" t="s">
        <v>1312</v>
      </c>
      <c r="K2979" s="286" t="s">
        <v>53</v>
      </c>
      <c r="L2979" s="286" t="s">
        <v>53</v>
      </c>
      <c r="M2979" s="286" t="s">
        <v>53</v>
      </c>
      <c r="N2979" s="287">
        <v>-6350.69</v>
      </c>
      <c r="O2979" s="294">
        <f t="shared" si="46"/>
        <v>45626</v>
      </c>
      <c r="P2979" s="286" t="s">
        <v>58</v>
      </c>
    </row>
    <row r="2980" spans="1:16" hidden="1" x14ac:dyDescent="0.15">
      <c r="A2980" s="286">
        <v>608713</v>
      </c>
      <c r="B2980" s="288">
        <v>45450.607638888891</v>
      </c>
      <c r="C2980" s="286" t="s">
        <v>2116</v>
      </c>
      <c r="D2980" s="286" t="s">
        <v>1105</v>
      </c>
      <c r="E2980" s="286" t="s">
        <v>1106</v>
      </c>
      <c r="F2980" s="286" t="s">
        <v>2553</v>
      </c>
      <c r="G2980" s="286" t="s">
        <v>1059</v>
      </c>
      <c r="H2980" s="286" t="s">
        <v>1059</v>
      </c>
      <c r="I2980" s="286" t="s">
        <v>1128</v>
      </c>
      <c r="J2980" s="286" t="s">
        <v>1312</v>
      </c>
      <c r="K2980" s="286" t="s">
        <v>53</v>
      </c>
      <c r="L2980" s="286" t="s">
        <v>53</v>
      </c>
      <c r="M2980" s="286" t="s">
        <v>53</v>
      </c>
      <c r="N2980" s="287">
        <v>-7053</v>
      </c>
      <c r="O2980" s="294">
        <f t="shared" si="46"/>
        <v>45473</v>
      </c>
      <c r="P2980" s="286" t="s">
        <v>47</v>
      </c>
    </row>
    <row r="2981" spans="1:16" hidden="1" x14ac:dyDescent="0.15">
      <c r="A2981" s="286">
        <v>848917</v>
      </c>
      <c r="B2981" s="288">
        <v>45607.660416666666</v>
      </c>
      <c r="C2981" s="286" t="s">
        <v>2100</v>
      </c>
      <c r="D2981" s="286" t="s">
        <v>1105</v>
      </c>
      <c r="E2981" s="286" t="s">
        <v>1106</v>
      </c>
      <c r="F2981" s="286" t="s">
        <v>2141</v>
      </c>
      <c r="G2981" s="286" t="s">
        <v>1015</v>
      </c>
      <c r="H2981" s="286" t="s">
        <v>1015</v>
      </c>
      <c r="I2981" s="286" t="s">
        <v>1228</v>
      </c>
      <c r="J2981" s="286" t="s">
        <v>1312</v>
      </c>
      <c r="K2981" s="286" t="s">
        <v>2076</v>
      </c>
      <c r="L2981" s="286" t="s">
        <v>53</v>
      </c>
      <c r="M2981" s="286">
        <v>1</v>
      </c>
      <c r="N2981" s="287">
        <v>-7509.83</v>
      </c>
      <c r="O2981" s="294">
        <f t="shared" si="46"/>
        <v>45626</v>
      </c>
      <c r="P2981" s="286" t="s">
        <v>58</v>
      </c>
    </row>
    <row r="2982" spans="1:16" hidden="1" x14ac:dyDescent="0.15">
      <c r="A2982" s="286">
        <v>497140</v>
      </c>
      <c r="B2982" s="288">
        <v>45352.511111111111</v>
      </c>
      <c r="C2982" s="286" t="s">
        <v>2125</v>
      </c>
      <c r="D2982" s="286" t="s">
        <v>1105</v>
      </c>
      <c r="E2982" s="286" t="s">
        <v>1106</v>
      </c>
      <c r="F2982" s="286" t="s">
        <v>2562</v>
      </c>
      <c r="G2982" s="286" t="s">
        <v>1010</v>
      </c>
      <c r="H2982" s="286" t="s">
        <v>1010</v>
      </c>
      <c r="I2982" s="286" t="s">
        <v>1199</v>
      </c>
      <c r="J2982" s="286" t="s">
        <v>1312</v>
      </c>
      <c r="K2982" s="286" t="s">
        <v>53</v>
      </c>
      <c r="L2982" s="286" t="s">
        <v>53</v>
      </c>
      <c r="M2982" s="286" t="s">
        <v>53</v>
      </c>
      <c r="N2982" s="287">
        <v>-7721.53</v>
      </c>
      <c r="O2982" s="294">
        <f t="shared" si="46"/>
        <v>45382</v>
      </c>
      <c r="P2982" s="286" t="s">
        <v>58</v>
      </c>
    </row>
    <row r="2983" spans="1:16" hidden="1" x14ac:dyDescent="0.15">
      <c r="A2983" s="286">
        <v>497554</v>
      </c>
      <c r="B2983" s="288">
        <v>45352.624305555553</v>
      </c>
      <c r="C2983" s="286" t="s">
        <v>2113</v>
      </c>
      <c r="D2983" s="286" t="s">
        <v>1105</v>
      </c>
      <c r="E2983" s="286" t="s">
        <v>1106</v>
      </c>
      <c r="F2983" s="286" t="s">
        <v>2563</v>
      </c>
      <c r="G2983" s="286" t="s">
        <v>1010</v>
      </c>
      <c r="H2983" s="286" t="s">
        <v>1010</v>
      </c>
      <c r="I2983" s="286" t="s">
        <v>1199</v>
      </c>
      <c r="J2983" s="286" t="s">
        <v>1312</v>
      </c>
      <c r="K2983" s="286" t="s">
        <v>53</v>
      </c>
      <c r="L2983" s="286" t="s">
        <v>53</v>
      </c>
      <c r="M2983" s="286" t="s">
        <v>53</v>
      </c>
      <c r="N2983" s="287">
        <v>-7721.53</v>
      </c>
      <c r="O2983" s="294">
        <f t="shared" si="46"/>
        <v>45382</v>
      </c>
      <c r="P2983" s="286" t="s">
        <v>58</v>
      </c>
    </row>
    <row r="2984" spans="1:16" hidden="1" x14ac:dyDescent="0.15">
      <c r="A2984" s="286">
        <v>559614</v>
      </c>
      <c r="B2984" s="288">
        <v>45408.569444444445</v>
      </c>
      <c r="C2984" s="286" t="s">
        <v>2109</v>
      </c>
      <c r="D2984" s="286" t="s">
        <v>1105</v>
      </c>
      <c r="E2984" s="286" t="s">
        <v>1106</v>
      </c>
      <c r="F2984" s="286" t="s">
        <v>2564</v>
      </c>
      <c r="G2984" s="286" t="s">
        <v>1010</v>
      </c>
      <c r="H2984" s="286" t="s">
        <v>1010</v>
      </c>
      <c r="I2984" s="286" t="s">
        <v>1199</v>
      </c>
      <c r="J2984" s="286" t="s">
        <v>1312</v>
      </c>
      <c r="K2984" s="286" t="s">
        <v>53</v>
      </c>
      <c r="L2984" s="286" t="s">
        <v>53</v>
      </c>
      <c r="M2984" s="286" t="s">
        <v>53</v>
      </c>
      <c r="N2984" s="287">
        <v>-7721.53</v>
      </c>
      <c r="O2984" s="294">
        <f t="shared" si="46"/>
        <v>45412</v>
      </c>
      <c r="P2984" s="286" t="s">
        <v>58</v>
      </c>
    </row>
    <row r="2985" spans="1:16" hidden="1" x14ac:dyDescent="0.15">
      <c r="A2985" s="286">
        <v>580947</v>
      </c>
      <c r="B2985" s="288">
        <v>45427.67291666667</v>
      </c>
      <c r="C2985" s="286" t="s">
        <v>2096</v>
      </c>
      <c r="D2985" s="286" t="s">
        <v>1105</v>
      </c>
      <c r="E2985" s="286" t="s">
        <v>1106</v>
      </c>
      <c r="F2985" s="286" t="s">
        <v>2381</v>
      </c>
      <c r="G2985" s="286" t="s">
        <v>1010</v>
      </c>
      <c r="H2985" s="286" t="s">
        <v>1010</v>
      </c>
      <c r="I2985" s="286" t="s">
        <v>1199</v>
      </c>
      <c r="J2985" s="286" t="s">
        <v>1312</v>
      </c>
      <c r="K2985" s="286" t="s">
        <v>53</v>
      </c>
      <c r="L2985" s="286" t="s">
        <v>53</v>
      </c>
      <c r="M2985" s="286" t="s">
        <v>53</v>
      </c>
      <c r="N2985" s="287">
        <v>-7721.53</v>
      </c>
      <c r="O2985" s="294">
        <f t="shared" si="46"/>
        <v>45443</v>
      </c>
      <c r="P2985" s="286" t="s">
        <v>58</v>
      </c>
    </row>
    <row r="2986" spans="1:16" hidden="1" x14ac:dyDescent="0.15">
      <c r="A2986" s="286">
        <v>614115</v>
      </c>
      <c r="B2986" s="288">
        <v>45455.690972222219</v>
      </c>
      <c r="C2986" s="286" t="s">
        <v>2116</v>
      </c>
      <c r="D2986" s="286" t="s">
        <v>1105</v>
      </c>
      <c r="E2986" s="286" t="s">
        <v>1106</v>
      </c>
      <c r="F2986" s="286" t="s">
        <v>2382</v>
      </c>
      <c r="G2986" s="286" t="s">
        <v>1010</v>
      </c>
      <c r="H2986" s="286" t="s">
        <v>1010</v>
      </c>
      <c r="I2986" s="286" t="s">
        <v>1199</v>
      </c>
      <c r="J2986" s="286" t="s">
        <v>1312</v>
      </c>
      <c r="K2986" s="286" t="s">
        <v>53</v>
      </c>
      <c r="L2986" s="286" t="s">
        <v>53</v>
      </c>
      <c r="M2986" s="286" t="s">
        <v>53</v>
      </c>
      <c r="N2986" s="287">
        <v>-7721.53</v>
      </c>
      <c r="O2986" s="294">
        <f t="shared" si="46"/>
        <v>45473</v>
      </c>
      <c r="P2986" s="286" t="s">
        <v>58</v>
      </c>
    </row>
    <row r="2987" spans="1:16" hidden="1" x14ac:dyDescent="0.15">
      <c r="A2987" s="286">
        <v>745911</v>
      </c>
      <c r="B2987" s="288">
        <v>45538.44027777778</v>
      </c>
      <c r="C2987" s="286" t="s">
        <v>2132</v>
      </c>
      <c r="D2987" s="286" t="s">
        <v>1105</v>
      </c>
      <c r="E2987" s="286" t="s">
        <v>1106</v>
      </c>
      <c r="F2987" s="286" t="s">
        <v>2139</v>
      </c>
      <c r="G2987" s="286" t="s">
        <v>1064</v>
      </c>
      <c r="H2987" s="286" t="s">
        <v>1064</v>
      </c>
      <c r="I2987" s="286" t="s">
        <v>1199</v>
      </c>
      <c r="J2987" s="286" t="s">
        <v>1312</v>
      </c>
      <c r="K2987" s="286" t="s">
        <v>53</v>
      </c>
      <c r="L2987" s="286" t="s">
        <v>53</v>
      </c>
      <c r="M2987" s="286" t="s">
        <v>53</v>
      </c>
      <c r="N2987" s="287">
        <v>-8058.63</v>
      </c>
      <c r="O2987" s="294">
        <f t="shared" si="46"/>
        <v>45565</v>
      </c>
      <c r="P2987" s="286" t="s">
        <v>58</v>
      </c>
    </row>
    <row r="2988" spans="1:16" hidden="1" x14ac:dyDescent="0.15">
      <c r="A2988" s="286">
        <v>745911</v>
      </c>
      <c r="B2988" s="288">
        <v>45538.44027777778</v>
      </c>
      <c r="C2988" s="286" t="s">
        <v>2132</v>
      </c>
      <c r="D2988" s="286" t="s">
        <v>1105</v>
      </c>
      <c r="E2988" s="286" t="s">
        <v>1106</v>
      </c>
      <c r="F2988" s="286" t="s">
        <v>2139</v>
      </c>
      <c r="G2988" s="286" t="s">
        <v>1064</v>
      </c>
      <c r="H2988" s="286" t="s">
        <v>1064</v>
      </c>
      <c r="I2988" s="286" t="s">
        <v>1228</v>
      </c>
      <c r="J2988" s="286" t="s">
        <v>1312</v>
      </c>
      <c r="K2988" s="286" t="s">
        <v>53</v>
      </c>
      <c r="L2988" s="286" t="s">
        <v>53</v>
      </c>
      <c r="M2988" s="286" t="s">
        <v>53</v>
      </c>
      <c r="N2988" s="287">
        <v>-8058.63</v>
      </c>
      <c r="O2988" s="294">
        <f t="shared" si="46"/>
        <v>45565</v>
      </c>
      <c r="P2988" s="286" t="s">
        <v>58</v>
      </c>
    </row>
    <row r="2989" spans="1:16" hidden="1" x14ac:dyDescent="0.15">
      <c r="A2989" s="286">
        <v>438112</v>
      </c>
      <c r="B2989" s="288">
        <v>45293.53402777778</v>
      </c>
      <c r="C2989" s="286" t="s">
        <v>2125</v>
      </c>
      <c r="D2989" s="286" t="s">
        <v>1105</v>
      </c>
      <c r="E2989" s="286" t="s">
        <v>1106</v>
      </c>
      <c r="F2989" s="286" t="s">
        <v>2152</v>
      </c>
      <c r="G2989" s="286" t="s">
        <v>1064</v>
      </c>
      <c r="H2989" s="286" t="s">
        <v>1064</v>
      </c>
      <c r="I2989" s="286" t="s">
        <v>1199</v>
      </c>
      <c r="J2989" s="286" t="s">
        <v>1312</v>
      </c>
      <c r="K2989" s="286" t="s">
        <v>53</v>
      </c>
      <c r="L2989" s="286" t="s">
        <v>53</v>
      </c>
      <c r="M2989" s="286" t="s">
        <v>53</v>
      </c>
      <c r="N2989" s="287">
        <v>-8058.64</v>
      </c>
      <c r="O2989" s="294">
        <f t="shared" si="46"/>
        <v>45322</v>
      </c>
      <c r="P2989" s="286" t="s">
        <v>58</v>
      </c>
    </row>
    <row r="2990" spans="1:16" hidden="1" x14ac:dyDescent="0.15">
      <c r="A2990" s="286">
        <v>438112</v>
      </c>
      <c r="B2990" s="288">
        <v>45293.53402777778</v>
      </c>
      <c r="C2990" s="286" t="s">
        <v>2125</v>
      </c>
      <c r="D2990" s="286" t="s">
        <v>1105</v>
      </c>
      <c r="E2990" s="286" t="s">
        <v>1106</v>
      </c>
      <c r="F2990" s="286" t="s">
        <v>2152</v>
      </c>
      <c r="G2990" s="286" t="s">
        <v>1064</v>
      </c>
      <c r="H2990" s="286" t="s">
        <v>1064</v>
      </c>
      <c r="I2990" s="286" t="s">
        <v>1228</v>
      </c>
      <c r="J2990" s="286" t="s">
        <v>1312</v>
      </c>
      <c r="K2990" s="286" t="s">
        <v>53</v>
      </c>
      <c r="L2990" s="286" t="s">
        <v>53</v>
      </c>
      <c r="M2990" s="286" t="s">
        <v>53</v>
      </c>
      <c r="N2990" s="287">
        <v>-8058.64</v>
      </c>
      <c r="O2990" s="294">
        <f t="shared" si="46"/>
        <v>45322</v>
      </c>
      <c r="P2990" s="286" t="s">
        <v>58</v>
      </c>
    </row>
    <row r="2991" spans="1:16" hidden="1" x14ac:dyDescent="0.15">
      <c r="A2991" s="286">
        <v>472168</v>
      </c>
      <c r="B2991" s="288">
        <v>45331.416666666664</v>
      </c>
      <c r="C2991" s="286" t="s">
        <v>2113</v>
      </c>
      <c r="D2991" s="286" t="s">
        <v>1105</v>
      </c>
      <c r="E2991" s="286" t="s">
        <v>1106</v>
      </c>
      <c r="F2991" s="286" t="s">
        <v>2153</v>
      </c>
      <c r="G2991" s="286" t="s">
        <v>1064</v>
      </c>
      <c r="H2991" s="286" t="s">
        <v>1064</v>
      </c>
      <c r="I2991" s="286" t="s">
        <v>1199</v>
      </c>
      <c r="J2991" s="286" t="s">
        <v>1312</v>
      </c>
      <c r="K2991" s="286" t="s">
        <v>53</v>
      </c>
      <c r="L2991" s="286" t="s">
        <v>53</v>
      </c>
      <c r="M2991" s="286" t="s">
        <v>53</v>
      </c>
      <c r="N2991" s="287">
        <v>-8058.64</v>
      </c>
      <c r="O2991" s="294">
        <f t="shared" si="46"/>
        <v>45351</v>
      </c>
      <c r="P2991" s="286" t="s">
        <v>58</v>
      </c>
    </row>
    <row r="2992" spans="1:16" hidden="1" x14ac:dyDescent="0.15">
      <c r="A2992" s="286">
        <v>472168</v>
      </c>
      <c r="B2992" s="288">
        <v>45331.416666666664</v>
      </c>
      <c r="C2992" s="286" t="s">
        <v>2113</v>
      </c>
      <c r="D2992" s="286" t="s">
        <v>1105</v>
      </c>
      <c r="E2992" s="286" t="s">
        <v>1106</v>
      </c>
      <c r="F2992" s="286" t="s">
        <v>2153</v>
      </c>
      <c r="G2992" s="286" t="s">
        <v>1064</v>
      </c>
      <c r="H2992" s="286" t="s">
        <v>1064</v>
      </c>
      <c r="I2992" s="286" t="s">
        <v>1228</v>
      </c>
      <c r="J2992" s="286" t="s">
        <v>1312</v>
      </c>
      <c r="K2992" s="286" t="s">
        <v>53</v>
      </c>
      <c r="L2992" s="286" t="s">
        <v>53</v>
      </c>
      <c r="M2992" s="286" t="s">
        <v>53</v>
      </c>
      <c r="N2992" s="287">
        <v>-8058.64</v>
      </c>
      <c r="O2992" s="294">
        <f t="shared" si="46"/>
        <v>45351</v>
      </c>
      <c r="P2992" s="286" t="s">
        <v>58</v>
      </c>
    </row>
    <row r="2993" spans="1:16" hidden="1" x14ac:dyDescent="0.15">
      <c r="A2993" s="286">
        <v>504817</v>
      </c>
      <c r="B2993" s="288">
        <v>45359.645138888889</v>
      </c>
      <c r="C2993" s="286" t="s">
        <v>2109</v>
      </c>
      <c r="D2993" s="286" t="s">
        <v>1105</v>
      </c>
      <c r="E2993" s="286" t="s">
        <v>1106</v>
      </c>
      <c r="F2993" s="286" t="s">
        <v>2154</v>
      </c>
      <c r="G2993" s="286" t="s">
        <v>1064</v>
      </c>
      <c r="H2993" s="286" t="s">
        <v>1064</v>
      </c>
      <c r="I2993" s="286" t="s">
        <v>1199</v>
      </c>
      <c r="J2993" s="286" t="s">
        <v>1312</v>
      </c>
      <c r="K2993" s="286" t="s">
        <v>53</v>
      </c>
      <c r="L2993" s="286" t="s">
        <v>53</v>
      </c>
      <c r="M2993" s="286" t="s">
        <v>53</v>
      </c>
      <c r="N2993" s="287">
        <v>-8058.64</v>
      </c>
      <c r="O2993" s="294">
        <f t="shared" si="46"/>
        <v>45382</v>
      </c>
      <c r="P2993" s="286" t="s">
        <v>58</v>
      </c>
    </row>
    <row r="2994" spans="1:16" hidden="1" x14ac:dyDescent="0.15">
      <c r="A2994" s="286">
        <v>504817</v>
      </c>
      <c r="B2994" s="288">
        <v>45359.645138888889</v>
      </c>
      <c r="C2994" s="286" t="s">
        <v>2109</v>
      </c>
      <c r="D2994" s="286" t="s">
        <v>1105</v>
      </c>
      <c r="E2994" s="286" t="s">
        <v>1106</v>
      </c>
      <c r="F2994" s="286" t="s">
        <v>2154</v>
      </c>
      <c r="G2994" s="286" t="s">
        <v>1064</v>
      </c>
      <c r="H2994" s="286" t="s">
        <v>1064</v>
      </c>
      <c r="I2994" s="286" t="s">
        <v>1228</v>
      </c>
      <c r="J2994" s="286" t="s">
        <v>1312</v>
      </c>
      <c r="K2994" s="286" t="s">
        <v>53</v>
      </c>
      <c r="L2994" s="286" t="s">
        <v>53</v>
      </c>
      <c r="M2994" s="286" t="s">
        <v>53</v>
      </c>
      <c r="N2994" s="287">
        <v>-8058.64</v>
      </c>
      <c r="O2994" s="294">
        <f t="shared" si="46"/>
        <v>45382</v>
      </c>
      <c r="P2994" s="286" t="s">
        <v>58</v>
      </c>
    </row>
    <row r="2995" spans="1:16" hidden="1" x14ac:dyDescent="0.15">
      <c r="A2995" s="286">
        <v>534207</v>
      </c>
      <c r="B2995" s="288">
        <v>45385.750694444447</v>
      </c>
      <c r="C2995" s="286" t="s">
        <v>2096</v>
      </c>
      <c r="D2995" s="286" t="s">
        <v>1105</v>
      </c>
      <c r="E2995" s="286" t="s">
        <v>1106</v>
      </c>
      <c r="F2995" s="286" t="s">
        <v>2155</v>
      </c>
      <c r="G2995" s="286" t="s">
        <v>1064</v>
      </c>
      <c r="H2995" s="286" t="s">
        <v>1064</v>
      </c>
      <c r="I2995" s="286" t="s">
        <v>1199</v>
      </c>
      <c r="J2995" s="286" t="s">
        <v>1312</v>
      </c>
      <c r="K2995" s="286" t="s">
        <v>53</v>
      </c>
      <c r="L2995" s="286" t="s">
        <v>53</v>
      </c>
      <c r="M2995" s="286" t="s">
        <v>53</v>
      </c>
      <c r="N2995" s="287">
        <v>-8058.64</v>
      </c>
      <c r="O2995" s="294">
        <f t="shared" si="46"/>
        <v>45412</v>
      </c>
      <c r="P2995" s="286" t="s">
        <v>58</v>
      </c>
    </row>
    <row r="2996" spans="1:16" hidden="1" x14ac:dyDescent="0.15">
      <c r="A2996" s="286">
        <v>534207</v>
      </c>
      <c r="B2996" s="288">
        <v>45385.750694444447</v>
      </c>
      <c r="C2996" s="286" t="s">
        <v>2096</v>
      </c>
      <c r="D2996" s="286" t="s">
        <v>1105</v>
      </c>
      <c r="E2996" s="286" t="s">
        <v>1106</v>
      </c>
      <c r="F2996" s="286" t="s">
        <v>2155</v>
      </c>
      <c r="G2996" s="286" t="s">
        <v>1064</v>
      </c>
      <c r="H2996" s="286" t="s">
        <v>1064</v>
      </c>
      <c r="I2996" s="286" t="s">
        <v>1228</v>
      </c>
      <c r="J2996" s="286" t="s">
        <v>1312</v>
      </c>
      <c r="K2996" s="286" t="s">
        <v>53</v>
      </c>
      <c r="L2996" s="286" t="s">
        <v>53</v>
      </c>
      <c r="M2996" s="286" t="s">
        <v>53</v>
      </c>
      <c r="N2996" s="287">
        <v>-8058.64</v>
      </c>
      <c r="O2996" s="294">
        <f t="shared" si="46"/>
        <v>45412</v>
      </c>
      <c r="P2996" s="286" t="s">
        <v>58</v>
      </c>
    </row>
    <row r="2997" spans="1:16" hidden="1" x14ac:dyDescent="0.15">
      <c r="A2997" s="286">
        <v>614216</v>
      </c>
      <c r="B2997" s="288">
        <v>45455.716666666667</v>
      </c>
      <c r="C2997" s="286" t="s">
        <v>2116</v>
      </c>
      <c r="D2997" s="286" t="s">
        <v>1105</v>
      </c>
      <c r="E2997" s="286" t="s">
        <v>1106</v>
      </c>
      <c r="F2997" s="286" t="s">
        <v>2156</v>
      </c>
      <c r="G2997" s="286" t="s">
        <v>1064</v>
      </c>
      <c r="H2997" s="286" t="s">
        <v>1064</v>
      </c>
      <c r="I2997" s="286" t="s">
        <v>1199</v>
      </c>
      <c r="J2997" s="286" t="s">
        <v>1312</v>
      </c>
      <c r="K2997" s="286" t="s">
        <v>53</v>
      </c>
      <c r="L2997" s="286" t="s">
        <v>53</v>
      </c>
      <c r="M2997" s="286" t="s">
        <v>53</v>
      </c>
      <c r="N2997" s="287">
        <v>-8058.64</v>
      </c>
      <c r="O2997" s="294">
        <f t="shared" si="46"/>
        <v>45473</v>
      </c>
      <c r="P2997" s="286" t="s">
        <v>58</v>
      </c>
    </row>
    <row r="2998" spans="1:16" hidden="1" x14ac:dyDescent="0.15">
      <c r="A2998" s="286">
        <v>614216</v>
      </c>
      <c r="B2998" s="288">
        <v>45455.716666666667</v>
      </c>
      <c r="C2998" s="286" t="s">
        <v>2116</v>
      </c>
      <c r="D2998" s="286" t="s">
        <v>1105</v>
      </c>
      <c r="E2998" s="286" t="s">
        <v>1106</v>
      </c>
      <c r="F2998" s="286" t="s">
        <v>2156</v>
      </c>
      <c r="G2998" s="286" t="s">
        <v>1064</v>
      </c>
      <c r="H2998" s="286" t="s">
        <v>1064</v>
      </c>
      <c r="I2998" s="286" t="s">
        <v>1228</v>
      </c>
      <c r="J2998" s="286" t="s">
        <v>1312</v>
      </c>
      <c r="K2998" s="286" t="s">
        <v>53</v>
      </c>
      <c r="L2998" s="286" t="s">
        <v>53</v>
      </c>
      <c r="M2998" s="286" t="s">
        <v>53</v>
      </c>
      <c r="N2998" s="287">
        <v>-8058.64</v>
      </c>
      <c r="O2998" s="294">
        <f t="shared" si="46"/>
        <v>45473</v>
      </c>
      <c r="P2998" s="286" t="s">
        <v>58</v>
      </c>
    </row>
    <row r="2999" spans="1:16" hidden="1" x14ac:dyDescent="0.15">
      <c r="A2999" s="286">
        <v>614316</v>
      </c>
      <c r="B2999" s="288">
        <v>45455.717361111114</v>
      </c>
      <c r="C2999" s="286" t="s">
        <v>2092</v>
      </c>
      <c r="D2999" s="286" t="s">
        <v>1105</v>
      </c>
      <c r="E2999" s="286" t="s">
        <v>1106</v>
      </c>
      <c r="F2999" s="286" t="s">
        <v>2167</v>
      </c>
      <c r="G2999" s="286" t="s">
        <v>1064</v>
      </c>
      <c r="H2999" s="286" t="s">
        <v>1064</v>
      </c>
      <c r="I2999" s="286" t="s">
        <v>1199</v>
      </c>
      <c r="J2999" s="286" t="s">
        <v>1312</v>
      </c>
      <c r="K2999" s="286" t="s">
        <v>53</v>
      </c>
      <c r="L2999" s="286" t="s">
        <v>53</v>
      </c>
      <c r="M2999" s="286" t="s">
        <v>53</v>
      </c>
      <c r="N2999" s="287">
        <v>-8058.64</v>
      </c>
      <c r="O2999" s="294">
        <f t="shared" si="46"/>
        <v>45473</v>
      </c>
      <c r="P2999" s="286" t="s">
        <v>58</v>
      </c>
    </row>
    <row r="3000" spans="1:16" hidden="1" x14ac:dyDescent="0.15">
      <c r="A3000" s="286">
        <v>614316</v>
      </c>
      <c r="B3000" s="288">
        <v>45455.717361111114</v>
      </c>
      <c r="C3000" s="286" t="s">
        <v>2092</v>
      </c>
      <c r="D3000" s="286" t="s">
        <v>1105</v>
      </c>
      <c r="E3000" s="286" t="s">
        <v>1106</v>
      </c>
      <c r="F3000" s="286" t="s">
        <v>2167</v>
      </c>
      <c r="G3000" s="286" t="s">
        <v>1064</v>
      </c>
      <c r="H3000" s="286" t="s">
        <v>1064</v>
      </c>
      <c r="I3000" s="286" t="s">
        <v>1228</v>
      </c>
      <c r="J3000" s="286" t="s">
        <v>1312</v>
      </c>
      <c r="K3000" s="286" t="s">
        <v>53</v>
      </c>
      <c r="L3000" s="286" t="s">
        <v>53</v>
      </c>
      <c r="M3000" s="286" t="s">
        <v>53</v>
      </c>
      <c r="N3000" s="287">
        <v>-8058.64</v>
      </c>
      <c r="O3000" s="294">
        <f t="shared" si="46"/>
        <v>45473</v>
      </c>
      <c r="P3000" s="286" t="s">
        <v>58</v>
      </c>
    </row>
    <row r="3001" spans="1:16" hidden="1" x14ac:dyDescent="0.15">
      <c r="A3001" s="286">
        <v>646075</v>
      </c>
      <c r="B3001" s="288">
        <v>45474.519444444442</v>
      </c>
      <c r="C3001" s="286" t="s">
        <v>2111</v>
      </c>
      <c r="D3001" s="286" t="s">
        <v>1105</v>
      </c>
      <c r="E3001" s="286" t="s">
        <v>1106</v>
      </c>
      <c r="F3001" s="286" t="s">
        <v>2137</v>
      </c>
      <c r="G3001" s="286" t="s">
        <v>1064</v>
      </c>
      <c r="H3001" s="286" t="s">
        <v>1064</v>
      </c>
      <c r="I3001" s="286" t="s">
        <v>1199</v>
      </c>
      <c r="J3001" s="286" t="s">
        <v>1312</v>
      </c>
      <c r="K3001" s="286" t="s">
        <v>53</v>
      </c>
      <c r="L3001" s="286" t="s">
        <v>53</v>
      </c>
      <c r="M3001" s="286" t="s">
        <v>53</v>
      </c>
      <c r="N3001" s="287">
        <v>-8058.64</v>
      </c>
      <c r="O3001" s="294">
        <f t="shared" si="46"/>
        <v>45504</v>
      </c>
      <c r="P3001" s="286" t="s">
        <v>58</v>
      </c>
    </row>
    <row r="3002" spans="1:16" hidden="1" x14ac:dyDescent="0.15">
      <c r="A3002" s="286">
        <v>646075</v>
      </c>
      <c r="B3002" s="288">
        <v>45474.519444444442</v>
      </c>
      <c r="C3002" s="286" t="s">
        <v>2111</v>
      </c>
      <c r="D3002" s="286" t="s">
        <v>1105</v>
      </c>
      <c r="E3002" s="286" t="s">
        <v>1106</v>
      </c>
      <c r="F3002" s="286" t="s">
        <v>2137</v>
      </c>
      <c r="G3002" s="286" t="s">
        <v>1064</v>
      </c>
      <c r="H3002" s="286" t="s">
        <v>1064</v>
      </c>
      <c r="I3002" s="286" t="s">
        <v>1228</v>
      </c>
      <c r="J3002" s="286" t="s">
        <v>1312</v>
      </c>
      <c r="K3002" s="286" t="s">
        <v>53</v>
      </c>
      <c r="L3002" s="286" t="s">
        <v>53</v>
      </c>
      <c r="M3002" s="286" t="s">
        <v>53</v>
      </c>
      <c r="N3002" s="287">
        <v>-8058.64</v>
      </c>
      <c r="O3002" s="294">
        <f t="shared" si="46"/>
        <v>45504</v>
      </c>
      <c r="P3002" s="286" t="s">
        <v>58</v>
      </c>
    </row>
    <row r="3003" spans="1:16" hidden="1" x14ac:dyDescent="0.15">
      <c r="A3003" s="286">
        <v>697810</v>
      </c>
      <c r="B3003" s="288">
        <v>45510.366666666669</v>
      </c>
      <c r="C3003" s="286" t="s">
        <v>2102</v>
      </c>
      <c r="D3003" s="286" t="s">
        <v>1105</v>
      </c>
      <c r="E3003" s="286" t="s">
        <v>1106</v>
      </c>
      <c r="F3003" s="286" t="s">
        <v>2138</v>
      </c>
      <c r="G3003" s="286" t="s">
        <v>1064</v>
      </c>
      <c r="H3003" s="286" t="s">
        <v>1064</v>
      </c>
      <c r="I3003" s="286" t="s">
        <v>1199</v>
      </c>
      <c r="J3003" s="286" t="s">
        <v>1312</v>
      </c>
      <c r="K3003" s="286" t="s">
        <v>53</v>
      </c>
      <c r="L3003" s="286" t="s">
        <v>53</v>
      </c>
      <c r="M3003" s="286" t="s">
        <v>53</v>
      </c>
      <c r="N3003" s="287">
        <v>-8058.64</v>
      </c>
      <c r="O3003" s="294">
        <f t="shared" si="46"/>
        <v>45535</v>
      </c>
      <c r="P3003" s="286" t="s">
        <v>58</v>
      </c>
    </row>
    <row r="3004" spans="1:16" hidden="1" x14ac:dyDescent="0.15">
      <c r="A3004" s="286">
        <v>697810</v>
      </c>
      <c r="B3004" s="288">
        <v>45510.366666666669</v>
      </c>
      <c r="C3004" s="286" t="s">
        <v>2102</v>
      </c>
      <c r="D3004" s="286" t="s">
        <v>1105</v>
      </c>
      <c r="E3004" s="286" t="s">
        <v>1106</v>
      </c>
      <c r="F3004" s="286" t="s">
        <v>2138</v>
      </c>
      <c r="G3004" s="286" t="s">
        <v>1064</v>
      </c>
      <c r="H3004" s="286" t="s">
        <v>1064</v>
      </c>
      <c r="I3004" s="286" t="s">
        <v>1228</v>
      </c>
      <c r="J3004" s="286" t="s">
        <v>1312</v>
      </c>
      <c r="K3004" s="286" t="s">
        <v>53</v>
      </c>
      <c r="L3004" s="286" t="s">
        <v>53</v>
      </c>
      <c r="M3004" s="286" t="s">
        <v>53</v>
      </c>
      <c r="N3004" s="287">
        <v>-8058.64</v>
      </c>
      <c r="O3004" s="294">
        <f t="shared" si="46"/>
        <v>45535</v>
      </c>
      <c r="P3004" s="286" t="s">
        <v>58</v>
      </c>
    </row>
    <row r="3005" spans="1:16" hidden="1" x14ac:dyDescent="0.15">
      <c r="A3005" s="286">
        <v>724783</v>
      </c>
      <c r="B3005" s="288">
        <v>45524.476388888892</v>
      </c>
      <c r="C3005" s="286" t="s">
        <v>2111</v>
      </c>
      <c r="D3005" s="286" t="s">
        <v>1105</v>
      </c>
      <c r="E3005" s="286" t="s">
        <v>1106</v>
      </c>
      <c r="F3005" s="286" t="s">
        <v>2529</v>
      </c>
      <c r="G3005" s="286" t="s">
        <v>1021</v>
      </c>
      <c r="H3005" s="286" t="s">
        <v>1021</v>
      </c>
      <c r="I3005" s="286" t="s">
        <v>1199</v>
      </c>
      <c r="J3005" s="286" t="s">
        <v>1312</v>
      </c>
      <c r="K3005" s="286" t="s">
        <v>53</v>
      </c>
      <c r="L3005" s="286" t="s">
        <v>53</v>
      </c>
      <c r="M3005" s="286" t="s">
        <v>53</v>
      </c>
      <c r="N3005" s="287">
        <v>-8389.76</v>
      </c>
      <c r="O3005" s="294">
        <f t="shared" si="46"/>
        <v>45535</v>
      </c>
      <c r="P3005" s="286" t="s">
        <v>58</v>
      </c>
    </row>
    <row r="3006" spans="1:16" hidden="1" x14ac:dyDescent="0.15">
      <c r="A3006" s="286">
        <v>659935</v>
      </c>
      <c r="B3006" s="288">
        <v>45484.527083333334</v>
      </c>
      <c r="C3006" s="286" t="s">
        <v>2092</v>
      </c>
      <c r="D3006" s="286" t="s">
        <v>1105</v>
      </c>
      <c r="E3006" s="286" t="s">
        <v>1106</v>
      </c>
      <c r="F3006" s="286" t="s">
        <v>2383</v>
      </c>
      <c r="G3006" s="286" t="s">
        <v>1010</v>
      </c>
      <c r="H3006" s="286" t="s">
        <v>1010</v>
      </c>
      <c r="I3006" s="286" t="s">
        <v>1199</v>
      </c>
      <c r="J3006" s="286" t="s">
        <v>1312</v>
      </c>
      <c r="K3006" s="286" t="s">
        <v>53</v>
      </c>
      <c r="L3006" s="286" t="s">
        <v>53</v>
      </c>
      <c r="M3006" s="286" t="s">
        <v>53</v>
      </c>
      <c r="N3006" s="287">
        <v>-8435.7099999999991</v>
      </c>
      <c r="O3006" s="294">
        <f t="shared" si="46"/>
        <v>45504</v>
      </c>
      <c r="P3006" s="286" t="s">
        <v>58</v>
      </c>
    </row>
    <row r="3007" spans="1:16" hidden="1" x14ac:dyDescent="0.15">
      <c r="A3007" s="286">
        <v>712645</v>
      </c>
      <c r="B3007" s="288">
        <v>45517.640972222223</v>
      </c>
      <c r="C3007" s="286" t="s">
        <v>2111</v>
      </c>
      <c r="D3007" s="286" t="s">
        <v>1105</v>
      </c>
      <c r="E3007" s="286" t="s">
        <v>1106</v>
      </c>
      <c r="F3007" s="286" t="s">
        <v>2160</v>
      </c>
      <c r="G3007" s="286" t="s">
        <v>1010</v>
      </c>
      <c r="H3007" s="286" t="s">
        <v>1010</v>
      </c>
      <c r="I3007" s="286" t="s">
        <v>1199</v>
      </c>
      <c r="J3007" s="286" t="s">
        <v>1312</v>
      </c>
      <c r="K3007" s="286" t="s">
        <v>53</v>
      </c>
      <c r="L3007" s="286" t="s">
        <v>53</v>
      </c>
      <c r="M3007" s="286" t="s">
        <v>53</v>
      </c>
      <c r="N3007" s="287">
        <v>-8435.7199999999993</v>
      </c>
      <c r="O3007" s="294">
        <f t="shared" si="46"/>
        <v>45535</v>
      </c>
      <c r="P3007" s="286" t="s">
        <v>58</v>
      </c>
    </row>
    <row r="3008" spans="1:16" hidden="1" x14ac:dyDescent="0.15">
      <c r="A3008" s="286">
        <v>741366</v>
      </c>
      <c r="B3008" s="288">
        <v>45532.655555555553</v>
      </c>
      <c r="C3008" s="286" t="s">
        <v>2102</v>
      </c>
      <c r="D3008" s="286" t="s">
        <v>1105</v>
      </c>
      <c r="E3008" s="286" t="s">
        <v>1106</v>
      </c>
      <c r="F3008" s="286" t="s">
        <v>2161</v>
      </c>
      <c r="G3008" s="286" t="s">
        <v>1010</v>
      </c>
      <c r="H3008" s="286" t="s">
        <v>1010</v>
      </c>
      <c r="I3008" s="286" t="s">
        <v>1199</v>
      </c>
      <c r="J3008" s="286" t="s">
        <v>1312</v>
      </c>
      <c r="K3008" s="286" t="s">
        <v>53</v>
      </c>
      <c r="L3008" s="286" t="s">
        <v>53</v>
      </c>
      <c r="M3008" s="286" t="s">
        <v>53</v>
      </c>
      <c r="N3008" s="287">
        <v>-8435.7199999999993</v>
      </c>
      <c r="O3008" s="294">
        <f t="shared" si="46"/>
        <v>45535</v>
      </c>
      <c r="P3008" s="286" t="s">
        <v>58</v>
      </c>
    </row>
    <row r="3009" spans="1:16" hidden="1" x14ac:dyDescent="0.15">
      <c r="A3009" s="286">
        <v>785030</v>
      </c>
      <c r="B3009" s="288">
        <v>45559.581944444442</v>
      </c>
      <c r="C3009" s="286" t="s">
        <v>2132</v>
      </c>
      <c r="D3009" s="286" t="s">
        <v>1105</v>
      </c>
      <c r="E3009" s="286" t="s">
        <v>1106</v>
      </c>
      <c r="F3009" s="286" t="s">
        <v>2162</v>
      </c>
      <c r="G3009" s="286" t="s">
        <v>1010</v>
      </c>
      <c r="H3009" s="286" t="s">
        <v>1010</v>
      </c>
      <c r="I3009" s="286" t="s">
        <v>1199</v>
      </c>
      <c r="J3009" s="286" t="s">
        <v>1312</v>
      </c>
      <c r="K3009" s="286" t="s">
        <v>53</v>
      </c>
      <c r="L3009" s="286" t="s">
        <v>53</v>
      </c>
      <c r="M3009" s="286" t="s">
        <v>53</v>
      </c>
      <c r="N3009" s="287">
        <v>-8435.7199999999993</v>
      </c>
      <c r="O3009" s="294">
        <f t="shared" si="46"/>
        <v>45565</v>
      </c>
      <c r="P3009" s="286" t="s">
        <v>58</v>
      </c>
    </row>
    <row r="3010" spans="1:16" hidden="1" x14ac:dyDescent="0.15">
      <c r="A3010" s="286">
        <v>848716</v>
      </c>
      <c r="B3010" s="288">
        <v>45607.647916666669</v>
      </c>
      <c r="C3010" s="286" t="s">
        <v>2130</v>
      </c>
      <c r="D3010" s="286" t="s">
        <v>1105</v>
      </c>
      <c r="E3010" s="286" t="s">
        <v>1106</v>
      </c>
      <c r="F3010" s="286" t="s">
        <v>2241</v>
      </c>
      <c r="G3010" s="286" t="s">
        <v>1017</v>
      </c>
      <c r="H3010" s="286" t="s">
        <v>1017</v>
      </c>
      <c r="I3010" s="286" t="s">
        <v>1152</v>
      </c>
      <c r="J3010" s="286" t="s">
        <v>1312</v>
      </c>
      <c r="K3010" s="286" t="s">
        <v>53</v>
      </c>
      <c r="L3010" s="286" t="s">
        <v>53</v>
      </c>
      <c r="M3010" s="286" t="s">
        <v>53</v>
      </c>
      <c r="N3010" s="287">
        <v>-8624.93</v>
      </c>
      <c r="O3010" s="294">
        <f t="shared" si="46"/>
        <v>45626</v>
      </c>
      <c r="P3010" s="286" t="s">
        <v>58</v>
      </c>
    </row>
    <row r="3011" spans="1:16" hidden="1" x14ac:dyDescent="0.15">
      <c r="A3011" s="286">
        <v>898877</v>
      </c>
      <c r="B3011" s="288">
        <v>45644.552083333336</v>
      </c>
      <c r="C3011" s="286" t="s">
        <v>2098</v>
      </c>
      <c r="D3011" s="286" t="s">
        <v>1105</v>
      </c>
      <c r="E3011" s="286" t="s">
        <v>1106</v>
      </c>
      <c r="F3011" s="286" t="s">
        <v>2234</v>
      </c>
      <c r="G3011" s="286" t="s">
        <v>1052</v>
      </c>
      <c r="H3011" s="286" t="s">
        <v>1052</v>
      </c>
      <c r="I3011" s="286" t="s">
        <v>1228</v>
      </c>
      <c r="J3011" s="286" t="s">
        <v>1312</v>
      </c>
      <c r="K3011" s="286" t="s">
        <v>53</v>
      </c>
      <c r="L3011" s="286" t="s">
        <v>53</v>
      </c>
      <c r="M3011" s="286" t="s">
        <v>53</v>
      </c>
      <c r="N3011" s="287">
        <v>-8924.3799999999992</v>
      </c>
      <c r="O3011" s="294">
        <f t="shared" si="46"/>
        <v>45657</v>
      </c>
      <c r="P3011" s="286" t="s">
        <v>58</v>
      </c>
    </row>
    <row r="3012" spans="1:16" hidden="1" x14ac:dyDescent="0.15">
      <c r="A3012" s="286">
        <v>898877</v>
      </c>
      <c r="B3012" s="288">
        <v>45644.552083333336</v>
      </c>
      <c r="C3012" s="286" t="s">
        <v>2098</v>
      </c>
      <c r="D3012" s="286" t="s">
        <v>1105</v>
      </c>
      <c r="E3012" s="286" t="s">
        <v>1106</v>
      </c>
      <c r="F3012" s="286" t="s">
        <v>2234</v>
      </c>
      <c r="G3012" s="286" t="s">
        <v>1017</v>
      </c>
      <c r="H3012" s="286" t="s">
        <v>1017</v>
      </c>
      <c r="I3012" s="286" t="s">
        <v>1228</v>
      </c>
      <c r="J3012" s="286" t="s">
        <v>1312</v>
      </c>
      <c r="K3012" s="286" t="s">
        <v>53</v>
      </c>
      <c r="L3012" s="286" t="s">
        <v>53</v>
      </c>
      <c r="M3012" s="286" t="s">
        <v>53</v>
      </c>
      <c r="N3012" s="287">
        <v>-8928</v>
      </c>
      <c r="O3012" s="294">
        <f t="shared" ref="O3012:O3075" si="47">EOMONTH(B3012,0)</f>
        <v>45657</v>
      </c>
      <c r="P3012" s="286" t="s">
        <v>58</v>
      </c>
    </row>
    <row r="3013" spans="1:16" hidden="1" x14ac:dyDescent="0.15">
      <c r="A3013" s="286">
        <v>697810</v>
      </c>
      <c r="B3013" s="288">
        <v>45510.366666666669</v>
      </c>
      <c r="C3013" s="286" t="s">
        <v>2102</v>
      </c>
      <c r="D3013" s="286" t="s">
        <v>1105</v>
      </c>
      <c r="E3013" s="286" t="s">
        <v>1106</v>
      </c>
      <c r="F3013" s="286" t="s">
        <v>2138</v>
      </c>
      <c r="G3013" s="286" t="s">
        <v>1007</v>
      </c>
      <c r="H3013" s="286" t="s">
        <v>1007</v>
      </c>
      <c r="I3013" s="286" t="s">
        <v>1228</v>
      </c>
      <c r="J3013" s="286" t="s">
        <v>1312</v>
      </c>
      <c r="K3013" s="286" t="s">
        <v>2565</v>
      </c>
      <c r="L3013" s="286" t="s">
        <v>53</v>
      </c>
      <c r="M3013" s="286">
        <v>1</v>
      </c>
      <c r="N3013" s="287">
        <v>-9103.7000000000007</v>
      </c>
      <c r="O3013" s="294">
        <f t="shared" si="47"/>
        <v>45535</v>
      </c>
      <c r="P3013" s="286" t="s">
        <v>58</v>
      </c>
    </row>
    <row r="3014" spans="1:16" hidden="1" x14ac:dyDescent="0.15">
      <c r="A3014" s="286">
        <v>745911</v>
      </c>
      <c r="B3014" s="288">
        <v>45538.44027777778</v>
      </c>
      <c r="C3014" s="286" t="s">
        <v>2132</v>
      </c>
      <c r="D3014" s="286" t="s">
        <v>1105</v>
      </c>
      <c r="E3014" s="286" t="s">
        <v>1106</v>
      </c>
      <c r="F3014" s="286" t="s">
        <v>2139</v>
      </c>
      <c r="G3014" s="286" t="s">
        <v>1002</v>
      </c>
      <c r="H3014" s="286" t="s">
        <v>1002</v>
      </c>
      <c r="I3014" s="286" t="s">
        <v>1199</v>
      </c>
      <c r="J3014" s="286" t="s">
        <v>1312</v>
      </c>
      <c r="K3014" s="286" t="s">
        <v>2068</v>
      </c>
      <c r="L3014" s="286" t="s">
        <v>53</v>
      </c>
      <c r="M3014" s="286">
        <v>1</v>
      </c>
      <c r="N3014" s="287">
        <v>-9173.77</v>
      </c>
      <c r="O3014" s="294">
        <f t="shared" si="47"/>
        <v>45565</v>
      </c>
      <c r="P3014" s="286" t="s">
        <v>58</v>
      </c>
    </row>
    <row r="3015" spans="1:16" hidden="1" x14ac:dyDescent="0.15">
      <c r="A3015" s="286">
        <v>901365</v>
      </c>
      <c r="B3015" s="288">
        <v>45646.486805555556</v>
      </c>
      <c r="C3015" s="286" t="s">
        <v>2098</v>
      </c>
      <c r="D3015" s="286" t="s">
        <v>1105</v>
      </c>
      <c r="E3015" s="286" t="s">
        <v>1106</v>
      </c>
      <c r="F3015" s="286" t="s">
        <v>2099</v>
      </c>
      <c r="G3015" s="286" t="s">
        <v>1022</v>
      </c>
      <c r="H3015" s="286" t="s">
        <v>1022</v>
      </c>
      <c r="I3015" s="286" t="s">
        <v>1108</v>
      </c>
      <c r="J3015" s="286" t="s">
        <v>1312</v>
      </c>
      <c r="K3015" s="286" t="s">
        <v>2566</v>
      </c>
      <c r="L3015" s="286" t="s">
        <v>53</v>
      </c>
      <c r="M3015" s="286">
        <v>1</v>
      </c>
      <c r="N3015" s="287">
        <v>-9517</v>
      </c>
      <c r="O3015" s="294">
        <f t="shared" si="47"/>
        <v>45657</v>
      </c>
      <c r="P3015" s="286" t="s">
        <v>37</v>
      </c>
    </row>
    <row r="3016" spans="1:16" hidden="1" x14ac:dyDescent="0.15">
      <c r="A3016" s="286">
        <v>438112</v>
      </c>
      <c r="B3016" s="288">
        <v>45293.53402777778</v>
      </c>
      <c r="C3016" s="286" t="s">
        <v>2125</v>
      </c>
      <c r="D3016" s="286" t="s">
        <v>1105</v>
      </c>
      <c r="E3016" s="286" t="s">
        <v>1106</v>
      </c>
      <c r="F3016" s="286" t="s">
        <v>2152</v>
      </c>
      <c r="G3016" s="286" t="s">
        <v>1766</v>
      </c>
      <c r="H3016" s="286" t="s">
        <v>1766</v>
      </c>
      <c r="I3016" s="286" t="s">
        <v>1199</v>
      </c>
      <c r="J3016" s="286" t="s">
        <v>1312</v>
      </c>
      <c r="K3016" s="286" t="s">
        <v>53</v>
      </c>
      <c r="L3016" s="286" t="s">
        <v>53</v>
      </c>
      <c r="M3016" s="286" t="s">
        <v>53</v>
      </c>
      <c r="N3016" s="287">
        <v>-9522</v>
      </c>
      <c r="O3016" s="294">
        <f t="shared" si="47"/>
        <v>45322</v>
      </c>
      <c r="P3016" s="286" t="s">
        <v>58</v>
      </c>
    </row>
    <row r="3017" spans="1:16" hidden="1" x14ac:dyDescent="0.15">
      <c r="A3017" s="286">
        <v>472168</v>
      </c>
      <c r="B3017" s="288">
        <v>45331.416666666664</v>
      </c>
      <c r="C3017" s="286" t="s">
        <v>2113</v>
      </c>
      <c r="D3017" s="286" t="s">
        <v>1105</v>
      </c>
      <c r="E3017" s="286" t="s">
        <v>1106</v>
      </c>
      <c r="F3017" s="286" t="s">
        <v>2153</v>
      </c>
      <c r="G3017" s="286" t="s">
        <v>1766</v>
      </c>
      <c r="H3017" s="286" t="s">
        <v>1766</v>
      </c>
      <c r="I3017" s="286" t="s">
        <v>1199</v>
      </c>
      <c r="J3017" s="286" t="s">
        <v>1312</v>
      </c>
      <c r="K3017" s="286" t="s">
        <v>53</v>
      </c>
      <c r="L3017" s="286" t="s">
        <v>53</v>
      </c>
      <c r="M3017" s="286" t="s">
        <v>53</v>
      </c>
      <c r="N3017" s="287">
        <v>-9522</v>
      </c>
      <c r="O3017" s="294">
        <f t="shared" si="47"/>
        <v>45351</v>
      </c>
      <c r="P3017" s="286" t="s">
        <v>58</v>
      </c>
    </row>
    <row r="3018" spans="1:16" hidden="1" x14ac:dyDescent="0.15">
      <c r="A3018" s="286">
        <v>504817</v>
      </c>
      <c r="B3018" s="288">
        <v>45359.645138888889</v>
      </c>
      <c r="C3018" s="286" t="s">
        <v>2109</v>
      </c>
      <c r="D3018" s="286" t="s">
        <v>1105</v>
      </c>
      <c r="E3018" s="286" t="s">
        <v>1106</v>
      </c>
      <c r="F3018" s="286" t="s">
        <v>2154</v>
      </c>
      <c r="G3018" s="286" t="s">
        <v>1766</v>
      </c>
      <c r="H3018" s="286" t="s">
        <v>1766</v>
      </c>
      <c r="I3018" s="286" t="s">
        <v>1199</v>
      </c>
      <c r="J3018" s="286" t="s">
        <v>1312</v>
      </c>
      <c r="K3018" s="286" t="s">
        <v>53</v>
      </c>
      <c r="L3018" s="286" t="s">
        <v>53</v>
      </c>
      <c r="M3018" s="286" t="s">
        <v>53</v>
      </c>
      <c r="N3018" s="287">
        <v>-9522</v>
      </c>
      <c r="O3018" s="294">
        <f t="shared" si="47"/>
        <v>45382</v>
      </c>
      <c r="P3018" s="286" t="s">
        <v>58</v>
      </c>
    </row>
    <row r="3019" spans="1:16" hidden="1" x14ac:dyDescent="0.15">
      <c r="A3019" s="286">
        <v>534207</v>
      </c>
      <c r="B3019" s="288">
        <v>45385.750694444447</v>
      </c>
      <c r="C3019" s="286" t="s">
        <v>2096</v>
      </c>
      <c r="D3019" s="286" t="s">
        <v>1105</v>
      </c>
      <c r="E3019" s="286" t="s">
        <v>1106</v>
      </c>
      <c r="F3019" s="286" t="s">
        <v>2155</v>
      </c>
      <c r="G3019" s="286" t="s">
        <v>1766</v>
      </c>
      <c r="H3019" s="286" t="s">
        <v>1766</v>
      </c>
      <c r="I3019" s="286" t="s">
        <v>1199</v>
      </c>
      <c r="J3019" s="286" t="s">
        <v>1312</v>
      </c>
      <c r="K3019" s="286" t="s">
        <v>53</v>
      </c>
      <c r="L3019" s="286" t="s">
        <v>53</v>
      </c>
      <c r="M3019" s="286" t="s">
        <v>53</v>
      </c>
      <c r="N3019" s="287">
        <v>-9522</v>
      </c>
      <c r="O3019" s="294">
        <f t="shared" si="47"/>
        <v>45412</v>
      </c>
      <c r="P3019" s="286" t="s">
        <v>58</v>
      </c>
    </row>
    <row r="3020" spans="1:16" hidden="1" x14ac:dyDescent="0.15">
      <c r="A3020" s="286">
        <v>614216</v>
      </c>
      <c r="B3020" s="288">
        <v>45455.716666666667</v>
      </c>
      <c r="C3020" s="286" t="s">
        <v>2116</v>
      </c>
      <c r="D3020" s="286" t="s">
        <v>1105</v>
      </c>
      <c r="E3020" s="286" t="s">
        <v>1106</v>
      </c>
      <c r="F3020" s="286" t="s">
        <v>2156</v>
      </c>
      <c r="G3020" s="286" t="s">
        <v>1766</v>
      </c>
      <c r="H3020" s="286" t="s">
        <v>1766</v>
      </c>
      <c r="I3020" s="286" t="s">
        <v>1199</v>
      </c>
      <c r="J3020" s="286" t="s">
        <v>1312</v>
      </c>
      <c r="K3020" s="286" t="s">
        <v>53</v>
      </c>
      <c r="L3020" s="286" t="s">
        <v>53</v>
      </c>
      <c r="M3020" s="286" t="s">
        <v>53</v>
      </c>
      <c r="N3020" s="287">
        <v>-9522</v>
      </c>
      <c r="O3020" s="294">
        <f t="shared" si="47"/>
        <v>45473</v>
      </c>
      <c r="P3020" s="286" t="s">
        <v>58</v>
      </c>
    </row>
    <row r="3021" spans="1:16" hidden="1" x14ac:dyDescent="0.15">
      <c r="A3021" s="286">
        <v>614316</v>
      </c>
      <c r="B3021" s="288">
        <v>45455.717361111114</v>
      </c>
      <c r="C3021" s="286" t="s">
        <v>2092</v>
      </c>
      <c r="D3021" s="286" t="s">
        <v>1105</v>
      </c>
      <c r="E3021" s="286" t="s">
        <v>1106</v>
      </c>
      <c r="F3021" s="286" t="s">
        <v>2167</v>
      </c>
      <c r="G3021" s="286" t="s">
        <v>1766</v>
      </c>
      <c r="H3021" s="286" t="s">
        <v>1766</v>
      </c>
      <c r="I3021" s="286" t="s">
        <v>1199</v>
      </c>
      <c r="J3021" s="286" t="s">
        <v>1312</v>
      </c>
      <c r="K3021" s="286" t="s">
        <v>53</v>
      </c>
      <c r="L3021" s="286" t="s">
        <v>53</v>
      </c>
      <c r="M3021" s="286" t="s">
        <v>53</v>
      </c>
      <c r="N3021" s="287">
        <v>-9522</v>
      </c>
      <c r="O3021" s="294">
        <f t="shared" si="47"/>
        <v>45473</v>
      </c>
      <c r="P3021" s="286" t="s">
        <v>58</v>
      </c>
    </row>
    <row r="3022" spans="1:16" hidden="1" x14ac:dyDescent="0.15">
      <c r="A3022" s="286">
        <v>646075</v>
      </c>
      <c r="B3022" s="288">
        <v>45474.519444444442</v>
      </c>
      <c r="C3022" s="286" t="s">
        <v>2111</v>
      </c>
      <c r="D3022" s="286" t="s">
        <v>1105</v>
      </c>
      <c r="E3022" s="286" t="s">
        <v>1106</v>
      </c>
      <c r="F3022" s="286" t="s">
        <v>2137</v>
      </c>
      <c r="G3022" s="286" t="s">
        <v>1766</v>
      </c>
      <c r="H3022" s="286" t="s">
        <v>1766</v>
      </c>
      <c r="I3022" s="286" t="s">
        <v>1199</v>
      </c>
      <c r="J3022" s="286" t="s">
        <v>1312</v>
      </c>
      <c r="K3022" s="286" t="s">
        <v>53</v>
      </c>
      <c r="L3022" s="286" t="s">
        <v>53</v>
      </c>
      <c r="M3022" s="286" t="s">
        <v>53</v>
      </c>
      <c r="N3022" s="287">
        <v>-9522</v>
      </c>
      <c r="O3022" s="294">
        <f t="shared" si="47"/>
        <v>45504</v>
      </c>
      <c r="P3022" s="286" t="s">
        <v>58</v>
      </c>
    </row>
    <row r="3023" spans="1:16" hidden="1" x14ac:dyDescent="0.15">
      <c r="A3023" s="286">
        <v>697810</v>
      </c>
      <c r="B3023" s="288">
        <v>45510.366666666669</v>
      </c>
      <c r="C3023" s="286" t="s">
        <v>2102</v>
      </c>
      <c r="D3023" s="286" t="s">
        <v>1105</v>
      </c>
      <c r="E3023" s="286" t="s">
        <v>1106</v>
      </c>
      <c r="F3023" s="286" t="s">
        <v>2138</v>
      </c>
      <c r="G3023" s="286" t="s">
        <v>1766</v>
      </c>
      <c r="H3023" s="286" t="s">
        <v>1766</v>
      </c>
      <c r="I3023" s="286" t="s">
        <v>1199</v>
      </c>
      <c r="J3023" s="286" t="s">
        <v>1312</v>
      </c>
      <c r="K3023" s="286" t="s">
        <v>53</v>
      </c>
      <c r="L3023" s="286" t="s">
        <v>53</v>
      </c>
      <c r="M3023" s="286" t="s">
        <v>53</v>
      </c>
      <c r="N3023" s="287">
        <v>-9522</v>
      </c>
      <c r="O3023" s="294">
        <f t="shared" si="47"/>
        <v>45535</v>
      </c>
      <c r="P3023" s="286" t="s">
        <v>58</v>
      </c>
    </row>
    <row r="3024" spans="1:16" hidden="1" x14ac:dyDescent="0.15">
      <c r="A3024" s="286">
        <v>745911</v>
      </c>
      <c r="B3024" s="288">
        <v>45538.44027777778</v>
      </c>
      <c r="C3024" s="286" t="s">
        <v>2132</v>
      </c>
      <c r="D3024" s="286" t="s">
        <v>1105</v>
      </c>
      <c r="E3024" s="286" t="s">
        <v>1106</v>
      </c>
      <c r="F3024" s="286" t="s">
        <v>2139</v>
      </c>
      <c r="G3024" s="286" t="s">
        <v>1766</v>
      </c>
      <c r="H3024" s="286" t="s">
        <v>1766</v>
      </c>
      <c r="I3024" s="286" t="s">
        <v>1199</v>
      </c>
      <c r="J3024" s="286" t="s">
        <v>1312</v>
      </c>
      <c r="K3024" s="286" t="s">
        <v>53</v>
      </c>
      <c r="L3024" s="286" t="s">
        <v>53</v>
      </c>
      <c r="M3024" s="286" t="s">
        <v>53</v>
      </c>
      <c r="N3024" s="287">
        <v>-9522</v>
      </c>
      <c r="O3024" s="294">
        <f t="shared" si="47"/>
        <v>45565</v>
      </c>
      <c r="P3024" s="286" t="s">
        <v>58</v>
      </c>
    </row>
    <row r="3025" spans="1:16" hidden="1" x14ac:dyDescent="0.15">
      <c r="A3025" s="286">
        <v>504817</v>
      </c>
      <c r="B3025" s="288">
        <v>45359.645138888889</v>
      </c>
      <c r="C3025" s="286" t="s">
        <v>2109</v>
      </c>
      <c r="D3025" s="286" t="s">
        <v>1105</v>
      </c>
      <c r="E3025" s="286" t="s">
        <v>1106</v>
      </c>
      <c r="F3025" s="286" t="s">
        <v>2154</v>
      </c>
      <c r="G3025" s="286" t="s">
        <v>1028</v>
      </c>
      <c r="H3025" s="286" t="s">
        <v>1028</v>
      </c>
      <c r="I3025" s="286" t="s">
        <v>1199</v>
      </c>
      <c r="J3025" s="286" t="s">
        <v>1312</v>
      </c>
      <c r="K3025" s="286" t="s">
        <v>2076</v>
      </c>
      <c r="L3025" s="286" t="s">
        <v>53</v>
      </c>
      <c r="M3025" s="286">
        <v>1</v>
      </c>
      <c r="N3025" s="287">
        <v>-9571.44</v>
      </c>
      <c r="O3025" s="294">
        <f t="shared" si="47"/>
        <v>45382</v>
      </c>
      <c r="P3025" s="286" t="s">
        <v>58</v>
      </c>
    </row>
    <row r="3026" spans="1:16" hidden="1" x14ac:dyDescent="0.15">
      <c r="A3026" s="286">
        <v>534207</v>
      </c>
      <c r="B3026" s="288">
        <v>45385.750694444447</v>
      </c>
      <c r="C3026" s="286" t="s">
        <v>2096</v>
      </c>
      <c r="D3026" s="286" t="s">
        <v>1105</v>
      </c>
      <c r="E3026" s="286" t="s">
        <v>1106</v>
      </c>
      <c r="F3026" s="286" t="s">
        <v>2155</v>
      </c>
      <c r="G3026" s="286" t="s">
        <v>1028</v>
      </c>
      <c r="H3026" s="286" t="s">
        <v>1028</v>
      </c>
      <c r="I3026" s="286" t="s">
        <v>1199</v>
      </c>
      <c r="J3026" s="286" t="s">
        <v>1312</v>
      </c>
      <c r="K3026" s="286" t="s">
        <v>2076</v>
      </c>
      <c r="L3026" s="286" t="s">
        <v>53</v>
      </c>
      <c r="M3026" s="286">
        <v>1</v>
      </c>
      <c r="N3026" s="287">
        <v>-9571.44</v>
      </c>
      <c r="O3026" s="294">
        <f t="shared" si="47"/>
        <v>45412</v>
      </c>
      <c r="P3026" s="286" t="s">
        <v>58</v>
      </c>
    </row>
    <row r="3027" spans="1:16" hidden="1" x14ac:dyDescent="0.15">
      <c r="A3027" s="286">
        <v>614216</v>
      </c>
      <c r="B3027" s="288">
        <v>45455.716666666667</v>
      </c>
      <c r="C3027" s="286" t="s">
        <v>2116</v>
      </c>
      <c r="D3027" s="286" t="s">
        <v>1105</v>
      </c>
      <c r="E3027" s="286" t="s">
        <v>1106</v>
      </c>
      <c r="F3027" s="286" t="s">
        <v>2156</v>
      </c>
      <c r="G3027" s="286" t="s">
        <v>1028</v>
      </c>
      <c r="H3027" s="286" t="s">
        <v>1028</v>
      </c>
      <c r="I3027" s="286" t="s">
        <v>1199</v>
      </c>
      <c r="J3027" s="286" t="s">
        <v>1312</v>
      </c>
      <c r="K3027" s="286" t="s">
        <v>2076</v>
      </c>
      <c r="L3027" s="286" t="s">
        <v>53</v>
      </c>
      <c r="M3027" s="286">
        <v>1</v>
      </c>
      <c r="N3027" s="287">
        <v>-9571.44</v>
      </c>
      <c r="O3027" s="294">
        <f t="shared" si="47"/>
        <v>45473</v>
      </c>
      <c r="P3027" s="286" t="s">
        <v>58</v>
      </c>
    </row>
    <row r="3028" spans="1:16" hidden="1" x14ac:dyDescent="0.15">
      <c r="A3028" s="286">
        <v>608480</v>
      </c>
      <c r="B3028" s="288">
        <v>45450.422222222223</v>
      </c>
      <c r="C3028" s="286" t="s">
        <v>2092</v>
      </c>
      <c r="D3028" s="286" t="s">
        <v>1105</v>
      </c>
      <c r="E3028" s="286" t="s">
        <v>1106</v>
      </c>
      <c r="F3028" s="286" t="s">
        <v>2157</v>
      </c>
      <c r="G3028" s="286" t="s">
        <v>1028</v>
      </c>
      <c r="H3028" s="286" t="s">
        <v>1028</v>
      </c>
      <c r="I3028" s="286" t="s">
        <v>1199</v>
      </c>
      <c r="J3028" s="286" t="s">
        <v>1312</v>
      </c>
      <c r="K3028" s="286" t="s">
        <v>2076</v>
      </c>
      <c r="L3028" s="286" t="s">
        <v>53</v>
      </c>
      <c r="M3028" s="286">
        <v>1</v>
      </c>
      <c r="N3028" s="287">
        <v>-9571.44</v>
      </c>
      <c r="O3028" s="294">
        <f t="shared" si="47"/>
        <v>45473</v>
      </c>
      <c r="P3028" s="286" t="s">
        <v>58</v>
      </c>
    </row>
    <row r="3029" spans="1:16" hidden="1" x14ac:dyDescent="0.15">
      <c r="A3029" s="286">
        <v>646075</v>
      </c>
      <c r="B3029" s="288">
        <v>45474.519444444442</v>
      </c>
      <c r="C3029" s="286" t="s">
        <v>2111</v>
      </c>
      <c r="D3029" s="286" t="s">
        <v>1105</v>
      </c>
      <c r="E3029" s="286" t="s">
        <v>1106</v>
      </c>
      <c r="F3029" s="286" t="s">
        <v>2137</v>
      </c>
      <c r="G3029" s="286" t="s">
        <v>1028</v>
      </c>
      <c r="H3029" s="286" t="s">
        <v>1028</v>
      </c>
      <c r="I3029" s="286" t="s">
        <v>1199</v>
      </c>
      <c r="J3029" s="286" t="s">
        <v>1312</v>
      </c>
      <c r="K3029" s="286" t="s">
        <v>2076</v>
      </c>
      <c r="L3029" s="286" t="s">
        <v>53</v>
      </c>
      <c r="M3029" s="286">
        <v>1</v>
      </c>
      <c r="N3029" s="287">
        <v>-9571.44</v>
      </c>
      <c r="O3029" s="294">
        <f t="shared" si="47"/>
        <v>45504</v>
      </c>
      <c r="P3029" s="286" t="s">
        <v>58</v>
      </c>
    </row>
    <row r="3030" spans="1:16" hidden="1" x14ac:dyDescent="0.15">
      <c r="A3030" s="286">
        <v>697810</v>
      </c>
      <c r="B3030" s="288">
        <v>45510.366666666669</v>
      </c>
      <c r="C3030" s="286" t="s">
        <v>2102</v>
      </c>
      <c r="D3030" s="286" t="s">
        <v>1105</v>
      </c>
      <c r="E3030" s="286" t="s">
        <v>1106</v>
      </c>
      <c r="F3030" s="286" t="s">
        <v>2138</v>
      </c>
      <c r="G3030" s="286" t="s">
        <v>1028</v>
      </c>
      <c r="H3030" s="286" t="s">
        <v>1028</v>
      </c>
      <c r="I3030" s="286" t="s">
        <v>1199</v>
      </c>
      <c r="J3030" s="286" t="s">
        <v>1312</v>
      </c>
      <c r="K3030" s="286" t="s">
        <v>2076</v>
      </c>
      <c r="L3030" s="286" t="s">
        <v>53</v>
      </c>
      <c r="M3030" s="286">
        <v>1</v>
      </c>
      <c r="N3030" s="287">
        <v>-9571.44</v>
      </c>
      <c r="O3030" s="294">
        <f t="shared" si="47"/>
        <v>45535</v>
      </c>
      <c r="P3030" s="286" t="s">
        <v>58</v>
      </c>
    </row>
    <row r="3031" spans="1:16" hidden="1" x14ac:dyDescent="0.15">
      <c r="A3031" s="286">
        <v>745911</v>
      </c>
      <c r="B3031" s="288">
        <v>45538.44027777778</v>
      </c>
      <c r="C3031" s="286" t="s">
        <v>2132</v>
      </c>
      <c r="D3031" s="286" t="s">
        <v>1105</v>
      </c>
      <c r="E3031" s="286" t="s">
        <v>1106</v>
      </c>
      <c r="F3031" s="286" t="s">
        <v>2139</v>
      </c>
      <c r="G3031" s="286" t="s">
        <v>1028</v>
      </c>
      <c r="H3031" s="286" t="s">
        <v>1028</v>
      </c>
      <c r="I3031" s="286" t="s">
        <v>1199</v>
      </c>
      <c r="J3031" s="286" t="s">
        <v>1312</v>
      </c>
      <c r="K3031" s="286" t="s">
        <v>2076</v>
      </c>
      <c r="L3031" s="286" t="s">
        <v>53</v>
      </c>
      <c r="M3031" s="286">
        <v>1</v>
      </c>
      <c r="N3031" s="287">
        <v>-9571.44</v>
      </c>
      <c r="O3031" s="294">
        <f t="shared" si="47"/>
        <v>45565</v>
      </c>
      <c r="P3031" s="286" t="s">
        <v>58</v>
      </c>
    </row>
    <row r="3032" spans="1:16" hidden="1" x14ac:dyDescent="0.15">
      <c r="A3032" s="286">
        <v>848817</v>
      </c>
      <c r="B3032" s="288">
        <v>45607.65902777778</v>
      </c>
      <c r="C3032" s="286" t="s">
        <v>2130</v>
      </c>
      <c r="D3032" s="286" t="s">
        <v>1105</v>
      </c>
      <c r="E3032" s="286" t="s">
        <v>1106</v>
      </c>
      <c r="F3032" s="286" t="s">
        <v>2140</v>
      </c>
      <c r="G3032" s="286" t="s">
        <v>1028</v>
      </c>
      <c r="H3032" s="286" t="s">
        <v>1028</v>
      </c>
      <c r="I3032" s="286" t="s">
        <v>1199</v>
      </c>
      <c r="J3032" s="286" t="s">
        <v>1312</v>
      </c>
      <c r="K3032" s="286" t="s">
        <v>2076</v>
      </c>
      <c r="L3032" s="286" t="s">
        <v>53</v>
      </c>
      <c r="M3032" s="286">
        <v>1</v>
      </c>
      <c r="N3032" s="287">
        <v>-9571.44</v>
      </c>
      <c r="O3032" s="294">
        <f t="shared" si="47"/>
        <v>45626</v>
      </c>
      <c r="P3032" s="286" t="s">
        <v>58</v>
      </c>
    </row>
    <row r="3033" spans="1:16" hidden="1" x14ac:dyDescent="0.15">
      <c r="A3033" s="286">
        <v>848917</v>
      </c>
      <c r="B3033" s="288">
        <v>45607.660416666666</v>
      </c>
      <c r="C3033" s="286" t="s">
        <v>2100</v>
      </c>
      <c r="D3033" s="286" t="s">
        <v>1105</v>
      </c>
      <c r="E3033" s="286" t="s">
        <v>1106</v>
      </c>
      <c r="F3033" s="286" t="s">
        <v>2141</v>
      </c>
      <c r="G3033" s="286" t="s">
        <v>1028</v>
      </c>
      <c r="H3033" s="286" t="s">
        <v>1028</v>
      </c>
      <c r="I3033" s="286" t="s">
        <v>1199</v>
      </c>
      <c r="J3033" s="286" t="s">
        <v>1312</v>
      </c>
      <c r="K3033" s="286" t="s">
        <v>2076</v>
      </c>
      <c r="L3033" s="286" t="s">
        <v>53</v>
      </c>
      <c r="M3033" s="286">
        <v>1</v>
      </c>
      <c r="N3033" s="287">
        <v>-9571.44</v>
      </c>
      <c r="O3033" s="294">
        <f t="shared" si="47"/>
        <v>45626</v>
      </c>
      <c r="P3033" s="286" t="s">
        <v>58</v>
      </c>
    </row>
    <row r="3034" spans="1:16" hidden="1" x14ac:dyDescent="0.15">
      <c r="A3034" s="286">
        <v>874698</v>
      </c>
      <c r="B3034" s="288">
        <v>45628.357638888891</v>
      </c>
      <c r="C3034" s="286" t="s">
        <v>2098</v>
      </c>
      <c r="D3034" s="286" t="s">
        <v>1105</v>
      </c>
      <c r="E3034" s="286" t="s">
        <v>1106</v>
      </c>
      <c r="F3034" s="286" t="s">
        <v>2142</v>
      </c>
      <c r="G3034" s="286" t="s">
        <v>1028</v>
      </c>
      <c r="H3034" s="286" t="s">
        <v>1028</v>
      </c>
      <c r="I3034" s="286" t="s">
        <v>1199</v>
      </c>
      <c r="J3034" s="286" t="s">
        <v>1312</v>
      </c>
      <c r="K3034" s="286" t="s">
        <v>2076</v>
      </c>
      <c r="L3034" s="286" t="s">
        <v>53</v>
      </c>
      <c r="M3034" s="286">
        <v>1</v>
      </c>
      <c r="N3034" s="287">
        <v>-9571.44</v>
      </c>
      <c r="O3034" s="294">
        <f t="shared" si="47"/>
        <v>45657</v>
      </c>
      <c r="P3034" s="286" t="s">
        <v>58</v>
      </c>
    </row>
    <row r="3035" spans="1:16" hidden="1" x14ac:dyDescent="0.15">
      <c r="A3035" s="286">
        <v>874698</v>
      </c>
      <c r="B3035" s="288">
        <v>45628.357638888891</v>
      </c>
      <c r="C3035" s="286" t="s">
        <v>2098</v>
      </c>
      <c r="D3035" s="286" t="s">
        <v>1105</v>
      </c>
      <c r="E3035" s="286" t="s">
        <v>1106</v>
      </c>
      <c r="F3035" s="286" t="s">
        <v>2142</v>
      </c>
      <c r="G3035" s="286" t="s">
        <v>1027</v>
      </c>
      <c r="H3035" s="286" t="s">
        <v>1027</v>
      </c>
      <c r="I3035" s="286" t="s">
        <v>1199</v>
      </c>
      <c r="J3035" s="286" t="s">
        <v>1312</v>
      </c>
      <c r="K3035" s="286" t="s">
        <v>2076</v>
      </c>
      <c r="L3035" s="286" t="s">
        <v>53</v>
      </c>
      <c r="M3035" s="286">
        <v>1</v>
      </c>
      <c r="N3035" s="287">
        <v>-9583.17</v>
      </c>
      <c r="O3035" s="294">
        <f t="shared" si="47"/>
        <v>45657</v>
      </c>
      <c r="P3035" s="286" t="s">
        <v>58</v>
      </c>
    </row>
    <row r="3036" spans="1:16" hidden="1" x14ac:dyDescent="0.15">
      <c r="A3036" s="286">
        <v>472168</v>
      </c>
      <c r="B3036" s="288">
        <v>45331.416666666664</v>
      </c>
      <c r="C3036" s="286" t="s">
        <v>2113</v>
      </c>
      <c r="D3036" s="286" t="s">
        <v>1105</v>
      </c>
      <c r="E3036" s="286" t="s">
        <v>1106</v>
      </c>
      <c r="F3036" s="286" t="s">
        <v>2153</v>
      </c>
      <c r="G3036" s="286" t="s">
        <v>1027</v>
      </c>
      <c r="H3036" s="286" t="s">
        <v>1027</v>
      </c>
      <c r="I3036" s="286" t="s">
        <v>1199</v>
      </c>
      <c r="J3036" s="286" t="s">
        <v>1312</v>
      </c>
      <c r="K3036" s="286" t="s">
        <v>2076</v>
      </c>
      <c r="L3036" s="286" t="s">
        <v>53</v>
      </c>
      <c r="M3036" s="286">
        <v>1</v>
      </c>
      <c r="N3036" s="287">
        <v>-9583.2000000000007</v>
      </c>
      <c r="O3036" s="294">
        <f t="shared" si="47"/>
        <v>45351</v>
      </c>
      <c r="P3036" s="286" t="s">
        <v>58</v>
      </c>
    </row>
    <row r="3037" spans="1:16" hidden="1" x14ac:dyDescent="0.15">
      <c r="A3037" s="286">
        <v>496829</v>
      </c>
      <c r="B3037" s="288">
        <v>45352.458333333336</v>
      </c>
      <c r="C3037" s="286" t="s">
        <v>2113</v>
      </c>
      <c r="D3037" s="286" t="s">
        <v>1105</v>
      </c>
      <c r="E3037" s="286" t="s">
        <v>1106</v>
      </c>
      <c r="F3037" s="286" t="s">
        <v>2266</v>
      </c>
      <c r="G3037" s="286" t="s">
        <v>1027</v>
      </c>
      <c r="H3037" s="286" t="s">
        <v>1027</v>
      </c>
      <c r="I3037" s="286" t="s">
        <v>1228</v>
      </c>
      <c r="J3037" s="286" t="s">
        <v>53</v>
      </c>
      <c r="K3037" s="286" t="s">
        <v>53</v>
      </c>
      <c r="L3037" s="286" t="s">
        <v>53</v>
      </c>
      <c r="M3037" s="286" t="s">
        <v>53</v>
      </c>
      <c r="N3037" s="287">
        <v>-9583.2000000000007</v>
      </c>
      <c r="O3037" s="294">
        <f t="shared" si="47"/>
        <v>45382</v>
      </c>
      <c r="P3037" s="286" t="s">
        <v>58</v>
      </c>
    </row>
    <row r="3038" spans="1:16" hidden="1" x14ac:dyDescent="0.15">
      <c r="A3038" s="286">
        <v>504817</v>
      </c>
      <c r="B3038" s="288">
        <v>45359.645138888889</v>
      </c>
      <c r="C3038" s="286" t="s">
        <v>2109</v>
      </c>
      <c r="D3038" s="286" t="s">
        <v>1105</v>
      </c>
      <c r="E3038" s="286" t="s">
        <v>1106</v>
      </c>
      <c r="F3038" s="286" t="s">
        <v>2154</v>
      </c>
      <c r="G3038" s="286" t="s">
        <v>1027</v>
      </c>
      <c r="H3038" s="286" t="s">
        <v>1027</v>
      </c>
      <c r="I3038" s="286" t="s">
        <v>1199</v>
      </c>
      <c r="J3038" s="286" t="s">
        <v>1312</v>
      </c>
      <c r="K3038" s="286" t="s">
        <v>2076</v>
      </c>
      <c r="L3038" s="286" t="s">
        <v>53</v>
      </c>
      <c r="M3038" s="286">
        <v>1</v>
      </c>
      <c r="N3038" s="287">
        <v>-9583.2000000000007</v>
      </c>
      <c r="O3038" s="294">
        <f t="shared" si="47"/>
        <v>45382</v>
      </c>
      <c r="P3038" s="286" t="s">
        <v>58</v>
      </c>
    </row>
    <row r="3039" spans="1:16" hidden="1" x14ac:dyDescent="0.15">
      <c r="A3039" s="286">
        <v>559626</v>
      </c>
      <c r="B3039" s="288">
        <v>45408.642361111109</v>
      </c>
      <c r="C3039" s="286" t="s">
        <v>2109</v>
      </c>
      <c r="D3039" s="286" t="s">
        <v>1105</v>
      </c>
      <c r="E3039" s="286" t="s">
        <v>1106</v>
      </c>
      <c r="F3039" s="286" t="s">
        <v>2231</v>
      </c>
      <c r="G3039" s="286" t="s">
        <v>1027</v>
      </c>
      <c r="H3039" s="286" t="s">
        <v>1027</v>
      </c>
      <c r="I3039" s="286" t="s">
        <v>1228</v>
      </c>
      <c r="J3039" s="286" t="s">
        <v>1312</v>
      </c>
      <c r="K3039" s="286" t="s">
        <v>53</v>
      </c>
      <c r="L3039" s="286" t="s">
        <v>53</v>
      </c>
      <c r="M3039" s="286" t="s">
        <v>53</v>
      </c>
      <c r="N3039" s="287">
        <v>-9583.2000000000007</v>
      </c>
      <c r="O3039" s="294">
        <f t="shared" si="47"/>
        <v>45412</v>
      </c>
      <c r="P3039" s="286" t="s">
        <v>58</v>
      </c>
    </row>
    <row r="3040" spans="1:16" hidden="1" x14ac:dyDescent="0.15">
      <c r="A3040" s="286">
        <v>534207</v>
      </c>
      <c r="B3040" s="288">
        <v>45385.750694444447</v>
      </c>
      <c r="C3040" s="286" t="s">
        <v>2096</v>
      </c>
      <c r="D3040" s="286" t="s">
        <v>1105</v>
      </c>
      <c r="E3040" s="286" t="s">
        <v>1106</v>
      </c>
      <c r="F3040" s="286" t="s">
        <v>2155</v>
      </c>
      <c r="G3040" s="286" t="s">
        <v>1027</v>
      </c>
      <c r="H3040" s="286" t="s">
        <v>1027</v>
      </c>
      <c r="I3040" s="286" t="s">
        <v>1199</v>
      </c>
      <c r="J3040" s="286" t="s">
        <v>1312</v>
      </c>
      <c r="K3040" s="286" t="s">
        <v>2076</v>
      </c>
      <c r="L3040" s="286" t="s">
        <v>53</v>
      </c>
      <c r="M3040" s="286">
        <v>1</v>
      </c>
      <c r="N3040" s="287">
        <v>-9583.2000000000007</v>
      </c>
      <c r="O3040" s="294">
        <f t="shared" si="47"/>
        <v>45412</v>
      </c>
      <c r="P3040" s="286" t="s">
        <v>58</v>
      </c>
    </row>
    <row r="3041" spans="1:16" hidden="1" x14ac:dyDescent="0.15">
      <c r="A3041" s="286">
        <v>577185</v>
      </c>
      <c r="B3041" s="288">
        <v>45425.680555555555</v>
      </c>
      <c r="C3041" s="286" t="s">
        <v>2096</v>
      </c>
      <c r="D3041" s="286" t="s">
        <v>1105</v>
      </c>
      <c r="E3041" s="286" t="s">
        <v>1106</v>
      </c>
      <c r="F3041" s="286" t="s">
        <v>2232</v>
      </c>
      <c r="G3041" s="286" t="s">
        <v>1027</v>
      </c>
      <c r="H3041" s="286" t="s">
        <v>1027</v>
      </c>
      <c r="I3041" s="286" t="s">
        <v>1228</v>
      </c>
      <c r="J3041" s="286" t="s">
        <v>53</v>
      </c>
      <c r="K3041" s="286" t="s">
        <v>53</v>
      </c>
      <c r="L3041" s="286" t="s">
        <v>53</v>
      </c>
      <c r="M3041" s="286" t="s">
        <v>53</v>
      </c>
      <c r="N3041" s="287">
        <v>-9583.2000000000007</v>
      </c>
      <c r="O3041" s="294">
        <f t="shared" si="47"/>
        <v>45443</v>
      </c>
      <c r="P3041" s="286" t="s">
        <v>58</v>
      </c>
    </row>
    <row r="3042" spans="1:16" hidden="1" x14ac:dyDescent="0.15">
      <c r="A3042" s="286">
        <v>614216</v>
      </c>
      <c r="B3042" s="288">
        <v>45455.716666666667</v>
      </c>
      <c r="C3042" s="286" t="s">
        <v>2116</v>
      </c>
      <c r="D3042" s="286" t="s">
        <v>1105</v>
      </c>
      <c r="E3042" s="286" t="s">
        <v>1106</v>
      </c>
      <c r="F3042" s="286" t="s">
        <v>2156</v>
      </c>
      <c r="G3042" s="286" t="s">
        <v>1027</v>
      </c>
      <c r="H3042" s="286" t="s">
        <v>1027</v>
      </c>
      <c r="I3042" s="286" t="s">
        <v>1199</v>
      </c>
      <c r="J3042" s="286" t="s">
        <v>1312</v>
      </c>
      <c r="K3042" s="286" t="s">
        <v>2076</v>
      </c>
      <c r="L3042" s="286" t="s">
        <v>53</v>
      </c>
      <c r="M3042" s="286">
        <v>1</v>
      </c>
      <c r="N3042" s="287">
        <v>-9583.2000000000007</v>
      </c>
      <c r="O3042" s="294">
        <f t="shared" si="47"/>
        <v>45473</v>
      </c>
      <c r="P3042" s="286" t="s">
        <v>58</v>
      </c>
    </row>
    <row r="3043" spans="1:16" hidden="1" x14ac:dyDescent="0.15">
      <c r="A3043" s="286">
        <v>618175</v>
      </c>
      <c r="B3043" s="288">
        <v>45457.602083333331</v>
      </c>
      <c r="C3043" s="286" t="s">
        <v>2116</v>
      </c>
      <c r="D3043" s="286" t="s">
        <v>1105</v>
      </c>
      <c r="E3043" s="286" t="s">
        <v>1106</v>
      </c>
      <c r="F3043" s="286" t="s">
        <v>2158</v>
      </c>
      <c r="G3043" s="286" t="s">
        <v>1027</v>
      </c>
      <c r="H3043" s="286" t="s">
        <v>1027</v>
      </c>
      <c r="I3043" s="286" t="s">
        <v>1228</v>
      </c>
      <c r="J3043" s="286" t="s">
        <v>1312</v>
      </c>
      <c r="K3043" s="286" t="s">
        <v>53</v>
      </c>
      <c r="L3043" s="286" t="s">
        <v>53</v>
      </c>
      <c r="M3043" s="286" t="s">
        <v>53</v>
      </c>
      <c r="N3043" s="287">
        <v>-9583.2000000000007</v>
      </c>
      <c r="O3043" s="294">
        <f t="shared" si="47"/>
        <v>45473</v>
      </c>
      <c r="P3043" s="286" t="s">
        <v>58</v>
      </c>
    </row>
    <row r="3044" spans="1:16" hidden="1" x14ac:dyDescent="0.15">
      <c r="A3044" s="286">
        <v>608480</v>
      </c>
      <c r="B3044" s="288">
        <v>45450.422222222223</v>
      </c>
      <c r="C3044" s="286" t="s">
        <v>2092</v>
      </c>
      <c r="D3044" s="286" t="s">
        <v>1105</v>
      </c>
      <c r="E3044" s="286" t="s">
        <v>1106</v>
      </c>
      <c r="F3044" s="286" t="s">
        <v>2157</v>
      </c>
      <c r="G3044" s="286" t="s">
        <v>1027</v>
      </c>
      <c r="H3044" s="286" t="s">
        <v>1027</v>
      </c>
      <c r="I3044" s="286" t="s">
        <v>1199</v>
      </c>
      <c r="J3044" s="286" t="s">
        <v>1312</v>
      </c>
      <c r="K3044" s="286" t="s">
        <v>2076</v>
      </c>
      <c r="L3044" s="286" t="s">
        <v>53</v>
      </c>
      <c r="M3044" s="286">
        <v>1</v>
      </c>
      <c r="N3044" s="287">
        <v>-9583.2000000000007</v>
      </c>
      <c r="O3044" s="294">
        <f t="shared" si="47"/>
        <v>45473</v>
      </c>
      <c r="P3044" s="286" t="s">
        <v>58</v>
      </c>
    </row>
    <row r="3045" spans="1:16" hidden="1" x14ac:dyDescent="0.15">
      <c r="A3045" s="286">
        <v>659936</v>
      </c>
      <c r="B3045" s="288">
        <v>45484.529861111114</v>
      </c>
      <c r="C3045" s="286" t="s">
        <v>2092</v>
      </c>
      <c r="D3045" s="286" t="s">
        <v>1105</v>
      </c>
      <c r="E3045" s="286" t="s">
        <v>1106</v>
      </c>
      <c r="F3045" s="286" t="s">
        <v>2159</v>
      </c>
      <c r="G3045" s="286" t="s">
        <v>1027</v>
      </c>
      <c r="H3045" s="286" t="s">
        <v>1027</v>
      </c>
      <c r="I3045" s="286" t="s">
        <v>1228</v>
      </c>
      <c r="J3045" s="286" t="s">
        <v>1312</v>
      </c>
      <c r="K3045" s="286" t="s">
        <v>53</v>
      </c>
      <c r="L3045" s="286" t="s">
        <v>53</v>
      </c>
      <c r="M3045" s="286" t="s">
        <v>53</v>
      </c>
      <c r="N3045" s="287">
        <v>-9583.2000000000007</v>
      </c>
      <c r="O3045" s="294">
        <f t="shared" si="47"/>
        <v>45504</v>
      </c>
      <c r="P3045" s="286" t="s">
        <v>58</v>
      </c>
    </row>
    <row r="3046" spans="1:16" hidden="1" x14ac:dyDescent="0.15">
      <c r="A3046" s="286">
        <v>646075</v>
      </c>
      <c r="B3046" s="288">
        <v>45474.519444444442</v>
      </c>
      <c r="C3046" s="286" t="s">
        <v>2111</v>
      </c>
      <c r="D3046" s="286" t="s">
        <v>1105</v>
      </c>
      <c r="E3046" s="286" t="s">
        <v>1106</v>
      </c>
      <c r="F3046" s="286" t="s">
        <v>2137</v>
      </c>
      <c r="G3046" s="286" t="s">
        <v>1027</v>
      </c>
      <c r="H3046" s="286" t="s">
        <v>1027</v>
      </c>
      <c r="I3046" s="286" t="s">
        <v>1199</v>
      </c>
      <c r="J3046" s="286" t="s">
        <v>1312</v>
      </c>
      <c r="K3046" s="286" t="s">
        <v>2076</v>
      </c>
      <c r="L3046" s="286" t="s">
        <v>53</v>
      </c>
      <c r="M3046" s="286">
        <v>1</v>
      </c>
      <c r="N3046" s="287">
        <v>-9583.2000000000007</v>
      </c>
      <c r="O3046" s="294">
        <f t="shared" si="47"/>
        <v>45504</v>
      </c>
      <c r="P3046" s="286" t="s">
        <v>58</v>
      </c>
    </row>
    <row r="3047" spans="1:16" hidden="1" x14ac:dyDescent="0.15">
      <c r="A3047" s="286">
        <v>712645</v>
      </c>
      <c r="B3047" s="288">
        <v>45517.640972222223</v>
      </c>
      <c r="C3047" s="286" t="s">
        <v>2111</v>
      </c>
      <c r="D3047" s="286" t="s">
        <v>1105</v>
      </c>
      <c r="E3047" s="286" t="s">
        <v>1106</v>
      </c>
      <c r="F3047" s="286" t="s">
        <v>2160</v>
      </c>
      <c r="G3047" s="286" t="s">
        <v>1027</v>
      </c>
      <c r="H3047" s="286" t="s">
        <v>1027</v>
      </c>
      <c r="I3047" s="286" t="s">
        <v>1228</v>
      </c>
      <c r="J3047" s="286" t="s">
        <v>1312</v>
      </c>
      <c r="K3047" s="286" t="s">
        <v>53</v>
      </c>
      <c r="L3047" s="286" t="s">
        <v>53</v>
      </c>
      <c r="M3047" s="286" t="s">
        <v>53</v>
      </c>
      <c r="N3047" s="287">
        <v>-9583.2000000000007</v>
      </c>
      <c r="O3047" s="294">
        <f t="shared" si="47"/>
        <v>45535</v>
      </c>
      <c r="P3047" s="286" t="s">
        <v>58</v>
      </c>
    </row>
    <row r="3048" spans="1:16" hidden="1" x14ac:dyDescent="0.15">
      <c r="A3048" s="286">
        <v>697810</v>
      </c>
      <c r="B3048" s="288">
        <v>45510.366666666669</v>
      </c>
      <c r="C3048" s="286" t="s">
        <v>2102</v>
      </c>
      <c r="D3048" s="286" t="s">
        <v>1105</v>
      </c>
      <c r="E3048" s="286" t="s">
        <v>1106</v>
      </c>
      <c r="F3048" s="286" t="s">
        <v>2138</v>
      </c>
      <c r="G3048" s="286" t="s">
        <v>1027</v>
      </c>
      <c r="H3048" s="286" t="s">
        <v>1027</v>
      </c>
      <c r="I3048" s="286" t="s">
        <v>1199</v>
      </c>
      <c r="J3048" s="286" t="s">
        <v>1312</v>
      </c>
      <c r="K3048" s="286" t="s">
        <v>2076</v>
      </c>
      <c r="L3048" s="286" t="s">
        <v>53</v>
      </c>
      <c r="M3048" s="286">
        <v>1</v>
      </c>
      <c r="N3048" s="287">
        <v>-9583.2000000000007</v>
      </c>
      <c r="O3048" s="294">
        <f t="shared" si="47"/>
        <v>45535</v>
      </c>
      <c r="P3048" s="286" t="s">
        <v>58</v>
      </c>
    </row>
    <row r="3049" spans="1:16" hidden="1" x14ac:dyDescent="0.15">
      <c r="A3049" s="286">
        <v>741366</v>
      </c>
      <c r="B3049" s="288">
        <v>45532.655555555553</v>
      </c>
      <c r="C3049" s="286" t="s">
        <v>2102</v>
      </c>
      <c r="D3049" s="286" t="s">
        <v>1105</v>
      </c>
      <c r="E3049" s="286" t="s">
        <v>1106</v>
      </c>
      <c r="F3049" s="286" t="s">
        <v>2161</v>
      </c>
      <c r="G3049" s="286" t="s">
        <v>1027</v>
      </c>
      <c r="H3049" s="286" t="s">
        <v>1027</v>
      </c>
      <c r="I3049" s="286" t="s">
        <v>1228</v>
      </c>
      <c r="J3049" s="286" t="s">
        <v>1312</v>
      </c>
      <c r="K3049" s="286" t="s">
        <v>53</v>
      </c>
      <c r="L3049" s="286" t="s">
        <v>53</v>
      </c>
      <c r="M3049" s="286" t="s">
        <v>53</v>
      </c>
      <c r="N3049" s="287">
        <v>-9583.2000000000007</v>
      </c>
      <c r="O3049" s="294">
        <f t="shared" si="47"/>
        <v>45535</v>
      </c>
      <c r="P3049" s="286" t="s">
        <v>58</v>
      </c>
    </row>
    <row r="3050" spans="1:16" hidden="1" x14ac:dyDescent="0.15">
      <c r="A3050" s="286">
        <v>745911</v>
      </c>
      <c r="B3050" s="288">
        <v>45538.44027777778</v>
      </c>
      <c r="C3050" s="286" t="s">
        <v>2132</v>
      </c>
      <c r="D3050" s="286" t="s">
        <v>1105</v>
      </c>
      <c r="E3050" s="286" t="s">
        <v>1106</v>
      </c>
      <c r="F3050" s="286" t="s">
        <v>2139</v>
      </c>
      <c r="G3050" s="286" t="s">
        <v>1027</v>
      </c>
      <c r="H3050" s="286" t="s">
        <v>1027</v>
      </c>
      <c r="I3050" s="286" t="s">
        <v>1199</v>
      </c>
      <c r="J3050" s="286" t="s">
        <v>1312</v>
      </c>
      <c r="K3050" s="286" t="s">
        <v>2076</v>
      </c>
      <c r="L3050" s="286" t="s">
        <v>53</v>
      </c>
      <c r="M3050" s="286">
        <v>1</v>
      </c>
      <c r="N3050" s="287">
        <v>-9583.2000000000007</v>
      </c>
      <c r="O3050" s="294">
        <f t="shared" si="47"/>
        <v>45565</v>
      </c>
      <c r="P3050" s="286" t="s">
        <v>58</v>
      </c>
    </row>
    <row r="3051" spans="1:16" hidden="1" x14ac:dyDescent="0.15">
      <c r="A3051" s="286">
        <v>785030</v>
      </c>
      <c r="B3051" s="288">
        <v>45559.581944444442</v>
      </c>
      <c r="C3051" s="286" t="s">
        <v>2132</v>
      </c>
      <c r="D3051" s="286" t="s">
        <v>1105</v>
      </c>
      <c r="E3051" s="286" t="s">
        <v>1106</v>
      </c>
      <c r="F3051" s="286" t="s">
        <v>2162</v>
      </c>
      <c r="G3051" s="286" t="s">
        <v>1027</v>
      </c>
      <c r="H3051" s="286" t="s">
        <v>1027</v>
      </c>
      <c r="I3051" s="286" t="s">
        <v>1228</v>
      </c>
      <c r="J3051" s="286" t="s">
        <v>1312</v>
      </c>
      <c r="K3051" s="286" t="s">
        <v>53</v>
      </c>
      <c r="L3051" s="286" t="s">
        <v>53</v>
      </c>
      <c r="M3051" s="286" t="s">
        <v>53</v>
      </c>
      <c r="N3051" s="287">
        <v>-9583.2000000000007</v>
      </c>
      <c r="O3051" s="294">
        <f t="shared" si="47"/>
        <v>45565</v>
      </c>
      <c r="P3051" s="286" t="s">
        <v>58</v>
      </c>
    </row>
    <row r="3052" spans="1:16" hidden="1" x14ac:dyDescent="0.15">
      <c r="A3052" s="286">
        <v>821955</v>
      </c>
      <c r="B3052" s="288">
        <v>45587.62777777778</v>
      </c>
      <c r="C3052" s="286" t="s">
        <v>2130</v>
      </c>
      <c r="D3052" s="286" t="s">
        <v>1105</v>
      </c>
      <c r="E3052" s="286" t="s">
        <v>1106</v>
      </c>
      <c r="F3052" s="286" t="s">
        <v>2163</v>
      </c>
      <c r="G3052" s="286" t="s">
        <v>1027</v>
      </c>
      <c r="H3052" s="286" t="s">
        <v>1027</v>
      </c>
      <c r="I3052" s="286" t="s">
        <v>1228</v>
      </c>
      <c r="J3052" s="286" t="s">
        <v>1312</v>
      </c>
      <c r="K3052" s="286" t="s">
        <v>53</v>
      </c>
      <c r="L3052" s="286" t="s">
        <v>53</v>
      </c>
      <c r="M3052" s="286" t="s">
        <v>53</v>
      </c>
      <c r="N3052" s="287">
        <v>-9583.2000000000007</v>
      </c>
      <c r="O3052" s="294">
        <f t="shared" si="47"/>
        <v>45596</v>
      </c>
      <c r="P3052" s="286" t="s">
        <v>58</v>
      </c>
    </row>
    <row r="3053" spans="1:16" hidden="1" x14ac:dyDescent="0.15">
      <c r="A3053" s="286">
        <v>848817</v>
      </c>
      <c r="B3053" s="288">
        <v>45607.65902777778</v>
      </c>
      <c r="C3053" s="286" t="s">
        <v>2130</v>
      </c>
      <c r="D3053" s="286" t="s">
        <v>1105</v>
      </c>
      <c r="E3053" s="286" t="s">
        <v>1106</v>
      </c>
      <c r="F3053" s="286" t="s">
        <v>2140</v>
      </c>
      <c r="G3053" s="286" t="s">
        <v>1027</v>
      </c>
      <c r="H3053" s="286" t="s">
        <v>1027</v>
      </c>
      <c r="I3053" s="286" t="s">
        <v>1199</v>
      </c>
      <c r="J3053" s="286" t="s">
        <v>1312</v>
      </c>
      <c r="K3053" s="286" t="s">
        <v>2076</v>
      </c>
      <c r="L3053" s="286" t="s">
        <v>53</v>
      </c>
      <c r="M3053" s="286">
        <v>1</v>
      </c>
      <c r="N3053" s="287">
        <v>-9583.2000000000007</v>
      </c>
      <c r="O3053" s="294">
        <f t="shared" si="47"/>
        <v>45626</v>
      </c>
      <c r="P3053" s="286" t="s">
        <v>58</v>
      </c>
    </row>
    <row r="3054" spans="1:16" hidden="1" x14ac:dyDescent="0.15">
      <c r="A3054" s="286">
        <v>848917</v>
      </c>
      <c r="B3054" s="288">
        <v>45607.660416666666</v>
      </c>
      <c r="C3054" s="286" t="s">
        <v>2100</v>
      </c>
      <c r="D3054" s="286" t="s">
        <v>1105</v>
      </c>
      <c r="E3054" s="286" t="s">
        <v>1106</v>
      </c>
      <c r="F3054" s="286" t="s">
        <v>2141</v>
      </c>
      <c r="G3054" s="286" t="s">
        <v>1027</v>
      </c>
      <c r="H3054" s="286" t="s">
        <v>1027</v>
      </c>
      <c r="I3054" s="286" t="s">
        <v>1199</v>
      </c>
      <c r="J3054" s="286" t="s">
        <v>1312</v>
      </c>
      <c r="K3054" s="286" t="s">
        <v>2076</v>
      </c>
      <c r="L3054" s="286" t="s">
        <v>53</v>
      </c>
      <c r="M3054" s="286">
        <v>1</v>
      </c>
      <c r="N3054" s="287">
        <v>-9583.2000000000007</v>
      </c>
      <c r="O3054" s="294">
        <f t="shared" si="47"/>
        <v>45626</v>
      </c>
      <c r="P3054" s="286" t="s">
        <v>58</v>
      </c>
    </row>
    <row r="3055" spans="1:16" hidden="1" x14ac:dyDescent="0.15">
      <c r="A3055" s="286">
        <v>864918</v>
      </c>
      <c r="B3055" s="288">
        <v>45617.508333333331</v>
      </c>
      <c r="C3055" s="286" t="s">
        <v>2100</v>
      </c>
      <c r="D3055" s="286" t="s">
        <v>1105</v>
      </c>
      <c r="E3055" s="286" t="s">
        <v>1106</v>
      </c>
      <c r="F3055" s="286" t="s">
        <v>2233</v>
      </c>
      <c r="G3055" s="286" t="s">
        <v>1027</v>
      </c>
      <c r="H3055" s="286" t="s">
        <v>1027</v>
      </c>
      <c r="I3055" s="286" t="s">
        <v>1228</v>
      </c>
      <c r="J3055" s="286" t="s">
        <v>53</v>
      </c>
      <c r="K3055" s="286" t="s">
        <v>53</v>
      </c>
      <c r="L3055" s="286" t="s">
        <v>53</v>
      </c>
      <c r="M3055" s="286" t="s">
        <v>53</v>
      </c>
      <c r="N3055" s="287">
        <v>-9583.2000000000007</v>
      </c>
      <c r="O3055" s="294">
        <f t="shared" si="47"/>
        <v>45626</v>
      </c>
      <c r="P3055" s="286" t="s">
        <v>58</v>
      </c>
    </row>
    <row r="3056" spans="1:16" hidden="1" x14ac:dyDescent="0.15">
      <c r="A3056" s="286">
        <v>898877</v>
      </c>
      <c r="B3056" s="288">
        <v>45644.552083333336</v>
      </c>
      <c r="C3056" s="286" t="s">
        <v>2098</v>
      </c>
      <c r="D3056" s="286" t="s">
        <v>1105</v>
      </c>
      <c r="E3056" s="286" t="s">
        <v>1106</v>
      </c>
      <c r="F3056" s="286" t="s">
        <v>2234</v>
      </c>
      <c r="G3056" s="286" t="s">
        <v>1027</v>
      </c>
      <c r="H3056" s="286" t="s">
        <v>1027</v>
      </c>
      <c r="I3056" s="286" t="s">
        <v>1228</v>
      </c>
      <c r="J3056" s="286" t="s">
        <v>1312</v>
      </c>
      <c r="K3056" s="286" t="s">
        <v>53</v>
      </c>
      <c r="L3056" s="286" t="s">
        <v>53</v>
      </c>
      <c r="M3056" s="286" t="s">
        <v>53</v>
      </c>
      <c r="N3056" s="287">
        <v>-9583.2000000000007</v>
      </c>
      <c r="O3056" s="294">
        <f t="shared" si="47"/>
        <v>45657</v>
      </c>
      <c r="P3056" s="286" t="s">
        <v>58</v>
      </c>
    </row>
    <row r="3057" spans="1:16" hidden="1" x14ac:dyDescent="0.15">
      <c r="A3057" s="286">
        <v>504817</v>
      </c>
      <c r="B3057" s="288">
        <v>45359.645138888889</v>
      </c>
      <c r="C3057" s="286" t="s">
        <v>2109</v>
      </c>
      <c r="D3057" s="286" t="s">
        <v>1105</v>
      </c>
      <c r="E3057" s="286" t="s">
        <v>1106</v>
      </c>
      <c r="F3057" s="286" t="s">
        <v>2154</v>
      </c>
      <c r="G3057" s="286" t="s">
        <v>1089</v>
      </c>
      <c r="H3057" s="286" t="s">
        <v>1089</v>
      </c>
      <c r="I3057" s="286" t="s">
        <v>1199</v>
      </c>
      <c r="J3057" s="286" t="s">
        <v>1312</v>
      </c>
      <c r="K3057" s="286" t="s">
        <v>2076</v>
      </c>
      <c r="L3057" s="286" t="s">
        <v>53</v>
      </c>
      <c r="M3057" s="286">
        <v>1</v>
      </c>
      <c r="N3057" s="287">
        <v>-9640.16</v>
      </c>
      <c r="O3057" s="294">
        <f t="shared" si="47"/>
        <v>45382</v>
      </c>
      <c r="P3057" s="286" t="s">
        <v>58</v>
      </c>
    </row>
    <row r="3058" spans="1:16" hidden="1" x14ac:dyDescent="0.15">
      <c r="A3058" s="286">
        <v>534207</v>
      </c>
      <c r="B3058" s="288">
        <v>45385.750694444447</v>
      </c>
      <c r="C3058" s="286" t="s">
        <v>2096</v>
      </c>
      <c r="D3058" s="286" t="s">
        <v>1105</v>
      </c>
      <c r="E3058" s="286" t="s">
        <v>1106</v>
      </c>
      <c r="F3058" s="286" t="s">
        <v>2155</v>
      </c>
      <c r="G3058" s="286" t="s">
        <v>1089</v>
      </c>
      <c r="H3058" s="286" t="s">
        <v>1089</v>
      </c>
      <c r="I3058" s="286" t="s">
        <v>1199</v>
      </c>
      <c r="J3058" s="286" t="s">
        <v>1312</v>
      </c>
      <c r="K3058" s="286" t="s">
        <v>2076</v>
      </c>
      <c r="L3058" s="286" t="s">
        <v>53</v>
      </c>
      <c r="M3058" s="286">
        <v>1</v>
      </c>
      <c r="N3058" s="287">
        <v>-9640.16</v>
      </c>
      <c r="O3058" s="294">
        <f t="shared" si="47"/>
        <v>45412</v>
      </c>
      <c r="P3058" s="286" t="s">
        <v>58</v>
      </c>
    </row>
    <row r="3059" spans="1:16" hidden="1" x14ac:dyDescent="0.15">
      <c r="A3059" s="286">
        <v>614216</v>
      </c>
      <c r="B3059" s="288">
        <v>45455.716666666667</v>
      </c>
      <c r="C3059" s="286" t="s">
        <v>2116</v>
      </c>
      <c r="D3059" s="286" t="s">
        <v>1105</v>
      </c>
      <c r="E3059" s="286" t="s">
        <v>1106</v>
      </c>
      <c r="F3059" s="286" t="s">
        <v>2156</v>
      </c>
      <c r="G3059" s="286" t="s">
        <v>1089</v>
      </c>
      <c r="H3059" s="286" t="s">
        <v>1089</v>
      </c>
      <c r="I3059" s="286" t="s">
        <v>1199</v>
      </c>
      <c r="J3059" s="286" t="s">
        <v>1312</v>
      </c>
      <c r="K3059" s="286" t="s">
        <v>2076</v>
      </c>
      <c r="L3059" s="286" t="s">
        <v>53</v>
      </c>
      <c r="M3059" s="286">
        <v>1</v>
      </c>
      <c r="N3059" s="287">
        <v>-9640.16</v>
      </c>
      <c r="O3059" s="294">
        <f t="shared" si="47"/>
        <v>45473</v>
      </c>
      <c r="P3059" s="286" t="s">
        <v>58</v>
      </c>
    </row>
    <row r="3060" spans="1:16" hidden="1" x14ac:dyDescent="0.15">
      <c r="A3060" s="286">
        <v>608480</v>
      </c>
      <c r="B3060" s="288">
        <v>45450.422222222223</v>
      </c>
      <c r="C3060" s="286" t="s">
        <v>2092</v>
      </c>
      <c r="D3060" s="286" t="s">
        <v>1105</v>
      </c>
      <c r="E3060" s="286" t="s">
        <v>1106</v>
      </c>
      <c r="F3060" s="286" t="s">
        <v>2157</v>
      </c>
      <c r="G3060" s="286" t="s">
        <v>1089</v>
      </c>
      <c r="H3060" s="286" t="s">
        <v>1089</v>
      </c>
      <c r="I3060" s="286" t="s">
        <v>1199</v>
      </c>
      <c r="J3060" s="286" t="s">
        <v>1312</v>
      </c>
      <c r="K3060" s="286" t="s">
        <v>2076</v>
      </c>
      <c r="L3060" s="286" t="s">
        <v>53</v>
      </c>
      <c r="M3060" s="286">
        <v>1</v>
      </c>
      <c r="N3060" s="287">
        <v>-9640.16</v>
      </c>
      <c r="O3060" s="294">
        <f t="shared" si="47"/>
        <v>45473</v>
      </c>
      <c r="P3060" s="286" t="s">
        <v>58</v>
      </c>
    </row>
    <row r="3061" spans="1:16" hidden="1" x14ac:dyDescent="0.15">
      <c r="A3061" s="286">
        <v>646075</v>
      </c>
      <c r="B3061" s="288">
        <v>45474.519444444442</v>
      </c>
      <c r="C3061" s="286" t="s">
        <v>2111</v>
      </c>
      <c r="D3061" s="286" t="s">
        <v>1105</v>
      </c>
      <c r="E3061" s="286" t="s">
        <v>1106</v>
      </c>
      <c r="F3061" s="286" t="s">
        <v>2137</v>
      </c>
      <c r="G3061" s="286" t="s">
        <v>1089</v>
      </c>
      <c r="H3061" s="286" t="s">
        <v>1089</v>
      </c>
      <c r="I3061" s="286" t="s">
        <v>1199</v>
      </c>
      <c r="J3061" s="286" t="s">
        <v>1312</v>
      </c>
      <c r="K3061" s="286" t="s">
        <v>2076</v>
      </c>
      <c r="L3061" s="286" t="s">
        <v>53</v>
      </c>
      <c r="M3061" s="286">
        <v>1</v>
      </c>
      <c r="N3061" s="287">
        <v>-9640.16</v>
      </c>
      <c r="O3061" s="294">
        <f t="shared" si="47"/>
        <v>45504</v>
      </c>
      <c r="P3061" s="286" t="s">
        <v>58</v>
      </c>
    </row>
    <row r="3062" spans="1:16" hidden="1" x14ac:dyDescent="0.15">
      <c r="A3062" s="286">
        <v>697810</v>
      </c>
      <c r="B3062" s="288">
        <v>45510.366666666669</v>
      </c>
      <c r="C3062" s="286" t="s">
        <v>2102</v>
      </c>
      <c r="D3062" s="286" t="s">
        <v>1105</v>
      </c>
      <c r="E3062" s="286" t="s">
        <v>1106</v>
      </c>
      <c r="F3062" s="286" t="s">
        <v>2138</v>
      </c>
      <c r="G3062" s="286" t="s">
        <v>1089</v>
      </c>
      <c r="H3062" s="286" t="s">
        <v>1089</v>
      </c>
      <c r="I3062" s="286" t="s">
        <v>1199</v>
      </c>
      <c r="J3062" s="286" t="s">
        <v>1312</v>
      </c>
      <c r="K3062" s="286" t="s">
        <v>2076</v>
      </c>
      <c r="L3062" s="286" t="s">
        <v>53</v>
      </c>
      <c r="M3062" s="286">
        <v>1</v>
      </c>
      <c r="N3062" s="287">
        <v>-9640.16</v>
      </c>
      <c r="O3062" s="294">
        <f t="shared" si="47"/>
        <v>45535</v>
      </c>
      <c r="P3062" s="286" t="s">
        <v>58</v>
      </c>
    </row>
    <row r="3063" spans="1:16" hidden="1" x14ac:dyDescent="0.15">
      <c r="A3063" s="286">
        <v>745911</v>
      </c>
      <c r="B3063" s="288">
        <v>45538.44027777778</v>
      </c>
      <c r="C3063" s="286" t="s">
        <v>2132</v>
      </c>
      <c r="D3063" s="286" t="s">
        <v>1105</v>
      </c>
      <c r="E3063" s="286" t="s">
        <v>1106</v>
      </c>
      <c r="F3063" s="286" t="s">
        <v>2139</v>
      </c>
      <c r="G3063" s="286" t="s">
        <v>1089</v>
      </c>
      <c r="H3063" s="286" t="s">
        <v>1089</v>
      </c>
      <c r="I3063" s="286" t="s">
        <v>1199</v>
      </c>
      <c r="J3063" s="286" t="s">
        <v>1312</v>
      </c>
      <c r="K3063" s="286" t="s">
        <v>2076</v>
      </c>
      <c r="L3063" s="286" t="s">
        <v>53</v>
      </c>
      <c r="M3063" s="286">
        <v>1</v>
      </c>
      <c r="N3063" s="287">
        <v>-9640.16</v>
      </c>
      <c r="O3063" s="294">
        <f t="shared" si="47"/>
        <v>45565</v>
      </c>
      <c r="P3063" s="286" t="s">
        <v>58</v>
      </c>
    </row>
    <row r="3064" spans="1:16" hidden="1" x14ac:dyDescent="0.15">
      <c r="A3064" s="286">
        <v>848817</v>
      </c>
      <c r="B3064" s="288">
        <v>45607.65902777778</v>
      </c>
      <c r="C3064" s="286" t="s">
        <v>2130</v>
      </c>
      <c r="D3064" s="286" t="s">
        <v>1105</v>
      </c>
      <c r="E3064" s="286" t="s">
        <v>1106</v>
      </c>
      <c r="F3064" s="286" t="s">
        <v>2140</v>
      </c>
      <c r="G3064" s="286" t="s">
        <v>1089</v>
      </c>
      <c r="H3064" s="286" t="s">
        <v>1089</v>
      </c>
      <c r="I3064" s="286" t="s">
        <v>1199</v>
      </c>
      <c r="J3064" s="286" t="s">
        <v>1312</v>
      </c>
      <c r="K3064" s="286" t="s">
        <v>2076</v>
      </c>
      <c r="L3064" s="286" t="s">
        <v>53</v>
      </c>
      <c r="M3064" s="286">
        <v>1</v>
      </c>
      <c r="N3064" s="287">
        <v>-9640.16</v>
      </c>
      <c r="O3064" s="294">
        <f t="shared" si="47"/>
        <v>45626</v>
      </c>
      <c r="P3064" s="286" t="s">
        <v>58</v>
      </c>
    </row>
    <row r="3065" spans="1:16" hidden="1" x14ac:dyDescent="0.15">
      <c r="A3065" s="286">
        <v>848917</v>
      </c>
      <c r="B3065" s="288">
        <v>45607.660416666666</v>
      </c>
      <c r="C3065" s="286" t="s">
        <v>2100</v>
      </c>
      <c r="D3065" s="286" t="s">
        <v>1105</v>
      </c>
      <c r="E3065" s="286" t="s">
        <v>1106</v>
      </c>
      <c r="F3065" s="286" t="s">
        <v>2141</v>
      </c>
      <c r="G3065" s="286" t="s">
        <v>1089</v>
      </c>
      <c r="H3065" s="286" t="s">
        <v>1089</v>
      </c>
      <c r="I3065" s="286" t="s">
        <v>1199</v>
      </c>
      <c r="J3065" s="286" t="s">
        <v>1312</v>
      </c>
      <c r="K3065" s="286" t="s">
        <v>2076</v>
      </c>
      <c r="L3065" s="286" t="s">
        <v>53</v>
      </c>
      <c r="M3065" s="286">
        <v>1</v>
      </c>
      <c r="N3065" s="287">
        <v>-9640.16</v>
      </c>
      <c r="O3065" s="294">
        <f t="shared" si="47"/>
        <v>45626</v>
      </c>
      <c r="P3065" s="286" t="s">
        <v>58</v>
      </c>
    </row>
    <row r="3066" spans="1:16" hidden="1" x14ac:dyDescent="0.15">
      <c r="A3066" s="286">
        <v>874698</v>
      </c>
      <c r="B3066" s="288">
        <v>45628.357638888891</v>
      </c>
      <c r="C3066" s="286" t="s">
        <v>2098</v>
      </c>
      <c r="D3066" s="286" t="s">
        <v>1105</v>
      </c>
      <c r="E3066" s="286" t="s">
        <v>1106</v>
      </c>
      <c r="F3066" s="286" t="s">
        <v>2142</v>
      </c>
      <c r="G3066" s="286" t="s">
        <v>1089</v>
      </c>
      <c r="H3066" s="286" t="s">
        <v>1089</v>
      </c>
      <c r="I3066" s="286" t="s">
        <v>1199</v>
      </c>
      <c r="J3066" s="286" t="s">
        <v>1312</v>
      </c>
      <c r="K3066" s="286" t="s">
        <v>2076</v>
      </c>
      <c r="L3066" s="286" t="s">
        <v>53</v>
      </c>
      <c r="M3066" s="286">
        <v>1</v>
      </c>
      <c r="N3066" s="287">
        <v>-9640.16</v>
      </c>
      <c r="O3066" s="294">
        <f t="shared" si="47"/>
        <v>45657</v>
      </c>
      <c r="P3066" s="286" t="s">
        <v>58</v>
      </c>
    </row>
    <row r="3067" spans="1:16" hidden="1" x14ac:dyDescent="0.15">
      <c r="A3067" s="286">
        <v>504817</v>
      </c>
      <c r="B3067" s="288">
        <v>45359.645138888889</v>
      </c>
      <c r="C3067" s="286" t="s">
        <v>2109</v>
      </c>
      <c r="D3067" s="286" t="s">
        <v>1105</v>
      </c>
      <c r="E3067" s="286" t="s">
        <v>1106</v>
      </c>
      <c r="F3067" s="286" t="s">
        <v>2154</v>
      </c>
      <c r="G3067" s="286" t="s">
        <v>1089</v>
      </c>
      <c r="H3067" s="286" t="s">
        <v>1089</v>
      </c>
      <c r="I3067" s="286" t="s">
        <v>1228</v>
      </c>
      <c r="J3067" s="286" t="s">
        <v>1312</v>
      </c>
      <c r="K3067" s="286" t="s">
        <v>2229</v>
      </c>
      <c r="L3067" s="286" t="s">
        <v>53</v>
      </c>
      <c r="M3067" s="286">
        <v>0</v>
      </c>
      <c r="N3067" s="287">
        <v>-9854.4500000000007</v>
      </c>
      <c r="O3067" s="294">
        <f t="shared" si="47"/>
        <v>45382</v>
      </c>
      <c r="P3067" s="286" t="s">
        <v>58</v>
      </c>
    </row>
    <row r="3068" spans="1:16" hidden="1" x14ac:dyDescent="0.15">
      <c r="A3068" s="286">
        <v>534207</v>
      </c>
      <c r="B3068" s="288">
        <v>45385.750694444447</v>
      </c>
      <c r="C3068" s="286" t="s">
        <v>2096</v>
      </c>
      <c r="D3068" s="286" t="s">
        <v>1105</v>
      </c>
      <c r="E3068" s="286" t="s">
        <v>1106</v>
      </c>
      <c r="F3068" s="286" t="s">
        <v>2155</v>
      </c>
      <c r="G3068" s="286" t="s">
        <v>1089</v>
      </c>
      <c r="H3068" s="286" t="s">
        <v>1089</v>
      </c>
      <c r="I3068" s="286" t="s">
        <v>1228</v>
      </c>
      <c r="J3068" s="286" t="s">
        <v>1312</v>
      </c>
      <c r="K3068" s="286" t="s">
        <v>2229</v>
      </c>
      <c r="L3068" s="286" t="s">
        <v>53</v>
      </c>
      <c r="M3068" s="286">
        <v>0</v>
      </c>
      <c r="N3068" s="287">
        <v>-9854.4500000000007</v>
      </c>
      <c r="O3068" s="294">
        <f t="shared" si="47"/>
        <v>45412</v>
      </c>
      <c r="P3068" s="286" t="s">
        <v>58</v>
      </c>
    </row>
    <row r="3069" spans="1:16" hidden="1" x14ac:dyDescent="0.15">
      <c r="A3069" s="286">
        <v>614216</v>
      </c>
      <c r="B3069" s="288">
        <v>45455.716666666667</v>
      </c>
      <c r="C3069" s="286" t="s">
        <v>2116</v>
      </c>
      <c r="D3069" s="286" t="s">
        <v>1105</v>
      </c>
      <c r="E3069" s="286" t="s">
        <v>1106</v>
      </c>
      <c r="F3069" s="286" t="s">
        <v>2156</v>
      </c>
      <c r="G3069" s="286" t="s">
        <v>1089</v>
      </c>
      <c r="H3069" s="286" t="s">
        <v>1089</v>
      </c>
      <c r="I3069" s="286" t="s">
        <v>1228</v>
      </c>
      <c r="J3069" s="286" t="s">
        <v>1312</v>
      </c>
      <c r="K3069" s="286" t="s">
        <v>2229</v>
      </c>
      <c r="L3069" s="286" t="s">
        <v>53</v>
      </c>
      <c r="M3069" s="286">
        <v>0</v>
      </c>
      <c r="N3069" s="287">
        <v>-9854.4500000000007</v>
      </c>
      <c r="O3069" s="294">
        <f t="shared" si="47"/>
        <v>45473</v>
      </c>
      <c r="P3069" s="286" t="s">
        <v>58</v>
      </c>
    </row>
    <row r="3070" spans="1:16" hidden="1" x14ac:dyDescent="0.15">
      <c r="A3070" s="286">
        <v>614316</v>
      </c>
      <c r="B3070" s="288">
        <v>45455.717361111114</v>
      </c>
      <c r="C3070" s="286" t="s">
        <v>2092</v>
      </c>
      <c r="D3070" s="286" t="s">
        <v>1105</v>
      </c>
      <c r="E3070" s="286" t="s">
        <v>1106</v>
      </c>
      <c r="F3070" s="286" t="s">
        <v>2167</v>
      </c>
      <c r="G3070" s="286" t="s">
        <v>1089</v>
      </c>
      <c r="H3070" s="286" t="s">
        <v>1089</v>
      </c>
      <c r="I3070" s="286" t="s">
        <v>1228</v>
      </c>
      <c r="J3070" s="286" t="s">
        <v>1312</v>
      </c>
      <c r="K3070" s="286" t="s">
        <v>2229</v>
      </c>
      <c r="L3070" s="286" t="s">
        <v>53</v>
      </c>
      <c r="M3070" s="286">
        <v>0</v>
      </c>
      <c r="N3070" s="287">
        <v>-9854.4500000000007</v>
      </c>
      <c r="O3070" s="294">
        <f t="shared" si="47"/>
        <v>45473</v>
      </c>
      <c r="P3070" s="286" t="s">
        <v>58</v>
      </c>
    </row>
    <row r="3071" spans="1:16" hidden="1" x14ac:dyDescent="0.15">
      <c r="A3071" s="286">
        <v>646075</v>
      </c>
      <c r="B3071" s="288">
        <v>45474.519444444442</v>
      </c>
      <c r="C3071" s="286" t="s">
        <v>2111</v>
      </c>
      <c r="D3071" s="286" t="s">
        <v>1105</v>
      </c>
      <c r="E3071" s="286" t="s">
        <v>1106</v>
      </c>
      <c r="F3071" s="286" t="s">
        <v>2137</v>
      </c>
      <c r="G3071" s="286" t="s">
        <v>1089</v>
      </c>
      <c r="H3071" s="286" t="s">
        <v>1089</v>
      </c>
      <c r="I3071" s="286" t="s">
        <v>1228</v>
      </c>
      <c r="J3071" s="286" t="s">
        <v>1312</v>
      </c>
      <c r="K3071" s="286" t="s">
        <v>2229</v>
      </c>
      <c r="L3071" s="286" t="s">
        <v>53</v>
      </c>
      <c r="M3071" s="286">
        <v>0</v>
      </c>
      <c r="N3071" s="287">
        <v>-9854.4500000000007</v>
      </c>
      <c r="O3071" s="294">
        <f t="shared" si="47"/>
        <v>45504</v>
      </c>
      <c r="P3071" s="286" t="s">
        <v>58</v>
      </c>
    </row>
    <row r="3072" spans="1:16" hidden="1" x14ac:dyDescent="0.15">
      <c r="A3072" s="286">
        <v>697810</v>
      </c>
      <c r="B3072" s="288">
        <v>45510.366666666669</v>
      </c>
      <c r="C3072" s="286" t="s">
        <v>2102</v>
      </c>
      <c r="D3072" s="286" t="s">
        <v>1105</v>
      </c>
      <c r="E3072" s="286" t="s">
        <v>1106</v>
      </c>
      <c r="F3072" s="286" t="s">
        <v>2138</v>
      </c>
      <c r="G3072" s="286" t="s">
        <v>1089</v>
      </c>
      <c r="H3072" s="286" t="s">
        <v>1089</v>
      </c>
      <c r="I3072" s="286" t="s">
        <v>1228</v>
      </c>
      <c r="J3072" s="286" t="s">
        <v>1312</v>
      </c>
      <c r="K3072" s="286" t="s">
        <v>2229</v>
      </c>
      <c r="L3072" s="286" t="s">
        <v>53</v>
      </c>
      <c r="M3072" s="286">
        <v>0</v>
      </c>
      <c r="N3072" s="287">
        <v>-9854.4500000000007</v>
      </c>
      <c r="O3072" s="294">
        <f t="shared" si="47"/>
        <v>45535</v>
      </c>
      <c r="P3072" s="286" t="s">
        <v>58</v>
      </c>
    </row>
    <row r="3073" spans="1:16" hidden="1" x14ac:dyDescent="0.15">
      <c r="A3073" s="286">
        <v>745911</v>
      </c>
      <c r="B3073" s="288">
        <v>45538.44027777778</v>
      </c>
      <c r="C3073" s="286" t="s">
        <v>2132</v>
      </c>
      <c r="D3073" s="286" t="s">
        <v>1105</v>
      </c>
      <c r="E3073" s="286" t="s">
        <v>1106</v>
      </c>
      <c r="F3073" s="286" t="s">
        <v>2139</v>
      </c>
      <c r="G3073" s="286" t="s">
        <v>1089</v>
      </c>
      <c r="H3073" s="286" t="s">
        <v>1089</v>
      </c>
      <c r="I3073" s="286" t="s">
        <v>1228</v>
      </c>
      <c r="J3073" s="286" t="s">
        <v>1312</v>
      </c>
      <c r="K3073" s="286" t="s">
        <v>2229</v>
      </c>
      <c r="L3073" s="286" t="s">
        <v>53</v>
      </c>
      <c r="M3073" s="286">
        <v>0</v>
      </c>
      <c r="N3073" s="287">
        <v>-9854.4500000000007</v>
      </c>
      <c r="O3073" s="294">
        <f t="shared" si="47"/>
        <v>45565</v>
      </c>
      <c r="P3073" s="286" t="s">
        <v>58</v>
      </c>
    </row>
    <row r="3074" spans="1:16" hidden="1" x14ac:dyDescent="0.15">
      <c r="A3074" s="286">
        <v>848817</v>
      </c>
      <c r="B3074" s="288">
        <v>45607.65902777778</v>
      </c>
      <c r="C3074" s="286" t="s">
        <v>2130</v>
      </c>
      <c r="D3074" s="286" t="s">
        <v>1105</v>
      </c>
      <c r="E3074" s="286" t="s">
        <v>1106</v>
      </c>
      <c r="F3074" s="286" t="s">
        <v>2140</v>
      </c>
      <c r="G3074" s="286" t="s">
        <v>1089</v>
      </c>
      <c r="H3074" s="286" t="s">
        <v>1089</v>
      </c>
      <c r="I3074" s="286" t="s">
        <v>1228</v>
      </c>
      <c r="J3074" s="286" t="s">
        <v>1312</v>
      </c>
      <c r="K3074" s="286" t="s">
        <v>2229</v>
      </c>
      <c r="L3074" s="286" t="s">
        <v>53</v>
      </c>
      <c r="M3074" s="286">
        <v>0</v>
      </c>
      <c r="N3074" s="287">
        <v>-9854.4500000000007</v>
      </c>
      <c r="O3074" s="294">
        <f t="shared" si="47"/>
        <v>45626</v>
      </c>
      <c r="P3074" s="286" t="s">
        <v>58</v>
      </c>
    </row>
    <row r="3075" spans="1:16" hidden="1" x14ac:dyDescent="0.15">
      <c r="A3075" s="286">
        <v>848917</v>
      </c>
      <c r="B3075" s="288">
        <v>45607.660416666666</v>
      </c>
      <c r="C3075" s="286" t="s">
        <v>2100</v>
      </c>
      <c r="D3075" s="286" t="s">
        <v>1105</v>
      </c>
      <c r="E3075" s="286" t="s">
        <v>1106</v>
      </c>
      <c r="F3075" s="286" t="s">
        <v>2141</v>
      </c>
      <c r="G3075" s="286" t="s">
        <v>1089</v>
      </c>
      <c r="H3075" s="286" t="s">
        <v>1089</v>
      </c>
      <c r="I3075" s="286" t="s">
        <v>1228</v>
      </c>
      <c r="J3075" s="286" t="s">
        <v>1312</v>
      </c>
      <c r="K3075" s="286" t="s">
        <v>2229</v>
      </c>
      <c r="L3075" s="286" t="s">
        <v>53</v>
      </c>
      <c r="M3075" s="286">
        <v>0</v>
      </c>
      <c r="N3075" s="287">
        <v>-9854.4500000000007</v>
      </c>
      <c r="O3075" s="294">
        <f t="shared" si="47"/>
        <v>45626</v>
      </c>
      <c r="P3075" s="286" t="s">
        <v>58</v>
      </c>
    </row>
    <row r="3076" spans="1:16" hidden="1" x14ac:dyDescent="0.15">
      <c r="A3076" s="286">
        <v>874698</v>
      </c>
      <c r="B3076" s="288">
        <v>45628.357638888891</v>
      </c>
      <c r="C3076" s="286" t="s">
        <v>2098</v>
      </c>
      <c r="D3076" s="286" t="s">
        <v>1105</v>
      </c>
      <c r="E3076" s="286" t="s">
        <v>1106</v>
      </c>
      <c r="F3076" s="286" t="s">
        <v>2142</v>
      </c>
      <c r="G3076" s="286" t="s">
        <v>1089</v>
      </c>
      <c r="H3076" s="286" t="s">
        <v>1089</v>
      </c>
      <c r="I3076" s="286" t="s">
        <v>1228</v>
      </c>
      <c r="J3076" s="286" t="s">
        <v>1312</v>
      </c>
      <c r="K3076" s="286" t="s">
        <v>2229</v>
      </c>
      <c r="L3076" s="286" t="s">
        <v>53</v>
      </c>
      <c r="M3076" s="286">
        <v>0</v>
      </c>
      <c r="N3076" s="287">
        <v>-9854.4500000000007</v>
      </c>
      <c r="O3076" s="294">
        <f t="shared" ref="O3076:O3139" si="48">EOMONTH(B3076,0)</f>
        <v>45657</v>
      </c>
      <c r="P3076" s="286" t="s">
        <v>58</v>
      </c>
    </row>
    <row r="3077" spans="1:16" hidden="1" x14ac:dyDescent="0.15">
      <c r="A3077" s="286">
        <v>901252</v>
      </c>
      <c r="B3077" s="288">
        <v>45646.472222222219</v>
      </c>
      <c r="C3077" s="286" t="s">
        <v>2098</v>
      </c>
      <c r="D3077" s="286" t="s">
        <v>1105</v>
      </c>
      <c r="E3077" s="286" t="s">
        <v>1106</v>
      </c>
      <c r="F3077" s="286" t="s">
        <v>2129</v>
      </c>
      <c r="G3077" s="286" t="s">
        <v>1052</v>
      </c>
      <c r="H3077" s="286" t="s">
        <v>1052</v>
      </c>
      <c r="I3077" s="286" t="s">
        <v>1230</v>
      </c>
      <c r="J3077" s="286" t="s">
        <v>1312</v>
      </c>
      <c r="K3077" s="286" t="s">
        <v>2077</v>
      </c>
      <c r="L3077" s="286" t="s">
        <v>53</v>
      </c>
      <c r="M3077" s="286">
        <v>1</v>
      </c>
      <c r="N3077" s="287">
        <v>-9957</v>
      </c>
      <c r="O3077" s="294">
        <f t="shared" si="48"/>
        <v>45657</v>
      </c>
      <c r="P3077" s="286" t="s">
        <v>175</v>
      </c>
    </row>
    <row r="3078" spans="1:16" hidden="1" x14ac:dyDescent="0.15">
      <c r="A3078" s="286">
        <v>848817</v>
      </c>
      <c r="B3078" s="288">
        <v>45607.65902777778</v>
      </c>
      <c r="C3078" s="286" t="s">
        <v>2130</v>
      </c>
      <c r="D3078" s="286" t="s">
        <v>1105</v>
      </c>
      <c r="E3078" s="286" t="s">
        <v>1106</v>
      </c>
      <c r="F3078" s="286" t="s">
        <v>2140</v>
      </c>
      <c r="G3078" s="286" t="s">
        <v>1042</v>
      </c>
      <c r="H3078" s="286" t="s">
        <v>1042</v>
      </c>
      <c r="I3078" s="286" t="s">
        <v>1228</v>
      </c>
      <c r="J3078" s="286" t="s">
        <v>1312</v>
      </c>
      <c r="K3078" s="286" t="s">
        <v>2076</v>
      </c>
      <c r="L3078" s="286" t="s">
        <v>53</v>
      </c>
      <c r="M3078" s="286">
        <v>1</v>
      </c>
      <c r="N3078" s="287">
        <v>-10013.11</v>
      </c>
      <c r="O3078" s="294">
        <f t="shared" si="48"/>
        <v>45626</v>
      </c>
      <c r="P3078" s="286" t="s">
        <v>58</v>
      </c>
    </row>
    <row r="3079" spans="1:16" hidden="1" x14ac:dyDescent="0.15">
      <c r="A3079" s="286">
        <v>593169</v>
      </c>
      <c r="B3079" s="288">
        <v>45440.542361111111</v>
      </c>
      <c r="C3079" s="286" t="s">
        <v>2116</v>
      </c>
      <c r="D3079" s="286" t="s">
        <v>1105</v>
      </c>
      <c r="E3079" s="286" t="s">
        <v>1106</v>
      </c>
      <c r="F3079" s="286" t="s">
        <v>2567</v>
      </c>
      <c r="G3079" s="286" t="s">
        <v>1016</v>
      </c>
      <c r="H3079" s="286" t="s">
        <v>1016</v>
      </c>
      <c r="I3079" s="286" t="s">
        <v>1112</v>
      </c>
      <c r="J3079" s="286" t="s">
        <v>1312</v>
      </c>
      <c r="K3079" s="286" t="s">
        <v>53</v>
      </c>
      <c r="L3079" s="286" t="s">
        <v>53</v>
      </c>
      <c r="M3079" s="286" t="s">
        <v>53</v>
      </c>
      <c r="N3079" s="287">
        <v>-10052</v>
      </c>
      <c r="O3079" s="294">
        <f t="shared" si="48"/>
        <v>45443</v>
      </c>
      <c r="P3079" s="286" t="s">
        <v>175</v>
      </c>
    </row>
    <row r="3080" spans="1:16" hidden="1" x14ac:dyDescent="0.15">
      <c r="A3080" s="286">
        <v>807477</v>
      </c>
      <c r="B3080" s="288">
        <v>45579.522222222222</v>
      </c>
      <c r="C3080" s="286" t="s">
        <v>2132</v>
      </c>
      <c r="D3080" s="286" t="s">
        <v>1105</v>
      </c>
      <c r="E3080" s="286" t="s">
        <v>1106</v>
      </c>
      <c r="F3080" s="286" t="s">
        <v>2133</v>
      </c>
      <c r="G3080" s="286" t="s">
        <v>1076</v>
      </c>
      <c r="H3080" s="286" t="s">
        <v>1076</v>
      </c>
      <c r="I3080" s="286" t="s">
        <v>1128</v>
      </c>
      <c r="J3080" s="286" t="s">
        <v>1312</v>
      </c>
      <c r="K3080" s="286" t="s">
        <v>2568</v>
      </c>
      <c r="L3080" s="286" t="s">
        <v>2525</v>
      </c>
      <c r="M3080" s="286">
        <v>1</v>
      </c>
      <c r="N3080" s="287">
        <v>-10110</v>
      </c>
      <c r="O3080" s="294">
        <f t="shared" si="48"/>
        <v>45596</v>
      </c>
      <c r="P3080" s="286" t="s">
        <v>47</v>
      </c>
    </row>
    <row r="3081" spans="1:16" hidden="1" x14ac:dyDescent="0.15">
      <c r="A3081" s="286">
        <v>614717</v>
      </c>
      <c r="B3081" s="288">
        <v>45455.742361111108</v>
      </c>
      <c r="C3081" s="286" t="s">
        <v>2116</v>
      </c>
      <c r="D3081" s="286" t="s">
        <v>1105</v>
      </c>
      <c r="E3081" s="286" t="s">
        <v>1106</v>
      </c>
      <c r="F3081" s="286" t="s">
        <v>2253</v>
      </c>
      <c r="G3081" s="286" t="s">
        <v>1016</v>
      </c>
      <c r="H3081" s="286" t="s">
        <v>1016</v>
      </c>
      <c r="I3081" s="286" t="s">
        <v>1199</v>
      </c>
      <c r="J3081" s="286" t="s">
        <v>1312</v>
      </c>
      <c r="K3081" s="286" t="s">
        <v>53</v>
      </c>
      <c r="L3081" s="286" t="s">
        <v>53</v>
      </c>
      <c r="M3081" s="286" t="s">
        <v>53</v>
      </c>
      <c r="N3081" s="287">
        <v>-10330.879999999999</v>
      </c>
      <c r="O3081" s="294">
        <f t="shared" si="48"/>
        <v>45473</v>
      </c>
      <c r="P3081" s="286" t="s">
        <v>58</v>
      </c>
    </row>
    <row r="3082" spans="1:16" hidden="1" x14ac:dyDescent="0.15">
      <c r="A3082" s="286">
        <v>659934</v>
      </c>
      <c r="B3082" s="288">
        <v>45484.525694444441</v>
      </c>
      <c r="C3082" s="286" t="s">
        <v>2092</v>
      </c>
      <c r="D3082" s="286" t="s">
        <v>1105</v>
      </c>
      <c r="E3082" s="286" t="s">
        <v>1106</v>
      </c>
      <c r="F3082" s="286" t="s">
        <v>2254</v>
      </c>
      <c r="G3082" s="286" t="s">
        <v>1016</v>
      </c>
      <c r="H3082" s="286" t="s">
        <v>1016</v>
      </c>
      <c r="I3082" s="286" t="s">
        <v>1199</v>
      </c>
      <c r="J3082" s="286" t="s">
        <v>1312</v>
      </c>
      <c r="K3082" s="286" t="s">
        <v>53</v>
      </c>
      <c r="L3082" s="286" t="s">
        <v>53</v>
      </c>
      <c r="M3082" s="286" t="s">
        <v>53</v>
      </c>
      <c r="N3082" s="287">
        <v>-10330.879999999999</v>
      </c>
      <c r="O3082" s="294">
        <f t="shared" si="48"/>
        <v>45504</v>
      </c>
      <c r="P3082" s="286" t="s">
        <v>58</v>
      </c>
    </row>
    <row r="3083" spans="1:16" hidden="1" x14ac:dyDescent="0.15">
      <c r="A3083" s="286">
        <v>712645</v>
      </c>
      <c r="B3083" s="288">
        <v>45517.640972222223</v>
      </c>
      <c r="C3083" s="286" t="s">
        <v>2111</v>
      </c>
      <c r="D3083" s="286" t="s">
        <v>1105</v>
      </c>
      <c r="E3083" s="286" t="s">
        <v>1106</v>
      </c>
      <c r="F3083" s="286" t="s">
        <v>2160</v>
      </c>
      <c r="G3083" s="286" t="s">
        <v>1016</v>
      </c>
      <c r="H3083" s="286" t="s">
        <v>1016</v>
      </c>
      <c r="I3083" s="286" t="s">
        <v>1199</v>
      </c>
      <c r="J3083" s="286" t="s">
        <v>1312</v>
      </c>
      <c r="K3083" s="286" t="s">
        <v>53</v>
      </c>
      <c r="L3083" s="286" t="s">
        <v>53</v>
      </c>
      <c r="M3083" s="286" t="s">
        <v>53</v>
      </c>
      <c r="N3083" s="287">
        <v>-10330.879999999999</v>
      </c>
      <c r="O3083" s="294">
        <f t="shared" si="48"/>
        <v>45535</v>
      </c>
      <c r="P3083" s="286" t="s">
        <v>58</v>
      </c>
    </row>
    <row r="3084" spans="1:16" hidden="1" x14ac:dyDescent="0.15">
      <c r="A3084" s="286">
        <v>741366</v>
      </c>
      <c r="B3084" s="288">
        <v>45532.655555555553</v>
      </c>
      <c r="C3084" s="286" t="s">
        <v>2102</v>
      </c>
      <c r="D3084" s="286" t="s">
        <v>1105</v>
      </c>
      <c r="E3084" s="286" t="s">
        <v>1106</v>
      </c>
      <c r="F3084" s="286" t="s">
        <v>2161</v>
      </c>
      <c r="G3084" s="286" t="s">
        <v>1016</v>
      </c>
      <c r="H3084" s="286" t="s">
        <v>1016</v>
      </c>
      <c r="I3084" s="286" t="s">
        <v>1199</v>
      </c>
      <c r="J3084" s="286" t="s">
        <v>1312</v>
      </c>
      <c r="K3084" s="286" t="s">
        <v>53</v>
      </c>
      <c r="L3084" s="286" t="s">
        <v>53</v>
      </c>
      <c r="M3084" s="286" t="s">
        <v>53</v>
      </c>
      <c r="N3084" s="287">
        <v>-10330.879999999999</v>
      </c>
      <c r="O3084" s="294">
        <f t="shared" si="48"/>
        <v>45535</v>
      </c>
      <c r="P3084" s="286" t="s">
        <v>58</v>
      </c>
    </row>
    <row r="3085" spans="1:16" hidden="1" x14ac:dyDescent="0.15">
      <c r="A3085" s="286">
        <v>504817</v>
      </c>
      <c r="B3085" s="288">
        <v>45359.645138888889</v>
      </c>
      <c r="C3085" s="286" t="s">
        <v>2109</v>
      </c>
      <c r="D3085" s="286" t="s">
        <v>1105</v>
      </c>
      <c r="E3085" s="286" t="s">
        <v>1106</v>
      </c>
      <c r="F3085" s="286" t="s">
        <v>2154</v>
      </c>
      <c r="G3085" s="286" t="s">
        <v>1089</v>
      </c>
      <c r="H3085" s="286" t="s">
        <v>1089</v>
      </c>
      <c r="I3085" s="286" t="s">
        <v>1228</v>
      </c>
      <c r="J3085" s="286" t="s">
        <v>1312</v>
      </c>
      <c r="K3085" s="286" t="s">
        <v>2076</v>
      </c>
      <c r="L3085" s="286" t="s">
        <v>53</v>
      </c>
      <c r="M3085" s="286">
        <v>1</v>
      </c>
      <c r="N3085" s="287">
        <v>-10644.45</v>
      </c>
      <c r="O3085" s="294">
        <f t="shared" si="48"/>
        <v>45382</v>
      </c>
      <c r="P3085" s="286" t="s">
        <v>58</v>
      </c>
    </row>
    <row r="3086" spans="1:16" hidden="1" x14ac:dyDescent="0.15">
      <c r="A3086" s="286">
        <v>534207</v>
      </c>
      <c r="B3086" s="288">
        <v>45385.750694444447</v>
      </c>
      <c r="C3086" s="286" t="s">
        <v>2096</v>
      </c>
      <c r="D3086" s="286" t="s">
        <v>1105</v>
      </c>
      <c r="E3086" s="286" t="s">
        <v>1106</v>
      </c>
      <c r="F3086" s="286" t="s">
        <v>2155</v>
      </c>
      <c r="G3086" s="286" t="s">
        <v>1089</v>
      </c>
      <c r="H3086" s="286" t="s">
        <v>1089</v>
      </c>
      <c r="I3086" s="286" t="s">
        <v>1228</v>
      </c>
      <c r="J3086" s="286" t="s">
        <v>1312</v>
      </c>
      <c r="K3086" s="286" t="s">
        <v>2076</v>
      </c>
      <c r="L3086" s="286" t="s">
        <v>53</v>
      </c>
      <c r="M3086" s="286">
        <v>1</v>
      </c>
      <c r="N3086" s="287">
        <v>-10644.45</v>
      </c>
      <c r="O3086" s="294">
        <f t="shared" si="48"/>
        <v>45412</v>
      </c>
      <c r="P3086" s="286" t="s">
        <v>58</v>
      </c>
    </row>
    <row r="3087" spans="1:16" hidden="1" x14ac:dyDescent="0.15">
      <c r="A3087" s="286">
        <v>614216</v>
      </c>
      <c r="B3087" s="288">
        <v>45455.716666666667</v>
      </c>
      <c r="C3087" s="286" t="s">
        <v>2116</v>
      </c>
      <c r="D3087" s="286" t="s">
        <v>1105</v>
      </c>
      <c r="E3087" s="286" t="s">
        <v>1106</v>
      </c>
      <c r="F3087" s="286" t="s">
        <v>2156</v>
      </c>
      <c r="G3087" s="286" t="s">
        <v>1089</v>
      </c>
      <c r="H3087" s="286" t="s">
        <v>1089</v>
      </c>
      <c r="I3087" s="286" t="s">
        <v>1228</v>
      </c>
      <c r="J3087" s="286" t="s">
        <v>1312</v>
      </c>
      <c r="K3087" s="286" t="s">
        <v>2076</v>
      </c>
      <c r="L3087" s="286" t="s">
        <v>53</v>
      </c>
      <c r="M3087" s="286">
        <v>1</v>
      </c>
      <c r="N3087" s="287">
        <v>-10644.45</v>
      </c>
      <c r="O3087" s="294">
        <f t="shared" si="48"/>
        <v>45473</v>
      </c>
      <c r="P3087" s="286" t="s">
        <v>58</v>
      </c>
    </row>
    <row r="3088" spans="1:16" hidden="1" x14ac:dyDescent="0.15">
      <c r="A3088" s="286">
        <v>614316</v>
      </c>
      <c r="B3088" s="288">
        <v>45455.717361111114</v>
      </c>
      <c r="C3088" s="286" t="s">
        <v>2092</v>
      </c>
      <c r="D3088" s="286" t="s">
        <v>1105</v>
      </c>
      <c r="E3088" s="286" t="s">
        <v>1106</v>
      </c>
      <c r="F3088" s="286" t="s">
        <v>2167</v>
      </c>
      <c r="G3088" s="286" t="s">
        <v>1089</v>
      </c>
      <c r="H3088" s="286" t="s">
        <v>1089</v>
      </c>
      <c r="I3088" s="286" t="s">
        <v>1228</v>
      </c>
      <c r="J3088" s="286" t="s">
        <v>1312</v>
      </c>
      <c r="K3088" s="286" t="s">
        <v>2076</v>
      </c>
      <c r="L3088" s="286" t="s">
        <v>53</v>
      </c>
      <c r="M3088" s="286">
        <v>1</v>
      </c>
      <c r="N3088" s="287">
        <v>-10644.45</v>
      </c>
      <c r="O3088" s="294">
        <f t="shared" si="48"/>
        <v>45473</v>
      </c>
      <c r="P3088" s="286" t="s">
        <v>58</v>
      </c>
    </row>
    <row r="3089" spans="1:16" hidden="1" x14ac:dyDescent="0.15">
      <c r="A3089" s="286">
        <v>646075</v>
      </c>
      <c r="B3089" s="288">
        <v>45474.519444444442</v>
      </c>
      <c r="C3089" s="286" t="s">
        <v>2111</v>
      </c>
      <c r="D3089" s="286" t="s">
        <v>1105</v>
      </c>
      <c r="E3089" s="286" t="s">
        <v>1106</v>
      </c>
      <c r="F3089" s="286" t="s">
        <v>2137</v>
      </c>
      <c r="G3089" s="286" t="s">
        <v>1089</v>
      </c>
      <c r="H3089" s="286" t="s">
        <v>1089</v>
      </c>
      <c r="I3089" s="286" t="s">
        <v>1228</v>
      </c>
      <c r="J3089" s="286" t="s">
        <v>1312</v>
      </c>
      <c r="K3089" s="286" t="s">
        <v>2076</v>
      </c>
      <c r="L3089" s="286" t="s">
        <v>53</v>
      </c>
      <c r="M3089" s="286">
        <v>1</v>
      </c>
      <c r="N3089" s="287">
        <v>-10644.45</v>
      </c>
      <c r="O3089" s="294">
        <f t="shared" si="48"/>
        <v>45504</v>
      </c>
      <c r="P3089" s="286" t="s">
        <v>58</v>
      </c>
    </row>
    <row r="3090" spans="1:16" hidden="1" x14ac:dyDescent="0.15">
      <c r="A3090" s="286">
        <v>697810</v>
      </c>
      <c r="B3090" s="288">
        <v>45510.366666666669</v>
      </c>
      <c r="C3090" s="286" t="s">
        <v>2102</v>
      </c>
      <c r="D3090" s="286" t="s">
        <v>1105</v>
      </c>
      <c r="E3090" s="286" t="s">
        <v>1106</v>
      </c>
      <c r="F3090" s="286" t="s">
        <v>2138</v>
      </c>
      <c r="G3090" s="286" t="s">
        <v>1089</v>
      </c>
      <c r="H3090" s="286" t="s">
        <v>1089</v>
      </c>
      <c r="I3090" s="286" t="s">
        <v>1228</v>
      </c>
      <c r="J3090" s="286" t="s">
        <v>1312</v>
      </c>
      <c r="K3090" s="286" t="s">
        <v>2076</v>
      </c>
      <c r="L3090" s="286" t="s">
        <v>53</v>
      </c>
      <c r="M3090" s="286">
        <v>1</v>
      </c>
      <c r="N3090" s="287">
        <v>-10644.45</v>
      </c>
      <c r="O3090" s="294">
        <f t="shared" si="48"/>
        <v>45535</v>
      </c>
      <c r="P3090" s="286" t="s">
        <v>58</v>
      </c>
    </row>
    <row r="3091" spans="1:16" hidden="1" x14ac:dyDescent="0.15">
      <c r="A3091" s="286">
        <v>745911</v>
      </c>
      <c r="B3091" s="288">
        <v>45538.44027777778</v>
      </c>
      <c r="C3091" s="286" t="s">
        <v>2132</v>
      </c>
      <c r="D3091" s="286" t="s">
        <v>1105</v>
      </c>
      <c r="E3091" s="286" t="s">
        <v>1106</v>
      </c>
      <c r="F3091" s="286" t="s">
        <v>2139</v>
      </c>
      <c r="G3091" s="286" t="s">
        <v>1089</v>
      </c>
      <c r="H3091" s="286" t="s">
        <v>1089</v>
      </c>
      <c r="I3091" s="286" t="s">
        <v>1228</v>
      </c>
      <c r="J3091" s="286" t="s">
        <v>1312</v>
      </c>
      <c r="K3091" s="286" t="s">
        <v>2076</v>
      </c>
      <c r="L3091" s="286" t="s">
        <v>53</v>
      </c>
      <c r="M3091" s="286">
        <v>1</v>
      </c>
      <c r="N3091" s="287">
        <v>-10644.45</v>
      </c>
      <c r="O3091" s="294">
        <f t="shared" si="48"/>
        <v>45565</v>
      </c>
      <c r="P3091" s="286" t="s">
        <v>58</v>
      </c>
    </row>
    <row r="3092" spans="1:16" hidden="1" x14ac:dyDescent="0.15">
      <c r="A3092" s="286">
        <v>848817</v>
      </c>
      <c r="B3092" s="288">
        <v>45607.65902777778</v>
      </c>
      <c r="C3092" s="286" t="s">
        <v>2130</v>
      </c>
      <c r="D3092" s="286" t="s">
        <v>1105</v>
      </c>
      <c r="E3092" s="286" t="s">
        <v>1106</v>
      </c>
      <c r="F3092" s="286" t="s">
        <v>2140</v>
      </c>
      <c r="G3092" s="286" t="s">
        <v>1089</v>
      </c>
      <c r="H3092" s="286" t="s">
        <v>1089</v>
      </c>
      <c r="I3092" s="286" t="s">
        <v>1228</v>
      </c>
      <c r="J3092" s="286" t="s">
        <v>1312</v>
      </c>
      <c r="K3092" s="286" t="s">
        <v>2076</v>
      </c>
      <c r="L3092" s="286" t="s">
        <v>53</v>
      </c>
      <c r="M3092" s="286">
        <v>1</v>
      </c>
      <c r="N3092" s="287">
        <v>-10644.45</v>
      </c>
      <c r="O3092" s="294">
        <f t="shared" si="48"/>
        <v>45626</v>
      </c>
      <c r="P3092" s="286" t="s">
        <v>58</v>
      </c>
    </row>
    <row r="3093" spans="1:16" hidden="1" x14ac:dyDescent="0.15">
      <c r="A3093" s="286">
        <v>848917</v>
      </c>
      <c r="B3093" s="288">
        <v>45607.660416666666</v>
      </c>
      <c r="C3093" s="286" t="s">
        <v>2100</v>
      </c>
      <c r="D3093" s="286" t="s">
        <v>1105</v>
      </c>
      <c r="E3093" s="286" t="s">
        <v>1106</v>
      </c>
      <c r="F3093" s="286" t="s">
        <v>2141</v>
      </c>
      <c r="G3093" s="286" t="s">
        <v>1089</v>
      </c>
      <c r="H3093" s="286" t="s">
        <v>1089</v>
      </c>
      <c r="I3093" s="286" t="s">
        <v>1228</v>
      </c>
      <c r="J3093" s="286" t="s">
        <v>1312</v>
      </c>
      <c r="K3093" s="286" t="s">
        <v>2076</v>
      </c>
      <c r="L3093" s="286" t="s">
        <v>53</v>
      </c>
      <c r="M3093" s="286">
        <v>1</v>
      </c>
      <c r="N3093" s="287">
        <v>-10644.45</v>
      </c>
      <c r="O3093" s="294">
        <f t="shared" si="48"/>
        <v>45626</v>
      </c>
      <c r="P3093" s="286" t="s">
        <v>58</v>
      </c>
    </row>
    <row r="3094" spans="1:16" hidden="1" x14ac:dyDescent="0.15">
      <c r="A3094" s="286">
        <v>874698</v>
      </c>
      <c r="B3094" s="288">
        <v>45628.357638888891</v>
      </c>
      <c r="C3094" s="286" t="s">
        <v>2098</v>
      </c>
      <c r="D3094" s="286" t="s">
        <v>1105</v>
      </c>
      <c r="E3094" s="286" t="s">
        <v>1106</v>
      </c>
      <c r="F3094" s="286" t="s">
        <v>2142</v>
      </c>
      <c r="G3094" s="286" t="s">
        <v>1089</v>
      </c>
      <c r="H3094" s="286" t="s">
        <v>1089</v>
      </c>
      <c r="I3094" s="286" t="s">
        <v>1228</v>
      </c>
      <c r="J3094" s="286" t="s">
        <v>1312</v>
      </c>
      <c r="K3094" s="286" t="s">
        <v>2076</v>
      </c>
      <c r="L3094" s="286" t="s">
        <v>53</v>
      </c>
      <c r="M3094" s="286">
        <v>1</v>
      </c>
      <c r="N3094" s="287">
        <v>-10644.45</v>
      </c>
      <c r="O3094" s="294">
        <f t="shared" si="48"/>
        <v>45657</v>
      </c>
      <c r="P3094" s="286" t="s">
        <v>58</v>
      </c>
    </row>
    <row r="3095" spans="1:16" hidden="1" x14ac:dyDescent="0.15">
      <c r="A3095" s="286">
        <v>848917</v>
      </c>
      <c r="B3095" s="288">
        <v>45607.660416666666</v>
      </c>
      <c r="C3095" s="286" t="s">
        <v>2100</v>
      </c>
      <c r="D3095" s="286" t="s">
        <v>1105</v>
      </c>
      <c r="E3095" s="286" t="s">
        <v>1106</v>
      </c>
      <c r="F3095" s="286" t="s">
        <v>2141</v>
      </c>
      <c r="G3095" s="286" t="s">
        <v>1042</v>
      </c>
      <c r="H3095" s="286" t="s">
        <v>1042</v>
      </c>
      <c r="I3095" s="286" t="s">
        <v>1228</v>
      </c>
      <c r="J3095" s="286" t="s">
        <v>1312</v>
      </c>
      <c r="K3095" s="286" t="s">
        <v>2076</v>
      </c>
      <c r="L3095" s="286" t="s">
        <v>53</v>
      </c>
      <c r="M3095" s="286">
        <v>1</v>
      </c>
      <c r="N3095" s="287">
        <v>-10858.37</v>
      </c>
      <c r="O3095" s="294">
        <f t="shared" si="48"/>
        <v>45626</v>
      </c>
      <c r="P3095" s="286" t="s">
        <v>58</v>
      </c>
    </row>
    <row r="3096" spans="1:16" hidden="1" x14ac:dyDescent="0.15">
      <c r="A3096" s="286">
        <v>874698</v>
      </c>
      <c r="B3096" s="288">
        <v>45628.357638888891</v>
      </c>
      <c r="C3096" s="286" t="s">
        <v>2098</v>
      </c>
      <c r="D3096" s="286" t="s">
        <v>1105</v>
      </c>
      <c r="E3096" s="286" t="s">
        <v>1106</v>
      </c>
      <c r="F3096" s="286" t="s">
        <v>2142</v>
      </c>
      <c r="G3096" s="286" t="s">
        <v>1042</v>
      </c>
      <c r="H3096" s="286" t="s">
        <v>1042</v>
      </c>
      <c r="I3096" s="286" t="s">
        <v>1228</v>
      </c>
      <c r="J3096" s="286" t="s">
        <v>1312</v>
      </c>
      <c r="K3096" s="286" t="s">
        <v>2076</v>
      </c>
      <c r="L3096" s="286" t="s">
        <v>53</v>
      </c>
      <c r="M3096" s="286">
        <v>1</v>
      </c>
      <c r="N3096" s="287">
        <v>-10858.37</v>
      </c>
      <c r="O3096" s="294">
        <f t="shared" si="48"/>
        <v>45657</v>
      </c>
      <c r="P3096" s="286" t="s">
        <v>58</v>
      </c>
    </row>
    <row r="3097" spans="1:16" hidden="1" x14ac:dyDescent="0.15">
      <c r="A3097" s="286">
        <v>874698</v>
      </c>
      <c r="B3097" s="288">
        <v>45628.357638888891</v>
      </c>
      <c r="C3097" s="286" t="s">
        <v>2098</v>
      </c>
      <c r="D3097" s="286" t="s">
        <v>1105</v>
      </c>
      <c r="E3097" s="286" t="s">
        <v>1106</v>
      </c>
      <c r="F3097" s="286" t="s">
        <v>2142</v>
      </c>
      <c r="G3097" s="286" t="s">
        <v>1015</v>
      </c>
      <c r="H3097" s="286" t="s">
        <v>1015</v>
      </c>
      <c r="I3097" s="286" t="s">
        <v>1228</v>
      </c>
      <c r="J3097" s="286" t="s">
        <v>1312</v>
      </c>
      <c r="K3097" s="286" t="s">
        <v>2076</v>
      </c>
      <c r="L3097" s="286" t="s">
        <v>53</v>
      </c>
      <c r="M3097" s="286">
        <v>1</v>
      </c>
      <c r="N3097" s="287">
        <v>-10890.88</v>
      </c>
      <c r="O3097" s="294">
        <f t="shared" si="48"/>
        <v>45657</v>
      </c>
      <c r="P3097" s="286" t="s">
        <v>58</v>
      </c>
    </row>
    <row r="3098" spans="1:16" hidden="1" x14ac:dyDescent="0.15">
      <c r="A3098" s="286">
        <v>848817</v>
      </c>
      <c r="B3098" s="288">
        <v>45607.65902777778</v>
      </c>
      <c r="C3098" s="286" t="s">
        <v>2130</v>
      </c>
      <c r="D3098" s="286" t="s">
        <v>1105</v>
      </c>
      <c r="E3098" s="286" t="s">
        <v>1106</v>
      </c>
      <c r="F3098" s="286" t="s">
        <v>2140</v>
      </c>
      <c r="G3098" s="286" t="s">
        <v>1002</v>
      </c>
      <c r="H3098" s="286" t="s">
        <v>1002</v>
      </c>
      <c r="I3098" s="286" t="s">
        <v>1199</v>
      </c>
      <c r="J3098" s="286" t="s">
        <v>1312</v>
      </c>
      <c r="K3098" s="286" t="s">
        <v>2068</v>
      </c>
      <c r="L3098" s="286" t="s">
        <v>53</v>
      </c>
      <c r="M3098" s="286">
        <v>1</v>
      </c>
      <c r="N3098" s="287">
        <v>-11175.32</v>
      </c>
      <c r="O3098" s="294">
        <f t="shared" si="48"/>
        <v>45626</v>
      </c>
      <c r="P3098" s="286" t="s">
        <v>58</v>
      </c>
    </row>
    <row r="3099" spans="1:16" hidden="1" x14ac:dyDescent="0.15">
      <c r="A3099" s="286">
        <v>848917</v>
      </c>
      <c r="B3099" s="288">
        <v>45607.660416666666</v>
      </c>
      <c r="C3099" s="286" t="s">
        <v>2100</v>
      </c>
      <c r="D3099" s="286" t="s">
        <v>1105</v>
      </c>
      <c r="E3099" s="286" t="s">
        <v>1106</v>
      </c>
      <c r="F3099" s="286" t="s">
        <v>2141</v>
      </c>
      <c r="G3099" s="286" t="s">
        <v>1002</v>
      </c>
      <c r="H3099" s="286" t="s">
        <v>1002</v>
      </c>
      <c r="I3099" s="286" t="s">
        <v>1199</v>
      </c>
      <c r="J3099" s="286" t="s">
        <v>1312</v>
      </c>
      <c r="K3099" s="286" t="s">
        <v>2068</v>
      </c>
      <c r="L3099" s="286" t="s">
        <v>53</v>
      </c>
      <c r="M3099" s="286">
        <v>1</v>
      </c>
      <c r="N3099" s="287">
        <v>-11175.32</v>
      </c>
      <c r="O3099" s="294">
        <f t="shared" si="48"/>
        <v>45626</v>
      </c>
      <c r="P3099" s="286" t="s">
        <v>58</v>
      </c>
    </row>
    <row r="3100" spans="1:16" hidden="1" x14ac:dyDescent="0.15">
      <c r="A3100" s="286">
        <v>874698</v>
      </c>
      <c r="B3100" s="288">
        <v>45628.357638888891</v>
      </c>
      <c r="C3100" s="286" t="s">
        <v>2098</v>
      </c>
      <c r="D3100" s="286" t="s">
        <v>1105</v>
      </c>
      <c r="E3100" s="286" t="s">
        <v>1106</v>
      </c>
      <c r="F3100" s="286" t="s">
        <v>2142</v>
      </c>
      <c r="G3100" s="286" t="s">
        <v>1002</v>
      </c>
      <c r="H3100" s="286" t="s">
        <v>1002</v>
      </c>
      <c r="I3100" s="286" t="s">
        <v>1199</v>
      </c>
      <c r="J3100" s="286" t="s">
        <v>1312</v>
      </c>
      <c r="K3100" s="286" t="s">
        <v>2068</v>
      </c>
      <c r="L3100" s="286" t="s">
        <v>53</v>
      </c>
      <c r="M3100" s="286">
        <v>1</v>
      </c>
      <c r="N3100" s="287">
        <v>-11175.32</v>
      </c>
      <c r="O3100" s="294">
        <f t="shared" si="48"/>
        <v>45657</v>
      </c>
      <c r="P3100" s="286" t="s">
        <v>58</v>
      </c>
    </row>
    <row r="3101" spans="1:16" hidden="1" x14ac:dyDescent="0.15">
      <c r="A3101" s="286">
        <v>534207</v>
      </c>
      <c r="B3101" s="288">
        <v>45385.750694444447</v>
      </c>
      <c r="C3101" s="286" t="s">
        <v>2096</v>
      </c>
      <c r="D3101" s="286" t="s">
        <v>1105</v>
      </c>
      <c r="E3101" s="286" t="s">
        <v>1106</v>
      </c>
      <c r="F3101" s="286" t="s">
        <v>2155</v>
      </c>
      <c r="G3101" s="286" t="s">
        <v>1008</v>
      </c>
      <c r="H3101" s="286" t="s">
        <v>1008</v>
      </c>
      <c r="I3101" s="286" t="s">
        <v>1199</v>
      </c>
      <c r="J3101" s="286" t="s">
        <v>1312</v>
      </c>
      <c r="K3101" s="286" t="s">
        <v>2068</v>
      </c>
      <c r="L3101" s="286" t="s">
        <v>53</v>
      </c>
      <c r="M3101" s="286">
        <v>1</v>
      </c>
      <c r="N3101" s="287">
        <v>-11620.21</v>
      </c>
      <c r="O3101" s="294">
        <f t="shared" si="48"/>
        <v>45412</v>
      </c>
      <c r="P3101" s="286" t="s">
        <v>58</v>
      </c>
    </row>
    <row r="3102" spans="1:16" hidden="1" x14ac:dyDescent="0.15">
      <c r="A3102" s="286">
        <v>614216</v>
      </c>
      <c r="B3102" s="288">
        <v>45455.716666666667</v>
      </c>
      <c r="C3102" s="286" t="s">
        <v>2116</v>
      </c>
      <c r="D3102" s="286" t="s">
        <v>1105</v>
      </c>
      <c r="E3102" s="286" t="s">
        <v>1106</v>
      </c>
      <c r="F3102" s="286" t="s">
        <v>2156</v>
      </c>
      <c r="G3102" s="286" t="s">
        <v>1008</v>
      </c>
      <c r="H3102" s="286" t="s">
        <v>1008</v>
      </c>
      <c r="I3102" s="286" t="s">
        <v>1199</v>
      </c>
      <c r="J3102" s="286" t="s">
        <v>1312</v>
      </c>
      <c r="K3102" s="286" t="s">
        <v>2068</v>
      </c>
      <c r="L3102" s="286" t="s">
        <v>53</v>
      </c>
      <c r="M3102" s="286">
        <v>1</v>
      </c>
      <c r="N3102" s="287">
        <v>-11620.21</v>
      </c>
      <c r="O3102" s="294">
        <f t="shared" si="48"/>
        <v>45473</v>
      </c>
      <c r="P3102" s="286" t="s">
        <v>58</v>
      </c>
    </row>
    <row r="3103" spans="1:16" hidden="1" x14ac:dyDescent="0.15">
      <c r="A3103" s="286">
        <v>608480</v>
      </c>
      <c r="B3103" s="288">
        <v>45450.422222222223</v>
      </c>
      <c r="C3103" s="286" t="s">
        <v>2092</v>
      </c>
      <c r="D3103" s="286" t="s">
        <v>1105</v>
      </c>
      <c r="E3103" s="286" t="s">
        <v>1106</v>
      </c>
      <c r="F3103" s="286" t="s">
        <v>2157</v>
      </c>
      <c r="G3103" s="286" t="s">
        <v>1008</v>
      </c>
      <c r="H3103" s="286" t="s">
        <v>1008</v>
      </c>
      <c r="I3103" s="286" t="s">
        <v>1199</v>
      </c>
      <c r="J3103" s="286" t="s">
        <v>1312</v>
      </c>
      <c r="K3103" s="286" t="s">
        <v>2068</v>
      </c>
      <c r="L3103" s="286" t="s">
        <v>53</v>
      </c>
      <c r="M3103" s="286">
        <v>1</v>
      </c>
      <c r="N3103" s="287">
        <v>-11620.21</v>
      </c>
      <c r="O3103" s="294">
        <f t="shared" si="48"/>
        <v>45473</v>
      </c>
      <c r="P3103" s="286" t="s">
        <v>58</v>
      </c>
    </row>
    <row r="3104" spans="1:16" hidden="1" x14ac:dyDescent="0.15">
      <c r="A3104" s="286">
        <v>646075</v>
      </c>
      <c r="B3104" s="286">
        <v>45474.519444444442</v>
      </c>
      <c r="C3104" s="286" t="s">
        <v>2111</v>
      </c>
      <c r="D3104" s="286" t="s">
        <v>1105</v>
      </c>
      <c r="E3104" s="286" t="s">
        <v>1106</v>
      </c>
      <c r="F3104" s="286" t="s">
        <v>2137</v>
      </c>
      <c r="G3104" s="286" t="s">
        <v>1008</v>
      </c>
      <c r="H3104" s="286" t="s">
        <v>1008</v>
      </c>
      <c r="I3104" s="286" t="s">
        <v>1199</v>
      </c>
      <c r="J3104" s="286" t="s">
        <v>1312</v>
      </c>
      <c r="K3104" s="286" t="s">
        <v>2068</v>
      </c>
      <c r="L3104" s="286" t="s">
        <v>53</v>
      </c>
      <c r="M3104" s="286">
        <v>1</v>
      </c>
      <c r="N3104" s="287">
        <v>-11620.21</v>
      </c>
      <c r="O3104" s="294">
        <f t="shared" si="48"/>
        <v>45504</v>
      </c>
      <c r="P3104" s="286" t="s">
        <v>58</v>
      </c>
    </row>
    <row r="3105" spans="1:16" hidden="1" x14ac:dyDescent="0.15">
      <c r="A3105" s="286">
        <v>697810</v>
      </c>
      <c r="B3105" s="286">
        <v>45510.366666666669</v>
      </c>
      <c r="C3105" s="286" t="s">
        <v>2102</v>
      </c>
      <c r="D3105" s="286" t="s">
        <v>1105</v>
      </c>
      <c r="E3105" s="286" t="s">
        <v>1106</v>
      </c>
      <c r="F3105" s="286" t="s">
        <v>2138</v>
      </c>
      <c r="G3105" s="286" t="s">
        <v>1008</v>
      </c>
      <c r="H3105" s="286" t="s">
        <v>1008</v>
      </c>
      <c r="I3105" s="286" t="s">
        <v>1199</v>
      </c>
      <c r="J3105" s="286" t="s">
        <v>1312</v>
      </c>
      <c r="K3105" s="286" t="s">
        <v>2068</v>
      </c>
      <c r="L3105" s="286" t="s">
        <v>53</v>
      </c>
      <c r="M3105" s="286">
        <v>1</v>
      </c>
      <c r="N3105" s="286">
        <v>-11620.21</v>
      </c>
      <c r="O3105" s="294">
        <f t="shared" si="48"/>
        <v>45535</v>
      </c>
      <c r="P3105" s="286" t="s">
        <v>58</v>
      </c>
    </row>
    <row r="3106" spans="1:16" hidden="1" x14ac:dyDescent="0.15">
      <c r="A3106" s="286">
        <v>745911</v>
      </c>
      <c r="B3106" s="286">
        <v>45538.44027777778</v>
      </c>
      <c r="C3106" s="286" t="s">
        <v>2132</v>
      </c>
      <c r="D3106" s="286" t="s">
        <v>1105</v>
      </c>
      <c r="E3106" s="286" t="s">
        <v>1106</v>
      </c>
      <c r="F3106" s="286" t="s">
        <v>2139</v>
      </c>
      <c r="G3106" s="286" t="s">
        <v>1008</v>
      </c>
      <c r="H3106" s="286" t="s">
        <v>1008</v>
      </c>
      <c r="I3106" s="286" t="s">
        <v>1199</v>
      </c>
      <c r="J3106" s="286" t="s">
        <v>1312</v>
      </c>
      <c r="K3106" s="286" t="s">
        <v>2068</v>
      </c>
      <c r="L3106" s="286" t="s">
        <v>53</v>
      </c>
      <c r="M3106" s="286">
        <v>1</v>
      </c>
      <c r="N3106" s="286">
        <v>-11620.21</v>
      </c>
      <c r="O3106" s="294">
        <f t="shared" si="48"/>
        <v>45565</v>
      </c>
      <c r="P3106" s="286" t="s">
        <v>58</v>
      </c>
    </row>
    <row r="3107" spans="1:16" hidden="1" x14ac:dyDescent="0.15">
      <c r="A3107" s="286">
        <v>848817</v>
      </c>
      <c r="B3107" s="286">
        <v>45607.65902777778</v>
      </c>
      <c r="C3107" s="286" t="s">
        <v>2130</v>
      </c>
      <c r="D3107" s="286" t="s">
        <v>1105</v>
      </c>
      <c r="E3107" s="286" t="s">
        <v>1106</v>
      </c>
      <c r="F3107" s="286" t="s">
        <v>2140</v>
      </c>
      <c r="G3107" s="286" t="s">
        <v>1008</v>
      </c>
      <c r="H3107" s="286" t="s">
        <v>1008</v>
      </c>
      <c r="I3107" s="286" t="s">
        <v>1199</v>
      </c>
      <c r="J3107" s="286" t="s">
        <v>1312</v>
      </c>
      <c r="K3107" s="286" t="s">
        <v>2068</v>
      </c>
      <c r="L3107" s="286" t="s">
        <v>53</v>
      </c>
      <c r="M3107" s="286">
        <v>1</v>
      </c>
      <c r="N3107" s="286">
        <v>-11620.21</v>
      </c>
      <c r="O3107" s="294">
        <f t="shared" si="48"/>
        <v>45626</v>
      </c>
      <c r="P3107" s="286" t="s">
        <v>58</v>
      </c>
    </row>
    <row r="3108" spans="1:16" hidden="1" x14ac:dyDescent="0.15">
      <c r="A3108" s="286">
        <v>848917</v>
      </c>
      <c r="B3108" s="286">
        <v>45607.660416666666</v>
      </c>
      <c r="C3108" s="286" t="s">
        <v>2100</v>
      </c>
      <c r="D3108" s="286" t="s">
        <v>1105</v>
      </c>
      <c r="E3108" s="286" t="s">
        <v>1106</v>
      </c>
      <c r="F3108" s="286" t="s">
        <v>2141</v>
      </c>
      <c r="G3108" s="286" t="s">
        <v>1008</v>
      </c>
      <c r="H3108" s="286" t="s">
        <v>1008</v>
      </c>
      <c r="I3108" s="286" t="s">
        <v>1199</v>
      </c>
      <c r="J3108" s="286" t="s">
        <v>1312</v>
      </c>
      <c r="K3108" s="286" t="s">
        <v>2068</v>
      </c>
      <c r="L3108" s="286" t="s">
        <v>53</v>
      </c>
      <c r="M3108" s="286">
        <v>1</v>
      </c>
      <c r="N3108" s="286">
        <v>-11620.21</v>
      </c>
      <c r="O3108" s="294">
        <f t="shared" si="48"/>
        <v>45626</v>
      </c>
      <c r="P3108" s="286" t="s">
        <v>58</v>
      </c>
    </row>
    <row r="3109" spans="1:16" hidden="1" x14ac:dyDescent="0.15">
      <c r="A3109" s="286">
        <v>874698</v>
      </c>
      <c r="B3109" s="286">
        <v>45628.357638888891</v>
      </c>
      <c r="C3109" s="286" t="s">
        <v>2098</v>
      </c>
      <c r="D3109" s="286" t="s">
        <v>1105</v>
      </c>
      <c r="E3109" s="286" t="s">
        <v>1106</v>
      </c>
      <c r="F3109" s="286" t="s">
        <v>2142</v>
      </c>
      <c r="G3109" s="286" t="s">
        <v>1008</v>
      </c>
      <c r="H3109" s="286" t="s">
        <v>1008</v>
      </c>
      <c r="I3109" s="286" t="s">
        <v>1199</v>
      </c>
      <c r="J3109" s="286" t="s">
        <v>1312</v>
      </c>
      <c r="K3109" s="286" t="s">
        <v>2068</v>
      </c>
      <c r="L3109" s="286" t="s">
        <v>53</v>
      </c>
      <c r="M3109" s="286">
        <v>1</v>
      </c>
      <c r="N3109" s="286">
        <v>-11620.21</v>
      </c>
      <c r="O3109" s="294">
        <f t="shared" si="48"/>
        <v>45657</v>
      </c>
      <c r="P3109" s="286" t="s">
        <v>58</v>
      </c>
    </row>
    <row r="3110" spans="1:16" hidden="1" x14ac:dyDescent="0.15">
      <c r="A3110" s="286">
        <v>769994</v>
      </c>
      <c r="B3110" s="286">
        <v>45548.686111111114</v>
      </c>
      <c r="C3110" s="286" t="s">
        <v>2102</v>
      </c>
      <c r="D3110" s="286" t="s">
        <v>1105</v>
      </c>
      <c r="E3110" s="286" t="s">
        <v>1106</v>
      </c>
      <c r="F3110" s="286" t="s">
        <v>2242</v>
      </c>
      <c r="G3110" s="286" t="s">
        <v>1029</v>
      </c>
      <c r="H3110" s="286" t="s">
        <v>1029</v>
      </c>
      <c r="I3110" s="286" t="s">
        <v>1199</v>
      </c>
      <c r="J3110" s="286" t="s">
        <v>1312</v>
      </c>
      <c r="K3110" s="286" t="s">
        <v>2068</v>
      </c>
      <c r="L3110" s="286" t="s">
        <v>53</v>
      </c>
      <c r="M3110" s="286">
        <v>1</v>
      </c>
      <c r="N3110" s="286">
        <v>-11644.01</v>
      </c>
      <c r="O3110" s="294">
        <f t="shared" si="48"/>
        <v>45565</v>
      </c>
      <c r="P3110" s="286" t="s">
        <v>58</v>
      </c>
    </row>
    <row r="3111" spans="1:16" hidden="1" x14ac:dyDescent="0.15">
      <c r="A3111" s="286">
        <v>618994</v>
      </c>
      <c r="B3111" s="286">
        <v>45457.660416666666</v>
      </c>
      <c r="C3111" s="286" t="s">
        <v>2109</v>
      </c>
      <c r="D3111" s="286" t="s">
        <v>1105</v>
      </c>
      <c r="E3111" s="286" t="s">
        <v>1106</v>
      </c>
      <c r="F3111" s="286" t="s">
        <v>2239</v>
      </c>
      <c r="G3111" s="286" t="s">
        <v>1028</v>
      </c>
      <c r="H3111" s="286" t="s">
        <v>1028</v>
      </c>
      <c r="I3111" s="286" t="s">
        <v>1228</v>
      </c>
      <c r="J3111" s="286" t="s">
        <v>1312</v>
      </c>
      <c r="K3111" s="286" t="s">
        <v>53</v>
      </c>
      <c r="L3111" s="286" t="s">
        <v>53</v>
      </c>
      <c r="M3111" s="286" t="s">
        <v>53</v>
      </c>
      <c r="N3111" s="286">
        <v>-11989.58</v>
      </c>
      <c r="O3111" s="294">
        <f t="shared" si="48"/>
        <v>45473</v>
      </c>
      <c r="P3111" s="286" t="s">
        <v>58</v>
      </c>
    </row>
    <row r="3112" spans="1:16" hidden="1" x14ac:dyDescent="0.15">
      <c r="A3112" s="286">
        <v>618995</v>
      </c>
      <c r="B3112" s="286">
        <v>45457.661111111112</v>
      </c>
      <c r="C3112" s="286" t="s">
        <v>2096</v>
      </c>
      <c r="D3112" s="286" t="s">
        <v>1105</v>
      </c>
      <c r="E3112" s="286" t="s">
        <v>1106</v>
      </c>
      <c r="F3112" s="286" t="s">
        <v>2240</v>
      </c>
      <c r="G3112" s="286" t="s">
        <v>1028</v>
      </c>
      <c r="H3112" s="286" t="s">
        <v>1028</v>
      </c>
      <c r="I3112" s="286" t="s">
        <v>1228</v>
      </c>
      <c r="J3112" s="286" t="s">
        <v>1312</v>
      </c>
      <c r="K3112" s="286" t="s">
        <v>53</v>
      </c>
      <c r="L3112" s="286" t="s">
        <v>53</v>
      </c>
      <c r="M3112" s="286" t="s">
        <v>53</v>
      </c>
      <c r="N3112" s="286">
        <v>-11989.58</v>
      </c>
      <c r="O3112" s="294">
        <f t="shared" si="48"/>
        <v>45473</v>
      </c>
      <c r="P3112" s="286" t="s">
        <v>58</v>
      </c>
    </row>
    <row r="3113" spans="1:16" hidden="1" x14ac:dyDescent="0.15">
      <c r="A3113" s="286">
        <v>848716</v>
      </c>
      <c r="B3113" s="286">
        <v>45607.647916666669</v>
      </c>
      <c r="C3113" s="286" t="s">
        <v>2130</v>
      </c>
      <c r="D3113" s="286" t="s">
        <v>1105</v>
      </c>
      <c r="E3113" s="286" t="s">
        <v>1106</v>
      </c>
      <c r="F3113" s="286" t="s">
        <v>2241</v>
      </c>
      <c r="G3113" s="286" t="s">
        <v>1028</v>
      </c>
      <c r="H3113" s="286" t="s">
        <v>1028</v>
      </c>
      <c r="I3113" s="286" t="s">
        <v>1199</v>
      </c>
      <c r="J3113" s="286" t="s">
        <v>1312</v>
      </c>
      <c r="K3113" s="286" t="s">
        <v>53</v>
      </c>
      <c r="L3113" s="286" t="s">
        <v>53</v>
      </c>
      <c r="M3113" s="286" t="s">
        <v>53</v>
      </c>
      <c r="N3113" s="286">
        <v>-11989.58</v>
      </c>
      <c r="O3113" s="294">
        <f t="shared" si="48"/>
        <v>45626</v>
      </c>
      <c r="P3113" s="286" t="s">
        <v>58</v>
      </c>
    </row>
    <row r="3114" spans="1:16" hidden="1" x14ac:dyDescent="0.15">
      <c r="A3114" s="286">
        <v>496295</v>
      </c>
      <c r="B3114" s="286">
        <v>45352.356944444444</v>
      </c>
      <c r="C3114" s="286" t="s">
        <v>2113</v>
      </c>
      <c r="D3114" s="286" t="s">
        <v>1105</v>
      </c>
      <c r="E3114" s="286" t="s">
        <v>1106</v>
      </c>
      <c r="F3114" s="286" t="s">
        <v>2114</v>
      </c>
      <c r="G3114" s="286" t="s">
        <v>1024</v>
      </c>
      <c r="H3114" s="286" t="s">
        <v>1024</v>
      </c>
      <c r="I3114" s="286" t="s">
        <v>1108</v>
      </c>
      <c r="J3114" s="286" t="s">
        <v>1312</v>
      </c>
      <c r="K3114" s="286" t="s">
        <v>2566</v>
      </c>
      <c r="L3114" s="286" t="s">
        <v>53</v>
      </c>
      <c r="M3114" s="286">
        <v>1</v>
      </c>
      <c r="N3114" s="286">
        <v>-12499</v>
      </c>
      <c r="O3114" s="294">
        <f t="shared" si="48"/>
        <v>45382</v>
      </c>
      <c r="P3114" s="286" t="s">
        <v>37</v>
      </c>
    </row>
    <row r="3115" spans="1:16" hidden="1" x14ac:dyDescent="0.15">
      <c r="A3115" s="286">
        <v>559626</v>
      </c>
      <c r="B3115" s="286">
        <v>45408.642361111109</v>
      </c>
      <c r="C3115" s="286" t="s">
        <v>2109</v>
      </c>
      <c r="D3115" s="286" t="s">
        <v>1105</v>
      </c>
      <c r="E3115" s="286" t="s">
        <v>1106</v>
      </c>
      <c r="F3115" s="286" t="s">
        <v>2231</v>
      </c>
      <c r="G3115" s="286" t="s">
        <v>1028</v>
      </c>
      <c r="H3115" s="286" t="s">
        <v>1028</v>
      </c>
      <c r="I3115" s="286" t="s">
        <v>1228</v>
      </c>
      <c r="J3115" s="286" t="s">
        <v>1312</v>
      </c>
      <c r="K3115" s="286" t="s">
        <v>53</v>
      </c>
      <c r="L3115" s="286" t="s">
        <v>53</v>
      </c>
      <c r="M3115" s="286" t="s">
        <v>53</v>
      </c>
      <c r="N3115" s="286">
        <v>-12763.69</v>
      </c>
      <c r="O3115" s="294">
        <f t="shared" si="48"/>
        <v>45412</v>
      </c>
      <c r="P3115" s="286" t="s">
        <v>58</v>
      </c>
    </row>
    <row r="3116" spans="1:16" hidden="1" x14ac:dyDescent="0.15">
      <c r="A3116" s="286">
        <v>577185</v>
      </c>
      <c r="B3116" s="286">
        <v>45425.680555555555</v>
      </c>
      <c r="C3116" s="286" t="s">
        <v>2096</v>
      </c>
      <c r="D3116" s="286" t="s">
        <v>1105</v>
      </c>
      <c r="E3116" s="286" t="s">
        <v>1106</v>
      </c>
      <c r="F3116" s="286" t="s">
        <v>2232</v>
      </c>
      <c r="G3116" s="286" t="s">
        <v>1028</v>
      </c>
      <c r="H3116" s="286" t="s">
        <v>1028</v>
      </c>
      <c r="I3116" s="286" t="s">
        <v>1228</v>
      </c>
      <c r="J3116" s="286" t="s">
        <v>53</v>
      </c>
      <c r="K3116" s="286" t="s">
        <v>53</v>
      </c>
      <c r="L3116" s="286" t="s">
        <v>53</v>
      </c>
      <c r="M3116" s="286" t="s">
        <v>53</v>
      </c>
      <c r="N3116" s="286">
        <v>-12763.69</v>
      </c>
      <c r="O3116" s="294">
        <f t="shared" si="48"/>
        <v>45443</v>
      </c>
      <c r="P3116" s="286" t="s">
        <v>58</v>
      </c>
    </row>
    <row r="3117" spans="1:16" hidden="1" x14ac:dyDescent="0.15">
      <c r="A3117" s="286">
        <v>864918</v>
      </c>
      <c r="B3117" s="286">
        <v>45617.508333333331</v>
      </c>
      <c r="C3117" s="286" t="s">
        <v>2100</v>
      </c>
      <c r="D3117" s="286" t="s">
        <v>1105</v>
      </c>
      <c r="E3117" s="286" t="s">
        <v>1106</v>
      </c>
      <c r="F3117" s="286" t="s">
        <v>2233</v>
      </c>
      <c r="G3117" s="286" t="s">
        <v>1028</v>
      </c>
      <c r="H3117" s="286" t="s">
        <v>1028</v>
      </c>
      <c r="I3117" s="286" t="s">
        <v>1228</v>
      </c>
      <c r="J3117" s="286" t="s">
        <v>53</v>
      </c>
      <c r="K3117" s="286" t="s">
        <v>53</v>
      </c>
      <c r="L3117" s="286" t="s">
        <v>53</v>
      </c>
      <c r="M3117" s="286" t="s">
        <v>53</v>
      </c>
      <c r="N3117" s="286">
        <v>-12763.69</v>
      </c>
      <c r="O3117" s="294">
        <f t="shared" si="48"/>
        <v>45626</v>
      </c>
      <c r="P3117" s="286" t="s">
        <v>58</v>
      </c>
    </row>
    <row r="3118" spans="1:16" hidden="1" x14ac:dyDescent="0.15">
      <c r="A3118" s="286">
        <v>898877</v>
      </c>
      <c r="B3118" s="286">
        <v>45644.552083333336</v>
      </c>
      <c r="C3118" s="286" t="s">
        <v>2098</v>
      </c>
      <c r="D3118" s="286" t="s">
        <v>1105</v>
      </c>
      <c r="E3118" s="286" t="s">
        <v>1106</v>
      </c>
      <c r="F3118" s="286" t="s">
        <v>2234</v>
      </c>
      <c r="G3118" s="286" t="s">
        <v>1028</v>
      </c>
      <c r="H3118" s="286" t="s">
        <v>1028</v>
      </c>
      <c r="I3118" s="286" t="s">
        <v>1228</v>
      </c>
      <c r="J3118" s="286" t="s">
        <v>1312</v>
      </c>
      <c r="K3118" s="286" t="s">
        <v>53</v>
      </c>
      <c r="L3118" s="286" t="s">
        <v>53</v>
      </c>
      <c r="M3118" s="286" t="s">
        <v>53</v>
      </c>
      <c r="N3118" s="286">
        <v>-12763.69</v>
      </c>
      <c r="O3118" s="294">
        <f t="shared" si="48"/>
        <v>45657</v>
      </c>
      <c r="P3118" s="286" t="s">
        <v>58</v>
      </c>
    </row>
    <row r="3119" spans="1:16" hidden="1" x14ac:dyDescent="0.15">
      <c r="A3119" s="286">
        <v>770094</v>
      </c>
      <c r="B3119" s="286">
        <v>45548.6875</v>
      </c>
      <c r="C3119" s="286" t="s">
        <v>2132</v>
      </c>
      <c r="D3119" s="286" t="s">
        <v>1105</v>
      </c>
      <c r="E3119" s="286" t="s">
        <v>1106</v>
      </c>
      <c r="F3119" s="286" t="s">
        <v>2221</v>
      </c>
      <c r="G3119" s="286" t="s">
        <v>1029</v>
      </c>
      <c r="H3119" s="286" t="s">
        <v>1029</v>
      </c>
      <c r="I3119" s="286" t="s">
        <v>1199</v>
      </c>
      <c r="J3119" s="286" t="s">
        <v>1312</v>
      </c>
      <c r="K3119" s="286" t="s">
        <v>2068</v>
      </c>
      <c r="L3119" s="286" t="s">
        <v>53</v>
      </c>
      <c r="M3119" s="286">
        <v>1</v>
      </c>
      <c r="N3119" s="286">
        <v>-13598.25</v>
      </c>
      <c r="O3119" s="294">
        <f t="shared" si="48"/>
        <v>45565</v>
      </c>
      <c r="P3119" s="286" t="s">
        <v>58</v>
      </c>
    </row>
    <row r="3120" spans="1:16" hidden="1" x14ac:dyDescent="0.15">
      <c r="A3120" s="286">
        <v>848817</v>
      </c>
      <c r="B3120" s="286">
        <v>45607.65902777778</v>
      </c>
      <c r="C3120" s="286" t="s">
        <v>2130</v>
      </c>
      <c r="D3120" s="286" t="s">
        <v>1105</v>
      </c>
      <c r="E3120" s="286" t="s">
        <v>1106</v>
      </c>
      <c r="F3120" s="286" t="s">
        <v>2140</v>
      </c>
      <c r="G3120" s="286" t="s">
        <v>1029</v>
      </c>
      <c r="H3120" s="286" t="s">
        <v>1029</v>
      </c>
      <c r="I3120" s="286" t="s">
        <v>1199</v>
      </c>
      <c r="J3120" s="286" t="s">
        <v>1312</v>
      </c>
      <c r="K3120" s="286" t="s">
        <v>2068</v>
      </c>
      <c r="L3120" s="286" t="s">
        <v>53</v>
      </c>
      <c r="M3120" s="286">
        <v>1</v>
      </c>
      <c r="N3120" s="286">
        <v>-13598.25</v>
      </c>
      <c r="O3120" s="294">
        <f t="shared" si="48"/>
        <v>45626</v>
      </c>
      <c r="P3120" s="286" t="s">
        <v>58</v>
      </c>
    </row>
    <row r="3121" spans="1:16" hidden="1" x14ac:dyDescent="0.15">
      <c r="A3121" s="286">
        <v>848917</v>
      </c>
      <c r="B3121" s="286">
        <v>45607.660416666666</v>
      </c>
      <c r="C3121" s="286" t="s">
        <v>2100</v>
      </c>
      <c r="D3121" s="286" t="s">
        <v>1105</v>
      </c>
      <c r="E3121" s="286" t="s">
        <v>1106</v>
      </c>
      <c r="F3121" s="286" t="s">
        <v>2141</v>
      </c>
      <c r="G3121" s="286" t="s">
        <v>1029</v>
      </c>
      <c r="H3121" s="286" t="s">
        <v>1029</v>
      </c>
      <c r="I3121" s="286" t="s">
        <v>1199</v>
      </c>
      <c r="J3121" s="286" t="s">
        <v>1312</v>
      </c>
      <c r="K3121" s="286" t="s">
        <v>2068</v>
      </c>
      <c r="L3121" s="286" t="s">
        <v>53</v>
      </c>
      <c r="M3121" s="286">
        <v>1</v>
      </c>
      <c r="N3121" s="286">
        <v>-13598.25</v>
      </c>
      <c r="O3121" s="294">
        <f t="shared" si="48"/>
        <v>45626</v>
      </c>
      <c r="P3121" s="286" t="s">
        <v>58</v>
      </c>
    </row>
    <row r="3122" spans="1:16" hidden="1" x14ac:dyDescent="0.15">
      <c r="A3122" s="286">
        <v>874698</v>
      </c>
      <c r="B3122" s="286">
        <v>45628.357638888891</v>
      </c>
      <c r="C3122" s="286" t="s">
        <v>2098</v>
      </c>
      <c r="D3122" s="286" t="s">
        <v>1105</v>
      </c>
      <c r="E3122" s="286" t="s">
        <v>1106</v>
      </c>
      <c r="F3122" s="286" t="s">
        <v>2142</v>
      </c>
      <c r="G3122" s="286" t="s">
        <v>1029</v>
      </c>
      <c r="H3122" s="286" t="s">
        <v>1029</v>
      </c>
      <c r="I3122" s="286" t="s">
        <v>1199</v>
      </c>
      <c r="J3122" s="286" t="s">
        <v>1312</v>
      </c>
      <c r="K3122" s="286" t="s">
        <v>2068</v>
      </c>
      <c r="L3122" s="286" t="s">
        <v>53</v>
      </c>
      <c r="M3122" s="286">
        <v>1</v>
      </c>
      <c r="N3122" s="286">
        <v>-13598.25</v>
      </c>
      <c r="O3122" s="294">
        <f t="shared" si="48"/>
        <v>45657</v>
      </c>
      <c r="P3122" s="286" t="s">
        <v>58</v>
      </c>
    </row>
    <row r="3123" spans="1:16" hidden="1" x14ac:dyDescent="0.15">
      <c r="A3123" s="286">
        <v>697810</v>
      </c>
      <c r="B3123" s="286">
        <v>45510.366666666669</v>
      </c>
      <c r="C3123" s="286" t="s">
        <v>2102</v>
      </c>
      <c r="D3123" s="286" t="s">
        <v>1105</v>
      </c>
      <c r="E3123" s="286" t="s">
        <v>1106</v>
      </c>
      <c r="F3123" s="286" t="s">
        <v>2138</v>
      </c>
      <c r="G3123" s="286" t="s">
        <v>1007</v>
      </c>
      <c r="H3123" s="286" t="s">
        <v>1007</v>
      </c>
      <c r="I3123" s="286" t="s">
        <v>1199</v>
      </c>
      <c r="J3123" s="286" t="s">
        <v>1312</v>
      </c>
      <c r="K3123" s="286" t="s">
        <v>2081</v>
      </c>
      <c r="L3123" s="286" t="s">
        <v>53</v>
      </c>
      <c r="M3123" s="286">
        <v>1</v>
      </c>
      <c r="N3123" s="286">
        <v>-13624.87</v>
      </c>
      <c r="O3123" s="294">
        <f t="shared" si="48"/>
        <v>45535</v>
      </c>
      <c r="P3123" s="286" t="s">
        <v>58</v>
      </c>
    </row>
    <row r="3124" spans="1:16" hidden="1" x14ac:dyDescent="0.15">
      <c r="A3124" s="286">
        <v>476713</v>
      </c>
      <c r="B3124" s="286">
        <v>45336.464583333334</v>
      </c>
      <c r="C3124" s="286" t="s">
        <v>2125</v>
      </c>
      <c r="D3124" s="286" t="s">
        <v>1105</v>
      </c>
      <c r="E3124" s="286" t="s">
        <v>1106</v>
      </c>
      <c r="F3124" s="286" t="s">
        <v>2569</v>
      </c>
      <c r="G3124" s="286" t="s">
        <v>1041</v>
      </c>
      <c r="H3124" s="286" t="s">
        <v>1041</v>
      </c>
      <c r="I3124" s="286" t="s">
        <v>1282</v>
      </c>
      <c r="J3124" s="286" t="s">
        <v>1312</v>
      </c>
      <c r="K3124" s="286" t="s">
        <v>53</v>
      </c>
      <c r="L3124" s="286" t="s">
        <v>53</v>
      </c>
      <c r="M3124" s="286" t="s">
        <v>53</v>
      </c>
      <c r="N3124" s="286">
        <v>-14639</v>
      </c>
      <c r="O3124" s="294">
        <f t="shared" si="48"/>
        <v>45351</v>
      </c>
      <c r="P3124" s="286" t="s">
        <v>201</v>
      </c>
    </row>
    <row r="3125" spans="1:16" hidden="1" x14ac:dyDescent="0.15">
      <c r="A3125" s="286">
        <v>520807</v>
      </c>
      <c r="B3125" s="286">
        <v>45372.554166666669</v>
      </c>
      <c r="C3125" s="286" t="s">
        <v>2113</v>
      </c>
      <c r="D3125" s="286" t="s">
        <v>1105</v>
      </c>
      <c r="E3125" s="286" t="s">
        <v>1106</v>
      </c>
      <c r="F3125" s="286" t="s">
        <v>2515</v>
      </c>
      <c r="G3125" s="286" t="s">
        <v>1079</v>
      </c>
      <c r="H3125" s="286" t="s">
        <v>1079</v>
      </c>
      <c r="I3125" s="286" t="s">
        <v>1204</v>
      </c>
      <c r="J3125" s="286" t="s">
        <v>1312</v>
      </c>
      <c r="K3125" s="286" t="s">
        <v>53</v>
      </c>
      <c r="L3125" s="286" t="s">
        <v>53</v>
      </c>
      <c r="M3125" s="286" t="s">
        <v>53</v>
      </c>
      <c r="N3125" s="286">
        <v>-15826</v>
      </c>
      <c r="O3125" s="294">
        <f t="shared" si="48"/>
        <v>45382</v>
      </c>
      <c r="P3125" s="286" t="s">
        <v>49</v>
      </c>
    </row>
    <row r="3126" spans="1:16" hidden="1" x14ac:dyDescent="0.15">
      <c r="A3126" s="286">
        <v>753279</v>
      </c>
      <c r="B3126" s="286">
        <v>45541.466666666667</v>
      </c>
      <c r="C3126" s="286" t="s">
        <v>2102</v>
      </c>
      <c r="D3126" s="286" t="s">
        <v>1105</v>
      </c>
      <c r="E3126" s="286" t="s">
        <v>1106</v>
      </c>
      <c r="F3126" s="286" t="s">
        <v>2570</v>
      </c>
      <c r="G3126" s="286" t="s">
        <v>1028</v>
      </c>
      <c r="H3126" s="286" t="s">
        <v>1028</v>
      </c>
      <c r="I3126" s="286" t="s">
        <v>1230</v>
      </c>
      <c r="J3126" s="286" t="s">
        <v>1312</v>
      </c>
      <c r="K3126" s="286" t="s">
        <v>53</v>
      </c>
      <c r="L3126" s="286" t="s">
        <v>53</v>
      </c>
      <c r="M3126" s="286" t="s">
        <v>53</v>
      </c>
      <c r="N3126" s="286">
        <v>-20021</v>
      </c>
      <c r="O3126" s="294">
        <f t="shared" si="48"/>
        <v>45565</v>
      </c>
      <c r="P3126" s="286" t="s">
        <v>175</v>
      </c>
    </row>
    <row r="3127" spans="1:16" hidden="1" x14ac:dyDescent="0.15">
      <c r="A3127" s="286">
        <v>879478</v>
      </c>
      <c r="B3127" s="286">
        <v>45629.645833333336</v>
      </c>
      <c r="C3127" s="286" t="s">
        <v>2100</v>
      </c>
      <c r="D3127" s="286" t="s">
        <v>1105</v>
      </c>
      <c r="E3127" s="286" t="s">
        <v>1106</v>
      </c>
      <c r="F3127" s="286" t="s">
        <v>2571</v>
      </c>
      <c r="G3127" s="286" t="s">
        <v>1024</v>
      </c>
      <c r="H3127" s="286" t="s">
        <v>1024</v>
      </c>
      <c r="I3127" s="286" t="s">
        <v>1228</v>
      </c>
      <c r="J3127" s="286" t="s">
        <v>1312</v>
      </c>
      <c r="K3127" s="286" t="s">
        <v>53</v>
      </c>
      <c r="L3127" s="286" t="s">
        <v>53</v>
      </c>
      <c r="M3127" s="286" t="s">
        <v>53</v>
      </c>
      <c r="N3127" s="286">
        <v>-20652.84</v>
      </c>
      <c r="O3127" s="294">
        <f t="shared" si="48"/>
        <v>45657</v>
      </c>
      <c r="P3127" s="286" t="s">
        <v>58</v>
      </c>
    </row>
    <row r="3128" spans="1:16" hidden="1" x14ac:dyDescent="0.15">
      <c r="A3128" s="286">
        <v>898877</v>
      </c>
      <c r="B3128" s="286">
        <v>45644.552083333336</v>
      </c>
      <c r="C3128" s="286" t="s">
        <v>2098</v>
      </c>
      <c r="D3128" s="286" t="s">
        <v>1105</v>
      </c>
      <c r="E3128" s="286" t="s">
        <v>1106</v>
      </c>
      <c r="F3128" s="286" t="s">
        <v>2234</v>
      </c>
      <c r="G3128" s="286" t="s">
        <v>1024</v>
      </c>
      <c r="H3128" s="286" t="s">
        <v>1024</v>
      </c>
      <c r="I3128" s="286" t="s">
        <v>1228</v>
      </c>
      <c r="J3128" s="286" t="s">
        <v>1312</v>
      </c>
      <c r="K3128" s="286" t="s">
        <v>53</v>
      </c>
      <c r="L3128" s="286" t="s">
        <v>53</v>
      </c>
      <c r="M3128" s="286" t="s">
        <v>53</v>
      </c>
      <c r="N3128" s="286">
        <v>-20652.84</v>
      </c>
      <c r="O3128" s="294">
        <f t="shared" si="48"/>
        <v>45657</v>
      </c>
      <c r="P3128" s="286" t="s">
        <v>58</v>
      </c>
    </row>
    <row r="3129" spans="1:16" hidden="1" x14ac:dyDescent="0.15">
      <c r="A3129" s="286">
        <v>734135</v>
      </c>
      <c r="B3129" s="286">
        <v>45527.655555555553</v>
      </c>
      <c r="C3129" s="286" t="s">
        <v>2102</v>
      </c>
      <c r="D3129" s="286" t="s">
        <v>1105</v>
      </c>
      <c r="E3129" s="286" t="s">
        <v>1106</v>
      </c>
      <c r="F3129" s="286" t="s">
        <v>2572</v>
      </c>
      <c r="G3129" s="286" t="s">
        <v>1079</v>
      </c>
      <c r="H3129" s="286" t="s">
        <v>1079</v>
      </c>
      <c r="I3129" s="286" t="s">
        <v>1112</v>
      </c>
      <c r="J3129" s="286" t="s">
        <v>1312</v>
      </c>
      <c r="K3129" s="286" t="s">
        <v>53</v>
      </c>
      <c r="L3129" s="286" t="s">
        <v>53</v>
      </c>
      <c r="M3129" s="286" t="s">
        <v>53</v>
      </c>
      <c r="N3129" s="286">
        <v>-21051</v>
      </c>
      <c r="O3129" s="294">
        <f t="shared" si="48"/>
        <v>45535</v>
      </c>
      <c r="P3129" s="286" t="s">
        <v>175</v>
      </c>
    </row>
    <row r="3130" spans="1:16" hidden="1" x14ac:dyDescent="0.15">
      <c r="A3130" s="286">
        <v>745911</v>
      </c>
      <c r="B3130" s="286">
        <v>45538.44027777778</v>
      </c>
      <c r="C3130" s="286" t="s">
        <v>2132</v>
      </c>
      <c r="D3130" s="286" t="s">
        <v>1105</v>
      </c>
      <c r="E3130" s="286" t="s">
        <v>1106</v>
      </c>
      <c r="F3130" s="286" t="s">
        <v>2139</v>
      </c>
      <c r="G3130" s="286" t="s">
        <v>1007</v>
      </c>
      <c r="H3130" s="286" t="s">
        <v>1007</v>
      </c>
      <c r="I3130" s="286" t="s">
        <v>1228</v>
      </c>
      <c r="J3130" s="286" t="s">
        <v>1312</v>
      </c>
      <c r="K3130" s="286" t="s">
        <v>2565</v>
      </c>
      <c r="L3130" s="286" t="s">
        <v>53</v>
      </c>
      <c r="M3130" s="286">
        <v>1</v>
      </c>
      <c r="N3130" s="286">
        <v>-21263.200000000001</v>
      </c>
      <c r="O3130" s="294">
        <f t="shared" si="48"/>
        <v>45565</v>
      </c>
      <c r="P3130" s="286" t="s">
        <v>58</v>
      </c>
    </row>
    <row r="3131" spans="1:16" hidden="1" x14ac:dyDescent="0.15">
      <c r="A3131" s="286">
        <v>848817</v>
      </c>
      <c r="B3131" s="286">
        <v>45607.65902777778</v>
      </c>
      <c r="C3131" s="286" t="s">
        <v>2130</v>
      </c>
      <c r="D3131" s="286" t="s">
        <v>1105</v>
      </c>
      <c r="E3131" s="286" t="s">
        <v>1106</v>
      </c>
      <c r="F3131" s="286" t="s">
        <v>2140</v>
      </c>
      <c r="G3131" s="286" t="s">
        <v>1007</v>
      </c>
      <c r="H3131" s="286" t="s">
        <v>1007</v>
      </c>
      <c r="I3131" s="286" t="s">
        <v>1228</v>
      </c>
      <c r="J3131" s="286" t="s">
        <v>1312</v>
      </c>
      <c r="K3131" s="286" t="s">
        <v>2565</v>
      </c>
      <c r="L3131" s="286" t="s">
        <v>53</v>
      </c>
      <c r="M3131" s="286">
        <v>1</v>
      </c>
      <c r="N3131" s="286">
        <v>-21263.200000000001</v>
      </c>
      <c r="O3131" s="294">
        <f t="shared" si="48"/>
        <v>45626</v>
      </c>
      <c r="P3131" s="286" t="s">
        <v>58</v>
      </c>
    </row>
    <row r="3132" spans="1:16" hidden="1" x14ac:dyDescent="0.15">
      <c r="A3132" s="286">
        <v>848917</v>
      </c>
      <c r="B3132" s="286">
        <v>45607.660416666666</v>
      </c>
      <c r="C3132" s="286" t="s">
        <v>2100</v>
      </c>
      <c r="D3132" s="286" t="s">
        <v>1105</v>
      </c>
      <c r="E3132" s="286" t="s">
        <v>1106</v>
      </c>
      <c r="F3132" s="286" t="s">
        <v>2141</v>
      </c>
      <c r="G3132" s="286" t="s">
        <v>1007</v>
      </c>
      <c r="H3132" s="286" t="s">
        <v>1007</v>
      </c>
      <c r="I3132" s="286" t="s">
        <v>1228</v>
      </c>
      <c r="J3132" s="286" t="s">
        <v>1312</v>
      </c>
      <c r="K3132" s="286" t="s">
        <v>2565</v>
      </c>
      <c r="L3132" s="286" t="s">
        <v>53</v>
      </c>
      <c r="M3132" s="286">
        <v>1</v>
      </c>
      <c r="N3132" s="286">
        <v>-21263.200000000001</v>
      </c>
      <c r="O3132" s="294">
        <f t="shared" si="48"/>
        <v>45626</v>
      </c>
      <c r="P3132" s="286" t="s">
        <v>58</v>
      </c>
    </row>
    <row r="3133" spans="1:16" hidden="1" x14ac:dyDescent="0.15">
      <c r="A3133" s="286">
        <v>874698</v>
      </c>
      <c r="B3133" s="286">
        <v>45628.357638888891</v>
      </c>
      <c r="C3133" s="286" t="s">
        <v>2098</v>
      </c>
      <c r="D3133" s="286" t="s">
        <v>1105</v>
      </c>
      <c r="E3133" s="286" t="s">
        <v>1106</v>
      </c>
      <c r="F3133" s="286" t="s">
        <v>2142</v>
      </c>
      <c r="G3133" s="286" t="s">
        <v>1007</v>
      </c>
      <c r="H3133" s="286" t="s">
        <v>1007</v>
      </c>
      <c r="I3133" s="286" t="s">
        <v>1228</v>
      </c>
      <c r="J3133" s="286" t="s">
        <v>1312</v>
      </c>
      <c r="K3133" s="286" t="s">
        <v>2565</v>
      </c>
      <c r="L3133" s="286" t="s">
        <v>53</v>
      </c>
      <c r="M3133" s="286">
        <v>1</v>
      </c>
      <c r="N3133" s="286">
        <v>-21263.200000000001</v>
      </c>
      <c r="O3133" s="294">
        <f t="shared" si="48"/>
        <v>45657</v>
      </c>
      <c r="P3133" s="286" t="s">
        <v>58</v>
      </c>
    </row>
    <row r="3134" spans="1:16" hidden="1" x14ac:dyDescent="0.15">
      <c r="A3134" s="286">
        <v>646075</v>
      </c>
      <c r="B3134" s="286">
        <v>45474.519444444442</v>
      </c>
      <c r="C3134" s="286" t="s">
        <v>2111</v>
      </c>
      <c r="D3134" s="286" t="s">
        <v>1105</v>
      </c>
      <c r="E3134" s="286" t="s">
        <v>1106</v>
      </c>
      <c r="F3134" s="286" t="s">
        <v>2137</v>
      </c>
      <c r="G3134" s="286" t="s">
        <v>1007</v>
      </c>
      <c r="H3134" s="286" t="s">
        <v>1007</v>
      </c>
      <c r="I3134" s="286" t="s">
        <v>1199</v>
      </c>
      <c r="J3134" s="286" t="s">
        <v>1312</v>
      </c>
      <c r="K3134" s="286" t="s">
        <v>2081</v>
      </c>
      <c r="L3134" s="286" t="s">
        <v>53</v>
      </c>
      <c r="M3134" s="286">
        <v>1</v>
      </c>
      <c r="N3134" s="286">
        <v>-23052.15</v>
      </c>
      <c r="O3134" s="294">
        <f t="shared" si="48"/>
        <v>45504</v>
      </c>
      <c r="P3134" s="286" t="s">
        <v>58</v>
      </c>
    </row>
    <row r="3135" spans="1:16" hidden="1" x14ac:dyDescent="0.15">
      <c r="A3135" s="286">
        <v>438112</v>
      </c>
      <c r="B3135" s="286">
        <v>45293.53402777778</v>
      </c>
      <c r="C3135" s="286" t="s">
        <v>2125</v>
      </c>
      <c r="D3135" s="286" t="s">
        <v>1105</v>
      </c>
      <c r="E3135" s="286" t="s">
        <v>1106</v>
      </c>
      <c r="F3135" s="286" t="s">
        <v>2152</v>
      </c>
      <c r="G3135" s="286" t="s">
        <v>1007</v>
      </c>
      <c r="H3135" s="286" t="s">
        <v>1007</v>
      </c>
      <c r="I3135" s="286" t="s">
        <v>1199</v>
      </c>
      <c r="J3135" s="286" t="s">
        <v>1312</v>
      </c>
      <c r="K3135" s="286" t="s">
        <v>2081</v>
      </c>
      <c r="L3135" s="286" t="s">
        <v>53</v>
      </c>
      <c r="M3135" s="286">
        <v>1</v>
      </c>
      <c r="N3135" s="286">
        <v>-23052.18</v>
      </c>
      <c r="O3135" s="294">
        <f t="shared" si="48"/>
        <v>45322</v>
      </c>
      <c r="P3135" s="286" t="s">
        <v>58</v>
      </c>
    </row>
    <row r="3136" spans="1:16" hidden="1" x14ac:dyDescent="0.15">
      <c r="A3136" s="286">
        <v>472168</v>
      </c>
      <c r="B3136" s="286">
        <v>45331.416666666664</v>
      </c>
      <c r="C3136" s="286" t="s">
        <v>2113</v>
      </c>
      <c r="D3136" s="286" t="s">
        <v>1105</v>
      </c>
      <c r="E3136" s="286" t="s">
        <v>1106</v>
      </c>
      <c r="F3136" s="286" t="s">
        <v>2153</v>
      </c>
      <c r="G3136" s="286" t="s">
        <v>1007</v>
      </c>
      <c r="H3136" s="286" t="s">
        <v>1007</v>
      </c>
      <c r="I3136" s="286" t="s">
        <v>1199</v>
      </c>
      <c r="J3136" s="286" t="s">
        <v>1312</v>
      </c>
      <c r="K3136" s="286" t="s">
        <v>2081</v>
      </c>
      <c r="L3136" s="286" t="s">
        <v>53</v>
      </c>
      <c r="M3136" s="286">
        <v>1</v>
      </c>
      <c r="N3136" s="286">
        <v>-23052.18</v>
      </c>
      <c r="O3136" s="294">
        <f t="shared" si="48"/>
        <v>45351</v>
      </c>
      <c r="P3136" s="286" t="s">
        <v>58</v>
      </c>
    </row>
    <row r="3137" spans="1:16" hidden="1" x14ac:dyDescent="0.15">
      <c r="A3137" s="286">
        <v>504817</v>
      </c>
      <c r="B3137" s="286">
        <v>45359.645138888889</v>
      </c>
      <c r="C3137" s="286" t="s">
        <v>2109</v>
      </c>
      <c r="D3137" s="286" t="s">
        <v>1105</v>
      </c>
      <c r="E3137" s="286" t="s">
        <v>1106</v>
      </c>
      <c r="F3137" s="286" t="s">
        <v>2154</v>
      </c>
      <c r="G3137" s="286" t="s">
        <v>1007</v>
      </c>
      <c r="H3137" s="286" t="s">
        <v>1007</v>
      </c>
      <c r="I3137" s="286" t="s">
        <v>1199</v>
      </c>
      <c r="J3137" s="286" t="s">
        <v>1312</v>
      </c>
      <c r="K3137" s="286" t="s">
        <v>2081</v>
      </c>
      <c r="L3137" s="286" t="s">
        <v>53</v>
      </c>
      <c r="M3137" s="286">
        <v>1</v>
      </c>
      <c r="N3137" s="286">
        <v>-23052.18</v>
      </c>
      <c r="O3137" s="294">
        <f t="shared" si="48"/>
        <v>45382</v>
      </c>
      <c r="P3137" s="286" t="s">
        <v>58</v>
      </c>
    </row>
    <row r="3138" spans="1:16" hidden="1" x14ac:dyDescent="0.15">
      <c r="A3138" s="286">
        <v>534207</v>
      </c>
      <c r="B3138" s="286">
        <v>45385.750694444447</v>
      </c>
      <c r="C3138" s="286" t="s">
        <v>2096</v>
      </c>
      <c r="D3138" s="286" t="s">
        <v>1105</v>
      </c>
      <c r="E3138" s="286" t="s">
        <v>1106</v>
      </c>
      <c r="F3138" s="286" t="s">
        <v>2155</v>
      </c>
      <c r="G3138" s="286" t="s">
        <v>1007</v>
      </c>
      <c r="H3138" s="286" t="s">
        <v>1007</v>
      </c>
      <c r="I3138" s="286" t="s">
        <v>1199</v>
      </c>
      <c r="J3138" s="286" t="s">
        <v>1312</v>
      </c>
      <c r="K3138" s="286" t="s">
        <v>2081</v>
      </c>
      <c r="L3138" s="286" t="s">
        <v>53</v>
      </c>
      <c r="M3138" s="286">
        <v>1</v>
      </c>
      <c r="N3138" s="286">
        <v>-23052.18</v>
      </c>
      <c r="O3138" s="294">
        <f t="shared" si="48"/>
        <v>45412</v>
      </c>
      <c r="P3138" s="286" t="s">
        <v>58</v>
      </c>
    </row>
    <row r="3139" spans="1:16" hidden="1" x14ac:dyDescent="0.15">
      <c r="A3139" s="286">
        <v>614216</v>
      </c>
      <c r="B3139" s="286">
        <v>45455.716666666667</v>
      </c>
      <c r="C3139" s="286" t="s">
        <v>2116</v>
      </c>
      <c r="D3139" s="286" t="s">
        <v>1105</v>
      </c>
      <c r="E3139" s="286" t="s">
        <v>1106</v>
      </c>
      <c r="F3139" s="286" t="s">
        <v>2156</v>
      </c>
      <c r="G3139" s="286" t="s">
        <v>1007</v>
      </c>
      <c r="H3139" s="286" t="s">
        <v>1007</v>
      </c>
      <c r="I3139" s="286" t="s">
        <v>1199</v>
      </c>
      <c r="J3139" s="286" t="s">
        <v>1312</v>
      </c>
      <c r="K3139" s="286" t="s">
        <v>2081</v>
      </c>
      <c r="L3139" s="286" t="s">
        <v>53</v>
      </c>
      <c r="M3139" s="286">
        <v>1</v>
      </c>
      <c r="N3139" s="286">
        <v>-23052.18</v>
      </c>
      <c r="O3139" s="294">
        <f t="shared" si="48"/>
        <v>45473</v>
      </c>
      <c r="P3139" s="286" t="s">
        <v>58</v>
      </c>
    </row>
    <row r="3140" spans="1:16" hidden="1" x14ac:dyDescent="0.15">
      <c r="A3140" s="286">
        <v>608480</v>
      </c>
      <c r="B3140" s="286">
        <v>45450.422222222223</v>
      </c>
      <c r="C3140" s="286" t="s">
        <v>2092</v>
      </c>
      <c r="D3140" s="286" t="s">
        <v>1105</v>
      </c>
      <c r="E3140" s="286" t="s">
        <v>1106</v>
      </c>
      <c r="F3140" s="286" t="s">
        <v>2157</v>
      </c>
      <c r="G3140" s="286" t="s">
        <v>1007</v>
      </c>
      <c r="H3140" s="286" t="s">
        <v>1007</v>
      </c>
      <c r="I3140" s="286" t="s">
        <v>1199</v>
      </c>
      <c r="J3140" s="286" t="s">
        <v>1312</v>
      </c>
      <c r="K3140" s="286" t="s">
        <v>2081</v>
      </c>
      <c r="L3140" s="286" t="s">
        <v>53</v>
      </c>
      <c r="M3140" s="286">
        <v>1</v>
      </c>
      <c r="N3140" s="286">
        <v>-23052.18</v>
      </c>
      <c r="O3140" s="294">
        <f t="shared" ref="O3140:O3165" si="49">EOMONTH(B3140,0)</f>
        <v>45473</v>
      </c>
      <c r="P3140" s="286" t="s">
        <v>58</v>
      </c>
    </row>
    <row r="3141" spans="1:16" hidden="1" x14ac:dyDescent="0.15">
      <c r="A3141" s="286">
        <v>840638</v>
      </c>
      <c r="B3141" s="286">
        <v>45601.388888888891</v>
      </c>
      <c r="C3141" s="286" t="s">
        <v>2130</v>
      </c>
      <c r="D3141" s="286" t="s">
        <v>1105</v>
      </c>
      <c r="E3141" s="286" t="s">
        <v>1106</v>
      </c>
      <c r="F3141" s="286" t="s">
        <v>2165</v>
      </c>
      <c r="G3141" s="286" t="s">
        <v>1007</v>
      </c>
      <c r="H3141" s="286" t="s">
        <v>1007</v>
      </c>
      <c r="I3141" s="286" t="s">
        <v>1230</v>
      </c>
      <c r="J3141" s="286" t="s">
        <v>1312</v>
      </c>
      <c r="K3141" s="286" t="s">
        <v>2077</v>
      </c>
      <c r="L3141" s="286" t="s">
        <v>53</v>
      </c>
      <c r="M3141" s="286">
        <v>1</v>
      </c>
      <c r="N3141" s="286">
        <v>-24096</v>
      </c>
      <c r="O3141" s="294">
        <f t="shared" si="49"/>
        <v>45626</v>
      </c>
      <c r="P3141" s="286" t="s">
        <v>175</v>
      </c>
    </row>
    <row r="3142" spans="1:16" hidden="1" x14ac:dyDescent="0.15">
      <c r="A3142" s="286">
        <v>438112</v>
      </c>
      <c r="B3142" s="286">
        <v>45293.53402777778</v>
      </c>
      <c r="C3142" s="286" t="s">
        <v>2125</v>
      </c>
      <c r="D3142" s="286" t="s">
        <v>1105</v>
      </c>
      <c r="E3142" s="286" t="s">
        <v>1106</v>
      </c>
      <c r="F3142" s="286" t="s">
        <v>2152</v>
      </c>
      <c r="G3142" s="286" t="s">
        <v>1041</v>
      </c>
      <c r="H3142" s="286" t="s">
        <v>1041</v>
      </c>
      <c r="I3142" s="286" t="s">
        <v>1228</v>
      </c>
      <c r="J3142" s="286" t="s">
        <v>1312</v>
      </c>
      <c r="K3142" s="286" t="s">
        <v>53</v>
      </c>
      <c r="L3142" s="286" t="s">
        <v>53</v>
      </c>
      <c r="M3142" s="286" t="s">
        <v>53</v>
      </c>
      <c r="N3142" s="286">
        <v>-24420.95</v>
      </c>
      <c r="O3142" s="294">
        <f t="shared" si="49"/>
        <v>45322</v>
      </c>
      <c r="P3142" s="286" t="s">
        <v>58</v>
      </c>
    </row>
    <row r="3143" spans="1:16" hidden="1" x14ac:dyDescent="0.15">
      <c r="A3143" s="286">
        <v>472168</v>
      </c>
      <c r="B3143" s="286">
        <v>45331.416666666664</v>
      </c>
      <c r="C3143" s="286" t="s">
        <v>2113</v>
      </c>
      <c r="D3143" s="286" t="s">
        <v>1105</v>
      </c>
      <c r="E3143" s="286" t="s">
        <v>1106</v>
      </c>
      <c r="F3143" s="286" t="s">
        <v>2153</v>
      </c>
      <c r="G3143" s="286" t="s">
        <v>1041</v>
      </c>
      <c r="H3143" s="286" t="s">
        <v>1041</v>
      </c>
      <c r="I3143" s="286" t="s">
        <v>1228</v>
      </c>
      <c r="J3143" s="286" t="s">
        <v>1312</v>
      </c>
      <c r="K3143" s="286" t="s">
        <v>53</v>
      </c>
      <c r="L3143" s="286" t="s">
        <v>53</v>
      </c>
      <c r="M3143" s="286" t="s">
        <v>53</v>
      </c>
      <c r="N3143" s="286">
        <v>-24420.95</v>
      </c>
      <c r="O3143" s="294">
        <f t="shared" si="49"/>
        <v>45351</v>
      </c>
      <c r="P3143" s="286" t="s">
        <v>58</v>
      </c>
    </row>
    <row r="3144" spans="1:16" hidden="1" x14ac:dyDescent="0.15">
      <c r="A3144" s="286">
        <v>504817</v>
      </c>
      <c r="B3144" s="286">
        <v>45359.645138888889</v>
      </c>
      <c r="C3144" s="286" t="s">
        <v>2109</v>
      </c>
      <c r="D3144" s="286" t="s">
        <v>1105</v>
      </c>
      <c r="E3144" s="286" t="s">
        <v>1106</v>
      </c>
      <c r="F3144" s="286" t="s">
        <v>2154</v>
      </c>
      <c r="G3144" s="286" t="s">
        <v>1041</v>
      </c>
      <c r="H3144" s="286" t="s">
        <v>1041</v>
      </c>
      <c r="I3144" s="286" t="s">
        <v>1228</v>
      </c>
      <c r="J3144" s="286" t="s">
        <v>1312</v>
      </c>
      <c r="K3144" s="286" t="s">
        <v>53</v>
      </c>
      <c r="L3144" s="286" t="s">
        <v>53</v>
      </c>
      <c r="M3144" s="286" t="s">
        <v>53</v>
      </c>
      <c r="N3144" s="286">
        <v>-24420.95</v>
      </c>
      <c r="O3144" s="294">
        <f t="shared" si="49"/>
        <v>45382</v>
      </c>
      <c r="P3144" s="286" t="s">
        <v>58</v>
      </c>
    </row>
    <row r="3145" spans="1:16" hidden="1" x14ac:dyDescent="0.15">
      <c r="A3145" s="286">
        <v>534207</v>
      </c>
      <c r="B3145" s="286">
        <v>45385.750694444447</v>
      </c>
      <c r="C3145" s="286" t="s">
        <v>2096</v>
      </c>
      <c r="D3145" s="286" t="s">
        <v>1105</v>
      </c>
      <c r="E3145" s="286" t="s">
        <v>1106</v>
      </c>
      <c r="F3145" s="286" t="s">
        <v>2155</v>
      </c>
      <c r="G3145" s="286" t="s">
        <v>1041</v>
      </c>
      <c r="H3145" s="286" t="s">
        <v>1041</v>
      </c>
      <c r="I3145" s="286" t="s">
        <v>1228</v>
      </c>
      <c r="J3145" s="286" t="s">
        <v>1312</v>
      </c>
      <c r="K3145" s="286" t="s">
        <v>53</v>
      </c>
      <c r="L3145" s="286" t="s">
        <v>53</v>
      </c>
      <c r="M3145" s="286" t="s">
        <v>53</v>
      </c>
      <c r="N3145" s="286">
        <v>-24420.95</v>
      </c>
      <c r="O3145" s="294">
        <f t="shared" si="49"/>
        <v>45412</v>
      </c>
      <c r="P3145" s="286" t="s">
        <v>58</v>
      </c>
    </row>
    <row r="3146" spans="1:16" hidden="1" x14ac:dyDescent="0.15">
      <c r="A3146" s="286">
        <v>614216</v>
      </c>
      <c r="B3146" s="286">
        <v>45455.716666666667</v>
      </c>
      <c r="C3146" s="286" t="s">
        <v>2116</v>
      </c>
      <c r="D3146" s="286" t="s">
        <v>1105</v>
      </c>
      <c r="E3146" s="286" t="s">
        <v>1106</v>
      </c>
      <c r="F3146" s="286" t="s">
        <v>2156</v>
      </c>
      <c r="G3146" s="286" t="s">
        <v>1041</v>
      </c>
      <c r="H3146" s="286" t="s">
        <v>1041</v>
      </c>
      <c r="I3146" s="286" t="s">
        <v>1228</v>
      </c>
      <c r="J3146" s="286" t="s">
        <v>1312</v>
      </c>
      <c r="K3146" s="286" t="s">
        <v>53</v>
      </c>
      <c r="L3146" s="286" t="s">
        <v>53</v>
      </c>
      <c r="M3146" s="286" t="s">
        <v>53</v>
      </c>
      <c r="N3146" s="286">
        <v>-24420.95</v>
      </c>
      <c r="O3146" s="294">
        <f t="shared" si="49"/>
        <v>45473</v>
      </c>
      <c r="P3146" s="286" t="s">
        <v>58</v>
      </c>
    </row>
    <row r="3147" spans="1:16" hidden="1" x14ac:dyDescent="0.15">
      <c r="A3147" s="286">
        <v>614316</v>
      </c>
      <c r="B3147" s="286">
        <v>45455.717361111114</v>
      </c>
      <c r="C3147" s="286" t="s">
        <v>2092</v>
      </c>
      <c r="D3147" s="286" t="s">
        <v>1105</v>
      </c>
      <c r="E3147" s="286" t="s">
        <v>1106</v>
      </c>
      <c r="F3147" s="286" t="s">
        <v>2167</v>
      </c>
      <c r="G3147" s="286" t="s">
        <v>1041</v>
      </c>
      <c r="H3147" s="286" t="s">
        <v>1041</v>
      </c>
      <c r="I3147" s="286" t="s">
        <v>1228</v>
      </c>
      <c r="J3147" s="286" t="s">
        <v>1312</v>
      </c>
      <c r="K3147" s="286" t="s">
        <v>53</v>
      </c>
      <c r="L3147" s="286" t="s">
        <v>53</v>
      </c>
      <c r="M3147" s="286" t="s">
        <v>53</v>
      </c>
      <c r="N3147" s="286">
        <v>-24420.95</v>
      </c>
      <c r="O3147" s="294">
        <f t="shared" si="49"/>
        <v>45473</v>
      </c>
      <c r="P3147" s="286" t="s">
        <v>58</v>
      </c>
    </row>
    <row r="3148" spans="1:16" hidden="1" x14ac:dyDescent="0.15">
      <c r="A3148" s="286">
        <v>646075</v>
      </c>
      <c r="B3148" s="286">
        <v>45474.519444444442</v>
      </c>
      <c r="C3148" s="286" t="s">
        <v>2111</v>
      </c>
      <c r="D3148" s="286" t="s">
        <v>1105</v>
      </c>
      <c r="E3148" s="286" t="s">
        <v>1106</v>
      </c>
      <c r="F3148" s="286" t="s">
        <v>2137</v>
      </c>
      <c r="G3148" s="286" t="s">
        <v>1041</v>
      </c>
      <c r="H3148" s="286" t="s">
        <v>1041</v>
      </c>
      <c r="I3148" s="286" t="s">
        <v>1228</v>
      </c>
      <c r="J3148" s="286" t="s">
        <v>1312</v>
      </c>
      <c r="K3148" s="286" t="s">
        <v>53</v>
      </c>
      <c r="L3148" s="286" t="s">
        <v>53</v>
      </c>
      <c r="M3148" s="286" t="s">
        <v>53</v>
      </c>
      <c r="N3148" s="286">
        <v>-24420.95</v>
      </c>
      <c r="O3148" s="294">
        <f t="shared" si="49"/>
        <v>45504</v>
      </c>
      <c r="P3148" s="286" t="s">
        <v>58</v>
      </c>
    </row>
    <row r="3149" spans="1:16" hidden="1" x14ac:dyDescent="0.15">
      <c r="A3149" s="286">
        <v>618175</v>
      </c>
      <c r="B3149" s="286">
        <v>45457.602083333331</v>
      </c>
      <c r="C3149" s="286" t="s">
        <v>2116</v>
      </c>
      <c r="D3149" s="286" t="s">
        <v>1105</v>
      </c>
      <c r="E3149" s="286" t="s">
        <v>1106</v>
      </c>
      <c r="F3149" s="286" t="s">
        <v>2158</v>
      </c>
      <c r="G3149" s="286" t="s">
        <v>1028</v>
      </c>
      <c r="H3149" s="286" t="s">
        <v>1028</v>
      </c>
      <c r="I3149" s="286" t="s">
        <v>1228</v>
      </c>
      <c r="J3149" s="286" t="s">
        <v>1312</v>
      </c>
      <c r="K3149" s="286" t="s">
        <v>53</v>
      </c>
      <c r="L3149" s="286" t="s">
        <v>53</v>
      </c>
      <c r="M3149" s="286" t="s">
        <v>53</v>
      </c>
      <c r="N3149" s="286">
        <v>-24753.27</v>
      </c>
      <c r="O3149" s="294">
        <f t="shared" si="49"/>
        <v>45473</v>
      </c>
      <c r="P3149" s="286" t="s">
        <v>58</v>
      </c>
    </row>
    <row r="3150" spans="1:16" hidden="1" x14ac:dyDescent="0.15">
      <c r="A3150" s="286">
        <v>659936</v>
      </c>
      <c r="B3150" s="286">
        <v>45484.529861111114</v>
      </c>
      <c r="C3150" s="286" t="s">
        <v>2092</v>
      </c>
      <c r="D3150" s="286" t="s">
        <v>1105</v>
      </c>
      <c r="E3150" s="286" t="s">
        <v>1106</v>
      </c>
      <c r="F3150" s="286" t="s">
        <v>2159</v>
      </c>
      <c r="G3150" s="286" t="s">
        <v>1028</v>
      </c>
      <c r="H3150" s="286" t="s">
        <v>1028</v>
      </c>
      <c r="I3150" s="286" t="s">
        <v>1228</v>
      </c>
      <c r="J3150" s="286" t="s">
        <v>1312</v>
      </c>
      <c r="K3150" s="286" t="s">
        <v>53</v>
      </c>
      <c r="L3150" s="286" t="s">
        <v>53</v>
      </c>
      <c r="M3150" s="286" t="s">
        <v>53</v>
      </c>
      <c r="N3150" s="286">
        <v>-24753.27</v>
      </c>
      <c r="O3150" s="294">
        <f t="shared" si="49"/>
        <v>45504</v>
      </c>
      <c r="P3150" s="286" t="s">
        <v>58</v>
      </c>
    </row>
    <row r="3151" spans="1:16" hidden="1" x14ac:dyDescent="0.15">
      <c r="A3151" s="286">
        <v>712645</v>
      </c>
      <c r="B3151" s="286">
        <v>45517.640972222223</v>
      </c>
      <c r="C3151" s="286" t="s">
        <v>2111</v>
      </c>
      <c r="D3151" s="286" t="s">
        <v>1105</v>
      </c>
      <c r="E3151" s="286" t="s">
        <v>1106</v>
      </c>
      <c r="F3151" s="286" t="s">
        <v>2160</v>
      </c>
      <c r="G3151" s="286" t="s">
        <v>1028</v>
      </c>
      <c r="H3151" s="286" t="s">
        <v>1028</v>
      </c>
      <c r="I3151" s="286" t="s">
        <v>1228</v>
      </c>
      <c r="J3151" s="286" t="s">
        <v>1312</v>
      </c>
      <c r="K3151" s="286" t="s">
        <v>53</v>
      </c>
      <c r="L3151" s="286" t="s">
        <v>53</v>
      </c>
      <c r="M3151" s="286" t="s">
        <v>53</v>
      </c>
      <c r="N3151" s="286">
        <v>-24753.27</v>
      </c>
      <c r="O3151" s="294">
        <f t="shared" si="49"/>
        <v>45535</v>
      </c>
      <c r="P3151" s="286" t="s">
        <v>58</v>
      </c>
    </row>
    <row r="3152" spans="1:16" hidden="1" x14ac:dyDescent="0.15">
      <c r="A3152" s="286">
        <v>741366</v>
      </c>
      <c r="B3152" s="286">
        <v>45532.655555555553</v>
      </c>
      <c r="C3152" s="286" t="s">
        <v>2102</v>
      </c>
      <c r="D3152" s="286" t="s">
        <v>1105</v>
      </c>
      <c r="E3152" s="286" t="s">
        <v>1106</v>
      </c>
      <c r="F3152" s="286" t="s">
        <v>2161</v>
      </c>
      <c r="G3152" s="286" t="s">
        <v>1028</v>
      </c>
      <c r="H3152" s="286" t="s">
        <v>1028</v>
      </c>
      <c r="I3152" s="286" t="s">
        <v>1228</v>
      </c>
      <c r="J3152" s="286" t="s">
        <v>1312</v>
      </c>
      <c r="K3152" s="286" t="s">
        <v>53</v>
      </c>
      <c r="L3152" s="286" t="s">
        <v>53</v>
      </c>
      <c r="M3152" s="286" t="s">
        <v>53</v>
      </c>
      <c r="N3152" s="286">
        <v>-24753.27</v>
      </c>
      <c r="O3152" s="294">
        <f t="shared" si="49"/>
        <v>45535</v>
      </c>
      <c r="P3152" s="286" t="s">
        <v>58</v>
      </c>
    </row>
    <row r="3153" spans="1:16" hidden="1" x14ac:dyDescent="0.15">
      <c r="A3153" s="286">
        <v>785030</v>
      </c>
      <c r="B3153" s="286">
        <v>45559.581944444442</v>
      </c>
      <c r="C3153" s="286" t="s">
        <v>2132</v>
      </c>
      <c r="D3153" s="286" t="s">
        <v>1105</v>
      </c>
      <c r="E3153" s="286" t="s">
        <v>1106</v>
      </c>
      <c r="F3153" s="286" t="s">
        <v>2162</v>
      </c>
      <c r="G3153" s="286" t="s">
        <v>1028</v>
      </c>
      <c r="H3153" s="286" t="s">
        <v>1028</v>
      </c>
      <c r="I3153" s="286" t="s">
        <v>1228</v>
      </c>
      <c r="J3153" s="286" t="s">
        <v>1312</v>
      </c>
      <c r="K3153" s="286" t="s">
        <v>53</v>
      </c>
      <c r="L3153" s="286" t="s">
        <v>53</v>
      </c>
      <c r="M3153" s="286" t="s">
        <v>53</v>
      </c>
      <c r="N3153" s="286">
        <v>-24753.27</v>
      </c>
      <c r="O3153" s="294">
        <f t="shared" si="49"/>
        <v>45565</v>
      </c>
      <c r="P3153" s="286" t="s">
        <v>58</v>
      </c>
    </row>
    <row r="3154" spans="1:16" hidden="1" x14ac:dyDescent="0.15">
      <c r="A3154" s="286">
        <v>821955</v>
      </c>
      <c r="B3154" s="286">
        <v>45587.62777777778</v>
      </c>
      <c r="C3154" s="286" t="s">
        <v>2130</v>
      </c>
      <c r="D3154" s="286" t="s">
        <v>1105</v>
      </c>
      <c r="E3154" s="286" t="s">
        <v>1106</v>
      </c>
      <c r="F3154" s="286" t="s">
        <v>2163</v>
      </c>
      <c r="G3154" s="286" t="s">
        <v>1028</v>
      </c>
      <c r="H3154" s="286" t="s">
        <v>1028</v>
      </c>
      <c r="I3154" s="286" t="s">
        <v>1228</v>
      </c>
      <c r="J3154" s="286" t="s">
        <v>1312</v>
      </c>
      <c r="K3154" s="286" t="s">
        <v>53</v>
      </c>
      <c r="L3154" s="286" t="s">
        <v>53</v>
      </c>
      <c r="M3154" s="286" t="s">
        <v>53</v>
      </c>
      <c r="N3154" s="286">
        <v>-24753.27</v>
      </c>
      <c r="O3154" s="294">
        <f t="shared" si="49"/>
        <v>45596</v>
      </c>
      <c r="P3154" s="286" t="s">
        <v>58</v>
      </c>
    </row>
    <row r="3155" spans="1:16" hidden="1" x14ac:dyDescent="0.15">
      <c r="A3155" s="286">
        <v>438112</v>
      </c>
      <c r="B3155" s="286">
        <v>45293.53402777778</v>
      </c>
      <c r="C3155" s="286" t="s">
        <v>2125</v>
      </c>
      <c r="D3155" s="286" t="s">
        <v>1105</v>
      </c>
      <c r="E3155" s="286" t="s">
        <v>1106</v>
      </c>
      <c r="F3155" s="286" t="s">
        <v>2152</v>
      </c>
      <c r="G3155" s="286" t="s">
        <v>1073</v>
      </c>
      <c r="H3155" s="286" t="s">
        <v>1073</v>
      </c>
      <c r="I3155" s="286" t="s">
        <v>1199</v>
      </c>
      <c r="J3155" s="286" t="s">
        <v>1312</v>
      </c>
      <c r="K3155" s="286" t="s">
        <v>53</v>
      </c>
      <c r="L3155" s="286" t="s">
        <v>53</v>
      </c>
      <c r="M3155" s="286" t="s">
        <v>53</v>
      </c>
      <c r="N3155" s="286">
        <v>-25283.75</v>
      </c>
      <c r="O3155" s="294">
        <f t="shared" si="49"/>
        <v>45322</v>
      </c>
      <c r="P3155" s="286" t="s">
        <v>58</v>
      </c>
    </row>
    <row r="3156" spans="1:16" hidden="1" x14ac:dyDescent="0.15">
      <c r="A3156" s="286">
        <v>472168</v>
      </c>
      <c r="B3156" s="286">
        <v>45331.416666666664</v>
      </c>
      <c r="C3156" s="286" t="s">
        <v>2113</v>
      </c>
      <c r="D3156" s="286" t="s">
        <v>1105</v>
      </c>
      <c r="E3156" s="286" t="s">
        <v>1106</v>
      </c>
      <c r="F3156" s="286" t="s">
        <v>2153</v>
      </c>
      <c r="G3156" s="286" t="s">
        <v>1073</v>
      </c>
      <c r="H3156" s="286" t="s">
        <v>1073</v>
      </c>
      <c r="I3156" s="286" t="s">
        <v>1199</v>
      </c>
      <c r="J3156" s="286" t="s">
        <v>1312</v>
      </c>
      <c r="K3156" s="286" t="s">
        <v>53</v>
      </c>
      <c r="L3156" s="286" t="s">
        <v>53</v>
      </c>
      <c r="M3156" s="286" t="s">
        <v>53</v>
      </c>
      <c r="N3156" s="286">
        <v>-25283.75</v>
      </c>
      <c r="O3156" s="294">
        <f t="shared" si="49"/>
        <v>45351</v>
      </c>
      <c r="P3156" s="286" t="s">
        <v>58</v>
      </c>
    </row>
    <row r="3157" spans="1:16" hidden="1" x14ac:dyDescent="0.15">
      <c r="A3157" s="286">
        <v>504817</v>
      </c>
      <c r="B3157" s="286">
        <v>45359.645138888889</v>
      </c>
      <c r="C3157" s="286" t="s">
        <v>2109</v>
      </c>
      <c r="D3157" s="286" t="s">
        <v>1105</v>
      </c>
      <c r="E3157" s="286" t="s">
        <v>1106</v>
      </c>
      <c r="F3157" s="286" t="s">
        <v>2154</v>
      </c>
      <c r="G3157" s="286" t="s">
        <v>1073</v>
      </c>
      <c r="H3157" s="286" t="s">
        <v>1073</v>
      </c>
      <c r="I3157" s="286" t="s">
        <v>1199</v>
      </c>
      <c r="J3157" s="286" t="s">
        <v>1312</v>
      </c>
      <c r="K3157" s="286" t="s">
        <v>53</v>
      </c>
      <c r="L3157" s="286" t="s">
        <v>53</v>
      </c>
      <c r="M3157" s="286" t="s">
        <v>53</v>
      </c>
      <c r="N3157" s="286">
        <v>-25283.75</v>
      </c>
      <c r="O3157" s="294">
        <f t="shared" si="49"/>
        <v>45382</v>
      </c>
      <c r="P3157" s="286" t="s">
        <v>58</v>
      </c>
    </row>
    <row r="3158" spans="1:16" hidden="1" x14ac:dyDescent="0.15">
      <c r="A3158" s="286">
        <v>534207</v>
      </c>
      <c r="B3158" s="286">
        <v>45385.750694444447</v>
      </c>
      <c r="C3158" s="286" t="s">
        <v>2096</v>
      </c>
      <c r="D3158" s="286" t="s">
        <v>1105</v>
      </c>
      <c r="E3158" s="286" t="s">
        <v>1106</v>
      </c>
      <c r="F3158" s="286" t="s">
        <v>2155</v>
      </c>
      <c r="G3158" s="286" t="s">
        <v>1073</v>
      </c>
      <c r="H3158" s="286" t="s">
        <v>1073</v>
      </c>
      <c r="I3158" s="286" t="s">
        <v>1199</v>
      </c>
      <c r="J3158" s="286" t="s">
        <v>1312</v>
      </c>
      <c r="K3158" s="286" t="s">
        <v>53</v>
      </c>
      <c r="L3158" s="286" t="s">
        <v>53</v>
      </c>
      <c r="M3158" s="286" t="s">
        <v>53</v>
      </c>
      <c r="N3158" s="286">
        <v>-25283.75</v>
      </c>
      <c r="O3158" s="294">
        <f t="shared" si="49"/>
        <v>45412</v>
      </c>
      <c r="P3158" s="286" t="s">
        <v>58</v>
      </c>
    </row>
    <row r="3159" spans="1:16" hidden="1" x14ac:dyDescent="0.15">
      <c r="A3159" s="286">
        <v>614216</v>
      </c>
      <c r="B3159" s="286">
        <v>45455.716666666667</v>
      </c>
      <c r="C3159" s="286" t="s">
        <v>2116</v>
      </c>
      <c r="D3159" s="286" t="s">
        <v>1105</v>
      </c>
      <c r="E3159" s="286" t="s">
        <v>1106</v>
      </c>
      <c r="F3159" s="286" t="s">
        <v>2156</v>
      </c>
      <c r="G3159" s="286" t="s">
        <v>1073</v>
      </c>
      <c r="H3159" s="286" t="s">
        <v>1073</v>
      </c>
      <c r="I3159" s="286" t="s">
        <v>1199</v>
      </c>
      <c r="J3159" s="286" t="s">
        <v>1312</v>
      </c>
      <c r="K3159" s="286" t="s">
        <v>53</v>
      </c>
      <c r="L3159" s="286" t="s">
        <v>53</v>
      </c>
      <c r="M3159" s="286" t="s">
        <v>53</v>
      </c>
      <c r="N3159" s="286">
        <v>-25283.75</v>
      </c>
      <c r="O3159" s="294">
        <f t="shared" si="49"/>
        <v>45473</v>
      </c>
      <c r="P3159" s="286" t="s">
        <v>58</v>
      </c>
    </row>
    <row r="3160" spans="1:16" hidden="1" x14ac:dyDescent="0.15">
      <c r="A3160" s="286">
        <v>608480</v>
      </c>
      <c r="B3160" s="286">
        <v>45450.422222222223</v>
      </c>
      <c r="C3160" s="286" t="s">
        <v>2092</v>
      </c>
      <c r="D3160" s="286" t="s">
        <v>1105</v>
      </c>
      <c r="E3160" s="286" t="s">
        <v>1106</v>
      </c>
      <c r="F3160" s="286" t="s">
        <v>2157</v>
      </c>
      <c r="G3160" s="286" t="s">
        <v>1073</v>
      </c>
      <c r="H3160" s="286" t="s">
        <v>1073</v>
      </c>
      <c r="I3160" s="286" t="s">
        <v>1199</v>
      </c>
      <c r="J3160" s="286" t="s">
        <v>1312</v>
      </c>
      <c r="K3160" s="286" t="s">
        <v>53</v>
      </c>
      <c r="L3160" s="286" t="s">
        <v>53</v>
      </c>
      <c r="M3160" s="286" t="s">
        <v>53</v>
      </c>
      <c r="N3160" s="286">
        <v>-25283.75</v>
      </c>
      <c r="O3160" s="294">
        <f t="shared" si="49"/>
        <v>45473</v>
      </c>
      <c r="P3160" s="286" t="s">
        <v>58</v>
      </c>
    </row>
    <row r="3161" spans="1:16" hidden="1" x14ac:dyDescent="0.15">
      <c r="A3161" s="286">
        <v>520090</v>
      </c>
      <c r="B3161" s="286">
        <v>45372.462500000001</v>
      </c>
      <c r="C3161" s="286" t="s">
        <v>2113</v>
      </c>
      <c r="D3161" s="286" t="s">
        <v>1105</v>
      </c>
      <c r="E3161" s="286" t="s">
        <v>1106</v>
      </c>
      <c r="F3161" s="286" t="s">
        <v>2573</v>
      </c>
      <c r="G3161" s="286" t="s">
        <v>1004</v>
      </c>
      <c r="H3161" s="286" t="s">
        <v>1004</v>
      </c>
      <c r="I3161" s="286" t="s">
        <v>1112</v>
      </c>
      <c r="J3161" s="286" t="s">
        <v>1312</v>
      </c>
      <c r="K3161" s="286" t="s">
        <v>53</v>
      </c>
      <c r="L3161" s="286" t="s">
        <v>53</v>
      </c>
      <c r="M3161" s="286" t="s">
        <v>53</v>
      </c>
      <c r="N3161" s="286">
        <v>-25462</v>
      </c>
      <c r="O3161" s="294">
        <f t="shared" si="49"/>
        <v>45382</v>
      </c>
      <c r="P3161" s="286" t="s">
        <v>175</v>
      </c>
    </row>
    <row r="3162" spans="1:16" hidden="1" x14ac:dyDescent="0.15">
      <c r="A3162" s="286">
        <v>657702</v>
      </c>
      <c r="B3162" s="286">
        <v>45483.584722222222</v>
      </c>
      <c r="C3162" s="286" t="s">
        <v>2092</v>
      </c>
      <c r="D3162" s="286" t="s">
        <v>1105</v>
      </c>
      <c r="E3162" s="286" t="s">
        <v>1106</v>
      </c>
      <c r="F3162" s="286" t="s">
        <v>2574</v>
      </c>
      <c r="G3162" s="286" t="s">
        <v>1091</v>
      </c>
      <c r="H3162" s="286" t="s">
        <v>1091</v>
      </c>
      <c r="I3162" s="286" t="s">
        <v>1112</v>
      </c>
      <c r="J3162" s="286" t="s">
        <v>1312</v>
      </c>
      <c r="K3162" s="286" t="s">
        <v>53</v>
      </c>
      <c r="L3162" s="286" t="s">
        <v>53</v>
      </c>
      <c r="M3162" s="286" t="s">
        <v>53</v>
      </c>
      <c r="N3162" s="286">
        <v>-28636</v>
      </c>
      <c r="O3162" s="294">
        <f t="shared" si="49"/>
        <v>45504</v>
      </c>
      <c r="P3162" s="286" t="s">
        <v>175</v>
      </c>
    </row>
    <row r="3163" spans="1:16" hidden="1" x14ac:dyDescent="0.15">
      <c r="A3163" s="286">
        <v>652282</v>
      </c>
      <c r="B3163" s="286">
        <v>45481.525000000001</v>
      </c>
      <c r="C3163" s="286" t="s">
        <v>2111</v>
      </c>
      <c r="D3163" s="286" t="s">
        <v>1105</v>
      </c>
      <c r="E3163" s="286" t="s">
        <v>1106</v>
      </c>
      <c r="F3163" s="286" t="s">
        <v>2146</v>
      </c>
      <c r="G3163" s="286" t="s">
        <v>1091</v>
      </c>
      <c r="H3163" s="286" t="s">
        <v>1091</v>
      </c>
      <c r="I3163" s="286" t="s">
        <v>1112</v>
      </c>
      <c r="J3163" s="286" t="s">
        <v>1312</v>
      </c>
      <c r="K3163" s="286" t="s">
        <v>2046</v>
      </c>
      <c r="L3163" s="286" t="s">
        <v>53</v>
      </c>
      <c r="M3163" s="286">
        <v>1</v>
      </c>
      <c r="N3163" s="286">
        <v>-28636</v>
      </c>
      <c r="O3163" s="294">
        <f t="shared" si="49"/>
        <v>45504</v>
      </c>
      <c r="P3163" s="286" t="s">
        <v>175</v>
      </c>
    </row>
    <row r="3164" spans="1:16" hidden="1" x14ac:dyDescent="0.15">
      <c r="A3164" s="286">
        <v>563037</v>
      </c>
      <c r="B3164" s="286">
        <v>45413.654861111114</v>
      </c>
      <c r="C3164" s="286" t="s">
        <v>2096</v>
      </c>
      <c r="D3164" s="286" t="s">
        <v>1105</v>
      </c>
      <c r="E3164" s="286" t="s">
        <v>1106</v>
      </c>
      <c r="F3164" s="286" t="s">
        <v>2108</v>
      </c>
      <c r="G3164" s="286" t="s">
        <v>1059</v>
      </c>
      <c r="H3164" s="286" t="s">
        <v>1059</v>
      </c>
      <c r="I3164" s="286" t="s">
        <v>1204</v>
      </c>
      <c r="J3164" s="286" t="s">
        <v>1312</v>
      </c>
      <c r="K3164" s="286" t="s">
        <v>53</v>
      </c>
      <c r="L3164" s="286" t="s">
        <v>53</v>
      </c>
      <c r="M3164" s="286" t="s">
        <v>53</v>
      </c>
      <c r="N3164" s="286">
        <v>-117785</v>
      </c>
      <c r="O3164" s="294">
        <f t="shared" si="49"/>
        <v>45443</v>
      </c>
      <c r="P3164" s="286" t="s">
        <v>49</v>
      </c>
    </row>
    <row r="3165" spans="1:16" hidden="1" x14ac:dyDescent="0.15">
      <c r="A3165" s="286" t="s">
        <v>53</v>
      </c>
      <c r="B3165" s="286" t="s">
        <v>1630</v>
      </c>
      <c r="C3165" s="286" t="s">
        <v>53</v>
      </c>
      <c r="D3165" s="286" t="s">
        <v>53</v>
      </c>
      <c r="E3165" s="286" t="s">
        <v>53</v>
      </c>
      <c r="F3165" s="286" t="s">
        <v>53</v>
      </c>
      <c r="G3165" s="286" t="s">
        <v>53</v>
      </c>
      <c r="H3165" s="286" t="s">
        <v>53</v>
      </c>
      <c r="I3165" s="286" t="s">
        <v>53</v>
      </c>
      <c r="J3165" s="286" t="s">
        <v>53</v>
      </c>
      <c r="K3165" s="286" t="s">
        <v>53</v>
      </c>
      <c r="L3165" s="286" t="s">
        <v>53</v>
      </c>
      <c r="M3165" s="286" t="s">
        <v>2575</v>
      </c>
      <c r="N3165" s="286">
        <v>8204843.3499999996</v>
      </c>
      <c r="O3165" s="294" t="e">
        <f t="shared" si="49"/>
        <v>#VALUE!</v>
      </c>
    </row>
  </sheetData>
  <autoFilter ref="A2:P3165" xr:uid="{A85F2A17-CE7C-476C-875D-B0C7BBF4A908}">
    <filterColumn colId="7">
      <filters>
        <filter val="Phoenix, City of"/>
      </filters>
    </filterColumn>
  </autoFilter>
  <pageMargins left="0.75" right="0.75" top="1" bottom="1"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6074E-B62E-4893-8FA7-573C5D52517A}">
  <dimension ref="A1:O107"/>
  <sheetViews>
    <sheetView workbookViewId="0">
      <selection activeCell="N3" sqref="N3"/>
    </sheetView>
  </sheetViews>
  <sheetFormatPr baseColWidth="10" defaultColWidth="9.1640625" defaultRowHeight="11" x14ac:dyDescent="0.15"/>
  <cols>
    <col min="1" max="1" width="40.5" style="286" bestFit="1" customWidth="1"/>
    <col min="2" max="2" width="11.1640625" style="286" bestFit="1" customWidth="1"/>
    <col min="3" max="13" width="11.5" style="286" bestFit="1" customWidth="1"/>
    <col min="14" max="14" width="12.5" style="286" bestFit="1" customWidth="1"/>
    <col min="15" max="15" width="11.1640625" style="286" bestFit="1" customWidth="1"/>
    <col min="16" max="16384" width="9.1640625" style="286"/>
  </cols>
  <sheetData>
    <row r="1" spans="1:15" x14ac:dyDescent="0.15">
      <c r="A1" s="293" t="s">
        <v>175</v>
      </c>
    </row>
    <row r="2" spans="1:15" x14ac:dyDescent="0.15">
      <c r="A2" s="286" t="s">
        <v>1112</v>
      </c>
    </row>
    <row r="3" spans="1:15" x14ac:dyDescent="0.15">
      <c r="A3" s="286" t="s">
        <v>1230</v>
      </c>
      <c r="B3" s="295">
        <f t="shared" ref="B3:N3" si="0">SUM(B5:B107)</f>
        <v>-3983</v>
      </c>
      <c r="C3" s="295">
        <f t="shared" si="0"/>
        <v>56962.53</v>
      </c>
      <c r="D3" s="295">
        <f t="shared" si="0"/>
        <v>123471.34</v>
      </c>
      <c r="E3" s="295">
        <f t="shared" si="0"/>
        <v>148802.43</v>
      </c>
      <c r="F3" s="295">
        <f t="shared" si="0"/>
        <v>155351</v>
      </c>
      <c r="G3" s="295">
        <f t="shared" si="0"/>
        <v>77390.320000000007</v>
      </c>
      <c r="H3" s="295">
        <f t="shared" si="0"/>
        <v>171081.01</v>
      </c>
      <c r="I3" s="295">
        <f t="shared" si="0"/>
        <v>158368.68</v>
      </c>
      <c r="J3" s="295">
        <f t="shared" si="0"/>
        <v>140125</v>
      </c>
      <c r="K3" s="295">
        <f t="shared" si="0"/>
        <v>153981.94</v>
      </c>
      <c r="L3" s="295">
        <f t="shared" si="0"/>
        <v>85564.32</v>
      </c>
      <c r="M3" s="295">
        <f t="shared" si="0"/>
        <v>78709</v>
      </c>
      <c r="N3" s="292">
        <f t="shared" si="0"/>
        <v>1345824.5699999998</v>
      </c>
      <c r="O3" s="292"/>
    </row>
    <row r="4" spans="1:15" x14ac:dyDescent="0.15">
      <c r="A4" s="291" t="s">
        <v>2576</v>
      </c>
      <c r="B4" s="290">
        <v>45322</v>
      </c>
      <c r="C4" s="290">
        <f t="shared" ref="C4:M4" si="1">EOMONTH(B4,1)</f>
        <v>45351</v>
      </c>
      <c r="D4" s="290">
        <f t="shared" si="1"/>
        <v>45382</v>
      </c>
      <c r="E4" s="290">
        <f t="shared" si="1"/>
        <v>45412</v>
      </c>
      <c r="F4" s="290">
        <f t="shared" si="1"/>
        <v>45443</v>
      </c>
      <c r="G4" s="290">
        <f t="shared" si="1"/>
        <v>45473</v>
      </c>
      <c r="H4" s="290">
        <f t="shared" si="1"/>
        <v>45504</v>
      </c>
      <c r="I4" s="290">
        <f t="shared" si="1"/>
        <v>45535</v>
      </c>
      <c r="J4" s="290">
        <f t="shared" si="1"/>
        <v>45565</v>
      </c>
      <c r="K4" s="290">
        <f t="shared" si="1"/>
        <v>45596</v>
      </c>
      <c r="L4" s="290">
        <f t="shared" si="1"/>
        <v>45626</v>
      </c>
      <c r="M4" s="290">
        <f t="shared" si="1"/>
        <v>45657</v>
      </c>
      <c r="N4" s="290" t="s">
        <v>2577</v>
      </c>
    </row>
    <row r="5" spans="1:15" x14ac:dyDescent="0.15">
      <c r="A5" s="286" t="s">
        <v>1002</v>
      </c>
      <c r="B5" s="121">
        <f>SUMIFS('2024 Rev - NS'!$N:$N,'2024 Rev - NS'!$G:$G,'Build MCC'!$A5,'2024 Rev - NS'!$P:$P,'Build MCC'!$A$1,'2024 Rev - NS'!$O:$O,'Build MCC'!B$4)</f>
        <v>0</v>
      </c>
      <c r="C5" s="121">
        <f>SUMIFS('2024 Rev - NS'!$N:$N,'2024 Rev - NS'!$G:$G,'Build MCC'!$A5,'2024 Rev - NS'!$P:$P,'Build MCC'!$A$1,'2024 Rev - NS'!$O:$O,'Build MCC'!C$4)</f>
        <v>0</v>
      </c>
      <c r="D5" s="121">
        <f>SUMIFS('2024 Rev - NS'!$N:$N,'2024 Rev - NS'!$G:$G,'Build MCC'!$A5,'2024 Rev - NS'!$P:$P,'Build MCC'!$A$1,'2024 Rev - NS'!$O:$O,'Build MCC'!D$4)</f>
        <v>0</v>
      </c>
      <c r="E5" s="121">
        <f>SUMIFS('2024 Rev - NS'!$N:$N,'2024 Rev - NS'!$G:$G,'Build MCC'!$A5,'2024 Rev - NS'!$P:$P,'Build MCC'!$A$1,'2024 Rev - NS'!$O:$O,'Build MCC'!E$4)</f>
        <v>0</v>
      </c>
      <c r="F5" s="121">
        <f>SUMIFS('2024 Rev - NS'!$N:$N,'2024 Rev - NS'!$G:$G,'Build MCC'!$A5,'2024 Rev - NS'!$P:$P,'Build MCC'!$A$1,'2024 Rev - NS'!$O:$O,'Build MCC'!F$4)</f>
        <v>0</v>
      </c>
      <c r="G5" s="121">
        <f>SUMIFS('2024 Rev - NS'!$N:$N,'2024 Rev - NS'!$G:$G,'Build MCC'!$A5,'2024 Rev - NS'!$P:$P,'Build MCC'!$A$1,'2024 Rev - NS'!$O:$O,'Build MCC'!G$4)</f>
        <v>0</v>
      </c>
      <c r="H5" s="121">
        <f>SUMIFS('2024 Rev - NS'!$N:$N,'2024 Rev - NS'!$G:$G,'Build MCC'!$A5,'2024 Rev - NS'!$P:$P,'Build MCC'!$A$1,'2024 Rev - NS'!$O:$O,'Build MCC'!H$4)</f>
        <v>0</v>
      </c>
      <c r="I5" s="121">
        <f>SUMIFS('2024 Rev - NS'!$N:$N,'2024 Rev - NS'!$G:$G,'Build MCC'!$A5,'2024 Rev - NS'!$P:$P,'Build MCC'!$A$1,'2024 Rev - NS'!$O:$O,'Build MCC'!I$4)</f>
        <v>0</v>
      </c>
      <c r="J5" s="121">
        <f>SUMIFS('2024 Rev - NS'!$N:$N,'2024 Rev - NS'!$G:$G,'Build MCC'!$A5,'2024 Rev - NS'!$P:$P,'Build MCC'!$A$1,'2024 Rev - NS'!$O:$O,'Build MCC'!J$4)</f>
        <v>32584</v>
      </c>
      <c r="K5" s="121">
        <f>SUMIFS('2024 Rev - NS'!$N:$N,'2024 Rev - NS'!$G:$G,'Build MCC'!$A5,'2024 Rev - NS'!$P:$P,'Build MCC'!$A$1,'2024 Rev - NS'!$O:$O,'Build MCC'!K$4)</f>
        <v>0</v>
      </c>
      <c r="L5" s="121">
        <f>SUMIFS('2024 Rev - NS'!$N:$N,'2024 Rev - NS'!$G:$G,'Build MCC'!$A5,'2024 Rev - NS'!$P:$P,'Build MCC'!$A$1,'2024 Rev - NS'!$O:$O,'Build MCC'!L$4)</f>
        <v>0</v>
      </c>
      <c r="M5" s="121">
        <f>SUMIFS('2024 Rev - NS'!$N:$N,'2024 Rev - NS'!$G:$G,'Build MCC'!$A5,'2024 Rev - NS'!$P:$P,'Build MCC'!$A$1,'2024 Rev - NS'!$O:$O,'Build MCC'!M$4)</f>
        <v>0</v>
      </c>
      <c r="N5" s="121">
        <f t="shared" ref="N5:N36" si="2">SUM(B5:M5)</f>
        <v>32584</v>
      </c>
    </row>
    <row r="6" spans="1:15" x14ac:dyDescent="0.15">
      <c r="A6" s="286" t="s">
        <v>1004</v>
      </c>
      <c r="B6" s="121">
        <f>SUMIFS('2024 Rev - NS'!$N:$N,'2024 Rev - NS'!$G:$G,'Build MCC'!$A6,'2024 Rev - NS'!$P:$P,'Build MCC'!$A$1,'2024 Rev - NS'!$O:$O,'Build MCC'!B$4)</f>
        <v>0</v>
      </c>
      <c r="C6" s="121">
        <f>SUMIFS('2024 Rev - NS'!$N:$N,'2024 Rev - NS'!$G:$G,'Build MCC'!$A6,'2024 Rev - NS'!$P:$P,'Build MCC'!$A$1,'2024 Rev - NS'!$O:$O,'Build MCC'!C$4)</f>
        <v>1808.78</v>
      </c>
      <c r="D6" s="121">
        <f>SUMIFS('2024 Rev - NS'!$N:$N,'2024 Rev - NS'!$G:$G,'Build MCC'!$A6,'2024 Rev - NS'!$P:$P,'Build MCC'!$A$1,'2024 Rev - NS'!$O:$O,'Build MCC'!D$4)</f>
        <v>322.54000000000087</v>
      </c>
      <c r="E6" s="121">
        <f>SUMIFS('2024 Rev - NS'!$N:$N,'2024 Rev - NS'!$G:$G,'Build MCC'!$A6,'2024 Rev - NS'!$P:$P,'Build MCC'!$A$1,'2024 Rev - NS'!$O:$O,'Build MCC'!E$4)</f>
        <v>7548.68</v>
      </c>
      <c r="F6" s="121">
        <f>SUMIFS('2024 Rev - NS'!$N:$N,'2024 Rev - NS'!$G:$G,'Build MCC'!$A6,'2024 Rev - NS'!$P:$P,'Build MCC'!$A$1,'2024 Rev - NS'!$O:$O,'Build MCC'!F$4)</f>
        <v>0</v>
      </c>
      <c r="G6" s="121">
        <f>SUMIFS('2024 Rev - NS'!$N:$N,'2024 Rev - NS'!$G:$G,'Build MCC'!$A6,'2024 Rev - NS'!$P:$P,'Build MCC'!$A$1,'2024 Rev - NS'!$O:$O,'Build MCC'!G$4)</f>
        <v>2131.3200000000002</v>
      </c>
      <c r="H6" s="121">
        <f>SUMIFS('2024 Rev - NS'!$N:$N,'2024 Rev - NS'!$G:$G,'Build MCC'!$A6,'2024 Rev - NS'!$P:$P,'Build MCC'!$A$1,'2024 Rev - NS'!$O:$O,'Build MCC'!H$4)</f>
        <v>0</v>
      </c>
      <c r="I6" s="121">
        <f>SUMIFS('2024 Rev - NS'!$N:$N,'2024 Rev - NS'!$G:$G,'Build MCC'!$A6,'2024 Rev - NS'!$P:$P,'Build MCC'!$A$1,'2024 Rev - NS'!$O:$O,'Build MCC'!I$4)</f>
        <v>-2131.3200000000002</v>
      </c>
      <c r="J6" s="121">
        <f>SUMIFS('2024 Rev - NS'!$N:$N,'2024 Rev - NS'!$G:$G,'Build MCC'!$A6,'2024 Rev - NS'!$P:$P,'Build MCC'!$A$1,'2024 Rev - NS'!$O:$O,'Build MCC'!J$4)</f>
        <v>0</v>
      </c>
      <c r="K6" s="121">
        <f>SUMIFS('2024 Rev - NS'!$N:$N,'2024 Rev - NS'!$G:$G,'Build MCC'!$A6,'2024 Rev - NS'!$P:$P,'Build MCC'!$A$1,'2024 Rev - NS'!$O:$O,'Build MCC'!K$4)</f>
        <v>-2131.3200000000002</v>
      </c>
      <c r="L6" s="121">
        <f>SUMIFS('2024 Rev - NS'!$N:$N,'2024 Rev - NS'!$G:$G,'Build MCC'!$A6,'2024 Rev - NS'!$P:$P,'Build MCC'!$A$1,'2024 Rev - NS'!$O:$O,'Build MCC'!L$4)</f>
        <v>2131.3200000000002</v>
      </c>
      <c r="M6" s="121">
        <f>SUMIFS('2024 Rev - NS'!$N:$N,'2024 Rev - NS'!$G:$G,'Build MCC'!$A6,'2024 Rev - NS'!$P:$P,'Build MCC'!$A$1,'2024 Rev - NS'!$O:$O,'Build MCC'!M$4)</f>
        <v>0</v>
      </c>
      <c r="N6" s="121">
        <f t="shared" si="2"/>
        <v>9680</v>
      </c>
    </row>
    <row r="7" spans="1:15" x14ac:dyDescent="0.15">
      <c r="A7" s="286" t="s">
        <v>1084</v>
      </c>
      <c r="B7" s="121">
        <f>SUMIFS('2024 Rev - NS'!$N:$N,'2024 Rev - NS'!$G:$G,'Build MCC'!$A7,'2024 Rev - NS'!$P:$P,'Build MCC'!$A$1,'2024 Rev - NS'!$O:$O,'Build MCC'!B$4)</f>
        <v>-3983</v>
      </c>
      <c r="C7" s="121">
        <f>SUMIFS('2024 Rev - NS'!$N:$N,'2024 Rev - NS'!$G:$G,'Build MCC'!$A7,'2024 Rev - NS'!$P:$P,'Build MCC'!$A$1,'2024 Rev - NS'!$O:$O,'Build MCC'!C$4)</f>
        <v>3983</v>
      </c>
      <c r="D7" s="121">
        <f>SUMIFS('2024 Rev - NS'!$N:$N,'2024 Rev - NS'!$G:$G,'Build MCC'!$A7,'2024 Rev - NS'!$P:$P,'Build MCC'!$A$1,'2024 Rev - NS'!$O:$O,'Build MCC'!D$4)</f>
        <v>0</v>
      </c>
      <c r="E7" s="121">
        <f>SUMIFS('2024 Rev - NS'!$N:$N,'2024 Rev - NS'!$G:$G,'Build MCC'!$A7,'2024 Rev - NS'!$P:$P,'Build MCC'!$A$1,'2024 Rev - NS'!$O:$O,'Build MCC'!E$4)</f>
        <v>0</v>
      </c>
      <c r="F7" s="121">
        <f>SUMIFS('2024 Rev - NS'!$N:$N,'2024 Rev - NS'!$G:$G,'Build MCC'!$A7,'2024 Rev - NS'!$P:$P,'Build MCC'!$A$1,'2024 Rev - NS'!$O:$O,'Build MCC'!F$4)</f>
        <v>0</v>
      </c>
      <c r="G7" s="121">
        <f>SUMIFS('2024 Rev - NS'!$N:$N,'2024 Rev - NS'!$G:$G,'Build MCC'!$A7,'2024 Rev - NS'!$P:$P,'Build MCC'!$A$1,'2024 Rev - NS'!$O:$O,'Build MCC'!G$4)</f>
        <v>0</v>
      </c>
      <c r="H7" s="121">
        <f>SUMIFS('2024 Rev - NS'!$N:$N,'2024 Rev - NS'!$G:$G,'Build MCC'!$A7,'2024 Rev - NS'!$P:$P,'Build MCC'!$A$1,'2024 Rev - NS'!$O:$O,'Build MCC'!H$4)</f>
        <v>26550</v>
      </c>
      <c r="I7" s="121">
        <f>SUMIFS('2024 Rev - NS'!$N:$N,'2024 Rev - NS'!$G:$G,'Build MCC'!$A7,'2024 Rev - NS'!$P:$P,'Build MCC'!$A$1,'2024 Rev - NS'!$O:$O,'Build MCC'!I$4)</f>
        <v>-3983</v>
      </c>
      <c r="J7" s="121">
        <f>SUMIFS('2024 Rev - NS'!$N:$N,'2024 Rev - NS'!$G:$G,'Build MCC'!$A7,'2024 Rev - NS'!$P:$P,'Build MCC'!$A$1,'2024 Rev - NS'!$O:$O,'Build MCC'!J$4)</f>
        <v>0</v>
      </c>
      <c r="K7" s="121">
        <f>SUMIFS('2024 Rev - NS'!$N:$N,'2024 Rev - NS'!$G:$G,'Build MCC'!$A7,'2024 Rev - NS'!$P:$P,'Build MCC'!$A$1,'2024 Rev - NS'!$O:$O,'Build MCC'!K$4)</f>
        <v>0</v>
      </c>
      <c r="L7" s="121">
        <f>SUMIFS('2024 Rev - NS'!$N:$N,'2024 Rev - NS'!$G:$G,'Build MCC'!$A7,'2024 Rev - NS'!$P:$P,'Build MCC'!$A$1,'2024 Rev - NS'!$O:$O,'Build MCC'!L$4)</f>
        <v>0</v>
      </c>
      <c r="M7" s="121">
        <f>SUMIFS('2024 Rev - NS'!$N:$N,'2024 Rev - NS'!$G:$G,'Build MCC'!$A7,'2024 Rev - NS'!$P:$P,'Build MCC'!$A$1,'2024 Rev - NS'!$O:$O,'Build MCC'!M$4)</f>
        <v>0</v>
      </c>
      <c r="N7" s="121">
        <f t="shared" si="2"/>
        <v>22567</v>
      </c>
    </row>
    <row r="8" spans="1:15" x14ac:dyDescent="0.15">
      <c r="A8" s="286" t="s">
        <v>1005</v>
      </c>
      <c r="B8" s="121">
        <f>SUMIFS('2024 Rev - NS'!$N:$N,'2024 Rev - NS'!$G:$G,'Build MCC'!$A8,'2024 Rev - NS'!$P:$P,'Build MCC'!$A$1,'2024 Rev - NS'!$O:$O,'Build MCC'!B$4)</f>
        <v>0</v>
      </c>
      <c r="C8" s="121">
        <f>SUMIFS('2024 Rev - NS'!$N:$N,'2024 Rev - NS'!$G:$G,'Build MCC'!$A8,'2024 Rev - NS'!$P:$P,'Build MCC'!$A$1,'2024 Rev - NS'!$O:$O,'Build MCC'!C$4)</f>
        <v>0</v>
      </c>
      <c r="D8" s="121">
        <f>SUMIFS('2024 Rev - NS'!$N:$N,'2024 Rev - NS'!$G:$G,'Build MCC'!$A8,'2024 Rev - NS'!$P:$P,'Build MCC'!$A$1,'2024 Rev - NS'!$O:$O,'Build MCC'!D$4)</f>
        <v>9353</v>
      </c>
      <c r="E8" s="121">
        <f>SUMIFS('2024 Rev - NS'!$N:$N,'2024 Rev - NS'!$G:$G,'Build MCC'!$A8,'2024 Rev - NS'!$P:$P,'Build MCC'!$A$1,'2024 Rev - NS'!$O:$O,'Build MCC'!E$4)</f>
        <v>0</v>
      </c>
      <c r="F8" s="121">
        <f>SUMIFS('2024 Rev - NS'!$N:$N,'2024 Rev - NS'!$G:$G,'Build MCC'!$A8,'2024 Rev - NS'!$P:$P,'Build MCC'!$A$1,'2024 Rev - NS'!$O:$O,'Build MCC'!F$4)</f>
        <v>0</v>
      </c>
      <c r="G8" s="121">
        <f>SUMIFS('2024 Rev - NS'!$N:$N,'2024 Rev - NS'!$G:$G,'Build MCC'!$A8,'2024 Rev - NS'!$P:$P,'Build MCC'!$A$1,'2024 Rev - NS'!$O:$O,'Build MCC'!G$4)</f>
        <v>0</v>
      </c>
      <c r="H8" s="121">
        <f>SUMIFS('2024 Rev - NS'!$N:$N,'2024 Rev - NS'!$G:$G,'Build MCC'!$A8,'2024 Rev - NS'!$P:$P,'Build MCC'!$A$1,'2024 Rev - NS'!$O:$O,'Build MCC'!H$4)</f>
        <v>0</v>
      </c>
      <c r="I8" s="121">
        <f>SUMIFS('2024 Rev - NS'!$N:$N,'2024 Rev - NS'!$G:$G,'Build MCC'!$A8,'2024 Rev - NS'!$P:$P,'Build MCC'!$A$1,'2024 Rev - NS'!$O:$O,'Build MCC'!I$4)</f>
        <v>0</v>
      </c>
      <c r="J8" s="121">
        <f>SUMIFS('2024 Rev - NS'!$N:$N,'2024 Rev - NS'!$G:$G,'Build MCC'!$A8,'2024 Rev - NS'!$P:$P,'Build MCC'!$A$1,'2024 Rev - NS'!$O:$O,'Build MCC'!J$4)</f>
        <v>0</v>
      </c>
      <c r="K8" s="121">
        <f>SUMIFS('2024 Rev - NS'!$N:$N,'2024 Rev - NS'!$G:$G,'Build MCC'!$A8,'2024 Rev - NS'!$P:$P,'Build MCC'!$A$1,'2024 Rev - NS'!$O:$O,'Build MCC'!K$4)</f>
        <v>0</v>
      </c>
      <c r="L8" s="121">
        <f>SUMIFS('2024 Rev - NS'!$N:$N,'2024 Rev - NS'!$G:$G,'Build MCC'!$A8,'2024 Rev - NS'!$P:$P,'Build MCC'!$A$1,'2024 Rev - NS'!$O:$O,'Build MCC'!L$4)</f>
        <v>0</v>
      </c>
      <c r="M8" s="121">
        <f>SUMIFS('2024 Rev - NS'!$N:$N,'2024 Rev - NS'!$G:$G,'Build MCC'!$A8,'2024 Rev - NS'!$P:$P,'Build MCC'!$A$1,'2024 Rev - NS'!$O:$O,'Build MCC'!M$4)</f>
        <v>0</v>
      </c>
      <c r="N8" s="121">
        <f t="shared" si="2"/>
        <v>9353</v>
      </c>
    </row>
    <row r="9" spans="1:15" x14ac:dyDescent="0.15">
      <c r="A9" s="286" t="s">
        <v>1006</v>
      </c>
      <c r="B9" s="121">
        <f>SUMIFS('2024 Rev - NS'!$N:$N,'2024 Rev - NS'!$G:$G,'Build MCC'!$A9,'2024 Rev - NS'!$P:$P,'Build MCC'!$A$1,'2024 Rev - NS'!$O:$O,'Build MCC'!B$4)</f>
        <v>0</v>
      </c>
      <c r="C9" s="121">
        <f>SUMIFS('2024 Rev - NS'!$N:$N,'2024 Rev - NS'!$G:$G,'Build MCC'!$A9,'2024 Rev - NS'!$P:$P,'Build MCC'!$A$1,'2024 Rev - NS'!$O:$O,'Build MCC'!C$4)</f>
        <v>0</v>
      </c>
      <c r="D9" s="121">
        <f>SUMIFS('2024 Rev - NS'!$N:$N,'2024 Rev - NS'!$G:$G,'Build MCC'!$A9,'2024 Rev - NS'!$P:$P,'Build MCC'!$A$1,'2024 Rev - NS'!$O:$O,'Build MCC'!D$4)</f>
        <v>0</v>
      </c>
      <c r="E9" s="121">
        <f>SUMIFS('2024 Rev - NS'!$N:$N,'2024 Rev - NS'!$G:$G,'Build MCC'!$A9,'2024 Rev - NS'!$P:$P,'Build MCC'!$A$1,'2024 Rev - NS'!$O:$O,'Build MCC'!E$4)</f>
        <v>0</v>
      </c>
      <c r="F9" s="121">
        <f>SUMIFS('2024 Rev - NS'!$N:$N,'2024 Rev - NS'!$G:$G,'Build MCC'!$A9,'2024 Rev - NS'!$P:$P,'Build MCC'!$A$1,'2024 Rev - NS'!$O:$O,'Build MCC'!F$4)</f>
        <v>0</v>
      </c>
      <c r="G9" s="121">
        <f>SUMIFS('2024 Rev - NS'!$N:$N,'2024 Rev - NS'!$G:$G,'Build MCC'!$A9,'2024 Rev - NS'!$P:$P,'Build MCC'!$A$1,'2024 Rev - NS'!$O:$O,'Build MCC'!G$4)</f>
        <v>12084</v>
      </c>
      <c r="H9" s="121">
        <f>SUMIFS('2024 Rev - NS'!$N:$N,'2024 Rev - NS'!$G:$G,'Build MCC'!$A9,'2024 Rev - NS'!$P:$P,'Build MCC'!$A$1,'2024 Rev - NS'!$O:$O,'Build MCC'!H$4)</f>
        <v>0</v>
      </c>
      <c r="I9" s="121">
        <f>SUMIFS('2024 Rev - NS'!$N:$N,'2024 Rev - NS'!$G:$G,'Build MCC'!$A9,'2024 Rev - NS'!$P:$P,'Build MCC'!$A$1,'2024 Rev - NS'!$O:$O,'Build MCC'!I$4)</f>
        <v>0</v>
      </c>
      <c r="J9" s="121">
        <f>SUMIFS('2024 Rev - NS'!$N:$N,'2024 Rev - NS'!$G:$G,'Build MCC'!$A9,'2024 Rev - NS'!$P:$P,'Build MCC'!$A$1,'2024 Rev - NS'!$O:$O,'Build MCC'!J$4)</f>
        <v>0</v>
      </c>
      <c r="K9" s="121">
        <f>SUMIFS('2024 Rev - NS'!$N:$N,'2024 Rev - NS'!$G:$G,'Build MCC'!$A9,'2024 Rev - NS'!$P:$P,'Build MCC'!$A$1,'2024 Rev - NS'!$O:$O,'Build MCC'!K$4)</f>
        <v>0</v>
      </c>
      <c r="L9" s="121">
        <f>SUMIFS('2024 Rev - NS'!$N:$N,'2024 Rev - NS'!$G:$G,'Build MCC'!$A9,'2024 Rev - NS'!$P:$P,'Build MCC'!$A$1,'2024 Rev - NS'!$O:$O,'Build MCC'!L$4)</f>
        <v>0</v>
      </c>
      <c r="M9" s="121">
        <f>SUMIFS('2024 Rev - NS'!$N:$N,'2024 Rev - NS'!$G:$G,'Build MCC'!$A9,'2024 Rev - NS'!$P:$P,'Build MCC'!$A$1,'2024 Rev - NS'!$O:$O,'Build MCC'!M$4)</f>
        <v>0</v>
      </c>
      <c r="N9" s="121">
        <f t="shared" si="2"/>
        <v>12084</v>
      </c>
    </row>
    <row r="10" spans="1:15" x14ac:dyDescent="0.15">
      <c r="A10" s="286" t="s">
        <v>1007</v>
      </c>
      <c r="B10" s="121">
        <f>SUMIFS('2024 Rev - NS'!$N:$N,'2024 Rev - NS'!$G:$G,'Build MCC'!$A10,'2024 Rev - NS'!$P:$P,'Build MCC'!$A$1,'2024 Rev - NS'!$O:$O,'Build MCC'!B$4)</f>
        <v>0</v>
      </c>
      <c r="C10" s="121">
        <f>SUMIFS('2024 Rev - NS'!$N:$N,'2024 Rev - NS'!$G:$G,'Build MCC'!$A10,'2024 Rev - NS'!$P:$P,'Build MCC'!$A$1,'2024 Rev - NS'!$O:$O,'Build MCC'!C$4)</f>
        <v>0</v>
      </c>
      <c r="D10" s="121">
        <f>SUMIFS('2024 Rev - NS'!$N:$N,'2024 Rev - NS'!$G:$G,'Build MCC'!$A10,'2024 Rev - NS'!$P:$P,'Build MCC'!$A$1,'2024 Rev - NS'!$O:$O,'Build MCC'!D$4)</f>
        <v>0</v>
      </c>
      <c r="E10" s="121">
        <f>SUMIFS('2024 Rev - NS'!$N:$N,'2024 Rev - NS'!$G:$G,'Build MCC'!$A10,'2024 Rev - NS'!$P:$P,'Build MCC'!$A$1,'2024 Rev - NS'!$O:$O,'Build MCC'!E$4)</f>
        <v>0</v>
      </c>
      <c r="F10" s="121">
        <f>SUMIFS('2024 Rev - NS'!$N:$N,'2024 Rev - NS'!$G:$G,'Build MCC'!$A10,'2024 Rev - NS'!$P:$P,'Build MCC'!$A$1,'2024 Rev - NS'!$O:$O,'Build MCC'!F$4)</f>
        <v>0</v>
      </c>
      <c r="G10" s="121">
        <f>SUMIFS('2024 Rev - NS'!$N:$N,'2024 Rev - NS'!$G:$G,'Build MCC'!$A10,'2024 Rev - NS'!$P:$P,'Build MCC'!$A$1,'2024 Rev - NS'!$O:$O,'Build MCC'!G$4)</f>
        <v>0</v>
      </c>
      <c r="H10" s="121">
        <f>SUMIFS('2024 Rev - NS'!$N:$N,'2024 Rev - NS'!$G:$G,'Build MCC'!$A10,'2024 Rev - NS'!$P:$P,'Build MCC'!$A$1,'2024 Rev - NS'!$O:$O,'Build MCC'!H$4)</f>
        <v>0</v>
      </c>
      <c r="I10" s="121">
        <f>SUMIFS('2024 Rev - NS'!$N:$N,'2024 Rev - NS'!$G:$G,'Build MCC'!$A10,'2024 Rev - NS'!$P:$P,'Build MCC'!$A$1,'2024 Rev - NS'!$O:$O,'Build MCC'!I$4)</f>
        <v>0</v>
      </c>
      <c r="J10" s="121">
        <f>SUMIFS('2024 Rev - NS'!$N:$N,'2024 Rev - NS'!$G:$G,'Build MCC'!$A10,'2024 Rev - NS'!$P:$P,'Build MCC'!$A$1,'2024 Rev - NS'!$O:$O,'Build MCC'!J$4)</f>
        <v>0</v>
      </c>
      <c r="K10" s="121">
        <f>SUMIFS('2024 Rev - NS'!$N:$N,'2024 Rev - NS'!$G:$G,'Build MCC'!$A10,'2024 Rev - NS'!$P:$P,'Build MCC'!$A$1,'2024 Rev - NS'!$O:$O,'Build MCC'!K$4)</f>
        <v>0</v>
      </c>
      <c r="L10" s="121">
        <f>SUMIFS('2024 Rev - NS'!$N:$N,'2024 Rev - NS'!$G:$G,'Build MCC'!$A10,'2024 Rev - NS'!$P:$P,'Build MCC'!$A$1,'2024 Rev - NS'!$O:$O,'Build MCC'!L$4)</f>
        <v>44749</v>
      </c>
      <c r="M10" s="121">
        <f>SUMIFS('2024 Rev - NS'!$N:$N,'2024 Rev - NS'!$G:$G,'Build MCC'!$A10,'2024 Rev - NS'!$P:$P,'Build MCC'!$A$1,'2024 Rev - NS'!$O:$O,'Build MCC'!M$4)</f>
        <v>0</v>
      </c>
      <c r="N10" s="121">
        <f t="shared" si="2"/>
        <v>44749</v>
      </c>
    </row>
    <row r="11" spans="1:15" x14ac:dyDescent="0.15">
      <c r="A11" s="286" t="s">
        <v>1008</v>
      </c>
      <c r="B11" s="121">
        <f>SUMIFS('2024 Rev - NS'!$N:$N,'2024 Rev - NS'!$G:$G,'Build MCC'!$A11,'2024 Rev - NS'!$P:$P,'Build MCC'!$A$1,'2024 Rev - NS'!$O:$O,'Build MCC'!B$4)</f>
        <v>0</v>
      </c>
      <c r="C11" s="121">
        <f>SUMIFS('2024 Rev - NS'!$N:$N,'2024 Rev - NS'!$G:$G,'Build MCC'!$A11,'2024 Rev - NS'!$P:$P,'Build MCC'!$A$1,'2024 Rev - NS'!$O:$O,'Build MCC'!C$4)</f>
        <v>0</v>
      </c>
      <c r="D11" s="121">
        <f>SUMIFS('2024 Rev - NS'!$N:$N,'2024 Rev - NS'!$G:$G,'Build MCC'!$A11,'2024 Rev - NS'!$P:$P,'Build MCC'!$A$1,'2024 Rev - NS'!$O:$O,'Build MCC'!D$4)</f>
        <v>0</v>
      </c>
      <c r="E11" s="121">
        <f>SUMIFS('2024 Rev - NS'!$N:$N,'2024 Rev - NS'!$G:$G,'Build MCC'!$A11,'2024 Rev - NS'!$P:$P,'Build MCC'!$A$1,'2024 Rev - NS'!$O:$O,'Build MCC'!E$4)</f>
        <v>0</v>
      </c>
      <c r="F11" s="121">
        <f>SUMIFS('2024 Rev - NS'!$N:$N,'2024 Rev - NS'!$G:$G,'Build MCC'!$A11,'2024 Rev - NS'!$P:$P,'Build MCC'!$A$1,'2024 Rev - NS'!$O:$O,'Build MCC'!F$4)</f>
        <v>0</v>
      </c>
      <c r="G11" s="121">
        <f>SUMIFS('2024 Rev - NS'!$N:$N,'2024 Rev - NS'!$G:$G,'Build MCC'!$A11,'2024 Rev - NS'!$P:$P,'Build MCC'!$A$1,'2024 Rev - NS'!$O:$O,'Build MCC'!G$4)</f>
        <v>0</v>
      </c>
      <c r="H11" s="121">
        <f>SUMIFS('2024 Rev - NS'!$N:$N,'2024 Rev - NS'!$G:$G,'Build MCC'!$A11,'2024 Rev - NS'!$P:$P,'Build MCC'!$A$1,'2024 Rev - NS'!$O:$O,'Build MCC'!H$4)</f>
        <v>0</v>
      </c>
      <c r="I11" s="121">
        <f>SUMIFS('2024 Rev - NS'!$N:$N,'2024 Rev - NS'!$G:$G,'Build MCC'!$A11,'2024 Rev - NS'!$P:$P,'Build MCC'!$A$1,'2024 Rev - NS'!$O:$O,'Build MCC'!I$4)</f>
        <v>0</v>
      </c>
      <c r="J11" s="121">
        <f>SUMIFS('2024 Rev - NS'!$N:$N,'2024 Rev - NS'!$G:$G,'Build MCC'!$A11,'2024 Rev - NS'!$P:$P,'Build MCC'!$A$1,'2024 Rev - NS'!$O:$O,'Build MCC'!J$4)</f>
        <v>0</v>
      </c>
      <c r="K11" s="121">
        <f>SUMIFS('2024 Rev - NS'!$N:$N,'2024 Rev - NS'!$G:$G,'Build MCC'!$A11,'2024 Rev - NS'!$P:$P,'Build MCC'!$A$1,'2024 Rev - NS'!$O:$O,'Build MCC'!K$4)</f>
        <v>0</v>
      </c>
      <c r="L11" s="121">
        <f>SUMIFS('2024 Rev - NS'!$N:$N,'2024 Rev - NS'!$G:$G,'Build MCC'!$A11,'2024 Rev - NS'!$P:$P,'Build MCC'!$A$1,'2024 Rev - NS'!$O:$O,'Build MCC'!L$4)</f>
        <v>0</v>
      </c>
      <c r="M11" s="121">
        <f>SUMIFS('2024 Rev - NS'!$N:$N,'2024 Rev - NS'!$G:$G,'Build MCC'!$A11,'2024 Rev - NS'!$P:$P,'Build MCC'!$A$1,'2024 Rev - NS'!$O:$O,'Build MCC'!M$4)</f>
        <v>0</v>
      </c>
      <c r="N11" s="121">
        <f t="shared" si="2"/>
        <v>0</v>
      </c>
    </row>
    <row r="12" spans="1:15" x14ac:dyDescent="0.15">
      <c r="A12" s="286" t="s">
        <v>1010</v>
      </c>
      <c r="B12" s="121">
        <f>SUMIFS('2024 Rev - NS'!$N:$N,'2024 Rev - NS'!$G:$G,'Build MCC'!$A12,'2024 Rev - NS'!$P:$P,'Build MCC'!$A$1,'2024 Rev - NS'!$O:$O,'Build MCC'!B$4)</f>
        <v>0</v>
      </c>
      <c r="C12" s="121">
        <f>SUMIFS('2024 Rev - NS'!$N:$N,'2024 Rev - NS'!$G:$G,'Build MCC'!$A12,'2024 Rev - NS'!$P:$P,'Build MCC'!$A$1,'2024 Rev - NS'!$O:$O,'Build MCC'!C$4)</f>
        <v>0</v>
      </c>
      <c r="D12" s="121">
        <f>SUMIFS('2024 Rev - NS'!$N:$N,'2024 Rev - NS'!$G:$G,'Build MCC'!$A12,'2024 Rev - NS'!$P:$P,'Build MCC'!$A$1,'2024 Rev - NS'!$O:$O,'Build MCC'!D$4)</f>
        <v>0</v>
      </c>
      <c r="E12" s="121">
        <f>SUMIFS('2024 Rev - NS'!$N:$N,'2024 Rev - NS'!$G:$G,'Build MCC'!$A12,'2024 Rev - NS'!$P:$P,'Build MCC'!$A$1,'2024 Rev - NS'!$O:$O,'Build MCC'!E$4)</f>
        <v>0</v>
      </c>
      <c r="F12" s="121">
        <f>SUMIFS('2024 Rev - NS'!$N:$N,'2024 Rev - NS'!$G:$G,'Build MCC'!$A12,'2024 Rev - NS'!$P:$P,'Build MCC'!$A$1,'2024 Rev - NS'!$O:$O,'Build MCC'!F$4)</f>
        <v>0</v>
      </c>
      <c r="G12" s="121">
        <f>SUMIFS('2024 Rev - NS'!$N:$N,'2024 Rev - NS'!$G:$G,'Build MCC'!$A12,'2024 Rev - NS'!$P:$P,'Build MCC'!$A$1,'2024 Rev - NS'!$O:$O,'Build MCC'!G$4)</f>
        <v>0</v>
      </c>
      <c r="H12" s="121">
        <f>SUMIFS('2024 Rev - NS'!$N:$N,'2024 Rev - NS'!$G:$G,'Build MCC'!$A12,'2024 Rev - NS'!$P:$P,'Build MCC'!$A$1,'2024 Rev - NS'!$O:$O,'Build MCC'!H$4)</f>
        <v>0</v>
      </c>
      <c r="I12" s="121">
        <f>SUMIFS('2024 Rev - NS'!$N:$N,'2024 Rev - NS'!$G:$G,'Build MCC'!$A12,'2024 Rev - NS'!$P:$P,'Build MCC'!$A$1,'2024 Rev - NS'!$O:$O,'Build MCC'!I$4)</f>
        <v>0</v>
      </c>
      <c r="J12" s="121">
        <f>SUMIFS('2024 Rev - NS'!$N:$N,'2024 Rev - NS'!$G:$G,'Build MCC'!$A12,'2024 Rev - NS'!$P:$P,'Build MCC'!$A$1,'2024 Rev - NS'!$O:$O,'Build MCC'!J$4)</f>
        <v>19269</v>
      </c>
      <c r="K12" s="121">
        <f>SUMIFS('2024 Rev - NS'!$N:$N,'2024 Rev - NS'!$G:$G,'Build MCC'!$A12,'2024 Rev - NS'!$P:$P,'Build MCC'!$A$1,'2024 Rev - NS'!$O:$O,'Build MCC'!K$4)</f>
        <v>0</v>
      </c>
      <c r="L12" s="121">
        <f>SUMIFS('2024 Rev - NS'!$N:$N,'2024 Rev - NS'!$G:$G,'Build MCC'!$A12,'2024 Rev - NS'!$P:$P,'Build MCC'!$A$1,'2024 Rev - NS'!$O:$O,'Build MCC'!L$4)</f>
        <v>0</v>
      </c>
      <c r="M12" s="121">
        <f>SUMIFS('2024 Rev - NS'!$N:$N,'2024 Rev - NS'!$G:$G,'Build MCC'!$A12,'2024 Rev - NS'!$P:$P,'Build MCC'!$A$1,'2024 Rev - NS'!$O:$O,'Build MCC'!M$4)</f>
        <v>0</v>
      </c>
      <c r="N12" s="121">
        <f t="shared" si="2"/>
        <v>19269</v>
      </c>
    </row>
    <row r="13" spans="1:15" x14ac:dyDescent="0.15">
      <c r="A13" s="286" t="s">
        <v>1011</v>
      </c>
      <c r="B13" s="121">
        <f>SUMIFS('2024 Rev - NS'!$N:$N,'2024 Rev - NS'!$G:$G,'Build MCC'!$A13,'2024 Rev - NS'!$P:$P,'Build MCC'!$A$1,'2024 Rev - NS'!$O:$O,'Build MCC'!B$4)</f>
        <v>0</v>
      </c>
      <c r="C13" s="121">
        <f>SUMIFS('2024 Rev - NS'!$N:$N,'2024 Rev - NS'!$G:$G,'Build MCC'!$A13,'2024 Rev - NS'!$P:$P,'Build MCC'!$A$1,'2024 Rev - NS'!$O:$O,'Build MCC'!C$4)</f>
        <v>0</v>
      </c>
      <c r="D13" s="121">
        <f>SUMIFS('2024 Rev - NS'!$N:$N,'2024 Rev - NS'!$G:$G,'Build MCC'!$A13,'2024 Rev - NS'!$P:$P,'Build MCC'!$A$1,'2024 Rev - NS'!$O:$O,'Build MCC'!D$4)</f>
        <v>0</v>
      </c>
      <c r="E13" s="121">
        <f>SUMIFS('2024 Rev - NS'!$N:$N,'2024 Rev - NS'!$G:$G,'Build MCC'!$A13,'2024 Rev - NS'!$P:$P,'Build MCC'!$A$1,'2024 Rev - NS'!$O:$O,'Build MCC'!E$4)</f>
        <v>0</v>
      </c>
      <c r="F13" s="121">
        <f>SUMIFS('2024 Rev - NS'!$N:$N,'2024 Rev - NS'!$G:$G,'Build MCC'!$A13,'2024 Rev - NS'!$P:$P,'Build MCC'!$A$1,'2024 Rev - NS'!$O:$O,'Build MCC'!F$4)</f>
        <v>0</v>
      </c>
      <c r="G13" s="121">
        <f>SUMIFS('2024 Rev - NS'!$N:$N,'2024 Rev - NS'!$G:$G,'Build MCC'!$A13,'2024 Rev - NS'!$P:$P,'Build MCC'!$A$1,'2024 Rev - NS'!$O:$O,'Build MCC'!G$4)</f>
        <v>0</v>
      </c>
      <c r="H13" s="121">
        <f>SUMIFS('2024 Rev - NS'!$N:$N,'2024 Rev - NS'!$G:$G,'Build MCC'!$A13,'2024 Rev - NS'!$P:$P,'Build MCC'!$A$1,'2024 Rev - NS'!$O:$O,'Build MCC'!H$4)</f>
        <v>0</v>
      </c>
      <c r="I13" s="121">
        <f>SUMIFS('2024 Rev - NS'!$N:$N,'2024 Rev - NS'!$G:$G,'Build MCC'!$A13,'2024 Rev - NS'!$P:$P,'Build MCC'!$A$1,'2024 Rev - NS'!$O:$O,'Build MCC'!I$4)</f>
        <v>0</v>
      </c>
      <c r="J13" s="121">
        <f>SUMIFS('2024 Rev - NS'!$N:$N,'2024 Rev - NS'!$G:$G,'Build MCC'!$A13,'2024 Rev - NS'!$P:$P,'Build MCC'!$A$1,'2024 Rev - NS'!$O:$O,'Build MCC'!J$4)</f>
        <v>0</v>
      </c>
      <c r="K13" s="121">
        <f>SUMIFS('2024 Rev - NS'!$N:$N,'2024 Rev - NS'!$G:$G,'Build MCC'!$A13,'2024 Rev - NS'!$P:$P,'Build MCC'!$A$1,'2024 Rev - NS'!$O:$O,'Build MCC'!K$4)</f>
        <v>0</v>
      </c>
      <c r="L13" s="121">
        <f>SUMIFS('2024 Rev - NS'!$N:$N,'2024 Rev - NS'!$G:$G,'Build MCC'!$A13,'2024 Rev - NS'!$P:$P,'Build MCC'!$A$1,'2024 Rev - NS'!$O:$O,'Build MCC'!L$4)</f>
        <v>0</v>
      </c>
      <c r="M13" s="121">
        <f>SUMIFS('2024 Rev - NS'!$N:$N,'2024 Rev - NS'!$G:$G,'Build MCC'!$A13,'2024 Rev - NS'!$P:$P,'Build MCC'!$A$1,'2024 Rev - NS'!$O:$O,'Build MCC'!M$4)</f>
        <v>0</v>
      </c>
      <c r="N13" s="121">
        <f t="shared" si="2"/>
        <v>0</v>
      </c>
    </row>
    <row r="14" spans="1:15" x14ac:dyDescent="0.15">
      <c r="A14" s="286" t="s">
        <v>1012</v>
      </c>
      <c r="B14" s="121">
        <f>SUMIFS('2024 Rev - NS'!$N:$N,'2024 Rev - NS'!$G:$G,'Build MCC'!$A14,'2024 Rev - NS'!$P:$P,'Build MCC'!$A$1,'2024 Rev - NS'!$O:$O,'Build MCC'!B$4)</f>
        <v>0</v>
      </c>
      <c r="C14" s="121">
        <f>SUMIFS('2024 Rev - NS'!$N:$N,'2024 Rev - NS'!$G:$G,'Build MCC'!$A14,'2024 Rev - NS'!$P:$P,'Build MCC'!$A$1,'2024 Rev - NS'!$O:$O,'Build MCC'!C$4)</f>
        <v>0</v>
      </c>
      <c r="D14" s="121">
        <f>SUMIFS('2024 Rev - NS'!$N:$N,'2024 Rev - NS'!$G:$G,'Build MCC'!$A14,'2024 Rev - NS'!$P:$P,'Build MCC'!$A$1,'2024 Rev - NS'!$O:$O,'Build MCC'!D$4)</f>
        <v>0</v>
      </c>
      <c r="E14" s="121">
        <f>SUMIFS('2024 Rev - NS'!$N:$N,'2024 Rev - NS'!$G:$G,'Build MCC'!$A14,'2024 Rev - NS'!$P:$P,'Build MCC'!$A$1,'2024 Rev - NS'!$O:$O,'Build MCC'!E$4)</f>
        <v>25403</v>
      </c>
      <c r="F14" s="121">
        <f>SUMIFS('2024 Rev - NS'!$N:$N,'2024 Rev - NS'!$G:$G,'Build MCC'!$A14,'2024 Rev - NS'!$P:$P,'Build MCC'!$A$1,'2024 Rev - NS'!$O:$O,'Build MCC'!F$4)</f>
        <v>0</v>
      </c>
      <c r="G14" s="121">
        <f>SUMIFS('2024 Rev - NS'!$N:$N,'2024 Rev - NS'!$G:$G,'Build MCC'!$A14,'2024 Rev - NS'!$P:$P,'Build MCC'!$A$1,'2024 Rev - NS'!$O:$O,'Build MCC'!G$4)</f>
        <v>0</v>
      </c>
      <c r="H14" s="121">
        <f>SUMIFS('2024 Rev - NS'!$N:$N,'2024 Rev - NS'!$G:$G,'Build MCC'!$A14,'2024 Rev - NS'!$P:$P,'Build MCC'!$A$1,'2024 Rev - NS'!$O:$O,'Build MCC'!H$4)</f>
        <v>0</v>
      </c>
      <c r="I14" s="121">
        <f>SUMIFS('2024 Rev - NS'!$N:$N,'2024 Rev - NS'!$G:$G,'Build MCC'!$A14,'2024 Rev - NS'!$P:$P,'Build MCC'!$A$1,'2024 Rev - NS'!$O:$O,'Build MCC'!I$4)</f>
        <v>0</v>
      </c>
      <c r="J14" s="121">
        <f>SUMIFS('2024 Rev - NS'!$N:$N,'2024 Rev - NS'!$G:$G,'Build MCC'!$A14,'2024 Rev - NS'!$P:$P,'Build MCC'!$A$1,'2024 Rev - NS'!$O:$O,'Build MCC'!J$4)</f>
        <v>0</v>
      </c>
      <c r="K14" s="121">
        <f>SUMIFS('2024 Rev - NS'!$N:$N,'2024 Rev - NS'!$G:$G,'Build MCC'!$A14,'2024 Rev - NS'!$P:$P,'Build MCC'!$A$1,'2024 Rev - NS'!$O:$O,'Build MCC'!K$4)</f>
        <v>0</v>
      </c>
      <c r="L14" s="121">
        <f>SUMIFS('2024 Rev - NS'!$N:$N,'2024 Rev - NS'!$G:$G,'Build MCC'!$A14,'2024 Rev - NS'!$P:$P,'Build MCC'!$A$1,'2024 Rev - NS'!$O:$O,'Build MCC'!L$4)</f>
        <v>0</v>
      </c>
      <c r="M14" s="121">
        <f>SUMIFS('2024 Rev - NS'!$N:$N,'2024 Rev - NS'!$G:$G,'Build MCC'!$A14,'2024 Rev - NS'!$P:$P,'Build MCC'!$A$1,'2024 Rev - NS'!$O:$O,'Build MCC'!M$4)</f>
        <v>0</v>
      </c>
      <c r="N14" s="121">
        <f t="shared" si="2"/>
        <v>25403</v>
      </c>
    </row>
    <row r="15" spans="1:15" x14ac:dyDescent="0.15">
      <c r="A15" s="286" t="s">
        <v>1013</v>
      </c>
      <c r="B15" s="121">
        <f>SUMIFS('2024 Rev - NS'!$N:$N,'2024 Rev - NS'!$G:$G,'Build MCC'!$A15,'2024 Rev - NS'!$P:$P,'Build MCC'!$A$1,'2024 Rev - NS'!$O:$O,'Build MCC'!B$4)</f>
        <v>0</v>
      </c>
      <c r="C15" s="121">
        <f>SUMIFS('2024 Rev - NS'!$N:$N,'2024 Rev - NS'!$G:$G,'Build MCC'!$A15,'2024 Rev - NS'!$P:$P,'Build MCC'!$A$1,'2024 Rev - NS'!$O:$O,'Build MCC'!C$4)</f>
        <v>0</v>
      </c>
      <c r="D15" s="121">
        <f>SUMIFS('2024 Rev - NS'!$N:$N,'2024 Rev - NS'!$G:$G,'Build MCC'!$A15,'2024 Rev - NS'!$P:$P,'Build MCC'!$A$1,'2024 Rev - NS'!$O:$O,'Build MCC'!D$4)</f>
        <v>0</v>
      </c>
      <c r="E15" s="121">
        <f>SUMIFS('2024 Rev - NS'!$N:$N,'2024 Rev - NS'!$G:$G,'Build MCC'!$A15,'2024 Rev - NS'!$P:$P,'Build MCC'!$A$1,'2024 Rev - NS'!$O:$O,'Build MCC'!E$4)</f>
        <v>0</v>
      </c>
      <c r="F15" s="121">
        <f>SUMIFS('2024 Rev - NS'!$N:$N,'2024 Rev - NS'!$G:$G,'Build MCC'!$A15,'2024 Rev - NS'!$P:$P,'Build MCC'!$A$1,'2024 Rev - NS'!$O:$O,'Build MCC'!F$4)</f>
        <v>0</v>
      </c>
      <c r="G15" s="121">
        <f>SUMIFS('2024 Rev - NS'!$N:$N,'2024 Rev - NS'!$G:$G,'Build MCC'!$A15,'2024 Rev - NS'!$P:$P,'Build MCC'!$A$1,'2024 Rev - NS'!$O:$O,'Build MCC'!G$4)</f>
        <v>0</v>
      </c>
      <c r="H15" s="121">
        <f>SUMIFS('2024 Rev - NS'!$N:$N,'2024 Rev - NS'!$G:$G,'Build MCC'!$A15,'2024 Rev - NS'!$P:$P,'Build MCC'!$A$1,'2024 Rev - NS'!$O:$O,'Build MCC'!H$4)</f>
        <v>0</v>
      </c>
      <c r="I15" s="121">
        <f>SUMIFS('2024 Rev - NS'!$N:$N,'2024 Rev - NS'!$G:$G,'Build MCC'!$A15,'2024 Rev - NS'!$P:$P,'Build MCC'!$A$1,'2024 Rev - NS'!$O:$O,'Build MCC'!I$4)</f>
        <v>0</v>
      </c>
      <c r="J15" s="121">
        <f>SUMIFS('2024 Rev - NS'!$N:$N,'2024 Rev - NS'!$G:$G,'Build MCC'!$A15,'2024 Rev - NS'!$P:$P,'Build MCC'!$A$1,'2024 Rev - NS'!$O:$O,'Build MCC'!J$4)</f>
        <v>0</v>
      </c>
      <c r="K15" s="121">
        <f>SUMIFS('2024 Rev - NS'!$N:$N,'2024 Rev - NS'!$G:$G,'Build MCC'!$A15,'2024 Rev - NS'!$P:$P,'Build MCC'!$A$1,'2024 Rev - NS'!$O:$O,'Build MCC'!K$4)</f>
        <v>0</v>
      </c>
      <c r="L15" s="121">
        <f>SUMIFS('2024 Rev - NS'!$N:$N,'2024 Rev - NS'!$G:$G,'Build MCC'!$A15,'2024 Rev - NS'!$P:$P,'Build MCC'!$A$1,'2024 Rev - NS'!$O:$O,'Build MCC'!L$4)</f>
        <v>0</v>
      </c>
      <c r="M15" s="121">
        <f>SUMIFS('2024 Rev - NS'!$N:$N,'2024 Rev - NS'!$G:$G,'Build MCC'!$A15,'2024 Rev - NS'!$P:$P,'Build MCC'!$A$1,'2024 Rev - NS'!$O:$O,'Build MCC'!M$4)</f>
        <v>0</v>
      </c>
      <c r="N15" s="121">
        <f t="shared" si="2"/>
        <v>0</v>
      </c>
    </row>
    <row r="16" spans="1:15" x14ac:dyDescent="0.15">
      <c r="A16" s="286" t="s">
        <v>1014</v>
      </c>
      <c r="B16" s="121">
        <f>SUMIFS('2024 Rev - NS'!$N:$N,'2024 Rev - NS'!$G:$G,'Build MCC'!$A16,'2024 Rev - NS'!$P:$P,'Build MCC'!$A$1,'2024 Rev - NS'!$O:$O,'Build MCC'!B$4)</f>
        <v>0</v>
      </c>
      <c r="C16" s="121">
        <f>SUMIFS('2024 Rev - NS'!$N:$N,'2024 Rev - NS'!$G:$G,'Build MCC'!$A16,'2024 Rev - NS'!$P:$P,'Build MCC'!$A$1,'2024 Rev - NS'!$O:$O,'Build MCC'!C$4)</f>
        <v>0</v>
      </c>
      <c r="D16" s="121">
        <f>SUMIFS('2024 Rev - NS'!$N:$N,'2024 Rev - NS'!$G:$G,'Build MCC'!$A16,'2024 Rev - NS'!$P:$P,'Build MCC'!$A$1,'2024 Rev - NS'!$O:$O,'Build MCC'!D$4)</f>
        <v>0</v>
      </c>
      <c r="E16" s="121">
        <f>SUMIFS('2024 Rev - NS'!$N:$N,'2024 Rev - NS'!$G:$G,'Build MCC'!$A16,'2024 Rev - NS'!$P:$P,'Build MCC'!$A$1,'2024 Rev - NS'!$O:$O,'Build MCC'!E$4)</f>
        <v>0</v>
      </c>
      <c r="F16" s="121">
        <f>SUMIFS('2024 Rev - NS'!$N:$N,'2024 Rev - NS'!$G:$G,'Build MCC'!$A16,'2024 Rev - NS'!$P:$P,'Build MCC'!$A$1,'2024 Rev - NS'!$O:$O,'Build MCC'!F$4)</f>
        <v>0</v>
      </c>
      <c r="G16" s="121">
        <f>SUMIFS('2024 Rev - NS'!$N:$N,'2024 Rev - NS'!$G:$G,'Build MCC'!$A16,'2024 Rev - NS'!$P:$P,'Build MCC'!$A$1,'2024 Rev - NS'!$O:$O,'Build MCC'!G$4)</f>
        <v>0</v>
      </c>
      <c r="H16" s="121">
        <f>SUMIFS('2024 Rev - NS'!$N:$N,'2024 Rev - NS'!$G:$G,'Build MCC'!$A16,'2024 Rev - NS'!$P:$P,'Build MCC'!$A$1,'2024 Rev - NS'!$O:$O,'Build MCC'!H$4)</f>
        <v>0</v>
      </c>
      <c r="I16" s="121">
        <f>SUMIFS('2024 Rev - NS'!$N:$N,'2024 Rev - NS'!$G:$G,'Build MCC'!$A16,'2024 Rev - NS'!$P:$P,'Build MCC'!$A$1,'2024 Rev - NS'!$O:$O,'Build MCC'!I$4)</f>
        <v>0</v>
      </c>
      <c r="J16" s="121">
        <f>SUMIFS('2024 Rev - NS'!$N:$N,'2024 Rev - NS'!$G:$G,'Build MCC'!$A16,'2024 Rev - NS'!$P:$P,'Build MCC'!$A$1,'2024 Rev - NS'!$O:$O,'Build MCC'!J$4)</f>
        <v>0</v>
      </c>
      <c r="K16" s="121">
        <f>SUMIFS('2024 Rev - NS'!$N:$N,'2024 Rev - NS'!$G:$G,'Build MCC'!$A16,'2024 Rev - NS'!$P:$P,'Build MCC'!$A$1,'2024 Rev - NS'!$O:$O,'Build MCC'!K$4)</f>
        <v>0</v>
      </c>
      <c r="L16" s="121">
        <f>SUMIFS('2024 Rev - NS'!$N:$N,'2024 Rev - NS'!$G:$G,'Build MCC'!$A16,'2024 Rev - NS'!$P:$P,'Build MCC'!$A$1,'2024 Rev - NS'!$O:$O,'Build MCC'!L$4)</f>
        <v>0</v>
      </c>
      <c r="M16" s="121">
        <f>SUMIFS('2024 Rev - NS'!$N:$N,'2024 Rev - NS'!$G:$G,'Build MCC'!$A16,'2024 Rev - NS'!$P:$P,'Build MCC'!$A$1,'2024 Rev - NS'!$O:$O,'Build MCC'!M$4)</f>
        <v>28891</v>
      </c>
      <c r="N16" s="121">
        <f t="shared" si="2"/>
        <v>28891</v>
      </c>
    </row>
    <row r="17" spans="1:14" x14ac:dyDescent="0.15">
      <c r="A17" s="286" t="s">
        <v>2439</v>
      </c>
      <c r="B17" s="121">
        <f>SUMIFS('2024 Rev - NS'!$N:$N,'2024 Rev - NS'!$G:$G,'Build MCC'!$A17,'2024 Rev - NS'!$P:$P,'Build MCC'!$A$1,'2024 Rev - NS'!$O:$O,'Build MCC'!B$4)</f>
        <v>0</v>
      </c>
      <c r="C17" s="121">
        <f>SUMIFS('2024 Rev - NS'!$N:$N,'2024 Rev - NS'!$G:$G,'Build MCC'!$A17,'2024 Rev - NS'!$P:$P,'Build MCC'!$A$1,'2024 Rev - NS'!$O:$O,'Build MCC'!C$4)</f>
        <v>0</v>
      </c>
      <c r="D17" s="121">
        <f>SUMIFS('2024 Rev - NS'!$N:$N,'2024 Rev - NS'!$G:$G,'Build MCC'!$A17,'2024 Rev - NS'!$P:$P,'Build MCC'!$A$1,'2024 Rev - NS'!$O:$O,'Build MCC'!D$4)</f>
        <v>0</v>
      </c>
      <c r="E17" s="121">
        <f>SUMIFS('2024 Rev - NS'!$N:$N,'2024 Rev - NS'!$G:$G,'Build MCC'!$A17,'2024 Rev - NS'!$P:$P,'Build MCC'!$A$1,'2024 Rev - NS'!$O:$O,'Build MCC'!E$4)</f>
        <v>0</v>
      </c>
      <c r="F17" s="121">
        <f>SUMIFS('2024 Rev - NS'!$N:$N,'2024 Rev - NS'!$G:$G,'Build MCC'!$A17,'2024 Rev - NS'!$P:$P,'Build MCC'!$A$1,'2024 Rev - NS'!$O:$O,'Build MCC'!F$4)</f>
        <v>0</v>
      </c>
      <c r="G17" s="121">
        <f>SUMIFS('2024 Rev - NS'!$N:$N,'2024 Rev - NS'!$G:$G,'Build MCC'!$A17,'2024 Rev - NS'!$P:$P,'Build MCC'!$A$1,'2024 Rev - NS'!$O:$O,'Build MCC'!G$4)</f>
        <v>0</v>
      </c>
      <c r="H17" s="121">
        <f>SUMIFS('2024 Rev - NS'!$N:$N,'2024 Rev - NS'!$G:$G,'Build MCC'!$A17,'2024 Rev - NS'!$P:$P,'Build MCC'!$A$1,'2024 Rev - NS'!$O:$O,'Build MCC'!H$4)</f>
        <v>0</v>
      </c>
      <c r="I17" s="121">
        <f>SUMIFS('2024 Rev - NS'!$N:$N,'2024 Rev - NS'!$G:$G,'Build MCC'!$A17,'2024 Rev - NS'!$P:$P,'Build MCC'!$A$1,'2024 Rev - NS'!$O:$O,'Build MCC'!I$4)</f>
        <v>0</v>
      </c>
      <c r="J17" s="121">
        <f>SUMIFS('2024 Rev - NS'!$N:$N,'2024 Rev - NS'!$G:$G,'Build MCC'!$A17,'2024 Rev - NS'!$P:$P,'Build MCC'!$A$1,'2024 Rev - NS'!$O:$O,'Build MCC'!J$4)</f>
        <v>0</v>
      </c>
      <c r="K17" s="121">
        <f>SUMIFS('2024 Rev - NS'!$N:$N,'2024 Rev - NS'!$G:$G,'Build MCC'!$A17,'2024 Rev - NS'!$P:$P,'Build MCC'!$A$1,'2024 Rev - NS'!$O:$O,'Build MCC'!K$4)</f>
        <v>0</v>
      </c>
      <c r="L17" s="121">
        <f>SUMIFS('2024 Rev - NS'!$N:$N,'2024 Rev - NS'!$G:$G,'Build MCC'!$A17,'2024 Rev - NS'!$P:$P,'Build MCC'!$A$1,'2024 Rev - NS'!$O:$O,'Build MCC'!L$4)</f>
        <v>0</v>
      </c>
      <c r="M17" s="121">
        <f>SUMIFS('2024 Rev - NS'!$N:$N,'2024 Rev - NS'!$G:$G,'Build MCC'!$A17,'2024 Rev - NS'!$P:$P,'Build MCC'!$A$1,'2024 Rev - NS'!$O:$O,'Build MCC'!M$4)</f>
        <v>0</v>
      </c>
      <c r="N17" s="121">
        <f t="shared" si="2"/>
        <v>0</v>
      </c>
    </row>
    <row r="18" spans="1:14" x14ac:dyDescent="0.15">
      <c r="A18" s="286" t="s">
        <v>1766</v>
      </c>
      <c r="B18" s="121">
        <f>SUMIFS('2024 Rev - NS'!$N:$N,'2024 Rev - NS'!$G:$G,'Build MCC'!$A18,'2024 Rev - NS'!$P:$P,'Build MCC'!$A$1,'2024 Rev - NS'!$O:$O,'Build MCC'!B$4)</f>
        <v>0</v>
      </c>
      <c r="C18" s="121">
        <f>SUMIFS('2024 Rev - NS'!$N:$N,'2024 Rev - NS'!$G:$G,'Build MCC'!$A18,'2024 Rev - NS'!$P:$P,'Build MCC'!$A$1,'2024 Rev - NS'!$O:$O,'Build MCC'!C$4)</f>
        <v>0</v>
      </c>
      <c r="D18" s="121">
        <f>SUMIFS('2024 Rev - NS'!$N:$N,'2024 Rev - NS'!$G:$G,'Build MCC'!$A18,'2024 Rev - NS'!$P:$P,'Build MCC'!$A$1,'2024 Rev - NS'!$O:$O,'Build MCC'!D$4)</f>
        <v>0</v>
      </c>
      <c r="E18" s="121">
        <f>SUMIFS('2024 Rev - NS'!$N:$N,'2024 Rev - NS'!$G:$G,'Build MCC'!$A18,'2024 Rev - NS'!$P:$P,'Build MCC'!$A$1,'2024 Rev - NS'!$O:$O,'Build MCC'!E$4)</f>
        <v>0</v>
      </c>
      <c r="F18" s="121">
        <f>SUMIFS('2024 Rev - NS'!$N:$N,'2024 Rev - NS'!$G:$G,'Build MCC'!$A18,'2024 Rev - NS'!$P:$P,'Build MCC'!$A$1,'2024 Rev - NS'!$O:$O,'Build MCC'!F$4)</f>
        <v>0</v>
      </c>
      <c r="G18" s="121">
        <f>SUMIFS('2024 Rev - NS'!$N:$N,'2024 Rev - NS'!$G:$G,'Build MCC'!$A18,'2024 Rev - NS'!$P:$P,'Build MCC'!$A$1,'2024 Rev - NS'!$O:$O,'Build MCC'!G$4)</f>
        <v>0</v>
      </c>
      <c r="H18" s="121">
        <f>SUMIFS('2024 Rev - NS'!$N:$N,'2024 Rev - NS'!$G:$G,'Build MCC'!$A18,'2024 Rev - NS'!$P:$P,'Build MCC'!$A$1,'2024 Rev - NS'!$O:$O,'Build MCC'!H$4)</f>
        <v>0</v>
      </c>
      <c r="I18" s="121">
        <f>SUMIFS('2024 Rev - NS'!$N:$N,'2024 Rev - NS'!$G:$G,'Build MCC'!$A18,'2024 Rev - NS'!$P:$P,'Build MCC'!$A$1,'2024 Rev - NS'!$O:$O,'Build MCC'!I$4)</f>
        <v>0</v>
      </c>
      <c r="J18" s="121">
        <f>SUMIFS('2024 Rev - NS'!$N:$N,'2024 Rev - NS'!$G:$G,'Build MCC'!$A18,'2024 Rev - NS'!$P:$P,'Build MCC'!$A$1,'2024 Rev - NS'!$O:$O,'Build MCC'!J$4)</f>
        <v>0</v>
      </c>
      <c r="K18" s="121">
        <f>SUMIFS('2024 Rev - NS'!$N:$N,'2024 Rev - NS'!$G:$G,'Build MCC'!$A18,'2024 Rev - NS'!$P:$P,'Build MCC'!$A$1,'2024 Rev - NS'!$O:$O,'Build MCC'!K$4)</f>
        <v>0</v>
      </c>
      <c r="L18" s="121">
        <f>SUMIFS('2024 Rev - NS'!$N:$N,'2024 Rev - NS'!$G:$G,'Build MCC'!$A18,'2024 Rev - NS'!$P:$P,'Build MCC'!$A$1,'2024 Rev - NS'!$O:$O,'Build MCC'!L$4)</f>
        <v>0</v>
      </c>
      <c r="M18" s="121">
        <f>SUMIFS('2024 Rev - NS'!$N:$N,'2024 Rev - NS'!$G:$G,'Build MCC'!$A18,'2024 Rev - NS'!$P:$P,'Build MCC'!$A$1,'2024 Rev - NS'!$O:$O,'Build MCC'!M$4)</f>
        <v>0</v>
      </c>
      <c r="N18" s="121">
        <f t="shared" si="2"/>
        <v>0</v>
      </c>
    </row>
    <row r="19" spans="1:14" x14ac:dyDescent="0.15">
      <c r="A19" s="286" t="s">
        <v>1016</v>
      </c>
      <c r="B19" s="121">
        <f>SUMIFS('2024 Rev - NS'!$N:$N,'2024 Rev - NS'!$G:$G,'Build MCC'!$A19,'2024 Rev - NS'!$P:$P,'Build MCC'!$A$1,'2024 Rev - NS'!$O:$O,'Build MCC'!B$4)</f>
        <v>0</v>
      </c>
      <c r="C19" s="121">
        <f>SUMIFS('2024 Rev - NS'!$N:$N,'2024 Rev - NS'!$G:$G,'Build MCC'!$A19,'2024 Rev - NS'!$P:$P,'Build MCC'!$A$1,'2024 Rev - NS'!$O:$O,'Build MCC'!C$4)</f>
        <v>0</v>
      </c>
      <c r="D19" s="121">
        <f>SUMIFS('2024 Rev - NS'!$N:$N,'2024 Rev - NS'!$G:$G,'Build MCC'!$A19,'2024 Rev - NS'!$P:$P,'Build MCC'!$A$1,'2024 Rev - NS'!$O:$O,'Build MCC'!D$4)</f>
        <v>0</v>
      </c>
      <c r="E19" s="121">
        <f>SUMIFS('2024 Rev - NS'!$N:$N,'2024 Rev - NS'!$G:$G,'Build MCC'!$A19,'2024 Rev - NS'!$P:$P,'Build MCC'!$A$1,'2024 Rev - NS'!$O:$O,'Build MCC'!E$4)</f>
        <v>0</v>
      </c>
      <c r="F19" s="121">
        <f>SUMIFS('2024 Rev - NS'!$N:$N,'2024 Rev - NS'!$G:$G,'Build MCC'!$A19,'2024 Rev - NS'!$P:$P,'Build MCC'!$A$1,'2024 Rev - NS'!$O:$O,'Build MCC'!F$4)</f>
        <v>28480</v>
      </c>
      <c r="G19" s="121">
        <f>SUMIFS('2024 Rev - NS'!$N:$N,'2024 Rev - NS'!$G:$G,'Build MCC'!$A19,'2024 Rev - NS'!$P:$P,'Build MCC'!$A$1,'2024 Rev - NS'!$O:$O,'Build MCC'!G$4)</f>
        <v>0</v>
      </c>
      <c r="H19" s="121">
        <f>SUMIFS('2024 Rev - NS'!$N:$N,'2024 Rev - NS'!$G:$G,'Build MCC'!$A19,'2024 Rev - NS'!$P:$P,'Build MCC'!$A$1,'2024 Rev - NS'!$O:$O,'Build MCC'!H$4)</f>
        <v>0</v>
      </c>
      <c r="I19" s="121">
        <f>SUMIFS('2024 Rev - NS'!$N:$N,'2024 Rev - NS'!$G:$G,'Build MCC'!$A19,'2024 Rev - NS'!$P:$P,'Build MCC'!$A$1,'2024 Rev - NS'!$O:$O,'Build MCC'!I$4)</f>
        <v>0</v>
      </c>
      <c r="J19" s="121">
        <f>SUMIFS('2024 Rev - NS'!$N:$N,'2024 Rev - NS'!$G:$G,'Build MCC'!$A19,'2024 Rev - NS'!$P:$P,'Build MCC'!$A$1,'2024 Rev - NS'!$O:$O,'Build MCC'!J$4)</f>
        <v>0</v>
      </c>
      <c r="K19" s="121">
        <f>SUMIFS('2024 Rev - NS'!$N:$N,'2024 Rev - NS'!$G:$G,'Build MCC'!$A19,'2024 Rev - NS'!$P:$P,'Build MCC'!$A$1,'2024 Rev - NS'!$O:$O,'Build MCC'!K$4)</f>
        <v>0</v>
      </c>
      <c r="L19" s="121">
        <f>SUMIFS('2024 Rev - NS'!$N:$N,'2024 Rev - NS'!$G:$G,'Build MCC'!$A19,'2024 Rev - NS'!$P:$P,'Build MCC'!$A$1,'2024 Rev - NS'!$O:$O,'Build MCC'!L$4)</f>
        <v>0</v>
      </c>
      <c r="M19" s="121">
        <f>SUMIFS('2024 Rev - NS'!$N:$N,'2024 Rev - NS'!$G:$G,'Build MCC'!$A19,'2024 Rev - NS'!$P:$P,'Build MCC'!$A$1,'2024 Rev - NS'!$O:$O,'Build MCC'!M$4)</f>
        <v>0</v>
      </c>
      <c r="N19" s="121">
        <f t="shared" si="2"/>
        <v>28480</v>
      </c>
    </row>
    <row r="20" spans="1:14" x14ac:dyDescent="0.15">
      <c r="A20" s="286" t="s">
        <v>2387</v>
      </c>
      <c r="B20" s="121">
        <f>SUMIFS('2024 Rev - NS'!$N:$N,'2024 Rev - NS'!$G:$G,'Build MCC'!$A20,'2024 Rev - NS'!$P:$P,'Build MCC'!$A$1,'2024 Rev - NS'!$O:$O,'Build MCC'!B$4)</f>
        <v>0</v>
      </c>
      <c r="C20" s="121">
        <f>SUMIFS('2024 Rev - NS'!$N:$N,'2024 Rev - NS'!$G:$G,'Build MCC'!$A20,'2024 Rev - NS'!$P:$P,'Build MCC'!$A$1,'2024 Rev - NS'!$O:$O,'Build MCC'!C$4)</f>
        <v>0</v>
      </c>
      <c r="D20" s="121">
        <f>SUMIFS('2024 Rev - NS'!$N:$N,'2024 Rev - NS'!$G:$G,'Build MCC'!$A20,'2024 Rev - NS'!$P:$P,'Build MCC'!$A$1,'2024 Rev - NS'!$O:$O,'Build MCC'!D$4)</f>
        <v>0</v>
      </c>
      <c r="E20" s="121">
        <f>SUMIFS('2024 Rev - NS'!$N:$N,'2024 Rev - NS'!$G:$G,'Build MCC'!$A20,'2024 Rev - NS'!$P:$P,'Build MCC'!$A$1,'2024 Rev - NS'!$O:$O,'Build MCC'!E$4)</f>
        <v>0</v>
      </c>
      <c r="F20" s="121">
        <f>SUMIFS('2024 Rev - NS'!$N:$N,'2024 Rev - NS'!$G:$G,'Build MCC'!$A20,'2024 Rev - NS'!$P:$P,'Build MCC'!$A$1,'2024 Rev - NS'!$O:$O,'Build MCC'!F$4)</f>
        <v>0</v>
      </c>
      <c r="G20" s="121">
        <f>SUMIFS('2024 Rev - NS'!$N:$N,'2024 Rev - NS'!$G:$G,'Build MCC'!$A20,'2024 Rev - NS'!$P:$P,'Build MCC'!$A$1,'2024 Rev - NS'!$O:$O,'Build MCC'!G$4)</f>
        <v>0</v>
      </c>
      <c r="H20" s="121">
        <f>SUMIFS('2024 Rev - NS'!$N:$N,'2024 Rev - NS'!$G:$G,'Build MCC'!$A20,'2024 Rev - NS'!$P:$P,'Build MCC'!$A$1,'2024 Rev - NS'!$O:$O,'Build MCC'!H$4)</f>
        <v>0</v>
      </c>
      <c r="I20" s="121">
        <f>SUMIFS('2024 Rev - NS'!$N:$N,'2024 Rev - NS'!$G:$G,'Build MCC'!$A20,'2024 Rev - NS'!$P:$P,'Build MCC'!$A$1,'2024 Rev - NS'!$O:$O,'Build MCC'!I$4)</f>
        <v>0</v>
      </c>
      <c r="J20" s="121">
        <f>SUMIFS('2024 Rev - NS'!$N:$N,'2024 Rev - NS'!$G:$G,'Build MCC'!$A20,'2024 Rev - NS'!$P:$P,'Build MCC'!$A$1,'2024 Rev - NS'!$O:$O,'Build MCC'!J$4)</f>
        <v>0</v>
      </c>
      <c r="K20" s="121">
        <f>SUMIFS('2024 Rev - NS'!$N:$N,'2024 Rev - NS'!$G:$G,'Build MCC'!$A20,'2024 Rev - NS'!$P:$P,'Build MCC'!$A$1,'2024 Rev - NS'!$O:$O,'Build MCC'!K$4)</f>
        <v>0</v>
      </c>
      <c r="L20" s="121">
        <f>SUMIFS('2024 Rev - NS'!$N:$N,'2024 Rev - NS'!$G:$G,'Build MCC'!$A20,'2024 Rev - NS'!$P:$P,'Build MCC'!$A$1,'2024 Rev - NS'!$O:$O,'Build MCC'!L$4)</f>
        <v>0</v>
      </c>
      <c r="M20" s="121">
        <f>SUMIFS('2024 Rev - NS'!$N:$N,'2024 Rev - NS'!$G:$G,'Build MCC'!$A20,'2024 Rev - NS'!$P:$P,'Build MCC'!$A$1,'2024 Rev - NS'!$O:$O,'Build MCC'!M$4)</f>
        <v>0</v>
      </c>
      <c r="N20" s="121">
        <f t="shared" si="2"/>
        <v>0</v>
      </c>
    </row>
    <row r="21" spans="1:14" x14ac:dyDescent="0.15">
      <c r="A21" s="286" t="s">
        <v>1017</v>
      </c>
      <c r="B21" s="121">
        <f>SUMIFS('2024 Rev - NS'!$N:$N,'2024 Rev - NS'!$G:$G,'Build MCC'!$A21,'2024 Rev - NS'!$P:$P,'Build MCC'!$A$1,'2024 Rev - NS'!$O:$O,'Build MCC'!B$4)</f>
        <v>0</v>
      </c>
      <c r="C21" s="121">
        <f>SUMIFS('2024 Rev - NS'!$N:$N,'2024 Rev - NS'!$G:$G,'Build MCC'!$A21,'2024 Rev - NS'!$P:$P,'Build MCC'!$A$1,'2024 Rev - NS'!$O:$O,'Build MCC'!C$4)</f>
        <v>0</v>
      </c>
      <c r="D21" s="121">
        <f>SUMIFS('2024 Rev - NS'!$N:$N,'2024 Rev - NS'!$G:$G,'Build MCC'!$A21,'2024 Rev - NS'!$P:$P,'Build MCC'!$A$1,'2024 Rev - NS'!$O:$O,'Build MCC'!D$4)</f>
        <v>0</v>
      </c>
      <c r="E21" s="121">
        <f>SUMIFS('2024 Rev - NS'!$N:$N,'2024 Rev - NS'!$G:$G,'Build MCC'!$A21,'2024 Rev - NS'!$P:$P,'Build MCC'!$A$1,'2024 Rev - NS'!$O:$O,'Build MCC'!E$4)</f>
        <v>0</v>
      </c>
      <c r="F21" s="121">
        <f>SUMIFS('2024 Rev - NS'!$N:$N,'2024 Rev - NS'!$G:$G,'Build MCC'!$A21,'2024 Rev - NS'!$P:$P,'Build MCC'!$A$1,'2024 Rev - NS'!$O:$O,'Build MCC'!F$4)</f>
        <v>0</v>
      </c>
      <c r="G21" s="121">
        <f>SUMIFS('2024 Rev - NS'!$N:$N,'2024 Rev - NS'!$G:$G,'Build MCC'!$A21,'2024 Rev - NS'!$P:$P,'Build MCC'!$A$1,'2024 Rev - NS'!$O:$O,'Build MCC'!G$4)</f>
        <v>0</v>
      </c>
      <c r="H21" s="121">
        <f>SUMIFS('2024 Rev - NS'!$N:$N,'2024 Rev - NS'!$G:$G,'Build MCC'!$A21,'2024 Rev - NS'!$P:$P,'Build MCC'!$A$1,'2024 Rev - NS'!$O:$O,'Build MCC'!H$4)</f>
        <v>0</v>
      </c>
      <c r="I21" s="121">
        <f>SUMIFS('2024 Rev - NS'!$N:$N,'2024 Rev - NS'!$G:$G,'Build MCC'!$A21,'2024 Rev - NS'!$P:$P,'Build MCC'!$A$1,'2024 Rev - NS'!$O:$O,'Build MCC'!I$4)</f>
        <v>0</v>
      </c>
      <c r="J21" s="121">
        <f>SUMIFS('2024 Rev - NS'!$N:$N,'2024 Rev - NS'!$G:$G,'Build MCC'!$A21,'2024 Rev - NS'!$P:$P,'Build MCC'!$A$1,'2024 Rev - NS'!$O:$O,'Build MCC'!J$4)</f>
        <v>0</v>
      </c>
      <c r="K21" s="121">
        <f>SUMIFS('2024 Rev - NS'!$N:$N,'2024 Rev - NS'!$G:$G,'Build MCC'!$A21,'2024 Rev - NS'!$P:$P,'Build MCC'!$A$1,'2024 Rev - NS'!$O:$O,'Build MCC'!K$4)</f>
        <v>0</v>
      </c>
      <c r="L21" s="121">
        <f>SUMIFS('2024 Rev - NS'!$N:$N,'2024 Rev - NS'!$G:$G,'Build MCC'!$A21,'2024 Rev - NS'!$P:$P,'Build MCC'!$A$1,'2024 Rev - NS'!$O:$O,'Build MCC'!L$4)</f>
        <v>38684</v>
      </c>
      <c r="M21" s="121">
        <f>SUMIFS('2024 Rev - NS'!$N:$N,'2024 Rev - NS'!$G:$G,'Build MCC'!$A21,'2024 Rev - NS'!$P:$P,'Build MCC'!$A$1,'2024 Rev - NS'!$O:$O,'Build MCC'!M$4)</f>
        <v>0</v>
      </c>
      <c r="N21" s="121">
        <f t="shared" si="2"/>
        <v>38684</v>
      </c>
    </row>
    <row r="22" spans="1:14" x14ac:dyDescent="0.15">
      <c r="A22" s="286" t="s">
        <v>1015</v>
      </c>
      <c r="B22" s="121">
        <f>SUMIFS('2024 Rev - NS'!$N:$N,'2024 Rev - NS'!$G:$G,'Build MCC'!$A22,'2024 Rev - NS'!$P:$P,'Build MCC'!$A$1,'2024 Rev - NS'!$O:$O,'Build MCC'!B$4)</f>
        <v>0</v>
      </c>
      <c r="C22" s="121">
        <f>SUMIFS('2024 Rev - NS'!$N:$N,'2024 Rev - NS'!$G:$G,'Build MCC'!$A22,'2024 Rev - NS'!$P:$P,'Build MCC'!$A$1,'2024 Rev - NS'!$O:$O,'Build MCC'!C$4)</f>
        <v>0</v>
      </c>
      <c r="D22" s="121">
        <f>SUMIFS('2024 Rev - NS'!$N:$N,'2024 Rev - NS'!$G:$G,'Build MCC'!$A22,'2024 Rev - NS'!$P:$P,'Build MCC'!$A$1,'2024 Rev - NS'!$O:$O,'Build MCC'!D$4)</f>
        <v>0</v>
      </c>
      <c r="E22" s="121">
        <f>SUMIFS('2024 Rev - NS'!$N:$N,'2024 Rev - NS'!$G:$G,'Build MCC'!$A22,'2024 Rev - NS'!$P:$P,'Build MCC'!$A$1,'2024 Rev - NS'!$O:$O,'Build MCC'!E$4)</f>
        <v>0</v>
      </c>
      <c r="F22" s="121">
        <f>SUMIFS('2024 Rev - NS'!$N:$N,'2024 Rev - NS'!$G:$G,'Build MCC'!$A22,'2024 Rev - NS'!$P:$P,'Build MCC'!$A$1,'2024 Rev - NS'!$O:$O,'Build MCC'!F$4)</f>
        <v>0</v>
      </c>
      <c r="G22" s="121">
        <f>SUMIFS('2024 Rev - NS'!$N:$N,'2024 Rev - NS'!$G:$G,'Build MCC'!$A22,'2024 Rev - NS'!$P:$P,'Build MCC'!$A$1,'2024 Rev - NS'!$O:$O,'Build MCC'!G$4)</f>
        <v>0</v>
      </c>
      <c r="H22" s="121">
        <f>SUMIFS('2024 Rev - NS'!$N:$N,'2024 Rev - NS'!$G:$G,'Build MCC'!$A22,'2024 Rev - NS'!$P:$P,'Build MCC'!$A$1,'2024 Rev - NS'!$O:$O,'Build MCC'!H$4)</f>
        <v>31795</v>
      </c>
      <c r="I22" s="121">
        <f>SUMIFS('2024 Rev - NS'!$N:$N,'2024 Rev - NS'!$G:$G,'Build MCC'!$A22,'2024 Rev - NS'!$P:$P,'Build MCC'!$A$1,'2024 Rev - NS'!$O:$O,'Build MCC'!I$4)</f>
        <v>0</v>
      </c>
      <c r="J22" s="121">
        <f>SUMIFS('2024 Rev - NS'!$N:$N,'2024 Rev - NS'!$G:$G,'Build MCC'!$A22,'2024 Rev - NS'!$P:$P,'Build MCC'!$A$1,'2024 Rev - NS'!$O:$O,'Build MCC'!J$4)</f>
        <v>0</v>
      </c>
      <c r="K22" s="121">
        <f>SUMIFS('2024 Rev - NS'!$N:$N,'2024 Rev - NS'!$G:$G,'Build MCC'!$A22,'2024 Rev - NS'!$P:$P,'Build MCC'!$A$1,'2024 Rev - NS'!$O:$O,'Build MCC'!K$4)</f>
        <v>0</v>
      </c>
      <c r="L22" s="121">
        <f>SUMIFS('2024 Rev - NS'!$N:$N,'2024 Rev - NS'!$G:$G,'Build MCC'!$A22,'2024 Rev - NS'!$P:$P,'Build MCC'!$A$1,'2024 Rev - NS'!$O:$O,'Build MCC'!L$4)</f>
        <v>0</v>
      </c>
      <c r="M22" s="121">
        <f>SUMIFS('2024 Rev - NS'!$N:$N,'2024 Rev - NS'!$G:$G,'Build MCC'!$A22,'2024 Rev - NS'!$P:$P,'Build MCC'!$A$1,'2024 Rev - NS'!$O:$O,'Build MCC'!M$4)</f>
        <v>0</v>
      </c>
      <c r="N22" s="121">
        <f t="shared" si="2"/>
        <v>31795</v>
      </c>
    </row>
    <row r="23" spans="1:14" x14ac:dyDescent="0.15">
      <c r="A23" s="286" t="s">
        <v>1019</v>
      </c>
      <c r="B23" s="121">
        <f>SUMIFS('2024 Rev - NS'!$N:$N,'2024 Rev - NS'!$G:$G,'Build MCC'!$A23,'2024 Rev - NS'!$P:$P,'Build MCC'!$A$1,'2024 Rev - NS'!$O:$O,'Build MCC'!B$4)</f>
        <v>0</v>
      </c>
      <c r="C23" s="121">
        <f>SUMIFS('2024 Rev - NS'!$N:$N,'2024 Rev - NS'!$G:$G,'Build MCC'!$A23,'2024 Rev - NS'!$P:$P,'Build MCC'!$A$1,'2024 Rev - NS'!$O:$O,'Build MCC'!C$4)</f>
        <v>0</v>
      </c>
      <c r="D23" s="121">
        <f>SUMIFS('2024 Rev - NS'!$N:$N,'2024 Rev - NS'!$G:$G,'Build MCC'!$A23,'2024 Rev - NS'!$P:$P,'Build MCC'!$A$1,'2024 Rev - NS'!$O:$O,'Build MCC'!D$4)</f>
        <v>0</v>
      </c>
      <c r="E23" s="121">
        <f>SUMIFS('2024 Rev - NS'!$N:$N,'2024 Rev - NS'!$G:$G,'Build MCC'!$A23,'2024 Rev - NS'!$P:$P,'Build MCC'!$A$1,'2024 Rev - NS'!$O:$O,'Build MCC'!E$4)</f>
        <v>0</v>
      </c>
      <c r="F23" s="121">
        <f>SUMIFS('2024 Rev - NS'!$N:$N,'2024 Rev - NS'!$G:$G,'Build MCC'!$A23,'2024 Rev - NS'!$P:$P,'Build MCC'!$A$1,'2024 Rev - NS'!$O:$O,'Build MCC'!F$4)</f>
        <v>0</v>
      </c>
      <c r="G23" s="121">
        <f>SUMIFS('2024 Rev - NS'!$N:$N,'2024 Rev - NS'!$G:$G,'Build MCC'!$A23,'2024 Rev - NS'!$P:$P,'Build MCC'!$A$1,'2024 Rev - NS'!$O:$O,'Build MCC'!G$4)</f>
        <v>0</v>
      </c>
      <c r="H23" s="121">
        <f>SUMIFS('2024 Rev - NS'!$N:$N,'2024 Rev - NS'!$G:$G,'Build MCC'!$A23,'2024 Rev - NS'!$P:$P,'Build MCC'!$A$1,'2024 Rev - NS'!$O:$O,'Build MCC'!H$4)</f>
        <v>0</v>
      </c>
      <c r="I23" s="121">
        <f>SUMIFS('2024 Rev - NS'!$N:$N,'2024 Rev - NS'!$G:$G,'Build MCC'!$A23,'2024 Rev - NS'!$P:$P,'Build MCC'!$A$1,'2024 Rev - NS'!$O:$O,'Build MCC'!I$4)</f>
        <v>0</v>
      </c>
      <c r="J23" s="121">
        <f>SUMIFS('2024 Rev - NS'!$N:$N,'2024 Rev - NS'!$G:$G,'Build MCC'!$A23,'2024 Rev - NS'!$P:$P,'Build MCC'!$A$1,'2024 Rev - NS'!$O:$O,'Build MCC'!J$4)</f>
        <v>0</v>
      </c>
      <c r="K23" s="121">
        <f>SUMIFS('2024 Rev - NS'!$N:$N,'2024 Rev - NS'!$G:$G,'Build MCC'!$A23,'2024 Rev - NS'!$P:$P,'Build MCC'!$A$1,'2024 Rev - NS'!$O:$O,'Build MCC'!K$4)</f>
        <v>0</v>
      </c>
      <c r="L23" s="121">
        <f>SUMIFS('2024 Rev - NS'!$N:$N,'2024 Rev - NS'!$G:$G,'Build MCC'!$A23,'2024 Rev - NS'!$P:$P,'Build MCC'!$A$1,'2024 Rev - NS'!$O:$O,'Build MCC'!L$4)</f>
        <v>0</v>
      </c>
      <c r="M23" s="121">
        <f>SUMIFS('2024 Rev - NS'!$N:$N,'2024 Rev - NS'!$G:$G,'Build MCC'!$A23,'2024 Rev - NS'!$P:$P,'Build MCC'!$A$1,'2024 Rev - NS'!$O:$O,'Build MCC'!M$4)</f>
        <v>0</v>
      </c>
      <c r="N23" s="121">
        <f t="shared" si="2"/>
        <v>0</v>
      </c>
    </row>
    <row r="24" spans="1:14" x14ac:dyDescent="0.15">
      <c r="A24" s="286" t="s">
        <v>1021</v>
      </c>
      <c r="B24" s="121">
        <f>SUMIFS('2024 Rev - NS'!$N:$N,'2024 Rev - NS'!$G:$G,'Build MCC'!$A24,'2024 Rev - NS'!$P:$P,'Build MCC'!$A$1,'2024 Rev - NS'!$O:$O,'Build MCC'!B$4)</f>
        <v>0</v>
      </c>
      <c r="C24" s="121">
        <f>SUMIFS('2024 Rev - NS'!$N:$N,'2024 Rev - NS'!$G:$G,'Build MCC'!$A24,'2024 Rev - NS'!$P:$P,'Build MCC'!$A$1,'2024 Rev - NS'!$O:$O,'Build MCC'!C$4)</f>
        <v>0</v>
      </c>
      <c r="D24" s="121">
        <f>SUMIFS('2024 Rev - NS'!$N:$N,'2024 Rev - NS'!$G:$G,'Build MCC'!$A24,'2024 Rev - NS'!$P:$P,'Build MCC'!$A$1,'2024 Rev - NS'!$O:$O,'Build MCC'!D$4)</f>
        <v>0</v>
      </c>
      <c r="E24" s="121">
        <f>SUMIFS('2024 Rev - NS'!$N:$N,'2024 Rev - NS'!$G:$G,'Build MCC'!$A24,'2024 Rev - NS'!$P:$P,'Build MCC'!$A$1,'2024 Rev - NS'!$O:$O,'Build MCC'!E$4)</f>
        <v>0</v>
      </c>
      <c r="F24" s="121">
        <f>SUMIFS('2024 Rev - NS'!$N:$N,'2024 Rev - NS'!$G:$G,'Build MCC'!$A24,'2024 Rev - NS'!$P:$P,'Build MCC'!$A$1,'2024 Rev - NS'!$O:$O,'Build MCC'!F$4)</f>
        <v>0</v>
      </c>
      <c r="G24" s="121">
        <f>SUMIFS('2024 Rev - NS'!$N:$N,'2024 Rev - NS'!$G:$G,'Build MCC'!$A24,'2024 Rev - NS'!$P:$P,'Build MCC'!$A$1,'2024 Rev - NS'!$O:$O,'Build MCC'!G$4)</f>
        <v>0</v>
      </c>
      <c r="H24" s="121">
        <f>SUMIFS('2024 Rev - NS'!$N:$N,'2024 Rev - NS'!$G:$G,'Build MCC'!$A24,'2024 Rev - NS'!$P:$P,'Build MCC'!$A$1,'2024 Rev - NS'!$O:$O,'Build MCC'!H$4)</f>
        <v>0</v>
      </c>
      <c r="I24" s="121">
        <f>SUMIFS('2024 Rev - NS'!$N:$N,'2024 Rev - NS'!$G:$G,'Build MCC'!$A24,'2024 Rev - NS'!$P:$P,'Build MCC'!$A$1,'2024 Rev - NS'!$O:$O,'Build MCC'!I$4)</f>
        <v>0</v>
      </c>
      <c r="J24" s="121">
        <f>SUMIFS('2024 Rev - NS'!$N:$N,'2024 Rev - NS'!$G:$G,'Build MCC'!$A24,'2024 Rev - NS'!$P:$P,'Build MCC'!$A$1,'2024 Rev - NS'!$O:$O,'Build MCC'!J$4)</f>
        <v>0</v>
      </c>
      <c r="K24" s="121">
        <f>SUMIFS('2024 Rev - NS'!$N:$N,'2024 Rev - NS'!$G:$G,'Build MCC'!$A24,'2024 Rev - NS'!$P:$P,'Build MCC'!$A$1,'2024 Rev - NS'!$O:$O,'Build MCC'!K$4)</f>
        <v>0</v>
      </c>
      <c r="L24" s="121">
        <f>SUMIFS('2024 Rev - NS'!$N:$N,'2024 Rev - NS'!$G:$G,'Build MCC'!$A24,'2024 Rev - NS'!$P:$P,'Build MCC'!$A$1,'2024 Rev - NS'!$O:$O,'Build MCC'!L$4)</f>
        <v>0</v>
      </c>
      <c r="M24" s="121">
        <f>SUMIFS('2024 Rev - NS'!$N:$N,'2024 Rev - NS'!$G:$G,'Build MCC'!$A24,'2024 Rev - NS'!$P:$P,'Build MCC'!$A$1,'2024 Rev - NS'!$O:$O,'Build MCC'!M$4)</f>
        <v>0</v>
      </c>
      <c r="N24" s="121">
        <f t="shared" si="2"/>
        <v>0</v>
      </c>
    </row>
    <row r="25" spans="1:14" x14ac:dyDescent="0.15">
      <c r="A25" s="286" t="s">
        <v>1022</v>
      </c>
      <c r="B25" s="121">
        <f>SUMIFS('2024 Rev - NS'!$N:$N,'2024 Rev - NS'!$G:$G,'Build MCC'!$A25,'2024 Rev - NS'!$P:$P,'Build MCC'!$A$1,'2024 Rev - NS'!$O:$O,'Build MCC'!B$4)</f>
        <v>0</v>
      </c>
      <c r="C25" s="121">
        <f>SUMIFS('2024 Rev - NS'!$N:$N,'2024 Rev - NS'!$G:$G,'Build MCC'!$A25,'2024 Rev - NS'!$P:$P,'Build MCC'!$A$1,'2024 Rev - NS'!$O:$O,'Build MCC'!C$4)</f>
        <v>0</v>
      </c>
      <c r="D25" s="121">
        <f>SUMIFS('2024 Rev - NS'!$N:$N,'2024 Rev - NS'!$G:$G,'Build MCC'!$A25,'2024 Rev - NS'!$P:$P,'Build MCC'!$A$1,'2024 Rev - NS'!$O:$O,'Build MCC'!D$4)</f>
        <v>0</v>
      </c>
      <c r="E25" s="121">
        <f>SUMIFS('2024 Rev - NS'!$N:$N,'2024 Rev - NS'!$G:$G,'Build MCC'!$A25,'2024 Rev - NS'!$P:$P,'Build MCC'!$A$1,'2024 Rev - NS'!$O:$O,'Build MCC'!E$4)</f>
        <v>0</v>
      </c>
      <c r="F25" s="121">
        <f>SUMIFS('2024 Rev - NS'!$N:$N,'2024 Rev - NS'!$G:$G,'Build MCC'!$A25,'2024 Rev - NS'!$P:$P,'Build MCC'!$A$1,'2024 Rev - NS'!$O:$O,'Build MCC'!F$4)</f>
        <v>0</v>
      </c>
      <c r="G25" s="121">
        <f>SUMIFS('2024 Rev - NS'!$N:$N,'2024 Rev - NS'!$G:$G,'Build MCC'!$A25,'2024 Rev - NS'!$P:$P,'Build MCC'!$A$1,'2024 Rev - NS'!$O:$O,'Build MCC'!G$4)</f>
        <v>0</v>
      </c>
      <c r="H25" s="121">
        <f>SUMIFS('2024 Rev - NS'!$N:$N,'2024 Rev - NS'!$G:$G,'Build MCC'!$A25,'2024 Rev - NS'!$P:$P,'Build MCC'!$A$1,'2024 Rev - NS'!$O:$O,'Build MCC'!H$4)</f>
        <v>0</v>
      </c>
      <c r="I25" s="121">
        <f>SUMIFS('2024 Rev - NS'!$N:$N,'2024 Rev - NS'!$G:$G,'Build MCC'!$A25,'2024 Rev - NS'!$P:$P,'Build MCC'!$A$1,'2024 Rev - NS'!$O:$O,'Build MCC'!I$4)</f>
        <v>0</v>
      </c>
      <c r="J25" s="121">
        <f>SUMIFS('2024 Rev - NS'!$N:$N,'2024 Rev - NS'!$G:$G,'Build MCC'!$A25,'2024 Rev - NS'!$P:$P,'Build MCC'!$A$1,'2024 Rev - NS'!$O:$O,'Build MCC'!J$4)</f>
        <v>0</v>
      </c>
      <c r="K25" s="121">
        <f>SUMIFS('2024 Rev - NS'!$N:$N,'2024 Rev - NS'!$G:$G,'Build MCC'!$A25,'2024 Rev - NS'!$P:$P,'Build MCC'!$A$1,'2024 Rev - NS'!$O:$O,'Build MCC'!K$4)</f>
        <v>0</v>
      </c>
      <c r="L25" s="121">
        <f>SUMIFS('2024 Rev - NS'!$N:$N,'2024 Rev - NS'!$G:$G,'Build MCC'!$A25,'2024 Rev - NS'!$P:$P,'Build MCC'!$A$1,'2024 Rev - NS'!$O:$O,'Build MCC'!L$4)</f>
        <v>0</v>
      </c>
      <c r="M25" s="121">
        <f>SUMIFS('2024 Rev - NS'!$N:$N,'2024 Rev - NS'!$G:$G,'Build MCC'!$A25,'2024 Rev - NS'!$P:$P,'Build MCC'!$A$1,'2024 Rev - NS'!$O:$O,'Build MCC'!M$4)</f>
        <v>0</v>
      </c>
      <c r="N25" s="121">
        <f t="shared" si="2"/>
        <v>0</v>
      </c>
    </row>
    <row r="26" spans="1:14" x14ac:dyDescent="0.15">
      <c r="A26" s="286" t="s">
        <v>2465</v>
      </c>
      <c r="B26" s="121">
        <f>SUMIFS('2024 Rev - NS'!$N:$N,'2024 Rev - NS'!$G:$G,'Build MCC'!$A26,'2024 Rev - NS'!$P:$P,'Build MCC'!$A$1,'2024 Rev - NS'!$O:$O,'Build MCC'!B$4)</f>
        <v>0</v>
      </c>
      <c r="C26" s="121">
        <f>SUMIFS('2024 Rev - NS'!$N:$N,'2024 Rev - NS'!$G:$G,'Build MCC'!$A26,'2024 Rev - NS'!$P:$P,'Build MCC'!$A$1,'2024 Rev - NS'!$O:$O,'Build MCC'!C$4)</f>
        <v>0</v>
      </c>
      <c r="D26" s="121">
        <f>SUMIFS('2024 Rev - NS'!$N:$N,'2024 Rev - NS'!$G:$G,'Build MCC'!$A26,'2024 Rev - NS'!$P:$P,'Build MCC'!$A$1,'2024 Rev - NS'!$O:$O,'Build MCC'!D$4)</f>
        <v>0</v>
      </c>
      <c r="E26" s="121">
        <f>SUMIFS('2024 Rev - NS'!$N:$N,'2024 Rev - NS'!$G:$G,'Build MCC'!$A26,'2024 Rev - NS'!$P:$P,'Build MCC'!$A$1,'2024 Rev - NS'!$O:$O,'Build MCC'!E$4)</f>
        <v>0</v>
      </c>
      <c r="F26" s="121">
        <f>SUMIFS('2024 Rev - NS'!$N:$N,'2024 Rev - NS'!$G:$G,'Build MCC'!$A26,'2024 Rev - NS'!$P:$P,'Build MCC'!$A$1,'2024 Rev - NS'!$O:$O,'Build MCC'!F$4)</f>
        <v>0</v>
      </c>
      <c r="G26" s="121">
        <f>SUMIFS('2024 Rev - NS'!$N:$N,'2024 Rev - NS'!$G:$G,'Build MCC'!$A26,'2024 Rev - NS'!$P:$P,'Build MCC'!$A$1,'2024 Rev - NS'!$O:$O,'Build MCC'!G$4)</f>
        <v>0</v>
      </c>
      <c r="H26" s="121">
        <f>SUMIFS('2024 Rev - NS'!$N:$N,'2024 Rev - NS'!$G:$G,'Build MCC'!$A26,'2024 Rev - NS'!$P:$P,'Build MCC'!$A$1,'2024 Rev - NS'!$O:$O,'Build MCC'!H$4)</f>
        <v>0</v>
      </c>
      <c r="I26" s="121">
        <f>SUMIFS('2024 Rev - NS'!$N:$N,'2024 Rev - NS'!$G:$G,'Build MCC'!$A26,'2024 Rev - NS'!$P:$P,'Build MCC'!$A$1,'2024 Rev - NS'!$O:$O,'Build MCC'!I$4)</f>
        <v>0</v>
      </c>
      <c r="J26" s="121">
        <f>SUMIFS('2024 Rev - NS'!$N:$N,'2024 Rev - NS'!$G:$G,'Build MCC'!$A26,'2024 Rev - NS'!$P:$P,'Build MCC'!$A$1,'2024 Rev - NS'!$O:$O,'Build MCC'!J$4)</f>
        <v>0</v>
      </c>
      <c r="K26" s="121">
        <f>SUMIFS('2024 Rev - NS'!$N:$N,'2024 Rev - NS'!$G:$G,'Build MCC'!$A26,'2024 Rev - NS'!$P:$P,'Build MCC'!$A$1,'2024 Rev - NS'!$O:$O,'Build MCC'!K$4)</f>
        <v>0</v>
      </c>
      <c r="L26" s="121">
        <f>SUMIFS('2024 Rev - NS'!$N:$N,'2024 Rev - NS'!$G:$G,'Build MCC'!$A26,'2024 Rev - NS'!$P:$P,'Build MCC'!$A$1,'2024 Rev - NS'!$O:$O,'Build MCC'!L$4)</f>
        <v>0</v>
      </c>
      <c r="M26" s="121">
        <f>SUMIFS('2024 Rev - NS'!$N:$N,'2024 Rev - NS'!$G:$G,'Build MCC'!$A26,'2024 Rev - NS'!$P:$P,'Build MCC'!$A$1,'2024 Rev - NS'!$O:$O,'Build MCC'!M$4)</f>
        <v>0</v>
      </c>
      <c r="N26" s="121">
        <f t="shared" si="2"/>
        <v>0</v>
      </c>
    </row>
    <row r="27" spans="1:14" x14ac:dyDescent="0.15">
      <c r="A27" s="286" t="s">
        <v>1024</v>
      </c>
      <c r="B27" s="121">
        <f>SUMIFS('2024 Rev - NS'!$N:$N,'2024 Rev - NS'!$G:$G,'Build MCC'!$A27,'2024 Rev - NS'!$P:$P,'Build MCC'!$A$1,'2024 Rev - NS'!$O:$O,'Build MCC'!B$4)</f>
        <v>0</v>
      </c>
      <c r="C27" s="121">
        <f>SUMIFS('2024 Rev - NS'!$N:$N,'2024 Rev - NS'!$G:$G,'Build MCC'!$A27,'2024 Rev - NS'!$P:$P,'Build MCC'!$A$1,'2024 Rev - NS'!$O:$O,'Build MCC'!C$4)</f>
        <v>0</v>
      </c>
      <c r="D27" s="121">
        <f>SUMIFS('2024 Rev - NS'!$N:$N,'2024 Rev - NS'!$G:$G,'Build MCC'!$A27,'2024 Rev - NS'!$P:$P,'Build MCC'!$A$1,'2024 Rev - NS'!$O:$O,'Build MCC'!D$4)</f>
        <v>19551.8</v>
      </c>
      <c r="E27" s="121">
        <f>SUMIFS('2024 Rev - NS'!$N:$N,'2024 Rev - NS'!$G:$G,'Build MCC'!$A27,'2024 Rev - NS'!$P:$P,'Build MCC'!$A$1,'2024 Rev - NS'!$O:$O,'Build MCC'!E$4)</f>
        <v>0</v>
      </c>
      <c r="F27" s="121">
        <f>SUMIFS('2024 Rev - NS'!$N:$N,'2024 Rev - NS'!$G:$G,'Build MCC'!$A27,'2024 Rev - NS'!$P:$P,'Build MCC'!$A$1,'2024 Rev - NS'!$O:$O,'Build MCC'!F$4)</f>
        <v>0</v>
      </c>
      <c r="G27" s="121">
        <f>SUMIFS('2024 Rev - NS'!$N:$N,'2024 Rev - NS'!$G:$G,'Build MCC'!$A27,'2024 Rev - NS'!$P:$P,'Build MCC'!$A$1,'2024 Rev - NS'!$O:$O,'Build MCC'!G$4)</f>
        <v>0</v>
      </c>
      <c r="H27" s="121">
        <f>SUMIFS('2024 Rev - NS'!$N:$N,'2024 Rev - NS'!$G:$G,'Build MCC'!$A27,'2024 Rev - NS'!$P:$P,'Build MCC'!$A$1,'2024 Rev - NS'!$O:$O,'Build MCC'!H$4)</f>
        <v>19551.79</v>
      </c>
      <c r="I27" s="121">
        <f>SUMIFS('2024 Rev - NS'!$N:$N,'2024 Rev - NS'!$G:$G,'Build MCC'!$A27,'2024 Rev - NS'!$P:$P,'Build MCC'!$A$1,'2024 Rev - NS'!$O:$O,'Build MCC'!I$4)</f>
        <v>0</v>
      </c>
      <c r="J27" s="121">
        <f>SUMIFS('2024 Rev - NS'!$N:$N,'2024 Rev - NS'!$G:$G,'Build MCC'!$A27,'2024 Rev - NS'!$P:$P,'Build MCC'!$A$1,'2024 Rev - NS'!$O:$O,'Build MCC'!J$4)</f>
        <v>0</v>
      </c>
      <c r="K27" s="121">
        <f>SUMIFS('2024 Rev - NS'!$N:$N,'2024 Rev - NS'!$G:$G,'Build MCC'!$A27,'2024 Rev - NS'!$P:$P,'Build MCC'!$A$1,'2024 Rev - NS'!$O:$O,'Build MCC'!K$4)</f>
        <v>0</v>
      </c>
      <c r="L27" s="121">
        <f>SUMIFS('2024 Rev - NS'!$N:$N,'2024 Rev - NS'!$G:$G,'Build MCC'!$A27,'2024 Rev - NS'!$P:$P,'Build MCC'!$A$1,'2024 Rev - NS'!$O:$O,'Build MCC'!L$4)</f>
        <v>0</v>
      </c>
      <c r="M27" s="121">
        <f>SUMIFS('2024 Rev - NS'!$N:$N,'2024 Rev - NS'!$G:$G,'Build MCC'!$A27,'2024 Rev - NS'!$P:$P,'Build MCC'!$A$1,'2024 Rev - NS'!$O:$O,'Build MCC'!M$4)</f>
        <v>0</v>
      </c>
      <c r="N27" s="121">
        <f t="shared" si="2"/>
        <v>39103.589999999997</v>
      </c>
    </row>
    <row r="28" spans="1:14" x14ac:dyDescent="0.15">
      <c r="A28" s="286" t="s">
        <v>1023</v>
      </c>
      <c r="B28" s="121">
        <f>SUMIFS('2024 Rev - NS'!$N:$N,'2024 Rev - NS'!$G:$G,'Build MCC'!$A28,'2024 Rev - NS'!$P:$P,'Build MCC'!$A$1,'2024 Rev - NS'!$O:$O,'Build MCC'!B$4)</f>
        <v>0</v>
      </c>
      <c r="C28" s="121">
        <f>SUMIFS('2024 Rev - NS'!$N:$N,'2024 Rev - NS'!$G:$G,'Build MCC'!$A28,'2024 Rev - NS'!$P:$P,'Build MCC'!$A$1,'2024 Rev - NS'!$O:$O,'Build MCC'!C$4)</f>
        <v>0</v>
      </c>
      <c r="D28" s="121">
        <f>SUMIFS('2024 Rev - NS'!$N:$N,'2024 Rev - NS'!$G:$G,'Build MCC'!$A28,'2024 Rev - NS'!$P:$P,'Build MCC'!$A$1,'2024 Rev - NS'!$O:$O,'Build MCC'!D$4)</f>
        <v>0</v>
      </c>
      <c r="E28" s="121">
        <f>SUMIFS('2024 Rev - NS'!$N:$N,'2024 Rev - NS'!$G:$G,'Build MCC'!$A28,'2024 Rev - NS'!$P:$P,'Build MCC'!$A$1,'2024 Rev - NS'!$O:$O,'Build MCC'!E$4)</f>
        <v>0</v>
      </c>
      <c r="F28" s="121">
        <f>SUMIFS('2024 Rev - NS'!$N:$N,'2024 Rev - NS'!$G:$G,'Build MCC'!$A28,'2024 Rev - NS'!$P:$P,'Build MCC'!$A$1,'2024 Rev - NS'!$O:$O,'Build MCC'!F$4)</f>
        <v>0</v>
      </c>
      <c r="G28" s="121">
        <f>SUMIFS('2024 Rev - NS'!$N:$N,'2024 Rev - NS'!$G:$G,'Build MCC'!$A28,'2024 Rev - NS'!$P:$P,'Build MCC'!$A$1,'2024 Rev - NS'!$O:$O,'Build MCC'!G$4)</f>
        <v>0</v>
      </c>
      <c r="H28" s="121">
        <f>SUMIFS('2024 Rev - NS'!$N:$N,'2024 Rev - NS'!$G:$G,'Build MCC'!$A28,'2024 Rev - NS'!$P:$P,'Build MCC'!$A$1,'2024 Rev - NS'!$O:$O,'Build MCC'!H$4)</f>
        <v>0</v>
      </c>
      <c r="I28" s="121">
        <f>SUMIFS('2024 Rev - NS'!$N:$N,'2024 Rev - NS'!$G:$G,'Build MCC'!$A28,'2024 Rev - NS'!$P:$P,'Build MCC'!$A$1,'2024 Rev - NS'!$O:$O,'Build MCC'!I$4)</f>
        <v>30995</v>
      </c>
      <c r="J28" s="121">
        <f>SUMIFS('2024 Rev - NS'!$N:$N,'2024 Rev - NS'!$G:$G,'Build MCC'!$A28,'2024 Rev - NS'!$P:$P,'Build MCC'!$A$1,'2024 Rev - NS'!$O:$O,'Build MCC'!J$4)</f>
        <v>0</v>
      </c>
      <c r="K28" s="121">
        <f>SUMIFS('2024 Rev - NS'!$N:$N,'2024 Rev - NS'!$G:$G,'Build MCC'!$A28,'2024 Rev - NS'!$P:$P,'Build MCC'!$A$1,'2024 Rev - NS'!$O:$O,'Build MCC'!K$4)</f>
        <v>0</v>
      </c>
      <c r="L28" s="121">
        <f>SUMIFS('2024 Rev - NS'!$N:$N,'2024 Rev - NS'!$G:$G,'Build MCC'!$A28,'2024 Rev - NS'!$P:$P,'Build MCC'!$A$1,'2024 Rev - NS'!$O:$O,'Build MCC'!L$4)</f>
        <v>0</v>
      </c>
      <c r="M28" s="121">
        <f>SUMIFS('2024 Rev - NS'!$N:$N,'2024 Rev - NS'!$G:$G,'Build MCC'!$A28,'2024 Rev - NS'!$P:$P,'Build MCC'!$A$1,'2024 Rev - NS'!$O:$O,'Build MCC'!M$4)</f>
        <v>0</v>
      </c>
      <c r="N28" s="121">
        <f t="shared" si="2"/>
        <v>30995</v>
      </c>
    </row>
    <row r="29" spans="1:14" x14ac:dyDescent="0.15">
      <c r="A29" s="286" t="s">
        <v>1025</v>
      </c>
      <c r="B29" s="121">
        <f>SUMIFS('2024 Rev - NS'!$N:$N,'2024 Rev - NS'!$G:$G,'Build MCC'!$A29,'2024 Rev - NS'!$P:$P,'Build MCC'!$A$1,'2024 Rev - NS'!$O:$O,'Build MCC'!B$4)</f>
        <v>0</v>
      </c>
      <c r="C29" s="121">
        <f>SUMIFS('2024 Rev - NS'!$N:$N,'2024 Rev - NS'!$G:$G,'Build MCC'!$A29,'2024 Rev - NS'!$P:$P,'Build MCC'!$A$1,'2024 Rev - NS'!$O:$O,'Build MCC'!C$4)</f>
        <v>0</v>
      </c>
      <c r="D29" s="121">
        <f>SUMIFS('2024 Rev - NS'!$N:$N,'2024 Rev - NS'!$G:$G,'Build MCC'!$A29,'2024 Rev - NS'!$P:$P,'Build MCC'!$A$1,'2024 Rev - NS'!$O:$O,'Build MCC'!D$4)</f>
        <v>17086</v>
      </c>
      <c r="E29" s="121">
        <f>SUMIFS('2024 Rev - NS'!$N:$N,'2024 Rev - NS'!$G:$G,'Build MCC'!$A29,'2024 Rev - NS'!$P:$P,'Build MCC'!$A$1,'2024 Rev - NS'!$O:$O,'Build MCC'!E$4)</f>
        <v>0</v>
      </c>
      <c r="F29" s="121">
        <f>SUMIFS('2024 Rev - NS'!$N:$N,'2024 Rev - NS'!$G:$G,'Build MCC'!$A29,'2024 Rev - NS'!$P:$P,'Build MCC'!$A$1,'2024 Rev - NS'!$O:$O,'Build MCC'!F$4)</f>
        <v>0</v>
      </c>
      <c r="G29" s="121">
        <f>SUMIFS('2024 Rev - NS'!$N:$N,'2024 Rev - NS'!$G:$G,'Build MCC'!$A29,'2024 Rev - NS'!$P:$P,'Build MCC'!$A$1,'2024 Rev - NS'!$O:$O,'Build MCC'!G$4)</f>
        <v>0</v>
      </c>
      <c r="H29" s="121">
        <f>SUMIFS('2024 Rev - NS'!$N:$N,'2024 Rev - NS'!$G:$G,'Build MCC'!$A29,'2024 Rev - NS'!$P:$P,'Build MCC'!$A$1,'2024 Rev - NS'!$O:$O,'Build MCC'!H$4)</f>
        <v>0</v>
      </c>
      <c r="I29" s="121">
        <f>SUMIFS('2024 Rev - NS'!$N:$N,'2024 Rev - NS'!$G:$G,'Build MCC'!$A29,'2024 Rev - NS'!$P:$P,'Build MCC'!$A$1,'2024 Rev - NS'!$O:$O,'Build MCC'!I$4)</f>
        <v>0</v>
      </c>
      <c r="J29" s="121">
        <f>SUMIFS('2024 Rev - NS'!$N:$N,'2024 Rev - NS'!$G:$G,'Build MCC'!$A29,'2024 Rev - NS'!$P:$P,'Build MCC'!$A$1,'2024 Rev - NS'!$O:$O,'Build MCC'!J$4)</f>
        <v>0</v>
      </c>
      <c r="K29" s="121">
        <f>SUMIFS('2024 Rev - NS'!$N:$N,'2024 Rev - NS'!$G:$G,'Build MCC'!$A29,'2024 Rev - NS'!$P:$P,'Build MCC'!$A$1,'2024 Rev - NS'!$O:$O,'Build MCC'!K$4)</f>
        <v>0</v>
      </c>
      <c r="L29" s="121">
        <f>SUMIFS('2024 Rev - NS'!$N:$N,'2024 Rev - NS'!$G:$G,'Build MCC'!$A29,'2024 Rev - NS'!$P:$P,'Build MCC'!$A$1,'2024 Rev - NS'!$O:$O,'Build MCC'!L$4)</f>
        <v>0</v>
      </c>
      <c r="M29" s="121">
        <f>SUMIFS('2024 Rev - NS'!$N:$N,'2024 Rev - NS'!$G:$G,'Build MCC'!$A29,'2024 Rev - NS'!$P:$P,'Build MCC'!$A$1,'2024 Rev - NS'!$O:$O,'Build MCC'!M$4)</f>
        <v>0</v>
      </c>
      <c r="N29" s="121">
        <f t="shared" si="2"/>
        <v>17086</v>
      </c>
    </row>
    <row r="30" spans="1:14" x14ac:dyDescent="0.15">
      <c r="A30" s="286" t="s">
        <v>1026</v>
      </c>
      <c r="B30" s="121">
        <f>SUMIFS('2024 Rev - NS'!$N:$N,'2024 Rev - NS'!$G:$G,'Build MCC'!$A30,'2024 Rev - NS'!$P:$P,'Build MCC'!$A$1,'2024 Rev - NS'!$O:$O,'Build MCC'!B$4)</f>
        <v>0</v>
      </c>
      <c r="C30" s="121">
        <f>SUMIFS('2024 Rev - NS'!$N:$N,'2024 Rev - NS'!$G:$G,'Build MCC'!$A30,'2024 Rev - NS'!$P:$P,'Build MCC'!$A$1,'2024 Rev - NS'!$O:$O,'Build MCC'!C$4)</f>
        <v>0</v>
      </c>
      <c r="D30" s="121">
        <f>SUMIFS('2024 Rev - NS'!$N:$N,'2024 Rev - NS'!$G:$G,'Build MCC'!$A30,'2024 Rev - NS'!$P:$P,'Build MCC'!$A$1,'2024 Rev - NS'!$O:$O,'Build MCC'!D$4)</f>
        <v>0</v>
      </c>
      <c r="E30" s="121">
        <f>SUMIFS('2024 Rev - NS'!$N:$N,'2024 Rev - NS'!$G:$G,'Build MCC'!$A30,'2024 Rev - NS'!$P:$P,'Build MCC'!$A$1,'2024 Rev - NS'!$O:$O,'Build MCC'!E$4)</f>
        <v>0</v>
      </c>
      <c r="F30" s="121">
        <f>SUMIFS('2024 Rev - NS'!$N:$N,'2024 Rev - NS'!$G:$G,'Build MCC'!$A30,'2024 Rev - NS'!$P:$P,'Build MCC'!$A$1,'2024 Rev - NS'!$O:$O,'Build MCC'!F$4)</f>
        <v>0</v>
      </c>
      <c r="G30" s="121">
        <f>SUMIFS('2024 Rev - NS'!$N:$N,'2024 Rev - NS'!$G:$G,'Build MCC'!$A30,'2024 Rev - NS'!$P:$P,'Build MCC'!$A$1,'2024 Rev - NS'!$O:$O,'Build MCC'!G$4)</f>
        <v>21344</v>
      </c>
      <c r="H30" s="121">
        <f>SUMIFS('2024 Rev - NS'!$N:$N,'2024 Rev - NS'!$G:$G,'Build MCC'!$A30,'2024 Rev - NS'!$P:$P,'Build MCC'!$A$1,'2024 Rev - NS'!$O:$O,'Build MCC'!H$4)</f>
        <v>0</v>
      </c>
      <c r="I30" s="121">
        <f>SUMIFS('2024 Rev - NS'!$N:$N,'2024 Rev - NS'!$G:$G,'Build MCC'!$A30,'2024 Rev - NS'!$P:$P,'Build MCC'!$A$1,'2024 Rev - NS'!$O:$O,'Build MCC'!I$4)</f>
        <v>0</v>
      </c>
      <c r="J30" s="121">
        <f>SUMIFS('2024 Rev - NS'!$N:$N,'2024 Rev - NS'!$G:$G,'Build MCC'!$A30,'2024 Rev - NS'!$P:$P,'Build MCC'!$A$1,'2024 Rev - NS'!$O:$O,'Build MCC'!J$4)</f>
        <v>0</v>
      </c>
      <c r="K30" s="121">
        <f>SUMIFS('2024 Rev - NS'!$N:$N,'2024 Rev - NS'!$G:$G,'Build MCC'!$A30,'2024 Rev - NS'!$P:$P,'Build MCC'!$A$1,'2024 Rev - NS'!$O:$O,'Build MCC'!K$4)</f>
        <v>0</v>
      </c>
      <c r="L30" s="121">
        <f>SUMIFS('2024 Rev - NS'!$N:$N,'2024 Rev - NS'!$G:$G,'Build MCC'!$A30,'2024 Rev - NS'!$P:$P,'Build MCC'!$A$1,'2024 Rev - NS'!$O:$O,'Build MCC'!L$4)</f>
        <v>0</v>
      </c>
      <c r="M30" s="121">
        <f>SUMIFS('2024 Rev - NS'!$N:$N,'2024 Rev - NS'!$G:$G,'Build MCC'!$A30,'2024 Rev - NS'!$P:$P,'Build MCC'!$A$1,'2024 Rev - NS'!$O:$O,'Build MCC'!M$4)</f>
        <v>0</v>
      </c>
      <c r="N30" s="121">
        <f t="shared" si="2"/>
        <v>21344</v>
      </c>
    </row>
    <row r="31" spans="1:14" x14ac:dyDescent="0.15">
      <c r="A31" s="286" t="s">
        <v>1027</v>
      </c>
      <c r="B31" s="121">
        <f>SUMIFS('2024 Rev - NS'!$N:$N,'2024 Rev - NS'!$G:$G,'Build MCC'!$A31,'2024 Rev - NS'!$P:$P,'Build MCC'!$A$1,'2024 Rev - NS'!$O:$O,'Build MCC'!B$4)</f>
        <v>0</v>
      </c>
      <c r="C31" s="121">
        <f>SUMIFS('2024 Rev - NS'!$N:$N,'2024 Rev - NS'!$G:$G,'Build MCC'!$A31,'2024 Rev - NS'!$P:$P,'Build MCC'!$A$1,'2024 Rev - NS'!$O:$O,'Build MCC'!C$4)</f>
        <v>0</v>
      </c>
      <c r="D31" s="121">
        <f>SUMIFS('2024 Rev - NS'!$N:$N,'2024 Rev - NS'!$G:$G,'Build MCC'!$A31,'2024 Rev - NS'!$P:$P,'Build MCC'!$A$1,'2024 Rev - NS'!$O:$O,'Build MCC'!D$4)</f>
        <v>0</v>
      </c>
      <c r="E31" s="121">
        <f>SUMIFS('2024 Rev - NS'!$N:$N,'2024 Rev - NS'!$G:$G,'Build MCC'!$A31,'2024 Rev - NS'!$P:$P,'Build MCC'!$A$1,'2024 Rev - NS'!$O:$O,'Build MCC'!E$4)</f>
        <v>0</v>
      </c>
      <c r="F31" s="121">
        <f>SUMIFS('2024 Rev - NS'!$N:$N,'2024 Rev - NS'!$G:$G,'Build MCC'!$A31,'2024 Rev - NS'!$P:$P,'Build MCC'!$A$1,'2024 Rev - NS'!$O:$O,'Build MCC'!F$4)</f>
        <v>0</v>
      </c>
      <c r="G31" s="121">
        <f>SUMIFS('2024 Rev - NS'!$N:$N,'2024 Rev - NS'!$G:$G,'Build MCC'!$A31,'2024 Rev - NS'!$P:$P,'Build MCC'!$A$1,'2024 Rev - NS'!$O:$O,'Build MCC'!G$4)</f>
        <v>0</v>
      </c>
      <c r="H31" s="121">
        <f>SUMIFS('2024 Rev - NS'!$N:$N,'2024 Rev - NS'!$G:$G,'Build MCC'!$A31,'2024 Rev - NS'!$P:$P,'Build MCC'!$A$1,'2024 Rev - NS'!$O:$O,'Build MCC'!H$4)</f>
        <v>0</v>
      </c>
      <c r="I31" s="121">
        <f>SUMIFS('2024 Rev - NS'!$N:$N,'2024 Rev - NS'!$G:$G,'Build MCC'!$A31,'2024 Rev - NS'!$P:$P,'Build MCC'!$A$1,'2024 Rev - NS'!$O:$O,'Build MCC'!I$4)</f>
        <v>0</v>
      </c>
      <c r="J31" s="121">
        <f>SUMIFS('2024 Rev - NS'!$N:$N,'2024 Rev - NS'!$G:$G,'Build MCC'!$A31,'2024 Rev - NS'!$P:$P,'Build MCC'!$A$1,'2024 Rev - NS'!$O:$O,'Build MCC'!J$4)</f>
        <v>0</v>
      </c>
      <c r="K31" s="121">
        <f>SUMIFS('2024 Rev - NS'!$N:$N,'2024 Rev - NS'!$G:$G,'Build MCC'!$A31,'2024 Rev - NS'!$P:$P,'Build MCC'!$A$1,'2024 Rev - NS'!$O:$O,'Build MCC'!K$4)</f>
        <v>0</v>
      </c>
      <c r="L31" s="121">
        <f>SUMIFS('2024 Rev - NS'!$N:$N,'2024 Rev - NS'!$G:$G,'Build MCC'!$A31,'2024 Rev - NS'!$P:$P,'Build MCC'!$A$1,'2024 Rev - NS'!$O:$O,'Build MCC'!L$4)</f>
        <v>0</v>
      </c>
      <c r="M31" s="121">
        <f>SUMIFS('2024 Rev - NS'!$N:$N,'2024 Rev - NS'!$G:$G,'Build MCC'!$A31,'2024 Rev - NS'!$P:$P,'Build MCC'!$A$1,'2024 Rev - NS'!$O:$O,'Build MCC'!M$4)</f>
        <v>0</v>
      </c>
      <c r="N31" s="121">
        <f t="shared" si="2"/>
        <v>0</v>
      </c>
    </row>
    <row r="32" spans="1:14" x14ac:dyDescent="0.15">
      <c r="A32" s="286" t="s">
        <v>1028</v>
      </c>
      <c r="B32" s="121">
        <f>SUMIFS('2024 Rev - NS'!$N:$N,'2024 Rev - NS'!$G:$G,'Build MCC'!$A32,'2024 Rev - NS'!$P:$P,'Build MCC'!$A$1,'2024 Rev - NS'!$O:$O,'Build MCC'!B$4)</f>
        <v>0</v>
      </c>
      <c r="C32" s="121">
        <f>SUMIFS('2024 Rev - NS'!$N:$N,'2024 Rev - NS'!$G:$G,'Build MCC'!$A32,'2024 Rev - NS'!$P:$P,'Build MCC'!$A$1,'2024 Rev - NS'!$O:$O,'Build MCC'!C$4)</f>
        <v>0</v>
      </c>
      <c r="D32" s="121">
        <f>SUMIFS('2024 Rev - NS'!$N:$N,'2024 Rev - NS'!$G:$G,'Build MCC'!$A32,'2024 Rev - NS'!$P:$P,'Build MCC'!$A$1,'2024 Rev - NS'!$O:$O,'Build MCC'!D$4)</f>
        <v>0</v>
      </c>
      <c r="E32" s="121">
        <f>SUMIFS('2024 Rev - NS'!$N:$N,'2024 Rev - NS'!$G:$G,'Build MCC'!$A32,'2024 Rev - NS'!$P:$P,'Build MCC'!$A$1,'2024 Rev - NS'!$O:$O,'Build MCC'!E$4)</f>
        <v>0</v>
      </c>
      <c r="F32" s="121">
        <f>SUMIFS('2024 Rev - NS'!$N:$N,'2024 Rev - NS'!$G:$G,'Build MCC'!$A32,'2024 Rev - NS'!$P:$P,'Build MCC'!$A$1,'2024 Rev - NS'!$O:$O,'Build MCC'!F$4)</f>
        <v>0</v>
      </c>
      <c r="G32" s="121">
        <f>SUMIFS('2024 Rev - NS'!$N:$N,'2024 Rev - NS'!$G:$G,'Build MCC'!$A32,'2024 Rev - NS'!$P:$P,'Build MCC'!$A$1,'2024 Rev - NS'!$O:$O,'Build MCC'!G$4)</f>
        <v>0</v>
      </c>
      <c r="H32" s="121">
        <f>SUMIFS('2024 Rev - NS'!$N:$N,'2024 Rev - NS'!$G:$G,'Build MCC'!$A32,'2024 Rev - NS'!$P:$P,'Build MCC'!$A$1,'2024 Rev - NS'!$O:$O,'Build MCC'!H$4)</f>
        <v>0</v>
      </c>
      <c r="I32" s="121">
        <f>SUMIFS('2024 Rev - NS'!$N:$N,'2024 Rev - NS'!$G:$G,'Build MCC'!$A32,'2024 Rev - NS'!$P:$P,'Build MCC'!$A$1,'2024 Rev - NS'!$O:$O,'Build MCC'!I$4)</f>
        <v>0</v>
      </c>
      <c r="J32" s="121">
        <f>SUMIFS('2024 Rev - NS'!$N:$N,'2024 Rev - NS'!$G:$G,'Build MCC'!$A32,'2024 Rev - NS'!$P:$P,'Build MCC'!$A$1,'2024 Rev - NS'!$O:$O,'Build MCC'!J$4)</f>
        <v>46713</v>
      </c>
      <c r="K32" s="121">
        <f>SUMIFS('2024 Rev - NS'!$N:$N,'2024 Rev - NS'!$G:$G,'Build MCC'!$A32,'2024 Rev - NS'!$P:$P,'Build MCC'!$A$1,'2024 Rev - NS'!$O:$O,'Build MCC'!K$4)</f>
        <v>0</v>
      </c>
      <c r="L32" s="121">
        <f>SUMIFS('2024 Rev - NS'!$N:$N,'2024 Rev - NS'!$G:$G,'Build MCC'!$A32,'2024 Rev - NS'!$P:$P,'Build MCC'!$A$1,'2024 Rev - NS'!$O:$O,'Build MCC'!L$4)</f>
        <v>0</v>
      </c>
      <c r="M32" s="121">
        <f>SUMIFS('2024 Rev - NS'!$N:$N,'2024 Rev - NS'!$G:$G,'Build MCC'!$A32,'2024 Rev - NS'!$P:$P,'Build MCC'!$A$1,'2024 Rev - NS'!$O:$O,'Build MCC'!M$4)</f>
        <v>0</v>
      </c>
      <c r="N32" s="121">
        <f t="shared" si="2"/>
        <v>46713</v>
      </c>
    </row>
    <row r="33" spans="1:14" x14ac:dyDescent="0.15">
      <c r="A33" s="286" t="s">
        <v>1831</v>
      </c>
      <c r="B33" s="121">
        <f>SUMIFS('2024 Rev - NS'!$N:$N,'2024 Rev - NS'!$G:$G,'Build MCC'!$A33,'2024 Rev - NS'!$P:$P,'Build MCC'!$A$1,'2024 Rev - NS'!$O:$O,'Build MCC'!B$4)</f>
        <v>0</v>
      </c>
      <c r="C33" s="121">
        <f>SUMIFS('2024 Rev - NS'!$N:$N,'2024 Rev - NS'!$G:$G,'Build MCC'!$A33,'2024 Rev - NS'!$P:$P,'Build MCC'!$A$1,'2024 Rev - NS'!$O:$O,'Build MCC'!C$4)</f>
        <v>0</v>
      </c>
      <c r="D33" s="121">
        <f>SUMIFS('2024 Rev - NS'!$N:$N,'2024 Rev - NS'!$G:$G,'Build MCC'!$A33,'2024 Rev - NS'!$P:$P,'Build MCC'!$A$1,'2024 Rev - NS'!$O:$O,'Build MCC'!D$4)</f>
        <v>0</v>
      </c>
      <c r="E33" s="121">
        <f>SUMIFS('2024 Rev - NS'!$N:$N,'2024 Rev - NS'!$G:$G,'Build MCC'!$A33,'2024 Rev - NS'!$P:$P,'Build MCC'!$A$1,'2024 Rev - NS'!$O:$O,'Build MCC'!E$4)</f>
        <v>0</v>
      </c>
      <c r="F33" s="121">
        <f>SUMIFS('2024 Rev - NS'!$N:$N,'2024 Rev - NS'!$G:$G,'Build MCC'!$A33,'2024 Rev - NS'!$P:$P,'Build MCC'!$A$1,'2024 Rev - NS'!$O:$O,'Build MCC'!F$4)</f>
        <v>0</v>
      </c>
      <c r="G33" s="121">
        <f>SUMIFS('2024 Rev - NS'!$N:$N,'2024 Rev - NS'!$G:$G,'Build MCC'!$A33,'2024 Rev - NS'!$P:$P,'Build MCC'!$A$1,'2024 Rev - NS'!$O:$O,'Build MCC'!G$4)</f>
        <v>0</v>
      </c>
      <c r="H33" s="121">
        <f>SUMIFS('2024 Rev - NS'!$N:$N,'2024 Rev - NS'!$G:$G,'Build MCC'!$A33,'2024 Rev - NS'!$P:$P,'Build MCC'!$A$1,'2024 Rev - NS'!$O:$O,'Build MCC'!H$4)</f>
        <v>0</v>
      </c>
      <c r="I33" s="121">
        <f>SUMIFS('2024 Rev - NS'!$N:$N,'2024 Rev - NS'!$G:$G,'Build MCC'!$A33,'2024 Rev - NS'!$P:$P,'Build MCC'!$A$1,'2024 Rev - NS'!$O:$O,'Build MCC'!I$4)</f>
        <v>0</v>
      </c>
      <c r="J33" s="121">
        <f>SUMIFS('2024 Rev - NS'!$N:$N,'2024 Rev - NS'!$G:$G,'Build MCC'!$A33,'2024 Rev - NS'!$P:$P,'Build MCC'!$A$1,'2024 Rev - NS'!$O:$O,'Build MCC'!J$4)</f>
        <v>0</v>
      </c>
      <c r="K33" s="121">
        <f>SUMIFS('2024 Rev - NS'!$N:$N,'2024 Rev - NS'!$G:$G,'Build MCC'!$A33,'2024 Rev - NS'!$P:$P,'Build MCC'!$A$1,'2024 Rev - NS'!$O:$O,'Build MCC'!K$4)</f>
        <v>0</v>
      </c>
      <c r="L33" s="121">
        <f>SUMIFS('2024 Rev - NS'!$N:$N,'2024 Rev - NS'!$G:$G,'Build MCC'!$A33,'2024 Rev - NS'!$P:$P,'Build MCC'!$A$1,'2024 Rev - NS'!$O:$O,'Build MCC'!L$4)</f>
        <v>0</v>
      </c>
      <c r="M33" s="121">
        <f>SUMIFS('2024 Rev - NS'!$N:$N,'2024 Rev - NS'!$G:$G,'Build MCC'!$A33,'2024 Rev - NS'!$P:$P,'Build MCC'!$A$1,'2024 Rev - NS'!$O:$O,'Build MCC'!M$4)</f>
        <v>0</v>
      </c>
      <c r="N33" s="121">
        <f t="shared" si="2"/>
        <v>0</v>
      </c>
    </row>
    <row r="34" spans="1:14" x14ac:dyDescent="0.15">
      <c r="A34" s="286" t="s">
        <v>1029</v>
      </c>
      <c r="B34" s="121">
        <f>SUMIFS('2024 Rev - NS'!$N:$N,'2024 Rev - NS'!$G:$G,'Build MCC'!$A34,'2024 Rev - NS'!$P:$P,'Build MCC'!$A$1,'2024 Rev - NS'!$O:$O,'Build MCC'!B$4)</f>
        <v>0</v>
      </c>
      <c r="C34" s="121">
        <f>SUMIFS('2024 Rev - NS'!$N:$N,'2024 Rev - NS'!$G:$G,'Build MCC'!$A34,'2024 Rev - NS'!$P:$P,'Build MCC'!$A$1,'2024 Rev - NS'!$O:$O,'Build MCC'!C$4)</f>
        <v>0</v>
      </c>
      <c r="D34" s="121">
        <f>SUMIFS('2024 Rev - NS'!$N:$N,'2024 Rev - NS'!$G:$G,'Build MCC'!$A34,'2024 Rev - NS'!$P:$P,'Build MCC'!$A$1,'2024 Rev - NS'!$O:$O,'Build MCC'!D$4)</f>
        <v>0</v>
      </c>
      <c r="E34" s="121">
        <f>SUMIFS('2024 Rev - NS'!$N:$N,'2024 Rev - NS'!$G:$G,'Build MCC'!$A34,'2024 Rev - NS'!$P:$P,'Build MCC'!$A$1,'2024 Rev - NS'!$O:$O,'Build MCC'!E$4)</f>
        <v>0</v>
      </c>
      <c r="F34" s="121">
        <f>SUMIFS('2024 Rev - NS'!$N:$N,'2024 Rev - NS'!$G:$G,'Build MCC'!$A34,'2024 Rev - NS'!$P:$P,'Build MCC'!$A$1,'2024 Rev - NS'!$O:$O,'Build MCC'!F$4)</f>
        <v>0</v>
      </c>
      <c r="G34" s="121">
        <f>SUMIFS('2024 Rev - NS'!$N:$N,'2024 Rev - NS'!$G:$G,'Build MCC'!$A34,'2024 Rev - NS'!$P:$P,'Build MCC'!$A$1,'2024 Rev - NS'!$O:$O,'Build MCC'!G$4)</f>
        <v>0</v>
      </c>
      <c r="H34" s="121">
        <f>SUMIFS('2024 Rev - NS'!$N:$N,'2024 Rev - NS'!$G:$G,'Build MCC'!$A34,'2024 Rev - NS'!$P:$P,'Build MCC'!$A$1,'2024 Rev - NS'!$O:$O,'Build MCC'!H$4)</f>
        <v>0</v>
      </c>
      <c r="I34" s="121">
        <f>SUMIFS('2024 Rev - NS'!$N:$N,'2024 Rev - NS'!$G:$G,'Build MCC'!$A34,'2024 Rev - NS'!$P:$P,'Build MCC'!$A$1,'2024 Rev - NS'!$O:$O,'Build MCC'!I$4)</f>
        <v>31648</v>
      </c>
      <c r="J34" s="121">
        <f>SUMIFS('2024 Rev - NS'!$N:$N,'2024 Rev - NS'!$G:$G,'Build MCC'!$A34,'2024 Rev - NS'!$P:$P,'Build MCC'!$A$1,'2024 Rev - NS'!$O:$O,'Build MCC'!J$4)</f>
        <v>0</v>
      </c>
      <c r="K34" s="121">
        <f>SUMIFS('2024 Rev - NS'!$N:$N,'2024 Rev - NS'!$G:$G,'Build MCC'!$A34,'2024 Rev - NS'!$P:$P,'Build MCC'!$A$1,'2024 Rev - NS'!$O:$O,'Build MCC'!K$4)</f>
        <v>0</v>
      </c>
      <c r="L34" s="121">
        <f>SUMIFS('2024 Rev - NS'!$N:$N,'2024 Rev - NS'!$G:$G,'Build MCC'!$A34,'2024 Rev - NS'!$P:$P,'Build MCC'!$A$1,'2024 Rev - NS'!$O:$O,'Build MCC'!L$4)</f>
        <v>0</v>
      </c>
      <c r="M34" s="121">
        <f>SUMIFS('2024 Rev - NS'!$N:$N,'2024 Rev - NS'!$G:$G,'Build MCC'!$A34,'2024 Rev - NS'!$P:$P,'Build MCC'!$A$1,'2024 Rev - NS'!$O:$O,'Build MCC'!M$4)</f>
        <v>0</v>
      </c>
      <c r="N34" s="121">
        <f t="shared" si="2"/>
        <v>31648</v>
      </c>
    </row>
    <row r="35" spans="1:14" x14ac:dyDescent="0.15">
      <c r="A35" s="286" t="s">
        <v>1030</v>
      </c>
      <c r="B35" s="121">
        <f>SUMIFS('2024 Rev - NS'!$N:$N,'2024 Rev - NS'!$G:$G,'Build MCC'!$A35,'2024 Rev - NS'!$P:$P,'Build MCC'!$A$1,'2024 Rev - NS'!$O:$O,'Build MCC'!B$4)</f>
        <v>0</v>
      </c>
      <c r="C35" s="121">
        <f>SUMIFS('2024 Rev - NS'!$N:$N,'2024 Rev - NS'!$G:$G,'Build MCC'!$A35,'2024 Rev - NS'!$P:$P,'Build MCC'!$A$1,'2024 Rev - NS'!$O:$O,'Build MCC'!C$4)</f>
        <v>0</v>
      </c>
      <c r="D35" s="121">
        <f>SUMIFS('2024 Rev - NS'!$N:$N,'2024 Rev - NS'!$G:$G,'Build MCC'!$A35,'2024 Rev - NS'!$P:$P,'Build MCC'!$A$1,'2024 Rev - NS'!$O:$O,'Build MCC'!D$4)</f>
        <v>0</v>
      </c>
      <c r="E35" s="121">
        <f>SUMIFS('2024 Rev - NS'!$N:$N,'2024 Rev - NS'!$G:$G,'Build MCC'!$A35,'2024 Rev - NS'!$P:$P,'Build MCC'!$A$1,'2024 Rev - NS'!$O:$O,'Build MCC'!E$4)</f>
        <v>0</v>
      </c>
      <c r="F35" s="121">
        <f>SUMIFS('2024 Rev - NS'!$N:$N,'2024 Rev - NS'!$G:$G,'Build MCC'!$A35,'2024 Rev - NS'!$P:$P,'Build MCC'!$A$1,'2024 Rev - NS'!$O:$O,'Build MCC'!F$4)</f>
        <v>17017</v>
      </c>
      <c r="G35" s="121">
        <f>SUMIFS('2024 Rev - NS'!$N:$N,'2024 Rev - NS'!$G:$G,'Build MCC'!$A35,'2024 Rev - NS'!$P:$P,'Build MCC'!$A$1,'2024 Rev - NS'!$O:$O,'Build MCC'!G$4)</f>
        <v>0</v>
      </c>
      <c r="H35" s="121">
        <f>SUMIFS('2024 Rev - NS'!$N:$N,'2024 Rev - NS'!$G:$G,'Build MCC'!$A35,'2024 Rev - NS'!$P:$P,'Build MCC'!$A$1,'2024 Rev - NS'!$O:$O,'Build MCC'!H$4)</f>
        <v>0</v>
      </c>
      <c r="I35" s="121">
        <f>SUMIFS('2024 Rev - NS'!$N:$N,'2024 Rev - NS'!$G:$G,'Build MCC'!$A35,'2024 Rev - NS'!$P:$P,'Build MCC'!$A$1,'2024 Rev - NS'!$O:$O,'Build MCC'!I$4)</f>
        <v>0</v>
      </c>
      <c r="J35" s="121">
        <f>SUMIFS('2024 Rev - NS'!$N:$N,'2024 Rev - NS'!$G:$G,'Build MCC'!$A35,'2024 Rev - NS'!$P:$P,'Build MCC'!$A$1,'2024 Rev - NS'!$O:$O,'Build MCC'!J$4)</f>
        <v>0</v>
      </c>
      <c r="K35" s="121">
        <f>SUMIFS('2024 Rev - NS'!$N:$N,'2024 Rev - NS'!$G:$G,'Build MCC'!$A35,'2024 Rev - NS'!$P:$P,'Build MCC'!$A$1,'2024 Rev - NS'!$O:$O,'Build MCC'!K$4)</f>
        <v>0</v>
      </c>
      <c r="L35" s="121">
        <f>SUMIFS('2024 Rev - NS'!$N:$N,'2024 Rev - NS'!$G:$G,'Build MCC'!$A35,'2024 Rev - NS'!$P:$P,'Build MCC'!$A$1,'2024 Rev - NS'!$O:$O,'Build MCC'!L$4)</f>
        <v>0</v>
      </c>
      <c r="M35" s="121">
        <f>SUMIFS('2024 Rev - NS'!$N:$N,'2024 Rev - NS'!$G:$G,'Build MCC'!$A35,'2024 Rev - NS'!$P:$P,'Build MCC'!$A$1,'2024 Rev - NS'!$O:$O,'Build MCC'!M$4)</f>
        <v>0</v>
      </c>
      <c r="N35" s="121">
        <f t="shared" si="2"/>
        <v>17017</v>
      </c>
    </row>
    <row r="36" spans="1:14" x14ac:dyDescent="0.15">
      <c r="A36" s="286" t="s">
        <v>1031</v>
      </c>
      <c r="B36" s="121">
        <f>SUMIFS('2024 Rev - NS'!$N:$N,'2024 Rev - NS'!$G:$G,'Build MCC'!$A36,'2024 Rev - NS'!$P:$P,'Build MCC'!$A$1,'2024 Rev - NS'!$O:$O,'Build MCC'!B$4)</f>
        <v>0</v>
      </c>
      <c r="C36" s="121">
        <f>SUMIFS('2024 Rev - NS'!$N:$N,'2024 Rev - NS'!$G:$G,'Build MCC'!$A36,'2024 Rev - NS'!$P:$P,'Build MCC'!$A$1,'2024 Rev - NS'!$O:$O,'Build MCC'!C$4)</f>
        <v>0</v>
      </c>
      <c r="D36" s="121">
        <f>SUMIFS('2024 Rev - NS'!$N:$N,'2024 Rev - NS'!$G:$G,'Build MCC'!$A36,'2024 Rev - NS'!$P:$P,'Build MCC'!$A$1,'2024 Rev - NS'!$O:$O,'Build MCC'!D$4)</f>
        <v>0</v>
      </c>
      <c r="E36" s="121">
        <f>SUMIFS('2024 Rev - NS'!$N:$N,'2024 Rev - NS'!$G:$G,'Build MCC'!$A36,'2024 Rev - NS'!$P:$P,'Build MCC'!$A$1,'2024 Rev - NS'!$O:$O,'Build MCC'!E$4)</f>
        <v>0</v>
      </c>
      <c r="F36" s="121">
        <f>SUMIFS('2024 Rev - NS'!$N:$N,'2024 Rev - NS'!$G:$G,'Build MCC'!$A36,'2024 Rev - NS'!$P:$P,'Build MCC'!$A$1,'2024 Rev - NS'!$O:$O,'Build MCC'!F$4)</f>
        <v>0</v>
      </c>
      <c r="G36" s="121">
        <f>SUMIFS('2024 Rev - NS'!$N:$N,'2024 Rev - NS'!$G:$G,'Build MCC'!$A36,'2024 Rev - NS'!$P:$P,'Build MCC'!$A$1,'2024 Rev - NS'!$O:$O,'Build MCC'!G$4)</f>
        <v>0</v>
      </c>
      <c r="H36" s="121">
        <f>SUMIFS('2024 Rev - NS'!$N:$N,'2024 Rev - NS'!$G:$G,'Build MCC'!$A36,'2024 Rev - NS'!$P:$P,'Build MCC'!$A$1,'2024 Rev - NS'!$O:$O,'Build MCC'!H$4)</f>
        <v>0</v>
      </c>
      <c r="I36" s="121">
        <f>SUMIFS('2024 Rev - NS'!$N:$N,'2024 Rev - NS'!$G:$G,'Build MCC'!$A36,'2024 Rev - NS'!$P:$P,'Build MCC'!$A$1,'2024 Rev - NS'!$O:$O,'Build MCC'!I$4)</f>
        <v>0</v>
      </c>
      <c r="J36" s="121">
        <f>SUMIFS('2024 Rev - NS'!$N:$N,'2024 Rev - NS'!$G:$G,'Build MCC'!$A36,'2024 Rev - NS'!$P:$P,'Build MCC'!$A$1,'2024 Rev - NS'!$O:$O,'Build MCC'!J$4)</f>
        <v>0</v>
      </c>
      <c r="K36" s="121">
        <f>SUMIFS('2024 Rev - NS'!$N:$N,'2024 Rev - NS'!$G:$G,'Build MCC'!$A36,'2024 Rev - NS'!$P:$P,'Build MCC'!$A$1,'2024 Rev - NS'!$O:$O,'Build MCC'!K$4)</f>
        <v>0</v>
      </c>
      <c r="L36" s="121">
        <f>SUMIFS('2024 Rev - NS'!$N:$N,'2024 Rev - NS'!$G:$G,'Build MCC'!$A36,'2024 Rev - NS'!$P:$P,'Build MCC'!$A$1,'2024 Rev - NS'!$O:$O,'Build MCC'!L$4)</f>
        <v>0</v>
      </c>
      <c r="M36" s="121">
        <f>SUMIFS('2024 Rev - NS'!$N:$N,'2024 Rev - NS'!$G:$G,'Build MCC'!$A36,'2024 Rev - NS'!$P:$P,'Build MCC'!$A$1,'2024 Rev - NS'!$O:$O,'Build MCC'!M$4)</f>
        <v>0</v>
      </c>
      <c r="N36" s="121">
        <f t="shared" si="2"/>
        <v>0</v>
      </c>
    </row>
    <row r="37" spans="1:14" x14ac:dyDescent="0.15">
      <c r="A37" s="286" t="s">
        <v>1033</v>
      </c>
      <c r="B37" s="121">
        <f>SUMIFS('2024 Rev - NS'!$N:$N,'2024 Rev - NS'!$G:$G,'Build MCC'!$A37,'2024 Rev - NS'!$P:$P,'Build MCC'!$A$1,'2024 Rev - NS'!$O:$O,'Build MCC'!B$4)</f>
        <v>0</v>
      </c>
      <c r="C37" s="121">
        <f>SUMIFS('2024 Rev - NS'!$N:$N,'2024 Rev - NS'!$G:$G,'Build MCC'!$A37,'2024 Rev - NS'!$P:$P,'Build MCC'!$A$1,'2024 Rev - NS'!$O:$O,'Build MCC'!C$4)</f>
        <v>0</v>
      </c>
      <c r="D37" s="121">
        <f>SUMIFS('2024 Rev - NS'!$N:$N,'2024 Rev - NS'!$G:$G,'Build MCC'!$A37,'2024 Rev - NS'!$P:$P,'Build MCC'!$A$1,'2024 Rev - NS'!$O:$O,'Build MCC'!D$4)</f>
        <v>0</v>
      </c>
      <c r="E37" s="121">
        <f>SUMIFS('2024 Rev - NS'!$N:$N,'2024 Rev - NS'!$G:$G,'Build MCC'!$A37,'2024 Rev - NS'!$P:$P,'Build MCC'!$A$1,'2024 Rev - NS'!$O:$O,'Build MCC'!E$4)</f>
        <v>0</v>
      </c>
      <c r="F37" s="121">
        <f>SUMIFS('2024 Rev - NS'!$N:$N,'2024 Rev - NS'!$G:$G,'Build MCC'!$A37,'2024 Rev - NS'!$P:$P,'Build MCC'!$A$1,'2024 Rev - NS'!$O:$O,'Build MCC'!F$4)</f>
        <v>0</v>
      </c>
      <c r="G37" s="121">
        <f>SUMIFS('2024 Rev - NS'!$N:$N,'2024 Rev - NS'!$G:$G,'Build MCC'!$A37,'2024 Rev - NS'!$P:$P,'Build MCC'!$A$1,'2024 Rev - NS'!$O:$O,'Build MCC'!G$4)</f>
        <v>0</v>
      </c>
      <c r="H37" s="121">
        <f>SUMIFS('2024 Rev - NS'!$N:$N,'2024 Rev - NS'!$G:$G,'Build MCC'!$A37,'2024 Rev - NS'!$P:$P,'Build MCC'!$A$1,'2024 Rev - NS'!$O:$O,'Build MCC'!H$4)</f>
        <v>0</v>
      </c>
      <c r="I37" s="121">
        <f>SUMIFS('2024 Rev - NS'!$N:$N,'2024 Rev - NS'!$G:$G,'Build MCC'!$A37,'2024 Rev - NS'!$P:$P,'Build MCC'!$A$1,'2024 Rev - NS'!$O:$O,'Build MCC'!I$4)</f>
        <v>0</v>
      </c>
      <c r="J37" s="121">
        <f>SUMIFS('2024 Rev - NS'!$N:$N,'2024 Rev - NS'!$G:$G,'Build MCC'!$A37,'2024 Rev - NS'!$P:$P,'Build MCC'!$A$1,'2024 Rev - NS'!$O:$O,'Build MCC'!J$4)</f>
        <v>0</v>
      </c>
      <c r="K37" s="121">
        <f>SUMIFS('2024 Rev - NS'!$N:$N,'2024 Rev - NS'!$G:$G,'Build MCC'!$A37,'2024 Rev - NS'!$P:$P,'Build MCC'!$A$1,'2024 Rev - NS'!$O:$O,'Build MCC'!K$4)</f>
        <v>0</v>
      </c>
      <c r="L37" s="121">
        <f>SUMIFS('2024 Rev - NS'!$N:$N,'2024 Rev - NS'!$G:$G,'Build MCC'!$A37,'2024 Rev - NS'!$P:$P,'Build MCC'!$A$1,'2024 Rev - NS'!$O:$O,'Build MCC'!L$4)</f>
        <v>0</v>
      </c>
      <c r="M37" s="121">
        <f>SUMIFS('2024 Rev - NS'!$N:$N,'2024 Rev - NS'!$G:$G,'Build MCC'!$A37,'2024 Rev - NS'!$P:$P,'Build MCC'!$A$1,'2024 Rev - NS'!$O:$O,'Build MCC'!M$4)</f>
        <v>0</v>
      </c>
      <c r="N37" s="121">
        <f t="shared" ref="N37:N68" si="3">SUM(B37:M37)</f>
        <v>0</v>
      </c>
    </row>
    <row r="38" spans="1:14" x14ac:dyDescent="0.15">
      <c r="A38" s="286" t="s">
        <v>1035</v>
      </c>
      <c r="B38" s="121">
        <f>SUMIFS('2024 Rev - NS'!$N:$N,'2024 Rev - NS'!$G:$G,'Build MCC'!$A38,'2024 Rev - NS'!$P:$P,'Build MCC'!$A$1,'2024 Rev - NS'!$O:$O,'Build MCC'!B$4)</f>
        <v>0</v>
      </c>
      <c r="C38" s="121">
        <f>SUMIFS('2024 Rev - NS'!$N:$N,'2024 Rev - NS'!$G:$G,'Build MCC'!$A38,'2024 Rev - NS'!$P:$P,'Build MCC'!$A$1,'2024 Rev - NS'!$O:$O,'Build MCC'!C$4)</f>
        <v>0</v>
      </c>
      <c r="D38" s="121">
        <f>SUMIFS('2024 Rev - NS'!$N:$N,'2024 Rev - NS'!$G:$G,'Build MCC'!$A38,'2024 Rev - NS'!$P:$P,'Build MCC'!$A$1,'2024 Rev - NS'!$O:$O,'Build MCC'!D$4)</f>
        <v>0</v>
      </c>
      <c r="E38" s="121">
        <f>SUMIFS('2024 Rev - NS'!$N:$N,'2024 Rev - NS'!$G:$G,'Build MCC'!$A38,'2024 Rev - NS'!$P:$P,'Build MCC'!$A$1,'2024 Rev - NS'!$O:$O,'Build MCC'!E$4)</f>
        <v>0</v>
      </c>
      <c r="F38" s="121">
        <f>SUMIFS('2024 Rev - NS'!$N:$N,'2024 Rev - NS'!$G:$G,'Build MCC'!$A38,'2024 Rev - NS'!$P:$P,'Build MCC'!$A$1,'2024 Rev - NS'!$O:$O,'Build MCC'!F$4)</f>
        <v>0</v>
      </c>
      <c r="G38" s="121">
        <f>SUMIFS('2024 Rev - NS'!$N:$N,'2024 Rev - NS'!$G:$G,'Build MCC'!$A38,'2024 Rev - NS'!$P:$P,'Build MCC'!$A$1,'2024 Rev - NS'!$O:$O,'Build MCC'!G$4)</f>
        <v>9961</v>
      </c>
      <c r="H38" s="121">
        <f>SUMIFS('2024 Rev - NS'!$N:$N,'2024 Rev - NS'!$G:$G,'Build MCC'!$A38,'2024 Rev - NS'!$P:$P,'Build MCC'!$A$1,'2024 Rev - NS'!$O:$O,'Build MCC'!H$4)</f>
        <v>0</v>
      </c>
      <c r="I38" s="121">
        <f>SUMIFS('2024 Rev - NS'!$N:$N,'2024 Rev - NS'!$G:$G,'Build MCC'!$A38,'2024 Rev - NS'!$P:$P,'Build MCC'!$A$1,'2024 Rev - NS'!$O:$O,'Build MCC'!I$4)</f>
        <v>0</v>
      </c>
      <c r="J38" s="121">
        <f>SUMIFS('2024 Rev - NS'!$N:$N,'2024 Rev - NS'!$G:$G,'Build MCC'!$A38,'2024 Rev - NS'!$P:$P,'Build MCC'!$A$1,'2024 Rev - NS'!$O:$O,'Build MCC'!J$4)</f>
        <v>0</v>
      </c>
      <c r="K38" s="121">
        <f>SUMIFS('2024 Rev - NS'!$N:$N,'2024 Rev - NS'!$G:$G,'Build MCC'!$A38,'2024 Rev - NS'!$P:$P,'Build MCC'!$A$1,'2024 Rev - NS'!$O:$O,'Build MCC'!K$4)</f>
        <v>0</v>
      </c>
      <c r="L38" s="121">
        <f>SUMIFS('2024 Rev - NS'!$N:$N,'2024 Rev - NS'!$G:$G,'Build MCC'!$A38,'2024 Rev - NS'!$P:$P,'Build MCC'!$A$1,'2024 Rev - NS'!$O:$O,'Build MCC'!L$4)</f>
        <v>0</v>
      </c>
      <c r="M38" s="121">
        <f>SUMIFS('2024 Rev - NS'!$N:$N,'2024 Rev - NS'!$G:$G,'Build MCC'!$A38,'2024 Rev - NS'!$P:$P,'Build MCC'!$A$1,'2024 Rev - NS'!$O:$O,'Build MCC'!M$4)</f>
        <v>0</v>
      </c>
      <c r="N38" s="121">
        <f t="shared" si="3"/>
        <v>9961</v>
      </c>
    </row>
    <row r="39" spans="1:14" x14ac:dyDescent="0.15">
      <c r="A39" s="286" t="s">
        <v>2454</v>
      </c>
      <c r="B39" s="121">
        <f>SUMIFS('2024 Rev - NS'!$N:$N,'2024 Rev - NS'!$G:$G,'Build MCC'!$A39,'2024 Rev - NS'!$P:$P,'Build MCC'!$A$1,'2024 Rev - NS'!$O:$O,'Build MCC'!B$4)</f>
        <v>0</v>
      </c>
      <c r="C39" s="121">
        <f>SUMIFS('2024 Rev - NS'!$N:$N,'2024 Rev - NS'!$G:$G,'Build MCC'!$A39,'2024 Rev - NS'!$P:$P,'Build MCC'!$A$1,'2024 Rev - NS'!$O:$O,'Build MCC'!C$4)</f>
        <v>0</v>
      </c>
      <c r="D39" s="121">
        <f>SUMIFS('2024 Rev - NS'!$N:$N,'2024 Rev - NS'!$G:$G,'Build MCC'!$A39,'2024 Rev - NS'!$P:$P,'Build MCC'!$A$1,'2024 Rev - NS'!$O:$O,'Build MCC'!D$4)</f>
        <v>0</v>
      </c>
      <c r="E39" s="121">
        <f>SUMIFS('2024 Rev - NS'!$N:$N,'2024 Rev - NS'!$G:$G,'Build MCC'!$A39,'2024 Rev - NS'!$P:$P,'Build MCC'!$A$1,'2024 Rev - NS'!$O:$O,'Build MCC'!E$4)</f>
        <v>0</v>
      </c>
      <c r="F39" s="121">
        <f>SUMIFS('2024 Rev - NS'!$N:$N,'2024 Rev - NS'!$G:$G,'Build MCC'!$A39,'2024 Rev - NS'!$P:$P,'Build MCC'!$A$1,'2024 Rev - NS'!$O:$O,'Build MCC'!F$4)</f>
        <v>0</v>
      </c>
      <c r="G39" s="121">
        <f>SUMIFS('2024 Rev - NS'!$N:$N,'2024 Rev - NS'!$G:$G,'Build MCC'!$A39,'2024 Rev - NS'!$P:$P,'Build MCC'!$A$1,'2024 Rev - NS'!$O:$O,'Build MCC'!G$4)</f>
        <v>0</v>
      </c>
      <c r="H39" s="121">
        <f>SUMIFS('2024 Rev - NS'!$N:$N,'2024 Rev - NS'!$G:$G,'Build MCC'!$A39,'2024 Rev - NS'!$P:$P,'Build MCC'!$A$1,'2024 Rev - NS'!$O:$O,'Build MCC'!H$4)</f>
        <v>0</v>
      </c>
      <c r="I39" s="121">
        <f>SUMIFS('2024 Rev - NS'!$N:$N,'2024 Rev - NS'!$G:$G,'Build MCC'!$A39,'2024 Rev - NS'!$P:$P,'Build MCC'!$A$1,'2024 Rev - NS'!$O:$O,'Build MCC'!I$4)</f>
        <v>0</v>
      </c>
      <c r="J39" s="121">
        <f>SUMIFS('2024 Rev - NS'!$N:$N,'2024 Rev - NS'!$G:$G,'Build MCC'!$A39,'2024 Rev - NS'!$P:$P,'Build MCC'!$A$1,'2024 Rev - NS'!$O:$O,'Build MCC'!J$4)</f>
        <v>0</v>
      </c>
      <c r="K39" s="121">
        <f>SUMIFS('2024 Rev - NS'!$N:$N,'2024 Rev - NS'!$G:$G,'Build MCC'!$A39,'2024 Rev - NS'!$P:$P,'Build MCC'!$A$1,'2024 Rev - NS'!$O:$O,'Build MCC'!K$4)</f>
        <v>0</v>
      </c>
      <c r="L39" s="121">
        <f>SUMIFS('2024 Rev - NS'!$N:$N,'2024 Rev - NS'!$G:$G,'Build MCC'!$A39,'2024 Rev - NS'!$P:$P,'Build MCC'!$A$1,'2024 Rev - NS'!$O:$O,'Build MCC'!L$4)</f>
        <v>0</v>
      </c>
      <c r="M39" s="121">
        <f>SUMIFS('2024 Rev - NS'!$N:$N,'2024 Rev - NS'!$G:$G,'Build MCC'!$A39,'2024 Rev - NS'!$P:$P,'Build MCC'!$A$1,'2024 Rev - NS'!$O:$O,'Build MCC'!M$4)</f>
        <v>0</v>
      </c>
      <c r="N39" s="121">
        <f t="shared" si="3"/>
        <v>0</v>
      </c>
    </row>
    <row r="40" spans="1:14" x14ac:dyDescent="0.15">
      <c r="A40" s="286" t="s">
        <v>1036</v>
      </c>
      <c r="B40" s="121">
        <f>SUMIFS('2024 Rev - NS'!$N:$N,'2024 Rev - NS'!$G:$G,'Build MCC'!$A40,'2024 Rev - NS'!$P:$P,'Build MCC'!$A$1,'2024 Rev - NS'!$O:$O,'Build MCC'!B$4)</f>
        <v>0</v>
      </c>
      <c r="C40" s="121">
        <f>SUMIFS('2024 Rev - NS'!$N:$N,'2024 Rev - NS'!$G:$G,'Build MCC'!$A40,'2024 Rev - NS'!$P:$P,'Build MCC'!$A$1,'2024 Rev - NS'!$O:$O,'Build MCC'!C$4)</f>
        <v>0</v>
      </c>
      <c r="D40" s="121">
        <f>SUMIFS('2024 Rev - NS'!$N:$N,'2024 Rev - NS'!$G:$G,'Build MCC'!$A40,'2024 Rev - NS'!$P:$P,'Build MCC'!$A$1,'2024 Rev - NS'!$O:$O,'Build MCC'!D$4)</f>
        <v>0</v>
      </c>
      <c r="E40" s="121">
        <f>SUMIFS('2024 Rev - NS'!$N:$N,'2024 Rev - NS'!$G:$G,'Build MCC'!$A40,'2024 Rev - NS'!$P:$P,'Build MCC'!$A$1,'2024 Rev - NS'!$O:$O,'Build MCC'!E$4)</f>
        <v>0</v>
      </c>
      <c r="F40" s="121">
        <f>SUMIFS('2024 Rev - NS'!$N:$N,'2024 Rev - NS'!$G:$G,'Build MCC'!$A40,'2024 Rev - NS'!$P:$P,'Build MCC'!$A$1,'2024 Rev - NS'!$O:$O,'Build MCC'!F$4)</f>
        <v>0</v>
      </c>
      <c r="G40" s="121">
        <f>SUMIFS('2024 Rev - NS'!$N:$N,'2024 Rev - NS'!$G:$G,'Build MCC'!$A40,'2024 Rev - NS'!$P:$P,'Build MCC'!$A$1,'2024 Rev - NS'!$O:$O,'Build MCC'!G$4)</f>
        <v>0</v>
      </c>
      <c r="H40" s="121">
        <f>SUMIFS('2024 Rev - NS'!$N:$N,'2024 Rev - NS'!$G:$G,'Build MCC'!$A40,'2024 Rev - NS'!$P:$P,'Build MCC'!$A$1,'2024 Rev - NS'!$O:$O,'Build MCC'!H$4)</f>
        <v>0</v>
      </c>
      <c r="I40" s="121">
        <f>SUMIFS('2024 Rev - NS'!$N:$N,'2024 Rev - NS'!$G:$G,'Build MCC'!$A40,'2024 Rev - NS'!$P:$P,'Build MCC'!$A$1,'2024 Rev - NS'!$O:$O,'Build MCC'!I$4)</f>
        <v>0</v>
      </c>
      <c r="J40" s="121">
        <f>SUMIFS('2024 Rev - NS'!$N:$N,'2024 Rev - NS'!$G:$G,'Build MCC'!$A40,'2024 Rev - NS'!$P:$P,'Build MCC'!$A$1,'2024 Rev - NS'!$O:$O,'Build MCC'!J$4)</f>
        <v>0</v>
      </c>
      <c r="K40" s="121">
        <f>SUMIFS('2024 Rev - NS'!$N:$N,'2024 Rev - NS'!$G:$G,'Build MCC'!$A40,'2024 Rev - NS'!$P:$P,'Build MCC'!$A$1,'2024 Rev - NS'!$O:$O,'Build MCC'!K$4)</f>
        <v>12876</v>
      </c>
      <c r="L40" s="121">
        <f>SUMIFS('2024 Rev - NS'!$N:$N,'2024 Rev - NS'!$G:$G,'Build MCC'!$A40,'2024 Rev - NS'!$P:$P,'Build MCC'!$A$1,'2024 Rev - NS'!$O:$O,'Build MCC'!L$4)</f>
        <v>0</v>
      </c>
      <c r="M40" s="121">
        <f>SUMIFS('2024 Rev - NS'!$N:$N,'2024 Rev - NS'!$G:$G,'Build MCC'!$A40,'2024 Rev - NS'!$P:$P,'Build MCC'!$A$1,'2024 Rev - NS'!$O:$O,'Build MCC'!M$4)</f>
        <v>0</v>
      </c>
      <c r="N40" s="121">
        <f t="shared" si="3"/>
        <v>12876</v>
      </c>
    </row>
    <row r="41" spans="1:14" x14ac:dyDescent="0.15">
      <c r="A41" s="286" t="s">
        <v>1037</v>
      </c>
      <c r="B41" s="121">
        <f>SUMIFS('2024 Rev - NS'!$N:$N,'2024 Rev - NS'!$G:$G,'Build MCC'!$A41,'2024 Rev - NS'!$P:$P,'Build MCC'!$A$1,'2024 Rev - NS'!$O:$O,'Build MCC'!B$4)</f>
        <v>0</v>
      </c>
      <c r="C41" s="121">
        <f>SUMIFS('2024 Rev - NS'!$N:$N,'2024 Rev - NS'!$G:$G,'Build MCC'!$A41,'2024 Rev - NS'!$P:$P,'Build MCC'!$A$1,'2024 Rev - NS'!$O:$O,'Build MCC'!C$4)</f>
        <v>0</v>
      </c>
      <c r="D41" s="121">
        <f>SUMIFS('2024 Rev - NS'!$N:$N,'2024 Rev - NS'!$G:$G,'Build MCC'!$A41,'2024 Rev - NS'!$P:$P,'Build MCC'!$A$1,'2024 Rev - NS'!$O:$O,'Build MCC'!D$4)</f>
        <v>0</v>
      </c>
      <c r="E41" s="121">
        <f>SUMIFS('2024 Rev - NS'!$N:$N,'2024 Rev - NS'!$G:$G,'Build MCC'!$A41,'2024 Rev - NS'!$P:$P,'Build MCC'!$A$1,'2024 Rev - NS'!$O:$O,'Build MCC'!E$4)</f>
        <v>0</v>
      </c>
      <c r="F41" s="121">
        <f>SUMIFS('2024 Rev - NS'!$N:$N,'2024 Rev - NS'!$G:$G,'Build MCC'!$A41,'2024 Rev - NS'!$P:$P,'Build MCC'!$A$1,'2024 Rev - NS'!$O:$O,'Build MCC'!F$4)</f>
        <v>15756</v>
      </c>
      <c r="G41" s="121">
        <f>SUMIFS('2024 Rev - NS'!$N:$N,'2024 Rev - NS'!$G:$G,'Build MCC'!$A41,'2024 Rev - NS'!$P:$P,'Build MCC'!$A$1,'2024 Rev - NS'!$O:$O,'Build MCC'!G$4)</f>
        <v>0</v>
      </c>
      <c r="H41" s="121">
        <f>SUMIFS('2024 Rev - NS'!$N:$N,'2024 Rev - NS'!$G:$G,'Build MCC'!$A41,'2024 Rev - NS'!$P:$P,'Build MCC'!$A$1,'2024 Rev - NS'!$O:$O,'Build MCC'!H$4)</f>
        <v>0</v>
      </c>
      <c r="I41" s="121">
        <f>SUMIFS('2024 Rev - NS'!$N:$N,'2024 Rev - NS'!$G:$G,'Build MCC'!$A41,'2024 Rev - NS'!$P:$P,'Build MCC'!$A$1,'2024 Rev - NS'!$O:$O,'Build MCC'!I$4)</f>
        <v>0</v>
      </c>
      <c r="J41" s="121">
        <f>SUMIFS('2024 Rev - NS'!$N:$N,'2024 Rev - NS'!$G:$G,'Build MCC'!$A41,'2024 Rev - NS'!$P:$P,'Build MCC'!$A$1,'2024 Rev - NS'!$O:$O,'Build MCC'!J$4)</f>
        <v>0</v>
      </c>
      <c r="K41" s="121">
        <f>SUMIFS('2024 Rev - NS'!$N:$N,'2024 Rev - NS'!$G:$G,'Build MCC'!$A41,'2024 Rev - NS'!$P:$P,'Build MCC'!$A$1,'2024 Rev - NS'!$O:$O,'Build MCC'!K$4)</f>
        <v>0</v>
      </c>
      <c r="L41" s="121">
        <f>SUMIFS('2024 Rev - NS'!$N:$N,'2024 Rev - NS'!$G:$G,'Build MCC'!$A41,'2024 Rev - NS'!$P:$P,'Build MCC'!$A$1,'2024 Rev - NS'!$O:$O,'Build MCC'!L$4)</f>
        <v>0</v>
      </c>
      <c r="M41" s="121">
        <f>SUMIFS('2024 Rev - NS'!$N:$N,'2024 Rev - NS'!$G:$G,'Build MCC'!$A41,'2024 Rev - NS'!$P:$P,'Build MCC'!$A$1,'2024 Rev - NS'!$O:$O,'Build MCC'!M$4)</f>
        <v>0</v>
      </c>
      <c r="N41" s="121">
        <f t="shared" si="3"/>
        <v>15756</v>
      </c>
    </row>
    <row r="42" spans="1:14" x14ac:dyDescent="0.15">
      <c r="A42" s="286" t="s">
        <v>1840</v>
      </c>
      <c r="B42" s="121">
        <f>SUMIFS('2024 Rev - NS'!$N:$N,'2024 Rev - NS'!$G:$G,'Build MCC'!$A42,'2024 Rev - NS'!$P:$P,'Build MCC'!$A$1,'2024 Rev - NS'!$O:$O,'Build MCC'!B$4)</f>
        <v>0</v>
      </c>
      <c r="C42" s="121">
        <f>SUMIFS('2024 Rev - NS'!$N:$N,'2024 Rev - NS'!$G:$G,'Build MCC'!$A42,'2024 Rev - NS'!$P:$P,'Build MCC'!$A$1,'2024 Rev - NS'!$O:$O,'Build MCC'!C$4)</f>
        <v>0</v>
      </c>
      <c r="D42" s="121">
        <f>SUMIFS('2024 Rev - NS'!$N:$N,'2024 Rev - NS'!$G:$G,'Build MCC'!$A42,'2024 Rev - NS'!$P:$P,'Build MCC'!$A$1,'2024 Rev - NS'!$O:$O,'Build MCC'!D$4)</f>
        <v>0</v>
      </c>
      <c r="E42" s="121">
        <f>SUMIFS('2024 Rev - NS'!$N:$N,'2024 Rev - NS'!$G:$G,'Build MCC'!$A42,'2024 Rev - NS'!$P:$P,'Build MCC'!$A$1,'2024 Rev - NS'!$O:$O,'Build MCC'!E$4)</f>
        <v>0</v>
      </c>
      <c r="F42" s="121">
        <f>SUMIFS('2024 Rev - NS'!$N:$N,'2024 Rev - NS'!$G:$G,'Build MCC'!$A42,'2024 Rev - NS'!$P:$P,'Build MCC'!$A$1,'2024 Rev - NS'!$O:$O,'Build MCC'!F$4)</f>
        <v>0</v>
      </c>
      <c r="G42" s="121">
        <f>SUMIFS('2024 Rev - NS'!$N:$N,'2024 Rev - NS'!$G:$G,'Build MCC'!$A42,'2024 Rev - NS'!$P:$P,'Build MCC'!$A$1,'2024 Rev - NS'!$O:$O,'Build MCC'!G$4)</f>
        <v>0</v>
      </c>
      <c r="H42" s="121">
        <f>SUMIFS('2024 Rev - NS'!$N:$N,'2024 Rev - NS'!$G:$G,'Build MCC'!$A42,'2024 Rev - NS'!$P:$P,'Build MCC'!$A$1,'2024 Rev - NS'!$O:$O,'Build MCC'!H$4)</f>
        <v>0</v>
      </c>
      <c r="I42" s="121">
        <f>SUMIFS('2024 Rev - NS'!$N:$N,'2024 Rev - NS'!$G:$G,'Build MCC'!$A42,'2024 Rev - NS'!$P:$P,'Build MCC'!$A$1,'2024 Rev - NS'!$O:$O,'Build MCC'!I$4)</f>
        <v>0</v>
      </c>
      <c r="J42" s="121">
        <f>SUMIFS('2024 Rev - NS'!$N:$N,'2024 Rev - NS'!$G:$G,'Build MCC'!$A42,'2024 Rev - NS'!$P:$P,'Build MCC'!$A$1,'2024 Rev - NS'!$O:$O,'Build MCC'!J$4)</f>
        <v>0</v>
      </c>
      <c r="K42" s="121">
        <f>SUMIFS('2024 Rev - NS'!$N:$N,'2024 Rev - NS'!$G:$G,'Build MCC'!$A42,'2024 Rev - NS'!$P:$P,'Build MCC'!$A$1,'2024 Rev - NS'!$O:$O,'Build MCC'!K$4)</f>
        <v>0</v>
      </c>
      <c r="L42" s="121">
        <f>SUMIFS('2024 Rev - NS'!$N:$N,'2024 Rev - NS'!$G:$G,'Build MCC'!$A42,'2024 Rev - NS'!$P:$P,'Build MCC'!$A$1,'2024 Rev - NS'!$O:$O,'Build MCC'!L$4)</f>
        <v>0</v>
      </c>
      <c r="M42" s="121">
        <f>SUMIFS('2024 Rev - NS'!$N:$N,'2024 Rev - NS'!$G:$G,'Build MCC'!$A42,'2024 Rev - NS'!$P:$P,'Build MCC'!$A$1,'2024 Rev - NS'!$O:$O,'Build MCC'!M$4)</f>
        <v>0</v>
      </c>
      <c r="N42" s="121">
        <f t="shared" si="3"/>
        <v>0</v>
      </c>
    </row>
    <row r="43" spans="1:14" x14ac:dyDescent="0.15">
      <c r="A43" s="286" t="s">
        <v>1038</v>
      </c>
      <c r="B43" s="121">
        <f>SUMIFS('2024 Rev - NS'!$N:$N,'2024 Rev - NS'!$G:$G,'Build MCC'!$A43,'2024 Rev - NS'!$P:$P,'Build MCC'!$A$1,'2024 Rev - NS'!$O:$O,'Build MCC'!B$4)</f>
        <v>0</v>
      </c>
      <c r="C43" s="121">
        <f>SUMIFS('2024 Rev - NS'!$N:$N,'2024 Rev - NS'!$G:$G,'Build MCC'!$A43,'2024 Rev - NS'!$P:$P,'Build MCC'!$A$1,'2024 Rev - NS'!$O:$O,'Build MCC'!C$4)</f>
        <v>0</v>
      </c>
      <c r="D43" s="121">
        <f>SUMIFS('2024 Rev - NS'!$N:$N,'2024 Rev - NS'!$G:$G,'Build MCC'!$A43,'2024 Rev - NS'!$P:$P,'Build MCC'!$A$1,'2024 Rev - NS'!$O:$O,'Build MCC'!D$4)</f>
        <v>0</v>
      </c>
      <c r="E43" s="121">
        <f>SUMIFS('2024 Rev - NS'!$N:$N,'2024 Rev - NS'!$G:$G,'Build MCC'!$A43,'2024 Rev - NS'!$P:$P,'Build MCC'!$A$1,'2024 Rev - NS'!$O:$O,'Build MCC'!E$4)</f>
        <v>0</v>
      </c>
      <c r="F43" s="121">
        <f>SUMIFS('2024 Rev - NS'!$N:$N,'2024 Rev - NS'!$G:$G,'Build MCC'!$A43,'2024 Rev - NS'!$P:$P,'Build MCC'!$A$1,'2024 Rev - NS'!$O:$O,'Build MCC'!F$4)</f>
        <v>0</v>
      </c>
      <c r="G43" s="121">
        <f>SUMIFS('2024 Rev - NS'!$N:$N,'2024 Rev - NS'!$G:$G,'Build MCC'!$A43,'2024 Rev - NS'!$P:$P,'Build MCC'!$A$1,'2024 Rev - NS'!$O:$O,'Build MCC'!G$4)</f>
        <v>0</v>
      </c>
      <c r="H43" s="121">
        <f>SUMIFS('2024 Rev - NS'!$N:$N,'2024 Rev - NS'!$G:$G,'Build MCC'!$A43,'2024 Rev - NS'!$P:$P,'Build MCC'!$A$1,'2024 Rev - NS'!$O:$O,'Build MCC'!H$4)</f>
        <v>0</v>
      </c>
      <c r="I43" s="121">
        <f>SUMIFS('2024 Rev - NS'!$N:$N,'2024 Rev - NS'!$G:$G,'Build MCC'!$A43,'2024 Rev - NS'!$P:$P,'Build MCC'!$A$1,'2024 Rev - NS'!$O:$O,'Build MCC'!I$4)</f>
        <v>0</v>
      </c>
      <c r="J43" s="121">
        <f>SUMIFS('2024 Rev - NS'!$N:$N,'2024 Rev - NS'!$G:$G,'Build MCC'!$A43,'2024 Rev - NS'!$P:$P,'Build MCC'!$A$1,'2024 Rev - NS'!$O:$O,'Build MCC'!J$4)</f>
        <v>0</v>
      </c>
      <c r="K43" s="121">
        <f>SUMIFS('2024 Rev - NS'!$N:$N,'2024 Rev - NS'!$G:$G,'Build MCC'!$A43,'2024 Rev - NS'!$P:$P,'Build MCC'!$A$1,'2024 Rev - NS'!$O:$O,'Build MCC'!K$4)</f>
        <v>8865</v>
      </c>
      <c r="L43" s="121">
        <f>SUMIFS('2024 Rev - NS'!$N:$N,'2024 Rev - NS'!$G:$G,'Build MCC'!$A43,'2024 Rev - NS'!$P:$P,'Build MCC'!$A$1,'2024 Rev - NS'!$O:$O,'Build MCC'!L$4)</f>
        <v>0</v>
      </c>
      <c r="M43" s="121">
        <f>SUMIFS('2024 Rev - NS'!$N:$N,'2024 Rev - NS'!$G:$G,'Build MCC'!$A43,'2024 Rev - NS'!$P:$P,'Build MCC'!$A$1,'2024 Rev - NS'!$O:$O,'Build MCC'!M$4)</f>
        <v>0</v>
      </c>
      <c r="N43" s="121">
        <f t="shared" si="3"/>
        <v>8865</v>
      </c>
    </row>
    <row r="44" spans="1:14" x14ac:dyDescent="0.15">
      <c r="A44" s="286" t="s">
        <v>1039</v>
      </c>
      <c r="B44" s="121">
        <f>SUMIFS('2024 Rev - NS'!$N:$N,'2024 Rev - NS'!$G:$G,'Build MCC'!$A44,'2024 Rev - NS'!$P:$P,'Build MCC'!$A$1,'2024 Rev - NS'!$O:$O,'Build MCC'!B$4)</f>
        <v>0</v>
      </c>
      <c r="C44" s="121">
        <f>SUMIFS('2024 Rev - NS'!$N:$N,'2024 Rev - NS'!$G:$G,'Build MCC'!$A44,'2024 Rev - NS'!$P:$P,'Build MCC'!$A$1,'2024 Rev - NS'!$O:$O,'Build MCC'!C$4)</f>
        <v>0</v>
      </c>
      <c r="D44" s="121">
        <f>SUMIFS('2024 Rev - NS'!$N:$N,'2024 Rev - NS'!$G:$G,'Build MCC'!$A44,'2024 Rev - NS'!$P:$P,'Build MCC'!$A$1,'2024 Rev - NS'!$O:$O,'Build MCC'!D$4)</f>
        <v>11062</v>
      </c>
      <c r="E44" s="121">
        <f>SUMIFS('2024 Rev - NS'!$N:$N,'2024 Rev - NS'!$G:$G,'Build MCC'!$A44,'2024 Rev - NS'!$P:$P,'Build MCC'!$A$1,'2024 Rev - NS'!$O:$O,'Build MCC'!E$4)</f>
        <v>0</v>
      </c>
      <c r="F44" s="121">
        <f>SUMIFS('2024 Rev - NS'!$N:$N,'2024 Rev - NS'!$G:$G,'Build MCC'!$A44,'2024 Rev - NS'!$P:$P,'Build MCC'!$A$1,'2024 Rev - NS'!$O:$O,'Build MCC'!F$4)</f>
        <v>0</v>
      </c>
      <c r="G44" s="121">
        <f>SUMIFS('2024 Rev - NS'!$N:$N,'2024 Rev - NS'!$G:$G,'Build MCC'!$A44,'2024 Rev - NS'!$P:$P,'Build MCC'!$A$1,'2024 Rev - NS'!$O:$O,'Build MCC'!G$4)</f>
        <v>0</v>
      </c>
      <c r="H44" s="121">
        <f>SUMIFS('2024 Rev - NS'!$N:$N,'2024 Rev - NS'!$G:$G,'Build MCC'!$A44,'2024 Rev - NS'!$P:$P,'Build MCC'!$A$1,'2024 Rev - NS'!$O:$O,'Build MCC'!H$4)</f>
        <v>0</v>
      </c>
      <c r="I44" s="121">
        <f>SUMIFS('2024 Rev - NS'!$N:$N,'2024 Rev - NS'!$G:$G,'Build MCC'!$A44,'2024 Rev - NS'!$P:$P,'Build MCC'!$A$1,'2024 Rev - NS'!$O:$O,'Build MCC'!I$4)</f>
        <v>0</v>
      </c>
      <c r="J44" s="121">
        <f>SUMIFS('2024 Rev - NS'!$N:$N,'2024 Rev - NS'!$G:$G,'Build MCC'!$A44,'2024 Rev - NS'!$P:$P,'Build MCC'!$A$1,'2024 Rev - NS'!$O:$O,'Build MCC'!J$4)</f>
        <v>0</v>
      </c>
      <c r="K44" s="121">
        <f>SUMIFS('2024 Rev - NS'!$N:$N,'2024 Rev - NS'!$G:$G,'Build MCC'!$A44,'2024 Rev - NS'!$P:$P,'Build MCC'!$A$1,'2024 Rev - NS'!$O:$O,'Build MCC'!K$4)</f>
        <v>0</v>
      </c>
      <c r="L44" s="121">
        <f>SUMIFS('2024 Rev - NS'!$N:$N,'2024 Rev - NS'!$G:$G,'Build MCC'!$A44,'2024 Rev - NS'!$P:$P,'Build MCC'!$A$1,'2024 Rev - NS'!$O:$O,'Build MCC'!L$4)</f>
        <v>0</v>
      </c>
      <c r="M44" s="121">
        <f>SUMIFS('2024 Rev - NS'!$N:$N,'2024 Rev - NS'!$G:$G,'Build MCC'!$A44,'2024 Rev - NS'!$P:$P,'Build MCC'!$A$1,'2024 Rev - NS'!$O:$O,'Build MCC'!M$4)</f>
        <v>0</v>
      </c>
      <c r="N44" s="121">
        <f t="shared" si="3"/>
        <v>11062</v>
      </c>
    </row>
    <row r="45" spans="1:14" x14ac:dyDescent="0.15">
      <c r="A45" s="286" t="s">
        <v>2456</v>
      </c>
      <c r="B45" s="121">
        <f>SUMIFS('2024 Rev - NS'!$N:$N,'2024 Rev - NS'!$G:$G,'Build MCC'!$A45,'2024 Rev - NS'!$P:$P,'Build MCC'!$A$1,'2024 Rev - NS'!$O:$O,'Build MCC'!B$4)</f>
        <v>0</v>
      </c>
      <c r="C45" s="121">
        <f>SUMIFS('2024 Rev - NS'!$N:$N,'2024 Rev - NS'!$G:$G,'Build MCC'!$A45,'2024 Rev - NS'!$P:$P,'Build MCC'!$A$1,'2024 Rev - NS'!$O:$O,'Build MCC'!C$4)</f>
        <v>0</v>
      </c>
      <c r="D45" s="121">
        <f>SUMIFS('2024 Rev - NS'!$N:$N,'2024 Rev - NS'!$G:$G,'Build MCC'!$A45,'2024 Rev - NS'!$P:$P,'Build MCC'!$A$1,'2024 Rev - NS'!$O:$O,'Build MCC'!D$4)</f>
        <v>0</v>
      </c>
      <c r="E45" s="121">
        <f>SUMIFS('2024 Rev - NS'!$N:$N,'2024 Rev - NS'!$G:$G,'Build MCC'!$A45,'2024 Rev - NS'!$P:$P,'Build MCC'!$A$1,'2024 Rev - NS'!$O:$O,'Build MCC'!E$4)</f>
        <v>0</v>
      </c>
      <c r="F45" s="121">
        <f>SUMIFS('2024 Rev - NS'!$N:$N,'2024 Rev - NS'!$G:$G,'Build MCC'!$A45,'2024 Rev - NS'!$P:$P,'Build MCC'!$A$1,'2024 Rev - NS'!$O:$O,'Build MCC'!F$4)</f>
        <v>0</v>
      </c>
      <c r="G45" s="121">
        <f>SUMIFS('2024 Rev - NS'!$N:$N,'2024 Rev - NS'!$G:$G,'Build MCC'!$A45,'2024 Rev - NS'!$P:$P,'Build MCC'!$A$1,'2024 Rev - NS'!$O:$O,'Build MCC'!G$4)</f>
        <v>0</v>
      </c>
      <c r="H45" s="121">
        <f>SUMIFS('2024 Rev - NS'!$N:$N,'2024 Rev - NS'!$G:$G,'Build MCC'!$A45,'2024 Rev - NS'!$P:$P,'Build MCC'!$A$1,'2024 Rev - NS'!$O:$O,'Build MCC'!H$4)</f>
        <v>0</v>
      </c>
      <c r="I45" s="121">
        <f>SUMIFS('2024 Rev - NS'!$N:$N,'2024 Rev - NS'!$G:$G,'Build MCC'!$A45,'2024 Rev - NS'!$P:$P,'Build MCC'!$A$1,'2024 Rev - NS'!$O:$O,'Build MCC'!I$4)</f>
        <v>0</v>
      </c>
      <c r="J45" s="121">
        <f>SUMIFS('2024 Rev - NS'!$N:$N,'2024 Rev - NS'!$G:$G,'Build MCC'!$A45,'2024 Rev - NS'!$P:$P,'Build MCC'!$A$1,'2024 Rev - NS'!$O:$O,'Build MCC'!J$4)</f>
        <v>0</v>
      </c>
      <c r="K45" s="121">
        <f>SUMIFS('2024 Rev - NS'!$N:$N,'2024 Rev - NS'!$G:$G,'Build MCC'!$A45,'2024 Rev - NS'!$P:$P,'Build MCC'!$A$1,'2024 Rev - NS'!$O:$O,'Build MCC'!K$4)</f>
        <v>0</v>
      </c>
      <c r="L45" s="121">
        <f>SUMIFS('2024 Rev - NS'!$N:$N,'2024 Rev - NS'!$G:$G,'Build MCC'!$A45,'2024 Rev - NS'!$P:$P,'Build MCC'!$A$1,'2024 Rev - NS'!$O:$O,'Build MCC'!L$4)</f>
        <v>0</v>
      </c>
      <c r="M45" s="121">
        <f>SUMIFS('2024 Rev - NS'!$N:$N,'2024 Rev - NS'!$G:$G,'Build MCC'!$A45,'2024 Rev - NS'!$P:$P,'Build MCC'!$A$1,'2024 Rev - NS'!$O:$O,'Build MCC'!M$4)</f>
        <v>0</v>
      </c>
      <c r="N45" s="121">
        <f t="shared" si="3"/>
        <v>0</v>
      </c>
    </row>
    <row r="46" spans="1:14" x14ac:dyDescent="0.15">
      <c r="A46" s="286" t="s">
        <v>1040</v>
      </c>
      <c r="B46" s="121">
        <f>SUMIFS('2024 Rev - NS'!$N:$N,'2024 Rev - NS'!$G:$G,'Build MCC'!$A46,'2024 Rev - NS'!$P:$P,'Build MCC'!$A$1,'2024 Rev - NS'!$O:$O,'Build MCC'!B$4)</f>
        <v>0</v>
      </c>
      <c r="C46" s="121">
        <f>SUMIFS('2024 Rev - NS'!$N:$N,'2024 Rev - NS'!$G:$G,'Build MCC'!$A46,'2024 Rev - NS'!$P:$P,'Build MCC'!$A$1,'2024 Rev - NS'!$O:$O,'Build MCC'!C$4)</f>
        <v>0</v>
      </c>
      <c r="D46" s="121">
        <f>SUMIFS('2024 Rev - NS'!$N:$N,'2024 Rev - NS'!$G:$G,'Build MCC'!$A46,'2024 Rev - NS'!$P:$P,'Build MCC'!$A$1,'2024 Rev - NS'!$O:$O,'Build MCC'!D$4)</f>
        <v>0</v>
      </c>
      <c r="E46" s="121">
        <f>SUMIFS('2024 Rev - NS'!$N:$N,'2024 Rev - NS'!$G:$G,'Build MCC'!$A46,'2024 Rev - NS'!$P:$P,'Build MCC'!$A$1,'2024 Rev - NS'!$O:$O,'Build MCC'!E$4)</f>
        <v>0</v>
      </c>
      <c r="F46" s="121">
        <f>SUMIFS('2024 Rev - NS'!$N:$N,'2024 Rev - NS'!$G:$G,'Build MCC'!$A46,'2024 Rev - NS'!$P:$P,'Build MCC'!$A$1,'2024 Rev - NS'!$O:$O,'Build MCC'!F$4)</f>
        <v>0</v>
      </c>
      <c r="G46" s="121">
        <f>SUMIFS('2024 Rev - NS'!$N:$N,'2024 Rev - NS'!$G:$G,'Build MCC'!$A46,'2024 Rev - NS'!$P:$P,'Build MCC'!$A$1,'2024 Rev - NS'!$O:$O,'Build MCC'!G$4)</f>
        <v>0</v>
      </c>
      <c r="H46" s="121">
        <f>SUMIFS('2024 Rev - NS'!$N:$N,'2024 Rev - NS'!$G:$G,'Build MCC'!$A46,'2024 Rev - NS'!$P:$P,'Build MCC'!$A$1,'2024 Rev - NS'!$O:$O,'Build MCC'!H$4)</f>
        <v>0</v>
      </c>
      <c r="I46" s="121">
        <f>SUMIFS('2024 Rev - NS'!$N:$N,'2024 Rev - NS'!$G:$G,'Build MCC'!$A46,'2024 Rev - NS'!$P:$P,'Build MCC'!$A$1,'2024 Rev - NS'!$O:$O,'Build MCC'!I$4)</f>
        <v>27819</v>
      </c>
      <c r="J46" s="121">
        <f>SUMIFS('2024 Rev - NS'!$N:$N,'2024 Rev - NS'!$G:$G,'Build MCC'!$A46,'2024 Rev - NS'!$P:$P,'Build MCC'!$A$1,'2024 Rev - NS'!$O:$O,'Build MCC'!J$4)</f>
        <v>0</v>
      </c>
      <c r="K46" s="121">
        <f>SUMIFS('2024 Rev - NS'!$N:$N,'2024 Rev - NS'!$G:$G,'Build MCC'!$A46,'2024 Rev - NS'!$P:$P,'Build MCC'!$A$1,'2024 Rev - NS'!$O:$O,'Build MCC'!K$4)</f>
        <v>0</v>
      </c>
      <c r="L46" s="121">
        <f>SUMIFS('2024 Rev - NS'!$N:$N,'2024 Rev - NS'!$G:$G,'Build MCC'!$A46,'2024 Rev - NS'!$P:$P,'Build MCC'!$A$1,'2024 Rev - NS'!$O:$O,'Build MCC'!L$4)</f>
        <v>0</v>
      </c>
      <c r="M46" s="121">
        <f>SUMIFS('2024 Rev - NS'!$N:$N,'2024 Rev - NS'!$G:$G,'Build MCC'!$A46,'2024 Rev - NS'!$P:$P,'Build MCC'!$A$1,'2024 Rev - NS'!$O:$O,'Build MCC'!M$4)</f>
        <v>0</v>
      </c>
      <c r="N46" s="121">
        <f t="shared" si="3"/>
        <v>27819</v>
      </c>
    </row>
    <row r="47" spans="1:14" x14ac:dyDescent="0.15">
      <c r="A47" s="286" t="s">
        <v>1042</v>
      </c>
      <c r="B47" s="121">
        <f>SUMIFS('2024 Rev - NS'!$N:$N,'2024 Rev - NS'!$G:$G,'Build MCC'!$A47,'2024 Rev - NS'!$P:$P,'Build MCC'!$A$1,'2024 Rev - NS'!$O:$O,'Build MCC'!B$4)</f>
        <v>0</v>
      </c>
      <c r="C47" s="121">
        <f>SUMIFS('2024 Rev - NS'!$N:$N,'2024 Rev - NS'!$G:$G,'Build MCC'!$A47,'2024 Rev - NS'!$P:$P,'Build MCC'!$A$1,'2024 Rev - NS'!$O:$O,'Build MCC'!C$4)</f>
        <v>0</v>
      </c>
      <c r="D47" s="121">
        <f>SUMIFS('2024 Rev - NS'!$N:$N,'2024 Rev - NS'!$G:$G,'Build MCC'!$A47,'2024 Rev - NS'!$P:$P,'Build MCC'!$A$1,'2024 Rev - NS'!$O:$O,'Build MCC'!D$4)</f>
        <v>0</v>
      </c>
      <c r="E47" s="121">
        <f>SUMIFS('2024 Rev - NS'!$N:$N,'2024 Rev - NS'!$G:$G,'Build MCC'!$A47,'2024 Rev - NS'!$P:$P,'Build MCC'!$A$1,'2024 Rev - NS'!$O:$O,'Build MCC'!E$4)</f>
        <v>0</v>
      </c>
      <c r="F47" s="121">
        <f>SUMIFS('2024 Rev - NS'!$N:$N,'2024 Rev - NS'!$G:$G,'Build MCC'!$A47,'2024 Rev - NS'!$P:$P,'Build MCC'!$A$1,'2024 Rev - NS'!$O:$O,'Build MCC'!F$4)</f>
        <v>0</v>
      </c>
      <c r="G47" s="121">
        <f>SUMIFS('2024 Rev - NS'!$N:$N,'2024 Rev - NS'!$G:$G,'Build MCC'!$A47,'2024 Rev - NS'!$P:$P,'Build MCC'!$A$1,'2024 Rev - NS'!$O:$O,'Build MCC'!G$4)</f>
        <v>0</v>
      </c>
      <c r="H47" s="121">
        <f>SUMIFS('2024 Rev - NS'!$N:$N,'2024 Rev - NS'!$G:$G,'Build MCC'!$A47,'2024 Rev - NS'!$P:$P,'Build MCC'!$A$1,'2024 Rev - NS'!$O:$O,'Build MCC'!H$4)</f>
        <v>0</v>
      </c>
      <c r="I47" s="121">
        <f>SUMIFS('2024 Rev - NS'!$N:$N,'2024 Rev - NS'!$G:$G,'Build MCC'!$A47,'2024 Rev - NS'!$P:$P,'Build MCC'!$A$1,'2024 Rev - NS'!$O:$O,'Build MCC'!I$4)</f>
        <v>0</v>
      </c>
      <c r="J47" s="121">
        <f>SUMIFS('2024 Rev - NS'!$N:$N,'2024 Rev - NS'!$G:$G,'Build MCC'!$A47,'2024 Rev - NS'!$P:$P,'Build MCC'!$A$1,'2024 Rev - NS'!$O:$O,'Build MCC'!J$4)</f>
        <v>0</v>
      </c>
      <c r="K47" s="121">
        <f>SUMIFS('2024 Rev - NS'!$N:$N,'2024 Rev - NS'!$G:$G,'Build MCC'!$A47,'2024 Rev - NS'!$P:$P,'Build MCC'!$A$1,'2024 Rev - NS'!$O:$O,'Build MCC'!K$4)</f>
        <v>0</v>
      </c>
      <c r="L47" s="121">
        <f>SUMIFS('2024 Rev - NS'!$N:$N,'2024 Rev - NS'!$G:$G,'Build MCC'!$A47,'2024 Rev - NS'!$P:$P,'Build MCC'!$A$1,'2024 Rev - NS'!$O:$O,'Build MCC'!L$4)</f>
        <v>0</v>
      </c>
      <c r="M47" s="121">
        <f>SUMIFS('2024 Rev - NS'!$N:$N,'2024 Rev - NS'!$G:$G,'Build MCC'!$A47,'2024 Rev - NS'!$P:$P,'Build MCC'!$A$1,'2024 Rev - NS'!$O:$O,'Build MCC'!M$4)</f>
        <v>0</v>
      </c>
      <c r="N47" s="121">
        <f t="shared" si="3"/>
        <v>0</v>
      </c>
    </row>
    <row r="48" spans="1:14" x14ac:dyDescent="0.15">
      <c r="A48" s="286" t="s">
        <v>1043</v>
      </c>
      <c r="B48" s="121">
        <f>SUMIFS('2024 Rev - NS'!$N:$N,'2024 Rev - NS'!$G:$G,'Build MCC'!$A48,'2024 Rev - NS'!$P:$P,'Build MCC'!$A$1,'2024 Rev - NS'!$O:$O,'Build MCC'!B$4)</f>
        <v>0</v>
      </c>
      <c r="C48" s="121">
        <f>SUMIFS('2024 Rev - NS'!$N:$N,'2024 Rev - NS'!$G:$G,'Build MCC'!$A48,'2024 Rev - NS'!$P:$P,'Build MCC'!$A$1,'2024 Rev - NS'!$O:$O,'Build MCC'!C$4)</f>
        <v>0</v>
      </c>
      <c r="D48" s="121">
        <f>SUMIFS('2024 Rev - NS'!$N:$N,'2024 Rev - NS'!$G:$G,'Build MCC'!$A48,'2024 Rev - NS'!$P:$P,'Build MCC'!$A$1,'2024 Rev - NS'!$O:$O,'Build MCC'!D$4)</f>
        <v>0</v>
      </c>
      <c r="E48" s="121">
        <f>SUMIFS('2024 Rev - NS'!$N:$N,'2024 Rev - NS'!$G:$G,'Build MCC'!$A48,'2024 Rev - NS'!$P:$P,'Build MCC'!$A$1,'2024 Rev - NS'!$O:$O,'Build MCC'!E$4)</f>
        <v>0</v>
      </c>
      <c r="F48" s="121">
        <f>SUMIFS('2024 Rev - NS'!$N:$N,'2024 Rev - NS'!$G:$G,'Build MCC'!$A48,'2024 Rev - NS'!$P:$P,'Build MCC'!$A$1,'2024 Rev - NS'!$O:$O,'Build MCC'!F$4)</f>
        <v>7870</v>
      </c>
      <c r="G48" s="121">
        <f>SUMIFS('2024 Rev - NS'!$N:$N,'2024 Rev - NS'!$G:$G,'Build MCC'!$A48,'2024 Rev - NS'!$P:$P,'Build MCC'!$A$1,'2024 Rev - NS'!$O:$O,'Build MCC'!G$4)</f>
        <v>0</v>
      </c>
      <c r="H48" s="121">
        <f>SUMIFS('2024 Rev - NS'!$N:$N,'2024 Rev - NS'!$G:$G,'Build MCC'!$A48,'2024 Rev - NS'!$P:$P,'Build MCC'!$A$1,'2024 Rev - NS'!$O:$O,'Build MCC'!H$4)</f>
        <v>0</v>
      </c>
      <c r="I48" s="121">
        <f>SUMIFS('2024 Rev - NS'!$N:$N,'2024 Rev - NS'!$G:$G,'Build MCC'!$A48,'2024 Rev - NS'!$P:$P,'Build MCC'!$A$1,'2024 Rev - NS'!$O:$O,'Build MCC'!I$4)</f>
        <v>0</v>
      </c>
      <c r="J48" s="121">
        <f>SUMIFS('2024 Rev - NS'!$N:$N,'2024 Rev - NS'!$G:$G,'Build MCC'!$A48,'2024 Rev - NS'!$P:$P,'Build MCC'!$A$1,'2024 Rev - NS'!$O:$O,'Build MCC'!J$4)</f>
        <v>0</v>
      </c>
      <c r="K48" s="121">
        <f>SUMIFS('2024 Rev - NS'!$N:$N,'2024 Rev - NS'!$G:$G,'Build MCC'!$A48,'2024 Rev - NS'!$P:$P,'Build MCC'!$A$1,'2024 Rev - NS'!$O:$O,'Build MCC'!K$4)</f>
        <v>0</v>
      </c>
      <c r="L48" s="121">
        <f>SUMIFS('2024 Rev - NS'!$N:$N,'2024 Rev - NS'!$G:$G,'Build MCC'!$A48,'2024 Rev - NS'!$P:$P,'Build MCC'!$A$1,'2024 Rev - NS'!$O:$O,'Build MCC'!L$4)</f>
        <v>0</v>
      </c>
      <c r="M48" s="121">
        <f>SUMIFS('2024 Rev - NS'!$N:$N,'2024 Rev - NS'!$G:$G,'Build MCC'!$A48,'2024 Rev - NS'!$P:$P,'Build MCC'!$A$1,'2024 Rev - NS'!$O:$O,'Build MCC'!M$4)</f>
        <v>0</v>
      </c>
      <c r="N48" s="121">
        <f t="shared" si="3"/>
        <v>7870</v>
      </c>
    </row>
    <row r="49" spans="1:14" x14ac:dyDescent="0.15">
      <c r="A49" s="286" t="s">
        <v>1044</v>
      </c>
      <c r="B49" s="121">
        <f>SUMIFS('2024 Rev - NS'!$N:$N,'2024 Rev - NS'!$G:$G,'Build MCC'!$A49,'2024 Rev - NS'!$P:$P,'Build MCC'!$A$1,'2024 Rev - NS'!$O:$O,'Build MCC'!B$4)</f>
        <v>0</v>
      </c>
      <c r="C49" s="121">
        <f>SUMIFS('2024 Rev - NS'!$N:$N,'2024 Rev - NS'!$G:$G,'Build MCC'!$A49,'2024 Rev - NS'!$P:$P,'Build MCC'!$A$1,'2024 Rev - NS'!$O:$O,'Build MCC'!C$4)</f>
        <v>0</v>
      </c>
      <c r="D49" s="121">
        <f>SUMIFS('2024 Rev - NS'!$N:$N,'2024 Rev - NS'!$G:$G,'Build MCC'!$A49,'2024 Rev - NS'!$P:$P,'Build MCC'!$A$1,'2024 Rev - NS'!$O:$O,'Build MCC'!D$4)</f>
        <v>0</v>
      </c>
      <c r="E49" s="121">
        <f>SUMIFS('2024 Rev - NS'!$N:$N,'2024 Rev - NS'!$G:$G,'Build MCC'!$A49,'2024 Rev - NS'!$P:$P,'Build MCC'!$A$1,'2024 Rev - NS'!$O:$O,'Build MCC'!E$4)</f>
        <v>0</v>
      </c>
      <c r="F49" s="121">
        <f>SUMIFS('2024 Rev - NS'!$N:$N,'2024 Rev - NS'!$G:$G,'Build MCC'!$A49,'2024 Rev - NS'!$P:$P,'Build MCC'!$A$1,'2024 Rev - NS'!$O:$O,'Build MCC'!F$4)</f>
        <v>22864</v>
      </c>
      <c r="G49" s="121">
        <f>SUMIFS('2024 Rev - NS'!$N:$N,'2024 Rev - NS'!$G:$G,'Build MCC'!$A49,'2024 Rev - NS'!$P:$P,'Build MCC'!$A$1,'2024 Rev - NS'!$O:$O,'Build MCC'!G$4)</f>
        <v>0</v>
      </c>
      <c r="H49" s="121">
        <f>SUMIFS('2024 Rev - NS'!$N:$N,'2024 Rev - NS'!$G:$G,'Build MCC'!$A49,'2024 Rev - NS'!$P:$P,'Build MCC'!$A$1,'2024 Rev - NS'!$O:$O,'Build MCC'!H$4)</f>
        <v>0</v>
      </c>
      <c r="I49" s="121">
        <f>SUMIFS('2024 Rev - NS'!$N:$N,'2024 Rev - NS'!$G:$G,'Build MCC'!$A49,'2024 Rev - NS'!$P:$P,'Build MCC'!$A$1,'2024 Rev - NS'!$O:$O,'Build MCC'!I$4)</f>
        <v>0</v>
      </c>
      <c r="J49" s="121">
        <f>SUMIFS('2024 Rev - NS'!$N:$N,'2024 Rev - NS'!$G:$G,'Build MCC'!$A49,'2024 Rev - NS'!$P:$P,'Build MCC'!$A$1,'2024 Rev - NS'!$O:$O,'Build MCC'!J$4)</f>
        <v>0</v>
      </c>
      <c r="K49" s="121">
        <f>SUMIFS('2024 Rev - NS'!$N:$N,'2024 Rev - NS'!$G:$G,'Build MCC'!$A49,'2024 Rev - NS'!$P:$P,'Build MCC'!$A$1,'2024 Rev - NS'!$O:$O,'Build MCC'!K$4)</f>
        <v>0</v>
      </c>
      <c r="L49" s="121">
        <f>SUMIFS('2024 Rev - NS'!$N:$N,'2024 Rev - NS'!$G:$G,'Build MCC'!$A49,'2024 Rev - NS'!$P:$P,'Build MCC'!$A$1,'2024 Rev - NS'!$O:$O,'Build MCC'!L$4)</f>
        <v>0</v>
      </c>
      <c r="M49" s="121">
        <f>SUMIFS('2024 Rev - NS'!$N:$N,'2024 Rev - NS'!$G:$G,'Build MCC'!$A49,'2024 Rev - NS'!$P:$P,'Build MCC'!$A$1,'2024 Rev - NS'!$O:$O,'Build MCC'!M$4)</f>
        <v>0</v>
      </c>
      <c r="N49" s="121">
        <f t="shared" si="3"/>
        <v>22864</v>
      </c>
    </row>
    <row r="50" spans="1:14" x14ac:dyDescent="0.15">
      <c r="A50" s="286" t="s">
        <v>1041</v>
      </c>
      <c r="B50" s="121">
        <f>SUMIFS('2024 Rev - NS'!$N:$N,'2024 Rev - NS'!$G:$G,'Build MCC'!$A50,'2024 Rev - NS'!$P:$P,'Build MCC'!$A$1,'2024 Rev - NS'!$O:$O,'Build MCC'!B$4)</f>
        <v>0</v>
      </c>
      <c r="C50" s="121">
        <f>SUMIFS('2024 Rev - NS'!$N:$N,'2024 Rev - NS'!$G:$G,'Build MCC'!$A50,'2024 Rev - NS'!$P:$P,'Build MCC'!$A$1,'2024 Rev - NS'!$O:$O,'Build MCC'!C$4)</f>
        <v>0</v>
      </c>
      <c r="D50" s="121">
        <f>SUMIFS('2024 Rev - NS'!$N:$N,'2024 Rev - NS'!$G:$G,'Build MCC'!$A50,'2024 Rev - NS'!$P:$P,'Build MCC'!$A$1,'2024 Rev - NS'!$O:$O,'Build MCC'!D$4)</f>
        <v>0</v>
      </c>
      <c r="E50" s="121">
        <f>SUMIFS('2024 Rev - NS'!$N:$N,'2024 Rev - NS'!$G:$G,'Build MCC'!$A50,'2024 Rev - NS'!$P:$P,'Build MCC'!$A$1,'2024 Rev - NS'!$O:$O,'Build MCC'!E$4)</f>
        <v>0</v>
      </c>
      <c r="F50" s="121">
        <f>SUMIFS('2024 Rev - NS'!$N:$N,'2024 Rev - NS'!$G:$G,'Build MCC'!$A50,'2024 Rev - NS'!$P:$P,'Build MCC'!$A$1,'2024 Rev - NS'!$O:$O,'Build MCC'!F$4)</f>
        <v>0</v>
      </c>
      <c r="G50" s="121">
        <f>SUMIFS('2024 Rev - NS'!$N:$N,'2024 Rev - NS'!$G:$G,'Build MCC'!$A50,'2024 Rev - NS'!$P:$P,'Build MCC'!$A$1,'2024 Rev - NS'!$O:$O,'Build MCC'!G$4)</f>
        <v>0</v>
      </c>
      <c r="H50" s="121">
        <f>SUMIFS('2024 Rev - NS'!$N:$N,'2024 Rev - NS'!$G:$G,'Build MCC'!$A50,'2024 Rev - NS'!$P:$P,'Build MCC'!$A$1,'2024 Rev - NS'!$O:$O,'Build MCC'!H$4)</f>
        <v>0</v>
      </c>
      <c r="I50" s="121">
        <f>SUMIFS('2024 Rev - NS'!$N:$N,'2024 Rev - NS'!$G:$G,'Build MCC'!$A50,'2024 Rev - NS'!$P:$P,'Build MCC'!$A$1,'2024 Rev - NS'!$O:$O,'Build MCC'!I$4)</f>
        <v>0</v>
      </c>
      <c r="J50" s="121">
        <f>SUMIFS('2024 Rev - NS'!$N:$N,'2024 Rev - NS'!$G:$G,'Build MCC'!$A50,'2024 Rev - NS'!$P:$P,'Build MCC'!$A$1,'2024 Rev - NS'!$O:$O,'Build MCC'!J$4)</f>
        <v>0</v>
      </c>
      <c r="K50" s="121">
        <f>SUMIFS('2024 Rev - NS'!$N:$N,'2024 Rev - NS'!$G:$G,'Build MCC'!$A50,'2024 Rev - NS'!$P:$P,'Build MCC'!$A$1,'2024 Rev - NS'!$O:$O,'Build MCC'!K$4)</f>
        <v>0</v>
      </c>
      <c r="L50" s="121">
        <f>SUMIFS('2024 Rev - NS'!$N:$N,'2024 Rev - NS'!$G:$G,'Build MCC'!$A50,'2024 Rev - NS'!$P:$P,'Build MCC'!$A$1,'2024 Rev - NS'!$O:$O,'Build MCC'!L$4)</f>
        <v>0</v>
      </c>
      <c r="M50" s="121">
        <f>SUMIFS('2024 Rev - NS'!$N:$N,'2024 Rev - NS'!$G:$G,'Build MCC'!$A50,'2024 Rev - NS'!$P:$P,'Build MCC'!$A$1,'2024 Rev - NS'!$O:$O,'Build MCC'!M$4)</f>
        <v>0</v>
      </c>
      <c r="N50" s="121">
        <f t="shared" si="3"/>
        <v>0</v>
      </c>
    </row>
    <row r="51" spans="1:14" x14ac:dyDescent="0.15">
      <c r="A51" s="286" t="s">
        <v>1045</v>
      </c>
      <c r="B51" s="121">
        <f>SUMIFS('2024 Rev - NS'!$N:$N,'2024 Rev - NS'!$G:$G,'Build MCC'!$A51,'2024 Rev - NS'!$P:$P,'Build MCC'!$A$1,'2024 Rev - NS'!$O:$O,'Build MCC'!B$4)</f>
        <v>0</v>
      </c>
      <c r="C51" s="121">
        <f>SUMIFS('2024 Rev - NS'!$N:$N,'2024 Rev - NS'!$G:$G,'Build MCC'!$A51,'2024 Rev - NS'!$P:$P,'Build MCC'!$A$1,'2024 Rev - NS'!$O:$O,'Build MCC'!C$4)</f>
        <v>0</v>
      </c>
      <c r="D51" s="121">
        <f>SUMIFS('2024 Rev - NS'!$N:$N,'2024 Rev - NS'!$G:$G,'Build MCC'!$A51,'2024 Rev - NS'!$P:$P,'Build MCC'!$A$1,'2024 Rev - NS'!$O:$O,'Build MCC'!D$4)</f>
        <v>0</v>
      </c>
      <c r="E51" s="121">
        <f>SUMIFS('2024 Rev - NS'!$N:$N,'2024 Rev - NS'!$G:$G,'Build MCC'!$A51,'2024 Rev - NS'!$P:$P,'Build MCC'!$A$1,'2024 Rev - NS'!$O:$O,'Build MCC'!E$4)</f>
        <v>0</v>
      </c>
      <c r="F51" s="121">
        <f>SUMIFS('2024 Rev - NS'!$N:$N,'2024 Rev - NS'!$G:$G,'Build MCC'!$A51,'2024 Rev - NS'!$P:$P,'Build MCC'!$A$1,'2024 Rev - NS'!$O:$O,'Build MCC'!F$4)</f>
        <v>0</v>
      </c>
      <c r="G51" s="121">
        <f>SUMIFS('2024 Rev - NS'!$N:$N,'2024 Rev - NS'!$G:$G,'Build MCC'!$A51,'2024 Rev - NS'!$P:$P,'Build MCC'!$A$1,'2024 Rev - NS'!$O:$O,'Build MCC'!G$4)</f>
        <v>0</v>
      </c>
      <c r="H51" s="121">
        <f>SUMIFS('2024 Rev - NS'!$N:$N,'2024 Rev - NS'!$G:$G,'Build MCC'!$A51,'2024 Rev - NS'!$P:$P,'Build MCC'!$A$1,'2024 Rev - NS'!$O:$O,'Build MCC'!H$4)</f>
        <v>0</v>
      </c>
      <c r="I51" s="121">
        <f>SUMIFS('2024 Rev - NS'!$N:$N,'2024 Rev - NS'!$G:$G,'Build MCC'!$A51,'2024 Rev - NS'!$P:$P,'Build MCC'!$A$1,'2024 Rev - NS'!$O:$O,'Build MCC'!I$4)</f>
        <v>9680</v>
      </c>
      <c r="J51" s="121">
        <f>SUMIFS('2024 Rev - NS'!$N:$N,'2024 Rev - NS'!$G:$G,'Build MCC'!$A51,'2024 Rev - NS'!$P:$P,'Build MCC'!$A$1,'2024 Rev - NS'!$O:$O,'Build MCC'!J$4)</f>
        <v>0</v>
      </c>
      <c r="K51" s="121">
        <f>SUMIFS('2024 Rev - NS'!$N:$N,'2024 Rev - NS'!$G:$G,'Build MCC'!$A51,'2024 Rev - NS'!$P:$P,'Build MCC'!$A$1,'2024 Rev - NS'!$O:$O,'Build MCC'!K$4)</f>
        <v>0</v>
      </c>
      <c r="L51" s="121">
        <f>SUMIFS('2024 Rev - NS'!$N:$N,'2024 Rev - NS'!$G:$G,'Build MCC'!$A51,'2024 Rev - NS'!$P:$P,'Build MCC'!$A$1,'2024 Rev - NS'!$O:$O,'Build MCC'!L$4)</f>
        <v>0</v>
      </c>
      <c r="M51" s="121">
        <f>SUMIFS('2024 Rev - NS'!$N:$N,'2024 Rev - NS'!$G:$G,'Build MCC'!$A51,'2024 Rev - NS'!$P:$P,'Build MCC'!$A$1,'2024 Rev - NS'!$O:$O,'Build MCC'!M$4)</f>
        <v>0</v>
      </c>
      <c r="N51" s="121">
        <f t="shared" si="3"/>
        <v>9680</v>
      </c>
    </row>
    <row r="52" spans="1:14" x14ac:dyDescent="0.15">
      <c r="A52" s="286" t="s">
        <v>2434</v>
      </c>
      <c r="B52" s="121">
        <f>SUMIFS('2024 Rev - NS'!$N:$N,'2024 Rev - NS'!$G:$G,'Build MCC'!$A52,'2024 Rev - NS'!$P:$P,'Build MCC'!$A$1,'2024 Rev - NS'!$O:$O,'Build MCC'!B$4)</f>
        <v>0</v>
      </c>
      <c r="C52" s="121">
        <f>SUMIFS('2024 Rev - NS'!$N:$N,'2024 Rev - NS'!$G:$G,'Build MCC'!$A52,'2024 Rev - NS'!$P:$P,'Build MCC'!$A$1,'2024 Rev - NS'!$O:$O,'Build MCC'!C$4)</f>
        <v>0</v>
      </c>
      <c r="D52" s="121">
        <f>SUMIFS('2024 Rev - NS'!$N:$N,'2024 Rev - NS'!$G:$G,'Build MCC'!$A52,'2024 Rev - NS'!$P:$P,'Build MCC'!$A$1,'2024 Rev - NS'!$O:$O,'Build MCC'!D$4)</f>
        <v>0</v>
      </c>
      <c r="E52" s="121">
        <f>SUMIFS('2024 Rev - NS'!$N:$N,'2024 Rev - NS'!$G:$G,'Build MCC'!$A52,'2024 Rev - NS'!$P:$P,'Build MCC'!$A$1,'2024 Rev - NS'!$O:$O,'Build MCC'!E$4)</f>
        <v>0</v>
      </c>
      <c r="F52" s="121">
        <f>SUMIFS('2024 Rev - NS'!$N:$N,'2024 Rev - NS'!$G:$G,'Build MCC'!$A52,'2024 Rev - NS'!$P:$P,'Build MCC'!$A$1,'2024 Rev - NS'!$O:$O,'Build MCC'!F$4)</f>
        <v>0</v>
      </c>
      <c r="G52" s="121">
        <f>SUMIFS('2024 Rev - NS'!$N:$N,'2024 Rev - NS'!$G:$G,'Build MCC'!$A52,'2024 Rev - NS'!$P:$P,'Build MCC'!$A$1,'2024 Rev - NS'!$O:$O,'Build MCC'!G$4)</f>
        <v>0</v>
      </c>
      <c r="H52" s="121">
        <f>SUMIFS('2024 Rev - NS'!$N:$N,'2024 Rev - NS'!$G:$G,'Build MCC'!$A52,'2024 Rev - NS'!$P:$P,'Build MCC'!$A$1,'2024 Rev - NS'!$O:$O,'Build MCC'!H$4)</f>
        <v>0</v>
      </c>
      <c r="I52" s="121">
        <f>SUMIFS('2024 Rev - NS'!$N:$N,'2024 Rev - NS'!$G:$G,'Build MCC'!$A52,'2024 Rev - NS'!$P:$P,'Build MCC'!$A$1,'2024 Rev - NS'!$O:$O,'Build MCC'!I$4)</f>
        <v>0</v>
      </c>
      <c r="J52" s="121">
        <f>SUMIFS('2024 Rev - NS'!$N:$N,'2024 Rev - NS'!$G:$G,'Build MCC'!$A52,'2024 Rev - NS'!$P:$P,'Build MCC'!$A$1,'2024 Rev - NS'!$O:$O,'Build MCC'!J$4)</f>
        <v>0</v>
      </c>
      <c r="K52" s="121">
        <f>SUMIFS('2024 Rev - NS'!$N:$N,'2024 Rev - NS'!$G:$G,'Build MCC'!$A52,'2024 Rev - NS'!$P:$P,'Build MCC'!$A$1,'2024 Rev - NS'!$O:$O,'Build MCC'!K$4)</f>
        <v>0</v>
      </c>
      <c r="L52" s="121">
        <f>SUMIFS('2024 Rev - NS'!$N:$N,'2024 Rev - NS'!$G:$G,'Build MCC'!$A52,'2024 Rev - NS'!$P:$P,'Build MCC'!$A$1,'2024 Rev - NS'!$O:$O,'Build MCC'!L$4)</f>
        <v>0</v>
      </c>
      <c r="M52" s="121">
        <f>SUMIFS('2024 Rev - NS'!$N:$N,'2024 Rev - NS'!$G:$G,'Build MCC'!$A52,'2024 Rev - NS'!$P:$P,'Build MCC'!$A$1,'2024 Rev - NS'!$O:$O,'Build MCC'!M$4)</f>
        <v>0</v>
      </c>
      <c r="N52" s="121">
        <f t="shared" si="3"/>
        <v>0</v>
      </c>
    </row>
    <row r="53" spans="1:14" x14ac:dyDescent="0.15">
      <c r="A53" s="286" t="s">
        <v>1046</v>
      </c>
      <c r="B53" s="121">
        <f>SUMIFS('2024 Rev - NS'!$N:$N,'2024 Rev - NS'!$G:$G,'Build MCC'!$A53,'2024 Rev - NS'!$P:$P,'Build MCC'!$A$1,'2024 Rev - NS'!$O:$O,'Build MCC'!B$4)</f>
        <v>0</v>
      </c>
      <c r="C53" s="121">
        <f>SUMIFS('2024 Rev - NS'!$N:$N,'2024 Rev - NS'!$G:$G,'Build MCC'!$A53,'2024 Rev - NS'!$P:$P,'Build MCC'!$A$1,'2024 Rev - NS'!$O:$O,'Build MCC'!C$4)</f>
        <v>0</v>
      </c>
      <c r="D53" s="121">
        <f>SUMIFS('2024 Rev - NS'!$N:$N,'2024 Rev - NS'!$G:$G,'Build MCC'!$A53,'2024 Rev - NS'!$P:$P,'Build MCC'!$A$1,'2024 Rev - NS'!$O:$O,'Build MCC'!D$4)</f>
        <v>8865</v>
      </c>
      <c r="E53" s="121">
        <f>SUMIFS('2024 Rev - NS'!$N:$N,'2024 Rev - NS'!$G:$G,'Build MCC'!$A53,'2024 Rev - NS'!$P:$P,'Build MCC'!$A$1,'2024 Rev - NS'!$O:$O,'Build MCC'!E$4)</f>
        <v>0</v>
      </c>
      <c r="F53" s="121">
        <f>SUMIFS('2024 Rev - NS'!$N:$N,'2024 Rev - NS'!$G:$G,'Build MCC'!$A53,'2024 Rev - NS'!$P:$P,'Build MCC'!$A$1,'2024 Rev - NS'!$O:$O,'Build MCC'!F$4)</f>
        <v>0</v>
      </c>
      <c r="G53" s="121">
        <f>SUMIFS('2024 Rev - NS'!$N:$N,'2024 Rev - NS'!$G:$G,'Build MCC'!$A53,'2024 Rev - NS'!$P:$P,'Build MCC'!$A$1,'2024 Rev - NS'!$O:$O,'Build MCC'!G$4)</f>
        <v>0</v>
      </c>
      <c r="H53" s="121">
        <f>SUMIFS('2024 Rev - NS'!$N:$N,'2024 Rev - NS'!$G:$G,'Build MCC'!$A53,'2024 Rev - NS'!$P:$P,'Build MCC'!$A$1,'2024 Rev - NS'!$O:$O,'Build MCC'!H$4)</f>
        <v>0</v>
      </c>
      <c r="I53" s="121">
        <f>SUMIFS('2024 Rev - NS'!$N:$N,'2024 Rev - NS'!$G:$G,'Build MCC'!$A53,'2024 Rev - NS'!$P:$P,'Build MCC'!$A$1,'2024 Rev - NS'!$O:$O,'Build MCC'!I$4)</f>
        <v>0</v>
      </c>
      <c r="J53" s="121">
        <f>SUMIFS('2024 Rev - NS'!$N:$N,'2024 Rev - NS'!$G:$G,'Build MCC'!$A53,'2024 Rev - NS'!$P:$P,'Build MCC'!$A$1,'2024 Rev - NS'!$O:$O,'Build MCC'!J$4)</f>
        <v>0</v>
      </c>
      <c r="K53" s="121">
        <f>SUMIFS('2024 Rev - NS'!$N:$N,'2024 Rev - NS'!$G:$G,'Build MCC'!$A53,'2024 Rev - NS'!$P:$P,'Build MCC'!$A$1,'2024 Rev - NS'!$O:$O,'Build MCC'!K$4)</f>
        <v>0</v>
      </c>
      <c r="L53" s="121">
        <f>SUMIFS('2024 Rev - NS'!$N:$N,'2024 Rev - NS'!$G:$G,'Build MCC'!$A53,'2024 Rev - NS'!$P:$P,'Build MCC'!$A$1,'2024 Rev - NS'!$O:$O,'Build MCC'!L$4)</f>
        <v>0</v>
      </c>
      <c r="M53" s="121">
        <f>SUMIFS('2024 Rev - NS'!$N:$N,'2024 Rev - NS'!$G:$G,'Build MCC'!$A53,'2024 Rev - NS'!$P:$P,'Build MCC'!$A$1,'2024 Rev - NS'!$O:$O,'Build MCC'!M$4)</f>
        <v>0</v>
      </c>
      <c r="N53" s="121">
        <f t="shared" si="3"/>
        <v>8865</v>
      </c>
    </row>
    <row r="54" spans="1:14" x14ac:dyDescent="0.15">
      <c r="A54" s="286" t="s">
        <v>2032</v>
      </c>
      <c r="B54" s="121">
        <f>SUMIFS('2024 Rev - NS'!$N:$N,'2024 Rev - NS'!$G:$G,'Build MCC'!$A54,'2024 Rev - NS'!$P:$P,'Build MCC'!$A$1,'2024 Rev - NS'!$O:$O,'Build MCC'!B$4)</f>
        <v>0</v>
      </c>
      <c r="C54" s="121">
        <f>SUMIFS('2024 Rev - NS'!$N:$N,'2024 Rev - NS'!$G:$G,'Build MCC'!$A54,'2024 Rev - NS'!$P:$P,'Build MCC'!$A$1,'2024 Rev - NS'!$O:$O,'Build MCC'!C$4)</f>
        <v>0</v>
      </c>
      <c r="D54" s="121">
        <f>SUMIFS('2024 Rev - NS'!$N:$N,'2024 Rev - NS'!$G:$G,'Build MCC'!$A54,'2024 Rev - NS'!$P:$P,'Build MCC'!$A$1,'2024 Rev - NS'!$O:$O,'Build MCC'!D$4)</f>
        <v>0</v>
      </c>
      <c r="E54" s="121">
        <f>SUMIFS('2024 Rev - NS'!$N:$N,'2024 Rev - NS'!$G:$G,'Build MCC'!$A54,'2024 Rev - NS'!$P:$P,'Build MCC'!$A$1,'2024 Rev - NS'!$O:$O,'Build MCC'!E$4)</f>
        <v>0</v>
      </c>
      <c r="F54" s="121">
        <f>SUMIFS('2024 Rev - NS'!$N:$N,'2024 Rev - NS'!$G:$G,'Build MCC'!$A54,'2024 Rev - NS'!$P:$P,'Build MCC'!$A$1,'2024 Rev - NS'!$O:$O,'Build MCC'!F$4)</f>
        <v>0</v>
      </c>
      <c r="G54" s="121">
        <f>SUMIFS('2024 Rev - NS'!$N:$N,'2024 Rev - NS'!$G:$G,'Build MCC'!$A54,'2024 Rev - NS'!$P:$P,'Build MCC'!$A$1,'2024 Rev - NS'!$O:$O,'Build MCC'!G$4)</f>
        <v>0</v>
      </c>
      <c r="H54" s="121">
        <f>SUMIFS('2024 Rev - NS'!$N:$N,'2024 Rev - NS'!$G:$G,'Build MCC'!$A54,'2024 Rev - NS'!$P:$P,'Build MCC'!$A$1,'2024 Rev - NS'!$O:$O,'Build MCC'!H$4)</f>
        <v>0</v>
      </c>
      <c r="I54" s="121">
        <f>SUMIFS('2024 Rev - NS'!$N:$N,'2024 Rev - NS'!$G:$G,'Build MCC'!$A54,'2024 Rev - NS'!$P:$P,'Build MCC'!$A$1,'2024 Rev - NS'!$O:$O,'Build MCC'!I$4)</f>
        <v>0</v>
      </c>
      <c r="J54" s="121">
        <f>SUMIFS('2024 Rev - NS'!$N:$N,'2024 Rev - NS'!$G:$G,'Build MCC'!$A54,'2024 Rev - NS'!$P:$P,'Build MCC'!$A$1,'2024 Rev - NS'!$O:$O,'Build MCC'!J$4)</f>
        <v>0</v>
      </c>
      <c r="K54" s="121">
        <f>SUMIFS('2024 Rev - NS'!$N:$N,'2024 Rev - NS'!$G:$G,'Build MCC'!$A54,'2024 Rev - NS'!$P:$P,'Build MCC'!$A$1,'2024 Rev - NS'!$O:$O,'Build MCC'!K$4)</f>
        <v>0</v>
      </c>
      <c r="L54" s="121">
        <f>SUMIFS('2024 Rev - NS'!$N:$N,'2024 Rev - NS'!$G:$G,'Build MCC'!$A54,'2024 Rev - NS'!$P:$P,'Build MCC'!$A$1,'2024 Rev - NS'!$O:$O,'Build MCC'!L$4)</f>
        <v>0</v>
      </c>
      <c r="M54" s="121">
        <f>SUMIFS('2024 Rev - NS'!$N:$N,'2024 Rev - NS'!$G:$G,'Build MCC'!$A54,'2024 Rev - NS'!$P:$P,'Build MCC'!$A$1,'2024 Rev - NS'!$O:$O,'Build MCC'!M$4)</f>
        <v>0</v>
      </c>
      <c r="N54" s="121">
        <f t="shared" si="3"/>
        <v>0</v>
      </c>
    </row>
    <row r="55" spans="1:14" x14ac:dyDescent="0.15">
      <c r="A55" s="286" t="s">
        <v>1047</v>
      </c>
      <c r="B55" s="121">
        <f>SUMIFS('2024 Rev - NS'!$N:$N,'2024 Rev - NS'!$G:$G,'Build MCC'!$A55,'2024 Rev - NS'!$P:$P,'Build MCC'!$A$1,'2024 Rev - NS'!$O:$O,'Build MCC'!B$4)</f>
        <v>0</v>
      </c>
      <c r="C55" s="121">
        <f>SUMIFS('2024 Rev - NS'!$N:$N,'2024 Rev - NS'!$G:$G,'Build MCC'!$A55,'2024 Rev - NS'!$P:$P,'Build MCC'!$A$1,'2024 Rev - NS'!$O:$O,'Build MCC'!C$4)</f>
        <v>8865</v>
      </c>
      <c r="D55" s="121">
        <f>SUMIFS('2024 Rev - NS'!$N:$N,'2024 Rev - NS'!$G:$G,'Build MCC'!$A55,'2024 Rev - NS'!$P:$P,'Build MCC'!$A$1,'2024 Rev - NS'!$O:$O,'Build MCC'!D$4)</f>
        <v>0</v>
      </c>
      <c r="E55" s="121">
        <f>SUMIFS('2024 Rev - NS'!$N:$N,'2024 Rev - NS'!$G:$G,'Build MCC'!$A55,'2024 Rev - NS'!$P:$P,'Build MCC'!$A$1,'2024 Rev - NS'!$O:$O,'Build MCC'!E$4)</f>
        <v>0</v>
      </c>
      <c r="F55" s="121">
        <f>SUMIFS('2024 Rev - NS'!$N:$N,'2024 Rev - NS'!$G:$G,'Build MCC'!$A55,'2024 Rev - NS'!$P:$P,'Build MCC'!$A$1,'2024 Rev - NS'!$O:$O,'Build MCC'!F$4)</f>
        <v>0</v>
      </c>
      <c r="G55" s="121">
        <f>SUMIFS('2024 Rev - NS'!$N:$N,'2024 Rev - NS'!$G:$G,'Build MCC'!$A55,'2024 Rev - NS'!$P:$P,'Build MCC'!$A$1,'2024 Rev - NS'!$O:$O,'Build MCC'!G$4)</f>
        <v>0</v>
      </c>
      <c r="H55" s="121">
        <f>SUMIFS('2024 Rev - NS'!$N:$N,'2024 Rev - NS'!$G:$G,'Build MCC'!$A55,'2024 Rev - NS'!$P:$P,'Build MCC'!$A$1,'2024 Rev - NS'!$O:$O,'Build MCC'!H$4)</f>
        <v>0</v>
      </c>
      <c r="I55" s="121">
        <f>SUMIFS('2024 Rev - NS'!$N:$N,'2024 Rev - NS'!$G:$G,'Build MCC'!$A55,'2024 Rev - NS'!$P:$P,'Build MCC'!$A$1,'2024 Rev - NS'!$O:$O,'Build MCC'!I$4)</f>
        <v>0</v>
      </c>
      <c r="J55" s="121">
        <f>SUMIFS('2024 Rev - NS'!$N:$N,'2024 Rev - NS'!$G:$G,'Build MCC'!$A55,'2024 Rev - NS'!$P:$P,'Build MCC'!$A$1,'2024 Rev - NS'!$O:$O,'Build MCC'!J$4)</f>
        <v>0</v>
      </c>
      <c r="K55" s="121">
        <f>SUMIFS('2024 Rev - NS'!$N:$N,'2024 Rev - NS'!$G:$G,'Build MCC'!$A55,'2024 Rev - NS'!$P:$P,'Build MCC'!$A$1,'2024 Rev - NS'!$O:$O,'Build MCC'!K$4)</f>
        <v>0</v>
      </c>
      <c r="L55" s="121">
        <f>SUMIFS('2024 Rev - NS'!$N:$N,'2024 Rev - NS'!$G:$G,'Build MCC'!$A55,'2024 Rev - NS'!$P:$P,'Build MCC'!$A$1,'2024 Rev - NS'!$O:$O,'Build MCC'!L$4)</f>
        <v>0</v>
      </c>
      <c r="M55" s="121">
        <f>SUMIFS('2024 Rev - NS'!$N:$N,'2024 Rev - NS'!$G:$G,'Build MCC'!$A55,'2024 Rev - NS'!$P:$P,'Build MCC'!$A$1,'2024 Rev - NS'!$O:$O,'Build MCC'!M$4)</f>
        <v>0</v>
      </c>
      <c r="N55" s="121">
        <f t="shared" si="3"/>
        <v>8865</v>
      </c>
    </row>
    <row r="56" spans="1:14" x14ac:dyDescent="0.15">
      <c r="A56" s="286" t="s">
        <v>1049</v>
      </c>
      <c r="B56" s="121">
        <f>SUMIFS('2024 Rev - NS'!$N:$N,'2024 Rev - NS'!$G:$G,'Build MCC'!$A56,'2024 Rev - NS'!$P:$P,'Build MCC'!$A$1,'2024 Rev - NS'!$O:$O,'Build MCC'!B$4)</f>
        <v>0</v>
      </c>
      <c r="C56" s="121">
        <f>SUMIFS('2024 Rev - NS'!$N:$N,'2024 Rev - NS'!$G:$G,'Build MCC'!$A56,'2024 Rev - NS'!$P:$P,'Build MCC'!$A$1,'2024 Rev - NS'!$O:$O,'Build MCC'!C$4)</f>
        <v>0</v>
      </c>
      <c r="D56" s="121">
        <f>SUMIFS('2024 Rev - NS'!$N:$N,'2024 Rev - NS'!$G:$G,'Build MCC'!$A56,'2024 Rev - NS'!$P:$P,'Build MCC'!$A$1,'2024 Rev - NS'!$O:$O,'Build MCC'!D$4)</f>
        <v>0</v>
      </c>
      <c r="E56" s="121">
        <f>SUMIFS('2024 Rev - NS'!$N:$N,'2024 Rev - NS'!$G:$G,'Build MCC'!$A56,'2024 Rev - NS'!$P:$P,'Build MCC'!$A$1,'2024 Rev - NS'!$O:$O,'Build MCC'!E$4)</f>
        <v>0</v>
      </c>
      <c r="F56" s="121">
        <f>SUMIFS('2024 Rev - NS'!$N:$N,'2024 Rev - NS'!$G:$G,'Build MCC'!$A56,'2024 Rev - NS'!$P:$P,'Build MCC'!$A$1,'2024 Rev - NS'!$O:$O,'Build MCC'!F$4)</f>
        <v>0</v>
      </c>
      <c r="G56" s="121">
        <f>SUMIFS('2024 Rev - NS'!$N:$N,'2024 Rev - NS'!$G:$G,'Build MCC'!$A56,'2024 Rev - NS'!$P:$P,'Build MCC'!$A$1,'2024 Rev - NS'!$O:$O,'Build MCC'!G$4)</f>
        <v>0</v>
      </c>
      <c r="H56" s="121">
        <f>SUMIFS('2024 Rev - NS'!$N:$N,'2024 Rev - NS'!$G:$G,'Build MCC'!$A56,'2024 Rev - NS'!$P:$P,'Build MCC'!$A$1,'2024 Rev - NS'!$O:$O,'Build MCC'!H$4)</f>
        <v>0</v>
      </c>
      <c r="I56" s="121">
        <f>SUMIFS('2024 Rev - NS'!$N:$N,'2024 Rev - NS'!$G:$G,'Build MCC'!$A56,'2024 Rev - NS'!$P:$P,'Build MCC'!$A$1,'2024 Rev - NS'!$O:$O,'Build MCC'!I$4)</f>
        <v>0</v>
      </c>
      <c r="J56" s="121">
        <f>SUMIFS('2024 Rev - NS'!$N:$N,'2024 Rev - NS'!$G:$G,'Build MCC'!$A56,'2024 Rev - NS'!$P:$P,'Build MCC'!$A$1,'2024 Rev - NS'!$O:$O,'Build MCC'!J$4)</f>
        <v>0</v>
      </c>
      <c r="K56" s="121">
        <f>SUMIFS('2024 Rev - NS'!$N:$N,'2024 Rev - NS'!$G:$G,'Build MCC'!$A56,'2024 Rev - NS'!$P:$P,'Build MCC'!$A$1,'2024 Rev - NS'!$O:$O,'Build MCC'!K$4)</f>
        <v>0</v>
      </c>
      <c r="L56" s="121">
        <f>SUMIFS('2024 Rev - NS'!$N:$N,'2024 Rev - NS'!$G:$G,'Build MCC'!$A56,'2024 Rev - NS'!$P:$P,'Build MCC'!$A$1,'2024 Rev - NS'!$O:$O,'Build MCC'!L$4)</f>
        <v>0</v>
      </c>
      <c r="M56" s="121">
        <f>SUMIFS('2024 Rev - NS'!$N:$N,'2024 Rev - NS'!$G:$G,'Build MCC'!$A56,'2024 Rev - NS'!$P:$P,'Build MCC'!$A$1,'2024 Rev - NS'!$O:$O,'Build MCC'!M$4)</f>
        <v>0</v>
      </c>
      <c r="N56" s="121">
        <f t="shared" si="3"/>
        <v>0</v>
      </c>
    </row>
    <row r="57" spans="1:14" x14ac:dyDescent="0.15">
      <c r="A57" s="286" t="s">
        <v>1050</v>
      </c>
      <c r="B57" s="121">
        <f>SUMIFS('2024 Rev - NS'!$N:$N,'2024 Rev - NS'!$G:$G,'Build MCC'!$A57,'2024 Rev - NS'!$P:$P,'Build MCC'!$A$1,'2024 Rev - NS'!$O:$O,'Build MCC'!B$4)</f>
        <v>0</v>
      </c>
      <c r="C57" s="121">
        <f>SUMIFS('2024 Rev - NS'!$N:$N,'2024 Rev - NS'!$G:$G,'Build MCC'!$A57,'2024 Rev - NS'!$P:$P,'Build MCC'!$A$1,'2024 Rev - NS'!$O:$O,'Build MCC'!C$4)</f>
        <v>0</v>
      </c>
      <c r="D57" s="121">
        <f>SUMIFS('2024 Rev - NS'!$N:$N,'2024 Rev - NS'!$G:$G,'Build MCC'!$A57,'2024 Rev - NS'!$P:$P,'Build MCC'!$A$1,'2024 Rev - NS'!$O:$O,'Build MCC'!D$4)</f>
        <v>0</v>
      </c>
      <c r="E57" s="121">
        <f>SUMIFS('2024 Rev - NS'!$N:$N,'2024 Rev - NS'!$G:$G,'Build MCC'!$A57,'2024 Rev - NS'!$P:$P,'Build MCC'!$A$1,'2024 Rev - NS'!$O:$O,'Build MCC'!E$4)</f>
        <v>0</v>
      </c>
      <c r="F57" s="121">
        <f>SUMIFS('2024 Rev - NS'!$N:$N,'2024 Rev - NS'!$G:$G,'Build MCC'!$A57,'2024 Rev - NS'!$P:$P,'Build MCC'!$A$1,'2024 Rev - NS'!$O:$O,'Build MCC'!F$4)</f>
        <v>0</v>
      </c>
      <c r="G57" s="121">
        <f>SUMIFS('2024 Rev - NS'!$N:$N,'2024 Rev - NS'!$G:$G,'Build MCC'!$A57,'2024 Rev - NS'!$P:$P,'Build MCC'!$A$1,'2024 Rev - NS'!$O:$O,'Build MCC'!G$4)</f>
        <v>0</v>
      </c>
      <c r="H57" s="121">
        <f>SUMIFS('2024 Rev - NS'!$N:$N,'2024 Rev - NS'!$G:$G,'Build MCC'!$A57,'2024 Rev - NS'!$P:$P,'Build MCC'!$A$1,'2024 Rev - NS'!$O:$O,'Build MCC'!H$4)</f>
        <v>0</v>
      </c>
      <c r="I57" s="121">
        <f>SUMIFS('2024 Rev - NS'!$N:$N,'2024 Rev - NS'!$G:$G,'Build MCC'!$A57,'2024 Rev - NS'!$P:$P,'Build MCC'!$A$1,'2024 Rev - NS'!$O:$O,'Build MCC'!I$4)</f>
        <v>0</v>
      </c>
      <c r="J57" s="121">
        <f>SUMIFS('2024 Rev - NS'!$N:$N,'2024 Rev - NS'!$G:$G,'Build MCC'!$A57,'2024 Rev - NS'!$P:$P,'Build MCC'!$A$1,'2024 Rev - NS'!$O:$O,'Build MCC'!J$4)</f>
        <v>0</v>
      </c>
      <c r="K57" s="121">
        <f>SUMIFS('2024 Rev - NS'!$N:$N,'2024 Rev - NS'!$G:$G,'Build MCC'!$A57,'2024 Rev - NS'!$P:$P,'Build MCC'!$A$1,'2024 Rev - NS'!$O:$O,'Build MCC'!K$4)</f>
        <v>0</v>
      </c>
      <c r="L57" s="121">
        <f>SUMIFS('2024 Rev - NS'!$N:$N,'2024 Rev - NS'!$G:$G,'Build MCC'!$A57,'2024 Rev - NS'!$P:$P,'Build MCC'!$A$1,'2024 Rev - NS'!$O:$O,'Build MCC'!L$4)</f>
        <v>0</v>
      </c>
      <c r="M57" s="121">
        <f>SUMIFS('2024 Rev - NS'!$N:$N,'2024 Rev - NS'!$G:$G,'Build MCC'!$A57,'2024 Rev - NS'!$P:$P,'Build MCC'!$A$1,'2024 Rev - NS'!$O:$O,'Build MCC'!M$4)</f>
        <v>0</v>
      </c>
      <c r="N57" s="121">
        <f t="shared" si="3"/>
        <v>0</v>
      </c>
    </row>
    <row r="58" spans="1:14" x14ac:dyDescent="0.15">
      <c r="A58" s="286" t="s">
        <v>1051</v>
      </c>
      <c r="B58" s="121">
        <f>SUMIFS('2024 Rev - NS'!$N:$N,'2024 Rev - NS'!$G:$G,'Build MCC'!$A58,'2024 Rev - NS'!$P:$P,'Build MCC'!$A$1,'2024 Rev - NS'!$O:$O,'Build MCC'!B$4)</f>
        <v>0</v>
      </c>
      <c r="C58" s="121">
        <f>SUMIFS('2024 Rev - NS'!$N:$N,'2024 Rev - NS'!$G:$G,'Build MCC'!$A58,'2024 Rev - NS'!$P:$P,'Build MCC'!$A$1,'2024 Rev - NS'!$O:$O,'Build MCC'!C$4)</f>
        <v>0</v>
      </c>
      <c r="D58" s="121">
        <f>SUMIFS('2024 Rev - NS'!$N:$N,'2024 Rev - NS'!$G:$G,'Build MCC'!$A58,'2024 Rev - NS'!$P:$P,'Build MCC'!$A$1,'2024 Rev - NS'!$O:$O,'Build MCC'!D$4)</f>
        <v>0</v>
      </c>
      <c r="E58" s="121">
        <f>SUMIFS('2024 Rev - NS'!$N:$N,'2024 Rev - NS'!$G:$G,'Build MCC'!$A58,'2024 Rev - NS'!$P:$P,'Build MCC'!$A$1,'2024 Rev - NS'!$O:$O,'Build MCC'!E$4)</f>
        <v>0</v>
      </c>
      <c r="F58" s="121">
        <f>SUMIFS('2024 Rev - NS'!$N:$N,'2024 Rev - NS'!$G:$G,'Build MCC'!$A58,'2024 Rev - NS'!$P:$P,'Build MCC'!$A$1,'2024 Rev - NS'!$O:$O,'Build MCC'!F$4)</f>
        <v>0</v>
      </c>
      <c r="G58" s="121">
        <f>SUMIFS('2024 Rev - NS'!$N:$N,'2024 Rev - NS'!$G:$G,'Build MCC'!$A58,'2024 Rev - NS'!$P:$P,'Build MCC'!$A$1,'2024 Rev - NS'!$O:$O,'Build MCC'!G$4)</f>
        <v>0</v>
      </c>
      <c r="H58" s="121">
        <f>SUMIFS('2024 Rev - NS'!$N:$N,'2024 Rev - NS'!$G:$G,'Build MCC'!$A58,'2024 Rev - NS'!$P:$P,'Build MCC'!$A$1,'2024 Rev - NS'!$O:$O,'Build MCC'!H$4)</f>
        <v>0</v>
      </c>
      <c r="I58" s="121">
        <f>SUMIFS('2024 Rev - NS'!$N:$N,'2024 Rev - NS'!$G:$G,'Build MCC'!$A58,'2024 Rev - NS'!$P:$P,'Build MCC'!$A$1,'2024 Rev - NS'!$O:$O,'Build MCC'!I$4)</f>
        <v>0</v>
      </c>
      <c r="J58" s="121">
        <f>SUMIFS('2024 Rev - NS'!$N:$N,'2024 Rev - NS'!$G:$G,'Build MCC'!$A58,'2024 Rev - NS'!$P:$P,'Build MCC'!$A$1,'2024 Rev - NS'!$O:$O,'Build MCC'!J$4)</f>
        <v>0</v>
      </c>
      <c r="K58" s="121">
        <f>SUMIFS('2024 Rev - NS'!$N:$N,'2024 Rev - NS'!$G:$G,'Build MCC'!$A58,'2024 Rev - NS'!$P:$P,'Build MCC'!$A$1,'2024 Rev - NS'!$O:$O,'Build MCC'!K$4)</f>
        <v>0</v>
      </c>
      <c r="L58" s="121">
        <f>SUMIFS('2024 Rev - NS'!$N:$N,'2024 Rev - NS'!$G:$G,'Build MCC'!$A58,'2024 Rev - NS'!$P:$P,'Build MCC'!$A$1,'2024 Rev - NS'!$O:$O,'Build MCC'!L$4)</f>
        <v>0</v>
      </c>
      <c r="M58" s="121">
        <f>SUMIFS('2024 Rev - NS'!$N:$N,'2024 Rev - NS'!$G:$G,'Build MCC'!$A58,'2024 Rev - NS'!$P:$P,'Build MCC'!$A$1,'2024 Rev - NS'!$O:$O,'Build MCC'!M$4)</f>
        <v>0</v>
      </c>
      <c r="N58" s="121">
        <f t="shared" si="3"/>
        <v>0</v>
      </c>
    </row>
    <row r="59" spans="1:14" x14ac:dyDescent="0.15">
      <c r="A59" s="286" t="s">
        <v>1048</v>
      </c>
      <c r="B59" s="121">
        <f>SUMIFS('2024 Rev - NS'!$N:$N,'2024 Rev - NS'!$G:$G,'Build MCC'!$A59,'2024 Rev - NS'!$P:$P,'Build MCC'!$A$1,'2024 Rev - NS'!$O:$O,'Build MCC'!B$4)</f>
        <v>0</v>
      </c>
      <c r="C59" s="121">
        <f>SUMIFS('2024 Rev - NS'!$N:$N,'2024 Rev - NS'!$G:$G,'Build MCC'!$A59,'2024 Rev - NS'!$P:$P,'Build MCC'!$A$1,'2024 Rev - NS'!$O:$O,'Build MCC'!C$4)</f>
        <v>0</v>
      </c>
      <c r="D59" s="121">
        <f>SUMIFS('2024 Rev - NS'!$N:$N,'2024 Rev - NS'!$G:$G,'Build MCC'!$A59,'2024 Rev - NS'!$P:$P,'Build MCC'!$A$1,'2024 Rev - NS'!$O:$O,'Build MCC'!D$4)</f>
        <v>0</v>
      </c>
      <c r="E59" s="121">
        <f>SUMIFS('2024 Rev - NS'!$N:$N,'2024 Rev - NS'!$G:$G,'Build MCC'!$A59,'2024 Rev - NS'!$P:$P,'Build MCC'!$A$1,'2024 Rev - NS'!$O:$O,'Build MCC'!E$4)</f>
        <v>0</v>
      </c>
      <c r="F59" s="121">
        <f>SUMIFS('2024 Rev - NS'!$N:$N,'2024 Rev - NS'!$G:$G,'Build MCC'!$A59,'2024 Rev - NS'!$P:$P,'Build MCC'!$A$1,'2024 Rev - NS'!$O:$O,'Build MCC'!F$4)</f>
        <v>0</v>
      </c>
      <c r="G59" s="121">
        <f>SUMIFS('2024 Rev - NS'!$N:$N,'2024 Rev - NS'!$G:$G,'Build MCC'!$A59,'2024 Rev - NS'!$P:$P,'Build MCC'!$A$1,'2024 Rev - NS'!$O:$O,'Build MCC'!G$4)</f>
        <v>0</v>
      </c>
      <c r="H59" s="121">
        <f>SUMIFS('2024 Rev - NS'!$N:$N,'2024 Rev - NS'!$G:$G,'Build MCC'!$A59,'2024 Rev - NS'!$P:$P,'Build MCC'!$A$1,'2024 Rev - NS'!$O:$O,'Build MCC'!H$4)</f>
        <v>0</v>
      </c>
      <c r="I59" s="121">
        <f>SUMIFS('2024 Rev - NS'!$N:$N,'2024 Rev - NS'!$G:$G,'Build MCC'!$A59,'2024 Rev - NS'!$P:$P,'Build MCC'!$A$1,'2024 Rev - NS'!$O:$O,'Build MCC'!I$4)</f>
        <v>0</v>
      </c>
      <c r="J59" s="121">
        <f>SUMIFS('2024 Rev - NS'!$N:$N,'2024 Rev - NS'!$G:$G,'Build MCC'!$A59,'2024 Rev - NS'!$P:$P,'Build MCC'!$A$1,'2024 Rev - NS'!$O:$O,'Build MCC'!J$4)</f>
        <v>0</v>
      </c>
      <c r="K59" s="121">
        <f>SUMIFS('2024 Rev - NS'!$N:$N,'2024 Rev - NS'!$G:$G,'Build MCC'!$A59,'2024 Rev - NS'!$P:$P,'Build MCC'!$A$1,'2024 Rev - NS'!$O:$O,'Build MCC'!K$4)</f>
        <v>0</v>
      </c>
      <c r="L59" s="121">
        <f>SUMIFS('2024 Rev - NS'!$N:$N,'2024 Rev - NS'!$G:$G,'Build MCC'!$A59,'2024 Rev - NS'!$P:$P,'Build MCC'!$A$1,'2024 Rev - NS'!$O:$O,'Build MCC'!L$4)</f>
        <v>0</v>
      </c>
      <c r="M59" s="121">
        <f>SUMIFS('2024 Rev - NS'!$N:$N,'2024 Rev - NS'!$G:$G,'Build MCC'!$A59,'2024 Rev - NS'!$P:$P,'Build MCC'!$A$1,'2024 Rev - NS'!$O:$O,'Build MCC'!M$4)</f>
        <v>12190</v>
      </c>
      <c r="N59" s="121">
        <f t="shared" si="3"/>
        <v>12190</v>
      </c>
    </row>
    <row r="60" spans="1:14" x14ac:dyDescent="0.15">
      <c r="A60" s="286" t="s">
        <v>1052</v>
      </c>
      <c r="B60" s="121">
        <f>SUMIFS('2024 Rev - NS'!$N:$N,'2024 Rev - NS'!$G:$G,'Build MCC'!$A60,'2024 Rev - NS'!$P:$P,'Build MCC'!$A$1,'2024 Rev - NS'!$O:$O,'Build MCC'!B$4)</f>
        <v>0</v>
      </c>
      <c r="C60" s="121">
        <f>SUMIFS('2024 Rev - NS'!$N:$N,'2024 Rev - NS'!$G:$G,'Build MCC'!$A60,'2024 Rev - NS'!$P:$P,'Build MCC'!$A$1,'2024 Rev - NS'!$O:$O,'Build MCC'!C$4)</f>
        <v>0</v>
      </c>
      <c r="D60" s="121">
        <f>SUMIFS('2024 Rev - NS'!$N:$N,'2024 Rev - NS'!$G:$G,'Build MCC'!$A60,'2024 Rev - NS'!$P:$P,'Build MCC'!$A$1,'2024 Rev - NS'!$O:$O,'Build MCC'!D$4)</f>
        <v>0</v>
      </c>
      <c r="E60" s="121">
        <f>SUMIFS('2024 Rev - NS'!$N:$N,'2024 Rev - NS'!$G:$G,'Build MCC'!$A60,'2024 Rev - NS'!$P:$P,'Build MCC'!$A$1,'2024 Rev - NS'!$O:$O,'Build MCC'!E$4)</f>
        <v>0</v>
      </c>
      <c r="F60" s="121">
        <f>SUMIFS('2024 Rev - NS'!$N:$N,'2024 Rev - NS'!$G:$G,'Build MCC'!$A60,'2024 Rev - NS'!$P:$P,'Build MCC'!$A$1,'2024 Rev - NS'!$O:$O,'Build MCC'!F$4)</f>
        <v>0</v>
      </c>
      <c r="G60" s="121">
        <f>SUMIFS('2024 Rev - NS'!$N:$N,'2024 Rev - NS'!$G:$G,'Build MCC'!$A60,'2024 Rev - NS'!$P:$P,'Build MCC'!$A$1,'2024 Rev - NS'!$O:$O,'Build MCC'!G$4)</f>
        <v>0</v>
      </c>
      <c r="H60" s="121">
        <f>SUMIFS('2024 Rev - NS'!$N:$N,'2024 Rev - NS'!$G:$G,'Build MCC'!$A60,'2024 Rev - NS'!$P:$P,'Build MCC'!$A$1,'2024 Rev - NS'!$O:$O,'Build MCC'!H$4)</f>
        <v>0</v>
      </c>
      <c r="I60" s="121">
        <f>SUMIFS('2024 Rev - NS'!$N:$N,'2024 Rev - NS'!$G:$G,'Build MCC'!$A60,'2024 Rev - NS'!$P:$P,'Build MCC'!$A$1,'2024 Rev - NS'!$O:$O,'Build MCC'!I$4)</f>
        <v>0</v>
      </c>
      <c r="J60" s="121">
        <f>SUMIFS('2024 Rev - NS'!$N:$N,'2024 Rev - NS'!$G:$G,'Build MCC'!$A60,'2024 Rev - NS'!$P:$P,'Build MCC'!$A$1,'2024 Rev - NS'!$O:$O,'Build MCC'!J$4)</f>
        <v>0</v>
      </c>
      <c r="K60" s="121">
        <f>SUMIFS('2024 Rev - NS'!$N:$N,'2024 Rev - NS'!$G:$G,'Build MCC'!$A60,'2024 Rev - NS'!$P:$P,'Build MCC'!$A$1,'2024 Rev - NS'!$O:$O,'Build MCC'!K$4)</f>
        <v>0</v>
      </c>
      <c r="L60" s="121">
        <f>SUMIFS('2024 Rev - NS'!$N:$N,'2024 Rev - NS'!$G:$G,'Build MCC'!$A60,'2024 Rev - NS'!$P:$P,'Build MCC'!$A$1,'2024 Rev - NS'!$O:$O,'Build MCC'!L$4)</f>
        <v>0</v>
      </c>
      <c r="M60" s="121">
        <f>SUMIFS('2024 Rev - NS'!$N:$N,'2024 Rev - NS'!$G:$G,'Build MCC'!$A60,'2024 Rev - NS'!$P:$P,'Build MCC'!$A$1,'2024 Rev - NS'!$O:$O,'Build MCC'!M$4)</f>
        <v>27783</v>
      </c>
      <c r="N60" s="121">
        <f t="shared" si="3"/>
        <v>27783</v>
      </c>
    </row>
    <row r="61" spans="1:14" x14ac:dyDescent="0.15">
      <c r="A61" s="286" t="s">
        <v>1053</v>
      </c>
      <c r="B61" s="121">
        <f>SUMIFS('2024 Rev - NS'!$N:$N,'2024 Rev - NS'!$G:$G,'Build MCC'!$A61,'2024 Rev - NS'!$P:$P,'Build MCC'!$A$1,'2024 Rev - NS'!$O:$O,'Build MCC'!B$4)</f>
        <v>0</v>
      </c>
      <c r="C61" s="121">
        <f>SUMIFS('2024 Rev - NS'!$N:$N,'2024 Rev - NS'!$G:$G,'Build MCC'!$A61,'2024 Rev - NS'!$P:$P,'Build MCC'!$A$1,'2024 Rev - NS'!$O:$O,'Build MCC'!C$4)</f>
        <v>0</v>
      </c>
      <c r="D61" s="121">
        <f>SUMIFS('2024 Rev - NS'!$N:$N,'2024 Rev - NS'!$G:$G,'Build MCC'!$A61,'2024 Rev - NS'!$P:$P,'Build MCC'!$A$1,'2024 Rev - NS'!$O:$O,'Build MCC'!D$4)</f>
        <v>14896</v>
      </c>
      <c r="E61" s="121">
        <f>SUMIFS('2024 Rev - NS'!$N:$N,'2024 Rev - NS'!$G:$G,'Build MCC'!$A61,'2024 Rev - NS'!$P:$P,'Build MCC'!$A$1,'2024 Rev - NS'!$O:$O,'Build MCC'!E$4)</f>
        <v>0</v>
      </c>
      <c r="F61" s="121">
        <f>SUMIFS('2024 Rev - NS'!$N:$N,'2024 Rev - NS'!$G:$G,'Build MCC'!$A61,'2024 Rev - NS'!$P:$P,'Build MCC'!$A$1,'2024 Rev - NS'!$O:$O,'Build MCC'!F$4)</f>
        <v>0</v>
      </c>
      <c r="G61" s="121">
        <f>SUMIFS('2024 Rev - NS'!$N:$N,'2024 Rev - NS'!$G:$G,'Build MCC'!$A61,'2024 Rev - NS'!$P:$P,'Build MCC'!$A$1,'2024 Rev - NS'!$O:$O,'Build MCC'!G$4)</f>
        <v>0</v>
      </c>
      <c r="H61" s="121">
        <f>SUMIFS('2024 Rev - NS'!$N:$N,'2024 Rev - NS'!$G:$G,'Build MCC'!$A61,'2024 Rev - NS'!$P:$P,'Build MCC'!$A$1,'2024 Rev - NS'!$O:$O,'Build MCC'!H$4)</f>
        <v>0</v>
      </c>
      <c r="I61" s="121">
        <f>SUMIFS('2024 Rev - NS'!$N:$N,'2024 Rev - NS'!$G:$G,'Build MCC'!$A61,'2024 Rev - NS'!$P:$P,'Build MCC'!$A$1,'2024 Rev - NS'!$O:$O,'Build MCC'!I$4)</f>
        <v>0</v>
      </c>
      <c r="J61" s="121">
        <f>SUMIFS('2024 Rev - NS'!$N:$N,'2024 Rev - NS'!$G:$G,'Build MCC'!$A61,'2024 Rev - NS'!$P:$P,'Build MCC'!$A$1,'2024 Rev - NS'!$O:$O,'Build MCC'!J$4)</f>
        <v>0</v>
      </c>
      <c r="K61" s="121">
        <f>SUMIFS('2024 Rev - NS'!$N:$N,'2024 Rev - NS'!$G:$G,'Build MCC'!$A61,'2024 Rev - NS'!$P:$P,'Build MCC'!$A$1,'2024 Rev - NS'!$O:$O,'Build MCC'!K$4)</f>
        <v>0</v>
      </c>
      <c r="L61" s="121">
        <f>SUMIFS('2024 Rev - NS'!$N:$N,'2024 Rev - NS'!$G:$G,'Build MCC'!$A61,'2024 Rev - NS'!$P:$P,'Build MCC'!$A$1,'2024 Rev - NS'!$O:$O,'Build MCC'!L$4)</f>
        <v>0</v>
      </c>
      <c r="M61" s="121">
        <f>SUMIFS('2024 Rev - NS'!$N:$N,'2024 Rev - NS'!$G:$G,'Build MCC'!$A61,'2024 Rev - NS'!$P:$P,'Build MCC'!$A$1,'2024 Rev - NS'!$O:$O,'Build MCC'!M$4)</f>
        <v>0</v>
      </c>
      <c r="N61" s="121">
        <f t="shared" si="3"/>
        <v>14896</v>
      </c>
    </row>
    <row r="62" spans="1:14" x14ac:dyDescent="0.15">
      <c r="A62" s="286" t="s">
        <v>1054</v>
      </c>
      <c r="B62" s="121">
        <f>SUMIFS('2024 Rev - NS'!$N:$N,'2024 Rev - NS'!$G:$G,'Build MCC'!$A62,'2024 Rev - NS'!$P:$P,'Build MCC'!$A$1,'2024 Rev - NS'!$O:$O,'Build MCC'!B$4)</f>
        <v>0</v>
      </c>
      <c r="C62" s="121">
        <f>SUMIFS('2024 Rev - NS'!$N:$N,'2024 Rev - NS'!$G:$G,'Build MCC'!$A62,'2024 Rev - NS'!$P:$P,'Build MCC'!$A$1,'2024 Rev - NS'!$O:$O,'Build MCC'!C$4)</f>
        <v>0</v>
      </c>
      <c r="D62" s="121">
        <f>SUMIFS('2024 Rev - NS'!$N:$N,'2024 Rev - NS'!$G:$G,'Build MCC'!$A62,'2024 Rev - NS'!$P:$P,'Build MCC'!$A$1,'2024 Rev - NS'!$O:$O,'Build MCC'!D$4)</f>
        <v>0</v>
      </c>
      <c r="E62" s="121">
        <f>SUMIFS('2024 Rev - NS'!$N:$N,'2024 Rev - NS'!$G:$G,'Build MCC'!$A62,'2024 Rev - NS'!$P:$P,'Build MCC'!$A$1,'2024 Rev - NS'!$O:$O,'Build MCC'!E$4)</f>
        <v>0</v>
      </c>
      <c r="F62" s="121">
        <f>SUMIFS('2024 Rev - NS'!$N:$N,'2024 Rev - NS'!$G:$G,'Build MCC'!$A62,'2024 Rev - NS'!$P:$P,'Build MCC'!$A$1,'2024 Rev - NS'!$O:$O,'Build MCC'!F$4)</f>
        <v>0</v>
      </c>
      <c r="G62" s="121">
        <f>SUMIFS('2024 Rev - NS'!$N:$N,'2024 Rev - NS'!$G:$G,'Build MCC'!$A62,'2024 Rev - NS'!$P:$P,'Build MCC'!$A$1,'2024 Rev - NS'!$O:$O,'Build MCC'!G$4)</f>
        <v>0</v>
      </c>
      <c r="H62" s="121">
        <f>SUMIFS('2024 Rev - NS'!$N:$N,'2024 Rev - NS'!$G:$G,'Build MCC'!$A62,'2024 Rev - NS'!$P:$P,'Build MCC'!$A$1,'2024 Rev - NS'!$O:$O,'Build MCC'!H$4)</f>
        <v>0</v>
      </c>
      <c r="I62" s="121">
        <f>SUMIFS('2024 Rev - NS'!$N:$N,'2024 Rev - NS'!$G:$G,'Build MCC'!$A62,'2024 Rev - NS'!$P:$P,'Build MCC'!$A$1,'2024 Rev - NS'!$O:$O,'Build MCC'!I$4)</f>
        <v>0</v>
      </c>
      <c r="J62" s="121">
        <f>SUMIFS('2024 Rev - NS'!$N:$N,'2024 Rev - NS'!$G:$G,'Build MCC'!$A62,'2024 Rev - NS'!$P:$P,'Build MCC'!$A$1,'2024 Rev - NS'!$O:$O,'Build MCC'!J$4)</f>
        <v>0</v>
      </c>
      <c r="K62" s="121">
        <f>SUMIFS('2024 Rev - NS'!$N:$N,'2024 Rev - NS'!$G:$G,'Build MCC'!$A62,'2024 Rev - NS'!$P:$P,'Build MCC'!$A$1,'2024 Rev - NS'!$O:$O,'Build MCC'!K$4)</f>
        <v>0</v>
      </c>
      <c r="L62" s="121">
        <f>SUMIFS('2024 Rev - NS'!$N:$N,'2024 Rev - NS'!$G:$G,'Build MCC'!$A62,'2024 Rev - NS'!$P:$P,'Build MCC'!$A$1,'2024 Rev - NS'!$O:$O,'Build MCC'!L$4)</f>
        <v>0</v>
      </c>
      <c r="M62" s="121">
        <f>SUMIFS('2024 Rev - NS'!$N:$N,'2024 Rev - NS'!$G:$G,'Build MCC'!$A62,'2024 Rev - NS'!$P:$P,'Build MCC'!$A$1,'2024 Rev - NS'!$O:$O,'Build MCC'!M$4)</f>
        <v>0</v>
      </c>
      <c r="N62" s="121">
        <f t="shared" si="3"/>
        <v>0</v>
      </c>
    </row>
    <row r="63" spans="1:14" x14ac:dyDescent="0.15">
      <c r="A63" s="286" t="s">
        <v>1055</v>
      </c>
      <c r="B63" s="121">
        <f>SUMIFS('2024 Rev - NS'!$N:$N,'2024 Rev - NS'!$G:$G,'Build MCC'!$A63,'2024 Rev - NS'!$P:$P,'Build MCC'!$A$1,'2024 Rev - NS'!$O:$O,'Build MCC'!B$4)</f>
        <v>0</v>
      </c>
      <c r="C63" s="121">
        <f>SUMIFS('2024 Rev - NS'!$N:$N,'2024 Rev - NS'!$G:$G,'Build MCC'!$A63,'2024 Rev - NS'!$P:$P,'Build MCC'!$A$1,'2024 Rev - NS'!$O:$O,'Build MCC'!C$4)</f>
        <v>0</v>
      </c>
      <c r="D63" s="121">
        <f>SUMIFS('2024 Rev - NS'!$N:$N,'2024 Rev - NS'!$G:$G,'Build MCC'!$A63,'2024 Rev - NS'!$P:$P,'Build MCC'!$A$1,'2024 Rev - NS'!$O:$O,'Build MCC'!D$4)</f>
        <v>0</v>
      </c>
      <c r="E63" s="121">
        <f>SUMIFS('2024 Rev - NS'!$N:$N,'2024 Rev - NS'!$G:$G,'Build MCC'!$A63,'2024 Rev - NS'!$P:$P,'Build MCC'!$A$1,'2024 Rev - NS'!$O:$O,'Build MCC'!E$4)</f>
        <v>0</v>
      </c>
      <c r="F63" s="121">
        <f>SUMIFS('2024 Rev - NS'!$N:$N,'2024 Rev - NS'!$G:$G,'Build MCC'!$A63,'2024 Rev - NS'!$P:$P,'Build MCC'!$A$1,'2024 Rev - NS'!$O:$O,'Build MCC'!F$4)</f>
        <v>0</v>
      </c>
      <c r="G63" s="121">
        <f>SUMIFS('2024 Rev - NS'!$N:$N,'2024 Rev - NS'!$G:$G,'Build MCC'!$A63,'2024 Rev - NS'!$P:$P,'Build MCC'!$A$1,'2024 Rev - NS'!$O:$O,'Build MCC'!G$4)</f>
        <v>0</v>
      </c>
      <c r="H63" s="121">
        <f>SUMIFS('2024 Rev - NS'!$N:$N,'2024 Rev - NS'!$G:$G,'Build MCC'!$A63,'2024 Rev - NS'!$P:$P,'Build MCC'!$A$1,'2024 Rev - NS'!$O:$O,'Build MCC'!H$4)</f>
        <v>0</v>
      </c>
      <c r="I63" s="121">
        <f>SUMIFS('2024 Rev - NS'!$N:$N,'2024 Rev - NS'!$G:$G,'Build MCC'!$A63,'2024 Rev - NS'!$P:$P,'Build MCC'!$A$1,'2024 Rev - NS'!$O:$O,'Build MCC'!I$4)</f>
        <v>13028</v>
      </c>
      <c r="J63" s="121">
        <f>SUMIFS('2024 Rev - NS'!$N:$N,'2024 Rev - NS'!$G:$G,'Build MCC'!$A63,'2024 Rev - NS'!$P:$P,'Build MCC'!$A$1,'2024 Rev - NS'!$O:$O,'Build MCC'!J$4)</f>
        <v>0</v>
      </c>
      <c r="K63" s="121">
        <f>SUMIFS('2024 Rev - NS'!$N:$N,'2024 Rev - NS'!$G:$G,'Build MCC'!$A63,'2024 Rev - NS'!$P:$P,'Build MCC'!$A$1,'2024 Rev - NS'!$O:$O,'Build MCC'!K$4)</f>
        <v>0</v>
      </c>
      <c r="L63" s="121">
        <f>SUMIFS('2024 Rev - NS'!$N:$N,'2024 Rev - NS'!$G:$G,'Build MCC'!$A63,'2024 Rev - NS'!$P:$P,'Build MCC'!$A$1,'2024 Rev - NS'!$O:$O,'Build MCC'!L$4)</f>
        <v>0</v>
      </c>
      <c r="M63" s="121">
        <f>SUMIFS('2024 Rev - NS'!$N:$N,'2024 Rev - NS'!$G:$G,'Build MCC'!$A63,'2024 Rev - NS'!$P:$P,'Build MCC'!$A$1,'2024 Rev - NS'!$O:$O,'Build MCC'!M$4)</f>
        <v>0</v>
      </c>
      <c r="N63" s="121">
        <f t="shared" si="3"/>
        <v>13028</v>
      </c>
    </row>
    <row r="64" spans="1:14" x14ac:dyDescent="0.15">
      <c r="A64" s="286" t="s">
        <v>1056</v>
      </c>
      <c r="B64" s="121">
        <f>SUMIFS('2024 Rev - NS'!$N:$N,'2024 Rev - NS'!$G:$G,'Build MCC'!$A64,'2024 Rev - NS'!$P:$P,'Build MCC'!$A$1,'2024 Rev - NS'!$O:$O,'Build MCC'!B$4)</f>
        <v>0</v>
      </c>
      <c r="C64" s="121">
        <f>SUMIFS('2024 Rev - NS'!$N:$N,'2024 Rev - NS'!$G:$G,'Build MCC'!$A64,'2024 Rev - NS'!$P:$P,'Build MCC'!$A$1,'2024 Rev - NS'!$O:$O,'Build MCC'!C$4)</f>
        <v>0</v>
      </c>
      <c r="D64" s="121">
        <f>SUMIFS('2024 Rev - NS'!$N:$N,'2024 Rev - NS'!$G:$G,'Build MCC'!$A64,'2024 Rev - NS'!$P:$P,'Build MCC'!$A$1,'2024 Rev - NS'!$O:$O,'Build MCC'!D$4)</f>
        <v>0</v>
      </c>
      <c r="E64" s="121">
        <f>SUMIFS('2024 Rev - NS'!$N:$N,'2024 Rev - NS'!$G:$G,'Build MCC'!$A64,'2024 Rev - NS'!$P:$P,'Build MCC'!$A$1,'2024 Rev - NS'!$O:$O,'Build MCC'!E$4)</f>
        <v>0</v>
      </c>
      <c r="F64" s="121">
        <f>SUMIFS('2024 Rev - NS'!$N:$N,'2024 Rev - NS'!$G:$G,'Build MCC'!$A64,'2024 Rev - NS'!$P:$P,'Build MCC'!$A$1,'2024 Rev - NS'!$O:$O,'Build MCC'!F$4)</f>
        <v>63364</v>
      </c>
      <c r="G64" s="121">
        <f>SUMIFS('2024 Rev - NS'!$N:$N,'2024 Rev - NS'!$G:$G,'Build MCC'!$A64,'2024 Rev - NS'!$P:$P,'Build MCC'!$A$1,'2024 Rev - NS'!$O:$O,'Build MCC'!G$4)</f>
        <v>0</v>
      </c>
      <c r="H64" s="121">
        <f>SUMIFS('2024 Rev - NS'!$N:$N,'2024 Rev - NS'!$G:$G,'Build MCC'!$A64,'2024 Rev - NS'!$P:$P,'Build MCC'!$A$1,'2024 Rev - NS'!$O:$O,'Build MCC'!H$4)</f>
        <v>0</v>
      </c>
      <c r="I64" s="121">
        <f>SUMIFS('2024 Rev - NS'!$N:$N,'2024 Rev - NS'!$G:$G,'Build MCC'!$A64,'2024 Rev - NS'!$P:$P,'Build MCC'!$A$1,'2024 Rev - NS'!$O:$O,'Build MCC'!I$4)</f>
        <v>0</v>
      </c>
      <c r="J64" s="121">
        <f>SUMIFS('2024 Rev - NS'!$N:$N,'2024 Rev - NS'!$G:$G,'Build MCC'!$A64,'2024 Rev - NS'!$P:$P,'Build MCC'!$A$1,'2024 Rev - NS'!$O:$O,'Build MCC'!J$4)</f>
        <v>0</v>
      </c>
      <c r="K64" s="121">
        <f>SUMIFS('2024 Rev - NS'!$N:$N,'2024 Rev - NS'!$G:$G,'Build MCC'!$A64,'2024 Rev - NS'!$P:$P,'Build MCC'!$A$1,'2024 Rev - NS'!$O:$O,'Build MCC'!K$4)</f>
        <v>0</v>
      </c>
      <c r="L64" s="121">
        <f>SUMIFS('2024 Rev - NS'!$N:$N,'2024 Rev - NS'!$G:$G,'Build MCC'!$A64,'2024 Rev - NS'!$P:$P,'Build MCC'!$A$1,'2024 Rev - NS'!$O:$O,'Build MCC'!L$4)</f>
        <v>0</v>
      </c>
      <c r="M64" s="121">
        <f>SUMIFS('2024 Rev - NS'!$N:$N,'2024 Rev - NS'!$G:$G,'Build MCC'!$A64,'2024 Rev - NS'!$P:$P,'Build MCC'!$A$1,'2024 Rev - NS'!$O:$O,'Build MCC'!M$4)</f>
        <v>0</v>
      </c>
      <c r="N64" s="121">
        <f t="shared" si="3"/>
        <v>63364</v>
      </c>
    </row>
    <row r="65" spans="1:14" x14ac:dyDescent="0.15">
      <c r="A65" s="286" t="s">
        <v>1057</v>
      </c>
      <c r="B65" s="121">
        <f>SUMIFS('2024 Rev - NS'!$N:$N,'2024 Rev - NS'!$G:$G,'Build MCC'!$A65,'2024 Rev - NS'!$P:$P,'Build MCC'!$A$1,'2024 Rev - NS'!$O:$O,'Build MCC'!B$4)</f>
        <v>0</v>
      </c>
      <c r="C65" s="121">
        <f>SUMIFS('2024 Rev - NS'!$N:$N,'2024 Rev - NS'!$G:$G,'Build MCC'!$A65,'2024 Rev - NS'!$P:$P,'Build MCC'!$A$1,'2024 Rev - NS'!$O:$O,'Build MCC'!C$4)</f>
        <v>0</v>
      </c>
      <c r="D65" s="121">
        <f>SUMIFS('2024 Rev - NS'!$N:$N,'2024 Rev - NS'!$G:$G,'Build MCC'!$A65,'2024 Rev - NS'!$P:$P,'Build MCC'!$A$1,'2024 Rev - NS'!$O:$O,'Build MCC'!D$4)</f>
        <v>12896</v>
      </c>
      <c r="E65" s="121">
        <f>SUMIFS('2024 Rev - NS'!$N:$N,'2024 Rev - NS'!$G:$G,'Build MCC'!$A65,'2024 Rev - NS'!$P:$P,'Build MCC'!$A$1,'2024 Rev - NS'!$O:$O,'Build MCC'!E$4)</f>
        <v>0</v>
      </c>
      <c r="F65" s="121">
        <f>SUMIFS('2024 Rev - NS'!$N:$N,'2024 Rev - NS'!$G:$G,'Build MCC'!$A65,'2024 Rev - NS'!$P:$P,'Build MCC'!$A$1,'2024 Rev - NS'!$O:$O,'Build MCC'!F$4)</f>
        <v>0</v>
      </c>
      <c r="G65" s="121">
        <f>SUMIFS('2024 Rev - NS'!$N:$N,'2024 Rev - NS'!$G:$G,'Build MCC'!$A65,'2024 Rev - NS'!$P:$P,'Build MCC'!$A$1,'2024 Rev - NS'!$O:$O,'Build MCC'!G$4)</f>
        <v>0</v>
      </c>
      <c r="H65" s="121">
        <f>SUMIFS('2024 Rev - NS'!$N:$N,'2024 Rev - NS'!$G:$G,'Build MCC'!$A65,'2024 Rev - NS'!$P:$P,'Build MCC'!$A$1,'2024 Rev - NS'!$O:$O,'Build MCC'!H$4)</f>
        <v>0</v>
      </c>
      <c r="I65" s="121">
        <f>SUMIFS('2024 Rev - NS'!$N:$N,'2024 Rev - NS'!$G:$G,'Build MCC'!$A65,'2024 Rev - NS'!$P:$P,'Build MCC'!$A$1,'2024 Rev - NS'!$O:$O,'Build MCC'!I$4)</f>
        <v>0</v>
      </c>
      <c r="J65" s="121">
        <f>SUMIFS('2024 Rev - NS'!$N:$N,'2024 Rev - NS'!$G:$G,'Build MCC'!$A65,'2024 Rev - NS'!$P:$P,'Build MCC'!$A$1,'2024 Rev - NS'!$O:$O,'Build MCC'!J$4)</f>
        <v>0</v>
      </c>
      <c r="K65" s="121">
        <f>SUMIFS('2024 Rev - NS'!$N:$N,'2024 Rev - NS'!$G:$G,'Build MCC'!$A65,'2024 Rev - NS'!$P:$P,'Build MCC'!$A$1,'2024 Rev - NS'!$O:$O,'Build MCC'!K$4)</f>
        <v>0</v>
      </c>
      <c r="L65" s="121">
        <f>SUMIFS('2024 Rev - NS'!$N:$N,'2024 Rev - NS'!$G:$G,'Build MCC'!$A65,'2024 Rev - NS'!$P:$P,'Build MCC'!$A$1,'2024 Rev - NS'!$O:$O,'Build MCC'!L$4)</f>
        <v>0</v>
      </c>
      <c r="M65" s="121">
        <f>SUMIFS('2024 Rev - NS'!$N:$N,'2024 Rev - NS'!$G:$G,'Build MCC'!$A65,'2024 Rev - NS'!$P:$P,'Build MCC'!$A$1,'2024 Rev - NS'!$O:$O,'Build MCC'!M$4)</f>
        <v>0</v>
      </c>
      <c r="N65" s="121">
        <f t="shared" si="3"/>
        <v>12896</v>
      </c>
    </row>
    <row r="66" spans="1:14" x14ac:dyDescent="0.15">
      <c r="A66" s="286" t="s">
        <v>1058</v>
      </c>
      <c r="B66" s="121">
        <f>SUMIFS('2024 Rev - NS'!$N:$N,'2024 Rev - NS'!$G:$G,'Build MCC'!$A66,'2024 Rev - NS'!$P:$P,'Build MCC'!$A$1,'2024 Rev - NS'!$O:$O,'Build MCC'!B$4)</f>
        <v>0</v>
      </c>
      <c r="C66" s="121">
        <f>SUMIFS('2024 Rev - NS'!$N:$N,'2024 Rev - NS'!$G:$G,'Build MCC'!$A66,'2024 Rev - NS'!$P:$P,'Build MCC'!$A$1,'2024 Rev - NS'!$O:$O,'Build MCC'!C$4)</f>
        <v>0</v>
      </c>
      <c r="D66" s="121">
        <f>SUMIFS('2024 Rev - NS'!$N:$N,'2024 Rev - NS'!$G:$G,'Build MCC'!$A66,'2024 Rev - NS'!$P:$P,'Build MCC'!$A$1,'2024 Rev - NS'!$O:$O,'Build MCC'!D$4)</f>
        <v>0</v>
      </c>
      <c r="E66" s="121">
        <f>SUMIFS('2024 Rev - NS'!$N:$N,'2024 Rev - NS'!$G:$G,'Build MCC'!$A66,'2024 Rev - NS'!$P:$P,'Build MCC'!$A$1,'2024 Rev - NS'!$O:$O,'Build MCC'!E$4)</f>
        <v>0</v>
      </c>
      <c r="F66" s="121">
        <f>SUMIFS('2024 Rev - NS'!$N:$N,'2024 Rev - NS'!$G:$G,'Build MCC'!$A66,'2024 Rev - NS'!$P:$P,'Build MCC'!$A$1,'2024 Rev - NS'!$O:$O,'Build MCC'!F$4)</f>
        <v>0</v>
      </c>
      <c r="G66" s="121">
        <f>SUMIFS('2024 Rev - NS'!$N:$N,'2024 Rev - NS'!$G:$G,'Build MCC'!$A66,'2024 Rev - NS'!$P:$P,'Build MCC'!$A$1,'2024 Rev - NS'!$O:$O,'Build MCC'!G$4)</f>
        <v>13607</v>
      </c>
      <c r="H66" s="121">
        <f>SUMIFS('2024 Rev - NS'!$N:$N,'2024 Rev - NS'!$G:$G,'Build MCC'!$A66,'2024 Rev - NS'!$P:$P,'Build MCC'!$A$1,'2024 Rev - NS'!$O:$O,'Build MCC'!H$4)</f>
        <v>0</v>
      </c>
      <c r="I66" s="121">
        <f>SUMIFS('2024 Rev - NS'!$N:$N,'2024 Rev - NS'!$G:$G,'Build MCC'!$A66,'2024 Rev - NS'!$P:$P,'Build MCC'!$A$1,'2024 Rev - NS'!$O:$O,'Build MCC'!I$4)</f>
        <v>0</v>
      </c>
      <c r="J66" s="121">
        <f>SUMIFS('2024 Rev - NS'!$N:$N,'2024 Rev - NS'!$G:$G,'Build MCC'!$A66,'2024 Rev - NS'!$P:$P,'Build MCC'!$A$1,'2024 Rev - NS'!$O:$O,'Build MCC'!J$4)</f>
        <v>0</v>
      </c>
      <c r="K66" s="121">
        <f>SUMIFS('2024 Rev - NS'!$N:$N,'2024 Rev - NS'!$G:$G,'Build MCC'!$A66,'2024 Rev - NS'!$P:$P,'Build MCC'!$A$1,'2024 Rev - NS'!$O:$O,'Build MCC'!K$4)</f>
        <v>0</v>
      </c>
      <c r="L66" s="121">
        <f>SUMIFS('2024 Rev - NS'!$N:$N,'2024 Rev - NS'!$G:$G,'Build MCC'!$A66,'2024 Rev - NS'!$P:$P,'Build MCC'!$A$1,'2024 Rev - NS'!$O:$O,'Build MCC'!L$4)</f>
        <v>0</v>
      </c>
      <c r="M66" s="121">
        <f>SUMIFS('2024 Rev - NS'!$N:$N,'2024 Rev - NS'!$G:$G,'Build MCC'!$A66,'2024 Rev - NS'!$P:$P,'Build MCC'!$A$1,'2024 Rev - NS'!$O:$O,'Build MCC'!M$4)</f>
        <v>0</v>
      </c>
      <c r="N66" s="121">
        <f t="shared" si="3"/>
        <v>13607</v>
      </c>
    </row>
    <row r="67" spans="1:14" x14ac:dyDescent="0.15">
      <c r="A67" s="286" t="s">
        <v>1349</v>
      </c>
      <c r="B67" s="121">
        <f>SUMIFS('2024 Rev - NS'!$N:$N,'2024 Rev - NS'!$G:$G,'Build MCC'!$A67,'2024 Rev - NS'!$P:$P,'Build MCC'!$A$1,'2024 Rev - NS'!$O:$O,'Build MCC'!B$4)</f>
        <v>0</v>
      </c>
      <c r="C67" s="121">
        <f>SUMIFS('2024 Rev - NS'!$N:$N,'2024 Rev - NS'!$G:$G,'Build MCC'!$A67,'2024 Rev - NS'!$P:$P,'Build MCC'!$A$1,'2024 Rev - NS'!$O:$O,'Build MCC'!C$4)</f>
        <v>0</v>
      </c>
      <c r="D67" s="121">
        <f>SUMIFS('2024 Rev - NS'!$N:$N,'2024 Rev - NS'!$G:$G,'Build MCC'!$A67,'2024 Rev - NS'!$P:$P,'Build MCC'!$A$1,'2024 Rev - NS'!$O:$O,'Build MCC'!D$4)</f>
        <v>0</v>
      </c>
      <c r="E67" s="121">
        <f>SUMIFS('2024 Rev - NS'!$N:$N,'2024 Rev - NS'!$G:$G,'Build MCC'!$A67,'2024 Rev - NS'!$P:$P,'Build MCC'!$A$1,'2024 Rev - NS'!$O:$O,'Build MCC'!E$4)</f>
        <v>0</v>
      </c>
      <c r="F67" s="121">
        <f>SUMIFS('2024 Rev - NS'!$N:$N,'2024 Rev - NS'!$G:$G,'Build MCC'!$A67,'2024 Rev - NS'!$P:$P,'Build MCC'!$A$1,'2024 Rev - NS'!$O:$O,'Build MCC'!F$4)</f>
        <v>0</v>
      </c>
      <c r="G67" s="121">
        <f>SUMIFS('2024 Rev - NS'!$N:$N,'2024 Rev - NS'!$G:$G,'Build MCC'!$A67,'2024 Rev - NS'!$P:$P,'Build MCC'!$A$1,'2024 Rev - NS'!$O:$O,'Build MCC'!G$4)</f>
        <v>0</v>
      </c>
      <c r="H67" s="121">
        <f>SUMIFS('2024 Rev - NS'!$N:$N,'2024 Rev - NS'!$G:$G,'Build MCC'!$A67,'2024 Rev - NS'!$P:$P,'Build MCC'!$A$1,'2024 Rev - NS'!$O:$O,'Build MCC'!H$4)</f>
        <v>0</v>
      </c>
      <c r="I67" s="121">
        <f>SUMIFS('2024 Rev - NS'!$N:$N,'2024 Rev - NS'!$G:$G,'Build MCC'!$A67,'2024 Rev - NS'!$P:$P,'Build MCC'!$A$1,'2024 Rev - NS'!$O:$O,'Build MCC'!I$4)</f>
        <v>0</v>
      </c>
      <c r="J67" s="121">
        <f>SUMIFS('2024 Rev - NS'!$N:$N,'2024 Rev - NS'!$G:$G,'Build MCC'!$A67,'2024 Rev - NS'!$P:$P,'Build MCC'!$A$1,'2024 Rev - NS'!$O:$O,'Build MCC'!J$4)</f>
        <v>0</v>
      </c>
      <c r="K67" s="121">
        <f>SUMIFS('2024 Rev - NS'!$N:$N,'2024 Rev - NS'!$G:$G,'Build MCC'!$A67,'2024 Rev - NS'!$P:$P,'Build MCC'!$A$1,'2024 Rev - NS'!$O:$O,'Build MCC'!K$4)</f>
        <v>0</v>
      </c>
      <c r="L67" s="121">
        <f>SUMIFS('2024 Rev - NS'!$N:$N,'2024 Rev - NS'!$G:$G,'Build MCC'!$A67,'2024 Rev - NS'!$P:$P,'Build MCC'!$A$1,'2024 Rev - NS'!$O:$O,'Build MCC'!L$4)</f>
        <v>0</v>
      </c>
      <c r="M67" s="121">
        <f>SUMIFS('2024 Rev - NS'!$N:$N,'2024 Rev - NS'!$G:$G,'Build MCC'!$A67,'2024 Rev - NS'!$P:$P,'Build MCC'!$A$1,'2024 Rev - NS'!$O:$O,'Build MCC'!M$4)</f>
        <v>0</v>
      </c>
      <c r="N67" s="121">
        <f t="shared" si="3"/>
        <v>0</v>
      </c>
    </row>
    <row r="68" spans="1:14" x14ac:dyDescent="0.15">
      <c r="A68" s="286" t="s">
        <v>1786</v>
      </c>
      <c r="B68" s="121">
        <f>SUMIFS('2024 Rev - NS'!$N:$N,'2024 Rev - NS'!$G:$G,'Build MCC'!$A68,'2024 Rev - NS'!$P:$P,'Build MCC'!$A$1,'2024 Rev - NS'!$O:$O,'Build MCC'!B$4)</f>
        <v>0</v>
      </c>
      <c r="C68" s="121">
        <f>SUMIFS('2024 Rev - NS'!$N:$N,'2024 Rev - NS'!$G:$G,'Build MCC'!$A68,'2024 Rev - NS'!$P:$P,'Build MCC'!$A$1,'2024 Rev - NS'!$O:$O,'Build MCC'!C$4)</f>
        <v>0</v>
      </c>
      <c r="D68" s="121">
        <f>SUMIFS('2024 Rev - NS'!$N:$N,'2024 Rev - NS'!$G:$G,'Build MCC'!$A68,'2024 Rev - NS'!$P:$P,'Build MCC'!$A$1,'2024 Rev - NS'!$O:$O,'Build MCC'!D$4)</f>
        <v>0</v>
      </c>
      <c r="E68" s="121">
        <f>SUMIFS('2024 Rev - NS'!$N:$N,'2024 Rev - NS'!$G:$G,'Build MCC'!$A68,'2024 Rev - NS'!$P:$P,'Build MCC'!$A$1,'2024 Rev - NS'!$O:$O,'Build MCC'!E$4)</f>
        <v>0</v>
      </c>
      <c r="F68" s="121">
        <f>SUMIFS('2024 Rev - NS'!$N:$N,'2024 Rev - NS'!$G:$G,'Build MCC'!$A68,'2024 Rev - NS'!$P:$P,'Build MCC'!$A$1,'2024 Rev - NS'!$O:$O,'Build MCC'!F$4)</f>
        <v>0</v>
      </c>
      <c r="G68" s="121">
        <f>SUMIFS('2024 Rev - NS'!$N:$N,'2024 Rev - NS'!$G:$G,'Build MCC'!$A68,'2024 Rev - NS'!$P:$P,'Build MCC'!$A$1,'2024 Rev - NS'!$O:$O,'Build MCC'!G$4)</f>
        <v>0</v>
      </c>
      <c r="H68" s="121">
        <f>SUMIFS('2024 Rev - NS'!$N:$N,'2024 Rev - NS'!$G:$G,'Build MCC'!$A68,'2024 Rev - NS'!$P:$P,'Build MCC'!$A$1,'2024 Rev - NS'!$O:$O,'Build MCC'!H$4)</f>
        <v>0</v>
      </c>
      <c r="I68" s="121">
        <f>SUMIFS('2024 Rev - NS'!$N:$N,'2024 Rev - NS'!$G:$G,'Build MCC'!$A68,'2024 Rev - NS'!$P:$P,'Build MCC'!$A$1,'2024 Rev - NS'!$O:$O,'Build MCC'!I$4)</f>
        <v>0</v>
      </c>
      <c r="J68" s="121">
        <f>SUMIFS('2024 Rev - NS'!$N:$N,'2024 Rev - NS'!$G:$G,'Build MCC'!$A68,'2024 Rev - NS'!$P:$P,'Build MCC'!$A$1,'2024 Rev - NS'!$O:$O,'Build MCC'!J$4)</f>
        <v>0</v>
      </c>
      <c r="K68" s="121">
        <f>SUMIFS('2024 Rev - NS'!$N:$N,'2024 Rev - NS'!$G:$G,'Build MCC'!$A68,'2024 Rev - NS'!$P:$P,'Build MCC'!$A$1,'2024 Rev - NS'!$O:$O,'Build MCC'!K$4)</f>
        <v>0</v>
      </c>
      <c r="L68" s="121">
        <f>SUMIFS('2024 Rev - NS'!$N:$N,'2024 Rev - NS'!$G:$G,'Build MCC'!$A68,'2024 Rev - NS'!$P:$P,'Build MCC'!$A$1,'2024 Rev - NS'!$O:$O,'Build MCC'!L$4)</f>
        <v>0</v>
      </c>
      <c r="M68" s="121">
        <f>SUMIFS('2024 Rev - NS'!$N:$N,'2024 Rev - NS'!$G:$G,'Build MCC'!$A68,'2024 Rev - NS'!$P:$P,'Build MCC'!$A$1,'2024 Rev - NS'!$O:$O,'Build MCC'!M$4)</f>
        <v>0</v>
      </c>
      <c r="N68" s="121">
        <f t="shared" si="3"/>
        <v>0</v>
      </c>
    </row>
    <row r="69" spans="1:14" x14ac:dyDescent="0.15">
      <c r="A69" s="286" t="s">
        <v>1059</v>
      </c>
      <c r="B69" s="121">
        <f>SUMIFS('2024 Rev - NS'!$N:$N,'2024 Rev - NS'!$G:$G,'Build MCC'!$A69,'2024 Rev - NS'!$P:$P,'Build MCC'!$A$1,'2024 Rev - NS'!$O:$O,'Build MCC'!B$4)</f>
        <v>0</v>
      </c>
      <c r="C69" s="121">
        <f>SUMIFS('2024 Rev - NS'!$N:$N,'2024 Rev - NS'!$G:$G,'Build MCC'!$A69,'2024 Rev - NS'!$P:$P,'Build MCC'!$A$1,'2024 Rev - NS'!$O:$O,'Build MCC'!C$4)</f>
        <v>0</v>
      </c>
      <c r="D69" s="121">
        <f>SUMIFS('2024 Rev - NS'!$N:$N,'2024 Rev - NS'!$G:$G,'Build MCC'!$A69,'2024 Rev - NS'!$P:$P,'Build MCC'!$A$1,'2024 Rev - NS'!$O:$O,'Build MCC'!D$4)</f>
        <v>0</v>
      </c>
      <c r="E69" s="121">
        <f>SUMIFS('2024 Rev - NS'!$N:$N,'2024 Rev - NS'!$G:$G,'Build MCC'!$A69,'2024 Rev - NS'!$P:$P,'Build MCC'!$A$1,'2024 Rev - NS'!$O:$O,'Build MCC'!E$4)</f>
        <v>16531</v>
      </c>
      <c r="F69" s="121">
        <f>SUMIFS('2024 Rev - NS'!$N:$N,'2024 Rev - NS'!$G:$G,'Build MCC'!$A69,'2024 Rev - NS'!$P:$P,'Build MCC'!$A$1,'2024 Rev - NS'!$O:$O,'Build MCC'!F$4)</f>
        <v>0</v>
      </c>
      <c r="G69" s="121">
        <f>SUMIFS('2024 Rev - NS'!$N:$N,'2024 Rev - NS'!$G:$G,'Build MCC'!$A69,'2024 Rev - NS'!$P:$P,'Build MCC'!$A$1,'2024 Rev - NS'!$O:$O,'Build MCC'!G$4)</f>
        <v>0</v>
      </c>
      <c r="H69" s="121">
        <f>SUMIFS('2024 Rev - NS'!$N:$N,'2024 Rev - NS'!$G:$G,'Build MCC'!$A69,'2024 Rev - NS'!$P:$P,'Build MCC'!$A$1,'2024 Rev - NS'!$O:$O,'Build MCC'!H$4)</f>
        <v>0</v>
      </c>
      <c r="I69" s="121">
        <f>SUMIFS('2024 Rev - NS'!$N:$N,'2024 Rev - NS'!$G:$G,'Build MCC'!$A69,'2024 Rev - NS'!$P:$P,'Build MCC'!$A$1,'2024 Rev - NS'!$O:$O,'Build MCC'!I$4)</f>
        <v>0</v>
      </c>
      <c r="J69" s="121">
        <f>SUMIFS('2024 Rev - NS'!$N:$N,'2024 Rev - NS'!$G:$G,'Build MCC'!$A69,'2024 Rev - NS'!$P:$P,'Build MCC'!$A$1,'2024 Rev - NS'!$O:$O,'Build MCC'!J$4)</f>
        <v>0</v>
      </c>
      <c r="K69" s="121">
        <f>SUMIFS('2024 Rev - NS'!$N:$N,'2024 Rev - NS'!$G:$G,'Build MCC'!$A69,'2024 Rev - NS'!$P:$P,'Build MCC'!$A$1,'2024 Rev - NS'!$O:$O,'Build MCC'!K$4)</f>
        <v>10165</v>
      </c>
      <c r="L69" s="121">
        <f>SUMIFS('2024 Rev - NS'!$N:$N,'2024 Rev - NS'!$G:$G,'Build MCC'!$A69,'2024 Rev - NS'!$P:$P,'Build MCC'!$A$1,'2024 Rev - NS'!$O:$O,'Build MCC'!L$4)</f>
        <v>0</v>
      </c>
      <c r="M69" s="121">
        <f>SUMIFS('2024 Rev - NS'!$N:$N,'2024 Rev - NS'!$G:$G,'Build MCC'!$A69,'2024 Rev - NS'!$P:$P,'Build MCC'!$A$1,'2024 Rev - NS'!$O:$O,'Build MCC'!M$4)</f>
        <v>0</v>
      </c>
      <c r="N69" s="121">
        <f t="shared" ref="N69:N100" si="4">SUM(B69:M69)</f>
        <v>26696</v>
      </c>
    </row>
    <row r="70" spans="1:14" x14ac:dyDescent="0.15">
      <c r="A70" s="286" t="s">
        <v>1061</v>
      </c>
      <c r="B70" s="121">
        <f>SUMIFS('2024 Rev - NS'!$N:$N,'2024 Rev - NS'!$G:$G,'Build MCC'!$A70,'2024 Rev - NS'!$P:$P,'Build MCC'!$A$1,'2024 Rev - NS'!$O:$O,'Build MCC'!B$4)</f>
        <v>0</v>
      </c>
      <c r="C70" s="121">
        <f>SUMIFS('2024 Rev - NS'!$N:$N,'2024 Rev - NS'!$G:$G,'Build MCC'!$A70,'2024 Rev - NS'!$P:$P,'Build MCC'!$A$1,'2024 Rev - NS'!$O:$O,'Build MCC'!C$4)</f>
        <v>0</v>
      </c>
      <c r="D70" s="121">
        <f>SUMIFS('2024 Rev - NS'!$N:$N,'2024 Rev - NS'!$G:$G,'Build MCC'!$A70,'2024 Rev - NS'!$P:$P,'Build MCC'!$A$1,'2024 Rev - NS'!$O:$O,'Build MCC'!D$4)</f>
        <v>0</v>
      </c>
      <c r="E70" s="121">
        <f>SUMIFS('2024 Rev - NS'!$N:$N,'2024 Rev - NS'!$G:$G,'Build MCC'!$A70,'2024 Rev - NS'!$P:$P,'Build MCC'!$A$1,'2024 Rev - NS'!$O:$O,'Build MCC'!E$4)</f>
        <v>0</v>
      </c>
      <c r="F70" s="121">
        <f>SUMIFS('2024 Rev - NS'!$N:$N,'2024 Rev - NS'!$G:$G,'Build MCC'!$A70,'2024 Rev - NS'!$P:$P,'Build MCC'!$A$1,'2024 Rev - NS'!$O:$O,'Build MCC'!F$4)</f>
        <v>0</v>
      </c>
      <c r="G70" s="121">
        <f>SUMIFS('2024 Rev - NS'!$N:$N,'2024 Rev - NS'!$G:$G,'Build MCC'!$A70,'2024 Rev - NS'!$P:$P,'Build MCC'!$A$1,'2024 Rev - NS'!$O:$O,'Build MCC'!G$4)</f>
        <v>0</v>
      </c>
      <c r="H70" s="121">
        <f>SUMIFS('2024 Rev - NS'!$N:$N,'2024 Rev - NS'!$G:$G,'Build MCC'!$A70,'2024 Rev - NS'!$P:$P,'Build MCC'!$A$1,'2024 Rev - NS'!$O:$O,'Build MCC'!H$4)</f>
        <v>0</v>
      </c>
      <c r="I70" s="121">
        <f>SUMIFS('2024 Rev - NS'!$N:$N,'2024 Rev - NS'!$G:$G,'Build MCC'!$A70,'2024 Rev - NS'!$P:$P,'Build MCC'!$A$1,'2024 Rev - NS'!$O:$O,'Build MCC'!I$4)</f>
        <v>12218</v>
      </c>
      <c r="J70" s="121">
        <f>SUMIFS('2024 Rev - NS'!$N:$N,'2024 Rev - NS'!$G:$G,'Build MCC'!$A70,'2024 Rev - NS'!$P:$P,'Build MCC'!$A$1,'2024 Rev - NS'!$O:$O,'Build MCC'!J$4)</f>
        <v>0</v>
      </c>
      <c r="K70" s="121">
        <f>SUMIFS('2024 Rev - NS'!$N:$N,'2024 Rev - NS'!$G:$G,'Build MCC'!$A70,'2024 Rev - NS'!$P:$P,'Build MCC'!$A$1,'2024 Rev - NS'!$O:$O,'Build MCC'!K$4)</f>
        <v>0</v>
      </c>
      <c r="L70" s="121">
        <f>SUMIFS('2024 Rev - NS'!$N:$N,'2024 Rev - NS'!$G:$G,'Build MCC'!$A70,'2024 Rev - NS'!$P:$P,'Build MCC'!$A$1,'2024 Rev - NS'!$O:$O,'Build MCC'!L$4)</f>
        <v>0</v>
      </c>
      <c r="M70" s="121">
        <f>SUMIFS('2024 Rev - NS'!$N:$N,'2024 Rev - NS'!$G:$G,'Build MCC'!$A70,'2024 Rev - NS'!$P:$P,'Build MCC'!$A$1,'2024 Rev - NS'!$O:$O,'Build MCC'!M$4)</f>
        <v>0</v>
      </c>
      <c r="N70" s="121">
        <f t="shared" si="4"/>
        <v>12218</v>
      </c>
    </row>
    <row r="71" spans="1:14" x14ac:dyDescent="0.15">
      <c r="A71" s="286" t="s">
        <v>1063</v>
      </c>
      <c r="B71" s="121">
        <f>SUMIFS('2024 Rev - NS'!$N:$N,'2024 Rev - NS'!$G:$G,'Build MCC'!$A71,'2024 Rev - NS'!$P:$P,'Build MCC'!$A$1,'2024 Rev - NS'!$O:$O,'Build MCC'!B$4)</f>
        <v>0</v>
      </c>
      <c r="C71" s="121">
        <f>SUMIFS('2024 Rev - NS'!$N:$N,'2024 Rev - NS'!$G:$G,'Build MCC'!$A71,'2024 Rev - NS'!$P:$P,'Build MCC'!$A$1,'2024 Rev - NS'!$O:$O,'Build MCC'!C$4)</f>
        <v>0</v>
      </c>
      <c r="D71" s="121">
        <f>SUMIFS('2024 Rev - NS'!$N:$N,'2024 Rev - NS'!$G:$G,'Build MCC'!$A71,'2024 Rev - NS'!$P:$P,'Build MCC'!$A$1,'2024 Rev - NS'!$O:$O,'Build MCC'!D$4)</f>
        <v>0</v>
      </c>
      <c r="E71" s="121">
        <f>SUMIFS('2024 Rev - NS'!$N:$N,'2024 Rev - NS'!$G:$G,'Build MCC'!$A71,'2024 Rev - NS'!$P:$P,'Build MCC'!$A$1,'2024 Rev - NS'!$O:$O,'Build MCC'!E$4)</f>
        <v>0</v>
      </c>
      <c r="F71" s="121">
        <f>SUMIFS('2024 Rev - NS'!$N:$N,'2024 Rev - NS'!$G:$G,'Build MCC'!$A71,'2024 Rev - NS'!$P:$P,'Build MCC'!$A$1,'2024 Rev - NS'!$O:$O,'Build MCC'!F$4)</f>
        <v>0</v>
      </c>
      <c r="G71" s="121">
        <f>SUMIFS('2024 Rev - NS'!$N:$N,'2024 Rev - NS'!$G:$G,'Build MCC'!$A71,'2024 Rev - NS'!$P:$P,'Build MCC'!$A$1,'2024 Rev - NS'!$O:$O,'Build MCC'!G$4)</f>
        <v>0</v>
      </c>
      <c r="H71" s="121">
        <f>SUMIFS('2024 Rev - NS'!$N:$N,'2024 Rev - NS'!$G:$G,'Build MCC'!$A71,'2024 Rev - NS'!$P:$P,'Build MCC'!$A$1,'2024 Rev - NS'!$O:$O,'Build MCC'!H$4)</f>
        <v>0</v>
      </c>
      <c r="I71" s="121">
        <f>SUMIFS('2024 Rev - NS'!$N:$N,'2024 Rev - NS'!$G:$G,'Build MCC'!$A71,'2024 Rev - NS'!$P:$P,'Build MCC'!$A$1,'2024 Rev - NS'!$O:$O,'Build MCC'!I$4)</f>
        <v>0</v>
      </c>
      <c r="J71" s="121">
        <f>SUMIFS('2024 Rev - NS'!$N:$N,'2024 Rev - NS'!$G:$G,'Build MCC'!$A71,'2024 Rev - NS'!$P:$P,'Build MCC'!$A$1,'2024 Rev - NS'!$O:$O,'Build MCC'!J$4)</f>
        <v>0</v>
      </c>
      <c r="K71" s="121">
        <f>SUMIFS('2024 Rev - NS'!$N:$N,'2024 Rev - NS'!$G:$G,'Build MCC'!$A71,'2024 Rev - NS'!$P:$P,'Build MCC'!$A$1,'2024 Rev - NS'!$O:$O,'Build MCC'!K$4)</f>
        <v>8865</v>
      </c>
      <c r="L71" s="121">
        <f>SUMIFS('2024 Rev - NS'!$N:$N,'2024 Rev - NS'!$G:$G,'Build MCC'!$A71,'2024 Rev - NS'!$P:$P,'Build MCC'!$A$1,'2024 Rev - NS'!$O:$O,'Build MCC'!L$4)</f>
        <v>0</v>
      </c>
      <c r="M71" s="121">
        <f>SUMIFS('2024 Rev - NS'!$N:$N,'2024 Rev - NS'!$G:$G,'Build MCC'!$A71,'2024 Rev - NS'!$P:$P,'Build MCC'!$A$1,'2024 Rev - NS'!$O:$O,'Build MCC'!M$4)</f>
        <v>0</v>
      </c>
      <c r="N71" s="121">
        <f t="shared" si="4"/>
        <v>8865</v>
      </c>
    </row>
    <row r="72" spans="1:14" x14ac:dyDescent="0.15">
      <c r="A72" s="286" t="s">
        <v>1062</v>
      </c>
      <c r="B72" s="121">
        <f>SUMIFS('2024 Rev - NS'!$N:$N,'2024 Rev - NS'!$G:$G,'Build MCC'!$A72,'2024 Rev - NS'!$P:$P,'Build MCC'!$A$1,'2024 Rev - NS'!$O:$O,'Build MCC'!B$4)</f>
        <v>0</v>
      </c>
      <c r="C72" s="121">
        <f>SUMIFS('2024 Rev - NS'!$N:$N,'2024 Rev - NS'!$G:$G,'Build MCC'!$A72,'2024 Rev - NS'!$P:$P,'Build MCC'!$A$1,'2024 Rev - NS'!$O:$O,'Build MCC'!C$4)</f>
        <v>0</v>
      </c>
      <c r="D72" s="121">
        <f>SUMIFS('2024 Rev - NS'!$N:$N,'2024 Rev - NS'!$G:$G,'Build MCC'!$A72,'2024 Rev - NS'!$P:$P,'Build MCC'!$A$1,'2024 Rev - NS'!$O:$O,'Build MCC'!D$4)</f>
        <v>29439</v>
      </c>
      <c r="E72" s="121">
        <f>SUMIFS('2024 Rev - NS'!$N:$N,'2024 Rev - NS'!$G:$G,'Build MCC'!$A72,'2024 Rev - NS'!$P:$P,'Build MCC'!$A$1,'2024 Rev - NS'!$O:$O,'Build MCC'!E$4)</f>
        <v>0</v>
      </c>
      <c r="F72" s="121">
        <f>SUMIFS('2024 Rev - NS'!$N:$N,'2024 Rev - NS'!$G:$G,'Build MCC'!$A72,'2024 Rev - NS'!$P:$P,'Build MCC'!$A$1,'2024 Rev - NS'!$O:$O,'Build MCC'!F$4)</f>
        <v>0</v>
      </c>
      <c r="G72" s="121">
        <f>SUMIFS('2024 Rev - NS'!$N:$N,'2024 Rev - NS'!$G:$G,'Build MCC'!$A72,'2024 Rev - NS'!$P:$P,'Build MCC'!$A$1,'2024 Rev - NS'!$O:$O,'Build MCC'!G$4)</f>
        <v>0</v>
      </c>
      <c r="H72" s="121">
        <f>SUMIFS('2024 Rev - NS'!$N:$N,'2024 Rev - NS'!$G:$G,'Build MCC'!$A72,'2024 Rev - NS'!$P:$P,'Build MCC'!$A$1,'2024 Rev - NS'!$O:$O,'Build MCC'!H$4)</f>
        <v>0</v>
      </c>
      <c r="I72" s="121">
        <f>SUMIFS('2024 Rev - NS'!$N:$N,'2024 Rev - NS'!$G:$G,'Build MCC'!$A72,'2024 Rev - NS'!$P:$P,'Build MCC'!$A$1,'2024 Rev - NS'!$O:$O,'Build MCC'!I$4)</f>
        <v>0</v>
      </c>
      <c r="J72" s="121">
        <f>SUMIFS('2024 Rev - NS'!$N:$N,'2024 Rev - NS'!$G:$G,'Build MCC'!$A72,'2024 Rev - NS'!$P:$P,'Build MCC'!$A$1,'2024 Rev - NS'!$O:$O,'Build MCC'!J$4)</f>
        <v>0</v>
      </c>
      <c r="K72" s="121">
        <f>SUMIFS('2024 Rev - NS'!$N:$N,'2024 Rev - NS'!$G:$G,'Build MCC'!$A72,'2024 Rev - NS'!$P:$P,'Build MCC'!$A$1,'2024 Rev - NS'!$O:$O,'Build MCC'!K$4)</f>
        <v>0</v>
      </c>
      <c r="L72" s="121">
        <f>SUMIFS('2024 Rev - NS'!$N:$N,'2024 Rev - NS'!$G:$G,'Build MCC'!$A72,'2024 Rev - NS'!$P:$P,'Build MCC'!$A$1,'2024 Rev - NS'!$O:$O,'Build MCC'!L$4)</f>
        <v>0</v>
      </c>
      <c r="M72" s="121">
        <f>SUMIFS('2024 Rev - NS'!$N:$N,'2024 Rev - NS'!$G:$G,'Build MCC'!$A72,'2024 Rev - NS'!$P:$P,'Build MCC'!$A$1,'2024 Rev - NS'!$O:$O,'Build MCC'!M$4)</f>
        <v>0</v>
      </c>
      <c r="N72" s="121">
        <f t="shared" si="4"/>
        <v>29439</v>
      </c>
    </row>
    <row r="73" spans="1:14" x14ac:dyDescent="0.15">
      <c r="A73" s="286" t="s">
        <v>1856</v>
      </c>
      <c r="B73" s="121">
        <f>SUMIFS('2024 Rev - NS'!$N:$N,'2024 Rev - NS'!$G:$G,'Build MCC'!$A73,'2024 Rev - NS'!$P:$P,'Build MCC'!$A$1,'2024 Rev - NS'!$O:$O,'Build MCC'!B$4)</f>
        <v>0</v>
      </c>
      <c r="C73" s="121">
        <f>SUMIFS('2024 Rev - NS'!$N:$N,'2024 Rev - NS'!$G:$G,'Build MCC'!$A73,'2024 Rev - NS'!$P:$P,'Build MCC'!$A$1,'2024 Rev - NS'!$O:$O,'Build MCC'!C$4)</f>
        <v>0</v>
      </c>
      <c r="D73" s="121">
        <f>SUMIFS('2024 Rev - NS'!$N:$N,'2024 Rev - NS'!$G:$G,'Build MCC'!$A73,'2024 Rev - NS'!$P:$P,'Build MCC'!$A$1,'2024 Rev - NS'!$O:$O,'Build MCC'!D$4)</f>
        <v>0</v>
      </c>
      <c r="E73" s="121">
        <f>SUMIFS('2024 Rev - NS'!$N:$N,'2024 Rev - NS'!$G:$G,'Build MCC'!$A73,'2024 Rev - NS'!$P:$P,'Build MCC'!$A$1,'2024 Rev - NS'!$O:$O,'Build MCC'!E$4)</f>
        <v>0</v>
      </c>
      <c r="F73" s="121">
        <f>SUMIFS('2024 Rev - NS'!$N:$N,'2024 Rev - NS'!$G:$G,'Build MCC'!$A73,'2024 Rev - NS'!$P:$P,'Build MCC'!$A$1,'2024 Rev - NS'!$O:$O,'Build MCC'!F$4)</f>
        <v>0</v>
      </c>
      <c r="G73" s="121">
        <f>SUMIFS('2024 Rev - NS'!$N:$N,'2024 Rev - NS'!$G:$G,'Build MCC'!$A73,'2024 Rev - NS'!$P:$P,'Build MCC'!$A$1,'2024 Rev - NS'!$O:$O,'Build MCC'!G$4)</f>
        <v>0</v>
      </c>
      <c r="H73" s="121">
        <f>SUMIFS('2024 Rev - NS'!$N:$N,'2024 Rev - NS'!$G:$G,'Build MCC'!$A73,'2024 Rev - NS'!$P:$P,'Build MCC'!$A$1,'2024 Rev - NS'!$O:$O,'Build MCC'!H$4)</f>
        <v>0</v>
      </c>
      <c r="I73" s="121">
        <f>SUMIFS('2024 Rev - NS'!$N:$N,'2024 Rev - NS'!$G:$G,'Build MCC'!$A73,'2024 Rev - NS'!$P:$P,'Build MCC'!$A$1,'2024 Rev - NS'!$O:$O,'Build MCC'!I$4)</f>
        <v>0</v>
      </c>
      <c r="J73" s="121">
        <f>SUMIFS('2024 Rev - NS'!$N:$N,'2024 Rev - NS'!$G:$G,'Build MCC'!$A73,'2024 Rev - NS'!$P:$P,'Build MCC'!$A$1,'2024 Rev - NS'!$O:$O,'Build MCC'!J$4)</f>
        <v>0</v>
      </c>
      <c r="K73" s="121">
        <f>SUMIFS('2024 Rev - NS'!$N:$N,'2024 Rev - NS'!$G:$G,'Build MCC'!$A73,'2024 Rev - NS'!$P:$P,'Build MCC'!$A$1,'2024 Rev - NS'!$O:$O,'Build MCC'!K$4)</f>
        <v>0</v>
      </c>
      <c r="L73" s="121">
        <f>SUMIFS('2024 Rev - NS'!$N:$N,'2024 Rev - NS'!$G:$G,'Build MCC'!$A73,'2024 Rev - NS'!$P:$P,'Build MCC'!$A$1,'2024 Rev - NS'!$O:$O,'Build MCC'!L$4)</f>
        <v>0</v>
      </c>
      <c r="M73" s="121">
        <f>SUMIFS('2024 Rev - NS'!$N:$N,'2024 Rev - NS'!$G:$G,'Build MCC'!$A73,'2024 Rev - NS'!$P:$P,'Build MCC'!$A$1,'2024 Rev - NS'!$O:$O,'Build MCC'!M$4)</f>
        <v>0</v>
      </c>
      <c r="N73" s="121">
        <f t="shared" si="4"/>
        <v>0</v>
      </c>
    </row>
    <row r="74" spans="1:14" x14ac:dyDescent="0.15">
      <c r="A74" s="286" t="s">
        <v>1064</v>
      </c>
      <c r="B74" s="121">
        <f>SUMIFS('2024 Rev - NS'!$N:$N,'2024 Rev - NS'!$G:$G,'Build MCC'!$A74,'2024 Rev - NS'!$P:$P,'Build MCC'!$A$1,'2024 Rev - NS'!$O:$O,'Build MCC'!B$4)</f>
        <v>0</v>
      </c>
      <c r="C74" s="121">
        <f>SUMIFS('2024 Rev - NS'!$N:$N,'2024 Rev - NS'!$G:$G,'Build MCC'!$A74,'2024 Rev - NS'!$P:$P,'Build MCC'!$A$1,'2024 Rev - NS'!$O:$O,'Build MCC'!C$4)</f>
        <v>0</v>
      </c>
      <c r="D74" s="121">
        <f>SUMIFS('2024 Rev - NS'!$N:$N,'2024 Rev - NS'!$G:$G,'Build MCC'!$A74,'2024 Rev - NS'!$P:$P,'Build MCC'!$A$1,'2024 Rev - NS'!$O:$O,'Build MCC'!D$4)</f>
        <v>0</v>
      </c>
      <c r="E74" s="121">
        <f>SUMIFS('2024 Rev - NS'!$N:$N,'2024 Rev - NS'!$G:$G,'Build MCC'!$A74,'2024 Rev - NS'!$P:$P,'Build MCC'!$A$1,'2024 Rev - NS'!$O:$O,'Build MCC'!E$4)</f>
        <v>22526</v>
      </c>
      <c r="F74" s="121">
        <f>SUMIFS('2024 Rev - NS'!$N:$N,'2024 Rev - NS'!$G:$G,'Build MCC'!$A74,'2024 Rev - NS'!$P:$P,'Build MCC'!$A$1,'2024 Rev - NS'!$O:$O,'Build MCC'!F$4)</f>
        <v>0</v>
      </c>
      <c r="G74" s="121">
        <f>SUMIFS('2024 Rev - NS'!$N:$N,'2024 Rev - NS'!$G:$G,'Build MCC'!$A74,'2024 Rev - NS'!$P:$P,'Build MCC'!$A$1,'2024 Rev - NS'!$O:$O,'Build MCC'!G$4)</f>
        <v>0</v>
      </c>
      <c r="H74" s="121">
        <f>SUMIFS('2024 Rev - NS'!$N:$N,'2024 Rev - NS'!$G:$G,'Build MCC'!$A74,'2024 Rev - NS'!$P:$P,'Build MCC'!$A$1,'2024 Rev - NS'!$O:$O,'Build MCC'!H$4)</f>
        <v>0</v>
      </c>
      <c r="I74" s="121">
        <f>SUMIFS('2024 Rev - NS'!$N:$N,'2024 Rev - NS'!$G:$G,'Build MCC'!$A74,'2024 Rev - NS'!$P:$P,'Build MCC'!$A$1,'2024 Rev - NS'!$O:$O,'Build MCC'!I$4)</f>
        <v>0</v>
      </c>
      <c r="J74" s="121">
        <f>SUMIFS('2024 Rev - NS'!$N:$N,'2024 Rev - NS'!$G:$G,'Build MCC'!$A74,'2024 Rev - NS'!$P:$P,'Build MCC'!$A$1,'2024 Rev - NS'!$O:$O,'Build MCC'!J$4)</f>
        <v>0</v>
      </c>
      <c r="K74" s="121">
        <f>SUMIFS('2024 Rev - NS'!$N:$N,'2024 Rev - NS'!$G:$G,'Build MCC'!$A74,'2024 Rev - NS'!$P:$P,'Build MCC'!$A$1,'2024 Rev - NS'!$O:$O,'Build MCC'!K$4)</f>
        <v>0</v>
      </c>
      <c r="L74" s="121">
        <f>SUMIFS('2024 Rev - NS'!$N:$N,'2024 Rev - NS'!$G:$G,'Build MCC'!$A74,'2024 Rev - NS'!$P:$P,'Build MCC'!$A$1,'2024 Rev - NS'!$O:$O,'Build MCC'!L$4)</f>
        <v>0</v>
      </c>
      <c r="M74" s="121">
        <f>SUMIFS('2024 Rev - NS'!$N:$N,'2024 Rev - NS'!$G:$G,'Build MCC'!$A74,'2024 Rev - NS'!$P:$P,'Build MCC'!$A$1,'2024 Rev - NS'!$O:$O,'Build MCC'!M$4)</f>
        <v>0</v>
      </c>
      <c r="N74" s="121">
        <f t="shared" si="4"/>
        <v>22526</v>
      </c>
    </row>
    <row r="75" spans="1:14" x14ac:dyDescent="0.15">
      <c r="A75" s="286" t="s">
        <v>1066</v>
      </c>
      <c r="B75" s="121">
        <f>SUMIFS('2024 Rev - NS'!$N:$N,'2024 Rev - NS'!$G:$G,'Build MCC'!$A75,'2024 Rev - NS'!$P:$P,'Build MCC'!$A$1,'2024 Rev - NS'!$O:$O,'Build MCC'!B$4)</f>
        <v>0</v>
      </c>
      <c r="C75" s="121">
        <f>SUMIFS('2024 Rev - NS'!$N:$N,'2024 Rev - NS'!$G:$G,'Build MCC'!$A75,'2024 Rev - NS'!$P:$P,'Build MCC'!$A$1,'2024 Rev - NS'!$O:$O,'Build MCC'!C$4)</f>
        <v>2300</v>
      </c>
      <c r="D75" s="121">
        <f>SUMIFS('2024 Rev - NS'!$N:$N,'2024 Rev - NS'!$G:$G,'Build MCC'!$A75,'2024 Rev - NS'!$P:$P,'Build MCC'!$A$1,'2024 Rev - NS'!$O:$O,'Build MCC'!D$4)</f>
        <v>0</v>
      </c>
      <c r="E75" s="121">
        <f>SUMIFS('2024 Rev - NS'!$N:$N,'2024 Rev - NS'!$G:$G,'Build MCC'!$A75,'2024 Rev - NS'!$P:$P,'Build MCC'!$A$1,'2024 Rev - NS'!$O:$O,'Build MCC'!E$4)</f>
        <v>0</v>
      </c>
      <c r="F75" s="121">
        <f>SUMIFS('2024 Rev - NS'!$N:$N,'2024 Rev - NS'!$G:$G,'Build MCC'!$A75,'2024 Rev - NS'!$P:$P,'Build MCC'!$A$1,'2024 Rev - NS'!$O:$O,'Build MCC'!F$4)</f>
        <v>0</v>
      </c>
      <c r="G75" s="121">
        <f>SUMIFS('2024 Rev - NS'!$N:$N,'2024 Rev - NS'!$G:$G,'Build MCC'!$A75,'2024 Rev - NS'!$P:$P,'Build MCC'!$A$1,'2024 Rev - NS'!$O:$O,'Build MCC'!G$4)</f>
        <v>0</v>
      </c>
      <c r="H75" s="121">
        <f>SUMIFS('2024 Rev - NS'!$N:$N,'2024 Rev - NS'!$G:$G,'Build MCC'!$A75,'2024 Rev - NS'!$P:$P,'Build MCC'!$A$1,'2024 Rev - NS'!$O:$O,'Build MCC'!H$4)</f>
        <v>0</v>
      </c>
      <c r="I75" s="121">
        <f>SUMIFS('2024 Rev - NS'!$N:$N,'2024 Rev - NS'!$G:$G,'Build MCC'!$A75,'2024 Rev - NS'!$P:$P,'Build MCC'!$A$1,'2024 Rev - NS'!$O:$O,'Build MCC'!I$4)</f>
        <v>0</v>
      </c>
      <c r="J75" s="121">
        <f>SUMIFS('2024 Rev - NS'!$N:$N,'2024 Rev - NS'!$G:$G,'Build MCC'!$A75,'2024 Rev - NS'!$P:$P,'Build MCC'!$A$1,'2024 Rev - NS'!$O:$O,'Build MCC'!J$4)</f>
        <v>0</v>
      </c>
      <c r="K75" s="121">
        <f>SUMIFS('2024 Rev - NS'!$N:$N,'2024 Rev - NS'!$G:$G,'Build MCC'!$A75,'2024 Rev - NS'!$P:$P,'Build MCC'!$A$1,'2024 Rev - NS'!$O:$O,'Build MCC'!K$4)</f>
        <v>2300</v>
      </c>
      <c r="L75" s="121">
        <f>SUMIFS('2024 Rev - NS'!$N:$N,'2024 Rev - NS'!$G:$G,'Build MCC'!$A75,'2024 Rev - NS'!$P:$P,'Build MCC'!$A$1,'2024 Rev - NS'!$O:$O,'Build MCC'!L$4)</f>
        <v>0</v>
      </c>
      <c r="M75" s="121">
        <f>SUMIFS('2024 Rev - NS'!$N:$N,'2024 Rev - NS'!$G:$G,'Build MCC'!$A75,'2024 Rev - NS'!$P:$P,'Build MCC'!$A$1,'2024 Rev - NS'!$O:$O,'Build MCC'!M$4)</f>
        <v>0</v>
      </c>
      <c r="N75" s="121">
        <f t="shared" si="4"/>
        <v>4600</v>
      </c>
    </row>
    <row r="76" spans="1:14" x14ac:dyDescent="0.15">
      <c r="A76" s="286" t="s">
        <v>1067</v>
      </c>
      <c r="B76" s="121">
        <f>SUMIFS('2024 Rev - NS'!$N:$N,'2024 Rev - NS'!$G:$G,'Build MCC'!$A76,'2024 Rev - NS'!$P:$P,'Build MCC'!$A$1,'2024 Rev - NS'!$O:$O,'Build MCC'!B$4)</f>
        <v>0</v>
      </c>
      <c r="C76" s="121">
        <f>SUMIFS('2024 Rev - NS'!$N:$N,'2024 Rev - NS'!$G:$G,'Build MCC'!$A76,'2024 Rev - NS'!$P:$P,'Build MCC'!$A$1,'2024 Rev - NS'!$O:$O,'Build MCC'!C$4)</f>
        <v>0</v>
      </c>
      <c r="D76" s="121">
        <f>SUMIFS('2024 Rev - NS'!$N:$N,'2024 Rev - NS'!$G:$G,'Build MCC'!$A76,'2024 Rev - NS'!$P:$P,'Build MCC'!$A$1,'2024 Rev - NS'!$O:$O,'Build MCC'!D$4)</f>
        <v>0</v>
      </c>
      <c r="E76" s="121">
        <f>SUMIFS('2024 Rev - NS'!$N:$N,'2024 Rev - NS'!$G:$G,'Build MCC'!$A76,'2024 Rev - NS'!$P:$P,'Build MCC'!$A$1,'2024 Rev - NS'!$O:$O,'Build MCC'!E$4)</f>
        <v>11217</v>
      </c>
      <c r="F76" s="121">
        <f>SUMIFS('2024 Rev - NS'!$N:$N,'2024 Rev - NS'!$G:$G,'Build MCC'!$A76,'2024 Rev - NS'!$P:$P,'Build MCC'!$A$1,'2024 Rev - NS'!$O:$O,'Build MCC'!F$4)</f>
        <v>0</v>
      </c>
      <c r="G76" s="121">
        <f>SUMIFS('2024 Rev - NS'!$N:$N,'2024 Rev - NS'!$G:$G,'Build MCC'!$A76,'2024 Rev - NS'!$P:$P,'Build MCC'!$A$1,'2024 Rev - NS'!$O:$O,'Build MCC'!G$4)</f>
        <v>0</v>
      </c>
      <c r="H76" s="121">
        <f>SUMIFS('2024 Rev - NS'!$N:$N,'2024 Rev - NS'!$G:$G,'Build MCC'!$A76,'2024 Rev - NS'!$P:$P,'Build MCC'!$A$1,'2024 Rev - NS'!$O:$O,'Build MCC'!H$4)</f>
        <v>0</v>
      </c>
      <c r="I76" s="121">
        <f>SUMIFS('2024 Rev - NS'!$N:$N,'2024 Rev - NS'!$G:$G,'Build MCC'!$A76,'2024 Rev - NS'!$P:$P,'Build MCC'!$A$1,'2024 Rev - NS'!$O:$O,'Build MCC'!I$4)</f>
        <v>0</v>
      </c>
      <c r="J76" s="121">
        <f>SUMIFS('2024 Rev - NS'!$N:$N,'2024 Rev - NS'!$G:$G,'Build MCC'!$A76,'2024 Rev - NS'!$P:$P,'Build MCC'!$A$1,'2024 Rev - NS'!$O:$O,'Build MCC'!J$4)</f>
        <v>0</v>
      </c>
      <c r="K76" s="121">
        <f>SUMIFS('2024 Rev - NS'!$N:$N,'2024 Rev - NS'!$G:$G,'Build MCC'!$A76,'2024 Rev - NS'!$P:$P,'Build MCC'!$A$1,'2024 Rev - NS'!$O:$O,'Build MCC'!K$4)</f>
        <v>0</v>
      </c>
      <c r="L76" s="121">
        <f>SUMIFS('2024 Rev - NS'!$N:$N,'2024 Rev - NS'!$G:$G,'Build MCC'!$A76,'2024 Rev - NS'!$P:$P,'Build MCC'!$A$1,'2024 Rev - NS'!$O:$O,'Build MCC'!L$4)</f>
        <v>0</v>
      </c>
      <c r="M76" s="121">
        <f>SUMIFS('2024 Rev - NS'!$N:$N,'2024 Rev - NS'!$G:$G,'Build MCC'!$A76,'2024 Rev - NS'!$P:$P,'Build MCC'!$A$1,'2024 Rev - NS'!$O:$O,'Build MCC'!M$4)</f>
        <v>0</v>
      </c>
      <c r="N76" s="121">
        <f t="shared" si="4"/>
        <v>11217</v>
      </c>
    </row>
    <row r="77" spans="1:14" x14ac:dyDescent="0.15">
      <c r="A77" s="286" t="s">
        <v>1068</v>
      </c>
      <c r="B77" s="121">
        <f>SUMIFS('2024 Rev - NS'!$N:$N,'2024 Rev - NS'!$G:$G,'Build MCC'!$A77,'2024 Rev - NS'!$P:$P,'Build MCC'!$A$1,'2024 Rev - NS'!$O:$O,'Build MCC'!B$4)</f>
        <v>0</v>
      </c>
      <c r="C77" s="121">
        <f>SUMIFS('2024 Rev - NS'!$N:$N,'2024 Rev - NS'!$G:$G,'Build MCC'!$A77,'2024 Rev - NS'!$P:$P,'Build MCC'!$A$1,'2024 Rev - NS'!$O:$O,'Build MCC'!C$4)</f>
        <v>0</v>
      </c>
      <c r="D77" s="121">
        <f>SUMIFS('2024 Rev - NS'!$N:$N,'2024 Rev - NS'!$G:$G,'Build MCC'!$A77,'2024 Rev - NS'!$P:$P,'Build MCC'!$A$1,'2024 Rev - NS'!$O:$O,'Build MCC'!D$4)</f>
        <v>0</v>
      </c>
      <c r="E77" s="121">
        <f>SUMIFS('2024 Rev - NS'!$N:$N,'2024 Rev - NS'!$G:$G,'Build MCC'!$A77,'2024 Rev - NS'!$P:$P,'Build MCC'!$A$1,'2024 Rev - NS'!$O:$O,'Build MCC'!E$4)</f>
        <v>0</v>
      </c>
      <c r="F77" s="121">
        <f>SUMIFS('2024 Rev - NS'!$N:$N,'2024 Rev - NS'!$G:$G,'Build MCC'!$A77,'2024 Rev - NS'!$P:$P,'Build MCC'!$A$1,'2024 Rev - NS'!$O:$O,'Build MCC'!F$4)</f>
        <v>0</v>
      </c>
      <c r="G77" s="121">
        <f>SUMIFS('2024 Rev - NS'!$N:$N,'2024 Rev - NS'!$G:$G,'Build MCC'!$A77,'2024 Rev - NS'!$P:$P,'Build MCC'!$A$1,'2024 Rev - NS'!$O:$O,'Build MCC'!G$4)</f>
        <v>9398</v>
      </c>
      <c r="H77" s="121">
        <f>SUMIFS('2024 Rev - NS'!$N:$N,'2024 Rev - NS'!$G:$G,'Build MCC'!$A77,'2024 Rev - NS'!$P:$P,'Build MCC'!$A$1,'2024 Rev - NS'!$O:$O,'Build MCC'!H$4)</f>
        <v>0</v>
      </c>
      <c r="I77" s="121">
        <f>SUMIFS('2024 Rev - NS'!$N:$N,'2024 Rev - NS'!$G:$G,'Build MCC'!$A77,'2024 Rev - NS'!$P:$P,'Build MCC'!$A$1,'2024 Rev - NS'!$O:$O,'Build MCC'!I$4)</f>
        <v>0</v>
      </c>
      <c r="J77" s="121">
        <f>SUMIFS('2024 Rev - NS'!$N:$N,'2024 Rev - NS'!$G:$G,'Build MCC'!$A77,'2024 Rev - NS'!$P:$P,'Build MCC'!$A$1,'2024 Rev - NS'!$O:$O,'Build MCC'!J$4)</f>
        <v>0</v>
      </c>
      <c r="K77" s="121">
        <f>SUMIFS('2024 Rev - NS'!$N:$N,'2024 Rev - NS'!$G:$G,'Build MCC'!$A77,'2024 Rev - NS'!$P:$P,'Build MCC'!$A$1,'2024 Rev - NS'!$O:$O,'Build MCC'!K$4)</f>
        <v>0</v>
      </c>
      <c r="L77" s="121">
        <f>SUMIFS('2024 Rev - NS'!$N:$N,'2024 Rev - NS'!$G:$G,'Build MCC'!$A77,'2024 Rev - NS'!$P:$P,'Build MCC'!$A$1,'2024 Rev - NS'!$O:$O,'Build MCC'!L$4)</f>
        <v>0</v>
      </c>
      <c r="M77" s="121">
        <f>SUMIFS('2024 Rev - NS'!$N:$N,'2024 Rev - NS'!$G:$G,'Build MCC'!$A77,'2024 Rev - NS'!$P:$P,'Build MCC'!$A$1,'2024 Rev - NS'!$O:$O,'Build MCC'!M$4)</f>
        <v>0</v>
      </c>
      <c r="N77" s="121">
        <f t="shared" si="4"/>
        <v>9398</v>
      </c>
    </row>
    <row r="78" spans="1:14" x14ac:dyDescent="0.15">
      <c r="A78" s="286" t="s">
        <v>1069</v>
      </c>
      <c r="B78" s="121">
        <f>SUMIFS('2024 Rev - NS'!$N:$N,'2024 Rev - NS'!$G:$G,'Build MCC'!$A78,'2024 Rev - NS'!$P:$P,'Build MCC'!$A$1,'2024 Rev - NS'!$O:$O,'Build MCC'!B$4)</f>
        <v>0</v>
      </c>
      <c r="C78" s="121">
        <f>SUMIFS('2024 Rev - NS'!$N:$N,'2024 Rev - NS'!$G:$G,'Build MCC'!$A78,'2024 Rev - NS'!$P:$P,'Build MCC'!$A$1,'2024 Rev - NS'!$O:$O,'Build MCC'!C$4)</f>
        <v>0</v>
      </c>
      <c r="D78" s="121">
        <f>SUMIFS('2024 Rev - NS'!$N:$N,'2024 Rev - NS'!$G:$G,'Build MCC'!$A78,'2024 Rev - NS'!$P:$P,'Build MCC'!$A$1,'2024 Rev - NS'!$O:$O,'Build MCC'!D$4)</f>
        <v>0</v>
      </c>
      <c r="E78" s="121">
        <f>SUMIFS('2024 Rev - NS'!$N:$N,'2024 Rev - NS'!$G:$G,'Build MCC'!$A78,'2024 Rev - NS'!$P:$P,'Build MCC'!$A$1,'2024 Rev - NS'!$O:$O,'Build MCC'!E$4)</f>
        <v>0</v>
      </c>
      <c r="F78" s="121">
        <f>SUMIFS('2024 Rev - NS'!$N:$N,'2024 Rev - NS'!$G:$G,'Build MCC'!$A78,'2024 Rev - NS'!$P:$P,'Build MCC'!$A$1,'2024 Rev - NS'!$O:$O,'Build MCC'!F$4)</f>
        <v>0</v>
      </c>
      <c r="G78" s="121">
        <f>SUMIFS('2024 Rev - NS'!$N:$N,'2024 Rev - NS'!$G:$G,'Build MCC'!$A78,'2024 Rev - NS'!$P:$P,'Build MCC'!$A$1,'2024 Rev - NS'!$O:$O,'Build MCC'!G$4)</f>
        <v>0</v>
      </c>
      <c r="H78" s="121">
        <f>SUMIFS('2024 Rev - NS'!$N:$N,'2024 Rev - NS'!$G:$G,'Build MCC'!$A78,'2024 Rev - NS'!$P:$P,'Build MCC'!$A$1,'2024 Rev - NS'!$O:$O,'Build MCC'!H$4)</f>
        <v>0</v>
      </c>
      <c r="I78" s="121">
        <f>SUMIFS('2024 Rev - NS'!$N:$N,'2024 Rev - NS'!$G:$G,'Build MCC'!$A78,'2024 Rev - NS'!$P:$P,'Build MCC'!$A$1,'2024 Rev - NS'!$O:$O,'Build MCC'!I$4)</f>
        <v>0</v>
      </c>
      <c r="J78" s="121">
        <f>SUMIFS('2024 Rev - NS'!$N:$N,'2024 Rev - NS'!$G:$G,'Build MCC'!$A78,'2024 Rev - NS'!$P:$P,'Build MCC'!$A$1,'2024 Rev - NS'!$O:$O,'Build MCC'!J$4)</f>
        <v>0</v>
      </c>
      <c r="K78" s="121">
        <f>SUMIFS('2024 Rev - NS'!$N:$N,'2024 Rev - NS'!$G:$G,'Build MCC'!$A78,'2024 Rev - NS'!$P:$P,'Build MCC'!$A$1,'2024 Rev - NS'!$O:$O,'Build MCC'!K$4)</f>
        <v>0</v>
      </c>
      <c r="L78" s="121">
        <f>SUMIFS('2024 Rev - NS'!$N:$N,'2024 Rev - NS'!$G:$G,'Build MCC'!$A78,'2024 Rev - NS'!$P:$P,'Build MCC'!$A$1,'2024 Rev - NS'!$O:$O,'Build MCC'!L$4)</f>
        <v>0</v>
      </c>
      <c r="M78" s="121">
        <f>SUMIFS('2024 Rev - NS'!$N:$N,'2024 Rev - NS'!$G:$G,'Build MCC'!$A78,'2024 Rev - NS'!$P:$P,'Build MCC'!$A$1,'2024 Rev - NS'!$O:$O,'Build MCC'!M$4)</f>
        <v>9845</v>
      </c>
      <c r="N78" s="121">
        <f t="shared" si="4"/>
        <v>9845</v>
      </c>
    </row>
    <row r="79" spans="1:14" x14ac:dyDescent="0.15">
      <c r="A79" s="286" t="s">
        <v>1352</v>
      </c>
      <c r="B79" s="121">
        <f>SUMIFS('2024 Rev - NS'!$N:$N,'2024 Rev - NS'!$G:$G,'Build MCC'!$A79,'2024 Rev - NS'!$P:$P,'Build MCC'!$A$1,'2024 Rev - NS'!$O:$O,'Build MCC'!B$4)</f>
        <v>0</v>
      </c>
      <c r="C79" s="121">
        <f>SUMIFS('2024 Rev - NS'!$N:$N,'2024 Rev - NS'!$G:$G,'Build MCC'!$A79,'2024 Rev - NS'!$P:$P,'Build MCC'!$A$1,'2024 Rev - NS'!$O:$O,'Build MCC'!C$4)</f>
        <v>0</v>
      </c>
      <c r="D79" s="121">
        <f>SUMIFS('2024 Rev - NS'!$N:$N,'2024 Rev - NS'!$G:$G,'Build MCC'!$A79,'2024 Rev - NS'!$P:$P,'Build MCC'!$A$1,'2024 Rev - NS'!$O:$O,'Build MCC'!D$4)</f>
        <v>0</v>
      </c>
      <c r="E79" s="121">
        <f>SUMIFS('2024 Rev - NS'!$N:$N,'2024 Rev - NS'!$G:$G,'Build MCC'!$A79,'2024 Rev - NS'!$P:$P,'Build MCC'!$A$1,'2024 Rev - NS'!$O:$O,'Build MCC'!E$4)</f>
        <v>0</v>
      </c>
      <c r="F79" s="121">
        <f>SUMIFS('2024 Rev - NS'!$N:$N,'2024 Rev - NS'!$G:$G,'Build MCC'!$A79,'2024 Rev - NS'!$P:$P,'Build MCC'!$A$1,'2024 Rev - NS'!$O:$O,'Build MCC'!F$4)</f>
        <v>0</v>
      </c>
      <c r="G79" s="121">
        <f>SUMIFS('2024 Rev - NS'!$N:$N,'2024 Rev - NS'!$G:$G,'Build MCC'!$A79,'2024 Rev - NS'!$P:$P,'Build MCC'!$A$1,'2024 Rev - NS'!$O:$O,'Build MCC'!G$4)</f>
        <v>0</v>
      </c>
      <c r="H79" s="121">
        <f>SUMIFS('2024 Rev - NS'!$N:$N,'2024 Rev - NS'!$G:$G,'Build MCC'!$A79,'2024 Rev - NS'!$P:$P,'Build MCC'!$A$1,'2024 Rev - NS'!$O:$O,'Build MCC'!H$4)</f>
        <v>0</v>
      </c>
      <c r="I79" s="121">
        <f>SUMIFS('2024 Rev - NS'!$N:$N,'2024 Rev - NS'!$G:$G,'Build MCC'!$A79,'2024 Rev - NS'!$P:$P,'Build MCC'!$A$1,'2024 Rev - NS'!$O:$O,'Build MCC'!I$4)</f>
        <v>0</v>
      </c>
      <c r="J79" s="121">
        <f>SUMIFS('2024 Rev - NS'!$N:$N,'2024 Rev - NS'!$G:$G,'Build MCC'!$A79,'2024 Rev - NS'!$P:$P,'Build MCC'!$A$1,'2024 Rev - NS'!$O:$O,'Build MCC'!J$4)</f>
        <v>0</v>
      </c>
      <c r="K79" s="121">
        <f>SUMIFS('2024 Rev - NS'!$N:$N,'2024 Rev - NS'!$G:$G,'Build MCC'!$A79,'2024 Rev - NS'!$P:$P,'Build MCC'!$A$1,'2024 Rev - NS'!$O:$O,'Build MCC'!K$4)</f>
        <v>0</v>
      </c>
      <c r="L79" s="121">
        <f>SUMIFS('2024 Rev - NS'!$N:$N,'2024 Rev - NS'!$G:$G,'Build MCC'!$A79,'2024 Rev - NS'!$P:$P,'Build MCC'!$A$1,'2024 Rev - NS'!$O:$O,'Build MCC'!L$4)</f>
        <v>0</v>
      </c>
      <c r="M79" s="121">
        <f>SUMIFS('2024 Rev - NS'!$N:$N,'2024 Rev - NS'!$G:$G,'Build MCC'!$A79,'2024 Rev - NS'!$P:$P,'Build MCC'!$A$1,'2024 Rev - NS'!$O:$O,'Build MCC'!M$4)</f>
        <v>0</v>
      </c>
      <c r="N79" s="121">
        <f t="shared" si="4"/>
        <v>0</v>
      </c>
    </row>
    <row r="80" spans="1:14" x14ac:dyDescent="0.15">
      <c r="A80" s="286" t="s">
        <v>1071</v>
      </c>
      <c r="B80" s="121">
        <f>SUMIFS('2024 Rev - NS'!$N:$N,'2024 Rev - NS'!$G:$G,'Build MCC'!$A80,'2024 Rev - NS'!$P:$P,'Build MCC'!$A$1,'2024 Rev - NS'!$O:$O,'Build MCC'!B$4)</f>
        <v>0</v>
      </c>
      <c r="C80" s="121">
        <f>SUMIFS('2024 Rev - NS'!$N:$N,'2024 Rev - NS'!$G:$G,'Build MCC'!$A80,'2024 Rev - NS'!$P:$P,'Build MCC'!$A$1,'2024 Rev - NS'!$O:$O,'Build MCC'!C$4)</f>
        <v>0</v>
      </c>
      <c r="D80" s="121">
        <f>SUMIFS('2024 Rev - NS'!$N:$N,'2024 Rev - NS'!$G:$G,'Build MCC'!$A80,'2024 Rev - NS'!$P:$P,'Build MCC'!$A$1,'2024 Rev - NS'!$O:$O,'Build MCC'!D$4)</f>
        <v>0</v>
      </c>
      <c r="E80" s="121">
        <f>SUMIFS('2024 Rev - NS'!$N:$N,'2024 Rev - NS'!$G:$G,'Build MCC'!$A80,'2024 Rev - NS'!$P:$P,'Build MCC'!$A$1,'2024 Rev - NS'!$O:$O,'Build MCC'!E$4)</f>
        <v>0</v>
      </c>
      <c r="F80" s="121">
        <f>SUMIFS('2024 Rev - NS'!$N:$N,'2024 Rev - NS'!$G:$G,'Build MCC'!$A80,'2024 Rev - NS'!$P:$P,'Build MCC'!$A$1,'2024 Rev - NS'!$O:$O,'Build MCC'!F$4)</f>
        <v>0</v>
      </c>
      <c r="G80" s="121">
        <f>SUMIFS('2024 Rev - NS'!$N:$N,'2024 Rev - NS'!$G:$G,'Build MCC'!$A80,'2024 Rev - NS'!$P:$P,'Build MCC'!$A$1,'2024 Rev - NS'!$O:$O,'Build MCC'!G$4)</f>
        <v>0</v>
      </c>
      <c r="H80" s="121">
        <f>SUMIFS('2024 Rev - NS'!$N:$N,'2024 Rev - NS'!$G:$G,'Build MCC'!$A80,'2024 Rev - NS'!$P:$P,'Build MCC'!$A$1,'2024 Rev - NS'!$O:$O,'Build MCC'!H$4)</f>
        <v>0</v>
      </c>
      <c r="I80" s="121">
        <f>SUMIFS('2024 Rev - NS'!$N:$N,'2024 Rev - NS'!$G:$G,'Build MCC'!$A80,'2024 Rev - NS'!$P:$P,'Build MCC'!$A$1,'2024 Rev - NS'!$O:$O,'Build MCC'!I$4)</f>
        <v>0</v>
      </c>
      <c r="J80" s="121">
        <f>SUMIFS('2024 Rev - NS'!$N:$N,'2024 Rev - NS'!$G:$G,'Build MCC'!$A80,'2024 Rev - NS'!$P:$P,'Build MCC'!$A$1,'2024 Rev - NS'!$O:$O,'Build MCC'!J$4)</f>
        <v>11572</v>
      </c>
      <c r="K80" s="121">
        <f>SUMIFS('2024 Rev - NS'!$N:$N,'2024 Rev - NS'!$G:$G,'Build MCC'!$A80,'2024 Rev - NS'!$P:$P,'Build MCC'!$A$1,'2024 Rev - NS'!$O:$O,'Build MCC'!K$4)</f>
        <v>0</v>
      </c>
      <c r="L80" s="121">
        <f>SUMIFS('2024 Rev - NS'!$N:$N,'2024 Rev - NS'!$G:$G,'Build MCC'!$A80,'2024 Rev - NS'!$P:$P,'Build MCC'!$A$1,'2024 Rev - NS'!$O:$O,'Build MCC'!L$4)</f>
        <v>0</v>
      </c>
      <c r="M80" s="121">
        <f>SUMIFS('2024 Rev - NS'!$N:$N,'2024 Rev - NS'!$G:$G,'Build MCC'!$A80,'2024 Rev - NS'!$P:$P,'Build MCC'!$A$1,'2024 Rev - NS'!$O:$O,'Build MCC'!M$4)</f>
        <v>0</v>
      </c>
      <c r="N80" s="121">
        <f t="shared" si="4"/>
        <v>11572</v>
      </c>
    </row>
    <row r="81" spans="1:14" x14ac:dyDescent="0.15">
      <c r="A81" s="286" t="s">
        <v>1072</v>
      </c>
      <c r="B81" s="121">
        <f>SUMIFS('2024 Rev - NS'!$N:$N,'2024 Rev - NS'!$G:$G,'Build MCC'!$A81,'2024 Rev - NS'!$P:$P,'Build MCC'!$A$1,'2024 Rev - NS'!$O:$O,'Build MCC'!B$4)</f>
        <v>0</v>
      </c>
      <c r="C81" s="121">
        <f>SUMIFS('2024 Rev - NS'!$N:$N,'2024 Rev - NS'!$G:$G,'Build MCC'!$A81,'2024 Rev - NS'!$P:$P,'Build MCC'!$A$1,'2024 Rev - NS'!$O:$O,'Build MCC'!C$4)</f>
        <v>0</v>
      </c>
      <c r="D81" s="121">
        <f>SUMIFS('2024 Rev - NS'!$N:$N,'2024 Rev - NS'!$G:$G,'Build MCC'!$A81,'2024 Rev - NS'!$P:$P,'Build MCC'!$A$1,'2024 Rev - NS'!$O:$O,'Build MCC'!D$4)</f>
        <v>0</v>
      </c>
      <c r="E81" s="121">
        <f>SUMIFS('2024 Rev - NS'!$N:$N,'2024 Rev - NS'!$G:$G,'Build MCC'!$A81,'2024 Rev - NS'!$P:$P,'Build MCC'!$A$1,'2024 Rev - NS'!$O:$O,'Build MCC'!E$4)</f>
        <v>0</v>
      </c>
      <c r="F81" s="121">
        <f>SUMIFS('2024 Rev - NS'!$N:$N,'2024 Rev - NS'!$G:$G,'Build MCC'!$A81,'2024 Rev - NS'!$P:$P,'Build MCC'!$A$1,'2024 Rev - NS'!$O:$O,'Build MCC'!F$4)</f>
        <v>0</v>
      </c>
      <c r="G81" s="121">
        <f>SUMIFS('2024 Rev - NS'!$N:$N,'2024 Rev - NS'!$G:$G,'Build MCC'!$A81,'2024 Rev - NS'!$P:$P,'Build MCC'!$A$1,'2024 Rev - NS'!$O:$O,'Build MCC'!G$4)</f>
        <v>0</v>
      </c>
      <c r="H81" s="121">
        <f>SUMIFS('2024 Rev - NS'!$N:$N,'2024 Rev - NS'!$G:$G,'Build MCC'!$A81,'2024 Rev - NS'!$P:$P,'Build MCC'!$A$1,'2024 Rev - NS'!$O:$O,'Build MCC'!H$4)</f>
        <v>0</v>
      </c>
      <c r="I81" s="121">
        <f>SUMIFS('2024 Rev - NS'!$N:$N,'2024 Rev - NS'!$G:$G,'Build MCC'!$A81,'2024 Rev - NS'!$P:$P,'Build MCC'!$A$1,'2024 Rev - NS'!$O:$O,'Build MCC'!I$4)</f>
        <v>0</v>
      </c>
      <c r="J81" s="121">
        <f>SUMIFS('2024 Rev - NS'!$N:$N,'2024 Rev - NS'!$G:$G,'Build MCC'!$A81,'2024 Rev - NS'!$P:$P,'Build MCC'!$A$1,'2024 Rev - NS'!$O:$O,'Build MCC'!J$4)</f>
        <v>0</v>
      </c>
      <c r="K81" s="121">
        <f>SUMIFS('2024 Rev - NS'!$N:$N,'2024 Rev - NS'!$G:$G,'Build MCC'!$A81,'2024 Rev - NS'!$P:$P,'Build MCC'!$A$1,'2024 Rev - NS'!$O:$O,'Build MCC'!K$4)</f>
        <v>0</v>
      </c>
      <c r="L81" s="121">
        <f>SUMIFS('2024 Rev - NS'!$N:$N,'2024 Rev - NS'!$G:$G,'Build MCC'!$A81,'2024 Rev - NS'!$P:$P,'Build MCC'!$A$1,'2024 Rev - NS'!$O:$O,'Build MCC'!L$4)</f>
        <v>0</v>
      </c>
      <c r="M81" s="121">
        <f>SUMIFS('2024 Rev - NS'!$N:$N,'2024 Rev - NS'!$G:$G,'Build MCC'!$A81,'2024 Rev - NS'!$P:$P,'Build MCC'!$A$1,'2024 Rev - NS'!$O:$O,'Build MCC'!M$4)</f>
        <v>0</v>
      </c>
      <c r="N81" s="121">
        <f t="shared" si="4"/>
        <v>0</v>
      </c>
    </row>
    <row r="82" spans="1:14" x14ac:dyDescent="0.15">
      <c r="A82" s="286" t="s">
        <v>1080</v>
      </c>
      <c r="B82" s="121">
        <f>SUMIFS('2024 Rev - NS'!$N:$N,'2024 Rev - NS'!$G:$G,'Build MCC'!$A82,'2024 Rev - NS'!$P:$P,'Build MCC'!$A$1,'2024 Rev - NS'!$O:$O,'Build MCC'!B$4)</f>
        <v>0</v>
      </c>
      <c r="C82" s="121">
        <f>SUMIFS('2024 Rev - NS'!$N:$N,'2024 Rev - NS'!$G:$G,'Build MCC'!$A82,'2024 Rev - NS'!$P:$P,'Build MCC'!$A$1,'2024 Rev - NS'!$O:$O,'Build MCC'!C$4)</f>
        <v>0</v>
      </c>
      <c r="D82" s="121">
        <f>SUMIFS('2024 Rev - NS'!$N:$N,'2024 Rev - NS'!$G:$G,'Build MCC'!$A82,'2024 Rev - NS'!$P:$P,'Build MCC'!$A$1,'2024 Rev - NS'!$O:$O,'Build MCC'!D$4)</f>
        <v>0</v>
      </c>
      <c r="E82" s="121">
        <f>SUMIFS('2024 Rev - NS'!$N:$N,'2024 Rev - NS'!$G:$G,'Build MCC'!$A82,'2024 Rev - NS'!$P:$P,'Build MCC'!$A$1,'2024 Rev - NS'!$O:$O,'Build MCC'!E$4)</f>
        <v>25571</v>
      </c>
      <c r="F82" s="121">
        <f>SUMIFS('2024 Rev - NS'!$N:$N,'2024 Rev - NS'!$G:$G,'Build MCC'!$A82,'2024 Rev - NS'!$P:$P,'Build MCC'!$A$1,'2024 Rev - NS'!$O:$O,'Build MCC'!F$4)</f>
        <v>0</v>
      </c>
      <c r="G82" s="121">
        <f>SUMIFS('2024 Rev - NS'!$N:$N,'2024 Rev - NS'!$G:$G,'Build MCC'!$A82,'2024 Rev - NS'!$P:$P,'Build MCC'!$A$1,'2024 Rev - NS'!$O:$O,'Build MCC'!G$4)</f>
        <v>0</v>
      </c>
      <c r="H82" s="121">
        <f>SUMIFS('2024 Rev - NS'!$N:$N,'2024 Rev - NS'!$G:$G,'Build MCC'!$A82,'2024 Rev - NS'!$P:$P,'Build MCC'!$A$1,'2024 Rev - NS'!$O:$O,'Build MCC'!H$4)</f>
        <v>0</v>
      </c>
      <c r="I82" s="121">
        <f>SUMIFS('2024 Rev - NS'!$N:$N,'2024 Rev - NS'!$G:$G,'Build MCC'!$A82,'2024 Rev - NS'!$P:$P,'Build MCC'!$A$1,'2024 Rev - NS'!$O:$O,'Build MCC'!I$4)</f>
        <v>0</v>
      </c>
      <c r="J82" s="121">
        <f>SUMIFS('2024 Rev - NS'!$N:$N,'2024 Rev - NS'!$G:$G,'Build MCC'!$A82,'2024 Rev - NS'!$P:$P,'Build MCC'!$A$1,'2024 Rev - NS'!$O:$O,'Build MCC'!J$4)</f>
        <v>0</v>
      </c>
      <c r="K82" s="121">
        <f>SUMIFS('2024 Rev - NS'!$N:$N,'2024 Rev - NS'!$G:$G,'Build MCC'!$A82,'2024 Rev - NS'!$P:$P,'Build MCC'!$A$1,'2024 Rev - NS'!$O:$O,'Build MCC'!K$4)</f>
        <v>0</v>
      </c>
      <c r="L82" s="121">
        <f>SUMIFS('2024 Rev - NS'!$N:$N,'2024 Rev - NS'!$G:$G,'Build MCC'!$A82,'2024 Rev - NS'!$P:$P,'Build MCC'!$A$1,'2024 Rev - NS'!$O:$O,'Build MCC'!L$4)</f>
        <v>0</v>
      </c>
      <c r="M82" s="121">
        <f>SUMIFS('2024 Rev - NS'!$N:$N,'2024 Rev - NS'!$G:$G,'Build MCC'!$A82,'2024 Rev - NS'!$P:$P,'Build MCC'!$A$1,'2024 Rev - NS'!$O:$O,'Build MCC'!M$4)</f>
        <v>0</v>
      </c>
      <c r="N82" s="121">
        <f t="shared" si="4"/>
        <v>25571</v>
      </c>
    </row>
    <row r="83" spans="1:14" x14ac:dyDescent="0.15">
      <c r="A83" s="286" t="s">
        <v>1079</v>
      </c>
      <c r="B83" s="121">
        <f>SUMIFS('2024 Rev - NS'!$N:$N,'2024 Rev - NS'!$G:$G,'Build MCC'!$A83,'2024 Rev - NS'!$P:$P,'Build MCC'!$A$1,'2024 Rev - NS'!$O:$O,'Build MCC'!B$4)</f>
        <v>0</v>
      </c>
      <c r="C83" s="121">
        <f>SUMIFS('2024 Rev - NS'!$N:$N,'2024 Rev - NS'!$G:$G,'Build MCC'!$A83,'2024 Rev - NS'!$P:$P,'Build MCC'!$A$1,'2024 Rev - NS'!$O:$O,'Build MCC'!C$4)</f>
        <v>0</v>
      </c>
      <c r="D83" s="121">
        <f>SUMIFS('2024 Rev - NS'!$N:$N,'2024 Rev - NS'!$G:$G,'Build MCC'!$A83,'2024 Rev - NS'!$P:$P,'Build MCC'!$A$1,'2024 Rev - NS'!$O:$O,'Build MCC'!D$4)</f>
        <v>0</v>
      </c>
      <c r="E83" s="121">
        <f>SUMIFS('2024 Rev - NS'!$N:$N,'2024 Rev - NS'!$G:$G,'Build MCC'!$A83,'2024 Rev - NS'!$P:$P,'Build MCC'!$A$1,'2024 Rev - NS'!$O:$O,'Build MCC'!E$4)</f>
        <v>0</v>
      </c>
      <c r="F83" s="121">
        <f>SUMIFS('2024 Rev - NS'!$N:$N,'2024 Rev - NS'!$G:$G,'Build MCC'!$A83,'2024 Rev - NS'!$P:$P,'Build MCC'!$A$1,'2024 Rev - NS'!$O:$O,'Build MCC'!F$4)</f>
        <v>0</v>
      </c>
      <c r="G83" s="121">
        <f>SUMIFS('2024 Rev - NS'!$N:$N,'2024 Rev - NS'!$G:$G,'Build MCC'!$A83,'2024 Rev - NS'!$P:$P,'Build MCC'!$A$1,'2024 Rev - NS'!$O:$O,'Build MCC'!G$4)</f>
        <v>0</v>
      </c>
      <c r="H83" s="121">
        <f>SUMIFS('2024 Rev - NS'!$N:$N,'2024 Rev - NS'!$G:$G,'Build MCC'!$A83,'2024 Rev - NS'!$P:$P,'Build MCC'!$A$1,'2024 Rev - NS'!$O:$O,'Build MCC'!H$4)</f>
        <v>0</v>
      </c>
      <c r="I83" s="121">
        <f>SUMIFS('2024 Rev - NS'!$N:$N,'2024 Rev - NS'!$G:$G,'Build MCC'!$A83,'2024 Rev - NS'!$P:$P,'Build MCC'!$A$1,'2024 Rev - NS'!$O:$O,'Build MCC'!I$4)</f>
        <v>39095</v>
      </c>
      <c r="J83" s="121">
        <f>SUMIFS('2024 Rev - NS'!$N:$N,'2024 Rev - NS'!$G:$G,'Build MCC'!$A83,'2024 Rev - NS'!$P:$P,'Build MCC'!$A$1,'2024 Rev - NS'!$O:$O,'Build MCC'!J$4)</f>
        <v>0</v>
      </c>
      <c r="K83" s="121">
        <f>SUMIFS('2024 Rev - NS'!$N:$N,'2024 Rev - NS'!$G:$G,'Build MCC'!$A83,'2024 Rev - NS'!$P:$P,'Build MCC'!$A$1,'2024 Rev - NS'!$O:$O,'Build MCC'!K$4)</f>
        <v>0</v>
      </c>
      <c r="L83" s="121">
        <f>SUMIFS('2024 Rev - NS'!$N:$N,'2024 Rev - NS'!$G:$G,'Build MCC'!$A83,'2024 Rev - NS'!$P:$P,'Build MCC'!$A$1,'2024 Rev - NS'!$O:$O,'Build MCC'!L$4)</f>
        <v>0</v>
      </c>
      <c r="M83" s="121">
        <f>SUMIFS('2024 Rev - NS'!$N:$N,'2024 Rev - NS'!$G:$G,'Build MCC'!$A83,'2024 Rev - NS'!$P:$P,'Build MCC'!$A$1,'2024 Rev - NS'!$O:$O,'Build MCC'!M$4)</f>
        <v>0</v>
      </c>
      <c r="N83" s="121">
        <f t="shared" si="4"/>
        <v>39095</v>
      </c>
    </row>
    <row r="84" spans="1:14" x14ac:dyDescent="0.15">
      <c r="A84" s="286" t="s">
        <v>1073</v>
      </c>
      <c r="B84" s="121">
        <f>SUMIFS('2024 Rev - NS'!$N:$N,'2024 Rev - NS'!$G:$G,'Build MCC'!$A84,'2024 Rev - NS'!$P:$P,'Build MCC'!$A$1,'2024 Rev - NS'!$O:$O,'Build MCC'!B$4)</f>
        <v>0</v>
      </c>
      <c r="C84" s="121">
        <f>SUMIFS('2024 Rev - NS'!$N:$N,'2024 Rev - NS'!$G:$G,'Build MCC'!$A84,'2024 Rev - NS'!$P:$P,'Build MCC'!$A$1,'2024 Rev - NS'!$O:$O,'Build MCC'!C$4)</f>
        <v>40005.75</v>
      </c>
      <c r="D84" s="121">
        <f>SUMIFS('2024 Rev - NS'!$N:$N,'2024 Rev - NS'!$G:$G,'Build MCC'!$A84,'2024 Rev - NS'!$P:$P,'Build MCC'!$A$1,'2024 Rev - NS'!$O:$O,'Build MCC'!D$4)</f>
        <v>0</v>
      </c>
      <c r="E84" s="121">
        <f>SUMIFS('2024 Rev - NS'!$N:$N,'2024 Rev - NS'!$G:$G,'Build MCC'!$A84,'2024 Rev - NS'!$P:$P,'Build MCC'!$A$1,'2024 Rev - NS'!$O:$O,'Build MCC'!E$4)</f>
        <v>40005.75</v>
      </c>
      <c r="F84" s="121">
        <f>SUMIFS('2024 Rev - NS'!$N:$N,'2024 Rev - NS'!$G:$G,'Build MCC'!$A84,'2024 Rev - NS'!$P:$P,'Build MCC'!$A$1,'2024 Rev - NS'!$O:$O,'Build MCC'!F$4)</f>
        <v>0</v>
      </c>
      <c r="G84" s="121">
        <f>SUMIFS('2024 Rev - NS'!$N:$N,'2024 Rev - NS'!$G:$G,'Build MCC'!$A84,'2024 Rev - NS'!$P:$P,'Build MCC'!$A$1,'2024 Rev - NS'!$O:$O,'Build MCC'!G$4)</f>
        <v>0</v>
      </c>
      <c r="H84" s="121">
        <f>SUMIFS('2024 Rev - NS'!$N:$N,'2024 Rev - NS'!$G:$G,'Build MCC'!$A84,'2024 Rev - NS'!$P:$P,'Build MCC'!$A$1,'2024 Rev - NS'!$O:$O,'Build MCC'!H$4)</f>
        <v>40005.22</v>
      </c>
      <c r="I84" s="121">
        <f>SUMIFS('2024 Rev - NS'!$N:$N,'2024 Rev - NS'!$G:$G,'Build MCC'!$A84,'2024 Rev - NS'!$P:$P,'Build MCC'!$A$1,'2024 Rev - NS'!$O:$O,'Build MCC'!I$4)</f>
        <v>0</v>
      </c>
      <c r="J84" s="121">
        <f>SUMIFS('2024 Rev - NS'!$N:$N,'2024 Rev - NS'!$G:$G,'Build MCC'!$A84,'2024 Rev - NS'!$P:$P,'Build MCC'!$A$1,'2024 Rev - NS'!$O:$O,'Build MCC'!J$4)</f>
        <v>0</v>
      </c>
      <c r="K84" s="121">
        <f>SUMIFS('2024 Rev - NS'!$N:$N,'2024 Rev - NS'!$G:$G,'Build MCC'!$A84,'2024 Rev - NS'!$P:$P,'Build MCC'!$A$1,'2024 Rev - NS'!$O:$O,'Build MCC'!K$4)</f>
        <v>40540.259999999995</v>
      </c>
      <c r="L84" s="121">
        <f>SUMIFS('2024 Rev - NS'!$N:$N,'2024 Rev - NS'!$G:$G,'Build MCC'!$A84,'2024 Rev - NS'!$P:$P,'Build MCC'!$A$1,'2024 Rev - NS'!$O:$O,'Build MCC'!L$4)</f>
        <v>0</v>
      </c>
      <c r="M84" s="121">
        <f>SUMIFS('2024 Rev - NS'!$N:$N,'2024 Rev - NS'!$G:$G,'Build MCC'!$A84,'2024 Rev - NS'!$P:$P,'Build MCC'!$A$1,'2024 Rev - NS'!$O:$O,'Build MCC'!M$4)</f>
        <v>0</v>
      </c>
      <c r="N84" s="121">
        <f t="shared" si="4"/>
        <v>160556.97999999998</v>
      </c>
    </row>
    <row r="85" spans="1:14" x14ac:dyDescent="0.15">
      <c r="A85" s="286" t="s">
        <v>1074</v>
      </c>
      <c r="B85" s="121">
        <f>SUMIFS('2024 Rev - NS'!$N:$N,'2024 Rev - NS'!$G:$G,'Build MCC'!$A85,'2024 Rev - NS'!$P:$P,'Build MCC'!$A$1,'2024 Rev - NS'!$O:$O,'Build MCC'!B$4)</f>
        <v>0</v>
      </c>
      <c r="C85" s="121">
        <f>SUMIFS('2024 Rev - NS'!$N:$N,'2024 Rev - NS'!$G:$G,'Build MCC'!$A85,'2024 Rev - NS'!$P:$P,'Build MCC'!$A$1,'2024 Rev - NS'!$O:$O,'Build MCC'!C$4)</f>
        <v>0</v>
      </c>
      <c r="D85" s="121">
        <f>SUMIFS('2024 Rev - NS'!$N:$N,'2024 Rev - NS'!$G:$G,'Build MCC'!$A85,'2024 Rev - NS'!$P:$P,'Build MCC'!$A$1,'2024 Rev - NS'!$O:$O,'Build MCC'!D$4)</f>
        <v>0</v>
      </c>
      <c r="E85" s="121">
        <f>SUMIFS('2024 Rev - NS'!$N:$N,'2024 Rev - NS'!$G:$G,'Build MCC'!$A85,'2024 Rev - NS'!$P:$P,'Build MCC'!$A$1,'2024 Rev - NS'!$O:$O,'Build MCC'!E$4)</f>
        <v>0</v>
      </c>
      <c r="F85" s="121">
        <f>SUMIFS('2024 Rev - NS'!$N:$N,'2024 Rev - NS'!$G:$G,'Build MCC'!$A85,'2024 Rev - NS'!$P:$P,'Build MCC'!$A$1,'2024 Rev - NS'!$O:$O,'Build MCC'!F$4)</f>
        <v>0</v>
      </c>
      <c r="G85" s="121">
        <f>SUMIFS('2024 Rev - NS'!$N:$N,'2024 Rev - NS'!$G:$G,'Build MCC'!$A85,'2024 Rev - NS'!$P:$P,'Build MCC'!$A$1,'2024 Rev - NS'!$O:$O,'Build MCC'!G$4)</f>
        <v>0</v>
      </c>
      <c r="H85" s="121">
        <f>SUMIFS('2024 Rev - NS'!$N:$N,'2024 Rev - NS'!$G:$G,'Build MCC'!$A85,'2024 Rev - NS'!$P:$P,'Build MCC'!$A$1,'2024 Rev - NS'!$O:$O,'Build MCC'!H$4)</f>
        <v>0</v>
      </c>
      <c r="I85" s="121">
        <f>SUMIFS('2024 Rev - NS'!$N:$N,'2024 Rev - NS'!$G:$G,'Build MCC'!$A85,'2024 Rev - NS'!$P:$P,'Build MCC'!$A$1,'2024 Rev - NS'!$O:$O,'Build MCC'!I$4)</f>
        <v>0</v>
      </c>
      <c r="J85" s="121">
        <f>SUMIFS('2024 Rev - NS'!$N:$N,'2024 Rev - NS'!$G:$G,'Build MCC'!$A85,'2024 Rev - NS'!$P:$P,'Build MCC'!$A$1,'2024 Rev - NS'!$O:$O,'Build MCC'!J$4)</f>
        <v>0</v>
      </c>
      <c r="K85" s="121">
        <f>SUMIFS('2024 Rev - NS'!$N:$N,'2024 Rev - NS'!$G:$G,'Build MCC'!$A85,'2024 Rev - NS'!$P:$P,'Build MCC'!$A$1,'2024 Rev - NS'!$O:$O,'Build MCC'!K$4)</f>
        <v>0</v>
      </c>
      <c r="L85" s="121">
        <f>SUMIFS('2024 Rev - NS'!$N:$N,'2024 Rev - NS'!$G:$G,'Build MCC'!$A85,'2024 Rev - NS'!$P:$P,'Build MCC'!$A$1,'2024 Rev - NS'!$O:$O,'Build MCC'!L$4)</f>
        <v>0</v>
      </c>
      <c r="M85" s="121">
        <f>SUMIFS('2024 Rev - NS'!$N:$N,'2024 Rev - NS'!$G:$G,'Build MCC'!$A85,'2024 Rev - NS'!$P:$P,'Build MCC'!$A$1,'2024 Rev - NS'!$O:$O,'Build MCC'!M$4)</f>
        <v>0</v>
      </c>
      <c r="N85" s="121">
        <f t="shared" si="4"/>
        <v>0</v>
      </c>
    </row>
    <row r="86" spans="1:14" x14ac:dyDescent="0.15">
      <c r="A86" s="286" t="s">
        <v>1075</v>
      </c>
      <c r="B86" s="121">
        <f>SUMIFS('2024 Rev - NS'!$N:$N,'2024 Rev - NS'!$G:$G,'Build MCC'!$A86,'2024 Rev - NS'!$P:$P,'Build MCC'!$A$1,'2024 Rev - NS'!$O:$O,'Build MCC'!B$4)</f>
        <v>0</v>
      </c>
      <c r="C86" s="121">
        <f>SUMIFS('2024 Rev - NS'!$N:$N,'2024 Rev - NS'!$G:$G,'Build MCC'!$A86,'2024 Rev - NS'!$P:$P,'Build MCC'!$A$1,'2024 Rev - NS'!$O:$O,'Build MCC'!C$4)</f>
        <v>0</v>
      </c>
      <c r="D86" s="121">
        <f>SUMIFS('2024 Rev - NS'!$N:$N,'2024 Rev - NS'!$G:$G,'Build MCC'!$A86,'2024 Rev - NS'!$P:$P,'Build MCC'!$A$1,'2024 Rev - NS'!$O:$O,'Build MCC'!D$4)</f>
        <v>0</v>
      </c>
      <c r="E86" s="121">
        <f>SUMIFS('2024 Rev - NS'!$N:$N,'2024 Rev - NS'!$G:$G,'Build MCC'!$A86,'2024 Rev - NS'!$P:$P,'Build MCC'!$A$1,'2024 Rev - NS'!$O:$O,'Build MCC'!E$4)</f>
        <v>0</v>
      </c>
      <c r="F86" s="121">
        <f>SUMIFS('2024 Rev - NS'!$N:$N,'2024 Rev - NS'!$G:$G,'Build MCC'!$A86,'2024 Rev - NS'!$P:$P,'Build MCC'!$A$1,'2024 Rev - NS'!$O:$O,'Build MCC'!F$4)</f>
        <v>0</v>
      </c>
      <c r="G86" s="121">
        <f>SUMIFS('2024 Rev - NS'!$N:$N,'2024 Rev - NS'!$G:$G,'Build MCC'!$A86,'2024 Rev - NS'!$P:$P,'Build MCC'!$A$1,'2024 Rev - NS'!$O:$O,'Build MCC'!G$4)</f>
        <v>0</v>
      </c>
      <c r="H86" s="121">
        <f>SUMIFS('2024 Rev - NS'!$N:$N,'2024 Rev - NS'!$G:$G,'Build MCC'!$A86,'2024 Rev - NS'!$P:$P,'Build MCC'!$A$1,'2024 Rev - NS'!$O:$O,'Build MCC'!H$4)</f>
        <v>0</v>
      </c>
      <c r="I86" s="121">
        <f>SUMIFS('2024 Rev - NS'!$N:$N,'2024 Rev - NS'!$G:$G,'Build MCC'!$A86,'2024 Rev - NS'!$P:$P,'Build MCC'!$A$1,'2024 Rev - NS'!$O:$O,'Build MCC'!I$4)</f>
        <v>0</v>
      </c>
      <c r="J86" s="121">
        <f>SUMIFS('2024 Rev - NS'!$N:$N,'2024 Rev - NS'!$G:$G,'Build MCC'!$A86,'2024 Rev - NS'!$P:$P,'Build MCC'!$A$1,'2024 Rev - NS'!$O:$O,'Build MCC'!J$4)</f>
        <v>0</v>
      </c>
      <c r="K86" s="121">
        <f>SUMIFS('2024 Rev - NS'!$N:$N,'2024 Rev - NS'!$G:$G,'Build MCC'!$A86,'2024 Rev - NS'!$P:$P,'Build MCC'!$A$1,'2024 Rev - NS'!$O:$O,'Build MCC'!K$4)</f>
        <v>56488</v>
      </c>
      <c r="L86" s="121">
        <f>SUMIFS('2024 Rev - NS'!$N:$N,'2024 Rev - NS'!$G:$G,'Build MCC'!$A86,'2024 Rev - NS'!$P:$P,'Build MCC'!$A$1,'2024 Rev - NS'!$O:$O,'Build MCC'!L$4)</f>
        <v>0</v>
      </c>
      <c r="M86" s="121">
        <f>SUMIFS('2024 Rev - NS'!$N:$N,'2024 Rev - NS'!$G:$G,'Build MCC'!$A86,'2024 Rev - NS'!$P:$P,'Build MCC'!$A$1,'2024 Rev - NS'!$O:$O,'Build MCC'!M$4)</f>
        <v>0</v>
      </c>
      <c r="N86" s="121">
        <f t="shared" si="4"/>
        <v>56488</v>
      </c>
    </row>
    <row r="87" spans="1:14" x14ac:dyDescent="0.15">
      <c r="A87" s="286" t="s">
        <v>1076</v>
      </c>
      <c r="B87" s="121">
        <f>SUMIFS('2024 Rev - NS'!$N:$N,'2024 Rev - NS'!$G:$G,'Build MCC'!$A87,'2024 Rev - NS'!$P:$P,'Build MCC'!$A$1,'2024 Rev - NS'!$O:$O,'Build MCC'!B$4)</f>
        <v>0</v>
      </c>
      <c r="C87" s="121">
        <f>SUMIFS('2024 Rev - NS'!$N:$N,'2024 Rev - NS'!$G:$G,'Build MCC'!$A87,'2024 Rev - NS'!$P:$P,'Build MCC'!$A$1,'2024 Rev - NS'!$O:$O,'Build MCC'!C$4)</f>
        <v>0</v>
      </c>
      <c r="D87" s="121">
        <f>SUMIFS('2024 Rev - NS'!$N:$N,'2024 Rev - NS'!$G:$G,'Build MCC'!$A87,'2024 Rev - NS'!$P:$P,'Build MCC'!$A$1,'2024 Rev - NS'!$O:$O,'Build MCC'!D$4)</f>
        <v>0</v>
      </c>
      <c r="E87" s="121">
        <f>SUMIFS('2024 Rev - NS'!$N:$N,'2024 Rev - NS'!$G:$G,'Build MCC'!$A87,'2024 Rev - NS'!$P:$P,'Build MCC'!$A$1,'2024 Rev - NS'!$O:$O,'Build MCC'!E$4)</f>
        <v>0</v>
      </c>
      <c r="F87" s="121">
        <f>SUMIFS('2024 Rev - NS'!$N:$N,'2024 Rev - NS'!$G:$G,'Build MCC'!$A87,'2024 Rev - NS'!$P:$P,'Build MCC'!$A$1,'2024 Rev - NS'!$O:$O,'Build MCC'!F$4)</f>
        <v>0</v>
      </c>
      <c r="G87" s="121">
        <f>SUMIFS('2024 Rev - NS'!$N:$N,'2024 Rev - NS'!$G:$G,'Build MCC'!$A87,'2024 Rev - NS'!$P:$P,'Build MCC'!$A$1,'2024 Rev - NS'!$O:$O,'Build MCC'!G$4)</f>
        <v>0</v>
      </c>
      <c r="H87" s="121">
        <f>SUMIFS('2024 Rev - NS'!$N:$N,'2024 Rev - NS'!$G:$G,'Build MCC'!$A87,'2024 Rev - NS'!$P:$P,'Build MCC'!$A$1,'2024 Rev - NS'!$O:$O,'Build MCC'!H$4)</f>
        <v>0</v>
      </c>
      <c r="I87" s="121">
        <f>SUMIFS('2024 Rev - NS'!$N:$N,'2024 Rev - NS'!$G:$G,'Build MCC'!$A87,'2024 Rev - NS'!$P:$P,'Build MCC'!$A$1,'2024 Rev - NS'!$O:$O,'Build MCC'!I$4)</f>
        <v>0</v>
      </c>
      <c r="J87" s="121">
        <f>SUMIFS('2024 Rev - NS'!$N:$N,'2024 Rev - NS'!$G:$G,'Build MCC'!$A87,'2024 Rev - NS'!$P:$P,'Build MCC'!$A$1,'2024 Rev - NS'!$O:$O,'Build MCC'!J$4)</f>
        <v>0</v>
      </c>
      <c r="K87" s="121">
        <f>SUMIFS('2024 Rev - NS'!$N:$N,'2024 Rev - NS'!$G:$G,'Build MCC'!$A87,'2024 Rev - NS'!$P:$P,'Build MCC'!$A$1,'2024 Rev - NS'!$O:$O,'Build MCC'!K$4)</f>
        <v>15255</v>
      </c>
      <c r="L87" s="121">
        <f>SUMIFS('2024 Rev - NS'!$N:$N,'2024 Rev - NS'!$G:$G,'Build MCC'!$A87,'2024 Rev - NS'!$P:$P,'Build MCC'!$A$1,'2024 Rev - NS'!$O:$O,'Build MCC'!L$4)</f>
        <v>0</v>
      </c>
      <c r="M87" s="121">
        <f>SUMIFS('2024 Rev - NS'!$N:$N,'2024 Rev - NS'!$G:$G,'Build MCC'!$A87,'2024 Rev - NS'!$P:$P,'Build MCC'!$A$1,'2024 Rev - NS'!$O:$O,'Build MCC'!M$4)</f>
        <v>0</v>
      </c>
      <c r="N87" s="121">
        <f t="shared" si="4"/>
        <v>15255</v>
      </c>
    </row>
    <row r="88" spans="1:14" x14ac:dyDescent="0.15">
      <c r="A88" s="286" t="s">
        <v>1077</v>
      </c>
      <c r="B88" s="121">
        <f>SUMIFS('2024 Rev - NS'!$N:$N,'2024 Rev - NS'!$G:$G,'Build MCC'!$A88,'2024 Rev - NS'!$P:$P,'Build MCC'!$A$1,'2024 Rev - NS'!$O:$O,'Build MCC'!B$4)</f>
        <v>0</v>
      </c>
      <c r="C88" s="121">
        <f>SUMIFS('2024 Rev - NS'!$N:$N,'2024 Rev - NS'!$G:$G,'Build MCC'!$A88,'2024 Rev - NS'!$P:$P,'Build MCC'!$A$1,'2024 Rev - NS'!$O:$O,'Build MCC'!C$4)</f>
        <v>0</v>
      </c>
      <c r="D88" s="121">
        <f>SUMIFS('2024 Rev - NS'!$N:$N,'2024 Rev - NS'!$G:$G,'Build MCC'!$A88,'2024 Rev - NS'!$P:$P,'Build MCC'!$A$1,'2024 Rev - NS'!$O:$O,'Build MCC'!D$4)</f>
        <v>0</v>
      </c>
      <c r="E88" s="121">
        <f>SUMIFS('2024 Rev - NS'!$N:$N,'2024 Rev - NS'!$G:$G,'Build MCC'!$A88,'2024 Rev - NS'!$P:$P,'Build MCC'!$A$1,'2024 Rev - NS'!$O:$O,'Build MCC'!E$4)</f>
        <v>0</v>
      </c>
      <c r="F88" s="121">
        <f>SUMIFS('2024 Rev - NS'!$N:$N,'2024 Rev - NS'!$G:$G,'Build MCC'!$A88,'2024 Rev - NS'!$P:$P,'Build MCC'!$A$1,'2024 Rev - NS'!$O:$O,'Build MCC'!F$4)</f>
        <v>0</v>
      </c>
      <c r="G88" s="121">
        <f>SUMIFS('2024 Rev - NS'!$N:$N,'2024 Rev - NS'!$G:$G,'Build MCC'!$A88,'2024 Rev - NS'!$P:$P,'Build MCC'!$A$1,'2024 Rev - NS'!$O:$O,'Build MCC'!G$4)</f>
        <v>0</v>
      </c>
      <c r="H88" s="121">
        <f>SUMIFS('2024 Rev - NS'!$N:$N,'2024 Rev - NS'!$G:$G,'Build MCC'!$A88,'2024 Rev - NS'!$P:$P,'Build MCC'!$A$1,'2024 Rev - NS'!$O:$O,'Build MCC'!H$4)</f>
        <v>0</v>
      </c>
      <c r="I88" s="121">
        <f>SUMIFS('2024 Rev - NS'!$N:$N,'2024 Rev - NS'!$G:$G,'Build MCC'!$A88,'2024 Rev - NS'!$P:$P,'Build MCC'!$A$1,'2024 Rev - NS'!$O:$O,'Build MCC'!I$4)</f>
        <v>0</v>
      </c>
      <c r="J88" s="121">
        <f>SUMIFS('2024 Rev - NS'!$N:$N,'2024 Rev - NS'!$G:$G,'Build MCC'!$A88,'2024 Rev - NS'!$P:$P,'Build MCC'!$A$1,'2024 Rev - NS'!$O:$O,'Build MCC'!J$4)</f>
        <v>0</v>
      </c>
      <c r="K88" s="121">
        <f>SUMIFS('2024 Rev - NS'!$N:$N,'2024 Rev - NS'!$G:$G,'Build MCC'!$A88,'2024 Rev - NS'!$P:$P,'Build MCC'!$A$1,'2024 Rev - NS'!$O:$O,'Build MCC'!K$4)</f>
        <v>0</v>
      </c>
      <c r="L88" s="121">
        <f>SUMIFS('2024 Rev - NS'!$N:$N,'2024 Rev - NS'!$G:$G,'Build MCC'!$A88,'2024 Rev - NS'!$P:$P,'Build MCC'!$A$1,'2024 Rev - NS'!$O:$O,'Build MCC'!L$4)</f>
        <v>0</v>
      </c>
      <c r="M88" s="121">
        <f>SUMIFS('2024 Rev - NS'!$N:$N,'2024 Rev - NS'!$G:$G,'Build MCC'!$A88,'2024 Rev - NS'!$P:$P,'Build MCC'!$A$1,'2024 Rev - NS'!$O:$O,'Build MCC'!M$4)</f>
        <v>0</v>
      </c>
      <c r="N88" s="121">
        <f t="shared" si="4"/>
        <v>0</v>
      </c>
    </row>
    <row r="89" spans="1:14" x14ac:dyDescent="0.15">
      <c r="A89" s="286" t="s">
        <v>1078</v>
      </c>
      <c r="B89" s="121">
        <f>SUMIFS('2024 Rev - NS'!$N:$N,'2024 Rev - NS'!$G:$G,'Build MCC'!$A89,'2024 Rev - NS'!$P:$P,'Build MCC'!$A$1,'2024 Rev - NS'!$O:$O,'Build MCC'!B$4)</f>
        <v>0</v>
      </c>
      <c r="C89" s="121">
        <f>SUMIFS('2024 Rev - NS'!$N:$N,'2024 Rev - NS'!$G:$G,'Build MCC'!$A89,'2024 Rev - NS'!$P:$P,'Build MCC'!$A$1,'2024 Rev - NS'!$O:$O,'Build MCC'!C$4)</f>
        <v>0</v>
      </c>
      <c r="D89" s="121">
        <f>SUMIFS('2024 Rev - NS'!$N:$N,'2024 Rev - NS'!$G:$G,'Build MCC'!$A89,'2024 Rev - NS'!$P:$P,'Build MCC'!$A$1,'2024 Rev - NS'!$O:$O,'Build MCC'!D$4)</f>
        <v>0</v>
      </c>
      <c r="E89" s="121">
        <f>SUMIFS('2024 Rev - NS'!$N:$N,'2024 Rev - NS'!$G:$G,'Build MCC'!$A89,'2024 Rev - NS'!$P:$P,'Build MCC'!$A$1,'2024 Rev - NS'!$O:$O,'Build MCC'!E$4)</f>
        <v>0</v>
      </c>
      <c r="F89" s="121">
        <f>SUMIFS('2024 Rev - NS'!$N:$N,'2024 Rev - NS'!$G:$G,'Build MCC'!$A89,'2024 Rev - NS'!$P:$P,'Build MCC'!$A$1,'2024 Rev - NS'!$O:$O,'Build MCC'!F$4)</f>
        <v>0</v>
      </c>
      <c r="G89" s="121">
        <f>SUMIFS('2024 Rev - NS'!$N:$N,'2024 Rev - NS'!$G:$G,'Build MCC'!$A89,'2024 Rev - NS'!$P:$P,'Build MCC'!$A$1,'2024 Rev - NS'!$O:$O,'Build MCC'!G$4)</f>
        <v>0</v>
      </c>
      <c r="H89" s="121">
        <f>SUMIFS('2024 Rev - NS'!$N:$N,'2024 Rev - NS'!$G:$G,'Build MCC'!$A89,'2024 Rev - NS'!$P:$P,'Build MCC'!$A$1,'2024 Rev - NS'!$O:$O,'Build MCC'!H$4)</f>
        <v>0</v>
      </c>
      <c r="I89" s="121">
        <f>SUMIFS('2024 Rev - NS'!$N:$N,'2024 Rev - NS'!$G:$G,'Build MCC'!$A89,'2024 Rev - NS'!$P:$P,'Build MCC'!$A$1,'2024 Rev - NS'!$O:$O,'Build MCC'!I$4)</f>
        <v>0</v>
      </c>
      <c r="J89" s="121">
        <f>SUMIFS('2024 Rev - NS'!$N:$N,'2024 Rev - NS'!$G:$G,'Build MCC'!$A89,'2024 Rev - NS'!$P:$P,'Build MCC'!$A$1,'2024 Rev - NS'!$O:$O,'Build MCC'!J$4)</f>
        <v>10471</v>
      </c>
      <c r="K89" s="121">
        <f>SUMIFS('2024 Rev - NS'!$N:$N,'2024 Rev - NS'!$G:$G,'Build MCC'!$A89,'2024 Rev - NS'!$P:$P,'Build MCC'!$A$1,'2024 Rev - NS'!$O:$O,'Build MCC'!K$4)</f>
        <v>0</v>
      </c>
      <c r="L89" s="121">
        <f>SUMIFS('2024 Rev - NS'!$N:$N,'2024 Rev - NS'!$G:$G,'Build MCC'!$A89,'2024 Rev - NS'!$P:$P,'Build MCC'!$A$1,'2024 Rev - NS'!$O:$O,'Build MCC'!L$4)</f>
        <v>0</v>
      </c>
      <c r="M89" s="121">
        <f>SUMIFS('2024 Rev - NS'!$N:$N,'2024 Rev - NS'!$G:$G,'Build MCC'!$A89,'2024 Rev - NS'!$P:$P,'Build MCC'!$A$1,'2024 Rev - NS'!$O:$O,'Build MCC'!M$4)</f>
        <v>0</v>
      </c>
      <c r="N89" s="121">
        <f t="shared" si="4"/>
        <v>10471</v>
      </c>
    </row>
    <row r="90" spans="1:14" x14ac:dyDescent="0.15">
      <c r="A90" s="286" t="s">
        <v>2318</v>
      </c>
      <c r="B90" s="121">
        <f>SUMIFS('2024 Rev - NS'!$N:$N,'2024 Rev - NS'!$G:$G,'Build MCC'!$A90,'2024 Rev - NS'!$P:$P,'Build MCC'!$A$1,'2024 Rev - NS'!$O:$O,'Build MCC'!B$4)</f>
        <v>0</v>
      </c>
      <c r="C90" s="121">
        <f>SUMIFS('2024 Rev - NS'!$N:$N,'2024 Rev - NS'!$G:$G,'Build MCC'!$A90,'2024 Rev - NS'!$P:$P,'Build MCC'!$A$1,'2024 Rev - NS'!$O:$O,'Build MCC'!C$4)</f>
        <v>0</v>
      </c>
      <c r="D90" s="121">
        <f>SUMIFS('2024 Rev - NS'!$N:$N,'2024 Rev - NS'!$G:$G,'Build MCC'!$A90,'2024 Rev - NS'!$P:$P,'Build MCC'!$A$1,'2024 Rev - NS'!$O:$O,'Build MCC'!D$4)</f>
        <v>0</v>
      </c>
      <c r="E90" s="121">
        <f>SUMIFS('2024 Rev - NS'!$N:$N,'2024 Rev - NS'!$G:$G,'Build MCC'!$A90,'2024 Rev - NS'!$P:$P,'Build MCC'!$A$1,'2024 Rev - NS'!$O:$O,'Build MCC'!E$4)</f>
        <v>0</v>
      </c>
      <c r="F90" s="121">
        <f>SUMIFS('2024 Rev - NS'!$N:$N,'2024 Rev - NS'!$G:$G,'Build MCC'!$A90,'2024 Rev - NS'!$P:$P,'Build MCC'!$A$1,'2024 Rev - NS'!$O:$O,'Build MCC'!F$4)</f>
        <v>0</v>
      </c>
      <c r="G90" s="121">
        <f>SUMIFS('2024 Rev - NS'!$N:$N,'2024 Rev - NS'!$G:$G,'Build MCC'!$A90,'2024 Rev - NS'!$P:$P,'Build MCC'!$A$1,'2024 Rev - NS'!$O:$O,'Build MCC'!G$4)</f>
        <v>0</v>
      </c>
      <c r="H90" s="121">
        <f>SUMIFS('2024 Rev - NS'!$N:$N,'2024 Rev - NS'!$G:$G,'Build MCC'!$A90,'2024 Rev - NS'!$P:$P,'Build MCC'!$A$1,'2024 Rev - NS'!$O:$O,'Build MCC'!H$4)</f>
        <v>0</v>
      </c>
      <c r="I90" s="121">
        <f>SUMIFS('2024 Rev - NS'!$N:$N,'2024 Rev - NS'!$G:$G,'Build MCC'!$A90,'2024 Rev - NS'!$P:$P,'Build MCC'!$A$1,'2024 Rev - NS'!$O:$O,'Build MCC'!I$4)</f>
        <v>0</v>
      </c>
      <c r="J90" s="121">
        <f>SUMIFS('2024 Rev - NS'!$N:$N,'2024 Rev - NS'!$G:$G,'Build MCC'!$A90,'2024 Rev - NS'!$P:$P,'Build MCC'!$A$1,'2024 Rev - NS'!$O:$O,'Build MCC'!J$4)</f>
        <v>0</v>
      </c>
      <c r="K90" s="121">
        <f>SUMIFS('2024 Rev - NS'!$N:$N,'2024 Rev - NS'!$G:$G,'Build MCC'!$A90,'2024 Rev - NS'!$P:$P,'Build MCC'!$A$1,'2024 Rev - NS'!$O:$O,'Build MCC'!K$4)</f>
        <v>0</v>
      </c>
      <c r="L90" s="121">
        <f>SUMIFS('2024 Rev - NS'!$N:$N,'2024 Rev - NS'!$G:$G,'Build MCC'!$A90,'2024 Rev - NS'!$P:$P,'Build MCC'!$A$1,'2024 Rev - NS'!$O:$O,'Build MCC'!L$4)</f>
        <v>0</v>
      </c>
      <c r="M90" s="121">
        <f>SUMIFS('2024 Rev - NS'!$N:$N,'2024 Rev - NS'!$G:$G,'Build MCC'!$A90,'2024 Rev - NS'!$P:$P,'Build MCC'!$A$1,'2024 Rev - NS'!$O:$O,'Build MCC'!M$4)</f>
        <v>0</v>
      </c>
      <c r="N90" s="121">
        <f t="shared" si="4"/>
        <v>0</v>
      </c>
    </row>
    <row r="91" spans="1:14" x14ac:dyDescent="0.15">
      <c r="A91" s="286" t="s">
        <v>1343</v>
      </c>
      <c r="B91" s="121">
        <f>SUMIFS('2024 Rev - NS'!$N:$N,'2024 Rev - NS'!$G:$G,'Build MCC'!$A91,'2024 Rev - NS'!$P:$P,'Build MCC'!$A$1,'2024 Rev - NS'!$O:$O,'Build MCC'!B$4)</f>
        <v>0</v>
      </c>
      <c r="C91" s="121">
        <f>SUMIFS('2024 Rev - NS'!$N:$N,'2024 Rev - NS'!$G:$G,'Build MCC'!$A91,'2024 Rev - NS'!$P:$P,'Build MCC'!$A$1,'2024 Rev - NS'!$O:$O,'Build MCC'!C$4)</f>
        <v>0</v>
      </c>
      <c r="D91" s="121">
        <f>SUMIFS('2024 Rev - NS'!$N:$N,'2024 Rev - NS'!$G:$G,'Build MCC'!$A91,'2024 Rev - NS'!$P:$P,'Build MCC'!$A$1,'2024 Rev - NS'!$O:$O,'Build MCC'!D$4)</f>
        <v>0</v>
      </c>
      <c r="E91" s="121">
        <f>SUMIFS('2024 Rev - NS'!$N:$N,'2024 Rev - NS'!$G:$G,'Build MCC'!$A91,'2024 Rev - NS'!$P:$P,'Build MCC'!$A$1,'2024 Rev - NS'!$O:$O,'Build MCC'!E$4)</f>
        <v>0</v>
      </c>
      <c r="F91" s="121">
        <f>SUMIFS('2024 Rev - NS'!$N:$N,'2024 Rev - NS'!$G:$G,'Build MCC'!$A91,'2024 Rev - NS'!$P:$P,'Build MCC'!$A$1,'2024 Rev - NS'!$O:$O,'Build MCC'!F$4)</f>
        <v>0</v>
      </c>
      <c r="G91" s="121">
        <f>SUMIFS('2024 Rev - NS'!$N:$N,'2024 Rev - NS'!$G:$G,'Build MCC'!$A91,'2024 Rev - NS'!$P:$P,'Build MCC'!$A$1,'2024 Rev - NS'!$O:$O,'Build MCC'!G$4)</f>
        <v>0</v>
      </c>
      <c r="H91" s="121">
        <f>SUMIFS('2024 Rev - NS'!$N:$N,'2024 Rev - NS'!$G:$G,'Build MCC'!$A91,'2024 Rev - NS'!$P:$P,'Build MCC'!$A$1,'2024 Rev - NS'!$O:$O,'Build MCC'!H$4)</f>
        <v>0</v>
      </c>
      <c r="I91" s="121">
        <f>SUMIFS('2024 Rev - NS'!$N:$N,'2024 Rev - NS'!$G:$G,'Build MCC'!$A91,'2024 Rev - NS'!$P:$P,'Build MCC'!$A$1,'2024 Rev - NS'!$O:$O,'Build MCC'!I$4)</f>
        <v>0</v>
      </c>
      <c r="J91" s="121">
        <f>SUMIFS('2024 Rev - NS'!$N:$N,'2024 Rev - NS'!$G:$G,'Build MCC'!$A91,'2024 Rev - NS'!$P:$P,'Build MCC'!$A$1,'2024 Rev - NS'!$O:$O,'Build MCC'!J$4)</f>
        <v>0</v>
      </c>
      <c r="K91" s="121">
        <f>SUMIFS('2024 Rev - NS'!$N:$N,'2024 Rev - NS'!$G:$G,'Build MCC'!$A91,'2024 Rev - NS'!$P:$P,'Build MCC'!$A$1,'2024 Rev - NS'!$O:$O,'Build MCC'!K$4)</f>
        <v>0</v>
      </c>
      <c r="L91" s="121">
        <f>SUMIFS('2024 Rev - NS'!$N:$N,'2024 Rev - NS'!$G:$G,'Build MCC'!$A91,'2024 Rev - NS'!$P:$P,'Build MCC'!$A$1,'2024 Rev - NS'!$O:$O,'Build MCC'!L$4)</f>
        <v>0</v>
      </c>
      <c r="M91" s="121">
        <f>SUMIFS('2024 Rev - NS'!$N:$N,'2024 Rev - NS'!$G:$G,'Build MCC'!$A91,'2024 Rev - NS'!$P:$P,'Build MCC'!$A$1,'2024 Rev - NS'!$O:$O,'Build MCC'!M$4)</f>
        <v>0</v>
      </c>
      <c r="N91" s="121">
        <f t="shared" si="4"/>
        <v>0</v>
      </c>
    </row>
    <row r="92" spans="1:14" x14ac:dyDescent="0.15">
      <c r="A92" s="286" t="s">
        <v>1860</v>
      </c>
      <c r="B92" s="121">
        <f>SUMIFS('2024 Rev - NS'!$N:$N,'2024 Rev - NS'!$G:$G,'Build MCC'!$A92,'2024 Rev - NS'!$P:$P,'Build MCC'!$A$1,'2024 Rev - NS'!$O:$O,'Build MCC'!B$4)</f>
        <v>0</v>
      </c>
      <c r="C92" s="121">
        <f>SUMIFS('2024 Rev - NS'!$N:$N,'2024 Rev - NS'!$G:$G,'Build MCC'!$A92,'2024 Rev - NS'!$P:$P,'Build MCC'!$A$1,'2024 Rev - NS'!$O:$O,'Build MCC'!C$4)</f>
        <v>0</v>
      </c>
      <c r="D92" s="121">
        <f>SUMIFS('2024 Rev - NS'!$N:$N,'2024 Rev - NS'!$G:$G,'Build MCC'!$A92,'2024 Rev - NS'!$P:$P,'Build MCC'!$A$1,'2024 Rev - NS'!$O:$O,'Build MCC'!D$4)</f>
        <v>0</v>
      </c>
      <c r="E92" s="121">
        <f>SUMIFS('2024 Rev - NS'!$N:$N,'2024 Rev - NS'!$G:$G,'Build MCC'!$A92,'2024 Rev - NS'!$P:$P,'Build MCC'!$A$1,'2024 Rev - NS'!$O:$O,'Build MCC'!E$4)</f>
        <v>0</v>
      </c>
      <c r="F92" s="121">
        <f>SUMIFS('2024 Rev - NS'!$N:$N,'2024 Rev - NS'!$G:$G,'Build MCC'!$A92,'2024 Rev - NS'!$P:$P,'Build MCC'!$A$1,'2024 Rev - NS'!$O:$O,'Build MCC'!F$4)</f>
        <v>0</v>
      </c>
      <c r="G92" s="121">
        <f>SUMIFS('2024 Rev - NS'!$N:$N,'2024 Rev - NS'!$G:$G,'Build MCC'!$A92,'2024 Rev - NS'!$P:$P,'Build MCC'!$A$1,'2024 Rev - NS'!$O:$O,'Build MCC'!G$4)</f>
        <v>0</v>
      </c>
      <c r="H92" s="121">
        <f>SUMIFS('2024 Rev - NS'!$N:$N,'2024 Rev - NS'!$G:$G,'Build MCC'!$A92,'2024 Rev - NS'!$P:$P,'Build MCC'!$A$1,'2024 Rev - NS'!$O:$O,'Build MCC'!H$4)</f>
        <v>0</v>
      </c>
      <c r="I92" s="121">
        <f>SUMIFS('2024 Rev - NS'!$N:$N,'2024 Rev - NS'!$G:$G,'Build MCC'!$A92,'2024 Rev - NS'!$P:$P,'Build MCC'!$A$1,'2024 Rev - NS'!$O:$O,'Build MCC'!I$4)</f>
        <v>0</v>
      </c>
      <c r="J92" s="121">
        <f>SUMIFS('2024 Rev - NS'!$N:$N,'2024 Rev - NS'!$G:$G,'Build MCC'!$A92,'2024 Rev - NS'!$P:$P,'Build MCC'!$A$1,'2024 Rev - NS'!$O:$O,'Build MCC'!J$4)</f>
        <v>0</v>
      </c>
      <c r="K92" s="121">
        <f>SUMIFS('2024 Rev - NS'!$N:$N,'2024 Rev - NS'!$G:$G,'Build MCC'!$A92,'2024 Rev - NS'!$P:$P,'Build MCC'!$A$1,'2024 Rev - NS'!$O:$O,'Build MCC'!K$4)</f>
        <v>0</v>
      </c>
      <c r="L92" s="121">
        <f>SUMIFS('2024 Rev - NS'!$N:$N,'2024 Rev - NS'!$G:$G,'Build MCC'!$A92,'2024 Rev - NS'!$P:$P,'Build MCC'!$A$1,'2024 Rev - NS'!$O:$O,'Build MCC'!L$4)</f>
        <v>0</v>
      </c>
      <c r="M92" s="121">
        <f>SUMIFS('2024 Rev - NS'!$N:$N,'2024 Rev - NS'!$G:$G,'Build MCC'!$A92,'2024 Rev - NS'!$P:$P,'Build MCC'!$A$1,'2024 Rev - NS'!$O:$O,'Build MCC'!M$4)</f>
        <v>0</v>
      </c>
      <c r="N92" s="121">
        <f t="shared" si="4"/>
        <v>0</v>
      </c>
    </row>
    <row r="93" spans="1:14" x14ac:dyDescent="0.15">
      <c r="A93" s="286" t="s">
        <v>2425</v>
      </c>
      <c r="B93" s="121">
        <f>SUMIFS('2024 Rev - NS'!$N:$N,'2024 Rev - NS'!$G:$G,'Build MCC'!$A93,'2024 Rev - NS'!$P:$P,'Build MCC'!$A$1,'2024 Rev - NS'!$O:$O,'Build MCC'!B$4)</f>
        <v>0</v>
      </c>
      <c r="C93" s="121">
        <f>SUMIFS('2024 Rev - NS'!$N:$N,'2024 Rev - NS'!$G:$G,'Build MCC'!$A93,'2024 Rev - NS'!$P:$P,'Build MCC'!$A$1,'2024 Rev - NS'!$O:$O,'Build MCC'!C$4)</f>
        <v>0</v>
      </c>
      <c r="D93" s="121">
        <f>SUMIFS('2024 Rev - NS'!$N:$N,'2024 Rev - NS'!$G:$G,'Build MCC'!$A93,'2024 Rev - NS'!$P:$P,'Build MCC'!$A$1,'2024 Rev - NS'!$O:$O,'Build MCC'!D$4)</f>
        <v>0</v>
      </c>
      <c r="E93" s="121">
        <f>SUMIFS('2024 Rev - NS'!$N:$N,'2024 Rev - NS'!$G:$G,'Build MCC'!$A93,'2024 Rev - NS'!$P:$P,'Build MCC'!$A$1,'2024 Rev - NS'!$O:$O,'Build MCC'!E$4)</f>
        <v>0</v>
      </c>
      <c r="F93" s="121">
        <f>SUMIFS('2024 Rev - NS'!$N:$N,'2024 Rev - NS'!$G:$G,'Build MCC'!$A93,'2024 Rev - NS'!$P:$P,'Build MCC'!$A$1,'2024 Rev - NS'!$O:$O,'Build MCC'!F$4)</f>
        <v>0</v>
      </c>
      <c r="G93" s="121">
        <f>SUMIFS('2024 Rev - NS'!$N:$N,'2024 Rev - NS'!$G:$G,'Build MCC'!$A93,'2024 Rev - NS'!$P:$P,'Build MCC'!$A$1,'2024 Rev - NS'!$O:$O,'Build MCC'!G$4)</f>
        <v>0</v>
      </c>
      <c r="H93" s="121">
        <f>SUMIFS('2024 Rev - NS'!$N:$N,'2024 Rev - NS'!$G:$G,'Build MCC'!$A93,'2024 Rev - NS'!$P:$P,'Build MCC'!$A$1,'2024 Rev - NS'!$O:$O,'Build MCC'!H$4)</f>
        <v>0</v>
      </c>
      <c r="I93" s="121">
        <f>SUMIFS('2024 Rev - NS'!$N:$N,'2024 Rev - NS'!$G:$G,'Build MCC'!$A93,'2024 Rev - NS'!$P:$P,'Build MCC'!$A$1,'2024 Rev - NS'!$O:$O,'Build MCC'!I$4)</f>
        <v>0</v>
      </c>
      <c r="J93" s="121">
        <f>SUMIFS('2024 Rev - NS'!$N:$N,'2024 Rev - NS'!$G:$G,'Build MCC'!$A93,'2024 Rev - NS'!$P:$P,'Build MCC'!$A$1,'2024 Rev - NS'!$O:$O,'Build MCC'!J$4)</f>
        <v>0</v>
      </c>
      <c r="K93" s="121">
        <f>SUMIFS('2024 Rev - NS'!$N:$N,'2024 Rev - NS'!$G:$G,'Build MCC'!$A93,'2024 Rev - NS'!$P:$P,'Build MCC'!$A$1,'2024 Rev - NS'!$O:$O,'Build MCC'!K$4)</f>
        <v>0</v>
      </c>
      <c r="L93" s="121">
        <f>SUMIFS('2024 Rev - NS'!$N:$N,'2024 Rev - NS'!$G:$G,'Build MCC'!$A93,'2024 Rev - NS'!$P:$P,'Build MCC'!$A$1,'2024 Rev - NS'!$O:$O,'Build MCC'!L$4)</f>
        <v>0</v>
      </c>
      <c r="M93" s="121">
        <f>SUMIFS('2024 Rev - NS'!$N:$N,'2024 Rev - NS'!$G:$G,'Build MCC'!$A93,'2024 Rev - NS'!$P:$P,'Build MCC'!$A$1,'2024 Rev - NS'!$O:$O,'Build MCC'!M$4)</f>
        <v>0</v>
      </c>
      <c r="N93" s="121">
        <f t="shared" si="4"/>
        <v>0</v>
      </c>
    </row>
    <row r="94" spans="1:14" x14ac:dyDescent="0.15">
      <c r="A94" s="286" t="s">
        <v>1082</v>
      </c>
      <c r="B94" s="121">
        <f>SUMIFS('2024 Rev - NS'!$N:$N,'2024 Rev - NS'!$G:$G,'Build MCC'!$A94,'2024 Rev - NS'!$P:$P,'Build MCC'!$A$1,'2024 Rev - NS'!$O:$O,'Build MCC'!B$4)</f>
        <v>0</v>
      </c>
      <c r="C94" s="121">
        <f>SUMIFS('2024 Rev - NS'!$N:$N,'2024 Rev - NS'!$G:$G,'Build MCC'!$A94,'2024 Rev - NS'!$P:$P,'Build MCC'!$A$1,'2024 Rev - NS'!$O:$O,'Build MCC'!C$4)</f>
        <v>0</v>
      </c>
      <c r="D94" s="121">
        <f>SUMIFS('2024 Rev - NS'!$N:$N,'2024 Rev - NS'!$G:$G,'Build MCC'!$A94,'2024 Rev - NS'!$P:$P,'Build MCC'!$A$1,'2024 Rev - NS'!$O:$O,'Build MCC'!D$4)</f>
        <v>0</v>
      </c>
      <c r="E94" s="121">
        <f>SUMIFS('2024 Rev - NS'!$N:$N,'2024 Rev - NS'!$G:$G,'Build MCC'!$A94,'2024 Rev - NS'!$P:$P,'Build MCC'!$A$1,'2024 Rev - NS'!$O:$O,'Build MCC'!E$4)</f>
        <v>0</v>
      </c>
      <c r="F94" s="121">
        <f>SUMIFS('2024 Rev - NS'!$N:$N,'2024 Rev - NS'!$G:$G,'Build MCC'!$A94,'2024 Rev - NS'!$P:$P,'Build MCC'!$A$1,'2024 Rev - NS'!$O:$O,'Build MCC'!F$4)</f>
        <v>0</v>
      </c>
      <c r="G94" s="121">
        <f>SUMIFS('2024 Rev - NS'!$N:$N,'2024 Rev - NS'!$G:$G,'Build MCC'!$A94,'2024 Rev - NS'!$P:$P,'Build MCC'!$A$1,'2024 Rev - NS'!$O:$O,'Build MCC'!G$4)</f>
        <v>0</v>
      </c>
      <c r="H94" s="121">
        <f>SUMIFS('2024 Rev - NS'!$N:$N,'2024 Rev - NS'!$G:$G,'Build MCC'!$A94,'2024 Rev - NS'!$P:$P,'Build MCC'!$A$1,'2024 Rev - NS'!$O:$O,'Build MCC'!H$4)</f>
        <v>0</v>
      </c>
      <c r="I94" s="121">
        <f>SUMIFS('2024 Rev - NS'!$N:$N,'2024 Rev - NS'!$G:$G,'Build MCC'!$A94,'2024 Rev - NS'!$P:$P,'Build MCC'!$A$1,'2024 Rev - NS'!$O:$O,'Build MCC'!I$4)</f>
        <v>0</v>
      </c>
      <c r="J94" s="121">
        <f>SUMIFS('2024 Rev - NS'!$N:$N,'2024 Rev - NS'!$G:$G,'Build MCC'!$A94,'2024 Rev - NS'!$P:$P,'Build MCC'!$A$1,'2024 Rev - NS'!$O:$O,'Build MCC'!J$4)</f>
        <v>0</v>
      </c>
      <c r="K94" s="121">
        <f>SUMIFS('2024 Rev - NS'!$N:$N,'2024 Rev - NS'!$G:$G,'Build MCC'!$A94,'2024 Rev - NS'!$P:$P,'Build MCC'!$A$1,'2024 Rev - NS'!$O:$O,'Build MCC'!K$4)</f>
        <v>0</v>
      </c>
      <c r="L94" s="121">
        <f>SUMIFS('2024 Rev - NS'!$N:$N,'2024 Rev - NS'!$G:$G,'Build MCC'!$A94,'2024 Rev - NS'!$P:$P,'Build MCC'!$A$1,'2024 Rev - NS'!$O:$O,'Build MCC'!L$4)</f>
        <v>0</v>
      </c>
      <c r="M94" s="121">
        <f>SUMIFS('2024 Rev - NS'!$N:$N,'2024 Rev - NS'!$G:$G,'Build MCC'!$A94,'2024 Rev - NS'!$P:$P,'Build MCC'!$A$1,'2024 Rev - NS'!$O:$O,'Build MCC'!M$4)</f>
        <v>0</v>
      </c>
      <c r="N94" s="121">
        <f t="shared" si="4"/>
        <v>0</v>
      </c>
    </row>
    <row r="95" spans="1:14" x14ac:dyDescent="0.15">
      <c r="A95" s="286" t="s">
        <v>1083</v>
      </c>
      <c r="B95" s="121">
        <f>SUMIFS('2024 Rev - NS'!$N:$N,'2024 Rev - NS'!$G:$G,'Build MCC'!$A95,'2024 Rev - NS'!$P:$P,'Build MCC'!$A$1,'2024 Rev - NS'!$O:$O,'Build MCC'!B$4)</f>
        <v>0</v>
      </c>
      <c r="C95" s="121">
        <f>SUMIFS('2024 Rev - NS'!$N:$N,'2024 Rev - NS'!$G:$G,'Build MCC'!$A95,'2024 Rev - NS'!$P:$P,'Build MCC'!$A$1,'2024 Rev - NS'!$O:$O,'Build MCC'!C$4)</f>
        <v>0</v>
      </c>
      <c r="D95" s="121">
        <f>SUMIFS('2024 Rev - NS'!$N:$N,'2024 Rev - NS'!$G:$G,'Build MCC'!$A95,'2024 Rev - NS'!$P:$P,'Build MCC'!$A$1,'2024 Rev - NS'!$O:$O,'Build MCC'!D$4)</f>
        <v>0</v>
      </c>
      <c r="E95" s="121">
        <f>SUMIFS('2024 Rev - NS'!$N:$N,'2024 Rev - NS'!$G:$G,'Build MCC'!$A95,'2024 Rev - NS'!$P:$P,'Build MCC'!$A$1,'2024 Rev - NS'!$O:$O,'Build MCC'!E$4)</f>
        <v>0</v>
      </c>
      <c r="F95" s="121">
        <f>SUMIFS('2024 Rev - NS'!$N:$N,'2024 Rev - NS'!$G:$G,'Build MCC'!$A95,'2024 Rev - NS'!$P:$P,'Build MCC'!$A$1,'2024 Rev - NS'!$O:$O,'Build MCC'!F$4)</f>
        <v>0</v>
      </c>
      <c r="G95" s="121">
        <f>SUMIFS('2024 Rev - NS'!$N:$N,'2024 Rev - NS'!$G:$G,'Build MCC'!$A95,'2024 Rev - NS'!$P:$P,'Build MCC'!$A$1,'2024 Rev - NS'!$O:$O,'Build MCC'!G$4)</f>
        <v>0</v>
      </c>
      <c r="H95" s="121">
        <f>SUMIFS('2024 Rev - NS'!$N:$N,'2024 Rev - NS'!$G:$G,'Build MCC'!$A95,'2024 Rev - NS'!$P:$P,'Build MCC'!$A$1,'2024 Rev - NS'!$O:$O,'Build MCC'!H$4)</f>
        <v>0</v>
      </c>
      <c r="I95" s="121">
        <f>SUMIFS('2024 Rev - NS'!$N:$N,'2024 Rev - NS'!$G:$G,'Build MCC'!$A95,'2024 Rev - NS'!$P:$P,'Build MCC'!$A$1,'2024 Rev - NS'!$O:$O,'Build MCC'!I$4)</f>
        <v>0</v>
      </c>
      <c r="J95" s="121">
        <f>SUMIFS('2024 Rev - NS'!$N:$N,'2024 Rev - NS'!$G:$G,'Build MCC'!$A95,'2024 Rev - NS'!$P:$P,'Build MCC'!$A$1,'2024 Rev - NS'!$O:$O,'Build MCC'!J$4)</f>
        <v>10651</v>
      </c>
      <c r="K95" s="121">
        <f>SUMIFS('2024 Rev - NS'!$N:$N,'2024 Rev - NS'!$G:$G,'Build MCC'!$A95,'2024 Rev - NS'!$P:$P,'Build MCC'!$A$1,'2024 Rev - NS'!$O:$O,'Build MCC'!K$4)</f>
        <v>759</v>
      </c>
      <c r="L95" s="121">
        <f>SUMIFS('2024 Rev - NS'!$N:$N,'2024 Rev - NS'!$G:$G,'Build MCC'!$A95,'2024 Rev - NS'!$P:$P,'Build MCC'!$A$1,'2024 Rev - NS'!$O:$O,'Build MCC'!L$4)</f>
        <v>0</v>
      </c>
      <c r="M95" s="121">
        <f>SUMIFS('2024 Rev - NS'!$N:$N,'2024 Rev - NS'!$G:$G,'Build MCC'!$A95,'2024 Rev - NS'!$P:$P,'Build MCC'!$A$1,'2024 Rev - NS'!$O:$O,'Build MCC'!M$4)</f>
        <v>0</v>
      </c>
      <c r="N95" s="121">
        <f t="shared" si="4"/>
        <v>11410</v>
      </c>
    </row>
    <row r="96" spans="1:14" x14ac:dyDescent="0.15">
      <c r="A96" s="286" t="s">
        <v>1841</v>
      </c>
      <c r="B96" s="121">
        <f>SUMIFS('2024 Rev - NS'!$N:$N,'2024 Rev - NS'!$G:$G,'Build MCC'!$A96,'2024 Rev - NS'!$P:$P,'Build MCC'!$A$1,'2024 Rev - NS'!$O:$O,'Build MCC'!B$4)</f>
        <v>0</v>
      </c>
      <c r="C96" s="121">
        <f>SUMIFS('2024 Rev - NS'!$N:$N,'2024 Rev - NS'!$G:$G,'Build MCC'!$A96,'2024 Rev - NS'!$P:$P,'Build MCC'!$A$1,'2024 Rev - NS'!$O:$O,'Build MCC'!C$4)</f>
        <v>0</v>
      </c>
      <c r="D96" s="121">
        <f>SUMIFS('2024 Rev - NS'!$N:$N,'2024 Rev - NS'!$G:$G,'Build MCC'!$A96,'2024 Rev - NS'!$P:$P,'Build MCC'!$A$1,'2024 Rev - NS'!$O:$O,'Build MCC'!D$4)</f>
        <v>0</v>
      </c>
      <c r="E96" s="121">
        <f>SUMIFS('2024 Rev - NS'!$N:$N,'2024 Rev - NS'!$G:$G,'Build MCC'!$A96,'2024 Rev - NS'!$P:$P,'Build MCC'!$A$1,'2024 Rev - NS'!$O:$O,'Build MCC'!E$4)</f>
        <v>0</v>
      </c>
      <c r="F96" s="121">
        <f>SUMIFS('2024 Rev - NS'!$N:$N,'2024 Rev - NS'!$G:$G,'Build MCC'!$A96,'2024 Rev - NS'!$P:$P,'Build MCC'!$A$1,'2024 Rev - NS'!$O:$O,'Build MCC'!F$4)</f>
        <v>0</v>
      </c>
      <c r="G96" s="121">
        <f>SUMIFS('2024 Rev - NS'!$N:$N,'2024 Rev - NS'!$G:$G,'Build MCC'!$A96,'2024 Rev - NS'!$P:$P,'Build MCC'!$A$1,'2024 Rev - NS'!$O:$O,'Build MCC'!G$4)</f>
        <v>0</v>
      </c>
      <c r="H96" s="121">
        <f>SUMIFS('2024 Rev - NS'!$N:$N,'2024 Rev - NS'!$G:$G,'Build MCC'!$A96,'2024 Rev - NS'!$P:$P,'Build MCC'!$A$1,'2024 Rev - NS'!$O:$O,'Build MCC'!H$4)</f>
        <v>0</v>
      </c>
      <c r="I96" s="121">
        <f>SUMIFS('2024 Rev - NS'!$N:$N,'2024 Rev - NS'!$G:$G,'Build MCC'!$A96,'2024 Rev - NS'!$P:$P,'Build MCC'!$A$1,'2024 Rev - NS'!$O:$O,'Build MCC'!I$4)</f>
        <v>0</v>
      </c>
      <c r="J96" s="121">
        <f>SUMIFS('2024 Rev - NS'!$N:$N,'2024 Rev - NS'!$G:$G,'Build MCC'!$A96,'2024 Rev - NS'!$P:$P,'Build MCC'!$A$1,'2024 Rev - NS'!$O:$O,'Build MCC'!J$4)</f>
        <v>0</v>
      </c>
      <c r="K96" s="121">
        <f>SUMIFS('2024 Rev - NS'!$N:$N,'2024 Rev - NS'!$G:$G,'Build MCC'!$A96,'2024 Rev - NS'!$P:$P,'Build MCC'!$A$1,'2024 Rev - NS'!$O:$O,'Build MCC'!K$4)</f>
        <v>0</v>
      </c>
      <c r="L96" s="121">
        <f>SUMIFS('2024 Rev - NS'!$N:$N,'2024 Rev - NS'!$G:$G,'Build MCC'!$A96,'2024 Rev - NS'!$P:$P,'Build MCC'!$A$1,'2024 Rev - NS'!$O:$O,'Build MCC'!L$4)</f>
        <v>0</v>
      </c>
      <c r="M96" s="121">
        <f>SUMIFS('2024 Rev - NS'!$N:$N,'2024 Rev - NS'!$G:$G,'Build MCC'!$A96,'2024 Rev - NS'!$P:$P,'Build MCC'!$A$1,'2024 Rev - NS'!$O:$O,'Build MCC'!M$4)</f>
        <v>0</v>
      </c>
      <c r="N96" s="121">
        <f t="shared" si="4"/>
        <v>0</v>
      </c>
    </row>
    <row r="97" spans="1:14" x14ac:dyDescent="0.15">
      <c r="A97" s="286" t="s">
        <v>2486</v>
      </c>
      <c r="B97" s="121">
        <f>SUMIFS('2024 Rev - NS'!$N:$N,'2024 Rev - NS'!$G:$G,'Build MCC'!$A97,'2024 Rev - NS'!$P:$P,'Build MCC'!$A$1,'2024 Rev - NS'!$O:$O,'Build MCC'!B$4)</f>
        <v>0</v>
      </c>
      <c r="C97" s="121">
        <f>SUMIFS('2024 Rev - NS'!$N:$N,'2024 Rev - NS'!$G:$G,'Build MCC'!$A97,'2024 Rev - NS'!$P:$P,'Build MCC'!$A$1,'2024 Rev - NS'!$O:$O,'Build MCC'!C$4)</f>
        <v>0</v>
      </c>
      <c r="D97" s="121">
        <f>SUMIFS('2024 Rev - NS'!$N:$N,'2024 Rev - NS'!$G:$G,'Build MCC'!$A97,'2024 Rev - NS'!$P:$P,'Build MCC'!$A$1,'2024 Rev - NS'!$O:$O,'Build MCC'!D$4)</f>
        <v>0</v>
      </c>
      <c r="E97" s="121">
        <f>SUMIFS('2024 Rev - NS'!$N:$N,'2024 Rev - NS'!$G:$G,'Build MCC'!$A97,'2024 Rev - NS'!$P:$P,'Build MCC'!$A$1,'2024 Rev - NS'!$O:$O,'Build MCC'!E$4)</f>
        <v>0</v>
      </c>
      <c r="F97" s="121">
        <f>SUMIFS('2024 Rev - NS'!$N:$N,'2024 Rev - NS'!$G:$G,'Build MCC'!$A97,'2024 Rev - NS'!$P:$P,'Build MCC'!$A$1,'2024 Rev - NS'!$O:$O,'Build MCC'!F$4)</f>
        <v>0</v>
      </c>
      <c r="G97" s="121">
        <f>SUMIFS('2024 Rev - NS'!$N:$N,'2024 Rev - NS'!$G:$G,'Build MCC'!$A97,'2024 Rev - NS'!$P:$P,'Build MCC'!$A$1,'2024 Rev - NS'!$O:$O,'Build MCC'!G$4)</f>
        <v>0</v>
      </c>
      <c r="H97" s="121">
        <f>SUMIFS('2024 Rev - NS'!$N:$N,'2024 Rev - NS'!$G:$G,'Build MCC'!$A97,'2024 Rev - NS'!$P:$P,'Build MCC'!$A$1,'2024 Rev - NS'!$O:$O,'Build MCC'!H$4)</f>
        <v>0</v>
      </c>
      <c r="I97" s="121">
        <f>SUMIFS('2024 Rev - NS'!$N:$N,'2024 Rev - NS'!$G:$G,'Build MCC'!$A97,'2024 Rev - NS'!$P:$P,'Build MCC'!$A$1,'2024 Rev - NS'!$O:$O,'Build MCC'!I$4)</f>
        <v>0</v>
      </c>
      <c r="J97" s="121">
        <f>SUMIFS('2024 Rev - NS'!$N:$N,'2024 Rev - NS'!$G:$G,'Build MCC'!$A97,'2024 Rev - NS'!$P:$P,'Build MCC'!$A$1,'2024 Rev - NS'!$O:$O,'Build MCC'!J$4)</f>
        <v>0</v>
      </c>
      <c r="K97" s="121">
        <f>SUMIFS('2024 Rev - NS'!$N:$N,'2024 Rev - NS'!$G:$G,'Build MCC'!$A97,'2024 Rev - NS'!$P:$P,'Build MCC'!$A$1,'2024 Rev - NS'!$O:$O,'Build MCC'!K$4)</f>
        <v>0</v>
      </c>
      <c r="L97" s="121">
        <f>SUMIFS('2024 Rev - NS'!$N:$N,'2024 Rev - NS'!$G:$G,'Build MCC'!$A97,'2024 Rev - NS'!$P:$P,'Build MCC'!$A$1,'2024 Rev - NS'!$O:$O,'Build MCC'!L$4)</f>
        <v>0</v>
      </c>
      <c r="M97" s="121">
        <f>SUMIFS('2024 Rev - NS'!$N:$N,'2024 Rev - NS'!$G:$G,'Build MCC'!$A97,'2024 Rev - NS'!$P:$P,'Build MCC'!$A$1,'2024 Rev - NS'!$O:$O,'Build MCC'!M$4)</f>
        <v>0</v>
      </c>
      <c r="N97" s="121">
        <f t="shared" si="4"/>
        <v>0</v>
      </c>
    </row>
    <row r="98" spans="1:14" x14ac:dyDescent="0.15">
      <c r="A98" s="286" t="s">
        <v>1316</v>
      </c>
      <c r="B98" s="121">
        <f>SUMIFS('2024 Rev - NS'!$N:$N,'2024 Rev - NS'!$G:$G,'Build MCC'!$A98,'2024 Rev - NS'!$P:$P,'Build MCC'!$A$1,'2024 Rev - NS'!$O:$O,'Build MCC'!B$4)</f>
        <v>0</v>
      </c>
      <c r="C98" s="121">
        <f>SUMIFS('2024 Rev - NS'!$N:$N,'2024 Rev - NS'!$G:$G,'Build MCC'!$A98,'2024 Rev - NS'!$P:$P,'Build MCC'!$A$1,'2024 Rev - NS'!$O:$O,'Build MCC'!C$4)</f>
        <v>0</v>
      </c>
      <c r="D98" s="121">
        <f>SUMIFS('2024 Rev - NS'!$N:$N,'2024 Rev - NS'!$G:$G,'Build MCC'!$A98,'2024 Rev - NS'!$P:$P,'Build MCC'!$A$1,'2024 Rev - NS'!$O:$O,'Build MCC'!D$4)</f>
        <v>0</v>
      </c>
      <c r="E98" s="121">
        <f>SUMIFS('2024 Rev - NS'!$N:$N,'2024 Rev - NS'!$G:$G,'Build MCC'!$A98,'2024 Rev - NS'!$P:$P,'Build MCC'!$A$1,'2024 Rev - NS'!$O:$O,'Build MCC'!E$4)</f>
        <v>0</v>
      </c>
      <c r="F98" s="121">
        <f>SUMIFS('2024 Rev - NS'!$N:$N,'2024 Rev - NS'!$G:$G,'Build MCC'!$A98,'2024 Rev - NS'!$P:$P,'Build MCC'!$A$1,'2024 Rev - NS'!$O:$O,'Build MCC'!F$4)</f>
        <v>0</v>
      </c>
      <c r="G98" s="121">
        <f>SUMIFS('2024 Rev - NS'!$N:$N,'2024 Rev - NS'!$G:$G,'Build MCC'!$A98,'2024 Rev - NS'!$P:$P,'Build MCC'!$A$1,'2024 Rev - NS'!$O:$O,'Build MCC'!G$4)</f>
        <v>0</v>
      </c>
      <c r="H98" s="121">
        <f>SUMIFS('2024 Rev - NS'!$N:$N,'2024 Rev - NS'!$G:$G,'Build MCC'!$A98,'2024 Rev - NS'!$P:$P,'Build MCC'!$A$1,'2024 Rev - NS'!$O:$O,'Build MCC'!H$4)</f>
        <v>0</v>
      </c>
      <c r="I98" s="121">
        <f>SUMIFS('2024 Rev - NS'!$N:$N,'2024 Rev - NS'!$G:$G,'Build MCC'!$A98,'2024 Rev - NS'!$P:$P,'Build MCC'!$A$1,'2024 Rev - NS'!$O:$O,'Build MCC'!I$4)</f>
        <v>0</v>
      </c>
      <c r="J98" s="121">
        <f>SUMIFS('2024 Rev - NS'!$N:$N,'2024 Rev - NS'!$G:$G,'Build MCC'!$A98,'2024 Rev - NS'!$P:$P,'Build MCC'!$A$1,'2024 Rev - NS'!$O:$O,'Build MCC'!J$4)</f>
        <v>0</v>
      </c>
      <c r="K98" s="121">
        <f>SUMIFS('2024 Rev - NS'!$N:$N,'2024 Rev - NS'!$G:$G,'Build MCC'!$A98,'2024 Rev - NS'!$P:$P,'Build MCC'!$A$1,'2024 Rev - NS'!$O:$O,'Build MCC'!K$4)</f>
        <v>0</v>
      </c>
      <c r="L98" s="121">
        <f>SUMIFS('2024 Rev - NS'!$N:$N,'2024 Rev - NS'!$G:$G,'Build MCC'!$A98,'2024 Rev - NS'!$P:$P,'Build MCC'!$A$1,'2024 Rev - NS'!$O:$O,'Build MCC'!L$4)</f>
        <v>0</v>
      </c>
      <c r="M98" s="121">
        <f>SUMIFS('2024 Rev - NS'!$N:$N,'2024 Rev - NS'!$G:$G,'Build MCC'!$A98,'2024 Rev - NS'!$P:$P,'Build MCC'!$A$1,'2024 Rev - NS'!$O:$O,'Build MCC'!M$4)</f>
        <v>0</v>
      </c>
      <c r="N98" s="121">
        <f t="shared" si="4"/>
        <v>0</v>
      </c>
    </row>
    <row r="99" spans="1:14" x14ac:dyDescent="0.15">
      <c r="A99" s="286" t="s">
        <v>1086</v>
      </c>
      <c r="B99" s="121">
        <f>SUMIFS('2024 Rev - NS'!$N:$N,'2024 Rev - NS'!$G:$G,'Build MCC'!$A99,'2024 Rev - NS'!$P:$P,'Build MCC'!$A$1,'2024 Rev - NS'!$O:$O,'Build MCC'!B$4)</f>
        <v>0</v>
      </c>
      <c r="C99" s="121">
        <f>SUMIFS('2024 Rev - NS'!$N:$N,'2024 Rev - NS'!$G:$G,'Build MCC'!$A99,'2024 Rev - NS'!$P:$P,'Build MCC'!$A$1,'2024 Rev - NS'!$O:$O,'Build MCC'!C$4)</f>
        <v>0</v>
      </c>
      <c r="D99" s="121">
        <f>SUMIFS('2024 Rev - NS'!$N:$N,'2024 Rev - NS'!$G:$G,'Build MCC'!$A99,'2024 Rev - NS'!$P:$P,'Build MCC'!$A$1,'2024 Rev - NS'!$O:$O,'Build MCC'!D$4)</f>
        <v>0</v>
      </c>
      <c r="E99" s="121">
        <f>SUMIFS('2024 Rev - NS'!$N:$N,'2024 Rev - NS'!$G:$G,'Build MCC'!$A99,'2024 Rev - NS'!$P:$P,'Build MCC'!$A$1,'2024 Rev - NS'!$O:$O,'Build MCC'!E$4)</f>
        <v>0</v>
      </c>
      <c r="F99" s="121">
        <f>SUMIFS('2024 Rev - NS'!$N:$N,'2024 Rev - NS'!$G:$G,'Build MCC'!$A99,'2024 Rev - NS'!$P:$P,'Build MCC'!$A$1,'2024 Rev - NS'!$O:$O,'Build MCC'!F$4)</f>
        <v>0</v>
      </c>
      <c r="G99" s="121">
        <f>SUMIFS('2024 Rev - NS'!$N:$N,'2024 Rev - NS'!$G:$G,'Build MCC'!$A99,'2024 Rev - NS'!$P:$P,'Build MCC'!$A$1,'2024 Rev - NS'!$O:$O,'Build MCC'!G$4)</f>
        <v>0</v>
      </c>
      <c r="H99" s="121">
        <f>SUMIFS('2024 Rev - NS'!$N:$N,'2024 Rev - NS'!$G:$G,'Build MCC'!$A99,'2024 Rev - NS'!$P:$P,'Build MCC'!$A$1,'2024 Rev - NS'!$O:$O,'Build MCC'!H$4)</f>
        <v>0</v>
      </c>
      <c r="I99" s="121">
        <f>SUMIFS('2024 Rev - NS'!$N:$N,'2024 Rev - NS'!$G:$G,'Build MCC'!$A99,'2024 Rev - NS'!$P:$P,'Build MCC'!$A$1,'2024 Rev - NS'!$O:$O,'Build MCC'!I$4)</f>
        <v>0</v>
      </c>
      <c r="J99" s="121">
        <f>SUMIFS('2024 Rev - NS'!$N:$N,'2024 Rev - NS'!$G:$G,'Build MCC'!$A99,'2024 Rev - NS'!$P:$P,'Build MCC'!$A$1,'2024 Rev - NS'!$O:$O,'Build MCC'!J$4)</f>
        <v>8865</v>
      </c>
      <c r="K99" s="121">
        <f>SUMIFS('2024 Rev - NS'!$N:$N,'2024 Rev - NS'!$G:$G,'Build MCC'!$A99,'2024 Rev - NS'!$P:$P,'Build MCC'!$A$1,'2024 Rev - NS'!$O:$O,'Build MCC'!K$4)</f>
        <v>0</v>
      </c>
      <c r="L99" s="121">
        <f>SUMIFS('2024 Rev - NS'!$N:$N,'2024 Rev - NS'!$G:$G,'Build MCC'!$A99,'2024 Rev - NS'!$P:$P,'Build MCC'!$A$1,'2024 Rev - NS'!$O:$O,'Build MCC'!L$4)</f>
        <v>0</v>
      </c>
      <c r="M99" s="121">
        <f>SUMIFS('2024 Rev - NS'!$N:$N,'2024 Rev - NS'!$G:$G,'Build MCC'!$A99,'2024 Rev - NS'!$P:$P,'Build MCC'!$A$1,'2024 Rev - NS'!$O:$O,'Build MCC'!M$4)</f>
        <v>0</v>
      </c>
      <c r="N99" s="121">
        <f t="shared" si="4"/>
        <v>8865</v>
      </c>
    </row>
    <row r="100" spans="1:14" x14ac:dyDescent="0.15">
      <c r="A100" s="286" t="s">
        <v>1087</v>
      </c>
      <c r="B100" s="121">
        <f>SUMIFS('2024 Rev - NS'!$N:$N,'2024 Rev - NS'!$G:$G,'Build MCC'!$A100,'2024 Rev - NS'!$P:$P,'Build MCC'!$A$1,'2024 Rev - NS'!$O:$O,'Build MCC'!B$4)</f>
        <v>0</v>
      </c>
      <c r="C100" s="121">
        <f>SUMIFS('2024 Rev - NS'!$N:$N,'2024 Rev - NS'!$G:$G,'Build MCC'!$A100,'2024 Rev - NS'!$P:$P,'Build MCC'!$A$1,'2024 Rev - NS'!$O:$O,'Build MCC'!C$4)</f>
        <v>0</v>
      </c>
      <c r="D100" s="121">
        <f>SUMIFS('2024 Rev - NS'!$N:$N,'2024 Rev - NS'!$G:$G,'Build MCC'!$A100,'2024 Rev - NS'!$P:$P,'Build MCC'!$A$1,'2024 Rev - NS'!$O:$O,'Build MCC'!D$4)</f>
        <v>0</v>
      </c>
      <c r="E100" s="121">
        <f>SUMIFS('2024 Rev - NS'!$N:$N,'2024 Rev - NS'!$G:$G,'Build MCC'!$A100,'2024 Rev - NS'!$P:$P,'Build MCC'!$A$1,'2024 Rev - NS'!$O:$O,'Build MCC'!E$4)</f>
        <v>0</v>
      </c>
      <c r="F100" s="121">
        <f>SUMIFS('2024 Rev - NS'!$N:$N,'2024 Rev - NS'!$G:$G,'Build MCC'!$A100,'2024 Rev - NS'!$P:$P,'Build MCC'!$A$1,'2024 Rev - NS'!$O:$O,'Build MCC'!F$4)</f>
        <v>0</v>
      </c>
      <c r="G100" s="121">
        <f>SUMIFS('2024 Rev - NS'!$N:$N,'2024 Rev - NS'!$G:$G,'Build MCC'!$A100,'2024 Rev - NS'!$P:$P,'Build MCC'!$A$1,'2024 Rev - NS'!$O:$O,'Build MCC'!G$4)</f>
        <v>0</v>
      </c>
      <c r="H100" s="121">
        <f>SUMIFS('2024 Rev - NS'!$N:$N,'2024 Rev - NS'!$G:$G,'Build MCC'!$A100,'2024 Rev - NS'!$P:$P,'Build MCC'!$A$1,'2024 Rev - NS'!$O:$O,'Build MCC'!H$4)</f>
        <v>0</v>
      </c>
      <c r="I100" s="121">
        <f>SUMIFS('2024 Rev - NS'!$N:$N,'2024 Rev - NS'!$G:$G,'Build MCC'!$A100,'2024 Rev - NS'!$P:$P,'Build MCC'!$A$1,'2024 Rev - NS'!$O:$O,'Build MCC'!I$4)</f>
        <v>0</v>
      </c>
      <c r="J100" s="121">
        <f>SUMIFS('2024 Rev - NS'!$N:$N,'2024 Rev - NS'!$G:$G,'Build MCC'!$A100,'2024 Rev - NS'!$P:$P,'Build MCC'!$A$1,'2024 Rev - NS'!$O:$O,'Build MCC'!J$4)</f>
        <v>0</v>
      </c>
      <c r="K100" s="121">
        <f>SUMIFS('2024 Rev - NS'!$N:$N,'2024 Rev - NS'!$G:$G,'Build MCC'!$A100,'2024 Rev - NS'!$P:$P,'Build MCC'!$A$1,'2024 Rev - NS'!$O:$O,'Build MCC'!K$4)</f>
        <v>0</v>
      </c>
      <c r="L100" s="121">
        <f>SUMIFS('2024 Rev - NS'!$N:$N,'2024 Rev - NS'!$G:$G,'Build MCC'!$A100,'2024 Rev - NS'!$P:$P,'Build MCC'!$A$1,'2024 Rev - NS'!$O:$O,'Build MCC'!L$4)</f>
        <v>0</v>
      </c>
      <c r="M100" s="121">
        <f>SUMIFS('2024 Rev - NS'!$N:$N,'2024 Rev - NS'!$G:$G,'Build MCC'!$A100,'2024 Rev - NS'!$P:$P,'Build MCC'!$A$1,'2024 Rev - NS'!$O:$O,'Build MCC'!M$4)</f>
        <v>0</v>
      </c>
      <c r="N100" s="121">
        <f t="shared" si="4"/>
        <v>0</v>
      </c>
    </row>
    <row r="101" spans="1:14" x14ac:dyDescent="0.15">
      <c r="A101" s="286" t="s">
        <v>1091</v>
      </c>
      <c r="B101" s="121">
        <f>SUMIFS('2024 Rev - NS'!$N:$N,'2024 Rev - NS'!$G:$G,'Build MCC'!$A101,'2024 Rev - NS'!$P:$P,'Build MCC'!$A$1,'2024 Rev - NS'!$O:$O,'Build MCC'!B$4)</f>
        <v>0</v>
      </c>
      <c r="C101" s="121">
        <f>SUMIFS('2024 Rev - NS'!$N:$N,'2024 Rev - NS'!$G:$G,'Build MCC'!$A101,'2024 Rev - NS'!$P:$P,'Build MCC'!$A$1,'2024 Rev - NS'!$O:$O,'Build MCC'!C$4)</f>
        <v>0</v>
      </c>
      <c r="D101" s="121">
        <f>SUMIFS('2024 Rev - NS'!$N:$N,'2024 Rev - NS'!$G:$G,'Build MCC'!$A101,'2024 Rev - NS'!$P:$P,'Build MCC'!$A$1,'2024 Rev - NS'!$O:$O,'Build MCC'!D$4)</f>
        <v>0</v>
      </c>
      <c r="E101" s="121">
        <f>SUMIFS('2024 Rev - NS'!$N:$N,'2024 Rev - NS'!$G:$G,'Build MCC'!$A101,'2024 Rev - NS'!$P:$P,'Build MCC'!$A$1,'2024 Rev - NS'!$O:$O,'Build MCC'!E$4)</f>
        <v>0</v>
      </c>
      <c r="F101" s="121">
        <f>SUMIFS('2024 Rev - NS'!$N:$N,'2024 Rev - NS'!$G:$G,'Build MCC'!$A101,'2024 Rev - NS'!$P:$P,'Build MCC'!$A$1,'2024 Rev - NS'!$O:$O,'Build MCC'!F$4)</f>
        <v>0</v>
      </c>
      <c r="G101" s="121">
        <f>SUMIFS('2024 Rev - NS'!$N:$N,'2024 Rev - NS'!$G:$G,'Build MCC'!$A101,'2024 Rev - NS'!$P:$P,'Build MCC'!$A$1,'2024 Rev - NS'!$O:$O,'Build MCC'!G$4)</f>
        <v>0</v>
      </c>
      <c r="H101" s="121">
        <f>SUMIFS('2024 Rev - NS'!$N:$N,'2024 Rev - NS'!$G:$G,'Build MCC'!$A101,'2024 Rev - NS'!$P:$P,'Build MCC'!$A$1,'2024 Rev - NS'!$O:$O,'Build MCC'!H$4)</f>
        <v>53179</v>
      </c>
      <c r="I101" s="121">
        <f>SUMIFS('2024 Rev - NS'!$N:$N,'2024 Rev - NS'!$G:$G,'Build MCC'!$A101,'2024 Rev - NS'!$P:$P,'Build MCC'!$A$1,'2024 Rev - NS'!$O:$O,'Build MCC'!I$4)</f>
        <v>0</v>
      </c>
      <c r="J101" s="121">
        <f>SUMIFS('2024 Rev - NS'!$N:$N,'2024 Rev - NS'!$G:$G,'Build MCC'!$A101,'2024 Rev - NS'!$P:$P,'Build MCC'!$A$1,'2024 Rev - NS'!$O:$O,'Build MCC'!J$4)</f>
        <v>0</v>
      </c>
      <c r="K101" s="121">
        <f>SUMIFS('2024 Rev - NS'!$N:$N,'2024 Rev - NS'!$G:$G,'Build MCC'!$A101,'2024 Rev - NS'!$P:$P,'Build MCC'!$A$1,'2024 Rev - NS'!$O:$O,'Build MCC'!K$4)</f>
        <v>0</v>
      </c>
      <c r="L101" s="121">
        <f>SUMIFS('2024 Rev - NS'!$N:$N,'2024 Rev - NS'!$G:$G,'Build MCC'!$A101,'2024 Rev - NS'!$P:$P,'Build MCC'!$A$1,'2024 Rev - NS'!$O:$O,'Build MCC'!L$4)</f>
        <v>0</v>
      </c>
      <c r="M101" s="121">
        <f>SUMIFS('2024 Rev - NS'!$N:$N,'2024 Rev - NS'!$G:$G,'Build MCC'!$A101,'2024 Rev - NS'!$P:$P,'Build MCC'!$A$1,'2024 Rev - NS'!$O:$O,'Build MCC'!M$4)</f>
        <v>0</v>
      </c>
      <c r="N101" s="121">
        <f t="shared" ref="N101:N107" si="5">SUM(B101:M101)</f>
        <v>53179</v>
      </c>
    </row>
    <row r="102" spans="1:14" x14ac:dyDescent="0.15">
      <c r="A102" s="286" t="s">
        <v>2460</v>
      </c>
      <c r="B102" s="121">
        <f>SUMIFS('2024 Rev - NS'!$N:$N,'2024 Rev - NS'!$G:$G,'Build MCC'!$A102,'2024 Rev - NS'!$P:$P,'Build MCC'!$A$1,'2024 Rev - NS'!$O:$O,'Build MCC'!B$4)</f>
        <v>0</v>
      </c>
      <c r="C102" s="121">
        <f>SUMIFS('2024 Rev - NS'!$N:$N,'2024 Rev - NS'!$G:$G,'Build MCC'!$A102,'2024 Rev - NS'!$P:$P,'Build MCC'!$A$1,'2024 Rev - NS'!$O:$O,'Build MCC'!C$4)</f>
        <v>0</v>
      </c>
      <c r="D102" s="121">
        <f>SUMIFS('2024 Rev - NS'!$N:$N,'2024 Rev - NS'!$G:$G,'Build MCC'!$A102,'2024 Rev - NS'!$P:$P,'Build MCC'!$A$1,'2024 Rev - NS'!$O:$O,'Build MCC'!D$4)</f>
        <v>0</v>
      </c>
      <c r="E102" s="121">
        <f>SUMIFS('2024 Rev - NS'!$N:$N,'2024 Rev - NS'!$G:$G,'Build MCC'!$A102,'2024 Rev - NS'!$P:$P,'Build MCC'!$A$1,'2024 Rev - NS'!$O:$O,'Build MCC'!E$4)</f>
        <v>0</v>
      </c>
      <c r="F102" s="121">
        <f>SUMIFS('2024 Rev - NS'!$N:$N,'2024 Rev - NS'!$G:$G,'Build MCC'!$A102,'2024 Rev - NS'!$P:$P,'Build MCC'!$A$1,'2024 Rev - NS'!$O:$O,'Build MCC'!F$4)</f>
        <v>0</v>
      </c>
      <c r="G102" s="121">
        <f>SUMIFS('2024 Rev - NS'!$N:$N,'2024 Rev - NS'!$G:$G,'Build MCC'!$A102,'2024 Rev - NS'!$P:$P,'Build MCC'!$A$1,'2024 Rev - NS'!$O:$O,'Build MCC'!G$4)</f>
        <v>0</v>
      </c>
      <c r="H102" s="121">
        <f>SUMIFS('2024 Rev - NS'!$N:$N,'2024 Rev - NS'!$G:$G,'Build MCC'!$A102,'2024 Rev - NS'!$P:$P,'Build MCC'!$A$1,'2024 Rev - NS'!$O:$O,'Build MCC'!H$4)</f>
        <v>0</v>
      </c>
      <c r="I102" s="121">
        <f>SUMIFS('2024 Rev - NS'!$N:$N,'2024 Rev - NS'!$G:$G,'Build MCC'!$A102,'2024 Rev - NS'!$P:$P,'Build MCC'!$A$1,'2024 Rev - NS'!$O:$O,'Build MCC'!I$4)</f>
        <v>0</v>
      </c>
      <c r="J102" s="121">
        <f>SUMIFS('2024 Rev - NS'!$N:$N,'2024 Rev - NS'!$G:$G,'Build MCC'!$A102,'2024 Rev - NS'!$P:$P,'Build MCC'!$A$1,'2024 Rev - NS'!$O:$O,'Build MCC'!J$4)</f>
        <v>0</v>
      </c>
      <c r="K102" s="121">
        <f>SUMIFS('2024 Rev - NS'!$N:$N,'2024 Rev - NS'!$G:$G,'Build MCC'!$A102,'2024 Rev - NS'!$P:$P,'Build MCC'!$A$1,'2024 Rev - NS'!$O:$O,'Build MCC'!K$4)</f>
        <v>0</v>
      </c>
      <c r="L102" s="121">
        <f>SUMIFS('2024 Rev - NS'!$N:$N,'2024 Rev - NS'!$G:$G,'Build MCC'!$A102,'2024 Rev - NS'!$P:$P,'Build MCC'!$A$1,'2024 Rev - NS'!$O:$O,'Build MCC'!L$4)</f>
        <v>0</v>
      </c>
      <c r="M102" s="121">
        <f>SUMIFS('2024 Rev - NS'!$N:$N,'2024 Rev - NS'!$G:$G,'Build MCC'!$A102,'2024 Rev - NS'!$P:$P,'Build MCC'!$A$1,'2024 Rev - NS'!$O:$O,'Build MCC'!M$4)</f>
        <v>0</v>
      </c>
      <c r="N102" s="121">
        <f t="shared" si="5"/>
        <v>0</v>
      </c>
    </row>
    <row r="103" spans="1:14" x14ac:dyDescent="0.15">
      <c r="A103" s="286" t="s">
        <v>1838</v>
      </c>
      <c r="B103" s="121">
        <f>SUMIFS('2024 Rev - NS'!$N:$N,'2024 Rev - NS'!$G:$G,'Build MCC'!$A103,'2024 Rev - NS'!$P:$P,'Build MCC'!$A$1,'2024 Rev - NS'!$O:$O,'Build MCC'!B$4)</f>
        <v>0</v>
      </c>
      <c r="C103" s="121">
        <f>SUMIFS('2024 Rev - NS'!$N:$N,'2024 Rev - NS'!$G:$G,'Build MCC'!$A103,'2024 Rev - NS'!$P:$P,'Build MCC'!$A$1,'2024 Rev - NS'!$O:$O,'Build MCC'!C$4)</f>
        <v>0</v>
      </c>
      <c r="D103" s="121">
        <f>SUMIFS('2024 Rev - NS'!$N:$N,'2024 Rev - NS'!$G:$G,'Build MCC'!$A103,'2024 Rev - NS'!$P:$P,'Build MCC'!$A$1,'2024 Rev - NS'!$O:$O,'Build MCC'!D$4)</f>
        <v>0</v>
      </c>
      <c r="E103" s="121">
        <f>SUMIFS('2024 Rev - NS'!$N:$N,'2024 Rev - NS'!$G:$G,'Build MCC'!$A103,'2024 Rev - NS'!$P:$P,'Build MCC'!$A$1,'2024 Rev - NS'!$O:$O,'Build MCC'!E$4)</f>
        <v>0</v>
      </c>
      <c r="F103" s="121">
        <f>SUMIFS('2024 Rev - NS'!$N:$N,'2024 Rev - NS'!$G:$G,'Build MCC'!$A103,'2024 Rev - NS'!$P:$P,'Build MCC'!$A$1,'2024 Rev - NS'!$O:$O,'Build MCC'!F$4)</f>
        <v>0</v>
      </c>
      <c r="G103" s="121">
        <f>SUMIFS('2024 Rev - NS'!$N:$N,'2024 Rev - NS'!$G:$G,'Build MCC'!$A103,'2024 Rev - NS'!$P:$P,'Build MCC'!$A$1,'2024 Rev - NS'!$O:$O,'Build MCC'!G$4)</f>
        <v>0</v>
      </c>
      <c r="H103" s="121">
        <f>SUMIFS('2024 Rev - NS'!$N:$N,'2024 Rev - NS'!$G:$G,'Build MCC'!$A103,'2024 Rev - NS'!$P:$P,'Build MCC'!$A$1,'2024 Rev - NS'!$O:$O,'Build MCC'!H$4)</f>
        <v>0</v>
      </c>
      <c r="I103" s="121">
        <f>SUMIFS('2024 Rev - NS'!$N:$N,'2024 Rev - NS'!$G:$G,'Build MCC'!$A103,'2024 Rev - NS'!$P:$P,'Build MCC'!$A$1,'2024 Rev - NS'!$O:$O,'Build MCC'!I$4)</f>
        <v>0</v>
      </c>
      <c r="J103" s="121">
        <f>SUMIFS('2024 Rev - NS'!$N:$N,'2024 Rev - NS'!$G:$G,'Build MCC'!$A103,'2024 Rev - NS'!$P:$P,'Build MCC'!$A$1,'2024 Rev - NS'!$O:$O,'Build MCC'!J$4)</f>
        <v>0</v>
      </c>
      <c r="K103" s="121">
        <f>SUMIFS('2024 Rev - NS'!$N:$N,'2024 Rev - NS'!$G:$G,'Build MCC'!$A103,'2024 Rev - NS'!$P:$P,'Build MCC'!$A$1,'2024 Rev - NS'!$O:$O,'Build MCC'!K$4)</f>
        <v>0</v>
      </c>
      <c r="L103" s="121">
        <f>SUMIFS('2024 Rev - NS'!$N:$N,'2024 Rev - NS'!$G:$G,'Build MCC'!$A103,'2024 Rev - NS'!$P:$P,'Build MCC'!$A$1,'2024 Rev - NS'!$O:$O,'Build MCC'!L$4)</f>
        <v>0</v>
      </c>
      <c r="M103" s="121">
        <f>SUMIFS('2024 Rev - NS'!$N:$N,'2024 Rev - NS'!$G:$G,'Build MCC'!$A103,'2024 Rev - NS'!$P:$P,'Build MCC'!$A$1,'2024 Rev - NS'!$O:$O,'Build MCC'!M$4)</f>
        <v>0</v>
      </c>
      <c r="N103" s="121">
        <f t="shared" si="5"/>
        <v>0</v>
      </c>
    </row>
    <row r="104" spans="1:14" x14ac:dyDescent="0.15">
      <c r="A104" s="286" t="s">
        <v>1088</v>
      </c>
      <c r="B104" s="121">
        <f>SUMIFS('2024 Rev - NS'!$N:$N,'2024 Rev - NS'!$G:$G,'Build MCC'!$A104,'2024 Rev - NS'!$P:$P,'Build MCC'!$A$1,'2024 Rev - NS'!$O:$O,'Build MCC'!B$4)</f>
        <v>0</v>
      </c>
      <c r="C104" s="121">
        <f>SUMIFS('2024 Rev - NS'!$N:$N,'2024 Rev - NS'!$G:$G,'Build MCC'!$A104,'2024 Rev - NS'!$P:$P,'Build MCC'!$A$1,'2024 Rev - NS'!$O:$O,'Build MCC'!C$4)</f>
        <v>0</v>
      </c>
      <c r="D104" s="121">
        <f>SUMIFS('2024 Rev - NS'!$N:$N,'2024 Rev - NS'!$G:$G,'Build MCC'!$A104,'2024 Rev - NS'!$P:$P,'Build MCC'!$A$1,'2024 Rev - NS'!$O:$O,'Build MCC'!D$4)</f>
        <v>0</v>
      </c>
      <c r="E104" s="121">
        <f>SUMIFS('2024 Rev - NS'!$N:$N,'2024 Rev - NS'!$G:$G,'Build MCC'!$A104,'2024 Rev - NS'!$P:$P,'Build MCC'!$A$1,'2024 Rev - NS'!$O:$O,'Build MCC'!E$4)</f>
        <v>0</v>
      </c>
      <c r="F104" s="121">
        <f>SUMIFS('2024 Rev - NS'!$N:$N,'2024 Rev - NS'!$G:$G,'Build MCC'!$A104,'2024 Rev - NS'!$P:$P,'Build MCC'!$A$1,'2024 Rev - NS'!$O:$O,'Build MCC'!F$4)</f>
        <v>0</v>
      </c>
      <c r="G104" s="121">
        <f>SUMIFS('2024 Rev - NS'!$N:$N,'2024 Rev - NS'!$G:$G,'Build MCC'!$A104,'2024 Rev - NS'!$P:$P,'Build MCC'!$A$1,'2024 Rev - NS'!$O:$O,'Build MCC'!G$4)</f>
        <v>8865</v>
      </c>
      <c r="H104" s="121">
        <f>SUMIFS('2024 Rev - NS'!$N:$N,'2024 Rev - NS'!$G:$G,'Build MCC'!$A104,'2024 Rev - NS'!$P:$P,'Build MCC'!$A$1,'2024 Rev - NS'!$O:$O,'Build MCC'!H$4)</f>
        <v>0</v>
      </c>
      <c r="I104" s="121">
        <f>SUMIFS('2024 Rev - NS'!$N:$N,'2024 Rev - NS'!$G:$G,'Build MCC'!$A104,'2024 Rev - NS'!$P:$P,'Build MCC'!$A$1,'2024 Rev - NS'!$O:$O,'Build MCC'!I$4)</f>
        <v>0</v>
      </c>
      <c r="J104" s="121">
        <f>SUMIFS('2024 Rev - NS'!$N:$N,'2024 Rev - NS'!$G:$G,'Build MCC'!$A104,'2024 Rev - NS'!$P:$P,'Build MCC'!$A$1,'2024 Rev - NS'!$O:$O,'Build MCC'!J$4)</f>
        <v>0</v>
      </c>
      <c r="K104" s="121">
        <f>SUMIFS('2024 Rev - NS'!$N:$N,'2024 Rev - NS'!$G:$G,'Build MCC'!$A104,'2024 Rev - NS'!$P:$P,'Build MCC'!$A$1,'2024 Rev - NS'!$O:$O,'Build MCC'!K$4)</f>
        <v>0</v>
      </c>
      <c r="L104" s="121">
        <f>SUMIFS('2024 Rev - NS'!$N:$N,'2024 Rev - NS'!$G:$G,'Build MCC'!$A104,'2024 Rev - NS'!$P:$P,'Build MCC'!$A$1,'2024 Rev - NS'!$O:$O,'Build MCC'!L$4)</f>
        <v>0</v>
      </c>
      <c r="M104" s="121">
        <f>SUMIFS('2024 Rev - NS'!$N:$N,'2024 Rev - NS'!$G:$G,'Build MCC'!$A104,'2024 Rev - NS'!$P:$P,'Build MCC'!$A$1,'2024 Rev - NS'!$O:$O,'Build MCC'!M$4)</f>
        <v>0</v>
      </c>
      <c r="N104" s="121">
        <f t="shared" si="5"/>
        <v>8865</v>
      </c>
    </row>
    <row r="105" spans="1:14" x14ac:dyDescent="0.15">
      <c r="A105" s="286" t="s">
        <v>1089</v>
      </c>
      <c r="B105" s="121">
        <f>SUMIFS('2024 Rev - NS'!$N:$N,'2024 Rev - NS'!$G:$G,'Build MCC'!$A105,'2024 Rev - NS'!$P:$P,'Build MCC'!$A$1,'2024 Rev - NS'!$O:$O,'Build MCC'!B$4)</f>
        <v>0</v>
      </c>
      <c r="C105" s="121">
        <f>SUMIFS('2024 Rev - NS'!$N:$N,'2024 Rev - NS'!$G:$G,'Build MCC'!$A105,'2024 Rev - NS'!$P:$P,'Build MCC'!$A$1,'2024 Rev - NS'!$O:$O,'Build MCC'!C$4)</f>
        <v>0</v>
      </c>
      <c r="D105" s="121">
        <f>SUMIFS('2024 Rev - NS'!$N:$N,'2024 Rev - NS'!$G:$G,'Build MCC'!$A105,'2024 Rev - NS'!$P:$P,'Build MCC'!$A$1,'2024 Rev - NS'!$O:$O,'Build MCC'!D$4)</f>
        <v>0</v>
      </c>
      <c r="E105" s="121">
        <f>SUMIFS('2024 Rev - NS'!$N:$N,'2024 Rev - NS'!$G:$G,'Build MCC'!$A105,'2024 Rev - NS'!$P:$P,'Build MCC'!$A$1,'2024 Rev - NS'!$O:$O,'Build MCC'!E$4)</f>
        <v>0</v>
      </c>
      <c r="F105" s="121">
        <f>SUMIFS('2024 Rev - NS'!$N:$N,'2024 Rev - NS'!$G:$G,'Build MCC'!$A105,'2024 Rev - NS'!$P:$P,'Build MCC'!$A$1,'2024 Rev - NS'!$O:$O,'Build MCC'!F$4)</f>
        <v>0</v>
      </c>
      <c r="G105" s="121">
        <f>SUMIFS('2024 Rev - NS'!$N:$N,'2024 Rev - NS'!$G:$G,'Build MCC'!$A105,'2024 Rev - NS'!$P:$P,'Build MCC'!$A$1,'2024 Rev - NS'!$O:$O,'Build MCC'!G$4)</f>
        <v>0</v>
      </c>
      <c r="H105" s="121">
        <f>SUMIFS('2024 Rev - NS'!$N:$N,'2024 Rev - NS'!$G:$G,'Build MCC'!$A105,'2024 Rev - NS'!$P:$P,'Build MCC'!$A$1,'2024 Rev - NS'!$O:$O,'Build MCC'!H$4)</f>
        <v>0</v>
      </c>
      <c r="I105" s="121">
        <f>SUMIFS('2024 Rev - NS'!$N:$N,'2024 Rev - NS'!$G:$G,'Build MCC'!$A105,'2024 Rev - NS'!$P:$P,'Build MCC'!$A$1,'2024 Rev - NS'!$O:$O,'Build MCC'!I$4)</f>
        <v>0</v>
      </c>
      <c r="J105" s="121">
        <f>SUMIFS('2024 Rev - NS'!$N:$N,'2024 Rev - NS'!$G:$G,'Build MCC'!$A105,'2024 Rev - NS'!$P:$P,'Build MCC'!$A$1,'2024 Rev - NS'!$O:$O,'Build MCC'!J$4)</f>
        <v>0</v>
      </c>
      <c r="K105" s="121">
        <f>SUMIFS('2024 Rev - NS'!$N:$N,'2024 Rev - NS'!$G:$G,'Build MCC'!$A105,'2024 Rev - NS'!$P:$P,'Build MCC'!$A$1,'2024 Rev - NS'!$O:$O,'Build MCC'!K$4)</f>
        <v>0</v>
      </c>
      <c r="L105" s="121">
        <f>SUMIFS('2024 Rev - NS'!$N:$N,'2024 Rev - NS'!$G:$G,'Build MCC'!$A105,'2024 Rev - NS'!$P:$P,'Build MCC'!$A$1,'2024 Rev - NS'!$O:$O,'Build MCC'!L$4)</f>
        <v>0</v>
      </c>
      <c r="M105" s="121">
        <f>SUMIFS('2024 Rev - NS'!$N:$N,'2024 Rev - NS'!$G:$G,'Build MCC'!$A105,'2024 Rev - NS'!$P:$P,'Build MCC'!$A$1,'2024 Rev - NS'!$O:$O,'Build MCC'!M$4)</f>
        <v>0</v>
      </c>
      <c r="N105" s="121">
        <f t="shared" si="5"/>
        <v>0</v>
      </c>
    </row>
    <row r="106" spans="1:14" x14ac:dyDescent="0.15">
      <c r="A106" s="286" t="s">
        <v>1090</v>
      </c>
      <c r="B106" s="121">
        <f>SUMIFS('2024 Rev - NS'!$N:$N,'2024 Rev - NS'!$G:$G,'Build MCC'!$A106,'2024 Rev - NS'!$P:$P,'Build MCC'!$A$1,'2024 Rev - NS'!$O:$O,'Build MCC'!B$4)</f>
        <v>0</v>
      </c>
      <c r="C106" s="121">
        <f>SUMIFS('2024 Rev - NS'!$N:$N,'2024 Rev - NS'!$G:$G,'Build MCC'!$A106,'2024 Rev - NS'!$P:$P,'Build MCC'!$A$1,'2024 Rev - NS'!$O:$O,'Build MCC'!C$4)</f>
        <v>0</v>
      </c>
      <c r="D106" s="121">
        <f>SUMIFS('2024 Rev - NS'!$N:$N,'2024 Rev - NS'!$G:$G,'Build MCC'!$A106,'2024 Rev - NS'!$P:$P,'Build MCC'!$A$1,'2024 Rev - NS'!$O:$O,'Build MCC'!D$4)</f>
        <v>0</v>
      </c>
      <c r="E106" s="121">
        <f>SUMIFS('2024 Rev - NS'!$N:$N,'2024 Rev - NS'!$G:$G,'Build MCC'!$A106,'2024 Rev - NS'!$P:$P,'Build MCC'!$A$1,'2024 Rev - NS'!$O:$O,'Build MCC'!E$4)</f>
        <v>0</v>
      </c>
      <c r="F106" s="121">
        <f>SUMIFS('2024 Rev - NS'!$N:$N,'2024 Rev - NS'!$G:$G,'Build MCC'!$A106,'2024 Rev - NS'!$P:$P,'Build MCC'!$A$1,'2024 Rev - NS'!$O:$O,'Build MCC'!F$4)</f>
        <v>0</v>
      </c>
      <c r="G106" s="121">
        <f>SUMIFS('2024 Rev - NS'!$N:$N,'2024 Rev - NS'!$G:$G,'Build MCC'!$A106,'2024 Rev - NS'!$P:$P,'Build MCC'!$A$1,'2024 Rev - NS'!$O:$O,'Build MCC'!G$4)</f>
        <v>0</v>
      </c>
      <c r="H106" s="121">
        <f>SUMIFS('2024 Rev - NS'!$N:$N,'2024 Rev - NS'!$G:$G,'Build MCC'!$A106,'2024 Rev - NS'!$P:$P,'Build MCC'!$A$1,'2024 Rev - NS'!$O:$O,'Build MCC'!H$4)</f>
        <v>0</v>
      </c>
      <c r="I106" s="121">
        <f>SUMIFS('2024 Rev - NS'!$N:$N,'2024 Rev - NS'!$G:$G,'Build MCC'!$A106,'2024 Rev - NS'!$P:$P,'Build MCC'!$A$1,'2024 Rev - NS'!$O:$O,'Build MCC'!I$4)</f>
        <v>0</v>
      </c>
      <c r="J106" s="121">
        <f>SUMIFS('2024 Rev - NS'!$N:$N,'2024 Rev - NS'!$G:$G,'Build MCC'!$A106,'2024 Rev - NS'!$P:$P,'Build MCC'!$A$1,'2024 Rev - NS'!$O:$O,'Build MCC'!J$4)</f>
        <v>0</v>
      </c>
      <c r="K106" s="121">
        <f>SUMIFS('2024 Rev - NS'!$N:$N,'2024 Rev - NS'!$G:$G,'Build MCC'!$A106,'2024 Rev - NS'!$P:$P,'Build MCC'!$A$1,'2024 Rev - NS'!$O:$O,'Build MCC'!K$4)</f>
        <v>0</v>
      </c>
      <c r="L106" s="121">
        <f>SUMIFS('2024 Rev - NS'!$N:$N,'2024 Rev - NS'!$G:$G,'Build MCC'!$A106,'2024 Rev - NS'!$P:$P,'Build MCC'!$A$1,'2024 Rev - NS'!$O:$O,'Build MCC'!L$4)</f>
        <v>0</v>
      </c>
      <c r="M106" s="121">
        <f>SUMIFS('2024 Rev - NS'!$N:$N,'2024 Rev - NS'!$G:$G,'Build MCC'!$A106,'2024 Rev - NS'!$P:$P,'Build MCC'!$A$1,'2024 Rev - NS'!$O:$O,'Build MCC'!M$4)</f>
        <v>0</v>
      </c>
      <c r="N106" s="121">
        <f t="shared" si="5"/>
        <v>0</v>
      </c>
    </row>
    <row r="107" spans="1:14" x14ac:dyDescent="0.15">
      <c r="A107" s="286" t="s">
        <v>2476</v>
      </c>
      <c r="B107" s="121">
        <f>SUMIFS('2024 Rev - NS'!$N:$N,'2024 Rev - NS'!$G:$G,'Build MCC'!$A107,'2024 Rev - NS'!$P:$P,'Build MCC'!$A$1,'2024 Rev - NS'!$O:$O,'Build MCC'!B$4)</f>
        <v>0</v>
      </c>
      <c r="C107" s="121">
        <f>SUMIFS('2024 Rev - NS'!$N:$N,'2024 Rev - NS'!$G:$G,'Build MCC'!$A107,'2024 Rev - NS'!$P:$P,'Build MCC'!$A$1,'2024 Rev - NS'!$O:$O,'Build MCC'!C$4)</f>
        <v>0</v>
      </c>
      <c r="D107" s="121">
        <f>SUMIFS('2024 Rev - NS'!$N:$N,'2024 Rev - NS'!$G:$G,'Build MCC'!$A107,'2024 Rev - NS'!$P:$P,'Build MCC'!$A$1,'2024 Rev - NS'!$O:$O,'Build MCC'!D$4)</f>
        <v>0</v>
      </c>
      <c r="E107" s="121">
        <f>SUMIFS('2024 Rev - NS'!$N:$N,'2024 Rev - NS'!$G:$G,'Build MCC'!$A107,'2024 Rev - NS'!$P:$P,'Build MCC'!$A$1,'2024 Rev - NS'!$O:$O,'Build MCC'!E$4)</f>
        <v>0</v>
      </c>
      <c r="F107" s="121">
        <f>SUMIFS('2024 Rev - NS'!$N:$N,'2024 Rev - NS'!$G:$G,'Build MCC'!$A107,'2024 Rev - NS'!$P:$P,'Build MCC'!$A$1,'2024 Rev - NS'!$O:$O,'Build MCC'!F$4)</f>
        <v>0</v>
      </c>
      <c r="G107" s="121">
        <f>SUMIFS('2024 Rev - NS'!$N:$N,'2024 Rev - NS'!$G:$G,'Build MCC'!$A107,'2024 Rev - NS'!$P:$P,'Build MCC'!$A$1,'2024 Rev - NS'!$O:$O,'Build MCC'!G$4)</f>
        <v>0</v>
      </c>
      <c r="H107" s="121">
        <f>SUMIFS('2024 Rev - NS'!$N:$N,'2024 Rev - NS'!$G:$G,'Build MCC'!$A107,'2024 Rev - NS'!$P:$P,'Build MCC'!$A$1,'2024 Rev - NS'!$O:$O,'Build MCC'!H$4)</f>
        <v>0</v>
      </c>
      <c r="I107" s="121">
        <f>SUMIFS('2024 Rev - NS'!$N:$N,'2024 Rev - NS'!$G:$G,'Build MCC'!$A107,'2024 Rev - NS'!$P:$P,'Build MCC'!$A$1,'2024 Rev - NS'!$O:$O,'Build MCC'!I$4)</f>
        <v>0</v>
      </c>
      <c r="J107" s="121">
        <f>SUMIFS('2024 Rev - NS'!$N:$N,'2024 Rev - NS'!$G:$G,'Build MCC'!$A107,'2024 Rev - NS'!$P:$P,'Build MCC'!$A$1,'2024 Rev - NS'!$O:$O,'Build MCC'!J$4)</f>
        <v>0</v>
      </c>
      <c r="K107" s="121">
        <f>SUMIFS('2024 Rev - NS'!$N:$N,'2024 Rev - NS'!$G:$G,'Build MCC'!$A107,'2024 Rev - NS'!$P:$P,'Build MCC'!$A$1,'2024 Rev - NS'!$O:$O,'Build MCC'!K$4)</f>
        <v>0</v>
      </c>
      <c r="L107" s="121">
        <f>SUMIFS('2024 Rev - NS'!$N:$N,'2024 Rev - NS'!$G:$G,'Build MCC'!$A107,'2024 Rev - NS'!$P:$P,'Build MCC'!$A$1,'2024 Rev - NS'!$O:$O,'Build MCC'!L$4)</f>
        <v>0</v>
      </c>
      <c r="M107" s="121">
        <f>SUMIFS('2024 Rev - NS'!$N:$N,'2024 Rev - NS'!$G:$G,'Build MCC'!$A107,'2024 Rev - NS'!$P:$P,'Build MCC'!$A$1,'2024 Rev - NS'!$O:$O,'Build MCC'!M$4)</f>
        <v>0</v>
      </c>
      <c r="N107" s="121">
        <f t="shared" si="5"/>
        <v>0</v>
      </c>
    </row>
  </sheetData>
  <autoFilter ref="A4:N4" xr:uid="{C03F2F04-AD82-40BA-8C16-77966A2752DC}"/>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E96B5-D19D-4A79-A220-AA164885E1BB}">
  <dimension ref="C1:L97"/>
  <sheetViews>
    <sheetView workbookViewId="0">
      <selection activeCell="L64" sqref="L64"/>
    </sheetView>
  </sheetViews>
  <sheetFormatPr baseColWidth="10" defaultColWidth="8.83203125" defaultRowHeight="15" x14ac:dyDescent="0.2"/>
  <cols>
    <col min="3" max="3" width="40.5" bestFit="1" customWidth="1"/>
    <col min="5" max="5" width="17.5" bestFit="1" customWidth="1"/>
    <col min="6" max="6" width="36.5" bestFit="1" customWidth="1"/>
  </cols>
  <sheetData>
    <row r="1" spans="3:12" x14ac:dyDescent="0.2">
      <c r="C1" t="s">
        <v>2578</v>
      </c>
      <c r="E1" t="s">
        <v>2578</v>
      </c>
      <c r="J1" t="s">
        <v>2579</v>
      </c>
      <c r="K1" t="s">
        <v>2579</v>
      </c>
      <c r="L1" t="s">
        <v>2579</v>
      </c>
    </row>
    <row r="2" spans="3:12" x14ac:dyDescent="0.2">
      <c r="C2" s="286" t="s">
        <v>1002</v>
      </c>
      <c r="E2" s="110" t="s">
        <v>195</v>
      </c>
      <c r="F2" s="110" t="s">
        <v>1002</v>
      </c>
      <c r="J2" s="110" t="s">
        <v>998</v>
      </c>
      <c r="K2" s="110" t="s">
        <v>998</v>
      </c>
      <c r="L2" s="110" t="s">
        <v>998</v>
      </c>
    </row>
    <row r="3" spans="3:12" x14ac:dyDescent="0.2">
      <c r="C3" s="286" t="s">
        <v>1004</v>
      </c>
      <c r="E3" s="110" t="s">
        <v>798</v>
      </c>
      <c r="F3" s="110" t="s">
        <v>1003</v>
      </c>
      <c r="J3" s="110" t="s">
        <v>58</v>
      </c>
      <c r="K3" s="110" t="s">
        <v>58</v>
      </c>
      <c r="L3" s="110" t="s">
        <v>58</v>
      </c>
    </row>
    <row r="4" spans="3:12" x14ac:dyDescent="0.2">
      <c r="C4" s="286" t="s">
        <v>1084</v>
      </c>
      <c r="E4" s="110" t="s">
        <v>409</v>
      </c>
      <c r="F4" s="110" t="s">
        <v>1004</v>
      </c>
      <c r="J4" s="110" t="s">
        <v>61</v>
      </c>
      <c r="K4" s="110" t="s">
        <v>61</v>
      </c>
      <c r="L4" s="110" t="s">
        <v>61</v>
      </c>
    </row>
    <row r="5" spans="3:12" x14ac:dyDescent="0.2">
      <c r="C5" s="286" t="s">
        <v>1006</v>
      </c>
      <c r="E5" s="110" t="s">
        <v>147</v>
      </c>
      <c r="F5" s="110" t="s">
        <v>1005</v>
      </c>
      <c r="J5" s="110" t="s">
        <v>351</v>
      </c>
      <c r="K5" s="110" t="s">
        <v>351</v>
      </c>
      <c r="L5" s="110" t="s">
        <v>351</v>
      </c>
    </row>
    <row r="6" spans="3:12" x14ac:dyDescent="0.2">
      <c r="C6" s="286" t="s">
        <v>1007</v>
      </c>
      <c r="E6" s="110" t="s">
        <v>210</v>
      </c>
      <c r="F6" s="110" t="s">
        <v>1006</v>
      </c>
      <c r="J6" s="110" t="s">
        <v>600</v>
      </c>
      <c r="K6" s="110" t="s">
        <v>600</v>
      </c>
      <c r="L6" s="110" t="s">
        <v>600</v>
      </c>
    </row>
    <row r="7" spans="3:12" x14ac:dyDescent="0.2">
      <c r="C7" s="286" t="s">
        <v>2025</v>
      </c>
      <c r="E7" s="110" t="s">
        <v>199</v>
      </c>
      <c r="F7" s="110" t="s">
        <v>1007</v>
      </c>
      <c r="J7" s="110" t="s">
        <v>156</v>
      </c>
      <c r="K7" s="110" t="s">
        <v>156</v>
      </c>
      <c r="L7" s="110" t="s">
        <v>156</v>
      </c>
    </row>
    <row r="8" spans="3:12" x14ac:dyDescent="0.2">
      <c r="C8" s="286" t="s">
        <v>1010</v>
      </c>
      <c r="E8" s="110" t="s">
        <v>91</v>
      </c>
      <c r="F8" s="110" t="s">
        <v>1008</v>
      </c>
      <c r="J8" s="110" t="s">
        <v>49</v>
      </c>
      <c r="K8" s="110" t="s">
        <v>49</v>
      </c>
      <c r="L8" s="110" t="s">
        <v>49</v>
      </c>
    </row>
    <row r="9" spans="3:12" x14ac:dyDescent="0.2">
      <c r="C9" s="286" t="s">
        <v>1011</v>
      </c>
      <c r="E9" s="110" t="s">
        <v>548</v>
      </c>
      <c r="F9" s="110" t="s">
        <v>1009</v>
      </c>
      <c r="J9" s="110" t="s">
        <v>99</v>
      </c>
      <c r="K9" s="110" t="s">
        <v>99</v>
      </c>
      <c r="L9" s="110" t="s">
        <v>99</v>
      </c>
    </row>
    <row r="10" spans="3:12" x14ac:dyDescent="0.2">
      <c r="C10" s="286" t="s">
        <v>1014</v>
      </c>
      <c r="E10" s="110" t="s">
        <v>315</v>
      </c>
      <c r="F10" s="110" t="s">
        <v>1010</v>
      </c>
      <c r="J10" s="110" t="s">
        <v>452</v>
      </c>
      <c r="K10" s="110" t="s">
        <v>452</v>
      </c>
      <c r="L10" s="110" t="s">
        <v>452</v>
      </c>
    </row>
    <row r="11" spans="3:12" x14ac:dyDescent="0.2">
      <c r="C11" s="286" t="s">
        <v>1016</v>
      </c>
      <c r="E11" s="110" t="s">
        <v>557</v>
      </c>
      <c r="F11" s="110" t="s">
        <v>1011</v>
      </c>
      <c r="J11" s="110" t="s">
        <v>175</v>
      </c>
      <c r="K11" s="110" t="s">
        <v>175</v>
      </c>
      <c r="L11" s="110" t="s">
        <v>175</v>
      </c>
    </row>
    <row r="12" spans="3:12" x14ac:dyDescent="0.2">
      <c r="C12" s="286" t="s">
        <v>1017</v>
      </c>
      <c r="E12" s="110" t="s">
        <v>233</v>
      </c>
      <c r="F12" s="110" t="s">
        <v>1012</v>
      </c>
      <c r="J12" s="110" t="s">
        <v>248</v>
      </c>
      <c r="K12" s="110" t="s">
        <v>248</v>
      </c>
      <c r="L12" s="110" t="s">
        <v>248</v>
      </c>
    </row>
    <row r="13" spans="3:12" x14ac:dyDescent="0.2">
      <c r="C13" s="286" t="s">
        <v>1021</v>
      </c>
      <c r="E13" s="110" t="s">
        <v>547</v>
      </c>
      <c r="F13" s="110" t="s">
        <v>1013</v>
      </c>
      <c r="J13" s="110" t="s">
        <v>171</v>
      </c>
      <c r="K13" s="110" t="s">
        <v>171</v>
      </c>
      <c r="L13" s="110" t="s">
        <v>171</v>
      </c>
    </row>
    <row r="14" spans="3:12" x14ac:dyDescent="0.2">
      <c r="C14" s="286" t="s">
        <v>1024</v>
      </c>
      <c r="E14" s="110" t="s">
        <v>625</v>
      </c>
      <c r="F14" s="110" t="s">
        <v>1014</v>
      </c>
      <c r="J14" s="110" t="s">
        <v>55</v>
      </c>
      <c r="K14" s="110" t="s">
        <v>55</v>
      </c>
      <c r="L14" s="110" t="s">
        <v>55</v>
      </c>
    </row>
    <row r="15" spans="3:12" x14ac:dyDescent="0.2">
      <c r="C15" s="110" t="s">
        <v>1023</v>
      </c>
      <c r="E15" s="110" t="s">
        <v>127</v>
      </c>
      <c r="F15" s="110" t="s">
        <v>1015</v>
      </c>
      <c r="J15" s="110" t="s">
        <v>201</v>
      </c>
      <c r="K15" s="110" t="s">
        <v>201</v>
      </c>
      <c r="L15" s="110" t="s">
        <v>201</v>
      </c>
    </row>
    <row r="16" spans="3:12" x14ac:dyDescent="0.2">
      <c r="C16" s="286" t="s">
        <v>1025</v>
      </c>
      <c r="E16" s="110" t="s">
        <v>296</v>
      </c>
      <c r="F16" s="110" t="s">
        <v>1766</v>
      </c>
      <c r="J16" s="110" t="s">
        <v>159</v>
      </c>
      <c r="K16" s="110" t="s">
        <v>159</v>
      </c>
      <c r="L16" s="110" t="s">
        <v>159</v>
      </c>
    </row>
    <row r="17" spans="3:12" x14ac:dyDescent="0.2">
      <c r="C17" s="286" t="s">
        <v>1026</v>
      </c>
      <c r="E17" s="110" t="s">
        <v>307</v>
      </c>
      <c r="F17" s="110" t="s">
        <v>1017</v>
      </c>
      <c r="J17" s="110" t="s">
        <v>164</v>
      </c>
      <c r="K17" s="110" t="s">
        <v>164</v>
      </c>
      <c r="L17" s="110" t="s">
        <v>164</v>
      </c>
    </row>
    <row r="18" spans="3:12" x14ac:dyDescent="0.2">
      <c r="C18" s="286" t="s">
        <v>1028</v>
      </c>
      <c r="E18" s="110" t="s">
        <v>200</v>
      </c>
      <c r="F18" s="110" t="s">
        <v>1018</v>
      </c>
      <c r="J18" s="110" t="s">
        <v>37</v>
      </c>
      <c r="K18" s="110" t="s">
        <v>37</v>
      </c>
      <c r="L18" s="110" t="s">
        <v>37</v>
      </c>
    </row>
    <row r="19" spans="3:12" x14ac:dyDescent="0.2">
      <c r="C19" s="286" t="s">
        <v>1029</v>
      </c>
      <c r="E19" s="110" t="s">
        <v>758</v>
      </c>
      <c r="F19" s="110" t="s">
        <v>1019</v>
      </c>
      <c r="J19" s="110" t="s">
        <v>180</v>
      </c>
      <c r="K19" s="110" t="s">
        <v>180</v>
      </c>
      <c r="L19" s="110" t="s">
        <v>180</v>
      </c>
    </row>
    <row r="20" spans="3:12" x14ac:dyDescent="0.2">
      <c r="C20" s="286" t="s">
        <v>1030</v>
      </c>
      <c r="E20" s="110" t="s">
        <v>67</v>
      </c>
      <c r="F20" s="110" t="s">
        <v>1020</v>
      </c>
      <c r="J20" s="110" t="s">
        <v>47</v>
      </c>
      <c r="K20" s="110" t="s">
        <v>47</v>
      </c>
      <c r="L20" s="110" t="s">
        <v>47</v>
      </c>
    </row>
    <row r="21" spans="3:12" x14ac:dyDescent="0.2">
      <c r="C21" s="286" t="s">
        <v>1608</v>
      </c>
      <c r="E21" s="110" t="s">
        <v>639</v>
      </c>
      <c r="F21" s="110" t="s">
        <v>1021</v>
      </c>
      <c r="J21" s="110" t="s">
        <v>279</v>
      </c>
      <c r="K21" s="110" t="s">
        <v>279</v>
      </c>
      <c r="L21" s="110" t="s">
        <v>279</v>
      </c>
    </row>
    <row r="22" spans="3:12" x14ac:dyDescent="0.2">
      <c r="C22" s="286" t="s">
        <v>1031</v>
      </c>
      <c r="E22" s="110" t="s">
        <v>889</v>
      </c>
      <c r="F22" s="110" t="s">
        <v>1022</v>
      </c>
      <c r="J22" s="110" t="s">
        <v>799</v>
      </c>
      <c r="K22" s="110" t="s">
        <v>799</v>
      </c>
      <c r="L22" s="110" t="s">
        <v>799</v>
      </c>
    </row>
    <row r="23" spans="3:12" x14ac:dyDescent="0.2">
      <c r="C23" s="286" t="s">
        <v>1033</v>
      </c>
      <c r="E23" s="110" t="s">
        <v>365</v>
      </c>
      <c r="F23" s="110" t="s">
        <v>1023</v>
      </c>
    </row>
    <row r="24" spans="3:12" x14ac:dyDescent="0.2">
      <c r="C24" s="286" t="s">
        <v>1036</v>
      </c>
      <c r="E24" s="110" t="s">
        <v>174</v>
      </c>
      <c r="F24" s="110" t="s">
        <v>1024</v>
      </c>
    </row>
    <row r="25" spans="3:12" x14ac:dyDescent="0.2">
      <c r="C25" s="286" t="s">
        <v>1037</v>
      </c>
      <c r="E25" s="110" t="s">
        <v>36</v>
      </c>
      <c r="F25" s="110" t="s">
        <v>1025</v>
      </c>
    </row>
    <row r="26" spans="3:12" x14ac:dyDescent="0.2">
      <c r="C26" s="286" t="s">
        <v>1038</v>
      </c>
      <c r="E26" s="110" t="s">
        <v>576</v>
      </c>
      <c r="F26" s="110" t="s">
        <v>1026</v>
      </c>
    </row>
    <row r="27" spans="3:12" x14ac:dyDescent="0.2">
      <c r="C27" s="286" t="s">
        <v>1042</v>
      </c>
      <c r="E27" s="110" t="s">
        <v>198</v>
      </c>
      <c r="F27" s="110" t="s">
        <v>1027</v>
      </c>
    </row>
    <row r="28" spans="3:12" x14ac:dyDescent="0.2">
      <c r="C28" s="286" t="s">
        <v>1043</v>
      </c>
      <c r="E28" s="110" t="s">
        <v>115</v>
      </c>
      <c r="F28" s="110" t="s">
        <v>1028</v>
      </c>
    </row>
    <row r="29" spans="3:12" x14ac:dyDescent="0.2">
      <c r="C29" s="286" t="s">
        <v>1044</v>
      </c>
      <c r="E29" s="110" t="s">
        <v>277</v>
      </c>
      <c r="F29" s="110" t="s">
        <v>1029</v>
      </c>
    </row>
    <row r="30" spans="3:12" x14ac:dyDescent="0.2">
      <c r="C30" s="110" t="s">
        <v>1041</v>
      </c>
      <c r="E30" s="110" t="s">
        <v>152</v>
      </c>
      <c r="F30" s="110" t="s">
        <v>1030</v>
      </c>
    </row>
    <row r="31" spans="3:12" x14ac:dyDescent="0.2">
      <c r="C31" s="286" t="s">
        <v>1045</v>
      </c>
      <c r="E31" s="110" t="s">
        <v>699</v>
      </c>
      <c r="F31" s="110" t="s">
        <v>1031</v>
      </c>
    </row>
    <row r="32" spans="3:12" x14ac:dyDescent="0.2">
      <c r="C32" s="286" t="s">
        <v>1050</v>
      </c>
      <c r="E32" s="110" t="s">
        <v>327</v>
      </c>
      <c r="F32" s="110" t="s">
        <v>1032</v>
      </c>
    </row>
    <row r="33" spans="3:8" x14ac:dyDescent="0.2">
      <c r="C33" s="286" t="s">
        <v>1048</v>
      </c>
      <c r="E33" s="110" t="s">
        <v>97</v>
      </c>
      <c r="F33" s="110" t="s">
        <v>1033</v>
      </c>
    </row>
    <row r="34" spans="3:8" x14ac:dyDescent="0.2">
      <c r="C34" s="286" t="s">
        <v>1052</v>
      </c>
      <c r="E34" s="110" t="s">
        <v>665</v>
      </c>
      <c r="F34" s="110" t="s">
        <v>2580</v>
      </c>
    </row>
    <row r="35" spans="3:8" x14ac:dyDescent="0.2">
      <c r="C35" s="286" t="s">
        <v>1054</v>
      </c>
      <c r="E35" s="110" t="s">
        <v>264</v>
      </c>
      <c r="F35" s="110" t="s">
        <v>1035</v>
      </c>
    </row>
    <row r="36" spans="3:8" x14ac:dyDescent="0.2">
      <c r="C36" s="110" t="s">
        <v>1055</v>
      </c>
      <c r="E36" s="110" t="s">
        <v>683</v>
      </c>
      <c r="F36" s="110" t="s">
        <v>1036</v>
      </c>
    </row>
    <row r="37" spans="3:8" x14ac:dyDescent="0.2">
      <c r="C37" s="286" t="s">
        <v>1056</v>
      </c>
      <c r="E37" s="110" t="s">
        <v>788</v>
      </c>
      <c r="F37" s="110" t="s">
        <v>1037</v>
      </c>
    </row>
    <row r="38" spans="3:8" x14ac:dyDescent="0.2">
      <c r="C38" s="286" t="s">
        <v>1058</v>
      </c>
      <c r="E38" s="110" t="s">
        <v>426</v>
      </c>
      <c r="F38" s="110" t="s">
        <v>1038</v>
      </c>
    </row>
    <row r="39" spans="3:8" x14ac:dyDescent="0.2">
      <c r="C39" s="286" t="s">
        <v>1349</v>
      </c>
      <c r="E39" s="110" t="s">
        <v>121</v>
      </c>
      <c r="F39" s="110" t="s">
        <v>1039</v>
      </c>
    </row>
    <row r="40" spans="3:8" x14ac:dyDescent="0.2">
      <c r="C40" s="286" t="s">
        <v>1059</v>
      </c>
      <c r="E40" s="110" t="s">
        <v>404</v>
      </c>
      <c r="F40" s="110" t="e">
        <v>#N/A</v>
      </c>
    </row>
    <row r="41" spans="3:8" x14ac:dyDescent="0.2">
      <c r="C41" s="286" t="s">
        <v>505</v>
      </c>
      <c r="E41" s="110" t="s">
        <v>294</v>
      </c>
      <c r="F41" s="110" t="s">
        <v>1040</v>
      </c>
    </row>
    <row r="42" spans="3:8" x14ac:dyDescent="0.2">
      <c r="C42" s="286" t="s">
        <v>1061</v>
      </c>
      <c r="E42" s="110" t="s">
        <v>638</v>
      </c>
      <c r="F42" s="110" t="s">
        <v>1041</v>
      </c>
    </row>
    <row r="43" spans="3:8" x14ac:dyDescent="0.2">
      <c r="C43" s="110" t="s">
        <v>1063</v>
      </c>
      <c r="E43" s="110" t="s">
        <v>324</v>
      </c>
      <c r="F43" s="110" t="s">
        <v>1041</v>
      </c>
    </row>
    <row r="44" spans="3:8" x14ac:dyDescent="0.2">
      <c r="C44" s="286" t="s">
        <v>1066</v>
      </c>
      <c r="E44" s="110" t="s">
        <v>322</v>
      </c>
      <c r="F44" s="110" t="s">
        <v>1041</v>
      </c>
      <c r="H44" t="b">
        <f>E44=E45</f>
        <v>0</v>
      </c>
    </row>
    <row r="45" spans="3:8" x14ac:dyDescent="0.2">
      <c r="C45" s="286" t="s">
        <v>1067</v>
      </c>
      <c r="E45" s="110" t="s">
        <v>993</v>
      </c>
      <c r="F45" s="110" t="s">
        <v>1041</v>
      </c>
      <c r="H45">
        <f>LEN(E44)</f>
        <v>10</v>
      </c>
    </row>
    <row r="46" spans="3:8" x14ac:dyDescent="0.2">
      <c r="C46" s="286" t="s">
        <v>1068</v>
      </c>
      <c r="E46" s="110" t="s">
        <v>197</v>
      </c>
      <c r="F46" s="110" t="s">
        <v>1042</v>
      </c>
      <c r="H46">
        <f>LEN(E45)</f>
        <v>11</v>
      </c>
    </row>
    <row r="47" spans="3:8" x14ac:dyDescent="0.2">
      <c r="C47" s="286" t="s">
        <v>1072</v>
      </c>
      <c r="E47" s="110" t="s">
        <v>292</v>
      </c>
      <c r="F47" s="110" t="s">
        <v>1043</v>
      </c>
    </row>
    <row r="48" spans="3:8" x14ac:dyDescent="0.2">
      <c r="C48" s="286" t="s">
        <v>1079</v>
      </c>
      <c r="E48" s="110" t="s">
        <v>540</v>
      </c>
      <c r="F48" s="110" t="s">
        <v>1044</v>
      </c>
    </row>
    <row r="49" spans="3:6" x14ac:dyDescent="0.2">
      <c r="C49" s="286" t="s">
        <v>1073</v>
      </c>
      <c r="E49" s="110" t="s">
        <v>179</v>
      </c>
      <c r="F49" s="110" t="s">
        <v>1045</v>
      </c>
    </row>
    <row r="50" spans="3:6" x14ac:dyDescent="0.2">
      <c r="C50" s="286" t="s">
        <v>1074</v>
      </c>
      <c r="E50" s="110" t="s">
        <v>317</v>
      </c>
      <c r="F50" s="110" t="s">
        <v>1046</v>
      </c>
    </row>
    <row r="51" spans="3:6" x14ac:dyDescent="0.2">
      <c r="C51" s="286" t="s">
        <v>1075</v>
      </c>
      <c r="E51" s="110" t="s">
        <v>719</v>
      </c>
      <c r="F51" s="110" t="s">
        <v>1047</v>
      </c>
    </row>
    <row r="52" spans="3:6" x14ac:dyDescent="0.2">
      <c r="C52" s="286" t="s">
        <v>1076</v>
      </c>
      <c r="E52" s="110" t="s">
        <v>593</v>
      </c>
      <c r="F52" s="110" t="s">
        <v>1048</v>
      </c>
    </row>
    <row r="53" spans="3:6" x14ac:dyDescent="0.2">
      <c r="C53" s="286" t="s">
        <v>1077</v>
      </c>
      <c r="E53" s="110" t="s">
        <v>204</v>
      </c>
      <c r="F53" s="110" t="s">
        <v>1049</v>
      </c>
    </row>
    <row r="54" spans="3:6" x14ac:dyDescent="0.2">
      <c r="C54" s="286" t="s">
        <v>1078</v>
      </c>
      <c r="E54" s="110" t="s">
        <v>832</v>
      </c>
      <c r="F54" s="110" t="s">
        <v>1050</v>
      </c>
    </row>
    <row r="55" spans="3:6" x14ac:dyDescent="0.2">
      <c r="C55" s="110" t="s">
        <v>1082</v>
      </c>
      <c r="E55" s="110" t="s">
        <v>187</v>
      </c>
      <c r="F55" s="110" t="s">
        <v>1051</v>
      </c>
    </row>
    <row r="56" spans="3:6" x14ac:dyDescent="0.2">
      <c r="C56" s="286" t="s">
        <v>1083</v>
      </c>
      <c r="E56" s="110" t="s">
        <v>178</v>
      </c>
      <c r="F56" s="110" t="s">
        <v>1052</v>
      </c>
    </row>
    <row r="57" spans="3:6" x14ac:dyDescent="0.2">
      <c r="C57" s="286" t="s">
        <v>1086</v>
      </c>
      <c r="E57" s="110" t="s">
        <v>994</v>
      </c>
      <c r="F57" s="110" t="s">
        <v>1052</v>
      </c>
    </row>
    <row r="58" spans="3:6" x14ac:dyDescent="0.2">
      <c r="C58" s="110" t="s">
        <v>1009</v>
      </c>
      <c r="E58" s="110" t="s">
        <v>748</v>
      </c>
      <c r="F58" s="110" t="s">
        <v>1053</v>
      </c>
    </row>
    <row r="59" spans="3:6" x14ac:dyDescent="0.2">
      <c r="C59" s="286" t="s">
        <v>2476</v>
      </c>
      <c r="E59" s="110" t="s">
        <v>784</v>
      </c>
      <c r="F59" s="110" t="s">
        <v>1054</v>
      </c>
    </row>
    <row r="60" spans="3:6" x14ac:dyDescent="0.2">
      <c r="C60" s="110" t="s">
        <v>1628</v>
      </c>
      <c r="E60" s="110" t="s">
        <v>454</v>
      </c>
      <c r="F60" s="110" t="s">
        <v>1055</v>
      </c>
    </row>
    <row r="61" spans="3:6" x14ac:dyDescent="0.2">
      <c r="E61" s="110" t="s">
        <v>308</v>
      </c>
      <c r="F61" s="110" t="s">
        <v>1056</v>
      </c>
    </row>
    <row r="62" spans="3:6" x14ac:dyDescent="0.2">
      <c r="E62" s="110" t="s">
        <v>382</v>
      </c>
      <c r="F62" s="110" t="s">
        <v>1057</v>
      </c>
    </row>
    <row r="63" spans="3:6" x14ac:dyDescent="0.2">
      <c r="E63" s="110" t="s">
        <v>436</v>
      </c>
      <c r="F63" s="110" t="s">
        <v>1058</v>
      </c>
    </row>
    <row r="64" spans="3:6" x14ac:dyDescent="0.2">
      <c r="E64" s="110" t="s">
        <v>510</v>
      </c>
      <c r="F64" s="110" t="s">
        <v>1059</v>
      </c>
    </row>
    <row r="65" spans="5:6" x14ac:dyDescent="0.2">
      <c r="E65" s="110" t="s">
        <v>134</v>
      </c>
      <c r="F65" s="110" t="s">
        <v>1060</v>
      </c>
    </row>
    <row r="66" spans="5:6" x14ac:dyDescent="0.2">
      <c r="E66" s="110" t="s">
        <v>505</v>
      </c>
      <c r="F66" s="110" t="s">
        <v>505</v>
      </c>
    </row>
    <row r="67" spans="5:6" x14ac:dyDescent="0.2">
      <c r="E67" s="110" t="s">
        <v>239</v>
      </c>
      <c r="F67" s="110" t="s">
        <v>1061</v>
      </c>
    </row>
    <row r="68" spans="5:6" x14ac:dyDescent="0.2">
      <c r="E68" s="110" t="s">
        <v>420</v>
      </c>
      <c r="F68" s="110" t="s">
        <v>1062</v>
      </c>
    </row>
    <row r="69" spans="5:6" x14ac:dyDescent="0.2">
      <c r="E69" s="110" t="s">
        <v>214</v>
      </c>
      <c r="F69" s="110" t="s">
        <v>1063</v>
      </c>
    </row>
    <row r="70" spans="5:6" x14ac:dyDescent="0.2">
      <c r="E70" s="110" t="s">
        <v>194</v>
      </c>
      <c r="F70" s="110" t="s">
        <v>1064</v>
      </c>
    </row>
    <row r="71" spans="5:6" x14ac:dyDescent="0.2">
      <c r="E71" s="110" t="s">
        <v>425</v>
      </c>
      <c r="F71" s="110" t="s">
        <v>1065</v>
      </c>
    </row>
    <row r="72" spans="5:6" x14ac:dyDescent="0.2">
      <c r="E72" s="110" t="s">
        <v>330</v>
      </c>
      <c r="F72" s="110" t="s">
        <v>1066</v>
      </c>
    </row>
    <row r="73" spans="5:6" x14ac:dyDescent="0.2">
      <c r="E73" s="110" t="s">
        <v>193</v>
      </c>
      <c r="F73" s="110" t="s">
        <v>1067</v>
      </c>
    </row>
    <row r="74" spans="5:6" x14ac:dyDescent="0.2">
      <c r="E74" s="110" t="s">
        <v>125</v>
      </c>
      <c r="F74" s="110" t="s">
        <v>1068</v>
      </c>
    </row>
    <row r="75" spans="5:6" x14ac:dyDescent="0.2">
      <c r="E75" s="110" t="s">
        <v>418</v>
      </c>
      <c r="F75" s="110" t="s">
        <v>1069</v>
      </c>
    </row>
    <row r="76" spans="5:6" x14ac:dyDescent="0.2">
      <c r="E76" s="110" t="s">
        <v>222</v>
      </c>
      <c r="F76" s="110" t="s">
        <v>1070</v>
      </c>
    </row>
    <row r="77" spans="5:6" x14ac:dyDescent="0.2">
      <c r="E77" s="110" t="s">
        <v>109</v>
      </c>
      <c r="F77" s="110" t="s">
        <v>1071</v>
      </c>
    </row>
    <row r="78" spans="5:6" x14ac:dyDescent="0.2">
      <c r="E78" s="110" t="s">
        <v>675</v>
      </c>
      <c r="F78" s="110" t="s">
        <v>1072</v>
      </c>
    </row>
    <row r="79" spans="5:6" x14ac:dyDescent="0.2">
      <c r="E79" s="110" t="s">
        <v>137</v>
      </c>
      <c r="F79" s="110" t="s">
        <v>1073</v>
      </c>
    </row>
    <row r="80" spans="5:6" x14ac:dyDescent="0.2">
      <c r="E80" s="110" t="s">
        <v>885</v>
      </c>
      <c r="F80" s="110" t="s">
        <v>1074</v>
      </c>
    </row>
    <row r="81" spans="5:6" x14ac:dyDescent="0.2">
      <c r="E81" s="110" t="s">
        <v>223</v>
      </c>
      <c r="F81" s="110" t="s">
        <v>1075</v>
      </c>
    </row>
    <row r="82" spans="5:6" x14ac:dyDescent="0.2">
      <c r="E82" s="110" t="s">
        <v>856</v>
      </c>
      <c r="F82" s="110" t="s">
        <v>1076</v>
      </c>
    </row>
    <row r="83" spans="5:6" x14ac:dyDescent="0.2">
      <c r="E83" s="110" t="s">
        <v>882</v>
      </c>
      <c r="F83" s="110" t="s">
        <v>1077</v>
      </c>
    </row>
    <row r="84" spans="5:6" x14ac:dyDescent="0.2">
      <c r="E84" s="110" t="s">
        <v>301</v>
      </c>
      <c r="F84" s="110" t="s">
        <v>1078</v>
      </c>
    </row>
    <row r="85" spans="5:6" x14ac:dyDescent="0.2">
      <c r="E85" s="110" t="s">
        <v>231</v>
      </c>
      <c r="F85" s="110" t="s">
        <v>1079</v>
      </c>
    </row>
    <row r="86" spans="5:6" x14ac:dyDescent="0.2">
      <c r="E86" s="110" t="s">
        <v>196</v>
      </c>
      <c r="F86" s="110" t="s">
        <v>1080</v>
      </c>
    </row>
    <row r="87" spans="5:6" x14ac:dyDescent="0.2">
      <c r="E87" s="110" t="s">
        <v>107</v>
      </c>
      <c r="F87" s="110" t="s">
        <v>1081</v>
      </c>
    </row>
    <row r="88" spans="5:6" x14ac:dyDescent="0.2">
      <c r="E88" s="110" t="s">
        <v>79</v>
      </c>
      <c r="F88" s="110" t="s">
        <v>1082</v>
      </c>
    </row>
    <row r="89" spans="5:6" x14ac:dyDescent="0.2">
      <c r="E89" s="110" t="s">
        <v>377</v>
      </c>
      <c r="F89" s="110" t="s">
        <v>1083</v>
      </c>
    </row>
    <row r="90" spans="5:6" x14ac:dyDescent="0.2">
      <c r="E90" s="110" t="s">
        <v>306</v>
      </c>
      <c r="F90" s="110" t="s">
        <v>1084</v>
      </c>
    </row>
    <row r="91" spans="5:6" x14ac:dyDescent="0.2">
      <c r="E91" s="110" t="s">
        <v>356</v>
      </c>
      <c r="F91" s="110" t="s">
        <v>1085</v>
      </c>
    </row>
    <row r="92" spans="5:6" x14ac:dyDescent="0.2">
      <c r="E92" s="110" t="s">
        <v>253</v>
      </c>
      <c r="F92" s="110" t="s">
        <v>1086</v>
      </c>
    </row>
    <row r="93" spans="5:6" x14ac:dyDescent="0.2">
      <c r="E93" s="110" t="s">
        <v>522</v>
      </c>
      <c r="F93" s="110" t="s">
        <v>1087</v>
      </c>
    </row>
    <row r="94" spans="5:6" x14ac:dyDescent="0.2">
      <c r="E94" s="110" t="s">
        <v>299</v>
      </c>
      <c r="F94" s="110" t="s">
        <v>1088</v>
      </c>
    </row>
    <row r="95" spans="5:6" x14ac:dyDescent="0.2">
      <c r="E95" s="110" t="s">
        <v>423</v>
      </c>
      <c r="F95" s="110" t="s">
        <v>1089</v>
      </c>
    </row>
    <row r="96" spans="5:6" x14ac:dyDescent="0.2">
      <c r="E96" s="110" t="s">
        <v>72</v>
      </c>
      <c r="F96" s="110" t="s">
        <v>1090</v>
      </c>
    </row>
    <row r="97" spans="5:6" x14ac:dyDescent="0.2">
      <c r="E97" s="110" t="s">
        <v>237</v>
      </c>
      <c r="F97" s="110" t="s">
        <v>1091</v>
      </c>
    </row>
  </sheetData>
  <autoFilter ref="J1:J22" xr:uid="{A8AE96B5-D19D-4A79-A220-AA164885E1BB}"/>
  <conditionalFormatting sqref="C2:C50">
    <cfRule type="duplicateValues" dxfId="0" priority="1045"/>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7E96E-9124-4D7D-AD56-27B57CD40B4B}">
  <sheetPr>
    <tabColor rgb="FF00B050"/>
  </sheetPr>
  <dimension ref="A1:AG318"/>
  <sheetViews>
    <sheetView topLeftCell="A67" workbookViewId="0">
      <selection activeCell="F38" sqref="F38"/>
    </sheetView>
  </sheetViews>
  <sheetFormatPr baseColWidth="10" defaultColWidth="8.5" defaultRowHeight="11" x14ac:dyDescent="0.15"/>
  <cols>
    <col min="1" max="1" width="20.1640625" style="75" customWidth="1"/>
    <col min="2" max="2" width="8.5" style="77" bestFit="1" customWidth="1"/>
    <col min="3" max="3" width="1" style="75" customWidth="1"/>
    <col min="4" max="4" width="9.5" style="77" bestFit="1" customWidth="1"/>
    <col min="5" max="5" width="11.5" style="77" bestFit="1" customWidth="1"/>
    <col min="6" max="7" width="11.5" style="77" customWidth="1"/>
    <col min="8" max="8" width="33.5" style="77" bestFit="1" customWidth="1"/>
    <col min="9" max="9" width="2" style="75" customWidth="1"/>
    <col min="10" max="10" width="9.5" style="78" bestFit="1" customWidth="1"/>
    <col min="11" max="11" width="10.1640625" style="79" customWidth="1"/>
    <col min="12" max="12" width="9.5" style="79" bestFit="1" customWidth="1"/>
    <col min="13" max="13" width="10.83203125" style="79" bestFit="1" customWidth="1"/>
    <col min="14" max="14" width="9.5" style="79" bestFit="1" customWidth="1"/>
    <col min="15" max="15" width="2.5" style="75" customWidth="1"/>
    <col min="16" max="16" width="9.5" style="79" bestFit="1" customWidth="1"/>
    <col min="17" max="17" width="11.5" style="79" bestFit="1" customWidth="1"/>
    <col min="18" max="18" width="10.83203125" style="79" bestFit="1" customWidth="1"/>
    <col min="19" max="19" width="9.5" style="79" bestFit="1" customWidth="1"/>
    <col min="20" max="20" width="9.5" style="80" bestFit="1" customWidth="1"/>
    <col min="21" max="21" width="10.83203125" style="80" bestFit="1" customWidth="1"/>
    <col min="22" max="22" width="1" style="75" customWidth="1"/>
    <col min="23" max="23" width="11.5" style="81" bestFit="1" customWidth="1"/>
    <col min="24" max="24" width="11.5" style="75" bestFit="1" customWidth="1"/>
    <col min="25" max="25" width="9.83203125" style="75" bestFit="1" customWidth="1"/>
    <col min="26" max="31" width="8.5" style="75"/>
    <col min="32" max="32" width="11.1640625" style="82" bestFit="1" customWidth="1"/>
    <col min="33" max="33" width="9.1640625" style="75" bestFit="1" customWidth="1"/>
    <col min="34" max="16384" width="8.5" style="75"/>
  </cols>
  <sheetData>
    <row r="1" spans="1:32" x14ac:dyDescent="0.15">
      <c r="A1" s="53" t="s">
        <v>2581</v>
      </c>
      <c r="B1" s="111"/>
      <c r="C1" s="110"/>
      <c r="D1" s="111"/>
      <c r="E1" s="111"/>
      <c r="F1" s="111"/>
      <c r="G1" s="111"/>
      <c r="H1" s="111"/>
      <c r="I1" s="110"/>
      <c r="J1" s="170"/>
      <c r="K1" s="117"/>
      <c r="L1" s="117"/>
      <c r="M1" s="117"/>
      <c r="N1" s="117"/>
      <c r="O1" s="110"/>
      <c r="P1" s="117"/>
      <c r="Q1" s="117"/>
      <c r="R1" s="117"/>
      <c r="S1" s="117"/>
      <c r="T1" s="171"/>
      <c r="U1" s="171"/>
      <c r="V1" s="110"/>
      <c r="W1" s="118"/>
      <c r="X1" s="110"/>
      <c r="Y1" s="110"/>
      <c r="Z1" s="110"/>
      <c r="AA1" s="110"/>
      <c r="AB1" s="110"/>
      <c r="AC1" s="110"/>
      <c r="AD1" s="110"/>
      <c r="AE1" s="110"/>
      <c r="AF1" s="121"/>
    </row>
    <row r="2" spans="1:32" x14ac:dyDescent="0.15">
      <c r="A2" s="53" t="s">
        <v>2582</v>
      </c>
      <c r="B2" s="111"/>
      <c r="C2" s="110"/>
      <c r="D2" s="111"/>
      <c r="E2" s="111"/>
      <c r="F2" s="111"/>
      <c r="G2" s="111"/>
      <c r="H2" s="111"/>
      <c r="I2" s="110"/>
      <c r="J2" s="170"/>
      <c r="K2" s="117"/>
      <c r="L2" s="117"/>
      <c r="M2" s="117"/>
      <c r="N2" s="117"/>
      <c r="O2" s="110"/>
      <c r="P2" s="117"/>
      <c r="Q2" s="117"/>
      <c r="R2" s="117"/>
      <c r="S2" s="117"/>
      <c r="T2" s="171"/>
      <c r="U2" s="171"/>
      <c r="V2" s="110"/>
      <c r="W2" s="118"/>
      <c r="X2" s="110"/>
      <c r="Y2" s="110"/>
      <c r="Z2" s="110"/>
      <c r="AA2" s="110"/>
      <c r="AB2" s="110"/>
      <c r="AC2" s="110"/>
      <c r="AD2" s="110"/>
      <c r="AE2" s="110"/>
      <c r="AF2" s="121"/>
    </row>
    <row r="3" spans="1:32" x14ac:dyDescent="0.15">
      <c r="A3" s="83"/>
      <c r="B3" s="84"/>
      <c r="C3" s="83"/>
      <c r="D3" s="84"/>
      <c r="E3" s="84"/>
      <c r="F3" s="84"/>
      <c r="G3" s="84"/>
      <c r="H3" s="84"/>
      <c r="I3" s="83"/>
      <c r="J3" s="85"/>
      <c r="K3" s="86"/>
      <c r="L3" s="86"/>
      <c r="M3" s="86"/>
      <c r="N3" s="86"/>
      <c r="O3" s="83"/>
      <c r="P3" s="86"/>
      <c r="Q3" s="86"/>
      <c r="R3" s="86"/>
      <c r="S3" s="86"/>
      <c r="T3" s="87"/>
      <c r="U3" s="87"/>
      <c r="V3" s="83"/>
      <c r="W3" s="88"/>
      <c r="X3" s="83"/>
      <c r="Y3" s="83"/>
      <c r="Z3" s="110"/>
      <c r="AA3" s="110"/>
      <c r="AB3" s="110"/>
      <c r="AC3" s="110"/>
      <c r="AD3" s="110"/>
      <c r="AE3" s="110"/>
      <c r="AF3" s="121"/>
    </row>
    <row r="4" spans="1:32" s="13" customFormat="1" ht="24" x14ac:dyDescent="0.15">
      <c r="A4" s="9" t="s">
        <v>2576</v>
      </c>
      <c r="B4" s="9" t="s">
        <v>8</v>
      </c>
      <c r="C4" s="9"/>
      <c r="D4" s="9" t="s">
        <v>10</v>
      </c>
      <c r="E4" s="9" t="s">
        <v>22</v>
      </c>
      <c r="F4" s="9" t="s">
        <v>2583</v>
      </c>
      <c r="G4" s="9" t="s">
        <v>12</v>
      </c>
      <c r="H4" s="9" t="s">
        <v>2584</v>
      </c>
      <c r="I4" s="9"/>
      <c r="J4" s="89" t="s">
        <v>23</v>
      </c>
      <c r="K4" s="10" t="s">
        <v>24</v>
      </c>
      <c r="L4" s="10" t="s">
        <v>25</v>
      </c>
      <c r="M4" s="10" t="s">
        <v>26</v>
      </c>
      <c r="N4" s="10" t="s">
        <v>27</v>
      </c>
      <c r="O4" s="9"/>
      <c r="P4" s="10" t="s">
        <v>2585</v>
      </c>
      <c r="Q4" s="10" t="s">
        <v>3</v>
      </c>
      <c r="R4" s="10" t="s">
        <v>2586</v>
      </c>
      <c r="S4" s="10" t="s">
        <v>2587</v>
      </c>
      <c r="T4" s="90" t="s">
        <v>2588</v>
      </c>
      <c r="U4" s="90" t="s">
        <v>2589</v>
      </c>
      <c r="V4" s="9"/>
      <c r="W4" s="12" t="s">
        <v>2590</v>
      </c>
      <c r="X4" s="10" t="s">
        <v>17</v>
      </c>
      <c r="Y4" s="10" t="s">
        <v>18</v>
      </c>
      <c r="AF4" s="14"/>
    </row>
    <row r="5" spans="1:32" x14ac:dyDescent="0.15">
      <c r="A5" s="111"/>
      <c r="B5" s="111"/>
      <c r="C5" s="110"/>
      <c r="D5" s="111"/>
      <c r="E5" s="111"/>
      <c r="F5" s="111"/>
      <c r="G5" s="111"/>
      <c r="H5" s="111"/>
      <c r="I5" s="110"/>
      <c r="J5" s="170"/>
      <c r="K5" s="117"/>
      <c r="L5" s="117"/>
      <c r="M5" s="117"/>
      <c r="N5" s="117"/>
      <c r="O5" s="110"/>
      <c r="P5" s="117"/>
      <c r="Q5" s="117"/>
      <c r="R5" s="117"/>
      <c r="S5" s="117"/>
      <c r="T5" s="171"/>
      <c r="U5" s="171"/>
      <c r="V5" s="110"/>
      <c r="W5" s="118"/>
      <c r="X5" s="110"/>
      <c r="Y5" s="110"/>
      <c r="Z5" s="110"/>
      <c r="AA5" s="110"/>
      <c r="AB5" s="110"/>
      <c r="AC5" s="110"/>
      <c r="AD5" s="110"/>
      <c r="AE5" s="110"/>
      <c r="AF5" s="121"/>
    </row>
    <row r="6" spans="1:32" x14ac:dyDescent="0.15">
      <c r="A6" s="110" t="s">
        <v>174</v>
      </c>
      <c r="B6" s="111" t="s">
        <v>2591</v>
      </c>
      <c r="C6" s="110"/>
      <c r="D6" s="111">
        <v>1</v>
      </c>
      <c r="E6" s="111">
        <v>683</v>
      </c>
      <c r="F6" s="111"/>
      <c r="G6" s="111"/>
      <c r="H6" s="111" t="s">
        <v>2592</v>
      </c>
      <c r="I6" s="110"/>
      <c r="J6" s="170">
        <v>48</v>
      </c>
      <c r="K6" s="117">
        <v>1440</v>
      </c>
      <c r="L6" s="117">
        <v>2998.28</v>
      </c>
      <c r="M6" s="117">
        <v>12.21</v>
      </c>
      <c r="N6" s="117">
        <v>0</v>
      </c>
      <c r="O6" s="110"/>
      <c r="P6" s="117">
        <f>SUM(K6:O6)</f>
        <v>4450.4900000000007</v>
      </c>
      <c r="Q6" s="117">
        <v>7980</v>
      </c>
      <c r="R6" s="117">
        <f>Q6-P6</f>
        <v>3529.5099999999993</v>
      </c>
      <c r="S6" s="171">
        <f>M6/Q6</f>
        <v>1.5300751879699249E-3</v>
      </c>
      <c r="T6" s="171">
        <f>R6/Q6</f>
        <v>0.44229448621553874</v>
      </c>
      <c r="U6" s="171">
        <f>1-0.287</f>
        <v>0.71300000000000008</v>
      </c>
      <c r="V6" s="110"/>
      <c r="W6" s="118">
        <f>K6/J6</f>
        <v>30</v>
      </c>
      <c r="X6" s="117">
        <v>37800</v>
      </c>
      <c r="Y6" s="117">
        <f>X6*(1-U6)</f>
        <v>10848.599999999997</v>
      </c>
      <c r="Z6" s="110"/>
      <c r="AA6" s="110"/>
      <c r="AB6" s="110"/>
      <c r="AC6" s="110"/>
      <c r="AD6" s="110"/>
      <c r="AE6" s="110"/>
      <c r="AF6" s="121"/>
    </row>
    <row r="7" spans="1:32" x14ac:dyDescent="0.15">
      <c r="A7" s="110" t="s">
        <v>174</v>
      </c>
      <c r="B7" s="111" t="s">
        <v>2593</v>
      </c>
      <c r="C7" s="110"/>
      <c r="D7" s="111">
        <v>5</v>
      </c>
      <c r="E7" s="111">
        <v>683</v>
      </c>
      <c r="F7" s="111"/>
      <c r="G7" s="111"/>
      <c r="H7" s="111" t="s">
        <v>2594</v>
      </c>
      <c r="I7" s="110"/>
      <c r="J7" s="170">
        <v>59</v>
      </c>
      <c r="K7" s="117">
        <v>2138.75</v>
      </c>
      <c r="L7" s="117">
        <v>2584.9299999999998</v>
      </c>
      <c r="M7" s="117">
        <v>0</v>
      </c>
      <c r="N7" s="117">
        <v>21.79</v>
      </c>
      <c r="O7" s="110"/>
      <c r="P7" s="117">
        <f>SUM(K7:O7)</f>
        <v>4745.47</v>
      </c>
      <c r="Q7" s="117">
        <v>8820</v>
      </c>
      <c r="R7" s="117">
        <f>Q7-P7</f>
        <v>4074.5299999999997</v>
      </c>
      <c r="S7" s="171">
        <f>M7/Q7</f>
        <v>0</v>
      </c>
      <c r="T7" s="171">
        <f>R7/Q7</f>
        <v>0.4619648526077097</v>
      </c>
      <c r="U7" s="171">
        <f>1-0.287</f>
        <v>0.71300000000000008</v>
      </c>
      <c r="V7" s="110"/>
      <c r="W7" s="118">
        <f>K7/J7</f>
        <v>36.25</v>
      </c>
      <c r="X7" s="117"/>
      <c r="Y7" s="117">
        <f t="shared" ref="Y7:Y14" si="0">X7*(1-U7)</f>
        <v>0</v>
      </c>
      <c r="Z7" s="110"/>
      <c r="AA7" s="110"/>
      <c r="AB7" s="110"/>
      <c r="AC7" s="110"/>
      <c r="AD7" s="110"/>
      <c r="AE7" s="110"/>
      <c r="AF7" s="121"/>
    </row>
    <row r="8" spans="1:32" x14ac:dyDescent="0.15">
      <c r="A8" s="110" t="s">
        <v>174</v>
      </c>
      <c r="B8" s="111" t="s">
        <v>2591</v>
      </c>
      <c r="C8" s="110"/>
      <c r="D8" s="111">
        <v>5</v>
      </c>
      <c r="E8" s="111">
        <v>761</v>
      </c>
      <c r="F8" s="111"/>
      <c r="G8" s="111"/>
      <c r="H8" s="111" t="s">
        <v>2592</v>
      </c>
      <c r="I8" s="110"/>
      <c r="J8" s="170">
        <v>59</v>
      </c>
      <c r="K8" s="117">
        <f>1475+663.75</f>
        <v>2138.75</v>
      </c>
      <c r="L8" s="117">
        <v>2606.7199999999998</v>
      </c>
      <c r="M8" s="117"/>
      <c r="N8" s="117"/>
      <c r="O8" s="110"/>
      <c r="P8" s="117">
        <f t="shared" ref="P8:P14" si="1">SUM(K8:N8)</f>
        <v>4745.4699999999993</v>
      </c>
      <c r="Q8" s="117">
        <v>8400</v>
      </c>
      <c r="R8" s="117">
        <f>Q8-P8</f>
        <v>3654.5300000000007</v>
      </c>
      <c r="S8" s="171">
        <f>M8/Q8</f>
        <v>0</v>
      </c>
      <c r="T8" s="171">
        <f>R8/Q8</f>
        <v>0.43506309523809533</v>
      </c>
      <c r="U8" s="171">
        <f>1-0.287</f>
        <v>0.71300000000000008</v>
      </c>
      <c r="V8" s="110"/>
      <c r="W8" s="118">
        <f>K8/J8</f>
        <v>36.25</v>
      </c>
      <c r="X8" s="117"/>
      <c r="Y8" s="117">
        <f t="shared" si="0"/>
        <v>0</v>
      </c>
      <c r="Z8" s="110"/>
      <c r="AA8" s="110"/>
      <c r="AB8" s="110"/>
      <c r="AC8" s="110"/>
      <c r="AD8" s="110"/>
      <c r="AE8" s="110"/>
      <c r="AF8" s="121"/>
    </row>
    <row r="9" spans="1:32" x14ac:dyDescent="0.15">
      <c r="A9" s="110" t="s">
        <v>174</v>
      </c>
      <c r="B9" s="111" t="s">
        <v>180</v>
      </c>
      <c r="C9" s="110">
        <v>8</v>
      </c>
      <c r="D9" s="111">
        <v>8</v>
      </c>
      <c r="E9" s="111">
        <v>789</v>
      </c>
      <c r="F9" s="15">
        <v>159202</v>
      </c>
      <c r="G9" s="16">
        <v>110001819</v>
      </c>
      <c r="H9" s="111" t="s">
        <v>2595</v>
      </c>
      <c r="I9" s="110"/>
      <c r="J9" s="170">
        <v>4</v>
      </c>
      <c r="K9" s="117">
        <f>96.16+43.28</f>
        <v>139.44</v>
      </c>
      <c r="L9" s="117"/>
      <c r="M9" s="117">
        <v>8444.23</v>
      </c>
      <c r="N9" s="117"/>
      <c r="O9" s="110"/>
      <c r="P9" s="117">
        <f t="shared" si="1"/>
        <v>8583.67</v>
      </c>
      <c r="Q9" s="117">
        <v>40169</v>
      </c>
      <c r="R9" s="117">
        <f t="shared" ref="R9:R14" si="2">Q9-P9</f>
        <v>31585.33</v>
      </c>
      <c r="S9" s="171">
        <f t="shared" ref="S9:S14" si="3">M9/Q9</f>
        <v>0.21021758072145186</v>
      </c>
      <c r="T9" s="171">
        <f t="shared" ref="T9:T14" si="4">R9/Q9</f>
        <v>0.78631108566307351</v>
      </c>
      <c r="U9" s="171">
        <f>1-0.408</f>
        <v>0.59200000000000008</v>
      </c>
      <c r="V9" s="110"/>
      <c r="W9" s="118">
        <f t="shared" ref="W9:W14" si="5">K9/J9</f>
        <v>34.86</v>
      </c>
      <c r="X9" s="117">
        <v>90508</v>
      </c>
      <c r="Y9" s="117">
        <f t="shared" si="0"/>
        <v>36927.263999999996</v>
      </c>
      <c r="Z9" s="110"/>
      <c r="AA9" s="110"/>
      <c r="AB9" s="110"/>
      <c r="AC9" s="110"/>
      <c r="AD9" s="110"/>
      <c r="AE9" s="110"/>
      <c r="AF9" s="121"/>
    </row>
    <row r="10" spans="1:32" x14ac:dyDescent="0.15">
      <c r="A10" s="110" t="s">
        <v>174</v>
      </c>
      <c r="B10" s="111" t="s">
        <v>47</v>
      </c>
      <c r="C10" s="110"/>
      <c r="D10" s="111">
        <v>8</v>
      </c>
      <c r="E10" s="111">
        <v>790</v>
      </c>
      <c r="F10" s="15">
        <v>159202</v>
      </c>
      <c r="G10" s="16">
        <v>110001219</v>
      </c>
      <c r="H10" s="111" t="s">
        <v>2596</v>
      </c>
      <c r="I10" s="110"/>
      <c r="J10" s="170">
        <v>18.5</v>
      </c>
      <c r="K10" s="117">
        <f>571.84+257.34</f>
        <v>829.18000000000006</v>
      </c>
      <c r="L10" s="117">
        <v>616.55999999999995</v>
      </c>
      <c r="M10" s="117">
        <v>197.5</v>
      </c>
      <c r="N10" s="117"/>
      <c r="O10" s="110"/>
      <c r="P10" s="117">
        <f t="shared" si="1"/>
        <v>1643.24</v>
      </c>
      <c r="Q10" s="117">
        <v>3525</v>
      </c>
      <c r="R10" s="117">
        <f t="shared" si="2"/>
        <v>1881.76</v>
      </c>
      <c r="S10" s="171">
        <f t="shared" si="3"/>
        <v>5.6028368794326239E-2</v>
      </c>
      <c r="T10" s="171">
        <f t="shared" si="4"/>
        <v>0.53383262411347521</v>
      </c>
      <c r="U10" s="171">
        <f>1-0.529</f>
        <v>0.47099999999999997</v>
      </c>
      <c r="V10" s="110"/>
      <c r="W10" s="118">
        <f t="shared" si="5"/>
        <v>44.820540540540541</v>
      </c>
      <c r="X10" s="117"/>
      <c r="Y10" s="117">
        <f t="shared" si="0"/>
        <v>0</v>
      </c>
      <c r="Z10" s="110"/>
      <c r="AA10" s="110"/>
      <c r="AB10" s="110"/>
      <c r="AC10" s="110"/>
      <c r="AD10" s="110"/>
      <c r="AE10" s="110"/>
      <c r="AF10" s="121"/>
    </row>
    <row r="11" spans="1:32" x14ac:dyDescent="0.15">
      <c r="A11" s="110" t="s">
        <v>174</v>
      </c>
      <c r="B11" s="111" t="s">
        <v>180</v>
      </c>
      <c r="C11" s="110"/>
      <c r="D11" s="111">
        <v>8</v>
      </c>
      <c r="E11" s="111">
        <v>791</v>
      </c>
      <c r="F11" s="15">
        <v>159202</v>
      </c>
      <c r="G11" s="16">
        <v>140001819</v>
      </c>
      <c r="H11" s="111" t="s">
        <v>2597</v>
      </c>
      <c r="I11" s="110"/>
      <c r="J11" s="170">
        <v>4</v>
      </c>
      <c r="K11" s="117">
        <f>96.16+43.28</f>
        <v>139.44</v>
      </c>
      <c r="L11" s="117"/>
      <c r="M11" s="117">
        <v>9034.18</v>
      </c>
      <c r="N11" s="117"/>
      <c r="O11" s="110"/>
      <c r="P11" s="117">
        <f t="shared" si="1"/>
        <v>9173.6200000000008</v>
      </c>
      <c r="Q11" s="117">
        <v>40169</v>
      </c>
      <c r="R11" s="117">
        <f t="shared" si="2"/>
        <v>30995.379999999997</v>
      </c>
      <c r="S11" s="171">
        <f t="shared" si="3"/>
        <v>0.22490427941945282</v>
      </c>
      <c r="T11" s="171">
        <f t="shared" si="4"/>
        <v>0.77162438696507252</v>
      </c>
      <c r="U11" s="171">
        <f>1-0.408</f>
        <v>0.59200000000000008</v>
      </c>
      <c r="V11" s="110"/>
      <c r="W11" s="118">
        <f t="shared" si="5"/>
        <v>34.86</v>
      </c>
      <c r="X11" s="117"/>
      <c r="Y11" s="117">
        <f t="shared" si="0"/>
        <v>0</v>
      </c>
      <c r="Z11" s="110"/>
      <c r="AA11" s="110"/>
      <c r="AB11" s="110"/>
      <c r="AC11" s="110"/>
      <c r="AD11" s="110"/>
      <c r="AE11" s="110"/>
      <c r="AF11" s="121"/>
    </row>
    <row r="12" spans="1:32" x14ac:dyDescent="0.15">
      <c r="A12" s="110" t="s">
        <v>174</v>
      </c>
      <c r="B12" s="111" t="s">
        <v>47</v>
      </c>
      <c r="C12" s="110"/>
      <c r="D12" s="111">
        <v>8</v>
      </c>
      <c r="E12" s="111">
        <v>792</v>
      </c>
      <c r="F12" s="15">
        <v>159202</v>
      </c>
      <c r="G12" s="16">
        <v>140001219</v>
      </c>
      <c r="H12" s="111" t="s">
        <v>2596</v>
      </c>
      <c r="I12" s="110"/>
      <c r="J12" s="170">
        <v>56.25</v>
      </c>
      <c r="K12" s="117">
        <f>1738.68+782.43</f>
        <v>2521.11</v>
      </c>
      <c r="L12" s="117">
        <v>1849.66</v>
      </c>
      <c r="M12" s="117">
        <v>592.5</v>
      </c>
      <c r="N12" s="117"/>
      <c r="O12" s="110"/>
      <c r="P12" s="117">
        <f t="shared" si="1"/>
        <v>4963.2700000000004</v>
      </c>
      <c r="Q12" s="117">
        <v>3525</v>
      </c>
      <c r="R12" s="117">
        <f t="shared" si="2"/>
        <v>-1438.2700000000004</v>
      </c>
      <c r="S12" s="171">
        <f t="shared" si="3"/>
        <v>0.16808510638297872</v>
      </c>
      <c r="T12" s="171">
        <f t="shared" si="4"/>
        <v>-0.40801985815602848</v>
      </c>
      <c r="U12" s="171">
        <f>1-0.529</f>
        <v>0.47099999999999997</v>
      </c>
      <c r="V12" s="110"/>
      <c r="W12" s="118">
        <f t="shared" si="5"/>
        <v>44.819733333333339</v>
      </c>
      <c r="X12" s="117"/>
      <c r="Y12" s="117">
        <f t="shared" si="0"/>
        <v>0</v>
      </c>
      <c r="Z12" s="110"/>
      <c r="AA12" s="110"/>
      <c r="AB12" s="110"/>
      <c r="AC12" s="110"/>
      <c r="AD12" s="110"/>
      <c r="AE12" s="110"/>
      <c r="AF12" s="121"/>
    </row>
    <row r="13" spans="1:32" x14ac:dyDescent="0.15">
      <c r="A13" s="110" t="s">
        <v>174</v>
      </c>
      <c r="B13" s="111" t="s">
        <v>180</v>
      </c>
      <c r="C13" s="110"/>
      <c r="D13" s="111">
        <v>9</v>
      </c>
      <c r="E13" s="111">
        <v>794</v>
      </c>
      <c r="F13" s="15">
        <v>159266</v>
      </c>
      <c r="G13" s="17">
        <v>718420129</v>
      </c>
      <c r="H13" s="111" t="s">
        <v>2598</v>
      </c>
      <c r="I13" s="110"/>
      <c r="J13" s="170">
        <v>16</v>
      </c>
      <c r="K13" s="117">
        <f>628.48+282.88</f>
        <v>911.36</v>
      </c>
      <c r="L13" s="117">
        <v>1228</v>
      </c>
      <c r="M13" s="117">
        <v>1236.5999999999999</v>
      </c>
      <c r="N13" s="117"/>
      <c r="O13" s="110"/>
      <c r="P13" s="117">
        <f t="shared" si="1"/>
        <v>3375.96</v>
      </c>
      <c r="Q13" s="117">
        <v>12854</v>
      </c>
      <c r="R13" s="117">
        <f t="shared" si="2"/>
        <v>9478.0400000000009</v>
      </c>
      <c r="S13" s="171">
        <f t="shared" si="3"/>
        <v>9.6203516415123688E-2</v>
      </c>
      <c r="T13" s="171">
        <f t="shared" si="4"/>
        <v>0.73736113272133197</v>
      </c>
      <c r="U13" s="171">
        <f>1-0.408</f>
        <v>0.59200000000000008</v>
      </c>
      <c r="V13" s="171">
        <f>1-0.529</f>
        <v>0.47099999999999997</v>
      </c>
      <c r="W13" s="118">
        <f t="shared" si="5"/>
        <v>56.96</v>
      </c>
      <c r="X13" s="117"/>
      <c r="Y13" s="117">
        <f t="shared" si="0"/>
        <v>0</v>
      </c>
      <c r="Z13" s="110"/>
      <c r="AA13" s="159"/>
      <c r="AB13" s="110"/>
      <c r="AC13" s="110"/>
      <c r="AD13" s="110"/>
      <c r="AE13" s="110"/>
      <c r="AF13" s="121"/>
    </row>
    <row r="14" spans="1:32" x14ac:dyDescent="0.15">
      <c r="A14" s="110" t="s">
        <v>174</v>
      </c>
      <c r="B14" s="111" t="s">
        <v>180</v>
      </c>
      <c r="C14" s="110"/>
      <c r="D14" s="111">
        <v>9</v>
      </c>
      <c r="E14" s="111">
        <v>795</v>
      </c>
      <c r="F14" s="15">
        <v>159266</v>
      </c>
      <c r="G14" s="17">
        <v>748620129</v>
      </c>
      <c r="H14" s="111" t="s">
        <v>2599</v>
      </c>
      <c r="I14" s="110"/>
      <c r="J14" s="170">
        <v>16</v>
      </c>
      <c r="K14" s="117">
        <f>628.48+282.88</f>
        <v>911.36</v>
      </c>
      <c r="L14" s="117">
        <v>1228.0899999999999</v>
      </c>
      <c r="M14" s="117">
        <v>2071.38</v>
      </c>
      <c r="N14" s="117"/>
      <c r="O14" s="110"/>
      <c r="P14" s="117">
        <f t="shared" si="1"/>
        <v>4210.83</v>
      </c>
      <c r="Q14" s="117">
        <v>15285</v>
      </c>
      <c r="R14" s="117">
        <f t="shared" si="2"/>
        <v>11074.17</v>
      </c>
      <c r="S14" s="171">
        <f t="shared" si="3"/>
        <v>0.13551717369970559</v>
      </c>
      <c r="T14" s="171">
        <f t="shared" si="4"/>
        <v>0.72451226692836113</v>
      </c>
      <c r="U14" s="171">
        <f>1-0.408</f>
        <v>0.59200000000000008</v>
      </c>
      <c r="V14" s="171">
        <f>1-0.529</f>
        <v>0.47099999999999997</v>
      </c>
      <c r="W14" s="118">
        <f t="shared" si="5"/>
        <v>56.96</v>
      </c>
      <c r="X14" s="117"/>
      <c r="Y14" s="117">
        <f t="shared" si="0"/>
        <v>0</v>
      </c>
      <c r="Z14" s="110"/>
      <c r="AA14" s="110"/>
      <c r="AB14" s="110"/>
      <c r="AC14" s="110"/>
      <c r="AD14" s="110"/>
      <c r="AE14" s="110"/>
      <c r="AF14" s="121"/>
    </row>
    <row r="16" spans="1:32" x14ac:dyDescent="0.15">
      <c r="A16" s="110" t="s">
        <v>174</v>
      </c>
      <c r="B16" s="111" t="s">
        <v>2577</v>
      </c>
      <c r="C16" s="110"/>
      <c r="D16" s="111">
        <v>8</v>
      </c>
      <c r="E16" s="111"/>
      <c r="F16" s="111"/>
      <c r="G16" s="111"/>
      <c r="H16" s="111"/>
      <c r="I16" s="110"/>
      <c r="J16" s="170">
        <f>SUM(J6:J15)</f>
        <v>280.75</v>
      </c>
      <c r="K16" s="117">
        <f t="shared" ref="K16:M16" si="6">SUM(K6:K15)</f>
        <v>11169.390000000001</v>
      </c>
      <c r="L16" s="117">
        <f t="shared" si="6"/>
        <v>13112.24</v>
      </c>
      <c r="M16" s="117">
        <f t="shared" si="6"/>
        <v>21588.6</v>
      </c>
      <c r="N16" s="117">
        <f>SUM(N6:N12)</f>
        <v>21.79</v>
      </c>
      <c r="O16" s="110"/>
      <c r="P16" s="117">
        <f>SUM(P6:P15)</f>
        <v>45892.02</v>
      </c>
      <c r="Q16" s="117">
        <f>SUM(Q6:Q15)</f>
        <v>140727</v>
      </c>
      <c r="R16" s="117">
        <f t="shared" ref="R16:R18" si="7">Q16-P16</f>
        <v>94834.98000000001</v>
      </c>
      <c r="S16" s="171">
        <f t="shared" ref="S16:S18" si="8">M16/Q16</f>
        <v>0.1534076616427551</v>
      </c>
      <c r="T16" s="171">
        <f>R16/Q16</f>
        <v>0.67389328273892013</v>
      </c>
      <c r="U16" s="171">
        <f>((Q6*U6)+(Q7*U7)+(Q8*U8)+(Q9*U9)+(Q10*U10)+(Q11*U11)+(Q12*U12)+(Q13*U13)+(Q14*U14))/Q16</f>
        <v>0.60760574729795991</v>
      </c>
      <c r="V16" s="110"/>
      <c r="W16" s="118">
        <f>K16/J16</f>
        <v>39.784113980409622</v>
      </c>
      <c r="X16" s="117">
        <f t="shared" ref="X16:Y16" si="9">SUM(X9:X11)</f>
        <v>90508</v>
      </c>
      <c r="Y16" s="117">
        <f t="shared" si="9"/>
        <v>36927.263999999996</v>
      </c>
      <c r="Z16" s="110"/>
      <c r="AA16" s="110"/>
      <c r="AB16" s="110"/>
      <c r="AC16" s="110"/>
      <c r="AD16" s="110"/>
      <c r="AE16" s="110"/>
      <c r="AF16" s="121"/>
    </row>
    <row r="17" spans="1:25" x14ac:dyDescent="0.15">
      <c r="A17" s="110" t="s">
        <v>174</v>
      </c>
      <c r="B17" s="111" t="s">
        <v>55</v>
      </c>
      <c r="C17" s="110"/>
      <c r="D17" s="111">
        <v>8</v>
      </c>
      <c r="E17" s="111">
        <v>793</v>
      </c>
      <c r="F17" s="15">
        <v>159202</v>
      </c>
      <c r="G17" s="16" t="s">
        <v>56</v>
      </c>
      <c r="H17" s="111"/>
      <c r="I17" s="110"/>
      <c r="J17" s="170">
        <v>2</v>
      </c>
      <c r="K17" s="117">
        <f>55+24.76</f>
        <v>79.760000000000005</v>
      </c>
      <c r="L17" s="117">
        <v>898.29</v>
      </c>
      <c r="M17" s="117">
        <v>100</v>
      </c>
      <c r="N17" s="117"/>
      <c r="O17" s="110"/>
      <c r="P17" s="117">
        <f>SUM(K17:N17)</f>
        <v>1078.05</v>
      </c>
      <c r="Q17" s="117">
        <v>3120</v>
      </c>
      <c r="R17" s="117">
        <f t="shared" si="7"/>
        <v>2041.95</v>
      </c>
      <c r="S17" s="171">
        <f t="shared" si="8"/>
        <v>3.2051282051282048E-2</v>
      </c>
      <c r="T17" s="171">
        <f t="shared" ref="T17:T18" si="10">R17/Q17</f>
        <v>0.65447115384615384</v>
      </c>
      <c r="U17" s="171">
        <v>0</v>
      </c>
      <c r="V17" s="110"/>
      <c r="W17" s="118">
        <f t="shared" ref="W17:W18" si="11">K17/J17</f>
        <v>39.880000000000003</v>
      </c>
      <c r="X17" s="110"/>
      <c r="Y17" s="110"/>
    </row>
    <row r="18" spans="1:25" x14ac:dyDescent="0.15">
      <c r="A18" s="110" t="s">
        <v>174</v>
      </c>
      <c r="B18" s="111" t="s">
        <v>2600</v>
      </c>
      <c r="C18" s="110"/>
      <c r="D18" s="111">
        <v>8</v>
      </c>
      <c r="E18" s="111"/>
      <c r="F18" s="111"/>
      <c r="G18" s="111"/>
      <c r="H18" s="111"/>
      <c r="I18" s="110"/>
      <c r="J18" s="170">
        <f>J9+J11+J13+J14</f>
        <v>40</v>
      </c>
      <c r="K18" s="117">
        <f>K9+K11+K13+K14</f>
        <v>2101.6</v>
      </c>
      <c r="L18" s="117">
        <f t="shared" ref="L18:N18" si="12">L9+L11+L13+L14</f>
        <v>2456.09</v>
      </c>
      <c r="M18" s="117">
        <f t="shared" si="12"/>
        <v>20786.39</v>
      </c>
      <c r="N18" s="117">
        <f t="shared" si="12"/>
        <v>0</v>
      </c>
      <c r="O18" s="110"/>
      <c r="P18" s="117">
        <f t="shared" ref="P18" si="13">SUM(K18:N18)</f>
        <v>25344.080000000002</v>
      </c>
      <c r="Q18" s="117">
        <f>Q9+Q11+Q13+Q14</f>
        <v>108477</v>
      </c>
      <c r="R18" s="117">
        <f t="shared" si="7"/>
        <v>83132.92</v>
      </c>
      <c r="S18" s="171">
        <f t="shared" si="8"/>
        <v>0.19162025129751006</v>
      </c>
      <c r="T18" s="171">
        <f t="shared" si="10"/>
        <v>0.7663644827935876</v>
      </c>
      <c r="U18" s="171">
        <f>((Q9*U9)+(Q11*U11)+(Q13*U13)+(Q14*U14))/Q18</f>
        <v>0.59200000000000008</v>
      </c>
      <c r="V18" s="110"/>
      <c r="W18" s="118">
        <f t="shared" si="11"/>
        <v>52.54</v>
      </c>
      <c r="X18" s="117">
        <f>X9+X11+X13+X14</f>
        <v>90508</v>
      </c>
      <c r="Y18" s="117">
        <f>Y9+Y11+Y13+Y14</f>
        <v>36927.263999999996</v>
      </c>
    </row>
    <row r="19" spans="1:25" x14ac:dyDescent="0.15">
      <c r="A19" s="172"/>
      <c r="B19" s="173"/>
      <c r="C19" s="172"/>
      <c r="D19" s="173"/>
      <c r="E19" s="173"/>
      <c r="F19" s="173"/>
      <c r="G19" s="173"/>
      <c r="H19" s="173"/>
      <c r="I19" s="172"/>
      <c r="J19" s="174"/>
      <c r="K19" s="175"/>
      <c r="L19" s="175"/>
      <c r="M19" s="175"/>
      <c r="N19" s="175"/>
      <c r="O19" s="172"/>
      <c r="P19" s="175"/>
      <c r="Q19" s="175"/>
      <c r="R19" s="175"/>
      <c r="S19" s="176"/>
      <c r="T19" s="176"/>
      <c r="U19" s="176"/>
      <c r="V19" s="172"/>
      <c r="W19" s="177"/>
      <c r="X19" s="175"/>
      <c r="Y19" s="176"/>
    </row>
    <row r="20" spans="1:25" x14ac:dyDescent="0.15">
      <c r="A20" s="110" t="s">
        <v>197</v>
      </c>
      <c r="B20" s="111" t="s">
        <v>37</v>
      </c>
      <c r="C20" s="110"/>
      <c r="D20" s="111">
        <v>10</v>
      </c>
      <c r="E20" s="111">
        <v>777</v>
      </c>
      <c r="F20" s="15">
        <v>159462</v>
      </c>
      <c r="G20" s="16">
        <v>140000719</v>
      </c>
      <c r="H20" s="111" t="s">
        <v>2601</v>
      </c>
      <c r="I20" s="110"/>
      <c r="J20" s="170">
        <f>10.5+23.25</f>
        <v>33.75</v>
      </c>
      <c r="K20" s="117">
        <f>411.71+810.5</f>
        <v>1222.21</v>
      </c>
      <c r="L20" s="117">
        <v>0</v>
      </c>
      <c r="M20" s="117">
        <v>14694.5</v>
      </c>
      <c r="N20" s="117">
        <v>0</v>
      </c>
      <c r="O20" s="110"/>
      <c r="P20" s="117">
        <f>SUM(K20:O20)</f>
        <v>15916.71</v>
      </c>
      <c r="Q20" s="117">
        <v>43000</v>
      </c>
      <c r="R20" s="117">
        <f t="shared" ref="R20:R24" si="14">Q20-P20</f>
        <v>27083.29</v>
      </c>
      <c r="S20" s="171">
        <f t="shared" ref="S20:S23" si="15">M20/Q20</f>
        <v>0.3417325581395349</v>
      </c>
      <c r="T20" s="171">
        <f t="shared" ref="T20:T23" si="16">R20/Q20</f>
        <v>0.62984395348837208</v>
      </c>
      <c r="U20" s="171">
        <f>1-0.408</f>
        <v>0.59200000000000008</v>
      </c>
      <c r="V20" s="110"/>
      <c r="W20" s="118">
        <f>K20/J20</f>
        <v>36.213629629629629</v>
      </c>
      <c r="X20" s="110"/>
      <c r="Y20" s="117">
        <f t="shared" ref="Y20:Y24" si="17">X20*(1-U20)</f>
        <v>0</v>
      </c>
    </row>
    <row r="21" spans="1:25" x14ac:dyDescent="0.15">
      <c r="A21" s="110" t="s">
        <v>197</v>
      </c>
      <c r="B21" s="111" t="s">
        <v>37</v>
      </c>
      <c r="C21" s="110"/>
      <c r="D21" s="111">
        <v>10</v>
      </c>
      <c r="E21" s="111">
        <v>778</v>
      </c>
      <c r="F21" s="15">
        <v>159462</v>
      </c>
      <c r="G21" s="16">
        <v>140000119</v>
      </c>
      <c r="H21" s="111" t="s">
        <v>2602</v>
      </c>
      <c r="I21" s="110"/>
      <c r="J21" s="170">
        <f>122</f>
        <v>122</v>
      </c>
      <c r="K21" s="117">
        <v>5468.06</v>
      </c>
      <c r="L21" s="117">
        <v>6265.33</v>
      </c>
      <c r="M21" s="117">
        <v>1125</v>
      </c>
      <c r="N21" s="117"/>
      <c r="O21" s="110"/>
      <c r="P21" s="117">
        <f t="shared" ref="P21:P23" si="18">SUM(K21:O21)</f>
        <v>12858.39</v>
      </c>
      <c r="Q21" s="117">
        <v>7840</v>
      </c>
      <c r="R21" s="117">
        <f t="shared" si="14"/>
        <v>-5018.3899999999994</v>
      </c>
      <c r="S21" s="171">
        <f t="shared" si="15"/>
        <v>0.14349489795918369</v>
      </c>
      <c r="T21" s="171">
        <f t="shared" si="16"/>
        <v>-0.64010076530612237</v>
      </c>
      <c r="U21" s="171">
        <f>1-0.408</f>
        <v>0.59200000000000008</v>
      </c>
      <c r="V21" s="110"/>
      <c r="W21" s="118">
        <f t="shared" ref="W21:W23" si="19">K21/J21</f>
        <v>44.820163934426233</v>
      </c>
      <c r="X21" s="110"/>
      <c r="Y21" s="117">
        <f t="shared" si="17"/>
        <v>0</v>
      </c>
    </row>
    <row r="22" spans="1:25" x14ac:dyDescent="0.15">
      <c r="A22" s="110" t="s">
        <v>197</v>
      </c>
      <c r="B22" s="111" t="s">
        <v>452</v>
      </c>
      <c r="C22" s="110"/>
      <c r="D22" s="111">
        <v>10</v>
      </c>
      <c r="E22" s="111">
        <v>780</v>
      </c>
      <c r="F22" s="15">
        <v>159462</v>
      </c>
      <c r="G22" s="111"/>
      <c r="H22" s="111" t="s">
        <v>2596</v>
      </c>
      <c r="I22" s="110"/>
      <c r="J22" s="170">
        <f>30+8</f>
        <v>38</v>
      </c>
      <c r="K22" s="117">
        <f>1708.8</f>
        <v>1708.8</v>
      </c>
      <c r="L22" s="117">
        <v>0</v>
      </c>
      <c r="M22" s="117">
        <v>2242.48</v>
      </c>
      <c r="N22" s="117"/>
      <c r="O22" s="110"/>
      <c r="P22" s="117">
        <f t="shared" si="18"/>
        <v>3951.2799999999997</v>
      </c>
      <c r="Q22" s="117">
        <v>19965</v>
      </c>
      <c r="R22" s="117">
        <f t="shared" si="14"/>
        <v>16013.720000000001</v>
      </c>
      <c r="S22" s="171">
        <f t="shared" si="15"/>
        <v>0.11232056098171801</v>
      </c>
      <c r="T22" s="171">
        <f t="shared" si="16"/>
        <v>0.80208965689957434</v>
      </c>
      <c r="U22" s="171">
        <f>1-0.529</f>
        <v>0.47099999999999997</v>
      </c>
      <c r="V22" s="110"/>
      <c r="W22" s="118">
        <f t="shared" si="19"/>
        <v>44.968421052631577</v>
      </c>
      <c r="X22" s="110"/>
      <c r="Y22" s="117">
        <f t="shared" si="17"/>
        <v>0</v>
      </c>
    </row>
    <row r="23" spans="1:25" x14ac:dyDescent="0.15">
      <c r="A23" s="110" t="s">
        <v>197</v>
      </c>
      <c r="B23" s="111" t="s">
        <v>2603</v>
      </c>
      <c r="C23" s="110"/>
      <c r="D23" s="111">
        <v>10</v>
      </c>
      <c r="E23" s="111" t="s">
        <v>2604</v>
      </c>
      <c r="F23" s="15">
        <v>159460</v>
      </c>
      <c r="G23" s="17">
        <v>746620129</v>
      </c>
      <c r="H23" s="111" t="s">
        <v>2605</v>
      </c>
      <c r="I23" s="110"/>
      <c r="J23" s="170"/>
      <c r="K23" s="117"/>
      <c r="L23" s="117"/>
      <c r="M23" s="117"/>
      <c r="N23" s="117"/>
      <c r="O23" s="110"/>
      <c r="P23" s="117">
        <f t="shared" si="18"/>
        <v>0</v>
      </c>
      <c r="Q23" s="117">
        <v>12298</v>
      </c>
      <c r="R23" s="117">
        <f t="shared" si="14"/>
        <v>12298</v>
      </c>
      <c r="S23" s="171">
        <f t="shared" si="15"/>
        <v>0</v>
      </c>
      <c r="T23" s="171">
        <f t="shared" si="16"/>
        <v>1</v>
      </c>
      <c r="U23" s="171">
        <f>1-0.007</f>
        <v>0.99299999999999999</v>
      </c>
      <c r="V23" s="110"/>
      <c r="W23" s="118" t="e">
        <f t="shared" si="19"/>
        <v>#DIV/0!</v>
      </c>
      <c r="X23" s="110"/>
      <c r="Y23" s="117">
        <f t="shared" si="17"/>
        <v>0</v>
      </c>
    </row>
    <row r="24" spans="1:25" x14ac:dyDescent="0.15">
      <c r="A24" s="110" t="s">
        <v>197</v>
      </c>
      <c r="B24" s="111"/>
      <c r="C24" s="110"/>
      <c r="D24" s="111">
        <v>10</v>
      </c>
      <c r="E24" s="111" t="s">
        <v>2604</v>
      </c>
      <c r="F24" s="15"/>
      <c r="G24" s="111"/>
      <c r="H24" s="111"/>
      <c r="I24" s="110"/>
      <c r="J24" s="170"/>
      <c r="K24" s="117"/>
      <c r="L24" s="117"/>
      <c r="M24" s="117">
        <v>127.32</v>
      </c>
      <c r="N24" s="117"/>
      <c r="O24" s="110"/>
      <c r="P24" s="117">
        <f t="shared" ref="P24" si="20">SUM(K24:O24)</f>
        <v>127.32</v>
      </c>
      <c r="Q24" s="117">
        <v>0</v>
      </c>
      <c r="R24" s="117">
        <f t="shared" si="14"/>
        <v>-127.32</v>
      </c>
      <c r="S24" s="171"/>
      <c r="T24" s="171"/>
      <c r="U24" s="171"/>
      <c r="V24" s="110"/>
      <c r="W24" s="118"/>
      <c r="X24" s="110"/>
      <c r="Y24" s="117">
        <f t="shared" si="17"/>
        <v>0</v>
      </c>
    </row>
    <row r="26" spans="1:25" x14ac:dyDescent="0.15">
      <c r="A26" s="110" t="s">
        <v>197</v>
      </c>
      <c r="B26" s="111" t="s">
        <v>2577</v>
      </c>
      <c r="C26" s="110"/>
      <c r="D26" s="111">
        <v>10</v>
      </c>
      <c r="E26" s="111"/>
      <c r="F26" s="111"/>
      <c r="G26" s="111"/>
      <c r="H26" s="111"/>
      <c r="I26" s="110"/>
      <c r="J26" s="170">
        <f>SUM(J20:J25)</f>
        <v>193.75</v>
      </c>
      <c r="K26" s="117">
        <f>SUM(K20:K25)</f>
        <v>8399.07</v>
      </c>
      <c r="L26" s="117">
        <f t="shared" ref="L26:Q26" si="21">SUM(L20:L25)</f>
        <v>6265.33</v>
      </c>
      <c r="M26" s="117">
        <f t="shared" si="21"/>
        <v>18189.3</v>
      </c>
      <c r="N26" s="117">
        <f t="shared" si="21"/>
        <v>0</v>
      </c>
      <c r="O26" s="110"/>
      <c r="P26" s="117">
        <f>SUM(P20:P25)</f>
        <v>32853.699999999997</v>
      </c>
      <c r="Q26" s="117">
        <f t="shared" si="21"/>
        <v>83103</v>
      </c>
      <c r="R26" s="117">
        <f t="shared" ref="R26:R31" si="22">Q26-P26</f>
        <v>50249.3</v>
      </c>
      <c r="S26" s="171">
        <f t="shared" ref="S26:S31" si="23">M26/Q26</f>
        <v>0.21887657485289339</v>
      </c>
      <c r="T26" s="171">
        <f>R26/Q26</f>
        <v>0.60466288822304859</v>
      </c>
      <c r="U26" s="171">
        <f>((Q20*U20)+(Q21*U21)+(Q22*U22)+(Q23*U23)+(Q24*U24))/Q26</f>
        <v>0.62227246910460521</v>
      </c>
      <c r="V26" s="110"/>
      <c r="W26" s="118">
        <f t="shared" ref="W26:W31" si="24">K26/J26</f>
        <v>43.35003870967742</v>
      </c>
      <c r="X26" s="117">
        <f>SUM(X20:X24)</f>
        <v>0</v>
      </c>
      <c r="Y26" s="117">
        <f>SUM(Y20:Y25)</f>
        <v>0</v>
      </c>
    </row>
    <row r="27" spans="1:25" x14ac:dyDescent="0.15">
      <c r="A27" s="110" t="s">
        <v>197</v>
      </c>
      <c r="B27" s="111" t="s">
        <v>55</v>
      </c>
      <c r="C27" s="110"/>
      <c r="D27" s="111">
        <v>10</v>
      </c>
      <c r="E27" s="111">
        <v>779</v>
      </c>
      <c r="F27" s="15">
        <v>159462</v>
      </c>
      <c r="G27" s="111" t="s">
        <v>56</v>
      </c>
      <c r="H27" s="111"/>
      <c r="I27" s="110"/>
      <c r="J27" s="170">
        <v>2</v>
      </c>
      <c r="K27" s="117">
        <v>80</v>
      </c>
      <c r="L27" s="117">
        <v>0</v>
      </c>
      <c r="M27" s="117">
        <v>0</v>
      </c>
      <c r="N27" s="117">
        <f>3822.59-80</f>
        <v>3742.59</v>
      </c>
      <c r="O27" s="110"/>
      <c r="P27" s="117">
        <f t="shared" ref="P27" si="25">SUM(K27:O27)</f>
        <v>3822.59</v>
      </c>
      <c r="Q27" s="117">
        <v>3120</v>
      </c>
      <c r="R27" s="117">
        <f t="shared" si="22"/>
        <v>-702.59000000000015</v>
      </c>
      <c r="S27" s="171">
        <f t="shared" si="23"/>
        <v>0</v>
      </c>
      <c r="T27" s="171">
        <f t="shared" ref="T27:T31" si="26">R27/Q27</f>
        <v>-0.2251891025641026</v>
      </c>
      <c r="U27" s="171">
        <v>0</v>
      </c>
      <c r="V27" s="110"/>
      <c r="W27" s="118">
        <f t="shared" si="24"/>
        <v>40</v>
      </c>
      <c r="X27" s="110"/>
      <c r="Y27" s="110"/>
    </row>
    <row r="28" spans="1:25" x14ac:dyDescent="0.15">
      <c r="A28" s="110"/>
      <c r="B28" s="111"/>
      <c r="C28" s="110"/>
      <c r="D28" s="111"/>
      <c r="E28" s="111"/>
      <c r="F28" s="15">
        <v>159460</v>
      </c>
      <c r="G28" s="17" t="s">
        <v>2606</v>
      </c>
      <c r="H28" s="111"/>
      <c r="I28" s="110"/>
      <c r="J28" s="170"/>
      <c r="K28" s="117"/>
      <c r="L28" s="117"/>
      <c r="M28" s="117"/>
      <c r="N28" s="117"/>
      <c r="O28" s="110"/>
      <c r="P28" s="117"/>
      <c r="Q28" s="117"/>
      <c r="R28" s="117"/>
      <c r="S28" s="171"/>
      <c r="T28" s="171"/>
      <c r="U28" s="171"/>
      <c r="V28" s="110"/>
      <c r="W28" s="118"/>
      <c r="X28" s="110"/>
      <c r="Y28" s="110"/>
    </row>
    <row r="29" spans="1:25" x14ac:dyDescent="0.15">
      <c r="A29" s="110"/>
      <c r="B29" s="111"/>
      <c r="C29" s="110"/>
      <c r="D29" s="111"/>
      <c r="E29" s="111"/>
      <c r="F29" s="111"/>
      <c r="G29" s="17" t="s">
        <v>2607</v>
      </c>
      <c r="H29" s="111"/>
      <c r="I29" s="110"/>
      <c r="J29" s="170"/>
      <c r="K29" s="117"/>
      <c r="L29" s="117"/>
      <c r="M29" s="117"/>
      <c r="N29" s="117"/>
      <c r="O29" s="110"/>
      <c r="P29" s="117"/>
      <c r="Q29" s="117"/>
      <c r="R29" s="117"/>
      <c r="S29" s="171"/>
      <c r="T29" s="171"/>
      <c r="U29" s="171"/>
      <c r="V29" s="110"/>
      <c r="W29" s="118"/>
      <c r="X29" s="110"/>
      <c r="Y29" s="110"/>
    </row>
    <row r="30" spans="1:25" x14ac:dyDescent="0.15">
      <c r="A30" s="110"/>
      <c r="B30" s="111"/>
      <c r="C30" s="110"/>
      <c r="D30" s="111"/>
      <c r="E30" s="111"/>
      <c r="F30" s="111"/>
      <c r="G30" s="111"/>
      <c r="H30" s="111"/>
      <c r="I30" s="110"/>
      <c r="J30" s="170"/>
      <c r="K30" s="117"/>
      <c r="L30" s="117"/>
      <c r="M30" s="117"/>
      <c r="N30" s="117"/>
      <c r="O30" s="110"/>
      <c r="P30" s="117"/>
      <c r="Q30" s="117"/>
      <c r="R30" s="117"/>
      <c r="S30" s="171"/>
      <c r="T30" s="171"/>
      <c r="U30" s="171"/>
      <c r="V30" s="110"/>
      <c r="W30" s="118"/>
      <c r="X30" s="110"/>
      <c r="Y30" s="110"/>
    </row>
    <row r="31" spans="1:25" x14ac:dyDescent="0.15">
      <c r="A31" s="110" t="s">
        <v>197</v>
      </c>
      <c r="B31" s="111" t="s">
        <v>2600</v>
      </c>
      <c r="C31" s="110"/>
      <c r="D31" s="111">
        <v>10</v>
      </c>
      <c r="E31" s="111"/>
      <c r="F31" s="111"/>
      <c r="G31" s="111"/>
      <c r="H31" s="111"/>
      <c r="I31" s="110"/>
      <c r="J31" s="170">
        <f>J20+J21</f>
        <v>155.75</v>
      </c>
      <c r="K31" s="117">
        <f t="shared" ref="K31:N31" si="27">K20+K21</f>
        <v>6690.27</v>
      </c>
      <c r="L31" s="117">
        <f t="shared" si="27"/>
        <v>6265.33</v>
      </c>
      <c r="M31" s="117">
        <f t="shared" si="27"/>
        <v>15819.5</v>
      </c>
      <c r="N31" s="117">
        <f t="shared" si="27"/>
        <v>0</v>
      </c>
      <c r="O31" s="110"/>
      <c r="P31" s="117">
        <f t="shared" ref="P31" si="28">SUM(K31:N31)</f>
        <v>28775.1</v>
      </c>
      <c r="Q31" s="117">
        <f t="shared" ref="Q31" si="29">Q20+Q21</f>
        <v>50840</v>
      </c>
      <c r="R31" s="117">
        <f t="shared" si="22"/>
        <v>22064.9</v>
      </c>
      <c r="S31" s="171">
        <f t="shared" si="23"/>
        <v>0.31116247049567269</v>
      </c>
      <c r="T31" s="171">
        <f t="shared" si="26"/>
        <v>0.43400668764752165</v>
      </c>
      <c r="U31" s="171">
        <f>((Q20*U20)+(Q21*U21))/Q31</f>
        <v>0.59200000000000008</v>
      </c>
      <c r="V31" s="110"/>
      <c r="W31" s="118">
        <f t="shared" si="24"/>
        <v>42.955184590690209</v>
      </c>
      <c r="X31" s="117">
        <f>X20+X21</f>
        <v>0</v>
      </c>
      <c r="Y31" s="117">
        <f>Y20+Y21</f>
        <v>0</v>
      </c>
    </row>
    <row r="32" spans="1:25" x14ac:dyDescent="0.15">
      <c r="A32" s="172"/>
      <c r="B32" s="173"/>
      <c r="C32" s="172"/>
      <c r="D32" s="173"/>
      <c r="E32" s="173"/>
      <c r="F32" s="173"/>
      <c r="G32" s="173"/>
      <c r="H32" s="173"/>
      <c r="I32" s="172"/>
      <c r="J32" s="174"/>
      <c r="K32" s="175"/>
      <c r="L32" s="175"/>
      <c r="M32" s="175"/>
      <c r="N32" s="175"/>
      <c r="O32" s="172"/>
      <c r="P32" s="175"/>
      <c r="Q32" s="175"/>
      <c r="R32" s="175"/>
      <c r="S32" s="176"/>
      <c r="T32" s="176"/>
      <c r="U32" s="176"/>
      <c r="V32" s="172"/>
      <c r="W32" s="177"/>
      <c r="X32" s="175"/>
      <c r="Y32" s="176"/>
    </row>
    <row r="33" spans="1:25" x14ac:dyDescent="0.15">
      <c r="A33" s="110" t="s">
        <v>2608</v>
      </c>
      <c r="B33" s="111" t="s">
        <v>37</v>
      </c>
      <c r="C33" s="110"/>
      <c r="D33" s="111">
        <v>3</v>
      </c>
      <c r="E33" s="111">
        <v>626</v>
      </c>
      <c r="F33" s="111"/>
      <c r="G33" s="111"/>
      <c r="H33" s="111" t="s">
        <v>2609</v>
      </c>
      <c r="I33" s="110"/>
      <c r="J33" s="170">
        <f>28+36</f>
        <v>64</v>
      </c>
      <c r="K33" s="117">
        <f>1385.97+455.4</f>
        <v>1841.37</v>
      </c>
      <c r="L33" s="117">
        <v>0</v>
      </c>
      <c r="M33" s="117">
        <v>34998.85</v>
      </c>
      <c r="N33" s="117">
        <v>0</v>
      </c>
      <c r="O33" s="110"/>
      <c r="P33" s="117">
        <f>SUM(K33:O33)</f>
        <v>36840.22</v>
      </c>
      <c r="Q33" s="117">
        <v>62233</v>
      </c>
      <c r="R33" s="117">
        <f t="shared" ref="R33:R41" si="30">Q33-P33</f>
        <v>25392.78</v>
      </c>
      <c r="S33" s="171">
        <f>M33/Q33</f>
        <v>0.56238410489611623</v>
      </c>
      <c r="T33" s="171">
        <f>R33/Q33</f>
        <v>0.40802757379525328</v>
      </c>
      <c r="U33" s="171">
        <f t="shared" ref="U33:U36" si="31">1-0.408</f>
        <v>0.59200000000000008</v>
      </c>
      <c r="V33" s="110"/>
      <c r="W33" s="118">
        <f>K33/J33</f>
        <v>28.771406249999998</v>
      </c>
      <c r="X33" s="110">
        <v>261767</v>
      </c>
      <c r="Y33" s="117">
        <f t="shared" ref="Y33:Y41" si="32">X33*(1-U33)</f>
        <v>106800.93599999997</v>
      </c>
    </row>
    <row r="34" spans="1:25" x14ac:dyDescent="0.15">
      <c r="A34" s="110" t="s">
        <v>2608</v>
      </c>
      <c r="B34" s="111" t="s">
        <v>37</v>
      </c>
      <c r="C34" s="110"/>
      <c r="D34" s="111">
        <v>3</v>
      </c>
      <c r="E34" s="111">
        <v>627</v>
      </c>
      <c r="F34" s="111"/>
      <c r="G34" s="111"/>
      <c r="H34" s="111" t="s">
        <v>2609</v>
      </c>
      <c r="I34" s="110"/>
      <c r="J34" s="170">
        <f>24.5+33</f>
        <v>57.5</v>
      </c>
      <c r="K34" s="117">
        <f>1242.07+406.26</f>
        <v>1648.33</v>
      </c>
      <c r="L34" s="117"/>
      <c r="M34" s="117">
        <v>36591.9</v>
      </c>
      <c r="N34" s="117"/>
      <c r="O34" s="110"/>
      <c r="P34" s="117">
        <f t="shared" ref="P34:P40" si="33">SUM(K34:O34)</f>
        <v>38240.230000000003</v>
      </c>
      <c r="Q34" s="117">
        <v>62233</v>
      </c>
      <c r="R34" s="117">
        <f t="shared" si="30"/>
        <v>23992.769999999997</v>
      </c>
      <c r="S34" s="171">
        <f t="shared" ref="S34:S41" si="34">M34/Q34</f>
        <v>0.58798226021564126</v>
      </c>
      <c r="T34" s="171">
        <f t="shared" ref="T34:T41" si="35">R34/Q34</f>
        <v>0.3855313097552745</v>
      </c>
      <c r="U34" s="171">
        <f t="shared" si="31"/>
        <v>0.59200000000000008</v>
      </c>
      <c r="V34" s="110"/>
      <c r="W34" s="118">
        <f t="shared" ref="W34:W41" si="36">K34/J34</f>
        <v>28.666608695652172</v>
      </c>
      <c r="X34" s="110"/>
      <c r="Y34" s="117">
        <f t="shared" si="32"/>
        <v>0</v>
      </c>
    </row>
    <row r="35" spans="1:25" x14ac:dyDescent="0.15">
      <c r="A35" s="110" t="s">
        <v>2608</v>
      </c>
      <c r="B35" s="111" t="s">
        <v>37</v>
      </c>
      <c r="C35" s="110"/>
      <c r="D35" s="111">
        <v>3</v>
      </c>
      <c r="E35" s="111">
        <v>628</v>
      </c>
      <c r="F35" s="111"/>
      <c r="G35" s="111"/>
      <c r="H35" s="111" t="s">
        <v>2610</v>
      </c>
      <c r="I35" s="110"/>
      <c r="J35" s="170">
        <f>25+33.5+7.5</f>
        <v>66</v>
      </c>
      <c r="K35" s="117">
        <f>1436.82+485.59</f>
        <v>1922.4099999999999</v>
      </c>
      <c r="L35" s="117"/>
      <c r="M35" s="117">
        <v>36357.339999999997</v>
      </c>
      <c r="N35" s="117"/>
      <c r="O35" s="110"/>
      <c r="P35" s="117">
        <f t="shared" si="33"/>
        <v>38279.75</v>
      </c>
      <c r="Q35" s="117">
        <v>79439</v>
      </c>
      <c r="R35" s="117">
        <f t="shared" si="30"/>
        <v>41159.25</v>
      </c>
      <c r="S35" s="171">
        <f t="shared" si="34"/>
        <v>0.45767620438323742</v>
      </c>
      <c r="T35" s="171">
        <f t="shared" si="35"/>
        <v>0.51812396933496141</v>
      </c>
      <c r="U35" s="171">
        <f t="shared" si="31"/>
        <v>0.59200000000000008</v>
      </c>
      <c r="V35" s="110"/>
      <c r="W35" s="118">
        <f t="shared" si="36"/>
        <v>29.12742424242424</v>
      </c>
      <c r="X35" s="110"/>
      <c r="Y35" s="117">
        <f t="shared" si="32"/>
        <v>0</v>
      </c>
    </row>
    <row r="36" spans="1:25" x14ac:dyDescent="0.15">
      <c r="A36" s="110" t="s">
        <v>2608</v>
      </c>
      <c r="B36" s="111" t="s">
        <v>37</v>
      </c>
      <c r="C36" s="110"/>
      <c r="D36" s="111">
        <v>3</v>
      </c>
      <c r="E36" s="111">
        <v>629</v>
      </c>
      <c r="F36" s="111"/>
      <c r="G36" s="111"/>
      <c r="H36" s="111" t="s">
        <v>2611</v>
      </c>
      <c r="I36" s="110"/>
      <c r="J36" s="170">
        <v>28.5</v>
      </c>
      <c r="K36" s="117">
        <f>557.46+147.94</f>
        <v>705.40000000000009</v>
      </c>
      <c r="L36" s="117"/>
      <c r="M36" s="117">
        <v>23946.2</v>
      </c>
      <c r="N36" s="117"/>
      <c r="O36" s="110"/>
      <c r="P36" s="117">
        <f t="shared" si="33"/>
        <v>24651.600000000002</v>
      </c>
      <c r="Q36" s="117">
        <v>65362</v>
      </c>
      <c r="R36" s="117">
        <f t="shared" si="30"/>
        <v>40710.399999999994</v>
      </c>
      <c r="S36" s="171">
        <f t="shared" si="34"/>
        <v>0.36636271839906981</v>
      </c>
      <c r="T36" s="171">
        <f t="shared" si="35"/>
        <v>0.62284507817998214</v>
      </c>
      <c r="U36" s="171">
        <f t="shared" si="31"/>
        <v>0.59200000000000008</v>
      </c>
      <c r="V36" s="110"/>
      <c r="W36" s="118">
        <f t="shared" si="36"/>
        <v>24.750877192982458</v>
      </c>
      <c r="X36" s="110"/>
      <c r="Y36" s="117">
        <f t="shared" si="32"/>
        <v>0</v>
      </c>
    </row>
    <row r="37" spans="1:25" x14ac:dyDescent="0.15">
      <c r="A37" s="110" t="s">
        <v>2608</v>
      </c>
      <c r="B37" s="111" t="s">
        <v>2603</v>
      </c>
      <c r="C37" s="110"/>
      <c r="D37" s="111">
        <v>3</v>
      </c>
      <c r="E37" s="111" t="s">
        <v>2604</v>
      </c>
      <c r="F37" s="111"/>
      <c r="G37" s="111"/>
      <c r="H37" s="111" t="s">
        <v>2612</v>
      </c>
      <c r="I37" s="110"/>
      <c r="J37" s="170">
        <v>0</v>
      </c>
      <c r="K37" s="117">
        <v>0</v>
      </c>
      <c r="L37" s="117"/>
      <c r="M37" s="117">
        <v>0</v>
      </c>
      <c r="N37" s="117"/>
      <c r="O37" s="110"/>
      <c r="P37" s="117">
        <f t="shared" si="33"/>
        <v>0</v>
      </c>
      <c r="Q37" s="117">
        <v>15000</v>
      </c>
      <c r="R37" s="117">
        <f t="shared" si="30"/>
        <v>15000</v>
      </c>
      <c r="S37" s="171">
        <f t="shared" si="34"/>
        <v>0</v>
      </c>
      <c r="T37" s="171">
        <f t="shared" si="35"/>
        <v>1</v>
      </c>
      <c r="U37" s="171">
        <f>1-0.007</f>
        <v>0.99299999999999999</v>
      </c>
      <c r="V37" s="110"/>
      <c r="W37" s="118" t="e">
        <f t="shared" si="36"/>
        <v>#DIV/0!</v>
      </c>
      <c r="X37" s="110">
        <v>22500</v>
      </c>
      <c r="Y37" s="117">
        <f>X37*(1-U37)</f>
        <v>157.50000000000014</v>
      </c>
    </row>
    <row r="38" spans="1:25" x14ac:dyDescent="0.15">
      <c r="A38" s="110" t="s">
        <v>2608</v>
      </c>
      <c r="B38" s="111" t="s">
        <v>49</v>
      </c>
      <c r="C38" s="110"/>
      <c r="D38" s="111">
        <v>3</v>
      </c>
      <c r="E38" s="111">
        <v>631</v>
      </c>
      <c r="F38" s="111"/>
      <c r="G38" s="111"/>
      <c r="H38" s="111" t="s">
        <v>2613</v>
      </c>
      <c r="I38" s="110"/>
      <c r="J38" s="170">
        <v>229.5</v>
      </c>
      <c r="K38" s="117">
        <f>15030.68+2200.94</f>
        <v>17231.62</v>
      </c>
      <c r="L38" s="117"/>
      <c r="M38" s="117">
        <v>525</v>
      </c>
      <c r="N38" s="117"/>
      <c r="O38" s="110"/>
      <c r="P38" s="117">
        <f t="shared" si="33"/>
        <v>17756.62</v>
      </c>
      <c r="Q38" s="117">
        <v>42695</v>
      </c>
      <c r="R38" s="117">
        <f t="shared" si="30"/>
        <v>24938.38</v>
      </c>
      <c r="S38" s="171">
        <f t="shared" si="34"/>
        <v>1.2296521840964985E-2</v>
      </c>
      <c r="T38" s="171">
        <f t="shared" si="35"/>
        <v>0.58410539875863687</v>
      </c>
      <c r="U38" s="171">
        <f>1-0.56</f>
        <v>0.43999999999999995</v>
      </c>
      <c r="V38" s="110"/>
      <c r="W38" s="118">
        <f t="shared" si="36"/>
        <v>75.08331154684096</v>
      </c>
      <c r="X38" s="110"/>
      <c r="Y38" s="117">
        <f t="shared" si="32"/>
        <v>0</v>
      </c>
    </row>
    <row r="39" spans="1:25" x14ac:dyDescent="0.15">
      <c r="A39" s="110" t="s">
        <v>2608</v>
      </c>
      <c r="B39" s="111" t="s">
        <v>47</v>
      </c>
      <c r="C39" s="110"/>
      <c r="D39" s="111">
        <v>3</v>
      </c>
      <c r="E39" s="111" t="s">
        <v>2614</v>
      </c>
      <c r="F39" s="111"/>
      <c r="G39" s="111"/>
      <c r="H39" s="111"/>
      <c r="I39" s="110"/>
      <c r="J39" s="170"/>
      <c r="K39" s="117"/>
      <c r="L39" s="117"/>
      <c r="M39" s="117">
        <v>2006.9</v>
      </c>
      <c r="N39" s="117"/>
      <c r="O39" s="110"/>
      <c r="P39" s="117">
        <f t="shared" ref="P39" si="37">SUM(K39:O39)</f>
        <v>2006.9</v>
      </c>
      <c r="Q39" s="117">
        <v>0</v>
      </c>
      <c r="R39" s="117">
        <f t="shared" si="30"/>
        <v>-2006.9</v>
      </c>
      <c r="S39" s="171" t="e">
        <f t="shared" si="34"/>
        <v>#DIV/0!</v>
      </c>
      <c r="T39" s="171" t="e">
        <f t="shared" si="35"/>
        <v>#DIV/0!</v>
      </c>
      <c r="U39" s="171">
        <f>1-0.529</f>
        <v>0.47099999999999997</v>
      </c>
      <c r="V39" s="110"/>
      <c r="W39" s="118" t="e">
        <f t="shared" si="36"/>
        <v>#DIV/0!</v>
      </c>
      <c r="X39" s="110"/>
      <c r="Y39" s="117">
        <f t="shared" si="32"/>
        <v>0</v>
      </c>
    </row>
    <row r="40" spans="1:25" x14ac:dyDescent="0.15">
      <c r="A40" s="110" t="s">
        <v>2608</v>
      </c>
      <c r="B40" s="111" t="s">
        <v>49</v>
      </c>
      <c r="C40" s="110"/>
      <c r="D40" s="111">
        <v>3</v>
      </c>
      <c r="E40" s="111">
        <v>634</v>
      </c>
      <c r="F40" s="111"/>
      <c r="G40" s="111"/>
      <c r="H40" s="111" t="s">
        <v>2615</v>
      </c>
      <c r="I40" s="110"/>
      <c r="J40" s="170">
        <v>48</v>
      </c>
      <c r="K40" s="117">
        <f>5830.15+480</f>
        <v>6310.15</v>
      </c>
      <c r="L40" s="117"/>
      <c r="M40" s="117">
        <v>2881.19</v>
      </c>
      <c r="N40" s="117"/>
      <c r="O40" s="110"/>
      <c r="P40" s="117">
        <f t="shared" si="33"/>
        <v>9191.34</v>
      </c>
      <c r="Q40" s="117">
        <v>15000</v>
      </c>
      <c r="R40" s="117">
        <f t="shared" si="30"/>
        <v>5808.66</v>
      </c>
      <c r="S40" s="171">
        <f t="shared" si="34"/>
        <v>0.19207933333333332</v>
      </c>
      <c r="T40" s="171">
        <f t="shared" si="35"/>
        <v>0.38724399999999998</v>
      </c>
      <c r="U40" s="171">
        <f>1-0.56</f>
        <v>0.43999999999999995</v>
      </c>
      <c r="V40" s="110"/>
      <c r="W40" s="118">
        <f t="shared" si="36"/>
        <v>131.46145833333333</v>
      </c>
      <c r="X40" s="110">
        <v>15000</v>
      </c>
      <c r="Y40" s="117">
        <f t="shared" si="32"/>
        <v>8400</v>
      </c>
    </row>
    <row r="41" spans="1:25" x14ac:dyDescent="0.15">
      <c r="A41" s="110" t="s">
        <v>2608</v>
      </c>
      <c r="B41" s="111" t="s">
        <v>2614</v>
      </c>
      <c r="C41" s="110"/>
      <c r="D41" s="111">
        <v>3</v>
      </c>
      <c r="E41" s="111" t="s">
        <v>2604</v>
      </c>
      <c r="F41" s="111"/>
      <c r="G41" s="111"/>
      <c r="H41" s="111" t="s">
        <v>2616</v>
      </c>
      <c r="I41" s="110"/>
      <c r="J41" s="170"/>
      <c r="K41" s="117"/>
      <c r="L41" s="117">
        <v>0</v>
      </c>
      <c r="M41" s="117"/>
      <c r="N41" s="117"/>
      <c r="O41" s="110"/>
      <c r="P41" s="117">
        <f t="shared" ref="P41" si="38">SUM(K41:O41)</f>
        <v>0</v>
      </c>
      <c r="Q41" s="117">
        <v>6995</v>
      </c>
      <c r="R41" s="117">
        <f t="shared" si="30"/>
        <v>6995</v>
      </c>
      <c r="S41" s="171">
        <f t="shared" si="34"/>
        <v>0</v>
      </c>
      <c r="T41" s="171">
        <f t="shared" si="35"/>
        <v>1</v>
      </c>
      <c r="U41" s="171">
        <v>1</v>
      </c>
      <c r="V41" s="110"/>
      <c r="W41" s="118" t="e">
        <f t="shared" si="36"/>
        <v>#DIV/0!</v>
      </c>
      <c r="X41" s="110"/>
      <c r="Y41" s="117">
        <f t="shared" si="32"/>
        <v>0</v>
      </c>
    </row>
    <row r="42" spans="1:25" x14ac:dyDescent="0.15">
      <c r="A42" s="110"/>
      <c r="B42" s="111"/>
      <c r="C42" s="110"/>
      <c r="D42" s="111"/>
      <c r="E42" s="111"/>
      <c r="F42" s="111"/>
      <c r="G42" s="111"/>
      <c r="H42" s="111"/>
      <c r="I42" s="110"/>
      <c r="J42" s="170"/>
      <c r="K42" s="117"/>
      <c r="L42" s="117"/>
      <c r="M42" s="117"/>
      <c r="N42" s="117"/>
      <c r="O42" s="110"/>
      <c r="P42" s="117"/>
      <c r="Q42" s="117"/>
      <c r="R42" s="117"/>
      <c r="S42" s="171"/>
      <c r="T42" s="171"/>
      <c r="U42" s="171"/>
      <c r="V42" s="110"/>
      <c r="W42" s="118"/>
      <c r="X42" s="110"/>
      <c r="Y42" s="110"/>
    </row>
    <row r="43" spans="1:25" x14ac:dyDescent="0.15">
      <c r="A43" s="110" t="s">
        <v>2608</v>
      </c>
      <c r="B43" s="111" t="s">
        <v>2577</v>
      </c>
      <c r="C43" s="110"/>
      <c r="D43" s="111">
        <v>3</v>
      </c>
      <c r="E43" s="111"/>
      <c r="F43" s="111"/>
      <c r="G43" s="111"/>
      <c r="H43" s="111"/>
      <c r="I43" s="111"/>
      <c r="J43" s="170">
        <f>SUM(J33:J40)</f>
        <v>493.5</v>
      </c>
      <c r="K43" s="117">
        <f>SUM(K33:K40)</f>
        <v>29659.279999999999</v>
      </c>
      <c r="L43" s="117">
        <f>SUM(L33:L41)</f>
        <v>0</v>
      </c>
      <c r="M43" s="117">
        <f>SUM(M33:M40)</f>
        <v>137307.38</v>
      </c>
      <c r="N43" s="170">
        <f>SUM(N33:N40)</f>
        <v>0</v>
      </c>
      <c r="O43" s="110"/>
      <c r="P43" s="117">
        <f>SUM(P33:P42)</f>
        <v>166966.66</v>
      </c>
      <c r="Q43" s="117">
        <f>SUM(Q33:Q42)</f>
        <v>348957</v>
      </c>
      <c r="R43" s="117">
        <f t="shared" ref="R43:R45" si="39">Q43-P43</f>
        <v>181990.34</v>
      </c>
      <c r="S43" s="171">
        <f t="shared" ref="S43:S45" si="40">M43/Q43</f>
        <v>0.39347936851818421</v>
      </c>
      <c r="T43" s="171">
        <f>R43/Q43</f>
        <v>0.52152654911636676</v>
      </c>
      <c r="U43" s="171">
        <f>((Q33*U33)+(Q34*U34)+(Q35*U35)+(Q36*U36)+(Q37*U37)+(Q38*U38)+(Q39*U39)+(Q40*U40)+(Q41*U41))/Q43</f>
        <v>0.59228461959496448</v>
      </c>
      <c r="V43" s="110"/>
      <c r="W43" s="118">
        <f t="shared" ref="W43:W44" si="41">K43/J43</f>
        <v>60.099858156028368</v>
      </c>
      <c r="X43" s="117">
        <f>SUM(X33:X41)</f>
        <v>299267</v>
      </c>
      <c r="Y43" s="117">
        <f>SUM(Y33:Y42)</f>
        <v>115358.43599999997</v>
      </c>
    </row>
    <row r="44" spans="1:25" x14ac:dyDescent="0.15">
      <c r="A44" s="110" t="s">
        <v>2608</v>
      </c>
      <c r="B44" s="111" t="s">
        <v>55</v>
      </c>
      <c r="C44" s="110"/>
      <c r="D44" s="111">
        <v>3</v>
      </c>
      <c r="E44" s="111">
        <v>630</v>
      </c>
      <c r="F44" s="111"/>
      <c r="G44" s="111"/>
      <c r="H44" s="111"/>
      <c r="I44" s="110"/>
      <c r="J44" s="170">
        <v>105</v>
      </c>
      <c r="K44" s="117">
        <v>3563.8</v>
      </c>
      <c r="L44" s="117">
        <v>0</v>
      </c>
      <c r="M44" s="117">
        <v>0</v>
      </c>
      <c r="N44" s="117">
        <f>7304.86-K44</f>
        <v>3741.0599999999995</v>
      </c>
      <c r="O44" s="110"/>
      <c r="P44" s="117">
        <f t="shared" ref="P44" si="42">SUM(K44:O44)</f>
        <v>7304.86</v>
      </c>
      <c r="Q44" s="117">
        <v>5000</v>
      </c>
      <c r="R44" s="117">
        <f t="shared" si="39"/>
        <v>-2304.8599999999997</v>
      </c>
      <c r="S44" s="171">
        <f t="shared" si="40"/>
        <v>0</v>
      </c>
      <c r="T44" s="171">
        <f t="shared" ref="T44:T45" si="43">R44/Q44</f>
        <v>-0.46097199999999994</v>
      </c>
      <c r="U44" s="171">
        <v>0</v>
      </c>
      <c r="V44" s="110"/>
      <c r="W44" s="118">
        <f t="shared" si="41"/>
        <v>33.940952380952382</v>
      </c>
      <c r="X44" s="110"/>
      <c r="Y44" s="110"/>
    </row>
    <row r="45" spans="1:25" x14ac:dyDescent="0.15">
      <c r="A45" s="110" t="s">
        <v>2608</v>
      </c>
      <c r="B45" s="111" t="s">
        <v>2600</v>
      </c>
      <c r="C45" s="110"/>
      <c r="D45" s="111">
        <v>3</v>
      </c>
      <c r="E45" s="111"/>
      <c r="F45" s="111"/>
      <c r="G45" s="111"/>
      <c r="H45" s="111"/>
      <c r="I45" s="110"/>
      <c r="J45" s="170">
        <f>J33+J34+J35+J36</f>
        <v>216</v>
      </c>
      <c r="K45" s="170">
        <f t="shared" ref="K45:N45" si="44">K33+K34+K35+K36</f>
        <v>6117.51</v>
      </c>
      <c r="L45" s="170">
        <f t="shared" si="44"/>
        <v>0</v>
      </c>
      <c r="M45" s="170">
        <f t="shared" si="44"/>
        <v>131894.29</v>
      </c>
      <c r="N45" s="170">
        <f t="shared" si="44"/>
        <v>0</v>
      </c>
      <c r="O45" s="110"/>
      <c r="P45" s="117">
        <f>SUM(K45:N45)</f>
        <v>138011.80000000002</v>
      </c>
      <c r="Q45" s="117">
        <f>Q33+Q34+Q35+Q36</f>
        <v>269267</v>
      </c>
      <c r="R45" s="117">
        <f t="shared" si="39"/>
        <v>131255.19999999998</v>
      </c>
      <c r="S45" s="171">
        <f t="shared" si="40"/>
        <v>0.48982716040212876</v>
      </c>
      <c r="T45" s="171">
        <f t="shared" si="43"/>
        <v>0.48745371694266282</v>
      </c>
      <c r="U45" s="171">
        <f>((Q33*U33)+(Q34*U34)+(Q35*U35)+(Q36*U36))/Q45</f>
        <v>0.59200000000000008</v>
      </c>
      <c r="V45" s="110"/>
      <c r="W45" s="118">
        <f>K45/J45</f>
        <v>28.321805555555557</v>
      </c>
      <c r="X45" s="117">
        <f>X33+X34+X35+X36</f>
        <v>261767</v>
      </c>
      <c r="Y45" s="117">
        <f>Y33+Y34+Y35+Y36</f>
        <v>106800.93599999997</v>
      </c>
    </row>
    <row r="46" spans="1:25" x14ac:dyDescent="0.15">
      <c r="A46" s="172"/>
      <c r="B46" s="173"/>
      <c r="C46" s="172"/>
      <c r="D46" s="173"/>
      <c r="E46" s="173"/>
      <c r="F46" s="173"/>
      <c r="G46" s="173"/>
      <c r="H46" s="173"/>
      <c r="I46" s="172"/>
      <c r="J46" s="174"/>
      <c r="K46" s="175"/>
      <c r="L46" s="175"/>
      <c r="M46" s="175"/>
      <c r="N46" s="175"/>
      <c r="O46" s="172"/>
      <c r="P46" s="175"/>
      <c r="Q46" s="175"/>
      <c r="R46" s="175"/>
      <c r="S46" s="176"/>
      <c r="T46" s="176"/>
      <c r="U46" s="176"/>
      <c r="V46" s="172"/>
      <c r="W46" s="177"/>
      <c r="X46" s="175"/>
      <c r="Y46" s="176"/>
    </row>
    <row r="47" spans="1:25" x14ac:dyDescent="0.15">
      <c r="A47" s="110" t="s">
        <v>193</v>
      </c>
      <c r="B47" s="111" t="s">
        <v>37</v>
      </c>
      <c r="C47" s="110"/>
      <c r="D47" s="111">
        <v>5</v>
      </c>
      <c r="E47" s="111">
        <v>661</v>
      </c>
      <c r="F47" s="111"/>
      <c r="G47" s="111"/>
      <c r="H47" s="111" t="s">
        <v>2617</v>
      </c>
      <c r="I47" s="110"/>
      <c r="J47" s="170">
        <f>54.5+63</f>
        <v>117.5</v>
      </c>
      <c r="K47" s="117">
        <f>2559.4+849.7</f>
        <v>3409.1000000000004</v>
      </c>
      <c r="L47" s="117"/>
      <c r="M47" s="117">
        <v>56238.06</v>
      </c>
      <c r="N47" s="117"/>
      <c r="O47" s="110"/>
      <c r="P47" s="117">
        <f>SUM(K47:O47)</f>
        <v>59647.159999999996</v>
      </c>
      <c r="Q47" s="117">
        <v>136261.37</v>
      </c>
      <c r="R47" s="117">
        <f t="shared" ref="R47:R51" si="45">Q47-P47</f>
        <v>76614.209999999992</v>
      </c>
      <c r="S47" s="171">
        <f>M47/Q47</f>
        <v>0.41272196221130025</v>
      </c>
      <c r="T47" s="171">
        <f>R47/Q47</f>
        <v>0.56225920816736241</v>
      </c>
      <c r="U47" s="171">
        <f>1-0.408</f>
        <v>0.59200000000000008</v>
      </c>
      <c r="V47" s="110"/>
      <c r="W47" s="118">
        <f>K47/J47</f>
        <v>29.013617021276598</v>
      </c>
      <c r="X47" s="110">
        <v>167807</v>
      </c>
      <c r="Y47" s="117">
        <f t="shared" ref="Y47:Y51" si="46">X47*(1-U47)</f>
        <v>68465.255999999979</v>
      </c>
    </row>
    <row r="48" spans="1:25" x14ac:dyDescent="0.15">
      <c r="A48" s="110" t="s">
        <v>193</v>
      </c>
      <c r="B48" s="111" t="s">
        <v>37</v>
      </c>
      <c r="C48" s="110"/>
      <c r="D48" s="111">
        <v>5</v>
      </c>
      <c r="E48" s="111">
        <v>662</v>
      </c>
      <c r="F48" s="111"/>
      <c r="G48" s="111"/>
      <c r="H48" s="111" t="s">
        <v>2618</v>
      </c>
      <c r="I48" s="110"/>
      <c r="J48" s="170">
        <f>17+15</f>
        <v>32</v>
      </c>
      <c r="K48" s="117">
        <f>707.37+240.91</f>
        <v>948.28</v>
      </c>
      <c r="L48" s="117"/>
      <c r="M48" s="117">
        <v>9139.01</v>
      </c>
      <c r="N48" s="117"/>
      <c r="O48" s="110"/>
      <c r="P48" s="117">
        <f t="shared" ref="P48" si="47">SUM(K48:O48)</f>
        <v>10087.290000000001</v>
      </c>
      <c r="Q48" s="117">
        <v>31370</v>
      </c>
      <c r="R48" s="117">
        <f t="shared" si="45"/>
        <v>21282.71</v>
      </c>
      <c r="S48" s="171">
        <f>M48/Q48</f>
        <v>0.29132961428116033</v>
      </c>
      <c r="T48" s="171">
        <f>R48/Q48</f>
        <v>0.6784415046222505</v>
      </c>
      <c r="U48" s="171">
        <f>1-0.408</f>
        <v>0.59200000000000008</v>
      </c>
      <c r="V48" s="110"/>
      <c r="W48" s="118">
        <f>K48/J48</f>
        <v>29.633749999999999</v>
      </c>
      <c r="X48" s="110"/>
      <c r="Y48" s="117">
        <f t="shared" si="46"/>
        <v>0</v>
      </c>
    </row>
    <row r="49" spans="1:33" x14ac:dyDescent="0.15">
      <c r="A49" s="110" t="s">
        <v>193</v>
      </c>
      <c r="B49" s="111" t="s">
        <v>2603</v>
      </c>
      <c r="C49" s="110"/>
      <c r="D49" s="111">
        <v>5</v>
      </c>
      <c r="E49" s="111" t="s">
        <v>2604</v>
      </c>
      <c r="F49" s="111"/>
      <c r="G49" s="111"/>
      <c r="H49" s="111" t="s">
        <v>2612</v>
      </c>
      <c r="I49" s="110"/>
      <c r="J49" s="170"/>
      <c r="K49" s="117"/>
      <c r="L49" s="117"/>
      <c r="M49" s="117"/>
      <c r="N49" s="117"/>
      <c r="O49" s="110"/>
      <c r="P49" s="117">
        <f t="shared" ref="P49:P51" si="48">SUM(K49:O49)</f>
        <v>0</v>
      </c>
      <c r="Q49" s="117">
        <v>5376</v>
      </c>
      <c r="R49" s="117">
        <f t="shared" si="45"/>
        <v>5376</v>
      </c>
      <c r="S49" s="171">
        <f t="shared" ref="S49:S51" si="49">M49/Q49</f>
        <v>0</v>
      </c>
      <c r="T49" s="171">
        <f t="shared" ref="T49:T51" si="50">R49/Q49</f>
        <v>1</v>
      </c>
      <c r="U49" s="171">
        <f>1-0.007</f>
        <v>0.99299999999999999</v>
      </c>
      <c r="V49" s="110"/>
      <c r="W49" s="118" t="e">
        <f t="shared" ref="W49:W51" si="51">K49/J49</f>
        <v>#DIV/0!</v>
      </c>
      <c r="X49" s="110">
        <v>17619</v>
      </c>
      <c r="Y49" s="117">
        <f t="shared" si="46"/>
        <v>123.33300000000011</v>
      </c>
      <c r="Z49" s="110"/>
      <c r="AA49" s="110"/>
      <c r="AB49" s="110"/>
      <c r="AC49" s="110"/>
      <c r="AD49" s="110"/>
      <c r="AE49" s="110"/>
      <c r="AF49" s="121"/>
      <c r="AG49" s="110"/>
    </row>
    <row r="50" spans="1:33" x14ac:dyDescent="0.15">
      <c r="A50" s="110" t="s">
        <v>193</v>
      </c>
      <c r="B50" s="111" t="s">
        <v>47</v>
      </c>
      <c r="C50" s="110"/>
      <c r="D50" s="111">
        <v>5</v>
      </c>
      <c r="E50" s="111">
        <v>696</v>
      </c>
      <c r="F50" s="111"/>
      <c r="G50" s="111"/>
      <c r="H50" s="111" t="s">
        <v>2619</v>
      </c>
      <c r="I50" s="110"/>
      <c r="J50" s="170">
        <v>105</v>
      </c>
      <c r="K50" s="117">
        <f>10030.5+1460.55</f>
        <v>11491.05</v>
      </c>
      <c r="L50" s="117"/>
      <c r="M50" s="117">
        <v>458.48</v>
      </c>
      <c r="N50" s="117"/>
      <c r="O50" s="110"/>
      <c r="P50" s="117">
        <f t="shared" si="48"/>
        <v>11949.529999999999</v>
      </c>
      <c r="Q50" s="117">
        <v>14075</v>
      </c>
      <c r="R50" s="117">
        <f t="shared" si="45"/>
        <v>2125.4700000000012</v>
      </c>
      <c r="S50" s="171">
        <f t="shared" si="49"/>
        <v>3.2574067495559501E-2</v>
      </c>
      <c r="T50" s="171">
        <f t="shared" si="50"/>
        <v>0.1510103019538189</v>
      </c>
      <c r="U50" s="171">
        <f>1-0.529</f>
        <v>0.47099999999999997</v>
      </c>
      <c r="V50" s="110"/>
      <c r="W50" s="118">
        <f t="shared" si="51"/>
        <v>109.43857142857142</v>
      </c>
      <c r="X50" s="110">
        <v>13575</v>
      </c>
      <c r="Y50" s="117">
        <f t="shared" si="46"/>
        <v>7181.1750000000002</v>
      </c>
      <c r="Z50" s="110"/>
      <c r="AA50" s="110"/>
      <c r="AB50" s="110"/>
      <c r="AC50" s="110"/>
      <c r="AD50" s="110"/>
      <c r="AE50" s="110"/>
      <c r="AF50" s="121"/>
      <c r="AG50" s="121"/>
    </row>
    <row r="51" spans="1:33" x14ac:dyDescent="0.15">
      <c r="A51" s="110" t="s">
        <v>193</v>
      </c>
      <c r="B51" s="111" t="s">
        <v>49</v>
      </c>
      <c r="C51" s="110"/>
      <c r="D51" s="111">
        <v>5</v>
      </c>
      <c r="E51" s="111">
        <v>697</v>
      </c>
      <c r="F51" s="111"/>
      <c r="G51" s="111"/>
      <c r="H51" s="111" t="s">
        <v>2613</v>
      </c>
      <c r="I51" s="110"/>
      <c r="J51" s="170">
        <v>8</v>
      </c>
      <c r="K51" s="117">
        <f>1059.35+141.44</f>
        <v>1200.79</v>
      </c>
      <c r="L51" s="117"/>
      <c r="M51" s="117">
        <v>2033.5</v>
      </c>
      <c r="N51" s="117">
        <v>0</v>
      </c>
      <c r="O51" s="110"/>
      <c r="P51" s="117">
        <f t="shared" si="48"/>
        <v>3234.29</v>
      </c>
      <c r="Q51" s="117">
        <v>7500</v>
      </c>
      <c r="R51" s="117">
        <f t="shared" si="45"/>
        <v>4265.71</v>
      </c>
      <c r="S51" s="171">
        <f t="shared" si="49"/>
        <v>0.27113333333333334</v>
      </c>
      <c r="T51" s="171">
        <f t="shared" si="50"/>
        <v>0.56876133333333334</v>
      </c>
      <c r="U51" s="171">
        <f>1-0.56</f>
        <v>0.43999999999999995</v>
      </c>
      <c r="V51" s="110"/>
      <c r="W51" s="118">
        <f t="shared" si="51"/>
        <v>150.09875</v>
      </c>
      <c r="X51" s="110">
        <v>8000</v>
      </c>
      <c r="Y51" s="117">
        <f t="shared" si="46"/>
        <v>4480</v>
      </c>
      <c r="Z51" s="110"/>
      <c r="AA51" s="110"/>
      <c r="AB51" s="110"/>
      <c r="AC51" s="110"/>
      <c r="AD51" s="110"/>
      <c r="AE51" s="110"/>
      <c r="AF51" s="121"/>
      <c r="AG51" s="121"/>
    </row>
    <row r="52" spans="1:33" x14ac:dyDescent="0.15">
      <c r="A52" s="110"/>
      <c r="B52" s="111"/>
      <c r="C52" s="110"/>
      <c r="D52" s="111"/>
      <c r="E52" s="111"/>
      <c r="F52" s="111"/>
      <c r="G52" s="111"/>
      <c r="H52" s="111"/>
      <c r="I52" s="110"/>
      <c r="J52" s="170"/>
      <c r="K52" s="117"/>
      <c r="L52" s="117"/>
      <c r="M52" s="117"/>
      <c r="N52" s="117"/>
      <c r="O52" s="110"/>
      <c r="P52" s="117"/>
      <c r="Q52" s="117"/>
      <c r="R52" s="117"/>
      <c r="S52" s="171"/>
      <c r="T52" s="171"/>
      <c r="U52" s="171"/>
      <c r="V52" s="110"/>
      <c r="W52" s="118"/>
      <c r="X52" s="110"/>
      <c r="Y52" s="110"/>
      <c r="Z52" s="110"/>
      <c r="AA52" s="110"/>
      <c r="AB52" s="110"/>
      <c r="AC52" s="110"/>
      <c r="AD52" s="110"/>
      <c r="AE52" s="110"/>
      <c r="AF52" s="121"/>
      <c r="AG52" s="121"/>
    </row>
    <row r="53" spans="1:33" x14ac:dyDescent="0.15">
      <c r="A53" s="110" t="s">
        <v>193</v>
      </c>
      <c r="B53" s="111" t="s">
        <v>2577</v>
      </c>
      <c r="C53" s="110"/>
      <c r="D53" s="111">
        <v>5</v>
      </c>
      <c r="E53" s="111" t="s">
        <v>2620</v>
      </c>
      <c r="F53" s="111"/>
      <c r="G53" s="111"/>
      <c r="H53" s="111"/>
      <c r="I53" s="110"/>
      <c r="J53" s="117">
        <f>SUM(J47:J51)</f>
        <v>262.5</v>
      </c>
      <c r="K53" s="117">
        <f>SUM(K47:K51)</f>
        <v>17049.22</v>
      </c>
      <c r="L53" s="117">
        <f>SUM(L47:L51)</f>
        <v>0</v>
      </c>
      <c r="M53" s="117">
        <f>SUM(M47:M51)</f>
        <v>67869.05</v>
      </c>
      <c r="N53" s="170">
        <f>SUM(N47:N51)</f>
        <v>0</v>
      </c>
      <c r="O53" s="110"/>
      <c r="P53" s="117">
        <f>SUM(P47:P52)</f>
        <v>84918.26999999999</v>
      </c>
      <c r="Q53" s="117">
        <f>SUM(Q47:Q52)</f>
        <v>194582.37</v>
      </c>
      <c r="R53" s="117">
        <f t="shared" ref="R53:R55" si="52">Q53-P53</f>
        <v>109664.1</v>
      </c>
      <c r="S53" s="171">
        <f t="shared" ref="S53:S55" si="53">M53/Q53</f>
        <v>0.34879341843765188</v>
      </c>
      <c r="T53" s="171">
        <f>R53/Q53</f>
        <v>0.56358703000688093</v>
      </c>
      <c r="U53" s="171">
        <f>((Q47*U47)+(Q48*U48)+(Q49*U49)+(Q50*U50)+(Q51*U51))/Q53</f>
        <v>0.58846782491137317</v>
      </c>
      <c r="V53" s="110"/>
      <c r="W53" s="118">
        <f t="shared" ref="W53:W54" si="54">K53/J53</f>
        <v>64.949409523809521</v>
      </c>
      <c r="X53" s="117">
        <f>SUM(X47:X51)</f>
        <v>207001</v>
      </c>
      <c r="Y53" s="117">
        <f>SUM(Y47:Y51)</f>
        <v>80249.763999999981</v>
      </c>
      <c r="Z53" s="110"/>
      <c r="AA53" s="110"/>
      <c r="AB53" s="110"/>
      <c r="AC53" s="110"/>
      <c r="AD53" s="110"/>
      <c r="AE53" s="110"/>
      <c r="AF53" s="121"/>
      <c r="AG53" s="178"/>
    </row>
    <row r="54" spans="1:33" x14ac:dyDescent="0.15">
      <c r="A54" s="110" t="s">
        <v>193</v>
      </c>
      <c r="B54" s="111" t="s">
        <v>55</v>
      </c>
      <c r="C54" s="110"/>
      <c r="D54" s="111">
        <v>5</v>
      </c>
      <c r="E54" s="111">
        <v>695</v>
      </c>
      <c r="F54" s="111"/>
      <c r="G54" s="111"/>
      <c r="H54" s="111"/>
      <c r="I54" s="110"/>
      <c r="J54" s="117">
        <v>17</v>
      </c>
      <c r="K54" s="117">
        <f>3292.52+186.75</f>
        <v>3479.27</v>
      </c>
      <c r="L54" s="117"/>
      <c r="M54" s="117">
        <v>518.28</v>
      </c>
      <c r="N54" s="117">
        <f>5210-K54</f>
        <v>1730.73</v>
      </c>
      <c r="O54" s="110"/>
      <c r="P54" s="117">
        <f t="shared" ref="P54" si="55">SUM(K54:O54)</f>
        <v>5728.2800000000007</v>
      </c>
      <c r="Q54" s="117">
        <v>5210</v>
      </c>
      <c r="R54" s="117">
        <f t="shared" si="52"/>
        <v>-518.28000000000065</v>
      </c>
      <c r="S54" s="171">
        <f t="shared" si="53"/>
        <v>9.947792706333973E-2</v>
      </c>
      <c r="T54" s="171">
        <f t="shared" ref="T54:T55" si="56">R54/Q54</f>
        <v>-9.9477927063339855E-2</v>
      </c>
      <c r="U54" s="171">
        <v>0</v>
      </c>
      <c r="V54" s="110"/>
      <c r="W54" s="118">
        <f t="shared" si="54"/>
        <v>204.66294117647058</v>
      </c>
      <c r="X54" s="110"/>
      <c r="Y54" s="110"/>
      <c r="Z54" s="110"/>
      <c r="AA54" s="110"/>
      <c r="AB54" s="110"/>
      <c r="AC54" s="110"/>
      <c r="AD54" s="110"/>
      <c r="AE54" s="110"/>
      <c r="AF54" s="121"/>
      <c r="AG54" s="110"/>
    </row>
    <row r="55" spans="1:33" x14ac:dyDescent="0.15">
      <c r="A55" s="110" t="s">
        <v>193</v>
      </c>
      <c r="B55" s="111" t="s">
        <v>2600</v>
      </c>
      <c r="C55" s="110"/>
      <c r="D55" s="111">
        <v>5</v>
      </c>
      <c r="E55" s="111"/>
      <c r="F55" s="111"/>
      <c r="G55" s="111"/>
      <c r="H55" s="111"/>
      <c r="I55" s="110"/>
      <c r="J55" s="117">
        <f>J47+J48</f>
        <v>149.5</v>
      </c>
      <c r="K55" s="117">
        <f t="shared" ref="K55:N55" si="57">K47+K48</f>
        <v>4357.38</v>
      </c>
      <c r="L55" s="117">
        <f t="shared" si="57"/>
        <v>0</v>
      </c>
      <c r="M55" s="117">
        <f t="shared" si="57"/>
        <v>65377.07</v>
      </c>
      <c r="N55" s="117">
        <f t="shared" si="57"/>
        <v>0</v>
      </c>
      <c r="O55" s="110"/>
      <c r="P55" s="117">
        <f>SUM(K55:N55)</f>
        <v>69734.45</v>
      </c>
      <c r="Q55" s="117">
        <f>Q47+Q48</f>
        <v>167631.37</v>
      </c>
      <c r="R55" s="117">
        <f t="shared" si="52"/>
        <v>97896.92</v>
      </c>
      <c r="S55" s="171">
        <f t="shared" si="53"/>
        <v>0.39000498534373368</v>
      </c>
      <c r="T55" s="171">
        <f t="shared" si="56"/>
        <v>0.58400119261687122</v>
      </c>
      <c r="U55" s="171">
        <f>((Q47*U47)+(Q48*U48))/Q55</f>
        <v>0.59200000000000019</v>
      </c>
      <c r="V55" s="110"/>
      <c r="W55" s="118">
        <f>K55/J55</f>
        <v>29.146354515050167</v>
      </c>
      <c r="X55" s="117">
        <f>X47+X48</f>
        <v>167807</v>
      </c>
      <c r="Y55" s="117">
        <f>Y47+Y48</f>
        <v>68465.255999999979</v>
      </c>
      <c r="Z55" s="110"/>
      <c r="AA55" s="110"/>
      <c r="AB55" s="110"/>
      <c r="AC55" s="110"/>
      <c r="AD55" s="110"/>
      <c r="AE55" s="110"/>
      <c r="AF55" s="121"/>
      <c r="AG55" s="110"/>
    </row>
    <row r="56" spans="1:33" x14ac:dyDescent="0.15">
      <c r="A56" s="172"/>
      <c r="B56" s="173"/>
      <c r="C56" s="172"/>
      <c r="D56" s="173"/>
      <c r="E56" s="173"/>
      <c r="F56" s="173"/>
      <c r="G56" s="173"/>
      <c r="H56" s="173"/>
      <c r="I56" s="172"/>
      <c r="J56" s="174"/>
      <c r="K56" s="175"/>
      <c r="L56" s="175"/>
      <c r="M56" s="175"/>
      <c r="N56" s="175"/>
      <c r="O56" s="172"/>
      <c r="P56" s="175"/>
      <c r="Q56" s="175"/>
      <c r="R56" s="175"/>
      <c r="S56" s="176"/>
      <c r="T56" s="176"/>
      <c r="U56" s="176"/>
      <c r="V56" s="172"/>
      <c r="W56" s="177"/>
      <c r="X56" s="175"/>
      <c r="Y56" s="176"/>
      <c r="Z56" s="110"/>
      <c r="AA56" s="110"/>
      <c r="AB56" s="110"/>
      <c r="AC56" s="110"/>
      <c r="AD56" s="110"/>
      <c r="AE56" s="110"/>
      <c r="AF56" s="121"/>
      <c r="AG56" s="110"/>
    </row>
    <row r="57" spans="1:33" x14ac:dyDescent="0.15">
      <c r="A57" s="110" t="s">
        <v>308</v>
      </c>
      <c r="B57" s="111" t="s">
        <v>37</v>
      </c>
      <c r="C57" s="110"/>
      <c r="D57" s="111">
        <v>5</v>
      </c>
      <c r="E57" s="111">
        <v>666</v>
      </c>
      <c r="F57" s="111"/>
      <c r="G57" s="111"/>
      <c r="H57" s="111" t="s">
        <v>2621</v>
      </c>
      <c r="I57" s="110"/>
      <c r="J57" s="117">
        <f>4.25+36+1</f>
        <v>41.25</v>
      </c>
      <c r="K57" s="117">
        <f>1003.4+450.84</f>
        <v>1454.24</v>
      </c>
      <c r="L57" s="117"/>
      <c r="M57" s="117">
        <v>57632.81</v>
      </c>
      <c r="N57" s="117"/>
      <c r="O57" s="110"/>
      <c r="P57" s="117">
        <f>SUM(K57:O57)</f>
        <v>59087.049999999996</v>
      </c>
      <c r="Q57" s="117">
        <v>102437</v>
      </c>
      <c r="R57" s="117">
        <f t="shared" ref="R57:R65" si="58">Q57-P57</f>
        <v>43349.950000000004</v>
      </c>
      <c r="S57" s="171">
        <f>M57/Q57</f>
        <v>0.56261712076691039</v>
      </c>
      <c r="T57" s="171">
        <f>R57/Q57</f>
        <v>0.42318644630358176</v>
      </c>
      <c r="U57" s="171">
        <f>1-0.408</f>
        <v>0.59200000000000008</v>
      </c>
      <c r="V57" s="110"/>
      <c r="W57" s="118">
        <f>K57/J57</f>
        <v>35.254303030303028</v>
      </c>
      <c r="X57" s="110">
        <v>580000</v>
      </c>
      <c r="Y57" s="117">
        <f t="shared" ref="Y57:Y65" si="59">X57*(1-U57)</f>
        <v>236639.99999999994</v>
      </c>
      <c r="Z57" s="110"/>
      <c r="AA57" s="110"/>
      <c r="AB57" s="110"/>
      <c r="AC57" s="110"/>
      <c r="AD57" s="110"/>
      <c r="AE57" s="110"/>
      <c r="AF57" s="121"/>
      <c r="AG57" s="110"/>
    </row>
    <row r="58" spans="1:33" x14ac:dyDescent="0.15">
      <c r="A58" s="110" t="s">
        <v>308</v>
      </c>
      <c r="B58" s="111" t="s">
        <v>2603</v>
      </c>
      <c r="C58" s="110"/>
      <c r="D58" s="111">
        <v>5</v>
      </c>
      <c r="E58" s="111" t="s">
        <v>2604</v>
      </c>
      <c r="F58" s="111"/>
      <c r="G58" s="111"/>
      <c r="H58" s="111" t="s">
        <v>2622</v>
      </c>
      <c r="I58" s="110"/>
      <c r="J58" s="117"/>
      <c r="K58" s="117"/>
      <c r="L58" s="117"/>
      <c r="M58" s="117"/>
      <c r="N58" s="117"/>
      <c r="O58" s="110"/>
      <c r="P58" s="117">
        <f t="shared" ref="P58:P65" si="60">SUM(K58:O58)</f>
        <v>0</v>
      </c>
      <c r="Q58" s="117">
        <v>28000</v>
      </c>
      <c r="R58" s="117">
        <f t="shared" si="58"/>
        <v>28000</v>
      </c>
      <c r="S58" s="171">
        <f t="shared" ref="S58" si="61">M58/Q58</f>
        <v>0</v>
      </c>
      <c r="T58" s="171">
        <f t="shared" ref="T58" si="62">R58/Q58</f>
        <v>1</v>
      </c>
      <c r="U58" s="171">
        <f>1-0.007</f>
        <v>0.99299999999999999</v>
      </c>
      <c r="V58" s="110"/>
      <c r="W58" s="118" t="e">
        <f t="shared" ref="W58" si="63">K58/J58</f>
        <v>#DIV/0!</v>
      </c>
      <c r="X58" s="110">
        <v>75000</v>
      </c>
      <c r="Y58" s="117">
        <f t="shared" si="59"/>
        <v>525.00000000000045</v>
      </c>
      <c r="Z58" s="110"/>
      <c r="AA58" s="110"/>
      <c r="AB58" s="110"/>
      <c r="AC58" s="110"/>
      <c r="AD58" s="110"/>
      <c r="AE58" s="110"/>
      <c r="AF58" s="121"/>
      <c r="AG58" s="110"/>
    </row>
    <row r="59" spans="1:33" x14ac:dyDescent="0.15">
      <c r="A59" s="110" t="s">
        <v>308</v>
      </c>
      <c r="B59" s="111" t="s">
        <v>37</v>
      </c>
      <c r="C59" s="110"/>
      <c r="D59" s="111">
        <v>5</v>
      </c>
      <c r="E59" s="111">
        <v>667</v>
      </c>
      <c r="F59" s="111"/>
      <c r="G59" s="111"/>
      <c r="H59" s="111" t="s">
        <v>2623</v>
      </c>
      <c r="I59" s="110"/>
      <c r="J59" s="117">
        <f>18+35.5</f>
        <v>53.5</v>
      </c>
      <c r="K59" s="117">
        <f>1253.65+508.89</f>
        <v>1762.54</v>
      </c>
      <c r="L59" s="117"/>
      <c r="M59" s="117">
        <v>32391.68</v>
      </c>
      <c r="N59" s="117"/>
      <c r="O59" s="110"/>
      <c r="P59" s="117">
        <f t="shared" si="60"/>
        <v>34154.22</v>
      </c>
      <c r="Q59" s="117">
        <v>62965</v>
      </c>
      <c r="R59" s="117">
        <f t="shared" si="58"/>
        <v>28810.78</v>
      </c>
      <c r="S59" s="171">
        <f>M59/Q59</f>
        <v>0.51443945048836659</v>
      </c>
      <c r="T59" s="171">
        <f>R59/Q59</f>
        <v>0.45756817279440959</v>
      </c>
      <c r="U59" s="171">
        <f>1-0.408</f>
        <v>0.59200000000000008</v>
      </c>
      <c r="V59" s="110"/>
      <c r="W59" s="118">
        <f>K59/J59</f>
        <v>32.944672897196263</v>
      </c>
      <c r="X59" s="110"/>
      <c r="Y59" s="117">
        <f t="shared" si="59"/>
        <v>0</v>
      </c>
      <c r="Z59" s="110"/>
      <c r="AA59" s="110"/>
      <c r="AB59" s="110"/>
      <c r="AC59" s="110"/>
      <c r="AD59" s="110"/>
      <c r="AE59" s="110"/>
      <c r="AF59" s="121"/>
      <c r="AG59" s="110"/>
    </row>
    <row r="60" spans="1:33" x14ac:dyDescent="0.15">
      <c r="A60" s="110" t="s">
        <v>308</v>
      </c>
      <c r="B60" s="111" t="s">
        <v>2603</v>
      </c>
      <c r="C60" s="110"/>
      <c r="D60" s="111">
        <v>5</v>
      </c>
      <c r="E60" s="111" t="s">
        <v>2604</v>
      </c>
      <c r="F60" s="111"/>
      <c r="G60" s="111"/>
      <c r="H60" s="111" t="s">
        <v>2624</v>
      </c>
      <c r="I60" s="110"/>
      <c r="J60" s="117"/>
      <c r="K60" s="117"/>
      <c r="L60" s="117"/>
      <c r="M60" s="117"/>
      <c r="N60" s="117"/>
      <c r="O60" s="110"/>
      <c r="P60" s="117">
        <f t="shared" si="60"/>
        <v>0</v>
      </c>
      <c r="Q60" s="117">
        <v>28000</v>
      </c>
      <c r="R60" s="117">
        <f t="shared" si="58"/>
        <v>28000</v>
      </c>
      <c r="S60" s="171">
        <f t="shared" ref="S60" si="64">M60/Q60</f>
        <v>0</v>
      </c>
      <c r="T60" s="171">
        <f t="shared" ref="T60" si="65">R60/Q60</f>
        <v>1</v>
      </c>
      <c r="U60" s="171">
        <f>1-0.007</f>
        <v>0.99299999999999999</v>
      </c>
      <c r="V60" s="110"/>
      <c r="W60" s="118" t="e">
        <f t="shared" ref="W60" si="66">K60/J60</f>
        <v>#DIV/0!</v>
      </c>
      <c r="X60" s="110"/>
      <c r="Y60" s="117">
        <f t="shared" si="59"/>
        <v>0</v>
      </c>
      <c r="Z60" s="110"/>
      <c r="AA60" s="110"/>
      <c r="AB60" s="110"/>
      <c r="AC60" s="110"/>
      <c r="AD60" s="110"/>
      <c r="AE60" s="110"/>
      <c r="AF60" s="121"/>
      <c r="AG60" s="110"/>
    </row>
    <row r="61" spans="1:33" x14ac:dyDescent="0.15">
      <c r="A61" s="110" t="s">
        <v>308</v>
      </c>
      <c r="B61" s="111" t="s">
        <v>37</v>
      </c>
      <c r="C61" s="110"/>
      <c r="D61" s="111">
        <v>5</v>
      </c>
      <c r="E61" s="111">
        <v>668</v>
      </c>
      <c r="F61" s="111"/>
      <c r="G61" s="111"/>
      <c r="H61" s="111" t="s">
        <v>2625</v>
      </c>
      <c r="I61" s="110"/>
      <c r="J61" s="117">
        <f>2+48.5+28+0.5</f>
        <v>79</v>
      </c>
      <c r="K61" s="117">
        <f>1989.67+895.53</f>
        <v>2885.2</v>
      </c>
      <c r="L61" s="117"/>
      <c r="M61" s="117">
        <v>58761.96</v>
      </c>
      <c r="N61" s="117"/>
      <c r="O61" s="110"/>
      <c r="P61" s="117">
        <f t="shared" si="60"/>
        <v>61647.159999999996</v>
      </c>
      <c r="Q61" s="117">
        <v>161073</v>
      </c>
      <c r="R61" s="117">
        <f t="shared" si="58"/>
        <v>99425.84</v>
      </c>
      <c r="S61" s="171">
        <f>M61/Q61</f>
        <v>0.36481570468048646</v>
      </c>
      <c r="T61" s="171">
        <f>R61/Q61</f>
        <v>0.61727192018525756</v>
      </c>
      <c r="U61" s="171">
        <f>1-0.408</f>
        <v>0.59200000000000008</v>
      </c>
      <c r="V61" s="110"/>
      <c r="W61" s="118">
        <f>K61/J61</f>
        <v>36.521518987341771</v>
      </c>
      <c r="X61" s="110"/>
      <c r="Y61" s="117">
        <f t="shared" si="59"/>
        <v>0</v>
      </c>
      <c r="Z61" s="110"/>
      <c r="AA61" s="110"/>
      <c r="AB61" s="110"/>
      <c r="AC61" s="110"/>
      <c r="AD61" s="110"/>
      <c r="AE61" s="110"/>
      <c r="AF61" s="121"/>
      <c r="AG61" s="110"/>
    </row>
    <row r="62" spans="1:33" x14ac:dyDescent="0.15">
      <c r="A62" s="110" t="s">
        <v>308</v>
      </c>
      <c r="B62" s="111" t="s">
        <v>2603</v>
      </c>
      <c r="C62" s="110"/>
      <c r="D62" s="111">
        <v>5</v>
      </c>
      <c r="E62" s="111" t="s">
        <v>2604</v>
      </c>
      <c r="F62" s="111"/>
      <c r="G62" s="111"/>
      <c r="H62" s="111" t="s">
        <v>2626</v>
      </c>
      <c r="I62" s="110"/>
      <c r="J62" s="117"/>
      <c r="K62" s="117"/>
      <c r="L62" s="117"/>
      <c r="M62" s="117"/>
      <c r="N62" s="117"/>
      <c r="O62" s="110"/>
      <c r="P62" s="117">
        <f t="shared" si="60"/>
        <v>0</v>
      </c>
      <c r="Q62" s="117">
        <v>76411</v>
      </c>
      <c r="R62" s="117">
        <f t="shared" si="58"/>
        <v>76411</v>
      </c>
      <c r="S62" s="171">
        <f t="shared" ref="S62" si="67">M62/Q62</f>
        <v>0</v>
      </c>
      <c r="T62" s="171">
        <f t="shared" ref="T62" si="68">R62/Q62</f>
        <v>1</v>
      </c>
      <c r="U62" s="171">
        <f>1-0.007</f>
        <v>0.99299999999999999</v>
      </c>
      <c r="V62" s="110"/>
      <c r="W62" s="118" t="e">
        <f t="shared" ref="W62" si="69">K62/J62</f>
        <v>#DIV/0!</v>
      </c>
      <c r="X62" s="110"/>
      <c r="Y62" s="117">
        <f t="shared" si="59"/>
        <v>0</v>
      </c>
      <c r="Z62" s="110"/>
      <c r="AA62" s="110"/>
      <c r="AB62" s="110"/>
      <c r="AC62" s="110"/>
      <c r="AD62" s="110"/>
      <c r="AE62" s="110"/>
      <c r="AF62" s="121"/>
      <c r="AG62" s="110"/>
    </row>
    <row r="63" spans="1:33" x14ac:dyDescent="0.15">
      <c r="A63" s="110" t="s">
        <v>308</v>
      </c>
      <c r="B63" s="111" t="s">
        <v>37</v>
      </c>
      <c r="C63" s="110"/>
      <c r="D63" s="111">
        <v>5</v>
      </c>
      <c r="E63" s="111">
        <v>669</v>
      </c>
      <c r="F63" s="111"/>
      <c r="G63" s="111"/>
      <c r="H63" s="111" t="s">
        <v>2627</v>
      </c>
      <c r="I63" s="110"/>
      <c r="J63" s="117">
        <f>20+47+7</f>
        <v>74</v>
      </c>
      <c r="K63" s="117">
        <f>1706.31+641.5</f>
        <v>2347.81</v>
      </c>
      <c r="L63" s="117"/>
      <c r="M63" s="117">
        <v>107811.96</v>
      </c>
      <c r="N63" s="117"/>
      <c r="O63" s="110"/>
      <c r="P63" s="117">
        <f t="shared" si="60"/>
        <v>110159.77</v>
      </c>
      <c r="Q63" s="117">
        <v>78214</v>
      </c>
      <c r="R63" s="117">
        <f t="shared" si="58"/>
        <v>-31945.770000000004</v>
      </c>
      <c r="S63" s="171">
        <f>M63/Q63</f>
        <v>1.3784227887590457</v>
      </c>
      <c r="T63" s="171">
        <f>R63/Q63</f>
        <v>-0.40844056051346311</v>
      </c>
      <c r="U63" s="171">
        <f>1-0.408</f>
        <v>0.59200000000000008</v>
      </c>
      <c r="V63" s="110"/>
      <c r="W63" s="118">
        <f>K63/J63</f>
        <v>31.727162162162163</v>
      </c>
      <c r="X63" s="110"/>
      <c r="Y63" s="117">
        <f t="shared" si="59"/>
        <v>0</v>
      </c>
      <c r="Z63" s="110"/>
      <c r="AA63" s="110"/>
      <c r="AB63" s="110"/>
      <c r="AC63" s="110"/>
      <c r="AD63" s="110"/>
      <c r="AE63" s="110"/>
      <c r="AF63" s="121"/>
      <c r="AG63" s="110"/>
    </row>
    <row r="64" spans="1:33" x14ac:dyDescent="0.15">
      <c r="A64" s="110" t="s">
        <v>308</v>
      </c>
      <c r="B64" s="111" t="s">
        <v>47</v>
      </c>
      <c r="C64" s="110"/>
      <c r="D64" s="111">
        <v>5</v>
      </c>
      <c r="E64" s="111">
        <v>671</v>
      </c>
      <c r="F64" s="111"/>
      <c r="G64" s="111"/>
      <c r="H64" s="111" t="s">
        <v>2628</v>
      </c>
      <c r="I64" s="110"/>
      <c r="J64" s="117">
        <f>434.5</f>
        <v>434.5</v>
      </c>
      <c r="K64" s="117">
        <f>26316.65+6043.93</f>
        <v>32360.58</v>
      </c>
      <c r="L64" s="117">
        <v>1110.92</v>
      </c>
      <c r="M64" s="117">
        <v>944.58</v>
      </c>
      <c r="N64" s="117"/>
      <c r="O64" s="110"/>
      <c r="P64" s="117">
        <f t="shared" si="60"/>
        <v>34416.080000000002</v>
      </c>
      <c r="Q64" s="117">
        <v>40655</v>
      </c>
      <c r="R64" s="117">
        <f t="shared" si="58"/>
        <v>6238.9199999999983</v>
      </c>
      <c r="S64" s="171">
        <f t="shared" ref="S64:S65" si="70">M64/Q64</f>
        <v>2.3234042553191489E-2</v>
      </c>
      <c r="T64" s="171">
        <f t="shared" ref="T64:T65" si="71">R64/Q64</f>
        <v>0.15346009100971586</v>
      </c>
      <c r="U64" s="171">
        <f>1-0.529</f>
        <v>0.47099999999999997</v>
      </c>
      <c r="V64" s="110"/>
      <c r="W64" s="118">
        <f t="shared" ref="W64:W65" si="72">K64/J64</f>
        <v>74.477744533947075</v>
      </c>
      <c r="X64" s="110">
        <v>55000</v>
      </c>
      <c r="Y64" s="117">
        <f t="shared" si="59"/>
        <v>29095</v>
      </c>
      <c r="Z64" s="110"/>
      <c r="AA64" s="110"/>
      <c r="AB64" s="110"/>
      <c r="AC64" s="110"/>
      <c r="AD64" s="110"/>
      <c r="AE64" s="110"/>
      <c r="AF64" s="121"/>
      <c r="AG64" s="110"/>
    </row>
    <row r="65" spans="1:28" x14ac:dyDescent="0.15">
      <c r="A65" s="110" t="s">
        <v>308</v>
      </c>
      <c r="B65" s="111" t="s">
        <v>2603</v>
      </c>
      <c r="C65" s="110"/>
      <c r="D65" s="111">
        <v>5</v>
      </c>
      <c r="E65" s="111">
        <v>672</v>
      </c>
      <c r="F65" s="111"/>
      <c r="G65" s="111"/>
      <c r="H65" s="111" t="s">
        <v>2629</v>
      </c>
      <c r="I65" s="110"/>
      <c r="J65" s="117">
        <v>48</v>
      </c>
      <c r="K65" s="117">
        <f>4422.57+848.64</f>
        <v>5271.21</v>
      </c>
      <c r="L65" s="117"/>
      <c r="M65" s="117">
        <v>3756.19</v>
      </c>
      <c r="N65" s="117"/>
      <c r="O65" s="110"/>
      <c r="P65" s="117">
        <f t="shared" si="60"/>
        <v>9027.4</v>
      </c>
      <c r="Q65" s="117">
        <v>10000</v>
      </c>
      <c r="R65" s="117">
        <f t="shared" si="58"/>
        <v>972.60000000000036</v>
      </c>
      <c r="S65" s="171">
        <f t="shared" si="70"/>
        <v>0.37561899999999998</v>
      </c>
      <c r="T65" s="171">
        <f t="shared" si="71"/>
        <v>9.7260000000000041E-2</v>
      </c>
      <c r="U65" s="171">
        <f>1-0.007</f>
        <v>0.99299999999999999</v>
      </c>
      <c r="V65" s="110"/>
      <c r="W65" s="118">
        <f t="shared" si="72"/>
        <v>109.816875</v>
      </c>
      <c r="X65" s="110">
        <v>25000</v>
      </c>
      <c r="Y65" s="117">
        <f t="shared" si="59"/>
        <v>175.00000000000014</v>
      </c>
      <c r="Z65" s="110"/>
      <c r="AA65" s="110"/>
      <c r="AB65" s="110"/>
    </row>
    <row r="66" spans="1:28" x14ac:dyDescent="0.15">
      <c r="A66" s="110"/>
      <c r="B66" s="111"/>
      <c r="C66" s="110"/>
      <c r="D66" s="111"/>
      <c r="E66" s="111"/>
      <c r="F66" s="111"/>
      <c r="G66" s="111"/>
      <c r="H66" s="111"/>
      <c r="I66" s="110"/>
      <c r="J66" s="170"/>
      <c r="K66" s="117"/>
      <c r="L66" s="117"/>
      <c r="M66" s="117"/>
      <c r="N66" s="117"/>
      <c r="O66" s="110"/>
      <c r="P66" s="117"/>
      <c r="Q66" s="117"/>
      <c r="R66" s="117"/>
      <c r="S66" s="171"/>
      <c r="T66" s="171"/>
      <c r="U66" s="171"/>
      <c r="V66" s="110"/>
      <c r="W66" s="118"/>
      <c r="X66" s="110"/>
      <c r="Y66" s="110"/>
      <c r="Z66" s="110"/>
      <c r="AA66" s="110"/>
      <c r="AB66" s="110"/>
    </row>
    <row r="67" spans="1:28" x14ac:dyDescent="0.15">
      <c r="A67" s="110" t="s">
        <v>308</v>
      </c>
      <c r="B67" s="111" t="s">
        <v>2577</v>
      </c>
      <c r="C67" s="110"/>
      <c r="D67" s="111">
        <v>5</v>
      </c>
      <c r="E67" s="111" t="s">
        <v>2620</v>
      </c>
      <c r="F67" s="111"/>
      <c r="G67" s="111"/>
      <c r="H67" s="111"/>
      <c r="I67" s="110"/>
      <c r="J67" s="117">
        <f>SUM(J57:J65)</f>
        <v>730.25</v>
      </c>
      <c r="K67" s="117">
        <f>SUM(K57:K65)</f>
        <v>46081.58</v>
      </c>
      <c r="L67" s="117">
        <f>SUM(L57:L65)</f>
        <v>1110.92</v>
      </c>
      <c r="M67" s="117">
        <f>SUM(M57:M65)</f>
        <v>261299.17999999996</v>
      </c>
      <c r="N67" s="170"/>
      <c r="O67" s="110"/>
      <c r="P67" s="117">
        <f>SUM(P57:P66)</f>
        <v>308491.68000000005</v>
      </c>
      <c r="Q67" s="117">
        <f>SUM(Q57:Q65)</f>
        <v>587755</v>
      </c>
      <c r="R67" s="117">
        <f t="shared" ref="R67:R69" si="73">Q67-P67</f>
        <v>279263.31999999995</v>
      </c>
      <c r="S67" s="171">
        <f t="shared" ref="S67:S69" si="74">M67/Q67</f>
        <v>0.44457159871034696</v>
      </c>
      <c r="T67" s="171">
        <f>R67/Q67</f>
        <v>0.47513559221104024</v>
      </c>
      <c r="U67" s="171">
        <f>((Q57*U57)+(Q58*U58)+(Q59*U59)+(Q60*U60)+(Q61*U61)+(Q62*U62)+(Q63*U63)+(Q64*U64)+(Q65*U65))/Q67</f>
        <v>0.68079134333183045</v>
      </c>
      <c r="V67" s="110"/>
      <c r="W67" s="118">
        <f t="shared" ref="W67:W68" si="75">K67/J67</f>
        <v>63.103841150290997</v>
      </c>
      <c r="X67" s="159">
        <f>SUM(X57:X66)</f>
        <v>735000</v>
      </c>
      <c r="Y67" s="159">
        <f>SUM(Y57:Y66)</f>
        <v>266434.99999999994</v>
      </c>
      <c r="Z67" s="110"/>
      <c r="AA67" s="110"/>
      <c r="AB67" s="110"/>
    </row>
    <row r="68" spans="1:28" x14ac:dyDescent="0.15">
      <c r="A68" s="110" t="s">
        <v>308</v>
      </c>
      <c r="B68" s="111" t="s">
        <v>55</v>
      </c>
      <c r="C68" s="110"/>
      <c r="D68" s="111">
        <v>5</v>
      </c>
      <c r="E68" s="111">
        <v>670</v>
      </c>
      <c r="F68" s="111"/>
      <c r="G68" s="111"/>
      <c r="H68" s="111"/>
      <c r="I68" s="110"/>
      <c r="J68" s="117">
        <v>179</v>
      </c>
      <c r="K68" s="117">
        <f>15918.5+2216.02</f>
        <v>18134.52</v>
      </c>
      <c r="L68" s="117">
        <v>5155.2299999999996</v>
      </c>
      <c r="M68" s="117">
        <v>2303.37</v>
      </c>
      <c r="N68" s="117">
        <f>10000-K68</f>
        <v>-8134.52</v>
      </c>
      <c r="O68" s="110"/>
      <c r="P68" s="117">
        <f t="shared" ref="P68" si="76">SUM(K68:O68)</f>
        <v>17458.599999999999</v>
      </c>
      <c r="Q68" s="117">
        <v>10000</v>
      </c>
      <c r="R68" s="117">
        <f t="shared" si="73"/>
        <v>-7458.5999999999985</v>
      </c>
      <c r="S68" s="171">
        <f t="shared" si="74"/>
        <v>0.23033699999999999</v>
      </c>
      <c r="T68" s="171">
        <f t="shared" ref="T68:T69" si="77">R68/Q68</f>
        <v>-0.74585999999999986</v>
      </c>
      <c r="U68" s="171">
        <v>0</v>
      </c>
      <c r="V68" s="110"/>
      <c r="W68" s="118">
        <f t="shared" si="75"/>
        <v>101.31016759776537</v>
      </c>
      <c r="X68" s="110"/>
      <c r="Y68" s="110"/>
      <c r="Z68" s="110"/>
      <c r="AA68" s="110"/>
      <c r="AB68" s="110"/>
    </row>
    <row r="69" spans="1:28" x14ac:dyDescent="0.15">
      <c r="A69" s="110" t="s">
        <v>308</v>
      </c>
      <c r="B69" s="111" t="s">
        <v>2600</v>
      </c>
      <c r="C69" s="110"/>
      <c r="D69" s="111">
        <v>5</v>
      </c>
      <c r="E69" s="111"/>
      <c r="F69" s="111"/>
      <c r="G69" s="111"/>
      <c r="H69" s="111"/>
      <c r="I69" s="110"/>
      <c r="J69" s="117">
        <f>J57+J59+J61+J63</f>
        <v>247.75</v>
      </c>
      <c r="K69" s="117">
        <f t="shared" ref="K69:M69" si="78">K57+K59+K61+K63</f>
        <v>8449.7899999999991</v>
      </c>
      <c r="L69" s="117">
        <f t="shared" si="78"/>
        <v>0</v>
      </c>
      <c r="M69" s="117">
        <f t="shared" si="78"/>
        <v>256598.40999999997</v>
      </c>
      <c r="N69" s="117"/>
      <c r="O69" s="110"/>
      <c r="P69" s="117">
        <f>SUM(K69:N69)</f>
        <v>265048.19999999995</v>
      </c>
      <c r="Q69" s="117">
        <f t="shared" ref="Q69" si="79">Q57+Q59+Q61+Q63</f>
        <v>404689</v>
      </c>
      <c r="R69" s="117">
        <f t="shared" si="73"/>
        <v>139640.80000000005</v>
      </c>
      <c r="S69" s="171">
        <f t="shared" si="74"/>
        <v>0.63406321891625417</v>
      </c>
      <c r="T69" s="171">
        <f t="shared" si="77"/>
        <v>0.34505706851434076</v>
      </c>
      <c r="U69" s="171">
        <f>((Q57*U57)+(Q59*U59)+(Q61*U61)+(Q63*U63))/Q69</f>
        <v>0.59200000000000008</v>
      </c>
      <c r="V69" s="110"/>
      <c r="W69" s="118">
        <f>K69/J69</f>
        <v>34.106115035317856</v>
      </c>
      <c r="X69" s="117">
        <f t="shared" ref="X69:Y69" si="80">X57+X59+X61+X63</f>
        <v>580000</v>
      </c>
      <c r="Y69" s="117">
        <f t="shared" si="80"/>
        <v>236639.99999999994</v>
      </c>
      <c r="Z69" s="110"/>
      <c r="AA69" s="110"/>
      <c r="AB69" s="110"/>
    </row>
    <row r="70" spans="1:28" x14ac:dyDescent="0.15">
      <c r="A70" s="172"/>
      <c r="B70" s="173"/>
      <c r="C70" s="172"/>
      <c r="D70" s="173"/>
      <c r="E70" s="173"/>
      <c r="F70" s="173"/>
      <c r="G70" s="173"/>
      <c r="H70" s="173"/>
      <c r="I70" s="172"/>
      <c r="J70" s="174"/>
      <c r="K70" s="175"/>
      <c r="L70" s="175"/>
      <c r="M70" s="175"/>
      <c r="N70" s="175"/>
      <c r="O70" s="172"/>
      <c r="P70" s="175"/>
      <c r="Q70" s="175"/>
      <c r="R70" s="175"/>
      <c r="S70" s="176"/>
      <c r="T70" s="176"/>
      <c r="U70" s="176"/>
      <c r="V70" s="172"/>
      <c r="W70" s="177"/>
      <c r="X70" s="175"/>
      <c r="Y70" s="176"/>
      <c r="Z70" s="110"/>
      <c r="AA70" s="110"/>
      <c r="AB70" s="110"/>
    </row>
    <row r="71" spans="1:28" x14ac:dyDescent="0.15">
      <c r="A71" s="110" t="s">
        <v>2630</v>
      </c>
      <c r="B71" s="111" t="s">
        <v>37</v>
      </c>
      <c r="C71" s="110"/>
      <c r="D71" s="111">
        <v>8</v>
      </c>
      <c r="E71" s="111">
        <v>796</v>
      </c>
      <c r="F71" s="15">
        <v>159203</v>
      </c>
      <c r="G71" s="16">
        <v>125000029</v>
      </c>
      <c r="H71" s="111" t="s">
        <v>68</v>
      </c>
      <c r="I71" s="110"/>
      <c r="J71" s="170">
        <f>2+2.5</f>
        <v>4.5</v>
      </c>
      <c r="K71" s="117">
        <f>114.18+51.39</f>
        <v>165.57</v>
      </c>
      <c r="L71" s="117"/>
      <c r="M71" s="117">
        <v>26311.64</v>
      </c>
      <c r="N71" s="117"/>
      <c r="O71" s="110"/>
      <c r="P71" s="117">
        <f>SUM(K71:N71)</f>
        <v>26477.21</v>
      </c>
      <c r="Q71" s="117">
        <v>137483</v>
      </c>
      <c r="R71" s="117">
        <f t="shared" ref="R71:R84" si="81">Q71-P71</f>
        <v>111005.79000000001</v>
      </c>
      <c r="S71" s="171">
        <f t="shared" ref="S71:S84" si="82">M71/Q71</f>
        <v>0.19138104347446594</v>
      </c>
      <c r="T71" s="171">
        <f t="shared" ref="T71:T84" si="83">R71/Q71</f>
        <v>0.80741466217641455</v>
      </c>
      <c r="U71" s="171">
        <f>1-0.408</f>
        <v>0.59200000000000008</v>
      </c>
      <c r="V71" s="110"/>
      <c r="W71" s="118">
        <f>K71/J71</f>
        <v>36.793333333333329</v>
      </c>
      <c r="X71" s="110"/>
      <c r="Y71" s="117">
        <f t="shared" ref="Y71:Y84" si="84">X71*(1-U71)</f>
        <v>0</v>
      </c>
      <c r="Z71" s="110"/>
      <c r="AA71" s="110"/>
      <c r="AB71" s="110"/>
    </row>
    <row r="72" spans="1:28" x14ac:dyDescent="0.15">
      <c r="A72" s="110" t="s">
        <v>2630</v>
      </c>
      <c r="B72" s="111" t="s">
        <v>2603</v>
      </c>
      <c r="C72" s="110"/>
      <c r="D72" s="111">
        <v>8</v>
      </c>
      <c r="E72" s="111" t="s">
        <v>2604</v>
      </c>
      <c r="F72" s="15">
        <v>159203</v>
      </c>
      <c r="G72" s="111"/>
      <c r="H72" s="111" t="s">
        <v>86</v>
      </c>
      <c r="I72" s="110"/>
      <c r="J72" s="170"/>
      <c r="K72" s="117"/>
      <c r="L72" s="117"/>
      <c r="M72" s="117"/>
      <c r="N72" s="117"/>
      <c r="O72" s="110"/>
      <c r="P72" s="117">
        <f t="shared" ref="P72:P94" si="85">SUM(K72:N72)</f>
        <v>0</v>
      </c>
      <c r="Q72" s="117">
        <v>27034.7</v>
      </c>
      <c r="R72" s="117">
        <f t="shared" si="81"/>
        <v>27034.7</v>
      </c>
      <c r="S72" s="171">
        <f t="shared" si="82"/>
        <v>0</v>
      </c>
      <c r="T72" s="171">
        <f t="shared" si="83"/>
        <v>1</v>
      </c>
      <c r="U72" s="171">
        <f>1-0.007</f>
        <v>0.99299999999999999</v>
      </c>
      <c r="V72" s="110"/>
      <c r="W72" s="118" t="e">
        <f t="shared" ref="W72:W84" si="86">K72/J72</f>
        <v>#DIV/0!</v>
      </c>
      <c r="X72" s="110"/>
      <c r="Y72" s="117">
        <f t="shared" si="84"/>
        <v>0</v>
      </c>
      <c r="Z72" s="110"/>
      <c r="AA72" s="110"/>
      <c r="AB72" s="110"/>
    </row>
    <row r="73" spans="1:28" x14ac:dyDescent="0.15">
      <c r="A73" s="110" t="s">
        <v>2630</v>
      </c>
      <c r="B73" s="111" t="s">
        <v>37</v>
      </c>
      <c r="C73" s="110"/>
      <c r="D73" s="111">
        <v>8</v>
      </c>
      <c r="E73" s="111">
        <v>800</v>
      </c>
      <c r="F73" s="15">
        <v>159203</v>
      </c>
      <c r="G73" s="16">
        <v>220100119</v>
      </c>
      <c r="H73" s="111" t="s">
        <v>2631</v>
      </c>
      <c r="I73" s="110"/>
      <c r="J73" s="170"/>
      <c r="K73" s="117"/>
      <c r="L73" s="117"/>
      <c r="M73" s="117">
        <v>9393.48</v>
      </c>
      <c r="N73" s="117"/>
      <c r="O73" s="110"/>
      <c r="P73" s="117">
        <f t="shared" si="85"/>
        <v>9393.48</v>
      </c>
      <c r="Q73" s="117">
        <v>18786</v>
      </c>
      <c r="R73" s="117">
        <f t="shared" si="81"/>
        <v>9392.52</v>
      </c>
      <c r="S73" s="171">
        <f t="shared" si="82"/>
        <v>0.50002555094219092</v>
      </c>
      <c r="T73" s="171">
        <f t="shared" si="83"/>
        <v>0.49997444905780902</v>
      </c>
      <c r="U73" s="171">
        <f>1-0.408</f>
        <v>0.59200000000000008</v>
      </c>
      <c r="V73" s="110"/>
      <c r="W73" s="118" t="e">
        <f t="shared" si="86"/>
        <v>#DIV/0!</v>
      </c>
      <c r="X73" s="110"/>
      <c r="Y73" s="117">
        <f t="shared" si="84"/>
        <v>0</v>
      </c>
      <c r="Z73" s="110"/>
      <c r="AA73" s="110"/>
      <c r="AB73" s="110"/>
    </row>
    <row r="74" spans="1:28" x14ac:dyDescent="0.15">
      <c r="A74" s="110" t="s">
        <v>2630</v>
      </c>
      <c r="B74" s="111" t="s">
        <v>37</v>
      </c>
      <c r="C74" s="110"/>
      <c r="D74" s="111">
        <v>8</v>
      </c>
      <c r="E74" s="111">
        <v>797</v>
      </c>
      <c r="F74" s="15">
        <v>159203</v>
      </c>
      <c r="G74" s="16">
        <v>110120029</v>
      </c>
      <c r="H74" s="111" t="s">
        <v>2632</v>
      </c>
      <c r="I74" s="110"/>
      <c r="J74" s="170">
        <v>2.5</v>
      </c>
      <c r="K74" s="117">
        <f>60.1+27.05</f>
        <v>87.15</v>
      </c>
      <c r="L74" s="117"/>
      <c r="M74" s="117">
        <v>21595.95</v>
      </c>
      <c r="N74" s="117"/>
      <c r="O74" s="110"/>
      <c r="P74" s="117">
        <f t="shared" si="85"/>
        <v>21683.100000000002</v>
      </c>
      <c r="Q74" s="117">
        <v>134126</v>
      </c>
      <c r="R74" s="117">
        <f t="shared" si="81"/>
        <v>112442.9</v>
      </c>
      <c r="S74" s="171">
        <f t="shared" si="82"/>
        <v>0.16101240624487423</v>
      </c>
      <c r="T74" s="171">
        <f t="shared" si="83"/>
        <v>0.83833783159119035</v>
      </c>
      <c r="U74" s="171">
        <f>1-0.408</f>
        <v>0.59200000000000008</v>
      </c>
      <c r="V74" s="110"/>
      <c r="W74" s="118">
        <f t="shared" si="86"/>
        <v>34.86</v>
      </c>
      <c r="X74" s="110"/>
      <c r="Y74" s="117">
        <f t="shared" si="84"/>
        <v>0</v>
      </c>
      <c r="Z74" s="110"/>
      <c r="AA74" s="110"/>
      <c r="AB74" s="110"/>
    </row>
    <row r="75" spans="1:28" x14ac:dyDescent="0.15">
      <c r="A75" s="110" t="s">
        <v>2630</v>
      </c>
      <c r="B75" s="111" t="s">
        <v>2603</v>
      </c>
      <c r="C75" s="110"/>
      <c r="D75" s="111">
        <v>8</v>
      </c>
      <c r="E75" s="111" t="s">
        <v>2604</v>
      </c>
      <c r="F75" s="15">
        <v>159203</v>
      </c>
      <c r="G75" s="111"/>
      <c r="H75" s="111" t="s">
        <v>86</v>
      </c>
      <c r="I75" s="110"/>
      <c r="J75" s="170"/>
      <c r="K75" s="117"/>
      <c r="L75" s="117"/>
      <c r="M75" s="117"/>
      <c r="N75" s="117"/>
      <c r="O75" s="110"/>
      <c r="P75" s="117">
        <f t="shared" si="85"/>
        <v>0</v>
      </c>
      <c r="Q75" s="117">
        <v>27034.7</v>
      </c>
      <c r="R75" s="117">
        <f t="shared" si="81"/>
        <v>27034.7</v>
      </c>
      <c r="S75" s="171">
        <f t="shared" si="82"/>
        <v>0</v>
      </c>
      <c r="T75" s="171">
        <f t="shared" si="83"/>
        <v>1</v>
      </c>
      <c r="U75" s="171">
        <f>1-0.007</f>
        <v>0.99299999999999999</v>
      </c>
      <c r="V75" s="110"/>
      <c r="W75" s="118" t="e">
        <f t="shared" si="86"/>
        <v>#DIV/0!</v>
      </c>
      <c r="X75" s="110"/>
      <c r="Y75" s="117">
        <f t="shared" si="84"/>
        <v>0</v>
      </c>
      <c r="Z75" s="110" t="s">
        <v>2633</v>
      </c>
      <c r="AA75" s="110"/>
      <c r="AB75" s="110"/>
    </row>
    <row r="76" spans="1:28" x14ac:dyDescent="0.15">
      <c r="A76" s="110" t="s">
        <v>2630</v>
      </c>
      <c r="B76" s="111" t="s">
        <v>37</v>
      </c>
      <c r="C76" s="110"/>
      <c r="D76" s="111">
        <v>8</v>
      </c>
      <c r="E76" s="111">
        <v>798</v>
      </c>
      <c r="F76" s="15">
        <v>159203</v>
      </c>
      <c r="G76" s="16">
        <v>140000019</v>
      </c>
      <c r="H76" s="111" t="s">
        <v>2634</v>
      </c>
      <c r="I76" s="110"/>
      <c r="J76" s="170">
        <v>1</v>
      </c>
      <c r="K76" s="117">
        <f>24.04+10.82</f>
        <v>34.86</v>
      </c>
      <c r="L76" s="117"/>
      <c r="M76" s="117">
        <v>56339.95</v>
      </c>
      <c r="N76" s="117"/>
      <c r="O76" s="110"/>
      <c r="P76" s="117">
        <f t="shared" si="85"/>
        <v>56374.81</v>
      </c>
      <c r="Q76" s="117">
        <v>163731</v>
      </c>
      <c r="R76" s="117">
        <f t="shared" si="81"/>
        <v>107356.19</v>
      </c>
      <c r="S76" s="171">
        <f t="shared" si="82"/>
        <v>0.3441006895456572</v>
      </c>
      <c r="T76" s="171">
        <f t="shared" si="83"/>
        <v>0.65568640025407532</v>
      </c>
      <c r="U76" s="171">
        <f>1-0.408</f>
        <v>0.59200000000000008</v>
      </c>
      <c r="V76" s="110"/>
      <c r="W76" s="118">
        <f t="shared" si="86"/>
        <v>34.86</v>
      </c>
      <c r="X76" s="110"/>
      <c r="Y76" s="117">
        <f t="shared" si="84"/>
        <v>0</v>
      </c>
      <c r="Z76" s="110"/>
      <c r="AA76" s="110"/>
      <c r="AB76" s="110"/>
    </row>
    <row r="77" spans="1:28" x14ac:dyDescent="0.15">
      <c r="A77" s="110" t="s">
        <v>2630</v>
      </c>
      <c r="B77" s="111" t="s">
        <v>37</v>
      </c>
      <c r="C77" s="110"/>
      <c r="D77" s="111">
        <v>8</v>
      </c>
      <c r="E77" s="111">
        <v>801</v>
      </c>
      <c r="F77" s="15">
        <v>159203</v>
      </c>
      <c r="G77" s="16">
        <v>213500119</v>
      </c>
      <c r="H77" s="111" t="s">
        <v>2635</v>
      </c>
      <c r="I77" s="110"/>
      <c r="J77" s="170">
        <v>1</v>
      </c>
      <c r="K77" s="117">
        <f>27.04+12.17</f>
        <v>39.21</v>
      </c>
      <c r="L77" s="117"/>
      <c r="M77" s="117">
        <v>26637.58</v>
      </c>
      <c r="N77" s="117"/>
      <c r="O77" s="110"/>
      <c r="P77" s="117">
        <f t="shared" si="85"/>
        <v>26676.79</v>
      </c>
      <c r="Q77" s="117">
        <v>45132</v>
      </c>
      <c r="R77" s="117">
        <f t="shared" si="81"/>
        <v>18455.21</v>
      </c>
      <c r="S77" s="171">
        <f t="shared" si="82"/>
        <v>0.59021492510857043</v>
      </c>
      <c r="T77" s="171">
        <f t="shared" si="83"/>
        <v>0.40891628999379598</v>
      </c>
      <c r="U77" s="171">
        <f>1-0.408</f>
        <v>0.59200000000000008</v>
      </c>
      <c r="V77" s="110"/>
      <c r="W77" s="118">
        <f t="shared" si="86"/>
        <v>39.21</v>
      </c>
      <c r="X77" s="110"/>
      <c r="Y77" s="117">
        <f t="shared" si="84"/>
        <v>0</v>
      </c>
      <c r="Z77" s="110"/>
      <c r="AA77" s="110"/>
      <c r="AB77" s="110" t="s">
        <v>2620</v>
      </c>
    </row>
    <row r="78" spans="1:28" x14ac:dyDescent="0.15">
      <c r="A78" s="110" t="s">
        <v>2630</v>
      </c>
      <c r="B78" s="111" t="s">
        <v>2603</v>
      </c>
      <c r="C78" s="110"/>
      <c r="D78" s="111">
        <v>8</v>
      </c>
      <c r="E78" s="111" t="s">
        <v>2604</v>
      </c>
      <c r="F78" s="15">
        <v>159203</v>
      </c>
      <c r="G78" s="111"/>
      <c r="H78" s="111" t="s">
        <v>86</v>
      </c>
      <c r="I78" s="110"/>
      <c r="J78" s="170"/>
      <c r="K78" s="117"/>
      <c r="L78" s="117"/>
      <c r="M78" s="117"/>
      <c r="N78" s="117"/>
      <c r="O78" s="110"/>
      <c r="P78" s="117">
        <f t="shared" si="85"/>
        <v>0</v>
      </c>
      <c r="Q78" s="117">
        <v>81016.100000000006</v>
      </c>
      <c r="R78" s="117">
        <f t="shared" si="81"/>
        <v>81016.100000000006</v>
      </c>
      <c r="S78" s="171">
        <f t="shared" si="82"/>
        <v>0</v>
      </c>
      <c r="T78" s="171">
        <f t="shared" si="83"/>
        <v>1</v>
      </c>
      <c r="U78" s="171">
        <f>1-0.007</f>
        <v>0.99299999999999999</v>
      </c>
      <c r="V78" s="110"/>
      <c r="W78" s="118" t="e">
        <f t="shared" si="86"/>
        <v>#DIV/0!</v>
      </c>
      <c r="X78" s="110"/>
      <c r="Y78" s="117">
        <f t="shared" si="84"/>
        <v>0</v>
      </c>
      <c r="Z78" s="110"/>
      <c r="AA78" s="110"/>
      <c r="AB78" s="110"/>
    </row>
    <row r="79" spans="1:28" x14ac:dyDescent="0.15">
      <c r="A79" s="110" t="s">
        <v>2630</v>
      </c>
      <c r="B79" s="111" t="s">
        <v>37</v>
      </c>
      <c r="C79" s="110"/>
      <c r="D79" s="111">
        <v>8</v>
      </c>
      <c r="E79" s="111">
        <v>799</v>
      </c>
      <c r="F79" s="15">
        <v>159203</v>
      </c>
      <c r="G79" s="111"/>
      <c r="H79" s="111" t="s">
        <v>2611</v>
      </c>
      <c r="I79" s="110"/>
      <c r="J79" s="170"/>
      <c r="K79" s="117"/>
      <c r="L79" s="117"/>
      <c r="M79" s="117">
        <v>14354.18</v>
      </c>
      <c r="N79" s="117"/>
      <c r="O79" s="110"/>
      <c r="P79" s="117">
        <f t="shared" si="85"/>
        <v>14354.18</v>
      </c>
      <c r="Q79" s="117">
        <v>104316.47</v>
      </c>
      <c r="R79" s="117">
        <f t="shared" si="81"/>
        <v>89962.290000000008</v>
      </c>
      <c r="S79" s="171">
        <f t="shared" si="82"/>
        <v>0.13760224056661427</v>
      </c>
      <c r="T79" s="171">
        <f t="shared" si="83"/>
        <v>0.86239775943338581</v>
      </c>
      <c r="U79" s="171">
        <f>1-0.408</f>
        <v>0.59200000000000008</v>
      </c>
      <c r="V79" s="110"/>
      <c r="W79" s="118" t="e">
        <f t="shared" si="86"/>
        <v>#DIV/0!</v>
      </c>
      <c r="X79" s="110"/>
      <c r="Y79" s="117">
        <f t="shared" si="84"/>
        <v>0</v>
      </c>
      <c r="Z79" s="110"/>
      <c r="AA79" s="110"/>
      <c r="AB79" s="110"/>
    </row>
    <row r="80" spans="1:28" x14ac:dyDescent="0.15">
      <c r="A80" s="110" t="s">
        <v>2630</v>
      </c>
      <c r="B80" s="111" t="s">
        <v>37</v>
      </c>
      <c r="C80" s="110"/>
      <c r="D80" s="111">
        <v>8</v>
      </c>
      <c r="E80" s="111">
        <v>802</v>
      </c>
      <c r="F80" s="111"/>
      <c r="G80" s="16">
        <v>140000019</v>
      </c>
      <c r="H80" s="111" t="s">
        <v>117</v>
      </c>
      <c r="I80" s="110"/>
      <c r="J80" s="170"/>
      <c r="K80" s="117"/>
      <c r="L80" s="117"/>
      <c r="M80" s="117">
        <v>64232.77</v>
      </c>
      <c r="N80" s="117"/>
      <c r="O80" s="110"/>
      <c r="P80" s="117">
        <f t="shared" si="85"/>
        <v>64232.77</v>
      </c>
      <c r="Q80" s="117">
        <v>163731</v>
      </c>
      <c r="R80" s="117">
        <f t="shared" si="81"/>
        <v>99498.23000000001</v>
      </c>
      <c r="S80" s="171">
        <f t="shared" si="82"/>
        <v>0.39230671039693155</v>
      </c>
      <c r="T80" s="171">
        <f t="shared" si="83"/>
        <v>0.60769328960306856</v>
      </c>
      <c r="U80" s="171">
        <f>1-0.408</f>
        <v>0.59200000000000008</v>
      </c>
      <c r="V80" s="110"/>
      <c r="W80" s="118" t="e">
        <f t="shared" si="86"/>
        <v>#DIV/0!</v>
      </c>
      <c r="X80" s="110"/>
      <c r="Y80" s="117">
        <f t="shared" si="84"/>
        <v>0</v>
      </c>
      <c r="Z80" s="110"/>
      <c r="AA80" s="110"/>
      <c r="AB80" s="110"/>
    </row>
    <row r="81" spans="1:25" x14ac:dyDescent="0.15">
      <c r="A81" s="110" t="s">
        <v>2630</v>
      </c>
      <c r="B81" s="111" t="s">
        <v>37</v>
      </c>
      <c r="C81" s="110"/>
      <c r="D81" s="111">
        <v>8</v>
      </c>
      <c r="E81" s="111">
        <v>804</v>
      </c>
      <c r="F81" s="111"/>
      <c r="G81" s="16">
        <v>220100119</v>
      </c>
      <c r="H81" s="111" t="s">
        <v>2631</v>
      </c>
      <c r="I81" s="110"/>
      <c r="J81" s="170"/>
      <c r="K81" s="117"/>
      <c r="L81" s="117"/>
      <c r="M81" s="117">
        <v>3131.16</v>
      </c>
      <c r="N81" s="117"/>
      <c r="O81" s="110"/>
      <c r="P81" s="117">
        <f t="shared" si="85"/>
        <v>3131.16</v>
      </c>
      <c r="Q81" s="117">
        <v>6262</v>
      </c>
      <c r="R81" s="117">
        <f t="shared" si="81"/>
        <v>3130.84</v>
      </c>
      <c r="S81" s="171">
        <f t="shared" si="82"/>
        <v>0.50002555094219092</v>
      </c>
      <c r="T81" s="171">
        <f t="shared" si="83"/>
        <v>0.49997444905780902</v>
      </c>
      <c r="U81" s="171">
        <f>1-0.408</f>
        <v>0.59200000000000008</v>
      </c>
      <c r="V81" s="110"/>
      <c r="W81" s="118" t="e">
        <f t="shared" si="86"/>
        <v>#DIV/0!</v>
      </c>
      <c r="X81" s="110"/>
      <c r="Y81" s="117">
        <f t="shared" si="84"/>
        <v>0</v>
      </c>
    </row>
    <row r="82" spans="1:25" x14ac:dyDescent="0.15">
      <c r="A82" s="110" t="s">
        <v>2630</v>
      </c>
      <c r="B82" s="111" t="s">
        <v>37</v>
      </c>
      <c r="C82" s="110"/>
      <c r="D82" s="111">
        <v>8</v>
      </c>
      <c r="E82" s="111">
        <v>805</v>
      </c>
      <c r="F82" s="111"/>
      <c r="G82" s="16">
        <v>213500119</v>
      </c>
      <c r="H82" s="111" t="s">
        <v>2635</v>
      </c>
      <c r="I82" s="110"/>
      <c r="J82" s="170">
        <v>1</v>
      </c>
      <c r="K82" s="117">
        <f>27.04+12.17</f>
        <v>39.21</v>
      </c>
      <c r="L82" s="117"/>
      <c r="M82" s="117">
        <v>26637.56</v>
      </c>
      <c r="N82" s="117"/>
      <c r="O82" s="110"/>
      <c r="P82" s="117">
        <f t="shared" si="85"/>
        <v>26676.77</v>
      </c>
      <c r="Q82" s="117">
        <v>45132</v>
      </c>
      <c r="R82" s="117">
        <f t="shared" si="81"/>
        <v>18455.23</v>
      </c>
      <c r="S82" s="171">
        <f t="shared" si="82"/>
        <v>0.59021448196401671</v>
      </c>
      <c r="T82" s="171">
        <f t="shared" si="83"/>
        <v>0.4089167331383497</v>
      </c>
      <c r="U82" s="171">
        <f>1-0.408</f>
        <v>0.59200000000000008</v>
      </c>
      <c r="V82" s="110"/>
      <c r="W82" s="118">
        <f t="shared" si="86"/>
        <v>39.21</v>
      </c>
      <c r="X82" s="110"/>
      <c r="Y82" s="117">
        <f t="shared" si="84"/>
        <v>0</v>
      </c>
    </row>
    <row r="83" spans="1:25" x14ac:dyDescent="0.15">
      <c r="A83" s="110" t="s">
        <v>2630</v>
      </c>
      <c r="B83" s="111" t="s">
        <v>2603</v>
      </c>
      <c r="C83" s="110"/>
      <c r="D83" s="111">
        <v>8</v>
      </c>
      <c r="E83" s="111" t="s">
        <v>2604</v>
      </c>
      <c r="F83" s="111"/>
      <c r="G83" s="111"/>
      <c r="H83" s="111" t="s">
        <v>86</v>
      </c>
      <c r="I83" s="110"/>
      <c r="J83" s="170"/>
      <c r="K83" s="117"/>
      <c r="L83" s="117"/>
      <c r="M83" s="117"/>
      <c r="N83" s="117"/>
      <c r="O83" s="110"/>
      <c r="P83" s="117">
        <f t="shared" si="85"/>
        <v>0</v>
      </c>
      <c r="Q83" s="117">
        <v>81016</v>
      </c>
      <c r="R83" s="117">
        <f t="shared" si="81"/>
        <v>81016</v>
      </c>
      <c r="S83" s="171">
        <f t="shared" si="82"/>
        <v>0</v>
      </c>
      <c r="T83" s="171">
        <f t="shared" si="83"/>
        <v>1</v>
      </c>
      <c r="U83" s="171">
        <f>1-0.007</f>
        <v>0.99299999999999999</v>
      </c>
      <c r="V83" s="110"/>
      <c r="W83" s="118" t="e">
        <f t="shared" si="86"/>
        <v>#DIV/0!</v>
      </c>
      <c r="X83" s="110"/>
      <c r="Y83" s="117">
        <f t="shared" si="84"/>
        <v>0</v>
      </c>
    </row>
    <row r="84" spans="1:25" x14ac:dyDescent="0.15">
      <c r="A84" s="110" t="s">
        <v>2630</v>
      </c>
      <c r="B84" s="111" t="s">
        <v>2603</v>
      </c>
      <c r="C84" s="110"/>
      <c r="D84" s="111">
        <v>8</v>
      </c>
      <c r="E84" s="111">
        <v>803</v>
      </c>
      <c r="F84" s="111"/>
      <c r="G84" s="111"/>
      <c r="H84" s="111" t="s">
        <v>2636</v>
      </c>
      <c r="I84" s="110"/>
      <c r="J84" s="170"/>
      <c r="K84" s="117"/>
      <c r="L84" s="117"/>
      <c r="M84" s="117">
        <v>12603.88</v>
      </c>
      <c r="N84" s="117"/>
      <c r="O84" s="110"/>
      <c r="P84" s="117">
        <f t="shared" si="85"/>
        <v>12603.88</v>
      </c>
      <c r="Q84" s="117">
        <v>182034</v>
      </c>
      <c r="R84" s="117">
        <f t="shared" si="81"/>
        <v>169430.12</v>
      </c>
      <c r="S84" s="171">
        <f t="shared" si="82"/>
        <v>6.923915312524033E-2</v>
      </c>
      <c r="T84" s="171">
        <f t="shared" si="83"/>
        <v>0.93076084687475968</v>
      </c>
      <c r="U84" s="171">
        <f>1-0.007</f>
        <v>0.99299999999999999</v>
      </c>
      <c r="V84" s="110"/>
      <c r="W84" s="118" t="e">
        <f t="shared" si="86"/>
        <v>#DIV/0!</v>
      </c>
      <c r="X84" s="110"/>
      <c r="Y84" s="117">
        <f t="shared" si="84"/>
        <v>0</v>
      </c>
    </row>
    <row r="85" spans="1:25" x14ac:dyDescent="0.15">
      <c r="A85" s="110" t="s">
        <v>2630</v>
      </c>
      <c r="B85" s="111"/>
      <c r="C85" s="110"/>
      <c r="D85" s="111">
        <v>12</v>
      </c>
      <c r="E85" s="111">
        <v>645</v>
      </c>
      <c r="F85" s="111"/>
      <c r="G85" s="111"/>
      <c r="H85" s="111" t="s">
        <v>2637</v>
      </c>
      <c r="I85" s="110"/>
      <c r="J85" s="170">
        <v>40</v>
      </c>
      <c r="K85" s="117">
        <f>1236.4+556.4</f>
        <v>1792.8000000000002</v>
      </c>
      <c r="L85" s="117">
        <v>7000</v>
      </c>
      <c r="M85" s="117">
        <v>141.93</v>
      </c>
      <c r="N85" s="117"/>
      <c r="O85" s="110"/>
      <c r="P85" s="117">
        <f t="shared" si="85"/>
        <v>8934.73</v>
      </c>
      <c r="Q85" s="117">
        <v>57713.03</v>
      </c>
      <c r="R85" s="117"/>
      <c r="S85" s="171"/>
      <c r="T85" s="171"/>
      <c r="U85" s="171"/>
      <c r="V85" s="110"/>
      <c r="W85" s="118"/>
      <c r="X85" s="110"/>
      <c r="Y85" s="117"/>
    </row>
    <row r="86" spans="1:25" x14ac:dyDescent="0.15">
      <c r="A86" s="110" t="s">
        <v>2630</v>
      </c>
      <c r="B86" s="111" t="s">
        <v>47</v>
      </c>
      <c r="C86" s="110"/>
      <c r="D86" s="111">
        <v>12</v>
      </c>
      <c r="E86" s="111" t="s">
        <v>2638</v>
      </c>
      <c r="F86" s="111"/>
      <c r="G86" s="111"/>
      <c r="H86" s="111" t="s">
        <v>92</v>
      </c>
      <c r="I86" s="110"/>
      <c r="J86" s="170">
        <f>656.5+8+130</f>
        <v>794.5</v>
      </c>
      <c r="K86" s="117">
        <f>20512.46+9231+4018.34+1808.34</f>
        <v>35570.14</v>
      </c>
      <c r="L86" s="117">
        <f>9503.46+7223.9</f>
        <v>16727.36</v>
      </c>
      <c r="M86" s="117">
        <f>4774.3+51819.54</f>
        <v>56593.840000000004</v>
      </c>
      <c r="N86" s="117"/>
      <c r="O86" s="110"/>
      <c r="P86" s="117">
        <f t="shared" si="85"/>
        <v>108891.34</v>
      </c>
      <c r="Q86" s="117">
        <v>62047</v>
      </c>
      <c r="R86" s="117">
        <f t="shared" ref="R86:R87" si="87">Q86-P86</f>
        <v>-46844.34</v>
      </c>
      <c r="S86" s="171">
        <f t="shared" ref="S86:S87" si="88">M86/Q86</f>
        <v>0.91211243089915717</v>
      </c>
      <c r="T86" s="171">
        <f t="shared" ref="T86:T87" si="89">R86/Q86</f>
        <v>-0.7549815462471996</v>
      </c>
      <c r="U86" s="171">
        <f>1-0.529</f>
        <v>0.47099999999999997</v>
      </c>
      <c r="V86" s="110"/>
      <c r="W86" s="118">
        <f t="shared" ref="W86:W87" si="90">K86/J86</f>
        <v>44.770471994965384</v>
      </c>
      <c r="X86" s="110"/>
      <c r="Y86" s="117">
        <f t="shared" ref="Y86" si="91">X86*(1-U86)</f>
        <v>0</v>
      </c>
    </row>
    <row r="87" spans="1:25" x14ac:dyDescent="0.15">
      <c r="A87" s="110" t="s">
        <v>2630</v>
      </c>
      <c r="B87" s="111" t="s">
        <v>2639</v>
      </c>
      <c r="C87" s="110"/>
      <c r="D87" s="111">
        <v>12</v>
      </c>
      <c r="E87" s="111" t="s">
        <v>2640</v>
      </c>
      <c r="F87" s="111"/>
      <c r="G87" s="111"/>
      <c r="H87" s="111" t="s">
        <v>2613</v>
      </c>
      <c r="I87" s="110"/>
      <c r="J87" s="170">
        <v>40</v>
      </c>
      <c r="K87" s="117">
        <f>1571.2+707.2</f>
        <v>2278.4</v>
      </c>
      <c r="L87" s="117">
        <v>4035.87</v>
      </c>
      <c r="M87" s="117">
        <v>4289.5</v>
      </c>
      <c r="N87" s="117"/>
      <c r="O87" s="110"/>
      <c r="P87" s="117">
        <f t="shared" si="85"/>
        <v>10603.77</v>
      </c>
      <c r="Q87" s="117">
        <v>19710</v>
      </c>
      <c r="R87" s="117">
        <f t="shared" si="87"/>
        <v>9106.23</v>
      </c>
      <c r="S87" s="171">
        <f t="shared" si="88"/>
        <v>0.21763064434297311</v>
      </c>
      <c r="T87" s="171">
        <f t="shared" si="89"/>
        <v>0.46201065449010653</v>
      </c>
      <c r="U87" s="171">
        <f>1-0.56</f>
        <v>0.43999999999999995</v>
      </c>
      <c r="V87" s="110"/>
      <c r="W87" s="118">
        <f t="shared" si="90"/>
        <v>56.96</v>
      </c>
      <c r="X87" s="110"/>
      <c r="Y87" s="117"/>
    </row>
    <row r="88" spans="1:25" x14ac:dyDescent="0.15">
      <c r="A88" s="110" t="s">
        <v>2630</v>
      </c>
      <c r="B88" s="111" t="s">
        <v>2641</v>
      </c>
      <c r="C88" s="110"/>
      <c r="D88" s="111">
        <v>12</v>
      </c>
      <c r="E88" s="111"/>
      <c r="F88" s="111"/>
      <c r="G88" s="111"/>
      <c r="H88" s="111" t="s">
        <v>2642</v>
      </c>
      <c r="I88" s="110"/>
      <c r="J88" s="170"/>
      <c r="K88" s="117"/>
      <c r="L88" s="117"/>
      <c r="M88" s="117"/>
      <c r="N88" s="117"/>
      <c r="O88" s="110"/>
      <c r="P88" s="117">
        <f t="shared" si="85"/>
        <v>0</v>
      </c>
      <c r="Q88" s="117">
        <v>24351</v>
      </c>
      <c r="R88" s="117"/>
      <c r="S88" s="171"/>
      <c r="T88" s="171"/>
      <c r="U88" s="171"/>
      <c r="V88" s="110"/>
      <c r="W88" s="118"/>
      <c r="X88" s="110"/>
      <c r="Y88" s="117"/>
    </row>
    <row r="89" spans="1:25" x14ac:dyDescent="0.15">
      <c r="A89" s="110" t="s">
        <v>2630</v>
      </c>
      <c r="B89" s="111" t="s">
        <v>2641</v>
      </c>
      <c r="C89" s="110"/>
      <c r="D89" s="111">
        <v>12</v>
      </c>
      <c r="E89" s="111"/>
      <c r="F89" s="111"/>
      <c r="G89" s="111"/>
      <c r="H89" s="111" t="s">
        <v>2642</v>
      </c>
      <c r="I89" s="110"/>
      <c r="J89" s="170"/>
      <c r="K89" s="117"/>
      <c r="L89" s="117"/>
      <c r="M89" s="117"/>
      <c r="N89" s="117"/>
      <c r="O89" s="110"/>
      <c r="P89" s="117">
        <f t="shared" si="85"/>
        <v>0</v>
      </c>
      <c r="Q89" s="117">
        <v>13017</v>
      </c>
      <c r="R89" s="117"/>
      <c r="S89" s="171"/>
      <c r="T89" s="171"/>
      <c r="U89" s="171"/>
      <c r="V89" s="110"/>
      <c r="W89" s="118"/>
      <c r="X89" s="110"/>
      <c r="Y89" s="117"/>
    </row>
    <row r="90" spans="1:25" x14ac:dyDescent="0.15">
      <c r="A90" s="110" t="s">
        <v>2630</v>
      </c>
      <c r="B90" s="111" t="s">
        <v>37</v>
      </c>
      <c r="C90" s="110"/>
      <c r="D90" s="111">
        <v>12</v>
      </c>
      <c r="E90" s="111" t="s">
        <v>2643</v>
      </c>
      <c r="F90" s="111"/>
      <c r="G90" s="16"/>
      <c r="H90" s="111" t="s">
        <v>68</v>
      </c>
      <c r="I90" s="110"/>
      <c r="J90" s="170">
        <f>7.5+33.25+2.5+7.5</f>
        <v>50.75</v>
      </c>
      <c r="K90" s="117">
        <f>1277.04+574.76</f>
        <v>1851.8</v>
      </c>
      <c r="L90" s="117"/>
      <c r="M90" s="117">
        <f>27897.75+29749.55</f>
        <v>57647.3</v>
      </c>
      <c r="N90" s="117"/>
      <c r="O90" s="110"/>
      <c r="P90" s="117">
        <f t="shared" si="85"/>
        <v>59499.100000000006</v>
      </c>
      <c r="Q90" s="117">
        <v>84744</v>
      </c>
      <c r="R90" s="117">
        <f t="shared" ref="R90:R94" si="92">Q90-P90</f>
        <v>25244.899999999994</v>
      </c>
      <c r="S90" s="171">
        <f t="shared" ref="S90:S94" si="93">M90/Q90</f>
        <v>0.68025228924761638</v>
      </c>
      <c r="T90" s="171">
        <f t="shared" ref="T90:T94" si="94">R90/Q90</f>
        <v>0.29789601623713768</v>
      </c>
      <c r="U90" s="171">
        <f>1-0.408</f>
        <v>0.59200000000000008</v>
      </c>
      <c r="V90" s="110"/>
      <c r="W90" s="118">
        <f t="shared" ref="W90:W94" si="95">K90/J90</f>
        <v>36.488669950738917</v>
      </c>
      <c r="X90" s="110"/>
      <c r="Y90" s="117">
        <f t="shared" ref="Y90:Y94" si="96">X90*(1-U90)</f>
        <v>0</v>
      </c>
    </row>
    <row r="91" spans="1:25" x14ac:dyDescent="0.15">
      <c r="A91" s="110" t="s">
        <v>2630</v>
      </c>
      <c r="B91" s="111" t="s">
        <v>37</v>
      </c>
      <c r="C91" s="110"/>
      <c r="D91" s="111">
        <v>12</v>
      </c>
      <c r="E91" s="111" t="s">
        <v>2644</v>
      </c>
      <c r="F91" s="111"/>
      <c r="G91" s="111"/>
      <c r="H91" s="111" t="s">
        <v>2645</v>
      </c>
      <c r="I91" s="110"/>
      <c r="J91" s="170">
        <f>7+29.25+2.5+1.25</f>
        <v>40</v>
      </c>
      <c r="K91" s="117">
        <f>995.54+448.08</f>
        <v>1443.62</v>
      </c>
      <c r="L91" s="117"/>
      <c r="M91" s="117">
        <f>24733.77+26177.39</f>
        <v>50911.16</v>
      </c>
      <c r="N91" s="117"/>
      <c r="O91" s="110"/>
      <c r="P91" s="117">
        <f t="shared" si="85"/>
        <v>52354.780000000006</v>
      </c>
      <c r="Q91" s="117">
        <v>110840</v>
      </c>
      <c r="R91" s="117">
        <f t="shared" si="92"/>
        <v>58485.219999999994</v>
      </c>
      <c r="S91" s="171">
        <f t="shared" si="93"/>
        <v>0.45932118368819924</v>
      </c>
      <c r="T91" s="171">
        <f t="shared" si="94"/>
        <v>0.52765445687477441</v>
      </c>
      <c r="U91" s="171">
        <f>1-0.408</f>
        <v>0.59200000000000008</v>
      </c>
      <c r="V91" s="110"/>
      <c r="W91" s="118">
        <f t="shared" si="95"/>
        <v>36.090499999999999</v>
      </c>
      <c r="X91" s="110"/>
      <c r="Y91" s="117">
        <f t="shared" si="96"/>
        <v>0</v>
      </c>
    </row>
    <row r="92" spans="1:25" x14ac:dyDescent="0.15">
      <c r="A92" s="110" t="s">
        <v>2630</v>
      </c>
      <c r="B92" s="111" t="s">
        <v>37</v>
      </c>
      <c r="C92" s="110"/>
      <c r="D92" s="111">
        <v>12</v>
      </c>
      <c r="E92" s="111" t="s">
        <v>2646</v>
      </c>
      <c r="F92" s="111"/>
      <c r="G92" s="111"/>
      <c r="H92" s="111" t="s">
        <v>2647</v>
      </c>
      <c r="I92" s="110"/>
      <c r="J92" s="170">
        <f>6+30.75+2.5+1.25</f>
        <v>40.5</v>
      </c>
      <c r="K92" s="117">
        <f>1004.56+452.14</f>
        <v>1456.6999999999998</v>
      </c>
      <c r="L92" s="117"/>
      <c r="M92" s="117">
        <f>21478.07+22934.77</f>
        <v>44412.84</v>
      </c>
      <c r="N92" s="117"/>
      <c r="O92" s="110"/>
      <c r="P92" s="117">
        <f t="shared" si="85"/>
        <v>45869.539999999994</v>
      </c>
      <c r="Q92" s="117">
        <v>89986</v>
      </c>
      <c r="R92" s="117">
        <f t="shared" si="92"/>
        <v>44116.460000000006</v>
      </c>
      <c r="S92" s="171">
        <f t="shared" si="93"/>
        <v>0.49355277487609178</v>
      </c>
      <c r="T92" s="171">
        <f t="shared" si="94"/>
        <v>0.49025915142355486</v>
      </c>
      <c r="U92" s="171">
        <f>1-0.408</f>
        <v>0.59200000000000008</v>
      </c>
      <c r="V92" s="110"/>
      <c r="W92" s="118">
        <f t="shared" si="95"/>
        <v>35.967901234567897</v>
      </c>
      <c r="X92" s="110"/>
      <c r="Y92" s="117">
        <f t="shared" si="96"/>
        <v>0</v>
      </c>
    </row>
    <row r="93" spans="1:25" x14ac:dyDescent="0.15">
      <c r="A93" s="110" t="s">
        <v>2630</v>
      </c>
      <c r="B93" s="111" t="s">
        <v>47</v>
      </c>
      <c r="C93" s="110"/>
      <c r="D93" s="111">
        <v>12</v>
      </c>
      <c r="E93" s="111">
        <v>828</v>
      </c>
      <c r="F93" s="111"/>
      <c r="G93" s="111"/>
      <c r="H93" s="111" t="s">
        <v>92</v>
      </c>
      <c r="I93" s="110"/>
      <c r="J93" s="170">
        <v>56</v>
      </c>
      <c r="K93" s="117">
        <f>1730.98+778.98</f>
        <v>2509.96</v>
      </c>
      <c r="L93" s="117">
        <v>15515.92</v>
      </c>
      <c r="M93" s="117">
        <v>58305.67</v>
      </c>
      <c r="N93" s="117"/>
      <c r="O93" s="110"/>
      <c r="P93" s="117">
        <f t="shared" si="85"/>
        <v>76331.55</v>
      </c>
      <c r="Q93" s="117">
        <v>36793.29</v>
      </c>
      <c r="R93" s="117">
        <f t="shared" si="92"/>
        <v>-39538.26</v>
      </c>
      <c r="S93" s="171">
        <f t="shared" si="93"/>
        <v>1.5846821526425061</v>
      </c>
      <c r="T93" s="171">
        <f t="shared" si="94"/>
        <v>-1.0746051793683034</v>
      </c>
      <c r="U93" s="171">
        <f>1-0.529</f>
        <v>0.47099999999999997</v>
      </c>
      <c r="V93" s="110"/>
      <c r="W93" s="118">
        <f t="shared" si="95"/>
        <v>44.820714285714288</v>
      </c>
      <c r="X93" s="110"/>
      <c r="Y93" s="117">
        <f t="shared" si="96"/>
        <v>0</v>
      </c>
    </row>
    <row r="94" spans="1:25" x14ac:dyDescent="0.15">
      <c r="A94" s="110" t="s">
        <v>2630</v>
      </c>
      <c r="B94" s="111" t="s">
        <v>2603</v>
      </c>
      <c r="C94" s="110"/>
      <c r="D94" s="111">
        <v>12</v>
      </c>
      <c r="E94" s="111">
        <v>830</v>
      </c>
      <c r="F94" s="111"/>
      <c r="G94" s="111"/>
      <c r="H94" s="111" t="s">
        <v>2648</v>
      </c>
      <c r="I94" s="110"/>
      <c r="J94" s="170">
        <v>64</v>
      </c>
      <c r="K94" s="117">
        <f>2513.92+1131.52</f>
        <v>3645.44</v>
      </c>
      <c r="L94" s="117">
        <v>3374.55</v>
      </c>
      <c r="M94" s="117">
        <v>5691.19</v>
      </c>
      <c r="N94" s="117"/>
      <c r="O94" s="110"/>
      <c r="P94" s="117">
        <f t="shared" si="85"/>
        <v>12711.18</v>
      </c>
      <c r="Q94" s="117">
        <v>9034.06</v>
      </c>
      <c r="R94" s="117">
        <f t="shared" si="92"/>
        <v>-3677.1200000000008</v>
      </c>
      <c r="S94" s="171">
        <f t="shared" si="93"/>
        <v>0.62997035662813838</v>
      </c>
      <c r="T94" s="171">
        <f t="shared" si="94"/>
        <v>-0.40702851209755092</v>
      </c>
      <c r="U94" s="171">
        <f>1-0.007</f>
        <v>0.99299999999999999</v>
      </c>
      <c r="V94" s="110"/>
      <c r="W94" s="118">
        <f t="shared" si="95"/>
        <v>56.96</v>
      </c>
      <c r="X94" s="110"/>
      <c r="Y94" s="117">
        <f t="shared" si="96"/>
        <v>0</v>
      </c>
    </row>
    <row r="96" spans="1:25" x14ac:dyDescent="0.15">
      <c r="A96" s="110" t="s">
        <v>2630</v>
      </c>
      <c r="B96" s="111" t="s">
        <v>2577</v>
      </c>
      <c r="C96" s="110"/>
      <c r="D96" s="111"/>
      <c r="E96" s="111" t="s">
        <v>2620</v>
      </c>
      <c r="F96" s="111"/>
      <c r="G96" s="111"/>
      <c r="H96" s="111"/>
      <c r="I96" s="110"/>
      <c r="J96" s="170">
        <f>SUM(J71:J84)</f>
        <v>10</v>
      </c>
      <c r="K96" s="170">
        <f>SUM(K71:K84)</f>
        <v>365.99999999999994</v>
      </c>
      <c r="L96" s="170">
        <f>SUM(L71:L84)</f>
        <v>0</v>
      </c>
      <c r="M96" s="170">
        <f>SUM(M71:M84)</f>
        <v>261238.14999999997</v>
      </c>
      <c r="N96" s="170">
        <f>SUM(N71:N84)</f>
        <v>0</v>
      </c>
      <c r="O96" s="110"/>
      <c r="P96" s="117">
        <f>SUM(P71:P95)</f>
        <v>636800.14000000013</v>
      </c>
      <c r="Q96" s="117">
        <f>SUM(Q71:Q95)</f>
        <v>1725070.35</v>
      </c>
      <c r="R96" s="117">
        <f t="shared" ref="R96:R97" si="97">Q96-P96</f>
        <v>1088270.21</v>
      </c>
      <c r="S96" s="171">
        <f t="shared" ref="S96:S98" si="98">M96/Q96</f>
        <v>0.1514362298325978</v>
      </c>
      <c r="T96" s="171">
        <f>R96/Q96</f>
        <v>0.63085555322424958</v>
      </c>
      <c r="U96" s="179">
        <f>((Q71*U71)+(Q72*U72)+(Q73*U73)+(Q74*U74)+(Q75*U75)+(Q76*U76)+(Q77*U77)+(Q78*U78)+(Q79*U79)+(Q80*U80)+(Q81*U81)+(Q82*U82)+(Q83*U83)+(Q84*U84)+(Q86*U86)+(Q87*U87)+(Q90*U90)+(Q91*U91)+(Q92*U92)+(Q93*U93)+(Q94*U94))/Q96</f>
        <v>0.64534937714858998</v>
      </c>
      <c r="V96" s="110"/>
      <c r="W96" s="118">
        <f t="shared" ref="W96:W97" si="99">K96/J96</f>
        <v>36.599999999999994</v>
      </c>
      <c r="X96" s="159">
        <f>SUM(X71:X84)</f>
        <v>0</v>
      </c>
      <c r="Y96" s="159">
        <f>SUM(Y71:Y84)</f>
        <v>0</v>
      </c>
    </row>
    <row r="97" spans="1:25" x14ac:dyDescent="0.15">
      <c r="A97" s="110" t="s">
        <v>2630</v>
      </c>
      <c r="B97" s="111" t="s">
        <v>55</v>
      </c>
      <c r="C97" s="110"/>
      <c r="D97" s="111"/>
      <c r="E97" s="111" t="s">
        <v>2649</v>
      </c>
      <c r="F97" s="111"/>
      <c r="G97" s="16" t="s">
        <v>56</v>
      </c>
      <c r="H97" s="111"/>
      <c r="I97" s="110"/>
      <c r="J97" s="170">
        <f>49+8+24</f>
        <v>81</v>
      </c>
      <c r="K97" s="117">
        <f>1347.53+606.65+220+99.04+660+297.12</f>
        <v>3230.3399999999997</v>
      </c>
      <c r="L97" s="117">
        <f>12400+7704.67+14382.03</f>
        <v>34486.699999999997</v>
      </c>
      <c r="M97" s="117"/>
      <c r="N97" s="117">
        <f>20500+10000+13700+22500-K97</f>
        <v>63469.66</v>
      </c>
      <c r="O97" s="110"/>
      <c r="P97" s="117">
        <f>SUM(K97:N97)</f>
        <v>101186.7</v>
      </c>
      <c r="Q97" s="117">
        <f>20500+10000+13700+22500</f>
        <v>66700</v>
      </c>
      <c r="R97" s="117">
        <f t="shared" si="97"/>
        <v>-34486.699999999997</v>
      </c>
      <c r="S97" s="171">
        <f t="shared" si="98"/>
        <v>0</v>
      </c>
      <c r="T97" s="171">
        <f t="shared" ref="T97:T98" si="100">R97/Q97</f>
        <v>-0.51704197901049476</v>
      </c>
      <c r="U97" s="171">
        <v>0</v>
      </c>
      <c r="V97" s="110"/>
      <c r="W97" s="118">
        <f t="shared" si="99"/>
        <v>39.880740740740734</v>
      </c>
      <c r="X97" s="110"/>
      <c r="Y97" s="110"/>
    </row>
    <row r="98" spans="1:25" x14ac:dyDescent="0.15">
      <c r="A98" s="110" t="s">
        <v>2630</v>
      </c>
      <c r="B98" s="111" t="s">
        <v>2600</v>
      </c>
      <c r="C98" s="110"/>
      <c r="D98" s="111"/>
      <c r="E98" s="111"/>
      <c r="F98" s="111"/>
      <c r="G98" s="111"/>
      <c r="H98" s="111"/>
      <c r="I98" s="110"/>
      <c r="J98" s="170">
        <f>J71+J73+J74+J76+J77+J79+J80+J81+J82</f>
        <v>10</v>
      </c>
      <c r="K98" s="170">
        <f>K71+K73+K74+K76+K77+K79+K80+K81+K82</f>
        <v>365.99999999999994</v>
      </c>
      <c r="L98" s="170">
        <f>L71+L73+L74+L76+L77+L79+L80+L81+L82</f>
        <v>0</v>
      </c>
      <c r="M98" s="170">
        <f>M71+M73+M74+M76+M77+M79+M80+M81+M82</f>
        <v>248634.26999999996</v>
      </c>
      <c r="N98" s="170">
        <f>N71+N73+N74+N76+N77+N79+N80+N81+N82</f>
        <v>0</v>
      </c>
      <c r="O98" s="110"/>
      <c r="P98" s="117">
        <f>SUM(K98:N98)</f>
        <v>249000.26999999996</v>
      </c>
      <c r="Q98" s="117">
        <f>Q71+Q73+Q74+Q76+Q77+Q79+Q80+Q81+Q82+Q90+Q91+Q92</f>
        <v>1104269.47</v>
      </c>
      <c r="R98" s="117">
        <f>R71+R73+R74+R76+R77+R79+R80+R81+R82+R90+R91+R92</f>
        <v>697545.77999999991</v>
      </c>
      <c r="S98" s="171">
        <f t="shared" si="98"/>
        <v>0.22515724354853348</v>
      </c>
      <c r="T98" s="171">
        <f t="shared" si="100"/>
        <v>0.63168076176189125</v>
      </c>
      <c r="U98" s="171">
        <f>((Q71*U71)+(Q73*U73)+(Q74*U74)+(Q76*U76)+(Q77*U77)+(Q79*U79)+(Q80*U80)+(Q81*U81)+(Q82*U82)+(Q90*U90)+(Q91*U91)+(Q92*U92))/Q98</f>
        <v>0.59200000000000019</v>
      </c>
      <c r="V98" s="110"/>
      <c r="W98" s="118">
        <f>K98/J98</f>
        <v>36.599999999999994</v>
      </c>
      <c r="X98" s="170">
        <f>X71+X73+X74+X76+X77+X79+X80+X81+X82</f>
        <v>0</v>
      </c>
      <c r="Y98" s="170">
        <f>Y71+Y73+Y74+Y76+Y77+Y79+Y80+Y81+Y82</f>
        <v>0</v>
      </c>
    </row>
    <row r="99" spans="1:25" x14ac:dyDescent="0.15">
      <c r="A99" s="172"/>
      <c r="B99" s="173"/>
      <c r="C99" s="172"/>
      <c r="D99" s="173"/>
      <c r="E99" s="173"/>
      <c r="F99" s="173"/>
      <c r="G99" s="173"/>
      <c r="H99" s="173"/>
      <c r="I99" s="172"/>
      <c r="J99" s="174"/>
      <c r="K99" s="175"/>
      <c r="L99" s="175"/>
      <c r="M99" s="175"/>
      <c r="N99" s="175"/>
      <c r="O99" s="172"/>
      <c r="P99" s="175"/>
      <c r="Q99" s="175"/>
      <c r="R99" s="175"/>
      <c r="S99" s="176"/>
      <c r="T99" s="176"/>
      <c r="U99" s="176"/>
      <c r="V99" s="172"/>
      <c r="W99" s="177"/>
      <c r="X99" s="175"/>
      <c r="Y99" s="176"/>
    </row>
    <row r="100" spans="1:25" x14ac:dyDescent="0.15">
      <c r="A100" s="110" t="s">
        <v>2650</v>
      </c>
      <c r="B100" s="111" t="s">
        <v>37</v>
      </c>
      <c r="C100" s="110"/>
      <c r="D100" s="111">
        <v>8</v>
      </c>
      <c r="E100" s="111">
        <v>734</v>
      </c>
      <c r="F100" s="15">
        <v>159201</v>
      </c>
      <c r="G100" s="16">
        <v>125100029</v>
      </c>
      <c r="H100" s="111" t="s">
        <v>68</v>
      </c>
      <c r="I100" s="110"/>
      <c r="J100" s="170">
        <f>16.5+31.5+2</f>
        <v>50</v>
      </c>
      <c r="K100" s="117">
        <f>1258.4+566.39</f>
        <v>1824.79</v>
      </c>
      <c r="L100" s="117">
        <v>47.05</v>
      </c>
      <c r="M100" s="117">
        <v>27799.040000000001</v>
      </c>
      <c r="N100" s="117"/>
      <c r="O100" s="110"/>
      <c r="P100" s="117">
        <f t="shared" ref="P100:P107" si="101">SUM(K100:N100)</f>
        <v>29670.880000000001</v>
      </c>
      <c r="Q100" s="117">
        <v>80739</v>
      </c>
      <c r="R100" s="117">
        <f t="shared" ref="R100:R107" si="102">Q100-P100</f>
        <v>51068.119999999995</v>
      </c>
      <c r="S100" s="171">
        <f t="shared" ref="S100:S107" si="103">M100/Q100</f>
        <v>0.34430745983973049</v>
      </c>
      <c r="T100" s="171">
        <f t="shared" ref="T100:T107" si="104">R100/Q100</f>
        <v>0.63250870087566102</v>
      </c>
      <c r="U100" s="171">
        <f>1-0.408</f>
        <v>0.59200000000000008</v>
      </c>
      <c r="V100" s="110"/>
      <c r="W100" s="118">
        <f t="shared" ref="W100:W107" si="105">K100/J100</f>
        <v>36.495800000000003</v>
      </c>
      <c r="X100" s="110">
        <v>400000</v>
      </c>
      <c r="Y100" s="117">
        <f t="shared" ref="Y100:Y107" si="106">X100*(1-U100)</f>
        <v>163199.99999999997</v>
      </c>
    </row>
    <row r="101" spans="1:25" x14ac:dyDescent="0.15">
      <c r="A101" s="110" t="s">
        <v>2650</v>
      </c>
      <c r="B101" s="111" t="s">
        <v>47</v>
      </c>
      <c r="C101" s="110"/>
      <c r="D101" s="111">
        <v>8</v>
      </c>
      <c r="E101" s="111">
        <v>735</v>
      </c>
      <c r="F101" s="15">
        <v>159201</v>
      </c>
      <c r="G101" s="16">
        <v>125100129</v>
      </c>
      <c r="H101" s="111" t="s">
        <v>2651</v>
      </c>
      <c r="I101" s="110"/>
      <c r="J101" s="170">
        <v>189</v>
      </c>
      <c r="K101" s="117">
        <f>5841.99+2628.99</f>
        <v>8470.98</v>
      </c>
      <c r="L101" s="117">
        <v>8244.7800000000007</v>
      </c>
      <c r="M101" s="117">
        <v>523.16</v>
      </c>
      <c r="N101" s="117"/>
      <c r="O101" s="110"/>
      <c r="P101" s="117">
        <f t="shared" si="101"/>
        <v>17238.920000000002</v>
      </c>
      <c r="Q101" s="117">
        <v>21136</v>
      </c>
      <c r="R101" s="117">
        <f t="shared" si="102"/>
        <v>3897.0799999999981</v>
      </c>
      <c r="S101" s="171">
        <f t="shared" si="103"/>
        <v>2.4752081756245266E-2</v>
      </c>
      <c r="T101" s="171">
        <f t="shared" si="104"/>
        <v>0.18438115064345184</v>
      </c>
      <c r="U101" s="171">
        <f>1-0.529</f>
        <v>0.47099999999999997</v>
      </c>
      <c r="V101" s="110"/>
      <c r="W101" s="118">
        <f t="shared" si="105"/>
        <v>44.82</v>
      </c>
      <c r="X101" s="110">
        <v>50000</v>
      </c>
      <c r="Y101" s="117">
        <f t="shared" si="106"/>
        <v>26450</v>
      </c>
    </row>
    <row r="102" spans="1:25" x14ac:dyDescent="0.15">
      <c r="A102" s="110" t="s">
        <v>2650</v>
      </c>
      <c r="B102" s="111" t="s">
        <v>2603</v>
      </c>
      <c r="C102" s="110"/>
      <c r="D102" s="111">
        <v>8</v>
      </c>
      <c r="E102" s="111" t="s">
        <v>2604</v>
      </c>
      <c r="F102" s="15">
        <v>159201</v>
      </c>
      <c r="G102" s="17"/>
      <c r="H102" s="111" t="s">
        <v>2652</v>
      </c>
      <c r="I102" s="110"/>
      <c r="J102" s="170"/>
      <c r="K102" s="117"/>
      <c r="L102" s="117"/>
      <c r="M102" s="117"/>
      <c r="N102" s="117"/>
      <c r="O102" s="110"/>
      <c r="P102" s="117">
        <f t="shared" si="101"/>
        <v>0</v>
      </c>
      <c r="Q102" s="117">
        <v>9979</v>
      </c>
      <c r="R102" s="117">
        <f t="shared" si="102"/>
        <v>9979</v>
      </c>
      <c r="S102" s="171">
        <f t="shared" si="103"/>
        <v>0</v>
      </c>
      <c r="T102" s="171">
        <f t="shared" si="104"/>
        <v>1</v>
      </c>
      <c r="U102" s="171">
        <f>1-0.007</f>
        <v>0.99299999999999999</v>
      </c>
      <c r="V102" s="110"/>
      <c r="W102" s="118" t="e">
        <f t="shared" si="105"/>
        <v>#DIV/0!</v>
      </c>
      <c r="X102" s="110">
        <v>40000</v>
      </c>
      <c r="Y102" s="117">
        <f t="shared" si="106"/>
        <v>280.00000000000023</v>
      </c>
    </row>
    <row r="103" spans="1:25" x14ac:dyDescent="0.15">
      <c r="A103" s="110" t="s">
        <v>2650</v>
      </c>
      <c r="B103" s="111" t="s">
        <v>49</v>
      </c>
      <c r="C103" s="110"/>
      <c r="D103" s="111">
        <v>8</v>
      </c>
      <c r="E103" s="111">
        <v>736</v>
      </c>
      <c r="F103" s="15">
        <v>159201</v>
      </c>
      <c r="G103" s="17">
        <v>726520129</v>
      </c>
      <c r="H103" s="111" t="s">
        <v>2653</v>
      </c>
      <c r="I103" s="110"/>
      <c r="J103" s="170">
        <v>16</v>
      </c>
      <c r="K103" s="117">
        <f>628.48+282.88</f>
        <v>911.36</v>
      </c>
      <c r="L103" s="117">
        <v>1257.8699999999999</v>
      </c>
      <c r="M103" s="117">
        <v>1867.41</v>
      </c>
      <c r="N103" s="117"/>
      <c r="O103" s="110"/>
      <c r="P103" s="117">
        <f t="shared" si="101"/>
        <v>4036.6400000000003</v>
      </c>
      <c r="Q103" s="117">
        <v>5500</v>
      </c>
      <c r="R103" s="117">
        <f t="shared" si="102"/>
        <v>1463.3599999999997</v>
      </c>
      <c r="S103" s="171">
        <f t="shared" si="103"/>
        <v>0.33952909090909095</v>
      </c>
      <c r="T103" s="171">
        <f t="shared" si="104"/>
        <v>0.26606545454545449</v>
      </c>
      <c r="U103" s="171">
        <f>1-0.56</f>
        <v>0.43999999999999995</v>
      </c>
      <c r="V103" s="110"/>
      <c r="W103" s="118">
        <f t="shared" si="105"/>
        <v>56.96</v>
      </c>
      <c r="X103" s="110">
        <v>5000</v>
      </c>
      <c r="Y103" s="117">
        <f t="shared" si="106"/>
        <v>2800.0000000000005</v>
      </c>
    </row>
    <row r="104" spans="1:25" x14ac:dyDescent="0.15">
      <c r="A104" s="110" t="s">
        <v>2650</v>
      </c>
      <c r="B104" s="111" t="s">
        <v>37</v>
      </c>
      <c r="C104" s="110"/>
      <c r="D104" s="111">
        <v>8</v>
      </c>
      <c r="E104" s="111">
        <v>737</v>
      </c>
      <c r="F104" s="15">
        <v>159201</v>
      </c>
      <c r="G104" s="16">
        <v>220100119</v>
      </c>
      <c r="H104" s="111" t="s">
        <v>43</v>
      </c>
      <c r="I104" s="110"/>
      <c r="J104" s="170"/>
      <c r="K104" s="117"/>
      <c r="L104" s="117"/>
      <c r="M104" s="117">
        <v>3384.23</v>
      </c>
      <c r="N104" s="117"/>
      <c r="O104" s="110"/>
      <c r="P104" s="117">
        <f t="shared" si="101"/>
        <v>3384.23</v>
      </c>
      <c r="Q104" s="117">
        <v>4900</v>
      </c>
      <c r="R104" s="117">
        <f t="shared" si="102"/>
        <v>1515.77</v>
      </c>
      <c r="S104" s="171">
        <f t="shared" si="103"/>
        <v>0.69065918367346935</v>
      </c>
      <c r="T104" s="171">
        <f t="shared" si="104"/>
        <v>0.3093408163265306</v>
      </c>
      <c r="U104" s="171">
        <f>1-0.408</f>
        <v>0.59200000000000008</v>
      </c>
      <c r="V104" s="110"/>
      <c r="W104" s="118" t="e">
        <f t="shared" si="105"/>
        <v>#DIV/0!</v>
      </c>
      <c r="X104" s="110"/>
      <c r="Y104" s="117">
        <f t="shared" si="106"/>
        <v>0</v>
      </c>
    </row>
    <row r="105" spans="1:25" x14ac:dyDescent="0.15">
      <c r="A105" s="110" t="s">
        <v>2650</v>
      </c>
      <c r="B105" s="111" t="s">
        <v>37</v>
      </c>
      <c r="C105" s="110"/>
      <c r="D105" s="111">
        <v>8</v>
      </c>
      <c r="E105" s="111">
        <v>769</v>
      </c>
      <c r="F105" s="15">
        <v>159201</v>
      </c>
      <c r="G105" s="16">
        <v>210010119</v>
      </c>
      <c r="H105" s="111" t="s">
        <v>2654</v>
      </c>
      <c r="I105" s="110"/>
      <c r="J105" s="170">
        <v>1</v>
      </c>
      <c r="K105" s="117">
        <f>27.04+12.17</f>
        <v>39.21</v>
      </c>
      <c r="L105" s="117"/>
      <c r="M105" s="117">
        <v>1147.3599999999999</v>
      </c>
      <c r="N105" s="117"/>
      <c r="O105" s="110"/>
      <c r="P105" s="117">
        <f t="shared" si="101"/>
        <v>1186.57</v>
      </c>
      <c r="Q105" s="117">
        <v>10000</v>
      </c>
      <c r="R105" s="117">
        <f t="shared" si="102"/>
        <v>8813.43</v>
      </c>
      <c r="S105" s="171">
        <f t="shared" si="103"/>
        <v>0.11473599999999999</v>
      </c>
      <c r="T105" s="171">
        <f t="shared" si="104"/>
        <v>0.88134299999999999</v>
      </c>
      <c r="U105" s="171">
        <f>1-0.408</f>
        <v>0.59200000000000008</v>
      </c>
      <c r="V105" s="110"/>
      <c r="W105" s="118">
        <f t="shared" si="105"/>
        <v>39.21</v>
      </c>
      <c r="X105" s="110"/>
      <c r="Y105" s="117">
        <f t="shared" si="106"/>
        <v>0</v>
      </c>
    </row>
    <row r="106" spans="1:25" x14ac:dyDescent="0.15">
      <c r="A106" s="110" t="s">
        <v>2650</v>
      </c>
      <c r="B106" s="111" t="s">
        <v>37</v>
      </c>
      <c r="C106" s="110"/>
      <c r="D106" s="111">
        <v>8</v>
      </c>
      <c r="E106" s="111">
        <v>738</v>
      </c>
      <c r="F106" s="15">
        <v>159201</v>
      </c>
      <c r="G106" s="16">
        <v>210500119</v>
      </c>
      <c r="H106" s="111" t="s">
        <v>2655</v>
      </c>
      <c r="I106" s="110"/>
      <c r="J106" s="170"/>
      <c r="K106" s="117"/>
      <c r="L106" s="117"/>
      <c r="M106" s="117">
        <v>4056.35</v>
      </c>
      <c r="N106" s="117"/>
      <c r="O106" s="110"/>
      <c r="P106" s="117">
        <f t="shared" si="101"/>
        <v>4056.35</v>
      </c>
      <c r="Q106" s="117">
        <v>14000</v>
      </c>
      <c r="R106" s="117">
        <f t="shared" si="102"/>
        <v>9943.65</v>
      </c>
      <c r="S106" s="171">
        <f t="shared" si="103"/>
        <v>0.2897392857142857</v>
      </c>
      <c r="T106" s="171">
        <f t="shared" si="104"/>
        <v>0.71026071428571425</v>
      </c>
      <c r="U106" s="171">
        <f>1-0.408</f>
        <v>0.59200000000000008</v>
      </c>
      <c r="V106" s="110"/>
      <c r="W106" s="118" t="e">
        <f t="shared" si="105"/>
        <v>#DIV/0!</v>
      </c>
      <c r="X106" s="110"/>
      <c r="Y106" s="117">
        <f t="shared" si="106"/>
        <v>0</v>
      </c>
    </row>
    <row r="107" spans="1:25" x14ac:dyDescent="0.15">
      <c r="A107" s="110" t="s">
        <v>2650</v>
      </c>
      <c r="B107" s="111" t="s">
        <v>37</v>
      </c>
      <c r="C107" s="110"/>
      <c r="D107" s="111">
        <v>8</v>
      </c>
      <c r="E107" s="111">
        <v>739</v>
      </c>
      <c r="F107" s="15">
        <v>159201</v>
      </c>
      <c r="G107" s="16">
        <v>210800129</v>
      </c>
      <c r="H107" s="111" t="s">
        <v>2656</v>
      </c>
      <c r="I107" s="110"/>
      <c r="J107" s="170">
        <f>6.25+10</f>
        <v>16.25</v>
      </c>
      <c r="K107" s="117">
        <f>409.4+184.26</f>
        <v>593.66</v>
      </c>
      <c r="L107" s="117"/>
      <c r="M107" s="117">
        <v>10701.43</v>
      </c>
      <c r="N107" s="117"/>
      <c r="O107" s="110"/>
      <c r="P107" s="117">
        <f t="shared" si="101"/>
        <v>11295.09</v>
      </c>
      <c r="Q107" s="117">
        <v>31444</v>
      </c>
      <c r="R107" s="117">
        <f t="shared" si="102"/>
        <v>20148.91</v>
      </c>
      <c r="S107" s="171">
        <f t="shared" si="103"/>
        <v>0.34033297290421066</v>
      </c>
      <c r="T107" s="171">
        <f t="shared" si="104"/>
        <v>0.64078711359877882</v>
      </c>
      <c r="U107" s="171">
        <f>1-0.408</f>
        <v>0.59200000000000008</v>
      </c>
      <c r="V107" s="110"/>
      <c r="W107" s="118">
        <f t="shared" si="105"/>
        <v>36.532923076923076</v>
      </c>
      <c r="X107" s="110"/>
      <c r="Y107" s="117">
        <f t="shared" si="106"/>
        <v>0</v>
      </c>
    </row>
    <row r="109" spans="1:25" x14ac:dyDescent="0.15">
      <c r="A109" s="110" t="s">
        <v>2650</v>
      </c>
      <c r="B109" s="111" t="s">
        <v>2577</v>
      </c>
      <c r="C109" s="110"/>
      <c r="D109" s="111">
        <v>8</v>
      </c>
      <c r="E109" s="111"/>
      <c r="F109" s="111"/>
      <c r="G109" s="111"/>
      <c r="H109" s="111"/>
      <c r="I109" s="110"/>
      <c r="J109" s="170">
        <f>SUM(J100:J107)</f>
        <v>272.25</v>
      </c>
      <c r="K109" s="170">
        <f t="shared" ref="K109:N109" si="107">SUM(K100:K107)</f>
        <v>11840</v>
      </c>
      <c r="L109" s="170">
        <f t="shared" si="107"/>
        <v>9549.7000000000007</v>
      </c>
      <c r="M109" s="170">
        <f t="shared" si="107"/>
        <v>49478.98</v>
      </c>
      <c r="N109" s="170">
        <f t="shared" si="107"/>
        <v>0</v>
      </c>
      <c r="O109" s="110"/>
      <c r="P109" s="117">
        <f>SUM(P100:P108)</f>
        <v>70868.680000000008</v>
      </c>
      <c r="Q109" s="117">
        <f>SUM(Q100:Q108)</f>
        <v>177698</v>
      </c>
      <c r="R109" s="117">
        <f>SUM(R100:R108)</f>
        <v>106829.32</v>
      </c>
      <c r="S109" s="171">
        <f t="shared" ref="S109:S110" si="108">M109/Q109</f>
        <v>0.2784442143411856</v>
      </c>
      <c r="T109" s="171">
        <f>R109/Q109</f>
        <v>0.60118470663710344</v>
      </c>
      <c r="U109" s="171">
        <f>((Q100*U100)+(Q101*U101)+(Q102*U102)+(Q103*U103)+(Q104*U104)+(Q105*U105)+(Q106*U106)+(Q107*U107))/Q109</f>
        <v>0.59542222759963537</v>
      </c>
      <c r="V109" s="110"/>
      <c r="W109" s="118">
        <f t="shared" ref="W109:W110" si="109">K109/J109</f>
        <v>43.489439853076213</v>
      </c>
      <c r="X109" s="159">
        <f>SUM(X100:X108)</f>
        <v>495000</v>
      </c>
      <c r="Y109" s="159">
        <f>SUM(Y100:Y108)</f>
        <v>192729.99999999997</v>
      </c>
    </row>
    <row r="110" spans="1:25" x14ac:dyDescent="0.15">
      <c r="A110" s="110" t="s">
        <v>2650</v>
      </c>
      <c r="B110" s="111" t="s">
        <v>55</v>
      </c>
      <c r="C110" s="110"/>
      <c r="D110" s="111">
        <v>8</v>
      </c>
      <c r="E110" s="111">
        <v>743</v>
      </c>
      <c r="F110" s="15">
        <v>159201</v>
      </c>
      <c r="G110" s="111" t="s">
        <v>56</v>
      </c>
      <c r="H110" s="111"/>
      <c r="I110" s="110"/>
      <c r="J110" s="170">
        <v>48.5</v>
      </c>
      <c r="K110" s="117">
        <f>1333.75+600.43</f>
        <v>1934.1799999999998</v>
      </c>
      <c r="L110" s="117">
        <v>7280.14</v>
      </c>
      <c r="M110" s="117">
        <v>400</v>
      </c>
      <c r="N110" s="117"/>
      <c r="O110" s="110"/>
      <c r="P110" s="117">
        <f>SUM(K110:N110)</f>
        <v>9614.32</v>
      </c>
      <c r="Q110" s="117">
        <v>7750</v>
      </c>
      <c r="R110" s="117">
        <f t="shared" ref="R110" si="110">Q110-P110</f>
        <v>-1864.3199999999997</v>
      </c>
      <c r="S110" s="171">
        <f t="shared" si="108"/>
        <v>5.1612903225806452E-2</v>
      </c>
      <c r="T110" s="171">
        <f t="shared" ref="T110" si="111">R110/Q110</f>
        <v>-0.24055741935483868</v>
      </c>
      <c r="U110" s="171">
        <v>0</v>
      </c>
      <c r="V110" s="110"/>
      <c r="W110" s="118">
        <f t="shared" si="109"/>
        <v>39.879999999999995</v>
      </c>
      <c r="X110" s="110"/>
      <c r="Y110" s="110"/>
    </row>
    <row r="111" spans="1:25" x14ac:dyDescent="0.15">
      <c r="A111" s="110" t="s">
        <v>2650</v>
      </c>
      <c r="B111" s="111" t="s">
        <v>2600</v>
      </c>
      <c r="C111" s="110"/>
      <c r="D111" s="111">
        <v>8</v>
      </c>
      <c r="E111" s="111"/>
      <c r="F111" s="111"/>
      <c r="G111" s="111"/>
      <c r="H111" s="111"/>
      <c r="I111" s="110"/>
      <c r="J111" s="170">
        <f>J100+J104+J105+J106+J107</f>
        <v>67.25</v>
      </c>
      <c r="K111" s="170">
        <f t="shared" ref="K111:N111" si="112">K100+K104+K105+K106+K107</f>
        <v>2457.66</v>
      </c>
      <c r="L111" s="170">
        <f t="shared" si="112"/>
        <v>47.05</v>
      </c>
      <c r="M111" s="170">
        <f t="shared" si="112"/>
        <v>47088.41</v>
      </c>
      <c r="N111" s="170">
        <f t="shared" si="112"/>
        <v>0</v>
      </c>
      <c r="O111" s="110"/>
      <c r="P111" s="117">
        <f>SUM(K111:N111)</f>
        <v>49593.120000000003</v>
      </c>
      <c r="Q111" s="170">
        <f t="shared" ref="Q111" si="113">Q100+Q104+Q105+Q106+Q107</f>
        <v>141083</v>
      </c>
      <c r="R111" s="170">
        <f t="shared" ref="R111:T111" si="114">R102+R103+R104+R105+R106</f>
        <v>31715.21</v>
      </c>
      <c r="S111" s="170">
        <f t="shared" si="114"/>
        <v>1.4346635602968461</v>
      </c>
      <c r="T111" s="170">
        <f t="shared" si="114"/>
        <v>3.1670099851576987</v>
      </c>
      <c r="U111" s="171">
        <f>((Q100*U100)+(Q104*U104)+(Q105*U105)+(Q106*U106)+(Q107*U107))/Q111</f>
        <v>0.59200000000000008</v>
      </c>
      <c r="V111" s="110"/>
      <c r="W111" s="118">
        <f>K111/J111</f>
        <v>36.545130111524159</v>
      </c>
      <c r="X111" s="117">
        <f>X100+X104+X105+X106+X107</f>
        <v>400000</v>
      </c>
      <c r="Y111" s="117">
        <f t="shared" ref="Y111" si="115">Y100+Y104+Y105+Y106+Y107</f>
        <v>163199.99999999997</v>
      </c>
    </row>
    <row r="112" spans="1:25" x14ac:dyDescent="0.15">
      <c r="A112" s="172"/>
      <c r="B112" s="173"/>
      <c r="C112" s="172"/>
      <c r="D112" s="173"/>
      <c r="E112" s="173"/>
      <c r="F112" s="173"/>
      <c r="G112" s="173"/>
      <c r="H112" s="173"/>
      <c r="I112" s="172"/>
      <c r="J112" s="174"/>
      <c r="K112" s="175"/>
      <c r="L112" s="175"/>
      <c r="M112" s="175"/>
      <c r="N112" s="175"/>
      <c r="O112" s="172"/>
      <c r="P112" s="175"/>
      <c r="Q112" s="175"/>
      <c r="R112" s="175"/>
      <c r="S112" s="176"/>
      <c r="T112" s="176"/>
      <c r="U112" s="176"/>
      <c r="V112" s="172"/>
      <c r="W112" s="177"/>
      <c r="X112" s="175"/>
      <c r="Y112" s="176"/>
    </row>
    <row r="113" spans="1:25" x14ac:dyDescent="0.15">
      <c r="A113" s="110" t="s">
        <v>2657</v>
      </c>
      <c r="B113" s="111" t="s">
        <v>37</v>
      </c>
      <c r="C113" s="110"/>
      <c r="D113" s="111">
        <v>7</v>
      </c>
      <c r="E113" s="111">
        <v>713</v>
      </c>
      <c r="F113" s="15">
        <v>159005</v>
      </c>
      <c r="G113" s="16">
        <v>110120029</v>
      </c>
      <c r="H113" s="111" t="s">
        <v>2658</v>
      </c>
      <c r="I113" s="110"/>
      <c r="J113" s="170">
        <f>30+13.5</f>
        <v>43.5</v>
      </c>
      <c r="K113" s="117">
        <f>1135.74+511.21</f>
        <v>1646.95</v>
      </c>
      <c r="L113" s="117"/>
      <c r="M113" s="117">
        <v>16515.22</v>
      </c>
      <c r="N113" s="117"/>
      <c r="O113" s="110"/>
      <c r="P113" s="117">
        <f t="shared" ref="P113:P118" si="116">SUM(K113:N113)</f>
        <v>18162.170000000002</v>
      </c>
      <c r="Q113" s="117">
        <v>39500</v>
      </c>
      <c r="R113" s="117">
        <f t="shared" ref="R113:R118" si="117">Q113-P113</f>
        <v>21337.829999999998</v>
      </c>
      <c r="S113" s="171">
        <f t="shared" ref="S113:S118" si="118">M113/Q113</f>
        <v>0.41810683544303801</v>
      </c>
      <c r="T113" s="171">
        <f t="shared" ref="T113:T118" si="119">R113/Q113</f>
        <v>0.54019822784810123</v>
      </c>
      <c r="U113" s="171">
        <f>1-0.408</f>
        <v>0.59200000000000008</v>
      </c>
      <c r="V113" s="110"/>
      <c r="W113" s="118">
        <f t="shared" ref="W113:W118" si="120">K113/J113</f>
        <v>37.860919540229887</v>
      </c>
      <c r="X113" s="110"/>
      <c r="Y113" s="117">
        <f t="shared" ref="Y113:Y118" si="121">X113*(1-U113)</f>
        <v>0</v>
      </c>
    </row>
    <row r="114" spans="1:25" x14ac:dyDescent="0.15">
      <c r="A114" s="110" t="s">
        <v>2657</v>
      </c>
      <c r="B114" s="111" t="s">
        <v>37</v>
      </c>
      <c r="C114" s="110"/>
      <c r="D114" s="111">
        <v>7</v>
      </c>
      <c r="E114" s="111">
        <v>712</v>
      </c>
      <c r="F114" s="15">
        <v>159005</v>
      </c>
      <c r="G114" s="16">
        <v>110120029</v>
      </c>
      <c r="H114" s="111" t="s">
        <v>2659</v>
      </c>
      <c r="I114" s="110"/>
      <c r="J114" s="170">
        <f>25.5+3</f>
        <v>28.5</v>
      </c>
      <c r="K114" s="117">
        <f>761.64+342.83</f>
        <v>1104.47</v>
      </c>
      <c r="L114" s="117"/>
      <c r="M114" s="117">
        <v>17321.740000000002</v>
      </c>
      <c r="N114" s="117"/>
      <c r="O114" s="110"/>
      <c r="P114" s="117">
        <f>SUM(K114:N114)</f>
        <v>18426.210000000003</v>
      </c>
      <c r="Q114" s="117">
        <v>35380</v>
      </c>
      <c r="R114" s="117">
        <f t="shared" si="117"/>
        <v>16953.789999999997</v>
      </c>
      <c r="S114" s="171">
        <f t="shared" si="118"/>
        <v>0.48959129451667616</v>
      </c>
      <c r="T114" s="171">
        <f t="shared" si="119"/>
        <v>0.47919135104578853</v>
      </c>
      <c r="U114" s="171">
        <f>1-0.408</f>
        <v>0.59200000000000008</v>
      </c>
      <c r="V114" s="110"/>
      <c r="W114" s="118">
        <f t="shared" si="120"/>
        <v>38.753333333333337</v>
      </c>
      <c r="X114" s="110"/>
      <c r="Y114" s="117">
        <f t="shared" si="121"/>
        <v>0</v>
      </c>
    </row>
    <row r="115" spans="1:25" x14ac:dyDescent="0.15">
      <c r="A115" s="110" t="s">
        <v>2657</v>
      </c>
      <c r="B115" s="111" t="s">
        <v>37</v>
      </c>
      <c r="C115" s="110"/>
      <c r="D115" s="111">
        <v>7</v>
      </c>
      <c r="E115" s="111" t="s">
        <v>2660</v>
      </c>
      <c r="F115" s="15">
        <v>159005</v>
      </c>
      <c r="G115" s="16">
        <v>210010119</v>
      </c>
      <c r="H115" s="111" t="s">
        <v>2654</v>
      </c>
      <c r="I115" s="110"/>
      <c r="J115" s="170">
        <f>1.5+2.5+1</f>
        <v>5</v>
      </c>
      <c r="K115" s="117">
        <f>40.56+18.26+90.86+40.9</f>
        <v>190.58</v>
      </c>
      <c r="L115" s="117"/>
      <c r="M115" s="117">
        <f>111.04+111.04</f>
        <v>222.08</v>
      </c>
      <c r="N115" s="117"/>
      <c r="O115" s="110"/>
      <c r="P115" s="117">
        <f t="shared" si="116"/>
        <v>412.66</v>
      </c>
      <c r="Q115" s="117">
        <v>0</v>
      </c>
      <c r="R115" s="117">
        <f t="shared" si="117"/>
        <v>-412.66</v>
      </c>
      <c r="S115" s="171" t="e">
        <f t="shared" si="118"/>
        <v>#DIV/0!</v>
      </c>
      <c r="T115" s="171" t="e">
        <f t="shared" si="119"/>
        <v>#DIV/0!</v>
      </c>
      <c r="U115" s="171">
        <f>1-0.408</f>
        <v>0.59200000000000008</v>
      </c>
      <c r="V115" s="110"/>
      <c r="W115" s="118">
        <f t="shared" si="120"/>
        <v>38.116</v>
      </c>
      <c r="X115" s="110"/>
      <c r="Y115" s="117">
        <f t="shared" si="121"/>
        <v>0</v>
      </c>
    </row>
    <row r="116" spans="1:25" x14ac:dyDescent="0.15">
      <c r="A116" s="110" t="s">
        <v>2657</v>
      </c>
      <c r="B116" s="111" t="s">
        <v>37</v>
      </c>
      <c r="C116" s="110"/>
      <c r="D116" s="111">
        <v>7</v>
      </c>
      <c r="E116" s="111" t="s">
        <v>2661</v>
      </c>
      <c r="F116" s="15">
        <v>159005</v>
      </c>
      <c r="G116" s="16">
        <v>210100119</v>
      </c>
      <c r="H116" s="111" t="s">
        <v>2662</v>
      </c>
      <c r="I116" s="110"/>
      <c r="J116" s="170">
        <f>2+4+2</f>
        <v>8</v>
      </c>
      <c r="K116" s="117">
        <f>46.52+20.94+154.68+69.62</f>
        <v>291.76</v>
      </c>
      <c r="L116" s="117"/>
      <c r="M116" s="117">
        <f>170.05+150</f>
        <v>320.05</v>
      </c>
      <c r="N116" s="117"/>
      <c r="O116" s="110"/>
      <c r="P116" s="117">
        <f t="shared" si="116"/>
        <v>611.80999999999995</v>
      </c>
      <c r="Q116" s="117">
        <v>0</v>
      </c>
      <c r="R116" s="117">
        <f t="shared" si="117"/>
        <v>-611.80999999999995</v>
      </c>
      <c r="S116" s="171" t="e">
        <f t="shared" si="118"/>
        <v>#DIV/0!</v>
      </c>
      <c r="T116" s="171" t="e">
        <f t="shared" si="119"/>
        <v>#DIV/0!</v>
      </c>
      <c r="U116" s="171">
        <f>1-0.408</f>
        <v>0.59200000000000008</v>
      </c>
      <c r="V116" s="110"/>
      <c r="W116" s="118">
        <f t="shared" si="120"/>
        <v>36.47</v>
      </c>
      <c r="X116" s="110"/>
      <c r="Y116" s="117">
        <f t="shared" si="121"/>
        <v>0</v>
      </c>
    </row>
    <row r="117" spans="1:25" x14ac:dyDescent="0.15">
      <c r="A117" s="110" t="s">
        <v>2657</v>
      </c>
      <c r="B117" s="111" t="s">
        <v>37</v>
      </c>
      <c r="C117" s="110"/>
      <c r="D117" s="111">
        <v>7</v>
      </c>
      <c r="E117" s="111">
        <v>716</v>
      </c>
      <c r="F117" s="15">
        <v>159005</v>
      </c>
      <c r="G117" s="16">
        <v>210300119</v>
      </c>
      <c r="H117" s="111" t="s">
        <v>2663</v>
      </c>
      <c r="I117" s="110"/>
      <c r="J117" s="170"/>
      <c r="K117" s="117"/>
      <c r="L117" s="117"/>
      <c r="M117" s="117">
        <v>2512.31</v>
      </c>
      <c r="N117" s="117"/>
      <c r="O117" s="110"/>
      <c r="P117" s="117">
        <f t="shared" si="116"/>
        <v>2512.31</v>
      </c>
      <c r="Q117" s="117">
        <v>7718</v>
      </c>
      <c r="R117" s="117">
        <f t="shared" si="117"/>
        <v>5205.6900000000005</v>
      </c>
      <c r="S117" s="171">
        <f t="shared" si="118"/>
        <v>0.32551308629178544</v>
      </c>
      <c r="T117" s="171">
        <f t="shared" si="119"/>
        <v>0.67448691370821467</v>
      </c>
      <c r="U117" s="171">
        <f>1-0.408</f>
        <v>0.59200000000000008</v>
      </c>
      <c r="V117" s="110"/>
      <c r="W117" s="118" t="e">
        <f t="shared" si="120"/>
        <v>#DIV/0!</v>
      </c>
      <c r="X117" s="110"/>
      <c r="Y117" s="117">
        <f t="shared" si="121"/>
        <v>0</v>
      </c>
    </row>
    <row r="118" spans="1:25" x14ac:dyDescent="0.15">
      <c r="A118" s="110" t="s">
        <v>2657</v>
      </c>
      <c r="B118" s="111" t="s">
        <v>47</v>
      </c>
      <c r="C118" s="110"/>
      <c r="D118" s="111">
        <v>7</v>
      </c>
      <c r="E118" s="111">
        <v>717</v>
      </c>
      <c r="F118" s="15">
        <v>159005</v>
      </c>
      <c r="G118" s="111"/>
      <c r="H118" s="111" t="s">
        <v>70</v>
      </c>
      <c r="I118" s="110"/>
      <c r="J118" s="170">
        <v>36</v>
      </c>
      <c r="K118" s="117">
        <f>1112.76+500.76</f>
        <v>1613.52</v>
      </c>
      <c r="L118" s="117">
        <v>1876.98</v>
      </c>
      <c r="M118" s="117">
        <v>18.8</v>
      </c>
      <c r="N118" s="117"/>
      <c r="O118" s="110"/>
      <c r="P118" s="117">
        <f t="shared" si="116"/>
        <v>3509.3</v>
      </c>
      <c r="Q118" s="117">
        <v>8000</v>
      </c>
      <c r="R118" s="117">
        <f t="shared" si="117"/>
        <v>4490.7</v>
      </c>
      <c r="S118" s="171">
        <f t="shared" si="118"/>
        <v>2.3500000000000001E-3</v>
      </c>
      <c r="T118" s="171">
        <f t="shared" si="119"/>
        <v>0.56133749999999993</v>
      </c>
      <c r="U118" s="171">
        <f>1-0.529</f>
        <v>0.47099999999999997</v>
      </c>
      <c r="V118" s="110"/>
      <c r="W118" s="118">
        <f t="shared" si="120"/>
        <v>44.82</v>
      </c>
      <c r="X118" s="110"/>
      <c r="Y118" s="117">
        <f t="shared" si="121"/>
        <v>0</v>
      </c>
    </row>
    <row r="120" spans="1:25" x14ac:dyDescent="0.15">
      <c r="A120" s="110" t="s">
        <v>2657</v>
      </c>
      <c r="B120" s="111" t="s">
        <v>2577</v>
      </c>
      <c r="C120" s="110"/>
      <c r="D120" s="111">
        <v>7</v>
      </c>
      <c r="E120" s="111"/>
      <c r="F120" s="111"/>
      <c r="G120" s="111"/>
      <c r="H120" s="111"/>
      <c r="I120" s="110"/>
      <c r="J120" s="170">
        <f>SUM(J113:J118)</f>
        <v>121</v>
      </c>
      <c r="K120" s="170">
        <f t="shared" ref="K120:N120" si="122">SUM(K113:K118)</f>
        <v>4847.2800000000007</v>
      </c>
      <c r="L120" s="170">
        <f t="shared" si="122"/>
        <v>1876.98</v>
      </c>
      <c r="M120" s="170">
        <f t="shared" si="122"/>
        <v>36910.200000000012</v>
      </c>
      <c r="N120" s="170">
        <f t="shared" si="122"/>
        <v>0</v>
      </c>
      <c r="O120" s="110"/>
      <c r="P120" s="117">
        <f>SUM(P113:P119)</f>
        <v>43634.460000000006</v>
      </c>
      <c r="Q120" s="117">
        <f>SUM(Q113:Q119)</f>
        <v>90598</v>
      </c>
      <c r="R120" s="117">
        <f>SUM(R113:R119)</f>
        <v>46963.539999999994</v>
      </c>
      <c r="S120" s="171">
        <f t="shared" ref="S120:S121" si="123">M120/Q120</f>
        <v>0.40740634451091651</v>
      </c>
      <c r="T120" s="171">
        <f>R120/Q120</f>
        <v>0.51837281176184902</v>
      </c>
      <c r="U120" s="171">
        <f>((Q113*U113)+(Q114*U114)+(Q115*U115)+(Q116*U116)+(Q117*U117)+(Q118*U118))/Q120</f>
        <v>0.58131543742687475</v>
      </c>
      <c r="V120" s="110"/>
      <c r="W120" s="118">
        <f t="shared" ref="W120:W121" si="124">K120/J120</f>
        <v>40.060165289256204</v>
      </c>
      <c r="X120" s="159">
        <f>SUM(X113:X119)</f>
        <v>0</v>
      </c>
      <c r="Y120" s="159">
        <f>SUM(Y113:Y119)</f>
        <v>0</v>
      </c>
    </row>
    <row r="121" spans="1:25" x14ac:dyDescent="0.15">
      <c r="A121" s="110" t="s">
        <v>2657</v>
      </c>
      <c r="B121" s="111" t="s">
        <v>55</v>
      </c>
      <c r="C121" s="110"/>
      <c r="D121" s="111">
        <v>7</v>
      </c>
      <c r="E121" s="111">
        <v>768</v>
      </c>
      <c r="F121" s="15">
        <v>159005</v>
      </c>
      <c r="G121" s="111" t="s">
        <v>56</v>
      </c>
      <c r="H121" s="111"/>
      <c r="I121" s="110"/>
      <c r="J121" s="170">
        <v>6</v>
      </c>
      <c r="K121" s="117">
        <f>165+74.28</f>
        <v>239.28</v>
      </c>
      <c r="L121" s="117">
        <v>2794</v>
      </c>
      <c r="M121" s="117">
        <v>546.79999999999995</v>
      </c>
      <c r="N121" s="117"/>
      <c r="O121" s="110"/>
      <c r="P121" s="117">
        <f>SUM(K121:N121)</f>
        <v>3580.08</v>
      </c>
      <c r="Q121" s="117">
        <v>4500</v>
      </c>
      <c r="R121" s="117">
        <f t="shared" ref="R121" si="125">Q121-P121</f>
        <v>919.92000000000007</v>
      </c>
      <c r="S121" s="171">
        <f t="shared" si="123"/>
        <v>0.1215111111111111</v>
      </c>
      <c r="T121" s="171">
        <f t="shared" ref="T121" si="126">R121/Q121</f>
        <v>0.20442666666666667</v>
      </c>
      <c r="U121" s="171">
        <v>0</v>
      </c>
      <c r="V121" s="110"/>
      <c r="W121" s="118">
        <f t="shared" si="124"/>
        <v>39.880000000000003</v>
      </c>
      <c r="X121" s="110"/>
      <c r="Y121" s="110"/>
    </row>
    <row r="122" spans="1:25" x14ac:dyDescent="0.15">
      <c r="A122" s="110" t="s">
        <v>2657</v>
      </c>
      <c r="B122" s="111" t="s">
        <v>2600</v>
      </c>
      <c r="C122" s="110"/>
      <c r="D122" s="111">
        <v>7</v>
      </c>
      <c r="E122" s="111"/>
      <c r="F122" s="111"/>
      <c r="G122" s="111"/>
      <c r="H122" s="111"/>
      <c r="I122" s="110"/>
      <c r="J122" s="170">
        <f>J113+J114+J115+J116+J117</f>
        <v>85</v>
      </c>
      <c r="K122" s="170">
        <f>K113+K114+K115+K116+K117</f>
        <v>3233.76</v>
      </c>
      <c r="L122" s="170">
        <f t="shared" ref="L122:N122" si="127">L113+L114+L115+L116+L117</f>
        <v>0</v>
      </c>
      <c r="M122" s="170">
        <f t="shared" si="127"/>
        <v>36891.400000000009</v>
      </c>
      <c r="N122" s="170">
        <f t="shared" si="127"/>
        <v>0</v>
      </c>
      <c r="O122" s="110"/>
      <c r="P122" s="117">
        <f>SUM(K122:N122)</f>
        <v>40125.160000000011</v>
      </c>
      <c r="Q122" s="170">
        <f t="shared" ref="Q122:T122" si="128">Q113+Q114+Q115+Q116+Q117</f>
        <v>82598</v>
      </c>
      <c r="R122" s="170">
        <f t="shared" si="128"/>
        <v>42472.84</v>
      </c>
      <c r="S122" s="170" t="e">
        <f t="shared" si="128"/>
        <v>#DIV/0!</v>
      </c>
      <c r="T122" s="170" t="e">
        <f t="shared" si="128"/>
        <v>#DIV/0!</v>
      </c>
      <c r="U122" s="171">
        <f>((Q113*U113)+(Q114*U114)+(Q115*U115)+(Q116*U116)+(Q117*U117))/Q122</f>
        <v>0.59200000000000008</v>
      </c>
      <c r="V122" s="110"/>
      <c r="W122" s="118">
        <f>K122/J122</f>
        <v>38.044235294117648</v>
      </c>
      <c r="X122" s="170">
        <f>X113+X114+X115+X116+X117+X118</f>
        <v>0</v>
      </c>
      <c r="Y122" s="170">
        <f>Y113+Y114+Y115+Y116+Y117+Y118</f>
        <v>0</v>
      </c>
    </row>
    <row r="123" spans="1:25" x14ac:dyDescent="0.15">
      <c r="A123" s="172"/>
      <c r="B123" s="173"/>
      <c r="C123" s="172"/>
      <c r="D123" s="173"/>
      <c r="E123" s="173"/>
      <c r="F123" s="173"/>
      <c r="G123" s="173"/>
      <c r="H123" s="173"/>
      <c r="I123" s="172"/>
      <c r="J123" s="174"/>
      <c r="K123" s="175"/>
      <c r="L123" s="175"/>
      <c r="M123" s="175"/>
      <c r="N123" s="175"/>
      <c r="O123" s="172"/>
      <c r="P123" s="175"/>
      <c r="Q123" s="175"/>
      <c r="R123" s="175"/>
      <c r="S123" s="176"/>
      <c r="T123" s="176"/>
      <c r="U123" s="176"/>
      <c r="V123" s="172"/>
      <c r="W123" s="177"/>
      <c r="X123" s="175"/>
      <c r="Y123" s="176"/>
    </row>
    <row r="124" spans="1:25" x14ac:dyDescent="0.15">
      <c r="A124" s="110" t="s">
        <v>2664</v>
      </c>
      <c r="B124" s="111" t="s">
        <v>2665</v>
      </c>
      <c r="C124" s="110"/>
      <c r="D124" s="111">
        <v>7</v>
      </c>
      <c r="E124" s="111"/>
      <c r="F124" s="111"/>
      <c r="G124" s="111"/>
      <c r="H124" s="111" t="s">
        <v>2666</v>
      </c>
      <c r="I124" s="110"/>
      <c r="J124" s="170"/>
      <c r="K124" s="117"/>
      <c r="L124" s="117"/>
      <c r="M124" s="117"/>
      <c r="N124" s="117"/>
      <c r="O124" s="110"/>
      <c r="P124" s="117"/>
      <c r="Q124" s="117">
        <v>208490.52</v>
      </c>
      <c r="R124" s="117"/>
      <c r="S124" s="117"/>
      <c r="T124" s="171"/>
      <c r="U124" s="171"/>
      <c r="V124" s="110"/>
      <c r="W124" s="118"/>
      <c r="X124" s="110"/>
      <c r="Y124" s="110"/>
    </row>
    <row r="125" spans="1:25" x14ac:dyDescent="0.15">
      <c r="A125" s="172"/>
      <c r="B125" s="173"/>
      <c r="C125" s="172"/>
      <c r="D125" s="173"/>
      <c r="E125" s="173"/>
      <c r="F125" s="173"/>
      <c r="G125" s="173"/>
      <c r="H125" s="173"/>
      <c r="I125" s="172"/>
      <c r="J125" s="174"/>
      <c r="K125" s="175"/>
      <c r="L125" s="175"/>
      <c r="M125" s="175"/>
      <c r="N125" s="175"/>
      <c r="O125" s="172"/>
      <c r="P125" s="175"/>
      <c r="Q125" s="175"/>
      <c r="R125" s="175"/>
      <c r="S125" s="176"/>
      <c r="T125" s="176"/>
      <c r="U125" s="176"/>
      <c r="V125" s="172"/>
      <c r="W125" s="177"/>
      <c r="X125" s="175"/>
      <c r="Y125" s="176"/>
    </row>
    <row r="126" spans="1:25" x14ac:dyDescent="0.15">
      <c r="A126" s="110" t="s">
        <v>2664</v>
      </c>
      <c r="B126" s="111" t="s">
        <v>2591</v>
      </c>
      <c r="C126" s="110"/>
      <c r="D126" s="111">
        <v>8</v>
      </c>
      <c r="E126" s="111"/>
      <c r="F126" s="111"/>
      <c r="G126" s="111"/>
      <c r="H126" s="111" t="s">
        <v>2667</v>
      </c>
      <c r="I126" s="110"/>
      <c r="J126" s="170"/>
      <c r="K126" s="117"/>
      <c r="L126" s="117"/>
      <c r="M126" s="117"/>
      <c r="N126" s="117"/>
      <c r="O126" s="110"/>
      <c r="P126" s="117"/>
      <c r="Q126" s="117">
        <v>81282.48</v>
      </c>
      <c r="R126" s="117"/>
      <c r="S126" s="117"/>
      <c r="T126" s="171"/>
      <c r="U126" s="171">
        <f>1-0.287</f>
        <v>0.71300000000000008</v>
      </c>
      <c r="V126" s="110"/>
      <c r="W126" s="118"/>
      <c r="X126" s="110"/>
      <c r="Y126" s="110"/>
    </row>
    <row r="127" spans="1:25" x14ac:dyDescent="0.15">
      <c r="A127" s="172"/>
      <c r="B127" s="173"/>
      <c r="C127" s="172"/>
      <c r="D127" s="173"/>
      <c r="E127" s="173"/>
      <c r="F127" s="173"/>
      <c r="G127" s="173"/>
      <c r="H127" s="173"/>
      <c r="I127" s="172"/>
      <c r="J127" s="174"/>
      <c r="K127" s="175"/>
      <c r="L127" s="175"/>
      <c r="M127" s="175"/>
      <c r="N127" s="175"/>
      <c r="O127" s="172"/>
      <c r="P127" s="175"/>
      <c r="Q127" s="175"/>
      <c r="R127" s="175"/>
      <c r="S127" s="176"/>
      <c r="T127" s="176"/>
      <c r="U127" s="176"/>
      <c r="V127" s="172"/>
      <c r="W127" s="177"/>
      <c r="X127" s="175"/>
      <c r="Y127" s="176"/>
    </row>
    <row r="128" spans="1:25" x14ac:dyDescent="0.15">
      <c r="A128" s="110" t="s">
        <v>307</v>
      </c>
      <c r="B128" s="111" t="s">
        <v>2665</v>
      </c>
      <c r="C128" s="110"/>
      <c r="D128" s="111">
        <v>2</v>
      </c>
      <c r="E128" s="111"/>
      <c r="F128" s="111"/>
      <c r="G128" s="111"/>
      <c r="H128" s="111" t="s">
        <v>2668</v>
      </c>
      <c r="I128" s="110"/>
      <c r="J128" s="170"/>
      <c r="K128" s="117"/>
      <c r="L128" s="117"/>
      <c r="M128" s="117"/>
      <c r="N128" s="117"/>
      <c r="O128" s="110"/>
      <c r="P128" s="117"/>
      <c r="Q128" s="117">
        <v>70874</v>
      </c>
      <c r="R128" s="117"/>
      <c r="S128" s="117"/>
      <c r="T128" s="171"/>
      <c r="U128" s="171"/>
      <c r="V128" s="110"/>
      <c r="W128" s="118"/>
      <c r="X128" s="110">
        <v>70874</v>
      </c>
      <c r="Y128" s="117">
        <f t="shared" ref="Y128:Y129" si="129">X128*(1-U128)</f>
        <v>70874</v>
      </c>
    </row>
    <row r="129" spans="1:25" x14ac:dyDescent="0.15">
      <c r="A129" s="110" t="s">
        <v>307</v>
      </c>
      <c r="B129" s="111" t="s">
        <v>2665</v>
      </c>
      <c r="C129" s="110"/>
      <c r="D129" s="111">
        <v>4</v>
      </c>
      <c r="E129" s="111"/>
      <c r="F129" s="111"/>
      <c r="G129" s="111"/>
      <c r="H129" s="111" t="s">
        <v>2669</v>
      </c>
      <c r="I129" s="110"/>
      <c r="J129" s="170"/>
      <c r="K129" s="117"/>
      <c r="L129" s="117"/>
      <c r="M129" s="117"/>
      <c r="N129" s="117"/>
      <c r="O129" s="110"/>
      <c r="P129" s="117"/>
      <c r="Q129" s="117">
        <v>77961</v>
      </c>
      <c r="R129" s="117"/>
      <c r="S129" s="117"/>
      <c r="T129" s="171"/>
      <c r="U129" s="171"/>
      <c r="V129" s="110"/>
      <c r="W129" s="118"/>
      <c r="X129" s="110">
        <v>77961</v>
      </c>
      <c r="Y129" s="117">
        <f t="shared" si="129"/>
        <v>77961</v>
      </c>
    </row>
    <row r="130" spans="1:25" x14ac:dyDescent="0.15">
      <c r="A130" s="110" t="s">
        <v>307</v>
      </c>
      <c r="B130" s="111" t="s">
        <v>2665</v>
      </c>
      <c r="C130" s="110"/>
      <c r="D130" s="111">
        <v>12</v>
      </c>
      <c r="E130" s="111"/>
      <c r="F130" s="111"/>
      <c r="G130" s="111"/>
      <c r="H130" s="111" t="s">
        <v>2670</v>
      </c>
      <c r="I130" s="110"/>
      <c r="J130" s="170"/>
      <c r="K130" s="117"/>
      <c r="L130" s="117"/>
      <c r="M130" s="117"/>
      <c r="N130" s="117"/>
      <c r="O130" s="110"/>
      <c r="P130" s="117"/>
      <c r="Q130" s="117">
        <v>77995</v>
      </c>
      <c r="R130" s="117"/>
      <c r="S130" s="117"/>
      <c r="T130" s="171"/>
      <c r="U130" s="171"/>
      <c r="V130" s="110"/>
      <c r="W130" s="118"/>
      <c r="X130" s="110"/>
      <c r="Y130" s="110"/>
    </row>
    <row r="132" spans="1:25" x14ac:dyDescent="0.15">
      <c r="A132" s="110" t="s">
        <v>307</v>
      </c>
      <c r="B132" s="111" t="s">
        <v>2577</v>
      </c>
      <c r="C132" s="110"/>
      <c r="D132" s="111"/>
      <c r="E132" s="111"/>
      <c r="F132" s="111"/>
      <c r="G132" s="111"/>
      <c r="H132" s="111"/>
      <c r="I132" s="110"/>
      <c r="J132" s="170"/>
      <c r="K132" s="117"/>
      <c r="L132" s="117"/>
      <c r="M132" s="117"/>
      <c r="N132" s="117"/>
      <c r="O132" s="110"/>
      <c r="P132" s="117"/>
      <c r="Q132" s="117">
        <f>SUM(Q128:Q131)</f>
        <v>226830</v>
      </c>
      <c r="R132" s="117"/>
      <c r="S132" s="117"/>
      <c r="T132" s="171"/>
      <c r="U132" s="171"/>
      <c r="V132" s="110"/>
      <c r="W132" s="118"/>
      <c r="X132" s="110">
        <f>SUM(X128:X131)</f>
        <v>148835</v>
      </c>
      <c r="Y132" s="110">
        <f>SUM(Y128:Y131)</f>
        <v>148835</v>
      </c>
    </row>
    <row r="133" spans="1:25" x14ac:dyDescent="0.15">
      <c r="A133" s="172"/>
      <c r="B133" s="173"/>
      <c r="C133" s="172"/>
      <c r="D133" s="173"/>
      <c r="E133" s="173"/>
      <c r="F133" s="173"/>
      <c r="G133" s="173"/>
      <c r="H133" s="173"/>
      <c r="I133" s="172"/>
      <c r="J133" s="174"/>
      <c r="K133" s="175"/>
      <c r="L133" s="175"/>
      <c r="M133" s="175"/>
      <c r="N133" s="175"/>
      <c r="O133" s="172"/>
      <c r="P133" s="175"/>
      <c r="Q133" s="175"/>
      <c r="R133" s="175"/>
      <c r="S133" s="176"/>
      <c r="T133" s="176"/>
      <c r="U133" s="176"/>
      <c r="V133" s="172"/>
      <c r="W133" s="177"/>
      <c r="X133" s="175"/>
      <c r="Y133" s="176"/>
    </row>
    <row r="134" spans="1:25" x14ac:dyDescent="0.15">
      <c r="A134" s="110" t="s">
        <v>2671</v>
      </c>
      <c r="B134" s="111" t="s">
        <v>2672</v>
      </c>
      <c r="C134" s="110"/>
      <c r="D134" s="111">
        <v>3</v>
      </c>
      <c r="E134" s="111"/>
      <c r="F134" s="111"/>
      <c r="G134" s="111"/>
      <c r="H134" s="111" t="s">
        <v>2673</v>
      </c>
      <c r="I134" s="110"/>
      <c r="J134" s="170"/>
      <c r="K134" s="117"/>
      <c r="L134" s="117"/>
      <c r="M134" s="117"/>
      <c r="N134" s="117"/>
      <c r="O134" s="110"/>
      <c r="P134" s="117"/>
      <c r="Q134" s="117">
        <v>96700</v>
      </c>
      <c r="R134" s="117"/>
      <c r="S134" s="171"/>
      <c r="T134" s="171"/>
      <c r="U134" s="171"/>
      <c r="V134" s="110"/>
      <c r="W134" s="118"/>
      <c r="X134" s="117">
        <v>83333</v>
      </c>
      <c r="Y134" s="117">
        <f t="shared" ref="Y134:Y135" si="130">X134*(1-U134)</f>
        <v>83333</v>
      </c>
    </row>
    <row r="135" spans="1:25" x14ac:dyDescent="0.15">
      <c r="A135" s="110" t="s">
        <v>2671</v>
      </c>
      <c r="B135" s="111" t="s">
        <v>452</v>
      </c>
      <c r="C135" s="110"/>
      <c r="D135" s="111">
        <v>3</v>
      </c>
      <c r="E135" s="111">
        <v>693</v>
      </c>
      <c r="F135" s="111"/>
      <c r="G135" s="111"/>
      <c r="H135" s="111" t="s">
        <v>2674</v>
      </c>
      <c r="I135" s="110"/>
      <c r="J135" s="170">
        <v>116</v>
      </c>
      <c r="K135" s="117">
        <f>7412.52+883.52</f>
        <v>8296.0400000000009</v>
      </c>
      <c r="L135" s="117"/>
      <c r="M135" s="117">
        <v>3634.98</v>
      </c>
      <c r="N135" s="117"/>
      <c r="O135" s="110"/>
      <c r="P135" s="117">
        <f>SUM(K135:N135)</f>
        <v>11931.02</v>
      </c>
      <c r="Q135" s="117">
        <v>27225</v>
      </c>
      <c r="R135" s="117">
        <f t="shared" ref="R135" si="131">Q135-P135</f>
        <v>15293.98</v>
      </c>
      <c r="S135" s="171">
        <f t="shared" ref="S135" si="132">M135/Q135</f>
        <v>0.13351625344352616</v>
      </c>
      <c r="T135" s="171">
        <f t="shared" ref="T135" si="133">R135/Q135</f>
        <v>0.5617623507805326</v>
      </c>
      <c r="U135" s="171">
        <f>1-0.56</f>
        <v>0.43999999999999995</v>
      </c>
      <c r="V135" s="110"/>
      <c r="W135" s="118">
        <f t="shared" ref="W135" si="134">K135/J135</f>
        <v>71.517586206896553</v>
      </c>
      <c r="X135" s="117">
        <v>25000</v>
      </c>
      <c r="Y135" s="117">
        <f t="shared" si="130"/>
        <v>14000.000000000002</v>
      </c>
    </row>
    <row r="137" spans="1:25" x14ac:dyDescent="0.15">
      <c r="A137" s="110" t="s">
        <v>2671</v>
      </c>
      <c r="B137" s="111" t="s">
        <v>2577</v>
      </c>
      <c r="C137" s="110"/>
      <c r="D137" s="111"/>
      <c r="E137" s="111"/>
      <c r="F137" s="111"/>
      <c r="G137" s="111"/>
      <c r="H137" s="111"/>
      <c r="I137" s="110"/>
      <c r="J137" s="170">
        <f>SUM(J134:J136)</f>
        <v>116</v>
      </c>
      <c r="K137" s="170">
        <f t="shared" ref="K137:O137" si="135">SUM(K134:K136)</f>
        <v>8296.0400000000009</v>
      </c>
      <c r="L137" s="170">
        <f t="shared" si="135"/>
        <v>0</v>
      </c>
      <c r="M137" s="170">
        <f t="shared" si="135"/>
        <v>3634.98</v>
      </c>
      <c r="N137" s="170">
        <f t="shared" si="135"/>
        <v>0</v>
      </c>
      <c r="O137" s="170">
        <f t="shared" si="135"/>
        <v>0</v>
      </c>
      <c r="P137" s="117">
        <f>SUM(P134:P136)</f>
        <v>11931.02</v>
      </c>
      <c r="Q137" s="117">
        <f>SUM(Q134:Q136)</f>
        <v>123925</v>
      </c>
      <c r="R137" s="117">
        <f>SUM(R134:R136)</f>
        <v>15293.98</v>
      </c>
      <c r="S137" s="171">
        <f t="shared" ref="S137" si="136">M137/Q137</f>
        <v>2.9332096025822069E-2</v>
      </c>
      <c r="T137" s="171">
        <f>R137/Q137</f>
        <v>0.12341319346378858</v>
      </c>
      <c r="U137" s="171">
        <f>((Q134*U134)+(Q135*U135))/Q137</f>
        <v>9.6663304417994741E-2</v>
      </c>
      <c r="V137" s="110"/>
      <c r="W137" s="118">
        <f t="shared" ref="W137" si="137">K137/J137</f>
        <v>71.517586206896553</v>
      </c>
      <c r="X137" s="159">
        <v>0</v>
      </c>
      <c r="Y137" s="159">
        <v>0</v>
      </c>
    </row>
    <row r="138" spans="1:25" x14ac:dyDescent="0.15">
      <c r="A138" s="172"/>
      <c r="B138" s="173"/>
      <c r="C138" s="172"/>
      <c r="D138" s="173"/>
      <c r="E138" s="173"/>
      <c r="F138" s="173"/>
      <c r="G138" s="173"/>
      <c r="H138" s="173"/>
      <c r="I138" s="172"/>
      <c r="J138" s="174"/>
      <c r="K138" s="175"/>
      <c r="L138" s="175"/>
      <c r="M138" s="175"/>
      <c r="N138" s="175"/>
      <c r="O138" s="172"/>
      <c r="P138" s="175"/>
      <c r="Q138" s="175"/>
      <c r="R138" s="175"/>
      <c r="S138" s="176"/>
      <c r="T138" s="176"/>
      <c r="U138" s="176"/>
      <c r="V138" s="172"/>
      <c r="W138" s="177"/>
      <c r="X138" s="175"/>
      <c r="Y138" s="176"/>
    </row>
    <row r="139" spans="1:25" x14ac:dyDescent="0.15">
      <c r="A139" s="110" t="s">
        <v>2675</v>
      </c>
      <c r="B139" s="111" t="s">
        <v>37</v>
      </c>
      <c r="C139" s="110">
        <v>1</v>
      </c>
      <c r="D139" s="111">
        <v>3</v>
      </c>
      <c r="E139" s="111"/>
      <c r="F139" s="111"/>
      <c r="G139" s="111"/>
      <c r="H139" s="111" t="s">
        <v>2676</v>
      </c>
      <c r="I139" s="110"/>
      <c r="J139" s="170"/>
      <c r="K139" s="117"/>
      <c r="L139" s="117"/>
      <c r="M139" s="117"/>
      <c r="N139" s="117"/>
      <c r="O139" s="110"/>
      <c r="P139" s="117"/>
      <c r="Q139" s="117">
        <v>1987.3</v>
      </c>
      <c r="R139" s="117">
        <f t="shared" ref="R139:R141" si="138">Q139-P139</f>
        <v>1987.3</v>
      </c>
      <c r="S139" s="171">
        <f t="shared" ref="S139:S141" si="139">M139/Q139</f>
        <v>0</v>
      </c>
      <c r="T139" s="171">
        <f t="shared" ref="T139:T141" si="140">R139/Q139</f>
        <v>1</v>
      </c>
      <c r="U139" s="171">
        <f>1-0.408</f>
        <v>0.59200000000000008</v>
      </c>
      <c r="V139" s="110"/>
      <c r="W139" s="118" t="e">
        <f t="shared" ref="W139:W141" si="141">K139/J139</f>
        <v>#DIV/0!</v>
      </c>
      <c r="X139" s="110"/>
      <c r="Y139" s="117">
        <f t="shared" ref="Y139:Y141" si="142">X139*(1-U139)</f>
        <v>0</v>
      </c>
    </row>
    <row r="140" spans="1:25" x14ac:dyDescent="0.15">
      <c r="A140" s="110" t="s">
        <v>2675</v>
      </c>
      <c r="B140" s="111" t="s">
        <v>37</v>
      </c>
      <c r="C140" s="110"/>
      <c r="D140" s="111">
        <v>7</v>
      </c>
      <c r="E140" s="111">
        <v>745</v>
      </c>
      <c r="F140" s="111"/>
      <c r="G140" s="111"/>
      <c r="H140" s="111" t="s">
        <v>2677</v>
      </c>
      <c r="I140" s="110"/>
      <c r="J140" s="170"/>
      <c r="K140" s="117"/>
      <c r="L140" s="117">
        <v>972.78</v>
      </c>
      <c r="M140" s="117"/>
      <c r="N140" s="117"/>
      <c r="O140" s="110"/>
      <c r="P140" s="117">
        <f>SUM(K140:N140)</f>
        <v>972.78</v>
      </c>
      <c r="Q140" s="117">
        <v>950</v>
      </c>
      <c r="R140" s="117">
        <f t="shared" si="138"/>
        <v>-22.779999999999973</v>
      </c>
      <c r="S140" s="171">
        <f t="shared" si="139"/>
        <v>0</v>
      </c>
      <c r="T140" s="171">
        <f t="shared" si="140"/>
        <v>-2.3978947368421023E-2</v>
      </c>
      <c r="U140" s="171">
        <f>1-0.408</f>
        <v>0.59200000000000008</v>
      </c>
      <c r="V140" s="110"/>
      <c r="W140" s="118" t="e">
        <f t="shared" si="141"/>
        <v>#DIV/0!</v>
      </c>
      <c r="X140" s="110"/>
      <c r="Y140" s="117">
        <f t="shared" si="142"/>
        <v>0</v>
      </c>
    </row>
    <row r="141" spans="1:25" x14ac:dyDescent="0.15">
      <c r="A141" s="110" t="s">
        <v>2675</v>
      </c>
      <c r="B141" s="111" t="s">
        <v>37</v>
      </c>
      <c r="C141" s="110"/>
      <c r="D141" s="111">
        <v>7</v>
      </c>
      <c r="E141" s="111">
        <v>744</v>
      </c>
      <c r="F141" s="111"/>
      <c r="G141" s="111"/>
      <c r="H141" s="111" t="s">
        <v>2678</v>
      </c>
      <c r="I141" s="110"/>
      <c r="J141" s="170">
        <v>31</v>
      </c>
      <c r="K141" s="117">
        <f>775+348.75</f>
        <v>1123.75</v>
      </c>
      <c r="L141" s="117"/>
      <c r="M141" s="117">
        <v>1324.98</v>
      </c>
      <c r="N141" s="117"/>
      <c r="O141" s="110"/>
      <c r="P141" s="117">
        <f>SUM(K141:N141)</f>
        <v>2448.73</v>
      </c>
      <c r="Q141" s="117">
        <v>4050</v>
      </c>
      <c r="R141" s="117">
        <f t="shared" si="138"/>
        <v>1601.27</v>
      </c>
      <c r="S141" s="171">
        <f t="shared" si="139"/>
        <v>0.32715555555555553</v>
      </c>
      <c r="T141" s="171">
        <f t="shared" si="140"/>
        <v>0.39537530864197529</v>
      </c>
      <c r="U141" s="171">
        <f>1-0.408</f>
        <v>0.59200000000000008</v>
      </c>
      <c r="V141" s="110"/>
      <c r="W141" s="118">
        <f t="shared" si="141"/>
        <v>36.25</v>
      </c>
      <c r="X141" s="110"/>
      <c r="Y141" s="117">
        <f t="shared" si="142"/>
        <v>0</v>
      </c>
    </row>
    <row r="143" spans="1:25" x14ac:dyDescent="0.15">
      <c r="A143" s="110" t="s">
        <v>2675</v>
      </c>
      <c r="B143" s="111" t="s">
        <v>2577</v>
      </c>
      <c r="C143" s="110"/>
      <c r="D143" s="111"/>
      <c r="E143" s="111"/>
      <c r="F143" s="111"/>
      <c r="G143" s="111"/>
      <c r="H143" s="111"/>
      <c r="I143" s="110"/>
      <c r="J143" s="117">
        <f>SUM(J139:J142)</f>
        <v>31</v>
      </c>
      <c r="K143" s="117">
        <f t="shared" ref="K143:N143" si="143">SUM(K139:K142)</f>
        <v>1123.75</v>
      </c>
      <c r="L143" s="117">
        <f t="shared" si="143"/>
        <v>972.78</v>
      </c>
      <c r="M143" s="117">
        <f t="shared" si="143"/>
        <v>1324.98</v>
      </c>
      <c r="N143" s="170">
        <f t="shared" si="143"/>
        <v>0</v>
      </c>
      <c r="O143" s="110"/>
      <c r="P143" s="117">
        <f>SUM(K143:N143)</f>
        <v>3421.5099999999998</v>
      </c>
      <c r="Q143" s="117">
        <f>SUM(Q139:Q142)</f>
        <v>6987.3</v>
      </c>
      <c r="R143" s="117">
        <f>SUM(R139:R142)</f>
        <v>3565.79</v>
      </c>
      <c r="S143" s="171">
        <f t="shared" ref="S143:S144" si="144">M143/Q143</f>
        <v>0.18962689450860848</v>
      </c>
      <c r="T143" s="171">
        <f>R143/Q143</f>
        <v>0.5103244457802012</v>
      </c>
      <c r="U143" s="171">
        <f>(((Q139*U139)+Q140*U140)+(Q141*U141))/Q143</f>
        <v>0.59200000000000008</v>
      </c>
      <c r="V143" s="110"/>
      <c r="W143" s="118">
        <f t="shared" ref="W143" si="145">K143/J143</f>
        <v>36.25</v>
      </c>
      <c r="X143" s="159">
        <f>SUM(X139:X142)</f>
        <v>0</v>
      </c>
      <c r="Y143" s="159">
        <f>SUM(Y139:Y142)</f>
        <v>0</v>
      </c>
    </row>
    <row r="144" spans="1:25" x14ac:dyDescent="0.15">
      <c r="A144" s="110" t="s">
        <v>2675</v>
      </c>
      <c r="B144" s="111" t="s">
        <v>2600</v>
      </c>
      <c r="C144" s="110"/>
      <c r="D144" s="111">
        <v>7</v>
      </c>
      <c r="E144" s="111"/>
      <c r="F144" s="111"/>
      <c r="G144" s="111"/>
      <c r="H144" s="111"/>
      <c r="I144" s="110"/>
      <c r="J144" s="117">
        <f>J141</f>
        <v>31</v>
      </c>
      <c r="K144" s="117">
        <f t="shared" ref="K144:N144" si="146">K141</f>
        <v>1123.75</v>
      </c>
      <c r="L144" s="117">
        <f t="shared" si="146"/>
        <v>0</v>
      </c>
      <c r="M144" s="117">
        <f t="shared" si="146"/>
        <v>1324.98</v>
      </c>
      <c r="N144" s="170">
        <f t="shared" si="146"/>
        <v>0</v>
      </c>
      <c r="O144" s="110"/>
      <c r="P144" s="117">
        <f>SUM(K144:N144)</f>
        <v>2448.73</v>
      </c>
      <c r="Q144" s="170">
        <f>Q139+Q140+Q141</f>
        <v>6987.3</v>
      </c>
      <c r="R144" s="170">
        <f>R139+R140</f>
        <v>1964.52</v>
      </c>
      <c r="S144" s="171">
        <f t="shared" si="144"/>
        <v>0.18962689450860848</v>
      </c>
      <c r="T144" s="171">
        <f>R144/Q144</f>
        <v>0.28115581125756728</v>
      </c>
      <c r="U144" s="171">
        <f>((Q139*U139)+(Q140*U140)+(Q141*U141))/Q144</f>
        <v>0.59200000000000008</v>
      </c>
      <c r="V144" s="110"/>
      <c r="W144" s="118">
        <f>K144/J144</f>
        <v>36.25</v>
      </c>
      <c r="X144" s="170">
        <f t="shared" ref="X144:Y144" si="147">X133+X137+X138+X139+X140</f>
        <v>0</v>
      </c>
      <c r="Y144" s="170">
        <f t="shared" si="147"/>
        <v>0</v>
      </c>
    </row>
    <row r="145" spans="1:25" x14ac:dyDescent="0.15">
      <c r="A145" s="172"/>
      <c r="B145" s="173"/>
      <c r="C145" s="172"/>
      <c r="D145" s="173"/>
      <c r="E145" s="173"/>
      <c r="F145" s="173"/>
      <c r="G145" s="173"/>
      <c r="H145" s="173"/>
      <c r="I145" s="172"/>
      <c r="J145" s="174"/>
      <c r="K145" s="175"/>
      <c r="L145" s="175"/>
      <c r="M145" s="175"/>
      <c r="N145" s="175"/>
      <c r="O145" s="172"/>
      <c r="P145" s="175"/>
      <c r="Q145" s="175"/>
      <c r="R145" s="175"/>
      <c r="S145" s="176"/>
      <c r="T145" s="176"/>
      <c r="U145" s="176"/>
      <c r="V145" s="172"/>
      <c r="W145" s="177"/>
      <c r="X145" s="175"/>
      <c r="Y145" s="176"/>
    </row>
    <row r="146" spans="1:25" x14ac:dyDescent="0.15">
      <c r="A146" s="110" t="s">
        <v>2679</v>
      </c>
      <c r="B146" s="111" t="s">
        <v>2591</v>
      </c>
      <c r="C146" s="110"/>
      <c r="D146" s="111">
        <v>2</v>
      </c>
      <c r="E146" s="111"/>
      <c r="F146" s="111"/>
      <c r="G146" s="111"/>
      <c r="H146" s="111" t="s">
        <v>2680</v>
      </c>
      <c r="I146" s="110"/>
      <c r="J146" s="170"/>
      <c r="K146" s="117"/>
      <c r="L146" s="117"/>
      <c r="M146" s="117"/>
      <c r="N146" s="117"/>
      <c r="O146" s="110"/>
      <c r="P146" s="117"/>
      <c r="Q146" s="117">
        <v>111365</v>
      </c>
      <c r="R146" s="117"/>
      <c r="S146" s="117"/>
      <c r="T146" s="171"/>
      <c r="U146" s="171">
        <f>1-0.287</f>
        <v>0.71300000000000008</v>
      </c>
      <c r="V146" s="110"/>
      <c r="W146" s="118"/>
      <c r="X146" s="110"/>
      <c r="Y146" s="117">
        <f t="shared" ref="Y146:Y148" si="148">X146*(1-U146)</f>
        <v>0</v>
      </c>
    </row>
    <row r="147" spans="1:25" x14ac:dyDescent="0.15">
      <c r="A147" s="110" t="s">
        <v>2679</v>
      </c>
      <c r="B147" s="111" t="s">
        <v>2591</v>
      </c>
      <c r="C147" s="110"/>
      <c r="D147" s="111">
        <v>12</v>
      </c>
      <c r="E147" s="111">
        <v>848</v>
      </c>
      <c r="F147" s="111"/>
      <c r="G147" s="111"/>
      <c r="H147" s="111" t="s">
        <v>2681</v>
      </c>
      <c r="I147" s="110"/>
      <c r="J147" s="117">
        <v>10.75</v>
      </c>
      <c r="K147" s="117">
        <f>321.21+144.59</f>
        <v>465.79999999999995</v>
      </c>
      <c r="L147" s="117">
        <v>645.09</v>
      </c>
      <c r="M147" s="117">
        <v>407.35</v>
      </c>
      <c r="N147" s="117"/>
      <c r="O147" s="110"/>
      <c r="P147" s="117">
        <f>SUM(K147:N147)</f>
        <v>1518.2399999999998</v>
      </c>
      <c r="Q147" s="117">
        <v>9842.5</v>
      </c>
      <c r="R147" s="117">
        <f>Q147-P147</f>
        <v>8324.26</v>
      </c>
      <c r="S147" s="171">
        <f t="shared" ref="S147:S148" si="149">M147/Q147</f>
        <v>4.1386842773685546E-2</v>
      </c>
      <c r="T147" s="171">
        <f t="shared" ref="T147:T148" si="150">R147/Q147</f>
        <v>0.84574650749301505</v>
      </c>
      <c r="U147" s="171">
        <f>1-0.287</f>
        <v>0.71300000000000008</v>
      </c>
      <c r="V147" s="110"/>
      <c r="W147" s="118">
        <f t="shared" ref="W147:W148" si="151">K147/J147</f>
        <v>43.330232558139528</v>
      </c>
      <c r="X147" s="110">
        <v>31500</v>
      </c>
      <c r="Y147" s="117">
        <f t="shared" si="148"/>
        <v>9040.4999999999982</v>
      </c>
    </row>
    <row r="148" spans="1:25" x14ac:dyDescent="0.15">
      <c r="A148" s="110" t="s">
        <v>2679</v>
      </c>
      <c r="B148" s="111" t="s">
        <v>2591</v>
      </c>
      <c r="C148" s="110"/>
      <c r="D148" s="111">
        <v>12</v>
      </c>
      <c r="E148" s="111">
        <v>849</v>
      </c>
      <c r="F148" s="111"/>
      <c r="G148" s="111"/>
      <c r="H148" s="111" t="s">
        <v>2681</v>
      </c>
      <c r="I148" s="110"/>
      <c r="J148" s="117">
        <v>10.75</v>
      </c>
      <c r="K148" s="117">
        <f>321.21+144.59</f>
        <v>465.79999999999995</v>
      </c>
      <c r="L148" s="117">
        <v>645.09</v>
      </c>
      <c r="M148" s="117">
        <v>407.35</v>
      </c>
      <c r="N148" s="117"/>
      <c r="O148" s="110"/>
      <c r="P148" s="117">
        <f>SUM(K148:N148)</f>
        <v>1518.2399999999998</v>
      </c>
      <c r="Q148" s="117">
        <v>9842.5</v>
      </c>
      <c r="R148" s="117">
        <f>Q148-P148</f>
        <v>8324.26</v>
      </c>
      <c r="S148" s="171">
        <f t="shared" si="149"/>
        <v>4.1386842773685546E-2</v>
      </c>
      <c r="T148" s="171">
        <f t="shared" si="150"/>
        <v>0.84574650749301505</v>
      </c>
      <c r="U148" s="171">
        <f>1-0.287</f>
        <v>0.71300000000000008</v>
      </c>
      <c r="V148" s="110"/>
      <c r="W148" s="118">
        <f t="shared" si="151"/>
        <v>43.330232558139528</v>
      </c>
      <c r="X148" s="110"/>
      <c r="Y148" s="117">
        <f t="shared" si="148"/>
        <v>0</v>
      </c>
    </row>
    <row r="149" spans="1:25" x14ac:dyDescent="0.15">
      <c r="A149" s="110"/>
      <c r="B149" s="111"/>
      <c r="C149" s="110"/>
      <c r="D149" s="111"/>
      <c r="E149" s="111"/>
      <c r="F149" s="111"/>
      <c r="G149" s="111"/>
      <c r="H149" s="111"/>
      <c r="I149" s="110"/>
      <c r="J149" s="117"/>
      <c r="K149" s="117"/>
      <c r="L149" s="117"/>
      <c r="M149" s="117"/>
      <c r="N149" s="117"/>
      <c r="O149" s="110"/>
      <c r="P149" s="117"/>
      <c r="Q149" s="117"/>
      <c r="R149" s="117"/>
      <c r="S149" s="117"/>
      <c r="T149" s="171"/>
      <c r="U149" s="171"/>
      <c r="V149" s="110"/>
      <c r="W149" s="118"/>
      <c r="X149" s="110"/>
      <c r="Y149" s="110"/>
    </row>
    <row r="150" spans="1:25" ht="12" thickBot="1" x14ac:dyDescent="0.2">
      <c r="A150" s="110" t="s">
        <v>2679</v>
      </c>
      <c r="B150" s="111" t="s">
        <v>2577</v>
      </c>
      <c r="C150" s="110"/>
      <c r="D150" s="111"/>
      <c r="E150" s="111"/>
      <c r="F150" s="111"/>
      <c r="G150" s="111"/>
      <c r="H150" s="111"/>
      <c r="I150" s="110"/>
      <c r="J150" s="180">
        <f>SUM(J142:J148)</f>
        <v>83.5</v>
      </c>
      <c r="K150" s="181">
        <f t="shared" ref="K150:M150" si="152">SUM(K142:K148)</f>
        <v>3179.1000000000004</v>
      </c>
      <c r="L150" s="181">
        <f t="shared" si="152"/>
        <v>2262.96</v>
      </c>
      <c r="M150" s="181">
        <f t="shared" si="152"/>
        <v>3464.66</v>
      </c>
      <c r="N150" s="117"/>
      <c r="O150" s="110"/>
      <c r="P150" s="181">
        <f>SUM(P145:P147)</f>
        <v>1518.2399999999998</v>
      </c>
      <c r="Q150" s="117">
        <f>SUM(Q146:Q149)</f>
        <v>131050</v>
      </c>
      <c r="R150" s="117">
        <f>SUM(R142:R149)</f>
        <v>22178.83</v>
      </c>
      <c r="S150" s="171">
        <f t="shared" ref="S150" si="153">M150/Q150</f>
        <v>2.6437695536054941E-2</v>
      </c>
      <c r="T150" s="171">
        <f>R150/Q150</f>
        <v>0.16923945059137735</v>
      </c>
      <c r="U150" s="171">
        <f>((Q146*U146)+(Q147*U147)+(Q148*U148))/Q150</f>
        <v>0.71300000000000008</v>
      </c>
      <c r="V150" s="110"/>
      <c r="W150" s="118">
        <f t="shared" ref="W150" si="154">K150/J150</f>
        <v>38.073053892215576</v>
      </c>
      <c r="X150" s="159">
        <f>SUM(X146:X149)</f>
        <v>31500</v>
      </c>
      <c r="Y150" s="159">
        <f>SUM(Y146:Y149)</f>
        <v>9040.4999999999982</v>
      </c>
    </row>
    <row r="151" spans="1:25" x14ac:dyDescent="0.15">
      <c r="A151" s="172"/>
      <c r="B151" s="173"/>
      <c r="C151" s="172"/>
      <c r="D151" s="173"/>
      <c r="E151" s="173"/>
      <c r="F151" s="173"/>
      <c r="G151" s="173"/>
      <c r="H151" s="173"/>
      <c r="I151" s="172"/>
      <c r="J151" s="174"/>
      <c r="K151" s="175"/>
      <c r="L151" s="175"/>
      <c r="M151" s="175"/>
      <c r="N151" s="175"/>
      <c r="O151" s="172"/>
      <c r="P151" s="175"/>
      <c r="Q151" s="175"/>
      <c r="R151" s="175"/>
      <c r="S151" s="176"/>
      <c r="T151" s="176"/>
      <c r="U151" s="176"/>
      <c r="V151" s="172"/>
      <c r="W151" s="177"/>
      <c r="X151" s="175"/>
      <c r="Y151" s="176"/>
    </row>
    <row r="152" spans="1:25" x14ac:dyDescent="0.15">
      <c r="A152" s="110" t="s">
        <v>2682</v>
      </c>
      <c r="B152" s="111"/>
      <c r="C152" s="110"/>
      <c r="D152" s="111">
        <v>8</v>
      </c>
      <c r="E152" s="111"/>
      <c r="F152" s="111"/>
      <c r="G152" s="111"/>
      <c r="H152" s="111" t="s">
        <v>2683</v>
      </c>
      <c r="I152" s="110"/>
      <c r="J152" s="170"/>
      <c r="K152" s="117"/>
      <c r="L152" s="117"/>
      <c r="M152" s="117"/>
      <c r="N152" s="117"/>
      <c r="O152" s="110"/>
      <c r="P152" s="117"/>
      <c r="Q152" s="117">
        <v>86860</v>
      </c>
      <c r="R152" s="117"/>
      <c r="S152" s="117"/>
      <c r="T152" s="171"/>
      <c r="U152" s="171"/>
      <c r="V152" s="110"/>
      <c r="W152" s="118"/>
      <c r="X152" s="110"/>
      <c r="Y152" s="110"/>
    </row>
    <row r="153" spans="1:25" x14ac:dyDescent="0.15">
      <c r="A153" s="172"/>
      <c r="B153" s="173"/>
      <c r="C153" s="172"/>
      <c r="D153" s="173"/>
      <c r="E153" s="173"/>
      <c r="F153" s="173"/>
      <c r="G153" s="173"/>
      <c r="H153" s="173"/>
      <c r="I153" s="172"/>
      <c r="J153" s="174"/>
      <c r="K153" s="175"/>
      <c r="L153" s="175"/>
      <c r="M153" s="175"/>
      <c r="N153" s="175"/>
      <c r="O153" s="172"/>
      <c r="P153" s="175"/>
      <c r="Q153" s="175"/>
      <c r="R153" s="175"/>
      <c r="S153" s="176"/>
      <c r="T153" s="176"/>
      <c r="U153" s="176"/>
      <c r="V153" s="172"/>
      <c r="W153" s="177"/>
      <c r="X153" s="175"/>
      <c r="Y153" s="176"/>
    </row>
    <row r="154" spans="1:25" x14ac:dyDescent="0.15">
      <c r="A154" s="110" t="s">
        <v>2684</v>
      </c>
      <c r="B154" s="111" t="s">
        <v>37</v>
      </c>
      <c r="C154" s="110"/>
      <c r="D154" s="111">
        <v>12</v>
      </c>
      <c r="E154" s="111">
        <v>748</v>
      </c>
      <c r="F154" s="15">
        <v>159780</v>
      </c>
      <c r="G154" s="16">
        <v>116121129</v>
      </c>
      <c r="H154" s="111" t="s">
        <v>2685</v>
      </c>
      <c r="I154" s="110"/>
      <c r="J154" s="170">
        <f>16.5+29+7+5.5</f>
        <v>58</v>
      </c>
      <c r="K154" s="117">
        <f>1486.95+669.24</f>
        <v>2156.19</v>
      </c>
      <c r="L154" s="117"/>
      <c r="M154" s="117">
        <v>30815.47</v>
      </c>
      <c r="N154" s="117"/>
      <c r="O154" s="110"/>
      <c r="P154" s="117">
        <f>SUM(K154:N154)</f>
        <v>32971.660000000003</v>
      </c>
      <c r="Q154" s="117">
        <v>111205.88</v>
      </c>
      <c r="R154" s="117">
        <f t="shared" ref="R154:R163" si="155">Q154-P154</f>
        <v>78234.22</v>
      </c>
      <c r="S154" s="171">
        <f t="shared" ref="S154:S163" si="156">M154/Q154</f>
        <v>0.27710288340868305</v>
      </c>
      <c r="T154" s="171">
        <f t="shared" ref="T154:T163" si="157">R154/Q154</f>
        <v>0.70350794400439975</v>
      </c>
      <c r="U154" s="171">
        <f t="shared" ref="U154:U159" si="158">1-0.408</f>
        <v>0.59200000000000008</v>
      </c>
      <c r="V154" s="110"/>
      <c r="W154" s="118">
        <f t="shared" ref="W154:W163" si="159">K154/J154</f>
        <v>37.175689655172413</v>
      </c>
      <c r="X154" s="110">
        <v>336000</v>
      </c>
      <c r="Y154" s="117">
        <f t="shared" ref="Y154:Y163" si="160">X154*(1-U154)</f>
        <v>137087.99999999997</v>
      </c>
    </row>
    <row r="155" spans="1:25" x14ac:dyDescent="0.15">
      <c r="A155" s="110" t="s">
        <v>2684</v>
      </c>
      <c r="B155" s="111" t="s">
        <v>37</v>
      </c>
      <c r="C155" s="110"/>
      <c r="D155" s="111">
        <v>12</v>
      </c>
      <c r="E155" s="111">
        <v>749</v>
      </c>
      <c r="F155" s="15">
        <v>159780</v>
      </c>
      <c r="G155" s="16">
        <v>140000119</v>
      </c>
      <c r="H155" s="111" t="s">
        <v>117</v>
      </c>
      <c r="I155" s="110"/>
      <c r="J155" s="170">
        <f>15.5+73+2+4.5</f>
        <v>95</v>
      </c>
      <c r="K155" s="117">
        <f>2352.73+1058.91</f>
        <v>3411.6400000000003</v>
      </c>
      <c r="L155" s="117"/>
      <c r="M155" s="117">
        <v>34627.589999999997</v>
      </c>
      <c r="N155" s="117"/>
      <c r="O155" s="110"/>
      <c r="P155" s="117">
        <f>SUM(K155:N155)</f>
        <v>38039.229999999996</v>
      </c>
      <c r="Q155" s="117">
        <v>161227</v>
      </c>
      <c r="R155" s="117">
        <f t="shared" si="155"/>
        <v>123187.77</v>
      </c>
      <c r="S155" s="171">
        <f t="shared" si="156"/>
        <v>0.21477537881372225</v>
      </c>
      <c r="T155" s="171">
        <f t="shared" si="157"/>
        <v>0.76406414558355618</v>
      </c>
      <c r="U155" s="171">
        <f t="shared" si="158"/>
        <v>0.59200000000000008</v>
      </c>
      <c r="V155" s="110"/>
      <c r="W155" s="118">
        <f t="shared" si="159"/>
        <v>35.912000000000006</v>
      </c>
      <c r="X155" s="110"/>
      <c r="Y155" s="117">
        <f t="shared" si="160"/>
        <v>0</v>
      </c>
    </row>
    <row r="156" spans="1:25" x14ac:dyDescent="0.15">
      <c r="A156" s="110" t="s">
        <v>2684</v>
      </c>
      <c r="B156" s="111" t="s">
        <v>37</v>
      </c>
      <c r="C156" s="110"/>
      <c r="D156" s="111">
        <v>12</v>
      </c>
      <c r="E156" s="111">
        <v>750</v>
      </c>
      <c r="F156" s="15">
        <v>159780</v>
      </c>
      <c r="G156" s="16">
        <v>220100119</v>
      </c>
      <c r="H156" s="111" t="s">
        <v>74</v>
      </c>
      <c r="I156" s="110"/>
      <c r="J156" s="170"/>
      <c r="K156" s="117"/>
      <c r="L156" s="117"/>
      <c r="M156" s="117">
        <v>6222.07</v>
      </c>
      <c r="N156" s="117"/>
      <c r="O156" s="110"/>
      <c r="P156" s="117">
        <f t="shared" ref="P156:P163" si="161">SUM(K156:N156)</f>
        <v>6222.07</v>
      </c>
      <c r="Q156" s="117">
        <v>9800</v>
      </c>
      <c r="R156" s="117">
        <f t="shared" si="155"/>
        <v>3577.9300000000003</v>
      </c>
      <c r="S156" s="171">
        <f t="shared" si="156"/>
        <v>0.63490510204081629</v>
      </c>
      <c r="T156" s="171">
        <f t="shared" si="157"/>
        <v>0.36509489795918371</v>
      </c>
      <c r="U156" s="171">
        <f t="shared" si="158"/>
        <v>0.59200000000000008</v>
      </c>
      <c r="V156" s="110"/>
      <c r="W156" s="118" t="e">
        <f t="shared" si="159"/>
        <v>#DIV/0!</v>
      </c>
      <c r="X156" s="110"/>
      <c r="Y156" s="117">
        <f t="shared" si="160"/>
        <v>0</v>
      </c>
    </row>
    <row r="157" spans="1:25" x14ac:dyDescent="0.15">
      <c r="A157" s="110" t="s">
        <v>2684</v>
      </c>
      <c r="B157" s="111" t="s">
        <v>37</v>
      </c>
      <c r="C157" s="110"/>
      <c r="D157" s="111">
        <v>12</v>
      </c>
      <c r="E157" s="111">
        <v>751</v>
      </c>
      <c r="F157" s="15">
        <v>159780</v>
      </c>
      <c r="G157" s="16">
        <v>210010119</v>
      </c>
      <c r="H157" s="111" t="s">
        <v>76</v>
      </c>
      <c r="I157" s="110"/>
      <c r="J157" s="170"/>
      <c r="K157" s="117"/>
      <c r="L157" s="117"/>
      <c r="M157" s="117">
        <v>1128.3</v>
      </c>
      <c r="N157" s="117"/>
      <c r="O157" s="110"/>
      <c r="P157" s="117">
        <f t="shared" si="161"/>
        <v>1128.3</v>
      </c>
      <c r="Q157" s="117">
        <v>10000</v>
      </c>
      <c r="R157" s="117">
        <f t="shared" si="155"/>
        <v>8871.7000000000007</v>
      </c>
      <c r="S157" s="171">
        <f t="shared" si="156"/>
        <v>0.11283</v>
      </c>
      <c r="T157" s="171">
        <f t="shared" si="157"/>
        <v>0.88717000000000013</v>
      </c>
      <c r="U157" s="171">
        <f t="shared" si="158"/>
        <v>0.59200000000000008</v>
      </c>
      <c r="V157" s="110"/>
      <c r="W157" s="118" t="e">
        <f t="shared" si="159"/>
        <v>#DIV/0!</v>
      </c>
      <c r="X157" s="110"/>
      <c r="Y157" s="117">
        <f t="shared" si="160"/>
        <v>0</v>
      </c>
    </row>
    <row r="158" spans="1:25" x14ac:dyDescent="0.15">
      <c r="A158" s="110" t="s">
        <v>2684</v>
      </c>
      <c r="B158" s="111" t="s">
        <v>37</v>
      </c>
      <c r="C158" s="110"/>
      <c r="D158" s="111">
        <v>12</v>
      </c>
      <c r="E158" s="111">
        <v>752</v>
      </c>
      <c r="F158" s="15">
        <v>159780</v>
      </c>
      <c r="G158" s="16">
        <v>211000119</v>
      </c>
      <c r="H158" s="111" t="s">
        <v>2686</v>
      </c>
      <c r="I158" s="110"/>
      <c r="J158" s="170"/>
      <c r="K158" s="117"/>
      <c r="L158" s="117"/>
      <c r="M158" s="117">
        <v>16540.03</v>
      </c>
      <c r="N158" s="117"/>
      <c r="O158" s="110"/>
      <c r="P158" s="117">
        <f t="shared" si="161"/>
        <v>16540.03</v>
      </c>
      <c r="Q158" s="117">
        <v>20000</v>
      </c>
      <c r="R158" s="117">
        <f t="shared" si="155"/>
        <v>3459.9700000000012</v>
      </c>
      <c r="S158" s="171">
        <f t="shared" si="156"/>
        <v>0.82700149999999994</v>
      </c>
      <c r="T158" s="171">
        <f t="shared" si="157"/>
        <v>0.17299850000000006</v>
      </c>
      <c r="U158" s="171">
        <f t="shared" si="158"/>
        <v>0.59200000000000008</v>
      </c>
      <c r="V158" s="110"/>
      <c r="W158" s="118" t="e">
        <f t="shared" si="159"/>
        <v>#DIV/0!</v>
      </c>
      <c r="X158" s="110"/>
      <c r="Y158" s="117">
        <f t="shared" si="160"/>
        <v>0</v>
      </c>
    </row>
    <row r="159" spans="1:25" x14ac:dyDescent="0.15">
      <c r="A159" s="110" t="s">
        <v>2684</v>
      </c>
      <c r="B159" s="111" t="s">
        <v>37</v>
      </c>
      <c r="C159" s="110"/>
      <c r="D159" s="111">
        <v>12</v>
      </c>
      <c r="E159" s="111">
        <v>753</v>
      </c>
      <c r="F159" s="15">
        <v>159780</v>
      </c>
      <c r="G159" s="16">
        <v>322000509</v>
      </c>
      <c r="H159" s="111" t="s">
        <v>2687</v>
      </c>
      <c r="I159" s="110"/>
      <c r="J159" s="170">
        <f>15.5+18.25+30</f>
        <v>63.75</v>
      </c>
      <c r="K159" s="117">
        <f>1682.57+757.23</f>
        <v>2439.8000000000002</v>
      </c>
      <c r="L159" s="117"/>
      <c r="M159" s="117">
        <v>46295.05</v>
      </c>
      <c r="N159" s="117"/>
      <c r="O159" s="110"/>
      <c r="P159" s="117">
        <f t="shared" si="161"/>
        <v>48734.850000000006</v>
      </c>
      <c r="Q159" s="117">
        <v>96115.55</v>
      </c>
      <c r="R159" s="117">
        <f t="shared" si="155"/>
        <v>47380.7</v>
      </c>
      <c r="S159" s="171">
        <f t="shared" si="156"/>
        <v>0.48166035568646282</v>
      </c>
      <c r="T159" s="171">
        <f t="shared" si="157"/>
        <v>0.49295561436208807</v>
      </c>
      <c r="U159" s="171">
        <f t="shared" si="158"/>
        <v>0.59200000000000008</v>
      </c>
      <c r="V159" s="110"/>
      <c r="W159" s="118">
        <f t="shared" si="159"/>
        <v>38.27137254901961</v>
      </c>
      <c r="X159" s="110"/>
      <c r="Y159" s="117">
        <f t="shared" si="160"/>
        <v>0</v>
      </c>
    </row>
    <row r="160" spans="1:25" x14ac:dyDescent="0.15">
      <c r="A160" s="110" t="s">
        <v>2684</v>
      </c>
      <c r="B160" s="111" t="s">
        <v>47</v>
      </c>
      <c r="C160" s="110"/>
      <c r="D160" s="111">
        <v>12</v>
      </c>
      <c r="E160" s="111">
        <v>754</v>
      </c>
      <c r="F160" s="15">
        <v>159780</v>
      </c>
      <c r="G160" s="16">
        <v>516121129</v>
      </c>
      <c r="H160" s="111" t="s">
        <v>92</v>
      </c>
      <c r="I160" s="110"/>
      <c r="J160" s="170">
        <v>72</v>
      </c>
      <c r="K160" s="117">
        <f>2225.52+1001.52</f>
        <v>3227.04</v>
      </c>
      <c r="L160" s="117">
        <v>983.26</v>
      </c>
      <c r="M160" s="117">
        <v>39.520000000000003</v>
      </c>
      <c r="N160" s="117"/>
      <c r="O160" s="110"/>
      <c r="P160" s="117">
        <f t="shared" si="161"/>
        <v>4249.8200000000006</v>
      </c>
      <c r="Q160" s="117">
        <v>12368.75</v>
      </c>
      <c r="R160" s="117">
        <f t="shared" si="155"/>
        <v>8118.9299999999994</v>
      </c>
      <c r="S160" s="171">
        <f t="shared" si="156"/>
        <v>3.1951490651844368E-3</v>
      </c>
      <c r="T160" s="171">
        <f t="shared" si="157"/>
        <v>0.65640667003537134</v>
      </c>
      <c r="U160" s="171">
        <f>1-0.529</f>
        <v>0.47099999999999997</v>
      </c>
      <c r="V160" s="110"/>
      <c r="W160" s="118">
        <f t="shared" si="159"/>
        <v>44.82</v>
      </c>
      <c r="X160" s="110">
        <v>20000</v>
      </c>
      <c r="Y160" s="117">
        <f t="shared" si="160"/>
        <v>10580</v>
      </c>
    </row>
    <row r="161" spans="1:25" x14ac:dyDescent="0.15">
      <c r="A161" s="110" t="s">
        <v>2684</v>
      </c>
      <c r="B161" s="111" t="s">
        <v>47</v>
      </c>
      <c r="C161" s="110"/>
      <c r="D161" s="111">
        <v>12</v>
      </c>
      <c r="E161" s="111">
        <v>755</v>
      </c>
      <c r="F161" s="15">
        <v>159780</v>
      </c>
      <c r="G161" s="16">
        <v>540000119</v>
      </c>
      <c r="H161" s="111" t="s">
        <v>92</v>
      </c>
      <c r="I161" s="110"/>
      <c r="J161" s="170">
        <v>288</v>
      </c>
      <c r="K161" s="117">
        <f>8902.15+4006.15</f>
        <v>12908.3</v>
      </c>
      <c r="L161" s="117">
        <v>10268.67</v>
      </c>
      <c r="M161" s="117">
        <f>-68.74+2283.84</f>
        <v>2215.1000000000004</v>
      </c>
      <c r="N161" s="117"/>
      <c r="O161" s="110"/>
      <c r="P161" s="117">
        <f t="shared" si="161"/>
        <v>25392.07</v>
      </c>
      <c r="Q161" s="117">
        <v>37191.25</v>
      </c>
      <c r="R161" s="117">
        <f t="shared" si="155"/>
        <v>11799.18</v>
      </c>
      <c r="S161" s="171">
        <f t="shared" si="156"/>
        <v>5.955970826471281E-2</v>
      </c>
      <c r="T161" s="171">
        <f t="shared" si="157"/>
        <v>0.31725688165899235</v>
      </c>
      <c r="U161" s="171">
        <f>1-0.529</f>
        <v>0.47099999999999997</v>
      </c>
      <c r="V161" s="110"/>
      <c r="W161" s="118">
        <f t="shared" si="159"/>
        <v>44.820486111111109</v>
      </c>
      <c r="X161" s="110"/>
      <c r="Y161" s="117">
        <f t="shared" si="160"/>
        <v>0</v>
      </c>
    </row>
    <row r="162" spans="1:25" x14ac:dyDescent="0.15">
      <c r="A162" s="110" t="s">
        <v>2684</v>
      </c>
      <c r="B162" s="111" t="s">
        <v>47</v>
      </c>
      <c r="C162" s="110"/>
      <c r="D162" s="111">
        <v>12</v>
      </c>
      <c r="E162" s="111">
        <v>758</v>
      </c>
      <c r="F162" s="15">
        <v>159780</v>
      </c>
      <c r="G162" s="17">
        <v>616420129</v>
      </c>
      <c r="H162" s="111" t="s">
        <v>92</v>
      </c>
      <c r="I162" s="110"/>
      <c r="J162" s="170">
        <v>16</v>
      </c>
      <c r="K162" s="117">
        <f>628.48+282.88</f>
        <v>911.36</v>
      </c>
      <c r="L162" s="117">
        <v>3339</v>
      </c>
      <c r="M162" s="117">
        <f>49.68+1035.6</f>
        <v>1085.28</v>
      </c>
      <c r="N162" s="117"/>
      <c r="O162" s="110"/>
      <c r="P162" s="117">
        <f t="shared" si="161"/>
        <v>5335.6399999999994</v>
      </c>
      <c r="Q162" s="117">
        <v>5000</v>
      </c>
      <c r="R162" s="117">
        <f t="shared" si="155"/>
        <v>-335.63999999999942</v>
      </c>
      <c r="S162" s="171">
        <f t="shared" si="156"/>
        <v>0.217056</v>
      </c>
      <c r="T162" s="171">
        <f t="shared" si="157"/>
        <v>-6.7127999999999882E-2</v>
      </c>
      <c r="U162" s="171">
        <f>1-0.529</f>
        <v>0.47099999999999997</v>
      </c>
      <c r="V162" s="110"/>
      <c r="W162" s="118">
        <f t="shared" si="159"/>
        <v>56.96</v>
      </c>
      <c r="X162" s="110"/>
      <c r="Y162" s="117">
        <f t="shared" si="160"/>
        <v>0</v>
      </c>
    </row>
    <row r="163" spans="1:25" x14ac:dyDescent="0.15">
      <c r="A163" s="110" t="s">
        <v>2684</v>
      </c>
      <c r="B163" s="111" t="s">
        <v>47</v>
      </c>
      <c r="C163" s="110"/>
      <c r="D163" s="111">
        <v>12</v>
      </c>
      <c r="E163" s="111">
        <v>759</v>
      </c>
      <c r="F163" s="15">
        <v>159780</v>
      </c>
      <c r="G163" s="17">
        <v>646420129</v>
      </c>
      <c r="H163" s="111" t="s">
        <v>92</v>
      </c>
      <c r="I163" s="110"/>
      <c r="J163" s="170">
        <v>16</v>
      </c>
      <c r="K163" s="117">
        <f>628.48+282.88</f>
        <v>911.36</v>
      </c>
      <c r="L163" s="117">
        <v>3507.55</v>
      </c>
      <c r="M163" s="117">
        <f>49.67+2148</f>
        <v>2197.67</v>
      </c>
      <c r="N163" s="117"/>
      <c r="O163" s="110"/>
      <c r="P163" s="117">
        <f t="shared" si="161"/>
        <v>6616.58</v>
      </c>
      <c r="Q163" s="117">
        <v>5000</v>
      </c>
      <c r="R163" s="117">
        <f t="shared" si="155"/>
        <v>-1616.58</v>
      </c>
      <c r="S163" s="171">
        <f t="shared" si="156"/>
        <v>0.43953400000000004</v>
      </c>
      <c r="T163" s="171">
        <f t="shared" si="157"/>
        <v>-0.32331599999999999</v>
      </c>
      <c r="U163" s="171">
        <f>1-0.529</f>
        <v>0.47099999999999997</v>
      </c>
      <c r="V163" s="110"/>
      <c r="W163" s="118">
        <f t="shared" si="159"/>
        <v>56.96</v>
      </c>
      <c r="X163" s="110"/>
      <c r="Y163" s="117">
        <f t="shared" si="160"/>
        <v>0</v>
      </c>
    </row>
    <row r="165" spans="1:25" x14ac:dyDescent="0.15">
      <c r="A165" s="110" t="s">
        <v>2684</v>
      </c>
      <c r="B165" s="111" t="s">
        <v>2577</v>
      </c>
      <c r="C165" s="110"/>
      <c r="D165" s="111">
        <v>12</v>
      </c>
      <c r="E165" s="111"/>
      <c r="F165" s="111"/>
      <c r="G165" s="111"/>
      <c r="H165" s="111"/>
      <c r="I165" s="110"/>
      <c r="J165" s="117">
        <f>SUM(J154:J163)</f>
        <v>608.75</v>
      </c>
      <c r="K165" s="117">
        <f t="shared" ref="K165:N165" si="162">SUM(K154:K163)</f>
        <v>25965.690000000002</v>
      </c>
      <c r="L165" s="117">
        <f t="shared" si="162"/>
        <v>18098.48</v>
      </c>
      <c r="M165" s="117">
        <f t="shared" si="162"/>
        <v>141166.08000000002</v>
      </c>
      <c r="N165" s="170">
        <f t="shared" si="162"/>
        <v>0</v>
      </c>
      <c r="O165" s="110"/>
      <c r="P165" s="117">
        <f>SUM(K165:N165)</f>
        <v>185230.25</v>
      </c>
      <c r="Q165" s="117">
        <f>SUM(Q154:Q164)</f>
        <v>467908.43</v>
      </c>
      <c r="R165" s="117">
        <f>SUM(R154:R164)</f>
        <v>282678.17999999993</v>
      </c>
      <c r="S165" s="171">
        <f t="shared" ref="S165:S167" si="163">M165/Q165</f>
        <v>0.30169595362921764</v>
      </c>
      <c r="T165" s="171">
        <f>R165/Q165</f>
        <v>0.60413141092585132</v>
      </c>
      <c r="U165" s="171">
        <f>((Q154*U154)+(Q155*U155)+(Q156*U156)+(Q157*U157)+(Q158*U158)+(Q159*U159)+(Q160*U160)+(Q161*U161)+(Q162*U162)+(Q163*U163))/Q165</f>
        <v>0.57659792656439224</v>
      </c>
      <c r="V165" s="110"/>
      <c r="W165" s="118">
        <f t="shared" ref="W165:W166" si="164">K165/J165</f>
        <v>42.654110882956886</v>
      </c>
      <c r="X165" s="159">
        <f>SUM(X154:X164)</f>
        <v>356000</v>
      </c>
      <c r="Y165" s="159">
        <f>SUM(Y154:Y164)</f>
        <v>147667.99999999997</v>
      </c>
    </row>
    <row r="166" spans="1:25" x14ac:dyDescent="0.15">
      <c r="A166" s="110" t="s">
        <v>2684</v>
      </c>
      <c r="B166" s="111" t="s">
        <v>55</v>
      </c>
      <c r="C166" s="110"/>
      <c r="D166" s="111">
        <v>12</v>
      </c>
      <c r="E166" s="111">
        <v>762</v>
      </c>
      <c r="F166" s="15">
        <v>159780</v>
      </c>
      <c r="G166" s="111" t="s">
        <v>56</v>
      </c>
      <c r="H166" s="111"/>
      <c r="I166" s="110"/>
      <c r="J166" s="117">
        <f>4.5+13.5</f>
        <v>18</v>
      </c>
      <c r="K166" s="117">
        <f>492.93+221.9</f>
        <v>714.83</v>
      </c>
      <c r="L166" s="117">
        <v>9236.23</v>
      </c>
      <c r="M166" s="117">
        <v>1010.84</v>
      </c>
      <c r="N166" s="117">
        <v>0</v>
      </c>
      <c r="O166" s="110"/>
      <c r="P166" s="117">
        <f>SUM(K166:N166)</f>
        <v>10961.9</v>
      </c>
      <c r="Q166" s="117">
        <v>10000</v>
      </c>
      <c r="R166" s="117">
        <f t="shared" ref="R166" si="165">Q166-P166</f>
        <v>-961.89999999999964</v>
      </c>
      <c r="S166" s="171">
        <f t="shared" si="163"/>
        <v>0.10108400000000001</v>
      </c>
      <c r="T166" s="171">
        <f t="shared" ref="T166:T167" si="166">R166/Q166</f>
        <v>-9.618999999999997E-2</v>
      </c>
      <c r="U166" s="171">
        <v>0</v>
      </c>
      <c r="V166" s="110"/>
      <c r="W166" s="118">
        <f t="shared" si="164"/>
        <v>39.712777777777781</v>
      </c>
      <c r="X166" s="110"/>
      <c r="Y166" s="110"/>
    </row>
    <row r="167" spans="1:25" x14ac:dyDescent="0.15">
      <c r="A167" s="110" t="s">
        <v>2684</v>
      </c>
      <c r="B167" s="111" t="s">
        <v>2600</v>
      </c>
      <c r="C167" s="110"/>
      <c r="D167" s="111">
        <v>12</v>
      </c>
      <c r="E167" s="111"/>
      <c r="F167" s="111"/>
      <c r="G167" s="111"/>
      <c r="H167" s="111"/>
      <c r="I167" s="110"/>
      <c r="J167" s="117">
        <f>J154+J155+J156+J157+J158+J159</f>
        <v>216.75</v>
      </c>
      <c r="K167" s="117">
        <f>K154+K155+K156+K157+K158+K159</f>
        <v>8007.63</v>
      </c>
      <c r="L167" s="117">
        <f t="shared" ref="L167" si="167">L154+L155+L156+L157+L158+L159</f>
        <v>0</v>
      </c>
      <c r="M167" s="117">
        <f>M154+M155+M156+M157+M158+M159</f>
        <v>135628.51</v>
      </c>
      <c r="N167" s="117"/>
      <c r="O167" s="110"/>
      <c r="P167" s="117">
        <f>SUM(K167:N167)</f>
        <v>143636.14000000001</v>
      </c>
      <c r="Q167" s="117">
        <f>Q154+Q155+Q156+Q157+Q158+Q159</f>
        <v>408348.43</v>
      </c>
      <c r="R167" s="117">
        <f>R154+R155+R156+R157+R158+R159</f>
        <v>264712.28999999998</v>
      </c>
      <c r="S167" s="171">
        <f t="shared" si="163"/>
        <v>0.33213917340149934</v>
      </c>
      <c r="T167" s="171">
        <f t="shared" si="166"/>
        <v>0.6482510291517467</v>
      </c>
      <c r="U167" s="171">
        <f>((Q154*U154)+(Q155*U155)+(Q156*U156)+(Q157*U157)+(Q158*U158)+(Q159*U159))/Q167</f>
        <v>0.59200000000000008</v>
      </c>
      <c r="V167" s="110"/>
      <c r="W167" s="118">
        <f>K167/J167</f>
        <v>36.944083044982698</v>
      </c>
      <c r="X167" s="117">
        <f>X154+X155+X156+X157+X158+X159</f>
        <v>336000</v>
      </c>
      <c r="Y167" s="117">
        <f>Y154+Y155+Y156+Y157+Y158+Y159</f>
        <v>137087.99999999997</v>
      </c>
    </row>
    <row r="168" spans="1:25" x14ac:dyDescent="0.15">
      <c r="A168" s="172"/>
      <c r="B168" s="173"/>
      <c r="C168" s="172"/>
      <c r="D168" s="173"/>
      <c r="E168" s="173"/>
      <c r="F168" s="173"/>
      <c r="G168" s="173"/>
      <c r="H168" s="173"/>
      <c r="I168" s="172"/>
      <c r="J168" s="174"/>
      <c r="K168" s="175"/>
      <c r="L168" s="175"/>
      <c r="M168" s="175"/>
      <c r="N168" s="175"/>
      <c r="O168" s="172"/>
      <c r="P168" s="175"/>
      <c r="Q168" s="175"/>
      <c r="R168" s="175"/>
      <c r="S168" s="176"/>
      <c r="T168" s="176"/>
      <c r="U168" s="176"/>
      <c r="V168" s="172"/>
      <c r="W168" s="177"/>
      <c r="X168" s="175"/>
      <c r="Y168" s="176"/>
    </row>
    <row r="169" spans="1:25" x14ac:dyDescent="0.15">
      <c r="A169" s="110" t="s">
        <v>2688</v>
      </c>
      <c r="B169" s="111" t="s">
        <v>37</v>
      </c>
      <c r="C169" s="110"/>
      <c r="D169" s="111">
        <v>12</v>
      </c>
      <c r="E169" s="111">
        <v>806</v>
      </c>
      <c r="F169" s="15">
        <v>159778</v>
      </c>
      <c r="G169" s="16">
        <v>110121129</v>
      </c>
      <c r="H169" s="111" t="s">
        <v>2632</v>
      </c>
      <c r="I169" s="110"/>
      <c r="J169" s="170">
        <f>25+36</f>
        <v>61</v>
      </c>
      <c r="K169" s="117">
        <f>1590.65+715.83</f>
        <v>2306.48</v>
      </c>
      <c r="L169" s="117"/>
      <c r="M169" s="117">
        <v>31886.13</v>
      </c>
      <c r="N169" s="117"/>
      <c r="O169" s="110"/>
      <c r="P169" s="117">
        <f>SUM(K169:N169)</f>
        <v>34192.61</v>
      </c>
      <c r="Q169" s="117">
        <v>179027.09</v>
      </c>
      <c r="R169" s="117">
        <f t="shared" ref="R169:R176" si="168">Q169-P169</f>
        <v>144834.47999999998</v>
      </c>
      <c r="S169" s="171">
        <f t="shared" ref="S169:S176" si="169">M169/Q169</f>
        <v>0.17810784948803002</v>
      </c>
      <c r="T169" s="171">
        <f t="shared" ref="T169:T176" si="170">R169/Q169</f>
        <v>0.80900873716932997</v>
      </c>
      <c r="U169" s="171">
        <f t="shared" ref="U169:U175" si="171">1-0.408</f>
        <v>0.59200000000000008</v>
      </c>
      <c r="V169" s="110"/>
      <c r="W169" s="118">
        <f t="shared" ref="W169:W179" si="172">K169/J169</f>
        <v>37.811147540983605</v>
      </c>
      <c r="X169" s="117">
        <v>573417</v>
      </c>
      <c r="Y169" s="117">
        <f t="shared" ref="Y169:Y178" si="173">X169*(1-U169)</f>
        <v>233954.13599999994</v>
      </c>
    </row>
    <row r="170" spans="1:25" x14ac:dyDescent="0.15">
      <c r="A170" s="110" t="s">
        <v>2688</v>
      </c>
      <c r="B170" s="111" t="s">
        <v>37</v>
      </c>
      <c r="C170" s="110"/>
      <c r="D170" s="111">
        <v>12</v>
      </c>
      <c r="E170" s="111">
        <v>807</v>
      </c>
      <c r="F170" s="15">
        <v>159778</v>
      </c>
      <c r="G170" s="16">
        <v>220100119</v>
      </c>
      <c r="H170" s="111" t="s">
        <v>2689</v>
      </c>
      <c r="I170" s="110"/>
      <c r="J170" s="170"/>
      <c r="K170" s="117"/>
      <c r="L170" s="117"/>
      <c r="M170" s="117">
        <v>9388.67</v>
      </c>
      <c r="N170" s="117"/>
      <c r="O170" s="110"/>
      <c r="P170" s="117">
        <f t="shared" ref="P170:P179" si="174">SUM(K170:N170)</f>
        <v>9388.67</v>
      </c>
      <c r="Q170" s="117">
        <v>13200</v>
      </c>
      <c r="R170" s="117">
        <f t="shared" si="168"/>
        <v>3811.33</v>
      </c>
      <c r="S170" s="171">
        <f t="shared" si="169"/>
        <v>0.71126287878787875</v>
      </c>
      <c r="T170" s="171">
        <f t="shared" si="170"/>
        <v>0.28873712121212119</v>
      </c>
      <c r="U170" s="171">
        <f t="shared" si="171"/>
        <v>0.59200000000000008</v>
      </c>
      <c r="V170" s="110"/>
      <c r="W170" s="118" t="e">
        <f t="shared" si="172"/>
        <v>#DIV/0!</v>
      </c>
      <c r="X170" s="117"/>
      <c r="Y170" s="117">
        <f t="shared" si="173"/>
        <v>0</v>
      </c>
    </row>
    <row r="171" spans="1:25" x14ac:dyDescent="0.15">
      <c r="A171" s="110" t="s">
        <v>2688</v>
      </c>
      <c r="B171" s="111" t="s">
        <v>37</v>
      </c>
      <c r="C171" s="110"/>
      <c r="D171" s="111">
        <v>12</v>
      </c>
      <c r="E171" s="111">
        <v>808</v>
      </c>
      <c r="F171" s="15">
        <v>159778</v>
      </c>
      <c r="G171" s="16">
        <v>210500119</v>
      </c>
      <c r="H171" s="111" t="s">
        <v>2690</v>
      </c>
      <c r="I171" s="110"/>
      <c r="J171" s="170"/>
      <c r="K171" s="117"/>
      <c r="L171" s="117"/>
      <c r="M171" s="117">
        <v>3636.95</v>
      </c>
      <c r="N171" s="117"/>
      <c r="O171" s="110"/>
      <c r="P171" s="117">
        <f t="shared" si="174"/>
        <v>3636.95</v>
      </c>
      <c r="Q171" s="117">
        <v>14000</v>
      </c>
      <c r="R171" s="117">
        <f t="shared" si="168"/>
        <v>10363.049999999999</v>
      </c>
      <c r="S171" s="171">
        <f t="shared" si="169"/>
        <v>0.25978214285714285</v>
      </c>
      <c r="T171" s="171">
        <f t="shared" si="170"/>
        <v>0.74021785714285704</v>
      </c>
      <c r="U171" s="171">
        <f t="shared" si="171"/>
        <v>0.59200000000000008</v>
      </c>
      <c r="V171" s="110"/>
      <c r="W171" s="118" t="e">
        <f t="shared" si="172"/>
        <v>#DIV/0!</v>
      </c>
      <c r="X171" s="117"/>
      <c r="Y171" s="117">
        <f t="shared" si="173"/>
        <v>0</v>
      </c>
    </row>
    <row r="172" spans="1:25" x14ac:dyDescent="0.15">
      <c r="A172" s="110" t="s">
        <v>2688</v>
      </c>
      <c r="B172" s="111" t="s">
        <v>47</v>
      </c>
      <c r="C172" s="110"/>
      <c r="D172" s="111">
        <v>12</v>
      </c>
      <c r="E172" s="111">
        <v>809</v>
      </c>
      <c r="F172" s="15">
        <v>159778</v>
      </c>
      <c r="G172" s="16">
        <v>510121129</v>
      </c>
      <c r="H172" s="111" t="s">
        <v>2691</v>
      </c>
      <c r="I172" s="110"/>
      <c r="J172" s="170">
        <v>152.1</v>
      </c>
      <c r="K172" s="117">
        <f>4701.42+2115.72</f>
        <v>6817.1399999999994</v>
      </c>
      <c r="L172" s="117">
        <v>6660.37</v>
      </c>
      <c r="M172" s="117">
        <v>2840.12</v>
      </c>
      <c r="N172" s="117"/>
      <c r="O172" s="110"/>
      <c r="P172" s="117">
        <f t="shared" si="174"/>
        <v>16317.629999999997</v>
      </c>
      <c r="Q172" s="117">
        <v>28900</v>
      </c>
      <c r="R172" s="117">
        <f t="shared" si="168"/>
        <v>12582.370000000003</v>
      </c>
      <c r="S172" s="171">
        <f t="shared" si="169"/>
        <v>9.8274048442906575E-2</v>
      </c>
      <c r="T172" s="171">
        <f t="shared" si="170"/>
        <v>0.43537612456747415</v>
      </c>
      <c r="U172" s="171">
        <f>1-0.529</f>
        <v>0.47099999999999997</v>
      </c>
      <c r="V172" s="110"/>
      <c r="W172" s="118">
        <f t="shared" si="172"/>
        <v>44.820118343195261</v>
      </c>
      <c r="X172" s="117">
        <v>65000</v>
      </c>
      <c r="Y172" s="117">
        <f t="shared" si="173"/>
        <v>34385</v>
      </c>
    </row>
    <row r="173" spans="1:25" x14ac:dyDescent="0.15">
      <c r="A173" s="110" t="s">
        <v>2688</v>
      </c>
      <c r="B173" s="111" t="s">
        <v>2603</v>
      </c>
      <c r="C173" s="110"/>
      <c r="D173" s="111">
        <v>12</v>
      </c>
      <c r="E173" s="111">
        <v>810</v>
      </c>
      <c r="F173" s="15">
        <v>159778</v>
      </c>
      <c r="G173" s="17">
        <v>616420129</v>
      </c>
      <c r="H173" s="111" t="s">
        <v>52</v>
      </c>
      <c r="I173" s="110"/>
      <c r="J173" s="170"/>
      <c r="K173" s="117"/>
      <c r="L173" s="117">
        <v>1895.7</v>
      </c>
      <c r="M173" s="117">
        <v>1217.2</v>
      </c>
      <c r="N173" s="117"/>
      <c r="O173" s="110"/>
      <c r="P173" s="117">
        <f t="shared" si="174"/>
        <v>3112.9</v>
      </c>
      <c r="Q173" s="117">
        <v>7500</v>
      </c>
      <c r="R173" s="117">
        <f t="shared" si="168"/>
        <v>4387.1000000000004</v>
      </c>
      <c r="S173" s="171">
        <f t="shared" si="169"/>
        <v>0.16229333333333334</v>
      </c>
      <c r="T173" s="171">
        <f t="shared" si="170"/>
        <v>0.58494666666666673</v>
      </c>
      <c r="U173" s="171">
        <f>1-0.007</f>
        <v>0.99299999999999999</v>
      </c>
      <c r="V173" s="110"/>
      <c r="W173" s="118" t="e">
        <f t="shared" si="172"/>
        <v>#DIV/0!</v>
      </c>
      <c r="X173" s="117"/>
      <c r="Y173" s="117">
        <f t="shared" si="173"/>
        <v>0</v>
      </c>
    </row>
    <row r="174" spans="1:25" x14ac:dyDescent="0.15">
      <c r="A174" s="110" t="s">
        <v>2688</v>
      </c>
      <c r="B174" s="111" t="s">
        <v>37</v>
      </c>
      <c r="C174" s="110"/>
      <c r="D174" s="111">
        <v>12</v>
      </c>
      <c r="E174" s="111">
        <v>811</v>
      </c>
      <c r="F174" s="15">
        <v>159778</v>
      </c>
      <c r="G174" s="16">
        <v>140000019</v>
      </c>
      <c r="H174" s="111" t="s">
        <v>2692</v>
      </c>
      <c r="I174" s="110"/>
      <c r="J174" s="170">
        <f>7+48.5+243.5+37.5</f>
        <v>336.5</v>
      </c>
      <c r="K174" s="117">
        <f>9080.03+4086.06</f>
        <v>13166.09</v>
      </c>
      <c r="L174" s="117"/>
      <c r="M174" s="117">
        <v>47032.2</v>
      </c>
      <c r="N174" s="117"/>
      <c r="O174" s="110"/>
      <c r="P174" s="117">
        <f t="shared" si="174"/>
        <v>60198.289999999994</v>
      </c>
      <c r="Q174" s="117">
        <v>187166.66</v>
      </c>
      <c r="R174" s="117">
        <f t="shared" si="168"/>
        <v>126968.37000000001</v>
      </c>
      <c r="S174" s="171">
        <f t="shared" si="169"/>
        <v>0.25128513806892744</v>
      </c>
      <c r="T174" s="171">
        <f t="shared" si="170"/>
        <v>0.6783706563978863</v>
      </c>
      <c r="U174" s="171">
        <f t="shared" si="171"/>
        <v>0.59200000000000008</v>
      </c>
      <c r="V174" s="110"/>
      <c r="W174" s="118">
        <f t="shared" si="172"/>
        <v>39.126567607726599</v>
      </c>
      <c r="X174" s="117"/>
      <c r="Y174" s="117">
        <f t="shared" si="173"/>
        <v>0</v>
      </c>
    </row>
    <row r="175" spans="1:25" x14ac:dyDescent="0.15">
      <c r="A175" s="110" t="s">
        <v>2688</v>
      </c>
      <c r="B175" s="111" t="s">
        <v>37</v>
      </c>
      <c r="C175" s="110"/>
      <c r="D175" s="111">
        <v>12</v>
      </c>
      <c r="E175" s="111">
        <v>812</v>
      </c>
      <c r="F175" s="15">
        <v>159778</v>
      </c>
      <c r="G175" s="16">
        <v>212500119</v>
      </c>
      <c r="H175" s="111" t="s">
        <v>2693</v>
      </c>
      <c r="I175" s="110"/>
      <c r="J175" s="170"/>
      <c r="K175" s="117"/>
      <c r="L175" s="117"/>
      <c r="M175" s="117">
        <v>38774</v>
      </c>
      <c r="N175" s="117"/>
      <c r="O175" s="110"/>
      <c r="P175" s="117">
        <f t="shared" si="174"/>
        <v>38774</v>
      </c>
      <c r="Q175" s="117">
        <v>87062.22</v>
      </c>
      <c r="R175" s="117">
        <f t="shared" si="168"/>
        <v>48288.22</v>
      </c>
      <c r="S175" s="171">
        <f t="shared" si="169"/>
        <v>0.44535965198222605</v>
      </c>
      <c r="T175" s="171">
        <f t="shared" si="170"/>
        <v>0.55464034801777395</v>
      </c>
      <c r="U175" s="171">
        <f t="shared" si="171"/>
        <v>0.59200000000000008</v>
      </c>
      <c r="V175" s="110"/>
      <c r="W175" s="118" t="e">
        <f t="shared" si="172"/>
        <v>#DIV/0!</v>
      </c>
      <c r="X175" s="117"/>
      <c r="Y175" s="117">
        <f t="shared" si="173"/>
        <v>0</v>
      </c>
    </row>
    <row r="176" spans="1:25" x14ac:dyDescent="0.15">
      <c r="A176" s="110" t="s">
        <v>2688</v>
      </c>
      <c r="B176" s="111" t="s">
        <v>47</v>
      </c>
      <c r="C176" s="110"/>
      <c r="D176" s="111">
        <v>12</v>
      </c>
      <c r="E176" s="111">
        <v>813</v>
      </c>
      <c r="F176" s="15">
        <v>159778</v>
      </c>
      <c r="G176" s="16">
        <v>540000119</v>
      </c>
      <c r="H176" s="111" t="s">
        <v>2694</v>
      </c>
      <c r="I176" s="110"/>
      <c r="J176" s="170">
        <v>285.14999999999998</v>
      </c>
      <c r="K176" s="117">
        <f>8814.04+3966.49</f>
        <v>12780.53</v>
      </c>
      <c r="L176" s="117">
        <v>15086.74</v>
      </c>
      <c r="M176" s="117">
        <f>-44.95+5643.83</f>
        <v>5598.88</v>
      </c>
      <c r="N176" s="117"/>
      <c r="O176" s="110"/>
      <c r="P176" s="117">
        <f t="shared" si="174"/>
        <v>33466.15</v>
      </c>
      <c r="Q176" s="117">
        <v>47225</v>
      </c>
      <c r="R176" s="117">
        <f t="shared" si="168"/>
        <v>13758.849999999999</v>
      </c>
      <c r="S176" s="171">
        <f t="shared" si="169"/>
        <v>0.11855754367390153</v>
      </c>
      <c r="T176" s="171">
        <f t="shared" si="170"/>
        <v>0.29134674430915825</v>
      </c>
      <c r="U176" s="171">
        <f>1-0.529</f>
        <v>0.47099999999999997</v>
      </c>
      <c r="V176" s="110"/>
      <c r="W176" s="118">
        <f t="shared" si="172"/>
        <v>44.820375241101182</v>
      </c>
      <c r="X176" s="117"/>
      <c r="Y176" s="117">
        <f t="shared" si="173"/>
        <v>0</v>
      </c>
    </row>
    <row r="177" spans="1:32" x14ac:dyDescent="0.15">
      <c r="A177" s="110" t="s">
        <v>2688</v>
      </c>
      <c r="B177" s="111" t="s">
        <v>2603</v>
      </c>
      <c r="C177" s="110"/>
      <c r="D177" s="111">
        <v>12</v>
      </c>
      <c r="E177" s="111">
        <v>814</v>
      </c>
      <c r="F177" s="15">
        <v>159778</v>
      </c>
      <c r="G177" s="17">
        <v>646420129</v>
      </c>
      <c r="H177" s="111" t="s">
        <v>52</v>
      </c>
      <c r="I177" s="110"/>
      <c r="J177" s="170">
        <v>80</v>
      </c>
      <c r="K177" s="117">
        <f>3142.4+1414.4</f>
        <v>4556.8</v>
      </c>
      <c r="L177" s="117">
        <v>4225.66</v>
      </c>
      <c r="M177" s="117">
        <f>-1.59+2141.67</f>
        <v>2140.08</v>
      </c>
      <c r="N177" s="117"/>
      <c r="O177" s="110"/>
      <c r="P177" s="117">
        <f t="shared" si="174"/>
        <v>10922.539999999999</v>
      </c>
      <c r="Q177" s="117">
        <v>12500</v>
      </c>
      <c r="R177" s="117">
        <v>9979</v>
      </c>
      <c r="S177" s="117">
        <f t="shared" ref="S177" si="175">R177-Q177</f>
        <v>-2521</v>
      </c>
      <c r="T177" s="171">
        <f t="shared" ref="T177" si="176">N177/R177</f>
        <v>0</v>
      </c>
      <c r="U177" s="171">
        <f>1-0.007</f>
        <v>0.99299999999999999</v>
      </c>
      <c r="V177" s="171">
        <f>1-0.007</f>
        <v>0.99299999999999999</v>
      </c>
      <c r="W177" s="118">
        <f t="shared" si="172"/>
        <v>56.96</v>
      </c>
      <c r="X177" s="117">
        <v>15000</v>
      </c>
      <c r="Y177" s="117">
        <f t="shared" si="173"/>
        <v>105.0000000000001</v>
      </c>
      <c r="Z177" s="110"/>
      <c r="AA177" s="110"/>
      <c r="AB177" s="110"/>
      <c r="AC177" s="110"/>
      <c r="AD177" s="110"/>
      <c r="AE177" s="110"/>
      <c r="AF177" s="121"/>
    </row>
    <row r="178" spans="1:32" x14ac:dyDescent="0.15">
      <c r="A178" s="110" t="s">
        <v>2688</v>
      </c>
      <c r="B178" s="111" t="s">
        <v>37</v>
      </c>
      <c r="C178" s="110"/>
      <c r="D178" s="111">
        <v>12</v>
      </c>
      <c r="E178" s="111">
        <v>815</v>
      </c>
      <c r="F178" s="15">
        <v>159778</v>
      </c>
      <c r="G178" s="16">
        <v>213500119</v>
      </c>
      <c r="H178" s="111" t="s">
        <v>2695</v>
      </c>
      <c r="I178" s="110"/>
      <c r="J178" s="170"/>
      <c r="K178" s="117"/>
      <c r="L178" s="117"/>
      <c r="M178" s="117">
        <v>44466.25</v>
      </c>
      <c r="N178" s="117"/>
      <c r="O178" s="110"/>
      <c r="P178" s="117">
        <f t="shared" si="174"/>
        <v>44466.25</v>
      </c>
      <c r="Q178" s="117">
        <v>67278.86</v>
      </c>
      <c r="R178" s="117">
        <f t="shared" ref="R178:R179" si="177">Q178-P178</f>
        <v>22812.61</v>
      </c>
      <c r="S178" s="171">
        <f t="shared" ref="S178:S179" si="178">M178/Q178</f>
        <v>0.66092454598665906</v>
      </c>
      <c r="T178" s="171">
        <f t="shared" ref="T178:T179" si="179">R178/Q178</f>
        <v>0.33907545401334088</v>
      </c>
      <c r="U178" s="171">
        <f t="shared" ref="U178:U179" si="180">1-0.408</f>
        <v>0.59200000000000008</v>
      </c>
      <c r="V178" s="110"/>
      <c r="W178" s="118" t="e">
        <f t="shared" si="172"/>
        <v>#DIV/0!</v>
      </c>
      <c r="X178" s="117"/>
      <c r="Y178" s="117">
        <f t="shared" si="173"/>
        <v>0</v>
      </c>
      <c r="Z178" s="110"/>
      <c r="AA178" s="110"/>
      <c r="AB178" s="110"/>
      <c r="AC178" s="110"/>
      <c r="AD178" s="110"/>
      <c r="AE178" s="110"/>
      <c r="AF178" s="121"/>
    </row>
    <row r="179" spans="1:32" x14ac:dyDescent="0.15">
      <c r="A179" s="110" t="s">
        <v>2688</v>
      </c>
      <c r="B179" s="111" t="s">
        <v>37</v>
      </c>
      <c r="C179" s="110"/>
      <c r="D179" s="111">
        <v>12</v>
      </c>
      <c r="E179" s="111">
        <v>817</v>
      </c>
      <c r="F179" s="15">
        <v>159778</v>
      </c>
      <c r="G179" s="16">
        <v>323500509</v>
      </c>
      <c r="H179" s="111" t="s">
        <v>2696</v>
      </c>
      <c r="I179" s="110"/>
      <c r="J179" s="170">
        <f>2+16.5+21.5</f>
        <v>40</v>
      </c>
      <c r="K179" s="117">
        <f>7817.36+468.83</f>
        <v>8286.19</v>
      </c>
      <c r="L179" s="117"/>
      <c r="M179" s="117">
        <v>69803.45</v>
      </c>
      <c r="N179" s="117"/>
      <c r="O179" s="110"/>
      <c r="P179" s="117">
        <f t="shared" si="174"/>
        <v>78089.64</v>
      </c>
      <c r="Q179" s="117">
        <v>98214</v>
      </c>
      <c r="R179" s="117">
        <f t="shared" si="177"/>
        <v>20124.36</v>
      </c>
      <c r="S179" s="171">
        <f t="shared" si="178"/>
        <v>0.71072810393630237</v>
      </c>
      <c r="T179" s="171">
        <f t="shared" si="179"/>
        <v>0.20490317062740546</v>
      </c>
      <c r="U179" s="171">
        <f t="shared" si="180"/>
        <v>0.59200000000000008</v>
      </c>
      <c r="V179" s="110"/>
      <c r="W179" s="118">
        <f t="shared" si="172"/>
        <v>207.15475000000001</v>
      </c>
      <c r="X179" s="117"/>
      <c r="Y179" s="110"/>
      <c r="Z179" s="110"/>
      <c r="AA179" s="110"/>
      <c r="AB179" s="110"/>
      <c r="AC179" s="110"/>
      <c r="AD179" s="110"/>
      <c r="AE179" s="110"/>
      <c r="AF179" s="121"/>
    </row>
    <row r="180" spans="1:32" x14ac:dyDescent="0.15">
      <c r="A180" s="110"/>
      <c r="B180" s="111"/>
      <c r="C180" s="110"/>
      <c r="D180" s="111"/>
      <c r="E180" s="111"/>
      <c r="F180" s="15"/>
      <c r="G180" s="111"/>
      <c r="H180" s="111"/>
      <c r="I180" s="110"/>
      <c r="J180" s="170"/>
      <c r="K180" s="117"/>
      <c r="L180" s="117"/>
      <c r="M180" s="117"/>
      <c r="N180" s="117"/>
      <c r="O180" s="110"/>
      <c r="P180" s="117"/>
      <c r="Q180" s="117"/>
      <c r="R180" s="117"/>
      <c r="S180" s="117"/>
      <c r="T180" s="171"/>
      <c r="U180" s="171"/>
      <c r="V180" s="110"/>
      <c r="W180" s="118"/>
      <c r="X180" s="110"/>
      <c r="Y180" s="110"/>
      <c r="Z180" s="110"/>
      <c r="AA180" s="110"/>
      <c r="AB180" s="110"/>
      <c r="AC180" s="110"/>
      <c r="AD180" s="110"/>
      <c r="AE180" s="110"/>
      <c r="AF180" s="121"/>
    </row>
    <row r="181" spans="1:32" x14ac:dyDescent="0.15">
      <c r="A181" s="110" t="s">
        <v>2688</v>
      </c>
      <c r="B181" s="111" t="s">
        <v>2577</v>
      </c>
      <c r="C181" s="110"/>
      <c r="D181" s="111">
        <v>12</v>
      </c>
      <c r="E181" s="111"/>
      <c r="F181" s="15"/>
      <c r="G181" s="111"/>
      <c r="H181" s="111"/>
      <c r="I181" s="110"/>
      <c r="J181" s="117">
        <f>SUM(J169:J178)</f>
        <v>914.75</v>
      </c>
      <c r="K181" s="117">
        <f>SUM(K169:K178)</f>
        <v>39627.040000000001</v>
      </c>
      <c r="L181" s="117">
        <f>SUM(L169:L178)</f>
        <v>27868.469999999998</v>
      </c>
      <c r="M181" s="117">
        <f>SUM(M169:M179)</f>
        <v>256783.93</v>
      </c>
      <c r="N181" s="170">
        <f>SUM(N169:N178)</f>
        <v>0</v>
      </c>
      <c r="O181" s="110"/>
      <c r="P181" s="117">
        <f>SUM(K181:N181)</f>
        <v>324279.44</v>
      </c>
      <c r="Q181" s="117">
        <f>SUM(Q169:Q180)</f>
        <v>742073.83</v>
      </c>
      <c r="R181" s="117">
        <f>SUM(R169:R180)</f>
        <v>417909.73999999987</v>
      </c>
      <c r="S181" s="171">
        <f t="shared" ref="S181:S183" si="181">M181/Q181</f>
        <v>0.34603555551878173</v>
      </c>
      <c r="T181" s="171">
        <f>R181/Q181</f>
        <v>0.56316463821396301</v>
      </c>
      <c r="U181" s="171">
        <f>((Q169*U169)+(Q170*U170)+(Q171*U171)+(Q172*U172)+(Q173*U173)+(Q174*U174)+(Q175*U175)+(Q176*U176)+(Q177*U177)+(Q178*U178)+(Q179*U179))/Q181</f>
        <v>0.59039486995519042</v>
      </c>
      <c r="V181" s="110"/>
      <c r="W181" s="118">
        <f t="shared" ref="W181:W182" si="182">K181/J181</f>
        <v>43.320076523640338</v>
      </c>
      <c r="X181" s="159">
        <f>SUM(X169:X180)</f>
        <v>653417</v>
      </c>
      <c r="Y181" s="159">
        <f>SUM(Y169:Y180)</f>
        <v>268444.13599999994</v>
      </c>
      <c r="Z181" s="110"/>
      <c r="AA181" s="110"/>
      <c r="AB181" s="110"/>
      <c r="AC181" s="110"/>
      <c r="AD181" s="110"/>
      <c r="AE181" s="110"/>
      <c r="AF181" s="121"/>
    </row>
    <row r="182" spans="1:32" x14ac:dyDescent="0.15">
      <c r="A182" s="110" t="s">
        <v>2688</v>
      </c>
      <c r="B182" s="111" t="s">
        <v>55</v>
      </c>
      <c r="C182" s="110"/>
      <c r="D182" s="111">
        <v>12</v>
      </c>
      <c r="E182" s="111">
        <v>816</v>
      </c>
      <c r="F182" s="15">
        <v>159778</v>
      </c>
      <c r="G182" s="111" t="s">
        <v>56</v>
      </c>
      <c r="H182" s="111"/>
      <c r="I182" s="110"/>
      <c r="J182" s="117">
        <v>61</v>
      </c>
      <c r="K182" s="117">
        <f>1677.5+755.18</f>
        <v>2432.6799999999998</v>
      </c>
      <c r="L182" s="117">
        <v>19500.759999999998</v>
      </c>
      <c r="M182" s="117">
        <v>694.81</v>
      </c>
      <c r="N182" s="117">
        <v>0</v>
      </c>
      <c r="O182" s="110"/>
      <c r="P182" s="117">
        <f>SUM(K182:N182)</f>
        <v>22628.25</v>
      </c>
      <c r="Q182" s="117">
        <v>25000</v>
      </c>
      <c r="R182" s="117">
        <f t="shared" ref="R182" si="183">Q182-P182</f>
        <v>2371.75</v>
      </c>
      <c r="S182" s="171">
        <f t="shared" si="181"/>
        <v>2.7792399999999998E-2</v>
      </c>
      <c r="T182" s="171">
        <f t="shared" ref="T182:T183" si="184">R182/Q182</f>
        <v>9.4869999999999996E-2</v>
      </c>
      <c r="U182" s="171">
        <v>0</v>
      </c>
      <c r="V182" s="110"/>
      <c r="W182" s="118">
        <f t="shared" si="182"/>
        <v>39.879999999999995</v>
      </c>
      <c r="X182" s="110"/>
      <c r="Y182" s="110"/>
      <c r="Z182" s="110"/>
      <c r="AA182" s="110"/>
      <c r="AB182" s="110"/>
      <c r="AC182" s="110"/>
      <c r="AD182" s="110"/>
      <c r="AE182" s="110"/>
      <c r="AF182" s="121"/>
    </row>
    <row r="183" spans="1:32" x14ac:dyDescent="0.15">
      <c r="A183" s="110" t="s">
        <v>2688</v>
      </c>
      <c r="B183" s="111" t="s">
        <v>2600</v>
      </c>
      <c r="C183" s="110"/>
      <c r="D183" s="111">
        <v>12</v>
      </c>
      <c r="E183" s="111"/>
      <c r="F183" s="111"/>
      <c r="G183" s="111"/>
      <c r="H183" s="111"/>
      <c r="I183" s="110"/>
      <c r="J183" s="117">
        <f>J169+J174+J176+J179</f>
        <v>722.65</v>
      </c>
      <c r="K183" s="117">
        <f t="shared" ref="K183:L183" si="185">K169+K170+K171+K172+K173+K174</f>
        <v>22289.71</v>
      </c>
      <c r="L183" s="117">
        <f t="shared" si="185"/>
        <v>8556.07</v>
      </c>
      <c r="M183" s="117">
        <f>M169+M170+M171+M172+M173+M174</f>
        <v>96001.26999999999</v>
      </c>
      <c r="N183" s="117"/>
      <c r="O183" s="110"/>
      <c r="P183" s="117">
        <f>SUM(K183:N183)</f>
        <v>126847.04999999999</v>
      </c>
      <c r="Q183" s="117">
        <f>Q169+Q170+Q171+Q174+Q175+Q178+Q179</f>
        <v>645948.82999999996</v>
      </c>
      <c r="R183" s="117">
        <f>R169+R170+R171+R174+R175+R178+R179</f>
        <v>377202.41999999993</v>
      </c>
      <c r="S183" s="171">
        <f t="shared" si="181"/>
        <v>0.14862054940172273</v>
      </c>
      <c r="T183" s="171">
        <f t="shared" si="184"/>
        <v>0.58395092998310705</v>
      </c>
      <c r="U183" s="171">
        <f>((Q169*U169)+(Q170*U170)+(Q171*U171)+(Q174*U174)+(Q175*U175)+(Q178*U178)+(Q179*U179))/Q183</f>
        <v>0.59200000000000008</v>
      </c>
      <c r="V183" s="110"/>
      <c r="W183" s="118">
        <f>K183/J183</f>
        <v>30.844406005673562</v>
      </c>
      <c r="X183" s="117">
        <f>X169+X170+X171+X174+X175+X178+X179</f>
        <v>573417</v>
      </c>
      <c r="Y183" s="117">
        <f>Y169+Y170+Y171+Y174+Y175+Y178+Y179</f>
        <v>233954.13599999994</v>
      </c>
      <c r="Z183" s="110"/>
      <c r="AA183" s="110"/>
      <c r="AB183" s="110"/>
      <c r="AC183" s="110"/>
      <c r="AD183" s="110"/>
      <c r="AE183" s="110"/>
      <c r="AF183" s="121"/>
    </row>
    <row r="184" spans="1:32" x14ac:dyDescent="0.15">
      <c r="A184" s="172"/>
      <c r="B184" s="173"/>
      <c r="C184" s="172"/>
      <c r="D184" s="173"/>
      <c r="E184" s="173"/>
      <c r="F184" s="173"/>
      <c r="G184" s="173"/>
      <c r="H184" s="173"/>
      <c r="I184" s="172"/>
      <c r="J184" s="174"/>
      <c r="K184" s="175"/>
      <c r="L184" s="175"/>
      <c r="M184" s="175"/>
      <c r="N184" s="175"/>
      <c r="O184" s="172"/>
      <c r="P184" s="175"/>
      <c r="Q184" s="175"/>
      <c r="R184" s="175"/>
      <c r="S184" s="176"/>
      <c r="T184" s="176"/>
      <c r="U184" s="176"/>
      <c r="V184" s="172"/>
      <c r="W184" s="177"/>
      <c r="X184" s="175"/>
      <c r="Y184" s="176"/>
      <c r="Z184" s="110"/>
      <c r="AA184" s="110"/>
      <c r="AB184" s="110"/>
      <c r="AC184" s="110"/>
      <c r="AD184" s="110"/>
      <c r="AE184" s="110"/>
      <c r="AF184" s="121"/>
    </row>
    <row r="185" spans="1:32" x14ac:dyDescent="0.15">
      <c r="A185" s="110" t="s">
        <v>2697</v>
      </c>
      <c r="B185" s="111" t="s">
        <v>2591</v>
      </c>
      <c r="C185" s="110"/>
      <c r="D185" s="111">
        <v>2</v>
      </c>
      <c r="E185" s="111"/>
      <c r="F185" s="111"/>
      <c r="G185" s="111"/>
      <c r="H185" s="111" t="s">
        <v>2698</v>
      </c>
      <c r="I185" s="110"/>
      <c r="J185" s="182"/>
      <c r="K185" s="131"/>
      <c r="L185" s="131"/>
      <c r="M185" s="131"/>
      <c r="N185" s="131"/>
      <c r="O185" s="110"/>
      <c r="P185" s="131"/>
      <c r="Q185" s="131">
        <v>30888</v>
      </c>
      <c r="R185" s="131"/>
      <c r="S185" s="151"/>
      <c r="T185" s="151"/>
      <c r="U185" s="171"/>
      <c r="V185" s="110"/>
      <c r="W185" s="149"/>
      <c r="X185" s="131"/>
      <c r="Y185" s="151"/>
      <c r="Z185" s="110"/>
      <c r="AA185" s="110"/>
      <c r="AB185" s="110"/>
      <c r="AC185" s="110"/>
      <c r="AD185" s="110"/>
      <c r="AE185" s="110"/>
      <c r="AF185" s="152"/>
    </row>
    <row r="186" spans="1:32" x14ac:dyDescent="0.15">
      <c r="A186" s="110" t="s">
        <v>2697</v>
      </c>
      <c r="B186" s="111" t="s">
        <v>2591</v>
      </c>
      <c r="C186" s="110"/>
      <c r="D186" s="111">
        <v>6</v>
      </c>
      <c r="E186" s="111">
        <v>781</v>
      </c>
      <c r="F186" s="111"/>
      <c r="G186" s="111"/>
      <c r="H186" s="111" t="s">
        <v>2699</v>
      </c>
      <c r="I186" s="110"/>
      <c r="J186" s="117">
        <f>2+111+8</f>
        <v>121</v>
      </c>
      <c r="K186" s="117">
        <f>3043+1369.35</f>
        <v>4412.3500000000004</v>
      </c>
      <c r="L186" s="117">
        <v>4948.34</v>
      </c>
      <c r="M186" s="117">
        <v>4611.3599999999997</v>
      </c>
      <c r="N186" s="117"/>
      <c r="O186" s="110"/>
      <c r="P186" s="117">
        <f>SUM(K186:N186)</f>
        <v>13972.05</v>
      </c>
      <c r="Q186" s="117">
        <v>39112.44</v>
      </c>
      <c r="R186" s="117">
        <f>Q186-P186</f>
        <v>25140.390000000003</v>
      </c>
      <c r="S186" s="171">
        <f t="shared" ref="S186" si="186">M186/Q186</f>
        <v>0.11790008498574876</v>
      </c>
      <c r="T186" s="171">
        <f t="shared" ref="T186" si="187">R186/Q186</f>
        <v>0.6427722228528826</v>
      </c>
      <c r="U186" s="171">
        <f>1-0.287</f>
        <v>0.71300000000000008</v>
      </c>
      <c r="V186" s="110"/>
      <c r="W186" s="118">
        <f t="shared" ref="W186" si="188">K186/J186</f>
        <v>36.465702479338844</v>
      </c>
      <c r="X186" s="117">
        <v>33600</v>
      </c>
      <c r="Y186" s="117">
        <f t="shared" ref="Y186" si="189">X186*(1-U186)</f>
        <v>9643.1999999999971</v>
      </c>
      <c r="Z186" s="110"/>
      <c r="AA186" s="110"/>
      <c r="AB186" s="110"/>
      <c r="AC186" s="110"/>
      <c r="AD186" s="110"/>
      <c r="AE186" s="110"/>
      <c r="AF186" s="121"/>
    </row>
    <row r="187" spans="1:32" x14ac:dyDescent="0.15">
      <c r="A187" s="110"/>
      <c r="B187" s="111"/>
      <c r="C187" s="110"/>
      <c r="D187" s="111"/>
      <c r="E187" s="111"/>
      <c r="F187" s="111"/>
      <c r="G187" s="111"/>
      <c r="H187" s="111"/>
      <c r="I187" s="110"/>
      <c r="J187" s="117"/>
      <c r="K187" s="117"/>
      <c r="L187" s="117"/>
      <c r="M187" s="117"/>
      <c r="N187" s="117"/>
      <c r="O187" s="110"/>
      <c r="P187" s="117"/>
      <c r="Q187" s="117"/>
      <c r="R187" s="117"/>
      <c r="S187" s="117"/>
      <c r="T187" s="171"/>
      <c r="U187" s="171"/>
      <c r="V187" s="110"/>
      <c r="W187" s="118"/>
      <c r="X187" s="110"/>
      <c r="Y187" s="110"/>
      <c r="Z187" s="110"/>
      <c r="AA187" s="110"/>
      <c r="AB187" s="110"/>
      <c r="AC187" s="110"/>
      <c r="AD187" s="110"/>
      <c r="AE187" s="110"/>
      <c r="AF187" s="121"/>
    </row>
    <row r="188" spans="1:32" x14ac:dyDescent="0.15">
      <c r="A188" s="110" t="s">
        <v>2697</v>
      </c>
      <c r="B188" s="111" t="s">
        <v>2577</v>
      </c>
      <c r="C188" s="110"/>
      <c r="D188" s="111"/>
      <c r="E188" s="111"/>
      <c r="F188" s="111"/>
      <c r="G188" s="111"/>
      <c r="H188" s="111"/>
      <c r="I188" s="110"/>
      <c r="J188" s="117">
        <f>SUM(J186:J187)</f>
        <v>121</v>
      </c>
      <c r="K188" s="117">
        <f t="shared" ref="K188:M188" si="190">SUM(K186:K187)</f>
        <v>4412.3500000000004</v>
      </c>
      <c r="L188" s="117">
        <f t="shared" si="190"/>
        <v>4948.34</v>
      </c>
      <c r="M188" s="117">
        <f t="shared" si="190"/>
        <v>4611.3599999999997</v>
      </c>
      <c r="N188" s="117"/>
      <c r="O188" s="110"/>
      <c r="P188" s="117">
        <f>SUM(K188:N188)</f>
        <v>13972.05</v>
      </c>
      <c r="Q188" s="117">
        <f>SUM(Q185:Q187)</f>
        <v>70000.44</v>
      </c>
      <c r="R188" s="117">
        <f>SUM(R186:R187)</f>
        <v>25140.390000000003</v>
      </c>
      <c r="S188" s="171">
        <f t="shared" ref="S188" si="191">M188/Q188</f>
        <v>6.5876157349868084E-2</v>
      </c>
      <c r="T188" s="171">
        <f>R188/Q188</f>
        <v>0.35914617108121039</v>
      </c>
      <c r="U188" s="171">
        <f>((Q186*U186)/Q188)</f>
        <v>0.39838563471886757</v>
      </c>
      <c r="V188" s="110"/>
      <c r="W188" s="118">
        <f t="shared" ref="W188" si="192">K188/J188</f>
        <v>36.465702479338844</v>
      </c>
      <c r="X188" s="159">
        <f>SUM(X185:X187)</f>
        <v>33600</v>
      </c>
      <c r="Y188" s="159">
        <f>SUM(Y185:Y187)</f>
        <v>9643.1999999999971</v>
      </c>
      <c r="Z188" s="110"/>
      <c r="AA188" s="110"/>
      <c r="AB188" s="110"/>
      <c r="AC188" s="110"/>
      <c r="AD188" s="110"/>
      <c r="AE188" s="110"/>
      <c r="AF188" s="121"/>
    </row>
    <row r="189" spans="1:32" x14ac:dyDescent="0.15">
      <c r="A189" s="172"/>
      <c r="B189" s="173"/>
      <c r="C189" s="172"/>
      <c r="D189" s="173"/>
      <c r="E189" s="173"/>
      <c r="F189" s="173"/>
      <c r="G189" s="173"/>
      <c r="H189" s="173"/>
      <c r="I189" s="172"/>
      <c r="J189" s="174"/>
      <c r="K189" s="175"/>
      <c r="L189" s="175"/>
      <c r="M189" s="175"/>
      <c r="N189" s="175"/>
      <c r="O189" s="172"/>
      <c r="P189" s="175"/>
      <c r="Q189" s="175"/>
      <c r="R189" s="175"/>
      <c r="S189" s="176"/>
      <c r="T189" s="176"/>
      <c r="U189" s="176"/>
      <c r="V189" s="172"/>
      <c r="W189" s="177"/>
      <c r="X189" s="175"/>
      <c r="Y189" s="176"/>
      <c r="Z189" s="110"/>
      <c r="AA189" s="110"/>
      <c r="AB189" s="110"/>
      <c r="AC189" s="110"/>
      <c r="AD189" s="110"/>
      <c r="AE189" s="110"/>
      <c r="AF189" s="121"/>
    </row>
    <row r="190" spans="1:32" x14ac:dyDescent="0.15">
      <c r="A190" s="110" t="s">
        <v>2700</v>
      </c>
      <c r="B190" s="111" t="s">
        <v>2591</v>
      </c>
      <c r="C190" s="110"/>
      <c r="D190" s="111">
        <v>1</v>
      </c>
      <c r="E190" s="111"/>
      <c r="F190" s="111"/>
      <c r="G190" s="111"/>
      <c r="H190" s="111" t="s">
        <v>2701</v>
      </c>
      <c r="I190" s="110"/>
      <c r="J190" s="170"/>
      <c r="K190" s="117"/>
      <c r="L190" s="117"/>
      <c r="M190" s="117"/>
      <c r="N190" s="117"/>
      <c r="O190" s="110"/>
      <c r="P190" s="117"/>
      <c r="Q190" s="117">
        <v>5000</v>
      </c>
      <c r="R190" s="117"/>
      <c r="S190" s="117"/>
      <c r="T190" s="171"/>
      <c r="U190" s="171"/>
      <c r="V190" s="110"/>
      <c r="W190" s="118"/>
      <c r="X190" s="110"/>
      <c r="Y190" s="110"/>
      <c r="Z190" s="110"/>
      <c r="AA190" s="110"/>
      <c r="AB190" s="110"/>
      <c r="AC190" s="110"/>
      <c r="AD190" s="110"/>
      <c r="AE190" s="110"/>
      <c r="AF190" s="121"/>
    </row>
    <row r="191" spans="1:32" x14ac:dyDescent="0.15">
      <c r="A191" s="110" t="s">
        <v>2700</v>
      </c>
      <c r="B191" s="111" t="s">
        <v>2665</v>
      </c>
      <c r="C191" s="110"/>
      <c r="D191" s="111">
        <v>4</v>
      </c>
      <c r="E191" s="111"/>
      <c r="F191" s="111"/>
      <c r="G191" s="111"/>
      <c r="H191" s="111" t="s">
        <v>2702</v>
      </c>
      <c r="I191" s="110"/>
      <c r="J191" s="170"/>
      <c r="K191" s="117"/>
      <c r="L191" s="117"/>
      <c r="M191" s="117"/>
      <c r="N191" s="117"/>
      <c r="O191" s="110"/>
      <c r="P191" s="117"/>
      <c r="Q191" s="117">
        <v>55391</v>
      </c>
      <c r="R191" s="117"/>
      <c r="S191" s="117"/>
      <c r="T191" s="171"/>
      <c r="U191" s="171"/>
      <c r="V191" s="110"/>
      <c r="W191" s="118" t="e">
        <f t="shared" ref="W191" si="193">K191/J191</f>
        <v>#DIV/0!</v>
      </c>
      <c r="X191" s="117">
        <v>40000</v>
      </c>
      <c r="Y191" s="117">
        <f t="shared" ref="Y191" si="194">X191*(1-U191)</f>
        <v>40000</v>
      </c>
      <c r="Z191" s="110"/>
      <c r="AA191" s="110"/>
      <c r="AB191" s="110"/>
      <c r="AC191" s="110"/>
      <c r="AD191" s="110"/>
      <c r="AE191" s="110"/>
      <c r="AF191" s="121"/>
    </row>
    <row r="193" spans="1:25" x14ac:dyDescent="0.15">
      <c r="A193" s="110" t="s">
        <v>2700</v>
      </c>
      <c r="B193" s="111" t="s">
        <v>2577</v>
      </c>
      <c r="C193" s="110"/>
      <c r="D193" s="111"/>
      <c r="E193" s="111"/>
      <c r="F193" s="111"/>
      <c r="G193" s="111"/>
      <c r="H193" s="111"/>
      <c r="I193" s="110"/>
      <c r="J193" s="170"/>
      <c r="K193" s="117"/>
      <c r="L193" s="117"/>
      <c r="M193" s="117"/>
      <c r="N193" s="117"/>
      <c r="O193" s="110"/>
      <c r="P193" s="117"/>
      <c r="Q193" s="117">
        <f>SUM(Q190:Q192)</f>
        <v>60391</v>
      </c>
      <c r="R193" s="117"/>
      <c r="S193" s="117"/>
      <c r="T193" s="171"/>
      <c r="U193" s="171"/>
      <c r="V193" s="110"/>
      <c r="W193" s="118"/>
      <c r="X193" s="110"/>
      <c r="Y193" s="110"/>
    </row>
    <row r="194" spans="1:25" x14ac:dyDescent="0.15">
      <c r="A194" s="172"/>
      <c r="B194" s="173"/>
      <c r="C194" s="172"/>
      <c r="D194" s="173"/>
      <c r="E194" s="173"/>
      <c r="F194" s="173"/>
      <c r="G194" s="173"/>
      <c r="H194" s="173"/>
      <c r="I194" s="172"/>
      <c r="J194" s="174"/>
      <c r="K194" s="175"/>
      <c r="L194" s="175"/>
      <c r="M194" s="175"/>
      <c r="N194" s="175"/>
      <c r="O194" s="172"/>
      <c r="P194" s="175"/>
      <c r="Q194" s="175"/>
      <c r="R194" s="175"/>
      <c r="S194" s="176"/>
      <c r="T194" s="176"/>
      <c r="U194" s="176"/>
      <c r="V194" s="172"/>
      <c r="W194" s="177"/>
      <c r="X194" s="175"/>
      <c r="Y194" s="176"/>
    </row>
    <row r="195" spans="1:25" x14ac:dyDescent="0.15">
      <c r="A195" s="110" t="s">
        <v>2703</v>
      </c>
      <c r="B195" s="111" t="s">
        <v>2665</v>
      </c>
      <c r="C195" s="110"/>
      <c r="D195" s="111">
        <v>4</v>
      </c>
      <c r="E195" s="111"/>
      <c r="F195" s="111"/>
      <c r="G195" s="111"/>
      <c r="H195" s="111" t="s">
        <v>2704</v>
      </c>
      <c r="I195" s="110"/>
      <c r="J195" s="170"/>
      <c r="K195" s="117"/>
      <c r="L195" s="117"/>
      <c r="M195" s="117"/>
      <c r="N195" s="117"/>
      <c r="O195" s="110"/>
      <c r="P195" s="117"/>
      <c r="Q195" s="117">
        <v>6000</v>
      </c>
      <c r="R195" s="117"/>
      <c r="S195" s="117"/>
      <c r="T195" s="171"/>
      <c r="U195" s="171"/>
      <c r="V195" s="110"/>
      <c r="W195" s="118"/>
      <c r="X195" s="110">
        <v>7000</v>
      </c>
      <c r="Y195" s="110"/>
    </row>
    <row r="196" spans="1:25" x14ac:dyDescent="0.15">
      <c r="A196" s="110" t="s">
        <v>2703</v>
      </c>
      <c r="B196" s="111" t="s">
        <v>37</v>
      </c>
      <c r="C196" s="110"/>
      <c r="D196" s="111">
        <v>4</v>
      </c>
      <c r="E196" s="111">
        <v>722</v>
      </c>
      <c r="F196" s="111"/>
      <c r="G196" s="111"/>
      <c r="H196" s="111" t="s">
        <v>68</v>
      </c>
      <c r="I196" s="110"/>
      <c r="J196" s="117">
        <v>22</v>
      </c>
      <c r="K196" s="117">
        <f>727.71+306.03</f>
        <v>1033.74</v>
      </c>
      <c r="L196" s="117"/>
      <c r="M196" s="117">
        <v>10137.700000000001</v>
      </c>
      <c r="N196" s="117"/>
      <c r="O196" s="110"/>
      <c r="P196" s="117">
        <f>SUM(K196:M196)</f>
        <v>11171.44</v>
      </c>
      <c r="Q196" s="117">
        <v>48564</v>
      </c>
      <c r="R196" s="117">
        <f t="shared" ref="R196" si="195">Q196-P196</f>
        <v>37392.559999999998</v>
      </c>
      <c r="S196" s="171">
        <f t="shared" ref="S196" si="196">M196/Q196</f>
        <v>0.20874927930154025</v>
      </c>
      <c r="T196" s="171">
        <f t="shared" ref="T196" si="197">R196/Q196</f>
        <v>0.76996458281854863</v>
      </c>
      <c r="U196" s="171">
        <f t="shared" ref="U196" si="198">1-0.408</f>
        <v>0.59200000000000008</v>
      </c>
      <c r="V196" s="110"/>
      <c r="W196" s="118">
        <f t="shared" ref="W196" si="199">K196/J196</f>
        <v>46.988181818181822</v>
      </c>
      <c r="X196" s="121">
        <v>0</v>
      </c>
      <c r="Y196" s="117">
        <f t="shared" ref="Y196" si="200">X196*(1-U196)</f>
        <v>0</v>
      </c>
    </row>
    <row r="198" spans="1:25" x14ac:dyDescent="0.15">
      <c r="A198" s="110" t="s">
        <v>2703</v>
      </c>
      <c r="B198" s="111" t="s">
        <v>2577</v>
      </c>
      <c r="C198" s="110"/>
      <c r="D198" s="111"/>
      <c r="E198" s="111"/>
      <c r="F198" s="111"/>
      <c r="G198" s="111"/>
      <c r="H198" s="111"/>
      <c r="I198" s="110"/>
      <c r="J198" s="117">
        <f>SUM(J196:J197)</f>
        <v>22</v>
      </c>
      <c r="K198" s="117">
        <f t="shared" ref="K198:M198" si="201">SUM(K196:K197)</f>
        <v>1033.74</v>
      </c>
      <c r="L198" s="117">
        <f t="shared" si="201"/>
        <v>0</v>
      </c>
      <c r="M198" s="117">
        <f t="shared" si="201"/>
        <v>10137.700000000001</v>
      </c>
      <c r="N198" s="117"/>
      <c r="O198" s="110"/>
      <c r="P198" s="117">
        <f>SUM(P196:P197)</f>
        <v>11171.44</v>
      </c>
      <c r="Q198" s="117">
        <f>SUM(Q195:Q197)</f>
        <v>54564</v>
      </c>
      <c r="R198" s="117">
        <f>SUM(R196:R197)</f>
        <v>37392.559999999998</v>
      </c>
      <c r="S198" s="171">
        <f t="shared" ref="S198:S199" si="202">M198/Q198</f>
        <v>0.18579466314786308</v>
      </c>
      <c r="T198" s="171">
        <f>R198/Q198</f>
        <v>0.68529726559636384</v>
      </c>
      <c r="U198" s="171">
        <f>((Q196*U196)/Q198)</f>
        <v>0.5269021332746866</v>
      </c>
      <c r="V198" s="110"/>
      <c r="W198" s="118">
        <f t="shared" ref="W198" si="203">K198/J198</f>
        <v>46.988181818181822</v>
      </c>
      <c r="X198" s="159">
        <f>SUM(X195:X197)</f>
        <v>7000</v>
      </c>
      <c r="Y198" s="159">
        <f>SUM(Y195:Y197)</f>
        <v>0</v>
      </c>
    </row>
    <row r="199" spans="1:25" x14ac:dyDescent="0.15">
      <c r="A199" s="110" t="s">
        <v>2703</v>
      </c>
      <c r="B199" s="111" t="s">
        <v>2600</v>
      </c>
      <c r="C199" s="110"/>
      <c r="D199" s="111"/>
      <c r="E199" s="111"/>
      <c r="F199" s="111"/>
      <c r="G199" s="111"/>
      <c r="H199" s="111"/>
      <c r="I199" s="110"/>
      <c r="J199" s="117">
        <f>J196</f>
        <v>22</v>
      </c>
      <c r="K199" s="117">
        <f>K196</f>
        <v>1033.74</v>
      </c>
      <c r="L199" s="117"/>
      <c r="M199" s="117">
        <f>M196</f>
        <v>10137.700000000001</v>
      </c>
      <c r="N199" s="117"/>
      <c r="O199" s="110"/>
      <c r="P199" s="117">
        <f>P196</f>
        <v>11171.44</v>
      </c>
      <c r="Q199" s="117">
        <f>Q196</f>
        <v>48564</v>
      </c>
      <c r="R199" s="117">
        <f>R196</f>
        <v>37392.559999999998</v>
      </c>
      <c r="S199" s="171">
        <f t="shared" si="202"/>
        <v>0.20874927930154025</v>
      </c>
      <c r="T199" s="171">
        <f t="shared" ref="T199" si="204">R199/Q199</f>
        <v>0.76996458281854863</v>
      </c>
      <c r="U199" s="171">
        <f>((Q196*U196)/Q199)</f>
        <v>0.59200000000000008</v>
      </c>
      <c r="V199" s="110"/>
      <c r="W199" s="118">
        <f>K199/J199</f>
        <v>46.988181818181822</v>
      </c>
      <c r="X199" s="117">
        <f>X196</f>
        <v>0</v>
      </c>
      <c r="Y199" s="117">
        <f>Y196</f>
        <v>0</v>
      </c>
    </row>
    <row r="200" spans="1:25" x14ac:dyDescent="0.15">
      <c r="A200" s="172"/>
      <c r="B200" s="173"/>
      <c r="C200" s="172"/>
      <c r="D200" s="173"/>
      <c r="E200" s="173"/>
      <c r="F200" s="173"/>
      <c r="G200" s="173"/>
      <c r="H200" s="173"/>
      <c r="I200" s="172"/>
      <c r="J200" s="174"/>
      <c r="K200" s="175"/>
      <c r="L200" s="175"/>
      <c r="M200" s="175"/>
      <c r="N200" s="175"/>
      <c r="O200" s="172"/>
      <c r="P200" s="175"/>
      <c r="Q200" s="175"/>
      <c r="R200" s="175"/>
      <c r="S200" s="176"/>
      <c r="T200" s="176"/>
      <c r="U200" s="176"/>
      <c r="V200" s="172"/>
      <c r="W200" s="177"/>
      <c r="X200" s="175"/>
      <c r="Y200" s="176"/>
    </row>
    <row r="201" spans="1:25" x14ac:dyDescent="0.15">
      <c r="A201" s="110" t="s">
        <v>2705</v>
      </c>
      <c r="B201" s="111" t="s">
        <v>2665</v>
      </c>
      <c r="C201" s="110"/>
      <c r="D201" s="111">
        <v>1</v>
      </c>
      <c r="E201" s="111"/>
      <c r="F201" s="111"/>
      <c r="G201" s="111"/>
      <c r="H201" s="111" t="s">
        <v>2702</v>
      </c>
      <c r="I201" s="110"/>
      <c r="J201" s="170"/>
      <c r="K201" s="117"/>
      <c r="L201" s="117"/>
      <c r="M201" s="117"/>
      <c r="N201" s="117"/>
      <c r="O201" s="110"/>
      <c r="P201" s="117"/>
      <c r="Q201" s="117">
        <v>52228.800000000003</v>
      </c>
      <c r="R201" s="117"/>
      <c r="S201" s="117"/>
      <c r="T201" s="171"/>
      <c r="U201" s="171"/>
      <c r="V201" s="110"/>
      <c r="W201" s="118"/>
      <c r="X201" s="117">
        <v>52480</v>
      </c>
      <c r="Y201" s="117"/>
    </row>
    <row r="202" spans="1:25" x14ac:dyDescent="0.15">
      <c r="A202" s="110" t="s">
        <v>2705</v>
      </c>
      <c r="B202" s="111" t="s">
        <v>2591</v>
      </c>
      <c r="C202" s="110"/>
      <c r="D202" s="111">
        <v>12</v>
      </c>
      <c r="E202" s="111"/>
      <c r="F202" s="111"/>
      <c r="G202" s="111"/>
      <c r="H202" s="111" t="s">
        <v>2706</v>
      </c>
      <c r="I202" s="110"/>
      <c r="J202" s="117">
        <v>24.5</v>
      </c>
      <c r="K202" s="117">
        <f>612.5+275.63</f>
        <v>888.13</v>
      </c>
      <c r="L202" s="117">
        <v>1290.18</v>
      </c>
      <c r="M202" s="117">
        <v>775.03</v>
      </c>
      <c r="N202" s="117"/>
      <c r="O202" s="110"/>
      <c r="P202" s="117">
        <f>SUM(K202:N203)</f>
        <v>2953.34</v>
      </c>
      <c r="Q202" s="117">
        <v>7500</v>
      </c>
      <c r="R202" s="117">
        <f>Q202-P202</f>
        <v>4546.66</v>
      </c>
      <c r="S202" s="171">
        <f t="shared" ref="S202" si="205">M202/Q202</f>
        <v>0.10333733333333334</v>
      </c>
      <c r="T202" s="171">
        <f t="shared" ref="T202" si="206">R202/Q202</f>
        <v>0.60622133333333328</v>
      </c>
      <c r="U202" s="171">
        <f>1-0.287</f>
        <v>0.71300000000000008</v>
      </c>
      <c r="V202" s="110"/>
      <c r="W202" s="118">
        <f>K202/J202</f>
        <v>36.250204081632653</v>
      </c>
      <c r="X202" s="117">
        <v>12375</v>
      </c>
      <c r="Y202" s="117"/>
    </row>
    <row r="203" spans="1:25" x14ac:dyDescent="0.15">
      <c r="A203" s="110"/>
      <c r="B203" s="111"/>
      <c r="C203" s="110"/>
      <c r="D203" s="111"/>
      <c r="E203" s="111"/>
      <c r="F203" s="111"/>
      <c r="G203" s="111"/>
      <c r="H203" s="111"/>
      <c r="I203" s="110"/>
      <c r="J203" s="170"/>
      <c r="K203" s="117"/>
      <c r="L203" s="117"/>
      <c r="M203" s="117"/>
      <c r="N203" s="117"/>
      <c r="O203" s="110"/>
      <c r="P203" s="117"/>
      <c r="Q203" s="117"/>
      <c r="R203" s="117"/>
      <c r="S203" s="117"/>
      <c r="T203" s="171"/>
      <c r="U203" s="171"/>
      <c r="V203" s="110"/>
      <c r="W203" s="118"/>
      <c r="X203" s="117"/>
      <c r="Y203" s="117"/>
    </row>
    <row r="204" spans="1:25" x14ac:dyDescent="0.15">
      <c r="A204" s="110" t="s">
        <v>2705</v>
      </c>
      <c r="B204" s="111" t="s">
        <v>2577</v>
      </c>
      <c r="C204" s="110"/>
      <c r="D204" s="111"/>
      <c r="E204" s="111"/>
      <c r="F204" s="111"/>
      <c r="G204" s="111"/>
      <c r="H204" s="111"/>
      <c r="I204" s="110"/>
      <c r="J204" s="117">
        <f>SUM(J201:J202)</f>
        <v>24.5</v>
      </c>
      <c r="K204" s="117">
        <f t="shared" ref="K204:M204" si="207">SUM(K201:K202)</f>
        <v>888.13</v>
      </c>
      <c r="L204" s="117">
        <f t="shared" si="207"/>
        <v>1290.18</v>
      </c>
      <c r="M204" s="117">
        <f t="shared" si="207"/>
        <v>775.03</v>
      </c>
      <c r="N204" s="117"/>
      <c r="O204" s="110"/>
      <c r="P204" s="117">
        <f>SUM(P201:P202)</f>
        <v>2953.34</v>
      </c>
      <c r="Q204" s="117">
        <f>SUM(Q201:Q202)</f>
        <v>59728.800000000003</v>
      </c>
      <c r="R204" s="117">
        <f>SUM(R201:R203)</f>
        <v>4546.66</v>
      </c>
      <c r="S204" s="171">
        <f t="shared" ref="S204" si="208">M204/Q204</f>
        <v>1.2975817361139013E-2</v>
      </c>
      <c r="T204" s="171">
        <f>R204/Q204</f>
        <v>7.6121736917533919E-2</v>
      </c>
      <c r="U204" s="171">
        <f>((Q201*U201)+(Q202*U202)/Q204)</f>
        <v>8.9529674127054301E-2</v>
      </c>
      <c r="V204" s="110"/>
      <c r="W204" s="118">
        <f>K204/J204</f>
        <v>36.250204081632653</v>
      </c>
      <c r="X204" s="117">
        <f>SUM(X201:X203)</f>
        <v>64855</v>
      </c>
      <c r="Y204" s="117"/>
    </row>
    <row r="205" spans="1:25" x14ac:dyDescent="0.15">
      <c r="A205" s="172"/>
      <c r="B205" s="173"/>
      <c r="C205" s="172"/>
      <c r="D205" s="173"/>
      <c r="E205" s="173"/>
      <c r="F205" s="173"/>
      <c r="G205" s="173"/>
      <c r="H205" s="173"/>
      <c r="I205" s="172"/>
      <c r="J205" s="174"/>
      <c r="K205" s="175"/>
      <c r="L205" s="175"/>
      <c r="M205" s="175"/>
      <c r="N205" s="175"/>
      <c r="O205" s="172"/>
      <c r="P205" s="175"/>
      <c r="Q205" s="175"/>
      <c r="R205" s="175"/>
      <c r="S205" s="176"/>
      <c r="T205" s="176"/>
      <c r="U205" s="176"/>
      <c r="V205" s="172"/>
      <c r="W205" s="177"/>
      <c r="X205" s="175"/>
      <c r="Y205" s="176"/>
    </row>
    <row r="206" spans="1:25" x14ac:dyDescent="0.15">
      <c r="A206" s="110" t="s">
        <v>1027</v>
      </c>
      <c r="B206" s="111" t="s">
        <v>2591</v>
      </c>
      <c r="C206" s="110"/>
      <c r="D206" s="111">
        <v>1</v>
      </c>
      <c r="E206" s="111"/>
      <c r="F206" s="111"/>
      <c r="G206" s="111"/>
      <c r="H206" s="111" t="s">
        <v>2707</v>
      </c>
      <c r="I206" s="110"/>
      <c r="J206" s="170"/>
      <c r="K206" s="117"/>
      <c r="L206" s="117"/>
      <c r="M206" s="117"/>
      <c r="N206" s="117"/>
      <c r="O206" s="110"/>
      <c r="P206" s="117"/>
      <c r="Q206" s="117">
        <f>23845-3435</f>
        <v>20410</v>
      </c>
      <c r="R206" s="117"/>
      <c r="S206" s="117"/>
      <c r="T206" s="171"/>
      <c r="U206" s="171"/>
      <c r="V206" s="110"/>
      <c r="W206" s="118"/>
      <c r="X206" s="117">
        <v>20482</v>
      </c>
      <c r="Y206" s="110"/>
    </row>
    <row r="207" spans="1:25" x14ac:dyDescent="0.15">
      <c r="A207" s="110" t="s">
        <v>1027</v>
      </c>
      <c r="B207" s="111" t="s">
        <v>2603</v>
      </c>
      <c r="C207" s="110"/>
      <c r="D207" s="111">
        <v>1</v>
      </c>
      <c r="E207" s="111"/>
      <c r="F207" s="111"/>
      <c r="G207" s="111"/>
      <c r="H207" s="111" t="s">
        <v>2708</v>
      </c>
      <c r="I207" s="110"/>
      <c r="J207" s="170"/>
      <c r="K207" s="117"/>
      <c r="L207" s="117"/>
      <c r="M207" s="117"/>
      <c r="N207" s="117"/>
      <c r="O207" s="110"/>
      <c r="P207" s="117"/>
      <c r="Q207" s="117">
        <v>28290</v>
      </c>
      <c r="R207" s="117"/>
      <c r="S207" s="117"/>
      <c r="T207" s="171"/>
      <c r="U207" s="171"/>
      <c r="V207" s="110"/>
      <c r="W207" s="118"/>
      <c r="X207" s="117">
        <v>27523</v>
      </c>
      <c r="Y207" s="110"/>
    </row>
    <row r="209" spans="1:25" x14ac:dyDescent="0.15">
      <c r="A209" s="110" t="s">
        <v>1027</v>
      </c>
      <c r="B209" s="111" t="s">
        <v>2577</v>
      </c>
      <c r="C209" s="110"/>
      <c r="D209" s="111"/>
      <c r="E209" s="111"/>
      <c r="F209" s="111"/>
      <c r="G209" s="111"/>
      <c r="H209" s="111"/>
      <c r="I209" s="110"/>
      <c r="J209" s="170"/>
      <c r="K209" s="117"/>
      <c r="L209" s="117"/>
      <c r="M209" s="117"/>
      <c r="N209" s="117"/>
      <c r="O209" s="110"/>
      <c r="P209" s="117"/>
      <c r="Q209" s="117">
        <f>SUM(Q206:Q208)</f>
        <v>48700</v>
      </c>
      <c r="R209" s="117"/>
      <c r="S209" s="117"/>
      <c r="T209" s="171"/>
      <c r="U209" s="171"/>
      <c r="V209" s="110"/>
      <c r="W209" s="118"/>
      <c r="X209" s="159">
        <f>SUM(X206:X208)</f>
        <v>48005</v>
      </c>
      <c r="Y209" s="110"/>
    </row>
    <row r="210" spans="1:25" x14ac:dyDescent="0.15">
      <c r="A210" s="172"/>
      <c r="B210" s="173"/>
      <c r="C210" s="172"/>
      <c r="D210" s="173"/>
      <c r="E210" s="173"/>
      <c r="F210" s="173"/>
      <c r="G210" s="173"/>
      <c r="H210" s="173"/>
      <c r="I210" s="172"/>
      <c r="J210" s="174"/>
      <c r="K210" s="175"/>
      <c r="L210" s="175"/>
      <c r="M210" s="175"/>
      <c r="N210" s="175"/>
      <c r="O210" s="172"/>
      <c r="P210" s="175"/>
      <c r="Q210" s="175"/>
      <c r="R210" s="175"/>
      <c r="S210" s="176"/>
      <c r="T210" s="176"/>
      <c r="U210" s="176"/>
      <c r="V210" s="172"/>
      <c r="W210" s="177"/>
      <c r="X210" s="175"/>
      <c r="Y210" s="176"/>
    </row>
    <row r="211" spans="1:25" x14ac:dyDescent="0.15">
      <c r="A211" s="110" t="s">
        <v>2709</v>
      </c>
      <c r="B211" s="111" t="s">
        <v>2591</v>
      </c>
      <c r="C211" s="110"/>
      <c r="D211" s="111">
        <v>2</v>
      </c>
      <c r="E211" s="111"/>
      <c r="F211" s="111"/>
      <c r="G211" s="111"/>
      <c r="H211" s="111" t="s">
        <v>2710</v>
      </c>
      <c r="I211" s="110"/>
      <c r="J211" s="170"/>
      <c r="K211" s="117"/>
      <c r="L211" s="117"/>
      <c r="M211" s="117"/>
      <c r="N211" s="117"/>
      <c r="O211" s="110"/>
      <c r="P211" s="117"/>
      <c r="Q211" s="117">
        <v>17765</v>
      </c>
      <c r="R211" s="117"/>
      <c r="S211" s="117"/>
      <c r="T211" s="171"/>
      <c r="U211" s="171"/>
      <c r="V211" s="110"/>
      <c r="W211" s="118"/>
      <c r="X211" s="117">
        <v>21945</v>
      </c>
      <c r="Y211" s="110"/>
    </row>
    <row r="212" spans="1:25" x14ac:dyDescent="0.15">
      <c r="A212" s="110" t="s">
        <v>2709</v>
      </c>
      <c r="B212" s="111" t="s">
        <v>2603</v>
      </c>
      <c r="C212" s="110"/>
      <c r="D212" s="111">
        <v>2</v>
      </c>
      <c r="E212" s="111"/>
      <c r="F212" s="111"/>
      <c r="G212" s="111"/>
      <c r="H212" s="111" t="s">
        <v>2711</v>
      </c>
      <c r="I212" s="110"/>
      <c r="J212" s="170"/>
      <c r="K212" s="117"/>
      <c r="L212" s="117"/>
      <c r="M212" s="117"/>
      <c r="N212" s="117"/>
      <c r="O212" s="110"/>
      <c r="P212" s="117"/>
      <c r="Q212" s="117">
        <v>27220</v>
      </c>
      <c r="R212" s="117"/>
      <c r="S212" s="117"/>
      <c r="T212" s="171"/>
      <c r="U212" s="171"/>
      <c r="V212" s="110"/>
      <c r="W212" s="118"/>
      <c r="X212" s="117">
        <v>20000</v>
      </c>
      <c r="Y212" s="110"/>
    </row>
    <row r="214" spans="1:25" x14ac:dyDescent="0.15">
      <c r="A214" s="110" t="s">
        <v>2709</v>
      </c>
      <c r="B214" s="111" t="s">
        <v>2577</v>
      </c>
      <c r="C214" s="110"/>
      <c r="D214" s="111"/>
      <c r="E214" s="111"/>
      <c r="F214" s="111"/>
      <c r="G214" s="111"/>
      <c r="H214" s="111"/>
      <c r="I214" s="110"/>
      <c r="J214" s="170"/>
      <c r="K214" s="117"/>
      <c r="L214" s="117"/>
      <c r="M214" s="117"/>
      <c r="N214" s="117"/>
      <c r="O214" s="110"/>
      <c r="P214" s="117"/>
      <c r="Q214" s="117">
        <f>SUM(Q211:Q213)</f>
        <v>44985</v>
      </c>
      <c r="R214" s="117"/>
      <c r="S214" s="117"/>
      <c r="T214" s="171"/>
      <c r="U214" s="171"/>
      <c r="V214" s="110"/>
      <c r="W214" s="118"/>
      <c r="X214" s="159">
        <f>SUM(X211:X213)</f>
        <v>41945</v>
      </c>
      <c r="Y214" s="110"/>
    </row>
    <row r="215" spans="1:25" x14ac:dyDescent="0.15">
      <c r="A215" s="172"/>
      <c r="B215" s="173"/>
      <c r="C215" s="172"/>
      <c r="D215" s="173"/>
      <c r="E215" s="173"/>
      <c r="F215" s="173"/>
      <c r="G215" s="173"/>
      <c r="H215" s="173"/>
      <c r="I215" s="172"/>
      <c r="J215" s="174"/>
      <c r="K215" s="175"/>
      <c r="L215" s="175"/>
      <c r="M215" s="175"/>
      <c r="N215" s="175"/>
      <c r="O215" s="172"/>
      <c r="P215" s="175"/>
      <c r="Q215" s="175"/>
      <c r="R215" s="175"/>
      <c r="S215" s="176"/>
      <c r="T215" s="176"/>
      <c r="U215" s="176"/>
      <c r="V215" s="172"/>
      <c r="W215" s="177"/>
      <c r="X215" s="175"/>
      <c r="Y215" s="176"/>
    </row>
    <row r="216" spans="1:25" x14ac:dyDescent="0.15">
      <c r="A216" s="110" t="s">
        <v>2712</v>
      </c>
      <c r="B216" s="111" t="s">
        <v>2713</v>
      </c>
      <c r="C216" s="110"/>
      <c r="D216" s="111">
        <v>7</v>
      </c>
      <c r="E216" s="111"/>
      <c r="F216" s="111"/>
      <c r="G216" s="111"/>
      <c r="H216" s="111" t="s">
        <v>2714</v>
      </c>
      <c r="I216" s="110"/>
      <c r="J216" s="170"/>
      <c r="K216" s="117"/>
      <c r="L216" s="117"/>
      <c r="M216" s="117"/>
      <c r="N216" s="117"/>
      <c r="O216" s="110"/>
      <c r="P216" s="117"/>
      <c r="Q216" s="117">
        <v>37396</v>
      </c>
      <c r="R216" s="117"/>
      <c r="S216" s="117"/>
      <c r="T216" s="171"/>
      <c r="U216" s="171"/>
      <c r="V216" s="110"/>
      <c r="W216" s="118"/>
      <c r="X216" s="117">
        <v>37396</v>
      </c>
      <c r="Y216" s="110"/>
    </row>
    <row r="217" spans="1:25" x14ac:dyDescent="0.15">
      <c r="A217" s="110" t="s">
        <v>2712</v>
      </c>
      <c r="B217" s="111" t="s">
        <v>2591</v>
      </c>
      <c r="C217" s="110"/>
      <c r="D217" s="111">
        <v>7</v>
      </c>
      <c r="E217" s="111"/>
      <c r="F217" s="111"/>
      <c r="G217" s="111"/>
      <c r="H217" s="111" t="s">
        <v>2706</v>
      </c>
      <c r="I217" s="110"/>
      <c r="J217" s="170"/>
      <c r="K217" s="117"/>
      <c r="L217" s="117"/>
      <c r="M217" s="117"/>
      <c r="N217" s="117"/>
      <c r="O217" s="110"/>
      <c r="P217" s="117"/>
      <c r="Q217" s="117">
        <v>14057</v>
      </c>
      <c r="R217" s="117"/>
      <c r="S217" s="117"/>
      <c r="T217" s="171"/>
      <c r="U217" s="171"/>
      <c r="V217" s="110"/>
      <c r="W217" s="118"/>
      <c r="X217" s="117"/>
      <c r="Y217" s="110"/>
    </row>
    <row r="218" spans="1:25" x14ac:dyDescent="0.15">
      <c r="A218" s="110"/>
      <c r="B218" s="111"/>
      <c r="C218" s="110"/>
      <c r="D218" s="111"/>
      <c r="E218" s="111"/>
      <c r="F218" s="111"/>
      <c r="G218" s="111"/>
      <c r="H218" s="111"/>
      <c r="I218" s="110"/>
      <c r="J218" s="170"/>
      <c r="K218" s="117"/>
      <c r="L218" s="117"/>
      <c r="M218" s="117"/>
      <c r="N218" s="117"/>
      <c r="O218" s="110"/>
      <c r="P218" s="117"/>
      <c r="Q218" s="117"/>
      <c r="R218" s="117"/>
      <c r="S218" s="117"/>
      <c r="T218" s="171"/>
      <c r="U218" s="171"/>
      <c r="V218" s="110"/>
      <c r="W218" s="118"/>
      <c r="X218" s="117"/>
      <c r="Y218" s="110"/>
    </row>
    <row r="219" spans="1:25" x14ac:dyDescent="0.15">
      <c r="A219" s="110" t="s">
        <v>2712</v>
      </c>
      <c r="B219" s="111" t="s">
        <v>2577</v>
      </c>
      <c r="C219" s="110"/>
      <c r="D219" s="111"/>
      <c r="E219" s="111"/>
      <c r="F219" s="111"/>
      <c r="G219" s="111"/>
      <c r="H219" s="111"/>
      <c r="I219" s="110"/>
      <c r="J219" s="170"/>
      <c r="K219" s="117"/>
      <c r="L219" s="117"/>
      <c r="M219" s="117"/>
      <c r="N219" s="117"/>
      <c r="O219" s="110"/>
      <c r="P219" s="117"/>
      <c r="Q219" s="117">
        <f>SUM(Q216:Q218)</f>
        <v>51453</v>
      </c>
      <c r="R219" s="117"/>
      <c r="S219" s="117"/>
      <c r="T219" s="171"/>
      <c r="U219" s="171"/>
      <c r="V219" s="110"/>
      <c r="W219" s="118"/>
      <c r="X219" s="117">
        <f>SUM(X216:X218)</f>
        <v>37396</v>
      </c>
      <c r="Y219" s="110"/>
    </row>
    <row r="220" spans="1:25" x14ac:dyDescent="0.15">
      <c r="A220" s="172"/>
      <c r="B220" s="173"/>
      <c r="C220" s="172"/>
      <c r="D220" s="173"/>
      <c r="E220" s="173"/>
      <c r="F220" s="173"/>
      <c r="G220" s="173"/>
      <c r="H220" s="173"/>
      <c r="I220" s="172"/>
      <c r="J220" s="174"/>
      <c r="K220" s="175"/>
      <c r="L220" s="175"/>
      <c r="M220" s="175"/>
      <c r="N220" s="175"/>
      <c r="O220" s="172"/>
      <c r="P220" s="175"/>
      <c r="Q220" s="175"/>
      <c r="R220" s="175"/>
      <c r="S220" s="176"/>
      <c r="T220" s="176"/>
      <c r="U220" s="176"/>
      <c r="V220" s="172"/>
      <c r="W220" s="177"/>
      <c r="X220" s="175"/>
      <c r="Y220" s="176"/>
    </row>
    <row r="221" spans="1:25" x14ac:dyDescent="0.15">
      <c r="A221" s="110" t="s">
        <v>2715</v>
      </c>
      <c r="B221" s="111" t="s">
        <v>2591</v>
      </c>
      <c r="C221" s="110"/>
      <c r="D221" s="111">
        <v>4</v>
      </c>
      <c r="E221" s="111"/>
      <c r="F221" s="111"/>
      <c r="G221" s="111"/>
      <c r="H221" s="111" t="s">
        <v>2706</v>
      </c>
      <c r="I221" s="110"/>
      <c r="J221" s="170"/>
      <c r="K221" s="117"/>
      <c r="L221" s="117"/>
      <c r="M221" s="117"/>
      <c r="N221" s="117"/>
      <c r="O221" s="110"/>
      <c r="P221" s="117"/>
      <c r="Q221" s="117">
        <f>5203+22297.02</f>
        <v>27500.02</v>
      </c>
      <c r="R221" s="117"/>
      <c r="S221" s="117"/>
      <c r="T221" s="171"/>
      <c r="U221" s="171"/>
      <c r="V221" s="110"/>
      <c r="W221" s="118"/>
      <c r="X221" s="117">
        <v>27500</v>
      </c>
      <c r="Y221" s="110"/>
    </row>
    <row r="222" spans="1:25" x14ac:dyDescent="0.15">
      <c r="A222" s="110"/>
      <c r="B222" s="111"/>
      <c r="C222" s="110"/>
      <c r="D222" s="111"/>
      <c r="E222" s="111"/>
      <c r="F222" s="111"/>
      <c r="G222" s="111"/>
      <c r="H222" s="111"/>
      <c r="I222" s="110"/>
      <c r="J222" s="170"/>
      <c r="K222" s="117"/>
      <c r="L222" s="117"/>
      <c r="M222" s="117"/>
      <c r="N222" s="117"/>
      <c r="O222" s="110"/>
      <c r="P222" s="117"/>
      <c r="Q222" s="117"/>
      <c r="R222" s="117"/>
      <c r="S222" s="117"/>
      <c r="T222" s="171"/>
      <c r="U222" s="171"/>
      <c r="V222" s="110"/>
      <c r="W222" s="118"/>
      <c r="X222" s="117"/>
      <c r="Y222" s="110"/>
    </row>
    <row r="223" spans="1:25" x14ac:dyDescent="0.15">
      <c r="A223" s="110" t="s">
        <v>2715</v>
      </c>
      <c r="B223" s="111" t="s">
        <v>2577</v>
      </c>
      <c r="C223" s="110"/>
      <c r="D223" s="111"/>
      <c r="E223" s="111"/>
      <c r="F223" s="111"/>
      <c r="G223" s="111"/>
      <c r="H223" s="111"/>
      <c r="I223" s="110"/>
      <c r="J223" s="170"/>
      <c r="K223" s="117"/>
      <c r="L223" s="117"/>
      <c r="M223" s="117"/>
      <c r="N223" s="117"/>
      <c r="O223" s="110"/>
      <c r="P223" s="117"/>
      <c r="Q223" s="117">
        <f>SUM(Q221:Q222)</f>
        <v>27500.02</v>
      </c>
      <c r="R223" s="117"/>
      <c r="S223" s="117"/>
      <c r="T223" s="171"/>
      <c r="U223" s="171"/>
      <c r="V223" s="110"/>
      <c r="W223" s="118"/>
      <c r="X223" s="117">
        <f>SUM(X221:X222)</f>
        <v>27500</v>
      </c>
      <c r="Y223" s="110"/>
    </row>
    <row r="224" spans="1:25" x14ac:dyDescent="0.15">
      <c r="A224" s="172"/>
      <c r="B224" s="173"/>
      <c r="C224" s="172"/>
      <c r="D224" s="173"/>
      <c r="E224" s="173"/>
      <c r="F224" s="173"/>
      <c r="G224" s="173"/>
      <c r="H224" s="173"/>
      <c r="I224" s="172"/>
      <c r="J224" s="174"/>
      <c r="K224" s="175"/>
      <c r="L224" s="175"/>
      <c r="M224" s="175"/>
      <c r="N224" s="175"/>
      <c r="O224" s="172"/>
      <c r="P224" s="175"/>
      <c r="Q224" s="175"/>
      <c r="R224" s="175"/>
      <c r="S224" s="176"/>
      <c r="T224" s="176"/>
      <c r="U224" s="176"/>
      <c r="V224" s="172"/>
      <c r="W224" s="177"/>
      <c r="X224" s="175"/>
      <c r="Y224" s="176"/>
    </row>
    <row r="225" spans="1:26" x14ac:dyDescent="0.15">
      <c r="A225" s="110" t="s">
        <v>2716</v>
      </c>
      <c r="B225" s="111" t="s">
        <v>37</v>
      </c>
      <c r="C225" s="110"/>
      <c r="D225" s="111">
        <v>7</v>
      </c>
      <c r="E225" s="111">
        <v>763</v>
      </c>
      <c r="F225" s="15">
        <v>159001</v>
      </c>
      <c r="G225" s="16">
        <v>113051019</v>
      </c>
      <c r="H225" s="111" t="s">
        <v>2717</v>
      </c>
      <c r="I225" s="110"/>
      <c r="J225" s="117">
        <f>1.5+3.25+3</f>
        <v>7.75</v>
      </c>
      <c r="K225" s="117">
        <f>188.47+84.84</f>
        <v>273.31</v>
      </c>
      <c r="L225" s="117"/>
      <c r="M225" s="117">
        <v>5372.29</v>
      </c>
      <c r="N225" s="117"/>
      <c r="O225" s="110"/>
      <c r="P225" s="117">
        <f>SUM(K225:N225)</f>
        <v>5645.6</v>
      </c>
      <c r="Q225" s="117">
        <v>15411</v>
      </c>
      <c r="R225" s="117">
        <f t="shared" ref="R225:R227" si="209">Q225-P225</f>
        <v>9765.4</v>
      </c>
      <c r="S225" s="171">
        <f t="shared" ref="S225:S226" si="210">M225/Q225</f>
        <v>0.34860099928622412</v>
      </c>
      <c r="T225" s="171">
        <f t="shared" ref="T225:T227" si="211">R225/Q225</f>
        <v>0.63366426578418011</v>
      </c>
      <c r="U225" s="171">
        <f t="shared" ref="U225:U226" si="212">1-0.408</f>
        <v>0.59200000000000008</v>
      </c>
      <c r="V225" s="110"/>
      <c r="W225" s="118">
        <f t="shared" ref="W225:W227" si="213">K225/J225</f>
        <v>35.265806451612903</v>
      </c>
      <c r="X225" s="110"/>
      <c r="Y225" s="110"/>
      <c r="Z225" s="110" t="s">
        <v>2718</v>
      </c>
    </row>
    <row r="226" spans="1:26" x14ac:dyDescent="0.15">
      <c r="A226" s="110" t="s">
        <v>2716</v>
      </c>
      <c r="B226" s="111" t="s">
        <v>37</v>
      </c>
      <c r="C226" s="110"/>
      <c r="D226" s="111">
        <v>7</v>
      </c>
      <c r="E226" s="111">
        <v>764</v>
      </c>
      <c r="F226" s="15">
        <v>159001</v>
      </c>
      <c r="G226" s="16">
        <v>220100119</v>
      </c>
      <c r="H226" s="111" t="s">
        <v>43</v>
      </c>
      <c r="I226" s="110"/>
      <c r="J226" s="117">
        <v>4.5</v>
      </c>
      <c r="K226" s="117">
        <f>121.68+54.77</f>
        <v>176.45000000000002</v>
      </c>
      <c r="L226" s="117"/>
      <c r="M226" s="117">
        <v>2630.12</v>
      </c>
      <c r="N226" s="117"/>
      <c r="O226" s="110"/>
      <c r="P226" s="117">
        <f t="shared" ref="P226:P227" si="214">SUM(K226:N226)</f>
        <v>2806.5699999999997</v>
      </c>
      <c r="Q226" s="117">
        <v>4900</v>
      </c>
      <c r="R226" s="117">
        <f t="shared" si="209"/>
        <v>2093.4300000000003</v>
      </c>
      <c r="S226" s="171">
        <f t="shared" si="210"/>
        <v>0.53675918367346942</v>
      </c>
      <c r="T226" s="171">
        <f t="shared" si="211"/>
        <v>0.427230612244898</v>
      </c>
      <c r="U226" s="171">
        <f t="shared" si="212"/>
        <v>0.59200000000000008</v>
      </c>
      <c r="V226" s="110"/>
      <c r="W226" s="118">
        <f t="shared" si="213"/>
        <v>39.211111111111116</v>
      </c>
      <c r="X226" s="110"/>
      <c r="Y226" s="110"/>
      <c r="Z226" s="110"/>
    </row>
    <row r="227" spans="1:26" x14ac:dyDescent="0.15">
      <c r="A227" s="110" t="s">
        <v>2716</v>
      </c>
      <c r="B227" s="111" t="s">
        <v>47</v>
      </c>
      <c r="C227" s="110"/>
      <c r="D227" s="111">
        <v>7</v>
      </c>
      <c r="E227" s="111">
        <v>766</v>
      </c>
      <c r="F227" s="15">
        <v>159001</v>
      </c>
      <c r="G227" s="16">
        <v>113051119</v>
      </c>
      <c r="H227" s="111" t="s">
        <v>70</v>
      </c>
      <c r="I227" s="110"/>
      <c r="J227" s="117">
        <v>36</v>
      </c>
      <c r="K227" s="117">
        <f>1112.76+500.76</f>
        <v>1613.52</v>
      </c>
      <c r="L227" s="117">
        <v>1986.1</v>
      </c>
      <c r="M227" s="117"/>
      <c r="N227" s="117"/>
      <c r="O227" s="110"/>
      <c r="P227" s="117">
        <f t="shared" si="214"/>
        <v>3599.62</v>
      </c>
      <c r="Q227" s="117">
        <v>6500</v>
      </c>
      <c r="R227" s="117">
        <f t="shared" si="209"/>
        <v>2900.38</v>
      </c>
      <c r="S227" s="171">
        <f>M227/Q227</f>
        <v>0</v>
      </c>
      <c r="T227" s="171">
        <f t="shared" si="211"/>
        <v>0.44621230769230769</v>
      </c>
      <c r="U227" s="171">
        <f>1-0.529</f>
        <v>0.47099999999999997</v>
      </c>
      <c r="V227" s="110"/>
      <c r="W227" s="118">
        <f t="shared" si="213"/>
        <v>44.82</v>
      </c>
      <c r="X227" s="110"/>
      <c r="Y227" s="110"/>
      <c r="Z227" s="110"/>
    </row>
    <row r="228" spans="1:26" x14ac:dyDescent="0.15">
      <c r="A228" s="110"/>
      <c r="B228" s="111"/>
      <c r="C228" s="110"/>
      <c r="D228" s="111"/>
      <c r="E228" s="111"/>
      <c r="F228" s="15"/>
      <c r="G228" s="111"/>
      <c r="H228" s="111"/>
      <c r="I228" s="110"/>
      <c r="J228" s="117"/>
      <c r="K228" s="117"/>
      <c r="L228" s="117"/>
      <c r="M228" s="117"/>
      <c r="N228" s="117"/>
      <c r="O228" s="110"/>
      <c r="P228" s="117"/>
      <c r="Q228" s="117"/>
      <c r="R228" s="117"/>
      <c r="S228" s="117"/>
      <c r="T228" s="171"/>
      <c r="U228" s="171"/>
      <c r="V228" s="110"/>
      <c r="W228" s="118"/>
      <c r="X228" s="110"/>
      <c r="Y228" s="110"/>
      <c r="Z228" s="110"/>
    </row>
    <row r="229" spans="1:26" x14ac:dyDescent="0.15">
      <c r="A229" s="110" t="s">
        <v>2716</v>
      </c>
      <c r="B229" s="111" t="s">
        <v>2577</v>
      </c>
      <c r="C229" s="110"/>
      <c r="D229" s="111"/>
      <c r="E229" s="111"/>
      <c r="F229" s="15"/>
      <c r="G229" s="111"/>
      <c r="H229" s="111"/>
      <c r="I229" s="110"/>
      <c r="J229" s="117">
        <f>SUM(J225:J228)</f>
        <v>48.25</v>
      </c>
      <c r="K229" s="117">
        <f t="shared" ref="K229:N229" si="215">SUM(K225:K228)</f>
        <v>2063.2799999999997</v>
      </c>
      <c r="L229" s="117">
        <f t="shared" si="215"/>
        <v>1986.1</v>
      </c>
      <c r="M229" s="117">
        <f t="shared" si="215"/>
        <v>8002.41</v>
      </c>
      <c r="N229" s="117">
        <f t="shared" si="215"/>
        <v>0</v>
      </c>
      <c r="O229" s="110"/>
      <c r="P229" s="117">
        <f>SUM(K229:N229)</f>
        <v>12051.789999999999</v>
      </c>
      <c r="Q229" s="117">
        <f>SUM(Q225:Q228)</f>
        <v>26811</v>
      </c>
      <c r="R229" s="117">
        <f>SUM(R227:R228)</f>
        <v>2900.38</v>
      </c>
      <c r="S229" s="171">
        <f t="shared" ref="S229:S231" si="216">M229/Q229</f>
        <v>0.29847487971355041</v>
      </c>
      <c r="T229" s="171">
        <f>R229/Q229</f>
        <v>0.10817873260974974</v>
      </c>
      <c r="U229" s="171">
        <f>((Q225*U225)+(Q226*U226)+(Q227*U227))/Q229</f>
        <v>0.56266502554921494</v>
      </c>
      <c r="V229" s="110"/>
      <c r="W229" s="118">
        <f t="shared" ref="W229:W230" si="217">K229/J229</f>
        <v>42.762279792746106</v>
      </c>
      <c r="X229" s="110"/>
      <c r="Y229" s="110"/>
      <c r="Z229" s="110"/>
    </row>
    <row r="230" spans="1:26" x14ac:dyDescent="0.15">
      <c r="A230" s="110" t="s">
        <v>2716</v>
      </c>
      <c r="B230" s="111" t="s">
        <v>55</v>
      </c>
      <c r="C230" s="110"/>
      <c r="D230" s="111"/>
      <c r="E230" s="111">
        <v>765</v>
      </c>
      <c r="F230" s="15">
        <v>159001</v>
      </c>
      <c r="G230" s="111" t="s">
        <v>56</v>
      </c>
      <c r="H230" s="111"/>
      <c r="I230" s="110"/>
      <c r="J230" s="117">
        <v>12</v>
      </c>
      <c r="K230" s="117">
        <f>330+148.56</f>
        <v>478.56</v>
      </c>
      <c r="L230" s="117">
        <v>1563.73</v>
      </c>
      <c r="M230" s="117">
        <v>500</v>
      </c>
      <c r="N230" s="117">
        <f>2189-L230</f>
        <v>625.27</v>
      </c>
      <c r="O230" s="110"/>
      <c r="P230" s="117">
        <f t="shared" ref="P230" si="218">SUM(K230:N230)</f>
        <v>3167.56</v>
      </c>
      <c r="Q230" s="117">
        <v>2189</v>
      </c>
      <c r="R230" s="117">
        <f t="shared" ref="R230" si="219">Q230-P230</f>
        <v>-978.56</v>
      </c>
      <c r="S230" s="171">
        <f t="shared" si="216"/>
        <v>0.22841480127912289</v>
      </c>
      <c r="T230" s="123">
        <f t="shared" ref="T230:T231" si="220">R230/Q230</f>
        <v>-0.44703517587939695</v>
      </c>
      <c r="U230" s="171">
        <v>0</v>
      </c>
      <c r="V230" s="110"/>
      <c r="W230" s="118">
        <f t="shared" si="217"/>
        <v>39.880000000000003</v>
      </c>
      <c r="X230" s="110"/>
      <c r="Y230" s="110"/>
      <c r="Z230" s="110"/>
    </row>
    <row r="231" spans="1:26" x14ac:dyDescent="0.15">
      <c r="A231" s="110" t="s">
        <v>2716</v>
      </c>
      <c r="B231" s="111" t="s">
        <v>2600</v>
      </c>
      <c r="C231" s="110"/>
      <c r="D231" s="111"/>
      <c r="E231" s="111"/>
      <c r="F231" s="111"/>
      <c r="G231" s="111"/>
      <c r="H231" s="111"/>
      <c r="I231" s="110"/>
      <c r="J231" s="117">
        <f>J225+J226</f>
        <v>12.25</v>
      </c>
      <c r="K231" s="117">
        <f t="shared" ref="K231:M231" si="221">K225+K226</f>
        <v>449.76</v>
      </c>
      <c r="L231" s="117">
        <f t="shared" si="221"/>
        <v>0</v>
      </c>
      <c r="M231" s="117">
        <f t="shared" si="221"/>
        <v>8002.41</v>
      </c>
      <c r="N231" s="117"/>
      <c r="O231" s="110"/>
      <c r="P231" s="117">
        <f>SUM(K231:N231)</f>
        <v>8452.17</v>
      </c>
      <c r="Q231" s="117">
        <f>Q225+Q226</f>
        <v>20311</v>
      </c>
      <c r="R231" s="117">
        <f>R225+R226</f>
        <v>11858.83</v>
      </c>
      <c r="S231" s="171">
        <f t="shared" si="216"/>
        <v>0.39399389493377973</v>
      </c>
      <c r="T231" s="171">
        <f t="shared" si="220"/>
        <v>0.58386243907242386</v>
      </c>
      <c r="U231" s="171">
        <f>((Q225*U225)+(Q226*U226))/Q231</f>
        <v>0.59200000000000008</v>
      </c>
      <c r="V231" s="110"/>
      <c r="W231" s="118">
        <f>K231/J231</f>
        <v>36.715102040816326</v>
      </c>
      <c r="X231" s="110"/>
      <c r="Y231" s="110"/>
      <c r="Z231" s="110"/>
    </row>
    <row r="232" spans="1:26" x14ac:dyDescent="0.15">
      <c r="A232" s="172"/>
      <c r="B232" s="173"/>
      <c r="C232" s="172"/>
      <c r="D232" s="173"/>
      <c r="E232" s="173"/>
      <c r="F232" s="173"/>
      <c r="G232" s="173"/>
      <c r="H232" s="173"/>
      <c r="I232" s="172"/>
      <c r="J232" s="174"/>
      <c r="K232" s="175"/>
      <c r="L232" s="175"/>
      <c r="M232" s="175"/>
      <c r="N232" s="175"/>
      <c r="O232" s="172"/>
      <c r="P232" s="175"/>
      <c r="Q232" s="175"/>
      <c r="R232" s="175"/>
      <c r="S232" s="176"/>
      <c r="T232" s="176"/>
      <c r="U232" s="176"/>
      <c r="V232" s="172"/>
      <c r="W232" s="177"/>
      <c r="X232" s="175"/>
      <c r="Y232" s="176"/>
      <c r="Z232" s="110"/>
    </row>
    <row r="233" spans="1:26" x14ac:dyDescent="0.15">
      <c r="A233" s="110" t="s">
        <v>299</v>
      </c>
      <c r="B233" s="111" t="s">
        <v>2591</v>
      </c>
      <c r="C233" s="110"/>
      <c r="D233" s="111">
        <v>4</v>
      </c>
      <c r="E233" s="111"/>
      <c r="F233" s="111"/>
      <c r="G233" s="111"/>
      <c r="H233" s="111" t="s">
        <v>2719</v>
      </c>
      <c r="I233" s="110"/>
      <c r="J233" s="170"/>
      <c r="K233" s="117"/>
      <c r="L233" s="117"/>
      <c r="M233" s="117"/>
      <c r="N233" s="117"/>
      <c r="O233" s="110"/>
      <c r="P233" s="117"/>
      <c r="Q233" s="117">
        <v>4000</v>
      </c>
      <c r="R233" s="117"/>
      <c r="S233" s="117"/>
      <c r="T233" s="171"/>
      <c r="U233" s="171"/>
      <c r="V233" s="110"/>
      <c r="W233" s="118"/>
      <c r="X233" s="110"/>
      <c r="Y233" s="110"/>
      <c r="Z233" s="110" t="s">
        <v>2718</v>
      </c>
    </row>
    <row r="234" spans="1:26" x14ac:dyDescent="0.15">
      <c r="A234" s="110" t="s">
        <v>299</v>
      </c>
      <c r="B234" s="111" t="s">
        <v>180</v>
      </c>
      <c r="C234" s="110"/>
      <c r="D234" s="111">
        <v>6</v>
      </c>
      <c r="E234" s="111">
        <v>774</v>
      </c>
      <c r="F234" s="15">
        <v>158815</v>
      </c>
      <c r="G234" s="16">
        <v>110030819</v>
      </c>
      <c r="H234" s="111" t="s">
        <v>2720</v>
      </c>
      <c r="I234" s="110"/>
      <c r="J234" s="170">
        <f>10.5+9.5+1.5</f>
        <v>21.5</v>
      </c>
      <c r="K234" s="117">
        <f>553.54+249.14</f>
        <v>802.68</v>
      </c>
      <c r="L234" s="117"/>
      <c r="M234" s="117">
        <v>2031.73</v>
      </c>
      <c r="N234" s="117"/>
      <c r="O234" s="110"/>
      <c r="P234" s="117">
        <f>SUM(K234:N234)</f>
        <v>2834.41</v>
      </c>
      <c r="Q234" s="117">
        <v>9743.1</v>
      </c>
      <c r="R234" s="117">
        <f t="shared" ref="R234:R235" si="222">Q234-P234</f>
        <v>6908.6900000000005</v>
      </c>
      <c r="S234" s="171">
        <f t="shared" ref="S234:S235" si="223">M234/Q234</f>
        <v>0.20853013927805317</v>
      </c>
      <c r="T234" s="171">
        <f t="shared" ref="T234:T235" si="224">R234/Q234</f>
        <v>0.70908540402951836</v>
      </c>
      <c r="U234" s="171">
        <f t="shared" ref="U234" si="225">1-0.408</f>
        <v>0.59200000000000008</v>
      </c>
      <c r="V234" s="110"/>
      <c r="W234" s="118">
        <f t="shared" ref="W234:W235" si="226">K234/J234</f>
        <v>37.333953488372089</v>
      </c>
      <c r="X234" s="110"/>
      <c r="Y234" s="110"/>
      <c r="Z234" s="110"/>
    </row>
    <row r="235" spans="1:26" x14ac:dyDescent="0.15">
      <c r="A235" s="110" t="s">
        <v>299</v>
      </c>
      <c r="B235" s="111" t="s">
        <v>47</v>
      </c>
      <c r="C235" s="110"/>
      <c r="D235" s="111">
        <v>6</v>
      </c>
      <c r="E235" s="111">
        <v>775</v>
      </c>
      <c r="F235" s="15">
        <v>158815</v>
      </c>
      <c r="G235" s="16">
        <v>110030119</v>
      </c>
      <c r="H235" s="111" t="s">
        <v>70</v>
      </c>
      <c r="I235" s="110"/>
      <c r="J235" s="170">
        <v>17</v>
      </c>
      <c r="K235" s="117">
        <f>525.47+236.47</f>
        <v>761.94</v>
      </c>
      <c r="L235" s="117">
        <v>622.26</v>
      </c>
      <c r="M235" s="117"/>
      <c r="N235" s="117"/>
      <c r="O235" s="110"/>
      <c r="P235" s="117">
        <f>SUM(K235:N235)</f>
        <v>1384.2</v>
      </c>
      <c r="Q235" s="117">
        <v>2289</v>
      </c>
      <c r="R235" s="117">
        <f t="shared" si="222"/>
        <v>904.8</v>
      </c>
      <c r="S235" s="171">
        <f t="shared" si="223"/>
        <v>0</v>
      </c>
      <c r="T235" s="171">
        <f t="shared" si="224"/>
        <v>0.3952817824377457</v>
      </c>
      <c r="U235" s="171">
        <f>1-0.529</f>
        <v>0.47099999999999997</v>
      </c>
      <c r="V235" s="110"/>
      <c r="W235" s="118">
        <f t="shared" si="226"/>
        <v>44.82</v>
      </c>
      <c r="X235" s="110"/>
      <c r="Y235" s="110"/>
      <c r="Z235" s="110"/>
    </row>
    <row r="237" spans="1:26" x14ac:dyDescent="0.15">
      <c r="A237" s="110" t="s">
        <v>299</v>
      </c>
      <c r="B237" s="111" t="s">
        <v>2577</v>
      </c>
      <c r="C237" s="110"/>
      <c r="D237" s="111"/>
      <c r="E237" s="111"/>
      <c r="F237" s="15"/>
      <c r="G237" s="111"/>
      <c r="H237" s="111"/>
      <c r="I237" s="110"/>
      <c r="J237" s="170">
        <f>SUM(J234:J236)</f>
        <v>38.5</v>
      </c>
      <c r="K237" s="170">
        <f t="shared" ref="K237:M237" si="227">SUM(K234:K236)</f>
        <v>1564.62</v>
      </c>
      <c r="L237" s="170">
        <f t="shared" si="227"/>
        <v>622.26</v>
      </c>
      <c r="M237" s="170">
        <f t="shared" si="227"/>
        <v>2031.73</v>
      </c>
      <c r="N237" s="117"/>
      <c r="O237" s="110"/>
      <c r="P237" s="117">
        <f>SUM(P234:P236)</f>
        <v>4218.6099999999997</v>
      </c>
      <c r="Q237" s="117">
        <f>SUM(Q233:Q236)</f>
        <v>16032.1</v>
      </c>
      <c r="R237" s="117">
        <f t="shared" ref="R237" si="228">SUM(R233:R236)</f>
        <v>7813.4900000000007</v>
      </c>
      <c r="S237" s="171">
        <f t="shared" ref="S237:S238" si="229">M237/Q237</f>
        <v>0.12672887519414175</v>
      </c>
      <c r="T237" s="171">
        <f>R237/Q237</f>
        <v>0.48736534827003331</v>
      </c>
      <c r="U237" s="171">
        <f>((Q233*U233)+(Q234*U234)+(Q235*U235))/Q237</f>
        <v>0.42702042776679294</v>
      </c>
      <c r="V237" s="110"/>
      <c r="W237" s="118">
        <f t="shared" ref="W237:W238" si="230">K237/J237</f>
        <v>40.639480519480514</v>
      </c>
      <c r="X237" s="110"/>
      <c r="Y237" s="110"/>
      <c r="Z237" s="110"/>
    </row>
    <row r="238" spans="1:26" x14ac:dyDescent="0.15">
      <c r="A238" s="110" t="s">
        <v>299</v>
      </c>
      <c r="B238" s="111" t="s">
        <v>2600</v>
      </c>
      <c r="C238" s="110"/>
      <c r="D238" s="111"/>
      <c r="E238" s="111"/>
      <c r="F238" s="111"/>
      <c r="G238" s="111"/>
      <c r="H238" s="111"/>
      <c r="I238" s="110"/>
      <c r="J238" s="170">
        <f>J234</f>
        <v>21.5</v>
      </c>
      <c r="K238" s="170">
        <f t="shared" ref="K238:M238" si="231">K234</f>
        <v>802.68</v>
      </c>
      <c r="L238" s="170">
        <f t="shared" si="231"/>
        <v>0</v>
      </c>
      <c r="M238" s="170">
        <f t="shared" si="231"/>
        <v>2031.73</v>
      </c>
      <c r="N238" s="117"/>
      <c r="O238" s="110"/>
      <c r="P238" s="117">
        <f>P234</f>
        <v>2834.41</v>
      </c>
      <c r="Q238" s="117">
        <f>Q234</f>
        <v>9743.1</v>
      </c>
      <c r="R238" s="117">
        <f>R234</f>
        <v>6908.6900000000005</v>
      </c>
      <c r="S238" s="171">
        <f t="shared" si="229"/>
        <v>0.20853013927805317</v>
      </c>
      <c r="T238" s="171">
        <f t="shared" ref="T238" si="232">R238/Q238</f>
        <v>0.70908540402951836</v>
      </c>
      <c r="U238" s="171">
        <f>((Q234*U234))/Q238</f>
        <v>0.59200000000000008</v>
      </c>
      <c r="V238" s="110"/>
      <c r="W238" s="118">
        <f t="shared" si="230"/>
        <v>37.333953488372089</v>
      </c>
      <c r="X238" s="110"/>
      <c r="Y238" s="110"/>
      <c r="Z238" s="110"/>
    </row>
    <row r="239" spans="1:26" x14ac:dyDescent="0.15">
      <c r="A239" s="172"/>
      <c r="B239" s="173"/>
      <c r="C239" s="172"/>
      <c r="D239" s="173"/>
      <c r="E239" s="173"/>
      <c r="F239" s="173"/>
      <c r="G239" s="173"/>
      <c r="H239" s="173"/>
      <c r="I239" s="172"/>
      <c r="J239" s="174"/>
      <c r="K239" s="175"/>
      <c r="L239" s="175"/>
      <c r="M239" s="175"/>
      <c r="N239" s="175"/>
      <c r="O239" s="172"/>
      <c r="P239" s="175"/>
      <c r="Q239" s="175"/>
      <c r="R239" s="175"/>
      <c r="S239" s="176"/>
      <c r="T239" s="176"/>
      <c r="U239" s="176"/>
      <c r="V239" s="172"/>
      <c r="W239" s="177"/>
      <c r="X239" s="175"/>
      <c r="Y239" s="176"/>
      <c r="Z239" s="110"/>
    </row>
    <row r="240" spans="1:26" x14ac:dyDescent="0.15">
      <c r="A240" s="110" t="s">
        <v>301</v>
      </c>
      <c r="B240" s="111" t="s">
        <v>2713</v>
      </c>
      <c r="C240" s="110"/>
      <c r="D240" s="111">
        <v>4</v>
      </c>
      <c r="E240" s="111"/>
      <c r="F240" s="111"/>
      <c r="G240" s="111"/>
      <c r="H240" s="111" t="s">
        <v>2721</v>
      </c>
      <c r="I240" s="110"/>
      <c r="J240" s="170"/>
      <c r="K240" s="117"/>
      <c r="L240" s="117"/>
      <c r="M240" s="117"/>
      <c r="N240" s="117"/>
      <c r="O240" s="110"/>
      <c r="P240" s="117"/>
      <c r="Q240" s="117">
        <v>24208</v>
      </c>
      <c r="R240" s="117"/>
      <c r="S240" s="117"/>
      <c r="T240" s="171"/>
      <c r="U240" s="171"/>
      <c r="V240" s="110"/>
      <c r="W240" s="118"/>
      <c r="X240" s="117">
        <v>24208</v>
      </c>
      <c r="Y240" s="110"/>
      <c r="Z240" s="110"/>
    </row>
    <row r="242" spans="1:26" x14ac:dyDescent="0.15">
      <c r="A242" s="110" t="s">
        <v>301</v>
      </c>
      <c r="B242" s="111" t="s">
        <v>2577</v>
      </c>
      <c r="C242" s="110"/>
      <c r="D242" s="111"/>
      <c r="E242" s="111"/>
      <c r="F242" s="111"/>
      <c r="G242" s="111"/>
      <c r="H242" s="111"/>
      <c r="I242" s="110"/>
      <c r="J242" s="170"/>
      <c r="K242" s="117"/>
      <c r="L242" s="117"/>
      <c r="M242" s="117"/>
      <c r="N242" s="117"/>
      <c r="O242" s="110"/>
      <c r="P242" s="117"/>
      <c r="Q242" s="117">
        <f>SUM(Q240:Q241)</f>
        <v>24208</v>
      </c>
      <c r="R242" s="117"/>
      <c r="S242" s="117"/>
      <c r="T242" s="171"/>
      <c r="U242" s="171"/>
      <c r="V242" s="110"/>
      <c r="W242" s="118"/>
      <c r="X242" s="159">
        <f>SUM(X240:X241)</f>
        <v>24208</v>
      </c>
      <c r="Y242" s="110"/>
      <c r="Z242" s="110"/>
    </row>
    <row r="243" spans="1:26" x14ac:dyDescent="0.15">
      <c r="A243" s="172"/>
      <c r="B243" s="173"/>
      <c r="C243" s="172"/>
      <c r="D243" s="173"/>
      <c r="E243" s="173"/>
      <c r="F243" s="173"/>
      <c r="G243" s="173"/>
      <c r="H243" s="173"/>
      <c r="I243" s="172"/>
      <c r="J243" s="174"/>
      <c r="K243" s="175"/>
      <c r="L243" s="175"/>
      <c r="M243" s="175"/>
      <c r="N243" s="175"/>
      <c r="O243" s="172"/>
      <c r="P243" s="175"/>
      <c r="Q243" s="175"/>
      <c r="R243" s="175"/>
      <c r="S243" s="176"/>
      <c r="T243" s="176"/>
      <c r="U243" s="176"/>
      <c r="V243" s="172"/>
      <c r="W243" s="177"/>
      <c r="X243" s="175"/>
      <c r="Y243" s="176"/>
      <c r="Z243" s="110"/>
    </row>
    <row r="244" spans="1:26" x14ac:dyDescent="0.15">
      <c r="A244" s="110" t="s">
        <v>294</v>
      </c>
      <c r="B244" s="111" t="s">
        <v>2713</v>
      </c>
      <c r="C244" s="110"/>
      <c r="D244" s="111">
        <v>4</v>
      </c>
      <c r="E244" s="111"/>
      <c r="F244" s="111"/>
      <c r="G244" s="111"/>
      <c r="H244" s="111" t="s">
        <v>2721</v>
      </c>
      <c r="I244" s="110"/>
      <c r="J244" s="170"/>
      <c r="K244" s="117"/>
      <c r="L244" s="117"/>
      <c r="M244" s="117"/>
      <c r="N244" s="117"/>
      <c r="O244" s="110"/>
      <c r="P244" s="117"/>
      <c r="Q244" s="117">
        <v>13068</v>
      </c>
      <c r="R244" s="117"/>
      <c r="S244" s="117"/>
      <c r="T244" s="171"/>
      <c r="U244" s="171"/>
      <c r="V244" s="110"/>
      <c r="W244" s="118"/>
      <c r="X244" s="110">
        <v>12000</v>
      </c>
      <c r="Y244" s="110"/>
      <c r="Z244" s="110"/>
    </row>
    <row r="245" spans="1:26" x14ac:dyDescent="0.15">
      <c r="A245" s="110" t="s">
        <v>294</v>
      </c>
      <c r="B245" s="111" t="s">
        <v>2593</v>
      </c>
      <c r="C245" s="110"/>
      <c r="D245" s="111">
        <v>4</v>
      </c>
      <c r="E245" s="111"/>
      <c r="F245" s="111"/>
      <c r="G245" s="111"/>
      <c r="H245" s="111" t="s">
        <v>2722</v>
      </c>
      <c r="I245" s="110"/>
      <c r="J245" s="170"/>
      <c r="K245" s="117"/>
      <c r="L245" s="117"/>
      <c r="M245" s="117"/>
      <c r="N245" s="117"/>
      <c r="O245" s="110"/>
      <c r="P245" s="117"/>
      <c r="Q245" s="117">
        <v>11403</v>
      </c>
      <c r="R245" s="117"/>
      <c r="S245" s="117"/>
      <c r="T245" s="171"/>
      <c r="U245" s="171"/>
      <c r="V245" s="110"/>
      <c r="W245" s="118"/>
      <c r="X245" s="110"/>
      <c r="Y245" s="110"/>
      <c r="Z245" s="110"/>
    </row>
    <row r="247" spans="1:26" x14ac:dyDescent="0.15">
      <c r="A247" s="110" t="s">
        <v>294</v>
      </c>
      <c r="B247" s="111" t="s">
        <v>2577</v>
      </c>
      <c r="C247" s="110"/>
      <c r="D247" s="111"/>
      <c r="E247" s="111"/>
      <c r="F247" s="111"/>
      <c r="G247" s="111"/>
      <c r="H247" s="111"/>
      <c r="I247" s="110"/>
      <c r="J247" s="170"/>
      <c r="K247" s="117"/>
      <c r="L247" s="117"/>
      <c r="M247" s="117"/>
      <c r="N247" s="117"/>
      <c r="O247" s="110"/>
      <c r="P247" s="117"/>
      <c r="Q247" s="117">
        <f>SUM(Q244:Q246)</f>
        <v>24471</v>
      </c>
      <c r="R247" s="117"/>
      <c r="S247" s="117"/>
      <c r="T247" s="171"/>
      <c r="U247" s="171"/>
      <c r="V247" s="110"/>
      <c r="W247" s="118"/>
      <c r="X247" s="110">
        <f>SUM(X244:X246)</f>
        <v>12000</v>
      </c>
      <c r="Y247" s="110"/>
      <c r="Z247" s="110"/>
    </row>
    <row r="248" spans="1:26" x14ac:dyDescent="0.15">
      <c r="A248" s="172"/>
      <c r="B248" s="173"/>
      <c r="C248" s="172"/>
      <c r="D248" s="173"/>
      <c r="E248" s="173"/>
      <c r="F248" s="173"/>
      <c r="G248" s="173"/>
      <c r="H248" s="173"/>
      <c r="I248" s="172"/>
      <c r="J248" s="174"/>
      <c r="K248" s="175"/>
      <c r="L248" s="175"/>
      <c r="M248" s="175"/>
      <c r="N248" s="175"/>
      <c r="O248" s="172"/>
      <c r="P248" s="175"/>
      <c r="Q248" s="175"/>
      <c r="R248" s="175"/>
      <c r="S248" s="176"/>
      <c r="T248" s="176"/>
      <c r="U248" s="176"/>
      <c r="V248" s="172"/>
      <c r="W248" s="177"/>
      <c r="X248" s="175"/>
      <c r="Y248" s="176"/>
      <c r="Z248" s="110"/>
    </row>
    <row r="249" spans="1:26" x14ac:dyDescent="0.15">
      <c r="A249" s="110" t="s">
        <v>2723</v>
      </c>
      <c r="B249" s="111" t="s">
        <v>2713</v>
      </c>
      <c r="C249" s="110"/>
      <c r="D249" s="111">
        <v>4</v>
      </c>
      <c r="E249" s="111"/>
      <c r="F249" s="111"/>
      <c r="G249" s="111"/>
      <c r="H249" s="111" t="s">
        <v>2721</v>
      </c>
      <c r="I249" s="110"/>
      <c r="J249" s="170"/>
      <c r="K249" s="117"/>
      <c r="L249" s="117"/>
      <c r="M249" s="117"/>
      <c r="N249" s="117"/>
      <c r="O249" s="110"/>
      <c r="P249" s="117"/>
      <c r="Q249" s="117">
        <v>21765</v>
      </c>
      <c r="R249" s="117"/>
      <c r="S249" s="117"/>
      <c r="T249" s="171"/>
      <c r="U249" s="171"/>
      <c r="V249" s="110"/>
      <c r="W249" s="118"/>
      <c r="X249" s="110">
        <v>20873</v>
      </c>
      <c r="Y249" s="110"/>
      <c r="Z249" s="110"/>
    </row>
    <row r="250" spans="1:26" x14ac:dyDescent="0.15">
      <c r="A250" s="110" t="s">
        <v>2723</v>
      </c>
      <c r="B250" s="111" t="s">
        <v>2593</v>
      </c>
      <c r="C250" s="110"/>
      <c r="D250" s="111">
        <v>4</v>
      </c>
      <c r="E250" s="111"/>
      <c r="F250" s="111"/>
      <c r="G250" s="111"/>
      <c r="H250" s="111" t="s">
        <v>2722</v>
      </c>
      <c r="I250" s="110"/>
      <c r="J250" s="170"/>
      <c r="K250" s="117"/>
      <c r="L250" s="117"/>
      <c r="M250" s="117"/>
      <c r="N250" s="117"/>
      <c r="O250" s="110"/>
      <c r="P250" s="117"/>
      <c r="Q250" s="117">
        <v>13676</v>
      </c>
      <c r="R250" s="117"/>
      <c r="S250" s="117"/>
      <c r="T250" s="171"/>
      <c r="U250" s="171"/>
      <c r="V250" s="110"/>
      <c r="W250" s="118"/>
      <c r="X250" s="110">
        <v>14608</v>
      </c>
      <c r="Y250" s="110"/>
      <c r="Z250" s="110"/>
    </row>
    <row r="252" spans="1:26" x14ac:dyDescent="0.15">
      <c r="A252" s="110" t="s">
        <v>2723</v>
      </c>
      <c r="B252" s="111" t="s">
        <v>2577</v>
      </c>
      <c r="C252" s="110"/>
      <c r="D252" s="111"/>
      <c r="E252" s="111"/>
      <c r="F252" s="111"/>
      <c r="G252" s="111"/>
      <c r="H252" s="111"/>
      <c r="I252" s="110"/>
      <c r="J252" s="170"/>
      <c r="K252" s="117"/>
      <c r="L252" s="117"/>
      <c r="M252" s="117"/>
      <c r="N252" s="117"/>
      <c r="O252" s="110"/>
      <c r="P252" s="117"/>
      <c r="Q252" s="117">
        <f>SUM(Q249:Q251)</f>
        <v>35441</v>
      </c>
      <c r="R252" s="117"/>
      <c r="S252" s="117"/>
      <c r="T252" s="171"/>
      <c r="U252" s="171"/>
      <c r="V252" s="110"/>
      <c r="W252" s="118"/>
      <c r="X252" s="110">
        <f>SUM(X249:X251)</f>
        <v>35481</v>
      </c>
      <c r="Y252" s="110"/>
      <c r="Z252" s="110"/>
    </row>
    <row r="253" spans="1:26" x14ac:dyDescent="0.15">
      <c r="A253" s="172"/>
      <c r="B253" s="173"/>
      <c r="C253" s="172"/>
      <c r="D253" s="173"/>
      <c r="E253" s="173"/>
      <c r="F253" s="173"/>
      <c r="G253" s="173"/>
      <c r="H253" s="173"/>
      <c r="I253" s="172"/>
      <c r="J253" s="174"/>
      <c r="K253" s="175"/>
      <c r="L253" s="175"/>
      <c r="M253" s="175"/>
      <c r="N253" s="175"/>
      <c r="O253" s="172"/>
      <c r="P253" s="175"/>
      <c r="Q253" s="175"/>
      <c r="R253" s="175"/>
      <c r="S253" s="176"/>
      <c r="T253" s="176"/>
      <c r="U253" s="176"/>
      <c r="V253" s="172"/>
      <c r="W253" s="177"/>
      <c r="X253" s="175"/>
      <c r="Y253" s="176"/>
      <c r="Z253" s="110"/>
    </row>
    <row r="254" spans="1:26" x14ac:dyDescent="0.15">
      <c r="A254" s="110" t="s">
        <v>2724</v>
      </c>
      <c r="B254" s="111" t="s">
        <v>37</v>
      </c>
      <c r="C254" s="110"/>
      <c r="D254" s="111">
        <v>8</v>
      </c>
      <c r="E254" s="111">
        <v>704</v>
      </c>
      <c r="F254" s="15">
        <v>159199</v>
      </c>
      <c r="G254" s="111"/>
      <c r="H254" s="111" t="s">
        <v>2725</v>
      </c>
      <c r="I254" s="110"/>
      <c r="J254" s="170">
        <f>14.5+23+4.5+5.5</f>
        <v>47.5</v>
      </c>
      <c r="K254" s="117">
        <f>1196.64+538.61</f>
        <v>1735.25</v>
      </c>
      <c r="L254" s="117"/>
      <c r="M254" s="117">
        <v>12109.08</v>
      </c>
      <c r="N254" s="117"/>
      <c r="O254" s="110"/>
      <c r="P254" s="117">
        <f>SUM(K254:N254)</f>
        <v>13844.33</v>
      </c>
      <c r="Q254" s="117">
        <v>17360</v>
      </c>
      <c r="R254" s="117">
        <f t="shared" ref="R254:R255" si="233">Q254-P254</f>
        <v>3515.67</v>
      </c>
      <c r="S254" s="171">
        <f t="shared" ref="S254:S255" si="234">M254/Q254</f>
        <v>0.69752764976958526</v>
      </c>
      <c r="T254" s="171">
        <f t="shared" ref="T254:T255" si="235">R254/Q254</f>
        <v>0.2025155529953917</v>
      </c>
      <c r="U254" s="171">
        <f t="shared" ref="U254" si="236">1-0.408</f>
        <v>0.59200000000000008</v>
      </c>
      <c r="V254" s="110"/>
      <c r="W254" s="118">
        <f t="shared" ref="W254:W255" si="237">K254/J254</f>
        <v>36.531578947368423</v>
      </c>
      <c r="X254" s="110"/>
      <c r="Y254" s="110"/>
      <c r="Z254" s="110" t="s">
        <v>2718</v>
      </c>
    </row>
    <row r="255" spans="1:26" x14ac:dyDescent="0.15">
      <c r="A255" s="110" t="s">
        <v>2724</v>
      </c>
      <c r="B255" s="111" t="s">
        <v>47</v>
      </c>
      <c r="C255" s="110"/>
      <c r="D255" s="111">
        <v>8</v>
      </c>
      <c r="E255" s="111">
        <v>770</v>
      </c>
      <c r="F255" s="15">
        <v>159199</v>
      </c>
      <c r="G255" s="16">
        <v>110030119</v>
      </c>
      <c r="H255" s="111" t="s">
        <v>70</v>
      </c>
      <c r="I255" s="110"/>
      <c r="J255" s="170">
        <v>49</v>
      </c>
      <c r="K255" s="117">
        <f>1514.59+681.59</f>
        <v>2196.1799999999998</v>
      </c>
      <c r="L255" s="117">
        <v>2435.0100000000002</v>
      </c>
      <c r="M255" s="117"/>
      <c r="N255" s="117"/>
      <c r="O255" s="110"/>
      <c r="P255" s="117">
        <f>SUM(K255:N255)</f>
        <v>4631.1900000000005</v>
      </c>
      <c r="Q255" s="117">
        <v>2500</v>
      </c>
      <c r="R255" s="117">
        <f t="shared" si="233"/>
        <v>-2131.1900000000005</v>
      </c>
      <c r="S255" s="171">
        <f t="shared" si="234"/>
        <v>0</v>
      </c>
      <c r="T255" s="171">
        <f t="shared" si="235"/>
        <v>-0.85247600000000023</v>
      </c>
      <c r="U255" s="171">
        <f>1-0.529</f>
        <v>0.47099999999999997</v>
      </c>
      <c r="V255" s="110"/>
      <c r="W255" s="118">
        <f t="shared" si="237"/>
        <v>44.819999999999993</v>
      </c>
      <c r="X255" s="110"/>
      <c r="Y255" s="110"/>
      <c r="Z255" s="110"/>
    </row>
    <row r="256" spans="1:26" x14ac:dyDescent="0.15">
      <c r="A256" s="110"/>
      <c r="B256" s="111"/>
      <c r="C256" s="110"/>
      <c r="D256" s="111"/>
      <c r="E256" s="111"/>
      <c r="F256" s="15"/>
      <c r="G256" s="111"/>
      <c r="H256" s="111"/>
      <c r="I256" s="110"/>
      <c r="J256" s="170"/>
      <c r="K256" s="117"/>
      <c r="L256" s="117"/>
      <c r="M256" s="117"/>
      <c r="N256" s="117"/>
      <c r="O256" s="110"/>
      <c r="P256" s="117"/>
      <c r="Q256" s="117"/>
      <c r="R256" s="117"/>
      <c r="S256" s="117"/>
      <c r="T256" s="171"/>
      <c r="U256" s="171"/>
      <c r="V256" s="110"/>
      <c r="W256" s="118"/>
      <c r="X256" s="110"/>
      <c r="Y256" s="110"/>
      <c r="Z256" s="110"/>
    </row>
    <row r="257" spans="1:26" x14ac:dyDescent="0.15">
      <c r="A257" s="110" t="s">
        <v>2724</v>
      </c>
      <c r="B257" s="111" t="s">
        <v>2577</v>
      </c>
      <c r="C257" s="110"/>
      <c r="D257" s="111"/>
      <c r="E257" s="111"/>
      <c r="F257" s="15"/>
      <c r="G257" s="111"/>
      <c r="H257" s="111"/>
      <c r="I257" s="110"/>
      <c r="J257" s="170">
        <f>SUM(J254:J256)</f>
        <v>96.5</v>
      </c>
      <c r="K257" s="170">
        <f t="shared" ref="K257:M257" si="238">SUM(K254:K256)</f>
        <v>3931.43</v>
      </c>
      <c r="L257" s="170">
        <f t="shared" si="238"/>
        <v>2435.0100000000002</v>
      </c>
      <c r="M257" s="170">
        <f t="shared" si="238"/>
        <v>12109.08</v>
      </c>
      <c r="N257" s="117"/>
      <c r="O257" s="110"/>
      <c r="P257" s="117">
        <f>SUM(P254:P256)</f>
        <v>18475.52</v>
      </c>
      <c r="Q257" s="117">
        <f>SUM(Q254:Q256)</f>
        <v>19860</v>
      </c>
      <c r="R257" s="117">
        <f>SUM(R254:R256)</f>
        <v>1384.4799999999996</v>
      </c>
      <c r="S257" s="171">
        <f t="shared" ref="S257:S259" si="239">M257/Q257</f>
        <v>0.60972205438066462</v>
      </c>
      <c r="T257" s="171">
        <f>R257/Q257</f>
        <v>6.9711983887210449E-2</v>
      </c>
      <c r="U257" s="171">
        <f>((Q254*U254)+(Q255*U255))/Q257</f>
        <v>0.57676837865055397</v>
      </c>
      <c r="V257" s="110"/>
      <c r="W257" s="118">
        <f t="shared" ref="W257:W258" si="240">K257/J257</f>
        <v>40.740207253886005</v>
      </c>
      <c r="X257" s="110"/>
      <c r="Y257" s="110"/>
      <c r="Z257" s="110"/>
    </row>
    <row r="258" spans="1:26" x14ac:dyDescent="0.15">
      <c r="A258" s="110" t="s">
        <v>2724</v>
      </c>
      <c r="B258" s="111" t="s">
        <v>55</v>
      </c>
      <c r="C258" s="110"/>
      <c r="D258" s="111"/>
      <c r="E258" s="111">
        <v>767</v>
      </c>
      <c r="F258" s="15">
        <v>159199</v>
      </c>
      <c r="G258" s="111" t="s">
        <v>56</v>
      </c>
      <c r="H258" s="111"/>
      <c r="I258" s="110"/>
      <c r="J258" s="170">
        <v>5</v>
      </c>
      <c r="K258" s="117">
        <f>923.74+61.9</f>
        <v>985.64</v>
      </c>
      <c r="L258" s="117">
        <v>1217.04</v>
      </c>
      <c r="M258" s="117">
        <v>400</v>
      </c>
      <c r="N258" s="117"/>
      <c r="O258" s="110"/>
      <c r="P258" s="117">
        <f>SUM(K258:N258)</f>
        <v>2602.6799999999998</v>
      </c>
      <c r="Q258" s="117">
        <v>1500</v>
      </c>
      <c r="R258" s="117">
        <f t="shared" ref="R258" si="241">Q258-P258</f>
        <v>-1102.6799999999998</v>
      </c>
      <c r="S258" s="171">
        <f t="shared" si="239"/>
        <v>0.26666666666666666</v>
      </c>
      <c r="T258" s="123">
        <f t="shared" ref="T258:T259" si="242">R258/Q258</f>
        <v>-0.73511999999999988</v>
      </c>
      <c r="U258" s="171">
        <v>0</v>
      </c>
      <c r="V258" s="110"/>
      <c r="W258" s="118">
        <f t="shared" si="240"/>
        <v>197.12799999999999</v>
      </c>
      <c r="X258" s="110"/>
      <c r="Y258" s="110"/>
      <c r="Z258" s="110"/>
    </row>
    <row r="259" spans="1:26" x14ac:dyDescent="0.15">
      <c r="A259" s="110" t="s">
        <v>2724</v>
      </c>
      <c r="B259" s="111" t="s">
        <v>2600</v>
      </c>
      <c r="C259" s="110"/>
      <c r="D259" s="111"/>
      <c r="E259" s="111"/>
      <c r="F259" s="111"/>
      <c r="G259" s="111"/>
      <c r="H259" s="111"/>
      <c r="I259" s="110"/>
      <c r="J259" s="170">
        <f>J254</f>
        <v>47.5</v>
      </c>
      <c r="K259" s="170">
        <f t="shared" ref="K259:M259" si="243">K254</f>
        <v>1735.25</v>
      </c>
      <c r="L259" s="170">
        <f t="shared" si="243"/>
        <v>0</v>
      </c>
      <c r="M259" s="170">
        <f t="shared" si="243"/>
        <v>12109.08</v>
      </c>
      <c r="N259" s="117"/>
      <c r="O259" s="110"/>
      <c r="P259" s="117">
        <f>P254</f>
        <v>13844.33</v>
      </c>
      <c r="Q259" s="117">
        <f>Q254</f>
        <v>17360</v>
      </c>
      <c r="R259" s="117">
        <f>R254+R255</f>
        <v>1384.4799999999996</v>
      </c>
      <c r="S259" s="171">
        <f t="shared" si="239"/>
        <v>0.69752764976958526</v>
      </c>
      <c r="T259" s="171">
        <f t="shared" si="242"/>
        <v>7.9751152073732692E-2</v>
      </c>
      <c r="U259" s="171">
        <f>((Q254*U254))/Q259</f>
        <v>0.59200000000000008</v>
      </c>
      <c r="V259" s="110"/>
      <c r="W259" s="118"/>
      <c r="X259" s="110"/>
      <c r="Y259" s="110"/>
      <c r="Z259" s="110"/>
    </row>
    <row r="260" spans="1:26" x14ac:dyDescent="0.15">
      <c r="A260" s="172"/>
      <c r="B260" s="173"/>
      <c r="C260" s="172"/>
      <c r="D260" s="173"/>
      <c r="E260" s="173"/>
      <c r="F260" s="173"/>
      <c r="G260" s="173"/>
      <c r="H260" s="173"/>
      <c r="I260" s="172"/>
      <c r="J260" s="174"/>
      <c r="K260" s="175"/>
      <c r="L260" s="175"/>
      <c r="M260" s="175"/>
      <c r="N260" s="175"/>
      <c r="O260" s="172"/>
      <c r="P260" s="175"/>
      <c r="Q260" s="175"/>
      <c r="R260" s="175"/>
      <c r="S260" s="176"/>
      <c r="T260" s="176"/>
      <c r="U260" s="176"/>
      <c r="V260" s="172"/>
      <c r="W260" s="177"/>
      <c r="X260" s="175"/>
      <c r="Y260" s="176"/>
      <c r="Z260" s="110"/>
    </row>
    <row r="261" spans="1:26" x14ac:dyDescent="0.15">
      <c r="A261" s="110" t="s">
        <v>2726</v>
      </c>
      <c r="B261" s="111" t="s">
        <v>2591</v>
      </c>
      <c r="C261" s="110"/>
      <c r="D261" s="111">
        <v>8</v>
      </c>
      <c r="E261" s="111"/>
      <c r="F261" s="111"/>
      <c r="G261" s="111"/>
      <c r="H261" s="111" t="s">
        <v>2706</v>
      </c>
      <c r="I261" s="110"/>
      <c r="J261" s="170"/>
      <c r="K261" s="117"/>
      <c r="L261" s="117"/>
      <c r="M261" s="117"/>
      <c r="N261" s="117"/>
      <c r="O261" s="110"/>
      <c r="P261" s="117"/>
      <c r="Q261" s="117">
        <v>18605</v>
      </c>
      <c r="R261" s="117"/>
      <c r="S261" s="117"/>
      <c r="T261" s="171"/>
      <c r="U261" s="171"/>
      <c r="V261" s="110"/>
      <c r="W261" s="118"/>
      <c r="X261" s="110">
        <v>10000</v>
      </c>
      <c r="Y261" s="110"/>
      <c r="Z261" s="110"/>
    </row>
    <row r="263" spans="1:26" x14ac:dyDescent="0.15">
      <c r="A263" s="110" t="s">
        <v>2726</v>
      </c>
      <c r="B263" s="111" t="s">
        <v>2577</v>
      </c>
      <c r="C263" s="110"/>
      <c r="D263" s="111"/>
      <c r="E263" s="111"/>
      <c r="F263" s="111"/>
      <c r="G263" s="111"/>
      <c r="H263" s="111"/>
      <c r="I263" s="110"/>
      <c r="J263" s="170"/>
      <c r="K263" s="117"/>
      <c r="L263" s="117"/>
      <c r="M263" s="117"/>
      <c r="N263" s="117"/>
      <c r="O263" s="110"/>
      <c r="P263" s="117"/>
      <c r="Q263" s="117">
        <f>SUM(Q261:Q262)</f>
        <v>18605</v>
      </c>
      <c r="R263" s="117"/>
      <c r="S263" s="117"/>
      <c r="T263" s="171"/>
      <c r="U263" s="171"/>
      <c r="V263" s="110"/>
      <c r="W263" s="118"/>
      <c r="X263" s="110"/>
      <c r="Y263" s="110"/>
      <c r="Z263" s="110"/>
    </row>
    <row r="264" spans="1:26" x14ac:dyDescent="0.15">
      <c r="A264" s="172"/>
      <c r="B264" s="173"/>
      <c r="C264" s="172"/>
      <c r="D264" s="173"/>
      <c r="E264" s="173"/>
      <c r="F264" s="173"/>
      <c r="G264" s="173"/>
      <c r="H264" s="173"/>
      <c r="I264" s="172"/>
      <c r="J264" s="174"/>
      <c r="K264" s="175"/>
      <c r="L264" s="175"/>
      <c r="M264" s="175"/>
      <c r="N264" s="175"/>
      <c r="O264" s="172"/>
      <c r="P264" s="175"/>
      <c r="Q264" s="175"/>
      <c r="R264" s="175"/>
      <c r="S264" s="176"/>
      <c r="T264" s="176"/>
      <c r="U264" s="176"/>
      <c r="V264" s="172"/>
      <c r="W264" s="177"/>
      <c r="X264" s="175"/>
      <c r="Y264" s="176"/>
      <c r="Z264" s="110"/>
    </row>
    <row r="265" spans="1:26" x14ac:dyDescent="0.15">
      <c r="A265" s="110" t="s">
        <v>423</v>
      </c>
      <c r="B265" s="111" t="s">
        <v>2665</v>
      </c>
      <c r="C265" s="110"/>
      <c r="D265" s="111">
        <v>1</v>
      </c>
      <c r="E265" s="111"/>
      <c r="F265" s="111"/>
      <c r="G265" s="111"/>
      <c r="H265" s="111" t="s">
        <v>2727</v>
      </c>
      <c r="I265" s="110"/>
      <c r="J265" s="170"/>
      <c r="K265" s="117"/>
      <c r="L265" s="117"/>
      <c r="M265" s="117"/>
      <c r="N265" s="117"/>
      <c r="O265" s="110"/>
      <c r="P265" s="117"/>
      <c r="Q265" s="117">
        <v>16400</v>
      </c>
      <c r="R265" s="117"/>
      <c r="S265" s="117"/>
      <c r="T265" s="171"/>
      <c r="U265" s="171"/>
      <c r="V265" s="110"/>
      <c r="W265" s="118"/>
      <c r="X265" s="110"/>
      <c r="Y265" s="110"/>
      <c r="Z265" s="110" t="s">
        <v>2718</v>
      </c>
    </row>
    <row r="267" spans="1:26" x14ac:dyDescent="0.15">
      <c r="A267" s="110" t="s">
        <v>423</v>
      </c>
      <c r="B267" s="111" t="s">
        <v>2577</v>
      </c>
      <c r="C267" s="110"/>
      <c r="D267" s="111"/>
      <c r="E267" s="111"/>
      <c r="F267" s="111"/>
      <c r="G267" s="111"/>
      <c r="H267" s="111"/>
      <c r="I267" s="110"/>
      <c r="J267" s="170"/>
      <c r="K267" s="117"/>
      <c r="L267" s="117"/>
      <c r="M267" s="117"/>
      <c r="N267" s="117"/>
      <c r="O267" s="110"/>
      <c r="P267" s="117"/>
      <c r="Q267" s="117">
        <f>SUM(Q265:Q266)</f>
        <v>16400</v>
      </c>
      <c r="R267" s="117"/>
      <c r="S267" s="117"/>
      <c r="T267" s="171"/>
      <c r="U267" s="171"/>
      <c r="V267" s="110"/>
      <c r="W267" s="118"/>
      <c r="X267" s="110"/>
      <c r="Y267" s="110"/>
      <c r="Z267" s="110"/>
    </row>
    <row r="268" spans="1:26" x14ac:dyDescent="0.15">
      <c r="A268" s="172"/>
      <c r="B268" s="173"/>
      <c r="C268" s="172"/>
      <c r="D268" s="173"/>
      <c r="E268" s="173"/>
      <c r="F268" s="173"/>
      <c r="G268" s="173"/>
      <c r="H268" s="173"/>
      <c r="I268" s="172"/>
      <c r="J268" s="174"/>
      <c r="K268" s="175"/>
      <c r="L268" s="175"/>
      <c r="M268" s="175"/>
      <c r="N268" s="175"/>
      <c r="O268" s="172"/>
      <c r="P268" s="175"/>
      <c r="Q268" s="175"/>
      <c r="R268" s="175"/>
      <c r="S268" s="176"/>
      <c r="T268" s="176"/>
      <c r="U268" s="176"/>
      <c r="V268" s="172"/>
      <c r="W268" s="177"/>
      <c r="X268" s="175"/>
      <c r="Y268" s="176"/>
      <c r="Z268" s="110"/>
    </row>
    <row r="269" spans="1:26" x14ac:dyDescent="0.15">
      <c r="A269" s="110" t="s">
        <v>1343</v>
      </c>
      <c r="B269" s="111" t="s">
        <v>47</v>
      </c>
      <c r="C269" s="110"/>
      <c r="D269" s="111">
        <v>2</v>
      </c>
      <c r="E269" s="111">
        <v>685</v>
      </c>
      <c r="F269" s="111"/>
      <c r="G269" s="111"/>
      <c r="H269" s="111" t="s">
        <v>2728</v>
      </c>
      <c r="I269" s="110"/>
      <c r="J269" s="170">
        <f>34+34</f>
        <v>68</v>
      </c>
      <c r="K269" s="117">
        <f>5552.41+502.52</f>
        <v>6054.93</v>
      </c>
      <c r="L269" s="117"/>
      <c r="M269" s="117">
        <v>1250.82</v>
      </c>
      <c r="N269" s="117"/>
      <c r="O269" s="110"/>
      <c r="P269" s="117">
        <f>SUM(K269:N269)</f>
        <v>7305.75</v>
      </c>
      <c r="Q269" s="117">
        <v>16225.36</v>
      </c>
      <c r="R269" s="117">
        <f t="shared" ref="R269" si="244">Q269-P269</f>
        <v>8919.61</v>
      </c>
      <c r="S269" s="171">
        <f t="shared" ref="S269" si="245">M269/Q269</f>
        <v>7.7090431275484789E-2</v>
      </c>
      <c r="T269" s="171">
        <f t="shared" ref="T269" si="246">R269/Q269</f>
        <v>0.54973264075496631</v>
      </c>
      <c r="U269" s="171">
        <f>1-0.529</f>
        <v>0.47099999999999997</v>
      </c>
      <c r="V269" s="110"/>
      <c r="W269" s="118">
        <f t="shared" ref="W269" si="247">K269/J269</f>
        <v>89.043088235294121</v>
      </c>
      <c r="X269" s="110"/>
      <c r="Y269" s="110"/>
      <c r="Z269" s="110" t="s">
        <v>2718</v>
      </c>
    </row>
    <row r="271" spans="1:26" x14ac:dyDescent="0.15">
      <c r="A271" s="110" t="s">
        <v>1343</v>
      </c>
      <c r="B271" s="111" t="s">
        <v>2577</v>
      </c>
      <c r="C271" s="110"/>
      <c r="D271" s="111"/>
      <c r="E271" s="111"/>
      <c r="F271" s="111"/>
      <c r="G271" s="111"/>
      <c r="H271" s="111"/>
      <c r="I271" s="110"/>
      <c r="J271" s="170">
        <f>SUM(J269:J270)</f>
        <v>68</v>
      </c>
      <c r="K271" s="170">
        <f t="shared" ref="K271:N271" si="248">SUM(K269:K270)</f>
        <v>6054.93</v>
      </c>
      <c r="L271" s="170">
        <f t="shared" si="248"/>
        <v>0</v>
      </c>
      <c r="M271" s="170">
        <f t="shared" si="248"/>
        <v>1250.82</v>
      </c>
      <c r="N271" s="170">
        <f t="shared" si="248"/>
        <v>0</v>
      </c>
      <c r="O271" s="110"/>
      <c r="P271" s="117">
        <f>SUM(P269:P270)</f>
        <v>7305.75</v>
      </c>
      <c r="Q271" s="117">
        <f>SUM(Q269:Q270)</f>
        <v>16225.36</v>
      </c>
      <c r="R271" s="117">
        <f t="shared" ref="R271" si="249">Q271-P271</f>
        <v>8919.61</v>
      </c>
      <c r="S271" s="171">
        <f t="shared" ref="S271" si="250">M271/Q271</f>
        <v>7.7090431275484789E-2</v>
      </c>
      <c r="T271" s="171">
        <f t="shared" ref="T271" si="251">R271/Q271</f>
        <v>0.54973264075496631</v>
      </c>
      <c r="U271" s="171">
        <f>((Q269*U269))/Q271</f>
        <v>0.47099999999999997</v>
      </c>
      <c r="V271" s="110"/>
      <c r="W271" s="118">
        <f t="shared" ref="W271" si="252">K271/J271</f>
        <v>89.043088235294121</v>
      </c>
      <c r="X271" s="110"/>
      <c r="Y271" s="110"/>
      <c r="Z271" s="110"/>
    </row>
    <row r="272" spans="1:26" x14ac:dyDescent="0.15">
      <c r="A272" s="172"/>
      <c r="B272" s="173"/>
      <c r="C272" s="172"/>
      <c r="D272" s="173"/>
      <c r="E272" s="173"/>
      <c r="F272" s="173"/>
      <c r="G272" s="173"/>
      <c r="H272" s="173"/>
      <c r="I272" s="172"/>
      <c r="J272" s="174"/>
      <c r="K272" s="175"/>
      <c r="L272" s="175"/>
      <c r="M272" s="175"/>
      <c r="N272" s="175"/>
      <c r="O272" s="172"/>
      <c r="P272" s="175"/>
      <c r="Q272" s="175"/>
      <c r="R272" s="175"/>
      <c r="S272" s="176"/>
      <c r="T272" s="176"/>
      <c r="U272" s="176"/>
      <c r="V272" s="172"/>
      <c r="W272" s="177"/>
      <c r="X272" s="175"/>
      <c r="Y272" s="176"/>
      <c r="Z272" s="110"/>
    </row>
    <row r="273" spans="1:26" x14ac:dyDescent="0.15">
      <c r="A273" s="110" t="s">
        <v>194</v>
      </c>
      <c r="B273" s="111" t="s">
        <v>2713</v>
      </c>
      <c r="C273" s="110"/>
      <c r="D273" s="111">
        <v>4</v>
      </c>
      <c r="E273" s="111"/>
      <c r="F273" s="111"/>
      <c r="G273" s="111"/>
      <c r="H273" s="111" t="s">
        <v>2729</v>
      </c>
      <c r="I273" s="110"/>
      <c r="J273" s="170"/>
      <c r="K273" s="117"/>
      <c r="L273" s="117"/>
      <c r="M273" s="117"/>
      <c r="N273" s="117"/>
      <c r="O273" s="110"/>
      <c r="P273" s="117"/>
      <c r="Q273" s="117">
        <v>15170</v>
      </c>
      <c r="R273" s="117"/>
      <c r="S273" s="117"/>
      <c r="T273" s="171"/>
      <c r="U273" s="171"/>
      <c r="V273" s="110"/>
      <c r="W273" s="118"/>
      <c r="X273" s="110">
        <v>15170</v>
      </c>
      <c r="Y273" s="110"/>
      <c r="Z273" s="110"/>
    </row>
    <row r="274" spans="1:26" x14ac:dyDescent="0.15">
      <c r="A274" s="110" t="s">
        <v>194</v>
      </c>
      <c r="B274" s="111" t="s">
        <v>2593</v>
      </c>
      <c r="C274" s="110"/>
      <c r="D274" s="111">
        <v>4</v>
      </c>
      <c r="E274" s="111"/>
      <c r="F274" s="111"/>
      <c r="G274" s="111"/>
      <c r="H274" s="111" t="s">
        <v>2730</v>
      </c>
      <c r="I274" s="110"/>
      <c r="J274" s="170"/>
      <c r="K274" s="117"/>
      <c r="L274" s="117"/>
      <c r="M274" s="117"/>
      <c r="N274" s="117"/>
      <c r="O274" s="110"/>
      <c r="P274" s="117"/>
      <c r="Q274" s="117">
        <v>18893</v>
      </c>
      <c r="R274" s="117"/>
      <c r="S274" s="117"/>
      <c r="T274" s="171"/>
      <c r="U274" s="171"/>
      <c r="V274" s="110"/>
      <c r="W274" s="118"/>
      <c r="X274" s="110">
        <v>18893</v>
      </c>
      <c r="Y274" s="110"/>
      <c r="Z274" s="110"/>
    </row>
    <row r="276" spans="1:26" x14ac:dyDescent="0.15">
      <c r="A276" s="110" t="s">
        <v>194</v>
      </c>
      <c r="B276" s="111" t="s">
        <v>2577</v>
      </c>
      <c r="C276" s="110"/>
      <c r="D276" s="111"/>
      <c r="E276" s="111"/>
      <c r="F276" s="111"/>
      <c r="G276" s="111"/>
      <c r="H276" s="111"/>
      <c r="I276" s="110"/>
      <c r="J276" s="170"/>
      <c r="K276" s="117"/>
      <c r="L276" s="117"/>
      <c r="M276" s="117"/>
      <c r="N276" s="117"/>
      <c r="O276" s="110"/>
      <c r="P276" s="117"/>
      <c r="Q276" s="117">
        <f>SUM(Q273:Q275)</f>
        <v>34063</v>
      </c>
      <c r="R276" s="117"/>
      <c r="S276" s="117"/>
      <c r="T276" s="171"/>
      <c r="U276" s="171"/>
      <c r="V276" s="110"/>
      <c r="W276" s="118"/>
      <c r="X276" s="110">
        <f>SUM(X273:X275)</f>
        <v>34063</v>
      </c>
      <c r="Y276" s="110"/>
      <c r="Z276" s="110"/>
    </row>
    <row r="277" spans="1:26" x14ac:dyDescent="0.15">
      <c r="A277" s="172"/>
      <c r="B277" s="173"/>
      <c r="C277" s="172"/>
      <c r="D277" s="173"/>
      <c r="E277" s="173"/>
      <c r="F277" s="173"/>
      <c r="G277" s="173"/>
      <c r="H277" s="173"/>
      <c r="I277" s="172"/>
      <c r="J277" s="174"/>
      <c r="K277" s="175"/>
      <c r="L277" s="175"/>
      <c r="M277" s="175"/>
      <c r="N277" s="175"/>
      <c r="O277" s="172"/>
      <c r="P277" s="175"/>
      <c r="Q277" s="175"/>
      <c r="R277" s="175"/>
      <c r="S277" s="176"/>
      <c r="T277" s="176"/>
      <c r="U277" s="176"/>
      <c r="V277" s="172"/>
      <c r="W277" s="177"/>
      <c r="X277" s="175"/>
      <c r="Y277" s="176"/>
      <c r="Z277" s="110"/>
    </row>
    <row r="278" spans="1:26" x14ac:dyDescent="0.15">
      <c r="A278" s="110" t="s">
        <v>179</v>
      </c>
      <c r="B278" s="111" t="s">
        <v>2665</v>
      </c>
      <c r="C278" s="110"/>
      <c r="D278" s="111">
        <v>1</v>
      </c>
      <c r="E278" s="111"/>
      <c r="F278" s="111"/>
      <c r="G278" s="111"/>
      <c r="H278" s="111" t="s">
        <v>2731</v>
      </c>
      <c r="I278" s="110"/>
      <c r="J278" s="170"/>
      <c r="K278" s="117"/>
      <c r="L278" s="117"/>
      <c r="M278" s="117"/>
      <c r="N278" s="117"/>
      <c r="O278" s="110"/>
      <c r="P278" s="117"/>
      <c r="Q278" s="117">
        <v>14045</v>
      </c>
      <c r="R278" s="117"/>
      <c r="S278" s="117"/>
      <c r="T278" s="171"/>
      <c r="U278" s="171"/>
      <c r="V278" s="110"/>
      <c r="W278" s="118"/>
      <c r="X278" s="110">
        <v>14105</v>
      </c>
      <c r="Y278" s="110"/>
      <c r="Z278" s="110"/>
    </row>
    <row r="279" spans="1:26" x14ac:dyDescent="0.15">
      <c r="A279" s="110" t="s">
        <v>179</v>
      </c>
      <c r="B279" s="111" t="s">
        <v>2665</v>
      </c>
      <c r="C279" s="110"/>
      <c r="D279" s="111">
        <v>12</v>
      </c>
      <c r="E279" s="111"/>
      <c r="F279" s="111"/>
      <c r="G279" s="111"/>
      <c r="H279" s="111" t="s">
        <v>2732</v>
      </c>
      <c r="I279" s="110"/>
      <c r="J279" s="170"/>
      <c r="K279" s="117"/>
      <c r="L279" s="117"/>
      <c r="M279" s="117"/>
      <c r="N279" s="117"/>
      <c r="O279" s="110"/>
      <c r="P279" s="117"/>
      <c r="Q279" s="117">
        <v>14045</v>
      </c>
      <c r="R279" s="117"/>
      <c r="S279" s="117"/>
      <c r="T279" s="171"/>
      <c r="U279" s="171"/>
      <c r="V279" s="110"/>
      <c r="W279" s="118"/>
      <c r="X279" s="110"/>
      <c r="Y279" s="110"/>
      <c r="Z279" s="110"/>
    </row>
    <row r="281" spans="1:26" x14ac:dyDescent="0.15">
      <c r="A281" s="110" t="s">
        <v>179</v>
      </c>
      <c r="B281" s="111" t="s">
        <v>2577</v>
      </c>
      <c r="C281" s="110"/>
      <c r="D281" s="111"/>
      <c r="E281" s="111"/>
      <c r="F281" s="111"/>
      <c r="G281" s="111"/>
      <c r="H281" s="111"/>
      <c r="I281" s="110"/>
      <c r="J281" s="170"/>
      <c r="K281" s="117"/>
      <c r="L281" s="117"/>
      <c r="M281" s="117"/>
      <c r="N281" s="117"/>
      <c r="O281" s="110"/>
      <c r="P281" s="117"/>
      <c r="Q281" s="117">
        <f>SUM(Q278:Q280)</f>
        <v>28090</v>
      </c>
      <c r="R281" s="117"/>
      <c r="S281" s="117"/>
      <c r="T281" s="171"/>
      <c r="U281" s="171"/>
      <c r="V281" s="110"/>
      <c r="W281" s="118"/>
      <c r="X281" s="110">
        <f>SUM(X278:X280)</f>
        <v>14105</v>
      </c>
      <c r="Y281" s="110"/>
      <c r="Z281" s="110"/>
    </row>
    <row r="282" spans="1:26" x14ac:dyDescent="0.15">
      <c r="A282" s="172"/>
      <c r="B282" s="173"/>
      <c r="C282" s="172"/>
      <c r="D282" s="173"/>
      <c r="E282" s="173"/>
      <c r="F282" s="173"/>
      <c r="G282" s="173"/>
      <c r="H282" s="173"/>
      <c r="I282" s="172"/>
      <c r="J282" s="174"/>
      <c r="K282" s="175"/>
      <c r="L282" s="175"/>
      <c r="M282" s="175"/>
      <c r="N282" s="175"/>
      <c r="O282" s="172"/>
      <c r="P282" s="175"/>
      <c r="Q282" s="175"/>
      <c r="R282" s="175"/>
      <c r="S282" s="176"/>
      <c r="T282" s="176"/>
      <c r="U282" s="176"/>
      <c r="V282" s="172"/>
      <c r="W282" s="177"/>
      <c r="X282" s="175"/>
      <c r="Y282" s="176"/>
      <c r="Z282" s="110"/>
    </row>
    <row r="283" spans="1:26" x14ac:dyDescent="0.15">
      <c r="A283" s="110" t="s">
        <v>2733</v>
      </c>
      <c r="B283" s="111" t="s">
        <v>2713</v>
      </c>
      <c r="C283" s="110"/>
      <c r="D283" s="111">
        <v>8</v>
      </c>
      <c r="E283" s="111"/>
      <c r="F283" s="111"/>
      <c r="G283" s="111"/>
      <c r="H283" s="111" t="s">
        <v>2734</v>
      </c>
      <c r="I283" s="110"/>
      <c r="J283" s="170"/>
      <c r="K283" s="117"/>
      <c r="L283" s="117"/>
      <c r="M283" s="117"/>
      <c r="N283" s="117"/>
      <c r="O283" s="110"/>
      <c r="P283" s="117"/>
      <c r="Q283" s="117">
        <v>8664</v>
      </c>
      <c r="R283" s="117"/>
      <c r="S283" s="117"/>
      <c r="T283" s="171"/>
      <c r="U283" s="171"/>
      <c r="V283" s="110"/>
      <c r="W283" s="118"/>
      <c r="X283" s="110"/>
      <c r="Y283" s="110"/>
      <c r="Z283" s="110" t="s">
        <v>2718</v>
      </c>
    </row>
    <row r="285" spans="1:26" x14ac:dyDescent="0.15">
      <c r="A285" s="110" t="s">
        <v>2733</v>
      </c>
      <c r="B285" s="111" t="s">
        <v>2577</v>
      </c>
      <c r="C285" s="110"/>
      <c r="D285" s="111"/>
      <c r="E285" s="111"/>
      <c r="F285" s="111"/>
      <c r="G285" s="111"/>
      <c r="H285" s="111"/>
      <c r="I285" s="110"/>
      <c r="J285" s="170"/>
      <c r="K285" s="117"/>
      <c r="L285" s="117"/>
      <c r="M285" s="117"/>
      <c r="N285" s="117"/>
      <c r="O285" s="110"/>
      <c r="P285" s="117"/>
      <c r="Q285" s="117">
        <f>SUM(Q283:Q284)</f>
        <v>8664</v>
      </c>
      <c r="R285" s="117"/>
      <c r="S285" s="117"/>
      <c r="T285" s="171"/>
      <c r="U285" s="171"/>
      <c r="V285" s="110"/>
      <c r="W285" s="118"/>
      <c r="X285" s="110"/>
      <c r="Y285" s="110"/>
      <c r="Z285" s="110"/>
    </row>
    <row r="286" spans="1:26" x14ac:dyDescent="0.15">
      <c r="A286" s="172"/>
      <c r="B286" s="173"/>
      <c r="C286" s="172"/>
      <c r="D286" s="173"/>
      <c r="E286" s="173"/>
      <c r="F286" s="173"/>
      <c r="G286" s="173"/>
      <c r="H286" s="173"/>
      <c r="I286" s="172"/>
      <c r="J286" s="174"/>
      <c r="K286" s="175"/>
      <c r="L286" s="175"/>
      <c r="M286" s="175"/>
      <c r="N286" s="175"/>
      <c r="O286" s="172"/>
      <c r="P286" s="175"/>
      <c r="Q286" s="175"/>
      <c r="R286" s="175"/>
      <c r="S286" s="176"/>
      <c r="T286" s="176"/>
      <c r="U286" s="176"/>
      <c r="V286" s="172"/>
      <c r="W286" s="177"/>
      <c r="X286" s="175"/>
      <c r="Y286" s="176"/>
      <c r="Z286" s="110"/>
    </row>
    <row r="287" spans="1:26" x14ac:dyDescent="0.15">
      <c r="A287" s="110" t="s">
        <v>2735</v>
      </c>
      <c r="B287" s="111" t="s">
        <v>2591</v>
      </c>
      <c r="C287" s="110"/>
      <c r="D287" s="111">
        <v>3</v>
      </c>
      <c r="E287" s="111"/>
      <c r="F287" s="111"/>
      <c r="G287" s="111"/>
      <c r="H287" s="111" t="s">
        <v>2736</v>
      </c>
      <c r="I287" s="110"/>
      <c r="J287" s="170"/>
      <c r="K287" s="117"/>
      <c r="L287" s="117"/>
      <c r="M287" s="117"/>
      <c r="N287" s="117"/>
      <c r="O287" s="110"/>
      <c r="P287" s="117"/>
      <c r="Q287" s="117">
        <v>8126</v>
      </c>
      <c r="R287" s="117"/>
      <c r="S287" s="117"/>
      <c r="T287" s="171"/>
      <c r="U287" s="171"/>
      <c r="V287" s="110"/>
      <c r="W287" s="118"/>
      <c r="X287" s="110"/>
      <c r="Y287" s="110"/>
      <c r="Z287" s="110" t="s">
        <v>2718</v>
      </c>
    </row>
    <row r="289" spans="1:25" x14ac:dyDescent="0.15">
      <c r="A289" s="110" t="s">
        <v>2735</v>
      </c>
      <c r="B289" s="111" t="s">
        <v>2577</v>
      </c>
      <c r="C289" s="110"/>
      <c r="D289" s="111"/>
      <c r="E289" s="111"/>
      <c r="F289" s="111"/>
      <c r="G289" s="111"/>
      <c r="H289" s="111"/>
      <c r="I289" s="110"/>
      <c r="J289" s="170"/>
      <c r="K289" s="117"/>
      <c r="L289" s="117"/>
      <c r="M289" s="117"/>
      <c r="N289" s="117"/>
      <c r="O289" s="110"/>
      <c r="P289" s="117"/>
      <c r="Q289" s="117">
        <f>SUM(Q287:Q288)</f>
        <v>8126</v>
      </c>
      <c r="R289" s="117"/>
      <c r="S289" s="117"/>
      <c r="T289" s="171"/>
      <c r="U289" s="171"/>
      <c r="V289" s="110"/>
      <c r="W289" s="118"/>
      <c r="X289" s="110"/>
      <c r="Y289" s="110"/>
    </row>
    <row r="290" spans="1:25" x14ac:dyDescent="0.15">
      <c r="A290" s="172"/>
      <c r="B290" s="173"/>
      <c r="C290" s="172"/>
      <c r="D290" s="173"/>
      <c r="E290" s="173"/>
      <c r="F290" s="173"/>
      <c r="G290" s="173"/>
      <c r="H290" s="173"/>
      <c r="I290" s="172"/>
      <c r="J290" s="174"/>
      <c r="K290" s="175"/>
      <c r="L290" s="175"/>
      <c r="M290" s="175"/>
      <c r="N290" s="175"/>
      <c r="O290" s="172"/>
      <c r="P290" s="175"/>
      <c r="Q290" s="175"/>
      <c r="R290" s="175"/>
      <c r="S290" s="176"/>
      <c r="T290" s="176"/>
      <c r="U290" s="176"/>
      <c r="V290" s="172"/>
      <c r="W290" s="177"/>
      <c r="X290" s="175"/>
      <c r="Y290" s="176"/>
    </row>
    <row r="291" spans="1:25" x14ac:dyDescent="0.15">
      <c r="A291" s="110" t="s">
        <v>365</v>
      </c>
      <c r="B291" s="111" t="s">
        <v>2591</v>
      </c>
      <c r="C291" s="110"/>
      <c r="D291" s="111">
        <v>1</v>
      </c>
      <c r="E291" s="111">
        <v>674</v>
      </c>
      <c r="F291" s="111"/>
      <c r="G291" s="111"/>
      <c r="H291" s="111" t="s">
        <v>2737</v>
      </c>
      <c r="I291" s="110"/>
      <c r="J291" s="170">
        <v>16.5</v>
      </c>
      <c r="K291" s="117">
        <f>1560.96+82.5</f>
        <v>1643.46</v>
      </c>
      <c r="L291" s="117"/>
      <c r="M291" s="117">
        <v>-15.08</v>
      </c>
      <c r="N291" s="117"/>
      <c r="O291" s="110"/>
      <c r="P291" s="117">
        <f>SUM(K291:N291)</f>
        <v>1628.38</v>
      </c>
      <c r="Q291" s="117">
        <f>2951.1+282.8+1077.3</f>
        <v>4311.2</v>
      </c>
      <c r="R291" s="117">
        <f>Q291-P291</f>
        <v>2682.8199999999997</v>
      </c>
      <c r="S291" s="171">
        <f t="shared" ref="S291" si="253">M291/Q291</f>
        <v>-3.4978660233809613E-3</v>
      </c>
      <c r="T291" s="171">
        <f t="shared" ref="T291" si="254">R291/Q291</f>
        <v>0.62229077750974204</v>
      </c>
      <c r="U291" s="171">
        <f>1-0.287</f>
        <v>0.71300000000000008</v>
      </c>
      <c r="V291" s="110"/>
      <c r="W291" s="118">
        <f t="shared" ref="W291" si="255">K291/J291</f>
        <v>99.603636363636369</v>
      </c>
      <c r="X291" s="110">
        <v>7875</v>
      </c>
      <c r="Y291" s="117">
        <f t="shared" ref="Y291" si="256">X291*(1-U291)</f>
        <v>2260.1249999999995</v>
      </c>
    </row>
    <row r="292" spans="1:25" x14ac:dyDescent="0.15">
      <c r="A292" s="110" t="s">
        <v>365</v>
      </c>
      <c r="B292" s="111" t="s">
        <v>2591</v>
      </c>
      <c r="C292" s="110"/>
      <c r="D292" s="111">
        <v>5</v>
      </c>
      <c r="E292" s="111">
        <v>746</v>
      </c>
      <c r="F292" s="111"/>
      <c r="G292" s="111"/>
      <c r="H292" s="111" t="s">
        <v>2738</v>
      </c>
      <c r="I292" s="110"/>
      <c r="J292" s="170">
        <v>24</v>
      </c>
      <c r="K292" s="117">
        <f>600+270</f>
        <v>870</v>
      </c>
      <c r="L292" s="117">
        <v>1027.3499999999999</v>
      </c>
      <c r="M292" s="117">
        <v>12</v>
      </c>
      <c r="N292" s="117"/>
      <c r="O292" s="110"/>
      <c r="P292" s="117">
        <f>SUM(K292:N292)</f>
        <v>1909.35</v>
      </c>
      <c r="Q292" s="117">
        <v>3279</v>
      </c>
      <c r="R292" s="117">
        <f>Q291-P291</f>
        <v>2682.8199999999997</v>
      </c>
      <c r="S292" s="171">
        <f>M291/Q291</f>
        <v>-3.4978660233809613E-3</v>
      </c>
      <c r="T292" s="171">
        <f>R292/Q291</f>
        <v>0.62229077750974204</v>
      </c>
      <c r="U292" s="171">
        <f>1-0.287</f>
        <v>0.71300000000000008</v>
      </c>
      <c r="V292" s="110"/>
      <c r="W292" s="118">
        <f>K291/J291</f>
        <v>99.603636363636369</v>
      </c>
      <c r="X292" s="110"/>
      <c r="Y292" s="110"/>
    </row>
    <row r="293" spans="1:25" x14ac:dyDescent="0.15">
      <c r="A293" s="110" t="s">
        <v>365</v>
      </c>
      <c r="B293" s="111" t="s">
        <v>2665</v>
      </c>
      <c r="C293" s="110"/>
      <c r="D293" s="111">
        <v>12</v>
      </c>
      <c r="E293" s="111"/>
      <c r="F293" s="111"/>
      <c r="G293" s="111"/>
      <c r="H293" s="111" t="s">
        <v>2739</v>
      </c>
      <c r="I293" s="110"/>
      <c r="J293" s="170"/>
      <c r="K293" s="117"/>
      <c r="L293" s="117"/>
      <c r="M293" s="117"/>
      <c r="N293" s="117"/>
      <c r="O293" s="110"/>
      <c r="P293" s="117"/>
      <c r="Q293" s="117">
        <v>15250</v>
      </c>
      <c r="R293" s="117"/>
      <c r="S293" s="117"/>
      <c r="T293" s="171"/>
      <c r="U293" s="171"/>
      <c r="V293" s="110"/>
      <c r="W293" s="118"/>
      <c r="X293" s="110">
        <v>15000</v>
      </c>
      <c r="Y293" s="117"/>
    </row>
    <row r="295" spans="1:25" x14ac:dyDescent="0.15">
      <c r="A295" s="110" t="s">
        <v>365</v>
      </c>
      <c r="B295" s="111" t="s">
        <v>2577</v>
      </c>
      <c r="C295" s="110"/>
      <c r="D295" s="111"/>
      <c r="E295" s="111"/>
      <c r="F295" s="111"/>
      <c r="G295" s="111"/>
      <c r="H295" s="111"/>
      <c r="I295" s="110"/>
      <c r="J295" s="170">
        <f>SUM(J291:J294)</f>
        <v>40.5</v>
      </c>
      <c r="K295" s="170">
        <f t="shared" ref="K295:M295" si="257">SUM(K291:K294)</f>
        <v>2513.46</v>
      </c>
      <c r="L295" s="170">
        <f t="shared" si="257"/>
        <v>1027.3499999999999</v>
      </c>
      <c r="M295" s="170">
        <f t="shared" si="257"/>
        <v>-3.08</v>
      </c>
      <c r="N295" s="117"/>
      <c r="O295" s="110"/>
      <c r="P295" s="117">
        <f>SUM(P291:P294)</f>
        <v>3537.73</v>
      </c>
      <c r="Q295" s="117">
        <f>SUM(Q291:Q294)</f>
        <v>22840.2</v>
      </c>
      <c r="R295" s="117">
        <f>SUM(R291:R294)</f>
        <v>5365.6399999999994</v>
      </c>
      <c r="S295" s="171">
        <f t="shared" ref="S295" si="258">M295/Q295</f>
        <v>-1.3484995753101987E-4</v>
      </c>
      <c r="T295" s="171">
        <f t="shared" ref="T295" si="259">R295/Q295</f>
        <v>0.23492088510608486</v>
      </c>
      <c r="U295" s="171">
        <f>((Q291*U291)+(Q292*U292)+(Q293*U293))/Q295</f>
        <v>0.23694243482981761</v>
      </c>
      <c r="V295" s="110"/>
      <c r="W295" s="118">
        <f t="shared" ref="W295" si="260">K295/J295</f>
        <v>62.060740740740741</v>
      </c>
      <c r="X295" s="110">
        <f>SUM(X291:X294)</f>
        <v>22875</v>
      </c>
      <c r="Y295" s="183">
        <f>SUM(Y291:Y294)</f>
        <v>2260.1249999999995</v>
      </c>
    </row>
    <row r="296" spans="1:25" x14ac:dyDescent="0.15">
      <c r="A296" s="172"/>
      <c r="B296" s="173"/>
      <c r="C296" s="172"/>
      <c r="D296" s="173"/>
      <c r="E296" s="173"/>
      <c r="F296" s="173"/>
      <c r="G296" s="173"/>
      <c r="H296" s="173"/>
      <c r="I296" s="172"/>
      <c r="J296" s="174"/>
      <c r="K296" s="175"/>
      <c r="L296" s="175"/>
      <c r="M296" s="175"/>
      <c r="N296" s="175"/>
      <c r="O296" s="172"/>
      <c r="P296" s="175"/>
      <c r="Q296" s="175"/>
      <c r="R296" s="175"/>
      <c r="S296" s="176"/>
      <c r="T296" s="176"/>
      <c r="U296" s="176"/>
      <c r="V296" s="172"/>
      <c r="W296" s="177"/>
      <c r="X296" s="175"/>
      <c r="Y296" s="176"/>
    </row>
    <row r="297" spans="1:25" x14ac:dyDescent="0.15">
      <c r="A297" s="110" t="s">
        <v>2740</v>
      </c>
      <c r="B297" s="111" t="s">
        <v>2713</v>
      </c>
      <c r="C297" s="110"/>
      <c r="D297" s="111">
        <v>4</v>
      </c>
      <c r="E297" s="111"/>
      <c r="F297" s="111"/>
      <c r="G297" s="111"/>
      <c r="H297" s="111" t="s">
        <v>2734</v>
      </c>
      <c r="I297" s="110"/>
      <c r="J297" s="170"/>
      <c r="K297" s="117"/>
      <c r="L297" s="117"/>
      <c r="M297" s="117"/>
      <c r="N297" s="117"/>
      <c r="O297" s="110"/>
      <c r="P297" s="117"/>
      <c r="Q297" s="117">
        <v>6000</v>
      </c>
      <c r="R297" s="117"/>
      <c r="S297" s="117"/>
      <c r="T297" s="171"/>
      <c r="U297" s="171"/>
      <c r="V297" s="110"/>
      <c r="W297" s="118"/>
      <c r="X297" s="110">
        <v>5000</v>
      </c>
      <c r="Y297" s="110"/>
    </row>
    <row r="299" spans="1:25" x14ac:dyDescent="0.15">
      <c r="A299" s="110" t="s">
        <v>2740</v>
      </c>
      <c r="B299" s="111" t="s">
        <v>2577</v>
      </c>
      <c r="C299" s="110"/>
      <c r="D299" s="111"/>
      <c r="E299" s="111"/>
      <c r="F299" s="111"/>
      <c r="G299" s="111"/>
      <c r="H299" s="111"/>
      <c r="I299" s="110"/>
      <c r="J299" s="170"/>
      <c r="K299" s="117"/>
      <c r="L299" s="117"/>
      <c r="M299" s="117"/>
      <c r="N299" s="117"/>
      <c r="O299" s="110"/>
      <c r="P299" s="117"/>
      <c r="Q299" s="117">
        <f>SUM(Q297:Q298)</f>
        <v>6000</v>
      </c>
      <c r="R299" s="117"/>
      <c r="S299" s="117"/>
      <c r="T299" s="171"/>
      <c r="U299" s="171"/>
      <c r="V299" s="110"/>
      <c r="W299" s="118"/>
      <c r="X299" s="110">
        <f>SUM(X297:X298)</f>
        <v>5000</v>
      </c>
      <c r="Y299" s="110"/>
    </row>
    <row r="300" spans="1:25" x14ac:dyDescent="0.15">
      <c r="A300" s="172"/>
      <c r="B300" s="173"/>
      <c r="C300" s="172"/>
      <c r="D300" s="173"/>
      <c r="E300" s="173"/>
      <c r="F300" s="173"/>
      <c r="G300" s="173"/>
      <c r="H300" s="173"/>
      <c r="I300" s="172"/>
      <c r="J300" s="174"/>
      <c r="K300" s="175"/>
      <c r="L300" s="175"/>
      <c r="M300" s="175"/>
      <c r="N300" s="175"/>
      <c r="O300" s="172"/>
      <c r="P300" s="175"/>
      <c r="Q300" s="175"/>
      <c r="R300" s="175"/>
      <c r="S300" s="176"/>
      <c r="T300" s="176"/>
      <c r="U300" s="176"/>
      <c r="V300" s="172"/>
      <c r="W300" s="177"/>
      <c r="X300" s="175"/>
      <c r="Y300" s="176"/>
    </row>
    <row r="301" spans="1:25" x14ac:dyDescent="0.15">
      <c r="A301" s="110" t="s">
        <v>292</v>
      </c>
      <c r="B301" s="111" t="s">
        <v>2591</v>
      </c>
      <c r="C301" s="110"/>
      <c r="D301" s="111">
        <v>5</v>
      </c>
      <c r="E301" s="111"/>
      <c r="F301" s="111"/>
      <c r="G301" s="111"/>
      <c r="H301" s="111" t="s">
        <v>2741</v>
      </c>
      <c r="I301" s="110"/>
      <c r="J301" s="170"/>
      <c r="K301" s="117"/>
      <c r="L301" s="117"/>
      <c r="M301" s="117"/>
      <c r="N301" s="117"/>
      <c r="O301" s="110"/>
      <c r="P301" s="117"/>
      <c r="Q301" s="117">
        <v>5010</v>
      </c>
      <c r="R301" s="117"/>
      <c r="S301" s="117"/>
      <c r="T301" s="171"/>
      <c r="U301" s="171"/>
      <c r="V301" s="110"/>
      <c r="W301" s="118"/>
      <c r="X301" s="110">
        <v>5524</v>
      </c>
      <c r="Y301" s="110"/>
    </row>
    <row r="303" spans="1:25" x14ac:dyDescent="0.15">
      <c r="A303" s="110" t="s">
        <v>292</v>
      </c>
      <c r="B303" s="111" t="s">
        <v>2577</v>
      </c>
      <c r="C303" s="110"/>
      <c r="D303" s="111"/>
      <c r="E303" s="111"/>
      <c r="F303" s="111"/>
      <c r="G303" s="111"/>
      <c r="H303" s="111"/>
      <c r="I303" s="110"/>
      <c r="J303" s="170"/>
      <c r="K303" s="117"/>
      <c r="L303" s="117"/>
      <c r="M303" s="117"/>
      <c r="N303" s="117"/>
      <c r="O303" s="110"/>
      <c r="P303" s="117"/>
      <c r="Q303" s="117">
        <f>SUM(Q301:Q302)</f>
        <v>5010</v>
      </c>
      <c r="R303" s="117"/>
      <c r="S303" s="117"/>
      <c r="T303" s="171"/>
      <c r="U303" s="171"/>
      <c r="V303" s="110"/>
      <c r="W303" s="118"/>
      <c r="X303" s="110">
        <f>SUM(X301:X302)</f>
        <v>5524</v>
      </c>
      <c r="Y303" s="110"/>
    </row>
    <row r="304" spans="1:25" x14ac:dyDescent="0.15">
      <c r="A304" s="172"/>
      <c r="B304" s="173"/>
      <c r="C304" s="172"/>
      <c r="D304" s="173"/>
      <c r="E304" s="173"/>
      <c r="F304" s="173"/>
      <c r="G304" s="173"/>
      <c r="H304" s="173"/>
      <c r="I304" s="172"/>
      <c r="J304" s="174"/>
      <c r="K304" s="175"/>
      <c r="L304" s="175"/>
      <c r="M304" s="175"/>
      <c r="N304" s="175"/>
      <c r="O304" s="172"/>
      <c r="P304" s="175"/>
      <c r="Q304" s="175"/>
      <c r="R304" s="175"/>
      <c r="S304" s="176"/>
      <c r="T304" s="176"/>
      <c r="U304" s="176"/>
      <c r="V304" s="172"/>
      <c r="W304" s="177"/>
      <c r="X304" s="175"/>
      <c r="Y304" s="176"/>
    </row>
    <row r="305" spans="1:26" x14ac:dyDescent="0.15">
      <c r="A305" s="110" t="s">
        <v>2742</v>
      </c>
      <c r="B305" s="111"/>
      <c r="C305" s="110"/>
      <c r="D305" s="111">
        <v>8</v>
      </c>
      <c r="E305" s="111"/>
      <c r="F305" s="111"/>
      <c r="G305" s="111"/>
      <c r="H305" s="111" t="s">
        <v>2743</v>
      </c>
      <c r="I305" s="110"/>
      <c r="J305" s="170"/>
      <c r="K305" s="117"/>
      <c r="L305" s="117"/>
      <c r="M305" s="117"/>
      <c r="N305" s="117"/>
      <c r="O305" s="110"/>
      <c r="P305" s="117"/>
      <c r="Q305" s="117">
        <v>2000</v>
      </c>
      <c r="R305" s="117"/>
      <c r="S305" s="117"/>
      <c r="T305" s="171"/>
      <c r="U305" s="171"/>
      <c r="V305" s="110"/>
      <c r="W305" s="118"/>
      <c r="X305" s="110"/>
      <c r="Y305" s="110"/>
      <c r="Z305" s="110" t="s">
        <v>2718</v>
      </c>
    </row>
    <row r="307" spans="1:26" x14ac:dyDescent="0.15">
      <c r="A307" s="110" t="s">
        <v>2742</v>
      </c>
      <c r="B307" s="111" t="s">
        <v>2577</v>
      </c>
      <c r="C307" s="110"/>
      <c r="D307" s="111"/>
      <c r="E307" s="111"/>
      <c r="F307" s="111"/>
      <c r="G307" s="111"/>
      <c r="H307" s="111"/>
      <c r="I307" s="110"/>
      <c r="J307" s="170"/>
      <c r="K307" s="117"/>
      <c r="L307" s="117"/>
      <c r="M307" s="117"/>
      <c r="N307" s="117"/>
      <c r="O307" s="110"/>
      <c r="P307" s="117"/>
      <c r="Q307" s="117">
        <f>SUM(Q305:Q306)</f>
        <v>2000</v>
      </c>
      <c r="R307" s="117"/>
      <c r="S307" s="117"/>
      <c r="T307" s="171"/>
      <c r="U307" s="171"/>
      <c r="V307" s="110"/>
      <c r="W307" s="118"/>
      <c r="X307" s="110"/>
      <c r="Y307" s="110"/>
      <c r="Z307" s="110"/>
    </row>
    <row r="308" spans="1:26" x14ac:dyDescent="0.15">
      <c r="A308" s="172"/>
      <c r="B308" s="173"/>
      <c r="C308" s="172"/>
      <c r="D308" s="173"/>
      <c r="E308" s="173"/>
      <c r="F308" s="173"/>
      <c r="G308" s="173"/>
      <c r="H308" s="173"/>
      <c r="I308" s="172"/>
      <c r="J308" s="174"/>
      <c r="K308" s="175"/>
      <c r="L308" s="175"/>
      <c r="M308" s="175"/>
      <c r="N308" s="175"/>
      <c r="O308" s="172"/>
      <c r="P308" s="175"/>
      <c r="Q308" s="175"/>
      <c r="R308" s="175"/>
      <c r="S308" s="176"/>
      <c r="T308" s="176"/>
      <c r="U308" s="176"/>
      <c r="V308" s="172"/>
      <c r="W308" s="177"/>
      <c r="X308" s="175"/>
      <c r="Y308" s="176"/>
      <c r="Z308" s="110"/>
    </row>
    <row r="309" spans="1:26" x14ac:dyDescent="0.15">
      <c r="A309" s="110" t="s">
        <v>1838</v>
      </c>
      <c r="B309" s="111" t="s">
        <v>2713</v>
      </c>
      <c r="C309" s="110"/>
      <c r="D309" s="111">
        <v>4</v>
      </c>
      <c r="E309" s="111"/>
      <c r="F309" s="111"/>
      <c r="G309" s="111"/>
      <c r="H309" s="111" t="s">
        <v>2734</v>
      </c>
      <c r="I309" s="110"/>
      <c r="J309" s="170"/>
      <c r="K309" s="117"/>
      <c r="L309" s="117"/>
      <c r="M309" s="117"/>
      <c r="N309" s="117"/>
      <c r="O309" s="110"/>
      <c r="P309" s="117"/>
      <c r="Q309" s="117">
        <v>1210</v>
      </c>
      <c r="R309" s="117"/>
      <c r="S309" s="117"/>
      <c r="T309" s="171"/>
      <c r="U309" s="171"/>
      <c r="V309" s="110"/>
      <c r="W309" s="118"/>
      <c r="X309" s="110"/>
      <c r="Y309" s="110"/>
      <c r="Z309" s="110"/>
    </row>
    <row r="311" spans="1:26" x14ac:dyDescent="0.15">
      <c r="A311" s="110" t="s">
        <v>1838</v>
      </c>
      <c r="B311" s="111" t="s">
        <v>2577</v>
      </c>
      <c r="C311" s="110"/>
      <c r="D311" s="111"/>
      <c r="E311" s="111"/>
      <c r="F311" s="111"/>
      <c r="G311" s="111"/>
      <c r="H311" s="111"/>
      <c r="I311" s="110"/>
      <c r="J311" s="170"/>
      <c r="K311" s="117"/>
      <c r="L311" s="117"/>
      <c r="M311" s="117"/>
      <c r="N311" s="117"/>
      <c r="O311" s="110"/>
      <c r="P311" s="117"/>
      <c r="Q311" s="117">
        <f>SUM(Q309:Q310)</f>
        <v>1210</v>
      </c>
      <c r="R311" s="117"/>
      <c r="S311" s="117"/>
      <c r="T311" s="171"/>
      <c r="U311" s="171"/>
      <c r="V311" s="110"/>
      <c r="W311" s="118"/>
      <c r="X311" s="110"/>
      <c r="Y311" s="110"/>
      <c r="Z311" s="110"/>
    </row>
    <row r="312" spans="1:26" x14ac:dyDescent="0.15">
      <c r="A312" s="172"/>
      <c r="B312" s="173"/>
      <c r="C312" s="172"/>
      <c r="D312" s="173"/>
      <c r="E312" s="173"/>
      <c r="F312" s="173"/>
      <c r="G312" s="173"/>
      <c r="H312" s="173"/>
      <c r="I312" s="172"/>
      <c r="J312" s="174"/>
      <c r="K312" s="175"/>
      <c r="L312" s="175"/>
      <c r="M312" s="175"/>
      <c r="N312" s="175"/>
      <c r="O312" s="172"/>
      <c r="P312" s="175"/>
      <c r="Q312" s="175"/>
      <c r="R312" s="175"/>
      <c r="S312" s="176"/>
      <c r="T312" s="176"/>
      <c r="U312" s="176"/>
      <c r="V312" s="172"/>
      <c r="W312" s="177"/>
      <c r="X312" s="175"/>
      <c r="Y312" s="176"/>
      <c r="Z312" s="110"/>
    </row>
    <row r="313" spans="1:26" x14ac:dyDescent="0.15">
      <c r="A313" s="110" t="s">
        <v>2744</v>
      </c>
      <c r="B313" s="111"/>
      <c r="C313" s="110"/>
      <c r="D313" s="184">
        <v>44154</v>
      </c>
      <c r="E313" s="111"/>
      <c r="F313" s="111"/>
      <c r="G313" s="111"/>
      <c r="H313" s="111" t="s">
        <v>2745</v>
      </c>
      <c r="I313" s="110"/>
      <c r="J313" s="170"/>
      <c r="K313" s="117"/>
      <c r="L313" s="117"/>
      <c r="M313" s="117"/>
      <c r="N313" s="117"/>
      <c r="O313" s="110"/>
      <c r="P313" s="117"/>
      <c r="Q313" s="117">
        <v>9875</v>
      </c>
      <c r="R313" s="117"/>
      <c r="S313" s="117"/>
      <c r="T313" s="171"/>
      <c r="U313" s="171"/>
      <c r="V313" s="110"/>
      <c r="W313" s="118"/>
      <c r="X313" s="110"/>
      <c r="Y313" s="110"/>
      <c r="Z313" s="110" t="s">
        <v>2746</v>
      </c>
    </row>
    <row r="314" spans="1:26" x14ac:dyDescent="0.15">
      <c r="A314" s="110" t="s">
        <v>2744</v>
      </c>
      <c r="B314" s="111" t="s">
        <v>2672</v>
      </c>
      <c r="C314" s="110"/>
      <c r="D314" s="184">
        <v>44154</v>
      </c>
      <c r="E314" s="111"/>
      <c r="F314" s="111"/>
      <c r="G314" s="111"/>
      <c r="H314" s="111" t="s">
        <v>2747</v>
      </c>
      <c r="I314" s="110"/>
      <c r="J314" s="170"/>
      <c r="K314" s="117"/>
      <c r="L314" s="117"/>
      <c r="M314" s="117"/>
      <c r="N314" s="117"/>
      <c r="O314" s="110"/>
      <c r="P314" s="117"/>
      <c r="Q314" s="117">
        <v>6050</v>
      </c>
      <c r="R314" s="117"/>
      <c r="S314" s="117"/>
      <c r="T314" s="171"/>
      <c r="U314" s="171"/>
      <c r="V314" s="110"/>
      <c r="W314" s="118"/>
      <c r="X314" s="110"/>
      <c r="Y314" s="110"/>
      <c r="Z314" s="110" t="s">
        <v>2748</v>
      </c>
    </row>
    <row r="315" spans="1:26" x14ac:dyDescent="0.15">
      <c r="A315" s="110" t="s">
        <v>2744</v>
      </c>
      <c r="B315" s="111"/>
      <c r="C315" s="110"/>
      <c r="D315" s="184">
        <v>44154</v>
      </c>
      <c r="E315" s="111"/>
      <c r="F315" s="111"/>
      <c r="G315" s="111"/>
      <c r="H315" s="111" t="s">
        <v>2749</v>
      </c>
      <c r="I315" s="110"/>
      <c r="J315" s="170"/>
      <c r="K315" s="117"/>
      <c r="L315" s="117"/>
      <c r="M315" s="117"/>
      <c r="N315" s="117"/>
      <c r="O315" s="110"/>
      <c r="P315" s="117"/>
      <c r="Q315" s="117">
        <v>3598</v>
      </c>
      <c r="R315" s="117"/>
      <c r="S315" s="117"/>
      <c r="T315" s="171"/>
      <c r="U315" s="171"/>
      <c r="V315" s="110"/>
      <c r="W315" s="118"/>
      <c r="X315" s="110"/>
      <c r="Y315" s="110"/>
      <c r="Z315" s="110" t="s">
        <v>2748</v>
      </c>
    </row>
    <row r="316" spans="1:26" x14ac:dyDescent="0.15">
      <c r="A316" s="110"/>
      <c r="B316" s="111"/>
      <c r="C316" s="110"/>
      <c r="D316" s="111"/>
      <c r="E316" s="111"/>
      <c r="F316" s="111"/>
      <c r="G316" s="111"/>
      <c r="H316" s="111"/>
      <c r="I316" s="110"/>
      <c r="J316" s="170"/>
      <c r="K316" s="117"/>
      <c r="L316" s="117"/>
      <c r="M316" s="117"/>
      <c r="N316" s="117"/>
      <c r="O316" s="110"/>
      <c r="P316" s="117"/>
      <c r="Q316" s="117"/>
      <c r="R316" s="117"/>
      <c r="S316" s="117"/>
      <c r="T316" s="171"/>
      <c r="U316" s="171"/>
      <c r="V316" s="110"/>
      <c r="W316" s="118"/>
      <c r="X316" s="110"/>
      <c r="Y316" s="110"/>
      <c r="Z316" s="110" t="s">
        <v>2750</v>
      </c>
    </row>
    <row r="317" spans="1:26" x14ac:dyDescent="0.15">
      <c r="A317" s="110" t="s">
        <v>2744</v>
      </c>
      <c r="B317" s="111" t="s">
        <v>2577</v>
      </c>
      <c r="C317" s="110"/>
      <c r="D317" s="111"/>
      <c r="E317" s="111"/>
      <c r="F317" s="111"/>
      <c r="G317" s="111"/>
      <c r="H317" s="111"/>
      <c r="I317" s="110"/>
      <c r="J317" s="170"/>
      <c r="K317" s="117"/>
      <c r="L317" s="117"/>
      <c r="M317" s="117"/>
      <c r="N317" s="117"/>
      <c r="O317" s="110"/>
      <c r="P317" s="117"/>
      <c r="Q317" s="117">
        <f>SUM(Q313:Q316)</f>
        <v>19523</v>
      </c>
      <c r="R317" s="117"/>
      <c r="S317" s="117"/>
      <c r="T317" s="171"/>
      <c r="U317" s="171"/>
      <c r="V317" s="110"/>
      <c r="W317" s="118"/>
      <c r="X317" s="110"/>
      <c r="Y317" s="110"/>
      <c r="Z317" s="110"/>
    </row>
    <row r="318" spans="1:26" x14ac:dyDescent="0.15">
      <c r="A318" s="172"/>
      <c r="B318" s="173"/>
      <c r="C318" s="172"/>
      <c r="D318" s="173"/>
      <c r="E318" s="173"/>
      <c r="F318" s="173"/>
      <c r="G318" s="173"/>
      <c r="H318" s="173"/>
      <c r="I318" s="172"/>
      <c r="J318" s="174"/>
      <c r="K318" s="175"/>
      <c r="L318" s="175"/>
      <c r="M318" s="175"/>
      <c r="N318" s="175"/>
      <c r="O318" s="172"/>
      <c r="P318" s="175"/>
      <c r="Q318" s="175"/>
      <c r="R318" s="175"/>
      <c r="S318" s="176"/>
      <c r="T318" s="176"/>
      <c r="U318" s="176"/>
      <c r="V318" s="172"/>
      <c r="W318" s="177"/>
      <c r="X318" s="175"/>
      <c r="Y318" s="176"/>
      <c r="Z318" s="110"/>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2ADC8-A78C-4BEA-90FC-8B2D5B591C78}">
  <sheetPr>
    <tabColor rgb="FFFFC000"/>
    <pageSetUpPr fitToPage="1"/>
  </sheetPr>
  <dimension ref="A1:AE325"/>
  <sheetViews>
    <sheetView zoomScaleNormal="100" workbookViewId="0">
      <pane xSplit="4" ySplit="4" topLeftCell="E137" activePane="bottomRight" state="frozen"/>
      <selection pane="topRight" activeCell="D12" sqref="D12"/>
      <selection pane="bottomLeft" activeCell="D12" sqref="D12"/>
      <selection pane="bottomRight" activeCell="D12" sqref="D12"/>
    </sheetView>
  </sheetViews>
  <sheetFormatPr baseColWidth="10" defaultColWidth="8.5" defaultRowHeight="11" x14ac:dyDescent="0.15"/>
  <cols>
    <col min="1" max="1" width="17.83203125" style="3" bestFit="1" customWidth="1"/>
    <col min="2" max="2" width="9.83203125" style="2" bestFit="1" customWidth="1"/>
    <col min="3" max="3" width="1.83203125" style="3" bestFit="1" customWidth="1"/>
    <col min="4" max="4" width="6" style="2" bestFit="1" customWidth="1"/>
    <col min="5" max="5" width="7.5" style="2" bestFit="1" customWidth="1"/>
    <col min="6" max="6" width="13.5" style="2" bestFit="1" customWidth="1"/>
    <col min="7" max="7" width="47.83203125" style="4" bestFit="1" customWidth="1"/>
    <col min="8" max="8" width="4.83203125" style="2" bestFit="1" customWidth="1"/>
    <col min="9" max="9" width="10" style="5" bestFit="1" customWidth="1"/>
    <col min="10" max="10" width="9.1640625" style="5" bestFit="1" customWidth="1"/>
    <col min="11" max="11" width="10" style="5" bestFit="1" customWidth="1"/>
    <col min="12" max="12" width="9.1640625" style="5" bestFit="1" customWidth="1"/>
    <col min="13" max="13" width="9.83203125" style="5" bestFit="1" customWidth="1"/>
    <col min="14" max="14" width="8.5" style="5" bestFit="1" customWidth="1"/>
    <col min="15" max="15" width="10.1640625" style="7" bestFit="1" customWidth="1"/>
    <col min="16" max="16" width="9.83203125" style="5" bestFit="1" customWidth="1"/>
    <col min="17" max="17" width="9.1640625" style="23" bestFit="1" customWidth="1"/>
    <col min="18" max="18" width="8.5" style="23" bestFit="1" customWidth="1"/>
    <col min="19" max="19" width="10.5" style="23" bestFit="1" customWidth="1"/>
    <col min="20" max="20" width="5.5" style="5" bestFit="1" customWidth="1"/>
    <col min="21" max="21" width="10.5" style="8" bestFit="1" customWidth="1"/>
    <col min="22" max="22" width="7.83203125" style="3" bestFit="1" customWidth="1"/>
    <col min="23" max="23" width="7.5" style="3" bestFit="1" customWidth="1"/>
    <col min="24" max="24" width="9.5" style="3" bestFit="1" customWidth="1"/>
    <col min="25" max="25" width="1.5" style="3" customWidth="1"/>
    <col min="26" max="26" width="8.5" style="3" bestFit="1" customWidth="1"/>
    <col min="27" max="27" width="7.83203125" style="3" bestFit="1" customWidth="1"/>
    <col min="28" max="30" width="8.5" style="3"/>
    <col min="31" max="31" width="11.1640625" style="6" bestFit="1" customWidth="1"/>
    <col min="32" max="32" width="9.1640625" style="3" bestFit="1" customWidth="1"/>
    <col min="33" max="16384" width="8.5" style="3"/>
  </cols>
  <sheetData>
    <row r="1" spans="1:31" x14ac:dyDescent="0.15">
      <c r="A1" s="1" t="s">
        <v>2581</v>
      </c>
      <c r="B1" s="111"/>
      <c r="C1" s="110"/>
      <c r="D1" s="111"/>
      <c r="E1" s="111"/>
      <c r="F1" s="111"/>
      <c r="G1" s="133"/>
      <c r="H1" s="111"/>
      <c r="I1" s="117"/>
      <c r="J1" s="117"/>
      <c r="K1" s="117"/>
      <c r="L1" s="117"/>
      <c r="M1" s="117"/>
      <c r="N1" s="117"/>
      <c r="P1" s="117"/>
      <c r="Q1" s="123"/>
      <c r="R1" s="123"/>
      <c r="S1" s="123"/>
      <c r="T1" s="117"/>
      <c r="U1" s="118"/>
      <c r="V1" s="110"/>
      <c r="W1" s="110"/>
      <c r="X1" s="110"/>
      <c r="Y1" s="110"/>
      <c r="Z1" s="110"/>
      <c r="AA1" s="110"/>
      <c r="AB1" s="110"/>
      <c r="AC1" s="110"/>
      <c r="AD1" s="110"/>
      <c r="AE1" s="121"/>
    </row>
    <row r="2" spans="1:31" x14ac:dyDescent="0.15">
      <c r="A2" s="1" t="s">
        <v>2751</v>
      </c>
      <c r="B2" s="111"/>
      <c r="C2" s="110"/>
      <c r="D2" s="111"/>
      <c r="E2" s="111"/>
      <c r="F2" s="111"/>
      <c r="G2" s="133"/>
      <c r="H2" s="111"/>
      <c r="I2" s="117"/>
      <c r="J2" s="117"/>
      <c r="K2" s="117"/>
      <c r="L2" s="117"/>
      <c r="M2" s="117"/>
      <c r="N2" s="117"/>
      <c r="P2" s="117"/>
      <c r="Q2" s="123"/>
      <c r="R2" s="123"/>
      <c r="S2" s="123"/>
      <c r="T2" s="117"/>
      <c r="U2" s="118"/>
      <c r="V2" s="110"/>
      <c r="W2" s="110"/>
      <c r="X2" s="110"/>
      <c r="Y2" s="110"/>
      <c r="Z2" s="110"/>
      <c r="AA2" s="110"/>
      <c r="AB2" s="110"/>
      <c r="AC2" s="110"/>
      <c r="AD2" s="110"/>
      <c r="AE2" s="121"/>
    </row>
    <row r="3" spans="1:31" ht="9" customHeight="1" x14ac:dyDescent="0.15">
      <c r="A3" s="110"/>
      <c r="B3" s="111"/>
      <c r="C3" s="110"/>
      <c r="D3" s="111"/>
      <c r="E3" s="111"/>
      <c r="F3" s="111"/>
      <c r="G3" s="133"/>
      <c r="H3" s="111"/>
      <c r="I3" s="117"/>
      <c r="J3" s="117"/>
      <c r="K3" s="117"/>
      <c r="L3" s="117"/>
      <c r="M3" s="117"/>
      <c r="N3" s="117"/>
      <c r="P3" s="117"/>
      <c r="Q3" s="123"/>
      <c r="R3" s="123"/>
      <c r="S3" s="123"/>
      <c r="T3" s="117"/>
      <c r="U3" s="118"/>
      <c r="V3" s="110"/>
      <c r="W3" s="110"/>
      <c r="X3" s="110"/>
      <c r="Y3" s="110"/>
      <c r="Z3" s="110"/>
      <c r="AA3" s="110"/>
      <c r="AB3" s="110"/>
      <c r="AC3" s="110"/>
      <c r="AD3" s="110"/>
      <c r="AE3" s="121"/>
    </row>
    <row r="4" spans="1:31" s="13" customFormat="1" ht="33" customHeight="1" x14ac:dyDescent="0.15">
      <c r="A4" s="9" t="s">
        <v>2576</v>
      </c>
      <c r="B4" s="9" t="s">
        <v>8</v>
      </c>
      <c r="C4" s="9"/>
      <c r="D4" s="9" t="s">
        <v>10</v>
      </c>
      <c r="E4" s="9" t="s">
        <v>2583</v>
      </c>
      <c r="F4" s="9" t="s">
        <v>12</v>
      </c>
      <c r="G4" s="9" t="s">
        <v>16</v>
      </c>
      <c r="H4" s="9" t="s">
        <v>22</v>
      </c>
      <c r="I4" s="10" t="s">
        <v>21</v>
      </c>
      <c r="J4" s="10" t="s">
        <v>23</v>
      </c>
      <c r="K4" s="10" t="s">
        <v>24</v>
      </c>
      <c r="L4" s="10" t="s">
        <v>25</v>
      </c>
      <c r="M4" s="10" t="s">
        <v>26</v>
      </c>
      <c r="N4" s="10" t="s">
        <v>27</v>
      </c>
      <c r="O4" s="11" t="s">
        <v>28</v>
      </c>
      <c r="P4" s="10" t="s">
        <v>31</v>
      </c>
      <c r="Q4" s="44" t="s">
        <v>30</v>
      </c>
      <c r="R4" s="44" t="s">
        <v>32</v>
      </c>
      <c r="S4" s="44" t="s">
        <v>2752</v>
      </c>
      <c r="T4" s="10"/>
      <c r="U4" s="12" t="s">
        <v>29</v>
      </c>
      <c r="V4" s="10" t="s">
        <v>17</v>
      </c>
      <c r="W4" s="10" t="s">
        <v>18</v>
      </c>
      <c r="X4" s="10" t="s">
        <v>19</v>
      </c>
      <c r="Y4" s="9"/>
      <c r="Z4" s="10" t="s">
        <v>2753</v>
      </c>
      <c r="AA4" s="10" t="s">
        <v>2754</v>
      </c>
      <c r="AE4" s="14"/>
    </row>
    <row r="5" spans="1:31" x14ac:dyDescent="0.15">
      <c r="A5" s="111"/>
      <c r="B5" s="111"/>
      <c r="C5" s="110"/>
      <c r="D5" s="111"/>
      <c r="E5" s="111"/>
      <c r="F5" s="111"/>
      <c r="G5" s="133"/>
      <c r="H5" s="111"/>
      <c r="I5" s="117"/>
      <c r="J5" s="117"/>
      <c r="K5" s="117"/>
      <c r="L5" s="117"/>
      <c r="M5" s="117"/>
      <c r="N5" s="117"/>
      <c r="P5" s="117"/>
      <c r="Q5" s="123"/>
      <c r="R5" s="123"/>
      <c r="S5" s="123"/>
      <c r="T5" s="117"/>
      <c r="U5" s="118"/>
      <c r="V5" s="110"/>
      <c r="W5" s="110"/>
      <c r="X5" s="110"/>
      <c r="Y5" s="110"/>
      <c r="Z5" s="110"/>
      <c r="AA5" s="110"/>
      <c r="AB5" s="110"/>
      <c r="AC5" s="110"/>
      <c r="AD5" s="110"/>
      <c r="AE5" s="121"/>
    </row>
    <row r="6" spans="1:31" x14ac:dyDescent="0.15">
      <c r="A6" s="110" t="s">
        <v>2755</v>
      </c>
      <c r="B6" s="111" t="s">
        <v>37</v>
      </c>
      <c r="C6" s="110"/>
      <c r="D6" s="111">
        <v>2</v>
      </c>
      <c r="E6" s="15">
        <v>160107</v>
      </c>
      <c r="F6" s="111" t="s">
        <v>38</v>
      </c>
      <c r="G6" s="133" t="s">
        <v>40</v>
      </c>
      <c r="H6" s="111">
        <v>554</v>
      </c>
      <c r="I6" s="117">
        <v>100126.28</v>
      </c>
      <c r="J6" s="117">
        <f>29.5+19.5</f>
        <v>49</v>
      </c>
      <c r="K6" s="117">
        <f>1203.26+509.4</f>
        <v>1712.6599999999999</v>
      </c>
      <c r="L6" s="117">
        <v>0</v>
      </c>
      <c r="M6" s="117">
        <v>22484.52</v>
      </c>
      <c r="N6" s="117"/>
      <c r="O6" s="7">
        <f t="shared" ref="O6:O13" si="0">SUM(K6:N6)</f>
        <v>24197.18</v>
      </c>
      <c r="P6" s="117">
        <f t="shared" ref="P6:P13" si="1">I6-O6</f>
        <v>75929.100000000006</v>
      </c>
      <c r="Q6" s="123">
        <f t="shared" ref="Q6:Q13" si="2">M6/I6</f>
        <v>0.22456162358174098</v>
      </c>
      <c r="R6" s="123">
        <f t="shared" ref="R6:R13" si="3">P6/I6</f>
        <v>0.75833337661201439</v>
      </c>
      <c r="S6" s="123">
        <f>1-0.45</f>
        <v>0.55000000000000004</v>
      </c>
      <c r="T6" s="117"/>
      <c r="U6" s="118">
        <f>IFERROR(K6/J6,"")</f>
        <v>34.952244897959183</v>
      </c>
      <c r="V6" s="185">
        <f>285779-1</f>
        <v>285778</v>
      </c>
      <c r="W6" s="117">
        <f t="shared" ref="W6:W13" si="4">V6*(1-S6)</f>
        <v>128600.09999999999</v>
      </c>
      <c r="X6" s="117">
        <f>V6-W6</f>
        <v>157177.90000000002</v>
      </c>
      <c r="Y6" s="110"/>
      <c r="Z6" s="185">
        <f>-SUM(V6:V10)+SUM(I6:I10)</f>
        <v>32570.799999999988</v>
      </c>
      <c r="AA6" s="117">
        <f>SUM(W6:W10)-SUM(O6:O10)</f>
        <v>38657.31</v>
      </c>
      <c r="AB6" s="110"/>
      <c r="AC6" s="110"/>
      <c r="AD6" s="110"/>
      <c r="AE6" s="121"/>
    </row>
    <row r="7" spans="1:31" x14ac:dyDescent="0.15">
      <c r="A7" s="110" t="s">
        <v>2755</v>
      </c>
      <c r="B7" s="111" t="s">
        <v>37</v>
      </c>
      <c r="C7" s="110"/>
      <c r="D7" s="111">
        <v>2</v>
      </c>
      <c r="E7" s="15">
        <v>160107</v>
      </c>
      <c r="F7" s="111" t="s">
        <v>41</v>
      </c>
      <c r="G7" s="133" t="s">
        <v>42</v>
      </c>
      <c r="H7" s="111">
        <v>731</v>
      </c>
      <c r="I7" s="117">
        <v>126153.56</v>
      </c>
      <c r="J7" s="117">
        <f>24.5+23</f>
        <v>47.5</v>
      </c>
      <c r="K7" s="117">
        <f>1215.4+547.03</f>
        <v>1762.43</v>
      </c>
      <c r="L7" s="117">
        <v>0</v>
      </c>
      <c r="M7" s="117">
        <v>29128.1</v>
      </c>
      <c r="N7" s="117"/>
      <c r="O7" s="7">
        <f t="shared" si="0"/>
        <v>30890.53</v>
      </c>
      <c r="P7" s="117">
        <f t="shared" si="1"/>
        <v>95263.03</v>
      </c>
      <c r="Q7" s="123">
        <f t="shared" si="2"/>
        <v>0.23089399934492533</v>
      </c>
      <c r="R7" s="123">
        <f t="shared" si="3"/>
        <v>0.75513548725854429</v>
      </c>
      <c r="S7" s="123">
        <f t="shared" ref="S7:S10" si="5">1-0.45</f>
        <v>0.55000000000000004</v>
      </c>
      <c r="T7" s="117"/>
      <c r="U7" s="118">
        <f t="shared" ref="U7:U76" si="6">IFERROR(K7/J7,"")</f>
        <v>37.103789473684209</v>
      </c>
      <c r="V7" s="117">
        <v>0</v>
      </c>
      <c r="W7" s="117">
        <f t="shared" si="4"/>
        <v>0</v>
      </c>
      <c r="X7" s="117">
        <f t="shared" ref="X7:X13" si="7">V7-W7</f>
        <v>0</v>
      </c>
      <c r="Y7" s="110"/>
      <c r="Z7" s="117"/>
      <c r="AA7" s="117"/>
      <c r="AB7" s="110"/>
      <c r="AC7" s="110"/>
      <c r="AD7" s="110"/>
      <c r="AE7" s="121"/>
    </row>
    <row r="8" spans="1:31" x14ac:dyDescent="0.15">
      <c r="A8" s="110" t="s">
        <v>2755</v>
      </c>
      <c r="B8" s="111" t="s">
        <v>37</v>
      </c>
      <c r="C8" s="110"/>
      <c r="D8" s="111">
        <v>2</v>
      </c>
      <c r="E8" s="15">
        <v>160107</v>
      </c>
      <c r="F8" s="16">
        <v>220100119</v>
      </c>
      <c r="G8" s="133" t="s">
        <v>43</v>
      </c>
      <c r="H8" s="111">
        <v>881</v>
      </c>
      <c r="I8" s="117">
        <v>9800</v>
      </c>
      <c r="J8" s="117">
        <v>0</v>
      </c>
      <c r="K8" s="117">
        <v>0</v>
      </c>
      <c r="L8" s="117">
        <v>0</v>
      </c>
      <c r="M8" s="117">
        <v>10992.08</v>
      </c>
      <c r="N8" s="117"/>
      <c r="O8" s="7">
        <f t="shared" si="0"/>
        <v>10992.08</v>
      </c>
      <c r="P8" s="117">
        <f t="shared" si="1"/>
        <v>-1192.08</v>
      </c>
      <c r="Q8" s="123">
        <f t="shared" si="2"/>
        <v>1.1216408163265306</v>
      </c>
      <c r="R8" s="123">
        <f t="shared" si="3"/>
        <v>-0.12164081632653061</v>
      </c>
      <c r="S8" s="123">
        <f t="shared" si="5"/>
        <v>0.55000000000000004</v>
      </c>
      <c r="T8" s="117"/>
      <c r="U8" s="118" t="str">
        <f t="shared" si="6"/>
        <v/>
      </c>
      <c r="V8" s="117">
        <v>0</v>
      </c>
      <c r="W8" s="117">
        <f t="shared" si="4"/>
        <v>0</v>
      </c>
      <c r="X8" s="117">
        <f t="shared" si="7"/>
        <v>0</v>
      </c>
      <c r="Y8" s="110"/>
      <c r="Z8" s="117"/>
      <c r="AA8" s="117"/>
      <c r="AB8" s="110"/>
      <c r="AC8" s="110"/>
      <c r="AD8" s="110"/>
      <c r="AE8" s="121"/>
    </row>
    <row r="9" spans="1:31" x14ac:dyDescent="0.15">
      <c r="A9" s="110" t="s">
        <v>2755</v>
      </c>
      <c r="B9" s="111" t="s">
        <v>37</v>
      </c>
      <c r="C9" s="110">
        <v>8</v>
      </c>
      <c r="D9" s="111">
        <v>2</v>
      </c>
      <c r="E9" s="15">
        <v>160107</v>
      </c>
      <c r="F9" s="111" t="s">
        <v>44</v>
      </c>
      <c r="G9" s="133" t="s">
        <v>45</v>
      </c>
      <c r="H9" s="111">
        <v>556</v>
      </c>
      <c r="I9" s="117">
        <v>63250.96</v>
      </c>
      <c r="J9" s="117">
        <f>6.5+25+12.5</f>
        <v>44</v>
      </c>
      <c r="K9" s="117">
        <f>1018.16+416.14</f>
        <v>1434.3</v>
      </c>
      <c r="L9" s="117">
        <v>0</v>
      </c>
      <c r="M9" s="117">
        <v>17372.689999999999</v>
      </c>
      <c r="N9" s="117"/>
      <c r="O9" s="7">
        <f t="shared" si="0"/>
        <v>18806.989999999998</v>
      </c>
      <c r="P9" s="117">
        <f t="shared" si="1"/>
        <v>44443.97</v>
      </c>
      <c r="Q9" s="123">
        <f t="shared" si="2"/>
        <v>0.27466286677704177</v>
      </c>
      <c r="R9" s="123">
        <f t="shared" si="3"/>
        <v>0.70266079755943633</v>
      </c>
      <c r="S9" s="123">
        <f t="shared" si="5"/>
        <v>0.55000000000000004</v>
      </c>
      <c r="T9" s="117"/>
      <c r="U9" s="118">
        <f t="shared" si="6"/>
        <v>32.597727272727269</v>
      </c>
      <c r="V9" s="117">
        <v>0</v>
      </c>
      <c r="W9" s="117">
        <f t="shared" si="4"/>
        <v>0</v>
      </c>
      <c r="X9" s="117">
        <f t="shared" si="7"/>
        <v>0</v>
      </c>
      <c r="Y9" s="110"/>
      <c r="Z9" s="117"/>
      <c r="AA9" s="117"/>
      <c r="AB9" s="110"/>
      <c r="AC9" s="110"/>
      <c r="AD9" s="110"/>
      <c r="AE9" s="121"/>
    </row>
    <row r="10" spans="1:31" x14ac:dyDescent="0.15">
      <c r="A10" s="110" t="s">
        <v>2755</v>
      </c>
      <c r="B10" s="111" t="s">
        <v>37</v>
      </c>
      <c r="C10" s="110"/>
      <c r="D10" s="111">
        <v>2</v>
      </c>
      <c r="E10" s="15">
        <v>160107</v>
      </c>
      <c r="F10" s="16">
        <v>210500119</v>
      </c>
      <c r="G10" s="133" t="s">
        <v>46</v>
      </c>
      <c r="H10" s="111">
        <v>882</v>
      </c>
      <c r="I10" s="117">
        <v>19018</v>
      </c>
      <c r="J10" s="117">
        <v>0</v>
      </c>
      <c r="K10" s="117">
        <v>0</v>
      </c>
      <c r="L10" s="117">
        <v>0</v>
      </c>
      <c r="M10" s="117">
        <v>5056.01</v>
      </c>
      <c r="N10" s="117"/>
      <c r="O10" s="7">
        <f t="shared" si="0"/>
        <v>5056.01</v>
      </c>
      <c r="P10" s="117">
        <f t="shared" si="1"/>
        <v>13961.99</v>
      </c>
      <c r="Q10" s="123">
        <f t="shared" si="2"/>
        <v>0.26585392785781892</v>
      </c>
      <c r="R10" s="123">
        <f t="shared" si="3"/>
        <v>0.73414607214218108</v>
      </c>
      <c r="S10" s="123">
        <f t="shared" si="5"/>
        <v>0.55000000000000004</v>
      </c>
      <c r="T10" s="117"/>
      <c r="U10" s="118" t="str">
        <f t="shared" si="6"/>
        <v/>
      </c>
      <c r="V10" s="117">
        <v>0</v>
      </c>
      <c r="W10" s="117">
        <f t="shared" si="4"/>
        <v>0</v>
      </c>
      <c r="X10" s="117">
        <f t="shared" si="7"/>
        <v>0</v>
      </c>
      <c r="Y10" s="110"/>
      <c r="Z10" s="117"/>
      <c r="AA10" s="117"/>
      <c r="AB10" s="110"/>
      <c r="AC10" s="110"/>
      <c r="AD10" s="110"/>
      <c r="AE10" s="121"/>
    </row>
    <row r="11" spans="1:31" x14ac:dyDescent="0.15">
      <c r="A11" s="110" t="s">
        <v>2755</v>
      </c>
      <c r="B11" s="111" t="s">
        <v>47</v>
      </c>
      <c r="C11" s="110"/>
      <c r="D11" s="111">
        <v>2</v>
      </c>
      <c r="E11" s="15">
        <v>160107</v>
      </c>
      <c r="F11" s="16">
        <v>516121129</v>
      </c>
      <c r="G11" s="133" t="s">
        <v>48</v>
      </c>
      <c r="H11" s="111">
        <v>884</v>
      </c>
      <c r="I11" s="117">
        <v>29525</v>
      </c>
      <c r="J11" s="117">
        <v>165</v>
      </c>
      <c r="K11" s="117">
        <f>5100.15+2295.15</f>
        <v>7395.2999999999993</v>
      </c>
      <c r="L11" s="117">
        <v>5097.0200000000004</v>
      </c>
      <c r="M11" s="117">
        <v>3533.88</v>
      </c>
      <c r="N11" s="117"/>
      <c r="O11" s="7">
        <f t="shared" si="0"/>
        <v>16026.2</v>
      </c>
      <c r="P11" s="117">
        <f t="shared" si="1"/>
        <v>13498.8</v>
      </c>
      <c r="Q11" s="123">
        <f t="shared" si="2"/>
        <v>0.11969110922946656</v>
      </c>
      <c r="R11" s="123">
        <f t="shared" si="3"/>
        <v>0.45719898391193903</v>
      </c>
      <c r="S11" s="123">
        <f>1-0.5</f>
        <v>0.5</v>
      </c>
      <c r="T11" s="117"/>
      <c r="U11" s="118">
        <f t="shared" si="6"/>
        <v>44.819999999999993</v>
      </c>
      <c r="V11" s="185">
        <v>29525</v>
      </c>
      <c r="W11" s="117">
        <f t="shared" si="4"/>
        <v>14762.5</v>
      </c>
      <c r="X11" s="117">
        <f t="shared" si="7"/>
        <v>14762.5</v>
      </c>
      <c r="Y11" s="110"/>
      <c r="Z11" s="185">
        <f>I11-V11</f>
        <v>0</v>
      </c>
      <c r="AA11" s="117">
        <f>W11-O11</f>
        <v>-1263.7000000000007</v>
      </c>
      <c r="AB11" s="110"/>
      <c r="AC11" s="110"/>
      <c r="AD11" s="110"/>
      <c r="AE11" s="121"/>
    </row>
    <row r="12" spans="1:31" x14ac:dyDescent="0.15">
      <c r="A12" s="110" t="s">
        <v>2755</v>
      </c>
      <c r="B12" s="111" t="s">
        <v>999</v>
      </c>
      <c r="C12" s="110"/>
      <c r="D12" s="111">
        <v>2</v>
      </c>
      <c r="E12" s="15">
        <v>160107</v>
      </c>
      <c r="F12" s="17" t="s">
        <v>50</v>
      </c>
      <c r="G12" s="133" t="s">
        <v>51</v>
      </c>
      <c r="H12" s="111"/>
      <c r="I12" s="117">
        <v>19958</v>
      </c>
      <c r="J12" s="117"/>
      <c r="K12" s="117"/>
      <c r="L12" s="117"/>
      <c r="M12" s="117"/>
      <c r="N12" s="117"/>
      <c r="O12" s="7">
        <f t="shared" si="0"/>
        <v>0</v>
      </c>
      <c r="P12" s="117">
        <f t="shared" si="1"/>
        <v>19958</v>
      </c>
      <c r="Q12" s="123">
        <f t="shared" si="2"/>
        <v>0</v>
      </c>
      <c r="R12" s="123">
        <f t="shared" si="3"/>
        <v>1</v>
      </c>
      <c r="S12" s="123">
        <f>1-0.02</f>
        <v>0.98</v>
      </c>
      <c r="T12" s="117"/>
      <c r="U12" s="118" t="str">
        <f t="shared" si="6"/>
        <v/>
      </c>
      <c r="V12" s="185">
        <v>52528</v>
      </c>
      <c r="W12" s="117">
        <f t="shared" si="4"/>
        <v>1050.5600000000009</v>
      </c>
      <c r="X12" s="117">
        <f t="shared" si="7"/>
        <v>51477.440000000002</v>
      </c>
      <c r="Y12" s="110"/>
      <c r="Z12" s="185">
        <f>I12-V12</f>
        <v>-32570</v>
      </c>
      <c r="AA12" s="117">
        <f>W12-O12</f>
        <v>1050.5600000000009</v>
      </c>
      <c r="AB12" s="110"/>
      <c r="AC12" s="110"/>
      <c r="AD12" s="110"/>
      <c r="AE12" s="121"/>
    </row>
    <row r="13" spans="1:31" x14ac:dyDescent="0.15">
      <c r="A13" s="110" t="s">
        <v>2755</v>
      </c>
      <c r="B13" s="111" t="s">
        <v>49</v>
      </c>
      <c r="C13" s="110"/>
      <c r="D13" s="111">
        <v>2</v>
      </c>
      <c r="E13" s="15">
        <v>160107</v>
      </c>
      <c r="F13" s="17">
        <v>616420129</v>
      </c>
      <c r="G13" s="133" t="s">
        <v>52</v>
      </c>
      <c r="H13" s="111">
        <v>885</v>
      </c>
      <c r="I13" s="117">
        <v>10000</v>
      </c>
      <c r="J13" s="117">
        <v>33.5</v>
      </c>
      <c r="K13" s="117">
        <f>1035.49+465.99</f>
        <v>1501.48</v>
      </c>
      <c r="L13" s="117">
        <v>2058.91</v>
      </c>
      <c r="M13" s="117">
        <v>3320.38</v>
      </c>
      <c r="N13" s="117"/>
      <c r="O13" s="7">
        <f t="shared" si="0"/>
        <v>6880.77</v>
      </c>
      <c r="P13" s="117">
        <f t="shared" si="1"/>
        <v>3119.2299999999996</v>
      </c>
      <c r="Q13" s="123">
        <f t="shared" si="2"/>
        <v>0.332038</v>
      </c>
      <c r="R13" s="123">
        <f t="shared" si="3"/>
        <v>0.31192299999999995</v>
      </c>
      <c r="S13" s="123">
        <f>1-0.529</f>
        <v>0.47099999999999997</v>
      </c>
      <c r="T13" s="117"/>
      <c r="U13" s="118">
        <f t="shared" si="6"/>
        <v>44.820298507462688</v>
      </c>
      <c r="V13" s="185">
        <v>10000</v>
      </c>
      <c r="W13" s="117">
        <f t="shared" si="4"/>
        <v>5290</v>
      </c>
      <c r="X13" s="117">
        <f t="shared" si="7"/>
        <v>4710</v>
      </c>
      <c r="Y13" s="110"/>
      <c r="Z13" s="185">
        <f>I13-V13</f>
        <v>0</v>
      </c>
      <c r="AA13" s="117">
        <f>W13-O13</f>
        <v>-1590.7700000000004</v>
      </c>
      <c r="AB13" s="110"/>
      <c r="AC13" s="110"/>
      <c r="AD13" s="110"/>
      <c r="AE13" s="121"/>
    </row>
    <row r="14" spans="1:31" x14ac:dyDescent="0.15">
      <c r="A14" s="110" t="s">
        <v>53</v>
      </c>
      <c r="B14" s="111"/>
      <c r="C14" s="110"/>
      <c r="D14" s="111"/>
      <c r="E14" s="15"/>
      <c r="F14" s="111"/>
      <c r="G14" s="133"/>
      <c r="H14" s="111"/>
      <c r="I14" s="117"/>
      <c r="J14" s="117"/>
      <c r="K14" s="117"/>
      <c r="L14" s="117"/>
      <c r="M14" s="117"/>
      <c r="N14" s="117"/>
      <c r="P14" s="117"/>
      <c r="Q14" s="123"/>
      <c r="R14" s="123"/>
      <c r="S14" s="123"/>
      <c r="T14" s="117"/>
      <c r="U14" s="118" t="str">
        <f t="shared" si="6"/>
        <v/>
      </c>
      <c r="V14" s="110"/>
      <c r="W14" s="110"/>
      <c r="X14" s="110"/>
      <c r="Y14" s="110"/>
      <c r="Z14" s="110"/>
      <c r="AA14" s="110"/>
      <c r="AB14" s="110"/>
      <c r="AC14" s="110"/>
      <c r="AD14" s="110"/>
      <c r="AE14" s="121"/>
    </row>
    <row r="15" spans="1:31" x14ac:dyDescent="0.15">
      <c r="A15" s="110" t="s">
        <v>2755</v>
      </c>
      <c r="B15" s="111" t="s">
        <v>54</v>
      </c>
      <c r="C15" s="110"/>
      <c r="D15" s="111"/>
      <c r="E15" s="15"/>
      <c r="F15" s="111"/>
      <c r="G15" s="133"/>
      <c r="H15" s="111"/>
      <c r="I15" s="24">
        <f t="shared" ref="I15:M15" si="8">SUM(I6:I14)</f>
        <v>377831.8</v>
      </c>
      <c r="J15" s="24">
        <f t="shared" si="8"/>
        <v>339</v>
      </c>
      <c r="K15" s="24">
        <f t="shared" si="8"/>
        <v>13806.169999999998</v>
      </c>
      <c r="L15" s="24">
        <f t="shared" si="8"/>
        <v>7155.93</v>
      </c>
      <c r="M15" s="24">
        <f t="shared" si="8"/>
        <v>91887.66</v>
      </c>
      <c r="N15" s="117"/>
      <c r="O15" s="25">
        <f>SUM(O6:O13)</f>
        <v>112849.76</v>
      </c>
      <c r="P15" s="117">
        <f>I15-O15</f>
        <v>264982.03999999998</v>
      </c>
      <c r="Q15" s="123">
        <f>M15/I15</f>
        <v>0.24319726396772323</v>
      </c>
      <c r="R15" s="123">
        <f>P15/I15</f>
        <v>0.70132275790444321</v>
      </c>
      <c r="S15" s="123">
        <f>((I6*S6)+(I7*S7)+(I8*S8)+(I9*S9)+(I10*S10)+(I11*S11))/I15</f>
        <v>0.50248375070600204</v>
      </c>
      <c r="T15" s="117"/>
      <c r="U15" s="118">
        <f t="shared" si="6"/>
        <v>40.726165191740407</v>
      </c>
      <c r="V15" s="117">
        <f t="shared" ref="V15:X15" si="9">SUM(V6:V14)</f>
        <v>377831</v>
      </c>
      <c r="W15" s="117">
        <f t="shared" si="9"/>
        <v>149703.15999999997</v>
      </c>
      <c r="X15" s="117">
        <f t="shared" si="9"/>
        <v>228127.84000000003</v>
      </c>
      <c r="Y15" s="110"/>
      <c r="Z15" s="117">
        <f t="shared" ref="Z15:AA15" si="10">SUM(Z6:Z14)</f>
        <v>0.79999999998835847</v>
      </c>
      <c r="AA15" s="117">
        <f t="shared" si="10"/>
        <v>36853.399999999994</v>
      </c>
      <c r="AB15" s="110"/>
      <c r="AC15" s="110"/>
      <c r="AD15" s="110"/>
      <c r="AE15" s="121"/>
    </row>
    <row r="16" spans="1:31" x14ac:dyDescent="0.15">
      <c r="A16" s="110" t="s">
        <v>2755</v>
      </c>
      <c r="B16" s="111" t="s">
        <v>55</v>
      </c>
      <c r="C16" s="110"/>
      <c r="D16" s="111">
        <v>2</v>
      </c>
      <c r="E16" s="15">
        <v>160107</v>
      </c>
      <c r="F16" s="111" t="s">
        <v>2756</v>
      </c>
      <c r="G16" s="133" t="s">
        <v>57</v>
      </c>
      <c r="H16" s="111">
        <v>883</v>
      </c>
      <c r="I16" s="117">
        <v>5500</v>
      </c>
      <c r="J16" s="117">
        <v>30.5</v>
      </c>
      <c r="K16" s="117">
        <f>838.75+377.59</f>
        <v>1216.3399999999999</v>
      </c>
      <c r="L16" s="117">
        <v>2289</v>
      </c>
      <c r="M16" s="117">
        <v>400</v>
      </c>
      <c r="N16" s="117"/>
      <c r="O16" s="7">
        <v>3905.34</v>
      </c>
      <c r="P16" s="117">
        <f>I16-O16</f>
        <v>1594.6599999999999</v>
      </c>
      <c r="Q16" s="123">
        <f>M16/I16</f>
        <v>7.2727272727272724E-2</v>
      </c>
      <c r="R16" s="123">
        <f>P16/I16</f>
        <v>0.28993818181818182</v>
      </c>
      <c r="S16" s="123">
        <v>0</v>
      </c>
      <c r="T16" s="117"/>
      <c r="U16" s="118">
        <f t="shared" si="6"/>
        <v>39.879999999999995</v>
      </c>
      <c r="V16" s="117">
        <v>0</v>
      </c>
      <c r="W16" s="117">
        <v>0</v>
      </c>
      <c r="X16" s="117">
        <v>0</v>
      </c>
      <c r="Y16" s="110"/>
      <c r="Z16" s="185"/>
      <c r="AA16" s="117"/>
      <c r="AB16" s="110"/>
      <c r="AC16" s="110"/>
      <c r="AD16" s="110"/>
      <c r="AE16" s="121"/>
    </row>
    <row r="17" spans="1:27" x14ac:dyDescent="0.15">
      <c r="A17" s="110" t="s">
        <v>2755</v>
      </c>
      <c r="B17" s="111" t="s">
        <v>58</v>
      </c>
      <c r="C17" s="110"/>
      <c r="D17" s="111">
        <v>2</v>
      </c>
      <c r="E17" s="15">
        <v>160107</v>
      </c>
      <c r="F17" s="17" t="s">
        <v>59</v>
      </c>
      <c r="G17" s="16" t="s">
        <v>60</v>
      </c>
      <c r="H17" s="111"/>
      <c r="I17" s="117">
        <f>21821+24003+26404+29044</f>
        <v>101272</v>
      </c>
      <c r="J17" s="117"/>
      <c r="K17" s="117"/>
      <c r="L17" s="117"/>
      <c r="M17" s="117"/>
      <c r="N17" s="117"/>
      <c r="P17" s="117"/>
      <c r="Q17" s="123"/>
      <c r="R17" s="123"/>
      <c r="S17" s="123"/>
      <c r="T17" s="117"/>
      <c r="U17" s="118" t="str">
        <f t="shared" si="6"/>
        <v/>
      </c>
      <c r="V17" s="117"/>
      <c r="W17" s="117"/>
      <c r="X17" s="117"/>
      <c r="Y17" s="110"/>
      <c r="Z17" s="117"/>
      <c r="AA17" s="110"/>
    </row>
    <row r="18" spans="1:27" x14ac:dyDescent="0.15">
      <c r="A18" s="110" t="s">
        <v>2755</v>
      </c>
      <c r="B18" s="111" t="s">
        <v>61</v>
      </c>
      <c r="C18" s="110"/>
      <c r="D18" s="111">
        <v>2</v>
      </c>
      <c r="E18" s="15">
        <v>160107</v>
      </c>
      <c r="F18" s="17" t="s">
        <v>2607</v>
      </c>
      <c r="G18" s="16" t="s">
        <v>2736</v>
      </c>
      <c r="H18" s="111"/>
      <c r="I18" s="117">
        <f>14760+15498+16273+17086</f>
        <v>63617</v>
      </c>
      <c r="J18" s="117"/>
      <c r="K18" s="117"/>
      <c r="L18" s="117"/>
      <c r="M18" s="117"/>
      <c r="N18" s="117"/>
      <c r="P18" s="117"/>
      <c r="Q18" s="123"/>
      <c r="R18" s="123"/>
      <c r="S18" s="123"/>
      <c r="T18" s="117"/>
      <c r="U18" s="118" t="str">
        <f t="shared" si="6"/>
        <v/>
      </c>
      <c r="V18" s="117"/>
      <c r="W18" s="117"/>
      <c r="X18" s="117"/>
      <c r="Y18" s="110"/>
      <c r="Z18" s="117"/>
      <c r="AA18" s="110"/>
    </row>
    <row r="19" spans="1:27" x14ac:dyDescent="0.15">
      <c r="A19" s="110"/>
      <c r="B19" s="111"/>
      <c r="C19" s="110"/>
      <c r="D19" s="111"/>
      <c r="E19" s="15"/>
      <c r="F19" s="17"/>
      <c r="G19" s="16"/>
      <c r="H19" s="111"/>
      <c r="I19" s="117"/>
      <c r="J19" s="117"/>
      <c r="K19" s="117"/>
      <c r="L19" s="117"/>
      <c r="M19" s="117"/>
      <c r="N19" s="117"/>
      <c r="P19" s="117"/>
      <c r="Q19" s="123"/>
      <c r="R19" s="123"/>
      <c r="S19" s="123"/>
      <c r="T19" s="117"/>
      <c r="U19" s="118"/>
      <c r="V19" s="117"/>
      <c r="W19" s="117"/>
      <c r="X19" s="117"/>
      <c r="Y19" s="110"/>
      <c r="Z19" s="117"/>
      <c r="AA19" s="110"/>
    </row>
    <row r="20" spans="1:27" x14ac:dyDescent="0.15">
      <c r="A20" s="110" t="s">
        <v>2755</v>
      </c>
      <c r="B20" s="111" t="s">
        <v>65</v>
      </c>
      <c r="C20" s="110"/>
      <c r="D20" s="111"/>
      <c r="E20" s="111"/>
      <c r="F20" s="111"/>
      <c r="G20" s="133"/>
      <c r="H20" s="111"/>
      <c r="I20" s="25">
        <f>SUM(I15:I18)</f>
        <v>548220.80000000005</v>
      </c>
      <c r="J20" s="25">
        <f t="shared" ref="J20:M20" si="11">SUM(J15:J18)</f>
        <v>369.5</v>
      </c>
      <c r="K20" s="25">
        <f t="shared" si="11"/>
        <v>15022.509999999998</v>
      </c>
      <c r="L20" s="25">
        <f t="shared" si="11"/>
        <v>9444.93</v>
      </c>
      <c r="M20" s="25">
        <f t="shared" si="11"/>
        <v>92287.66</v>
      </c>
      <c r="N20" s="117"/>
      <c r="O20" s="25">
        <f>SUM(K20:M20)</f>
        <v>116755.1</v>
      </c>
      <c r="P20" s="117"/>
      <c r="Q20" s="123"/>
      <c r="R20" s="123"/>
      <c r="S20" s="123"/>
      <c r="T20" s="117"/>
      <c r="U20" s="118">
        <f t="shared" si="6"/>
        <v>40.656319350473609</v>
      </c>
      <c r="V20" s="117"/>
      <c r="W20" s="117"/>
      <c r="X20" s="117"/>
      <c r="Y20" s="110"/>
      <c r="Z20" s="117"/>
      <c r="AA20" s="110"/>
    </row>
    <row r="21" spans="1:27" x14ac:dyDescent="0.15">
      <c r="A21" s="110" t="s">
        <v>2755</v>
      </c>
      <c r="B21" s="111" t="s">
        <v>66</v>
      </c>
      <c r="C21" s="110"/>
      <c r="D21" s="111"/>
      <c r="E21" s="111"/>
      <c r="F21" s="111"/>
      <c r="G21" s="133"/>
      <c r="H21" s="111"/>
      <c r="I21" s="117">
        <f>I6+I7+I8+I9+I10</f>
        <v>318348.79999999999</v>
      </c>
      <c r="J21" s="117">
        <f>J6+J7+J8+J9+J10</f>
        <v>140.5</v>
      </c>
      <c r="K21" s="117">
        <f>K6+K7+K8+K9+K10</f>
        <v>4909.3900000000003</v>
      </c>
      <c r="L21" s="117">
        <f>L6+L7+L8+L9+L10</f>
        <v>0</v>
      </c>
      <c r="M21" s="117">
        <f>M6+M7+M8+M9+M10</f>
        <v>85033.4</v>
      </c>
      <c r="N21" s="117"/>
      <c r="O21" s="7">
        <f>O6+O7+O8+O9+O10</f>
        <v>89942.79</v>
      </c>
      <c r="P21" s="117">
        <f>I21-O21</f>
        <v>228406.01</v>
      </c>
      <c r="Q21" s="123">
        <f>M21/I21</f>
        <v>0.26710765047645851</v>
      </c>
      <c r="R21" s="123">
        <f>P21/I21</f>
        <v>0.71747093125527728</v>
      </c>
      <c r="S21" s="123">
        <f>((I6*S6)+(I7*S7)+(I8*S8)+(I9*S9)+(I10*S10))/I21</f>
        <v>0.55000000000000004</v>
      </c>
      <c r="T21" s="117"/>
      <c r="U21" s="118">
        <f t="shared" si="6"/>
        <v>34.942277580071178</v>
      </c>
      <c r="V21" s="117">
        <f t="shared" ref="V21:X21" si="12">V6+V7+V8+V9+V10</f>
        <v>285778</v>
      </c>
      <c r="W21" s="117">
        <f t="shared" si="12"/>
        <v>128600.09999999999</v>
      </c>
      <c r="X21" s="117">
        <f t="shared" si="12"/>
        <v>157177.90000000002</v>
      </c>
      <c r="Y21" s="110"/>
      <c r="Z21" s="117">
        <f t="shared" ref="Z21:AA21" si="13">Z6+Z7+Z8+Z9+Z10</f>
        <v>32570.799999999988</v>
      </c>
      <c r="AA21" s="117">
        <f t="shared" si="13"/>
        <v>38657.31</v>
      </c>
    </row>
    <row r="22" spans="1:27" x14ac:dyDescent="0.15">
      <c r="A22" s="124"/>
      <c r="B22" s="124"/>
      <c r="C22" s="124"/>
      <c r="D22" s="124"/>
      <c r="E22" s="124"/>
      <c r="F22" s="124"/>
      <c r="G22" s="186"/>
      <c r="H22" s="124"/>
      <c r="I22" s="126"/>
      <c r="J22" s="126"/>
      <c r="K22" s="126"/>
      <c r="L22" s="126"/>
      <c r="M22" s="126"/>
      <c r="N22" s="126"/>
      <c r="O22" s="18"/>
      <c r="P22" s="126"/>
      <c r="Q22" s="187"/>
      <c r="R22" s="187"/>
      <c r="S22" s="187"/>
      <c r="T22" s="126"/>
      <c r="U22" s="127"/>
      <c r="V22" s="130"/>
      <c r="W22" s="130"/>
      <c r="X22" s="130"/>
      <c r="Y22" s="110"/>
      <c r="Z22" s="130"/>
      <c r="AA22" s="130"/>
    </row>
    <row r="23" spans="1:27" x14ac:dyDescent="0.15">
      <c r="A23" s="110" t="s">
        <v>2757</v>
      </c>
      <c r="B23" s="111" t="s">
        <v>37</v>
      </c>
      <c r="C23" s="110"/>
      <c r="D23" s="111">
        <v>2</v>
      </c>
      <c r="E23" s="15">
        <v>160104</v>
      </c>
      <c r="F23" s="16">
        <v>123051220</v>
      </c>
      <c r="G23" s="133" t="s">
        <v>69</v>
      </c>
      <c r="H23" s="111">
        <v>831</v>
      </c>
      <c r="I23" s="117">
        <v>44635</v>
      </c>
      <c r="J23" s="117">
        <f>13+14</f>
        <v>27</v>
      </c>
      <c r="K23" s="117">
        <f>688.08+309.7</f>
        <v>997.78</v>
      </c>
      <c r="L23" s="117"/>
      <c r="M23" s="117">
        <v>12206.78</v>
      </c>
      <c r="N23" s="117"/>
      <c r="O23" s="7">
        <f>SUM(K23:N23)</f>
        <v>13204.560000000001</v>
      </c>
      <c r="P23" s="117">
        <f>I23-O23</f>
        <v>31430.44</v>
      </c>
      <c r="Q23" s="123">
        <f>M23/I23</f>
        <v>0.27348000448078863</v>
      </c>
      <c r="R23" s="123">
        <f>P23/I23</f>
        <v>0.7041657891788955</v>
      </c>
      <c r="S23" s="123">
        <f>1-0.45</f>
        <v>0.55000000000000004</v>
      </c>
      <c r="T23" s="117"/>
      <c r="U23" s="118">
        <f t="shared" si="6"/>
        <v>36.954814814814817</v>
      </c>
      <c r="V23" s="110"/>
      <c r="W23" s="110"/>
      <c r="X23" s="110"/>
      <c r="Y23" s="110"/>
      <c r="Z23" s="110"/>
      <c r="AA23" s="110"/>
    </row>
    <row r="24" spans="1:27" x14ac:dyDescent="0.15">
      <c r="A24" s="110" t="s">
        <v>2757</v>
      </c>
      <c r="B24" s="111" t="s">
        <v>37</v>
      </c>
      <c r="C24" s="110"/>
      <c r="D24" s="111">
        <v>2</v>
      </c>
      <c r="E24" s="15">
        <v>160104</v>
      </c>
      <c r="F24" s="16">
        <v>220100210</v>
      </c>
      <c r="G24" s="133" t="s">
        <v>43</v>
      </c>
      <c r="H24" s="111">
        <v>832</v>
      </c>
      <c r="I24" s="117">
        <v>6600</v>
      </c>
      <c r="J24" s="117">
        <v>2</v>
      </c>
      <c r="K24" s="117">
        <f>54.08+24.34</f>
        <v>78.42</v>
      </c>
      <c r="L24" s="117"/>
      <c r="M24" s="117">
        <v>4539.4799999999996</v>
      </c>
      <c r="N24" s="117"/>
      <c r="O24" s="7">
        <f>SUM(K24:N24)</f>
        <v>4617.8999999999996</v>
      </c>
      <c r="P24" s="117">
        <f>I24-O24</f>
        <v>1982.1000000000004</v>
      </c>
      <c r="Q24" s="123">
        <f>M24/I24</f>
        <v>0.68779999999999997</v>
      </c>
      <c r="R24" s="123">
        <f>P24/I24</f>
        <v>0.30031818181818187</v>
      </c>
      <c r="S24" s="123">
        <f t="shared" ref="S24:S25" si="14">1-0.45</f>
        <v>0.55000000000000004</v>
      </c>
      <c r="T24" s="117"/>
      <c r="U24" s="118">
        <f t="shared" si="6"/>
        <v>39.21</v>
      </c>
      <c r="V24" s="110"/>
      <c r="W24" s="110"/>
      <c r="X24" s="110"/>
      <c r="Y24" s="110"/>
      <c r="Z24" s="110"/>
      <c r="AA24" s="110"/>
    </row>
    <row r="25" spans="1:27" x14ac:dyDescent="0.15">
      <c r="A25" s="110" t="s">
        <v>2757</v>
      </c>
      <c r="B25" s="111" t="s">
        <v>47</v>
      </c>
      <c r="C25" s="110"/>
      <c r="D25" s="111">
        <v>2</v>
      </c>
      <c r="E25" s="15">
        <v>160104</v>
      </c>
      <c r="F25" s="16">
        <v>523051120</v>
      </c>
      <c r="G25" s="133" t="s">
        <v>70</v>
      </c>
      <c r="H25" s="111">
        <v>833</v>
      </c>
      <c r="I25" s="117">
        <v>15965</v>
      </c>
      <c r="J25" s="117">
        <v>41</v>
      </c>
      <c r="K25" s="117">
        <f>1267.31+570.31</f>
        <v>1837.62</v>
      </c>
      <c r="L25" s="117">
        <v>2158.9699999999998</v>
      </c>
      <c r="M25" s="117"/>
      <c r="N25" s="117"/>
      <c r="O25" s="7">
        <f>SUM(K25:N25)</f>
        <v>3996.5899999999997</v>
      </c>
      <c r="P25" s="117">
        <f>I25-O25</f>
        <v>11968.41</v>
      </c>
      <c r="Q25" s="123">
        <f>M25/I25</f>
        <v>0</v>
      </c>
      <c r="R25" s="123">
        <f>P25/I25</f>
        <v>0.74966551832132788</v>
      </c>
      <c r="S25" s="123">
        <f t="shared" si="14"/>
        <v>0.55000000000000004</v>
      </c>
      <c r="T25" s="117"/>
      <c r="U25" s="118">
        <f t="shared" si="6"/>
        <v>44.82</v>
      </c>
      <c r="V25" s="110"/>
      <c r="W25" s="110"/>
      <c r="X25" s="110"/>
      <c r="Y25" s="110"/>
      <c r="Z25" s="110"/>
      <c r="AA25" s="110"/>
    </row>
    <row r="26" spans="1:27" x14ac:dyDescent="0.15">
      <c r="A26" s="110" t="s">
        <v>53</v>
      </c>
      <c r="B26" s="111"/>
      <c r="C26" s="110"/>
      <c r="D26" s="111"/>
      <c r="E26" s="15"/>
      <c r="F26" s="111"/>
      <c r="G26" s="133"/>
      <c r="H26" s="111"/>
      <c r="I26" s="117"/>
      <c r="J26" s="117"/>
      <c r="K26" s="117"/>
      <c r="L26" s="117"/>
      <c r="M26" s="117"/>
      <c r="N26" s="117"/>
      <c r="P26" s="117"/>
      <c r="Q26" s="123"/>
      <c r="R26" s="123"/>
      <c r="S26" s="123"/>
      <c r="T26" s="117"/>
      <c r="U26" s="118" t="str">
        <f t="shared" si="6"/>
        <v/>
      </c>
      <c r="V26" s="110"/>
      <c r="W26" s="110"/>
      <c r="X26" s="110"/>
      <c r="Y26" s="110"/>
      <c r="Z26" s="110"/>
      <c r="AA26" s="110"/>
    </row>
    <row r="27" spans="1:27" x14ac:dyDescent="0.15">
      <c r="A27" s="110" t="s">
        <v>2757</v>
      </c>
      <c r="B27" s="111" t="s">
        <v>54</v>
      </c>
      <c r="C27" s="110"/>
      <c r="D27" s="111"/>
      <c r="E27" s="15">
        <v>160104</v>
      </c>
      <c r="F27" s="111"/>
      <c r="G27" s="133"/>
      <c r="H27" s="111"/>
      <c r="I27" s="25">
        <f t="shared" ref="I27" si="15">SUM(I23:I26)</f>
        <v>67200</v>
      </c>
      <c r="J27" s="25">
        <f>SUM(J23:J26)</f>
        <v>70</v>
      </c>
      <c r="K27" s="25">
        <f>SUM(K23:K26)</f>
        <v>2913.8199999999997</v>
      </c>
      <c r="L27" s="25">
        <f t="shared" ref="L27:M27" si="16">SUM(L23:L26)</f>
        <v>2158.9699999999998</v>
      </c>
      <c r="M27" s="25">
        <f t="shared" si="16"/>
        <v>16746.260000000002</v>
      </c>
      <c r="N27" s="117"/>
      <c r="O27" s="25">
        <f>SUM(O23:O26)</f>
        <v>21819.05</v>
      </c>
      <c r="P27" s="117">
        <f>I27-O27</f>
        <v>45380.95</v>
      </c>
      <c r="Q27" s="123">
        <f>M27/I27</f>
        <v>0.24920029761904766</v>
      </c>
      <c r="R27" s="123">
        <f>P27/I27</f>
        <v>0.67531175595238091</v>
      </c>
      <c r="S27" s="123">
        <f>((I23*S23)+(I24*S24)+(I25*S25))/I27</f>
        <v>0.55000000000000004</v>
      </c>
      <c r="T27" s="117"/>
      <c r="U27" s="118">
        <f t="shared" si="6"/>
        <v>41.625999999999998</v>
      </c>
      <c r="V27" s="110"/>
      <c r="W27" s="110"/>
      <c r="X27" s="110"/>
      <c r="Y27" s="110"/>
      <c r="Z27" s="110"/>
      <c r="AA27" s="110"/>
    </row>
    <row r="28" spans="1:27" x14ac:dyDescent="0.15">
      <c r="A28" s="110" t="s">
        <v>2757</v>
      </c>
      <c r="B28" s="111" t="s">
        <v>55</v>
      </c>
      <c r="C28" s="110"/>
      <c r="D28" s="111">
        <v>2</v>
      </c>
      <c r="E28" s="15">
        <v>160104</v>
      </c>
      <c r="F28" s="111" t="s">
        <v>2756</v>
      </c>
      <c r="G28" s="133" t="s">
        <v>57</v>
      </c>
      <c r="H28" s="111">
        <v>834</v>
      </c>
      <c r="I28" s="117">
        <v>6500</v>
      </c>
      <c r="J28" s="117">
        <v>8</v>
      </c>
      <c r="K28" s="117">
        <f>220+99.04</f>
        <v>319.04000000000002</v>
      </c>
      <c r="L28" s="117">
        <v>1448.35</v>
      </c>
      <c r="M28" s="117">
        <v>269.64999999999998</v>
      </c>
      <c r="N28" s="117"/>
      <c r="O28" s="7">
        <v>2037.04</v>
      </c>
      <c r="P28" s="117">
        <f>I28-O28</f>
        <v>4462.96</v>
      </c>
      <c r="Q28" s="123">
        <f>M28/I28</f>
        <v>4.1484615384615384E-2</v>
      </c>
      <c r="R28" s="123">
        <f>P28/I28</f>
        <v>0.68660923076923075</v>
      </c>
      <c r="S28" s="123">
        <v>0</v>
      </c>
      <c r="T28" s="117"/>
      <c r="U28" s="118">
        <f t="shared" si="6"/>
        <v>39.880000000000003</v>
      </c>
      <c r="V28" s="110"/>
      <c r="W28" s="110"/>
      <c r="X28" s="110"/>
      <c r="Y28" s="110"/>
      <c r="Z28" s="110"/>
      <c r="AA28" s="110"/>
    </row>
    <row r="29" spans="1:27" x14ac:dyDescent="0.15">
      <c r="A29" s="110"/>
      <c r="B29" s="111"/>
      <c r="C29" s="110"/>
      <c r="D29" s="111"/>
      <c r="E29" s="15"/>
      <c r="F29" s="111"/>
      <c r="G29" s="133"/>
      <c r="H29" s="111"/>
      <c r="I29" s="117"/>
      <c r="J29" s="117"/>
      <c r="K29" s="117"/>
      <c r="L29" s="117"/>
      <c r="M29" s="117"/>
      <c r="N29" s="117"/>
      <c r="P29" s="117"/>
      <c r="Q29" s="123"/>
      <c r="R29" s="123"/>
      <c r="S29" s="123"/>
      <c r="T29" s="117"/>
      <c r="U29" s="118" t="str">
        <f t="shared" si="6"/>
        <v/>
      </c>
      <c r="V29" s="110"/>
      <c r="W29" s="110"/>
      <c r="X29" s="110"/>
      <c r="Y29" s="110"/>
      <c r="Z29" s="110"/>
      <c r="AA29" s="110"/>
    </row>
    <row r="30" spans="1:27" x14ac:dyDescent="0.15">
      <c r="A30" s="110" t="s">
        <v>2757</v>
      </c>
      <c r="B30" s="111" t="s">
        <v>65</v>
      </c>
      <c r="C30" s="110"/>
      <c r="D30" s="111"/>
      <c r="E30" s="111"/>
      <c r="F30" s="111"/>
      <c r="G30" s="133"/>
      <c r="H30" s="111"/>
      <c r="I30" s="24">
        <f>SUM(I27:I28)</f>
        <v>73700</v>
      </c>
      <c r="J30" s="24">
        <f>SUM(J27:J28)</f>
        <v>78</v>
      </c>
      <c r="K30" s="24">
        <f>SUM(K27:K28)</f>
        <v>3232.8599999999997</v>
      </c>
      <c r="L30" s="24">
        <f>SUM(L27:L28)</f>
        <v>3607.3199999999997</v>
      </c>
      <c r="M30" s="24">
        <f>SUM(M27:M28)</f>
        <v>17015.910000000003</v>
      </c>
      <c r="N30" s="117"/>
      <c r="O30" s="25">
        <f>SUM(K30:M30)</f>
        <v>23856.090000000004</v>
      </c>
      <c r="P30" s="117"/>
      <c r="Q30" s="123"/>
      <c r="R30" s="123"/>
      <c r="S30" s="123"/>
      <c r="T30" s="117"/>
      <c r="U30" s="118">
        <f t="shared" si="6"/>
        <v>41.446923076923071</v>
      </c>
      <c r="V30" s="110"/>
      <c r="W30" s="110"/>
      <c r="X30" s="110"/>
      <c r="Y30" s="110"/>
      <c r="Z30" s="110"/>
      <c r="AA30" s="110"/>
    </row>
    <row r="31" spans="1:27" x14ac:dyDescent="0.15">
      <c r="A31" s="110" t="s">
        <v>2757</v>
      </c>
      <c r="B31" s="111" t="s">
        <v>66</v>
      </c>
      <c r="C31" s="110"/>
      <c r="D31" s="111"/>
      <c r="E31" s="111"/>
      <c r="F31" s="111"/>
      <c r="G31" s="133"/>
      <c r="H31" s="111"/>
      <c r="I31" s="117">
        <f>I23+I24+I25</f>
        <v>67200</v>
      </c>
      <c r="J31" s="117">
        <f>J23+J24+J25</f>
        <v>70</v>
      </c>
      <c r="K31" s="117">
        <f>K23+K24+K25</f>
        <v>2913.8199999999997</v>
      </c>
      <c r="L31" s="117">
        <f>L23+L24+L25</f>
        <v>2158.9699999999998</v>
      </c>
      <c r="M31" s="117">
        <f>M23+M24+M25</f>
        <v>16746.260000000002</v>
      </c>
      <c r="N31" s="117"/>
      <c r="O31" s="7">
        <f>O23+O24+O25</f>
        <v>21819.05</v>
      </c>
      <c r="P31" s="117">
        <f>I31-O31</f>
        <v>45380.95</v>
      </c>
      <c r="Q31" s="123">
        <f>M31/I31</f>
        <v>0.24920029761904766</v>
      </c>
      <c r="R31" s="123">
        <f>P31/I31</f>
        <v>0.67531175595238091</v>
      </c>
      <c r="S31" s="123">
        <f>((I23*S23)+(I24*S24)+(I25*S25))/I31</f>
        <v>0.55000000000000004</v>
      </c>
      <c r="T31" s="117"/>
      <c r="U31" s="118">
        <f t="shared" si="6"/>
        <v>41.625999999999998</v>
      </c>
      <c r="V31" s="110"/>
      <c r="W31" s="110"/>
      <c r="X31" s="110"/>
      <c r="Y31" s="110"/>
      <c r="Z31" s="110"/>
      <c r="AA31" s="110"/>
    </row>
    <row r="32" spans="1:27" x14ac:dyDescent="0.15">
      <c r="A32" s="124" t="s">
        <v>53</v>
      </c>
      <c r="B32" s="124"/>
      <c r="C32" s="124"/>
      <c r="D32" s="124"/>
      <c r="E32" s="124"/>
      <c r="F32" s="124"/>
      <c r="G32" s="186"/>
      <c r="H32" s="124"/>
      <c r="I32" s="126"/>
      <c r="J32" s="126"/>
      <c r="K32" s="126"/>
      <c r="L32" s="126"/>
      <c r="M32" s="126"/>
      <c r="N32" s="126"/>
      <c r="O32" s="18"/>
      <c r="P32" s="126"/>
      <c r="Q32" s="187"/>
      <c r="R32" s="187"/>
      <c r="S32" s="187"/>
      <c r="T32" s="126"/>
      <c r="U32" s="127"/>
      <c r="V32" s="130"/>
      <c r="W32" s="130"/>
      <c r="X32" s="130"/>
      <c r="Y32" s="110"/>
      <c r="Z32" s="130"/>
      <c r="AA32" s="130"/>
    </row>
    <row r="33" spans="1:27" x14ac:dyDescent="0.15">
      <c r="A33" s="110" t="s">
        <v>2758</v>
      </c>
      <c r="B33" s="111" t="s">
        <v>37</v>
      </c>
      <c r="C33" s="110"/>
      <c r="D33" s="111">
        <v>5</v>
      </c>
      <c r="E33" s="15">
        <v>160594</v>
      </c>
      <c r="F33" s="16">
        <v>125100120</v>
      </c>
      <c r="G33" s="133" t="s">
        <v>73</v>
      </c>
      <c r="H33" s="111">
        <v>886</v>
      </c>
      <c r="I33" s="117">
        <v>110058.37</v>
      </c>
      <c r="J33" s="117">
        <f>14+52</f>
        <v>66</v>
      </c>
      <c r="K33" s="117">
        <f>1766.09+794.88</f>
        <v>2560.9699999999998</v>
      </c>
      <c r="L33" s="117"/>
      <c r="M33" s="117">
        <v>27639.17</v>
      </c>
      <c r="N33" s="117"/>
      <c r="O33" s="7">
        <f t="shared" ref="O33:O38" si="17">SUM(K33:N33)</f>
        <v>30200.14</v>
      </c>
      <c r="P33" s="117">
        <f t="shared" ref="P33:P38" si="18">I33-O33</f>
        <v>79858.23</v>
      </c>
      <c r="Q33" s="123">
        <f t="shared" ref="Q33:Q38" si="19">M33/I33</f>
        <v>0.25113192208825191</v>
      </c>
      <c r="R33" s="123">
        <f t="shared" ref="R33:R38" si="20">P33/I33</f>
        <v>0.72559887993979921</v>
      </c>
      <c r="S33" s="123">
        <f>1-0.45</f>
        <v>0.55000000000000004</v>
      </c>
      <c r="T33" s="117"/>
      <c r="U33" s="118">
        <f t="shared" si="6"/>
        <v>38.802575757575752</v>
      </c>
      <c r="V33" s="110"/>
      <c r="W33" s="110"/>
      <c r="X33" s="110"/>
      <c r="Y33" s="110"/>
      <c r="Z33" s="110"/>
      <c r="AA33" s="110"/>
    </row>
    <row r="34" spans="1:27" x14ac:dyDescent="0.15">
      <c r="A34" s="110" t="s">
        <v>2758</v>
      </c>
      <c r="B34" s="111" t="s">
        <v>37</v>
      </c>
      <c r="C34" s="110"/>
      <c r="D34" s="111">
        <v>5</v>
      </c>
      <c r="E34" s="15">
        <v>160594</v>
      </c>
      <c r="F34" s="16">
        <v>220100110</v>
      </c>
      <c r="G34" s="133" t="s">
        <v>74</v>
      </c>
      <c r="H34" s="111">
        <v>887</v>
      </c>
      <c r="I34" s="117">
        <v>6600</v>
      </c>
      <c r="J34" s="117"/>
      <c r="K34" s="117"/>
      <c r="L34" s="117"/>
      <c r="M34" s="117">
        <v>7885.36</v>
      </c>
      <c r="N34" s="117"/>
      <c r="O34" s="7">
        <f t="shared" si="17"/>
        <v>7885.36</v>
      </c>
      <c r="P34" s="117">
        <f t="shared" si="18"/>
        <v>-1285.3599999999997</v>
      </c>
      <c r="Q34" s="123">
        <f t="shared" si="19"/>
        <v>1.1947515151515151</v>
      </c>
      <c r="R34" s="123">
        <f t="shared" si="20"/>
        <v>-0.19475151515151509</v>
      </c>
      <c r="S34" s="123">
        <f t="shared" ref="S34:S37" si="21">1-0.45</f>
        <v>0.55000000000000004</v>
      </c>
      <c r="T34" s="117"/>
      <c r="U34" s="118" t="str">
        <f t="shared" si="6"/>
        <v/>
      </c>
      <c r="V34" s="110"/>
      <c r="W34" s="110"/>
      <c r="X34" s="110"/>
      <c r="Y34" s="110"/>
      <c r="Z34" s="110"/>
      <c r="AA34" s="110"/>
    </row>
    <row r="35" spans="1:27" x14ac:dyDescent="0.15">
      <c r="A35" s="110" t="s">
        <v>2758</v>
      </c>
      <c r="B35" s="111" t="s">
        <v>37</v>
      </c>
      <c r="C35" s="110"/>
      <c r="D35" s="111">
        <v>5</v>
      </c>
      <c r="E35" s="15">
        <v>160594</v>
      </c>
      <c r="F35" s="16">
        <v>210500110</v>
      </c>
      <c r="G35" s="133" t="s">
        <v>75</v>
      </c>
      <c r="H35" s="111">
        <v>888</v>
      </c>
      <c r="I35" s="117">
        <v>15000</v>
      </c>
      <c r="J35" s="117"/>
      <c r="K35" s="117"/>
      <c r="L35" s="117"/>
      <c r="M35" s="117">
        <v>5028.47</v>
      </c>
      <c r="N35" s="117"/>
      <c r="O35" s="7">
        <f t="shared" si="17"/>
        <v>5028.47</v>
      </c>
      <c r="P35" s="117">
        <f t="shared" si="18"/>
        <v>9971.5299999999988</v>
      </c>
      <c r="Q35" s="123">
        <f t="shared" si="19"/>
        <v>0.33523133333333333</v>
      </c>
      <c r="R35" s="123">
        <f t="shared" si="20"/>
        <v>0.66476866666666656</v>
      </c>
      <c r="S35" s="123">
        <f t="shared" si="21"/>
        <v>0.55000000000000004</v>
      </c>
      <c r="T35" s="117"/>
      <c r="U35" s="118" t="str">
        <f t="shared" si="6"/>
        <v/>
      </c>
      <c r="V35" s="110"/>
      <c r="W35" s="110"/>
      <c r="X35" s="110"/>
      <c r="Y35" s="110"/>
      <c r="Z35" s="110"/>
      <c r="AA35" s="110"/>
    </row>
    <row r="36" spans="1:27" x14ac:dyDescent="0.15">
      <c r="A36" s="110" t="s">
        <v>2758</v>
      </c>
      <c r="B36" s="111" t="s">
        <v>37</v>
      </c>
      <c r="C36" s="110"/>
      <c r="D36" s="111">
        <v>5</v>
      </c>
      <c r="E36" s="15">
        <v>160594</v>
      </c>
      <c r="F36" s="16">
        <v>210010110</v>
      </c>
      <c r="G36" s="133" t="s">
        <v>76</v>
      </c>
      <c r="H36" s="111">
        <v>889</v>
      </c>
      <c r="I36" s="117">
        <v>8760</v>
      </c>
      <c r="J36" s="117">
        <v>1</v>
      </c>
      <c r="K36" s="117">
        <f>27.04+12.17</f>
        <v>39.21</v>
      </c>
      <c r="L36" s="117"/>
      <c r="M36" s="117">
        <v>1361.01</v>
      </c>
      <c r="N36" s="117"/>
      <c r="O36" s="7">
        <f t="shared" si="17"/>
        <v>1400.22</v>
      </c>
      <c r="P36" s="117">
        <f t="shared" si="18"/>
        <v>7359.78</v>
      </c>
      <c r="Q36" s="123">
        <f t="shared" si="19"/>
        <v>0.15536643835616437</v>
      </c>
      <c r="R36" s="123">
        <f t="shared" si="20"/>
        <v>0.84015753424657535</v>
      </c>
      <c r="S36" s="123">
        <f t="shared" si="21"/>
        <v>0.55000000000000004</v>
      </c>
      <c r="T36" s="117"/>
      <c r="U36" s="118">
        <f t="shared" si="6"/>
        <v>39.21</v>
      </c>
      <c r="V36" s="110"/>
      <c r="W36" s="110"/>
      <c r="X36" s="110"/>
      <c r="Y36" s="110"/>
      <c r="Z36" s="110"/>
      <c r="AA36" s="110"/>
    </row>
    <row r="37" spans="1:27" x14ac:dyDescent="0.15">
      <c r="A37" s="110" t="s">
        <v>2758</v>
      </c>
      <c r="B37" s="111" t="s">
        <v>47</v>
      </c>
      <c r="C37" s="110"/>
      <c r="D37" s="111">
        <v>5</v>
      </c>
      <c r="E37" s="15">
        <v>160594</v>
      </c>
      <c r="F37" s="16">
        <v>525100120</v>
      </c>
      <c r="G37" s="133" t="s">
        <v>70</v>
      </c>
      <c r="H37" s="111">
        <v>890</v>
      </c>
      <c r="I37" s="117">
        <v>14920</v>
      </c>
      <c r="J37" s="117">
        <v>100.75</v>
      </c>
      <c r="K37" s="117">
        <f>3114.21+1401.46</f>
        <v>4515.67</v>
      </c>
      <c r="L37" s="117">
        <v>6342.27</v>
      </c>
      <c r="M37" s="117">
        <v>1608.3</v>
      </c>
      <c r="N37" s="117"/>
      <c r="O37" s="7">
        <f t="shared" si="17"/>
        <v>12466.24</v>
      </c>
      <c r="P37" s="117">
        <f t="shared" si="18"/>
        <v>2453.7600000000002</v>
      </c>
      <c r="Q37" s="123">
        <f t="shared" si="19"/>
        <v>0.10779490616621984</v>
      </c>
      <c r="R37" s="123">
        <f t="shared" si="20"/>
        <v>0.16446112600536195</v>
      </c>
      <c r="S37" s="123">
        <f t="shared" si="21"/>
        <v>0.55000000000000004</v>
      </c>
      <c r="T37" s="117"/>
      <c r="U37" s="118">
        <f t="shared" si="6"/>
        <v>44.820545905707199</v>
      </c>
      <c r="V37" s="110"/>
      <c r="W37" s="110"/>
      <c r="X37" s="110"/>
      <c r="Y37" s="110"/>
      <c r="Z37" s="110"/>
      <c r="AA37" s="110"/>
    </row>
    <row r="38" spans="1:27" x14ac:dyDescent="0.15">
      <c r="A38" s="110" t="s">
        <v>2758</v>
      </c>
      <c r="B38" s="111" t="s">
        <v>49</v>
      </c>
      <c r="C38" s="110"/>
      <c r="D38" s="111">
        <v>5</v>
      </c>
      <c r="E38" s="15">
        <v>160594</v>
      </c>
      <c r="F38" s="17">
        <v>626520120</v>
      </c>
      <c r="G38" s="133" t="s">
        <v>77</v>
      </c>
      <c r="H38" s="111">
        <v>891</v>
      </c>
      <c r="I38" s="117">
        <v>6655</v>
      </c>
      <c r="J38" s="117">
        <v>16</v>
      </c>
      <c r="K38" s="117">
        <f>628.48+282.88</f>
        <v>911.36</v>
      </c>
      <c r="L38" s="117">
        <v>1351.34</v>
      </c>
      <c r="M38" s="117">
        <v>2322.7399999999998</v>
      </c>
      <c r="N38" s="117"/>
      <c r="O38" s="7">
        <f t="shared" si="17"/>
        <v>4585.4399999999996</v>
      </c>
      <c r="P38" s="117">
        <f t="shared" si="18"/>
        <v>2069.5600000000004</v>
      </c>
      <c r="Q38" s="123">
        <f t="shared" si="19"/>
        <v>0.34902178812922613</v>
      </c>
      <c r="R38" s="123">
        <f t="shared" si="20"/>
        <v>0.3109782118707739</v>
      </c>
      <c r="S38" s="123">
        <f>1-0.529</f>
        <v>0.47099999999999997</v>
      </c>
      <c r="T38" s="117"/>
      <c r="U38" s="118">
        <f t="shared" si="6"/>
        <v>56.96</v>
      </c>
      <c r="V38" s="110"/>
      <c r="W38" s="110"/>
      <c r="X38" s="110"/>
      <c r="Y38" s="110"/>
      <c r="Z38" s="110"/>
      <c r="AA38" s="110"/>
    </row>
    <row r="39" spans="1:27" x14ac:dyDescent="0.15">
      <c r="A39" s="110" t="s">
        <v>53</v>
      </c>
      <c r="B39" s="111"/>
      <c r="C39" s="110"/>
      <c r="D39" s="111"/>
      <c r="E39" s="15"/>
      <c r="F39" s="111"/>
      <c r="G39" s="133"/>
      <c r="H39" s="111"/>
      <c r="I39" s="117"/>
      <c r="J39" s="117"/>
      <c r="K39" s="117"/>
      <c r="L39" s="117"/>
      <c r="M39" s="117"/>
      <c r="N39" s="117"/>
      <c r="P39" s="117"/>
      <c r="Q39" s="123"/>
      <c r="R39" s="123"/>
      <c r="S39" s="123"/>
      <c r="T39" s="117"/>
      <c r="U39" s="118" t="str">
        <f t="shared" si="6"/>
        <v/>
      </c>
      <c r="V39" s="110"/>
      <c r="W39" s="110"/>
      <c r="X39" s="110"/>
      <c r="Y39" s="110"/>
      <c r="Z39" s="110"/>
      <c r="AA39" s="110"/>
    </row>
    <row r="40" spans="1:27" x14ac:dyDescent="0.15">
      <c r="A40" s="110" t="s">
        <v>2758</v>
      </c>
      <c r="B40" s="111" t="s">
        <v>54</v>
      </c>
      <c r="C40" s="110"/>
      <c r="D40" s="111"/>
      <c r="E40" s="15"/>
      <c r="F40" s="111"/>
      <c r="G40" s="133"/>
      <c r="H40" s="111"/>
      <c r="I40" s="24">
        <f>SUM(I33:I38)</f>
        <v>161993.37</v>
      </c>
      <c r="J40" s="24">
        <f t="shared" ref="J40:M40" si="22">SUM(J33:J38)</f>
        <v>183.75</v>
      </c>
      <c r="K40" s="24">
        <f t="shared" si="22"/>
        <v>8027.21</v>
      </c>
      <c r="L40" s="24">
        <f t="shared" si="22"/>
        <v>7693.6100000000006</v>
      </c>
      <c r="M40" s="24">
        <f t="shared" si="22"/>
        <v>45845.05</v>
      </c>
      <c r="N40" s="117"/>
      <c r="O40" s="25">
        <f>SUM(O33:O39)</f>
        <v>61565.87</v>
      </c>
      <c r="P40" s="117">
        <f>I40-O40</f>
        <v>100427.5</v>
      </c>
      <c r="Q40" s="123">
        <f>M40/I40</f>
        <v>0.28300571807352365</v>
      </c>
      <c r="R40" s="123">
        <f>P40/I40</f>
        <v>0.61994821146075296</v>
      </c>
      <c r="S40" s="123">
        <f>((I33*S33)+(I34*S34)+(I35*S35)+(I36*S36))/I40</f>
        <v>0.47674854532626859</v>
      </c>
      <c r="T40" s="117"/>
      <c r="U40" s="118">
        <f t="shared" si="6"/>
        <v>43.685496598639453</v>
      </c>
      <c r="V40" s="110"/>
      <c r="W40" s="110"/>
      <c r="X40" s="110"/>
      <c r="Y40" s="110"/>
      <c r="Z40" s="110"/>
      <c r="AA40" s="110"/>
    </row>
    <row r="41" spans="1:27" x14ac:dyDescent="0.15">
      <c r="A41" s="110" t="s">
        <v>2758</v>
      </c>
      <c r="B41" s="111" t="s">
        <v>55</v>
      </c>
      <c r="C41" s="110"/>
      <c r="D41" s="111">
        <v>5</v>
      </c>
      <c r="E41" s="15">
        <v>160594</v>
      </c>
      <c r="F41" s="111" t="s">
        <v>56</v>
      </c>
      <c r="G41" s="133" t="s">
        <v>57</v>
      </c>
      <c r="H41" s="111">
        <v>892</v>
      </c>
      <c r="I41" s="117">
        <v>5210</v>
      </c>
      <c r="J41" s="117">
        <v>18</v>
      </c>
      <c r="K41" s="117">
        <f>495+222.84</f>
        <v>717.84</v>
      </c>
      <c r="L41" s="117">
        <v>2509.92</v>
      </c>
      <c r="M41" s="117">
        <v>645.13</v>
      </c>
      <c r="N41" s="117"/>
      <c r="O41" s="7">
        <f>SUM(K41:N41)</f>
        <v>3872.8900000000003</v>
      </c>
      <c r="P41" s="117">
        <f>I41-O41</f>
        <v>1337.1099999999997</v>
      </c>
      <c r="Q41" s="123">
        <f>M41/I41</f>
        <v>0.12382533589251439</v>
      </c>
      <c r="R41" s="123">
        <f>P41/I41</f>
        <v>0.25664299424184256</v>
      </c>
      <c r="S41" s="123">
        <v>0</v>
      </c>
      <c r="T41" s="117"/>
      <c r="U41" s="118">
        <f t="shared" si="6"/>
        <v>39.880000000000003</v>
      </c>
      <c r="V41" s="110"/>
      <c r="W41" s="110"/>
      <c r="X41" s="110"/>
      <c r="Y41" s="110"/>
      <c r="Z41" s="110"/>
      <c r="AA41" s="110"/>
    </row>
    <row r="42" spans="1:27" x14ac:dyDescent="0.15">
      <c r="A42" s="110" t="s">
        <v>2758</v>
      </c>
      <c r="B42" s="111" t="s">
        <v>58</v>
      </c>
      <c r="C42" s="110"/>
      <c r="D42" s="111"/>
      <c r="E42" s="15">
        <v>160594</v>
      </c>
      <c r="F42" s="17" t="s">
        <v>78</v>
      </c>
      <c r="G42" s="133"/>
      <c r="H42" s="111"/>
      <c r="I42" s="117">
        <v>9979</v>
      </c>
      <c r="J42" s="117"/>
      <c r="K42" s="117"/>
      <c r="L42" s="117"/>
      <c r="M42" s="117"/>
      <c r="N42" s="117"/>
      <c r="P42" s="117"/>
      <c r="Q42" s="123"/>
      <c r="R42" s="123"/>
      <c r="S42" s="123"/>
      <c r="T42" s="117"/>
      <c r="U42" s="118" t="str">
        <f t="shared" si="6"/>
        <v/>
      </c>
      <c r="V42" s="110"/>
      <c r="W42" s="110"/>
      <c r="X42" s="110"/>
      <c r="Y42" s="110"/>
      <c r="Z42" s="110"/>
      <c r="AA42" s="110"/>
    </row>
    <row r="43" spans="1:27" x14ac:dyDescent="0.15">
      <c r="A43" s="110"/>
      <c r="B43" s="111"/>
      <c r="C43" s="110"/>
      <c r="D43" s="111"/>
      <c r="E43" s="15"/>
      <c r="F43" s="111"/>
      <c r="G43" s="133"/>
      <c r="H43" s="111"/>
      <c r="I43" s="117"/>
      <c r="J43" s="117"/>
      <c r="K43" s="117"/>
      <c r="L43" s="117"/>
      <c r="M43" s="117"/>
      <c r="N43" s="117"/>
      <c r="P43" s="117"/>
      <c r="Q43" s="123"/>
      <c r="R43" s="123"/>
      <c r="S43" s="123"/>
      <c r="T43" s="117"/>
      <c r="U43" s="118" t="str">
        <f t="shared" si="6"/>
        <v/>
      </c>
      <c r="V43" s="110"/>
      <c r="W43" s="110"/>
      <c r="X43" s="110"/>
      <c r="Y43" s="110"/>
      <c r="Z43" s="110"/>
      <c r="AA43" s="110"/>
    </row>
    <row r="44" spans="1:27" x14ac:dyDescent="0.15">
      <c r="A44" s="110" t="s">
        <v>2758</v>
      </c>
      <c r="B44" s="111" t="s">
        <v>65</v>
      </c>
      <c r="C44" s="110"/>
      <c r="D44" s="111"/>
      <c r="E44" s="111"/>
      <c r="F44" s="111"/>
      <c r="G44" s="133"/>
      <c r="H44" s="111"/>
      <c r="I44" s="24">
        <f>SUM(I40:I43)</f>
        <v>177182.37</v>
      </c>
      <c r="J44" s="24">
        <f t="shared" ref="J44:M44" si="23">SUM(J40:J43)</f>
        <v>201.75</v>
      </c>
      <c r="K44" s="24">
        <f t="shared" si="23"/>
        <v>8745.0499999999993</v>
      </c>
      <c r="L44" s="24">
        <f t="shared" si="23"/>
        <v>10203.530000000001</v>
      </c>
      <c r="M44" s="24">
        <f t="shared" si="23"/>
        <v>46490.18</v>
      </c>
      <c r="N44" s="117"/>
      <c r="O44" s="25">
        <f>SUM(K44:M44)</f>
        <v>65438.76</v>
      </c>
      <c r="P44" s="117"/>
      <c r="Q44" s="123"/>
      <c r="R44" s="123"/>
      <c r="S44" s="123"/>
      <c r="T44" s="117"/>
      <c r="U44" s="118">
        <f t="shared" si="6"/>
        <v>43.345972738537789</v>
      </c>
      <c r="V44" s="110"/>
      <c r="W44" s="110"/>
      <c r="X44" s="110"/>
      <c r="Y44" s="110"/>
      <c r="Z44" s="110"/>
      <c r="AA44" s="110"/>
    </row>
    <row r="45" spans="1:27" x14ac:dyDescent="0.15">
      <c r="A45" s="110" t="s">
        <v>2758</v>
      </c>
      <c r="B45" s="111" t="s">
        <v>66</v>
      </c>
      <c r="C45" s="110"/>
      <c r="D45" s="111"/>
      <c r="E45" s="111"/>
      <c r="F45" s="111"/>
      <c r="G45" s="133"/>
      <c r="H45" s="111"/>
      <c r="I45" s="117">
        <f>I33+I34+I35+I36</f>
        <v>140418.37</v>
      </c>
      <c r="J45" s="117">
        <f>J33+J34+J35+J36</f>
        <v>67</v>
      </c>
      <c r="K45" s="117">
        <f t="shared" ref="K45:M45" si="24">K33+K34+K35+K36</f>
        <v>2600.1799999999998</v>
      </c>
      <c r="L45" s="117">
        <f t="shared" si="24"/>
        <v>0</v>
      </c>
      <c r="M45" s="117">
        <f t="shared" si="24"/>
        <v>41914.01</v>
      </c>
      <c r="N45" s="117"/>
      <c r="O45" s="7">
        <f>O33+O34+O35+O36</f>
        <v>44514.19</v>
      </c>
      <c r="P45" s="117">
        <f>I45-O45</f>
        <v>95904.18</v>
      </c>
      <c r="Q45" s="123">
        <f>M45/I45</f>
        <v>0.29849377969563384</v>
      </c>
      <c r="R45" s="123">
        <f>P45/I45</f>
        <v>0.682988842556711</v>
      </c>
      <c r="S45" s="123">
        <f>((I33*S33)+(I34*S34)+(I35*S35)+(I36*S36))/I45</f>
        <v>0.55000000000000004</v>
      </c>
      <c r="T45" s="117"/>
      <c r="U45" s="118">
        <f t="shared" si="6"/>
        <v>38.808656716417907</v>
      </c>
      <c r="V45" s="110"/>
      <c r="W45" s="110"/>
      <c r="X45" s="110"/>
      <c r="Y45" s="110"/>
      <c r="Z45" s="110"/>
      <c r="AA45" s="110"/>
    </row>
    <row r="46" spans="1:27" x14ac:dyDescent="0.15">
      <c r="A46" s="124" t="s">
        <v>53</v>
      </c>
      <c r="B46" s="124"/>
      <c r="C46" s="124"/>
      <c r="D46" s="124"/>
      <c r="E46" s="124"/>
      <c r="F46" s="124"/>
      <c r="G46" s="186"/>
      <c r="H46" s="124"/>
      <c r="I46" s="126"/>
      <c r="J46" s="126"/>
      <c r="K46" s="126"/>
      <c r="L46" s="126"/>
      <c r="M46" s="126"/>
      <c r="N46" s="126"/>
      <c r="O46" s="18"/>
      <c r="P46" s="126"/>
      <c r="Q46" s="187"/>
      <c r="R46" s="187"/>
      <c r="S46" s="187"/>
      <c r="T46" s="126"/>
      <c r="U46" s="127"/>
      <c r="V46" s="130"/>
      <c r="W46" s="130"/>
      <c r="X46" s="130"/>
      <c r="Y46" s="110"/>
      <c r="Z46" s="130"/>
      <c r="AA46" s="130"/>
    </row>
    <row r="47" spans="1:27" x14ac:dyDescent="0.15">
      <c r="A47" s="110" t="s">
        <v>2759</v>
      </c>
      <c r="B47" s="111" t="s">
        <v>37</v>
      </c>
      <c r="C47" s="110"/>
      <c r="D47" s="111">
        <v>5</v>
      </c>
      <c r="E47" s="15">
        <v>160500</v>
      </c>
      <c r="F47" s="16">
        <v>925000310</v>
      </c>
      <c r="G47" s="133" t="s">
        <v>80</v>
      </c>
      <c r="H47" s="111">
        <v>901</v>
      </c>
      <c r="I47" s="117">
        <v>22074</v>
      </c>
      <c r="J47" s="117">
        <v>8</v>
      </c>
      <c r="K47" s="117">
        <f>192.32+86.56</f>
        <v>278.88</v>
      </c>
      <c r="L47" s="131"/>
      <c r="M47" s="117">
        <v>16593.88</v>
      </c>
      <c r="N47" s="117"/>
      <c r="O47" s="7">
        <f t="shared" ref="O47:O55" si="25">SUM(K47:N47)</f>
        <v>16872.760000000002</v>
      </c>
      <c r="P47" s="117">
        <f t="shared" ref="P47:P55" si="26">I47-O47</f>
        <v>5201.239999999998</v>
      </c>
      <c r="Q47" s="123">
        <f t="shared" ref="Q47:Q55" si="27">M47/I47</f>
        <v>0.75173869710972185</v>
      </c>
      <c r="R47" s="123">
        <f t="shared" ref="R47:R55" si="28">P47/I47</f>
        <v>0.23562743499139249</v>
      </c>
      <c r="S47" s="123">
        <f>1-0.45</f>
        <v>0.55000000000000004</v>
      </c>
      <c r="T47" s="117"/>
      <c r="U47" s="118">
        <f t="shared" si="6"/>
        <v>34.86</v>
      </c>
      <c r="V47" s="110"/>
      <c r="W47" s="110"/>
      <c r="X47" s="110"/>
      <c r="Y47" s="110"/>
      <c r="Z47" s="110"/>
      <c r="AA47" s="110"/>
    </row>
    <row r="48" spans="1:27" x14ac:dyDescent="0.15">
      <c r="A48" s="110" t="s">
        <v>2759</v>
      </c>
      <c r="B48" s="111" t="s">
        <v>47</v>
      </c>
      <c r="C48" s="110"/>
      <c r="D48" s="111">
        <v>5</v>
      </c>
      <c r="E48" s="15">
        <v>160500</v>
      </c>
      <c r="F48" s="16">
        <v>525000210</v>
      </c>
      <c r="G48" s="133" t="s">
        <v>81</v>
      </c>
      <c r="H48" s="111">
        <v>902</v>
      </c>
      <c r="I48" s="117">
        <v>7860</v>
      </c>
      <c r="J48" s="117">
        <v>92.5</v>
      </c>
      <c r="K48" s="117">
        <f>2859.22+1286.72</f>
        <v>4145.9399999999996</v>
      </c>
      <c r="L48" s="131">
        <v>2314.84</v>
      </c>
      <c r="M48" s="117">
        <v>1545.15</v>
      </c>
      <c r="N48" s="117"/>
      <c r="O48" s="7">
        <f t="shared" si="25"/>
        <v>8005.93</v>
      </c>
      <c r="P48" s="117">
        <f t="shared" si="26"/>
        <v>-145.93000000000029</v>
      </c>
      <c r="Q48" s="123">
        <f t="shared" si="27"/>
        <v>0.19658396946564888</v>
      </c>
      <c r="R48" s="123">
        <f t="shared" si="28"/>
        <v>-1.8566157760814286E-2</v>
      </c>
      <c r="S48" s="123">
        <f>1-0.45</f>
        <v>0.55000000000000004</v>
      </c>
      <c r="T48" s="117"/>
      <c r="U48" s="118">
        <f t="shared" si="6"/>
        <v>44.820972972972967</v>
      </c>
      <c r="V48" s="110"/>
      <c r="W48" s="110"/>
      <c r="X48" s="110"/>
      <c r="Y48" s="110"/>
      <c r="Z48" s="110"/>
      <c r="AA48" s="110"/>
    </row>
    <row r="49" spans="1:21" x14ac:dyDescent="0.15">
      <c r="A49" s="110" t="s">
        <v>2759</v>
      </c>
      <c r="B49" s="111" t="s">
        <v>37</v>
      </c>
      <c r="C49" s="110"/>
      <c r="D49" s="111">
        <v>5</v>
      </c>
      <c r="E49" s="15">
        <v>160500</v>
      </c>
      <c r="F49" s="16">
        <v>220100110</v>
      </c>
      <c r="G49" s="133" t="s">
        <v>74</v>
      </c>
      <c r="H49" s="111">
        <v>903</v>
      </c>
      <c r="I49" s="117">
        <v>6600</v>
      </c>
      <c r="J49" s="117"/>
      <c r="K49" s="117"/>
      <c r="L49" s="131"/>
      <c r="M49" s="117">
        <v>7996.56</v>
      </c>
      <c r="N49" s="117"/>
      <c r="O49" s="7">
        <f t="shared" si="25"/>
        <v>7996.56</v>
      </c>
      <c r="P49" s="117">
        <f t="shared" si="26"/>
        <v>-1396.5600000000004</v>
      </c>
      <c r="Q49" s="123">
        <f t="shared" si="27"/>
        <v>1.2116</v>
      </c>
      <c r="R49" s="123">
        <f t="shared" si="28"/>
        <v>-0.21160000000000007</v>
      </c>
      <c r="S49" s="123">
        <f t="shared" ref="S49:S57" si="29">1-0.45</f>
        <v>0.55000000000000004</v>
      </c>
      <c r="T49" s="117"/>
      <c r="U49" s="118" t="str">
        <f t="shared" si="6"/>
        <v/>
      </c>
    </row>
    <row r="50" spans="1:21" x14ac:dyDescent="0.15">
      <c r="A50" s="110" t="s">
        <v>2759</v>
      </c>
      <c r="B50" s="111" t="s">
        <v>37</v>
      </c>
      <c r="C50" s="110"/>
      <c r="D50" s="111">
        <v>5</v>
      </c>
      <c r="E50" s="15">
        <v>160500</v>
      </c>
      <c r="F50" s="16">
        <v>210500110</v>
      </c>
      <c r="G50" s="133" t="s">
        <v>82</v>
      </c>
      <c r="H50" s="111">
        <v>904</v>
      </c>
      <c r="I50" s="117">
        <v>15000</v>
      </c>
      <c r="J50" s="117"/>
      <c r="K50" s="117"/>
      <c r="L50" s="131"/>
      <c r="M50" s="117">
        <v>6055.97</v>
      </c>
      <c r="N50" s="117"/>
      <c r="O50" s="7">
        <f t="shared" si="25"/>
        <v>6055.97</v>
      </c>
      <c r="P50" s="117">
        <f t="shared" si="26"/>
        <v>8944.0299999999988</v>
      </c>
      <c r="Q50" s="123">
        <f t="shared" si="27"/>
        <v>0.40373133333333333</v>
      </c>
      <c r="R50" s="123">
        <f t="shared" si="28"/>
        <v>0.59626866666666656</v>
      </c>
      <c r="S50" s="123">
        <f t="shared" si="29"/>
        <v>0.55000000000000004</v>
      </c>
      <c r="T50" s="117"/>
      <c r="U50" s="118" t="str">
        <f t="shared" si="6"/>
        <v/>
      </c>
    </row>
    <row r="51" spans="1:21" x14ac:dyDescent="0.15">
      <c r="A51" s="110" t="s">
        <v>2759</v>
      </c>
      <c r="B51" s="111" t="s">
        <v>37</v>
      </c>
      <c r="C51" s="110"/>
      <c r="D51" s="111">
        <v>5</v>
      </c>
      <c r="E51" s="15">
        <v>160500</v>
      </c>
      <c r="F51" s="16">
        <v>910100310</v>
      </c>
      <c r="G51" s="133" t="s">
        <v>83</v>
      </c>
      <c r="H51" s="111">
        <v>905</v>
      </c>
      <c r="I51" s="117">
        <v>42924</v>
      </c>
      <c r="J51" s="117">
        <v>5</v>
      </c>
      <c r="K51" s="117">
        <f>120.2+54.1</f>
        <v>174.3</v>
      </c>
      <c r="L51" s="131"/>
      <c r="M51" s="117">
        <v>8995.19</v>
      </c>
      <c r="N51" s="117"/>
      <c r="O51" s="7">
        <f t="shared" si="25"/>
        <v>9169.49</v>
      </c>
      <c r="P51" s="117">
        <f t="shared" si="26"/>
        <v>33754.51</v>
      </c>
      <c r="Q51" s="123">
        <f t="shared" si="27"/>
        <v>0.20956085173795547</v>
      </c>
      <c r="R51" s="123">
        <f t="shared" si="28"/>
        <v>0.78637848290000933</v>
      </c>
      <c r="S51" s="123">
        <f t="shared" si="29"/>
        <v>0.55000000000000004</v>
      </c>
      <c r="T51" s="117"/>
      <c r="U51" s="118">
        <f t="shared" si="6"/>
        <v>34.86</v>
      </c>
    </row>
    <row r="52" spans="1:21" x14ac:dyDescent="0.15">
      <c r="A52" s="110" t="s">
        <v>2759</v>
      </c>
      <c r="B52" s="111" t="s">
        <v>47</v>
      </c>
      <c r="C52" s="110"/>
      <c r="D52" s="111">
        <v>5</v>
      </c>
      <c r="E52" s="15">
        <v>160500</v>
      </c>
      <c r="F52" s="16">
        <v>510100210</v>
      </c>
      <c r="G52" s="133" t="s">
        <v>81</v>
      </c>
      <c r="H52" s="111">
        <v>906</v>
      </c>
      <c r="I52" s="117">
        <v>7840</v>
      </c>
      <c r="J52" s="117">
        <v>77.75</v>
      </c>
      <c r="K52" s="117">
        <f>2403.29+1081.54</f>
        <v>3484.83</v>
      </c>
      <c r="L52" s="131">
        <v>2171</v>
      </c>
      <c r="M52" s="117">
        <v>767.23</v>
      </c>
      <c r="N52" s="117"/>
      <c r="O52" s="7">
        <f t="shared" si="25"/>
        <v>6423.0599999999995</v>
      </c>
      <c r="P52" s="117">
        <f t="shared" si="26"/>
        <v>1416.9400000000005</v>
      </c>
      <c r="Q52" s="123">
        <f t="shared" si="27"/>
        <v>9.7860969387755098E-2</v>
      </c>
      <c r="R52" s="123">
        <f t="shared" si="28"/>
        <v>0.18073214285714292</v>
      </c>
      <c r="S52" s="123">
        <f t="shared" si="29"/>
        <v>0.55000000000000004</v>
      </c>
      <c r="T52" s="117"/>
      <c r="U52" s="118">
        <f t="shared" ref="U52" si="30">IFERROR(K52/J52,"")</f>
        <v>44.820964630225077</v>
      </c>
    </row>
    <row r="53" spans="1:21" x14ac:dyDescent="0.15">
      <c r="A53" s="110" t="s">
        <v>2759</v>
      </c>
      <c r="B53" s="111" t="s">
        <v>37</v>
      </c>
      <c r="C53" s="110"/>
      <c r="D53" s="111">
        <v>5</v>
      </c>
      <c r="E53" s="15">
        <v>160500</v>
      </c>
      <c r="F53" s="16">
        <v>940000310</v>
      </c>
      <c r="G53" s="133" t="s">
        <v>84</v>
      </c>
      <c r="H53" s="111">
        <v>907</v>
      </c>
      <c r="I53" s="117">
        <v>42924</v>
      </c>
      <c r="J53" s="117">
        <v>5.5</v>
      </c>
      <c r="K53" s="117">
        <f>132.22+59.51</f>
        <v>191.73</v>
      </c>
      <c r="L53" s="131"/>
      <c r="M53" s="117">
        <v>9545.98</v>
      </c>
      <c r="N53" s="117"/>
      <c r="O53" s="7">
        <f t="shared" si="25"/>
        <v>9737.7099999999991</v>
      </c>
      <c r="P53" s="117">
        <f t="shared" si="26"/>
        <v>33186.29</v>
      </c>
      <c r="Q53" s="123">
        <f t="shared" si="27"/>
        <v>0.22239260087596682</v>
      </c>
      <c r="R53" s="123">
        <f t="shared" si="28"/>
        <v>0.77314066722579444</v>
      </c>
      <c r="S53" s="123">
        <f t="shared" si="29"/>
        <v>0.55000000000000004</v>
      </c>
      <c r="T53" s="117"/>
      <c r="U53" s="118">
        <f t="shared" si="6"/>
        <v>34.86</v>
      </c>
    </row>
    <row r="54" spans="1:21" x14ac:dyDescent="0.15">
      <c r="A54" s="110" t="s">
        <v>2759</v>
      </c>
      <c r="B54" s="111" t="s">
        <v>47</v>
      </c>
      <c r="C54" s="110"/>
      <c r="D54" s="111">
        <v>5</v>
      </c>
      <c r="E54" s="15">
        <v>160500</v>
      </c>
      <c r="F54" s="16">
        <v>540000210</v>
      </c>
      <c r="G54" s="133" t="s">
        <v>81</v>
      </c>
      <c r="H54" s="111">
        <v>908</v>
      </c>
      <c r="I54" s="117">
        <v>7840</v>
      </c>
      <c r="J54" s="117">
        <v>146.25</v>
      </c>
      <c r="K54" s="117">
        <f>4520.62+2034.37</f>
        <v>6554.99</v>
      </c>
      <c r="L54" s="131">
        <v>2296.2600000000002</v>
      </c>
      <c r="M54" s="117">
        <v>1912.12</v>
      </c>
      <c r="N54" s="117"/>
      <c r="O54" s="7">
        <f t="shared" si="25"/>
        <v>10763.369999999999</v>
      </c>
      <c r="P54" s="117">
        <f t="shared" si="26"/>
        <v>-2923.369999999999</v>
      </c>
      <c r="Q54" s="123">
        <f t="shared" si="27"/>
        <v>0.24389285714285713</v>
      </c>
      <c r="R54" s="123">
        <f t="shared" si="28"/>
        <v>-0.37287882653061211</v>
      </c>
      <c r="S54" s="123">
        <f t="shared" si="29"/>
        <v>0.55000000000000004</v>
      </c>
      <c r="T54" s="117"/>
      <c r="U54" s="118">
        <f t="shared" ref="U54" si="31">IFERROR(K54/J54,"")</f>
        <v>44.820444444444441</v>
      </c>
    </row>
    <row r="55" spans="1:21" x14ac:dyDescent="0.15">
      <c r="A55" s="110" t="s">
        <v>2759</v>
      </c>
      <c r="B55" s="111" t="s">
        <v>49</v>
      </c>
      <c r="C55" s="110"/>
      <c r="D55" s="111">
        <v>5</v>
      </c>
      <c r="E55" s="15">
        <v>160500</v>
      </c>
      <c r="F55" s="16">
        <v>616420120</v>
      </c>
      <c r="G55" s="133" t="s">
        <v>85</v>
      </c>
      <c r="H55" s="111">
        <v>909</v>
      </c>
      <c r="I55" s="117">
        <v>6655</v>
      </c>
      <c r="J55" s="117">
        <v>16</v>
      </c>
      <c r="K55" s="117">
        <f>628.48+282.88</f>
        <v>911.36</v>
      </c>
      <c r="L55" s="131">
        <v>960</v>
      </c>
      <c r="M55" s="117">
        <v>1045.75</v>
      </c>
      <c r="N55" s="117"/>
      <c r="O55" s="7">
        <f t="shared" si="25"/>
        <v>2917.11</v>
      </c>
      <c r="P55" s="117">
        <f t="shared" si="26"/>
        <v>3737.89</v>
      </c>
      <c r="Q55" s="123">
        <f t="shared" si="27"/>
        <v>0.15713749060856499</v>
      </c>
      <c r="R55" s="123">
        <f t="shared" si="28"/>
        <v>0.56166641622839963</v>
      </c>
      <c r="S55" s="123">
        <f t="shared" si="29"/>
        <v>0.55000000000000004</v>
      </c>
      <c r="T55" s="117"/>
      <c r="U55" s="118">
        <f t="shared" ref="U55:U57" si="32">IFERROR(K55/J55,"")</f>
        <v>56.96</v>
      </c>
    </row>
    <row r="56" spans="1:21" x14ac:dyDescent="0.15">
      <c r="A56" s="110" t="s">
        <v>2759</v>
      </c>
      <c r="B56" s="111" t="s">
        <v>49</v>
      </c>
      <c r="C56" s="110"/>
      <c r="D56" s="111">
        <v>5</v>
      </c>
      <c r="E56" s="15">
        <v>160500</v>
      </c>
      <c r="F56" s="16">
        <v>626420120</v>
      </c>
      <c r="G56" s="133" t="s">
        <v>85</v>
      </c>
      <c r="H56" s="111">
        <v>910</v>
      </c>
      <c r="I56" s="117">
        <v>6655</v>
      </c>
      <c r="J56" s="117">
        <v>16</v>
      </c>
      <c r="K56" s="117">
        <f>628.48+282.88</f>
        <v>911.36</v>
      </c>
      <c r="L56" s="131">
        <v>960</v>
      </c>
      <c r="M56" s="117">
        <v>1045.76</v>
      </c>
      <c r="N56" s="117"/>
      <c r="O56" s="7">
        <f t="shared" ref="O56:O57" si="33">SUM(K56:N56)</f>
        <v>2917.12</v>
      </c>
      <c r="P56" s="117">
        <f t="shared" ref="P56:P57" si="34">I56-O56</f>
        <v>3737.88</v>
      </c>
      <c r="Q56" s="123">
        <f t="shared" ref="Q56:Q57" si="35">M56/I56</f>
        <v>0.1571389932381668</v>
      </c>
      <c r="R56" s="123">
        <f t="shared" ref="R56:R57" si="36">P56/I56</f>
        <v>0.56166491359879789</v>
      </c>
      <c r="S56" s="123">
        <f t="shared" si="29"/>
        <v>0.55000000000000004</v>
      </c>
      <c r="T56" s="117"/>
      <c r="U56" s="118">
        <f t="shared" si="32"/>
        <v>56.96</v>
      </c>
    </row>
    <row r="57" spans="1:21" x14ac:dyDescent="0.15">
      <c r="A57" s="110" t="s">
        <v>2759</v>
      </c>
      <c r="B57" s="111" t="s">
        <v>49</v>
      </c>
      <c r="C57" s="110"/>
      <c r="D57" s="111">
        <v>5</v>
      </c>
      <c r="E57" s="15">
        <v>160500</v>
      </c>
      <c r="F57" s="16">
        <v>646620120</v>
      </c>
      <c r="G57" s="133" t="s">
        <v>85</v>
      </c>
      <c r="H57" s="111">
        <v>911</v>
      </c>
      <c r="I57" s="117">
        <v>19965</v>
      </c>
      <c r="J57" s="117">
        <v>16</v>
      </c>
      <c r="K57" s="117">
        <f>628.48+282.88</f>
        <v>911.36</v>
      </c>
      <c r="L57" s="131">
        <v>998.41</v>
      </c>
      <c r="M57" s="117">
        <v>2399.4499999999998</v>
      </c>
      <c r="N57" s="117"/>
      <c r="O57" s="7">
        <f t="shared" si="33"/>
        <v>4309.2199999999993</v>
      </c>
      <c r="P57" s="117">
        <f t="shared" si="34"/>
        <v>15655.78</v>
      </c>
      <c r="Q57" s="123">
        <f t="shared" si="35"/>
        <v>0.12018281993488604</v>
      </c>
      <c r="R57" s="123">
        <f t="shared" si="36"/>
        <v>0.78416128224392689</v>
      </c>
      <c r="S57" s="123">
        <f t="shared" si="29"/>
        <v>0.55000000000000004</v>
      </c>
      <c r="T57" s="117"/>
      <c r="U57" s="118">
        <f t="shared" si="32"/>
        <v>56.96</v>
      </c>
    </row>
    <row r="58" spans="1:21" x14ac:dyDescent="0.15">
      <c r="A58" s="110" t="s">
        <v>53</v>
      </c>
      <c r="B58" s="111"/>
      <c r="C58" s="110"/>
      <c r="D58" s="111"/>
      <c r="E58" s="15"/>
      <c r="F58" s="111"/>
      <c r="G58" s="133"/>
      <c r="H58" s="111"/>
      <c r="I58" s="117"/>
      <c r="J58" s="117"/>
      <c r="K58" s="117"/>
      <c r="L58" s="117"/>
      <c r="M58" s="117"/>
      <c r="N58" s="117"/>
      <c r="P58" s="117"/>
      <c r="Q58" s="123"/>
      <c r="R58" s="123"/>
      <c r="S58" s="123"/>
      <c r="T58" s="117"/>
      <c r="U58" s="118" t="str">
        <f t="shared" si="6"/>
        <v/>
      </c>
    </row>
    <row r="59" spans="1:21" x14ac:dyDescent="0.15">
      <c r="A59" s="110" t="s">
        <v>2759</v>
      </c>
      <c r="B59" s="111" t="s">
        <v>54</v>
      </c>
      <c r="C59" s="110"/>
      <c r="D59" s="111"/>
      <c r="E59" s="15">
        <v>160500</v>
      </c>
      <c r="F59" s="111"/>
      <c r="G59" s="133"/>
      <c r="H59" s="111"/>
      <c r="I59" s="24">
        <f>SUM(I47:I57)</f>
        <v>186337</v>
      </c>
      <c r="J59" s="24">
        <f>SUM(J47:J57)</f>
        <v>383</v>
      </c>
      <c r="K59" s="24">
        <f>SUM(K47:K53)</f>
        <v>8275.68</v>
      </c>
      <c r="L59" s="24">
        <f>SUM(L47:L53)</f>
        <v>4485.84</v>
      </c>
      <c r="M59" s="24">
        <f>SUM(M47:M57)</f>
        <v>57903.040000000008</v>
      </c>
      <c r="N59" s="117"/>
      <c r="O59" s="25">
        <f>SUM(O47:O53)</f>
        <v>64261.479999999996</v>
      </c>
      <c r="P59" s="117">
        <f>I59-O59</f>
        <v>122075.52</v>
      </c>
      <c r="Q59" s="123">
        <f>M59/I59</f>
        <v>0.31074365262937587</v>
      </c>
      <c r="R59" s="123">
        <f>P59/I59</f>
        <v>0.65513301169386651</v>
      </c>
      <c r="S59" s="123">
        <f>((I47*S47)+(I49*S49)+(I50*S50)+(I51*S51)+(I53*S53))/I59</f>
        <v>0.38230249494196</v>
      </c>
      <c r="T59" s="117"/>
      <c r="U59" s="118">
        <f t="shared" si="6"/>
        <v>21.60751958224543</v>
      </c>
    </row>
    <row r="60" spans="1:21" x14ac:dyDescent="0.15">
      <c r="A60" s="110" t="s">
        <v>2759</v>
      </c>
      <c r="B60" s="111" t="s">
        <v>55</v>
      </c>
      <c r="C60" s="110"/>
      <c r="D60" s="111"/>
      <c r="E60" s="15">
        <v>160500</v>
      </c>
      <c r="F60" s="111" t="s">
        <v>56</v>
      </c>
      <c r="G60" s="133" t="s">
        <v>57</v>
      </c>
      <c r="H60" s="111">
        <v>912</v>
      </c>
      <c r="I60" s="131">
        <v>7860</v>
      </c>
      <c r="J60" s="117">
        <v>46.5</v>
      </c>
      <c r="K60" s="117">
        <f>1278.75+575.67</f>
        <v>1854.42</v>
      </c>
      <c r="L60" s="117">
        <v>5091.62</v>
      </c>
      <c r="M60" s="117">
        <v>806.07</v>
      </c>
      <c r="N60" s="117"/>
      <c r="O60" s="7">
        <f>SUM(K60:M60)</f>
        <v>7752.11</v>
      </c>
      <c r="P60" s="117">
        <f>I60-O60</f>
        <v>107.89000000000033</v>
      </c>
      <c r="Q60" s="123">
        <f>M60/I60</f>
        <v>0.10255343511450382</v>
      </c>
      <c r="R60" s="123">
        <f>P60/I60</f>
        <v>1.3726463104325742E-2</v>
      </c>
      <c r="S60" s="123">
        <v>0</v>
      </c>
      <c r="T60" s="117"/>
      <c r="U60" s="118">
        <f t="shared" si="6"/>
        <v>39.880000000000003</v>
      </c>
    </row>
    <row r="61" spans="1:21" x14ac:dyDescent="0.15">
      <c r="A61" s="110" t="s">
        <v>2759</v>
      </c>
      <c r="B61" s="111" t="s">
        <v>58</v>
      </c>
      <c r="C61" s="110"/>
      <c r="D61" s="111"/>
      <c r="E61" s="15">
        <v>160500</v>
      </c>
      <c r="F61" s="17" t="s">
        <v>50</v>
      </c>
      <c r="G61" s="133" t="s">
        <v>86</v>
      </c>
      <c r="H61" s="111"/>
      <c r="I61" s="117">
        <v>17194</v>
      </c>
      <c r="J61" s="117"/>
      <c r="K61" s="117"/>
      <c r="L61" s="117"/>
      <c r="M61" s="117"/>
      <c r="N61" s="117"/>
      <c r="P61" s="117"/>
      <c r="Q61" s="123"/>
      <c r="R61" s="123"/>
      <c r="S61" s="123"/>
      <c r="T61" s="117"/>
      <c r="U61" s="118" t="str">
        <f t="shared" si="6"/>
        <v/>
      </c>
    </row>
    <row r="62" spans="1:21" x14ac:dyDescent="0.15">
      <c r="A62" s="110"/>
      <c r="B62" s="111" t="s">
        <v>58</v>
      </c>
      <c r="C62" s="110"/>
      <c r="D62" s="110"/>
      <c r="E62" s="15">
        <v>160500</v>
      </c>
      <c r="F62" s="17" t="s">
        <v>87</v>
      </c>
      <c r="G62" s="133" t="s">
        <v>86</v>
      </c>
      <c r="H62" s="111"/>
      <c r="I62" s="117">
        <v>17194</v>
      </c>
      <c r="J62" s="117"/>
      <c r="K62" s="117"/>
      <c r="L62" s="117"/>
      <c r="M62" s="117"/>
      <c r="N62" s="117"/>
      <c r="P62" s="117"/>
      <c r="Q62" s="123"/>
      <c r="R62" s="123"/>
      <c r="S62" s="123"/>
      <c r="T62" s="117"/>
      <c r="U62" s="118" t="str">
        <f t="shared" si="6"/>
        <v/>
      </c>
    </row>
    <row r="63" spans="1:21" x14ac:dyDescent="0.15">
      <c r="A63" s="110"/>
      <c r="B63" s="111" t="s">
        <v>58</v>
      </c>
      <c r="C63" s="110"/>
      <c r="D63" s="111"/>
      <c r="E63" s="15">
        <v>160500</v>
      </c>
      <c r="F63" s="17" t="s">
        <v>88</v>
      </c>
      <c r="G63" s="133" t="s">
        <v>86</v>
      </c>
      <c r="H63" s="111"/>
      <c r="I63" s="117">
        <v>15543</v>
      </c>
      <c r="J63" s="117"/>
      <c r="K63" s="117"/>
      <c r="L63" s="117"/>
      <c r="M63" s="117"/>
      <c r="N63" s="117"/>
      <c r="P63" s="117"/>
      <c r="Q63" s="123"/>
      <c r="R63" s="123"/>
      <c r="S63" s="123"/>
      <c r="T63" s="117"/>
      <c r="U63" s="118" t="str">
        <f t="shared" si="6"/>
        <v/>
      </c>
    </row>
    <row r="64" spans="1:21" x14ac:dyDescent="0.15">
      <c r="A64" s="110" t="s">
        <v>2759</v>
      </c>
      <c r="B64" s="111" t="s">
        <v>61</v>
      </c>
      <c r="C64" s="110"/>
      <c r="D64" s="111"/>
      <c r="E64" s="15">
        <v>160500</v>
      </c>
      <c r="F64" s="17" t="s">
        <v>89</v>
      </c>
      <c r="G64" s="133"/>
      <c r="H64" s="111"/>
      <c r="I64" s="117">
        <f>12230</f>
        <v>12230</v>
      </c>
      <c r="J64" s="117"/>
      <c r="K64" s="117"/>
      <c r="L64" s="117"/>
      <c r="M64" s="117"/>
      <c r="N64" s="117"/>
      <c r="P64" s="117"/>
      <c r="Q64" s="123"/>
      <c r="R64" s="123"/>
      <c r="S64" s="123"/>
      <c r="T64" s="117"/>
      <c r="U64" s="118" t="str">
        <f t="shared" si="6"/>
        <v/>
      </c>
    </row>
    <row r="65" spans="1:27" x14ac:dyDescent="0.15">
      <c r="A65" s="110"/>
      <c r="B65" s="111" t="s">
        <v>61</v>
      </c>
      <c r="C65" s="110"/>
      <c r="D65" s="111"/>
      <c r="E65" s="15">
        <v>160500</v>
      </c>
      <c r="F65" s="17" t="s">
        <v>90</v>
      </c>
      <c r="G65" s="133"/>
      <c r="H65" s="111"/>
      <c r="I65" s="117">
        <f>12230</f>
        <v>12230</v>
      </c>
      <c r="J65" s="117"/>
      <c r="K65" s="117"/>
      <c r="L65" s="117"/>
      <c r="M65" s="117"/>
      <c r="N65" s="117"/>
      <c r="P65" s="117"/>
      <c r="Q65" s="123"/>
      <c r="R65" s="123"/>
      <c r="S65" s="123"/>
      <c r="T65" s="117"/>
      <c r="U65" s="118" t="str">
        <f t="shared" si="6"/>
        <v/>
      </c>
      <c r="V65" s="110"/>
      <c r="W65" s="110"/>
      <c r="X65" s="110"/>
      <c r="Y65" s="110"/>
      <c r="Z65" s="110"/>
      <c r="AA65" s="110"/>
    </row>
    <row r="66" spans="1:27" ht="13" x14ac:dyDescent="0.15">
      <c r="A66" s="110" t="s">
        <v>2759</v>
      </c>
      <c r="B66" s="111" t="s">
        <v>65</v>
      </c>
      <c r="C66" s="110"/>
      <c r="D66" s="111"/>
      <c r="E66" s="111"/>
      <c r="F66" s="19"/>
      <c r="G66" s="133"/>
      <c r="H66" s="111"/>
      <c r="I66" s="24">
        <f>SUM(I59:I65)</f>
        <v>268588</v>
      </c>
      <c r="J66" s="24">
        <f t="shared" ref="J66:M66" si="37">SUM(J59:J65)</f>
        <v>429.5</v>
      </c>
      <c r="K66" s="24">
        <f t="shared" si="37"/>
        <v>10130.1</v>
      </c>
      <c r="L66" s="24">
        <f t="shared" si="37"/>
        <v>9577.4599999999991</v>
      </c>
      <c r="M66" s="24">
        <f t="shared" si="37"/>
        <v>58709.110000000008</v>
      </c>
      <c r="N66" s="117"/>
      <c r="O66" s="25">
        <f>SUM(K66:M66)</f>
        <v>78416.670000000013</v>
      </c>
      <c r="P66" s="117"/>
      <c r="Q66" s="123"/>
      <c r="R66" s="123"/>
      <c r="S66" s="123"/>
      <c r="T66" s="117"/>
      <c r="U66" s="118">
        <f t="shared" si="6"/>
        <v>23.585797438882423</v>
      </c>
      <c r="V66" s="110"/>
      <c r="W66" s="110"/>
      <c r="X66" s="110"/>
      <c r="Y66" s="110"/>
      <c r="Z66" s="110"/>
      <c r="AA66" s="110"/>
    </row>
    <row r="67" spans="1:27" x14ac:dyDescent="0.15">
      <c r="A67" s="110" t="s">
        <v>2759</v>
      </c>
      <c r="B67" s="111" t="s">
        <v>66</v>
      </c>
      <c r="C67" s="110"/>
      <c r="D67" s="111"/>
      <c r="E67" s="111"/>
      <c r="F67" s="111"/>
      <c r="G67" s="133"/>
      <c r="H67" s="111"/>
      <c r="I67" s="117">
        <f t="shared" ref="I67:M67" si="38">I47+I49+I50+I51+I53</f>
        <v>129522</v>
      </c>
      <c r="J67" s="117">
        <f t="shared" si="38"/>
        <v>18.5</v>
      </c>
      <c r="K67" s="117">
        <f t="shared" si="38"/>
        <v>644.91</v>
      </c>
      <c r="L67" s="117">
        <f t="shared" si="38"/>
        <v>0</v>
      </c>
      <c r="M67" s="117">
        <f t="shared" si="38"/>
        <v>49187.58</v>
      </c>
      <c r="N67" s="117"/>
      <c r="O67" s="7">
        <f>O47+O49+O50+O51+O53</f>
        <v>49832.490000000005</v>
      </c>
      <c r="P67" s="117">
        <f>I67-O67</f>
        <v>79689.509999999995</v>
      </c>
      <c r="Q67" s="123">
        <f>M67/I67</f>
        <v>0.37976235697410482</v>
      </c>
      <c r="R67" s="123">
        <f>P67/I67</f>
        <v>0.61525848890535961</v>
      </c>
      <c r="S67" s="123">
        <f>((I46*S46)+(I47*S47)+(I49*S49)+(I50*S50)+(I51*S51)+(I53*S53))/I67</f>
        <v>0.55000000000000004</v>
      </c>
      <c r="T67" s="117"/>
      <c r="U67" s="118">
        <f t="shared" si="6"/>
        <v>34.86</v>
      </c>
      <c r="V67" s="110"/>
      <c r="W67" s="110"/>
      <c r="X67" s="110"/>
      <c r="Y67" s="110"/>
      <c r="Z67" s="110"/>
      <c r="AA67" s="110"/>
    </row>
    <row r="68" spans="1:27" x14ac:dyDescent="0.15">
      <c r="A68" s="124" t="s">
        <v>53</v>
      </c>
      <c r="B68" s="124"/>
      <c r="C68" s="124"/>
      <c r="D68" s="124"/>
      <c r="E68" s="124"/>
      <c r="F68" s="124"/>
      <c r="G68" s="186"/>
      <c r="H68" s="124"/>
      <c r="I68" s="126"/>
      <c r="J68" s="126"/>
      <c r="K68" s="126"/>
      <c r="L68" s="126"/>
      <c r="M68" s="126"/>
      <c r="N68" s="126"/>
      <c r="O68" s="18"/>
      <c r="P68" s="126"/>
      <c r="Q68" s="187"/>
      <c r="R68" s="187"/>
      <c r="S68" s="187"/>
      <c r="T68" s="126"/>
      <c r="U68" s="127"/>
      <c r="V68" s="130"/>
      <c r="W68" s="130"/>
      <c r="X68" s="130"/>
      <c r="Y68" s="110"/>
      <c r="Z68" s="130"/>
      <c r="AA68" s="130"/>
    </row>
    <row r="69" spans="1:27" x14ac:dyDescent="0.15">
      <c r="A69" s="110" t="s">
        <v>2760</v>
      </c>
      <c r="B69" s="111" t="s">
        <v>49</v>
      </c>
      <c r="C69" s="110"/>
      <c r="D69" s="111">
        <v>5</v>
      </c>
      <c r="E69" s="15">
        <v>160463</v>
      </c>
      <c r="F69" s="17">
        <v>616200120</v>
      </c>
      <c r="G69" s="133" t="s">
        <v>77</v>
      </c>
      <c r="H69" s="111">
        <v>921</v>
      </c>
      <c r="I69" s="117">
        <v>6584.76</v>
      </c>
      <c r="J69" s="117">
        <v>32</v>
      </c>
      <c r="K69" s="117">
        <f>1256.96+565.76</f>
        <v>1822.72</v>
      </c>
      <c r="L69" s="117">
        <v>718</v>
      </c>
      <c r="M69" s="117"/>
      <c r="N69" s="117"/>
      <c r="O69" s="7">
        <f t="shared" ref="O69:O74" si="39">SUM(K69:N69)</f>
        <v>2540.7200000000003</v>
      </c>
      <c r="P69" s="117">
        <f t="shared" ref="P69:P74" si="40">I69-O69</f>
        <v>4044.04</v>
      </c>
      <c r="Q69" s="123">
        <f t="shared" ref="Q69:Q74" si="41">M69/I69</f>
        <v>0</v>
      </c>
      <c r="R69" s="123">
        <f t="shared" ref="R69:R74" si="42">P69/I69</f>
        <v>0.61415146489773353</v>
      </c>
      <c r="S69" s="123">
        <f>1-0.529</f>
        <v>0.47099999999999997</v>
      </c>
      <c r="T69" s="117"/>
      <c r="U69" s="118">
        <f t="shared" si="6"/>
        <v>56.96</v>
      </c>
      <c r="V69" s="110"/>
      <c r="W69" s="110"/>
      <c r="X69" s="110"/>
      <c r="Y69" s="110"/>
      <c r="Z69" s="110"/>
      <c r="AA69" s="110"/>
    </row>
    <row r="70" spans="1:27" x14ac:dyDescent="0.15">
      <c r="A70" s="110" t="s">
        <v>2760</v>
      </c>
      <c r="B70" s="111" t="s">
        <v>49</v>
      </c>
      <c r="C70" s="110"/>
      <c r="D70" s="111">
        <v>5</v>
      </c>
      <c r="E70" s="15">
        <v>160463</v>
      </c>
      <c r="F70" s="17">
        <v>646200120</v>
      </c>
      <c r="G70" s="133" t="s">
        <v>77</v>
      </c>
      <c r="H70" s="111">
        <v>922</v>
      </c>
      <c r="I70" s="117">
        <v>17535.240000000002</v>
      </c>
      <c r="J70" s="117">
        <v>32</v>
      </c>
      <c r="K70" s="117">
        <f>1256.96+565.76</f>
        <v>1822.72</v>
      </c>
      <c r="L70" s="117">
        <v>1453.05</v>
      </c>
      <c r="M70" s="117"/>
      <c r="N70" s="117"/>
      <c r="O70" s="7">
        <f t="shared" si="39"/>
        <v>3275.77</v>
      </c>
      <c r="P70" s="117">
        <f t="shared" si="40"/>
        <v>14259.470000000001</v>
      </c>
      <c r="Q70" s="123">
        <f t="shared" si="41"/>
        <v>0</v>
      </c>
      <c r="R70" s="123">
        <f t="shared" si="42"/>
        <v>0.8131893261797386</v>
      </c>
      <c r="S70" s="123">
        <f>1-0.529</f>
        <v>0.47099999999999997</v>
      </c>
      <c r="T70" s="117"/>
      <c r="U70" s="118">
        <f t="shared" si="6"/>
        <v>56.96</v>
      </c>
      <c r="V70" s="110"/>
      <c r="W70" s="110"/>
      <c r="X70" s="110"/>
      <c r="Y70" s="110"/>
      <c r="Z70" s="110"/>
      <c r="AA70" s="110"/>
    </row>
    <row r="71" spans="1:27" x14ac:dyDescent="0.15">
      <c r="A71" s="110" t="s">
        <v>2760</v>
      </c>
      <c r="B71" s="111" t="s">
        <v>47</v>
      </c>
      <c r="C71" s="110"/>
      <c r="D71" s="111">
        <v>5</v>
      </c>
      <c r="E71" s="15">
        <v>160463</v>
      </c>
      <c r="F71" s="16">
        <v>514121220</v>
      </c>
      <c r="G71" s="133" t="s">
        <v>92</v>
      </c>
      <c r="H71" s="111">
        <v>924</v>
      </c>
      <c r="I71" s="117">
        <v>7840</v>
      </c>
      <c r="J71" s="117">
        <v>51.25</v>
      </c>
      <c r="K71" s="117">
        <f>1584.15+712.9</f>
        <v>2297.0500000000002</v>
      </c>
      <c r="L71" s="117">
        <v>784.79</v>
      </c>
      <c r="M71" s="117">
        <v>1800.99</v>
      </c>
      <c r="N71" s="117"/>
      <c r="O71" s="7">
        <f t="shared" si="39"/>
        <v>4882.83</v>
      </c>
      <c r="P71" s="117">
        <f t="shared" si="40"/>
        <v>2957.17</v>
      </c>
      <c r="Q71" s="123">
        <f t="shared" si="41"/>
        <v>0.22971811224489797</v>
      </c>
      <c r="R71" s="123">
        <f t="shared" si="42"/>
        <v>0.37719005102040815</v>
      </c>
      <c r="S71" s="123">
        <f t="shared" ref="S71:S74" si="43">1-0.45</f>
        <v>0.55000000000000004</v>
      </c>
      <c r="T71" s="117"/>
      <c r="U71" s="118">
        <f t="shared" si="6"/>
        <v>44.820487804878056</v>
      </c>
      <c r="V71" s="110"/>
      <c r="W71" s="110"/>
      <c r="X71" s="110"/>
      <c r="Y71" s="110"/>
      <c r="Z71" s="110"/>
      <c r="AA71" s="110"/>
    </row>
    <row r="72" spans="1:27" x14ac:dyDescent="0.15">
      <c r="A72" s="110" t="s">
        <v>2760</v>
      </c>
      <c r="B72" s="111" t="s">
        <v>37</v>
      </c>
      <c r="C72" s="110"/>
      <c r="D72" s="111">
        <v>5</v>
      </c>
      <c r="E72" s="15">
        <v>160463</v>
      </c>
      <c r="F72" s="16">
        <v>910000310</v>
      </c>
      <c r="G72" s="133" t="s">
        <v>93</v>
      </c>
      <c r="H72" s="111">
        <v>919</v>
      </c>
      <c r="I72" s="117">
        <v>43674</v>
      </c>
      <c r="J72" s="117">
        <v>8</v>
      </c>
      <c r="K72" s="117">
        <f>192.32+86.56</f>
        <v>278.88</v>
      </c>
      <c r="L72" s="117"/>
      <c r="M72" s="117">
        <v>8870.52</v>
      </c>
      <c r="N72" s="117"/>
      <c r="O72" s="7">
        <f t="shared" si="39"/>
        <v>9149.4</v>
      </c>
      <c r="P72" s="117">
        <f t="shared" si="40"/>
        <v>34524.6</v>
      </c>
      <c r="Q72" s="123">
        <f t="shared" si="41"/>
        <v>0.20310756972111554</v>
      </c>
      <c r="R72" s="123">
        <f t="shared" si="42"/>
        <v>0.79050693776617664</v>
      </c>
      <c r="S72" s="123">
        <f t="shared" si="43"/>
        <v>0.55000000000000004</v>
      </c>
      <c r="T72" s="117"/>
      <c r="U72" s="118">
        <f t="shared" si="6"/>
        <v>34.86</v>
      </c>
      <c r="V72" s="110"/>
      <c r="W72" s="110"/>
      <c r="X72" s="110"/>
      <c r="Y72" s="110"/>
      <c r="Z72" s="110"/>
      <c r="AA72" s="110"/>
    </row>
    <row r="73" spans="1:27" x14ac:dyDescent="0.15">
      <c r="A73" s="110" t="s">
        <v>2760</v>
      </c>
      <c r="B73" s="111" t="s">
        <v>47</v>
      </c>
      <c r="C73" s="110"/>
      <c r="D73" s="111">
        <v>5</v>
      </c>
      <c r="E73" s="15">
        <v>160463</v>
      </c>
      <c r="F73" s="16">
        <v>540000210</v>
      </c>
      <c r="G73" s="133" t="s">
        <v>92</v>
      </c>
      <c r="H73" s="111">
        <v>925</v>
      </c>
      <c r="I73" s="117">
        <v>7840</v>
      </c>
      <c r="J73" s="117">
        <v>50</v>
      </c>
      <c r="K73" s="117">
        <f>1545.51+695.51</f>
        <v>2241.02</v>
      </c>
      <c r="L73" s="117">
        <v>1612.83</v>
      </c>
      <c r="M73" s="117">
        <v>3217.03</v>
      </c>
      <c r="N73" s="117"/>
      <c r="O73" s="7">
        <f t="shared" si="39"/>
        <v>7070.88</v>
      </c>
      <c r="P73" s="117">
        <f t="shared" si="40"/>
        <v>769.11999999999989</v>
      </c>
      <c r="Q73" s="123">
        <f t="shared" si="41"/>
        <v>0.41033545918367348</v>
      </c>
      <c r="R73" s="123">
        <f t="shared" si="42"/>
        <v>9.8102040816326522E-2</v>
      </c>
      <c r="S73" s="123">
        <f t="shared" si="43"/>
        <v>0.55000000000000004</v>
      </c>
      <c r="T73" s="117"/>
      <c r="U73" s="118">
        <f t="shared" si="6"/>
        <v>44.820399999999999</v>
      </c>
      <c r="V73" s="110"/>
      <c r="W73" s="110"/>
      <c r="X73" s="110"/>
      <c r="Y73" s="110"/>
      <c r="Z73" s="110"/>
      <c r="AA73" s="110"/>
    </row>
    <row r="74" spans="1:27" x14ac:dyDescent="0.15">
      <c r="A74" s="110" t="s">
        <v>2760</v>
      </c>
      <c r="B74" s="111" t="s">
        <v>37</v>
      </c>
      <c r="C74" s="110"/>
      <c r="D74" s="111">
        <v>5</v>
      </c>
      <c r="E74" s="15">
        <v>160463</v>
      </c>
      <c r="F74" s="16">
        <v>940000310</v>
      </c>
      <c r="G74" s="133" t="s">
        <v>94</v>
      </c>
      <c r="H74" s="111">
        <v>920</v>
      </c>
      <c r="I74" s="117">
        <v>43674</v>
      </c>
      <c r="J74" s="117"/>
      <c r="K74" s="117">
        <v>0</v>
      </c>
      <c r="L74" s="117">
        <v>0</v>
      </c>
      <c r="M74" s="117">
        <v>9600.8700000000008</v>
      </c>
      <c r="N74" s="117"/>
      <c r="O74" s="7">
        <f t="shared" si="39"/>
        <v>9600.8700000000008</v>
      </c>
      <c r="P74" s="117">
        <f t="shared" si="40"/>
        <v>34073.129999999997</v>
      </c>
      <c r="Q74" s="123">
        <f t="shared" si="41"/>
        <v>0.21983033383706554</v>
      </c>
      <c r="R74" s="123">
        <f t="shared" si="42"/>
        <v>0.78016966616293437</v>
      </c>
      <c r="S74" s="123">
        <f t="shared" si="43"/>
        <v>0.55000000000000004</v>
      </c>
      <c r="T74" s="117"/>
      <c r="U74" s="118" t="str">
        <f t="shared" si="6"/>
        <v/>
      </c>
      <c r="V74" s="110"/>
      <c r="W74" s="110"/>
      <c r="X74" s="110"/>
      <c r="Y74" s="110"/>
      <c r="Z74" s="110"/>
      <c r="AA74" s="110"/>
    </row>
    <row r="75" spans="1:27" x14ac:dyDescent="0.15">
      <c r="A75" s="110" t="s">
        <v>53</v>
      </c>
      <c r="B75" s="111"/>
      <c r="C75" s="110"/>
      <c r="D75" s="111"/>
      <c r="E75" s="15"/>
      <c r="F75" s="111"/>
      <c r="G75" s="133"/>
      <c r="H75" s="111"/>
      <c r="I75" s="117"/>
      <c r="J75" s="117"/>
      <c r="K75" s="117"/>
      <c r="L75" s="117"/>
      <c r="M75" s="117"/>
      <c r="N75" s="117"/>
      <c r="P75" s="117"/>
      <c r="Q75" s="123"/>
      <c r="R75" s="123"/>
      <c r="S75" s="123"/>
      <c r="T75" s="117"/>
      <c r="U75" s="118" t="str">
        <f t="shared" si="6"/>
        <v/>
      </c>
      <c r="V75" s="110"/>
      <c r="W75" s="110"/>
      <c r="X75" s="110"/>
      <c r="Y75" s="110"/>
      <c r="Z75" s="110"/>
      <c r="AA75" s="110"/>
    </row>
    <row r="76" spans="1:27" x14ac:dyDescent="0.15">
      <c r="A76" s="110" t="s">
        <v>2760</v>
      </c>
      <c r="B76" s="111" t="s">
        <v>54</v>
      </c>
      <c r="C76" s="110"/>
      <c r="D76" s="111"/>
      <c r="E76" s="15"/>
      <c r="F76" s="111"/>
      <c r="G76" s="133"/>
      <c r="H76" s="111"/>
      <c r="I76" s="24">
        <f>SUM(I69:I75)</f>
        <v>127148</v>
      </c>
      <c r="J76" s="24">
        <f>SUM(J69:J75)</f>
        <v>173.25</v>
      </c>
      <c r="K76" s="24">
        <f t="shared" ref="K76:M76" si="44">SUM(K69:K75)</f>
        <v>8462.39</v>
      </c>
      <c r="L76" s="24">
        <f t="shared" si="44"/>
        <v>4568.67</v>
      </c>
      <c r="M76" s="24">
        <f t="shared" si="44"/>
        <v>23489.410000000003</v>
      </c>
      <c r="N76" s="117"/>
      <c r="O76" s="25">
        <f>SUM(O69:O75)</f>
        <v>36520.47</v>
      </c>
      <c r="P76" s="117">
        <f>I76-O76</f>
        <v>90627.53</v>
      </c>
      <c r="Q76" s="123">
        <f>M76/I76</f>
        <v>0.18474069588196435</v>
      </c>
      <c r="R76" s="123">
        <f>P76/I76</f>
        <v>0.71277196652719665</v>
      </c>
      <c r="S76" s="123">
        <f>((I72*S72)+(I74*S74))/I76</f>
        <v>0.37783842451316579</v>
      </c>
      <c r="T76" s="117"/>
      <c r="U76" s="118">
        <f t="shared" si="6"/>
        <v>48.84496392496392</v>
      </c>
      <c r="V76" s="110"/>
      <c r="W76" s="110"/>
      <c r="X76" s="110"/>
      <c r="Y76" s="110"/>
      <c r="Z76" s="110"/>
      <c r="AA76" s="110"/>
    </row>
    <row r="77" spans="1:27" x14ac:dyDescent="0.15">
      <c r="A77" s="110" t="s">
        <v>2760</v>
      </c>
      <c r="B77" s="111" t="s">
        <v>55</v>
      </c>
      <c r="C77" s="110"/>
      <c r="D77" s="111"/>
      <c r="E77" s="15">
        <v>160463</v>
      </c>
      <c r="F77" s="111" t="s">
        <v>56</v>
      </c>
      <c r="G77" s="133" t="s">
        <v>57</v>
      </c>
      <c r="H77" s="111">
        <v>923</v>
      </c>
      <c r="I77" s="117">
        <v>6240</v>
      </c>
      <c r="J77" s="117">
        <v>4</v>
      </c>
      <c r="K77" s="117">
        <f>110+49.52</f>
        <v>159.52000000000001</v>
      </c>
      <c r="L77" s="117">
        <v>1036.1300000000001</v>
      </c>
      <c r="M77" s="117">
        <v>254.56</v>
      </c>
      <c r="N77" s="132"/>
      <c r="O77" s="7">
        <f>SUM(K77:M77)</f>
        <v>1450.21</v>
      </c>
      <c r="P77" s="117">
        <f>I77-O77</f>
        <v>4789.79</v>
      </c>
      <c r="Q77" s="123">
        <f>M77/I77</f>
        <v>4.0794871794871797E-2</v>
      </c>
      <c r="R77" s="123">
        <f>P77/I77</f>
        <v>0.76759455128205123</v>
      </c>
      <c r="S77" s="123">
        <v>0</v>
      </c>
      <c r="T77" s="117"/>
      <c r="U77" s="118">
        <f t="shared" ref="U77:U139" si="45">IFERROR(K77/J77,"")</f>
        <v>39.880000000000003</v>
      </c>
      <c r="V77" s="110"/>
      <c r="W77" s="110"/>
      <c r="X77" s="110"/>
      <c r="Y77" s="110"/>
      <c r="Z77" s="110"/>
      <c r="AA77" s="110"/>
    </row>
    <row r="78" spans="1:27" x14ac:dyDescent="0.15">
      <c r="A78" s="110" t="s">
        <v>2760</v>
      </c>
      <c r="B78" s="111" t="s">
        <v>58</v>
      </c>
      <c r="C78" s="110"/>
      <c r="D78" s="111"/>
      <c r="E78" s="15">
        <v>160463</v>
      </c>
      <c r="F78" s="17" t="s">
        <v>95</v>
      </c>
      <c r="G78" s="133" t="s">
        <v>86</v>
      </c>
      <c r="H78" s="111"/>
      <c r="I78" s="117">
        <v>25625.74</v>
      </c>
      <c r="J78" s="117"/>
      <c r="K78" s="117"/>
      <c r="L78" s="117"/>
      <c r="M78" s="117"/>
      <c r="N78" s="117"/>
      <c r="P78" s="117"/>
      <c r="Q78" s="123"/>
      <c r="R78" s="123"/>
      <c r="S78" s="123"/>
      <c r="T78" s="117"/>
      <c r="U78" s="118" t="str">
        <f t="shared" si="45"/>
        <v/>
      </c>
      <c r="V78" s="110"/>
      <c r="W78" s="110"/>
      <c r="X78" s="110"/>
      <c r="Y78" s="110"/>
      <c r="Z78" s="110"/>
      <c r="AA78" s="110"/>
    </row>
    <row r="79" spans="1:27" x14ac:dyDescent="0.15">
      <c r="A79" s="110" t="s">
        <v>2760</v>
      </c>
      <c r="B79" s="111" t="s">
        <v>58</v>
      </c>
      <c r="C79" s="110"/>
      <c r="D79" s="111"/>
      <c r="E79" s="15">
        <v>160463</v>
      </c>
      <c r="F79" s="17" t="s">
        <v>96</v>
      </c>
      <c r="G79" s="133" t="s">
        <v>86</v>
      </c>
      <c r="H79" s="111"/>
      <c r="I79" s="117">
        <v>9602.26</v>
      </c>
      <c r="J79" s="117"/>
      <c r="K79" s="117"/>
      <c r="L79" s="117"/>
      <c r="M79" s="117"/>
      <c r="N79" s="117"/>
      <c r="P79" s="117"/>
      <c r="Q79" s="123"/>
      <c r="R79" s="123"/>
      <c r="S79" s="123"/>
      <c r="T79" s="117"/>
      <c r="U79" s="118" t="str">
        <f t="shared" si="45"/>
        <v/>
      </c>
      <c r="V79" s="110"/>
      <c r="W79" s="110"/>
      <c r="X79" s="110"/>
      <c r="Y79" s="110"/>
      <c r="Z79" s="110"/>
      <c r="AA79" s="110"/>
    </row>
    <row r="80" spans="1:27" x14ac:dyDescent="0.15">
      <c r="A80" s="110"/>
      <c r="B80" s="111"/>
      <c r="C80" s="110"/>
      <c r="D80" s="111"/>
      <c r="E80" s="15"/>
      <c r="F80" s="111"/>
      <c r="G80" s="133"/>
      <c r="H80" s="111"/>
      <c r="I80" s="117"/>
      <c r="J80" s="117"/>
      <c r="K80" s="117"/>
      <c r="L80" s="117"/>
      <c r="M80" s="117"/>
      <c r="N80" s="117"/>
      <c r="P80" s="117"/>
      <c r="Q80" s="123"/>
      <c r="R80" s="123"/>
      <c r="S80" s="123"/>
      <c r="T80" s="117"/>
      <c r="U80" s="118" t="str">
        <f t="shared" si="45"/>
        <v/>
      </c>
      <c r="V80" s="110"/>
      <c r="W80" s="110"/>
      <c r="X80" s="110"/>
      <c r="Y80" s="110"/>
      <c r="Z80" s="110"/>
      <c r="AA80" s="110"/>
    </row>
    <row r="81" spans="1:27" x14ac:dyDescent="0.15">
      <c r="A81" s="110" t="s">
        <v>2760</v>
      </c>
      <c r="B81" s="111" t="s">
        <v>65</v>
      </c>
      <c r="C81" s="110"/>
      <c r="D81" s="111"/>
      <c r="E81" s="111"/>
      <c r="F81" s="111"/>
      <c r="G81" s="133"/>
      <c r="H81" s="111"/>
      <c r="I81" s="25">
        <f>SUM(I76:I80)</f>
        <v>168616</v>
      </c>
      <c r="J81" s="25">
        <f t="shared" ref="J81:M81" si="46">SUM(J76:J80)</f>
        <v>177.25</v>
      </c>
      <c r="K81" s="25">
        <f t="shared" si="46"/>
        <v>8621.91</v>
      </c>
      <c r="L81" s="25">
        <f t="shared" si="46"/>
        <v>5604.8</v>
      </c>
      <c r="M81" s="25">
        <f t="shared" si="46"/>
        <v>23743.970000000005</v>
      </c>
      <c r="N81" s="117"/>
      <c r="O81" s="25">
        <f>SUM(K81:M81)</f>
        <v>37970.680000000008</v>
      </c>
      <c r="P81" s="117">
        <f>I81-O81</f>
        <v>130645.31999999999</v>
      </c>
      <c r="Q81" s="123">
        <f>M81/I81</f>
        <v>0.14081682639844384</v>
      </c>
      <c r="R81" s="123">
        <f>P81/I81</f>
        <v>0.77480974521990786</v>
      </c>
      <c r="S81" s="123"/>
      <c r="T81" s="117"/>
      <c r="U81" s="118">
        <f t="shared" si="45"/>
        <v>48.642651622002823</v>
      </c>
      <c r="V81" s="110"/>
      <c r="W81" s="110"/>
      <c r="X81" s="110"/>
      <c r="Y81" s="110"/>
      <c r="Z81" s="110"/>
      <c r="AA81" s="110"/>
    </row>
    <row r="82" spans="1:27" x14ac:dyDescent="0.15">
      <c r="A82" s="110" t="s">
        <v>2760</v>
      </c>
      <c r="B82" s="111" t="s">
        <v>66</v>
      </c>
      <c r="C82" s="110"/>
      <c r="D82" s="111"/>
      <c r="E82" s="111"/>
      <c r="F82" s="111"/>
      <c r="G82" s="133"/>
      <c r="H82" s="111"/>
      <c r="I82" s="117">
        <f>I72+I74</f>
        <v>87348</v>
      </c>
      <c r="J82" s="117">
        <f>J72+J74</f>
        <v>8</v>
      </c>
      <c r="K82" s="117">
        <f t="shared" ref="K82:O82" si="47">K72+K74</f>
        <v>278.88</v>
      </c>
      <c r="L82" s="117">
        <f t="shared" si="47"/>
        <v>0</v>
      </c>
      <c r="M82" s="117">
        <f t="shared" si="47"/>
        <v>18471.39</v>
      </c>
      <c r="N82" s="117"/>
      <c r="O82" s="7">
        <f t="shared" si="47"/>
        <v>18750.27</v>
      </c>
      <c r="P82" s="117">
        <f>I82-O82</f>
        <v>68597.73</v>
      </c>
      <c r="Q82" s="123">
        <f>M82/I82</f>
        <v>0.21146895177909053</v>
      </c>
      <c r="R82" s="123">
        <f>P82/I82</f>
        <v>0.78533830196455556</v>
      </c>
      <c r="S82" s="123">
        <f>((I72*S72)+(I74*S74))/I82</f>
        <v>0.55000000000000004</v>
      </c>
      <c r="T82" s="117"/>
      <c r="U82" s="118">
        <f t="shared" si="45"/>
        <v>34.86</v>
      </c>
      <c r="V82" s="110"/>
      <c r="W82" s="110"/>
      <c r="X82" s="110"/>
      <c r="Y82" s="110"/>
      <c r="Z82" s="110"/>
      <c r="AA82" s="110"/>
    </row>
    <row r="83" spans="1:27" x14ac:dyDescent="0.15">
      <c r="A83" s="124" t="s">
        <v>53</v>
      </c>
      <c r="B83" s="124"/>
      <c r="C83" s="124"/>
      <c r="D83" s="124"/>
      <c r="E83" s="124"/>
      <c r="F83" s="124"/>
      <c r="G83" s="186"/>
      <c r="H83" s="124"/>
      <c r="I83" s="126"/>
      <c r="J83" s="126"/>
      <c r="K83" s="126"/>
      <c r="L83" s="126"/>
      <c r="M83" s="126"/>
      <c r="N83" s="126"/>
      <c r="O83" s="18"/>
      <c r="P83" s="126"/>
      <c r="Q83" s="187"/>
      <c r="R83" s="187"/>
      <c r="S83" s="187"/>
      <c r="T83" s="126"/>
      <c r="U83" s="127"/>
      <c r="V83" s="130"/>
      <c r="W83" s="130"/>
      <c r="X83" s="130"/>
      <c r="Y83" s="110"/>
      <c r="Z83" s="130"/>
      <c r="AA83" s="130"/>
    </row>
    <row r="84" spans="1:27" x14ac:dyDescent="0.15">
      <c r="A84" s="110" t="s">
        <v>2761</v>
      </c>
      <c r="B84" s="111" t="s">
        <v>37</v>
      </c>
      <c r="C84" s="110"/>
      <c r="D84" s="111">
        <v>3</v>
      </c>
      <c r="E84" s="15">
        <v>160339</v>
      </c>
      <c r="F84" s="16">
        <v>123050120</v>
      </c>
      <c r="G84" s="133" t="s">
        <v>98</v>
      </c>
      <c r="H84" s="111">
        <v>893</v>
      </c>
      <c r="I84" s="117">
        <v>21873</v>
      </c>
      <c r="J84" s="117">
        <f>18+32+4</f>
        <v>54</v>
      </c>
      <c r="K84" s="117">
        <f>1365.96+614.8</f>
        <v>1980.76</v>
      </c>
      <c r="L84" s="117"/>
      <c r="M84" s="117">
        <v>20639.05</v>
      </c>
      <c r="N84" s="117"/>
      <c r="O84" s="7">
        <f>SUM(K84:N84)</f>
        <v>22619.809999999998</v>
      </c>
      <c r="P84" s="117">
        <f>I84-O84</f>
        <v>-746.80999999999767</v>
      </c>
      <c r="Q84" s="123">
        <f>M84/I84</f>
        <v>0.94358569926393265</v>
      </c>
      <c r="R84" s="123">
        <f>P84/I84</f>
        <v>-3.414300736067287E-2</v>
      </c>
      <c r="S84" s="123">
        <f t="shared" ref="S84:S86" si="48">1-0.45</f>
        <v>0.55000000000000004</v>
      </c>
      <c r="T84" s="117"/>
      <c r="U84" s="118">
        <f t="shared" si="45"/>
        <v>36.680740740740738</v>
      </c>
      <c r="V84" s="110"/>
      <c r="W84" s="110"/>
      <c r="X84" s="110"/>
      <c r="Y84" s="110"/>
      <c r="Z84" s="110"/>
      <c r="AA84" s="110"/>
    </row>
    <row r="85" spans="1:27" x14ac:dyDescent="0.15">
      <c r="A85" s="110" t="s">
        <v>2761</v>
      </c>
      <c r="B85" s="111" t="s">
        <v>37</v>
      </c>
      <c r="C85" s="110"/>
      <c r="D85" s="111">
        <v>3</v>
      </c>
      <c r="E85" s="15">
        <v>160339</v>
      </c>
      <c r="F85" s="16">
        <v>220100110</v>
      </c>
      <c r="G85" s="133" t="s">
        <v>74</v>
      </c>
      <c r="H85" s="111">
        <v>894</v>
      </c>
      <c r="I85" s="117">
        <v>4900</v>
      </c>
      <c r="J85" s="117">
        <v>0</v>
      </c>
      <c r="K85" s="117">
        <v>0</v>
      </c>
      <c r="L85" s="117"/>
      <c r="M85" s="117">
        <v>7871.31</v>
      </c>
      <c r="N85" s="117"/>
      <c r="O85" s="7">
        <f>SUM(K85:N85)</f>
        <v>7871.31</v>
      </c>
      <c r="P85" s="117">
        <f>I85-O85</f>
        <v>-2971.3100000000004</v>
      </c>
      <c r="Q85" s="123">
        <f>M85/I85</f>
        <v>1.6063897959183675</v>
      </c>
      <c r="R85" s="123">
        <f>P85/I85</f>
        <v>-0.60638979591836739</v>
      </c>
      <c r="S85" s="123">
        <f t="shared" si="48"/>
        <v>0.55000000000000004</v>
      </c>
      <c r="T85" s="117"/>
      <c r="U85" s="118" t="str">
        <f t="shared" si="45"/>
        <v/>
      </c>
      <c r="V85" s="110"/>
      <c r="W85" s="110"/>
      <c r="X85" s="110"/>
      <c r="Y85" s="110"/>
      <c r="Z85" s="110"/>
      <c r="AA85" s="110"/>
    </row>
    <row r="86" spans="1:27" x14ac:dyDescent="0.15">
      <c r="A86" s="110" t="s">
        <v>2761</v>
      </c>
      <c r="B86" s="111" t="s">
        <v>47</v>
      </c>
      <c r="C86" s="110"/>
      <c r="D86" s="111">
        <v>3</v>
      </c>
      <c r="E86" s="15">
        <v>160339</v>
      </c>
      <c r="F86" s="16">
        <v>523050120</v>
      </c>
      <c r="G86" s="133" t="s">
        <v>92</v>
      </c>
      <c r="H86" s="111">
        <v>895</v>
      </c>
      <c r="I86" s="117">
        <v>11255</v>
      </c>
      <c r="J86" s="117">
        <v>92</v>
      </c>
      <c r="K86" s="117">
        <f>2843.72+1279.72</f>
        <v>4123.4399999999996</v>
      </c>
      <c r="L86" s="117">
        <v>4019.86</v>
      </c>
      <c r="M86" s="117">
        <v>928.32</v>
      </c>
      <c r="N86" s="117"/>
      <c r="O86" s="7">
        <f>SUM(K86:N86)</f>
        <v>9071.619999999999</v>
      </c>
      <c r="P86" s="117">
        <f>I86-O86</f>
        <v>2183.380000000001</v>
      </c>
      <c r="Q86" s="123">
        <f>M86/I86</f>
        <v>8.2480675255442032E-2</v>
      </c>
      <c r="R86" s="123">
        <f>P86/I86</f>
        <v>0.19399200355397611</v>
      </c>
      <c r="S86" s="123">
        <f t="shared" si="48"/>
        <v>0.55000000000000004</v>
      </c>
      <c r="T86" s="117"/>
      <c r="U86" s="118">
        <f t="shared" si="45"/>
        <v>44.819999999999993</v>
      </c>
      <c r="V86" s="110"/>
      <c r="W86" s="110"/>
      <c r="X86" s="110"/>
      <c r="Y86" s="110"/>
      <c r="Z86" s="110"/>
      <c r="AA86" s="110"/>
    </row>
    <row r="87" spans="1:27" x14ac:dyDescent="0.15">
      <c r="A87" s="110" t="s">
        <v>2761</v>
      </c>
      <c r="B87" s="111" t="s">
        <v>99</v>
      </c>
      <c r="C87" s="110"/>
      <c r="D87" s="111">
        <v>3</v>
      </c>
      <c r="E87" s="15">
        <v>160339</v>
      </c>
      <c r="F87" s="17">
        <v>626620120</v>
      </c>
      <c r="G87" s="133" t="s">
        <v>100</v>
      </c>
      <c r="H87" s="111">
        <v>896</v>
      </c>
      <c r="I87" s="117">
        <v>6155</v>
      </c>
      <c r="J87" s="117">
        <v>16</v>
      </c>
      <c r="K87" s="117">
        <f>628.48+282.88</f>
        <v>911.36</v>
      </c>
      <c r="L87" s="117">
        <v>892.56</v>
      </c>
      <c r="M87" s="117">
        <v>2203.89</v>
      </c>
      <c r="N87" s="117"/>
      <c r="O87" s="7">
        <f>SUM(K87:N87)</f>
        <v>4007.81</v>
      </c>
      <c r="P87" s="117">
        <f>I87-O87</f>
        <v>2147.19</v>
      </c>
      <c r="Q87" s="123">
        <f>M87/I87</f>
        <v>0.35806498781478469</v>
      </c>
      <c r="R87" s="123">
        <f>P87/I87</f>
        <v>0.34885296506904956</v>
      </c>
      <c r="S87" s="123">
        <f>1-0.529</f>
        <v>0.47099999999999997</v>
      </c>
      <c r="T87" s="117"/>
      <c r="U87" s="118">
        <f t="shared" si="45"/>
        <v>56.96</v>
      </c>
      <c r="V87" s="110"/>
      <c r="W87" s="110"/>
      <c r="X87" s="110"/>
      <c r="Y87" s="110"/>
      <c r="Z87" s="110"/>
      <c r="AA87" s="110"/>
    </row>
    <row r="88" spans="1:27" x14ac:dyDescent="0.15">
      <c r="A88" s="110" t="s">
        <v>53</v>
      </c>
      <c r="B88" s="111"/>
      <c r="C88" s="110"/>
      <c r="D88" s="111"/>
      <c r="E88" s="15"/>
      <c r="F88" s="111"/>
      <c r="G88" s="133"/>
      <c r="H88" s="111"/>
      <c r="I88" s="117"/>
      <c r="J88" s="117"/>
      <c r="K88" s="117"/>
      <c r="L88" s="117"/>
      <c r="M88" s="117"/>
      <c r="N88" s="117"/>
      <c r="P88" s="117"/>
      <c r="Q88" s="123"/>
      <c r="R88" s="123"/>
      <c r="S88" s="123"/>
      <c r="T88" s="117"/>
      <c r="U88" s="118" t="str">
        <f t="shared" si="45"/>
        <v/>
      </c>
      <c r="V88" s="110"/>
      <c r="W88" s="110"/>
      <c r="X88" s="110"/>
      <c r="Y88" s="110"/>
      <c r="Z88" s="110"/>
      <c r="AA88" s="110"/>
    </row>
    <row r="89" spans="1:27" x14ac:dyDescent="0.15">
      <c r="A89" s="110" t="s">
        <v>53</v>
      </c>
      <c r="B89" s="111"/>
      <c r="C89" s="110"/>
      <c r="D89" s="111"/>
      <c r="E89" s="15"/>
      <c r="F89" s="111"/>
      <c r="G89" s="133"/>
      <c r="H89" s="111"/>
      <c r="I89" s="117"/>
      <c r="J89" s="117"/>
      <c r="K89" s="117"/>
      <c r="L89" s="117"/>
      <c r="M89" s="117"/>
      <c r="N89" s="117"/>
      <c r="P89" s="117"/>
      <c r="Q89" s="123"/>
      <c r="R89" s="123"/>
      <c r="S89" s="123"/>
      <c r="T89" s="117"/>
      <c r="U89" s="118" t="str">
        <f t="shared" si="45"/>
        <v/>
      </c>
      <c r="V89" s="110"/>
      <c r="W89" s="110"/>
      <c r="X89" s="110"/>
      <c r="Y89" s="110"/>
      <c r="Z89" s="110"/>
      <c r="AA89" s="110"/>
    </row>
    <row r="90" spans="1:27" x14ac:dyDescent="0.15">
      <c r="A90" s="110" t="s">
        <v>2761</v>
      </c>
      <c r="B90" s="111" t="s">
        <v>54</v>
      </c>
      <c r="C90" s="110"/>
      <c r="D90" s="111"/>
      <c r="E90" s="15"/>
      <c r="F90" s="111"/>
      <c r="G90" s="133"/>
      <c r="H90" s="111"/>
      <c r="I90" s="25">
        <f>SUM(I84:I89)</f>
        <v>44183</v>
      </c>
      <c r="J90" s="25">
        <f>SUM(J84:J88)</f>
        <v>162</v>
      </c>
      <c r="K90" s="25">
        <f>SUM(K84:K88)</f>
        <v>7015.5599999999995</v>
      </c>
      <c r="L90" s="25">
        <f>SUM(L84:L88)</f>
        <v>4912.42</v>
      </c>
      <c r="M90" s="25">
        <f>SUM(M84:M88)</f>
        <v>31642.57</v>
      </c>
      <c r="N90" s="117"/>
      <c r="O90" s="25">
        <f>SUM(O84:O89)</f>
        <v>43570.549999999996</v>
      </c>
      <c r="P90" s="117">
        <f>I90-O90</f>
        <v>612.45000000000437</v>
      </c>
      <c r="Q90" s="123">
        <f>M90/I90</f>
        <v>0.71617069913767739</v>
      </c>
      <c r="R90" s="123">
        <f>P90/I90</f>
        <v>1.3861666251725876E-2</v>
      </c>
      <c r="S90" s="123">
        <f>((I84*S84)+(I85*S85))/I90</f>
        <v>0.33327637326573573</v>
      </c>
      <c r="T90" s="117"/>
      <c r="U90" s="118">
        <f t="shared" si="45"/>
        <v>43.305925925925919</v>
      </c>
      <c r="V90" s="110"/>
      <c r="W90" s="110"/>
      <c r="X90" s="110"/>
      <c r="Y90" s="110"/>
      <c r="Z90" s="110"/>
      <c r="AA90" s="110"/>
    </row>
    <row r="91" spans="1:27" x14ac:dyDescent="0.15">
      <c r="A91" s="110" t="s">
        <v>2761</v>
      </c>
      <c r="B91" s="111" t="s">
        <v>55</v>
      </c>
      <c r="C91" s="110"/>
      <c r="D91" s="111"/>
      <c r="E91" s="15">
        <v>160339</v>
      </c>
      <c r="F91" s="111" t="s">
        <v>56</v>
      </c>
      <c r="G91" s="133" t="s">
        <v>57</v>
      </c>
      <c r="H91" s="111">
        <v>897</v>
      </c>
      <c r="I91" s="117">
        <v>4000</v>
      </c>
      <c r="J91" s="117">
        <v>4</v>
      </c>
      <c r="K91" s="117">
        <f>110+49.52</f>
        <v>159.52000000000001</v>
      </c>
      <c r="L91" s="117">
        <v>269.64999999999998</v>
      </c>
      <c r="M91" s="117">
        <v>4082.94</v>
      </c>
      <c r="N91" s="117"/>
      <c r="O91" s="7">
        <f>SUM(K91:M91)</f>
        <v>4512.1099999999997</v>
      </c>
      <c r="P91" s="117">
        <f>I91-O91</f>
        <v>-512.10999999999967</v>
      </c>
      <c r="Q91" s="123">
        <f>M91/I91</f>
        <v>1.0207349999999999</v>
      </c>
      <c r="R91" s="123">
        <f>P91/I91</f>
        <v>-0.12802749999999991</v>
      </c>
      <c r="S91" s="123">
        <v>0</v>
      </c>
      <c r="T91" s="117"/>
      <c r="U91" s="118">
        <f t="shared" si="45"/>
        <v>39.880000000000003</v>
      </c>
      <c r="V91" s="110"/>
      <c r="W91" s="110"/>
      <c r="X91" s="110"/>
      <c r="Y91" s="110"/>
      <c r="Z91" s="110"/>
      <c r="AA91" s="110"/>
    </row>
    <row r="92" spans="1:27" x14ac:dyDescent="0.15">
      <c r="A92" s="110" t="s">
        <v>2761</v>
      </c>
      <c r="B92" s="111" t="s">
        <v>58</v>
      </c>
      <c r="C92" s="110"/>
      <c r="D92" s="111"/>
      <c r="E92" s="15">
        <v>160339</v>
      </c>
      <c r="F92" s="17" t="s">
        <v>101</v>
      </c>
      <c r="G92" s="133" t="s">
        <v>2762</v>
      </c>
      <c r="H92" s="111"/>
      <c r="I92" s="117">
        <v>13907</v>
      </c>
      <c r="J92" s="117"/>
      <c r="K92" s="117"/>
      <c r="L92" s="117"/>
      <c r="M92" s="117"/>
      <c r="N92" s="117"/>
      <c r="P92" s="117"/>
      <c r="Q92" s="123"/>
      <c r="R92" s="123"/>
      <c r="S92" s="123"/>
      <c r="T92" s="117"/>
      <c r="U92" s="118" t="str">
        <f t="shared" si="45"/>
        <v/>
      </c>
      <c r="V92" s="110"/>
      <c r="W92" s="110"/>
      <c r="X92" s="110"/>
      <c r="Y92" s="110"/>
      <c r="Z92" s="110"/>
      <c r="AA92" s="110"/>
    </row>
    <row r="93" spans="1:27" x14ac:dyDescent="0.15">
      <c r="A93" s="110" t="s">
        <v>2761</v>
      </c>
      <c r="B93" s="111" t="s">
        <v>58</v>
      </c>
      <c r="C93" s="110"/>
      <c r="D93" s="111"/>
      <c r="E93" s="15">
        <v>160339</v>
      </c>
      <c r="F93" s="17" t="s">
        <v>103</v>
      </c>
      <c r="G93" s="133" t="s">
        <v>104</v>
      </c>
      <c r="H93" s="111"/>
      <c r="I93" s="117">
        <v>9979</v>
      </c>
      <c r="J93" s="117"/>
      <c r="K93" s="117"/>
      <c r="L93" s="117"/>
      <c r="M93" s="117"/>
      <c r="N93" s="117"/>
      <c r="P93" s="117"/>
      <c r="Q93" s="123"/>
      <c r="R93" s="123"/>
      <c r="S93" s="123"/>
      <c r="T93" s="117"/>
      <c r="U93" s="118" t="str">
        <f t="shared" si="45"/>
        <v/>
      </c>
      <c r="V93" s="110"/>
      <c r="W93" s="110"/>
      <c r="X93" s="110"/>
      <c r="Y93" s="110"/>
      <c r="Z93" s="110"/>
      <c r="AA93" s="110"/>
    </row>
    <row r="94" spans="1:27" x14ac:dyDescent="0.15">
      <c r="A94" s="110" t="s">
        <v>2761</v>
      </c>
      <c r="B94" s="111" t="s">
        <v>58</v>
      </c>
      <c r="C94" s="110"/>
      <c r="D94" s="111"/>
      <c r="E94" s="15">
        <v>160339</v>
      </c>
      <c r="F94" s="17" t="s">
        <v>103</v>
      </c>
      <c r="G94" s="133" t="s">
        <v>105</v>
      </c>
      <c r="H94" s="111"/>
      <c r="I94" s="117">
        <v>10977</v>
      </c>
      <c r="J94" s="117"/>
      <c r="K94" s="117"/>
      <c r="L94" s="117"/>
      <c r="M94" s="117"/>
      <c r="N94" s="117"/>
      <c r="P94" s="117"/>
      <c r="Q94" s="123"/>
      <c r="R94" s="123"/>
      <c r="S94" s="123"/>
      <c r="T94" s="117"/>
      <c r="U94" s="118" t="str">
        <f t="shared" si="45"/>
        <v/>
      </c>
      <c r="V94" s="110"/>
      <c r="W94" s="110"/>
      <c r="X94" s="110"/>
      <c r="Y94" s="110"/>
      <c r="Z94" s="110"/>
      <c r="AA94" s="110"/>
    </row>
    <row r="95" spans="1:27" x14ac:dyDescent="0.15">
      <c r="A95" s="110"/>
      <c r="B95" s="111"/>
      <c r="C95" s="110"/>
      <c r="D95" s="111"/>
      <c r="E95" s="15"/>
      <c r="F95" s="111"/>
      <c r="G95" s="133"/>
      <c r="H95" s="111"/>
      <c r="I95" s="117"/>
      <c r="J95" s="117"/>
      <c r="K95" s="117"/>
      <c r="L95" s="117"/>
      <c r="M95" s="117"/>
      <c r="N95" s="117"/>
      <c r="P95" s="117"/>
      <c r="Q95" s="123"/>
      <c r="R95" s="123"/>
      <c r="S95" s="123"/>
      <c r="T95" s="117"/>
      <c r="U95" s="118" t="str">
        <f t="shared" si="45"/>
        <v/>
      </c>
      <c r="V95" s="110"/>
      <c r="W95" s="110"/>
      <c r="X95" s="110"/>
      <c r="Y95" s="110"/>
      <c r="Z95" s="110"/>
      <c r="AA95" s="110"/>
    </row>
    <row r="96" spans="1:27" x14ac:dyDescent="0.15">
      <c r="A96" s="110" t="s">
        <v>2761</v>
      </c>
      <c r="B96" s="111"/>
      <c r="C96" s="110"/>
      <c r="D96" s="111"/>
      <c r="E96" s="111"/>
      <c r="F96" s="111"/>
      <c r="G96" s="133" t="s">
        <v>106</v>
      </c>
      <c r="H96" s="111"/>
      <c r="I96" s="117">
        <v>6228.46</v>
      </c>
      <c r="J96" s="117"/>
      <c r="K96" s="117"/>
      <c r="L96" s="117"/>
      <c r="M96" s="117"/>
      <c r="N96" s="117"/>
      <c r="P96" s="117"/>
      <c r="Q96" s="123"/>
      <c r="R96" s="123"/>
      <c r="S96" s="123"/>
      <c r="T96" s="117"/>
      <c r="U96" s="118" t="str">
        <f t="shared" si="45"/>
        <v/>
      </c>
      <c r="V96" s="110"/>
      <c r="W96" s="110"/>
      <c r="X96" s="110"/>
      <c r="Y96" s="110"/>
      <c r="Z96" s="110"/>
      <c r="AA96" s="110"/>
    </row>
    <row r="97" spans="1:27" x14ac:dyDescent="0.15">
      <c r="A97" s="110" t="s">
        <v>2761</v>
      </c>
      <c r="B97" s="111" t="s">
        <v>65</v>
      </c>
      <c r="C97" s="110"/>
      <c r="D97" s="111"/>
      <c r="E97" s="111"/>
      <c r="F97" s="111"/>
      <c r="G97" s="133"/>
      <c r="H97" s="111"/>
      <c r="I97" s="25">
        <f>SUM(I90:I96)</f>
        <v>89274.46</v>
      </c>
      <c r="J97" s="25">
        <f t="shared" ref="J97:M97" si="49">SUM(J90:J96)</f>
        <v>166</v>
      </c>
      <c r="K97" s="25">
        <f t="shared" si="49"/>
        <v>7175.08</v>
      </c>
      <c r="L97" s="25">
        <f t="shared" si="49"/>
        <v>5182.07</v>
      </c>
      <c r="M97" s="25">
        <f t="shared" si="49"/>
        <v>35725.51</v>
      </c>
      <c r="N97" s="117"/>
      <c r="O97" s="25">
        <f>SUM(K97:M97)</f>
        <v>48082.66</v>
      </c>
      <c r="P97" s="117">
        <f>I97-O97</f>
        <v>41191.800000000003</v>
      </c>
      <c r="Q97" s="123">
        <f>M97/I97</f>
        <v>0.40017615340378421</v>
      </c>
      <c r="R97" s="123">
        <f>P97/I97</f>
        <v>0.46140631934374066</v>
      </c>
      <c r="S97" s="123"/>
      <c r="T97" s="117"/>
      <c r="U97" s="118">
        <f t="shared" si="45"/>
        <v>43.223373493975906</v>
      </c>
      <c r="V97" s="110"/>
      <c r="W97" s="110"/>
      <c r="X97" s="110"/>
      <c r="Y97" s="110"/>
      <c r="Z97" s="110"/>
      <c r="AA97" s="110"/>
    </row>
    <row r="98" spans="1:27" x14ac:dyDescent="0.15">
      <c r="A98" s="110" t="s">
        <v>2761</v>
      </c>
      <c r="B98" s="111" t="s">
        <v>66</v>
      </c>
      <c r="C98" s="110"/>
      <c r="D98" s="111"/>
      <c r="E98" s="111"/>
      <c r="F98" s="111"/>
      <c r="G98" s="133"/>
      <c r="H98" s="111"/>
      <c r="I98" s="117">
        <f>I84+I85</f>
        <v>26773</v>
      </c>
      <c r="J98" s="117">
        <f>J84+J85</f>
        <v>54</v>
      </c>
      <c r="K98" s="117">
        <f t="shared" ref="K98:M98" si="50">K84+K85</f>
        <v>1980.76</v>
      </c>
      <c r="L98" s="117">
        <f t="shared" si="50"/>
        <v>0</v>
      </c>
      <c r="M98" s="117">
        <f t="shared" si="50"/>
        <v>28510.36</v>
      </c>
      <c r="N98" s="117"/>
      <c r="O98" s="7">
        <f>O84+O85</f>
        <v>30491.119999999999</v>
      </c>
      <c r="P98" s="117">
        <f>I98-O98</f>
        <v>-3718.119999999999</v>
      </c>
      <c r="Q98" s="123">
        <f>M98/I98</f>
        <v>1.0648922421842901</v>
      </c>
      <c r="R98" s="123">
        <f>P98/I98</f>
        <v>-0.13887573301460424</v>
      </c>
      <c r="S98" s="123">
        <f>((I84*S84)+(I85*S85))/I98</f>
        <v>0.55000000000000004</v>
      </c>
      <c r="T98" s="117"/>
      <c r="U98" s="118">
        <f t="shared" si="45"/>
        <v>36.680740740740738</v>
      </c>
      <c r="V98" s="110"/>
      <c r="W98" s="110"/>
      <c r="X98" s="110"/>
      <c r="Y98" s="110"/>
      <c r="Z98" s="110"/>
      <c r="AA98" s="110"/>
    </row>
    <row r="99" spans="1:27" x14ac:dyDescent="0.15">
      <c r="A99" s="124" t="s">
        <v>53</v>
      </c>
      <c r="B99" s="124"/>
      <c r="C99" s="124"/>
      <c r="D99" s="124"/>
      <c r="E99" s="124"/>
      <c r="F99" s="124"/>
      <c r="G99" s="186"/>
      <c r="H99" s="124"/>
      <c r="I99" s="126"/>
      <c r="J99" s="126"/>
      <c r="K99" s="126"/>
      <c r="L99" s="126"/>
      <c r="M99" s="126"/>
      <c r="N99" s="126"/>
      <c r="O99" s="18"/>
      <c r="P99" s="126"/>
      <c r="Q99" s="187"/>
      <c r="R99" s="187"/>
      <c r="S99" s="187"/>
      <c r="T99" s="126"/>
      <c r="U99" s="127"/>
      <c r="V99" s="130"/>
      <c r="W99" s="130"/>
      <c r="X99" s="130"/>
      <c r="Y99" s="110"/>
      <c r="Z99" s="130"/>
      <c r="AA99" s="130"/>
    </row>
    <row r="100" spans="1:27" x14ac:dyDescent="0.15">
      <c r="A100" s="110" t="s">
        <v>2763</v>
      </c>
      <c r="B100" s="111" t="s">
        <v>37</v>
      </c>
      <c r="C100" s="110"/>
      <c r="D100" s="111">
        <v>7</v>
      </c>
      <c r="E100" s="15">
        <v>160994</v>
      </c>
      <c r="F100" s="16">
        <v>110010210</v>
      </c>
      <c r="G100" s="133" t="s">
        <v>108</v>
      </c>
      <c r="H100" s="111">
        <v>978</v>
      </c>
      <c r="I100" s="117">
        <v>15796</v>
      </c>
      <c r="J100" s="117">
        <f>12.5+11.5+4+2</f>
        <v>30</v>
      </c>
      <c r="K100" s="117">
        <f>779.4+350.79</f>
        <v>1130.19</v>
      </c>
      <c r="L100" s="117">
        <v>0</v>
      </c>
      <c r="M100" s="117">
        <v>7294.14</v>
      </c>
      <c r="N100" s="117"/>
      <c r="O100" s="7">
        <f>SUM(K100:N100)</f>
        <v>8424.33</v>
      </c>
      <c r="P100" s="117">
        <f>I100-O100</f>
        <v>7371.67</v>
      </c>
      <c r="Q100" s="123">
        <f>M100/I100</f>
        <v>0.46177133451506713</v>
      </c>
      <c r="R100" s="123">
        <f>P100/I100</f>
        <v>0.46667953912382881</v>
      </c>
      <c r="S100" s="123">
        <f t="shared" ref="S100:S102" si="51">1-0.45</f>
        <v>0.55000000000000004</v>
      </c>
      <c r="T100" s="117"/>
      <c r="U100" s="118">
        <f t="shared" si="45"/>
        <v>37.673000000000002</v>
      </c>
      <c r="V100" s="110"/>
      <c r="W100" s="110"/>
      <c r="X100" s="110"/>
      <c r="Y100" s="110"/>
      <c r="Z100" s="110"/>
      <c r="AA100" s="110"/>
    </row>
    <row r="101" spans="1:27" x14ac:dyDescent="0.15">
      <c r="A101" s="110" t="s">
        <v>2763</v>
      </c>
      <c r="B101" s="111" t="s">
        <v>37</v>
      </c>
      <c r="C101" s="110"/>
      <c r="D101" s="111">
        <v>7</v>
      </c>
      <c r="E101" s="15">
        <v>160994</v>
      </c>
      <c r="F101" s="16">
        <v>220100210</v>
      </c>
      <c r="G101" s="133" t="s">
        <v>74</v>
      </c>
      <c r="H101" s="111">
        <v>979</v>
      </c>
      <c r="I101" s="117">
        <v>5999</v>
      </c>
      <c r="J101" s="117">
        <v>3</v>
      </c>
      <c r="K101" s="117">
        <f>81.12+36.51</f>
        <v>117.63</v>
      </c>
      <c r="L101" s="117"/>
      <c r="M101" s="117">
        <v>7800.67</v>
      </c>
      <c r="N101" s="117"/>
      <c r="O101" s="7">
        <f>SUM(K101:N101)</f>
        <v>7918.3</v>
      </c>
      <c r="P101" s="117">
        <f>I101-O101</f>
        <v>-1919.3000000000002</v>
      </c>
      <c r="Q101" s="123">
        <f>M101/I101</f>
        <v>1.3003283880646774</v>
      </c>
      <c r="R101" s="123">
        <f>P101/I101</f>
        <v>-0.31993665610935157</v>
      </c>
      <c r="S101" s="123">
        <f t="shared" si="51"/>
        <v>0.55000000000000004</v>
      </c>
      <c r="T101" s="117"/>
      <c r="U101" s="118">
        <f t="shared" si="45"/>
        <v>39.21</v>
      </c>
      <c r="V101" s="110"/>
      <c r="W101" s="110"/>
      <c r="X101" s="110"/>
      <c r="Y101" s="110"/>
      <c r="Z101" s="110"/>
      <c r="AA101" s="110"/>
    </row>
    <row r="102" spans="1:27" x14ac:dyDescent="0.15">
      <c r="A102" s="110" t="s">
        <v>2763</v>
      </c>
      <c r="B102" s="111" t="s">
        <v>47</v>
      </c>
      <c r="C102" s="110"/>
      <c r="D102" s="111">
        <v>7</v>
      </c>
      <c r="E102" s="15">
        <v>160994</v>
      </c>
      <c r="F102" s="16">
        <v>510010110</v>
      </c>
      <c r="G102" s="133" t="s">
        <v>92</v>
      </c>
      <c r="H102" s="111">
        <v>980</v>
      </c>
      <c r="I102" s="117">
        <v>4995</v>
      </c>
      <c r="J102" s="117">
        <v>32</v>
      </c>
      <c r="K102" s="117">
        <f>989.12+445.12</f>
        <v>1434.24</v>
      </c>
      <c r="L102" s="117">
        <v>1438.81</v>
      </c>
      <c r="M102" s="117"/>
      <c r="N102" s="117"/>
      <c r="O102" s="7">
        <f>SUM(K102:N102)</f>
        <v>2873.05</v>
      </c>
      <c r="P102" s="117">
        <f>I102-O102</f>
        <v>2121.9499999999998</v>
      </c>
      <c r="Q102" s="123">
        <f>M102/I102</f>
        <v>0</v>
      </c>
      <c r="R102" s="123">
        <f>P102/I102</f>
        <v>0.42481481481481476</v>
      </c>
      <c r="S102" s="123">
        <f t="shared" si="51"/>
        <v>0.55000000000000004</v>
      </c>
      <c r="T102" s="117"/>
      <c r="U102" s="118">
        <f t="shared" si="45"/>
        <v>44.82</v>
      </c>
      <c r="V102" s="110"/>
      <c r="W102" s="110"/>
      <c r="X102" s="110"/>
      <c r="Y102" s="110"/>
      <c r="Z102" s="110"/>
      <c r="AA102" s="110"/>
    </row>
    <row r="103" spans="1:27" x14ac:dyDescent="0.15">
      <c r="A103" s="110" t="s">
        <v>53</v>
      </c>
      <c r="B103" s="111"/>
      <c r="C103" s="110"/>
      <c r="D103" s="111"/>
      <c r="E103" s="15"/>
      <c r="F103" s="111"/>
      <c r="G103" s="133"/>
      <c r="H103" s="111"/>
      <c r="I103" s="117"/>
      <c r="J103" s="117"/>
      <c r="K103" s="117"/>
      <c r="L103" s="117"/>
      <c r="M103" s="117"/>
      <c r="N103" s="117"/>
      <c r="P103" s="117"/>
      <c r="Q103" s="123"/>
      <c r="R103" s="123"/>
      <c r="S103" s="123"/>
      <c r="T103" s="117"/>
      <c r="U103" s="118" t="str">
        <f t="shared" si="45"/>
        <v/>
      </c>
      <c r="V103" s="110"/>
      <c r="W103" s="110"/>
      <c r="X103" s="110"/>
      <c r="Y103" s="110"/>
      <c r="Z103" s="110"/>
      <c r="AA103" s="110"/>
    </row>
    <row r="104" spans="1:27" x14ac:dyDescent="0.15">
      <c r="A104" s="110" t="s">
        <v>2763</v>
      </c>
      <c r="B104" s="111" t="s">
        <v>54</v>
      </c>
      <c r="C104" s="110"/>
      <c r="D104" s="111"/>
      <c r="E104" s="15"/>
      <c r="F104" s="111"/>
      <c r="G104" s="133"/>
      <c r="H104" s="111"/>
      <c r="I104" s="24">
        <f>SUM(I100:I103)</f>
        <v>26790</v>
      </c>
      <c r="J104" s="24">
        <f>SUM(J100:J103)</f>
        <v>65</v>
      </c>
      <c r="K104" s="24">
        <f>SUM(K100:K103)</f>
        <v>2682.0600000000004</v>
      </c>
      <c r="L104" s="24">
        <f>SUM(L100:L103)</f>
        <v>1438.81</v>
      </c>
      <c r="M104" s="24">
        <f>SUM(M100:M103)</f>
        <v>15094.810000000001</v>
      </c>
      <c r="N104" s="117"/>
      <c r="O104" s="25">
        <f>SUM(O100:O103)</f>
        <v>19215.68</v>
      </c>
      <c r="P104" s="117">
        <f>I104-O104</f>
        <v>7574.32</v>
      </c>
      <c r="Q104" s="123">
        <f>M104/I104</f>
        <v>0.56344942142590526</v>
      </c>
      <c r="R104" s="123">
        <f>P104/I104</f>
        <v>0.28272937663307202</v>
      </c>
      <c r="S104" s="123">
        <f>((I100*S100)+(I101*S101))/I104</f>
        <v>0.44745240761478172</v>
      </c>
      <c r="T104" s="117"/>
      <c r="U104" s="118">
        <f t="shared" si="45"/>
        <v>41.262461538461544</v>
      </c>
      <c r="V104" s="110"/>
      <c r="W104" s="110"/>
      <c r="X104" s="110"/>
      <c r="Y104" s="110"/>
      <c r="Z104" s="110"/>
      <c r="AA104" s="110"/>
    </row>
    <row r="105" spans="1:27" x14ac:dyDescent="0.15">
      <c r="A105" s="110" t="s">
        <v>2763</v>
      </c>
      <c r="B105" s="111" t="s">
        <v>55</v>
      </c>
      <c r="C105" s="110"/>
      <c r="D105" s="111"/>
      <c r="E105" s="15">
        <v>160994</v>
      </c>
      <c r="F105" s="111" t="s">
        <v>56</v>
      </c>
      <c r="G105" s="133" t="s">
        <v>57</v>
      </c>
      <c r="H105" s="111">
        <v>981</v>
      </c>
      <c r="I105" s="117">
        <v>1000</v>
      </c>
      <c r="J105" s="117">
        <v>5.5</v>
      </c>
      <c r="K105" s="117">
        <f>151.25+68.09</f>
        <v>219.34</v>
      </c>
      <c r="L105" s="117">
        <v>776.4</v>
      </c>
      <c r="M105" s="117"/>
      <c r="N105" s="117"/>
      <c r="O105" s="7">
        <f>SUM(K105:M105)</f>
        <v>995.74</v>
      </c>
      <c r="P105" s="117">
        <f>I105-O105</f>
        <v>4.2599999999999909</v>
      </c>
      <c r="Q105" s="123">
        <f>M105/I105</f>
        <v>0</v>
      </c>
      <c r="R105" s="123">
        <f>P105/I105</f>
        <v>4.2599999999999912E-3</v>
      </c>
      <c r="S105" s="123">
        <v>0</v>
      </c>
      <c r="T105" s="117"/>
      <c r="U105" s="118">
        <f t="shared" si="45"/>
        <v>39.880000000000003</v>
      </c>
      <c r="V105" s="110"/>
      <c r="W105" s="110"/>
      <c r="X105" s="110"/>
      <c r="Y105" s="110"/>
      <c r="Z105" s="110"/>
      <c r="AA105" s="110"/>
    </row>
    <row r="106" spans="1:27" x14ac:dyDescent="0.15">
      <c r="A106" s="110"/>
      <c r="B106" s="111"/>
      <c r="C106" s="110"/>
      <c r="D106" s="111"/>
      <c r="E106" s="15"/>
      <c r="F106" s="111"/>
      <c r="G106" s="133"/>
      <c r="H106" s="111"/>
      <c r="I106" s="117"/>
      <c r="J106" s="117"/>
      <c r="K106" s="117"/>
      <c r="L106" s="117"/>
      <c r="M106" s="117"/>
      <c r="N106" s="117"/>
      <c r="P106" s="117"/>
      <c r="Q106" s="123"/>
      <c r="R106" s="123"/>
      <c r="S106" s="123"/>
      <c r="T106" s="117"/>
      <c r="U106" s="118"/>
      <c r="V106" s="110"/>
      <c r="W106" s="110"/>
      <c r="X106" s="110"/>
      <c r="Y106" s="110"/>
      <c r="Z106" s="110"/>
      <c r="AA106" s="110"/>
    </row>
    <row r="107" spans="1:27" x14ac:dyDescent="0.15">
      <c r="A107" s="110" t="s">
        <v>2763</v>
      </c>
      <c r="B107" s="111" t="s">
        <v>65</v>
      </c>
      <c r="C107" s="110"/>
      <c r="D107" s="111"/>
      <c r="E107" s="111"/>
      <c r="F107" s="111"/>
      <c r="G107" s="133"/>
      <c r="H107" s="111"/>
      <c r="I107" s="25">
        <f>SUM(I104:I105)</f>
        <v>27790</v>
      </c>
      <c r="J107" s="25">
        <f t="shared" ref="J107:M107" si="52">SUM(J104:J105)</f>
        <v>70.5</v>
      </c>
      <c r="K107" s="25">
        <f t="shared" si="52"/>
        <v>2901.4000000000005</v>
      </c>
      <c r="L107" s="25">
        <f t="shared" si="52"/>
        <v>2215.21</v>
      </c>
      <c r="M107" s="25">
        <f t="shared" si="52"/>
        <v>15094.810000000001</v>
      </c>
      <c r="N107" s="117"/>
      <c r="O107" s="25">
        <f>SUM(K107:M107)</f>
        <v>20211.420000000002</v>
      </c>
      <c r="P107" s="117">
        <f>I107-O107</f>
        <v>7578.5799999999981</v>
      </c>
      <c r="Q107" s="123">
        <f>M107/I107</f>
        <v>0.54317416336811808</v>
      </c>
      <c r="R107" s="123">
        <f>P107/I107</f>
        <v>0.27270888808924065</v>
      </c>
      <c r="S107" s="123"/>
      <c r="T107" s="117"/>
      <c r="U107" s="118">
        <f t="shared" si="45"/>
        <v>41.154609929078021</v>
      </c>
      <c r="V107" s="110"/>
      <c r="W107" s="110"/>
      <c r="X107" s="110"/>
      <c r="Y107" s="110"/>
      <c r="Z107" s="110"/>
      <c r="AA107" s="110"/>
    </row>
    <row r="108" spans="1:27" x14ac:dyDescent="0.15">
      <c r="A108" s="110" t="s">
        <v>2763</v>
      </c>
      <c r="B108" s="111" t="s">
        <v>66</v>
      </c>
      <c r="C108" s="110"/>
      <c r="D108" s="111"/>
      <c r="E108" s="111"/>
      <c r="F108" s="111"/>
      <c r="G108" s="133"/>
      <c r="H108" s="111"/>
      <c r="I108" s="117">
        <f>I100+I101</f>
        <v>21795</v>
      </c>
      <c r="J108" s="117">
        <f>J100+J101</f>
        <v>33</v>
      </c>
      <c r="K108" s="117">
        <f>K100+K101</f>
        <v>1247.8200000000002</v>
      </c>
      <c r="L108" s="117">
        <f>L100+L101</f>
        <v>0</v>
      </c>
      <c r="M108" s="117">
        <f>M100+M101</f>
        <v>15094.810000000001</v>
      </c>
      <c r="N108" s="117"/>
      <c r="O108" s="7">
        <f>O100+O101</f>
        <v>16342.630000000001</v>
      </c>
      <c r="P108" s="117">
        <f>I108-O108</f>
        <v>5452.369999999999</v>
      </c>
      <c r="Q108" s="123">
        <f>M108/I108</f>
        <v>0.69258132599220013</v>
      </c>
      <c r="R108" s="123">
        <f>P108/I108</f>
        <v>0.25016609314062854</v>
      </c>
      <c r="S108" s="123">
        <f>((I100*S100)+(I101*S101))/I108</f>
        <v>0.55000000000000004</v>
      </c>
      <c r="T108" s="117"/>
      <c r="U108" s="118">
        <f t="shared" si="45"/>
        <v>37.81272727272728</v>
      </c>
      <c r="V108" s="110"/>
      <c r="W108" s="110"/>
      <c r="X108" s="110"/>
      <c r="Y108" s="110"/>
      <c r="Z108" s="110"/>
      <c r="AA108" s="110"/>
    </row>
    <row r="109" spans="1:27" x14ac:dyDescent="0.15">
      <c r="A109" s="124" t="s">
        <v>53</v>
      </c>
      <c r="B109" s="124"/>
      <c r="C109" s="124"/>
      <c r="D109" s="124"/>
      <c r="E109" s="124"/>
      <c r="F109" s="124"/>
      <c r="G109" s="186"/>
      <c r="H109" s="124"/>
      <c r="I109" s="126"/>
      <c r="J109" s="126"/>
      <c r="K109" s="126"/>
      <c r="L109" s="126"/>
      <c r="M109" s="126"/>
      <c r="N109" s="126"/>
      <c r="O109" s="18"/>
      <c r="P109" s="126"/>
      <c r="Q109" s="187"/>
      <c r="R109" s="187"/>
      <c r="S109" s="187"/>
      <c r="T109" s="126"/>
      <c r="U109" s="127"/>
      <c r="V109" s="130"/>
      <c r="W109" s="130"/>
      <c r="X109" s="130"/>
      <c r="Y109" s="110"/>
      <c r="Z109" s="130"/>
      <c r="AA109" s="130"/>
    </row>
    <row r="110" spans="1:27" x14ac:dyDescent="0.15">
      <c r="A110" s="110" t="s">
        <v>2764</v>
      </c>
      <c r="B110" s="111" t="s">
        <v>37</v>
      </c>
      <c r="C110" s="110"/>
      <c r="D110" s="111">
        <v>7</v>
      </c>
      <c r="E110" s="15">
        <v>160988</v>
      </c>
      <c r="F110" s="16">
        <v>122050120</v>
      </c>
      <c r="G110" s="133" t="s">
        <v>110</v>
      </c>
      <c r="H110" s="111">
        <v>937</v>
      </c>
      <c r="I110" s="117">
        <v>64668</v>
      </c>
      <c r="J110" s="117">
        <f>39.5+35+4.5</f>
        <v>79</v>
      </c>
      <c r="K110" s="117">
        <f>2033.19+915.12</f>
        <v>2948.31</v>
      </c>
      <c r="L110" s="117"/>
      <c r="M110" s="117">
        <v>20549.23</v>
      </c>
      <c r="N110" s="117"/>
      <c r="O110" s="7">
        <f t="shared" ref="O110:O115" si="53">SUM(K110:N110)</f>
        <v>23497.54</v>
      </c>
      <c r="P110" s="117">
        <f t="shared" ref="P110:P115" si="54">I110-O110</f>
        <v>41170.46</v>
      </c>
      <c r="Q110" s="123">
        <f t="shared" ref="Q110:Q115" si="55">M110/I110</f>
        <v>0.31776504608152406</v>
      </c>
      <c r="R110" s="123">
        <f t="shared" ref="R110:R115" si="56">P110/I110</f>
        <v>0.63664347126863363</v>
      </c>
      <c r="S110" s="123">
        <f t="shared" ref="S110:S115" si="57">1-0.45</f>
        <v>0.55000000000000004</v>
      </c>
      <c r="T110" s="117"/>
      <c r="U110" s="118">
        <f t="shared" si="45"/>
        <v>37.320379746835442</v>
      </c>
      <c r="V110" s="110"/>
      <c r="W110" s="110"/>
      <c r="X110" s="110"/>
      <c r="Y110" s="110"/>
      <c r="Z110" s="110"/>
      <c r="AA110" s="110"/>
    </row>
    <row r="111" spans="1:27" x14ac:dyDescent="0.15">
      <c r="A111" s="110" t="s">
        <v>2764</v>
      </c>
      <c r="B111" s="111" t="s">
        <v>37</v>
      </c>
      <c r="C111" s="110"/>
      <c r="D111" s="111">
        <v>7</v>
      </c>
      <c r="E111" s="15">
        <v>160988</v>
      </c>
      <c r="F111" s="16">
        <v>318000100</v>
      </c>
      <c r="G111" s="133" t="s">
        <v>111</v>
      </c>
      <c r="H111" s="111">
        <v>938</v>
      </c>
      <c r="I111" s="117">
        <v>32644</v>
      </c>
      <c r="J111" s="117">
        <f>13+32.25</f>
        <v>45.25</v>
      </c>
      <c r="K111" s="117">
        <f>1126.81+507.18</f>
        <v>1633.99</v>
      </c>
      <c r="L111" s="117"/>
      <c r="M111" s="117">
        <v>12151.99</v>
      </c>
      <c r="N111" s="117"/>
      <c r="O111" s="7">
        <f t="shared" si="53"/>
        <v>13785.98</v>
      </c>
      <c r="P111" s="117">
        <f t="shared" si="54"/>
        <v>18858.02</v>
      </c>
      <c r="Q111" s="123">
        <f t="shared" si="55"/>
        <v>0.37225799534370785</v>
      </c>
      <c r="R111" s="123">
        <f t="shared" si="56"/>
        <v>0.57768717068986641</v>
      </c>
      <c r="S111" s="123">
        <f t="shared" si="57"/>
        <v>0.55000000000000004</v>
      </c>
      <c r="T111" s="117"/>
      <c r="U111" s="118">
        <f t="shared" si="45"/>
        <v>36.110276243093921</v>
      </c>
      <c r="V111" s="110"/>
      <c r="W111" s="110"/>
      <c r="X111" s="110"/>
      <c r="Y111" s="110"/>
      <c r="Z111" s="110"/>
      <c r="AA111" s="110"/>
    </row>
    <row r="112" spans="1:27" x14ac:dyDescent="0.15">
      <c r="A112" s="110" t="s">
        <v>2764</v>
      </c>
      <c r="B112" s="111" t="s">
        <v>37</v>
      </c>
      <c r="C112" s="110"/>
      <c r="D112" s="111">
        <v>7</v>
      </c>
      <c r="E112" s="15">
        <v>160988</v>
      </c>
      <c r="F112" s="16">
        <v>215000110</v>
      </c>
      <c r="G112" s="133" t="s">
        <v>75</v>
      </c>
      <c r="H112" s="111">
        <v>939</v>
      </c>
      <c r="I112" s="117">
        <v>13520</v>
      </c>
      <c r="J112" s="117">
        <f>0.5+3</f>
        <v>3.5</v>
      </c>
      <c r="K112" s="117">
        <f>83.3+37.5</f>
        <v>120.8</v>
      </c>
      <c r="L112" s="117"/>
      <c r="M112" s="117">
        <v>7902.99</v>
      </c>
      <c r="N112" s="117"/>
      <c r="O112" s="7">
        <f t="shared" si="53"/>
        <v>8023.79</v>
      </c>
      <c r="P112" s="117">
        <f t="shared" si="54"/>
        <v>5496.21</v>
      </c>
      <c r="Q112" s="123">
        <f t="shared" si="55"/>
        <v>0.58454068047337282</v>
      </c>
      <c r="R112" s="123">
        <f t="shared" si="56"/>
        <v>0.4065244082840237</v>
      </c>
      <c r="S112" s="123">
        <f t="shared" si="57"/>
        <v>0.55000000000000004</v>
      </c>
      <c r="T112" s="117"/>
      <c r="U112" s="118">
        <f t="shared" si="45"/>
        <v>34.514285714285712</v>
      </c>
      <c r="V112" s="110"/>
      <c r="W112" s="110"/>
      <c r="X112" s="110"/>
      <c r="Y112" s="110"/>
      <c r="Z112" s="110"/>
      <c r="AA112" s="110"/>
    </row>
    <row r="113" spans="1:27" x14ac:dyDescent="0.15">
      <c r="A113" s="110" t="s">
        <v>2764</v>
      </c>
      <c r="B113" s="111" t="s">
        <v>37</v>
      </c>
      <c r="C113" s="110"/>
      <c r="D113" s="111">
        <v>7</v>
      </c>
      <c r="E113" s="15">
        <v>160988</v>
      </c>
      <c r="F113" s="16">
        <v>512040120</v>
      </c>
      <c r="G113" s="133" t="s">
        <v>112</v>
      </c>
      <c r="H113" s="111">
        <v>941</v>
      </c>
      <c r="I113" s="117">
        <f>5000</f>
        <v>5000</v>
      </c>
      <c r="J113" s="117">
        <v>0</v>
      </c>
      <c r="K113" s="117">
        <v>0</v>
      </c>
      <c r="L113" s="117"/>
      <c r="M113" s="117">
        <v>0</v>
      </c>
      <c r="N113" s="117"/>
      <c r="O113" s="7">
        <f t="shared" si="53"/>
        <v>0</v>
      </c>
      <c r="P113" s="117">
        <f t="shared" si="54"/>
        <v>5000</v>
      </c>
      <c r="Q113" s="123">
        <f t="shared" si="55"/>
        <v>0</v>
      </c>
      <c r="R113" s="123">
        <f t="shared" si="56"/>
        <v>1</v>
      </c>
      <c r="S113" s="123">
        <f t="shared" si="57"/>
        <v>0.55000000000000004</v>
      </c>
      <c r="T113" s="117"/>
      <c r="U113" s="118" t="str">
        <f t="shared" si="45"/>
        <v/>
      </c>
      <c r="V113" s="110"/>
      <c r="W113" s="110"/>
      <c r="X113" s="110"/>
      <c r="Y113" s="110"/>
      <c r="Z113" s="110"/>
      <c r="AA113" s="110"/>
    </row>
    <row r="114" spans="1:27" x14ac:dyDescent="0.15">
      <c r="A114" s="110" t="s">
        <v>2764</v>
      </c>
      <c r="B114" s="111" t="s">
        <v>47</v>
      </c>
      <c r="C114" s="110"/>
      <c r="D114" s="111">
        <v>7</v>
      </c>
      <c r="E114" s="15">
        <v>160988</v>
      </c>
      <c r="F114" s="16">
        <v>512050120</v>
      </c>
      <c r="G114" s="133" t="s">
        <v>92</v>
      </c>
      <c r="H114" s="111">
        <v>942</v>
      </c>
      <c r="I114" s="117">
        <v>29918</v>
      </c>
      <c r="J114" s="117">
        <v>162</v>
      </c>
      <c r="K114" s="117">
        <f>5007.42+2253.42</f>
        <v>7260.84</v>
      </c>
      <c r="L114" s="117">
        <v>5193.16</v>
      </c>
      <c r="M114" s="117">
        <v>25327.09</v>
      </c>
      <c r="N114" s="117"/>
      <c r="O114" s="7">
        <f t="shared" si="53"/>
        <v>37781.089999999997</v>
      </c>
      <c r="P114" s="117">
        <f t="shared" si="54"/>
        <v>-7863.0899999999965</v>
      </c>
      <c r="Q114" s="123">
        <f t="shared" si="55"/>
        <v>0.84655023731532852</v>
      </c>
      <c r="R114" s="123">
        <f t="shared" si="56"/>
        <v>-0.26282137843438719</v>
      </c>
      <c r="S114" s="123">
        <f t="shared" si="57"/>
        <v>0.55000000000000004</v>
      </c>
      <c r="T114" s="117"/>
      <c r="U114" s="118">
        <f t="shared" si="45"/>
        <v>44.82</v>
      </c>
      <c r="V114" s="110"/>
      <c r="W114" s="110"/>
      <c r="X114" s="110"/>
      <c r="Y114" s="110"/>
      <c r="Z114" s="110"/>
      <c r="AA114" s="110"/>
    </row>
    <row r="115" spans="1:27" x14ac:dyDescent="0.15">
      <c r="A115" s="110" t="s">
        <v>2764</v>
      </c>
      <c r="B115" s="111" t="s">
        <v>37</v>
      </c>
      <c r="C115" s="110"/>
      <c r="D115" s="111">
        <v>7</v>
      </c>
      <c r="E115" s="15">
        <v>160988</v>
      </c>
      <c r="F115" s="16">
        <v>220100110</v>
      </c>
      <c r="G115" s="133" t="s">
        <v>74</v>
      </c>
      <c r="H115" s="111">
        <v>940</v>
      </c>
      <c r="I115" s="117">
        <v>6600</v>
      </c>
      <c r="J115" s="117">
        <f>0.5+2.5</f>
        <v>3</v>
      </c>
      <c r="K115" s="117">
        <f>71.67+32.27</f>
        <v>103.94</v>
      </c>
      <c r="L115" s="117"/>
      <c r="M115" s="117">
        <v>4662.1099999999997</v>
      </c>
      <c r="N115" s="117"/>
      <c r="O115" s="7">
        <f t="shared" si="53"/>
        <v>4766.0499999999993</v>
      </c>
      <c r="P115" s="117">
        <f t="shared" si="54"/>
        <v>1833.9500000000007</v>
      </c>
      <c r="Q115" s="123">
        <f t="shared" si="55"/>
        <v>0.70638030303030297</v>
      </c>
      <c r="R115" s="123">
        <f t="shared" si="56"/>
        <v>0.27787121212121224</v>
      </c>
      <c r="S115" s="123">
        <f t="shared" si="57"/>
        <v>0.55000000000000004</v>
      </c>
      <c r="T115" s="117"/>
      <c r="U115" s="118">
        <f t="shared" si="45"/>
        <v>34.646666666666668</v>
      </c>
      <c r="V115" s="110"/>
      <c r="W115" s="110"/>
      <c r="X115" s="110"/>
      <c r="Y115" s="110"/>
      <c r="Z115" s="110"/>
      <c r="AA115" s="110"/>
    </row>
    <row r="116" spans="1:27" x14ac:dyDescent="0.15">
      <c r="A116" s="110" t="s">
        <v>53</v>
      </c>
      <c r="B116" s="111"/>
      <c r="C116" s="110"/>
      <c r="D116" s="111"/>
      <c r="E116" s="15"/>
      <c r="F116" s="111"/>
      <c r="G116" s="133"/>
      <c r="H116" s="111"/>
      <c r="I116" s="117"/>
      <c r="J116" s="117"/>
      <c r="K116" s="117"/>
      <c r="L116" s="117"/>
      <c r="M116" s="117"/>
      <c r="N116" s="117"/>
      <c r="P116" s="117"/>
      <c r="Q116" s="123"/>
      <c r="R116" s="123"/>
      <c r="S116" s="123"/>
      <c r="T116" s="117"/>
      <c r="U116" s="118" t="str">
        <f t="shared" si="45"/>
        <v/>
      </c>
      <c r="V116" s="110"/>
      <c r="W116" s="110"/>
      <c r="X116" s="110"/>
      <c r="Y116" s="110"/>
      <c r="Z116" s="110"/>
      <c r="AA116" s="110"/>
    </row>
    <row r="117" spans="1:27" x14ac:dyDescent="0.15">
      <c r="A117" s="110" t="s">
        <v>2764</v>
      </c>
      <c r="B117" s="111" t="s">
        <v>54</v>
      </c>
      <c r="C117" s="110"/>
      <c r="D117" s="111"/>
      <c r="E117" s="15">
        <v>160988</v>
      </c>
      <c r="F117" s="111"/>
      <c r="G117" s="133"/>
      <c r="H117" s="111"/>
      <c r="I117" s="25">
        <f>SUM(I110:I116)</f>
        <v>152350</v>
      </c>
      <c r="J117" s="25">
        <f>SUM(J110:J116)</f>
        <v>292.75</v>
      </c>
      <c r="K117" s="25">
        <f>SUM(K110:K116)</f>
        <v>12067.880000000001</v>
      </c>
      <c r="L117" s="25">
        <f>SUM(L110:L116)</f>
        <v>5193.16</v>
      </c>
      <c r="M117" s="25">
        <f>SUM(M110:M116)</f>
        <v>70593.41</v>
      </c>
      <c r="N117" s="117"/>
      <c r="O117" s="25">
        <f>SUM(O110:O116)</f>
        <v>87854.45</v>
      </c>
      <c r="P117" s="117">
        <f>I117-O117</f>
        <v>64495.55</v>
      </c>
      <c r="Q117" s="123">
        <f>M117/I117</f>
        <v>0.46336337381030523</v>
      </c>
      <c r="R117" s="123">
        <f>P117/I117</f>
        <v>0.42333803741384973</v>
      </c>
      <c r="S117" s="123">
        <f>((I110*S110)+(I111*S111)+(I112*S112)+(I113*S113)+(I115*S115))/I117</f>
        <v>0.44199277978339352</v>
      </c>
      <c r="T117" s="117"/>
      <c r="U117" s="118">
        <f t="shared" si="45"/>
        <v>41.222476515798469</v>
      </c>
      <c r="V117" s="110"/>
      <c r="W117" s="110"/>
      <c r="X117" s="110"/>
      <c r="Y117" s="110"/>
      <c r="Z117" s="110"/>
      <c r="AA117" s="110"/>
    </row>
    <row r="118" spans="1:27" x14ac:dyDescent="0.15">
      <c r="A118" s="110" t="s">
        <v>2764</v>
      </c>
      <c r="B118" s="111" t="s">
        <v>55</v>
      </c>
      <c r="C118" s="110"/>
      <c r="D118" s="111"/>
      <c r="E118" s="15">
        <v>160988</v>
      </c>
      <c r="F118" s="111" t="s">
        <v>56</v>
      </c>
      <c r="G118" s="133" t="s">
        <v>57</v>
      </c>
      <c r="H118" s="111">
        <v>944</v>
      </c>
      <c r="I118" s="117">
        <v>5500</v>
      </c>
      <c r="J118" s="117">
        <v>27</v>
      </c>
      <c r="K118" s="117">
        <f>742.5+334.26</f>
        <v>1076.76</v>
      </c>
      <c r="L118" s="117">
        <v>3784.47</v>
      </c>
      <c r="M118" s="117">
        <v>374.41</v>
      </c>
      <c r="N118" s="117"/>
      <c r="O118" s="7">
        <f>SUM(K118:M118)</f>
        <v>5235.6399999999994</v>
      </c>
      <c r="P118" s="117">
        <f>I118-O118</f>
        <v>264.36000000000058</v>
      </c>
      <c r="Q118" s="123">
        <f>M118/I118</f>
        <v>6.8074545454545457E-2</v>
      </c>
      <c r="R118" s="123">
        <f>P118/I118</f>
        <v>4.8065454545454654E-2</v>
      </c>
      <c r="S118" s="123">
        <v>0</v>
      </c>
      <c r="T118" s="117"/>
      <c r="U118" s="118">
        <f t="shared" si="45"/>
        <v>39.880000000000003</v>
      </c>
      <c r="V118" s="110"/>
      <c r="W118" s="110"/>
      <c r="X118" s="110"/>
      <c r="Y118" s="110"/>
      <c r="Z118" s="110"/>
      <c r="AA118" s="110"/>
    </row>
    <row r="119" spans="1:27" x14ac:dyDescent="0.15">
      <c r="A119" s="110" t="s">
        <v>2764</v>
      </c>
      <c r="B119" s="111" t="s">
        <v>58</v>
      </c>
      <c r="C119" s="110"/>
      <c r="D119" s="111"/>
      <c r="E119" s="15">
        <v>160988</v>
      </c>
      <c r="F119" s="17">
        <v>616500120</v>
      </c>
      <c r="G119" s="133" t="s">
        <v>104</v>
      </c>
      <c r="H119" s="111">
        <v>943</v>
      </c>
      <c r="I119" s="117">
        <v>7321</v>
      </c>
      <c r="J119" s="117">
        <v>16</v>
      </c>
      <c r="K119" s="117">
        <f>628.48+282.88</f>
        <v>911.36</v>
      </c>
      <c r="L119" s="117">
        <v>1855.92</v>
      </c>
      <c r="M119" s="117">
        <v>1133.8699999999999</v>
      </c>
      <c r="N119" s="117"/>
      <c r="O119" s="7">
        <f>SUM(K119:N119)</f>
        <v>3901.15</v>
      </c>
      <c r="P119" s="117"/>
      <c r="Q119" s="123"/>
      <c r="R119" s="123"/>
      <c r="S119" s="123"/>
      <c r="T119" s="117"/>
      <c r="U119" s="118">
        <f t="shared" si="45"/>
        <v>56.96</v>
      </c>
      <c r="V119" s="110"/>
      <c r="W119" s="110"/>
      <c r="X119" s="110"/>
      <c r="Y119" s="110"/>
      <c r="Z119" s="110"/>
      <c r="AA119" s="110"/>
    </row>
    <row r="120" spans="1:27" x14ac:dyDescent="0.15">
      <c r="A120" s="110" t="s">
        <v>2764</v>
      </c>
      <c r="B120" s="111" t="s">
        <v>58</v>
      </c>
      <c r="C120" s="110"/>
      <c r="D120" s="111"/>
      <c r="E120" s="15">
        <v>160988</v>
      </c>
      <c r="F120" s="17" t="s">
        <v>113</v>
      </c>
      <c r="G120" s="133" t="s">
        <v>105</v>
      </c>
      <c r="H120" s="111"/>
      <c r="I120" s="117">
        <v>10991</v>
      </c>
      <c r="J120" s="117"/>
      <c r="K120" s="117"/>
      <c r="L120" s="117"/>
      <c r="M120" s="117"/>
      <c r="N120" s="117"/>
      <c r="P120" s="117"/>
      <c r="Q120" s="123"/>
      <c r="R120" s="123"/>
      <c r="S120" s="123"/>
      <c r="T120" s="117"/>
      <c r="U120" s="118" t="str">
        <f t="shared" si="45"/>
        <v/>
      </c>
      <c r="V120" s="110"/>
      <c r="W120" s="110"/>
      <c r="X120" s="110"/>
      <c r="Y120" s="110"/>
      <c r="Z120" s="110"/>
      <c r="AA120" s="110"/>
    </row>
    <row r="121" spans="1:27" x14ac:dyDescent="0.15">
      <c r="A121" s="110" t="s">
        <v>2764</v>
      </c>
      <c r="B121" s="111"/>
      <c r="C121" s="110"/>
      <c r="D121" s="111"/>
      <c r="E121" s="111"/>
      <c r="F121" s="111"/>
      <c r="G121" s="133" t="s">
        <v>114</v>
      </c>
      <c r="H121" s="111"/>
      <c r="I121" s="117">
        <v>28800</v>
      </c>
      <c r="J121" s="117"/>
      <c r="K121" s="117"/>
      <c r="L121" s="117"/>
      <c r="M121" s="117"/>
      <c r="N121" s="117"/>
      <c r="O121" s="7">
        <f>SUM(K121:N121)</f>
        <v>0</v>
      </c>
      <c r="P121" s="117"/>
      <c r="Q121" s="123"/>
      <c r="R121" s="123"/>
      <c r="S121" s="123"/>
      <c r="T121" s="117"/>
      <c r="U121" s="118" t="str">
        <f t="shared" si="45"/>
        <v/>
      </c>
      <c r="V121" s="110"/>
      <c r="W121" s="110"/>
      <c r="X121" s="110"/>
      <c r="Y121" s="110"/>
      <c r="Z121" s="110"/>
      <c r="AA121" s="110"/>
    </row>
    <row r="122" spans="1:27" x14ac:dyDescent="0.15">
      <c r="A122" s="110" t="s">
        <v>2764</v>
      </c>
      <c r="B122" s="111" t="s">
        <v>65</v>
      </c>
      <c r="C122" s="110"/>
      <c r="D122" s="111"/>
      <c r="E122" s="111"/>
      <c r="F122" s="111"/>
      <c r="G122" s="133"/>
      <c r="H122" s="111"/>
      <c r="I122" s="25">
        <f>SUM(I117:I121)</f>
        <v>204962</v>
      </c>
      <c r="J122" s="25">
        <f t="shared" ref="J122:M122" si="58">SUM(J117:J121)</f>
        <v>335.75</v>
      </c>
      <c r="K122" s="25">
        <f t="shared" si="58"/>
        <v>14056.000000000002</v>
      </c>
      <c r="L122" s="25">
        <f t="shared" si="58"/>
        <v>10833.55</v>
      </c>
      <c r="M122" s="25">
        <f t="shared" si="58"/>
        <v>72101.69</v>
      </c>
      <c r="N122" s="117"/>
      <c r="O122" s="25">
        <f>SUM(K122:M122)</f>
        <v>96991.24</v>
      </c>
      <c r="P122" s="117">
        <f>I122-O122</f>
        <v>107970.76</v>
      </c>
      <c r="Q122" s="123">
        <f>M122/I122</f>
        <v>0.35178076911817802</v>
      </c>
      <c r="R122" s="123">
        <f>P122/I122</f>
        <v>0.5267842819644617</v>
      </c>
      <c r="S122" s="123"/>
      <c r="T122" s="117"/>
      <c r="U122" s="118">
        <f t="shared" si="45"/>
        <v>41.864482501861509</v>
      </c>
      <c r="V122" s="110"/>
      <c r="W122" s="110"/>
      <c r="X122" s="110"/>
      <c r="Y122" s="110"/>
      <c r="Z122" s="110"/>
      <c r="AA122" s="110"/>
    </row>
    <row r="123" spans="1:27" x14ac:dyDescent="0.15">
      <c r="A123" s="110" t="s">
        <v>2764</v>
      </c>
      <c r="B123" s="111" t="s">
        <v>66</v>
      </c>
      <c r="C123" s="110"/>
      <c r="D123" s="111"/>
      <c r="E123" s="111"/>
      <c r="F123" s="111"/>
      <c r="G123" s="133"/>
      <c r="H123" s="111"/>
      <c r="I123" s="117">
        <f>I110+I111+I112+I115</f>
        <v>117432</v>
      </c>
      <c r="J123" s="117">
        <f>J110+J111+J112+J115</f>
        <v>130.75</v>
      </c>
      <c r="K123" s="117">
        <f>K110+K111+K112+K115</f>
        <v>4807.04</v>
      </c>
      <c r="L123" s="117">
        <f>L110+L111+L112+L115</f>
        <v>0</v>
      </c>
      <c r="M123" s="117">
        <f>M110+M111+M112+M115</f>
        <v>45266.32</v>
      </c>
      <c r="N123" s="117"/>
      <c r="O123" s="7">
        <f>O110+O111+O112+O115</f>
        <v>50073.36</v>
      </c>
      <c r="P123" s="117">
        <f>P110+P111+P112+P115</f>
        <v>67358.64</v>
      </c>
      <c r="Q123" s="123">
        <f>M123/I123</f>
        <v>0.38546835615505143</v>
      </c>
      <c r="R123" s="123">
        <f>P123/I123</f>
        <v>0.57359697527079501</v>
      </c>
      <c r="S123" s="123">
        <f>((I110*S110)+(I111*S111)+(I112*S112)+(I115*S115))/I123</f>
        <v>0.55000000000000004</v>
      </c>
      <c r="T123" s="117"/>
      <c r="U123" s="118">
        <f t="shared" si="45"/>
        <v>36.765124282982789</v>
      </c>
      <c r="V123" s="110"/>
      <c r="W123" s="110"/>
      <c r="X123" s="110"/>
      <c r="Y123" s="110"/>
      <c r="Z123" s="110"/>
      <c r="AA123" s="110"/>
    </row>
    <row r="124" spans="1:27" x14ac:dyDescent="0.15">
      <c r="A124" s="124" t="s">
        <v>53</v>
      </c>
      <c r="B124" s="124"/>
      <c r="C124" s="124"/>
      <c r="D124" s="124"/>
      <c r="E124" s="124"/>
      <c r="F124" s="124"/>
      <c r="G124" s="186"/>
      <c r="H124" s="124"/>
      <c r="I124" s="126"/>
      <c r="J124" s="126"/>
      <c r="K124" s="126"/>
      <c r="L124" s="126"/>
      <c r="M124" s="126"/>
      <c r="N124" s="126"/>
      <c r="O124" s="18"/>
      <c r="P124" s="126"/>
      <c r="Q124" s="187"/>
      <c r="R124" s="187"/>
      <c r="S124" s="187"/>
      <c r="T124" s="126"/>
      <c r="U124" s="127"/>
      <c r="V124" s="130"/>
      <c r="W124" s="130"/>
      <c r="X124" s="130"/>
      <c r="Y124" s="110"/>
      <c r="Z124" s="130"/>
      <c r="AA124" s="130"/>
    </row>
    <row r="125" spans="1:27" x14ac:dyDescent="0.15">
      <c r="A125" s="110" t="s">
        <v>2765</v>
      </c>
      <c r="B125" s="111" t="s">
        <v>37</v>
      </c>
      <c r="C125" s="110"/>
      <c r="D125" s="111">
        <v>9</v>
      </c>
      <c r="E125" s="15">
        <v>161302</v>
      </c>
      <c r="F125" s="16">
        <v>140000119</v>
      </c>
      <c r="G125" s="133" t="s">
        <v>117</v>
      </c>
      <c r="H125" s="111">
        <v>857</v>
      </c>
      <c r="I125" s="117">
        <v>151230</v>
      </c>
      <c r="J125" s="117">
        <f>35.5+41.5+172.3+18</f>
        <v>267.3</v>
      </c>
      <c r="K125" s="117">
        <f>7192.44+3236.73</f>
        <v>10429.17</v>
      </c>
      <c r="L125" s="117"/>
      <c r="M125" s="117">
        <v>59033.86</v>
      </c>
      <c r="N125" s="117"/>
      <c r="O125" s="7">
        <f>SUM(K125:N125)</f>
        <v>69463.03</v>
      </c>
      <c r="P125" s="117">
        <f>I125-O125</f>
        <v>81766.97</v>
      </c>
      <c r="Q125" s="123">
        <f>M125/I125</f>
        <v>0.39035813000066127</v>
      </c>
      <c r="R125" s="123">
        <f>P125/I125</f>
        <v>0.54067956093367719</v>
      </c>
      <c r="S125" s="123">
        <f t="shared" ref="S125:S126" si="59">1-0.45</f>
        <v>0.55000000000000004</v>
      </c>
      <c r="T125" s="117"/>
      <c r="U125" s="118">
        <f t="shared" si="45"/>
        <v>39.016722783389447</v>
      </c>
      <c r="V125" s="110"/>
      <c r="W125" s="110"/>
      <c r="X125" s="110"/>
      <c r="Y125" s="110"/>
      <c r="Z125" s="110"/>
      <c r="AA125" s="110"/>
    </row>
    <row r="126" spans="1:27" x14ac:dyDescent="0.15">
      <c r="A126" s="110" t="s">
        <v>2765</v>
      </c>
      <c r="B126" s="111" t="s">
        <v>37</v>
      </c>
      <c r="C126" s="110"/>
      <c r="D126" s="111">
        <v>9</v>
      </c>
      <c r="E126" s="15">
        <v>161302</v>
      </c>
      <c r="F126" s="16">
        <v>220100119</v>
      </c>
      <c r="G126" s="133" t="s">
        <v>74</v>
      </c>
      <c r="H126" s="111">
        <v>858</v>
      </c>
      <c r="I126" s="117">
        <v>4900</v>
      </c>
      <c r="J126" s="117"/>
      <c r="K126" s="117"/>
      <c r="L126" s="117"/>
      <c r="M126" s="117">
        <v>9409.3799999999992</v>
      </c>
      <c r="N126" s="117"/>
      <c r="O126" s="7">
        <f>SUM(K126:N126)</f>
        <v>9409.3799999999992</v>
      </c>
      <c r="P126" s="117">
        <f>I126-O126</f>
        <v>-4509.3799999999992</v>
      </c>
      <c r="Q126" s="123">
        <f>M126/I126</f>
        <v>1.920281632653061</v>
      </c>
      <c r="R126" s="123">
        <f>P126/I126</f>
        <v>-0.92028163265306107</v>
      </c>
      <c r="S126" s="123">
        <f t="shared" si="59"/>
        <v>0.55000000000000004</v>
      </c>
      <c r="T126" s="117"/>
      <c r="U126" s="118" t="str">
        <f t="shared" si="45"/>
        <v/>
      </c>
      <c r="V126" s="110"/>
      <c r="W126" s="110"/>
      <c r="X126" s="110"/>
      <c r="Y126" s="110"/>
      <c r="Z126" s="110"/>
      <c r="AA126" s="110"/>
    </row>
    <row r="127" spans="1:27" x14ac:dyDescent="0.15">
      <c r="A127" s="110" t="s">
        <v>2765</v>
      </c>
      <c r="B127" s="111" t="s">
        <v>99</v>
      </c>
      <c r="C127" s="110"/>
      <c r="D127" s="111">
        <v>9</v>
      </c>
      <c r="E127" s="15">
        <v>161302</v>
      </c>
      <c r="F127" s="17">
        <v>616220129</v>
      </c>
      <c r="G127" s="133" t="s">
        <v>100</v>
      </c>
      <c r="H127" s="111">
        <v>859</v>
      </c>
      <c r="I127" s="132">
        <v>10981</v>
      </c>
      <c r="J127" s="117">
        <f>8+8</f>
        <v>16</v>
      </c>
      <c r="K127" s="117">
        <f>314.24+141.44+314.24+141.44</f>
        <v>911.36000000000013</v>
      </c>
      <c r="L127" s="117">
        <f>996.13+996.14</f>
        <v>1992.27</v>
      </c>
      <c r="M127" s="117">
        <f>1910.83+1088.6</f>
        <v>2999.43</v>
      </c>
      <c r="N127" s="117"/>
      <c r="O127" s="7">
        <f>SUM(K127:N127)</f>
        <v>5903.0599999999995</v>
      </c>
      <c r="P127" s="117">
        <f>I127-O127</f>
        <v>5077.9400000000005</v>
      </c>
      <c r="Q127" s="123">
        <f>M127/I127</f>
        <v>0.27314725434841997</v>
      </c>
      <c r="R127" s="123">
        <f>P127/I127</f>
        <v>0.46242965121573631</v>
      </c>
      <c r="S127" s="123">
        <f>1-0.529</f>
        <v>0.47099999999999997</v>
      </c>
      <c r="T127" s="117">
        <f>1-0.529</f>
        <v>0.47099999999999997</v>
      </c>
      <c r="U127" s="118">
        <f t="shared" si="45"/>
        <v>56.960000000000008</v>
      </c>
      <c r="V127" s="118"/>
      <c r="W127" s="110"/>
      <c r="X127" s="110"/>
      <c r="Y127" s="110"/>
      <c r="Z127" s="110"/>
      <c r="AA127" s="110"/>
    </row>
    <row r="128" spans="1:27" x14ac:dyDescent="0.15">
      <c r="A128" s="110"/>
      <c r="B128" s="111"/>
      <c r="C128" s="110"/>
      <c r="D128" s="111"/>
      <c r="E128" s="15">
        <v>161302</v>
      </c>
      <c r="F128" s="17">
        <v>626220129</v>
      </c>
      <c r="G128" s="133" t="s">
        <v>100</v>
      </c>
      <c r="H128" s="111">
        <v>860</v>
      </c>
      <c r="I128" s="132"/>
      <c r="J128" s="117"/>
      <c r="K128" s="117"/>
      <c r="L128" s="117"/>
      <c r="M128" s="117"/>
      <c r="N128" s="117"/>
      <c r="P128" s="117"/>
      <c r="Q128" s="123"/>
      <c r="R128" s="123"/>
      <c r="S128" s="123"/>
      <c r="T128" s="117"/>
      <c r="U128" s="118" t="str">
        <f t="shared" si="45"/>
        <v/>
      </c>
      <c r="V128" s="118"/>
      <c r="W128" s="110"/>
      <c r="X128" s="110"/>
      <c r="Y128" s="110"/>
      <c r="Z128" s="110"/>
      <c r="AA128" s="110"/>
    </row>
    <row r="129" spans="1:27" x14ac:dyDescent="0.15">
      <c r="A129" s="110" t="s">
        <v>2765</v>
      </c>
      <c r="B129" s="111" t="s">
        <v>999</v>
      </c>
      <c r="C129" s="110"/>
      <c r="D129" s="111">
        <v>9</v>
      </c>
      <c r="E129" s="15">
        <v>161302</v>
      </c>
      <c r="F129" s="111">
        <v>646620129</v>
      </c>
      <c r="G129" s="133" t="s">
        <v>52</v>
      </c>
      <c r="H129" s="111">
        <v>861</v>
      </c>
      <c r="I129" s="117">
        <v>15830</v>
      </c>
      <c r="J129" s="117">
        <v>16</v>
      </c>
      <c r="K129" s="117">
        <f>628.48+282.88</f>
        <v>911.36</v>
      </c>
      <c r="L129" s="117">
        <v>1256.93</v>
      </c>
      <c r="M129" s="117">
        <v>1166.24</v>
      </c>
      <c r="N129" s="117"/>
      <c r="O129" s="7">
        <f>SUM(K129:N129)</f>
        <v>3334.5299999999997</v>
      </c>
      <c r="P129" s="117">
        <f>I129-O129</f>
        <v>12495.470000000001</v>
      </c>
      <c r="Q129" s="123">
        <f>M129/I129</f>
        <v>7.3672773215413767E-2</v>
      </c>
      <c r="R129" s="123">
        <f>P129/I129</f>
        <v>0.78935375868603919</v>
      </c>
      <c r="S129" s="123">
        <f>1-0.529</f>
        <v>0.47099999999999997</v>
      </c>
      <c r="T129" s="117"/>
      <c r="U129" s="118">
        <f t="shared" si="45"/>
        <v>56.96</v>
      </c>
      <c r="V129" s="110"/>
      <c r="W129" s="110"/>
      <c r="X129" s="110"/>
      <c r="Y129" s="110"/>
      <c r="Z129" s="110"/>
      <c r="AA129" s="110"/>
    </row>
    <row r="130" spans="1:27" x14ac:dyDescent="0.15">
      <c r="A130" s="110" t="s">
        <v>2765</v>
      </c>
      <c r="B130" s="111" t="s">
        <v>37</v>
      </c>
      <c r="C130" s="110"/>
      <c r="D130" s="111">
        <v>9</v>
      </c>
      <c r="E130" s="15">
        <v>161302</v>
      </c>
      <c r="F130" s="16">
        <v>215000119</v>
      </c>
      <c r="G130" s="133" t="s">
        <v>118</v>
      </c>
      <c r="H130" s="111">
        <v>863</v>
      </c>
      <c r="I130" s="117">
        <v>55000</v>
      </c>
      <c r="J130" s="117"/>
      <c r="K130" s="117"/>
      <c r="L130" s="117">
        <v>5250</v>
      </c>
      <c r="M130" s="117">
        <v>25225.95</v>
      </c>
      <c r="N130" s="117"/>
      <c r="O130" s="7">
        <f>SUM(K130:N130)</f>
        <v>30475.95</v>
      </c>
      <c r="P130" s="117">
        <f>I130-O130</f>
        <v>24524.05</v>
      </c>
      <c r="Q130" s="123">
        <f>M130/I130</f>
        <v>0.45865363636363637</v>
      </c>
      <c r="R130" s="123">
        <f>P130/I130</f>
        <v>0.44589181818181817</v>
      </c>
      <c r="S130" s="123">
        <f t="shared" ref="S130:S132" si="60">1-0.45</f>
        <v>0.55000000000000004</v>
      </c>
      <c r="T130" s="117"/>
      <c r="U130" s="118" t="str">
        <f t="shared" si="45"/>
        <v/>
      </c>
      <c r="V130" s="110"/>
      <c r="W130" s="110"/>
      <c r="X130" s="110"/>
      <c r="Y130" s="110"/>
      <c r="Z130" s="110"/>
      <c r="AA130" s="110"/>
    </row>
    <row r="131" spans="1:27" x14ac:dyDescent="0.15">
      <c r="A131" s="110" t="s">
        <v>2765</v>
      </c>
      <c r="B131" s="111" t="s">
        <v>37</v>
      </c>
      <c r="C131" s="110"/>
      <c r="D131" s="111">
        <v>9</v>
      </c>
      <c r="E131" s="15">
        <v>161302</v>
      </c>
      <c r="F131" s="16">
        <v>347000909</v>
      </c>
      <c r="G131" s="133" t="s">
        <v>119</v>
      </c>
      <c r="H131" s="111">
        <v>864</v>
      </c>
      <c r="I131" s="117">
        <v>93316</v>
      </c>
      <c r="J131" s="117">
        <f>17.75+62.5+12.5</f>
        <v>92.75</v>
      </c>
      <c r="K131" s="117">
        <f>2326.09+1046.92</f>
        <v>3373.01</v>
      </c>
      <c r="L131" s="117">
        <v>5250</v>
      </c>
      <c r="M131" s="117">
        <v>80239.34</v>
      </c>
      <c r="N131" s="117"/>
      <c r="O131" s="7">
        <f>SUM(K131:N131)</f>
        <v>88862.349999999991</v>
      </c>
      <c r="P131" s="117">
        <f>I131-O131</f>
        <v>4453.6500000000087</v>
      </c>
      <c r="Q131" s="123">
        <f>M131/I131</f>
        <v>0.85986690385357278</v>
      </c>
      <c r="R131" s="123">
        <f>P131/I131</f>
        <v>4.7726542072099198E-2</v>
      </c>
      <c r="S131" s="123">
        <f t="shared" si="60"/>
        <v>0.55000000000000004</v>
      </c>
      <c r="T131" s="117"/>
      <c r="U131" s="118">
        <f t="shared" si="45"/>
        <v>36.366684636118599</v>
      </c>
      <c r="V131" s="110"/>
      <c r="W131" s="110"/>
      <c r="X131" s="110"/>
      <c r="Y131" s="110"/>
      <c r="Z131" s="110"/>
      <c r="AA131" s="110"/>
    </row>
    <row r="132" spans="1:27" x14ac:dyDescent="0.15">
      <c r="A132" s="110" t="s">
        <v>2765</v>
      </c>
      <c r="B132" s="111" t="s">
        <v>47</v>
      </c>
      <c r="C132" s="110"/>
      <c r="D132" s="111">
        <v>9</v>
      </c>
      <c r="E132" s="15">
        <v>161302</v>
      </c>
      <c r="F132" s="16">
        <v>540000119</v>
      </c>
      <c r="G132" s="133" t="s">
        <v>120</v>
      </c>
      <c r="H132" s="111">
        <v>879</v>
      </c>
      <c r="I132" s="117">
        <v>108303</v>
      </c>
      <c r="J132" s="117">
        <v>660</v>
      </c>
      <c r="K132" s="117">
        <f>20400.7+9180.7</f>
        <v>29581.4</v>
      </c>
      <c r="L132" s="117">
        <v>20199.13</v>
      </c>
      <c r="M132" s="117">
        <v>5742.71</v>
      </c>
      <c r="N132" s="117"/>
      <c r="O132" s="7">
        <f>SUM(K132:N132)</f>
        <v>55523.24</v>
      </c>
      <c r="P132" s="117">
        <f>I132-O132</f>
        <v>52779.76</v>
      </c>
      <c r="Q132" s="123">
        <f>M132/I132</f>
        <v>5.3024477622965201E-2</v>
      </c>
      <c r="R132" s="123">
        <f>P132/I132</f>
        <v>0.48733423820208122</v>
      </c>
      <c r="S132" s="123">
        <f t="shared" si="60"/>
        <v>0.55000000000000004</v>
      </c>
      <c r="T132" s="117"/>
      <c r="U132" s="118">
        <f t="shared" si="45"/>
        <v>44.82030303030303</v>
      </c>
      <c r="V132" s="110"/>
      <c r="W132" s="110"/>
      <c r="X132" s="110"/>
      <c r="Y132" s="110"/>
      <c r="Z132" s="110"/>
      <c r="AA132" s="110"/>
    </row>
    <row r="133" spans="1:27" x14ac:dyDescent="0.15">
      <c r="A133" s="110" t="s">
        <v>53</v>
      </c>
      <c r="B133" s="111"/>
      <c r="C133" s="110"/>
      <c r="D133" s="111"/>
      <c r="E133" s="15"/>
      <c r="F133" s="111"/>
      <c r="G133" s="133"/>
      <c r="H133" s="111"/>
      <c r="I133" s="117"/>
      <c r="J133" s="117"/>
      <c r="K133" s="117"/>
      <c r="L133" s="117"/>
      <c r="M133" s="117"/>
      <c r="N133" s="117"/>
      <c r="P133" s="117"/>
      <c r="Q133" s="123"/>
      <c r="R133" s="123"/>
      <c r="S133" s="123"/>
      <c r="T133" s="117"/>
      <c r="U133" s="118" t="str">
        <f t="shared" si="45"/>
        <v/>
      </c>
      <c r="V133" s="110"/>
      <c r="W133" s="110"/>
      <c r="X133" s="110"/>
      <c r="Y133" s="110"/>
      <c r="Z133" s="110"/>
      <c r="AA133" s="110"/>
    </row>
    <row r="134" spans="1:27" x14ac:dyDescent="0.15">
      <c r="A134" s="110" t="s">
        <v>2765</v>
      </c>
      <c r="B134" s="111" t="s">
        <v>54</v>
      </c>
      <c r="C134" s="110"/>
      <c r="D134" s="111"/>
      <c r="E134" s="15"/>
      <c r="F134" s="111"/>
      <c r="G134" s="133"/>
      <c r="H134" s="111"/>
      <c r="I134" s="25">
        <f>SUM(I125:I132)</f>
        <v>439560</v>
      </c>
      <c r="J134" s="25">
        <f>SUM(J125:J132)</f>
        <v>1052.05</v>
      </c>
      <c r="K134" s="25">
        <f t="shared" ref="K134:M134" si="61">SUM(K125:K132)</f>
        <v>45206.3</v>
      </c>
      <c r="L134" s="25">
        <f t="shared" si="61"/>
        <v>33948.33</v>
      </c>
      <c r="M134" s="25">
        <f t="shared" si="61"/>
        <v>183816.91</v>
      </c>
      <c r="N134" s="117"/>
      <c r="O134" s="25">
        <f t="shared" ref="O134" si="62">SUM(O125:O132)</f>
        <v>262971.53999999998</v>
      </c>
      <c r="P134" s="117">
        <f>I134-O134</f>
        <v>176588.46000000002</v>
      </c>
      <c r="Q134" s="123">
        <f>M134/I134</f>
        <v>0.41818388843388843</v>
      </c>
      <c r="R134" s="123">
        <f>P134/I134</f>
        <v>0.4017391482391483</v>
      </c>
      <c r="S134" s="123">
        <f>((I125*S125)+(I126*S126)+(I130*S130)+(I131*S131))/I134</f>
        <v>0.38093843843843839</v>
      </c>
      <c r="T134" s="117"/>
      <c r="U134" s="118">
        <f t="shared" si="45"/>
        <v>42.969725773489856</v>
      </c>
      <c r="V134" s="110"/>
      <c r="W134" s="110"/>
      <c r="X134" s="110"/>
      <c r="Y134" s="110"/>
      <c r="Z134" s="110"/>
      <c r="AA134" s="110"/>
    </row>
    <row r="135" spans="1:27" x14ac:dyDescent="0.15">
      <c r="A135" s="110" t="s">
        <v>2765</v>
      </c>
      <c r="B135" s="111" t="s">
        <v>55</v>
      </c>
      <c r="C135" s="110"/>
      <c r="D135" s="111"/>
      <c r="E135" s="15">
        <v>161302</v>
      </c>
      <c r="F135" s="111" t="s">
        <v>2756</v>
      </c>
      <c r="G135" s="133" t="s">
        <v>57</v>
      </c>
      <c r="H135" s="111">
        <v>862</v>
      </c>
      <c r="I135" s="117">
        <v>11200</v>
      </c>
      <c r="J135" s="117">
        <v>105.5</v>
      </c>
      <c r="K135" s="117">
        <f>2901.25+1306.09</f>
        <v>4207.34</v>
      </c>
      <c r="L135" s="117">
        <v>5250.14</v>
      </c>
      <c r="M135" s="117">
        <v>5140</v>
      </c>
      <c r="N135" s="117"/>
      <c r="O135" s="7">
        <f>SUM(K135:M135)</f>
        <v>14597.48</v>
      </c>
      <c r="P135" s="117">
        <f>I135-O135</f>
        <v>-3397.4799999999996</v>
      </c>
      <c r="Q135" s="123">
        <f>M135/I135</f>
        <v>0.45892857142857141</v>
      </c>
      <c r="R135" s="123">
        <f>P135/I135</f>
        <v>-0.30334642857142852</v>
      </c>
      <c r="S135" s="123">
        <v>0</v>
      </c>
      <c r="T135" s="117"/>
      <c r="U135" s="118">
        <f t="shared" si="45"/>
        <v>39.880000000000003</v>
      </c>
      <c r="V135" s="110"/>
      <c r="W135" s="110"/>
      <c r="X135" s="110"/>
      <c r="Y135" s="110"/>
      <c r="Z135" s="110"/>
      <c r="AA135" s="110"/>
    </row>
    <row r="136" spans="1:27" x14ac:dyDescent="0.15">
      <c r="A136" s="110" t="s">
        <v>2765</v>
      </c>
      <c r="B136" s="111"/>
      <c r="C136" s="110"/>
      <c r="D136" s="111"/>
      <c r="E136" s="15">
        <v>161302</v>
      </c>
      <c r="F136" s="111"/>
      <c r="G136" s="133" t="s">
        <v>114</v>
      </c>
      <c r="H136" s="111"/>
      <c r="I136" s="117">
        <v>31970</v>
      </c>
      <c r="J136" s="117"/>
      <c r="K136" s="117"/>
      <c r="L136" s="117"/>
      <c r="M136" s="117"/>
      <c r="N136" s="117"/>
      <c r="P136" s="117"/>
      <c r="Q136" s="123"/>
      <c r="R136" s="123"/>
      <c r="S136" s="123"/>
      <c r="T136" s="117"/>
      <c r="U136" s="118" t="str">
        <f t="shared" si="45"/>
        <v/>
      </c>
      <c r="V136" s="110"/>
      <c r="W136" s="110"/>
      <c r="X136" s="110"/>
      <c r="Y136" s="110"/>
      <c r="Z136" s="110"/>
      <c r="AA136" s="110"/>
    </row>
    <row r="137" spans="1:27" x14ac:dyDescent="0.15">
      <c r="A137" s="110"/>
      <c r="B137" s="111"/>
      <c r="C137" s="110"/>
      <c r="D137" s="111"/>
      <c r="E137" s="15"/>
      <c r="F137" s="111"/>
      <c r="G137" s="133"/>
      <c r="H137" s="111"/>
      <c r="I137" s="117"/>
      <c r="J137" s="117"/>
      <c r="K137" s="117"/>
      <c r="L137" s="117"/>
      <c r="M137" s="117"/>
      <c r="N137" s="117"/>
      <c r="P137" s="117"/>
      <c r="Q137" s="123"/>
      <c r="R137" s="123"/>
      <c r="S137" s="123"/>
      <c r="T137" s="117"/>
      <c r="U137" s="118"/>
      <c r="V137" s="110"/>
      <c r="W137" s="110"/>
      <c r="X137" s="110"/>
      <c r="Y137" s="110"/>
      <c r="Z137" s="110"/>
      <c r="AA137" s="110"/>
    </row>
    <row r="138" spans="1:27" x14ac:dyDescent="0.15">
      <c r="A138" s="110" t="s">
        <v>2765</v>
      </c>
      <c r="B138" s="111" t="s">
        <v>65</v>
      </c>
      <c r="C138" s="110"/>
      <c r="D138" s="111"/>
      <c r="E138" s="111"/>
      <c r="F138" s="111"/>
      <c r="G138" s="133"/>
      <c r="H138" s="111"/>
      <c r="I138" s="24">
        <f>SUM(I134:I136)</f>
        <v>482730</v>
      </c>
      <c r="J138" s="24">
        <f t="shared" ref="J138:M138" si="63">SUM(J134:J136)</f>
        <v>1157.55</v>
      </c>
      <c r="K138" s="24">
        <f t="shared" si="63"/>
        <v>49413.64</v>
      </c>
      <c r="L138" s="24">
        <f t="shared" si="63"/>
        <v>39198.47</v>
      </c>
      <c r="M138" s="24">
        <f t="shared" si="63"/>
        <v>188956.91</v>
      </c>
      <c r="N138" s="117"/>
      <c r="O138" s="25">
        <f>SUM(K138:M138)</f>
        <v>277569.02</v>
      </c>
      <c r="P138" s="117">
        <f>I138-O138</f>
        <v>205160.97999999998</v>
      </c>
      <c r="Q138" s="123">
        <f>M138/I138</f>
        <v>0.39143394858409464</v>
      </c>
      <c r="R138" s="123">
        <f>P138/I138</f>
        <v>0.42500151223251087</v>
      </c>
      <c r="S138" s="123"/>
      <c r="T138" s="117"/>
      <c r="U138" s="118">
        <f t="shared" si="45"/>
        <v>42.688125782903548</v>
      </c>
      <c r="V138" s="110"/>
      <c r="W138" s="110"/>
      <c r="X138" s="110"/>
      <c r="Y138" s="110"/>
      <c r="Z138" s="110"/>
      <c r="AA138" s="110"/>
    </row>
    <row r="139" spans="1:27" x14ac:dyDescent="0.15">
      <c r="A139" s="110" t="s">
        <v>2765</v>
      </c>
      <c r="B139" s="111" t="s">
        <v>66</v>
      </c>
      <c r="C139" s="110"/>
      <c r="D139" s="111"/>
      <c r="E139" s="111"/>
      <c r="F139" s="111"/>
      <c r="G139" s="133"/>
      <c r="H139" s="111"/>
      <c r="I139" s="117">
        <f>SUM(I125,I126,I130,I131)</f>
        <v>304446</v>
      </c>
      <c r="J139" s="117">
        <f t="shared" ref="J139:M139" si="64">SUM(J125,J126,J130,J131)</f>
        <v>360.05</v>
      </c>
      <c r="K139" s="117">
        <f t="shared" si="64"/>
        <v>13802.18</v>
      </c>
      <c r="L139" s="117">
        <f t="shared" si="64"/>
        <v>10500</v>
      </c>
      <c r="M139" s="117">
        <f t="shared" si="64"/>
        <v>173908.53</v>
      </c>
      <c r="N139" s="117"/>
      <c r="O139" s="7">
        <f>SUM(O125,O126,O130,O131)</f>
        <v>198210.71</v>
      </c>
      <c r="P139" s="117">
        <f t="shared" ref="P139" si="65">P125+P131</f>
        <v>86220.62000000001</v>
      </c>
      <c r="Q139" s="123">
        <f>M139/I139</f>
        <v>0.57122947911944977</v>
      </c>
      <c r="R139" s="123">
        <f>P139/I139</f>
        <v>0.28320496902570574</v>
      </c>
      <c r="S139" s="123">
        <f>((I125*S125)+(I126*S126)+(I130*S130)+(I131*S131))/I139</f>
        <v>0.54999999999999993</v>
      </c>
      <c r="T139" s="117"/>
      <c r="U139" s="118">
        <f t="shared" si="45"/>
        <v>38.33406471323427</v>
      </c>
      <c r="V139" s="110"/>
      <c r="W139" s="110"/>
      <c r="X139" s="110"/>
      <c r="Y139" s="110"/>
      <c r="Z139" s="110"/>
      <c r="AA139" s="110"/>
    </row>
    <row r="140" spans="1:27" x14ac:dyDescent="0.15">
      <c r="A140" s="124" t="s">
        <v>53</v>
      </c>
      <c r="B140" s="124"/>
      <c r="C140" s="130"/>
      <c r="D140" s="124"/>
      <c r="E140" s="124"/>
      <c r="F140" s="124"/>
      <c r="G140" s="186"/>
      <c r="H140" s="124"/>
      <c r="I140" s="126"/>
      <c r="J140" s="126"/>
      <c r="K140" s="126"/>
      <c r="L140" s="126"/>
      <c r="M140" s="126"/>
      <c r="N140" s="126"/>
      <c r="O140" s="18"/>
      <c r="P140" s="126"/>
      <c r="Q140" s="187"/>
      <c r="R140" s="187"/>
      <c r="S140" s="187"/>
      <c r="T140" s="126"/>
      <c r="U140" s="127"/>
      <c r="V140" s="130"/>
      <c r="W140" s="130"/>
      <c r="X140" s="130"/>
      <c r="Y140" s="110"/>
      <c r="Z140" s="130"/>
      <c r="AA140" s="130"/>
    </row>
    <row r="141" spans="1:27" x14ac:dyDescent="0.15">
      <c r="A141" s="110" t="s">
        <v>2766</v>
      </c>
      <c r="B141" s="111" t="s">
        <v>37</v>
      </c>
      <c r="C141" s="110"/>
      <c r="D141" s="111">
        <v>9</v>
      </c>
      <c r="E141" s="15">
        <v>161303</v>
      </c>
      <c r="F141" s="16">
        <v>125101120</v>
      </c>
      <c r="G141" s="133" t="s">
        <v>122</v>
      </c>
      <c r="H141" s="111">
        <v>969</v>
      </c>
      <c r="I141" s="117">
        <v>80059</v>
      </c>
      <c r="J141" s="117">
        <f>23.5+27</f>
        <v>50.5</v>
      </c>
      <c r="K141" s="117">
        <f>1284.52+578.15</f>
        <v>1862.67</v>
      </c>
      <c r="L141" s="117"/>
      <c r="M141" s="117">
        <v>19412.09</v>
      </c>
      <c r="N141" s="117"/>
      <c r="O141" s="7">
        <f>SUM(K141:N141)</f>
        <v>21274.760000000002</v>
      </c>
      <c r="P141" s="117">
        <f>I141-O141</f>
        <v>58784.24</v>
      </c>
      <c r="Q141" s="123">
        <f>M141/I141</f>
        <v>0.24247230167751282</v>
      </c>
      <c r="R141" s="123">
        <f>P141/I141</f>
        <v>0.73426148215690923</v>
      </c>
      <c r="S141" s="123">
        <f t="shared" ref="S141:S144" si="66">1-0.45</f>
        <v>0.55000000000000004</v>
      </c>
      <c r="T141" s="117"/>
      <c r="U141" s="118">
        <f t="shared" ref="U141:U203" si="67">IFERROR(K141/J141,"")</f>
        <v>36.884554455445546</v>
      </c>
      <c r="V141" s="110"/>
      <c r="W141" s="110"/>
      <c r="X141" s="110"/>
      <c r="Y141" s="110"/>
      <c r="Z141" s="110"/>
      <c r="AA141" s="110"/>
    </row>
    <row r="142" spans="1:27" x14ac:dyDescent="0.15">
      <c r="A142" s="110" t="s">
        <v>2766</v>
      </c>
      <c r="B142" s="111" t="s">
        <v>37</v>
      </c>
      <c r="C142" s="110"/>
      <c r="D142" s="111">
        <v>9</v>
      </c>
      <c r="E142" s="15">
        <v>161303</v>
      </c>
      <c r="F142" s="16">
        <v>220100110</v>
      </c>
      <c r="G142" s="133" t="s">
        <v>74</v>
      </c>
      <c r="H142" s="111">
        <v>970</v>
      </c>
      <c r="I142" s="117">
        <v>7000</v>
      </c>
      <c r="J142" s="117">
        <v>2.5</v>
      </c>
      <c r="K142" s="117">
        <f>67.6+30.43</f>
        <v>98.03</v>
      </c>
      <c r="L142" s="117"/>
      <c r="M142" s="117">
        <v>9409.3799999999992</v>
      </c>
      <c r="N142" s="117"/>
      <c r="O142" s="7">
        <f>SUM(K142:N142)</f>
        <v>9507.41</v>
      </c>
      <c r="P142" s="117">
        <f>I142-O142</f>
        <v>-2507.41</v>
      </c>
      <c r="Q142" s="123">
        <f>M142/I142</f>
        <v>1.3441971428571426</v>
      </c>
      <c r="R142" s="123">
        <f>P142/I142</f>
        <v>-0.35820142857142856</v>
      </c>
      <c r="S142" s="123">
        <f t="shared" si="66"/>
        <v>0.55000000000000004</v>
      </c>
      <c r="T142" s="117"/>
      <c r="U142" s="118">
        <f t="shared" si="67"/>
        <v>39.212000000000003</v>
      </c>
      <c r="V142" s="110"/>
      <c r="W142" s="110"/>
      <c r="X142" s="110"/>
      <c r="Y142" s="110"/>
      <c r="Z142" s="110"/>
      <c r="AA142" s="110"/>
    </row>
    <row r="143" spans="1:27" x14ac:dyDescent="0.15">
      <c r="A143" s="110" t="s">
        <v>2766</v>
      </c>
      <c r="B143" s="111" t="s">
        <v>37</v>
      </c>
      <c r="C143" s="110"/>
      <c r="D143" s="111">
        <v>9</v>
      </c>
      <c r="E143" s="15">
        <v>161303</v>
      </c>
      <c r="F143" s="16">
        <v>925101220</v>
      </c>
      <c r="G143" s="133" t="s">
        <v>123</v>
      </c>
      <c r="H143" s="111">
        <v>971</v>
      </c>
      <c r="I143" s="117">
        <v>12000</v>
      </c>
      <c r="J143" s="117"/>
      <c r="K143" s="117"/>
      <c r="L143" s="117"/>
      <c r="M143" s="117">
        <v>4916.7</v>
      </c>
      <c r="N143" s="117"/>
      <c r="O143" s="7">
        <f>SUM(K143:N143)</f>
        <v>4916.7</v>
      </c>
      <c r="P143" s="117">
        <f>I143-O143</f>
        <v>7083.3</v>
      </c>
      <c r="Q143" s="123">
        <f>M143/I143</f>
        <v>0.40972500000000001</v>
      </c>
      <c r="R143" s="123">
        <f>P143/I143</f>
        <v>0.59027499999999999</v>
      </c>
      <c r="S143" s="123">
        <f t="shared" si="66"/>
        <v>0.55000000000000004</v>
      </c>
      <c r="T143" s="117"/>
      <c r="U143" s="118" t="str">
        <f t="shared" si="67"/>
        <v/>
      </c>
      <c r="V143" s="110"/>
      <c r="W143" s="110"/>
      <c r="X143" s="110"/>
      <c r="Y143" s="110"/>
      <c r="Z143" s="110"/>
      <c r="AA143" s="110"/>
    </row>
    <row r="144" spans="1:27" x14ac:dyDescent="0.15">
      <c r="A144" s="110" t="s">
        <v>2766</v>
      </c>
      <c r="B144" s="111" t="s">
        <v>47</v>
      </c>
      <c r="C144" s="110"/>
      <c r="D144" s="111">
        <v>9</v>
      </c>
      <c r="E144" s="15">
        <v>161303</v>
      </c>
      <c r="F144" s="16">
        <v>525101120</v>
      </c>
      <c r="G144" s="133" t="s">
        <v>120</v>
      </c>
      <c r="H144" s="111">
        <v>972</v>
      </c>
      <c r="I144" s="117">
        <v>12775</v>
      </c>
      <c r="J144" s="117">
        <v>219</v>
      </c>
      <c r="K144" s="117">
        <f>6769.32+3046.32</f>
        <v>9815.64</v>
      </c>
      <c r="L144" s="117">
        <v>6856.2</v>
      </c>
      <c r="M144" s="117">
        <f>947.81</f>
        <v>947.81</v>
      </c>
      <c r="N144" s="117"/>
      <c r="O144" s="7">
        <f>SUM(K144:N144)</f>
        <v>17619.650000000001</v>
      </c>
      <c r="P144" s="117">
        <f>I144-O144</f>
        <v>-4844.6500000000015</v>
      </c>
      <c r="Q144" s="123">
        <f>M144/I144</f>
        <v>7.4192563600782774E-2</v>
      </c>
      <c r="R144" s="123">
        <f>P144/I144</f>
        <v>-0.379228962818004</v>
      </c>
      <c r="S144" s="123">
        <f t="shared" si="66"/>
        <v>0.55000000000000004</v>
      </c>
      <c r="T144" s="117"/>
      <c r="U144" s="118">
        <f t="shared" si="67"/>
        <v>44.820273972602735</v>
      </c>
      <c r="V144" s="110"/>
      <c r="W144" s="110"/>
      <c r="X144" s="110"/>
      <c r="Y144" s="110"/>
      <c r="Z144" s="110"/>
      <c r="AA144" s="110"/>
    </row>
    <row r="145" spans="1:27" x14ac:dyDescent="0.15">
      <c r="A145" s="110" t="s">
        <v>2766</v>
      </c>
      <c r="B145" s="111" t="s">
        <v>49</v>
      </c>
      <c r="C145" s="110"/>
      <c r="D145" s="111">
        <v>9</v>
      </c>
      <c r="E145" s="15">
        <v>161303</v>
      </c>
      <c r="F145" s="17">
        <v>625120020</v>
      </c>
      <c r="G145" s="133" t="s">
        <v>52</v>
      </c>
      <c r="H145" s="111">
        <v>973</v>
      </c>
      <c r="I145" s="117">
        <f>6000+3000</f>
        <v>9000</v>
      </c>
      <c r="J145" s="117">
        <v>16</v>
      </c>
      <c r="K145" s="117">
        <f>628.48+282.88</f>
        <v>911.36</v>
      </c>
      <c r="L145" s="117">
        <v>1607.62</v>
      </c>
      <c r="M145" s="117">
        <v>2673.32</v>
      </c>
      <c r="N145" s="117"/>
      <c r="O145" s="7">
        <f>SUM(K145:N145)</f>
        <v>5192.3</v>
      </c>
      <c r="P145" s="117">
        <f>I145-O145</f>
        <v>3807.7</v>
      </c>
      <c r="Q145" s="123">
        <f>M145/I145</f>
        <v>0.29703555555555555</v>
      </c>
      <c r="R145" s="123">
        <f>P145/I145</f>
        <v>0.42307777777777777</v>
      </c>
      <c r="S145" s="123">
        <f>1-0.529</f>
        <v>0.47099999999999997</v>
      </c>
      <c r="T145" s="117"/>
      <c r="U145" s="118">
        <f t="shared" si="67"/>
        <v>56.96</v>
      </c>
      <c r="V145" s="110"/>
      <c r="W145" s="110"/>
      <c r="X145" s="110"/>
      <c r="Y145" s="110"/>
      <c r="Z145" s="110"/>
      <c r="AA145" s="110"/>
    </row>
    <row r="146" spans="1:27" x14ac:dyDescent="0.15">
      <c r="A146" s="110" t="s">
        <v>53</v>
      </c>
      <c r="B146" s="111"/>
      <c r="C146" s="110"/>
      <c r="D146" s="111"/>
      <c r="E146" s="15"/>
      <c r="F146" s="111"/>
      <c r="G146" s="133"/>
      <c r="H146" s="111"/>
      <c r="I146" s="117"/>
      <c r="J146" s="117"/>
      <c r="K146" s="117"/>
      <c r="L146" s="117"/>
      <c r="M146" s="117"/>
      <c r="N146" s="117"/>
      <c r="P146" s="117"/>
      <c r="Q146" s="123"/>
      <c r="R146" s="123"/>
      <c r="S146" s="123"/>
      <c r="T146" s="117"/>
      <c r="U146" s="118" t="str">
        <f t="shared" si="67"/>
        <v/>
      </c>
      <c r="V146" s="110"/>
      <c r="W146" s="110"/>
      <c r="X146" s="110"/>
      <c r="Y146" s="110"/>
      <c r="Z146" s="110"/>
      <c r="AA146" s="110"/>
    </row>
    <row r="147" spans="1:27" x14ac:dyDescent="0.15">
      <c r="A147" s="110" t="s">
        <v>2766</v>
      </c>
      <c r="B147" s="111" t="s">
        <v>54</v>
      </c>
      <c r="C147" s="110"/>
      <c r="D147" s="111"/>
      <c r="E147" s="15"/>
      <c r="F147" s="111"/>
      <c r="G147" s="133"/>
      <c r="H147" s="111"/>
      <c r="I147" s="24">
        <f>SUM(I141:I146)</f>
        <v>120834</v>
      </c>
      <c r="J147" s="24">
        <f>SUM(J141:J145)</f>
        <v>288</v>
      </c>
      <c r="K147" s="24">
        <f>SUM(K141:K145)</f>
        <v>12687.7</v>
      </c>
      <c r="L147" s="24">
        <f>SUM(L141:L145)</f>
        <v>8463.82</v>
      </c>
      <c r="M147" s="24">
        <f>SUM(M141:M145)</f>
        <v>37359.299999999996</v>
      </c>
      <c r="N147" s="117"/>
      <c r="O147" s="25">
        <f>SUM(O141:O146)</f>
        <v>58510.820000000007</v>
      </c>
      <c r="P147" s="117">
        <f>I147-O147</f>
        <v>62323.179999999993</v>
      </c>
      <c r="Q147" s="123">
        <f>M147/I147</f>
        <v>0.30917870797954217</v>
      </c>
      <c r="R147" s="123">
        <f>P147/I147</f>
        <v>0.51577519572305797</v>
      </c>
      <c r="S147" s="123">
        <f>((I141*S141)+(I142*S142)+(I143*S143))/I147</f>
        <v>0.45088675372825532</v>
      </c>
      <c r="T147" s="117"/>
      <c r="U147" s="118">
        <f t="shared" si="67"/>
        <v>44.054513888888891</v>
      </c>
      <c r="V147" s="110"/>
      <c r="W147" s="110"/>
      <c r="X147" s="110"/>
      <c r="Y147" s="110"/>
      <c r="Z147" s="110"/>
      <c r="AA147" s="110"/>
    </row>
    <row r="148" spans="1:27" x14ac:dyDescent="0.15">
      <c r="A148" s="110" t="s">
        <v>2766</v>
      </c>
      <c r="B148" s="111" t="s">
        <v>55</v>
      </c>
      <c r="C148" s="110"/>
      <c r="D148" s="111"/>
      <c r="E148" s="15">
        <v>161303</v>
      </c>
      <c r="F148" s="111" t="s">
        <v>2756</v>
      </c>
      <c r="G148" s="133" t="s">
        <v>57</v>
      </c>
      <c r="H148" s="111">
        <v>974</v>
      </c>
      <c r="I148" s="117">
        <v>4000</v>
      </c>
      <c r="J148" s="117">
        <v>16.5</v>
      </c>
      <c r="K148" s="117">
        <f>453.75+204.27</f>
        <v>658.02</v>
      </c>
      <c r="L148" s="117">
        <v>3584.56</v>
      </c>
      <c r="M148" s="117">
        <v>5</v>
      </c>
      <c r="N148" s="117"/>
      <c r="O148" s="7">
        <f>SUM(K148:N148)</f>
        <v>4247.58</v>
      </c>
      <c r="P148" s="117">
        <f>I148-O148</f>
        <v>-247.57999999999993</v>
      </c>
      <c r="Q148" s="123">
        <f>M148/I148</f>
        <v>1.25E-3</v>
      </c>
      <c r="R148" s="123">
        <f>P148/I148</f>
        <v>-6.1894999999999985E-2</v>
      </c>
      <c r="S148" s="123">
        <v>0</v>
      </c>
      <c r="T148" s="117"/>
      <c r="U148" s="118">
        <f t="shared" si="67"/>
        <v>39.879999999999995</v>
      </c>
      <c r="V148" s="110"/>
      <c r="W148" s="110"/>
      <c r="X148" s="110"/>
      <c r="Y148" s="110"/>
      <c r="Z148" s="110"/>
      <c r="AA148" s="110"/>
    </row>
    <row r="149" spans="1:27" x14ac:dyDescent="0.15">
      <c r="A149" s="110" t="s">
        <v>2766</v>
      </c>
      <c r="B149" s="111"/>
      <c r="C149" s="110"/>
      <c r="D149" s="111"/>
      <c r="E149" s="15">
        <v>161303</v>
      </c>
      <c r="F149" s="17" t="s">
        <v>124</v>
      </c>
      <c r="G149" s="133" t="s">
        <v>86</v>
      </c>
      <c r="H149" s="111"/>
      <c r="I149" s="117"/>
      <c r="J149" s="117"/>
      <c r="K149" s="117"/>
      <c r="L149" s="117"/>
      <c r="M149" s="117"/>
      <c r="N149" s="117"/>
      <c r="P149" s="117"/>
      <c r="Q149" s="123"/>
      <c r="R149" s="123"/>
      <c r="S149" s="123"/>
      <c r="T149" s="117"/>
      <c r="U149" s="118" t="str">
        <f t="shared" si="67"/>
        <v/>
      </c>
      <c r="V149" s="110"/>
      <c r="W149" s="110"/>
      <c r="X149" s="110"/>
      <c r="Y149" s="110"/>
      <c r="Z149" s="110"/>
      <c r="AA149" s="110"/>
    </row>
    <row r="150" spans="1:27" x14ac:dyDescent="0.15">
      <c r="A150" s="110" t="s">
        <v>53</v>
      </c>
      <c r="B150" s="111"/>
      <c r="C150" s="110"/>
      <c r="D150" s="111"/>
      <c r="E150" s="15"/>
      <c r="F150" s="111"/>
      <c r="G150" s="133"/>
      <c r="H150" s="111"/>
      <c r="I150" s="117"/>
      <c r="J150" s="117"/>
      <c r="K150" s="117"/>
      <c r="L150" s="117"/>
      <c r="M150" s="117"/>
      <c r="N150" s="117"/>
      <c r="P150" s="117"/>
      <c r="Q150" s="123"/>
      <c r="R150" s="123"/>
      <c r="S150" s="123"/>
      <c r="T150" s="117"/>
      <c r="U150" s="118" t="str">
        <f t="shared" si="67"/>
        <v/>
      </c>
      <c r="V150" s="110"/>
      <c r="W150" s="110"/>
      <c r="X150" s="110"/>
      <c r="Y150" s="110"/>
      <c r="Z150" s="110"/>
      <c r="AA150" s="110"/>
    </row>
    <row r="151" spans="1:27" x14ac:dyDescent="0.15">
      <c r="A151" s="110" t="s">
        <v>2766</v>
      </c>
      <c r="B151" s="111" t="s">
        <v>65</v>
      </c>
      <c r="C151" s="110"/>
      <c r="D151" s="111"/>
      <c r="E151" s="111"/>
      <c r="F151" s="111"/>
      <c r="G151" s="133"/>
      <c r="H151" s="111"/>
      <c r="I151" s="25">
        <f>SUM(I147:I148)</f>
        <v>124834</v>
      </c>
      <c r="J151" s="25">
        <f t="shared" ref="J151:M151" si="68">SUM(J147:J148)</f>
        <v>304.5</v>
      </c>
      <c r="K151" s="25">
        <f t="shared" si="68"/>
        <v>13345.720000000001</v>
      </c>
      <c r="L151" s="25">
        <f t="shared" si="68"/>
        <v>12048.38</v>
      </c>
      <c r="M151" s="25">
        <f t="shared" si="68"/>
        <v>37364.299999999996</v>
      </c>
      <c r="N151" s="117"/>
      <c r="O151" s="25">
        <f>SUM(K151:M151)</f>
        <v>62758.399999999994</v>
      </c>
      <c r="P151" s="117">
        <f>I151-O151</f>
        <v>62075.600000000006</v>
      </c>
      <c r="Q151" s="123">
        <f>M151/I151</f>
        <v>0.29931188618485344</v>
      </c>
      <c r="R151" s="123">
        <f>P151/I151</f>
        <v>0.49726516814329436</v>
      </c>
      <c r="S151" s="123"/>
      <c r="T151" s="117"/>
      <c r="U151" s="118">
        <f t="shared" si="67"/>
        <v>43.828308702791468</v>
      </c>
      <c r="V151" s="110"/>
      <c r="W151" s="110"/>
      <c r="X151" s="110"/>
      <c r="Y151" s="110"/>
      <c r="Z151" s="110"/>
      <c r="AA151" s="110"/>
    </row>
    <row r="152" spans="1:27" x14ac:dyDescent="0.15">
      <c r="A152" s="110" t="s">
        <v>2766</v>
      </c>
      <c r="B152" s="111" t="s">
        <v>66</v>
      </c>
      <c r="C152" s="110"/>
      <c r="D152" s="111"/>
      <c r="E152" s="111"/>
      <c r="F152" s="111"/>
      <c r="G152" s="133"/>
      <c r="H152" s="111"/>
      <c r="I152" s="117">
        <f>I141+I142+I143</f>
        <v>99059</v>
      </c>
      <c r="J152" s="117">
        <f>J141+J142+J143</f>
        <v>53</v>
      </c>
      <c r="K152" s="117">
        <f>K141+K142+K143</f>
        <v>1960.7</v>
      </c>
      <c r="L152" s="117">
        <f>L141+L142+L143</f>
        <v>0</v>
      </c>
      <c r="M152" s="117">
        <f>M141+M142+M143</f>
        <v>33738.17</v>
      </c>
      <c r="N152" s="117"/>
      <c r="O152" s="7">
        <f>O141+O142+O143</f>
        <v>35698.870000000003</v>
      </c>
      <c r="P152" s="117">
        <f>P141+P142+P143</f>
        <v>63360.130000000005</v>
      </c>
      <c r="Q152" s="123">
        <f>M152/I152</f>
        <v>0.34058662009509483</v>
      </c>
      <c r="R152" s="123">
        <f>P152/I152</f>
        <v>0.63962012537982416</v>
      </c>
      <c r="S152" s="123">
        <f>((I141*S141)+(I142*S142)+(I143*S143))/I152</f>
        <v>0.55000000000000004</v>
      </c>
      <c r="T152" s="117"/>
      <c r="U152" s="118">
        <f t="shared" si="67"/>
        <v>36.994339622641512</v>
      </c>
      <c r="V152" s="110"/>
      <c r="W152" s="110"/>
      <c r="X152" s="110"/>
      <c r="Y152" s="110"/>
      <c r="Z152" s="110"/>
      <c r="AA152" s="110"/>
    </row>
    <row r="153" spans="1:27" x14ac:dyDescent="0.15">
      <c r="A153" s="124" t="s">
        <v>53</v>
      </c>
      <c r="B153" s="124"/>
      <c r="C153" s="124"/>
      <c r="D153" s="124"/>
      <c r="E153" s="124"/>
      <c r="F153" s="124"/>
      <c r="G153" s="186"/>
      <c r="H153" s="124"/>
      <c r="I153" s="126"/>
      <c r="J153" s="126"/>
      <c r="K153" s="126"/>
      <c r="L153" s="126"/>
      <c r="M153" s="126"/>
      <c r="N153" s="126"/>
      <c r="O153" s="18"/>
      <c r="P153" s="126"/>
      <c r="Q153" s="187"/>
      <c r="R153" s="187"/>
      <c r="S153" s="187"/>
      <c r="T153" s="126"/>
      <c r="U153" s="127"/>
      <c r="V153" s="130"/>
      <c r="W153" s="130"/>
      <c r="X153" s="130"/>
      <c r="Y153" s="110"/>
      <c r="Z153" s="130"/>
      <c r="AA153" s="130"/>
    </row>
    <row r="154" spans="1:27" x14ac:dyDescent="0.15">
      <c r="A154" s="110" t="s">
        <v>2767</v>
      </c>
      <c r="B154" s="111" t="s">
        <v>37</v>
      </c>
      <c r="C154" s="110"/>
      <c r="D154" s="111">
        <v>11</v>
      </c>
      <c r="E154" s="15">
        <v>161769</v>
      </c>
      <c r="F154" s="16">
        <v>125101120</v>
      </c>
      <c r="G154" s="133" t="s">
        <v>122</v>
      </c>
      <c r="H154" s="111">
        <v>992</v>
      </c>
      <c r="I154" s="131">
        <v>114844</v>
      </c>
      <c r="J154" s="117">
        <f>16+12+2.5</f>
        <v>30.5</v>
      </c>
      <c r="K154" s="117">
        <f>779.27+350.76</f>
        <v>1130.03</v>
      </c>
      <c r="L154" s="117"/>
      <c r="M154" s="117">
        <v>25592.35</v>
      </c>
      <c r="N154" s="117"/>
      <c r="O154" s="7">
        <f t="shared" ref="O154:O160" si="69">SUM(K154:N154)</f>
        <v>26722.379999999997</v>
      </c>
      <c r="P154" s="117">
        <f>I154-O154</f>
        <v>88121.62</v>
      </c>
      <c r="Q154" s="123">
        <f t="shared" ref="Q154:Q160" si="70">M154/I154</f>
        <v>0.22284446727735013</v>
      </c>
      <c r="R154" s="123">
        <f t="shared" ref="R154:R160" si="71">P154/I154</f>
        <v>0.76731583713559259</v>
      </c>
      <c r="S154" s="123">
        <f t="shared" ref="S154:S156" si="72">1-0.45</f>
        <v>0.55000000000000004</v>
      </c>
      <c r="T154" s="117"/>
      <c r="U154" s="118">
        <f t="shared" si="67"/>
        <v>37.05016393442623</v>
      </c>
      <c r="V154" s="110"/>
      <c r="W154" s="110"/>
      <c r="X154" s="110"/>
      <c r="Y154" s="110"/>
      <c r="Z154" s="110"/>
      <c r="AA154" s="110"/>
    </row>
    <row r="155" spans="1:27" x14ac:dyDescent="0.15">
      <c r="A155" s="110" t="s">
        <v>2767</v>
      </c>
      <c r="B155" s="111" t="s">
        <v>47</v>
      </c>
      <c r="C155" s="110"/>
      <c r="D155" s="111">
        <v>11</v>
      </c>
      <c r="E155" s="15">
        <v>161769</v>
      </c>
      <c r="F155" s="16">
        <v>525101120</v>
      </c>
      <c r="G155" s="133" t="s">
        <v>120</v>
      </c>
      <c r="H155" s="111">
        <v>993</v>
      </c>
      <c r="I155" s="117">
        <v>28605</v>
      </c>
      <c r="J155" s="117">
        <v>124.5</v>
      </c>
      <c r="K155" s="117">
        <f>3848.3+1731.8</f>
        <v>5580.1</v>
      </c>
      <c r="L155" s="117">
        <v>4794.26</v>
      </c>
      <c r="M155" s="117">
        <v>1536.85</v>
      </c>
      <c r="N155" s="117"/>
      <c r="O155" s="7">
        <f t="shared" si="69"/>
        <v>11911.210000000001</v>
      </c>
      <c r="P155" s="117">
        <f t="shared" ref="P155:P160" si="73">I155-O155</f>
        <v>16693.79</v>
      </c>
      <c r="Q155" s="123">
        <f t="shared" si="70"/>
        <v>5.3726621220066419E-2</v>
      </c>
      <c r="R155" s="123">
        <f t="shared" si="71"/>
        <v>0.58359692361475268</v>
      </c>
      <c r="S155" s="123">
        <f t="shared" si="72"/>
        <v>0.55000000000000004</v>
      </c>
      <c r="T155" s="117"/>
      <c r="U155" s="118">
        <f t="shared" si="67"/>
        <v>44.820080321285147</v>
      </c>
      <c r="V155" s="110"/>
      <c r="W155" s="110"/>
      <c r="X155" s="110"/>
      <c r="Y155" s="110"/>
      <c r="Z155" s="110"/>
      <c r="AA155" s="110"/>
    </row>
    <row r="156" spans="1:27" x14ac:dyDescent="0.15">
      <c r="A156" s="110" t="s">
        <v>2767</v>
      </c>
      <c r="B156" s="111" t="s">
        <v>37</v>
      </c>
      <c r="C156" s="110"/>
      <c r="D156" s="111">
        <v>11</v>
      </c>
      <c r="E156" s="15">
        <v>161769</v>
      </c>
      <c r="F156" s="16">
        <v>925101420</v>
      </c>
      <c r="G156" s="133" t="s">
        <v>2768</v>
      </c>
      <c r="H156" s="111">
        <v>994</v>
      </c>
      <c r="I156" s="117">
        <v>10250</v>
      </c>
      <c r="J156" s="117"/>
      <c r="K156" s="117"/>
      <c r="L156" s="117"/>
      <c r="M156" s="117">
        <v>1441.74</v>
      </c>
      <c r="N156" s="117"/>
      <c r="O156" s="7">
        <f t="shared" si="69"/>
        <v>1441.74</v>
      </c>
      <c r="P156" s="117">
        <f t="shared" si="73"/>
        <v>8808.26</v>
      </c>
      <c r="Q156" s="123">
        <f t="shared" si="70"/>
        <v>0.14065756097560975</v>
      </c>
      <c r="R156" s="123">
        <f t="shared" si="71"/>
        <v>0.85934243902439023</v>
      </c>
      <c r="S156" s="123">
        <f t="shared" si="72"/>
        <v>0.55000000000000004</v>
      </c>
      <c r="T156" s="117"/>
      <c r="U156" s="118" t="str">
        <f t="shared" si="67"/>
        <v/>
      </c>
      <c r="V156" s="110"/>
      <c r="W156" s="110"/>
      <c r="X156" s="110"/>
      <c r="Y156" s="110"/>
      <c r="Z156" s="110"/>
      <c r="AA156" s="110"/>
    </row>
    <row r="157" spans="1:27" x14ac:dyDescent="0.15">
      <c r="A157" s="110" t="s">
        <v>2767</v>
      </c>
      <c r="B157" s="111" t="s">
        <v>999</v>
      </c>
      <c r="C157" s="110"/>
      <c r="D157" s="111">
        <v>11</v>
      </c>
      <c r="E157" s="15">
        <v>161769</v>
      </c>
      <c r="F157" s="17">
        <v>626420120</v>
      </c>
      <c r="G157" s="133" t="s">
        <v>52</v>
      </c>
      <c r="H157" s="111">
        <v>995</v>
      </c>
      <c r="I157" s="117">
        <v>7321</v>
      </c>
      <c r="J157" s="117">
        <v>40</v>
      </c>
      <c r="K157" s="117">
        <f>1571.2+707.2</f>
        <v>2278.4</v>
      </c>
      <c r="L157" s="117">
        <f>639.96</f>
        <v>639.96</v>
      </c>
      <c r="M157" s="117">
        <v>2631.25</v>
      </c>
      <c r="N157" s="117"/>
      <c r="O157" s="7">
        <f t="shared" si="69"/>
        <v>5549.6100000000006</v>
      </c>
      <c r="P157" s="117">
        <f t="shared" si="73"/>
        <v>1771.3899999999994</v>
      </c>
      <c r="Q157" s="123">
        <f t="shared" si="70"/>
        <v>0.35941128261166505</v>
      </c>
      <c r="R157" s="123">
        <f t="shared" si="71"/>
        <v>0.24196011473842363</v>
      </c>
      <c r="S157" s="123">
        <f>1-0.529</f>
        <v>0.47099999999999997</v>
      </c>
      <c r="T157" s="117"/>
      <c r="U157" s="118">
        <f t="shared" si="67"/>
        <v>56.96</v>
      </c>
      <c r="V157" s="110"/>
      <c r="W157" s="110"/>
      <c r="X157" s="110"/>
      <c r="Y157" s="110"/>
      <c r="Z157" s="110"/>
      <c r="AA157" s="110"/>
    </row>
    <row r="158" spans="1:27" x14ac:dyDescent="0.15">
      <c r="A158" s="110" t="s">
        <v>2767</v>
      </c>
      <c r="B158" s="111" t="s">
        <v>37</v>
      </c>
      <c r="C158" s="110"/>
      <c r="D158" s="111">
        <v>11</v>
      </c>
      <c r="E158" s="15">
        <v>161769</v>
      </c>
      <c r="F158" s="16">
        <v>310300200</v>
      </c>
      <c r="G158" s="133" t="s">
        <v>126</v>
      </c>
      <c r="H158" s="111">
        <v>996</v>
      </c>
      <c r="I158" s="117">
        <v>29314</v>
      </c>
      <c r="J158" s="117">
        <f>5+35.5</f>
        <v>40.5</v>
      </c>
      <c r="K158" s="117">
        <f>988.62+444.96</f>
        <v>1433.58</v>
      </c>
      <c r="L158" s="117"/>
      <c r="M158" s="117">
        <v>9883.43</v>
      </c>
      <c r="N158" s="117"/>
      <c r="O158" s="7">
        <f t="shared" si="69"/>
        <v>11317.01</v>
      </c>
      <c r="P158" s="117">
        <f t="shared" si="73"/>
        <v>17996.989999999998</v>
      </c>
      <c r="Q158" s="123">
        <f t="shared" si="70"/>
        <v>0.3371573309681381</v>
      </c>
      <c r="R158" s="123">
        <f t="shared" si="71"/>
        <v>0.61393839121238991</v>
      </c>
      <c r="S158" s="123">
        <f t="shared" ref="S158:S160" si="74">1-0.45</f>
        <v>0.55000000000000004</v>
      </c>
      <c r="T158" s="117"/>
      <c r="U158" s="118">
        <f t="shared" si="67"/>
        <v>35.397037037037038</v>
      </c>
      <c r="V158" s="110"/>
      <c r="W158" s="110"/>
      <c r="X158" s="110"/>
      <c r="Y158" s="110"/>
      <c r="Z158" s="110"/>
      <c r="AA158" s="110"/>
    </row>
    <row r="159" spans="1:27" x14ac:dyDescent="0.15">
      <c r="A159" s="110" t="s">
        <v>2767</v>
      </c>
      <c r="B159" s="111" t="s">
        <v>37</v>
      </c>
      <c r="C159" s="110"/>
      <c r="D159" s="111">
        <v>11</v>
      </c>
      <c r="E159" s="15">
        <v>161769</v>
      </c>
      <c r="F159" s="16">
        <v>210010110</v>
      </c>
      <c r="G159" s="133" t="s">
        <v>76</v>
      </c>
      <c r="H159" s="111">
        <v>997</v>
      </c>
      <c r="I159" s="117">
        <v>4400</v>
      </c>
      <c r="J159" s="117"/>
      <c r="K159" s="117"/>
      <c r="L159" s="117"/>
      <c r="M159" s="117">
        <v>1565.84</v>
      </c>
      <c r="N159" s="117"/>
      <c r="O159" s="7">
        <f t="shared" si="69"/>
        <v>1565.84</v>
      </c>
      <c r="P159" s="117">
        <f t="shared" si="73"/>
        <v>2834.16</v>
      </c>
      <c r="Q159" s="123">
        <f t="shared" si="70"/>
        <v>0.35587272727272723</v>
      </c>
      <c r="R159" s="123">
        <f t="shared" si="71"/>
        <v>0.64412727272727266</v>
      </c>
      <c r="S159" s="123">
        <f t="shared" si="74"/>
        <v>0.55000000000000004</v>
      </c>
      <c r="T159" s="117"/>
      <c r="U159" s="118" t="str">
        <f t="shared" si="67"/>
        <v/>
      </c>
      <c r="V159" s="110"/>
      <c r="W159" s="110"/>
      <c r="X159" s="110"/>
      <c r="Y159" s="110"/>
      <c r="Z159" s="110"/>
      <c r="AA159" s="110"/>
    </row>
    <row r="160" spans="1:27" x14ac:dyDescent="0.15">
      <c r="A160" s="110" t="s">
        <v>2767</v>
      </c>
      <c r="B160" s="111" t="s">
        <v>37</v>
      </c>
      <c r="C160" s="110"/>
      <c r="D160" s="111">
        <v>11</v>
      </c>
      <c r="E160" s="15">
        <v>161769</v>
      </c>
      <c r="F160" s="16">
        <v>220100110</v>
      </c>
      <c r="G160" s="133" t="s">
        <v>74</v>
      </c>
      <c r="H160" s="111">
        <v>998</v>
      </c>
      <c r="I160" s="117">
        <v>7600</v>
      </c>
      <c r="J160" s="117"/>
      <c r="K160" s="117"/>
      <c r="L160" s="117"/>
      <c r="M160" s="117">
        <v>8077.12</v>
      </c>
      <c r="N160" s="117"/>
      <c r="O160" s="7">
        <f t="shared" si="69"/>
        <v>8077.12</v>
      </c>
      <c r="P160" s="117">
        <f t="shared" si="73"/>
        <v>-477.11999999999989</v>
      </c>
      <c r="Q160" s="123">
        <f t="shared" si="70"/>
        <v>1.062778947368421</v>
      </c>
      <c r="R160" s="123">
        <f t="shared" si="71"/>
        <v>-6.2778947368421031E-2</v>
      </c>
      <c r="S160" s="123">
        <f t="shared" si="74"/>
        <v>0.55000000000000004</v>
      </c>
      <c r="T160" s="117"/>
      <c r="U160" s="118" t="str">
        <f t="shared" si="67"/>
        <v/>
      </c>
      <c r="V160" s="110"/>
      <c r="W160" s="110"/>
      <c r="X160" s="110"/>
      <c r="Y160" s="110"/>
      <c r="Z160" s="110"/>
      <c r="AA160" s="110"/>
    </row>
    <row r="161" spans="1:27" x14ac:dyDescent="0.15">
      <c r="A161" s="110" t="s">
        <v>53</v>
      </c>
      <c r="B161" s="111"/>
      <c r="C161" s="110"/>
      <c r="D161" s="111"/>
      <c r="E161" s="15"/>
      <c r="F161" s="111"/>
      <c r="G161" s="133"/>
      <c r="H161" s="111"/>
      <c r="I161" s="117"/>
      <c r="J161" s="117"/>
      <c r="K161" s="117"/>
      <c r="L161" s="117"/>
      <c r="M161" s="117"/>
      <c r="N161" s="117"/>
      <c r="P161" s="117"/>
      <c r="Q161" s="123"/>
      <c r="R161" s="123"/>
      <c r="S161" s="123"/>
      <c r="T161" s="117"/>
      <c r="U161" s="118" t="str">
        <f t="shared" si="67"/>
        <v/>
      </c>
      <c r="V161" s="110"/>
      <c r="W161" s="110"/>
      <c r="X161" s="110"/>
      <c r="Y161" s="110"/>
      <c r="Z161" s="110"/>
      <c r="AA161" s="110"/>
    </row>
    <row r="162" spans="1:27" x14ac:dyDescent="0.15">
      <c r="A162" s="110" t="s">
        <v>2767</v>
      </c>
      <c r="B162" s="111" t="s">
        <v>54</v>
      </c>
      <c r="C162" s="110"/>
      <c r="D162" s="111"/>
      <c r="E162" s="15"/>
      <c r="F162" s="111"/>
      <c r="G162" s="133"/>
      <c r="H162" s="111"/>
      <c r="I162" s="24">
        <f>SUM(I154:I161)</f>
        <v>202334</v>
      </c>
      <c r="J162" s="24">
        <f>SUM(J154:J160)</f>
        <v>235.5</v>
      </c>
      <c r="K162" s="24">
        <f t="shared" ref="K162:M162" si="75">SUM(K154:K160)</f>
        <v>10422.11</v>
      </c>
      <c r="L162" s="24">
        <f t="shared" si="75"/>
        <v>5434.22</v>
      </c>
      <c r="M162" s="24">
        <f t="shared" si="75"/>
        <v>50728.579999999994</v>
      </c>
      <c r="N162" s="117"/>
      <c r="O162" s="25">
        <f>SUM(O154:O160)</f>
        <v>66584.909999999989</v>
      </c>
      <c r="P162" s="117">
        <f>I162-O162</f>
        <v>135749.09000000003</v>
      </c>
      <c r="Q162" s="123">
        <f>M162/I162</f>
        <v>0.25071703223383118</v>
      </c>
      <c r="R162" s="123">
        <f>P162/I162</f>
        <v>0.6709158618917237</v>
      </c>
      <c r="S162" s="123">
        <f>((I154*S154)+(I156*S156)+(I158*S158)+(I159*S159)+(I160*S160))/I162</f>
        <v>0.45234315537675335</v>
      </c>
      <c r="T162" s="117"/>
      <c r="U162" s="118">
        <f t="shared" si="67"/>
        <v>44.25524416135881</v>
      </c>
      <c r="V162" s="110"/>
      <c r="W162" s="110"/>
      <c r="X162" s="110"/>
      <c r="Y162" s="110"/>
      <c r="Z162" s="110"/>
      <c r="AA162" s="110"/>
    </row>
    <row r="163" spans="1:27" x14ac:dyDescent="0.15">
      <c r="A163" s="110" t="s">
        <v>2767</v>
      </c>
      <c r="B163" s="111" t="s">
        <v>55</v>
      </c>
      <c r="C163" s="110"/>
      <c r="D163" s="111"/>
      <c r="E163" s="15">
        <v>161769</v>
      </c>
      <c r="F163" s="111" t="s">
        <v>2756</v>
      </c>
      <c r="G163" s="133" t="s">
        <v>57</v>
      </c>
      <c r="H163" s="111">
        <v>999</v>
      </c>
      <c r="I163" s="117">
        <v>3500</v>
      </c>
      <c r="J163" s="117">
        <v>19</v>
      </c>
      <c r="K163" s="117">
        <f>522.5+235.22</f>
        <v>757.72</v>
      </c>
      <c r="L163" s="117">
        <v>4717.03</v>
      </c>
      <c r="M163" s="117"/>
      <c r="N163" s="117"/>
      <c r="O163" s="7">
        <f>SUM(K163:N163)</f>
        <v>5474.75</v>
      </c>
      <c r="P163" s="117">
        <f>I163-O163</f>
        <v>-1974.75</v>
      </c>
      <c r="Q163" s="123">
        <f>M163/I163</f>
        <v>0</v>
      </c>
      <c r="R163" s="123">
        <f>P163/I163</f>
        <v>-0.56421428571428567</v>
      </c>
      <c r="S163" s="123">
        <v>0</v>
      </c>
      <c r="T163" s="117"/>
      <c r="U163" s="118">
        <f t="shared" si="67"/>
        <v>39.880000000000003</v>
      </c>
      <c r="V163" s="110"/>
      <c r="W163" s="110"/>
      <c r="X163" s="110"/>
      <c r="Y163" s="110"/>
      <c r="Z163" s="110"/>
      <c r="AA163" s="110"/>
    </row>
    <row r="164" spans="1:27" x14ac:dyDescent="0.15">
      <c r="A164" s="110" t="s">
        <v>2767</v>
      </c>
      <c r="B164" s="111" t="s">
        <v>58</v>
      </c>
      <c r="C164" s="110"/>
      <c r="D164" s="111"/>
      <c r="E164" s="15">
        <v>161769</v>
      </c>
      <c r="F164" s="111" t="s">
        <v>87</v>
      </c>
      <c r="G164" s="133" t="s">
        <v>86</v>
      </c>
      <c r="H164" s="111"/>
      <c r="I164" s="117">
        <v>41269</v>
      </c>
      <c r="J164" s="117"/>
      <c r="K164" s="117"/>
      <c r="L164" s="117"/>
      <c r="M164" s="117"/>
      <c r="N164" s="117"/>
      <c r="P164" s="117"/>
      <c r="Q164" s="123"/>
      <c r="R164" s="123"/>
      <c r="S164" s="123"/>
      <c r="T164" s="117"/>
      <c r="U164" s="118" t="str">
        <f t="shared" si="67"/>
        <v/>
      </c>
      <c r="V164" s="110"/>
      <c r="W164" s="110"/>
      <c r="X164" s="110"/>
      <c r="Y164" s="110"/>
      <c r="Z164" s="110"/>
      <c r="AA164" s="110"/>
    </row>
    <row r="165" spans="1:27" x14ac:dyDescent="0.15">
      <c r="A165" s="110"/>
      <c r="B165" s="111"/>
      <c r="C165" s="110"/>
      <c r="D165" s="111"/>
      <c r="E165" s="15"/>
      <c r="F165" s="111"/>
      <c r="G165" s="133"/>
      <c r="H165" s="111"/>
      <c r="I165" s="117"/>
      <c r="J165" s="117"/>
      <c r="K165" s="117"/>
      <c r="L165" s="117"/>
      <c r="M165" s="117"/>
      <c r="N165" s="117"/>
      <c r="P165" s="117"/>
      <c r="Q165" s="123"/>
      <c r="R165" s="123"/>
      <c r="S165" s="123"/>
      <c r="T165" s="117"/>
      <c r="U165" s="118" t="str">
        <f t="shared" si="67"/>
        <v/>
      </c>
      <c r="V165" s="110"/>
      <c r="W165" s="110"/>
      <c r="X165" s="110"/>
      <c r="Y165" s="110"/>
      <c r="Z165" s="110"/>
      <c r="AA165" s="110"/>
    </row>
    <row r="166" spans="1:27" x14ac:dyDescent="0.15">
      <c r="A166" s="110" t="s">
        <v>2767</v>
      </c>
      <c r="B166" s="111" t="s">
        <v>65</v>
      </c>
      <c r="C166" s="110"/>
      <c r="D166" s="111"/>
      <c r="E166" s="111"/>
      <c r="F166" s="111"/>
      <c r="G166" s="133"/>
      <c r="H166" s="111"/>
      <c r="I166" s="25">
        <f>SUM(I162:I164)</f>
        <v>247103</v>
      </c>
      <c r="J166" s="25">
        <f t="shared" ref="J166:M166" si="76">SUM(J162:J164)</f>
        <v>254.5</v>
      </c>
      <c r="K166" s="25">
        <f t="shared" si="76"/>
        <v>11179.83</v>
      </c>
      <c r="L166" s="25">
        <f t="shared" si="76"/>
        <v>10151.25</v>
      </c>
      <c r="M166" s="25">
        <f t="shared" si="76"/>
        <v>50728.579999999994</v>
      </c>
      <c r="N166" s="117"/>
      <c r="O166" s="25">
        <f>SUM(K166:M166)</f>
        <v>72059.66</v>
      </c>
      <c r="P166" s="117">
        <f>I166-O166</f>
        <v>175043.34</v>
      </c>
      <c r="Q166" s="123">
        <f>M166/I166</f>
        <v>0.20529325827691283</v>
      </c>
      <c r="R166" s="123">
        <f>P166/I166</f>
        <v>0.70838209167836896</v>
      </c>
      <c r="S166" s="123">
        <v>0.55000000000000004</v>
      </c>
      <c r="T166" s="117"/>
      <c r="U166" s="118">
        <f t="shared" si="67"/>
        <v>43.92860510805501</v>
      </c>
      <c r="V166" s="110"/>
      <c r="W166" s="110"/>
      <c r="X166" s="110"/>
      <c r="Y166" s="110"/>
      <c r="Z166" s="110"/>
      <c r="AA166" s="110"/>
    </row>
    <row r="167" spans="1:27" x14ac:dyDescent="0.15">
      <c r="A167" s="110" t="s">
        <v>2767</v>
      </c>
      <c r="B167" s="111" t="s">
        <v>66</v>
      </c>
      <c r="C167" s="110"/>
      <c r="D167" s="111"/>
      <c r="E167" s="111"/>
      <c r="F167" s="111"/>
      <c r="G167" s="133"/>
      <c r="H167" s="111"/>
      <c r="I167" s="117">
        <f>SUM(I154,I156,I158,I159,I160)</f>
        <v>166408</v>
      </c>
      <c r="J167" s="117">
        <f t="shared" ref="J167:M167" si="77">SUM(J154,J156,J158,J159,J160)</f>
        <v>71</v>
      </c>
      <c r="K167" s="117">
        <f t="shared" si="77"/>
        <v>2563.6099999999997</v>
      </c>
      <c r="L167" s="117">
        <f t="shared" si="77"/>
        <v>0</v>
      </c>
      <c r="M167" s="117">
        <f t="shared" si="77"/>
        <v>46560.480000000003</v>
      </c>
      <c r="N167" s="117"/>
      <c r="O167" s="7">
        <f>SUM(O154,O156,O158,O159,O160)</f>
        <v>49124.09</v>
      </c>
      <c r="P167" s="117">
        <f>P154+P159</f>
        <v>90955.78</v>
      </c>
      <c r="Q167" s="123">
        <f>M167/I167</f>
        <v>0.27979712513821453</v>
      </c>
      <c r="R167" s="123">
        <f>P167/I167</f>
        <v>0.54658297677996248</v>
      </c>
      <c r="S167" s="123">
        <f>((I154*S154)+(I156*S156)+(I158*S158)+(I159*S159)+(I160*S160))/I167</f>
        <v>0.55000000000000004</v>
      </c>
      <c r="T167" s="117"/>
      <c r="U167" s="118">
        <f t="shared" si="67"/>
        <v>36.107183098591541</v>
      </c>
      <c r="V167" s="110"/>
      <c r="W167" s="110"/>
      <c r="X167" s="110"/>
      <c r="Y167" s="110"/>
      <c r="Z167" s="110"/>
      <c r="AA167" s="110"/>
    </row>
    <row r="168" spans="1:27" x14ac:dyDescent="0.15">
      <c r="A168" s="124" t="s">
        <v>53</v>
      </c>
      <c r="B168" s="124"/>
      <c r="C168" s="124"/>
      <c r="D168" s="124"/>
      <c r="E168" s="124"/>
      <c r="F168" s="124"/>
      <c r="G168" s="186"/>
      <c r="H168" s="124"/>
      <c r="I168" s="126"/>
      <c r="J168" s="126"/>
      <c r="K168" s="126"/>
      <c r="L168" s="126"/>
      <c r="M168" s="126"/>
      <c r="N168" s="126"/>
      <c r="O168" s="18"/>
      <c r="P168" s="126"/>
      <c r="Q168" s="187"/>
      <c r="R168" s="187"/>
      <c r="S168" s="187"/>
      <c r="T168" s="126"/>
      <c r="U168" s="127"/>
      <c r="V168" s="130"/>
      <c r="W168" s="130"/>
      <c r="X168" s="130"/>
      <c r="Y168" s="110"/>
      <c r="Z168" s="130"/>
      <c r="AA168" s="130"/>
    </row>
    <row r="169" spans="1:27" x14ac:dyDescent="0.15">
      <c r="A169" s="110" t="s">
        <v>2769</v>
      </c>
      <c r="B169" s="111" t="s">
        <v>37</v>
      </c>
      <c r="C169" s="110"/>
      <c r="D169" s="111">
        <v>11</v>
      </c>
      <c r="E169" s="15">
        <v>161768</v>
      </c>
      <c r="F169" s="16">
        <v>140000110</v>
      </c>
      <c r="G169" s="133" t="s">
        <v>128</v>
      </c>
      <c r="H169" s="111">
        <v>1000</v>
      </c>
      <c r="I169" s="131">
        <v>152154</v>
      </c>
      <c r="J169" s="117">
        <f>6+69.5+106</f>
        <v>181.5</v>
      </c>
      <c r="K169" s="117">
        <f>4747.02+2136.3</f>
        <v>6883.3200000000006</v>
      </c>
      <c r="L169" s="117"/>
      <c r="M169" s="117">
        <v>50401.26</v>
      </c>
      <c r="N169" s="117"/>
      <c r="O169" s="7">
        <f t="shared" ref="O169:O177" si="78">SUM(K169:N169)</f>
        <v>57284.58</v>
      </c>
      <c r="P169" s="117">
        <f t="shared" ref="P169:P177" si="79">I169-O169</f>
        <v>94869.42</v>
      </c>
      <c r="Q169" s="123">
        <f t="shared" ref="Q169:Q177" si="80">M169/I169</f>
        <v>0.3312516266414291</v>
      </c>
      <c r="R169" s="123">
        <f t="shared" ref="R169:R177" si="81">P169/I169</f>
        <v>0.6235092077763319</v>
      </c>
      <c r="S169" s="123">
        <f t="shared" ref="S169:S172" si="82">1-0.45</f>
        <v>0.55000000000000004</v>
      </c>
      <c r="T169" s="117"/>
      <c r="U169" s="118">
        <f t="shared" si="67"/>
        <v>37.92462809917356</v>
      </c>
      <c r="V169" s="110"/>
      <c r="W169" s="110"/>
      <c r="X169" s="110"/>
      <c r="Y169" s="110"/>
      <c r="Z169" s="110"/>
      <c r="AA169" s="110"/>
    </row>
    <row r="170" spans="1:27" x14ac:dyDescent="0.15">
      <c r="A170" s="110" t="s">
        <v>2769</v>
      </c>
      <c r="B170" s="111" t="s">
        <v>47</v>
      </c>
      <c r="C170" s="110"/>
      <c r="D170" s="111">
        <v>11</v>
      </c>
      <c r="E170" s="15">
        <v>161768</v>
      </c>
      <c r="F170" s="16">
        <v>540000110</v>
      </c>
      <c r="G170" s="133" t="s">
        <v>120</v>
      </c>
      <c r="H170" s="111">
        <v>1001</v>
      </c>
      <c r="I170" s="117">
        <v>18700</v>
      </c>
      <c r="J170" s="117">
        <v>110</v>
      </c>
      <c r="K170" s="117">
        <f>3400.11+1530.11</f>
        <v>4930.22</v>
      </c>
      <c r="L170" s="117">
        <v>5354.86</v>
      </c>
      <c r="M170" s="117">
        <v>1881.83</v>
      </c>
      <c r="N170" s="117"/>
      <c r="O170" s="7">
        <f t="shared" si="78"/>
        <v>12166.91</v>
      </c>
      <c r="P170" s="117">
        <f t="shared" si="79"/>
        <v>6533.09</v>
      </c>
      <c r="Q170" s="123">
        <f t="shared" si="80"/>
        <v>0.10063262032085561</v>
      </c>
      <c r="R170" s="123">
        <f t="shared" si="81"/>
        <v>0.34936310160427808</v>
      </c>
      <c r="S170" s="123">
        <f t="shared" si="82"/>
        <v>0.55000000000000004</v>
      </c>
      <c r="T170" s="117"/>
      <c r="U170" s="118">
        <f t="shared" si="67"/>
        <v>44.820181818181823</v>
      </c>
      <c r="V170" s="110"/>
      <c r="W170" s="110"/>
      <c r="X170" s="110"/>
      <c r="Y170" s="110"/>
      <c r="Z170" s="110"/>
      <c r="AA170" s="110"/>
    </row>
    <row r="171" spans="1:27" x14ac:dyDescent="0.15">
      <c r="A171" s="110" t="s">
        <v>2769</v>
      </c>
      <c r="B171" s="111" t="s">
        <v>37</v>
      </c>
      <c r="C171" s="110"/>
      <c r="D171" s="111">
        <v>11</v>
      </c>
      <c r="E171" s="15">
        <v>161768</v>
      </c>
      <c r="F171" s="16">
        <v>125100120</v>
      </c>
      <c r="G171" s="133" t="s">
        <v>122</v>
      </c>
      <c r="H171" s="111">
        <v>1002</v>
      </c>
      <c r="I171" s="117">
        <v>129634</v>
      </c>
      <c r="J171" s="117">
        <f>12+10</f>
        <v>22</v>
      </c>
      <c r="K171" s="117">
        <f>564.88+254.25</f>
        <v>819.13</v>
      </c>
      <c r="L171" s="117"/>
      <c r="M171" s="117">
        <v>27141.99</v>
      </c>
      <c r="N171" s="117"/>
      <c r="O171" s="7">
        <f t="shared" si="78"/>
        <v>27961.120000000003</v>
      </c>
      <c r="P171" s="117">
        <f t="shared" si="79"/>
        <v>101672.88</v>
      </c>
      <c r="Q171" s="123">
        <f t="shared" si="80"/>
        <v>0.20937400681919868</v>
      </c>
      <c r="R171" s="123">
        <f t="shared" si="81"/>
        <v>0.78430720335714399</v>
      </c>
      <c r="S171" s="123">
        <f t="shared" si="82"/>
        <v>0.55000000000000004</v>
      </c>
      <c r="T171" s="117"/>
      <c r="U171" s="118">
        <f t="shared" si="67"/>
        <v>37.233181818181819</v>
      </c>
      <c r="V171" s="110"/>
      <c r="W171" s="110"/>
      <c r="X171" s="110"/>
      <c r="Y171" s="110"/>
      <c r="Z171" s="110"/>
      <c r="AA171" s="110"/>
    </row>
    <row r="172" spans="1:27" x14ac:dyDescent="0.15">
      <c r="A172" s="110" t="s">
        <v>2769</v>
      </c>
      <c r="B172" s="111" t="s">
        <v>47</v>
      </c>
      <c r="C172" s="110"/>
      <c r="D172" s="111">
        <v>11</v>
      </c>
      <c r="E172" s="15">
        <v>161768</v>
      </c>
      <c r="F172" s="16">
        <v>525100120</v>
      </c>
      <c r="G172" s="133" t="s">
        <v>120</v>
      </c>
      <c r="H172" s="111">
        <v>1003</v>
      </c>
      <c r="I172" s="117">
        <v>9250</v>
      </c>
      <c r="J172" s="117">
        <v>84</v>
      </c>
      <c r="K172" s="117">
        <f>2596.44+1168.44</f>
        <v>3764.88</v>
      </c>
      <c r="L172" s="117">
        <v>2684.37</v>
      </c>
      <c r="M172" s="117">
        <v>256.10000000000002</v>
      </c>
      <c r="N172" s="117"/>
      <c r="O172" s="7">
        <f t="shared" si="78"/>
        <v>6705.35</v>
      </c>
      <c r="P172" s="117">
        <f t="shared" si="79"/>
        <v>2544.6499999999996</v>
      </c>
      <c r="Q172" s="123">
        <f t="shared" si="80"/>
        <v>2.768648648648649E-2</v>
      </c>
      <c r="R172" s="123">
        <f t="shared" si="81"/>
        <v>0.27509729729729726</v>
      </c>
      <c r="S172" s="123">
        <f t="shared" si="82"/>
        <v>0.55000000000000004</v>
      </c>
      <c r="T172" s="117"/>
      <c r="U172" s="118">
        <f t="shared" si="67"/>
        <v>44.82</v>
      </c>
      <c r="V172" s="110"/>
      <c r="W172" s="110"/>
      <c r="X172" s="110"/>
      <c r="Y172" s="110"/>
      <c r="Z172" s="110"/>
      <c r="AA172" s="110"/>
    </row>
    <row r="173" spans="1:27" x14ac:dyDescent="0.15">
      <c r="A173" s="110" t="s">
        <v>2769</v>
      </c>
      <c r="B173" s="111" t="s">
        <v>99</v>
      </c>
      <c r="C173" s="110"/>
      <c r="D173" s="111">
        <v>11</v>
      </c>
      <c r="E173" s="15">
        <v>161768</v>
      </c>
      <c r="F173" s="17">
        <v>626420121</v>
      </c>
      <c r="G173" s="133" t="s">
        <v>100</v>
      </c>
      <c r="H173" s="111">
        <v>1004</v>
      </c>
      <c r="I173" s="117">
        <v>7321</v>
      </c>
      <c r="J173" s="117">
        <v>16</v>
      </c>
      <c r="K173" s="117">
        <f>628.48+282.88</f>
        <v>911.36</v>
      </c>
      <c r="L173" s="117">
        <v>426.21</v>
      </c>
      <c r="M173" s="117">
        <v>1094.45</v>
      </c>
      <c r="N173" s="117"/>
      <c r="O173" s="7">
        <f t="shared" si="78"/>
        <v>2432.02</v>
      </c>
      <c r="P173" s="117">
        <f t="shared" si="79"/>
        <v>4888.9799999999996</v>
      </c>
      <c r="Q173" s="123">
        <f t="shared" si="80"/>
        <v>0.14949460456221828</v>
      </c>
      <c r="R173" s="123">
        <f t="shared" si="81"/>
        <v>0.66780221281245722</v>
      </c>
      <c r="S173" s="123">
        <f>1-0.529</f>
        <v>0.47099999999999997</v>
      </c>
      <c r="T173" s="117"/>
      <c r="U173" s="118">
        <f t="shared" si="67"/>
        <v>56.96</v>
      </c>
      <c r="V173" s="110"/>
      <c r="W173" s="110"/>
      <c r="X173" s="110"/>
      <c r="Y173" s="110"/>
      <c r="Z173" s="110"/>
      <c r="AA173" s="110"/>
    </row>
    <row r="174" spans="1:27" x14ac:dyDescent="0.15">
      <c r="A174" s="110" t="s">
        <v>2769</v>
      </c>
      <c r="B174" s="111" t="s">
        <v>99</v>
      </c>
      <c r="C174" s="110"/>
      <c r="D174" s="111">
        <v>11</v>
      </c>
      <c r="E174" s="15">
        <v>161768</v>
      </c>
      <c r="F174" s="17">
        <v>646620121</v>
      </c>
      <c r="G174" s="133" t="s">
        <v>100</v>
      </c>
      <c r="H174" s="111">
        <v>1005</v>
      </c>
      <c r="I174" s="117">
        <v>7321</v>
      </c>
      <c r="J174" s="117">
        <v>16</v>
      </c>
      <c r="K174" s="117">
        <f>628.48+282.88</f>
        <v>911.36</v>
      </c>
      <c r="L174" s="117">
        <v>827.34</v>
      </c>
      <c r="M174" s="117">
        <v>2281.0700000000002</v>
      </c>
      <c r="N174" s="117"/>
      <c r="O174" s="7">
        <f t="shared" si="78"/>
        <v>4019.7700000000004</v>
      </c>
      <c r="P174" s="117">
        <f t="shared" si="79"/>
        <v>3301.2299999999996</v>
      </c>
      <c r="Q174" s="123">
        <f t="shared" si="80"/>
        <v>0.31157901925966403</v>
      </c>
      <c r="R174" s="123">
        <f t="shared" si="81"/>
        <v>0.45092610299139457</v>
      </c>
      <c r="S174" s="123">
        <f>1-0.529</f>
        <v>0.47099999999999997</v>
      </c>
      <c r="T174" s="117"/>
      <c r="U174" s="118">
        <f t="shared" si="67"/>
        <v>56.96</v>
      </c>
      <c r="V174" s="110"/>
      <c r="W174" s="110"/>
      <c r="X174" s="110"/>
      <c r="Y174" s="110"/>
      <c r="Z174" s="110"/>
      <c r="AA174" s="110"/>
    </row>
    <row r="175" spans="1:27" x14ac:dyDescent="0.15">
      <c r="A175" s="110" t="s">
        <v>2769</v>
      </c>
      <c r="B175" s="111" t="s">
        <v>37</v>
      </c>
      <c r="C175" s="110"/>
      <c r="D175" s="111">
        <v>11</v>
      </c>
      <c r="E175" s="15">
        <v>161768</v>
      </c>
      <c r="F175" s="16">
        <v>220100110</v>
      </c>
      <c r="G175" s="133" t="s">
        <v>74</v>
      </c>
      <c r="H175" s="111">
        <v>1006</v>
      </c>
      <c r="I175" s="117">
        <v>7600</v>
      </c>
      <c r="J175" s="117"/>
      <c r="K175" s="117"/>
      <c r="L175" s="117"/>
      <c r="M175" s="117">
        <v>11258.71</v>
      </c>
      <c r="N175" s="117"/>
      <c r="O175" s="7">
        <f t="shared" si="78"/>
        <v>11258.71</v>
      </c>
      <c r="P175" s="117">
        <f t="shared" si="79"/>
        <v>-3658.7099999999991</v>
      </c>
      <c r="Q175" s="123">
        <f t="shared" si="80"/>
        <v>1.4814092105263157</v>
      </c>
      <c r="R175" s="123">
        <f t="shared" si="81"/>
        <v>-0.48140921052631569</v>
      </c>
      <c r="S175" s="123">
        <f t="shared" ref="S175:S176" si="83">1-0.45</f>
        <v>0.55000000000000004</v>
      </c>
      <c r="T175" s="117"/>
      <c r="U175" s="118" t="str">
        <f t="shared" si="67"/>
        <v/>
      </c>
      <c r="V175" s="110"/>
      <c r="W175" s="110"/>
      <c r="X175" s="110"/>
      <c r="Y175" s="110"/>
      <c r="Z175" s="110"/>
      <c r="AA175" s="110"/>
    </row>
    <row r="176" spans="1:27" x14ac:dyDescent="0.15">
      <c r="A176" s="110" t="s">
        <v>2769</v>
      </c>
      <c r="B176" s="111" t="s">
        <v>37</v>
      </c>
      <c r="C176" s="110"/>
      <c r="D176" s="111">
        <v>11</v>
      </c>
      <c r="E176" s="15">
        <v>161768</v>
      </c>
      <c r="F176" s="16">
        <v>210500110</v>
      </c>
      <c r="G176" s="133" t="s">
        <v>75</v>
      </c>
      <c r="H176" s="111">
        <v>1007</v>
      </c>
      <c r="I176" s="117">
        <v>15000</v>
      </c>
      <c r="J176" s="117"/>
      <c r="K176" s="117"/>
      <c r="L176" s="117"/>
      <c r="M176" s="117">
        <v>5247.82</v>
      </c>
      <c r="N176" s="117"/>
      <c r="O176" s="7">
        <f t="shared" si="78"/>
        <v>5247.82</v>
      </c>
      <c r="P176" s="117">
        <f t="shared" si="79"/>
        <v>9752.18</v>
      </c>
      <c r="Q176" s="123">
        <f t="shared" si="80"/>
        <v>0.34985466666666665</v>
      </c>
      <c r="R176" s="123">
        <f t="shared" si="81"/>
        <v>0.65014533333333335</v>
      </c>
      <c r="S176" s="123">
        <f t="shared" si="83"/>
        <v>0.55000000000000004</v>
      </c>
      <c r="T176" s="117"/>
      <c r="U176" s="118" t="str">
        <f t="shared" si="67"/>
        <v/>
      </c>
      <c r="V176" s="110"/>
      <c r="W176" s="110"/>
      <c r="X176" s="110"/>
      <c r="Y176" s="110"/>
      <c r="Z176" s="110"/>
      <c r="AA176" s="110"/>
    </row>
    <row r="177" spans="1:27" x14ac:dyDescent="0.15">
      <c r="A177" s="110" t="s">
        <v>2769</v>
      </c>
      <c r="B177" s="111" t="s">
        <v>37</v>
      </c>
      <c r="C177" s="110"/>
      <c r="D177" s="111">
        <v>11</v>
      </c>
      <c r="E177" s="15">
        <v>161768</v>
      </c>
      <c r="F177" s="16">
        <v>211500110</v>
      </c>
      <c r="G177" s="133" t="s">
        <v>129</v>
      </c>
      <c r="H177" s="111">
        <v>1008</v>
      </c>
      <c r="I177" s="117">
        <v>25615</v>
      </c>
      <c r="J177" s="117"/>
      <c r="K177" s="117"/>
      <c r="L177" s="117">
        <v>1500</v>
      </c>
      <c r="M177" s="117">
        <v>13778.19</v>
      </c>
      <c r="N177" s="117"/>
      <c r="O177" s="7">
        <f t="shared" si="78"/>
        <v>15278.19</v>
      </c>
      <c r="P177" s="117">
        <f t="shared" si="79"/>
        <v>10336.81</v>
      </c>
      <c r="Q177" s="123">
        <f t="shared" si="80"/>
        <v>0.53789537380441155</v>
      </c>
      <c r="R177" s="123">
        <f t="shared" si="81"/>
        <v>0.40354518836619169</v>
      </c>
      <c r="S177" s="123">
        <f>1-0.45</f>
        <v>0.55000000000000004</v>
      </c>
      <c r="T177" s="117"/>
      <c r="U177" s="118" t="str">
        <f t="shared" si="67"/>
        <v/>
      </c>
      <c r="V177" s="110"/>
      <c r="W177" s="110"/>
      <c r="X177" s="110"/>
      <c r="Y177" s="110"/>
      <c r="Z177" s="110"/>
      <c r="AA177" s="110"/>
    </row>
    <row r="178" spans="1:27" x14ac:dyDescent="0.15">
      <c r="A178" s="110" t="s">
        <v>53</v>
      </c>
      <c r="B178" s="111"/>
      <c r="C178" s="110"/>
      <c r="D178" s="111"/>
      <c r="E178" s="15"/>
      <c r="F178" s="111"/>
      <c r="G178" s="133"/>
      <c r="H178" s="111"/>
      <c r="I178" s="117"/>
      <c r="J178" s="117"/>
      <c r="K178" s="117"/>
      <c r="L178" s="117"/>
      <c r="M178" s="117"/>
      <c r="N178" s="117"/>
      <c r="P178" s="117"/>
      <c r="Q178" s="123"/>
      <c r="R178" s="123"/>
      <c r="S178" s="123"/>
      <c r="T178" s="117"/>
      <c r="U178" s="118" t="str">
        <f t="shared" si="67"/>
        <v/>
      </c>
      <c r="V178" s="110"/>
      <c r="W178" s="110"/>
      <c r="X178" s="110"/>
      <c r="Y178" s="110"/>
      <c r="Z178" s="110"/>
      <c r="AA178" s="110"/>
    </row>
    <row r="179" spans="1:27" x14ac:dyDescent="0.15">
      <c r="A179" s="110" t="s">
        <v>2769</v>
      </c>
      <c r="B179" s="111" t="s">
        <v>54</v>
      </c>
      <c r="C179" s="110"/>
      <c r="D179" s="111"/>
      <c r="E179" s="15"/>
      <c r="F179" s="111"/>
      <c r="G179" s="133"/>
      <c r="H179" s="111"/>
      <c r="I179" s="24">
        <f>SUM(I169:I177)</f>
        <v>372595</v>
      </c>
      <c r="J179" s="24">
        <f>SUM(J169:J177)</f>
        <v>429.5</v>
      </c>
      <c r="K179" s="24">
        <f>SUM(K169:K177)</f>
        <v>18220.27</v>
      </c>
      <c r="L179" s="24">
        <f>SUM(L169:L177)</f>
        <v>10792.779999999999</v>
      </c>
      <c r="M179" s="24">
        <f>SUM(M169:M177)</f>
        <v>113341.42000000001</v>
      </c>
      <c r="N179" s="117"/>
      <c r="O179" s="25">
        <f>SUM(O169:O177)</f>
        <v>142354.47000000003</v>
      </c>
      <c r="P179" s="117">
        <f>I179-O179</f>
        <v>230240.52999999997</v>
      </c>
      <c r="Q179" s="123">
        <f>M179/I179</f>
        <v>0.30419468860290666</v>
      </c>
      <c r="R179" s="123">
        <f>P179/I179</f>
        <v>0.6179377876783102</v>
      </c>
      <c r="S179" s="123">
        <f>((I169*S169)+(I171*S171)+(I175*S175)+(I176*S176)+(I177*S177))/I179</f>
        <v>0.48712851755928027</v>
      </c>
      <c r="T179" s="117"/>
      <c r="U179" s="118">
        <f t="shared" si="67"/>
        <v>42.422048894062861</v>
      </c>
      <c r="V179" s="110"/>
      <c r="W179" s="110"/>
      <c r="X179" s="110"/>
      <c r="Y179" s="110"/>
      <c r="Z179" s="110"/>
      <c r="AA179" s="110"/>
    </row>
    <row r="180" spans="1:27" x14ac:dyDescent="0.15">
      <c r="A180" s="110" t="s">
        <v>2769</v>
      </c>
      <c r="B180" s="111" t="s">
        <v>55</v>
      </c>
      <c r="C180" s="110"/>
      <c r="D180" s="111"/>
      <c r="E180" s="15">
        <v>161768</v>
      </c>
      <c r="F180" s="111" t="s">
        <v>2756</v>
      </c>
      <c r="G180" s="133" t="s">
        <v>57</v>
      </c>
      <c r="H180" s="111">
        <v>1009</v>
      </c>
      <c r="I180" s="117">
        <v>11836</v>
      </c>
      <c r="J180" s="117">
        <v>30</v>
      </c>
      <c r="K180" s="117">
        <f>825+371.4</f>
        <v>1196.4000000000001</v>
      </c>
      <c r="L180" s="117">
        <v>21118.720000000001</v>
      </c>
      <c r="M180" s="117">
        <v>0</v>
      </c>
      <c r="N180" s="117"/>
      <c r="O180" s="7">
        <f>SUM(K180:N180)</f>
        <v>22315.120000000003</v>
      </c>
      <c r="P180" s="117">
        <f>I180-O180</f>
        <v>-10479.120000000003</v>
      </c>
      <c r="Q180" s="123">
        <f>M180/I180</f>
        <v>0</v>
      </c>
      <c r="R180" s="123">
        <f>P180/I180</f>
        <v>-0.88535991889151766</v>
      </c>
      <c r="S180" s="123">
        <v>0</v>
      </c>
      <c r="T180" s="117"/>
      <c r="U180" s="118">
        <f t="shared" si="67"/>
        <v>39.880000000000003</v>
      </c>
      <c r="V180" s="110"/>
      <c r="W180" s="110"/>
      <c r="X180" s="110"/>
      <c r="Y180" s="110"/>
      <c r="Z180" s="110"/>
      <c r="AA180" s="110"/>
    </row>
    <row r="181" spans="1:27" x14ac:dyDescent="0.15">
      <c r="A181" s="110" t="s">
        <v>2769</v>
      </c>
      <c r="B181" s="111" t="s">
        <v>58</v>
      </c>
      <c r="C181" s="110"/>
      <c r="D181" s="111"/>
      <c r="E181" s="15">
        <v>161768</v>
      </c>
      <c r="F181" s="17" t="s">
        <v>130</v>
      </c>
      <c r="G181" s="133" t="s">
        <v>131</v>
      </c>
      <c r="H181" s="111"/>
      <c r="I181" s="117">
        <v>7322</v>
      </c>
      <c r="J181" s="117"/>
      <c r="K181" s="117"/>
      <c r="L181" s="117"/>
      <c r="M181" s="117"/>
      <c r="N181" s="117"/>
      <c r="P181" s="117"/>
      <c r="Q181" s="123"/>
      <c r="R181" s="123"/>
      <c r="S181" s="123"/>
      <c r="T181" s="117"/>
      <c r="U181" s="118" t="str">
        <f t="shared" si="67"/>
        <v/>
      </c>
      <c r="V181" s="110"/>
      <c r="W181" s="110"/>
      <c r="X181" s="110"/>
      <c r="Y181" s="110"/>
      <c r="Z181" s="110"/>
      <c r="AA181" s="110"/>
    </row>
    <row r="182" spans="1:27" x14ac:dyDescent="0.15">
      <c r="A182" s="110" t="s">
        <v>2769</v>
      </c>
      <c r="B182" s="111" t="s">
        <v>58</v>
      </c>
      <c r="C182" s="110"/>
      <c r="D182" s="111"/>
      <c r="E182" s="15">
        <v>161768</v>
      </c>
      <c r="F182" s="17" t="s">
        <v>132</v>
      </c>
      <c r="G182" s="133" t="s">
        <v>133</v>
      </c>
      <c r="H182" s="111"/>
      <c r="I182" s="117">
        <v>7650</v>
      </c>
      <c r="J182" s="117"/>
      <c r="K182" s="117"/>
      <c r="L182" s="117"/>
      <c r="M182" s="117"/>
      <c r="N182" s="117"/>
      <c r="P182" s="117"/>
      <c r="Q182" s="123"/>
      <c r="R182" s="123"/>
      <c r="S182" s="123"/>
      <c r="T182" s="117"/>
      <c r="U182" s="118" t="str">
        <f t="shared" si="67"/>
        <v/>
      </c>
      <c r="V182" s="110"/>
      <c r="W182" s="110"/>
      <c r="X182" s="110"/>
      <c r="Y182" s="110"/>
      <c r="Z182" s="110"/>
      <c r="AA182" s="110"/>
    </row>
    <row r="183" spans="1:27" x14ac:dyDescent="0.15">
      <c r="A183" s="110" t="s">
        <v>53</v>
      </c>
      <c r="B183" s="111"/>
      <c r="C183" s="110"/>
      <c r="D183" s="111"/>
      <c r="E183" s="111"/>
      <c r="F183" s="111"/>
      <c r="G183" s="133"/>
      <c r="H183" s="111"/>
      <c r="I183" s="117"/>
      <c r="J183" s="117"/>
      <c r="K183" s="117"/>
      <c r="L183" s="117"/>
      <c r="M183" s="117"/>
      <c r="N183" s="117"/>
      <c r="P183" s="117"/>
      <c r="Q183" s="123"/>
      <c r="R183" s="123"/>
      <c r="S183" s="123"/>
      <c r="T183" s="117"/>
      <c r="U183" s="118" t="str">
        <f t="shared" si="67"/>
        <v/>
      </c>
      <c r="V183" s="110"/>
      <c r="W183" s="110"/>
      <c r="X183" s="110"/>
      <c r="Y183" s="110"/>
      <c r="Z183" s="110"/>
      <c r="AA183" s="110"/>
    </row>
    <row r="184" spans="1:27" x14ac:dyDescent="0.15">
      <c r="A184" s="110" t="s">
        <v>2769</v>
      </c>
      <c r="B184" s="111" t="s">
        <v>65</v>
      </c>
      <c r="C184" s="110"/>
      <c r="D184" s="111"/>
      <c r="E184" s="111"/>
      <c r="F184" s="111"/>
      <c r="G184" s="133"/>
      <c r="H184" s="111"/>
      <c r="I184" s="25">
        <f>SUM(I179:I182)</f>
        <v>399403</v>
      </c>
      <c r="J184" s="25">
        <f t="shared" ref="J184:M184" si="84">SUM(J179:J182)</f>
        <v>459.5</v>
      </c>
      <c r="K184" s="25">
        <f t="shared" si="84"/>
        <v>19416.670000000002</v>
      </c>
      <c r="L184" s="25">
        <f t="shared" si="84"/>
        <v>31911.5</v>
      </c>
      <c r="M184" s="25">
        <f t="shared" si="84"/>
        <v>113341.42000000001</v>
      </c>
      <c r="N184" s="117"/>
      <c r="O184" s="25">
        <f>SUM(K184:M184)</f>
        <v>164669.59000000003</v>
      </c>
      <c r="P184" s="117">
        <f>I184-O184</f>
        <v>234733.40999999997</v>
      </c>
      <c r="Q184" s="123">
        <f>M184/I184</f>
        <v>0.28377708730279944</v>
      </c>
      <c r="R184" s="123">
        <f>P184/I184</f>
        <v>0.58771068319466802</v>
      </c>
      <c r="S184" s="123"/>
      <c r="T184" s="117"/>
      <c r="U184" s="118">
        <f t="shared" si="67"/>
        <v>42.256082698585423</v>
      </c>
      <c r="V184" s="110"/>
      <c r="W184" s="110"/>
      <c r="X184" s="110"/>
      <c r="Y184" s="110"/>
      <c r="Z184" s="110"/>
      <c r="AA184" s="110"/>
    </row>
    <row r="185" spans="1:27" x14ac:dyDescent="0.15">
      <c r="A185" s="110" t="s">
        <v>2769</v>
      </c>
      <c r="B185" s="111" t="s">
        <v>66</v>
      </c>
      <c r="C185" s="110"/>
      <c r="D185" s="111"/>
      <c r="E185" s="111"/>
      <c r="F185" s="111"/>
      <c r="G185" s="133"/>
      <c r="H185" s="111"/>
      <c r="I185" s="117">
        <f>I169+I171+I175+I176+I177</f>
        <v>330003</v>
      </c>
      <c r="J185" s="117">
        <f>J169+J171+J175+J176+J177</f>
        <v>203.5</v>
      </c>
      <c r="K185" s="117">
        <f>K169+K171+K175+K176+K177</f>
        <v>7702.4500000000007</v>
      </c>
      <c r="L185" s="117">
        <f>L169+L171+L175+L176+L177</f>
        <v>1500</v>
      </c>
      <c r="M185" s="117">
        <f>M169+M171+M175+M176+M177</f>
        <v>107827.97</v>
      </c>
      <c r="N185" s="117"/>
      <c r="O185" s="7">
        <f>O169+O171+O175+O176+O177</f>
        <v>117030.42000000001</v>
      </c>
      <c r="P185" s="117">
        <f>P169+P171+P175+P176+P177</f>
        <v>212972.58</v>
      </c>
      <c r="Q185" s="123">
        <f>M185/I185</f>
        <v>0.32674845380193512</v>
      </c>
      <c r="R185" s="123">
        <f>P185/I185</f>
        <v>0.64536558758556739</v>
      </c>
      <c r="S185" s="123">
        <f>((I169*S169)+(I171*S171)+(I175*S175)+(I176*S176)+(I177*S177))/I185</f>
        <v>0.55000000000000004</v>
      </c>
      <c r="T185" s="117"/>
      <c r="U185" s="118">
        <f t="shared" si="67"/>
        <v>37.849877149877152</v>
      </c>
      <c r="V185" s="110"/>
      <c r="W185" s="110"/>
      <c r="X185" s="110"/>
      <c r="Y185" s="110"/>
      <c r="Z185" s="110"/>
      <c r="AA185" s="110"/>
    </row>
    <row r="186" spans="1:27" x14ac:dyDescent="0.15">
      <c r="A186" s="124"/>
      <c r="B186" s="124"/>
      <c r="C186" s="124"/>
      <c r="D186" s="124"/>
      <c r="E186" s="124"/>
      <c r="F186" s="124"/>
      <c r="G186" s="186"/>
      <c r="H186" s="124"/>
      <c r="I186" s="126"/>
      <c r="J186" s="126"/>
      <c r="K186" s="126"/>
      <c r="L186" s="126"/>
      <c r="M186" s="126"/>
      <c r="N186" s="126"/>
      <c r="O186" s="18"/>
      <c r="P186" s="126"/>
      <c r="Q186" s="187"/>
      <c r="R186" s="187"/>
      <c r="S186" s="187"/>
      <c r="T186" s="126"/>
      <c r="U186" s="127"/>
      <c r="V186" s="130"/>
      <c r="W186" s="130"/>
      <c r="X186" s="130"/>
      <c r="Y186" s="110"/>
      <c r="Z186" s="130"/>
      <c r="AA186" s="130"/>
    </row>
    <row r="187" spans="1:27" x14ac:dyDescent="0.15">
      <c r="A187" s="110" t="s">
        <v>2770</v>
      </c>
      <c r="B187" s="111" t="s">
        <v>37</v>
      </c>
      <c r="C187" s="110"/>
      <c r="D187" s="111">
        <v>12</v>
      </c>
      <c r="E187" s="111">
        <v>161809</v>
      </c>
      <c r="F187" s="133">
        <v>110051210</v>
      </c>
      <c r="G187" s="133" t="s">
        <v>135</v>
      </c>
      <c r="H187" s="20">
        <v>1022</v>
      </c>
      <c r="I187" s="134">
        <v>32310.240000000002</v>
      </c>
      <c r="J187" s="134">
        <f>13.5+18.5</f>
        <v>32</v>
      </c>
      <c r="K187" s="117">
        <v>1174.25</v>
      </c>
      <c r="L187" s="117"/>
      <c r="M187" s="134">
        <v>8913.85</v>
      </c>
      <c r="N187" s="117"/>
      <c r="O187" s="7">
        <f>SUM(K187:N187)</f>
        <v>10088.1</v>
      </c>
      <c r="P187" s="117">
        <f>I187-O187</f>
        <v>22222.14</v>
      </c>
      <c r="Q187" s="123">
        <f>M187/I187</f>
        <v>0.27588312559733386</v>
      </c>
      <c r="R187" s="123">
        <f>P187/I187</f>
        <v>0.68777390697190732</v>
      </c>
      <c r="S187" s="123">
        <f t="shared" ref="S187:S188" si="85">1-0.45</f>
        <v>0.55000000000000004</v>
      </c>
      <c r="T187" s="117"/>
      <c r="U187" s="118">
        <f t="shared" si="67"/>
        <v>36.6953125</v>
      </c>
      <c r="V187" s="110"/>
      <c r="W187" s="110"/>
      <c r="X187" s="110"/>
      <c r="Y187" s="110"/>
      <c r="Z187" s="110"/>
      <c r="AA187" s="110"/>
    </row>
    <row r="188" spans="1:27" x14ac:dyDescent="0.15">
      <c r="A188" s="110" t="s">
        <v>2770</v>
      </c>
      <c r="B188" s="111" t="s">
        <v>37</v>
      </c>
      <c r="C188" s="110"/>
      <c r="D188" s="111">
        <v>12</v>
      </c>
      <c r="E188" s="111">
        <v>161809</v>
      </c>
      <c r="F188" s="20">
        <v>220100210</v>
      </c>
      <c r="G188" s="20" t="s">
        <v>136</v>
      </c>
      <c r="H188" s="20">
        <v>1024</v>
      </c>
      <c r="I188" s="134">
        <v>7576.76</v>
      </c>
      <c r="J188" s="134">
        <f>0</f>
        <v>0</v>
      </c>
      <c r="K188" s="117"/>
      <c r="L188" s="117"/>
      <c r="M188" s="134">
        <v>4279.99</v>
      </c>
      <c r="N188" s="117"/>
      <c r="O188" s="7">
        <f>SUM(K188:N188)</f>
        <v>4279.99</v>
      </c>
      <c r="P188" s="117">
        <f>I188-O188</f>
        <v>3296.7700000000004</v>
      </c>
      <c r="Q188" s="123">
        <f>M188/I188</f>
        <v>0.5648839345577793</v>
      </c>
      <c r="R188" s="123">
        <f>P188/I188</f>
        <v>0.43511606544222076</v>
      </c>
      <c r="S188" s="123">
        <f t="shared" si="85"/>
        <v>0.55000000000000004</v>
      </c>
      <c r="T188" s="117"/>
      <c r="U188" s="118" t="str">
        <f t="shared" si="67"/>
        <v/>
      </c>
      <c r="V188" s="110"/>
      <c r="W188" s="110"/>
      <c r="X188" s="110"/>
      <c r="Y188" s="110"/>
      <c r="Z188" s="110"/>
      <c r="AA188" s="110"/>
    </row>
    <row r="189" spans="1:27" x14ac:dyDescent="0.15">
      <c r="A189" s="110" t="s">
        <v>53</v>
      </c>
      <c r="B189" s="111"/>
      <c r="C189" s="110"/>
      <c r="D189" s="111"/>
      <c r="E189" s="111"/>
      <c r="F189" s="133"/>
      <c r="G189" s="133"/>
      <c r="H189" s="111"/>
      <c r="I189" s="117"/>
      <c r="J189" s="117"/>
      <c r="K189" s="117"/>
      <c r="L189" s="117"/>
      <c r="M189" s="117"/>
      <c r="N189" s="117"/>
      <c r="P189" s="117"/>
      <c r="Q189" s="123"/>
      <c r="R189" s="123"/>
      <c r="S189" s="123"/>
      <c r="T189" s="117"/>
      <c r="U189" s="118" t="str">
        <f t="shared" si="67"/>
        <v/>
      </c>
      <c r="V189" s="110"/>
      <c r="W189" s="110"/>
      <c r="X189" s="110"/>
      <c r="Y189" s="110"/>
      <c r="Z189" s="110"/>
      <c r="AA189" s="110"/>
    </row>
    <row r="190" spans="1:27" x14ac:dyDescent="0.15">
      <c r="A190" s="110" t="s">
        <v>2770</v>
      </c>
      <c r="B190" s="111" t="s">
        <v>54</v>
      </c>
      <c r="C190" s="110"/>
      <c r="D190" s="111"/>
      <c r="E190" s="111"/>
      <c r="F190" s="133"/>
      <c r="G190" s="133"/>
      <c r="H190" s="111"/>
      <c r="I190" s="25">
        <f>SUM(I187:I188)</f>
        <v>39887</v>
      </c>
      <c r="J190" s="25">
        <f t="shared" ref="J190:M190" si="86">SUM(J187:J188)</f>
        <v>32</v>
      </c>
      <c r="K190" s="25">
        <f t="shared" si="86"/>
        <v>1174.25</v>
      </c>
      <c r="L190" s="25">
        <f t="shared" si="86"/>
        <v>0</v>
      </c>
      <c r="M190" s="25">
        <f t="shared" si="86"/>
        <v>13193.84</v>
      </c>
      <c r="N190" s="117"/>
      <c r="O190" s="25">
        <f>SUM(O187:O188)</f>
        <v>14368.09</v>
      </c>
      <c r="P190" s="117">
        <f>I190-O190</f>
        <v>25518.91</v>
      </c>
      <c r="Q190" s="123">
        <f>M190/I190</f>
        <v>0.33078045478476698</v>
      </c>
      <c r="R190" s="123">
        <f>P190/I190</f>
        <v>0.6397801288640409</v>
      </c>
      <c r="S190" s="123">
        <f>((I187*S187)+(I188*S188))/I190</f>
        <v>0.55000000000000004</v>
      </c>
      <c r="T190" s="117"/>
      <c r="U190" s="118">
        <f t="shared" si="67"/>
        <v>36.6953125</v>
      </c>
      <c r="V190" s="110"/>
      <c r="W190" s="110"/>
      <c r="X190" s="110"/>
      <c r="Y190" s="110"/>
      <c r="Z190" s="110"/>
      <c r="AA190" s="110"/>
    </row>
    <row r="191" spans="1:27" x14ac:dyDescent="0.15">
      <c r="A191" s="110" t="s">
        <v>2770</v>
      </c>
      <c r="B191" s="111" t="s">
        <v>55</v>
      </c>
      <c r="C191" s="110"/>
      <c r="D191" s="111"/>
      <c r="E191" s="111">
        <v>161809</v>
      </c>
      <c r="F191" s="20" t="s">
        <v>56</v>
      </c>
      <c r="G191" s="20" t="s">
        <v>2771</v>
      </c>
      <c r="H191" s="20">
        <v>1023</v>
      </c>
      <c r="I191" s="134">
        <v>3500</v>
      </c>
      <c r="J191" s="134">
        <f>6</f>
        <v>6</v>
      </c>
      <c r="K191" s="117">
        <v>239.28</v>
      </c>
      <c r="L191" s="134">
        <v>2058.62</v>
      </c>
      <c r="M191" s="134"/>
      <c r="N191" s="117"/>
      <c r="O191" s="7">
        <f>SUM(K191:N191)</f>
        <v>2297.9</v>
      </c>
      <c r="P191" s="117">
        <f>I191-O191</f>
        <v>1202.0999999999999</v>
      </c>
      <c r="Q191" s="123">
        <f>M191/I191</f>
        <v>0</v>
      </c>
      <c r="R191" s="123">
        <f>P191/I191</f>
        <v>0.34345714285714285</v>
      </c>
      <c r="S191" s="123">
        <v>0</v>
      </c>
      <c r="T191" s="117"/>
      <c r="U191" s="118">
        <f t="shared" si="67"/>
        <v>39.880000000000003</v>
      </c>
      <c r="V191" s="110"/>
      <c r="W191" s="110"/>
      <c r="X191" s="110"/>
      <c r="Y191" s="110"/>
      <c r="Z191" s="110"/>
      <c r="AA191" s="110"/>
    </row>
    <row r="192" spans="1:27" x14ac:dyDescent="0.15">
      <c r="A192" s="110" t="s">
        <v>53</v>
      </c>
      <c r="B192" s="111"/>
      <c r="C192" s="110"/>
      <c r="D192" s="111"/>
      <c r="E192" s="111"/>
      <c r="F192" s="133"/>
      <c r="G192" s="133"/>
      <c r="H192" s="111"/>
      <c r="I192" s="117"/>
      <c r="J192" s="117"/>
      <c r="K192" s="117"/>
      <c r="L192" s="117"/>
      <c r="M192" s="117"/>
      <c r="N192" s="117"/>
      <c r="P192" s="117"/>
      <c r="Q192" s="123"/>
      <c r="R192" s="123"/>
      <c r="S192" s="123"/>
      <c r="T192" s="117"/>
      <c r="U192" s="118" t="str">
        <f t="shared" si="67"/>
        <v/>
      </c>
      <c r="V192" s="110"/>
      <c r="W192" s="110"/>
      <c r="X192" s="110"/>
      <c r="Y192" s="110"/>
      <c r="Z192" s="110"/>
      <c r="AA192" s="110"/>
    </row>
    <row r="193" spans="1:27" x14ac:dyDescent="0.15">
      <c r="A193" s="110" t="s">
        <v>2770</v>
      </c>
      <c r="B193" s="111" t="s">
        <v>65</v>
      </c>
      <c r="C193" s="110"/>
      <c r="D193" s="111"/>
      <c r="E193" s="111"/>
      <c r="F193" s="111"/>
      <c r="G193" s="133"/>
      <c r="H193" s="111"/>
      <c r="I193" s="25">
        <f>SUM(I190:I191)</f>
        <v>43387</v>
      </c>
      <c r="J193" s="25">
        <f t="shared" ref="J193:M193" si="87">SUM(J190:J191)</f>
        <v>38</v>
      </c>
      <c r="K193" s="25">
        <f t="shared" si="87"/>
        <v>1413.53</v>
      </c>
      <c r="L193" s="25">
        <f t="shared" si="87"/>
        <v>2058.62</v>
      </c>
      <c r="M193" s="25">
        <f t="shared" si="87"/>
        <v>13193.84</v>
      </c>
      <c r="N193" s="117"/>
      <c r="O193" s="25">
        <f>SUM(K193:M193)</f>
        <v>16665.989999999998</v>
      </c>
      <c r="P193" s="117">
        <f>I193-O193</f>
        <v>26721.010000000002</v>
      </c>
      <c r="Q193" s="123">
        <f>M193/I193</f>
        <v>0.3040966188028672</v>
      </c>
      <c r="R193" s="123">
        <f>P193/I193</f>
        <v>0.61587595362666236</v>
      </c>
      <c r="S193" s="123">
        <v>0.55000000000000004</v>
      </c>
      <c r="T193" s="117"/>
      <c r="U193" s="118">
        <f t="shared" si="67"/>
        <v>37.198157894736845</v>
      </c>
      <c r="V193" s="110"/>
      <c r="W193" s="110"/>
      <c r="X193" s="110"/>
      <c r="Y193" s="110"/>
      <c r="Z193" s="110"/>
      <c r="AA193" s="110"/>
    </row>
    <row r="194" spans="1:27" x14ac:dyDescent="0.15">
      <c r="A194" s="110" t="s">
        <v>2770</v>
      </c>
      <c r="B194" s="111" t="s">
        <v>66</v>
      </c>
      <c r="C194" s="110"/>
      <c r="D194" s="111"/>
      <c r="E194" s="111"/>
      <c r="F194" s="111"/>
      <c r="G194" s="133"/>
      <c r="H194" s="111"/>
      <c r="I194" s="117">
        <f>SUM(I187:I188)</f>
        <v>39887</v>
      </c>
      <c r="J194" s="117">
        <f>SUM(J187:J188)</f>
        <v>32</v>
      </c>
      <c r="K194" s="117">
        <f t="shared" ref="K194:M194" si="88">SUM(K187:K188)</f>
        <v>1174.25</v>
      </c>
      <c r="L194" s="117">
        <f t="shared" si="88"/>
        <v>0</v>
      </c>
      <c r="M194" s="117">
        <f t="shared" si="88"/>
        <v>13193.84</v>
      </c>
      <c r="N194" s="117"/>
      <c r="O194" s="7">
        <f t="shared" ref="O194" si="89">SUM(O187:O188)</f>
        <v>14368.09</v>
      </c>
      <c r="P194" s="117">
        <f>SUM(P187:P188)</f>
        <v>25518.91</v>
      </c>
      <c r="Q194" s="123">
        <f>M194/I194</f>
        <v>0.33078045478476698</v>
      </c>
      <c r="R194" s="123">
        <f>P194/I194</f>
        <v>0.6397801288640409</v>
      </c>
      <c r="S194" s="123">
        <f>((I187*S187)+(I188*S188))/I194</f>
        <v>0.55000000000000004</v>
      </c>
      <c r="T194" s="117"/>
      <c r="U194" s="118">
        <f t="shared" si="67"/>
        <v>36.6953125</v>
      </c>
      <c r="V194" s="110"/>
      <c r="W194" s="110"/>
      <c r="X194" s="110"/>
      <c r="Y194" s="110"/>
      <c r="Z194" s="110"/>
      <c r="AA194" s="110"/>
    </row>
    <row r="195" spans="1:27" x14ac:dyDescent="0.15">
      <c r="A195" s="124"/>
      <c r="B195" s="124"/>
      <c r="C195" s="124"/>
      <c r="D195" s="124"/>
      <c r="E195" s="124"/>
      <c r="F195" s="124"/>
      <c r="G195" s="186"/>
      <c r="H195" s="124"/>
      <c r="I195" s="126"/>
      <c r="J195" s="126"/>
      <c r="K195" s="126"/>
      <c r="L195" s="126"/>
      <c r="M195" s="126"/>
      <c r="N195" s="126"/>
      <c r="O195" s="18"/>
      <c r="P195" s="126"/>
      <c r="Q195" s="187"/>
      <c r="R195" s="187"/>
      <c r="S195" s="187"/>
      <c r="T195" s="126"/>
      <c r="U195" s="127"/>
      <c r="V195" s="130"/>
      <c r="W195" s="130"/>
      <c r="X195" s="130"/>
      <c r="Y195" s="110"/>
      <c r="Z195" s="130"/>
      <c r="AA195" s="130"/>
    </row>
    <row r="196" spans="1:27" x14ac:dyDescent="0.15">
      <c r="A196" s="21" t="s">
        <v>2772</v>
      </c>
      <c r="B196" s="111" t="s">
        <v>37</v>
      </c>
      <c r="C196" s="110"/>
      <c r="D196" s="111">
        <v>12</v>
      </c>
      <c r="E196" s="110">
        <v>161810</v>
      </c>
      <c r="F196" s="111">
        <v>110121120</v>
      </c>
      <c r="G196" s="17" t="s">
        <v>138</v>
      </c>
      <c r="H196" s="111">
        <v>954</v>
      </c>
      <c r="I196" s="30">
        <v>158139</v>
      </c>
      <c r="J196" s="117">
        <f>33.5+28+6</f>
        <v>67.5</v>
      </c>
      <c r="K196" s="117">
        <f>1743.9+784.9</f>
        <v>2528.8000000000002</v>
      </c>
      <c r="L196" s="117"/>
      <c r="M196" s="117">
        <v>22880.79</v>
      </c>
      <c r="N196" s="117"/>
      <c r="O196" s="7">
        <f t="shared" ref="O196:O208" si="90">SUM(K196:M196)</f>
        <v>25409.59</v>
      </c>
      <c r="P196" s="117">
        <f>I196-O196</f>
        <v>132729.41</v>
      </c>
      <c r="Q196" s="123">
        <f>M196/I196</f>
        <v>0.1446878379147459</v>
      </c>
      <c r="R196" s="123">
        <f>P196/I196</f>
        <v>0.83932116682159363</v>
      </c>
      <c r="S196" s="123">
        <v>0.55000000000000004</v>
      </c>
      <c r="T196" s="117"/>
      <c r="U196" s="118">
        <f t="shared" si="67"/>
        <v>37.463703703703708</v>
      </c>
      <c r="V196" s="110"/>
      <c r="W196" s="110"/>
      <c r="X196" s="110"/>
      <c r="Y196" s="110"/>
      <c r="Z196" s="110"/>
      <c r="AA196" s="110"/>
    </row>
    <row r="197" spans="1:27" x14ac:dyDescent="0.15">
      <c r="A197" s="21" t="s">
        <v>2772</v>
      </c>
      <c r="B197" s="111" t="s">
        <v>47</v>
      </c>
      <c r="C197" s="110"/>
      <c r="D197" s="111">
        <v>12</v>
      </c>
      <c r="E197" s="110">
        <v>161810</v>
      </c>
      <c r="F197" s="111">
        <v>510121120</v>
      </c>
      <c r="G197" s="17" t="s">
        <v>48</v>
      </c>
      <c r="H197" s="111">
        <v>955</v>
      </c>
      <c r="I197" s="30">
        <v>43875</v>
      </c>
      <c r="J197" s="117">
        <v>128</v>
      </c>
      <c r="K197" s="117">
        <f>3956.48+1780.48</f>
        <v>5736.96</v>
      </c>
      <c r="L197" s="117">
        <v>4882.8</v>
      </c>
      <c r="M197" s="117">
        <v>771.96</v>
      </c>
      <c r="N197" s="117"/>
      <c r="O197" s="7">
        <f t="shared" si="90"/>
        <v>11391.720000000001</v>
      </c>
      <c r="P197" s="117">
        <f t="shared" ref="P197:P211" si="91">I197-O197</f>
        <v>32483.279999999999</v>
      </c>
      <c r="Q197" s="123">
        <f t="shared" ref="Q197:Q211" si="92">M197/I197</f>
        <v>1.7594529914529915E-2</v>
      </c>
      <c r="R197" s="123">
        <f t="shared" ref="R197:R211" si="93">P197/I197</f>
        <v>0.74035965811965809</v>
      </c>
      <c r="S197" s="123">
        <v>0.55000000000000004</v>
      </c>
      <c r="T197" s="117"/>
      <c r="U197" s="118">
        <f t="shared" si="67"/>
        <v>44.82</v>
      </c>
      <c r="V197" s="110"/>
      <c r="W197" s="110"/>
      <c r="X197" s="110"/>
      <c r="Y197" s="110"/>
      <c r="Z197" s="110"/>
      <c r="AA197" s="110"/>
    </row>
    <row r="198" spans="1:27" x14ac:dyDescent="0.15">
      <c r="A198" s="21" t="s">
        <v>2772</v>
      </c>
      <c r="B198" s="111" t="s">
        <v>37</v>
      </c>
      <c r="C198" s="110"/>
      <c r="D198" s="111">
        <v>12</v>
      </c>
      <c r="E198" s="110">
        <v>161810</v>
      </c>
      <c r="F198" s="111">
        <v>910121320</v>
      </c>
      <c r="G198" s="17" t="s">
        <v>139</v>
      </c>
      <c r="H198" s="111">
        <v>956</v>
      </c>
      <c r="I198" s="30">
        <v>43674</v>
      </c>
      <c r="J198" s="117">
        <v>3.5</v>
      </c>
      <c r="K198" s="117">
        <f>84.14+37.87</f>
        <v>122.00999999999999</v>
      </c>
      <c r="L198" s="117"/>
      <c r="M198" s="117">
        <v>9613.2099999999991</v>
      </c>
      <c r="N198" s="117"/>
      <c r="O198" s="7">
        <f t="shared" si="90"/>
        <v>9735.2199999999993</v>
      </c>
      <c r="P198" s="117">
        <f t="shared" si="91"/>
        <v>33938.78</v>
      </c>
      <c r="Q198" s="123">
        <f t="shared" si="92"/>
        <v>0.22011288180610888</v>
      </c>
      <c r="R198" s="123">
        <f t="shared" si="93"/>
        <v>0.77709346521958145</v>
      </c>
      <c r="S198" s="123">
        <v>0.55000000000000004</v>
      </c>
      <c r="T198" s="117"/>
      <c r="U198" s="118">
        <f t="shared" si="67"/>
        <v>34.86</v>
      </c>
      <c r="V198" s="110"/>
      <c r="W198" s="110"/>
      <c r="X198" s="110"/>
      <c r="Y198" s="110"/>
      <c r="Z198" s="110"/>
      <c r="AA198" s="110"/>
    </row>
    <row r="199" spans="1:27" x14ac:dyDescent="0.15">
      <c r="A199" s="21" t="s">
        <v>2772</v>
      </c>
      <c r="B199" s="111" t="s">
        <v>47</v>
      </c>
      <c r="C199" s="110"/>
      <c r="D199" s="111">
        <v>12</v>
      </c>
      <c r="E199" s="110">
        <v>161810</v>
      </c>
      <c r="F199" s="111">
        <v>510121220</v>
      </c>
      <c r="G199" s="17" t="s">
        <v>48</v>
      </c>
      <c r="H199" s="111">
        <v>957</v>
      </c>
      <c r="I199" s="30">
        <v>7840</v>
      </c>
      <c r="J199" s="117">
        <v>1.5</v>
      </c>
      <c r="K199" s="117">
        <f>46.37+20.87</f>
        <v>67.239999999999995</v>
      </c>
      <c r="L199" s="117"/>
      <c r="M199" s="117">
        <v>178.51</v>
      </c>
      <c r="N199" s="117"/>
      <c r="O199" s="7">
        <f t="shared" si="90"/>
        <v>245.75</v>
      </c>
      <c r="P199" s="117">
        <f t="shared" si="91"/>
        <v>7594.25</v>
      </c>
      <c r="Q199" s="123">
        <f t="shared" si="92"/>
        <v>2.2769132653061224E-2</v>
      </c>
      <c r="R199" s="123">
        <f t="shared" si="93"/>
        <v>0.96865433673469392</v>
      </c>
      <c r="S199" s="123">
        <v>0.55000000000000004</v>
      </c>
      <c r="T199" s="117"/>
      <c r="U199" s="118">
        <f t="shared" si="67"/>
        <v>44.826666666666661</v>
      </c>
      <c r="V199" s="110"/>
      <c r="W199" s="110"/>
      <c r="X199" s="110"/>
      <c r="Y199" s="110"/>
      <c r="Z199" s="110"/>
      <c r="AA199" s="110"/>
    </row>
    <row r="200" spans="1:27" x14ac:dyDescent="0.15">
      <c r="A200" s="21" t="s">
        <v>2772</v>
      </c>
      <c r="B200" s="111" t="s">
        <v>37</v>
      </c>
      <c r="C200" s="110"/>
      <c r="D200" s="111">
        <v>12</v>
      </c>
      <c r="E200" s="110">
        <v>161810</v>
      </c>
      <c r="F200" s="111">
        <v>940000310</v>
      </c>
      <c r="G200" s="17" t="s">
        <v>140</v>
      </c>
      <c r="H200" s="111">
        <v>958</v>
      </c>
      <c r="I200" s="30">
        <v>43674</v>
      </c>
      <c r="J200" s="117"/>
      <c r="K200" s="117"/>
      <c r="L200" s="117"/>
      <c r="M200" s="117">
        <v>9574.31</v>
      </c>
      <c r="N200" s="117"/>
      <c r="O200" s="7">
        <f t="shared" si="90"/>
        <v>9574.31</v>
      </c>
      <c r="P200" s="117">
        <f t="shared" si="91"/>
        <v>34099.69</v>
      </c>
      <c r="Q200" s="123">
        <f t="shared" si="92"/>
        <v>0.21922219169299811</v>
      </c>
      <c r="R200" s="123">
        <f t="shared" si="93"/>
        <v>0.78077780830700194</v>
      </c>
      <c r="S200" s="123">
        <v>0.55000000000000004</v>
      </c>
      <c r="T200" s="117"/>
      <c r="U200" s="118" t="str">
        <f t="shared" si="67"/>
        <v/>
      </c>
      <c r="V200" s="110"/>
      <c r="W200" s="110"/>
      <c r="X200" s="110"/>
      <c r="Y200" s="110"/>
      <c r="Z200" s="110"/>
      <c r="AA200" s="110"/>
    </row>
    <row r="201" spans="1:27" x14ac:dyDescent="0.15">
      <c r="A201" s="21" t="s">
        <v>2772</v>
      </c>
      <c r="B201" s="111" t="s">
        <v>47</v>
      </c>
      <c r="C201" s="110"/>
      <c r="D201" s="111">
        <v>12</v>
      </c>
      <c r="E201" s="110">
        <v>161810</v>
      </c>
      <c r="F201" s="111">
        <v>540000210</v>
      </c>
      <c r="G201" s="17" t="s">
        <v>48</v>
      </c>
      <c r="H201" s="111">
        <v>959</v>
      </c>
      <c r="I201" s="30">
        <v>7840</v>
      </c>
      <c r="J201" s="117">
        <v>83</v>
      </c>
      <c r="K201" s="117">
        <f>2565.53+1154.53</f>
        <v>3720.0600000000004</v>
      </c>
      <c r="L201" s="117">
        <v>4882.93</v>
      </c>
      <c r="M201" s="117">
        <v>108.58</v>
      </c>
      <c r="N201" s="117"/>
      <c r="O201" s="7">
        <f t="shared" si="90"/>
        <v>8711.5700000000015</v>
      </c>
      <c r="P201" s="117">
        <f t="shared" si="91"/>
        <v>-871.57000000000153</v>
      </c>
      <c r="Q201" s="123">
        <f t="shared" si="92"/>
        <v>1.3849489795918367E-2</v>
      </c>
      <c r="R201" s="123">
        <f t="shared" si="93"/>
        <v>-0.11116964285714305</v>
      </c>
      <c r="S201" s="123">
        <v>0.55000000000000004</v>
      </c>
      <c r="T201" s="117"/>
      <c r="U201" s="118">
        <f t="shared" si="67"/>
        <v>44.820000000000007</v>
      </c>
      <c r="V201" s="110"/>
      <c r="W201" s="110"/>
      <c r="X201" s="110"/>
      <c r="Y201" s="110"/>
      <c r="Z201" s="110"/>
      <c r="AA201" s="110"/>
    </row>
    <row r="202" spans="1:27" x14ac:dyDescent="0.15">
      <c r="A202" s="21" t="s">
        <v>2772</v>
      </c>
      <c r="B202" s="111" t="s">
        <v>37</v>
      </c>
      <c r="C202" s="110"/>
      <c r="D202" s="111">
        <v>12</v>
      </c>
      <c r="E202" s="110">
        <v>161810</v>
      </c>
      <c r="F202" s="111">
        <v>925000320</v>
      </c>
      <c r="G202" s="17" t="s">
        <v>141</v>
      </c>
      <c r="H202" s="111">
        <v>960</v>
      </c>
      <c r="I202" s="30">
        <v>43674</v>
      </c>
      <c r="J202" s="117"/>
      <c r="K202" s="117"/>
      <c r="L202" s="117"/>
      <c r="M202" s="117">
        <v>9623.6</v>
      </c>
      <c r="N202" s="117"/>
      <c r="O202" s="7">
        <f t="shared" si="90"/>
        <v>9623.6</v>
      </c>
      <c r="P202" s="117">
        <f t="shared" si="91"/>
        <v>34050.400000000001</v>
      </c>
      <c r="Q202" s="123">
        <f t="shared" si="92"/>
        <v>0.22035078078490636</v>
      </c>
      <c r="R202" s="123">
        <f t="shared" si="93"/>
        <v>0.77964921921509367</v>
      </c>
      <c r="S202" s="123">
        <v>0.55000000000000004</v>
      </c>
      <c r="T202" s="117"/>
      <c r="U202" s="118" t="str">
        <f t="shared" si="67"/>
        <v/>
      </c>
      <c r="V202" s="110"/>
      <c r="W202" s="110"/>
      <c r="X202" s="110"/>
      <c r="Y202" s="110"/>
      <c r="Z202" s="110"/>
      <c r="AA202" s="110"/>
    </row>
    <row r="203" spans="1:27" x14ac:dyDescent="0.15">
      <c r="A203" s="21" t="s">
        <v>2772</v>
      </c>
      <c r="B203" s="111" t="s">
        <v>47</v>
      </c>
      <c r="C203" s="110"/>
      <c r="D203" s="111">
        <v>12</v>
      </c>
      <c r="E203" s="110">
        <v>161810</v>
      </c>
      <c r="F203" s="111">
        <v>525000220</v>
      </c>
      <c r="G203" s="17" t="s">
        <v>48</v>
      </c>
      <c r="H203" s="111">
        <v>961</v>
      </c>
      <c r="I203" s="30">
        <v>22230</v>
      </c>
      <c r="J203" s="117">
        <v>1.5</v>
      </c>
      <c r="K203" s="117">
        <f>46.37+20.87</f>
        <v>67.239999999999995</v>
      </c>
      <c r="L203" s="117"/>
      <c r="M203" s="117">
        <v>79.290000000000006</v>
      </c>
      <c r="N203" s="117"/>
      <c r="O203" s="7">
        <f t="shared" si="90"/>
        <v>146.53</v>
      </c>
      <c r="P203" s="117">
        <f t="shared" si="91"/>
        <v>22083.47</v>
      </c>
      <c r="Q203" s="123">
        <f t="shared" si="92"/>
        <v>3.5668016194331988E-3</v>
      </c>
      <c r="R203" s="123">
        <f t="shared" si="93"/>
        <v>0.993408457040036</v>
      </c>
      <c r="S203" s="123">
        <v>0.55000000000000004</v>
      </c>
      <c r="T203" s="117"/>
      <c r="U203" s="118">
        <f t="shared" si="67"/>
        <v>44.826666666666661</v>
      </c>
      <c r="V203" s="110"/>
      <c r="W203" s="110"/>
      <c r="X203" s="110"/>
      <c r="Y203" s="110"/>
      <c r="Z203" s="110"/>
      <c r="AA203" s="110"/>
    </row>
    <row r="204" spans="1:27" x14ac:dyDescent="0.15">
      <c r="A204" s="21" t="s">
        <v>2772</v>
      </c>
      <c r="B204" s="111" t="s">
        <v>37</v>
      </c>
      <c r="C204" s="110"/>
      <c r="D204" s="111">
        <v>12</v>
      </c>
      <c r="E204" s="110">
        <v>161810</v>
      </c>
      <c r="F204" s="111">
        <v>310800200</v>
      </c>
      <c r="G204" s="17" t="s">
        <v>142</v>
      </c>
      <c r="H204" s="111">
        <v>963</v>
      </c>
      <c r="I204" s="30">
        <v>63251</v>
      </c>
      <c r="J204" s="117">
        <v>12.75</v>
      </c>
      <c r="K204" s="117">
        <f>316.26+142.34</f>
        <v>458.6</v>
      </c>
      <c r="L204" s="117"/>
      <c r="M204" s="117">
        <v>7179.58</v>
      </c>
      <c r="N204" s="117"/>
      <c r="O204" s="7">
        <f t="shared" si="90"/>
        <v>7638.18</v>
      </c>
      <c r="P204" s="117">
        <f t="shared" si="91"/>
        <v>55612.82</v>
      </c>
      <c r="Q204" s="123">
        <f t="shared" si="92"/>
        <v>0.11350935163080425</v>
      </c>
      <c r="R204" s="123">
        <f t="shared" si="93"/>
        <v>0.87924017011588751</v>
      </c>
      <c r="S204" s="123">
        <v>0.55000000000000004</v>
      </c>
      <c r="T204" s="117"/>
      <c r="U204" s="118">
        <f t="shared" ref="U204:U285" si="94">IFERROR(K204/J204,"")</f>
        <v>35.968627450980392</v>
      </c>
      <c r="V204" s="110"/>
      <c r="W204" s="110"/>
      <c r="X204" s="110"/>
      <c r="Y204" s="110"/>
      <c r="Z204" s="110"/>
      <c r="AA204" s="110"/>
    </row>
    <row r="205" spans="1:27" x14ac:dyDescent="0.15">
      <c r="A205" s="21" t="s">
        <v>2772</v>
      </c>
      <c r="B205" s="111" t="s">
        <v>37</v>
      </c>
      <c r="C205" s="110"/>
      <c r="D205" s="111">
        <v>12</v>
      </c>
      <c r="E205" s="110">
        <v>161810</v>
      </c>
      <c r="F205" s="111">
        <v>910121220</v>
      </c>
      <c r="G205" s="17" t="s">
        <v>139</v>
      </c>
      <c r="H205" s="111">
        <v>964</v>
      </c>
      <c r="I205" s="30">
        <v>10280</v>
      </c>
      <c r="J205" s="117">
        <v>1</v>
      </c>
      <c r="K205" s="117">
        <f>27.04+12.17</f>
        <v>39.21</v>
      </c>
      <c r="L205" s="117"/>
      <c r="M205" s="117">
        <v>5981.35</v>
      </c>
      <c r="N205" s="117"/>
      <c r="O205" s="7">
        <f t="shared" si="90"/>
        <v>6020.56</v>
      </c>
      <c r="P205" s="117">
        <f t="shared" si="91"/>
        <v>4259.4399999999996</v>
      </c>
      <c r="Q205" s="123">
        <f t="shared" si="92"/>
        <v>0.5818433852140078</v>
      </c>
      <c r="R205" s="123">
        <f t="shared" si="93"/>
        <v>0.41434241245136183</v>
      </c>
      <c r="S205" s="123">
        <v>0.55000000000000004</v>
      </c>
      <c r="T205" s="117"/>
      <c r="U205" s="118">
        <f t="shared" si="94"/>
        <v>39.21</v>
      </c>
      <c r="V205" s="110"/>
      <c r="W205" s="110"/>
      <c r="X205" s="110"/>
      <c r="Y205" s="110"/>
      <c r="Z205" s="110"/>
      <c r="AA205" s="110"/>
    </row>
    <row r="206" spans="1:27" x14ac:dyDescent="0.15">
      <c r="A206" s="21" t="s">
        <v>2772</v>
      </c>
      <c r="B206" s="111" t="s">
        <v>47</v>
      </c>
      <c r="C206" s="110"/>
      <c r="D206" s="111">
        <v>12</v>
      </c>
      <c r="E206" s="110">
        <v>161810</v>
      </c>
      <c r="F206" s="111">
        <v>510120220</v>
      </c>
      <c r="G206" s="17" t="s">
        <v>48</v>
      </c>
      <c r="H206" s="111">
        <v>965</v>
      </c>
      <c r="I206" s="30">
        <v>7843</v>
      </c>
      <c r="J206" s="117">
        <v>540.5</v>
      </c>
      <c r="K206" s="117">
        <f>16706.87+7518.37</f>
        <v>24225.239999999998</v>
      </c>
      <c r="L206" s="117">
        <v>23520.49</v>
      </c>
      <c r="M206" s="117">
        <v>3914.4</v>
      </c>
      <c r="N206" s="117"/>
      <c r="O206" s="7">
        <f t="shared" si="90"/>
        <v>51660.13</v>
      </c>
      <c r="P206" s="117">
        <f t="shared" si="91"/>
        <v>-43817.13</v>
      </c>
      <c r="Q206" s="123">
        <f t="shared" si="92"/>
        <v>0.49909473415784777</v>
      </c>
      <c r="R206" s="123">
        <f t="shared" si="93"/>
        <v>-5.5867818436822638</v>
      </c>
      <c r="S206" s="123">
        <v>0.55000000000000004</v>
      </c>
      <c r="T206" s="117"/>
      <c r="U206" s="118">
        <f t="shared" si="94"/>
        <v>44.820055504162809</v>
      </c>
      <c r="V206" s="110"/>
      <c r="W206" s="110"/>
      <c r="X206" s="110"/>
      <c r="Y206" s="110"/>
      <c r="Z206" s="110"/>
      <c r="AA206" s="110"/>
    </row>
    <row r="207" spans="1:27" x14ac:dyDescent="0.15">
      <c r="A207" s="21" t="s">
        <v>2772</v>
      </c>
      <c r="B207" s="111" t="s">
        <v>37</v>
      </c>
      <c r="C207" s="110"/>
      <c r="D207" s="111">
        <v>12</v>
      </c>
      <c r="E207" s="110">
        <v>161810</v>
      </c>
      <c r="F207" s="111">
        <v>925001220</v>
      </c>
      <c r="G207" s="17" t="s">
        <v>143</v>
      </c>
      <c r="H207" s="111">
        <v>967</v>
      </c>
      <c r="I207" s="30">
        <v>17280</v>
      </c>
      <c r="J207" s="117">
        <v>2</v>
      </c>
      <c r="K207" s="117">
        <f>54.08+24.34</f>
        <v>78.42</v>
      </c>
      <c r="L207" s="117"/>
      <c r="M207" s="117">
        <v>7659.66</v>
      </c>
      <c r="N207" s="117"/>
      <c r="O207" s="7">
        <f t="shared" si="90"/>
        <v>7738.08</v>
      </c>
      <c r="P207" s="117">
        <f t="shared" si="91"/>
        <v>9541.92</v>
      </c>
      <c r="Q207" s="123">
        <f t="shared" si="92"/>
        <v>0.44326736111111109</v>
      </c>
      <c r="R207" s="123">
        <f t="shared" si="93"/>
        <v>0.55219444444444443</v>
      </c>
      <c r="S207" s="123">
        <v>0.55000000000000004</v>
      </c>
      <c r="T207" s="117"/>
      <c r="U207" s="118">
        <f t="shared" si="94"/>
        <v>39.21</v>
      </c>
      <c r="V207" s="110"/>
      <c r="W207" s="110"/>
      <c r="X207" s="110"/>
      <c r="Y207" s="110"/>
      <c r="Z207" s="110"/>
      <c r="AA207" s="110"/>
    </row>
    <row r="208" spans="1:27" x14ac:dyDescent="0.15">
      <c r="A208" s="21" t="s">
        <v>2772</v>
      </c>
      <c r="B208" s="111" t="s">
        <v>49</v>
      </c>
      <c r="C208" s="110"/>
      <c r="D208" s="111">
        <v>12</v>
      </c>
      <c r="E208" s="110">
        <v>161810</v>
      </c>
      <c r="F208" s="111">
        <v>616220120</v>
      </c>
      <c r="G208" s="17" t="s">
        <v>144</v>
      </c>
      <c r="H208" s="111">
        <v>968</v>
      </c>
      <c r="I208" s="30">
        <v>6655</v>
      </c>
      <c r="J208" s="117">
        <v>56</v>
      </c>
      <c r="K208" s="117">
        <f>2199.68+990.08</f>
        <v>3189.7599999999998</v>
      </c>
      <c r="L208" s="117">
        <v>4523.3999999999996</v>
      </c>
      <c r="M208" s="117">
        <v>31.6</v>
      </c>
      <c r="N208" s="117"/>
      <c r="O208" s="7">
        <f t="shared" si="90"/>
        <v>7744.76</v>
      </c>
      <c r="P208" s="117">
        <f t="shared" si="91"/>
        <v>-1089.7600000000002</v>
      </c>
      <c r="Q208" s="123">
        <f t="shared" si="92"/>
        <v>4.7483095416979712E-3</v>
      </c>
      <c r="R208" s="123">
        <f t="shared" si="93"/>
        <v>-0.1637505634861007</v>
      </c>
      <c r="S208" s="123">
        <v>0.47099999999999997</v>
      </c>
      <c r="T208" s="117"/>
      <c r="U208" s="118">
        <f t="shared" si="94"/>
        <v>56.959999999999994</v>
      </c>
      <c r="V208" s="110"/>
      <c r="W208" s="110"/>
      <c r="X208" s="110"/>
      <c r="Y208" s="110"/>
      <c r="Z208" s="110"/>
      <c r="AA208" s="110"/>
    </row>
    <row r="209" spans="1:27" x14ac:dyDescent="0.15">
      <c r="A209" s="110"/>
      <c r="B209" s="111"/>
      <c r="C209" s="110"/>
      <c r="D209" s="111"/>
      <c r="E209" s="111"/>
      <c r="F209" s="111"/>
      <c r="G209" s="133"/>
      <c r="H209" s="111"/>
      <c r="I209" s="117"/>
      <c r="J209" s="117"/>
      <c r="K209" s="117"/>
      <c r="L209" s="117"/>
      <c r="M209" s="117"/>
      <c r="N209" s="117"/>
      <c r="P209" s="117"/>
      <c r="Q209" s="123"/>
      <c r="R209" s="123"/>
      <c r="S209" s="123"/>
      <c r="T209" s="117"/>
      <c r="U209" s="118" t="str">
        <f t="shared" si="94"/>
        <v/>
      </c>
      <c r="V209" s="110"/>
      <c r="W209" s="110"/>
      <c r="X209" s="110"/>
      <c r="Y209" s="110"/>
      <c r="Z209" s="110"/>
      <c r="AA209" s="110"/>
    </row>
    <row r="210" spans="1:27" x14ac:dyDescent="0.15">
      <c r="A210" s="110"/>
      <c r="B210" s="111" t="s">
        <v>54</v>
      </c>
      <c r="C210" s="110"/>
      <c r="D210" s="111"/>
      <c r="E210" s="111"/>
      <c r="F210" s="111"/>
      <c r="G210" s="133"/>
      <c r="H210" s="111"/>
      <c r="I210" s="24">
        <f>SUM(I196:I208)</f>
        <v>476255</v>
      </c>
      <c r="J210" s="24">
        <f>SUM(J196:J208)</f>
        <v>897.25</v>
      </c>
      <c r="K210" s="24">
        <f t="shared" ref="K210:M210" si="95">SUM(K196:K208)</f>
        <v>40233.54</v>
      </c>
      <c r="L210" s="24">
        <f t="shared" si="95"/>
        <v>37809.620000000003</v>
      </c>
      <c r="M210" s="24">
        <f t="shared" si="95"/>
        <v>77596.840000000011</v>
      </c>
      <c r="N210" s="117"/>
      <c r="O210" s="25">
        <f>SUM(K210:M210)</f>
        <v>155640</v>
      </c>
      <c r="P210" s="117">
        <f>I210-O210</f>
        <v>320615</v>
      </c>
      <c r="Q210" s="123">
        <f t="shared" si="92"/>
        <v>0.16293128681063718</v>
      </c>
      <c r="R210" s="123">
        <f t="shared" si="93"/>
        <v>0.67320028136187549</v>
      </c>
      <c r="S210" s="123">
        <v>0.55000000000000004</v>
      </c>
      <c r="T210" s="117"/>
      <c r="U210" s="118">
        <f t="shared" si="94"/>
        <v>44.84094733909167</v>
      </c>
      <c r="V210" s="110"/>
      <c r="W210" s="110"/>
      <c r="X210" s="110"/>
      <c r="Y210" s="110"/>
      <c r="Z210" s="110"/>
      <c r="AA210" s="110"/>
    </row>
    <row r="211" spans="1:27" x14ac:dyDescent="0.15">
      <c r="A211" s="21" t="s">
        <v>2772</v>
      </c>
      <c r="B211" s="111" t="s">
        <v>55</v>
      </c>
      <c r="C211" s="110"/>
      <c r="D211" s="111"/>
      <c r="E211" s="110">
        <v>161810</v>
      </c>
      <c r="F211" s="111" t="s">
        <v>56</v>
      </c>
      <c r="G211" s="20" t="s">
        <v>2771</v>
      </c>
      <c r="H211" s="111">
        <v>962</v>
      </c>
      <c r="I211" s="117">
        <v>7840</v>
      </c>
      <c r="J211" s="117">
        <v>55.5</v>
      </c>
      <c r="K211" s="117">
        <f>1526.25+687.09</f>
        <v>2213.34</v>
      </c>
      <c r="L211" s="117">
        <v>13923.54</v>
      </c>
      <c r="M211" s="117">
        <v>174.56</v>
      </c>
      <c r="N211" s="117"/>
      <c r="O211" s="7">
        <f>SUM(K211:M211)</f>
        <v>16311.44</v>
      </c>
      <c r="P211" s="117">
        <f t="shared" si="91"/>
        <v>-8471.44</v>
      </c>
      <c r="Q211" s="123">
        <f t="shared" si="92"/>
        <v>2.226530612244898E-2</v>
      </c>
      <c r="R211" s="123">
        <f t="shared" si="93"/>
        <v>-1.0805408163265307</v>
      </c>
      <c r="S211" s="123">
        <v>0</v>
      </c>
      <c r="T211" s="117"/>
      <c r="U211" s="118">
        <f t="shared" si="94"/>
        <v>39.880000000000003</v>
      </c>
      <c r="V211" s="110"/>
      <c r="W211" s="110"/>
      <c r="X211" s="110"/>
      <c r="Y211" s="110"/>
      <c r="Z211" s="110"/>
      <c r="AA211" s="110"/>
    </row>
    <row r="212" spans="1:27" x14ac:dyDescent="0.15">
      <c r="A212" s="21" t="s">
        <v>2772</v>
      </c>
      <c r="B212" s="111" t="s">
        <v>61</v>
      </c>
      <c r="C212" s="110"/>
      <c r="D212" s="111"/>
      <c r="E212" s="110">
        <v>161810</v>
      </c>
      <c r="F212" s="17" t="s">
        <v>2773</v>
      </c>
      <c r="G212" s="17" t="s">
        <v>145</v>
      </c>
      <c r="H212" s="111"/>
      <c r="I212" s="117">
        <v>25600</v>
      </c>
      <c r="J212" s="117"/>
      <c r="K212" s="117"/>
      <c r="L212" s="117"/>
      <c r="M212" s="117"/>
      <c r="N212" s="117"/>
      <c r="P212" s="117"/>
      <c r="Q212" s="123"/>
      <c r="R212" s="123"/>
      <c r="S212" s="123"/>
      <c r="T212" s="117"/>
      <c r="U212" s="118" t="str">
        <f t="shared" si="94"/>
        <v/>
      </c>
      <c r="V212" s="110"/>
      <c r="W212" s="110"/>
      <c r="X212" s="110"/>
      <c r="Y212" s="110"/>
      <c r="Z212" s="110"/>
      <c r="AA212" s="110"/>
    </row>
    <row r="213" spans="1:27" x14ac:dyDescent="0.15">
      <c r="A213" s="110"/>
      <c r="B213" s="111"/>
      <c r="C213" s="110"/>
      <c r="D213" s="111"/>
      <c r="E213" s="111"/>
      <c r="F213" s="111"/>
      <c r="G213" s="133"/>
      <c r="H213" s="111"/>
      <c r="I213" s="117"/>
      <c r="J213" s="117"/>
      <c r="K213" s="117"/>
      <c r="L213" s="117"/>
      <c r="M213" s="117"/>
      <c r="N213" s="117"/>
      <c r="P213" s="117"/>
      <c r="Q213" s="123"/>
      <c r="R213" s="123"/>
      <c r="S213" s="123"/>
      <c r="T213" s="117"/>
      <c r="U213" s="118" t="str">
        <f t="shared" si="94"/>
        <v/>
      </c>
      <c r="V213" s="110"/>
      <c r="W213" s="110"/>
      <c r="X213" s="110"/>
      <c r="Y213" s="110"/>
      <c r="Z213" s="110"/>
      <c r="AA213" s="110"/>
    </row>
    <row r="214" spans="1:27" x14ac:dyDescent="0.15">
      <c r="A214" s="21" t="s">
        <v>2772</v>
      </c>
      <c r="B214" s="111" t="s">
        <v>65</v>
      </c>
      <c r="C214" s="110"/>
      <c r="D214" s="111"/>
      <c r="E214" s="111"/>
      <c r="F214" s="111"/>
      <c r="G214" s="133"/>
      <c r="H214" s="111"/>
      <c r="I214" s="24">
        <f>SUM(I210:I212)</f>
        <v>509695</v>
      </c>
      <c r="J214" s="24">
        <f t="shared" ref="J214:M214" si="96">SUM(J210:J212)</f>
        <v>952.75</v>
      </c>
      <c r="K214" s="24">
        <f t="shared" si="96"/>
        <v>42446.880000000005</v>
      </c>
      <c r="L214" s="24">
        <f t="shared" si="96"/>
        <v>51733.16</v>
      </c>
      <c r="M214" s="24">
        <f t="shared" si="96"/>
        <v>77771.400000000009</v>
      </c>
      <c r="N214" s="117"/>
      <c r="O214" s="25">
        <f>SUM(K214:M214)</f>
        <v>171951.44</v>
      </c>
      <c r="P214" s="117">
        <f>I214-O214</f>
        <v>337743.56</v>
      </c>
      <c r="Q214" s="123">
        <f>M214/I214</f>
        <v>0.15258419250728378</v>
      </c>
      <c r="R214" s="123">
        <f>P214/I214</f>
        <v>0.66263855835352514</v>
      </c>
      <c r="S214" s="123"/>
      <c r="T214" s="117"/>
      <c r="U214" s="118">
        <f t="shared" si="94"/>
        <v>44.551960115455266</v>
      </c>
      <c r="V214" s="110"/>
      <c r="W214" s="110"/>
      <c r="X214" s="110"/>
      <c r="Y214" s="110"/>
      <c r="Z214" s="110"/>
      <c r="AA214" s="110"/>
    </row>
    <row r="215" spans="1:27" x14ac:dyDescent="0.15">
      <c r="A215" s="21" t="s">
        <v>2772</v>
      </c>
      <c r="B215" s="111" t="s">
        <v>66</v>
      </c>
      <c r="C215" s="110"/>
      <c r="D215" s="111"/>
      <c r="E215" s="111"/>
      <c r="F215" s="111"/>
      <c r="G215" s="133"/>
      <c r="H215" s="111"/>
      <c r="I215" s="117">
        <f>SUM(I196,I198,I200,I202,I204,I205,I207)</f>
        <v>379972</v>
      </c>
      <c r="J215" s="117">
        <f>SUM(J196,J198,J200,J202,J204,J205,J207)</f>
        <v>86.75</v>
      </c>
      <c r="K215" s="117">
        <f t="shared" ref="K215:M215" si="97">SUM(K196,K198,K200,K202,K204,K205,K207)</f>
        <v>3227.0400000000004</v>
      </c>
      <c r="L215" s="117">
        <f t="shared" si="97"/>
        <v>0</v>
      </c>
      <c r="M215" s="117">
        <f t="shared" si="97"/>
        <v>72512.5</v>
      </c>
      <c r="N215" s="117"/>
      <c r="O215" s="7">
        <f t="shared" ref="O215:P215" si="98">SUM(O196,O198,O200,O202,O204,O205,O207)</f>
        <v>75739.539999999994</v>
      </c>
      <c r="P215" s="117">
        <f t="shared" si="98"/>
        <v>304232.45999999996</v>
      </c>
      <c r="Q215" s="123">
        <f>M215/I215</f>
        <v>0.19083643005274073</v>
      </c>
      <c r="R215" s="123">
        <f>P215/I215</f>
        <v>0.80067073363300445</v>
      </c>
      <c r="S215" s="123">
        <f>((I196*S196)+(I198*S198)+(I200*S200)+(I202*S202)+(I204*S204)+(I205*S205)+(I207*S207))/I215</f>
        <v>0.55000000000000004</v>
      </c>
      <c r="T215" s="117"/>
      <c r="U215" s="118">
        <f t="shared" si="94"/>
        <v>37.199308357348706</v>
      </c>
      <c r="V215" s="110"/>
      <c r="W215" s="110"/>
      <c r="X215" s="110"/>
      <c r="Y215" s="110"/>
      <c r="Z215" s="110"/>
      <c r="AA215" s="110"/>
    </row>
    <row r="216" spans="1:27" x14ac:dyDescent="0.15">
      <c r="A216" s="142"/>
      <c r="B216" s="142"/>
      <c r="C216" s="143"/>
      <c r="D216" s="142"/>
      <c r="E216" s="142"/>
      <c r="F216" s="142"/>
      <c r="G216" s="188"/>
      <c r="H216" s="142"/>
      <c r="I216" s="144"/>
      <c r="J216" s="144"/>
      <c r="K216" s="144"/>
      <c r="L216" s="144"/>
      <c r="M216" s="144"/>
      <c r="N216" s="144"/>
      <c r="O216" s="22"/>
      <c r="P216" s="144"/>
      <c r="Q216" s="189"/>
      <c r="R216" s="189"/>
      <c r="S216" s="189"/>
      <c r="T216" s="144"/>
      <c r="U216" s="145"/>
      <c r="V216" s="143"/>
      <c r="W216" s="143"/>
      <c r="X216" s="143"/>
      <c r="Y216" s="143"/>
      <c r="Z216" s="143"/>
      <c r="AA216" s="143"/>
    </row>
    <row r="217" spans="1:27" x14ac:dyDescent="0.15">
      <c r="A217" s="1" t="s">
        <v>2774</v>
      </c>
      <c r="B217" s="130"/>
      <c r="C217" s="130"/>
      <c r="D217" s="130"/>
      <c r="E217" s="130"/>
      <c r="F217" s="130"/>
      <c r="G217" s="186"/>
      <c r="H217" s="130"/>
      <c r="I217" s="126"/>
      <c r="J217" s="126"/>
      <c r="K217" s="126"/>
      <c r="L217" s="126"/>
      <c r="M217" s="126"/>
      <c r="N217" s="126"/>
      <c r="O217" s="18"/>
      <c r="P217" s="126"/>
      <c r="Q217" s="187"/>
      <c r="R217" s="187"/>
      <c r="S217" s="187"/>
      <c r="T217" s="126"/>
      <c r="U217" s="127"/>
      <c r="V217" s="130"/>
      <c r="W217" s="130"/>
      <c r="X217" s="130"/>
      <c r="Y217" s="130"/>
      <c r="Z217" s="130"/>
      <c r="AA217" s="130"/>
    </row>
    <row r="218" spans="1:27" x14ac:dyDescent="0.15">
      <c r="A218" s="110" t="s">
        <v>53</v>
      </c>
      <c r="B218" s="110"/>
      <c r="C218" s="110"/>
      <c r="D218" s="110"/>
      <c r="E218" s="110"/>
      <c r="F218" s="110"/>
      <c r="G218" s="133"/>
      <c r="H218" s="110"/>
      <c r="I218" s="117"/>
      <c r="J218" s="117"/>
      <c r="K218" s="117"/>
      <c r="L218" s="117"/>
      <c r="M218" s="117"/>
      <c r="N218" s="117"/>
      <c r="P218" s="117"/>
      <c r="Q218" s="123"/>
      <c r="R218" s="123"/>
      <c r="S218" s="123"/>
      <c r="T218" s="117"/>
      <c r="U218" s="118" t="str">
        <f t="shared" si="94"/>
        <v/>
      </c>
      <c r="V218" s="110"/>
      <c r="W218" s="110"/>
      <c r="X218" s="110"/>
      <c r="Y218" s="110"/>
      <c r="Z218" s="110"/>
      <c r="AA218" s="110"/>
    </row>
    <row r="219" spans="1:27" x14ac:dyDescent="0.15">
      <c r="A219" s="110" t="s">
        <v>2775</v>
      </c>
      <c r="B219" s="111" t="s">
        <v>37</v>
      </c>
      <c r="C219" s="110"/>
      <c r="D219" s="111">
        <v>1</v>
      </c>
      <c r="E219" s="111">
        <v>161957</v>
      </c>
      <c r="F219" s="20">
        <v>115100120</v>
      </c>
      <c r="G219" s="20" t="s">
        <v>148</v>
      </c>
      <c r="H219" s="20">
        <v>1044</v>
      </c>
      <c r="I219" s="134">
        <v>120642</v>
      </c>
      <c r="J219" s="134">
        <v>72.5</v>
      </c>
      <c r="K219" s="134">
        <f>1800.95+810.59</f>
        <v>2611.54</v>
      </c>
      <c r="L219" s="134"/>
      <c r="M219" s="134">
        <v>26890.45</v>
      </c>
      <c r="N219" s="134"/>
      <c r="O219" s="31">
        <f>SUM(K219:M219)</f>
        <v>29501.99</v>
      </c>
      <c r="P219" s="134">
        <f>I219-O219</f>
        <v>91140.01</v>
      </c>
      <c r="Q219" s="190">
        <f>M219/I219</f>
        <v>0.22289459723810945</v>
      </c>
      <c r="R219" s="190">
        <f>P219/I219</f>
        <v>0.75545838099500995</v>
      </c>
      <c r="S219" s="190">
        <f>1-0.45</f>
        <v>0.55000000000000004</v>
      </c>
      <c r="T219" s="134"/>
      <c r="U219" s="118">
        <f t="shared" si="94"/>
        <v>36.021241379310347</v>
      </c>
      <c r="V219" s="110"/>
      <c r="W219" s="110"/>
      <c r="X219" s="110"/>
      <c r="Y219" s="110"/>
      <c r="Z219" s="110"/>
      <c r="AA219" s="110"/>
    </row>
    <row r="220" spans="1:27" x14ac:dyDescent="0.15">
      <c r="A220" s="110" t="s">
        <v>2775</v>
      </c>
      <c r="B220" s="111" t="s">
        <v>37</v>
      </c>
      <c r="C220" s="110"/>
      <c r="D220" s="111">
        <v>1</v>
      </c>
      <c r="E220" s="111">
        <v>161957</v>
      </c>
      <c r="F220" s="20">
        <v>925100420</v>
      </c>
      <c r="G220" s="20" t="s">
        <v>149</v>
      </c>
      <c r="H220" s="20">
        <v>1045</v>
      </c>
      <c r="I220" s="134">
        <v>13840</v>
      </c>
      <c r="J220" s="134"/>
      <c r="K220" s="134"/>
      <c r="L220" s="134"/>
      <c r="M220" s="134">
        <v>1440.47</v>
      </c>
      <c r="N220" s="134"/>
      <c r="O220" s="31">
        <f>SUM(K220:M220)</f>
        <v>1440.47</v>
      </c>
      <c r="P220" s="134">
        <f>I220-O220</f>
        <v>12399.53</v>
      </c>
      <c r="Q220" s="190">
        <f>M220/I220</f>
        <v>0.10408020231213873</v>
      </c>
      <c r="R220" s="190">
        <f>P220/I220</f>
        <v>0.89591979768786134</v>
      </c>
      <c r="S220" s="190">
        <f t="shared" ref="S220:S222" si="99">1-0.45</f>
        <v>0.55000000000000004</v>
      </c>
      <c r="T220" s="134"/>
      <c r="U220" s="118" t="str">
        <f t="shared" si="94"/>
        <v/>
      </c>
      <c r="V220" s="110"/>
      <c r="W220" s="110"/>
      <c r="X220" s="110"/>
      <c r="Y220" s="110"/>
      <c r="Z220" s="110"/>
      <c r="AA220" s="110"/>
    </row>
    <row r="221" spans="1:27" x14ac:dyDescent="0.15">
      <c r="A221" s="110" t="s">
        <v>2775</v>
      </c>
      <c r="B221" s="111" t="s">
        <v>37</v>
      </c>
      <c r="C221" s="110"/>
      <c r="D221" s="111">
        <v>1</v>
      </c>
      <c r="E221" s="111">
        <v>161957</v>
      </c>
      <c r="F221" s="20">
        <v>310800200</v>
      </c>
      <c r="G221" s="20" t="s">
        <v>142</v>
      </c>
      <c r="H221" s="20">
        <v>1046</v>
      </c>
      <c r="I221" s="134">
        <v>34334</v>
      </c>
      <c r="J221" s="134">
        <v>27</v>
      </c>
      <c r="K221" s="134">
        <f>667.08+300.25</f>
        <v>967.33</v>
      </c>
      <c r="L221" s="134"/>
      <c r="M221" s="134">
        <v>11489.79</v>
      </c>
      <c r="N221" s="134"/>
      <c r="O221" s="31">
        <f>SUM(K221:M221)</f>
        <v>12457.12</v>
      </c>
      <c r="P221" s="134">
        <f>I221-O221</f>
        <v>21876.879999999997</v>
      </c>
      <c r="Q221" s="190">
        <f>M221/I221</f>
        <v>0.33464757965864744</v>
      </c>
      <c r="R221" s="190">
        <f>P221/I221</f>
        <v>0.63717830721733548</v>
      </c>
      <c r="S221" s="190">
        <f t="shared" si="99"/>
        <v>0.55000000000000004</v>
      </c>
      <c r="T221" s="134"/>
      <c r="U221" s="118">
        <f t="shared" si="94"/>
        <v>35.827037037037037</v>
      </c>
      <c r="V221" s="110"/>
      <c r="W221" s="110"/>
      <c r="X221" s="110"/>
      <c r="Y221" s="110"/>
      <c r="Z221" s="110"/>
      <c r="AA221" s="110"/>
    </row>
    <row r="222" spans="1:27" x14ac:dyDescent="0.15">
      <c r="A222" s="110" t="s">
        <v>2775</v>
      </c>
      <c r="B222" s="111" t="s">
        <v>47</v>
      </c>
      <c r="C222" s="110"/>
      <c r="D222" s="111">
        <v>1</v>
      </c>
      <c r="E222" s="111">
        <v>161957</v>
      </c>
      <c r="F222" s="20">
        <v>515100120</v>
      </c>
      <c r="G222" s="20" t="s">
        <v>48</v>
      </c>
      <c r="H222" s="20">
        <v>1047</v>
      </c>
      <c r="I222" s="134">
        <v>38250</v>
      </c>
      <c r="J222" s="134">
        <v>57.5</v>
      </c>
      <c r="K222" s="134">
        <f>1777.33+799.83</f>
        <v>2577.16</v>
      </c>
      <c r="L222" s="134">
        <v>5516.15</v>
      </c>
      <c r="M222" s="134">
        <v>3728.23</v>
      </c>
      <c r="N222" s="134"/>
      <c r="O222" s="31">
        <f>SUM(K222:M222)</f>
        <v>11821.539999999999</v>
      </c>
      <c r="P222" s="134">
        <f>I222-O222</f>
        <v>26428.46</v>
      </c>
      <c r="Q222" s="190">
        <f>M222/I222</f>
        <v>9.7470065359477123E-2</v>
      </c>
      <c r="R222" s="190">
        <f>P222/I222</f>
        <v>0.69094013071895422</v>
      </c>
      <c r="S222" s="190">
        <f t="shared" si="99"/>
        <v>0.55000000000000004</v>
      </c>
      <c r="T222" s="134"/>
      <c r="U222" s="118">
        <f t="shared" si="94"/>
        <v>44.820173913043476</v>
      </c>
      <c r="V222" s="110"/>
      <c r="W222" s="110"/>
      <c r="X222" s="110"/>
      <c r="Y222" s="110"/>
      <c r="Z222" s="110"/>
      <c r="AA222" s="110"/>
    </row>
    <row r="223" spans="1:27" x14ac:dyDescent="0.15">
      <c r="A223" s="110" t="s">
        <v>2775</v>
      </c>
      <c r="B223" s="111" t="s">
        <v>49</v>
      </c>
      <c r="C223" s="110"/>
      <c r="D223" s="111">
        <v>1</v>
      </c>
      <c r="E223" s="111">
        <v>161957</v>
      </c>
      <c r="F223" s="20">
        <v>616520120</v>
      </c>
      <c r="G223" s="20" t="s">
        <v>144</v>
      </c>
      <c r="H223" s="20">
        <v>1048</v>
      </c>
      <c r="I223" s="134">
        <v>7321</v>
      </c>
      <c r="J223" s="134">
        <v>32</v>
      </c>
      <c r="K223" s="134">
        <f>1256.96+565.76</f>
        <v>1822.72</v>
      </c>
      <c r="L223" s="134">
        <v>1345.56</v>
      </c>
      <c r="M223" s="134">
        <v>2566.41</v>
      </c>
      <c r="N223" s="134"/>
      <c r="O223" s="31">
        <f>SUM(K223:M223)</f>
        <v>5734.69</v>
      </c>
      <c r="P223" s="134">
        <f>I223-O223</f>
        <v>1586.3100000000004</v>
      </c>
      <c r="Q223" s="190">
        <f>M223/I223</f>
        <v>0.35055456904794424</v>
      </c>
      <c r="R223" s="190">
        <f>P223/I223</f>
        <v>0.21667941538041258</v>
      </c>
      <c r="S223" s="190">
        <f>1-0.529</f>
        <v>0.47099999999999997</v>
      </c>
      <c r="T223" s="134"/>
      <c r="U223" s="118">
        <f t="shared" si="94"/>
        <v>56.96</v>
      </c>
      <c r="V223" s="110"/>
      <c r="W223" s="110"/>
      <c r="X223" s="110"/>
      <c r="Y223" s="110"/>
      <c r="Z223" s="110"/>
      <c r="AA223" s="110"/>
    </row>
    <row r="224" spans="1:27" x14ac:dyDescent="0.15">
      <c r="A224" s="110" t="s">
        <v>53</v>
      </c>
      <c r="B224" s="111"/>
      <c r="C224" s="110"/>
      <c r="D224" s="111"/>
      <c r="E224" s="111"/>
      <c r="F224" s="20"/>
      <c r="G224" s="20"/>
      <c r="H224" s="20"/>
      <c r="I224" s="134"/>
      <c r="J224" s="134"/>
      <c r="K224" s="134"/>
      <c r="L224" s="134"/>
      <c r="M224" s="134"/>
      <c r="N224" s="134"/>
      <c r="O224" s="31"/>
      <c r="P224" s="134"/>
      <c r="Q224" s="190"/>
      <c r="R224" s="190"/>
      <c r="S224" s="190"/>
      <c r="T224" s="134"/>
      <c r="U224" s="118" t="str">
        <f t="shared" si="94"/>
        <v/>
      </c>
      <c r="V224" s="110"/>
      <c r="W224" s="110"/>
      <c r="X224" s="110"/>
      <c r="Y224" s="110"/>
      <c r="Z224" s="110"/>
      <c r="AA224" s="110"/>
    </row>
    <row r="225" spans="1:27" x14ac:dyDescent="0.15">
      <c r="A225" s="110" t="s">
        <v>2775</v>
      </c>
      <c r="B225" s="111" t="s">
        <v>54</v>
      </c>
      <c r="C225" s="110"/>
      <c r="D225" s="111"/>
      <c r="E225" s="111"/>
      <c r="F225" s="20"/>
      <c r="G225" s="20"/>
      <c r="H225" s="20"/>
      <c r="I225" s="32">
        <f>SUM(I219:I223)</f>
        <v>214387</v>
      </c>
      <c r="J225" s="32">
        <f t="shared" ref="J225:M225" si="100">SUM(J219:J223)</f>
        <v>189</v>
      </c>
      <c r="K225" s="32">
        <f t="shared" si="100"/>
        <v>7978.75</v>
      </c>
      <c r="L225" s="32">
        <f t="shared" si="100"/>
        <v>6861.7099999999991</v>
      </c>
      <c r="M225" s="32">
        <f t="shared" si="100"/>
        <v>46115.350000000006</v>
      </c>
      <c r="N225" s="134"/>
      <c r="O225" s="32">
        <f>SUM(O219:O223)</f>
        <v>60955.810000000005</v>
      </c>
      <c r="P225" s="134">
        <f>I225-O225</f>
        <v>153431.19</v>
      </c>
      <c r="Q225" s="190">
        <f>M225/I225</f>
        <v>0.21510329450946189</v>
      </c>
      <c r="R225" s="190">
        <f>P225/I225</f>
        <v>0.71567394478209967</v>
      </c>
      <c r="S225" s="190">
        <f>((I219*S219)+(I220*S220)+(I221*S221))/I225</f>
        <v>0.4330896929384711</v>
      </c>
      <c r="T225" s="134"/>
      <c r="U225" s="118">
        <f t="shared" si="94"/>
        <v>42.215608465608469</v>
      </c>
      <c r="V225" s="110"/>
      <c r="W225" s="110"/>
      <c r="X225" s="110"/>
      <c r="Y225" s="110"/>
      <c r="Z225" s="110"/>
      <c r="AA225" s="110"/>
    </row>
    <row r="226" spans="1:27" x14ac:dyDescent="0.15">
      <c r="A226" s="110" t="s">
        <v>2775</v>
      </c>
      <c r="B226" s="111" t="s">
        <v>55</v>
      </c>
      <c r="C226" s="110"/>
      <c r="D226" s="111"/>
      <c r="E226" s="111">
        <v>161957</v>
      </c>
      <c r="F226" s="20" t="s">
        <v>56</v>
      </c>
      <c r="G226" s="20" t="s">
        <v>2776</v>
      </c>
      <c r="H226" s="20">
        <v>1049</v>
      </c>
      <c r="I226" s="134">
        <v>6744</v>
      </c>
      <c r="J226" s="134">
        <v>31</v>
      </c>
      <c r="K226" s="134">
        <f>852.5+383.78</f>
        <v>1236.28</v>
      </c>
      <c r="L226" s="134">
        <v>4727.7</v>
      </c>
      <c r="M226" s="134"/>
      <c r="N226" s="134"/>
      <c r="O226" s="31">
        <f>SUM(K226:L226)</f>
        <v>5963.98</v>
      </c>
      <c r="P226" s="134">
        <f>I226-O226</f>
        <v>780.02000000000044</v>
      </c>
      <c r="Q226" s="190">
        <f>M226/I226</f>
        <v>0</v>
      </c>
      <c r="R226" s="190">
        <f>P226/I226</f>
        <v>0.11566132858837491</v>
      </c>
      <c r="S226" s="190"/>
      <c r="T226" s="134"/>
      <c r="U226" s="118">
        <f t="shared" si="94"/>
        <v>39.880000000000003</v>
      </c>
      <c r="V226" s="110"/>
      <c r="W226" s="110"/>
      <c r="X226" s="110"/>
      <c r="Y226" s="110"/>
      <c r="Z226" s="110"/>
      <c r="AA226" s="110"/>
    </row>
    <row r="227" spans="1:27" x14ac:dyDescent="0.15">
      <c r="A227" s="110" t="s">
        <v>2775</v>
      </c>
      <c r="B227" s="111" t="s">
        <v>58</v>
      </c>
      <c r="C227" s="110"/>
      <c r="D227" s="111"/>
      <c r="E227" s="111">
        <v>161957</v>
      </c>
      <c r="F227" s="20" t="s">
        <v>150</v>
      </c>
      <c r="G227" s="20" t="s">
        <v>151</v>
      </c>
      <c r="H227" s="20"/>
      <c r="I227" s="134">
        <v>10991</v>
      </c>
      <c r="J227" s="134"/>
      <c r="K227" s="134"/>
      <c r="L227" s="134"/>
      <c r="M227" s="134"/>
      <c r="N227" s="134"/>
      <c r="O227" s="31"/>
      <c r="P227" s="134"/>
      <c r="Q227" s="190"/>
      <c r="R227" s="190"/>
      <c r="S227" s="190"/>
      <c r="T227" s="134"/>
      <c r="U227" s="118" t="str">
        <f t="shared" si="94"/>
        <v/>
      </c>
      <c r="V227" s="110"/>
      <c r="W227" s="110"/>
      <c r="X227" s="110"/>
      <c r="Y227" s="110"/>
      <c r="Z227" s="110"/>
      <c r="AA227" s="110"/>
    </row>
    <row r="228" spans="1:27" x14ac:dyDescent="0.15">
      <c r="A228" s="110" t="s">
        <v>53</v>
      </c>
      <c r="B228" s="111"/>
      <c r="C228" s="110"/>
      <c r="D228" s="111"/>
      <c r="E228" s="111"/>
      <c r="F228" s="20"/>
      <c r="G228" s="20"/>
      <c r="H228" s="20"/>
      <c r="I228" s="134"/>
      <c r="J228" s="134"/>
      <c r="K228" s="134"/>
      <c r="L228" s="134"/>
      <c r="M228" s="134"/>
      <c r="N228" s="134"/>
      <c r="O228" s="31"/>
      <c r="P228" s="134"/>
      <c r="Q228" s="190"/>
      <c r="R228" s="190"/>
      <c r="S228" s="190"/>
      <c r="T228" s="134"/>
      <c r="U228" s="118" t="str">
        <f t="shared" si="94"/>
        <v/>
      </c>
      <c r="V228" s="110"/>
      <c r="W228" s="110"/>
      <c r="X228" s="110"/>
      <c r="Y228" s="110"/>
      <c r="Z228" s="110"/>
      <c r="AA228" s="110"/>
    </row>
    <row r="229" spans="1:27" x14ac:dyDescent="0.15">
      <c r="A229" s="110" t="s">
        <v>2775</v>
      </c>
      <c r="B229" s="111" t="s">
        <v>65</v>
      </c>
      <c r="C229" s="110"/>
      <c r="D229" s="111"/>
      <c r="E229" s="111"/>
      <c r="F229" s="20"/>
      <c r="G229" s="20"/>
      <c r="H229" s="20"/>
      <c r="I229" s="32">
        <f>SUM(I225:I227)</f>
        <v>232122</v>
      </c>
      <c r="J229" s="32">
        <f t="shared" ref="J229:M229" si="101">SUM(J225:J227)</f>
        <v>220</v>
      </c>
      <c r="K229" s="32">
        <f t="shared" si="101"/>
        <v>9215.0300000000007</v>
      </c>
      <c r="L229" s="32">
        <f t="shared" si="101"/>
        <v>11589.41</v>
      </c>
      <c r="M229" s="32">
        <f t="shared" si="101"/>
        <v>46115.350000000006</v>
      </c>
      <c r="N229" s="134"/>
      <c r="O229" s="33">
        <f>SUM(K229:M229)</f>
        <v>66919.790000000008</v>
      </c>
      <c r="P229" s="134">
        <f>I229-O229</f>
        <v>165202.21</v>
      </c>
      <c r="Q229" s="190">
        <f>M229/I229</f>
        <v>0.19866858807006663</v>
      </c>
      <c r="R229" s="190">
        <f>P229/I229</f>
        <v>0.71170423311879094</v>
      </c>
      <c r="S229" s="190">
        <v>0.55000000000000004</v>
      </c>
      <c r="T229" s="134"/>
      <c r="U229" s="118">
        <f t="shared" si="94"/>
        <v>41.886500000000005</v>
      </c>
      <c r="V229" s="110"/>
      <c r="W229" s="110"/>
      <c r="X229" s="110"/>
      <c r="Y229" s="110"/>
      <c r="Z229" s="110"/>
      <c r="AA229" s="110"/>
    </row>
    <row r="230" spans="1:27" x14ac:dyDescent="0.15">
      <c r="A230" s="110" t="s">
        <v>2775</v>
      </c>
      <c r="B230" s="111" t="s">
        <v>66</v>
      </c>
      <c r="C230" s="110"/>
      <c r="D230" s="111"/>
      <c r="E230" s="111"/>
      <c r="F230" s="20"/>
      <c r="G230" s="20"/>
      <c r="H230" s="20"/>
      <c r="I230" s="134">
        <f>SUM(I219:I221)</f>
        <v>168816</v>
      </c>
      <c r="J230" s="134">
        <f t="shared" ref="J230:M230" si="102">SUM(J219:J221)</f>
        <v>99.5</v>
      </c>
      <c r="K230" s="134">
        <f t="shared" si="102"/>
        <v>3578.87</v>
      </c>
      <c r="L230" s="134">
        <f t="shared" si="102"/>
        <v>0</v>
      </c>
      <c r="M230" s="134">
        <f t="shared" si="102"/>
        <v>39820.710000000006</v>
      </c>
      <c r="N230" s="134"/>
      <c r="O230" s="31">
        <f>O219+O220+O221</f>
        <v>43399.58</v>
      </c>
      <c r="P230" s="34">
        <f>P219+P220+P221</f>
        <v>125416.41999999998</v>
      </c>
      <c r="Q230" s="190">
        <f>M230/I230</f>
        <v>0.23588232158089284</v>
      </c>
      <c r="R230" s="190">
        <f>P230/I230</f>
        <v>0.74291785138849387</v>
      </c>
      <c r="S230" s="190">
        <f>((I219*S219)+(I220*S220)+(I221*S221))/I230</f>
        <v>0.55000000000000004</v>
      </c>
      <c r="T230" s="134"/>
      <c r="U230" s="118">
        <f t="shared" si="94"/>
        <v>35.968542713567835</v>
      </c>
      <c r="V230" s="110"/>
      <c r="W230" s="110"/>
      <c r="X230" s="110"/>
      <c r="Y230" s="110"/>
      <c r="Z230" s="110"/>
      <c r="AA230" s="110"/>
    </row>
    <row r="231" spans="1:27" x14ac:dyDescent="0.15">
      <c r="A231" s="124" t="s">
        <v>53</v>
      </c>
      <c r="B231" s="124"/>
      <c r="C231" s="130"/>
      <c r="D231" s="124"/>
      <c r="E231" s="124"/>
      <c r="F231" s="124"/>
      <c r="G231" s="186"/>
      <c r="H231" s="124"/>
      <c r="I231" s="129"/>
      <c r="J231" s="129"/>
      <c r="K231" s="129"/>
      <c r="L231" s="129"/>
      <c r="M231" s="129"/>
      <c r="N231" s="126"/>
      <c r="O231" s="18"/>
      <c r="P231" s="126"/>
      <c r="Q231" s="187"/>
      <c r="R231" s="187"/>
      <c r="S231" s="187"/>
      <c r="T231" s="126"/>
      <c r="U231" s="127"/>
      <c r="V231" s="126"/>
      <c r="W231" s="126"/>
      <c r="X231" s="137"/>
      <c r="Y231" s="137"/>
      <c r="Z231" s="130"/>
      <c r="AA231" s="127"/>
    </row>
    <row r="232" spans="1:27" x14ac:dyDescent="0.15">
      <c r="A232" s="110" t="s">
        <v>2777</v>
      </c>
      <c r="B232" s="111" t="s">
        <v>37</v>
      </c>
      <c r="C232" s="110"/>
      <c r="D232" s="111">
        <v>1</v>
      </c>
      <c r="E232" s="138">
        <v>162073</v>
      </c>
      <c r="F232" s="20">
        <v>123051120</v>
      </c>
      <c r="G232" s="20" t="s">
        <v>153</v>
      </c>
      <c r="H232" s="20">
        <v>1054</v>
      </c>
      <c r="I232" s="139">
        <v>118493</v>
      </c>
      <c r="J232" s="139">
        <v>67.5</v>
      </c>
      <c r="K232" s="139">
        <f>1645.2+740.48</f>
        <v>2385.6800000000003</v>
      </c>
      <c r="L232" s="139"/>
      <c r="M232" s="139">
        <v>23217.75</v>
      </c>
      <c r="N232" s="139"/>
      <c r="O232" s="35">
        <f t="shared" ref="O232:O237" si="103">SUM(K232:M232)</f>
        <v>25603.43</v>
      </c>
      <c r="P232" s="139">
        <f t="shared" ref="P232:P237" si="104">I232-O232</f>
        <v>92889.57</v>
      </c>
      <c r="Q232" s="191">
        <f t="shared" ref="Q232:Q237" si="105">M232/I232</f>
        <v>0.19594195437705181</v>
      </c>
      <c r="R232" s="190">
        <f t="shared" ref="R232:R237" si="106">P232/I232</f>
        <v>0.78392453562657716</v>
      </c>
      <c r="S232" s="190">
        <f>1-0.45</f>
        <v>0.55000000000000004</v>
      </c>
      <c r="T232" s="134"/>
      <c r="U232" s="118">
        <f t="shared" si="94"/>
        <v>35.343407407407412</v>
      </c>
      <c r="V232" s="110"/>
      <c r="W232" s="110"/>
      <c r="X232" s="110"/>
      <c r="Y232" s="110"/>
      <c r="Z232" s="110"/>
      <c r="AA232" s="110"/>
    </row>
    <row r="233" spans="1:27" x14ac:dyDescent="0.15">
      <c r="A233" s="110" t="s">
        <v>2777</v>
      </c>
      <c r="B233" s="111" t="s">
        <v>37</v>
      </c>
      <c r="C233" s="110"/>
      <c r="D233" s="111">
        <v>1</v>
      </c>
      <c r="E233" s="138">
        <v>162073</v>
      </c>
      <c r="F233" s="20">
        <v>310800200</v>
      </c>
      <c r="G233" s="20" t="s">
        <v>142</v>
      </c>
      <c r="H233" s="111">
        <v>1055</v>
      </c>
      <c r="I233" s="139">
        <v>37767</v>
      </c>
      <c r="J233" s="140">
        <v>33</v>
      </c>
      <c r="K233" s="140">
        <f>811.32+365.17</f>
        <v>1176.49</v>
      </c>
      <c r="L233" s="140"/>
      <c r="M233" s="140">
        <v>10183.34</v>
      </c>
      <c r="N233" s="140"/>
      <c r="O233" s="35">
        <f t="shared" si="103"/>
        <v>11359.83</v>
      </c>
      <c r="P233" s="139">
        <f t="shared" si="104"/>
        <v>26407.17</v>
      </c>
      <c r="Q233" s="191">
        <f t="shared" si="105"/>
        <v>0.26963592554346388</v>
      </c>
      <c r="R233" s="190">
        <f t="shared" si="106"/>
        <v>0.69921280482961312</v>
      </c>
      <c r="S233" s="190">
        <f t="shared" ref="S233:S237" si="107">1-0.45</f>
        <v>0.55000000000000004</v>
      </c>
      <c r="T233" s="134"/>
      <c r="U233" s="118">
        <f t="shared" si="94"/>
        <v>35.651212121212119</v>
      </c>
      <c r="V233" s="110"/>
      <c r="W233" s="110"/>
      <c r="X233" s="110"/>
      <c r="Y233" s="110"/>
      <c r="Z233" s="110"/>
      <c r="AA233" s="110"/>
    </row>
    <row r="234" spans="1:27" x14ac:dyDescent="0.15">
      <c r="A234" s="110" t="s">
        <v>2777</v>
      </c>
      <c r="B234" s="111" t="s">
        <v>47</v>
      </c>
      <c r="C234" s="110"/>
      <c r="D234" s="111">
        <v>1</v>
      </c>
      <c r="E234" s="138">
        <v>162073</v>
      </c>
      <c r="F234" s="20">
        <v>523051120</v>
      </c>
      <c r="G234" s="20" t="s">
        <v>48</v>
      </c>
      <c r="H234" s="111">
        <v>1056</v>
      </c>
      <c r="I234" s="139">
        <v>35490</v>
      </c>
      <c r="J234" s="140">
        <v>127</v>
      </c>
      <c r="K234" s="140">
        <f>3925.58+1766.58</f>
        <v>5692.16</v>
      </c>
      <c r="L234" s="140">
        <v>5144.3999999999996</v>
      </c>
      <c r="M234" s="140">
        <v>2622.04</v>
      </c>
      <c r="N234" s="140"/>
      <c r="O234" s="35">
        <f t="shared" si="103"/>
        <v>13458.599999999999</v>
      </c>
      <c r="P234" s="139">
        <f t="shared" si="104"/>
        <v>22031.4</v>
      </c>
      <c r="Q234" s="191">
        <f t="shared" si="105"/>
        <v>7.3881093265708644E-2</v>
      </c>
      <c r="R234" s="190">
        <f t="shared" si="106"/>
        <v>0.62077768385460697</v>
      </c>
      <c r="S234" s="190">
        <f t="shared" si="107"/>
        <v>0.55000000000000004</v>
      </c>
      <c r="T234" s="134"/>
      <c r="U234" s="118">
        <f t="shared" si="94"/>
        <v>44.820157480314961</v>
      </c>
      <c r="V234" s="110"/>
      <c r="W234" s="110"/>
      <c r="X234" s="110"/>
      <c r="Y234" s="110"/>
      <c r="Z234" s="110"/>
      <c r="AA234" s="110"/>
    </row>
    <row r="235" spans="1:27" x14ac:dyDescent="0.15">
      <c r="A235" s="110" t="s">
        <v>2777</v>
      </c>
      <c r="B235" s="111" t="s">
        <v>49</v>
      </c>
      <c r="C235" s="110"/>
      <c r="D235" s="111">
        <v>1</v>
      </c>
      <c r="E235" s="138">
        <v>162073</v>
      </c>
      <c r="F235" s="20">
        <v>626520120</v>
      </c>
      <c r="G235" s="20" t="s">
        <v>144</v>
      </c>
      <c r="H235" s="111">
        <v>1057</v>
      </c>
      <c r="I235" s="139">
        <v>7321</v>
      </c>
      <c r="J235" s="140">
        <v>16</v>
      </c>
      <c r="K235" s="140">
        <f>628.48+282.88</f>
        <v>911.36</v>
      </c>
      <c r="L235" s="140">
        <v>1618.3</v>
      </c>
      <c r="M235" s="140">
        <v>2605.64</v>
      </c>
      <c r="N235" s="140"/>
      <c r="O235" s="35">
        <f t="shared" si="103"/>
        <v>5135.2999999999993</v>
      </c>
      <c r="P235" s="139">
        <f t="shared" si="104"/>
        <v>2185.7000000000007</v>
      </c>
      <c r="Q235" s="191">
        <f t="shared" si="105"/>
        <v>0.35591312662204616</v>
      </c>
      <c r="R235" s="190">
        <f t="shared" si="106"/>
        <v>0.29855211036743623</v>
      </c>
      <c r="S235" s="190">
        <f>1-0.529</f>
        <v>0.47099999999999997</v>
      </c>
      <c r="T235" s="134"/>
      <c r="U235" s="118">
        <f t="shared" si="94"/>
        <v>56.96</v>
      </c>
      <c r="V235" s="110"/>
      <c r="W235" s="110"/>
      <c r="X235" s="110"/>
      <c r="Y235" s="110"/>
      <c r="Z235" s="110"/>
      <c r="AA235" s="110"/>
    </row>
    <row r="236" spans="1:27" x14ac:dyDescent="0.15">
      <c r="A236" s="110" t="s">
        <v>2777</v>
      </c>
      <c r="B236" s="111" t="s">
        <v>37</v>
      </c>
      <c r="C236" s="110"/>
      <c r="D236" s="111">
        <v>1</v>
      </c>
      <c r="E236" s="138">
        <v>162073</v>
      </c>
      <c r="F236" s="111">
        <v>220100110</v>
      </c>
      <c r="G236" s="20" t="s">
        <v>136</v>
      </c>
      <c r="H236" s="111">
        <v>1059</v>
      </c>
      <c r="I236" s="139">
        <v>15000</v>
      </c>
      <c r="J236" s="140"/>
      <c r="K236" s="140"/>
      <c r="L236" s="140"/>
      <c r="M236" s="140">
        <v>6568.72</v>
      </c>
      <c r="N236" s="140"/>
      <c r="O236" s="35">
        <f t="shared" si="103"/>
        <v>6568.72</v>
      </c>
      <c r="P236" s="139">
        <f t="shared" si="104"/>
        <v>8431.2799999999988</v>
      </c>
      <c r="Q236" s="191">
        <f t="shared" si="105"/>
        <v>0.43791466666666667</v>
      </c>
      <c r="R236" s="190">
        <f t="shared" si="106"/>
        <v>0.56208533333333321</v>
      </c>
      <c r="S236" s="190">
        <f t="shared" si="107"/>
        <v>0.55000000000000004</v>
      </c>
      <c r="T236" s="134"/>
      <c r="U236" s="118" t="str">
        <f t="shared" si="94"/>
        <v/>
      </c>
      <c r="V236" s="110"/>
      <c r="W236" s="110"/>
      <c r="X236" s="110"/>
      <c r="Y236" s="110"/>
      <c r="Z236" s="110"/>
      <c r="AA236" s="110"/>
    </row>
    <row r="237" spans="1:27" x14ac:dyDescent="0.15">
      <c r="A237" s="110" t="s">
        <v>2777</v>
      </c>
      <c r="B237" s="111" t="s">
        <v>37</v>
      </c>
      <c r="C237" s="110"/>
      <c r="D237" s="111">
        <v>1</v>
      </c>
      <c r="E237" s="138">
        <v>162073</v>
      </c>
      <c r="F237" s="111">
        <v>210500110</v>
      </c>
      <c r="G237" s="20" t="s">
        <v>154</v>
      </c>
      <c r="H237" s="111">
        <v>1060</v>
      </c>
      <c r="I237" s="139">
        <v>15000</v>
      </c>
      <c r="J237" s="141"/>
      <c r="K237" s="140"/>
      <c r="L237" s="140"/>
      <c r="M237" s="140">
        <v>7004.47</v>
      </c>
      <c r="N237" s="140"/>
      <c r="O237" s="35">
        <f t="shared" si="103"/>
        <v>7004.47</v>
      </c>
      <c r="P237" s="139">
        <f t="shared" si="104"/>
        <v>7995.53</v>
      </c>
      <c r="Q237" s="191">
        <f t="shared" si="105"/>
        <v>0.46696466666666669</v>
      </c>
      <c r="R237" s="190">
        <f t="shared" si="106"/>
        <v>0.53303533333333331</v>
      </c>
      <c r="S237" s="190">
        <f t="shared" si="107"/>
        <v>0.55000000000000004</v>
      </c>
      <c r="T237" s="134"/>
      <c r="U237" s="118" t="str">
        <f t="shared" si="94"/>
        <v/>
      </c>
      <c r="V237" s="110"/>
      <c r="W237" s="110"/>
      <c r="X237" s="110"/>
      <c r="Y237" s="110"/>
      <c r="Z237" s="110"/>
      <c r="AA237" s="110"/>
    </row>
    <row r="238" spans="1:27" x14ac:dyDescent="0.15">
      <c r="A238" s="110" t="s">
        <v>53</v>
      </c>
      <c r="B238" s="111"/>
      <c r="C238" s="110"/>
      <c r="D238" s="111"/>
      <c r="E238" s="111"/>
      <c r="F238" s="20"/>
      <c r="G238" s="133"/>
      <c r="H238" s="111"/>
      <c r="I238" s="139"/>
      <c r="J238" s="140"/>
      <c r="K238" s="140"/>
      <c r="L238" s="140"/>
      <c r="M238" s="140"/>
      <c r="N238" s="140"/>
      <c r="O238" s="36"/>
      <c r="P238" s="140"/>
      <c r="Q238" s="123"/>
      <c r="R238" s="123"/>
      <c r="S238" s="123"/>
      <c r="T238" s="117"/>
      <c r="U238" s="118" t="str">
        <f t="shared" si="94"/>
        <v/>
      </c>
      <c r="V238" s="110"/>
      <c r="W238" s="110"/>
      <c r="X238" s="110"/>
      <c r="Y238" s="110"/>
      <c r="Z238" s="110"/>
      <c r="AA238" s="110"/>
    </row>
    <row r="239" spans="1:27" x14ac:dyDescent="0.15">
      <c r="A239" s="110" t="s">
        <v>2777</v>
      </c>
      <c r="B239" s="111" t="s">
        <v>54</v>
      </c>
      <c r="C239" s="110"/>
      <c r="D239" s="111"/>
      <c r="E239" s="111"/>
      <c r="F239" s="20"/>
      <c r="G239" s="133"/>
      <c r="H239" s="111"/>
      <c r="I239" s="32">
        <f>SUM(I232:I237)</f>
        <v>229071</v>
      </c>
      <c r="J239" s="32">
        <f t="shared" ref="J239:M239" si="108">SUM(J232:J237)</f>
        <v>243.5</v>
      </c>
      <c r="K239" s="32">
        <f t="shared" si="108"/>
        <v>10165.69</v>
      </c>
      <c r="L239" s="32">
        <f t="shared" si="108"/>
        <v>6762.7</v>
      </c>
      <c r="M239" s="32">
        <f t="shared" si="108"/>
        <v>52201.96</v>
      </c>
      <c r="N239" s="134"/>
      <c r="O239" s="33">
        <f>SUM(O232:O237)</f>
        <v>69130.350000000006</v>
      </c>
      <c r="P239" s="134">
        <f>I239-O239</f>
        <v>159940.65</v>
      </c>
      <c r="Q239" s="190">
        <f>M239/I239</f>
        <v>0.22788550274805627</v>
      </c>
      <c r="R239" s="190">
        <f>P239/I239</f>
        <v>0.69821430910067184</v>
      </c>
      <c r="S239" s="190">
        <f>((I232*S232)+(I233*S233)+(I234*S234)+(I235*S235))/I239</f>
        <v>0.47544512836631447</v>
      </c>
      <c r="T239" s="117"/>
      <c r="U239" s="118">
        <f t="shared" si="94"/>
        <v>41.748213552361399</v>
      </c>
      <c r="V239" s="110"/>
      <c r="W239" s="110"/>
      <c r="X239" s="110"/>
      <c r="Y239" s="110"/>
      <c r="Z239" s="110"/>
      <c r="AA239" s="110"/>
    </row>
    <row r="240" spans="1:27" x14ac:dyDescent="0.15">
      <c r="A240" s="110" t="s">
        <v>2777</v>
      </c>
      <c r="B240" s="111" t="s">
        <v>55</v>
      </c>
      <c r="C240" s="110"/>
      <c r="D240" s="111"/>
      <c r="E240" s="138">
        <v>162073</v>
      </c>
      <c r="F240" s="20" t="s">
        <v>56</v>
      </c>
      <c r="G240" s="133" t="s">
        <v>2771</v>
      </c>
      <c r="H240" s="111">
        <v>1058</v>
      </c>
      <c r="I240" s="139">
        <v>8574</v>
      </c>
      <c r="J240" s="140">
        <v>24</v>
      </c>
      <c r="K240" s="140">
        <f>660+297.12</f>
        <v>957.12</v>
      </c>
      <c r="L240" s="140">
        <v>10412.44</v>
      </c>
      <c r="M240" s="140"/>
      <c r="N240" s="140"/>
      <c r="O240" s="36">
        <f>SUM(K240:M240)</f>
        <v>11369.560000000001</v>
      </c>
      <c r="P240" s="37">
        <f>I240-O240</f>
        <v>-2795.5600000000013</v>
      </c>
      <c r="Q240" s="190">
        <f>M240/I240</f>
        <v>0</v>
      </c>
      <c r="R240" s="190">
        <f>P240/I240</f>
        <v>-0.32605085141124346</v>
      </c>
      <c r="S240" s="190"/>
      <c r="T240" s="117"/>
      <c r="U240" s="118">
        <f t="shared" si="94"/>
        <v>39.880000000000003</v>
      </c>
      <c r="V240" s="110"/>
      <c r="W240" s="110"/>
      <c r="X240" s="110"/>
      <c r="Y240" s="110"/>
      <c r="Z240" s="110"/>
      <c r="AA240" s="110"/>
    </row>
    <row r="241" spans="1:31" x14ac:dyDescent="0.15">
      <c r="A241" s="110" t="s">
        <v>2777</v>
      </c>
      <c r="B241" s="111" t="s">
        <v>58</v>
      </c>
      <c r="C241" s="110"/>
      <c r="D241" s="111"/>
      <c r="E241" s="138">
        <v>162073</v>
      </c>
      <c r="F241" s="20" t="s">
        <v>78</v>
      </c>
      <c r="G241" s="133" t="s">
        <v>155</v>
      </c>
      <c r="H241" s="111"/>
      <c r="I241" s="139">
        <v>10991</v>
      </c>
      <c r="J241" s="140"/>
      <c r="K241" s="140"/>
      <c r="L241" s="140"/>
      <c r="M241" s="140"/>
      <c r="N241" s="140"/>
      <c r="O241" s="36"/>
      <c r="P241" s="37"/>
      <c r="Q241" s="190"/>
      <c r="R241" s="190"/>
      <c r="S241" s="190"/>
      <c r="T241" s="117"/>
      <c r="U241" s="118" t="str">
        <f t="shared" si="94"/>
        <v/>
      </c>
      <c r="V241" s="110"/>
      <c r="W241" s="110"/>
      <c r="X241" s="110"/>
      <c r="Y241" s="110"/>
      <c r="Z241" s="110"/>
      <c r="AA241" s="110"/>
      <c r="AB241" s="110"/>
      <c r="AC241" s="110"/>
      <c r="AD241" s="110"/>
      <c r="AE241" s="121"/>
    </row>
    <row r="242" spans="1:31" x14ac:dyDescent="0.15">
      <c r="A242" s="110" t="s">
        <v>2777</v>
      </c>
      <c r="B242" s="111" t="s">
        <v>156</v>
      </c>
      <c r="C242" s="110"/>
      <c r="D242" s="111"/>
      <c r="E242" s="138">
        <v>162073</v>
      </c>
      <c r="F242" s="20" t="s">
        <v>157</v>
      </c>
      <c r="G242" s="133" t="s">
        <v>158</v>
      </c>
      <c r="H242" s="111"/>
      <c r="I242" s="117">
        <v>10894.38</v>
      </c>
      <c r="J242" s="140"/>
      <c r="K242" s="140"/>
      <c r="L242" s="140"/>
      <c r="M242" s="140"/>
      <c r="N242" s="140"/>
      <c r="O242" s="36">
        <v>6930.22</v>
      </c>
      <c r="P242" s="37">
        <f t="shared" ref="P242:P248" si="109">I242-O242</f>
        <v>3964.1599999999989</v>
      </c>
      <c r="Q242" s="190"/>
      <c r="R242" s="190">
        <f t="shared" ref="R242:R248" si="110">P242/I242</f>
        <v>0.36387201474521719</v>
      </c>
      <c r="S242" s="123"/>
      <c r="T242" s="117"/>
      <c r="U242" s="118" t="str">
        <f t="shared" si="94"/>
        <v/>
      </c>
      <c r="V242" s="110"/>
      <c r="W242" s="110"/>
      <c r="X242" s="110"/>
      <c r="Y242" s="110"/>
      <c r="Z242" s="110"/>
      <c r="AA242" s="110"/>
      <c r="AB242" s="110"/>
      <c r="AC242" s="110"/>
      <c r="AD242" s="110"/>
      <c r="AE242" s="121"/>
    </row>
    <row r="243" spans="1:31" x14ac:dyDescent="0.15">
      <c r="A243" s="110" t="s">
        <v>2777</v>
      </c>
      <c r="B243" s="111" t="s">
        <v>159</v>
      </c>
      <c r="C243" s="110"/>
      <c r="D243" s="111"/>
      <c r="E243" s="138">
        <v>162073</v>
      </c>
      <c r="F243" s="20" t="s">
        <v>160</v>
      </c>
      <c r="G243" s="133" t="s">
        <v>161</v>
      </c>
      <c r="H243" s="111"/>
      <c r="I243" s="117">
        <v>172.85</v>
      </c>
      <c r="J243" s="140"/>
      <c r="K243" s="140"/>
      <c r="L243" s="140"/>
      <c r="M243" s="140"/>
      <c r="N243" s="140"/>
      <c r="O243" s="36">
        <v>119.59</v>
      </c>
      <c r="P243" s="37">
        <f t="shared" si="109"/>
        <v>53.259999999999991</v>
      </c>
      <c r="Q243" s="190"/>
      <c r="R243" s="190">
        <f t="shared" si="110"/>
        <v>0.30812843505929993</v>
      </c>
      <c r="S243" s="123"/>
      <c r="T243" s="117"/>
      <c r="U243" s="118"/>
      <c r="V243" s="110"/>
      <c r="W243" s="110"/>
      <c r="X243" s="110"/>
      <c r="Y243" s="110"/>
      <c r="Z243" s="110"/>
      <c r="AA243" s="110"/>
      <c r="AB243" s="110"/>
      <c r="AC243" s="110"/>
      <c r="AD243" s="110"/>
      <c r="AE243" s="121"/>
    </row>
    <row r="244" spans="1:31" x14ac:dyDescent="0.15">
      <c r="A244" s="110" t="s">
        <v>2777</v>
      </c>
      <c r="B244" s="111" t="s">
        <v>156</v>
      </c>
      <c r="C244" s="110"/>
      <c r="D244" s="111"/>
      <c r="E244" s="138">
        <v>162073</v>
      </c>
      <c r="F244" s="20" t="s">
        <v>162</v>
      </c>
      <c r="G244" s="133" t="s">
        <v>163</v>
      </c>
      <c r="H244" s="111"/>
      <c r="I244" s="117">
        <v>260.07</v>
      </c>
      <c r="J244" s="140"/>
      <c r="K244" s="140"/>
      <c r="L244" s="140"/>
      <c r="M244" s="140"/>
      <c r="N244" s="140"/>
      <c r="O244" s="36">
        <v>179.88</v>
      </c>
      <c r="P244" s="37">
        <f t="shared" si="109"/>
        <v>80.19</v>
      </c>
      <c r="Q244" s="190"/>
      <c r="R244" s="190">
        <f t="shared" si="110"/>
        <v>0.3083400622909217</v>
      </c>
      <c r="S244" s="123"/>
      <c r="T244" s="117"/>
      <c r="U244" s="118"/>
      <c r="V244" s="110"/>
      <c r="W244" s="110"/>
      <c r="X244" s="110"/>
      <c r="Y244" s="110"/>
      <c r="Z244" s="110"/>
      <c r="AA244" s="110"/>
      <c r="AB244" s="110"/>
      <c r="AC244" s="110"/>
      <c r="AD244" s="110"/>
      <c r="AE244" s="121"/>
    </row>
    <row r="245" spans="1:31" x14ac:dyDescent="0.15">
      <c r="A245" s="110" t="s">
        <v>2777</v>
      </c>
      <c r="B245" s="111" t="s">
        <v>164</v>
      </c>
      <c r="C245" s="110"/>
      <c r="D245" s="111"/>
      <c r="E245" s="138">
        <v>162073</v>
      </c>
      <c r="F245" s="20" t="s">
        <v>165</v>
      </c>
      <c r="G245" s="133" t="s">
        <v>166</v>
      </c>
      <c r="H245" s="111"/>
      <c r="I245" s="117">
        <v>63.93</v>
      </c>
      <c r="J245" s="140"/>
      <c r="K245" s="140"/>
      <c r="L245" s="140"/>
      <c r="M245" s="140"/>
      <c r="N245" s="140"/>
      <c r="O245" s="36">
        <v>40.51</v>
      </c>
      <c r="P245" s="37">
        <f t="shared" si="109"/>
        <v>23.42</v>
      </c>
      <c r="Q245" s="190"/>
      <c r="R245" s="190">
        <f t="shared" si="110"/>
        <v>0.36633818238698579</v>
      </c>
      <c r="S245" s="123"/>
      <c r="T245" s="117"/>
      <c r="U245" s="118"/>
      <c r="V245" s="110"/>
      <c r="W245" s="110"/>
      <c r="X245" s="110"/>
      <c r="Y245" s="110"/>
      <c r="Z245" s="110"/>
      <c r="AA245" s="110"/>
      <c r="AB245" s="110"/>
      <c r="AC245" s="110"/>
      <c r="AD245" s="110"/>
      <c r="AE245" s="121"/>
    </row>
    <row r="246" spans="1:31" x14ac:dyDescent="0.15">
      <c r="A246" s="110" t="s">
        <v>2777</v>
      </c>
      <c r="B246" s="111" t="s">
        <v>164</v>
      </c>
      <c r="C246" s="110"/>
      <c r="D246" s="111"/>
      <c r="E246" s="138">
        <v>162073</v>
      </c>
      <c r="F246" s="20" t="s">
        <v>167</v>
      </c>
      <c r="G246" s="133" t="s">
        <v>168</v>
      </c>
      <c r="H246" s="111"/>
      <c r="I246" s="117">
        <v>69.14</v>
      </c>
      <c r="J246" s="140"/>
      <c r="K246" s="140"/>
      <c r="L246" s="140"/>
      <c r="M246" s="140"/>
      <c r="N246" s="140"/>
      <c r="O246" s="36">
        <v>45.84</v>
      </c>
      <c r="P246" s="37">
        <f t="shared" si="109"/>
        <v>23.299999999999997</v>
      </c>
      <c r="Q246" s="190"/>
      <c r="R246" s="190">
        <f t="shared" si="110"/>
        <v>0.33699739658663574</v>
      </c>
      <c r="S246" s="123"/>
      <c r="T246" s="117"/>
      <c r="U246" s="118"/>
      <c r="V246" s="110"/>
      <c r="W246" s="110"/>
      <c r="X246" s="110"/>
      <c r="Y246" s="110"/>
      <c r="Z246" s="110"/>
      <c r="AA246" s="110"/>
      <c r="AB246" s="110"/>
      <c r="AC246" s="110"/>
      <c r="AD246" s="110"/>
      <c r="AE246" s="121"/>
    </row>
    <row r="247" spans="1:31" x14ac:dyDescent="0.15">
      <c r="A247" s="110" t="s">
        <v>2777</v>
      </c>
      <c r="B247" s="111" t="s">
        <v>159</v>
      </c>
      <c r="C247" s="110"/>
      <c r="D247" s="111"/>
      <c r="E247" s="138">
        <v>162073</v>
      </c>
      <c r="F247" s="20" t="s">
        <v>169</v>
      </c>
      <c r="G247" s="133" t="s">
        <v>170</v>
      </c>
      <c r="H247" s="111"/>
      <c r="I247" s="117">
        <v>71.069999999999993</v>
      </c>
      <c r="J247" s="140"/>
      <c r="K247" s="140"/>
      <c r="L247" s="140"/>
      <c r="M247" s="140"/>
      <c r="N247" s="140"/>
      <c r="O247" s="36">
        <v>46.91</v>
      </c>
      <c r="P247" s="37">
        <f t="shared" si="109"/>
        <v>24.159999999999997</v>
      </c>
      <c r="Q247" s="190"/>
      <c r="R247" s="190">
        <f t="shared" si="110"/>
        <v>0.33994653158857463</v>
      </c>
      <c r="S247" s="123"/>
      <c r="T247" s="117"/>
      <c r="U247" s="118"/>
      <c r="V247" s="110"/>
      <c r="W247" s="110"/>
      <c r="X247" s="110"/>
      <c r="Y247" s="110"/>
      <c r="Z247" s="110"/>
      <c r="AA247" s="110"/>
      <c r="AB247" s="110"/>
      <c r="AC247" s="110"/>
      <c r="AD247" s="110"/>
      <c r="AE247" s="121"/>
    </row>
    <row r="248" spans="1:31" x14ac:dyDescent="0.15">
      <c r="A248" s="110" t="s">
        <v>2777</v>
      </c>
      <c r="B248" s="111" t="s">
        <v>171</v>
      </c>
      <c r="C248" s="110"/>
      <c r="D248" s="111"/>
      <c r="E248" s="138">
        <v>162073</v>
      </c>
      <c r="F248" s="20" t="s">
        <v>172</v>
      </c>
      <c r="G248" s="133" t="s">
        <v>173</v>
      </c>
      <c r="H248" s="111"/>
      <c r="I248" s="117">
        <v>408.19</v>
      </c>
      <c r="J248" s="140"/>
      <c r="K248" s="140"/>
      <c r="L248" s="140"/>
      <c r="M248" s="140"/>
      <c r="N248" s="140"/>
      <c r="O248" s="36">
        <v>194.16</v>
      </c>
      <c r="P248" s="37">
        <f t="shared" si="109"/>
        <v>214.03</v>
      </c>
      <c r="Q248" s="190"/>
      <c r="R248" s="190">
        <f t="shared" si="110"/>
        <v>0.52433915578529611</v>
      </c>
      <c r="S248" s="123"/>
      <c r="T248" s="117"/>
      <c r="U248" s="118"/>
      <c r="V248" s="110"/>
      <c r="W248" s="110"/>
      <c r="X248" s="110"/>
      <c r="Y248" s="110"/>
      <c r="Z248" s="110"/>
      <c r="AA248" s="110"/>
      <c r="AB248" s="110"/>
      <c r="AC248" s="110"/>
      <c r="AD248" s="110"/>
      <c r="AE248" s="121"/>
    </row>
    <row r="249" spans="1:31" x14ac:dyDescent="0.15">
      <c r="A249" s="110" t="s">
        <v>53</v>
      </c>
      <c r="B249" s="111"/>
      <c r="C249" s="110"/>
      <c r="D249" s="111"/>
      <c r="E249" s="138"/>
      <c r="F249" s="20"/>
      <c r="G249" s="133"/>
      <c r="H249" s="111"/>
      <c r="I249" s="140"/>
      <c r="J249" s="140"/>
      <c r="K249" s="140"/>
      <c r="L249" s="140"/>
      <c r="M249" s="140"/>
      <c r="N249" s="140"/>
      <c r="O249" s="36"/>
      <c r="P249" s="37"/>
      <c r="Q249" s="190"/>
      <c r="R249" s="190"/>
      <c r="S249" s="123"/>
      <c r="T249" s="117"/>
      <c r="U249" s="118" t="str">
        <f t="shared" si="94"/>
        <v/>
      </c>
      <c r="V249" s="110"/>
      <c r="W249" s="110"/>
      <c r="X249" s="110"/>
      <c r="Y249" s="110"/>
      <c r="Z249" s="110"/>
      <c r="AA249" s="110"/>
      <c r="AB249" s="110"/>
      <c r="AC249" s="110"/>
      <c r="AD249" s="110"/>
      <c r="AE249" s="121"/>
    </row>
    <row r="250" spans="1:31" x14ac:dyDescent="0.15">
      <c r="A250" s="110" t="s">
        <v>2777</v>
      </c>
      <c r="B250" s="111" t="s">
        <v>65</v>
      </c>
      <c r="C250" s="110"/>
      <c r="D250" s="111"/>
      <c r="E250" s="138"/>
      <c r="F250" s="20"/>
      <c r="G250" s="133"/>
      <c r="H250" s="111"/>
      <c r="I250" s="38">
        <f>SUM(I239:I248)</f>
        <v>260575.63000000003</v>
      </c>
      <c r="J250" s="38">
        <f t="shared" ref="J250:M250" si="111">SUM(J239:J248)</f>
        <v>267.5</v>
      </c>
      <c r="K250" s="38">
        <f t="shared" si="111"/>
        <v>11122.810000000001</v>
      </c>
      <c r="L250" s="38">
        <f t="shared" si="111"/>
        <v>17175.14</v>
      </c>
      <c r="M250" s="38">
        <f t="shared" si="111"/>
        <v>52201.96</v>
      </c>
      <c r="N250" s="140"/>
      <c r="O250" s="38">
        <f>SUM(K250:M250)</f>
        <v>80499.91</v>
      </c>
      <c r="P250" s="140">
        <f>I250-O250</f>
        <v>180075.72000000003</v>
      </c>
      <c r="Q250" s="123">
        <f>M250/I250</f>
        <v>0.20033323914442802</v>
      </c>
      <c r="R250" s="123">
        <f>P250/I250</f>
        <v>0.69106892306084033</v>
      </c>
      <c r="S250" s="123"/>
      <c r="T250" s="117"/>
      <c r="U250" s="118">
        <f t="shared" si="94"/>
        <v>41.580598130841125</v>
      </c>
      <c r="V250" s="110"/>
      <c r="W250" s="110"/>
      <c r="X250" s="110"/>
      <c r="Y250" s="110"/>
      <c r="Z250" s="110"/>
      <c r="AA250" s="110"/>
      <c r="AB250" s="110"/>
      <c r="AC250" s="110"/>
      <c r="AD250" s="110"/>
      <c r="AE250" s="121"/>
    </row>
    <row r="251" spans="1:31" x14ac:dyDescent="0.15">
      <c r="A251" s="110" t="s">
        <v>2777</v>
      </c>
      <c r="B251" s="111" t="s">
        <v>66</v>
      </c>
      <c r="C251" s="110"/>
      <c r="D251" s="111"/>
      <c r="E251" s="138"/>
      <c r="F251" s="20"/>
      <c r="G251" s="133"/>
      <c r="H251" s="111"/>
      <c r="I251" s="140">
        <f>SUM(I232,I233,I236,I237)</f>
        <v>186260</v>
      </c>
      <c r="J251" s="140">
        <f>SUM(J232,J233,J236,J237)</f>
        <v>100.5</v>
      </c>
      <c r="K251" s="140">
        <f>SUM(K232,K233,K236,K237)</f>
        <v>3562.17</v>
      </c>
      <c r="L251" s="140">
        <f>SUM(L232,L233,L236,L237)</f>
        <v>0</v>
      </c>
      <c r="M251" s="140">
        <f>SUM(M232,M233,M236,M237)</f>
        <v>46974.28</v>
      </c>
      <c r="N251" s="140"/>
      <c r="O251" s="36">
        <f>O232+O233+O236+O237</f>
        <v>50536.450000000004</v>
      </c>
      <c r="P251" s="37">
        <f>P232+P233+P236+P237</f>
        <v>135723.55000000002</v>
      </c>
      <c r="Q251" s="123">
        <f>M251/I251</f>
        <v>0.25219735853108555</v>
      </c>
      <c r="R251" s="123">
        <f>P251/I251</f>
        <v>0.72867792333297554</v>
      </c>
      <c r="S251" s="123">
        <f>((I232*S232)+(I233*S233)+(I236*S236)+(I237*S237))/I251</f>
        <v>0.55000000000000004</v>
      </c>
      <c r="T251" s="117"/>
      <c r="U251" s="118">
        <f t="shared" si="94"/>
        <v>35.4444776119403</v>
      </c>
      <c r="V251" s="110"/>
      <c r="W251" s="110"/>
      <c r="X251" s="110"/>
      <c r="Y251" s="110"/>
      <c r="Z251" s="110"/>
      <c r="AA251" s="110"/>
      <c r="AB251" s="110"/>
      <c r="AC251" s="110"/>
      <c r="AD251" s="110"/>
      <c r="AE251" s="121"/>
    </row>
    <row r="252" spans="1:31" x14ac:dyDescent="0.15">
      <c r="A252" s="130"/>
      <c r="B252" s="124"/>
      <c r="C252" s="130"/>
      <c r="D252" s="124"/>
      <c r="E252" s="124"/>
      <c r="F252" s="124"/>
      <c r="G252" s="186"/>
      <c r="H252" s="124"/>
      <c r="I252" s="129"/>
      <c r="J252" s="129"/>
      <c r="K252" s="129"/>
      <c r="L252" s="129"/>
      <c r="M252" s="129"/>
      <c r="N252" s="126"/>
      <c r="O252" s="18"/>
      <c r="P252" s="126"/>
      <c r="Q252" s="187"/>
      <c r="R252" s="187"/>
      <c r="S252" s="187"/>
      <c r="T252" s="126"/>
      <c r="U252" s="127"/>
      <c r="V252" s="126"/>
      <c r="W252" s="126"/>
      <c r="X252" s="137"/>
      <c r="Y252" s="137"/>
      <c r="Z252" s="130"/>
      <c r="AA252" s="127"/>
      <c r="AB252" s="110"/>
      <c r="AC252" s="110"/>
      <c r="AD252" s="110"/>
      <c r="AE252" s="121"/>
    </row>
    <row r="253" spans="1:31" x14ac:dyDescent="0.15">
      <c r="A253" s="110" t="s">
        <v>2778</v>
      </c>
      <c r="B253" s="111" t="s">
        <v>2591</v>
      </c>
      <c r="C253" s="110"/>
      <c r="D253" s="111">
        <v>1</v>
      </c>
      <c r="E253" s="111">
        <v>161958</v>
      </c>
      <c r="F253" s="111">
        <v>811002100</v>
      </c>
      <c r="G253" s="161" t="s">
        <v>145</v>
      </c>
      <c r="H253" s="111">
        <v>986</v>
      </c>
      <c r="I253" s="148">
        <v>17875.55</v>
      </c>
      <c r="J253" s="148">
        <v>10.75</v>
      </c>
      <c r="K253" s="148">
        <f>321.21+144.59</f>
        <v>465.79999999999995</v>
      </c>
      <c r="L253" s="148">
        <v>563.86</v>
      </c>
      <c r="M253" s="148">
        <v>493</v>
      </c>
      <c r="N253" s="131"/>
      <c r="O253" s="29">
        <f>SUM(K253:M253)</f>
        <v>1522.6599999999999</v>
      </c>
      <c r="P253" s="131">
        <f>I253-O253</f>
        <v>16352.89</v>
      </c>
      <c r="Q253" s="192">
        <f>M253/I253</f>
        <v>2.7579570978235636E-2</v>
      </c>
      <c r="R253" s="192">
        <f>P253/I253</f>
        <v>0.91481884473484731</v>
      </c>
      <c r="S253" s="192"/>
      <c r="T253" s="131"/>
      <c r="U253" s="149">
        <f>K253/J253</f>
        <v>43.330232558139528</v>
      </c>
      <c r="V253" s="131"/>
      <c r="W253" s="131"/>
      <c r="X253" s="151"/>
      <c r="Y253" s="151"/>
      <c r="Z253" s="110"/>
      <c r="AA253" s="149"/>
      <c r="AB253" s="110"/>
      <c r="AC253" s="110"/>
      <c r="AD253" s="110"/>
      <c r="AE253" s="152"/>
    </row>
    <row r="254" spans="1:31" x14ac:dyDescent="0.15">
      <c r="A254" s="110" t="s">
        <v>2778</v>
      </c>
      <c r="B254" s="111" t="s">
        <v>2591</v>
      </c>
      <c r="C254" s="110"/>
      <c r="D254" s="111">
        <v>1</v>
      </c>
      <c r="E254" s="111">
        <v>161958</v>
      </c>
      <c r="F254" s="111">
        <v>821002110</v>
      </c>
      <c r="G254" s="161" t="s">
        <v>176</v>
      </c>
      <c r="H254" s="111">
        <v>987</v>
      </c>
      <c r="I254" s="148">
        <v>33197.449999999997</v>
      </c>
      <c r="J254" s="148">
        <v>10.75</v>
      </c>
      <c r="K254" s="148">
        <f>321.21+144.59</f>
        <v>465.79999999999995</v>
      </c>
      <c r="L254" s="148">
        <v>1047.17</v>
      </c>
      <c r="M254" s="148">
        <v>848.5</v>
      </c>
      <c r="N254" s="131"/>
      <c r="O254" s="29">
        <f>SUM(K254:M254)</f>
        <v>2361.4700000000003</v>
      </c>
      <c r="P254" s="131">
        <f>I254-O254</f>
        <v>30835.979999999996</v>
      </c>
      <c r="Q254" s="192">
        <f>M254/I254</f>
        <v>2.555919204637706E-2</v>
      </c>
      <c r="R254" s="192">
        <f>P254/I254</f>
        <v>0.92886592193075068</v>
      </c>
      <c r="S254" s="192"/>
      <c r="T254" s="131"/>
      <c r="U254" s="149">
        <f>K254/J254</f>
        <v>43.330232558139528</v>
      </c>
      <c r="V254" s="131"/>
      <c r="W254" s="131"/>
      <c r="X254" s="151"/>
      <c r="Y254" s="151"/>
      <c r="Z254" s="110"/>
      <c r="AA254" s="149"/>
      <c r="AB254" s="110"/>
      <c r="AC254" s="110"/>
      <c r="AD254" s="110"/>
      <c r="AE254" s="152"/>
    </row>
    <row r="255" spans="1:31" x14ac:dyDescent="0.15">
      <c r="A255" s="110"/>
      <c r="B255" s="111"/>
      <c r="C255" s="110"/>
      <c r="D255" s="111"/>
      <c r="E255" s="111"/>
      <c r="F255" s="111"/>
      <c r="G255" s="138"/>
      <c r="H255" s="111"/>
      <c r="I255" s="148"/>
      <c r="J255" s="148"/>
      <c r="K255" s="148"/>
      <c r="L255" s="148"/>
      <c r="M255" s="148"/>
      <c r="N255" s="131"/>
      <c r="O255" s="29"/>
      <c r="P255" s="131"/>
      <c r="Q255" s="192"/>
      <c r="R255" s="192"/>
      <c r="S255" s="192"/>
      <c r="T255" s="131"/>
      <c r="U255" s="149"/>
      <c r="V255" s="131"/>
      <c r="W255" s="131"/>
      <c r="X255" s="151"/>
      <c r="Y255" s="151"/>
      <c r="Z255" s="110"/>
      <c r="AA255" s="149"/>
      <c r="AB255" s="110"/>
      <c r="AC255" s="110"/>
      <c r="AD255" s="110"/>
      <c r="AE255" s="152"/>
    </row>
    <row r="256" spans="1:31" x14ac:dyDescent="0.15">
      <c r="A256" s="110" t="s">
        <v>2778</v>
      </c>
      <c r="B256" s="111" t="s">
        <v>177</v>
      </c>
      <c r="C256" s="110"/>
      <c r="D256" s="111"/>
      <c r="E256" s="111"/>
      <c r="F256" s="111"/>
      <c r="G256" s="133"/>
      <c r="H256" s="111"/>
      <c r="I256" s="39">
        <f>SUM(I253:I254)</f>
        <v>51073</v>
      </c>
      <c r="J256" s="39">
        <f t="shared" ref="J256:M256" si="112">SUM(J253:J254)</f>
        <v>21.5</v>
      </c>
      <c r="K256" s="39">
        <f t="shared" si="112"/>
        <v>931.59999999999991</v>
      </c>
      <c r="L256" s="39">
        <f t="shared" si="112"/>
        <v>1611.0300000000002</v>
      </c>
      <c r="M256" s="39">
        <f t="shared" si="112"/>
        <v>1341.5</v>
      </c>
      <c r="N256" s="131"/>
      <c r="O256" s="40">
        <f t="shared" ref="O256" si="113">SUM(K256:M256)</f>
        <v>3884.13</v>
      </c>
      <c r="P256" s="131">
        <f t="shared" ref="P256" si="114">I256-O256</f>
        <v>47188.87</v>
      </c>
      <c r="Q256" s="192">
        <f t="shared" ref="Q256" si="115">M256/I256</f>
        <v>2.6266324672527559E-2</v>
      </c>
      <c r="R256" s="192">
        <f t="shared" ref="R256" si="116">P256/I256</f>
        <v>0.92394944491218456</v>
      </c>
      <c r="S256" s="192"/>
      <c r="T256" s="131"/>
      <c r="U256" s="149">
        <f t="shared" ref="U256" si="117">K256/J256</f>
        <v>43.330232558139528</v>
      </c>
      <c r="V256" s="131"/>
      <c r="W256" s="131"/>
      <c r="X256" s="151"/>
      <c r="Y256" s="151"/>
      <c r="Z256" s="110"/>
      <c r="AA256" s="149"/>
      <c r="AB256" s="110"/>
      <c r="AC256" s="110"/>
      <c r="AD256" s="110"/>
      <c r="AE256" s="152"/>
    </row>
    <row r="257" spans="1:31" x14ac:dyDescent="0.15">
      <c r="A257" s="130"/>
      <c r="B257" s="124"/>
      <c r="C257" s="130"/>
      <c r="D257" s="124"/>
      <c r="E257" s="124"/>
      <c r="F257" s="124"/>
      <c r="G257" s="186"/>
      <c r="H257" s="124"/>
      <c r="I257" s="129"/>
      <c r="J257" s="129"/>
      <c r="K257" s="129"/>
      <c r="L257" s="129"/>
      <c r="M257" s="129"/>
      <c r="N257" s="126"/>
      <c r="O257" s="18"/>
      <c r="P257" s="126"/>
      <c r="Q257" s="187"/>
      <c r="R257" s="187"/>
      <c r="S257" s="187"/>
      <c r="T257" s="126"/>
      <c r="U257" s="127"/>
      <c r="V257" s="126"/>
      <c r="W257" s="126"/>
      <c r="X257" s="137"/>
      <c r="Y257" s="137"/>
      <c r="Z257" s="130"/>
      <c r="AA257" s="127"/>
      <c r="AB257" s="110"/>
      <c r="AC257" s="110"/>
      <c r="AD257" s="110"/>
      <c r="AE257" s="121"/>
    </row>
    <row r="258" spans="1:31" x14ac:dyDescent="0.15">
      <c r="A258" s="110" t="s">
        <v>2755</v>
      </c>
      <c r="B258" s="111" t="s">
        <v>2591</v>
      </c>
      <c r="C258" s="110"/>
      <c r="D258" s="111">
        <v>1</v>
      </c>
      <c r="E258" s="111">
        <v>162078</v>
      </c>
      <c r="F258" s="111">
        <v>810000111</v>
      </c>
      <c r="G258" s="161" t="s">
        <v>145</v>
      </c>
      <c r="H258" s="111">
        <v>1067</v>
      </c>
      <c r="I258" s="153">
        <v>14760</v>
      </c>
      <c r="J258" s="153">
        <v>45.5</v>
      </c>
      <c r="K258" s="153">
        <f>1359.54+611.98</f>
        <v>1971.52</v>
      </c>
      <c r="L258" s="153">
        <v>910.66</v>
      </c>
      <c r="M258" s="153">
        <v>361</v>
      </c>
      <c r="N258" s="131"/>
      <c r="O258" s="29">
        <f>SUM(K258:M258)</f>
        <v>3243.18</v>
      </c>
      <c r="P258" s="131">
        <f>I258-O258</f>
        <v>11516.82</v>
      </c>
      <c r="Q258" s="192">
        <f>M258/I258</f>
        <v>2.44579945799458E-2</v>
      </c>
      <c r="R258" s="192">
        <f>P258/I258</f>
        <v>0.78027235772357717</v>
      </c>
      <c r="S258" s="192"/>
      <c r="T258" s="131"/>
      <c r="U258" s="149">
        <f>K258/J258</f>
        <v>43.330109890109888</v>
      </c>
      <c r="V258" s="131"/>
      <c r="W258" s="131"/>
      <c r="X258" s="151"/>
      <c r="Y258" s="151"/>
      <c r="Z258" s="110"/>
      <c r="AA258" s="149"/>
      <c r="AB258" s="110"/>
      <c r="AC258" s="110"/>
      <c r="AD258" s="110"/>
      <c r="AE258" s="152"/>
    </row>
    <row r="259" spans="1:31" x14ac:dyDescent="0.15">
      <c r="A259" s="110"/>
      <c r="B259" s="111"/>
      <c r="C259" s="110"/>
      <c r="D259" s="111"/>
      <c r="E259" s="111"/>
      <c r="F259" s="111"/>
      <c r="G259" s="133"/>
      <c r="H259" s="111"/>
      <c r="I259" s="41"/>
      <c r="J259" s="41"/>
      <c r="K259" s="41"/>
      <c r="L259" s="41"/>
      <c r="M259" s="41"/>
      <c r="N259" s="131"/>
      <c r="O259" s="29"/>
      <c r="P259" s="131"/>
      <c r="Q259" s="192"/>
      <c r="R259" s="192"/>
      <c r="S259" s="192"/>
      <c r="T259" s="131"/>
      <c r="U259" s="149"/>
      <c r="V259" s="131"/>
      <c r="W259" s="131"/>
      <c r="X259" s="151"/>
      <c r="Y259" s="151"/>
      <c r="Z259" s="110"/>
      <c r="AA259" s="149"/>
      <c r="AB259" s="110"/>
      <c r="AC259" s="110"/>
      <c r="AD259" s="110"/>
      <c r="AE259" s="152"/>
    </row>
    <row r="260" spans="1:31" x14ac:dyDescent="0.15">
      <c r="A260" s="110" t="s">
        <v>2755</v>
      </c>
      <c r="B260" s="111" t="s">
        <v>177</v>
      </c>
      <c r="C260" s="110"/>
      <c r="D260" s="111"/>
      <c r="E260" s="111"/>
      <c r="F260" s="111"/>
      <c r="G260" s="133"/>
      <c r="H260" s="111"/>
      <c r="I260" s="39">
        <f>SUM(I258)</f>
        <v>14760</v>
      </c>
      <c r="J260" s="39">
        <f t="shared" ref="J260:M260" si="118">SUM(J258)</f>
        <v>45.5</v>
      </c>
      <c r="K260" s="39">
        <f t="shared" si="118"/>
        <v>1971.52</v>
      </c>
      <c r="L260" s="39">
        <f t="shared" si="118"/>
        <v>910.66</v>
      </c>
      <c r="M260" s="39">
        <f t="shared" si="118"/>
        <v>361</v>
      </c>
      <c r="N260" s="131"/>
      <c r="O260" s="40">
        <f>SUM(K260:M260)</f>
        <v>3243.18</v>
      </c>
      <c r="P260" s="131">
        <f t="shared" ref="P260" si="119">I260-O260</f>
        <v>11516.82</v>
      </c>
      <c r="Q260" s="192">
        <f t="shared" ref="Q260" si="120">M260/I260</f>
        <v>2.44579945799458E-2</v>
      </c>
      <c r="R260" s="192">
        <f t="shared" ref="R260" si="121">P260/I260</f>
        <v>0.78027235772357717</v>
      </c>
      <c r="S260" s="192"/>
      <c r="T260" s="131"/>
      <c r="U260" s="149">
        <f t="shared" ref="U260" si="122">K260/J260</f>
        <v>43.330109890109888</v>
      </c>
      <c r="V260" s="131"/>
      <c r="W260" s="131"/>
      <c r="X260" s="151"/>
      <c r="Y260" s="151"/>
      <c r="Z260" s="110"/>
      <c r="AA260" s="149"/>
      <c r="AB260" s="110"/>
      <c r="AC260" s="110"/>
      <c r="AD260" s="110"/>
      <c r="AE260" s="152"/>
    </row>
    <row r="261" spans="1:31" x14ac:dyDescent="0.15">
      <c r="A261" s="130"/>
      <c r="B261" s="124"/>
      <c r="C261" s="130"/>
      <c r="D261" s="124"/>
      <c r="E261" s="124"/>
      <c r="F261" s="124"/>
      <c r="G261" s="186"/>
      <c r="H261" s="124"/>
      <c r="I261" s="129"/>
      <c r="J261" s="129"/>
      <c r="K261" s="129"/>
      <c r="L261" s="129"/>
      <c r="M261" s="129"/>
      <c r="N261" s="126"/>
      <c r="O261" s="18"/>
      <c r="P261" s="126"/>
      <c r="Q261" s="187"/>
      <c r="R261" s="187"/>
      <c r="S261" s="187"/>
      <c r="T261" s="126"/>
      <c r="U261" s="127"/>
      <c r="V261" s="126"/>
      <c r="W261" s="126"/>
      <c r="X261" s="137"/>
      <c r="Y261" s="137"/>
      <c r="Z261" s="130"/>
      <c r="AA261" s="127"/>
      <c r="AB261" s="110"/>
      <c r="AC261" s="110"/>
      <c r="AD261" s="110"/>
      <c r="AE261" s="121"/>
    </row>
    <row r="262" spans="1:31" x14ac:dyDescent="0.15">
      <c r="A262" s="110" t="s">
        <v>2779</v>
      </c>
      <c r="B262" s="111" t="s">
        <v>2591</v>
      </c>
      <c r="C262" s="110"/>
      <c r="D262" s="111">
        <v>2</v>
      </c>
      <c r="E262" s="111">
        <v>162079</v>
      </c>
      <c r="F262" s="111">
        <v>811000111</v>
      </c>
      <c r="G262" s="161" t="s">
        <v>145</v>
      </c>
      <c r="H262" s="111">
        <v>1076</v>
      </c>
      <c r="I262" s="153">
        <v>20512</v>
      </c>
      <c r="J262" s="153">
        <v>69</v>
      </c>
      <c r="K262" s="153">
        <f>2061.72+928.06</f>
        <v>2989.7799999999997</v>
      </c>
      <c r="L262" s="153">
        <v>1592.19</v>
      </c>
      <c r="M262" s="153">
        <v>0</v>
      </c>
      <c r="N262" s="154"/>
      <c r="O262" s="42">
        <f>SUM(K262:M262)</f>
        <v>4581.9699999999993</v>
      </c>
      <c r="P262" s="154">
        <f>I262-O262</f>
        <v>15930.03</v>
      </c>
      <c r="Q262" s="193">
        <f>M262/I262</f>
        <v>0</v>
      </c>
      <c r="R262" s="193">
        <f>P262/I262</f>
        <v>0.77662002730109203</v>
      </c>
      <c r="S262" s="193"/>
      <c r="T262" s="154"/>
      <c r="U262" s="155">
        <f>K262/J262</f>
        <v>43.330144927536232</v>
      </c>
      <c r="V262" s="154"/>
      <c r="W262" s="154"/>
      <c r="X262" s="157"/>
      <c r="Y262" s="157"/>
      <c r="Z262" s="110"/>
      <c r="AA262" s="155"/>
      <c r="AB262" s="110"/>
      <c r="AC262" s="110"/>
      <c r="AD262" s="110"/>
      <c r="AE262" s="158"/>
    </row>
    <row r="263" spans="1:31" x14ac:dyDescent="0.15">
      <c r="A263" s="110"/>
      <c r="B263" s="111"/>
      <c r="C263" s="110"/>
      <c r="D263" s="111"/>
      <c r="E263" s="111"/>
      <c r="F263" s="111"/>
      <c r="G263" s="133"/>
      <c r="H263" s="111"/>
      <c r="I263" s="41"/>
      <c r="J263" s="41"/>
      <c r="K263" s="41"/>
      <c r="L263" s="41"/>
      <c r="M263" s="41"/>
      <c r="N263" s="131"/>
      <c r="O263" s="43"/>
      <c r="P263" s="154"/>
      <c r="Q263" s="193"/>
      <c r="R263" s="193"/>
      <c r="S263" s="193"/>
      <c r="T263" s="154"/>
      <c r="U263" s="155"/>
      <c r="V263" s="131"/>
      <c r="W263" s="131"/>
      <c r="X263" s="151"/>
      <c r="Y263" s="151"/>
      <c r="Z263" s="110"/>
      <c r="AA263" s="149"/>
      <c r="AB263" s="110"/>
      <c r="AC263" s="110"/>
      <c r="AD263" s="110"/>
      <c r="AE263" s="152"/>
    </row>
    <row r="264" spans="1:31" x14ac:dyDescent="0.15">
      <c r="A264" s="110" t="s">
        <v>2780</v>
      </c>
      <c r="B264" s="111" t="s">
        <v>177</v>
      </c>
      <c r="C264" s="110"/>
      <c r="D264" s="111"/>
      <c r="E264" s="111"/>
      <c r="F264" s="111"/>
      <c r="G264" s="133"/>
      <c r="H264" s="111"/>
      <c r="I264" s="39">
        <f>SUM(I262)</f>
        <v>20512</v>
      </c>
      <c r="J264" s="39">
        <f t="shared" ref="J264:M264" si="123">SUM(J262)</f>
        <v>69</v>
      </c>
      <c r="K264" s="39">
        <f t="shared" si="123"/>
        <v>2989.7799999999997</v>
      </c>
      <c r="L264" s="39">
        <f t="shared" si="123"/>
        <v>1592.19</v>
      </c>
      <c r="M264" s="39">
        <f t="shared" si="123"/>
        <v>0</v>
      </c>
      <c r="N264" s="131"/>
      <c r="O264" s="40">
        <f>SUM(K264:M264)</f>
        <v>4581.9699999999993</v>
      </c>
      <c r="P264" s="154">
        <f t="shared" ref="P264" si="124">I264-O264</f>
        <v>15930.03</v>
      </c>
      <c r="Q264" s="193">
        <f t="shared" ref="Q264" si="125">M264/I264</f>
        <v>0</v>
      </c>
      <c r="R264" s="193">
        <f t="shared" ref="R264" si="126">P264/I264</f>
        <v>0.77662002730109203</v>
      </c>
      <c r="S264" s="193"/>
      <c r="T264" s="154"/>
      <c r="U264" s="155">
        <f t="shared" ref="U264" si="127">K264/J264</f>
        <v>43.330144927536232</v>
      </c>
      <c r="V264" s="131"/>
      <c r="W264" s="131"/>
      <c r="X264" s="151"/>
      <c r="Y264" s="151"/>
      <c r="Z264" s="110"/>
      <c r="AA264" s="149"/>
      <c r="AB264" s="110"/>
      <c r="AC264" s="110"/>
      <c r="AD264" s="110"/>
      <c r="AE264" s="152"/>
    </row>
    <row r="265" spans="1:31" x14ac:dyDescent="0.15">
      <c r="A265" s="130"/>
      <c r="B265" s="124"/>
      <c r="C265" s="130"/>
      <c r="D265" s="124"/>
      <c r="E265" s="124"/>
      <c r="F265" s="124"/>
      <c r="G265" s="186"/>
      <c r="H265" s="124"/>
      <c r="I265" s="129"/>
      <c r="J265" s="129"/>
      <c r="K265" s="129"/>
      <c r="L265" s="129"/>
      <c r="M265" s="129"/>
      <c r="N265" s="126"/>
      <c r="O265" s="18"/>
      <c r="P265" s="126"/>
      <c r="Q265" s="187"/>
      <c r="R265" s="187"/>
      <c r="S265" s="187"/>
      <c r="T265" s="126"/>
      <c r="U265" s="127"/>
      <c r="V265" s="126"/>
      <c r="W265" s="126"/>
      <c r="X265" s="137"/>
      <c r="Y265" s="137"/>
      <c r="Z265" s="130"/>
      <c r="AA265" s="127"/>
      <c r="AB265" s="110"/>
      <c r="AC265" s="110"/>
      <c r="AD265" s="110"/>
      <c r="AE265" s="121"/>
    </row>
    <row r="266" spans="1:31" x14ac:dyDescent="0.15">
      <c r="A266" s="110" t="s">
        <v>2781</v>
      </c>
      <c r="B266" s="111" t="s">
        <v>180</v>
      </c>
      <c r="C266" s="110"/>
      <c r="D266" s="111">
        <v>3</v>
      </c>
      <c r="E266" s="111">
        <v>162287</v>
      </c>
      <c r="F266" s="20">
        <v>910100311</v>
      </c>
      <c r="G266" s="133" t="s">
        <v>181</v>
      </c>
      <c r="H266" s="111">
        <v>1085</v>
      </c>
      <c r="I266" s="117">
        <v>58674</v>
      </c>
      <c r="J266" s="117">
        <v>8</v>
      </c>
      <c r="K266" s="117">
        <f>247.29+111.29</f>
        <v>358.58</v>
      </c>
      <c r="L266" s="117"/>
      <c r="M266" s="117">
        <v>9994.7999999999993</v>
      </c>
      <c r="N266" s="117"/>
      <c r="O266" s="7">
        <f>SUM(K266:M266)</f>
        <v>10353.379999999999</v>
      </c>
      <c r="P266" s="117">
        <f>I266-O266</f>
        <v>48320.62</v>
      </c>
      <c r="Q266" s="123">
        <f>M266/I266</f>
        <v>0.17034461601390735</v>
      </c>
      <c r="R266" s="123">
        <f>P266/I266</f>
        <v>0.82354398881957946</v>
      </c>
      <c r="S266" s="190">
        <f>1-0.45</f>
        <v>0.55000000000000004</v>
      </c>
      <c r="T266" s="117"/>
      <c r="U266" s="118">
        <f t="shared" si="94"/>
        <v>44.822499999999998</v>
      </c>
      <c r="V266" s="110"/>
      <c r="W266" s="110"/>
      <c r="X266" s="110"/>
      <c r="Y266" s="110"/>
      <c r="Z266" s="110"/>
      <c r="AA266" s="110"/>
      <c r="AB266" s="110"/>
      <c r="AC266" s="110"/>
      <c r="AD266" s="110"/>
      <c r="AE266" s="121"/>
    </row>
    <row r="267" spans="1:31" x14ac:dyDescent="0.15">
      <c r="A267" s="110" t="s">
        <v>2781</v>
      </c>
      <c r="B267" s="111" t="s">
        <v>47</v>
      </c>
      <c r="C267" s="110"/>
      <c r="D267" s="111">
        <v>3</v>
      </c>
      <c r="E267" s="111">
        <v>162287</v>
      </c>
      <c r="F267" s="20">
        <v>510101111</v>
      </c>
      <c r="G267" s="133" t="s">
        <v>81</v>
      </c>
      <c r="H267" s="111">
        <v>1086</v>
      </c>
      <c r="I267" s="117">
        <v>7840</v>
      </c>
      <c r="J267" s="117">
        <v>65</v>
      </c>
      <c r="K267" s="117">
        <f>2009.15+904.15</f>
        <v>2913.3</v>
      </c>
      <c r="L267" s="117">
        <v>3067.86</v>
      </c>
      <c r="M267" s="117">
        <v>1374.86</v>
      </c>
      <c r="N267" s="117"/>
      <c r="O267" s="7">
        <f>SUM(K267:M267)</f>
        <v>7356.0199999999995</v>
      </c>
      <c r="P267" s="117">
        <f>I267-O267</f>
        <v>483.98000000000047</v>
      </c>
      <c r="Q267" s="123">
        <f>M267/I267</f>
        <v>0.17536479591836734</v>
      </c>
      <c r="R267" s="123">
        <f>P267/I267</f>
        <v>6.1732142857142916E-2</v>
      </c>
      <c r="S267" s="190">
        <f t="shared" ref="S267" si="128">1-0.45</f>
        <v>0.55000000000000004</v>
      </c>
      <c r="T267" s="117"/>
      <c r="U267" s="118">
        <f t="shared" si="94"/>
        <v>44.82</v>
      </c>
      <c r="V267" s="110"/>
      <c r="W267" s="110"/>
      <c r="X267" s="110"/>
      <c r="Y267" s="110"/>
      <c r="Z267" s="110"/>
      <c r="AA267" s="110"/>
      <c r="AB267" s="110"/>
      <c r="AC267" s="110"/>
      <c r="AD267" s="110"/>
      <c r="AE267" s="121"/>
    </row>
    <row r="268" spans="1:31" x14ac:dyDescent="0.15">
      <c r="A268" s="110"/>
      <c r="B268" s="111"/>
      <c r="C268" s="110"/>
      <c r="D268" s="111"/>
      <c r="E268" s="111"/>
      <c r="F268" s="20"/>
      <c r="G268" s="133"/>
      <c r="H268" s="111"/>
      <c r="I268" s="117"/>
      <c r="J268" s="117"/>
      <c r="K268" s="117"/>
      <c r="L268" s="117"/>
      <c r="M268" s="117"/>
      <c r="N268" s="117"/>
      <c r="P268" s="117"/>
      <c r="Q268" s="123"/>
      <c r="R268" s="123"/>
      <c r="S268" s="190"/>
      <c r="T268" s="117"/>
      <c r="U268" s="118" t="str">
        <f t="shared" si="94"/>
        <v/>
      </c>
      <c r="V268" s="110"/>
      <c r="W268" s="110"/>
      <c r="X268" s="110"/>
      <c r="Y268" s="110"/>
      <c r="Z268" s="110"/>
      <c r="AA268" s="110"/>
      <c r="AB268" s="110"/>
      <c r="AC268" s="110"/>
      <c r="AD268" s="110"/>
      <c r="AE268" s="121"/>
    </row>
    <row r="269" spans="1:31" x14ac:dyDescent="0.15">
      <c r="A269" s="110" t="s">
        <v>2781</v>
      </c>
      <c r="B269" s="111" t="s">
        <v>54</v>
      </c>
      <c r="C269" s="110"/>
      <c r="D269" s="111"/>
      <c r="E269" s="111"/>
      <c r="F269" s="20"/>
      <c r="G269" s="133"/>
      <c r="H269" s="111"/>
      <c r="I269" s="24">
        <f>SUM(I266:I267)</f>
        <v>66514</v>
      </c>
      <c r="J269" s="24">
        <f t="shared" ref="J269:M269" si="129">SUM(J266:J267)</f>
        <v>73</v>
      </c>
      <c r="K269" s="24">
        <f t="shared" si="129"/>
        <v>3271.88</v>
      </c>
      <c r="L269" s="24">
        <f t="shared" si="129"/>
        <v>3067.86</v>
      </c>
      <c r="M269" s="24">
        <f t="shared" si="129"/>
        <v>11369.66</v>
      </c>
      <c r="N269" s="117"/>
      <c r="O269" s="25">
        <f>SUM(K269:M269)</f>
        <v>17709.400000000001</v>
      </c>
      <c r="P269" s="117">
        <f>I269-O269</f>
        <v>48804.6</v>
      </c>
      <c r="Q269" s="123">
        <f>M269/I269</f>
        <v>0.17093634422828277</v>
      </c>
      <c r="R269" s="123">
        <f>P269/I269</f>
        <v>0.73374928586462995</v>
      </c>
      <c r="S269" s="190">
        <f>(I266*S266)/I269</f>
        <v>0.48517154283308783</v>
      </c>
      <c r="T269" s="117"/>
      <c r="U269" s="118">
        <f t="shared" si="94"/>
        <v>44.820273972602742</v>
      </c>
      <c r="V269" s="110"/>
      <c r="W269" s="110"/>
      <c r="X269" s="110"/>
      <c r="Y269" s="110"/>
      <c r="Z269" s="110"/>
      <c r="AA269" s="110"/>
      <c r="AB269" s="110"/>
      <c r="AC269" s="110"/>
      <c r="AD269" s="110"/>
      <c r="AE269" s="121"/>
    </row>
    <row r="270" spans="1:31" x14ac:dyDescent="0.15">
      <c r="A270" s="110" t="s">
        <v>2781</v>
      </c>
      <c r="B270" s="111" t="s">
        <v>55</v>
      </c>
      <c r="C270" s="110"/>
      <c r="D270" s="111"/>
      <c r="E270" s="111">
        <v>162287</v>
      </c>
      <c r="F270" s="20" t="s">
        <v>56</v>
      </c>
      <c r="G270" s="133" t="s">
        <v>2771</v>
      </c>
      <c r="H270" s="111">
        <v>1087</v>
      </c>
      <c r="I270" s="117">
        <v>10880</v>
      </c>
      <c r="J270" s="117">
        <v>3</v>
      </c>
      <c r="K270" s="117">
        <f>82.5+37.14</f>
        <v>119.64</v>
      </c>
      <c r="L270" s="117">
        <v>1160.71</v>
      </c>
      <c r="M270" s="117"/>
      <c r="N270" s="117"/>
      <c r="O270" s="7">
        <f>SUM(K270:M270)</f>
        <v>1280.3500000000001</v>
      </c>
      <c r="P270" s="117">
        <f>I270-O270</f>
        <v>9599.65</v>
      </c>
      <c r="Q270" s="123">
        <f>M270/I270</f>
        <v>0</v>
      </c>
      <c r="R270" s="123">
        <f>P270/I270</f>
        <v>0.88232077205882353</v>
      </c>
      <c r="S270" s="190"/>
      <c r="T270" s="117"/>
      <c r="U270" s="118">
        <f t="shared" si="94"/>
        <v>39.880000000000003</v>
      </c>
      <c r="V270" s="110"/>
      <c r="W270" s="110"/>
      <c r="X270" s="110"/>
      <c r="Y270" s="110"/>
      <c r="Z270" s="110"/>
      <c r="AA270" s="110"/>
      <c r="AB270" s="110"/>
      <c r="AC270" s="110"/>
      <c r="AD270" s="110"/>
      <c r="AE270" s="121"/>
    </row>
    <row r="271" spans="1:31" x14ac:dyDescent="0.15">
      <c r="A271" s="110" t="s">
        <v>2781</v>
      </c>
      <c r="B271" s="111" t="s">
        <v>58</v>
      </c>
      <c r="C271" s="110"/>
      <c r="D271" s="111"/>
      <c r="E271" s="111">
        <v>162287</v>
      </c>
      <c r="F271" s="20" t="s">
        <v>184</v>
      </c>
      <c r="G271" s="133" t="s">
        <v>185</v>
      </c>
      <c r="H271" s="111"/>
      <c r="I271" s="117">
        <v>25462</v>
      </c>
      <c r="J271" s="117"/>
      <c r="K271" s="117"/>
      <c r="L271" s="117"/>
      <c r="M271" s="117"/>
      <c r="N271" s="117"/>
      <c r="P271" s="117"/>
      <c r="Q271" s="123"/>
      <c r="R271" s="123"/>
      <c r="S271" s="123"/>
      <c r="T271" s="117"/>
      <c r="U271" s="118" t="str">
        <f t="shared" si="94"/>
        <v/>
      </c>
      <c r="V271" s="110"/>
      <c r="W271" s="110"/>
      <c r="X271" s="110"/>
      <c r="Y271" s="110"/>
      <c r="Z271" s="110"/>
      <c r="AA271" s="110"/>
      <c r="AB271" s="110"/>
      <c r="AC271" s="110"/>
      <c r="AD271" s="110"/>
      <c r="AE271" s="121"/>
    </row>
    <row r="272" spans="1:31" x14ac:dyDescent="0.15">
      <c r="A272" s="110" t="s">
        <v>2781</v>
      </c>
      <c r="B272" s="111" t="s">
        <v>61</v>
      </c>
      <c r="C272" s="110"/>
      <c r="D272" s="111"/>
      <c r="E272" s="111">
        <v>162287</v>
      </c>
      <c r="F272" s="111" t="s">
        <v>186</v>
      </c>
      <c r="G272" s="133" t="s">
        <v>2782</v>
      </c>
      <c r="H272" s="111"/>
      <c r="I272" s="117">
        <v>9680</v>
      </c>
      <c r="J272" s="117"/>
      <c r="K272" s="117"/>
      <c r="L272" s="117"/>
      <c r="M272" s="117"/>
      <c r="N272" s="117"/>
      <c r="P272" s="117"/>
      <c r="Q272" s="123"/>
      <c r="R272" s="123"/>
      <c r="S272" s="123"/>
      <c r="T272" s="117"/>
      <c r="U272" s="118" t="str">
        <f t="shared" si="94"/>
        <v/>
      </c>
      <c r="V272" s="110"/>
      <c r="W272" s="110"/>
      <c r="X272" s="110"/>
      <c r="Y272" s="110"/>
      <c r="Z272" s="110"/>
      <c r="AA272" s="110"/>
      <c r="AB272" s="110"/>
      <c r="AC272" s="110"/>
      <c r="AD272" s="110"/>
      <c r="AE272" s="121"/>
    </row>
    <row r="273" spans="1:27" x14ac:dyDescent="0.15">
      <c r="A273" s="110"/>
      <c r="B273" s="111"/>
      <c r="C273" s="110"/>
      <c r="D273" s="111"/>
      <c r="E273" s="111"/>
      <c r="F273" s="111"/>
      <c r="G273" s="133"/>
      <c r="H273" s="111"/>
      <c r="I273" s="117"/>
      <c r="J273" s="117"/>
      <c r="K273" s="117"/>
      <c r="L273" s="117"/>
      <c r="M273" s="117"/>
      <c r="N273" s="117"/>
      <c r="P273" s="117"/>
      <c r="Q273" s="123"/>
      <c r="R273" s="123"/>
      <c r="S273" s="123"/>
      <c r="T273" s="117"/>
      <c r="U273" s="118" t="str">
        <f t="shared" si="94"/>
        <v/>
      </c>
      <c r="V273" s="110"/>
      <c r="W273" s="110"/>
      <c r="X273" s="110"/>
      <c r="Y273" s="110"/>
      <c r="Z273" s="110"/>
      <c r="AA273" s="110"/>
    </row>
    <row r="274" spans="1:27" x14ac:dyDescent="0.15">
      <c r="A274" s="110" t="s">
        <v>2781</v>
      </c>
      <c r="B274" s="111" t="s">
        <v>65</v>
      </c>
      <c r="C274" s="110"/>
      <c r="D274" s="111"/>
      <c r="E274" s="111"/>
      <c r="F274" s="111"/>
      <c r="G274" s="133"/>
      <c r="H274" s="111"/>
      <c r="I274" s="24">
        <f>SUM(I269:I272)</f>
        <v>112536</v>
      </c>
      <c r="J274" s="24">
        <f t="shared" ref="J274:M274" si="130">SUM(J269:J272)</f>
        <v>76</v>
      </c>
      <c r="K274" s="24">
        <f t="shared" si="130"/>
        <v>3391.52</v>
      </c>
      <c r="L274" s="24">
        <f t="shared" si="130"/>
        <v>4228.57</v>
      </c>
      <c r="M274" s="24">
        <f t="shared" si="130"/>
        <v>11369.66</v>
      </c>
      <c r="N274" s="117"/>
      <c r="O274" s="25">
        <f>SUM(K274:M274)</f>
        <v>18989.75</v>
      </c>
      <c r="P274" s="117">
        <f>I274-O274</f>
        <v>93546.25</v>
      </c>
      <c r="Q274" s="123">
        <f>M274/I274</f>
        <v>0.10103131442382882</v>
      </c>
      <c r="R274" s="123">
        <f>P274/I274</f>
        <v>0.83125622023174806</v>
      </c>
      <c r="S274" s="123"/>
      <c r="T274" s="117"/>
      <c r="U274" s="118">
        <f t="shared" si="94"/>
        <v>44.625263157894736</v>
      </c>
      <c r="V274" s="110"/>
      <c r="W274" s="110"/>
      <c r="X274" s="110"/>
      <c r="Y274" s="110"/>
      <c r="Z274" s="110"/>
      <c r="AA274" s="110"/>
    </row>
    <row r="275" spans="1:27" x14ac:dyDescent="0.15">
      <c r="A275" s="110" t="s">
        <v>2781</v>
      </c>
      <c r="B275" s="111" t="s">
        <v>66</v>
      </c>
      <c r="C275" s="110"/>
      <c r="D275" s="111"/>
      <c r="E275" s="111"/>
      <c r="F275" s="111"/>
      <c r="G275" s="133"/>
      <c r="H275" s="111"/>
      <c r="I275" s="117">
        <f>I266</f>
        <v>58674</v>
      </c>
      <c r="J275" s="117">
        <f t="shared" ref="J275:M275" si="131">J266</f>
        <v>8</v>
      </c>
      <c r="K275" s="117">
        <f t="shared" si="131"/>
        <v>358.58</v>
      </c>
      <c r="L275" s="117">
        <f t="shared" si="131"/>
        <v>0</v>
      </c>
      <c r="M275" s="117">
        <f t="shared" si="131"/>
        <v>9994.7999999999993</v>
      </c>
      <c r="N275" s="117"/>
      <c r="O275" s="7">
        <f>O266</f>
        <v>10353.379999999999</v>
      </c>
      <c r="P275" s="117">
        <f>P266</f>
        <v>48320.62</v>
      </c>
      <c r="Q275" s="123">
        <f>M275/I275</f>
        <v>0.17034461601390735</v>
      </c>
      <c r="R275" s="123">
        <f>P275/I275</f>
        <v>0.82354398881957946</v>
      </c>
      <c r="S275" s="123">
        <f>(I266*S266)/I275</f>
        <v>0.55000000000000004</v>
      </c>
      <c r="T275" s="117"/>
      <c r="U275" s="118">
        <f t="shared" si="94"/>
        <v>44.822499999999998</v>
      </c>
      <c r="V275" s="110"/>
      <c r="W275" s="110"/>
      <c r="X275" s="110"/>
      <c r="Y275" s="110"/>
      <c r="Z275" s="110"/>
      <c r="AA275" s="110"/>
    </row>
    <row r="276" spans="1:27" x14ac:dyDescent="0.15">
      <c r="A276" s="130"/>
      <c r="B276" s="124"/>
      <c r="C276" s="130"/>
      <c r="D276" s="124"/>
      <c r="E276" s="124"/>
      <c r="F276" s="124"/>
      <c r="G276" s="186"/>
      <c r="H276" s="124"/>
      <c r="I276" s="129"/>
      <c r="J276" s="129"/>
      <c r="K276" s="129"/>
      <c r="L276" s="129"/>
      <c r="M276" s="129"/>
      <c r="N276" s="126"/>
      <c r="O276" s="18"/>
      <c r="P276" s="126"/>
      <c r="Q276" s="187"/>
      <c r="R276" s="187"/>
      <c r="S276" s="187"/>
      <c r="T276" s="126"/>
      <c r="U276" s="127"/>
      <c r="V276" s="126"/>
      <c r="W276" s="126"/>
      <c r="X276" s="137"/>
      <c r="Y276" s="137"/>
      <c r="Z276" s="130"/>
      <c r="AA276" s="127"/>
    </row>
    <row r="277" spans="1:27" x14ac:dyDescent="0.15">
      <c r="A277" s="110" t="s">
        <v>2783</v>
      </c>
      <c r="B277" s="111" t="s">
        <v>37</v>
      </c>
      <c r="C277" s="110"/>
      <c r="D277" s="111">
        <v>3</v>
      </c>
      <c r="E277" s="111">
        <v>162311</v>
      </c>
      <c r="F277" s="111">
        <v>110241221</v>
      </c>
      <c r="G277" s="111" t="s">
        <v>188</v>
      </c>
      <c r="H277" s="111">
        <v>1098</v>
      </c>
      <c r="I277" s="117">
        <v>80598</v>
      </c>
      <c r="J277" s="117">
        <f>26.5+32.5+6</f>
        <v>65</v>
      </c>
      <c r="K277" s="117">
        <f>1637.42+736.99</f>
        <v>2374.41</v>
      </c>
      <c r="L277" s="117"/>
      <c r="M277" s="117">
        <v>16936.810000000001</v>
      </c>
      <c r="N277" s="117"/>
      <c r="O277" s="7">
        <f>SUM(K277:M277)</f>
        <v>19311.22</v>
      </c>
      <c r="P277" s="117">
        <f>I277-O277</f>
        <v>61286.78</v>
      </c>
      <c r="Q277" s="123">
        <f>M277/I277</f>
        <v>0.21013933348222041</v>
      </c>
      <c r="R277" s="123">
        <f>P277/I277</f>
        <v>0.7604007543611504</v>
      </c>
      <c r="S277" s="190">
        <f>1-0.45</f>
        <v>0.55000000000000004</v>
      </c>
      <c r="T277" s="117"/>
      <c r="U277" s="118">
        <f t="shared" si="94"/>
        <v>36.529384615384615</v>
      </c>
      <c r="V277" s="110"/>
      <c r="W277" s="110"/>
      <c r="X277" s="110"/>
      <c r="Y277" s="110"/>
      <c r="Z277" s="110"/>
      <c r="AA277" s="110"/>
    </row>
    <row r="278" spans="1:27" x14ac:dyDescent="0.15">
      <c r="A278" s="110" t="s">
        <v>2783</v>
      </c>
      <c r="B278" s="111" t="s">
        <v>37</v>
      </c>
      <c r="C278" s="110"/>
      <c r="D278" s="111">
        <v>3</v>
      </c>
      <c r="E278" s="111">
        <v>162311</v>
      </c>
      <c r="F278" s="111">
        <v>210010211</v>
      </c>
      <c r="G278" s="111" t="s">
        <v>189</v>
      </c>
      <c r="H278" s="111">
        <v>1099</v>
      </c>
      <c r="I278" s="117">
        <v>5760</v>
      </c>
      <c r="J278" s="117"/>
      <c r="K278" s="117"/>
      <c r="L278" s="117"/>
      <c r="M278" s="117">
        <v>1345.28</v>
      </c>
      <c r="N278" s="117"/>
      <c r="O278" s="7">
        <f t="shared" ref="O278:O279" si="132">SUM(K278:M278)</f>
        <v>1345.28</v>
      </c>
      <c r="P278" s="117">
        <f t="shared" ref="P278:P280" si="133">I278-O278</f>
        <v>4414.72</v>
      </c>
      <c r="Q278" s="123">
        <f t="shared" ref="Q278:Q280" si="134">M278/I278</f>
        <v>0.23355555555555554</v>
      </c>
      <c r="R278" s="123">
        <f t="shared" ref="R278:R280" si="135">P278/I278</f>
        <v>0.76644444444444448</v>
      </c>
      <c r="S278" s="190">
        <f t="shared" ref="S278:S280" si="136">1-0.45</f>
        <v>0.55000000000000004</v>
      </c>
      <c r="T278" s="117"/>
      <c r="U278" s="118" t="str">
        <f t="shared" si="94"/>
        <v/>
      </c>
      <c r="V278" s="110"/>
      <c r="W278" s="110"/>
      <c r="X278" s="110"/>
      <c r="Y278" s="110"/>
      <c r="Z278" s="110"/>
      <c r="AA278" s="110"/>
    </row>
    <row r="279" spans="1:27" x14ac:dyDescent="0.15">
      <c r="A279" s="110" t="s">
        <v>2783</v>
      </c>
      <c r="B279" s="111" t="s">
        <v>37</v>
      </c>
      <c r="C279" s="110"/>
      <c r="D279" s="111">
        <v>3</v>
      </c>
      <c r="E279" s="111">
        <v>162311</v>
      </c>
      <c r="F279" s="111">
        <v>210100211</v>
      </c>
      <c r="G279" s="133" t="s">
        <v>190</v>
      </c>
      <c r="H279" s="111">
        <v>1100</v>
      </c>
      <c r="I279" s="117">
        <v>6930</v>
      </c>
      <c r="J279" s="117"/>
      <c r="K279" s="117"/>
      <c r="L279" s="117"/>
      <c r="M279" s="117">
        <v>2601.63</v>
      </c>
      <c r="N279" s="117"/>
      <c r="O279" s="7">
        <f t="shared" si="132"/>
        <v>2601.63</v>
      </c>
      <c r="P279" s="26">
        <f t="shared" si="133"/>
        <v>4328.37</v>
      </c>
      <c r="Q279" s="27">
        <f t="shared" si="134"/>
        <v>0.37541558441558442</v>
      </c>
      <c r="R279" s="27">
        <f t="shared" si="135"/>
        <v>0.62458441558441558</v>
      </c>
      <c r="S279" s="27">
        <f t="shared" si="136"/>
        <v>0.55000000000000004</v>
      </c>
      <c r="T279" s="117"/>
      <c r="U279" s="118" t="str">
        <f t="shared" si="94"/>
        <v/>
      </c>
      <c r="V279" s="110"/>
      <c r="W279" s="110"/>
      <c r="X279" s="110"/>
      <c r="Y279" s="110"/>
      <c r="Z279" s="110"/>
      <c r="AA279" s="110"/>
    </row>
    <row r="280" spans="1:27" x14ac:dyDescent="0.15">
      <c r="A280" s="110" t="s">
        <v>2783</v>
      </c>
      <c r="B280" s="111" t="s">
        <v>47</v>
      </c>
      <c r="C280" s="110"/>
      <c r="D280" s="111">
        <v>3</v>
      </c>
      <c r="E280" s="111">
        <v>162311</v>
      </c>
      <c r="F280" s="111">
        <v>510241121</v>
      </c>
      <c r="G280" s="111" t="s">
        <v>191</v>
      </c>
      <c r="H280" s="111">
        <v>1101</v>
      </c>
      <c r="I280" s="117">
        <v>18638</v>
      </c>
      <c r="J280" s="117">
        <v>83</v>
      </c>
      <c r="K280" s="117">
        <f>2565.53+1154.53</f>
        <v>3720.0600000000004</v>
      </c>
      <c r="L280" s="117">
        <v>3726.28</v>
      </c>
      <c r="M280" s="117">
        <v>14</v>
      </c>
      <c r="N280" s="117"/>
      <c r="O280" s="7">
        <f>SUM(K280:M280)</f>
        <v>7460.34</v>
      </c>
      <c r="P280" s="117">
        <f t="shared" si="133"/>
        <v>11177.66</v>
      </c>
      <c r="Q280" s="123">
        <f t="shared" si="134"/>
        <v>7.5115355724863185E-4</v>
      </c>
      <c r="R280" s="123">
        <f t="shared" si="135"/>
        <v>0.59972421933683873</v>
      </c>
      <c r="S280" s="190">
        <f t="shared" si="136"/>
        <v>0.55000000000000004</v>
      </c>
      <c r="T280" s="117"/>
      <c r="U280" s="118">
        <f t="shared" si="94"/>
        <v>44.820000000000007</v>
      </c>
      <c r="V280" s="110"/>
      <c r="W280" s="110"/>
      <c r="X280" s="110"/>
      <c r="Y280" s="110"/>
      <c r="Z280" s="110"/>
      <c r="AA280" s="110"/>
    </row>
    <row r="281" spans="1:27" x14ac:dyDescent="0.15">
      <c r="A281" s="110"/>
      <c r="B281" s="111"/>
      <c r="C281" s="110"/>
      <c r="D281" s="111"/>
      <c r="E281" s="111"/>
      <c r="F281" s="111"/>
      <c r="G281" s="133"/>
      <c r="H281" s="111"/>
      <c r="I281" s="117"/>
      <c r="J281" s="117"/>
      <c r="K281" s="117"/>
      <c r="L281" s="117"/>
      <c r="M281" s="117"/>
      <c r="N281" s="117"/>
      <c r="P281" s="117"/>
      <c r="Q281" s="123"/>
      <c r="R281" s="123"/>
      <c r="S281" s="190"/>
      <c r="T281" s="117"/>
      <c r="U281" s="118" t="str">
        <f t="shared" si="94"/>
        <v/>
      </c>
      <c r="V281" s="110"/>
      <c r="W281" s="110"/>
      <c r="X281" s="110"/>
      <c r="Y281" s="110"/>
      <c r="Z281" s="110"/>
      <c r="AA281" s="110"/>
    </row>
    <row r="282" spans="1:27" x14ac:dyDescent="0.15">
      <c r="A282" s="110" t="s">
        <v>2783</v>
      </c>
      <c r="B282" s="111" t="s">
        <v>54</v>
      </c>
      <c r="C282" s="110"/>
      <c r="D282" s="111"/>
      <c r="E282" s="111"/>
      <c r="F282" s="111"/>
      <c r="G282" s="133"/>
      <c r="H282" s="111"/>
      <c r="I282" s="24">
        <f>SUM(I280:I280)</f>
        <v>18638</v>
      </c>
      <c r="J282" s="24">
        <f>SUM(J280:J280)</f>
        <v>83</v>
      </c>
      <c r="K282" s="24">
        <f>SUM(K280:K280)</f>
        <v>3720.0600000000004</v>
      </c>
      <c r="L282" s="24">
        <f>SUM(L280:L280)</f>
        <v>3726.28</v>
      </c>
      <c r="M282" s="24">
        <f>SUM(M280:M280)</f>
        <v>14</v>
      </c>
      <c r="N282" s="117"/>
      <c r="O282" s="25">
        <f>SUM(K282:M282)</f>
        <v>7460.34</v>
      </c>
      <c r="P282" s="117">
        <f t="shared" ref="P282" si="137">I282-O282</f>
        <v>11177.66</v>
      </c>
      <c r="Q282" s="123">
        <f t="shared" ref="Q282" si="138">M282/I282</f>
        <v>7.5115355724863185E-4</v>
      </c>
      <c r="R282" s="123">
        <f t="shared" ref="R282" si="139">P282/I282</f>
        <v>0.59972421933683873</v>
      </c>
      <c r="S282" s="190">
        <f>((I277*S277)+(I278*S278)+(I279*S279))/I282</f>
        <v>2.7528919411954074</v>
      </c>
      <c r="T282" s="117"/>
      <c r="U282" s="118">
        <f t="shared" si="94"/>
        <v>44.820000000000007</v>
      </c>
      <c r="V282" s="110"/>
      <c r="W282" s="110"/>
      <c r="X282" s="110"/>
      <c r="Y282" s="110"/>
      <c r="Z282" s="110"/>
      <c r="AA282" s="110"/>
    </row>
    <row r="283" spans="1:27" x14ac:dyDescent="0.15">
      <c r="A283" s="110" t="s">
        <v>2783</v>
      </c>
      <c r="B283" s="111" t="s">
        <v>55</v>
      </c>
      <c r="C283" s="110"/>
      <c r="D283" s="111"/>
      <c r="E283" s="111">
        <v>162311</v>
      </c>
      <c r="F283" s="20" t="s">
        <v>56</v>
      </c>
      <c r="G283" s="133" t="s">
        <v>2771</v>
      </c>
      <c r="H283" s="111">
        <v>1102</v>
      </c>
      <c r="I283" s="117">
        <v>8184</v>
      </c>
      <c r="J283" s="117">
        <v>12</v>
      </c>
      <c r="K283" s="117">
        <f>330+148.56</f>
        <v>478.56</v>
      </c>
      <c r="L283" s="117">
        <v>4148.63</v>
      </c>
      <c r="M283" s="117"/>
      <c r="N283" s="117"/>
      <c r="O283" s="7">
        <f t="shared" ref="O283" si="140">SUM(K283:M283)</f>
        <v>4627.1900000000005</v>
      </c>
      <c r="P283" s="117">
        <f>I283-O283</f>
        <v>3556.8099999999995</v>
      </c>
      <c r="Q283" s="123">
        <f>M283/I283</f>
        <v>0</v>
      </c>
      <c r="R283" s="123">
        <f t="shared" ref="R283:R285" si="141">P283/I283</f>
        <v>0.43460532746823061</v>
      </c>
      <c r="S283" s="123"/>
      <c r="T283" s="117"/>
      <c r="U283" s="118">
        <f t="shared" si="94"/>
        <v>39.880000000000003</v>
      </c>
      <c r="V283" s="110"/>
      <c r="W283" s="110"/>
      <c r="X283" s="110"/>
      <c r="Y283" s="110"/>
      <c r="Z283" s="110"/>
      <c r="AA283" s="110"/>
    </row>
    <row r="284" spans="1:27" x14ac:dyDescent="0.15">
      <c r="A284" s="110"/>
      <c r="B284" s="111"/>
      <c r="C284" s="110"/>
      <c r="D284" s="111"/>
      <c r="E284" s="111"/>
      <c r="F284" s="111"/>
      <c r="G284" s="133"/>
      <c r="H284" s="111"/>
      <c r="I284" s="117"/>
      <c r="J284" s="117"/>
      <c r="K284" s="117"/>
      <c r="L284" s="117"/>
      <c r="M284" s="117"/>
      <c r="N284" s="117"/>
      <c r="P284" s="117"/>
      <c r="Q284" s="123"/>
      <c r="R284" s="123"/>
      <c r="S284" s="123"/>
      <c r="T284" s="117"/>
      <c r="U284" s="118" t="str">
        <f t="shared" si="94"/>
        <v/>
      </c>
      <c r="V284" s="110"/>
      <c r="W284" s="110"/>
      <c r="X284" s="110"/>
      <c r="Y284" s="110"/>
      <c r="Z284" s="110"/>
      <c r="AA284" s="110"/>
    </row>
    <row r="285" spans="1:27" x14ac:dyDescent="0.15">
      <c r="A285" s="110" t="s">
        <v>2783</v>
      </c>
      <c r="B285" s="111" t="s">
        <v>65</v>
      </c>
      <c r="C285" s="110"/>
      <c r="D285" s="111"/>
      <c r="E285" s="111"/>
      <c r="F285" s="111"/>
      <c r="G285" s="133"/>
      <c r="H285" s="111"/>
      <c r="I285" s="24">
        <f>SUM(I282:I283)</f>
        <v>26822</v>
      </c>
      <c r="J285" s="24">
        <f t="shared" ref="J285:P285" si="142">SUM(J282:J283)</f>
        <v>95</v>
      </c>
      <c r="K285" s="24">
        <f t="shared" si="142"/>
        <v>4198.6200000000008</v>
      </c>
      <c r="L285" s="24">
        <f t="shared" si="142"/>
        <v>7874.91</v>
      </c>
      <c r="M285" s="24">
        <f t="shared" si="142"/>
        <v>14</v>
      </c>
      <c r="N285" s="117"/>
      <c r="O285" s="24">
        <f t="shared" si="142"/>
        <v>12087.53</v>
      </c>
      <c r="P285" s="132">
        <f t="shared" si="142"/>
        <v>14734.47</v>
      </c>
      <c r="Q285" s="123">
        <f>M285/I285</f>
        <v>5.2195958541495784E-4</v>
      </c>
      <c r="R285" s="123">
        <f t="shared" si="141"/>
        <v>0.54934270375065242</v>
      </c>
      <c r="S285" s="123"/>
      <c r="T285" s="117"/>
      <c r="U285" s="118">
        <f t="shared" si="94"/>
        <v>44.196000000000005</v>
      </c>
      <c r="V285" s="110"/>
      <c r="W285" s="110"/>
      <c r="X285" s="110"/>
      <c r="Y285" s="110"/>
      <c r="Z285" s="110"/>
      <c r="AA285" s="110"/>
    </row>
    <row r="286" spans="1:27" x14ac:dyDescent="0.15">
      <c r="A286" s="110" t="s">
        <v>2783</v>
      </c>
      <c r="B286" s="111" t="s">
        <v>66</v>
      </c>
      <c r="C286" s="110"/>
      <c r="D286" s="111"/>
      <c r="E286" s="111"/>
      <c r="F286" s="111"/>
      <c r="G286" s="133"/>
      <c r="H286" s="111"/>
      <c r="I286" s="117">
        <v>93288</v>
      </c>
      <c r="J286" s="117">
        <v>65</v>
      </c>
      <c r="K286" s="117">
        <v>2374.41</v>
      </c>
      <c r="L286" s="117">
        <v>0</v>
      </c>
      <c r="M286" s="117">
        <v>20883.72</v>
      </c>
      <c r="N286" s="117"/>
      <c r="O286" s="7">
        <v>23258.13</v>
      </c>
      <c r="P286" s="26">
        <v>70029.87</v>
      </c>
      <c r="Q286" s="27">
        <v>0.22386287625418061</v>
      </c>
      <c r="R286" s="27">
        <v>0.75068465397478767</v>
      </c>
      <c r="S286" s="27">
        <v>0.55000000000000004</v>
      </c>
      <c r="T286" s="117"/>
      <c r="U286" s="118">
        <v>36.529384615384615</v>
      </c>
      <c r="V286" s="110"/>
      <c r="W286" s="110"/>
      <c r="X286" s="110"/>
      <c r="Y286" s="110"/>
      <c r="Z286" s="110"/>
      <c r="AA286" s="110"/>
    </row>
    <row r="287" spans="1:27" x14ac:dyDescent="0.15">
      <c r="A287" s="130"/>
      <c r="B287" s="124"/>
      <c r="C287" s="130"/>
      <c r="D287" s="124"/>
      <c r="E287" s="124"/>
      <c r="F287" s="124"/>
      <c r="G287" s="186"/>
      <c r="H287" s="124"/>
      <c r="I287" s="129"/>
      <c r="J287" s="129"/>
      <c r="K287" s="129"/>
      <c r="L287" s="129"/>
      <c r="M287" s="129"/>
      <c r="N287" s="126"/>
      <c r="O287" s="18"/>
      <c r="P287" s="126"/>
      <c r="Q287" s="187"/>
      <c r="R287" s="187"/>
      <c r="S287" s="187"/>
      <c r="T287" s="126"/>
      <c r="U287" s="45"/>
      <c r="V287" s="126"/>
      <c r="W287" s="126"/>
      <c r="X287" s="137"/>
      <c r="Y287" s="137"/>
      <c r="Z287" s="130"/>
      <c r="AA287" s="127"/>
    </row>
    <row r="288" spans="1:27" x14ac:dyDescent="0.15">
      <c r="A288" s="110" t="s">
        <v>2784</v>
      </c>
      <c r="B288" s="111" t="s">
        <v>2591</v>
      </c>
      <c r="C288" s="110"/>
      <c r="D288" s="111">
        <v>3</v>
      </c>
      <c r="E288" s="111">
        <v>162343</v>
      </c>
      <c r="F288" s="111">
        <v>811101111</v>
      </c>
      <c r="G288" s="161" t="s">
        <v>145</v>
      </c>
      <c r="H288" s="111">
        <v>1069</v>
      </c>
      <c r="I288" s="117">
        <v>6667.67</v>
      </c>
      <c r="J288" s="117">
        <v>26</v>
      </c>
      <c r="K288" s="117">
        <f>776.88+349.7</f>
        <v>1126.58</v>
      </c>
      <c r="L288" s="117">
        <v>581.36</v>
      </c>
      <c r="M288" s="117">
        <v>295.49</v>
      </c>
      <c r="N288" s="117"/>
      <c r="O288" s="7">
        <f>SUM(K288:M288)</f>
        <v>2003.43</v>
      </c>
      <c r="P288" s="117">
        <f>I288-O288</f>
        <v>4664.24</v>
      </c>
      <c r="Q288" s="123">
        <f>M288/I288</f>
        <v>4.4316830317037287E-2</v>
      </c>
      <c r="R288" s="123">
        <f>P288/I288</f>
        <v>0.69953072062654564</v>
      </c>
      <c r="S288" s="123"/>
      <c r="T288" s="117"/>
      <c r="U288" s="118">
        <f>K288/J288</f>
        <v>43.33</v>
      </c>
      <c r="V288" s="110"/>
      <c r="W288" s="110"/>
      <c r="X288" s="110"/>
      <c r="Y288" s="110"/>
      <c r="Z288" s="110"/>
      <c r="AA288" s="110"/>
    </row>
    <row r="289" spans="1:27" x14ac:dyDescent="0.15">
      <c r="A289" s="110" t="s">
        <v>2784</v>
      </c>
      <c r="B289" s="111" t="s">
        <v>2591</v>
      </c>
      <c r="C289" s="110"/>
      <c r="D289" s="111">
        <v>3</v>
      </c>
      <c r="E289" s="111">
        <v>162343</v>
      </c>
      <c r="F289" s="111">
        <v>811101111</v>
      </c>
      <c r="G289" s="161" t="s">
        <v>145</v>
      </c>
      <c r="H289" s="111">
        <v>1073</v>
      </c>
      <c r="I289" s="117">
        <v>6667.67</v>
      </c>
      <c r="J289" s="117">
        <v>9.5</v>
      </c>
      <c r="K289" s="117">
        <f>283.86+127.78</f>
        <v>411.64</v>
      </c>
      <c r="L289" s="117">
        <v>581.36</v>
      </c>
      <c r="M289" s="117">
        <v>295.49</v>
      </c>
      <c r="N289" s="117"/>
      <c r="O289" s="7">
        <f t="shared" ref="O289:O291" si="143">SUM(K289:M289)</f>
        <v>1288.49</v>
      </c>
      <c r="P289" s="117">
        <f t="shared" ref="P289:P291" si="144">I289-O289</f>
        <v>5379.18</v>
      </c>
      <c r="Q289" s="123">
        <f t="shared" ref="Q289:Q293" si="145">M289/I289</f>
        <v>4.4316830317037287E-2</v>
      </c>
      <c r="R289" s="123">
        <f t="shared" ref="R289:R293" si="146">P289/I289</f>
        <v>0.80675558328471564</v>
      </c>
      <c r="S289" s="123"/>
      <c r="T289" s="117"/>
      <c r="U289" s="118">
        <f t="shared" ref="U289:U291" si="147">K289/J289</f>
        <v>43.33052631578947</v>
      </c>
      <c r="V289" s="110"/>
      <c r="W289" s="110"/>
      <c r="X289" s="110"/>
      <c r="Y289" s="110"/>
      <c r="Z289" s="110"/>
      <c r="AA289" s="110"/>
    </row>
    <row r="290" spans="1:27" x14ac:dyDescent="0.15">
      <c r="A290" s="110" t="s">
        <v>2784</v>
      </c>
      <c r="B290" s="111" t="s">
        <v>2591</v>
      </c>
      <c r="C290" s="110"/>
      <c r="D290" s="111">
        <v>3</v>
      </c>
      <c r="E290" s="111">
        <v>162343</v>
      </c>
      <c r="F290" s="111">
        <v>821101111</v>
      </c>
      <c r="G290" s="161" t="s">
        <v>176</v>
      </c>
      <c r="H290" s="111">
        <v>1071</v>
      </c>
      <c r="I290" s="117">
        <v>20002.5</v>
      </c>
      <c r="J290" s="117">
        <v>34.5</v>
      </c>
      <c r="K290" s="117">
        <f>1030.86+464.04</f>
        <v>1494.8999999999999</v>
      </c>
      <c r="L290" s="117">
        <v>3948.13</v>
      </c>
      <c r="M290" s="117">
        <v>488.01</v>
      </c>
      <c r="N290" s="117"/>
      <c r="O290" s="7">
        <f t="shared" si="143"/>
        <v>5931.04</v>
      </c>
      <c r="P290" s="117">
        <f t="shared" si="144"/>
        <v>14071.46</v>
      </c>
      <c r="Q290" s="123">
        <f t="shared" si="145"/>
        <v>2.439745031871016E-2</v>
      </c>
      <c r="R290" s="123">
        <f t="shared" si="146"/>
        <v>0.70348506436695413</v>
      </c>
      <c r="S290" s="123"/>
      <c r="T290" s="117"/>
      <c r="U290" s="118">
        <f t="shared" si="147"/>
        <v>43.330434782608691</v>
      </c>
      <c r="V290" s="110"/>
      <c r="W290" s="110"/>
      <c r="X290" s="110"/>
      <c r="Y290" s="110"/>
      <c r="Z290" s="110"/>
      <c r="AA290" s="110"/>
    </row>
    <row r="291" spans="1:27" x14ac:dyDescent="0.15">
      <c r="A291" s="110" t="s">
        <v>2784</v>
      </c>
      <c r="B291" s="111" t="s">
        <v>2591</v>
      </c>
      <c r="C291" s="110"/>
      <c r="D291" s="111">
        <v>3</v>
      </c>
      <c r="E291" s="111">
        <v>162343</v>
      </c>
      <c r="F291" s="111">
        <v>811101111</v>
      </c>
      <c r="G291" s="161" t="s">
        <v>145</v>
      </c>
      <c r="H291" s="111">
        <v>1074</v>
      </c>
      <c r="I291" s="117">
        <v>6667.67</v>
      </c>
      <c r="J291" s="117">
        <v>9</v>
      </c>
      <c r="K291" s="117">
        <f>268.92+121.05</f>
        <v>389.97</v>
      </c>
      <c r="L291" s="117">
        <v>581.36</v>
      </c>
      <c r="M291" s="117">
        <v>295.48</v>
      </c>
      <c r="N291" s="117"/>
      <c r="O291" s="7">
        <f t="shared" si="143"/>
        <v>1266.81</v>
      </c>
      <c r="P291" s="117">
        <f t="shared" si="144"/>
        <v>5400.8600000000006</v>
      </c>
      <c r="Q291" s="123">
        <f t="shared" si="145"/>
        <v>4.4315330542753315E-2</v>
      </c>
      <c r="R291" s="123">
        <f t="shared" si="146"/>
        <v>0.81000709393236325</v>
      </c>
      <c r="S291" s="123"/>
      <c r="T291" s="117"/>
      <c r="U291" s="118">
        <f t="shared" si="147"/>
        <v>43.330000000000005</v>
      </c>
      <c r="V291" s="110"/>
      <c r="W291" s="110"/>
      <c r="X291" s="110"/>
      <c r="Y291" s="110"/>
      <c r="Z291" s="110"/>
      <c r="AA291" s="110"/>
    </row>
    <row r="293" spans="1:27" x14ac:dyDescent="0.15">
      <c r="A293" s="110" t="s">
        <v>2784</v>
      </c>
      <c r="B293" s="111" t="s">
        <v>177</v>
      </c>
      <c r="C293" s="110"/>
      <c r="D293" s="111"/>
      <c r="E293" s="111"/>
      <c r="F293" s="111"/>
      <c r="G293" s="133"/>
      <c r="H293" s="111"/>
      <c r="I293" s="24">
        <f>SUM(I288:I291)</f>
        <v>40005.509999999995</v>
      </c>
      <c r="J293" s="24">
        <f t="shared" ref="J293:M293" si="148">SUM(J288:J291)</f>
        <v>79</v>
      </c>
      <c r="K293" s="24">
        <f t="shared" si="148"/>
        <v>3423.09</v>
      </c>
      <c r="L293" s="24">
        <f t="shared" si="148"/>
        <v>5692.21</v>
      </c>
      <c r="M293" s="24">
        <f t="shared" si="148"/>
        <v>1374.47</v>
      </c>
      <c r="N293" s="28"/>
      <c r="O293" s="25">
        <f>SUM(K293:M293)</f>
        <v>10489.769999999999</v>
      </c>
      <c r="P293" s="117">
        <f>I293-O293</f>
        <v>29515.739999999998</v>
      </c>
      <c r="Q293" s="123">
        <f t="shared" si="145"/>
        <v>3.4357017320864054E-2</v>
      </c>
      <c r="R293" s="123">
        <f t="shared" si="146"/>
        <v>0.73779186917002193</v>
      </c>
      <c r="S293" s="123"/>
      <c r="T293" s="117"/>
      <c r="U293" s="118">
        <f>K293/J293</f>
        <v>43.330253164556964</v>
      </c>
      <c r="V293" s="110"/>
      <c r="W293" s="110"/>
      <c r="X293" s="110"/>
      <c r="Y293" s="110"/>
      <c r="Z293" s="110"/>
      <c r="AA293" s="110"/>
    </row>
    <row r="294" spans="1:27" x14ac:dyDescent="0.15">
      <c r="A294" s="130"/>
      <c r="B294" s="124"/>
      <c r="C294" s="130"/>
      <c r="D294" s="124"/>
      <c r="E294" s="124"/>
      <c r="F294" s="124"/>
      <c r="G294" s="186"/>
      <c r="H294" s="124"/>
      <c r="I294" s="129"/>
      <c r="J294" s="129"/>
      <c r="K294" s="129"/>
      <c r="L294" s="129"/>
      <c r="M294" s="129"/>
      <c r="N294" s="126"/>
      <c r="O294" s="18"/>
      <c r="P294" s="126"/>
      <c r="Q294" s="187"/>
      <c r="R294" s="187"/>
      <c r="S294" s="187"/>
      <c r="T294" s="126"/>
      <c r="U294" s="45"/>
      <c r="V294" s="126"/>
      <c r="W294" s="126"/>
      <c r="X294" s="137"/>
      <c r="Y294" s="137"/>
      <c r="Z294" s="130"/>
      <c r="AA294" s="127"/>
    </row>
    <row r="295" spans="1:27" x14ac:dyDescent="0.15">
      <c r="A295" s="110" t="s">
        <v>2785</v>
      </c>
      <c r="B295" s="111" t="s">
        <v>2591</v>
      </c>
      <c r="C295" s="110"/>
      <c r="D295" s="111">
        <v>3</v>
      </c>
      <c r="E295" s="111">
        <v>162345</v>
      </c>
      <c r="F295" s="111">
        <v>811002011</v>
      </c>
      <c r="G295" s="161" t="s">
        <v>145</v>
      </c>
      <c r="H295" s="111">
        <v>1108</v>
      </c>
      <c r="I295" s="117">
        <v>15400</v>
      </c>
      <c r="J295" s="117">
        <v>28</v>
      </c>
      <c r="K295" s="117">
        <f>836.64+376.6</f>
        <v>1213.24</v>
      </c>
      <c r="L295" s="117">
        <v>2116.08</v>
      </c>
      <c r="M295" s="117">
        <v>351.6</v>
      </c>
      <c r="N295" s="117"/>
      <c r="O295" s="7">
        <f>SUM(K295:M295)</f>
        <v>3680.9199999999996</v>
      </c>
      <c r="P295" s="117">
        <f>I295-O295</f>
        <v>11719.08</v>
      </c>
      <c r="Q295" s="123">
        <f>M295/I295</f>
        <v>2.2831168831168834E-2</v>
      </c>
      <c r="R295" s="123">
        <f>P295/I295</f>
        <v>0.76097922077922076</v>
      </c>
      <c r="S295" s="123"/>
      <c r="T295" s="117"/>
      <c r="U295" s="118">
        <f>K295/J295</f>
        <v>43.33</v>
      </c>
      <c r="V295" s="110"/>
      <c r="W295" s="110"/>
      <c r="X295" s="110"/>
      <c r="Y295" s="110"/>
      <c r="Z295" s="110"/>
      <c r="AA295" s="110"/>
    </row>
    <row r="297" spans="1:27" x14ac:dyDescent="0.15">
      <c r="A297" s="110" t="s">
        <v>2785</v>
      </c>
      <c r="B297" s="111" t="s">
        <v>177</v>
      </c>
      <c r="C297" s="110"/>
      <c r="D297" s="111"/>
      <c r="E297" s="111"/>
      <c r="F297" s="111"/>
      <c r="G297" s="133"/>
      <c r="H297" s="111"/>
      <c r="I297" s="24">
        <f>SUM(I295)</f>
        <v>15400</v>
      </c>
      <c r="J297" s="24">
        <f t="shared" ref="J297:M297" si="149">SUM(J295)</f>
        <v>28</v>
      </c>
      <c r="K297" s="24">
        <f t="shared" si="149"/>
        <v>1213.24</v>
      </c>
      <c r="L297" s="24">
        <f t="shared" si="149"/>
        <v>2116.08</v>
      </c>
      <c r="M297" s="24">
        <f t="shared" si="149"/>
        <v>351.6</v>
      </c>
      <c r="N297" s="117"/>
      <c r="O297" s="25">
        <f>SUM(K297:M297)</f>
        <v>3680.9199999999996</v>
      </c>
      <c r="P297" s="117">
        <f>I297-O297</f>
        <v>11719.08</v>
      </c>
      <c r="Q297" s="123">
        <f>M297/I297</f>
        <v>2.2831168831168834E-2</v>
      </c>
      <c r="R297" s="123">
        <f>P297/I297</f>
        <v>0.76097922077922076</v>
      </c>
      <c r="S297" s="123"/>
      <c r="T297" s="117"/>
      <c r="U297" s="118">
        <f>K297/J297</f>
        <v>43.33</v>
      </c>
      <c r="V297" s="110"/>
      <c r="W297" s="110"/>
      <c r="X297" s="110"/>
      <c r="Y297" s="110"/>
      <c r="Z297" s="110"/>
      <c r="AA297" s="110"/>
    </row>
    <row r="298" spans="1:27" x14ac:dyDescent="0.15">
      <c r="A298" s="130"/>
      <c r="B298" s="124"/>
      <c r="C298" s="130"/>
      <c r="D298" s="124"/>
      <c r="E298" s="124"/>
      <c r="F298" s="124"/>
      <c r="G298" s="186"/>
      <c r="H298" s="124"/>
      <c r="I298" s="129"/>
      <c r="J298" s="129"/>
      <c r="K298" s="129"/>
      <c r="L298" s="129"/>
      <c r="M298" s="129"/>
      <c r="N298" s="126"/>
      <c r="O298" s="18"/>
      <c r="P298" s="126"/>
      <c r="Q298" s="187"/>
      <c r="R298" s="187"/>
      <c r="S298" s="187"/>
      <c r="T298" s="126"/>
      <c r="U298" s="45"/>
      <c r="V298" s="126"/>
      <c r="W298" s="126"/>
      <c r="X298" s="137"/>
      <c r="Y298" s="137"/>
      <c r="Z298" s="130"/>
      <c r="AA298" s="127"/>
    </row>
    <row r="299" spans="1:27" x14ac:dyDescent="0.15">
      <c r="A299" s="110" t="s">
        <v>2786</v>
      </c>
      <c r="B299" s="111" t="s">
        <v>2591</v>
      </c>
      <c r="C299" s="110"/>
      <c r="D299" s="111">
        <v>3</v>
      </c>
      <c r="E299" s="111">
        <v>162344</v>
      </c>
      <c r="F299" s="111">
        <v>810002011</v>
      </c>
      <c r="G299" s="161" t="s">
        <v>145</v>
      </c>
      <c r="H299" s="111">
        <v>1109</v>
      </c>
      <c r="I299" s="117">
        <v>6942.95</v>
      </c>
      <c r="J299" s="117">
        <v>40</v>
      </c>
      <c r="K299" s="117">
        <f>1195.2+538.02</f>
        <v>1733.22</v>
      </c>
      <c r="L299" s="117">
        <v>727.55</v>
      </c>
      <c r="M299" s="117">
        <v>177.89</v>
      </c>
      <c r="N299" s="117"/>
      <c r="O299" s="7">
        <f>SUM(K299:M299)</f>
        <v>2638.66</v>
      </c>
      <c r="P299" s="117">
        <f>I299-O299</f>
        <v>4304.29</v>
      </c>
      <c r="Q299" s="123">
        <f>M299/I299</f>
        <v>2.5621673784198357E-2</v>
      </c>
      <c r="R299" s="123">
        <f>P299/I299</f>
        <v>0.61995117349253559</v>
      </c>
      <c r="S299" s="123"/>
      <c r="T299" s="117"/>
      <c r="U299" s="118">
        <f>K299/J299</f>
        <v>43.330500000000001</v>
      </c>
      <c r="V299" s="110"/>
      <c r="W299" s="110"/>
      <c r="X299" s="110"/>
      <c r="Y299" s="110"/>
      <c r="Z299" s="110"/>
      <c r="AA299" s="110"/>
    </row>
    <row r="300" spans="1:27" x14ac:dyDescent="0.15">
      <c r="A300" s="110" t="s">
        <v>2786</v>
      </c>
      <c r="B300" s="111" t="s">
        <v>2591</v>
      </c>
      <c r="C300" s="110"/>
      <c r="D300" s="111">
        <v>3</v>
      </c>
      <c r="E300" s="111">
        <v>162344</v>
      </c>
      <c r="F300" s="111">
        <v>820002011</v>
      </c>
      <c r="G300" s="161" t="s">
        <v>176</v>
      </c>
      <c r="H300" s="111">
        <v>1110</v>
      </c>
      <c r="I300" s="117">
        <v>12894.5</v>
      </c>
      <c r="J300" s="117">
        <v>21.5</v>
      </c>
      <c r="K300" s="117">
        <f>642.42+289.18</f>
        <v>931.59999999999991</v>
      </c>
      <c r="L300" s="117">
        <v>1351.15</v>
      </c>
      <c r="M300" s="117">
        <v>330.38</v>
      </c>
      <c r="N300" s="117"/>
      <c r="O300" s="7">
        <f>SUM(K300:M300)</f>
        <v>2613.13</v>
      </c>
      <c r="P300" s="117">
        <f>I300-O300</f>
        <v>10281.369999999999</v>
      </c>
      <c r="Q300" s="123">
        <f>M300/I300</f>
        <v>2.5621776726511301E-2</v>
      </c>
      <c r="R300" s="123">
        <f>P300/I300</f>
        <v>0.7973453798130985</v>
      </c>
      <c r="S300" s="123"/>
      <c r="T300" s="117"/>
      <c r="U300" s="118">
        <f>K300/J300</f>
        <v>43.330232558139528</v>
      </c>
      <c r="V300" s="110"/>
      <c r="W300" s="110"/>
      <c r="X300" s="110"/>
      <c r="Y300" s="110"/>
      <c r="Z300" s="110"/>
      <c r="AA300" s="110"/>
    </row>
    <row r="302" spans="1:27" x14ac:dyDescent="0.15">
      <c r="A302" s="110" t="s">
        <v>2786</v>
      </c>
      <c r="B302" s="111" t="s">
        <v>177</v>
      </c>
      <c r="C302" s="110"/>
      <c r="D302" s="111"/>
      <c r="E302" s="111"/>
      <c r="F302" s="111"/>
      <c r="G302" s="133"/>
      <c r="H302" s="111"/>
      <c r="I302" s="24">
        <f>SUM(I299:I300)</f>
        <v>19837.45</v>
      </c>
      <c r="J302" s="24">
        <f t="shared" ref="J302:M302" si="150">SUM(J299:J300)</f>
        <v>61.5</v>
      </c>
      <c r="K302" s="24">
        <f t="shared" si="150"/>
        <v>2664.8199999999997</v>
      </c>
      <c r="L302" s="24">
        <f t="shared" si="150"/>
        <v>2078.6999999999998</v>
      </c>
      <c r="M302" s="24">
        <f t="shared" si="150"/>
        <v>508.27</v>
      </c>
      <c r="N302" s="117"/>
      <c r="O302" s="25">
        <f>SUM(K302:M302)</f>
        <v>5251.7899999999991</v>
      </c>
      <c r="P302" s="117">
        <f>I302-O302</f>
        <v>14585.660000000002</v>
      </c>
      <c r="Q302" s="123">
        <f>M302/I302</f>
        <v>2.5621740697519085E-2</v>
      </c>
      <c r="R302" s="123">
        <f>P302/I302</f>
        <v>0.73525881602726162</v>
      </c>
      <c r="S302" s="123"/>
      <c r="T302" s="117"/>
      <c r="U302" s="118">
        <f>K302/J302</f>
        <v>43.330406504065039</v>
      </c>
      <c r="V302" s="110"/>
      <c r="W302" s="110"/>
      <c r="X302" s="110"/>
      <c r="Y302" s="110"/>
      <c r="Z302" s="110"/>
      <c r="AA302" s="110"/>
    </row>
    <row r="303" spans="1:27" x14ac:dyDescent="0.15">
      <c r="A303" s="130"/>
      <c r="B303" s="124"/>
      <c r="C303" s="130"/>
      <c r="D303" s="124"/>
      <c r="E303" s="124"/>
      <c r="F303" s="124"/>
      <c r="G303" s="186"/>
      <c r="H303" s="124"/>
      <c r="I303" s="129"/>
      <c r="J303" s="129"/>
      <c r="K303" s="129"/>
      <c r="L303" s="129"/>
      <c r="M303" s="129"/>
      <c r="N303" s="126"/>
      <c r="O303" s="18"/>
      <c r="P303" s="126"/>
      <c r="Q303" s="187"/>
      <c r="R303" s="187"/>
      <c r="S303" s="187"/>
      <c r="T303" s="126"/>
      <c r="U303" s="45"/>
      <c r="V303" s="126"/>
      <c r="W303" s="126"/>
      <c r="X303" s="137"/>
      <c r="Y303" s="137"/>
      <c r="Z303" s="130"/>
      <c r="AA303" s="127"/>
    </row>
    <row r="304" spans="1:27" x14ac:dyDescent="0.15">
      <c r="A304" s="110" t="s">
        <v>2761</v>
      </c>
      <c r="B304" s="111" t="s">
        <v>2591</v>
      </c>
      <c r="C304" s="110"/>
      <c r="D304" s="111">
        <v>3</v>
      </c>
      <c r="E304" s="111">
        <v>162315</v>
      </c>
      <c r="F304" s="111">
        <v>811001011</v>
      </c>
      <c r="G304" s="161" t="s">
        <v>145</v>
      </c>
      <c r="H304" s="111">
        <v>1077</v>
      </c>
      <c r="I304" s="117">
        <v>13907</v>
      </c>
      <c r="J304" s="117">
        <v>43.5</v>
      </c>
      <c r="K304" s="117">
        <f>1299.78+585.09</f>
        <v>1884.87</v>
      </c>
      <c r="L304" s="117">
        <v>1714.5</v>
      </c>
      <c r="M304" s="117">
        <v>397</v>
      </c>
      <c r="N304" s="117"/>
      <c r="O304" s="7">
        <f>SUM(K304:M304)</f>
        <v>3996.37</v>
      </c>
      <c r="P304" s="117">
        <f>I304-O304</f>
        <v>9910.630000000001</v>
      </c>
      <c r="Q304" s="123">
        <f>M304/I304</f>
        <v>2.8546775005392967E-2</v>
      </c>
      <c r="R304" s="123">
        <f>P304/I304</f>
        <v>0.71263608254835697</v>
      </c>
      <c r="S304" s="123"/>
      <c r="T304" s="117"/>
      <c r="U304" s="118">
        <f>K304/J304</f>
        <v>43.330344827586202</v>
      </c>
      <c r="V304" s="110"/>
      <c r="W304" s="110"/>
      <c r="X304" s="110"/>
      <c r="Y304" s="110"/>
      <c r="Z304" s="110"/>
      <c r="AA304" s="110"/>
    </row>
    <row r="306" spans="1:27" x14ac:dyDescent="0.15">
      <c r="A306" s="110" t="s">
        <v>2761</v>
      </c>
      <c r="B306" s="111" t="s">
        <v>177</v>
      </c>
      <c r="C306" s="110"/>
      <c r="D306" s="111"/>
      <c r="E306" s="111"/>
      <c r="F306" s="111"/>
      <c r="G306" s="133"/>
      <c r="H306" s="111"/>
      <c r="I306" s="25">
        <f>SUM(I304)</f>
        <v>13907</v>
      </c>
      <c r="J306" s="25">
        <f t="shared" ref="J306:M306" si="151">SUM(J304)</f>
        <v>43.5</v>
      </c>
      <c r="K306" s="25">
        <f t="shared" si="151"/>
        <v>1884.87</v>
      </c>
      <c r="L306" s="25">
        <f t="shared" si="151"/>
        <v>1714.5</v>
      </c>
      <c r="M306" s="25">
        <f t="shared" si="151"/>
        <v>397</v>
      </c>
      <c r="N306" s="117"/>
      <c r="O306" s="25">
        <f t="shared" ref="O306" si="152">SUM(K306:M306)</f>
        <v>3996.37</v>
      </c>
      <c r="P306" s="117">
        <f t="shared" ref="P306" si="153">I306-O306</f>
        <v>9910.630000000001</v>
      </c>
      <c r="Q306" s="123">
        <f t="shared" ref="Q306" si="154">M306/I306</f>
        <v>2.8546775005392967E-2</v>
      </c>
      <c r="R306" s="123">
        <f t="shared" ref="R306" si="155">P306/I306</f>
        <v>0.71263608254835697</v>
      </c>
      <c r="S306" s="123"/>
      <c r="T306" s="117"/>
      <c r="U306" s="118">
        <f t="shared" ref="U306" si="156">K306/J306</f>
        <v>43.330344827586202</v>
      </c>
      <c r="V306" s="110"/>
      <c r="W306" s="110"/>
      <c r="X306" s="110"/>
      <c r="Y306" s="110"/>
      <c r="Z306" s="110"/>
      <c r="AA306" s="110"/>
    </row>
    <row r="307" spans="1:27" x14ac:dyDescent="0.15">
      <c r="A307" s="130"/>
      <c r="B307" s="124"/>
      <c r="C307" s="130"/>
      <c r="D307" s="124"/>
      <c r="E307" s="124"/>
      <c r="F307" s="124"/>
      <c r="G307" s="186"/>
      <c r="H307" s="124"/>
      <c r="I307" s="129"/>
      <c r="J307" s="129"/>
      <c r="K307" s="129"/>
      <c r="L307" s="129"/>
      <c r="M307" s="129"/>
      <c r="N307" s="126"/>
      <c r="O307" s="18"/>
      <c r="P307" s="126"/>
      <c r="Q307" s="187"/>
      <c r="R307" s="187"/>
      <c r="S307" s="187"/>
      <c r="T307" s="126"/>
      <c r="U307" s="45"/>
      <c r="V307" s="126"/>
      <c r="W307" s="126"/>
      <c r="X307" s="137"/>
      <c r="Y307" s="137"/>
      <c r="Z307" s="130"/>
      <c r="AA307" s="127"/>
    </row>
    <row r="308" spans="1:27" x14ac:dyDescent="0.15">
      <c r="A308" s="110" t="s">
        <v>2787</v>
      </c>
      <c r="B308" s="111" t="s">
        <v>2591</v>
      </c>
      <c r="C308" s="110"/>
      <c r="D308" s="111">
        <v>3</v>
      </c>
      <c r="E308" s="111">
        <v>162314</v>
      </c>
      <c r="F308" s="111">
        <v>810101021</v>
      </c>
      <c r="G308" s="161" t="s">
        <v>145</v>
      </c>
      <c r="H308" s="111">
        <v>1070</v>
      </c>
      <c r="I308" s="117">
        <v>3500</v>
      </c>
      <c r="J308" s="117">
        <v>26.5</v>
      </c>
      <c r="K308" s="117">
        <f>791.82+356.43</f>
        <v>1148.25</v>
      </c>
      <c r="L308" s="117">
        <v>716.81</v>
      </c>
      <c r="M308" s="117">
        <v>0</v>
      </c>
      <c r="N308" s="117"/>
      <c r="O308" s="7">
        <f>SUM(K308:M308)</f>
        <v>1865.06</v>
      </c>
      <c r="P308" s="117">
        <f>I308-O308</f>
        <v>1634.94</v>
      </c>
      <c r="Q308" s="123">
        <f>M308/I308</f>
        <v>0</v>
      </c>
      <c r="R308" s="123">
        <f>P308/I308</f>
        <v>0.46712571428571431</v>
      </c>
      <c r="S308" s="123"/>
      <c r="T308" s="117"/>
      <c r="U308" s="118">
        <f>K308/J308</f>
        <v>43.330188679245282</v>
      </c>
      <c r="V308" s="110"/>
      <c r="W308" s="110"/>
      <c r="X308" s="110"/>
      <c r="Y308" s="110"/>
      <c r="Z308" s="110"/>
      <c r="AA308" s="110"/>
    </row>
    <row r="309" spans="1:27" x14ac:dyDescent="0.15">
      <c r="A309" s="110" t="s">
        <v>2787</v>
      </c>
      <c r="B309" s="111" t="s">
        <v>2591</v>
      </c>
      <c r="C309" s="110"/>
      <c r="D309" s="111">
        <v>3</v>
      </c>
      <c r="E309" s="111">
        <v>162314</v>
      </c>
      <c r="F309" s="111">
        <v>821101111</v>
      </c>
      <c r="G309" s="161" t="s">
        <v>176</v>
      </c>
      <c r="H309" s="111">
        <v>1075</v>
      </c>
      <c r="I309" s="117">
        <v>6500</v>
      </c>
      <c r="J309" s="117">
        <v>26.5</v>
      </c>
      <c r="K309" s="117">
        <f>791.82+356.43</f>
        <v>1148.25</v>
      </c>
      <c r="L309" s="117">
        <v>1384.19</v>
      </c>
      <c r="M309" s="117">
        <v>73.14</v>
      </c>
      <c r="N309" s="117"/>
      <c r="O309" s="7">
        <f t="shared" ref="O309:O311" si="157">SUM(K309:M309)</f>
        <v>2605.58</v>
      </c>
      <c r="P309" s="117">
        <f t="shared" ref="P309:P311" si="158">I309-O309</f>
        <v>3894.42</v>
      </c>
      <c r="Q309" s="123">
        <f t="shared" ref="Q309:Q311" si="159">M309/I309</f>
        <v>1.1252307692307692E-2</v>
      </c>
      <c r="R309" s="123">
        <f t="shared" ref="R309:R311" si="160">P309/I309</f>
        <v>0.5991415384615385</v>
      </c>
      <c r="S309" s="123"/>
      <c r="T309" s="117"/>
      <c r="U309" s="118">
        <f t="shared" ref="U309:U311" si="161">K309/J309</f>
        <v>43.330188679245282</v>
      </c>
      <c r="V309" s="110"/>
      <c r="W309" s="110"/>
      <c r="X309" s="110"/>
      <c r="Y309" s="110"/>
      <c r="Z309" s="110"/>
      <c r="AA309" s="110"/>
    </row>
    <row r="311" spans="1:27" x14ac:dyDescent="0.15">
      <c r="A311" s="110" t="s">
        <v>2787</v>
      </c>
      <c r="B311" s="111" t="s">
        <v>177</v>
      </c>
      <c r="C311" s="110"/>
      <c r="D311" s="111"/>
      <c r="E311" s="111"/>
      <c r="F311" s="111"/>
      <c r="G311" s="133"/>
      <c r="H311" s="111"/>
      <c r="I311" s="24">
        <f>SUM(I308:I309)</f>
        <v>10000</v>
      </c>
      <c r="J311" s="24">
        <f t="shared" ref="J311:M311" si="162">SUM(J308:J309)</f>
        <v>53</v>
      </c>
      <c r="K311" s="24">
        <f t="shared" si="162"/>
        <v>2296.5</v>
      </c>
      <c r="L311" s="24">
        <f t="shared" si="162"/>
        <v>2101</v>
      </c>
      <c r="M311" s="24">
        <f t="shared" si="162"/>
        <v>73.14</v>
      </c>
      <c r="N311" s="117"/>
      <c r="O311" s="25">
        <f t="shared" si="157"/>
        <v>4470.6400000000003</v>
      </c>
      <c r="P311" s="117">
        <f t="shared" si="158"/>
        <v>5529.36</v>
      </c>
      <c r="Q311" s="123">
        <f t="shared" si="159"/>
        <v>7.3140000000000002E-3</v>
      </c>
      <c r="R311" s="123">
        <f t="shared" si="160"/>
        <v>0.55293599999999998</v>
      </c>
      <c r="S311" s="123"/>
      <c r="T311" s="117"/>
      <c r="U311" s="118">
        <f t="shared" si="161"/>
        <v>43.330188679245282</v>
      </c>
      <c r="V311" s="110"/>
      <c r="W311" s="110"/>
      <c r="X311" s="110"/>
      <c r="Y311" s="110"/>
      <c r="Z311" s="110"/>
      <c r="AA311" s="110"/>
    </row>
    <row r="312" spans="1:27" x14ac:dyDescent="0.15">
      <c r="A312" s="130"/>
      <c r="B312" s="124"/>
      <c r="C312" s="130"/>
      <c r="D312" s="124"/>
      <c r="E312" s="124"/>
      <c r="F312" s="124"/>
      <c r="G312" s="186"/>
      <c r="H312" s="124"/>
      <c r="I312" s="129"/>
      <c r="J312" s="129"/>
      <c r="K312" s="129"/>
      <c r="L312" s="129"/>
      <c r="M312" s="129"/>
      <c r="N312" s="126"/>
      <c r="O312" s="18"/>
      <c r="P312" s="126"/>
      <c r="Q312" s="187"/>
      <c r="R312" s="187"/>
      <c r="S312" s="187"/>
      <c r="T312" s="126"/>
      <c r="U312" s="45"/>
      <c r="V312" s="126"/>
      <c r="W312" s="126"/>
      <c r="X312" s="137"/>
      <c r="Y312" s="137"/>
      <c r="Z312" s="130"/>
      <c r="AA312" s="127"/>
    </row>
    <row r="313" spans="1:27" x14ac:dyDescent="0.15">
      <c r="A313" s="110" t="s">
        <v>2788</v>
      </c>
      <c r="B313" s="111" t="s">
        <v>2591</v>
      </c>
      <c r="C313" s="110"/>
      <c r="D313" s="111">
        <v>3</v>
      </c>
      <c r="E313" s="111">
        <v>162313</v>
      </c>
      <c r="F313" s="111">
        <v>810002011</v>
      </c>
      <c r="G313" s="161" t="s">
        <v>145</v>
      </c>
      <c r="H313" s="111">
        <v>1083</v>
      </c>
      <c r="I313" s="117">
        <v>18295</v>
      </c>
      <c r="J313" s="117">
        <v>21</v>
      </c>
      <c r="K313" s="117">
        <f>627.48+282.45</f>
        <v>909.93000000000006</v>
      </c>
      <c r="L313" s="117">
        <v>1256.1400000000001</v>
      </c>
      <c r="M313" s="117">
        <v>1228.6500000000001</v>
      </c>
      <c r="N313" s="117"/>
      <c r="O313" s="7">
        <f>SUM(K313:M313)</f>
        <v>3394.7200000000003</v>
      </c>
      <c r="P313" s="117">
        <f>I313-O313</f>
        <v>14900.279999999999</v>
      </c>
      <c r="Q313" s="123">
        <f>M313/I313</f>
        <v>6.7157693358841225E-2</v>
      </c>
      <c r="R313" s="123">
        <f>P313/I313</f>
        <v>0.81444547690625846</v>
      </c>
      <c r="S313" s="123"/>
      <c r="T313" s="117"/>
      <c r="U313" s="118">
        <f>K313/J313</f>
        <v>43.330000000000005</v>
      </c>
      <c r="V313" s="110"/>
      <c r="W313" s="110"/>
      <c r="X313" s="110"/>
      <c r="Y313" s="110"/>
      <c r="Z313" s="110"/>
      <c r="AA313" s="110"/>
    </row>
    <row r="315" spans="1:27" x14ac:dyDescent="0.15">
      <c r="A315" s="110" t="s">
        <v>2788</v>
      </c>
      <c r="B315" s="111" t="s">
        <v>177</v>
      </c>
      <c r="C315" s="110"/>
      <c r="D315" s="111"/>
      <c r="E315" s="111"/>
      <c r="F315" s="111"/>
      <c r="G315" s="133"/>
      <c r="H315" s="111"/>
      <c r="I315" s="24">
        <f>SUM(I313)</f>
        <v>18295</v>
      </c>
      <c r="J315" s="24">
        <f t="shared" ref="J315:M315" si="163">SUM(J313)</f>
        <v>21</v>
      </c>
      <c r="K315" s="24">
        <f t="shared" si="163"/>
        <v>909.93000000000006</v>
      </c>
      <c r="L315" s="24">
        <f t="shared" si="163"/>
        <v>1256.1400000000001</v>
      </c>
      <c r="M315" s="24">
        <f t="shared" si="163"/>
        <v>1228.6500000000001</v>
      </c>
      <c r="N315" s="117"/>
      <c r="O315" s="25">
        <f>SUM(K315:M315)</f>
        <v>3394.7200000000003</v>
      </c>
      <c r="P315" s="117">
        <f>I315-O315</f>
        <v>14900.279999999999</v>
      </c>
      <c r="Q315" s="123">
        <f>M315/I315</f>
        <v>6.7157693358841225E-2</v>
      </c>
      <c r="R315" s="123">
        <f>P315/I315</f>
        <v>0.81444547690625846</v>
      </c>
      <c r="S315" s="123"/>
      <c r="T315" s="117"/>
      <c r="U315" s="118">
        <f>K315/J315</f>
        <v>43.330000000000005</v>
      </c>
      <c r="V315" s="110"/>
      <c r="W315" s="110"/>
      <c r="X315" s="110"/>
      <c r="Y315" s="110"/>
      <c r="Z315" s="110"/>
      <c r="AA315" s="110"/>
    </row>
    <row r="316" spans="1:27" x14ac:dyDescent="0.15">
      <c r="A316" s="130"/>
      <c r="B316" s="124"/>
      <c r="C316" s="130"/>
      <c r="D316" s="124"/>
      <c r="E316" s="124"/>
      <c r="F316" s="124"/>
      <c r="G316" s="186"/>
      <c r="H316" s="124"/>
      <c r="I316" s="129"/>
      <c r="J316" s="129"/>
      <c r="K316" s="129"/>
      <c r="L316" s="129"/>
      <c r="M316" s="129"/>
      <c r="N316" s="126"/>
      <c r="O316" s="18"/>
      <c r="P316" s="126"/>
      <c r="Q316" s="187"/>
      <c r="R316" s="187"/>
      <c r="S316" s="187"/>
      <c r="T316" s="126"/>
      <c r="U316" s="45"/>
      <c r="V316" s="126"/>
      <c r="W316" s="126"/>
      <c r="X316" s="137"/>
      <c r="Y316" s="137"/>
      <c r="Z316" s="130"/>
      <c r="AA316" s="127"/>
    </row>
    <row r="317" spans="1:27" x14ac:dyDescent="0.15">
      <c r="A317" s="110" t="s">
        <v>2789</v>
      </c>
      <c r="B317" s="111" t="s">
        <v>2591</v>
      </c>
      <c r="C317" s="110"/>
      <c r="D317" s="111">
        <v>3</v>
      </c>
      <c r="E317" s="111">
        <v>162180</v>
      </c>
      <c r="F317" s="111">
        <v>821003111</v>
      </c>
      <c r="G317" s="161" t="s">
        <v>176</v>
      </c>
      <c r="H317" s="111">
        <v>1078</v>
      </c>
      <c r="I317" s="117">
        <v>14255</v>
      </c>
      <c r="J317" s="117">
        <v>56.5</v>
      </c>
      <c r="K317" s="117">
        <f>1688.22+759.93</f>
        <v>2448.15</v>
      </c>
      <c r="L317" s="117">
        <v>2646.15</v>
      </c>
      <c r="M317" s="117">
        <v>1022.5</v>
      </c>
      <c r="N317" s="117"/>
      <c r="O317" s="7">
        <f>SUM(K317:M317)</f>
        <v>6116.8</v>
      </c>
      <c r="P317" s="117">
        <f>I317-O317</f>
        <v>8138.2</v>
      </c>
      <c r="Q317" s="123">
        <f>M317/I317</f>
        <v>7.1729217818309363E-2</v>
      </c>
      <c r="R317" s="123">
        <f>P317/I317</f>
        <v>0.57090143809189753</v>
      </c>
      <c r="S317" s="123"/>
      <c r="T317" s="117"/>
      <c r="U317" s="118">
        <f>K317/J317</f>
        <v>43.330088495575225</v>
      </c>
      <c r="V317" s="110"/>
      <c r="W317" s="110"/>
      <c r="X317" s="110"/>
      <c r="Y317" s="110"/>
      <c r="Z317" s="110"/>
      <c r="AA317" s="110"/>
    </row>
    <row r="319" spans="1:27" x14ac:dyDescent="0.15">
      <c r="A319" s="110" t="s">
        <v>2789</v>
      </c>
      <c r="B319" s="111" t="s">
        <v>177</v>
      </c>
      <c r="C319" s="110"/>
      <c r="D319" s="111"/>
      <c r="E319" s="111"/>
      <c r="F319" s="111"/>
      <c r="G319" s="133"/>
      <c r="H319" s="111"/>
      <c r="I319" s="25">
        <f>SUM(I317)</f>
        <v>14255</v>
      </c>
      <c r="J319" s="25">
        <f t="shared" ref="J319:M319" si="164">SUM(J317)</f>
        <v>56.5</v>
      </c>
      <c r="K319" s="25">
        <f t="shared" si="164"/>
        <v>2448.15</v>
      </c>
      <c r="L319" s="25">
        <f t="shared" si="164"/>
        <v>2646.15</v>
      </c>
      <c r="M319" s="25">
        <f t="shared" si="164"/>
        <v>1022.5</v>
      </c>
      <c r="N319" s="117"/>
      <c r="O319" s="25">
        <f t="shared" ref="O319" si="165">SUM(K319:M319)</f>
        <v>6116.8</v>
      </c>
      <c r="P319" s="117">
        <f t="shared" ref="P319" si="166">I319-O319</f>
        <v>8138.2</v>
      </c>
      <c r="Q319" s="123">
        <f t="shared" ref="Q319" si="167">M319/I319</f>
        <v>7.1729217818309363E-2</v>
      </c>
      <c r="R319" s="123">
        <f t="shared" ref="R319" si="168">P319/I319</f>
        <v>0.57090143809189753</v>
      </c>
      <c r="S319" s="123"/>
      <c r="T319" s="117"/>
      <c r="U319" s="118">
        <f t="shared" ref="U319" si="169">K319/J319</f>
        <v>43.330088495575225</v>
      </c>
      <c r="V319" s="110"/>
      <c r="W319" s="110"/>
      <c r="X319" s="110"/>
      <c r="Y319" s="110"/>
      <c r="Z319" s="110"/>
      <c r="AA319" s="110"/>
    </row>
    <row r="320" spans="1:27" x14ac:dyDescent="0.15">
      <c r="A320" s="130"/>
      <c r="B320" s="124"/>
      <c r="C320" s="130"/>
      <c r="D320" s="124"/>
      <c r="E320" s="124"/>
      <c r="F320" s="124"/>
      <c r="G320" s="186"/>
      <c r="H320" s="124"/>
      <c r="I320" s="129"/>
      <c r="J320" s="129"/>
      <c r="K320" s="129"/>
      <c r="L320" s="129"/>
      <c r="M320" s="129"/>
      <c r="N320" s="126"/>
      <c r="O320" s="18"/>
      <c r="P320" s="126"/>
      <c r="Q320" s="187"/>
      <c r="R320" s="187"/>
      <c r="S320" s="187"/>
      <c r="T320" s="126"/>
      <c r="U320" s="45"/>
      <c r="V320" s="126"/>
      <c r="W320" s="126"/>
      <c r="X320" s="137"/>
      <c r="Y320" s="137"/>
      <c r="Z320" s="130"/>
      <c r="AA320" s="127"/>
    </row>
    <row r="321" spans="1:27" x14ac:dyDescent="0.15">
      <c r="A321" s="110" t="s">
        <v>2790</v>
      </c>
      <c r="B321" s="111" t="s">
        <v>2591</v>
      </c>
      <c r="C321" s="110"/>
      <c r="D321" s="111">
        <v>3</v>
      </c>
      <c r="E321" s="111">
        <v>162312</v>
      </c>
      <c r="F321" s="111">
        <v>821001111</v>
      </c>
      <c r="G321" s="161" t="s">
        <v>176</v>
      </c>
      <c r="H321" s="111">
        <v>1079</v>
      </c>
      <c r="I321" s="117">
        <v>14529.35</v>
      </c>
      <c r="J321" s="117">
        <v>20</v>
      </c>
      <c r="K321" s="117">
        <f>597.6+269</f>
        <v>866.6</v>
      </c>
      <c r="L321" s="117">
        <v>1213.18</v>
      </c>
      <c r="M321" s="117">
        <v>573.92999999999995</v>
      </c>
      <c r="N321" s="117"/>
      <c r="O321" s="7">
        <f>SUM(K321:M321)</f>
        <v>2653.71</v>
      </c>
      <c r="P321" s="117">
        <f>I321-O321</f>
        <v>11875.64</v>
      </c>
      <c r="Q321" s="123">
        <f>M321/I321</f>
        <v>3.9501422981757607E-2</v>
      </c>
      <c r="R321" s="123">
        <f>P321/I321</f>
        <v>0.81735521547763657</v>
      </c>
      <c r="S321" s="123"/>
      <c r="T321" s="117"/>
      <c r="U321" s="118">
        <f>K321/J321</f>
        <v>43.33</v>
      </c>
      <c r="V321" s="110"/>
      <c r="W321" s="110"/>
      <c r="X321" s="110"/>
      <c r="Y321" s="110"/>
      <c r="Z321" s="110"/>
      <c r="AA321" s="110"/>
    </row>
    <row r="322" spans="1:27" x14ac:dyDescent="0.15">
      <c r="A322" s="110" t="s">
        <v>2790</v>
      </c>
      <c r="B322" s="111" t="s">
        <v>2591</v>
      </c>
      <c r="C322" s="110"/>
      <c r="D322" s="111">
        <v>3</v>
      </c>
      <c r="E322" s="111">
        <v>162312</v>
      </c>
      <c r="F322" s="111">
        <v>811001111</v>
      </c>
      <c r="G322" s="161" t="s">
        <v>145</v>
      </c>
      <c r="H322" s="111">
        <v>1080</v>
      </c>
      <c r="I322" s="117">
        <v>7823.4999999999982</v>
      </c>
      <c r="J322" s="117">
        <v>8</v>
      </c>
      <c r="K322" s="117">
        <f>239.04+107.6</f>
        <v>346.64</v>
      </c>
      <c r="L322" s="117">
        <v>561.76</v>
      </c>
      <c r="M322" s="117">
        <v>243.6</v>
      </c>
      <c r="N322" s="117"/>
      <c r="O322" s="7">
        <f t="shared" ref="O322:O324" si="170">SUM(K322:M322)</f>
        <v>1152</v>
      </c>
      <c r="P322" s="117">
        <f t="shared" ref="P322:P324" si="171">I322-O322</f>
        <v>6671.4999999999982</v>
      </c>
      <c r="Q322" s="123">
        <f t="shared" ref="Q322:Q324" si="172">M322/I322</f>
        <v>3.1136959161500614E-2</v>
      </c>
      <c r="R322" s="123">
        <f t="shared" ref="R322:R324" si="173">P322/I322</f>
        <v>0.85275132613280502</v>
      </c>
      <c r="S322" s="123"/>
      <c r="T322" s="117"/>
      <c r="U322" s="118">
        <f t="shared" ref="U322:U324" si="174">K322/J322</f>
        <v>43.33</v>
      </c>
      <c r="V322" s="110"/>
      <c r="W322" s="110"/>
      <c r="X322" s="110"/>
      <c r="Y322" s="110"/>
      <c r="Z322" s="110"/>
      <c r="AA322" s="110"/>
    </row>
    <row r="324" spans="1:27" x14ac:dyDescent="0.15">
      <c r="A324" s="110" t="s">
        <v>2790</v>
      </c>
      <c r="B324" s="111" t="s">
        <v>177</v>
      </c>
      <c r="C324" s="110"/>
      <c r="D324" s="111"/>
      <c r="E324" s="111"/>
      <c r="F324" s="111"/>
      <c r="G324" s="133"/>
      <c r="H324" s="111"/>
      <c r="I324" s="25">
        <f>SUM(I321:I322)</f>
        <v>22352.85</v>
      </c>
      <c r="J324" s="25">
        <f t="shared" ref="J324:M324" si="175">SUM(J321:J322)</f>
        <v>28</v>
      </c>
      <c r="K324" s="25">
        <f t="shared" si="175"/>
        <v>1213.24</v>
      </c>
      <c r="L324" s="25">
        <f t="shared" si="175"/>
        <v>1774.94</v>
      </c>
      <c r="M324" s="25">
        <f t="shared" si="175"/>
        <v>817.53</v>
      </c>
      <c r="N324" s="117"/>
      <c r="O324" s="25">
        <f t="shared" si="170"/>
        <v>3805.71</v>
      </c>
      <c r="P324" s="117">
        <f t="shared" si="171"/>
        <v>18547.14</v>
      </c>
      <c r="Q324" s="123">
        <f t="shared" si="172"/>
        <v>3.6573859709164602E-2</v>
      </c>
      <c r="R324" s="123">
        <f t="shared" si="173"/>
        <v>0.82974385816573726</v>
      </c>
      <c r="S324" s="123"/>
      <c r="T324" s="117"/>
      <c r="U324" s="118">
        <f t="shared" si="174"/>
        <v>43.33</v>
      </c>
      <c r="V324" s="110"/>
      <c r="W324" s="110"/>
      <c r="X324" s="110"/>
      <c r="Y324" s="110"/>
      <c r="Z324" s="110"/>
      <c r="AA324" s="110"/>
    </row>
    <row r="325" spans="1:27" x14ac:dyDescent="0.15">
      <c r="A325" s="130"/>
      <c r="B325" s="124"/>
      <c r="C325" s="130"/>
      <c r="D325" s="124"/>
      <c r="E325" s="124"/>
      <c r="F325" s="124"/>
      <c r="G325" s="186"/>
      <c r="H325" s="124"/>
      <c r="I325" s="129"/>
      <c r="J325" s="129"/>
      <c r="K325" s="129"/>
      <c r="L325" s="129"/>
      <c r="M325" s="129"/>
      <c r="N325" s="126"/>
      <c r="O325" s="18"/>
      <c r="P325" s="126"/>
      <c r="Q325" s="187"/>
      <c r="R325" s="187"/>
      <c r="S325" s="187"/>
      <c r="T325" s="126"/>
      <c r="U325" s="45"/>
      <c r="V325" s="126"/>
      <c r="W325" s="126"/>
      <c r="X325" s="137"/>
      <c r="Y325" s="137"/>
      <c r="Z325" s="130"/>
      <c r="AA325" s="127"/>
    </row>
  </sheetData>
  <phoneticPr fontId="14" type="noConversion"/>
  <printOptions gridLines="1"/>
  <pageMargins left="0.7" right="0.7" top="0.75" bottom="0.75" header="0.3" footer="0.3"/>
  <pageSetup scale="73" fitToHeight="0" orientation="landscape" r:id="rId1"/>
  <ignoredErrors>
    <ignoredError sqref="O8:O10 O113 Z6 O85 I230:M230 L59" formulaRange="1"/>
    <ignoredError sqref="S157 S235 M59" formula="1"/>
  </ignoredError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7431030C2063B4094EE52081ECF3829" ma:contentTypeVersion="17" ma:contentTypeDescription="Create a new document." ma:contentTypeScope="" ma:versionID="014255ac959c5f6ff7f91720333a1b5a">
  <xsd:schema xmlns:xsd="http://www.w3.org/2001/XMLSchema" xmlns:xs="http://www.w3.org/2001/XMLSchema" xmlns:p="http://schemas.microsoft.com/office/2006/metadata/properties" xmlns:ns2="529f95c2-f5b5-4921-8501-9337e8456d02" xmlns:ns3="fd540ecf-12ea-42cc-a8b0-e75d50f4ca2e" targetNamespace="http://schemas.microsoft.com/office/2006/metadata/properties" ma:root="true" ma:fieldsID="873d1d8915bc3f09d57ec8c78ab2ee27" ns2:_="" ns3:_="">
    <xsd:import namespace="529f95c2-f5b5-4921-8501-9337e8456d02"/>
    <xsd:import namespace="fd540ecf-12ea-42cc-a8b0-e75d50f4ca2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9f95c2-f5b5-4921-8501-9337e8456d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82c9cf96-b5e3-40f6-9db9-e79e799e7e5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540ecf-12ea-42cc-a8b0-e75d50f4ca2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03719f36-6b39-40d3-80d3-c43bf30dd1df}" ma:internalName="TaxCatchAll" ma:showField="CatchAllData" ma:web="fd540ecf-12ea-42cc-a8b0-e75d50f4ca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ediaLengthInSeconds xmlns="529f95c2-f5b5-4921-8501-9337e8456d02" xsi:nil="true"/>
    <SharedWithUsers xmlns="fd540ecf-12ea-42cc-a8b0-e75d50f4ca2e">
      <UserInfo>
        <DisplayName>Jeremiah Schmidt</DisplayName>
        <AccountId>36</AccountId>
        <AccountType/>
      </UserInfo>
      <UserInfo>
        <DisplayName>John Dickey</DisplayName>
        <AccountId>33</AccountId>
        <AccountType/>
      </UserInfo>
      <UserInfo>
        <DisplayName>Jeff Butt</DisplayName>
        <AccountId>6</AccountId>
        <AccountType/>
      </UserInfo>
      <UserInfo>
        <DisplayName>Avish Patel</DisplayName>
        <AccountId>55</AccountId>
        <AccountType/>
      </UserInfo>
    </SharedWithUsers>
    <lcf76f155ced4ddcb4097134ff3c332f xmlns="529f95c2-f5b5-4921-8501-9337e8456d02">
      <Terms xmlns="http://schemas.microsoft.com/office/infopath/2007/PartnerControls"/>
    </lcf76f155ced4ddcb4097134ff3c332f>
    <TaxCatchAll xmlns="fd540ecf-12ea-42cc-a8b0-e75d50f4ca2e" xsi:nil="true"/>
  </documentManagement>
</p:properties>
</file>

<file path=customXml/itemProps1.xml><?xml version="1.0" encoding="utf-8"?>
<ds:datastoreItem xmlns:ds="http://schemas.openxmlformats.org/officeDocument/2006/customXml" ds:itemID="{FC7DBDCA-C50D-434A-B5B8-256F86E6D0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9f95c2-f5b5-4921-8501-9337e8456d02"/>
    <ds:schemaRef ds:uri="fd540ecf-12ea-42cc-a8b0-e75d50f4ca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608EA47-8CA1-4652-9412-D7157339C9B6}">
  <ds:schemaRefs>
    <ds:schemaRef ds:uri="http://schemas.microsoft.com/sharepoint/v3/contenttype/forms"/>
  </ds:schemaRefs>
</ds:datastoreItem>
</file>

<file path=customXml/itemProps3.xml><?xml version="1.0" encoding="utf-8"?>
<ds:datastoreItem xmlns:ds="http://schemas.openxmlformats.org/officeDocument/2006/customXml" ds:itemID="{A991AE55-BEED-4C7C-B55B-008B281302FF}">
  <ds:schemaRefs>
    <ds:schemaRef ds:uri="http://schemas.microsoft.com/office/2006/documentManagement/types"/>
    <ds:schemaRef ds:uri="http://purl.org/dc/elements/1.1/"/>
    <ds:schemaRef ds:uri="fd540ecf-12ea-42cc-a8b0-e75d50f4ca2e"/>
    <ds:schemaRef ds:uri="http://purl.org/dc/terms/"/>
    <ds:schemaRef ds:uri="http://schemas.microsoft.com/office/infopath/2007/PartnerControls"/>
    <ds:schemaRef ds:uri="http://purl.org/dc/dcmitype/"/>
    <ds:schemaRef ds:uri="529f95c2-f5b5-4921-8501-9337e8456d02"/>
    <ds:schemaRef ds:uri="http://schemas.microsoft.com/office/2006/metadata/propertie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TB &amp; MCC Cost Audit 2020-Curren</vt:lpstr>
      <vt:lpstr>MCC Margin Analysis</vt:lpstr>
      <vt:lpstr>TB Type Margin Analysis</vt:lpstr>
      <vt:lpstr>TB All Check</vt:lpstr>
      <vt:lpstr>2022 Partial Rev - NS</vt:lpstr>
      <vt:lpstr>2023 Rev - NS</vt:lpstr>
      <vt:lpstr>2024 Rev - NS</vt:lpstr>
      <vt:lpstr>Build MCC</vt:lpstr>
      <vt:lpstr>Customer Conversion</vt:lpstr>
      <vt:lpstr>TB Cost Audit 2019</vt:lpstr>
      <vt:lpstr>TB &amp; MCC Cost Audit 2020-21 </vt:lpstr>
      <vt:lpstr>'TB &amp; MCC Cost Audit 2020-21 '!Print_Area</vt:lpstr>
      <vt:lpstr>'TB &amp; MCC Cost Audit 2020-Curren'!Print_Area</vt:lpstr>
      <vt:lpstr>'TB &amp; MCC Cost Audit 2020-21 '!Print_Titles</vt:lpstr>
      <vt:lpstr>'TB &amp; MCC Cost Audit 2020-Curren'!Print_Titles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Jeremiah Schmidt</dc:creator>
  <cp:keywords/>
  <dc:description/>
  <cp:lastModifiedBy>Jeff Butt</cp:lastModifiedBy>
  <cp:revision/>
  <dcterms:created xsi:type="dcterms:W3CDTF">2021-03-02T21:33:29Z</dcterms:created>
  <dcterms:modified xsi:type="dcterms:W3CDTF">2026-01-06T21:44:05Z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0x01010087431030C2063B4094EE52081ECF3829</vt:lpwstr>
  </property>
  <property fmtid="{D5CDD505-2E9C-101B-9397-08002B2CF9AE}" pid="4" name="ComplianceAssetId">
    <vt:lpwstr/>
  </property>
  <property fmtid="{D5CDD505-2E9C-101B-9397-08002B2CF9AE}" pid="5" name="_ExtendedDescription">
    <vt:lpwstr/>
  </property>
  <property fmtid="{D5CDD505-2E9C-101B-9397-08002B2CF9AE}" pid="6" name="_activity">
    <vt:lpwstr>{"FileActivityType":"9","FileActivityTimeStamp":"2024-07-10T12:42:18.817Z","FileActivityUsersOnPage":[{"DisplayName":"Jeremiah Schmidt","Id":"jschmidt@marswater.com"},{"DisplayName":"Jeremiah Schmidt","Id":"jschmidt@marswater.com"}],"FileActivityNavigationId":null}</vt:lpwstr>
  </property>
  <property fmtid="{D5CDD505-2E9C-101B-9397-08002B2CF9AE}" pid="7" name="TriggerFlowInfo">
    <vt:lpwstr/>
  </property>
</Properties>
</file>